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jordanbales/Documents/Repos/datapackr/tests/testthat/sheets/"/>
    </mc:Choice>
  </mc:AlternateContent>
  <xr:revisionPtr revIDLastSave="0" documentId="13_ncr:1_{42874F2B-1BF8-2847-AB41-C6C66013151A}" xr6:coauthVersionLast="47" xr6:coauthVersionMax="47" xr10:uidLastSave="{00000000-0000-0000-0000-000000000000}"/>
  <bookViews>
    <workbookView xWindow="16000" yWindow="500" windowWidth="32000" windowHeight="26160" tabRatio="500" xr2:uid="{00000000-000D-0000-FFFF-FFFF00000000}"/>
  </bookViews>
  <sheets>
    <sheet name="Home" sheetId="1" r:id="rId1"/>
    <sheet name="Spectrum" sheetId="2" r:id="rId2"/>
    <sheet name="Prioritization" sheetId="3" r:id="rId3"/>
    <sheet name="Cascade" sheetId="4" r:id="rId4"/>
    <sheet name="KP" sheetId="5" r:id="rId5"/>
    <sheet name="Year 2" sheetId="6" r:id="rId6"/>
    <sheet name="PMTCT" sheetId="7" r:id="rId7"/>
    <sheet name="EID" sheetId="8" r:id="rId8"/>
    <sheet name="TB" sheetId="9" r:id="rId9"/>
    <sheet name="VMMC" sheetId="10" r:id="rId10"/>
    <sheet name="PrEP" sheetId="11" r:id="rId11"/>
    <sheet name="HTS" sheetId="12" r:id="rId12"/>
    <sheet name="CXCA" sheetId="13" r:id="rId13"/>
    <sheet name="TX_TB_PREV" sheetId="14" r:id="rId14"/>
    <sheet name="PP" sheetId="15" r:id="rId15"/>
    <sheet name="OVC" sheetId="16" r:id="rId16"/>
    <sheet name="GEND" sheetId="17" r:id="rId17"/>
    <sheet name="AGYW" sheetId="18" r:id="rId18"/>
    <sheet name="KP_MAT" sheetId="19" r:id="rId19"/>
    <sheet name="KP Validation" sheetId="20" r:id="rId20"/>
  </sheets>
  <definedNames>
    <definedName name="HTS_RECENT.N.KeyPop_HIVStatus.T" localSheetId="19">'KP Validation'!#REF!</definedName>
    <definedName name="HTS_RECENT.N.KeyPop_HIVStatus.T" localSheetId="18">KP_MAT!#REF!</definedName>
    <definedName name="HTS_SELF.N.KeyPop.T" localSheetId="19">'KP Validation'!#REF!</definedName>
    <definedName name="HTS_SELF.N.KeyPop.T" localSheetId="18">KP_MAT!#REF!</definedName>
    <definedName name="HTS_TST.N.KeyPop_Result.T.Negative" localSheetId="19">'KP Validation'!#REF!</definedName>
    <definedName name="HTS_TST.N.KeyPop_Result.T.Negative" localSheetId="18">KP_MAT!#REF!</definedName>
    <definedName name="HTS_TST.N.KeyPop_Result.T.Positive" localSheetId="19">'KP Validation'!#REF!</definedName>
    <definedName name="HTS_TST.N.KeyPop_Result.T.Positive" localSheetId="18">KP_MAT!#REF!</definedName>
    <definedName name="KP_MAT.N.Sex.T" localSheetId="19">'KP Validation'!#REF!</definedName>
    <definedName name="KP_MAT.N.Sex.T" localSheetId="18">KP_MAT!$J:$J</definedName>
    <definedName name="KP_PREV.N.KeyPop.T" localSheetId="19">'KP Validation'!#REF!</definedName>
    <definedName name="KP_PREV.N.KeyPop.T" localSheetId="18">KP_MAT!#REF!</definedName>
    <definedName name="MIN_DSD">ROUND(MAX(IF(ISNUMBER(FIND("DSD",#REF!)),#REF!)),1)</definedName>
    <definedName name="MIN_TA">ROUND(MAX(IF(ISNUMBER(FIND("TA",#REF!)),#REF!)),1)</definedName>
    <definedName name="PrEP_CURR.N.Age_Sex.T" localSheetId="17">AGYW!#REF!</definedName>
    <definedName name="PrEP_CURR.N.KeyPop.T" localSheetId="19">'KP Validation'!#REF!</definedName>
    <definedName name="PrEP_CURR.N.KeyPop.T" localSheetId="18">KP_MAT!#REF!</definedName>
    <definedName name="PrEP_NEW.N.Age_Sex.T" localSheetId="17">AGYW!#REF!</definedName>
    <definedName name="PrEP_NEW.N.KeyPop.T" localSheetId="19">'KP Validation'!#REF!</definedName>
    <definedName name="PrEP_NEW.N.KeyPop.T" localSheetId="18">KP_MAT!#REF!</definedName>
    <definedName name="TX_CURR.N.KeyPop_HIVStatus.T" localSheetId="19">'KP Validation'!$U:$U</definedName>
    <definedName name="TX_CURR.N.KeyPop_HIVStatus.T" localSheetId="18">KP_MAT!#REF!</definedName>
    <definedName name="TX_NEW.N.KeyPop_HIVStatus.T" localSheetId="19">'KP Validation'!#REF!</definedName>
    <definedName name="TX_NEW.N.KeyPop_HIVStatus.T" localSheetId="18">KP_MAT!#REF!</definedName>
    <definedName name="TX_PVLS.D.KeyPop_HIVStatus.T" localSheetId="19">'KP Validation'!#REF!</definedName>
    <definedName name="TX_PVLS.D.KeyPop_HIVStatus.T" localSheetId="18">KP_MAT!#REF!</definedName>
    <definedName name="TX_PVLS.N.KeyPop_HIVStatus.T" localSheetId="19">'KP Validation'!#REF!</definedName>
    <definedName name="TX_PVLS.N.KeyPop_HIVStatus.T" localSheetId="18">KP_MAT!#REF!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72" i="19" l="1"/>
  <c r="K72" i="19" s="1"/>
  <c r="I72" i="19"/>
  <c r="H72" i="19"/>
  <c r="G72" i="19"/>
  <c r="D72" i="19"/>
  <c r="K71" i="19"/>
  <c r="J71" i="19"/>
  <c r="I71" i="19"/>
  <c r="G71" i="19"/>
  <c r="H71" i="19" s="1"/>
  <c r="D71" i="19"/>
  <c r="K70" i="19"/>
  <c r="J70" i="19"/>
  <c r="I70" i="19"/>
  <c r="H70" i="19"/>
  <c r="G70" i="19"/>
  <c r="D70" i="19"/>
  <c r="K69" i="19"/>
  <c r="J69" i="19"/>
  <c r="I69" i="19"/>
  <c r="H69" i="19"/>
  <c r="G69" i="19"/>
  <c r="D69" i="19"/>
  <c r="J68" i="19"/>
  <c r="K68" i="19" s="1"/>
  <c r="I68" i="19"/>
  <c r="G68" i="19"/>
  <c r="H68" i="19" s="1"/>
  <c r="D68" i="19"/>
  <c r="J67" i="19"/>
  <c r="K67" i="19" s="1"/>
  <c r="I67" i="19"/>
  <c r="H67" i="19"/>
  <c r="G67" i="19"/>
  <c r="D67" i="19"/>
  <c r="K66" i="19"/>
  <c r="J66" i="19"/>
  <c r="I66" i="19"/>
  <c r="H66" i="19"/>
  <c r="G66" i="19"/>
  <c r="D66" i="19"/>
  <c r="J65" i="19"/>
  <c r="K65" i="19" s="1"/>
  <c r="I65" i="19"/>
  <c r="H65" i="19"/>
  <c r="G65" i="19"/>
  <c r="D65" i="19"/>
  <c r="J64" i="19"/>
  <c r="K64" i="19" s="1"/>
  <c r="I64" i="19"/>
  <c r="H64" i="19"/>
  <c r="G64" i="19"/>
  <c r="D64" i="19"/>
  <c r="J63" i="19"/>
  <c r="K63" i="19" s="1"/>
  <c r="I63" i="19"/>
  <c r="G63" i="19"/>
  <c r="H63" i="19" s="1"/>
  <c r="D63" i="19"/>
  <c r="K62" i="19"/>
  <c r="J62" i="19"/>
  <c r="I62" i="19"/>
  <c r="G62" i="19"/>
  <c r="H62" i="19" s="1"/>
  <c r="D62" i="19"/>
  <c r="K61" i="19"/>
  <c r="J61" i="19"/>
  <c r="I61" i="19"/>
  <c r="G61" i="19"/>
  <c r="H61" i="19" s="1"/>
  <c r="D61" i="19"/>
  <c r="J60" i="19"/>
  <c r="K60" i="19" s="1"/>
  <c r="I60" i="19"/>
  <c r="H60" i="19"/>
  <c r="G60" i="19"/>
  <c r="D60" i="19"/>
  <c r="J59" i="19"/>
  <c r="K59" i="19" s="1"/>
  <c r="I59" i="19"/>
  <c r="H59" i="19"/>
  <c r="G59" i="19"/>
  <c r="D59" i="19"/>
  <c r="J58" i="19"/>
  <c r="K58" i="19" s="1"/>
  <c r="I58" i="19"/>
  <c r="G58" i="19"/>
  <c r="H58" i="19" s="1"/>
  <c r="D58" i="19"/>
  <c r="J57" i="19"/>
  <c r="K57" i="19" s="1"/>
  <c r="I57" i="19"/>
  <c r="H57" i="19"/>
  <c r="G57" i="19"/>
  <c r="D57" i="19"/>
  <c r="K56" i="19"/>
  <c r="J56" i="19"/>
  <c r="I56" i="19"/>
  <c r="H56" i="19"/>
  <c r="G56" i="19"/>
  <c r="D56" i="19"/>
  <c r="J55" i="19"/>
  <c r="K55" i="19" s="1"/>
  <c r="I55" i="19"/>
  <c r="G55" i="19"/>
  <c r="H55" i="19" s="1"/>
  <c r="D55" i="19"/>
  <c r="K54" i="19"/>
  <c r="J54" i="19"/>
  <c r="I54" i="19"/>
  <c r="G54" i="19"/>
  <c r="H54" i="19" s="1"/>
  <c r="D54" i="19"/>
  <c r="K53" i="19"/>
  <c r="J53" i="19"/>
  <c r="I53" i="19"/>
  <c r="H53" i="19"/>
  <c r="G53" i="19"/>
  <c r="D53" i="19"/>
  <c r="J52" i="19"/>
  <c r="K52" i="19" s="1"/>
  <c r="I52" i="19"/>
  <c r="G52" i="19"/>
  <c r="H52" i="19" s="1"/>
  <c r="D52" i="19"/>
  <c r="K51" i="19"/>
  <c r="J51" i="19"/>
  <c r="I51" i="19"/>
  <c r="H51" i="19"/>
  <c r="G51" i="19"/>
  <c r="D51" i="19"/>
  <c r="J50" i="19"/>
  <c r="K50" i="19" s="1"/>
  <c r="I50" i="19"/>
  <c r="H50" i="19"/>
  <c r="G50" i="19"/>
  <c r="D50" i="19"/>
  <c r="K49" i="19"/>
  <c r="J49" i="19"/>
  <c r="I49" i="19"/>
  <c r="H49" i="19"/>
  <c r="G49" i="19"/>
  <c r="D49" i="19"/>
  <c r="J48" i="19"/>
  <c r="K48" i="19" s="1"/>
  <c r="I48" i="19"/>
  <c r="G48" i="19"/>
  <c r="H48" i="19" s="1"/>
  <c r="D48" i="19"/>
  <c r="J47" i="19"/>
  <c r="K47" i="19" s="1"/>
  <c r="I47" i="19"/>
  <c r="H47" i="19"/>
  <c r="G47" i="19"/>
  <c r="D47" i="19"/>
  <c r="J46" i="19"/>
  <c r="K46" i="19" s="1"/>
  <c r="I46" i="19"/>
  <c r="H46" i="19"/>
  <c r="G46" i="19"/>
  <c r="D46" i="19"/>
  <c r="K45" i="19"/>
  <c r="J45" i="19"/>
  <c r="I45" i="19"/>
  <c r="H45" i="19"/>
  <c r="G45" i="19"/>
  <c r="D45" i="19"/>
  <c r="K44" i="19"/>
  <c r="J44" i="19"/>
  <c r="I44" i="19"/>
  <c r="G44" i="19"/>
  <c r="H44" i="19" s="1"/>
  <c r="D44" i="19"/>
  <c r="J43" i="19"/>
  <c r="K43" i="19" s="1"/>
  <c r="I43" i="19"/>
  <c r="H43" i="19"/>
  <c r="G43" i="19"/>
  <c r="D43" i="19"/>
  <c r="K42" i="19"/>
  <c r="J42" i="19"/>
  <c r="I42" i="19"/>
  <c r="H42" i="19"/>
  <c r="G42" i="19"/>
  <c r="D42" i="19"/>
  <c r="J41" i="19"/>
  <c r="K41" i="19" s="1"/>
  <c r="I41" i="19"/>
  <c r="H41" i="19"/>
  <c r="G41" i="19"/>
  <c r="D41" i="19"/>
  <c r="J40" i="19"/>
  <c r="K40" i="19" s="1"/>
  <c r="I40" i="19"/>
  <c r="H40" i="19"/>
  <c r="G40" i="19"/>
  <c r="D40" i="19"/>
  <c r="K39" i="19"/>
  <c r="J39" i="19"/>
  <c r="I39" i="19"/>
  <c r="G39" i="19"/>
  <c r="H39" i="19" s="1"/>
  <c r="D39" i="19"/>
  <c r="K38" i="19"/>
  <c r="J38" i="19"/>
  <c r="I38" i="19"/>
  <c r="H38" i="19"/>
  <c r="G38" i="19"/>
  <c r="D38" i="19"/>
  <c r="K37" i="19"/>
  <c r="J37" i="19"/>
  <c r="I37" i="19"/>
  <c r="H37" i="19"/>
  <c r="G37" i="19"/>
  <c r="D37" i="19"/>
  <c r="J36" i="19"/>
  <c r="K36" i="19" s="1"/>
  <c r="I36" i="19"/>
  <c r="G36" i="19"/>
  <c r="H36" i="19" s="1"/>
  <c r="D36" i="19"/>
  <c r="J35" i="19"/>
  <c r="K35" i="19" s="1"/>
  <c r="I35" i="19"/>
  <c r="H35" i="19"/>
  <c r="G35" i="19"/>
  <c r="D35" i="19"/>
  <c r="K34" i="19"/>
  <c r="J34" i="19"/>
  <c r="I34" i="19"/>
  <c r="G34" i="19"/>
  <c r="H34" i="19" s="1"/>
  <c r="D34" i="19"/>
  <c r="K33" i="19"/>
  <c r="J33" i="19"/>
  <c r="I33" i="19"/>
  <c r="H33" i="19"/>
  <c r="G33" i="19"/>
  <c r="D33" i="19"/>
  <c r="K32" i="19"/>
  <c r="J32" i="19"/>
  <c r="I32" i="19"/>
  <c r="H32" i="19"/>
  <c r="G32" i="19"/>
  <c r="D32" i="19"/>
  <c r="J31" i="19"/>
  <c r="K31" i="19" s="1"/>
  <c r="I31" i="19"/>
  <c r="H31" i="19"/>
  <c r="G31" i="19"/>
  <c r="D31" i="19"/>
  <c r="J30" i="19"/>
  <c r="K30" i="19" s="1"/>
  <c r="I30" i="19"/>
  <c r="H30" i="19"/>
  <c r="G30" i="19"/>
  <c r="D30" i="19"/>
  <c r="K29" i="19"/>
  <c r="J29" i="19"/>
  <c r="I29" i="19"/>
  <c r="H29" i="19"/>
  <c r="G29" i="19"/>
  <c r="D29" i="19"/>
  <c r="J28" i="19"/>
  <c r="K28" i="19" s="1"/>
  <c r="I28" i="19"/>
  <c r="H28" i="19"/>
  <c r="G28" i="19"/>
  <c r="D28" i="19"/>
  <c r="J27" i="19"/>
  <c r="K27" i="19" s="1"/>
  <c r="I27" i="19"/>
  <c r="H27" i="19"/>
  <c r="G27" i="19"/>
  <c r="D27" i="19"/>
  <c r="J26" i="19"/>
  <c r="K26" i="19" s="1"/>
  <c r="I26" i="19"/>
  <c r="H26" i="19"/>
  <c r="G26" i="19"/>
  <c r="D26" i="19"/>
  <c r="J25" i="19"/>
  <c r="K25" i="19" s="1"/>
  <c r="I25" i="19"/>
  <c r="H25" i="19"/>
  <c r="G25" i="19"/>
  <c r="D25" i="19"/>
  <c r="J24" i="19"/>
  <c r="K24" i="19" s="1"/>
  <c r="I24" i="19"/>
  <c r="G24" i="19"/>
  <c r="H24" i="19" s="1"/>
  <c r="D24" i="19"/>
  <c r="J23" i="19"/>
  <c r="K23" i="19" s="1"/>
  <c r="I23" i="19"/>
  <c r="G23" i="19"/>
  <c r="H23" i="19" s="1"/>
  <c r="D23" i="19"/>
  <c r="K22" i="19"/>
  <c r="J22" i="19"/>
  <c r="I22" i="19"/>
  <c r="G22" i="19"/>
  <c r="H22" i="19" s="1"/>
  <c r="D22" i="19"/>
  <c r="J21" i="19"/>
  <c r="K21" i="19" s="1"/>
  <c r="I21" i="19"/>
  <c r="G21" i="19"/>
  <c r="H21" i="19" s="1"/>
  <c r="D21" i="19"/>
  <c r="J20" i="19"/>
  <c r="K20" i="19" s="1"/>
  <c r="I20" i="19"/>
  <c r="G20" i="19"/>
  <c r="H20" i="19" s="1"/>
  <c r="D20" i="19"/>
  <c r="J19" i="19"/>
  <c r="K19" i="19" s="1"/>
  <c r="I19" i="19"/>
  <c r="G19" i="19"/>
  <c r="H19" i="19" s="1"/>
  <c r="D19" i="19"/>
  <c r="K18" i="19"/>
  <c r="J18" i="19"/>
  <c r="I18" i="19"/>
  <c r="H18" i="19"/>
  <c r="G18" i="19"/>
  <c r="D18" i="19"/>
  <c r="K17" i="19"/>
  <c r="J17" i="19"/>
  <c r="I17" i="19"/>
  <c r="G17" i="19"/>
  <c r="H17" i="19" s="1"/>
  <c r="D17" i="19"/>
  <c r="J16" i="19"/>
  <c r="K16" i="19" s="1"/>
  <c r="I16" i="19"/>
  <c r="H16" i="19"/>
  <c r="G16" i="19"/>
  <c r="D16" i="19"/>
  <c r="J15" i="19"/>
  <c r="K15" i="19" s="1"/>
  <c r="I15" i="19"/>
  <c r="H15" i="19"/>
  <c r="G15" i="19"/>
  <c r="D15" i="19"/>
  <c r="I4" i="19"/>
  <c r="F4" i="19"/>
  <c r="E4" i="19"/>
  <c r="G4" i="19" s="1"/>
  <c r="Q34" i="18"/>
  <c r="E34" i="18"/>
  <c r="Q33" i="18"/>
  <c r="E33" i="18"/>
  <c r="Q32" i="18"/>
  <c r="E32" i="18"/>
  <c r="Q31" i="18"/>
  <c r="E31" i="18"/>
  <c r="Q30" i="18"/>
  <c r="E30" i="18"/>
  <c r="Q29" i="18"/>
  <c r="E29" i="18"/>
  <c r="Q28" i="18"/>
  <c r="E28" i="18"/>
  <c r="Q27" i="18"/>
  <c r="E27" i="18"/>
  <c r="Q26" i="18"/>
  <c r="E26" i="18"/>
  <c r="Q25" i="18"/>
  <c r="E25" i="18"/>
  <c r="Q24" i="18"/>
  <c r="E24" i="18"/>
  <c r="Q23" i="18"/>
  <c r="E23" i="18"/>
  <c r="Q22" i="18"/>
  <c r="E22" i="18"/>
  <c r="Q21" i="18"/>
  <c r="E21" i="18"/>
  <c r="Q20" i="18"/>
  <c r="E20" i="18"/>
  <c r="Q19" i="18"/>
  <c r="E19" i="18"/>
  <c r="Q18" i="18"/>
  <c r="E18" i="18"/>
  <c r="Q17" i="18"/>
  <c r="E17" i="18"/>
  <c r="Q16" i="18"/>
  <c r="E16" i="18"/>
  <c r="E15" i="18"/>
  <c r="K4" i="18"/>
  <c r="G4" i="18"/>
  <c r="G43" i="17"/>
  <c r="F43" i="17"/>
  <c r="H43" i="17" s="1"/>
  <c r="E43" i="17"/>
  <c r="H42" i="17"/>
  <c r="G42" i="17"/>
  <c r="F42" i="17"/>
  <c r="E42" i="17"/>
  <c r="H41" i="17"/>
  <c r="G41" i="17"/>
  <c r="F41" i="17"/>
  <c r="E41" i="17"/>
  <c r="H40" i="17"/>
  <c r="G40" i="17"/>
  <c r="F40" i="17"/>
  <c r="E40" i="17"/>
  <c r="H39" i="17"/>
  <c r="G39" i="17"/>
  <c r="F39" i="17"/>
  <c r="E39" i="17"/>
  <c r="H38" i="17"/>
  <c r="G38" i="17"/>
  <c r="F38" i="17"/>
  <c r="E38" i="17"/>
  <c r="H37" i="17"/>
  <c r="G37" i="17"/>
  <c r="F37" i="17"/>
  <c r="E37" i="17"/>
  <c r="H36" i="17"/>
  <c r="G36" i="17"/>
  <c r="F36" i="17"/>
  <c r="E36" i="17"/>
  <c r="H35" i="17"/>
  <c r="G35" i="17"/>
  <c r="F35" i="17"/>
  <c r="E35" i="17"/>
  <c r="H34" i="17"/>
  <c r="G34" i="17"/>
  <c r="F34" i="17"/>
  <c r="E34" i="17"/>
  <c r="H33" i="17"/>
  <c r="G33" i="17"/>
  <c r="F33" i="17"/>
  <c r="E33" i="17"/>
  <c r="G32" i="17"/>
  <c r="F32" i="17"/>
  <c r="H32" i="17" s="1"/>
  <c r="E32" i="17"/>
  <c r="H31" i="17"/>
  <c r="G31" i="17"/>
  <c r="F31" i="17"/>
  <c r="E31" i="17"/>
  <c r="H30" i="17"/>
  <c r="G30" i="17"/>
  <c r="F30" i="17"/>
  <c r="E30" i="17"/>
  <c r="H29" i="17"/>
  <c r="G29" i="17"/>
  <c r="F29" i="17"/>
  <c r="E29" i="17"/>
  <c r="H28" i="17"/>
  <c r="F28" i="17"/>
  <c r="E28" i="17"/>
  <c r="G28" i="17" s="1"/>
  <c r="H27" i="17"/>
  <c r="G27" i="17"/>
  <c r="F27" i="17"/>
  <c r="E27" i="17"/>
  <c r="H26" i="17"/>
  <c r="G26" i="17"/>
  <c r="F26" i="17"/>
  <c r="E26" i="17"/>
  <c r="H25" i="17"/>
  <c r="G25" i="17"/>
  <c r="F25" i="17"/>
  <c r="E25" i="17"/>
  <c r="H24" i="17"/>
  <c r="G24" i="17"/>
  <c r="F24" i="17"/>
  <c r="E24" i="17"/>
  <c r="H23" i="17"/>
  <c r="H4" i="17" s="1"/>
  <c r="F4" i="17" s="1"/>
  <c r="G23" i="17"/>
  <c r="F23" i="17"/>
  <c r="E23" i="17"/>
  <c r="H22" i="17"/>
  <c r="G22" i="17"/>
  <c r="F22" i="17"/>
  <c r="E22" i="17"/>
  <c r="H21" i="17"/>
  <c r="G21" i="17"/>
  <c r="F21" i="17"/>
  <c r="E21" i="17"/>
  <c r="H20" i="17"/>
  <c r="G20" i="17"/>
  <c r="F20" i="17"/>
  <c r="E20" i="17"/>
  <c r="H19" i="17"/>
  <c r="F19" i="17"/>
  <c r="E19" i="17"/>
  <c r="G19" i="17" s="1"/>
  <c r="H18" i="17"/>
  <c r="G18" i="17"/>
  <c r="F18" i="17"/>
  <c r="E18" i="17"/>
  <c r="H17" i="17"/>
  <c r="G17" i="17"/>
  <c r="F17" i="17"/>
  <c r="E17" i="17"/>
  <c r="H16" i="17"/>
  <c r="G16" i="17"/>
  <c r="F16" i="17"/>
  <c r="E16" i="17"/>
  <c r="H15" i="17"/>
  <c r="G15" i="17"/>
  <c r="F15" i="17"/>
  <c r="E15" i="17"/>
  <c r="D4" i="17"/>
  <c r="C4" i="17"/>
  <c r="L420" i="16"/>
  <c r="M420" i="16" s="1"/>
  <c r="I420" i="16"/>
  <c r="N420" i="16" s="1"/>
  <c r="O420" i="16" s="1"/>
  <c r="E420" i="16"/>
  <c r="N419" i="16"/>
  <c r="L419" i="16"/>
  <c r="M419" i="16" s="1"/>
  <c r="Q419" i="16" s="1"/>
  <c r="I419" i="16"/>
  <c r="E419" i="16"/>
  <c r="N418" i="16"/>
  <c r="L418" i="16"/>
  <c r="M418" i="16" s="1"/>
  <c r="I418" i="16"/>
  <c r="E418" i="16"/>
  <c r="L417" i="16"/>
  <c r="M417" i="16" s="1"/>
  <c r="I417" i="16"/>
  <c r="N417" i="16" s="1"/>
  <c r="E417" i="16"/>
  <c r="P416" i="16"/>
  <c r="O416" i="16"/>
  <c r="M416" i="16"/>
  <c r="Q416" i="16" s="1"/>
  <c r="L416" i="16"/>
  <c r="I416" i="16"/>
  <c r="N416" i="16" s="1"/>
  <c r="E416" i="16"/>
  <c r="N415" i="16"/>
  <c r="L415" i="16"/>
  <c r="M415" i="16" s="1"/>
  <c r="I415" i="16"/>
  <c r="E415" i="16"/>
  <c r="P414" i="16"/>
  <c r="N414" i="16"/>
  <c r="R414" i="16" s="1"/>
  <c r="L414" i="16"/>
  <c r="M414" i="16" s="1"/>
  <c r="Q414" i="16" s="1"/>
  <c r="I414" i="16"/>
  <c r="E414" i="16"/>
  <c r="L413" i="16"/>
  <c r="M413" i="16" s="1"/>
  <c r="Q413" i="16" s="1"/>
  <c r="I413" i="16"/>
  <c r="N413" i="16" s="1"/>
  <c r="E413" i="16"/>
  <c r="O412" i="16"/>
  <c r="L412" i="16"/>
  <c r="I412" i="16"/>
  <c r="N412" i="16" s="1"/>
  <c r="P412" i="16" s="1"/>
  <c r="E412" i="16"/>
  <c r="L411" i="16"/>
  <c r="M411" i="16" s="1"/>
  <c r="I411" i="16"/>
  <c r="N411" i="16" s="1"/>
  <c r="E411" i="16"/>
  <c r="L410" i="16"/>
  <c r="M410" i="16" s="1"/>
  <c r="I410" i="16"/>
  <c r="N410" i="16" s="1"/>
  <c r="E410" i="16"/>
  <c r="Q409" i="16"/>
  <c r="P409" i="16"/>
  <c r="N409" i="16"/>
  <c r="M409" i="16"/>
  <c r="L409" i="16"/>
  <c r="I409" i="16"/>
  <c r="E409" i="16"/>
  <c r="P408" i="16"/>
  <c r="L408" i="16"/>
  <c r="M408" i="16" s="1"/>
  <c r="Q408" i="16" s="1"/>
  <c r="I408" i="16"/>
  <c r="N408" i="16" s="1"/>
  <c r="R408" i="16" s="1"/>
  <c r="E408" i="16"/>
  <c r="L407" i="16"/>
  <c r="M407" i="16" s="1"/>
  <c r="I407" i="16"/>
  <c r="N407" i="16" s="1"/>
  <c r="E407" i="16"/>
  <c r="M406" i="16"/>
  <c r="L406" i="16"/>
  <c r="I406" i="16"/>
  <c r="N406" i="16" s="1"/>
  <c r="E406" i="16"/>
  <c r="O405" i="16"/>
  <c r="N405" i="16"/>
  <c r="L405" i="16"/>
  <c r="M405" i="16" s="1"/>
  <c r="Q405" i="16" s="1"/>
  <c r="I405" i="16"/>
  <c r="E405" i="16"/>
  <c r="P404" i="16"/>
  <c r="L404" i="16"/>
  <c r="M404" i="16" s="1"/>
  <c r="I404" i="16"/>
  <c r="N404" i="16" s="1"/>
  <c r="E404" i="16"/>
  <c r="M403" i="16"/>
  <c r="L403" i="16"/>
  <c r="I403" i="16"/>
  <c r="N403" i="16" s="1"/>
  <c r="E403" i="16"/>
  <c r="P402" i="16"/>
  <c r="O402" i="16"/>
  <c r="L402" i="16"/>
  <c r="M402" i="16" s="1"/>
  <c r="I402" i="16"/>
  <c r="N402" i="16" s="1"/>
  <c r="Q402" i="16" s="1"/>
  <c r="E402" i="16"/>
  <c r="L401" i="16"/>
  <c r="M401" i="16" s="1"/>
  <c r="I401" i="16"/>
  <c r="N401" i="16" s="1"/>
  <c r="E401" i="16"/>
  <c r="O400" i="16"/>
  <c r="M400" i="16"/>
  <c r="L400" i="16"/>
  <c r="I400" i="16"/>
  <c r="N400" i="16" s="1"/>
  <c r="Q400" i="16" s="1"/>
  <c r="E400" i="16"/>
  <c r="N399" i="16"/>
  <c r="L399" i="16"/>
  <c r="M399" i="16" s="1"/>
  <c r="I399" i="16"/>
  <c r="E399" i="16"/>
  <c r="O398" i="16"/>
  <c r="N398" i="16"/>
  <c r="M398" i="16"/>
  <c r="Q398" i="16" s="1"/>
  <c r="L398" i="16"/>
  <c r="I398" i="16"/>
  <c r="E398" i="16"/>
  <c r="N397" i="16"/>
  <c r="L397" i="16"/>
  <c r="M397" i="16" s="1"/>
  <c r="I397" i="16"/>
  <c r="E397" i="16"/>
  <c r="P396" i="16"/>
  <c r="O396" i="16"/>
  <c r="L396" i="16"/>
  <c r="M396" i="16" s="1"/>
  <c r="I396" i="16"/>
  <c r="N396" i="16" s="1"/>
  <c r="E396" i="16"/>
  <c r="L395" i="16"/>
  <c r="M395" i="16" s="1"/>
  <c r="I395" i="16"/>
  <c r="N395" i="16" s="1"/>
  <c r="E395" i="16"/>
  <c r="R394" i="16"/>
  <c r="Q394" i="16"/>
  <c r="S394" i="16" s="1"/>
  <c r="T394" i="16" s="1"/>
  <c r="N394" i="16"/>
  <c r="P394" i="16" s="1"/>
  <c r="M394" i="16"/>
  <c r="L394" i="16"/>
  <c r="I394" i="16"/>
  <c r="E394" i="16"/>
  <c r="N393" i="16"/>
  <c r="L393" i="16"/>
  <c r="M393" i="16" s="1"/>
  <c r="I393" i="16"/>
  <c r="E393" i="16"/>
  <c r="O392" i="16"/>
  <c r="L392" i="16"/>
  <c r="M392" i="16" s="1"/>
  <c r="I392" i="16"/>
  <c r="N392" i="16" s="1"/>
  <c r="E392" i="16"/>
  <c r="S391" i="16"/>
  <c r="Q391" i="16"/>
  <c r="P391" i="16"/>
  <c r="N391" i="16"/>
  <c r="R391" i="16" s="1"/>
  <c r="T391" i="16" s="1"/>
  <c r="M391" i="16"/>
  <c r="L391" i="16"/>
  <c r="I391" i="16"/>
  <c r="E391" i="16"/>
  <c r="P390" i="16"/>
  <c r="O390" i="16"/>
  <c r="N390" i="16"/>
  <c r="Q390" i="16" s="1"/>
  <c r="M390" i="16"/>
  <c r="L390" i="16"/>
  <c r="I390" i="16"/>
  <c r="E390" i="16"/>
  <c r="M389" i="16"/>
  <c r="L389" i="16"/>
  <c r="I389" i="16"/>
  <c r="N389" i="16" s="1"/>
  <c r="E389" i="16"/>
  <c r="R388" i="16"/>
  <c r="Q388" i="16"/>
  <c r="S388" i="16" s="1"/>
  <c r="T388" i="16" s="1"/>
  <c r="L388" i="16"/>
  <c r="M388" i="16" s="1"/>
  <c r="I388" i="16"/>
  <c r="N388" i="16" s="1"/>
  <c r="O388" i="16" s="1"/>
  <c r="E388" i="16"/>
  <c r="P387" i="16"/>
  <c r="N387" i="16"/>
  <c r="Q387" i="16" s="1"/>
  <c r="M387" i="16"/>
  <c r="L387" i="16"/>
  <c r="I387" i="16"/>
  <c r="E387" i="16"/>
  <c r="M386" i="16"/>
  <c r="L386" i="16"/>
  <c r="I386" i="16"/>
  <c r="N386" i="16" s="1"/>
  <c r="E386" i="16"/>
  <c r="O385" i="16"/>
  <c r="N385" i="16"/>
  <c r="L385" i="16"/>
  <c r="M385" i="16" s="1"/>
  <c r="I385" i="16"/>
  <c r="E385" i="16"/>
  <c r="P384" i="16"/>
  <c r="O384" i="16"/>
  <c r="M384" i="16"/>
  <c r="Q384" i="16" s="1"/>
  <c r="L384" i="16"/>
  <c r="I384" i="16"/>
  <c r="N384" i="16" s="1"/>
  <c r="E384" i="16"/>
  <c r="M383" i="16"/>
  <c r="L383" i="16"/>
  <c r="I383" i="16"/>
  <c r="N383" i="16" s="1"/>
  <c r="E383" i="16"/>
  <c r="L382" i="16"/>
  <c r="M382" i="16" s="1"/>
  <c r="I382" i="16"/>
  <c r="N382" i="16" s="1"/>
  <c r="E382" i="16"/>
  <c r="L381" i="16"/>
  <c r="M381" i="16" s="1"/>
  <c r="I381" i="16"/>
  <c r="N381" i="16" s="1"/>
  <c r="E381" i="16"/>
  <c r="M380" i="16"/>
  <c r="L380" i="16"/>
  <c r="I380" i="16"/>
  <c r="N380" i="16" s="1"/>
  <c r="E380" i="16"/>
  <c r="O379" i="16"/>
  <c r="N379" i="16"/>
  <c r="P379" i="16" s="1"/>
  <c r="L379" i="16"/>
  <c r="M379" i="16" s="1"/>
  <c r="Q379" i="16" s="1"/>
  <c r="I379" i="16"/>
  <c r="E379" i="16"/>
  <c r="N378" i="16"/>
  <c r="L378" i="16"/>
  <c r="M378" i="16" s="1"/>
  <c r="I378" i="16"/>
  <c r="E378" i="16"/>
  <c r="Q377" i="16"/>
  <c r="P377" i="16"/>
  <c r="O377" i="16"/>
  <c r="N377" i="16"/>
  <c r="M377" i="16"/>
  <c r="L377" i="16"/>
  <c r="I377" i="16"/>
  <c r="E377" i="16"/>
  <c r="R376" i="16"/>
  <c r="S376" i="16" s="1"/>
  <c r="P376" i="16"/>
  <c r="O376" i="16"/>
  <c r="N376" i="16"/>
  <c r="M376" i="16"/>
  <c r="L376" i="16"/>
  <c r="Q376" i="16" s="1"/>
  <c r="I376" i="16"/>
  <c r="E376" i="16"/>
  <c r="P375" i="16"/>
  <c r="O375" i="16"/>
  <c r="N375" i="16"/>
  <c r="L375" i="16"/>
  <c r="I375" i="16"/>
  <c r="E375" i="16"/>
  <c r="O374" i="16"/>
  <c r="N374" i="16"/>
  <c r="M374" i="16"/>
  <c r="L374" i="16"/>
  <c r="I374" i="16"/>
  <c r="E374" i="16"/>
  <c r="N373" i="16"/>
  <c r="M373" i="16"/>
  <c r="L373" i="16"/>
  <c r="I373" i="16"/>
  <c r="E373" i="16"/>
  <c r="P372" i="16"/>
  <c r="O372" i="16"/>
  <c r="N372" i="16"/>
  <c r="M372" i="16"/>
  <c r="Q372" i="16" s="1"/>
  <c r="L372" i="16"/>
  <c r="I372" i="16"/>
  <c r="E372" i="16"/>
  <c r="P371" i="16"/>
  <c r="N371" i="16"/>
  <c r="O371" i="16" s="1"/>
  <c r="L371" i="16"/>
  <c r="I371" i="16"/>
  <c r="E371" i="16"/>
  <c r="Q370" i="16"/>
  <c r="N370" i="16"/>
  <c r="L370" i="16"/>
  <c r="M370" i="16" s="1"/>
  <c r="I370" i="16"/>
  <c r="E370" i="16"/>
  <c r="P369" i="16"/>
  <c r="O369" i="16"/>
  <c r="N369" i="16"/>
  <c r="L369" i="16"/>
  <c r="M369" i="16" s="1"/>
  <c r="Q369" i="16" s="1"/>
  <c r="I369" i="16"/>
  <c r="E369" i="16"/>
  <c r="P368" i="16"/>
  <c r="O368" i="16"/>
  <c r="N368" i="16"/>
  <c r="M368" i="16"/>
  <c r="Q368" i="16" s="1"/>
  <c r="L368" i="16"/>
  <c r="I368" i="16"/>
  <c r="E368" i="16"/>
  <c r="P367" i="16"/>
  <c r="O367" i="16"/>
  <c r="N367" i="16"/>
  <c r="M367" i="16"/>
  <c r="L367" i="16"/>
  <c r="Q367" i="16" s="1"/>
  <c r="I367" i="16"/>
  <c r="E367" i="16"/>
  <c r="P366" i="16"/>
  <c r="O366" i="16"/>
  <c r="N366" i="16"/>
  <c r="L366" i="16"/>
  <c r="I366" i="16"/>
  <c r="E366" i="16"/>
  <c r="N365" i="16"/>
  <c r="L365" i="16"/>
  <c r="M365" i="16" s="1"/>
  <c r="I365" i="16"/>
  <c r="E365" i="16"/>
  <c r="Q364" i="16"/>
  <c r="P364" i="16"/>
  <c r="O364" i="16"/>
  <c r="N364" i="16"/>
  <c r="M364" i="16"/>
  <c r="L364" i="16"/>
  <c r="I364" i="16"/>
  <c r="E364" i="16"/>
  <c r="O363" i="16"/>
  <c r="N363" i="16"/>
  <c r="L363" i="16"/>
  <c r="M363" i="16" s="1"/>
  <c r="I363" i="16"/>
  <c r="E363" i="16"/>
  <c r="P362" i="16"/>
  <c r="O362" i="16"/>
  <c r="N362" i="16"/>
  <c r="L362" i="16"/>
  <c r="I362" i="16"/>
  <c r="E362" i="16"/>
  <c r="Q361" i="16"/>
  <c r="O361" i="16"/>
  <c r="N361" i="16"/>
  <c r="M361" i="16"/>
  <c r="L361" i="16"/>
  <c r="I361" i="16"/>
  <c r="E361" i="16"/>
  <c r="P360" i="16"/>
  <c r="O360" i="16"/>
  <c r="N360" i="16"/>
  <c r="L360" i="16"/>
  <c r="I360" i="16"/>
  <c r="E360" i="16"/>
  <c r="O359" i="16"/>
  <c r="N359" i="16"/>
  <c r="M359" i="16"/>
  <c r="L359" i="16"/>
  <c r="I359" i="16"/>
  <c r="E359" i="16"/>
  <c r="Q358" i="16"/>
  <c r="O358" i="16"/>
  <c r="N358" i="16"/>
  <c r="P358" i="16" s="1"/>
  <c r="M358" i="16"/>
  <c r="L358" i="16"/>
  <c r="I358" i="16"/>
  <c r="E358" i="16"/>
  <c r="P357" i="16"/>
  <c r="O357" i="16"/>
  <c r="N357" i="16"/>
  <c r="M357" i="16"/>
  <c r="L357" i="16"/>
  <c r="I357" i="16"/>
  <c r="E357" i="16"/>
  <c r="P356" i="16"/>
  <c r="O356" i="16"/>
  <c r="N356" i="16"/>
  <c r="L356" i="16"/>
  <c r="I356" i="16"/>
  <c r="E356" i="16"/>
  <c r="N355" i="16"/>
  <c r="M355" i="16"/>
  <c r="L355" i="16"/>
  <c r="I355" i="16"/>
  <c r="E355" i="16"/>
  <c r="P354" i="16"/>
  <c r="O354" i="16"/>
  <c r="N354" i="16"/>
  <c r="M354" i="16"/>
  <c r="L354" i="16"/>
  <c r="I354" i="16"/>
  <c r="E354" i="16"/>
  <c r="O353" i="16"/>
  <c r="N353" i="16"/>
  <c r="M353" i="16"/>
  <c r="Q353" i="16" s="1"/>
  <c r="L353" i="16"/>
  <c r="I353" i="16"/>
  <c r="E353" i="16"/>
  <c r="P352" i="16"/>
  <c r="O352" i="16"/>
  <c r="N352" i="16"/>
  <c r="L352" i="16"/>
  <c r="I352" i="16"/>
  <c r="E352" i="16"/>
  <c r="Q351" i="16"/>
  <c r="P351" i="16"/>
  <c r="O351" i="16"/>
  <c r="N351" i="16"/>
  <c r="L351" i="16"/>
  <c r="M351" i="16" s="1"/>
  <c r="I351" i="16"/>
  <c r="E351" i="16"/>
  <c r="N350" i="16"/>
  <c r="M350" i="16"/>
  <c r="L350" i="16"/>
  <c r="I350" i="16"/>
  <c r="E350" i="16"/>
  <c r="O349" i="16"/>
  <c r="N349" i="16"/>
  <c r="M349" i="16"/>
  <c r="Q349" i="16" s="1"/>
  <c r="L349" i="16"/>
  <c r="I349" i="16"/>
  <c r="E349" i="16"/>
  <c r="P348" i="16"/>
  <c r="O348" i="16"/>
  <c r="N348" i="16"/>
  <c r="M348" i="16"/>
  <c r="L348" i="16"/>
  <c r="I348" i="16"/>
  <c r="E348" i="16"/>
  <c r="P347" i="16"/>
  <c r="O347" i="16"/>
  <c r="N347" i="16"/>
  <c r="Q347" i="16" s="1"/>
  <c r="L347" i="16"/>
  <c r="M347" i="16" s="1"/>
  <c r="I347" i="16"/>
  <c r="E347" i="16"/>
  <c r="O346" i="16"/>
  <c r="N346" i="16"/>
  <c r="R346" i="16" s="1"/>
  <c r="M346" i="16"/>
  <c r="Q346" i="16" s="1"/>
  <c r="L346" i="16"/>
  <c r="I346" i="16"/>
  <c r="E346" i="16"/>
  <c r="O345" i="16"/>
  <c r="N345" i="16"/>
  <c r="M345" i="16"/>
  <c r="L345" i="16"/>
  <c r="I345" i="16"/>
  <c r="E345" i="16"/>
  <c r="P344" i="16"/>
  <c r="O344" i="16"/>
  <c r="N344" i="16"/>
  <c r="M344" i="16"/>
  <c r="Q344" i="16" s="1"/>
  <c r="L344" i="16"/>
  <c r="I344" i="16"/>
  <c r="E344" i="16"/>
  <c r="Q343" i="16"/>
  <c r="P343" i="16"/>
  <c r="O343" i="16"/>
  <c r="N343" i="16"/>
  <c r="M343" i="16"/>
  <c r="L343" i="16"/>
  <c r="I343" i="16"/>
  <c r="E343" i="16"/>
  <c r="O342" i="16"/>
  <c r="N342" i="16"/>
  <c r="P342" i="16" s="1"/>
  <c r="M342" i="16"/>
  <c r="Q342" i="16" s="1"/>
  <c r="L342" i="16"/>
  <c r="I342" i="16"/>
  <c r="E342" i="16"/>
  <c r="P341" i="16"/>
  <c r="O341" i="16"/>
  <c r="N341" i="16"/>
  <c r="L341" i="16"/>
  <c r="I341" i="16"/>
  <c r="E341" i="16"/>
  <c r="P340" i="16"/>
  <c r="O340" i="16"/>
  <c r="N340" i="16"/>
  <c r="L340" i="16"/>
  <c r="I340" i="16"/>
  <c r="E340" i="16"/>
  <c r="T339" i="16"/>
  <c r="O339" i="16"/>
  <c r="N339" i="16"/>
  <c r="R339" i="16" s="1"/>
  <c r="M339" i="16"/>
  <c r="Q339" i="16" s="1"/>
  <c r="L339" i="16"/>
  <c r="I339" i="16"/>
  <c r="E339" i="16"/>
  <c r="Q338" i="16"/>
  <c r="T338" i="16" s="1"/>
  <c r="P338" i="16"/>
  <c r="O338" i="16"/>
  <c r="N338" i="16"/>
  <c r="M338" i="16"/>
  <c r="L338" i="16"/>
  <c r="R338" i="16" s="1"/>
  <c r="I338" i="16"/>
  <c r="E338" i="16"/>
  <c r="N337" i="16"/>
  <c r="M337" i="16"/>
  <c r="L337" i="16"/>
  <c r="I337" i="16"/>
  <c r="E337" i="16"/>
  <c r="O336" i="16"/>
  <c r="L336" i="16"/>
  <c r="M336" i="16" s="1"/>
  <c r="I336" i="16"/>
  <c r="N336" i="16" s="1"/>
  <c r="E336" i="16"/>
  <c r="Q335" i="16"/>
  <c r="P335" i="16"/>
  <c r="M335" i="16"/>
  <c r="L335" i="16"/>
  <c r="I335" i="16"/>
  <c r="N335" i="16" s="1"/>
  <c r="E335" i="16"/>
  <c r="L334" i="16"/>
  <c r="M334" i="16" s="1"/>
  <c r="I334" i="16"/>
  <c r="N334" i="16" s="1"/>
  <c r="E334" i="16"/>
  <c r="Q333" i="16"/>
  <c r="N333" i="16"/>
  <c r="L333" i="16"/>
  <c r="M333" i="16" s="1"/>
  <c r="I333" i="16"/>
  <c r="E333" i="16"/>
  <c r="P332" i="16"/>
  <c r="O332" i="16"/>
  <c r="M332" i="16"/>
  <c r="Q332" i="16" s="1"/>
  <c r="L332" i="16"/>
  <c r="I332" i="16"/>
  <c r="N332" i="16" s="1"/>
  <c r="E332" i="16"/>
  <c r="L331" i="16"/>
  <c r="M331" i="16" s="1"/>
  <c r="I331" i="16"/>
  <c r="N331" i="16" s="1"/>
  <c r="E331" i="16"/>
  <c r="M330" i="16"/>
  <c r="L330" i="16"/>
  <c r="I330" i="16"/>
  <c r="N330" i="16" s="1"/>
  <c r="E330" i="16"/>
  <c r="O329" i="16"/>
  <c r="L329" i="16"/>
  <c r="M329" i="16" s="1"/>
  <c r="I329" i="16"/>
  <c r="N329" i="16" s="1"/>
  <c r="E329" i="16"/>
  <c r="L328" i="16"/>
  <c r="M328" i="16" s="1"/>
  <c r="I328" i="16"/>
  <c r="N328" i="16" s="1"/>
  <c r="E328" i="16"/>
  <c r="M327" i="16"/>
  <c r="L327" i="16"/>
  <c r="I327" i="16"/>
  <c r="N327" i="16" s="1"/>
  <c r="E327" i="16"/>
  <c r="M326" i="16"/>
  <c r="L326" i="16"/>
  <c r="I326" i="16"/>
  <c r="N326" i="16" s="1"/>
  <c r="E326" i="16"/>
  <c r="Q325" i="16"/>
  <c r="P325" i="16"/>
  <c r="N325" i="16"/>
  <c r="M325" i="16"/>
  <c r="L325" i="16"/>
  <c r="I325" i="16"/>
  <c r="E325" i="16"/>
  <c r="L324" i="16"/>
  <c r="M324" i="16" s="1"/>
  <c r="I324" i="16"/>
  <c r="N324" i="16" s="1"/>
  <c r="Q324" i="16" s="1"/>
  <c r="E324" i="16"/>
  <c r="P323" i="16"/>
  <c r="N323" i="16"/>
  <c r="L323" i="16"/>
  <c r="M323" i="16" s="1"/>
  <c r="I323" i="16"/>
  <c r="E323" i="16"/>
  <c r="M322" i="16"/>
  <c r="L322" i="16"/>
  <c r="I322" i="16"/>
  <c r="N322" i="16" s="1"/>
  <c r="E322" i="16"/>
  <c r="P321" i="16"/>
  <c r="O321" i="16"/>
  <c r="N321" i="16"/>
  <c r="M321" i="16"/>
  <c r="L321" i="16"/>
  <c r="I321" i="16"/>
  <c r="E321" i="16"/>
  <c r="P320" i="16"/>
  <c r="O320" i="16"/>
  <c r="M320" i="16"/>
  <c r="L320" i="16"/>
  <c r="I320" i="16"/>
  <c r="N320" i="16" s="1"/>
  <c r="E320" i="16"/>
  <c r="P319" i="16"/>
  <c r="O319" i="16"/>
  <c r="N319" i="16"/>
  <c r="L319" i="16"/>
  <c r="M319" i="16" s="1"/>
  <c r="I319" i="16"/>
  <c r="E319" i="16"/>
  <c r="Q318" i="16"/>
  <c r="O318" i="16"/>
  <c r="N318" i="16"/>
  <c r="P318" i="16" s="1"/>
  <c r="L318" i="16"/>
  <c r="M318" i="16" s="1"/>
  <c r="I318" i="16"/>
  <c r="E318" i="16"/>
  <c r="L317" i="16"/>
  <c r="M317" i="16" s="1"/>
  <c r="I317" i="16"/>
  <c r="N317" i="16" s="1"/>
  <c r="E317" i="16"/>
  <c r="Q316" i="16"/>
  <c r="P316" i="16"/>
  <c r="O316" i="16"/>
  <c r="L316" i="16"/>
  <c r="M316" i="16" s="1"/>
  <c r="I316" i="16"/>
  <c r="N316" i="16" s="1"/>
  <c r="E316" i="16"/>
  <c r="M315" i="16"/>
  <c r="L315" i="16"/>
  <c r="I315" i="16"/>
  <c r="N315" i="16" s="1"/>
  <c r="E315" i="16"/>
  <c r="P314" i="16"/>
  <c r="O314" i="16"/>
  <c r="N314" i="16"/>
  <c r="M314" i="16"/>
  <c r="L314" i="16"/>
  <c r="Q314" i="16" s="1"/>
  <c r="I314" i="16"/>
  <c r="E314" i="16"/>
  <c r="P313" i="16"/>
  <c r="N313" i="16"/>
  <c r="L313" i="16"/>
  <c r="M313" i="16" s="1"/>
  <c r="I313" i="16"/>
  <c r="E313" i="16"/>
  <c r="Q312" i="16"/>
  <c r="P312" i="16"/>
  <c r="L312" i="16"/>
  <c r="M312" i="16" s="1"/>
  <c r="I312" i="16"/>
  <c r="N312" i="16" s="1"/>
  <c r="E312" i="16"/>
  <c r="N311" i="16"/>
  <c r="L311" i="16"/>
  <c r="M311" i="16" s="1"/>
  <c r="I311" i="16"/>
  <c r="E311" i="16"/>
  <c r="M310" i="16"/>
  <c r="L310" i="16"/>
  <c r="I310" i="16"/>
  <c r="N310" i="16" s="1"/>
  <c r="E310" i="16"/>
  <c r="P309" i="16"/>
  <c r="L309" i="16"/>
  <c r="M309" i="16" s="1"/>
  <c r="Q309" i="16" s="1"/>
  <c r="I309" i="16"/>
  <c r="N309" i="16" s="1"/>
  <c r="E309" i="16"/>
  <c r="M308" i="16"/>
  <c r="L308" i="16"/>
  <c r="I308" i="16"/>
  <c r="N308" i="16" s="1"/>
  <c r="E308" i="16"/>
  <c r="P307" i="16"/>
  <c r="O307" i="16"/>
  <c r="N307" i="16"/>
  <c r="Q307" i="16" s="1"/>
  <c r="M307" i="16"/>
  <c r="L307" i="16"/>
  <c r="I307" i="16"/>
  <c r="E307" i="16"/>
  <c r="S306" i="16"/>
  <c r="R306" i="16"/>
  <c r="P306" i="16"/>
  <c r="O306" i="16"/>
  <c r="N306" i="16"/>
  <c r="Q306" i="16" s="1"/>
  <c r="T306" i="16" s="1"/>
  <c r="L306" i="16"/>
  <c r="M306" i="16" s="1"/>
  <c r="I306" i="16"/>
  <c r="E306" i="16"/>
  <c r="M305" i="16"/>
  <c r="L305" i="16"/>
  <c r="I305" i="16"/>
  <c r="N305" i="16" s="1"/>
  <c r="E305" i="16"/>
  <c r="N304" i="16"/>
  <c r="P304" i="16" s="1"/>
  <c r="L304" i="16"/>
  <c r="M304" i="16" s="1"/>
  <c r="I304" i="16"/>
  <c r="E304" i="16"/>
  <c r="M303" i="16"/>
  <c r="L303" i="16"/>
  <c r="I303" i="16"/>
  <c r="N303" i="16" s="1"/>
  <c r="E303" i="16"/>
  <c r="P302" i="16"/>
  <c r="N302" i="16"/>
  <c r="O302" i="16" s="1"/>
  <c r="L302" i="16"/>
  <c r="M302" i="16" s="1"/>
  <c r="Q302" i="16" s="1"/>
  <c r="I302" i="16"/>
  <c r="E302" i="16"/>
  <c r="Q301" i="16"/>
  <c r="O301" i="16"/>
  <c r="N301" i="16"/>
  <c r="P301" i="16" s="1"/>
  <c r="M301" i="16"/>
  <c r="L301" i="16"/>
  <c r="I301" i="16"/>
  <c r="E301" i="16"/>
  <c r="O300" i="16"/>
  <c r="N300" i="16"/>
  <c r="L300" i="16"/>
  <c r="M300" i="16" s="1"/>
  <c r="I300" i="16"/>
  <c r="E300" i="16"/>
  <c r="P299" i="16"/>
  <c r="O299" i="16"/>
  <c r="N299" i="16"/>
  <c r="Q299" i="16" s="1"/>
  <c r="M299" i="16"/>
  <c r="L299" i="16"/>
  <c r="I299" i="16"/>
  <c r="E299" i="16"/>
  <c r="R298" i="16"/>
  <c r="Q298" i="16"/>
  <c r="P298" i="16"/>
  <c r="O298" i="16"/>
  <c r="N298" i="16"/>
  <c r="L298" i="16"/>
  <c r="M298" i="16" s="1"/>
  <c r="I298" i="16"/>
  <c r="E298" i="16"/>
  <c r="M297" i="16"/>
  <c r="L297" i="16"/>
  <c r="I297" i="16"/>
  <c r="N297" i="16" s="1"/>
  <c r="E297" i="16"/>
  <c r="L296" i="16"/>
  <c r="M296" i="16" s="1"/>
  <c r="I296" i="16"/>
  <c r="N296" i="16" s="1"/>
  <c r="E296" i="16"/>
  <c r="N295" i="16"/>
  <c r="M295" i="16"/>
  <c r="L295" i="16"/>
  <c r="I295" i="16"/>
  <c r="E295" i="16"/>
  <c r="P294" i="16"/>
  <c r="O294" i="16"/>
  <c r="N294" i="16"/>
  <c r="L294" i="16"/>
  <c r="I294" i="16"/>
  <c r="E294" i="16"/>
  <c r="Q293" i="16"/>
  <c r="P293" i="16"/>
  <c r="O293" i="16"/>
  <c r="N293" i="16"/>
  <c r="M293" i="16"/>
  <c r="L293" i="16"/>
  <c r="I293" i="16"/>
  <c r="E293" i="16"/>
  <c r="N292" i="16"/>
  <c r="L292" i="16"/>
  <c r="M292" i="16" s="1"/>
  <c r="I292" i="16"/>
  <c r="E292" i="16"/>
  <c r="Q291" i="16"/>
  <c r="P291" i="16"/>
  <c r="O291" i="16"/>
  <c r="N291" i="16"/>
  <c r="R291" i="16" s="1"/>
  <c r="M291" i="16"/>
  <c r="L291" i="16"/>
  <c r="I291" i="16"/>
  <c r="E291" i="16"/>
  <c r="Q290" i="16"/>
  <c r="P290" i="16"/>
  <c r="N290" i="16"/>
  <c r="O290" i="16" s="1"/>
  <c r="M290" i="16"/>
  <c r="L290" i="16"/>
  <c r="I290" i="16"/>
  <c r="E290" i="16"/>
  <c r="O289" i="16"/>
  <c r="N289" i="16"/>
  <c r="P289" i="16" s="1"/>
  <c r="L289" i="16"/>
  <c r="M289" i="16" s="1"/>
  <c r="I289" i="16"/>
  <c r="E289" i="16"/>
  <c r="Q288" i="16"/>
  <c r="N288" i="16"/>
  <c r="P288" i="16" s="1"/>
  <c r="M288" i="16"/>
  <c r="L288" i="16"/>
  <c r="I288" i="16"/>
  <c r="E288" i="16"/>
  <c r="P287" i="16"/>
  <c r="O287" i="16"/>
  <c r="N287" i="16"/>
  <c r="Q287" i="16" s="1"/>
  <c r="M287" i="16"/>
  <c r="L287" i="16"/>
  <c r="I287" i="16"/>
  <c r="E287" i="16"/>
  <c r="P286" i="16"/>
  <c r="O286" i="16"/>
  <c r="N286" i="16"/>
  <c r="L286" i="16"/>
  <c r="M286" i="16" s="1"/>
  <c r="I286" i="16"/>
  <c r="E286" i="16"/>
  <c r="P285" i="16"/>
  <c r="O285" i="16"/>
  <c r="N285" i="16"/>
  <c r="M285" i="16"/>
  <c r="L285" i="16"/>
  <c r="Q285" i="16" s="1"/>
  <c r="I285" i="16"/>
  <c r="E285" i="16"/>
  <c r="N284" i="16"/>
  <c r="M284" i="16"/>
  <c r="L284" i="16"/>
  <c r="I284" i="16"/>
  <c r="E284" i="16"/>
  <c r="O283" i="16"/>
  <c r="N283" i="16"/>
  <c r="M283" i="16"/>
  <c r="L283" i="16"/>
  <c r="I283" i="16"/>
  <c r="E283" i="16"/>
  <c r="P282" i="16"/>
  <c r="N282" i="16"/>
  <c r="Q282" i="16" s="1"/>
  <c r="M282" i="16"/>
  <c r="L282" i="16"/>
  <c r="I282" i="16"/>
  <c r="E282" i="16"/>
  <c r="R281" i="16"/>
  <c r="P281" i="16"/>
  <c r="O281" i="16"/>
  <c r="N281" i="16"/>
  <c r="Q281" i="16" s="1"/>
  <c r="M281" i="16"/>
  <c r="L281" i="16"/>
  <c r="I281" i="16"/>
  <c r="E281" i="16"/>
  <c r="M280" i="16"/>
  <c r="L280" i="16"/>
  <c r="I280" i="16"/>
  <c r="N280" i="16" s="1"/>
  <c r="E280" i="16"/>
  <c r="M279" i="16"/>
  <c r="L279" i="16"/>
  <c r="I279" i="16"/>
  <c r="N279" i="16" s="1"/>
  <c r="E279" i="16"/>
  <c r="L278" i="16"/>
  <c r="M278" i="16" s="1"/>
  <c r="I278" i="16"/>
  <c r="N278" i="16" s="1"/>
  <c r="E278" i="16"/>
  <c r="L277" i="16"/>
  <c r="M277" i="16" s="1"/>
  <c r="I277" i="16"/>
  <c r="N277" i="16" s="1"/>
  <c r="E277" i="16"/>
  <c r="L276" i="16"/>
  <c r="M276" i="16" s="1"/>
  <c r="I276" i="16"/>
  <c r="N276" i="16" s="1"/>
  <c r="E276" i="16"/>
  <c r="M275" i="16"/>
  <c r="L275" i="16"/>
  <c r="I275" i="16"/>
  <c r="N275" i="16" s="1"/>
  <c r="E275" i="16"/>
  <c r="N274" i="16"/>
  <c r="L274" i="16"/>
  <c r="M274" i="16" s="1"/>
  <c r="I274" i="16"/>
  <c r="E274" i="16"/>
  <c r="M273" i="16"/>
  <c r="L273" i="16"/>
  <c r="I273" i="16"/>
  <c r="N273" i="16" s="1"/>
  <c r="E273" i="16"/>
  <c r="M272" i="16"/>
  <c r="L272" i="16"/>
  <c r="I272" i="16"/>
  <c r="N272" i="16" s="1"/>
  <c r="E272" i="16"/>
  <c r="P271" i="16"/>
  <c r="N271" i="16"/>
  <c r="O271" i="16" s="1"/>
  <c r="M271" i="16"/>
  <c r="L271" i="16"/>
  <c r="I271" i="16"/>
  <c r="E271" i="16"/>
  <c r="M270" i="16"/>
  <c r="L270" i="16"/>
  <c r="I270" i="16"/>
  <c r="N270" i="16" s="1"/>
  <c r="E270" i="16"/>
  <c r="O269" i="16"/>
  <c r="N269" i="16"/>
  <c r="Q269" i="16" s="1"/>
  <c r="M269" i="16"/>
  <c r="L269" i="16"/>
  <c r="I269" i="16"/>
  <c r="E269" i="16"/>
  <c r="N268" i="16"/>
  <c r="M268" i="16"/>
  <c r="L268" i="16"/>
  <c r="I268" i="16"/>
  <c r="E268" i="16"/>
  <c r="P267" i="16"/>
  <c r="M267" i="16"/>
  <c r="L267" i="16"/>
  <c r="I267" i="16"/>
  <c r="N267" i="16" s="1"/>
  <c r="E267" i="16"/>
  <c r="L266" i="16"/>
  <c r="M266" i="16" s="1"/>
  <c r="I266" i="16"/>
  <c r="N266" i="16" s="1"/>
  <c r="E266" i="16"/>
  <c r="R265" i="16"/>
  <c r="Q265" i="16"/>
  <c r="M265" i="16"/>
  <c r="L265" i="16"/>
  <c r="I265" i="16"/>
  <c r="N265" i="16" s="1"/>
  <c r="E265" i="16"/>
  <c r="O264" i="16"/>
  <c r="N264" i="16"/>
  <c r="P264" i="16" s="1"/>
  <c r="L264" i="16"/>
  <c r="M264" i="16" s="1"/>
  <c r="I264" i="16"/>
  <c r="E264" i="16"/>
  <c r="M263" i="16"/>
  <c r="L263" i="16"/>
  <c r="I263" i="16"/>
  <c r="N263" i="16" s="1"/>
  <c r="E263" i="16"/>
  <c r="P262" i="16"/>
  <c r="N262" i="16"/>
  <c r="M262" i="16"/>
  <c r="L262" i="16"/>
  <c r="I262" i="16"/>
  <c r="E262" i="16"/>
  <c r="M261" i="16"/>
  <c r="L261" i="16"/>
  <c r="I261" i="16"/>
  <c r="N261" i="16" s="1"/>
  <c r="Q261" i="16" s="1"/>
  <c r="E261" i="16"/>
  <c r="M260" i="16"/>
  <c r="Q260" i="16" s="1"/>
  <c r="L260" i="16"/>
  <c r="I260" i="16"/>
  <c r="N260" i="16" s="1"/>
  <c r="E260" i="16"/>
  <c r="M259" i="16"/>
  <c r="L259" i="16"/>
  <c r="I259" i="16"/>
  <c r="N259" i="16" s="1"/>
  <c r="E259" i="16"/>
  <c r="N258" i="16"/>
  <c r="Q258" i="16" s="1"/>
  <c r="L258" i="16"/>
  <c r="M258" i="16" s="1"/>
  <c r="I258" i="16"/>
  <c r="E258" i="16"/>
  <c r="P257" i="16"/>
  <c r="O257" i="16"/>
  <c r="N257" i="16"/>
  <c r="M257" i="16"/>
  <c r="L257" i="16"/>
  <c r="I257" i="16"/>
  <c r="E257" i="16"/>
  <c r="M256" i="16"/>
  <c r="L256" i="16"/>
  <c r="I256" i="16"/>
  <c r="N256" i="16" s="1"/>
  <c r="E256" i="16"/>
  <c r="P255" i="16"/>
  <c r="N255" i="16"/>
  <c r="M255" i="16"/>
  <c r="L255" i="16"/>
  <c r="I255" i="16"/>
  <c r="E255" i="16"/>
  <c r="R254" i="16"/>
  <c r="Q254" i="16"/>
  <c r="P254" i="16"/>
  <c r="L254" i="16"/>
  <c r="M254" i="16" s="1"/>
  <c r="I254" i="16"/>
  <c r="N254" i="16" s="1"/>
  <c r="O254" i="16" s="1"/>
  <c r="E254" i="16"/>
  <c r="N253" i="16"/>
  <c r="L253" i="16"/>
  <c r="I253" i="16"/>
  <c r="E253" i="16"/>
  <c r="O252" i="16"/>
  <c r="N252" i="16"/>
  <c r="P252" i="16" s="1"/>
  <c r="L252" i="16"/>
  <c r="I252" i="16"/>
  <c r="E252" i="16"/>
  <c r="N251" i="16"/>
  <c r="M251" i="16"/>
  <c r="L251" i="16"/>
  <c r="I251" i="16"/>
  <c r="E251" i="16"/>
  <c r="N250" i="16"/>
  <c r="M250" i="16"/>
  <c r="L250" i="16"/>
  <c r="I250" i="16"/>
  <c r="E250" i="16"/>
  <c r="O249" i="16"/>
  <c r="N249" i="16"/>
  <c r="L249" i="16"/>
  <c r="M249" i="16" s="1"/>
  <c r="I249" i="16"/>
  <c r="E249" i="16"/>
  <c r="Q248" i="16"/>
  <c r="N248" i="16"/>
  <c r="P248" i="16" s="1"/>
  <c r="M248" i="16"/>
  <c r="L248" i="16"/>
  <c r="I248" i="16"/>
  <c r="E248" i="16"/>
  <c r="S247" i="16"/>
  <c r="R247" i="16"/>
  <c r="Q247" i="16"/>
  <c r="P247" i="16"/>
  <c r="O247" i="16"/>
  <c r="N247" i="16"/>
  <c r="M247" i="16"/>
  <c r="L247" i="16"/>
  <c r="I247" i="16"/>
  <c r="E247" i="16"/>
  <c r="N246" i="16"/>
  <c r="L246" i="16"/>
  <c r="M246" i="16" s="1"/>
  <c r="I246" i="16"/>
  <c r="E246" i="16"/>
  <c r="M245" i="16"/>
  <c r="L245" i="16"/>
  <c r="I245" i="16"/>
  <c r="N245" i="16" s="1"/>
  <c r="E245" i="16"/>
  <c r="N244" i="16"/>
  <c r="L244" i="16"/>
  <c r="M244" i="16" s="1"/>
  <c r="I244" i="16"/>
  <c r="E244" i="16"/>
  <c r="O243" i="16"/>
  <c r="N243" i="16"/>
  <c r="M243" i="16"/>
  <c r="L243" i="16"/>
  <c r="I243" i="16"/>
  <c r="E243" i="16"/>
  <c r="P242" i="16"/>
  <c r="O242" i="16"/>
  <c r="N242" i="16"/>
  <c r="M242" i="16"/>
  <c r="L242" i="16"/>
  <c r="I242" i="16"/>
  <c r="E242" i="16"/>
  <c r="P241" i="16"/>
  <c r="O241" i="16"/>
  <c r="N241" i="16"/>
  <c r="L241" i="16"/>
  <c r="M241" i="16" s="1"/>
  <c r="Q241" i="16" s="1"/>
  <c r="I241" i="16"/>
  <c r="E241" i="16"/>
  <c r="R240" i="16"/>
  <c r="T240" i="16" s="1"/>
  <c r="Q240" i="16"/>
  <c r="O240" i="16"/>
  <c r="N240" i="16"/>
  <c r="P240" i="16" s="1"/>
  <c r="L240" i="16"/>
  <c r="M240" i="16" s="1"/>
  <c r="I240" i="16"/>
  <c r="E240" i="16"/>
  <c r="N239" i="16"/>
  <c r="M239" i="16"/>
  <c r="L239" i="16"/>
  <c r="I239" i="16"/>
  <c r="E239" i="16"/>
  <c r="N238" i="16"/>
  <c r="M238" i="16"/>
  <c r="L238" i="16"/>
  <c r="I238" i="16"/>
  <c r="E238" i="16"/>
  <c r="O237" i="16"/>
  <c r="N237" i="16"/>
  <c r="M237" i="16"/>
  <c r="L237" i="16"/>
  <c r="I237" i="16"/>
  <c r="E237" i="16"/>
  <c r="N236" i="16"/>
  <c r="P236" i="16" s="1"/>
  <c r="M236" i="16"/>
  <c r="L236" i="16"/>
  <c r="I236" i="16"/>
  <c r="E236" i="16"/>
  <c r="P235" i="16"/>
  <c r="O235" i="16"/>
  <c r="N235" i="16"/>
  <c r="M235" i="16"/>
  <c r="L235" i="16"/>
  <c r="I235" i="16"/>
  <c r="E235" i="16"/>
  <c r="P234" i="16"/>
  <c r="O234" i="16"/>
  <c r="N234" i="16"/>
  <c r="L234" i="16"/>
  <c r="I234" i="16"/>
  <c r="E234" i="16"/>
  <c r="Q233" i="16"/>
  <c r="P233" i="16"/>
  <c r="O233" i="16"/>
  <c r="N233" i="16"/>
  <c r="M233" i="16"/>
  <c r="L233" i="16"/>
  <c r="I233" i="16"/>
  <c r="E233" i="16"/>
  <c r="O232" i="16"/>
  <c r="N232" i="16"/>
  <c r="L232" i="16"/>
  <c r="M232" i="16" s="1"/>
  <c r="I232" i="16"/>
  <c r="E232" i="16"/>
  <c r="N231" i="16"/>
  <c r="M231" i="16"/>
  <c r="L231" i="16"/>
  <c r="I231" i="16"/>
  <c r="E231" i="16"/>
  <c r="P230" i="16"/>
  <c r="N230" i="16"/>
  <c r="M230" i="16"/>
  <c r="L230" i="16"/>
  <c r="I230" i="16"/>
  <c r="E230" i="16"/>
  <c r="Q229" i="16"/>
  <c r="P229" i="16"/>
  <c r="N229" i="16"/>
  <c r="R229" i="16" s="1"/>
  <c r="M229" i="16"/>
  <c r="L229" i="16"/>
  <c r="I229" i="16"/>
  <c r="E229" i="16"/>
  <c r="Q228" i="16"/>
  <c r="O228" i="16"/>
  <c r="N228" i="16"/>
  <c r="P228" i="16" s="1"/>
  <c r="M228" i="16"/>
  <c r="L228" i="16"/>
  <c r="I228" i="16"/>
  <c r="E228" i="16"/>
  <c r="R227" i="16"/>
  <c r="Q227" i="16"/>
  <c r="P227" i="16"/>
  <c r="O227" i="16"/>
  <c r="N227" i="16"/>
  <c r="M227" i="16"/>
  <c r="L227" i="16"/>
  <c r="I227" i="16"/>
  <c r="E227" i="16"/>
  <c r="N226" i="16"/>
  <c r="M226" i="16"/>
  <c r="L226" i="16"/>
  <c r="I226" i="16"/>
  <c r="E226" i="16"/>
  <c r="N225" i="16"/>
  <c r="M225" i="16"/>
  <c r="L225" i="16"/>
  <c r="I225" i="16"/>
  <c r="E225" i="16"/>
  <c r="N224" i="16"/>
  <c r="M224" i="16"/>
  <c r="L224" i="16"/>
  <c r="I224" i="16"/>
  <c r="E224" i="16"/>
  <c r="P223" i="16"/>
  <c r="O223" i="16"/>
  <c r="N223" i="16"/>
  <c r="M223" i="16"/>
  <c r="L223" i="16"/>
  <c r="I223" i="16"/>
  <c r="E223" i="16"/>
  <c r="P222" i="16"/>
  <c r="O222" i="16"/>
  <c r="N222" i="16"/>
  <c r="L222" i="16"/>
  <c r="M222" i="16" s="1"/>
  <c r="I222" i="16"/>
  <c r="E222" i="16"/>
  <c r="Q221" i="16"/>
  <c r="P221" i="16"/>
  <c r="N221" i="16"/>
  <c r="M221" i="16"/>
  <c r="L221" i="16"/>
  <c r="I221" i="16"/>
  <c r="E221" i="16"/>
  <c r="O220" i="16"/>
  <c r="N220" i="16"/>
  <c r="P220" i="16" s="1"/>
  <c r="L220" i="16"/>
  <c r="M220" i="16" s="1"/>
  <c r="I220" i="16"/>
  <c r="E220" i="16"/>
  <c r="N219" i="16"/>
  <c r="M219" i="16"/>
  <c r="Q219" i="16" s="1"/>
  <c r="L219" i="16"/>
  <c r="I219" i="16"/>
  <c r="E219" i="16"/>
  <c r="P218" i="16"/>
  <c r="O218" i="16"/>
  <c r="N218" i="16"/>
  <c r="M218" i="16"/>
  <c r="Q218" i="16" s="1"/>
  <c r="L218" i="16"/>
  <c r="I218" i="16"/>
  <c r="E218" i="16"/>
  <c r="N217" i="16"/>
  <c r="L217" i="16"/>
  <c r="M217" i="16" s="1"/>
  <c r="I217" i="16"/>
  <c r="E217" i="16"/>
  <c r="O216" i="16"/>
  <c r="N216" i="16"/>
  <c r="M216" i="16"/>
  <c r="Q216" i="16" s="1"/>
  <c r="L216" i="16"/>
  <c r="I216" i="16"/>
  <c r="E216" i="16"/>
  <c r="Q215" i="16"/>
  <c r="P215" i="16"/>
  <c r="O215" i="16"/>
  <c r="N215" i="16"/>
  <c r="M215" i="16"/>
  <c r="L215" i="16"/>
  <c r="I215" i="16"/>
  <c r="E215" i="16"/>
  <c r="P214" i="16"/>
  <c r="O214" i="16"/>
  <c r="N214" i="16"/>
  <c r="L214" i="16"/>
  <c r="I214" i="16"/>
  <c r="E214" i="16"/>
  <c r="P213" i="16"/>
  <c r="O213" i="16"/>
  <c r="N213" i="16"/>
  <c r="L213" i="16"/>
  <c r="I213" i="16"/>
  <c r="E213" i="16"/>
  <c r="N212" i="16"/>
  <c r="M212" i="16"/>
  <c r="L212" i="16"/>
  <c r="I212" i="16"/>
  <c r="E212" i="16"/>
  <c r="Q211" i="16"/>
  <c r="P211" i="16"/>
  <c r="O211" i="16"/>
  <c r="N211" i="16"/>
  <c r="M211" i="16"/>
  <c r="L211" i="16"/>
  <c r="I211" i="16"/>
  <c r="E211" i="16"/>
  <c r="O210" i="16"/>
  <c r="N210" i="16"/>
  <c r="M210" i="16"/>
  <c r="L210" i="16"/>
  <c r="I210" i="16"/>
  <c r="E210" i="16"/>
  <c r="N209" i="16"/>
  <c r="M209" i="16"/>
  <c r="L209" i="16"/>
  <c r="I209" i="16"/>
  <c r="E209" i="16"/>
  <c r="R208" i="16"/>
  <c r="T208" i="16" s="1"/>
  <c r="Q208" i="16"/>
  <c r="O208" i="16"/>
  <c r="N208" i="16"/>
  <c r="P208" i="16" s="1"/>
  <c r="L208" i="16"/>
  <c r="M208" i="16" s="1"/>
  <c r="I208" i="16"/>
  <c r="E208" i="16"/>
  <c r="P207" i="16"/>
  <c r="O207" i="16"/>
  <c r="N207" i="16"/>
  <c r="M207" i="16"/>
  <c r="L207" i="16"/>
  <c r="I207" i="16"/>
  <c r="E207" i="16"/>
  <c r="N206" i="16"/>
  <c r="O206" i="16" s="1"/>
  <c r="L206" i="16"/>
  <c r="M206" i="16" s="1"/>
  <c r="I206" i="16"/>
  <c r="E206" i="16"/>
  <c r="N205" i="16"/>
  <c r="P205" i="16" s="1"/>
  <c r="L205" i="16"/>
  <c r="M205" i="16" s="1"/>
  <c r="I205" i="16"/>
  <c r="E205" i="16"/>
  <c r="O204" i="16"/>
  <c r="N204" i="16"/>
  <c r="P204" i="16" s="1"/>
  <c r="L204" i="16"/>
  <c r="M204" i="16" s="1"/>
  <c r="I204" i="16"/>
  <c r="E204" i="16"/>
  <c r="R203" i="16"/>
  <c r="S203" i="16" s="1"/>
  <c r="N203" i="16"/>
  <c r="Q203" i="16" s="1"/>
  <c r="M203" i="16"/>
  <c r="L203" i="16"/>
  <c r="I203" i="16"/>
  <c r="E203" i="16"/>
  <c r="P202" i="16"/>
  <c r="O202" i="16"/>
  <c r="N202" i="16"/>
  <c r="L202" i="16"/>
  <c r="M202" i="16" s="1"/>
  <c r="I202" i="16"/>
  <c r="E202" i="16"/>
  <c r="P201" i="16"/>
  <c r="O201" i="16"/>
  <c r="N201" i="16"/>
  <c r="L201" i="16"/>
  <c r="I201" i="16"/>
  <c r="E201" i="16"/>
  <c r="Q200" i="16"/>
  <c r="O200" i="16"/>
  <c r="N200" i="16"/>
  <c r="P200" i="16" s="1"/>
  <c r="M200" i="16"/>
  <c r="L200" i="16"/>
  <c r="I200" i="16"/>
  <c r="E200" i="16"/>
  <c r="P199" i="16"/>
  <c r="N199" i="16"/>
  <c r="O199" i="16" s="1"/>
  <c r="M199" i="16"/>
  <c r="L199" i="16"/>
  <c r="I199" i="16"/>
  <c r="E199" i="16"/>
  <c r="N198" i="16"/>
  <c r="M198" i="16"/>
  <c r="L198" i="16"/>
  <c r="I198" i="16"/>
  <c r="E198" i="16"/>
  <c r="Q197" i="16"/>
  <c r="P197" i="16"/>
  <c r="O197" i="16"/>
  <c r="N197" i="16"/>
  <c r="M197" i="16"/>
  <c r="L197" i="16"/>
  <c r="I197" i="16"/>
  <c r="E197" i="16"/>
  <c r="N196" i="16"/>
  <c r="M196" i="16"/>
  <c r="L196" i="16"/>
  <c r="I196" i="16"/>
  <c r="E196" i="16"/>
  <c r="N195" i="16"/>
  <c r="M195" i="16"/>
  <c r="L195" i="16"/>
  <c r="I195" i="16"/>
  <c r="E195" i="16"/>
  <c r="R194" i="16"/>
  <c r="T194" i="16" s="1"/>
  <c r="Q194" i="16"/>
  <c r="P194" i="16"/>
  <c r="N194" i="16"/>
  <c r="O194" i="16" s="1"/>
  <c r="M194" i="16"/>
  <c r="L194" i="16"/>
  <c r="I194" i="16"/>
  <c r="E194" i="16"/>
  <c r="N193" i="16"/>
  <c r="Q193" i="16" s="1"/>
  <c r="M193" i="16"/>
  <c r="L193" i="16"/>
  <c r="I193" i="16"/>
  <c r="E193" i="16"/>
  <c r="N192" i="16"/>
  <c r="M192" i="16"/>
  <c r="L192" i="16"/>
  <c r="I192" i="16"/>
  <c r="E192" i="16"/>
  <c r="P191" i="16"/>
  <c r="O191" i="16"/>
  <c r="N191" i="16"/>
  <c r="Q191" i="16" s="1"/>
  <c r="M191" i="16"/>
  <c r="L191" i="16"/>
  <c r="I191" i="16"/>
  <c r="E191" i="16"/>
  <c r="N190" i="16"/>
  <c r="L190" i="16"/>
  <c r="M190" i="16" s="1"/>
  <c r="I190" i="16"/>
  <c r="E190" i="16"/>
  <c r="N189" i="16"/>
  <c r="M189" i="16"/>
  <c r="L189" i="16"/>
  <c r="I189" i="16"/>
  <c r="E189" i="16"/>
  <c r="N188" i="16"/>
  <c r="L188" i="16"/>
  <c r="M188" i="16" s="1"/>
  <c r="I188" i="16"/>
  <c r="E188" i="16"/>
  <c r="R187" i="16"/>
  <c r="Q187" i="16"/>
  <c r="N187" i="16"/>
  <c r="O187" i="16" s="1"/>
  <c r="M187" i="16"/>
  <c r="L187" i="16"/>
  <c r="I187" i="16"/>
  <c r="E187" i="16"/>
  <c r="P186" i="16"/>
  <c r="N186" i="16"/>
  <c r="L186" i="16"/>
  <c r="I186" i="16"/>
  <c r="E186" i="16"/>
  <c r="N185" i="16"/>
  <c r="M185" i="16"/>
  <c r="Q185" i="16" s="1"/>
  <c r="L185" i="16"/>
  <c r="I185" i="16"/>
  <c r="E185" i="16"/>
  <c r="O184" i="16"/>
  <c r="N184" i="16"/>
  <c r="L184" i="16"/>
  <c r="M184" i="16" s="1"/>
  <c r="Q184" i="16" s="1"/>
  <c r="I184" i="16"/>
  <c r="E184" i="16"/>
  <c r="T183" i="16"/>
  <c r="S183" i="16"/>
  <c r="P183" i="16"/>
  <c r="N183" i="16"/>
  <c r="Q183" i="16" s="1"/>
  <c r="R183" i="16" s="1"/>
  <c r="M183" i="16"/>
  <c r="L183" i="16"/>
  <c r="I183" i="16"/>
  <c r="E183" i="16"/>
  <c r="P182" i="16"/>
  <c r="O182" i="16"/>
  <c r="N182" i="16"/>
  <c r="Q182" i="16" s="1"/>
  <c r="L182" i="16"/>
  <c r="M182" i="16" s="1"/>
  <c r="I182" i="16"/>
  <c r="E182" i="16"/>
  <c r="N181" i="16"/>
  <c r="P181" i="16" s="1"/>
  <c r="L181" i="16"/>
  <c r="I181" i="16"/>
  <c r="E181" i="16"/>
  <c r="N180" i="16"/>
  <c r="L180" i="16"/>
  <c r="I180" i="16"/>
  <c r="E180" i="16"/>
  <c r="R179" i="16"/>
  <c r="T179" i="16" s="1"/>
  <c r="Q179" i="16"/>
  <c r="P179" i="16"/>
  <c r="O179" i="16"/>
  <c r="N179" i="16"/>
  <c r="M179" i="16"/>
  <c r="L179" i="16"/>
  <c r="I179" i="16"/>
  <c r="E179" i="16"/>
  <c r="N178" i="16"/>
  <c r="L178" i="16"/>
  <c r="M178" i="16" s="1"/>
  <c r="I178" i="16"/>
  <c r="E178" i="16"/>
  <c r="N177" i="16"/>
  <c r="M177" i="16"/>
  <c r="L177" i="16"/>
  <c r="I177" i="16"/>
  <c r="E177" i="16"/>
  <c r="Q176" i="16"/>
  <c r="O176" i="16"/>
  <c r="N176" i="16"/>
  <c r="P176" i="16" s="1"/>
  <c r="L176" i="16"/>
  <c r="M176" i="16" s="1"/>
  <c r="I176" i="16"/>
  <c r="E176" i="16"/>
  <c r="N175" i="16"/>
  <c r="M175" i="16"/>
  <c r="L175" i="16"/>
  <c r="I175" i="16"/>
  <c r="E175" i="16"/>
  <c r="P174" i="16"/>
  <c r="O174" i="16"/>
  <c r="N174" i="16"/>
  <c r="L174" i="16"/>
  <c r="M174" i="16" s="1"/>
  <c r="Q174" i="16" s="1"/>
  <c r="I174" i="16"/>
  <c r="E174" i="16"/>
  <c r="P173" i="16"/>
  <c r="O173" i="16"/>
  <c r="N173" i="16"/>
  <c r="L173" i="16"/>
  <c r="I173" i="16"/>
  <c r="E173" i="16"/>
  <c r="N172" i="16"/>
  <c r="M172" i="16"/>
  <c r="L172" i="16"/>
  <c r="I172" i="16"/>
  <c r="E172" i="16"/>
  <c r="Q171" i="16"/>
  <c r="N171" i="16"/>
  <c r="P171" i="16" s="1"/>
  <c r="M171" i="16"/>
  <c r="L171" i="16"/>
  <c r="I171" i="16"/>
  <c r="E171" i="16"/>
  <c r="N170" i="16"/>
  <c r="M170" i="16"/>
  <c r="L170" i="16"/>
  <c r="I170" i="16"/>
  <c r="E170" i="16"/>
  <c r="Q169" i="16"/>
  <c r="P169" i="16"/>
  <c r="N169" i="16"/>
  <c r="O169" i="16" s="1"/>
  <c r="M169" i="16"/>
  <c r="L169" i="16"/>
  <c r="I169" i="16"/>
  <c r="E169" i="16"/>
  <c r="N168" i="16"/>
  <c r="L168" i="16"/>
  <c r="M168" i="16" s="1"/>
  <c r="I168" i="16"/>
  <c r="E168" i="16"/>
  <c r="Q167" i="16"/>
  <c r="P167" i="16"/>
  <c r="O167" i="16"/>
  <c r="N167" i="16"/>
  <c r="R167" i="16" s="1"/>
  <c r="M167" i="16"/>
  <c r="L167" i="16"/>
  <c r="I167" i="16"/>
  <c r="E167" i="16"/>
  <c r="P166" i="16"/>
  <c r="N166" i="16"/>
  <c r="O166" i="16" s="1"/>
  <c r="L166" i="16"/>
  <c r="I166" i="16"/>
  <c r="E166" i="16"/>
  <c r="N165" i="16"/>
  <c r="L165" i="16"/>
  <c r="M165" i="16" s="1"/>
  <c r="I165" i="16"/>
  <c r="E165" i="16"/>
  <c r="N164" i="16"/>
  <c r="L164" i="16"/>
  <c r="M164" i="16" s="1"/>
  <c r="I164" i="16"/>
  <c r="E164" i="16"/>
  <c r="O163" i="16"/>
  <c r="N163" i="16"/>
  <c r="M163" i="16"/>
  <c r="L163" i="16"/>
  <c r="I163" i="16"/>
  <c r="E163" i="16"/>
  <c r="O162" i="16"/>
  <c r="N162" i="16"/>
  <c r="P162" i="16" s="1"/>
  <c r="L162" i="16"/>
  <c r="M162" i="16" s="1"/>
  <c r="Q162" i="16" s="1"/>
  <c r="I162" i="16"/>
  <c r="E162" i="16"/>
  <c r="P161" i="16"/>
  <c r="O161" i="16"/>
  <c r="N161" i="16"/>
  <c r="L161" i="16"/>
  <c r="I161" i="16"/>
  <c r="E161" i="16"/>
  <c r="O160" i="16"/>
  <c r="N160" i="16"/>
  <c r="P160" i="16" s="1"/>
  <c r="L160" i="16"/>
  <c r="M160" i="16" s="1"/>
  <c r="I160" i="16"/>
  <c r="E160" i="16"/>
  <c r="T159" i="16"/>
  <c r="Q159" i="16"/>
  <c r="R159" i="16" s="1"/>
  <c r="P159" i="16"/>
  <c r="N159" i="16"/>
  <c r="O159" i="16" s="1"/>
  <c r="M159" i="16"/>
  <c r="L159" i="16"/>
  <c r="I159" i="16"/>
  <c r="E159" i="16"/>
  <c r="P158" i="16"/>
  <c r="O158" i="16"/>
  <c r="N158" i="16"/>
  <c r="M158" i="16"/>
  <c r="L158" i="16"/>
  <c r="I158" i="16"/>
  <c r="E158" i="16"/>
  <c r="N157" i="16"/>
  <c r="L157" i="16"/>
  <c r="M157" i="16" s="1"/>
  <c r="I157" i="16"/>
  <c r="E157" i="16"/>
  <c r="O156" i="16"/>
  <c r="N156" i="16"/>
  <c r="M156" i="16"/>
  <c r="L156" i="16"/>
  <c r="I156" i="16"/>
  <c r="E156" i="16"/>
  <c r="O155" i="16"/>
  <c r="N155" i="16"/>
  <c r="P155" i="16" s="1"/>
  <c r="M155" i="16"/>
  <c r="L155" i="16"/>
  <c r="I155" i="16"/>
  <c r="E155" i="16"/>
  <c r="N154" i="16"/>
  <c r="M154" i="16"/>
  <c r="L154" i="16"/>
  <c r="I154" i="16"/>
  <c r="E154" i="16"/>
  <c r="P153" i="16"/>
  <c r="O153" i="16"/>
  <c r="N153" i="16"/>
  <c r="L153" i="16"/>
  <c r="I153" i="16"/>
  <c r="E153" i="16"/>
  <c r="Q152" i="16"/>
  <c r="N152" i="16"/>
  <c r="P152" i="16" s="1"/>
  <c r="M152" i="16"/>
  <c r="L152" i="16"/>
  <c r="I152" i="16"/>
  <c r="E152" i="16"/>
  <c r="Q151" i="16"/>
  <c r="O151" i="16"/>
  <c r="N151" i="16"/>
  <c r="R151" i="16" s="1"/>
  <c r="S151" i="16" s="1"/>
  <c r="M151" i="16"/>
  <c r="L151" i="16"/>
  <c r="I151" i="16"/>
  <c r="E151" i="16"/>
  <c r="N150" i="16"/>
  <c r="L150" i="16"/>
  <c r="M150" i="16" s="1"/>
  <c r="I150" i="16"/>
  <c r="E150" i="16"/>
  <c r="N149" i="16"/>
  <c r="M149" i="16"/>
  <c r="L149" i="16"/>
  <c r="I149" i="16"/>
  <c r="E149" i="16"/>
  <c r="L148" i="16"/>
  <c r="M148" i="16" s="1"/>
  <c r="I148" i="16"/>
  <c r="N148" i="16" s="1"/>
  <c r="E148" i="16"/>
  <c r="M147" i="16"/>
  <c r="L147" i="16"/>
  <c r="I147" i="16"/>
  <c r="N147" i="16" s="1"/>
  <c r="E147" i="16"/>
  <c r="Q146" i="16"/>
  <c r="P146" i="16"/>
  <c r="O146" i="16"/>
  <c r="N146" i="16"/>
  <c r="M146" i="16"/>
  <c r="L146" i="16"/>
  <c r="I146" i="16"/>
  <c r="E146" i="16"/>
  <c r="O145" i="16"/>
  <c r="N145" i="16"/>
  <c r="L145" i="16"/>
  <c r="M145" i="16" s="1"/>
  <c r="I145" i="16"/>
  <c r="E145" i="16"/>
  <c r="O144" i="16"/>
  <c r="N144" i="16"/>
  <c r="L144" i="16"/>
  <c r="M144" i="16" s="1"/>
  <c r="I144" i="16"/>
  <c r="E144" i="16"/>
  <c r="Q143" i="16"/>
  <c r="O143" i="16"/>
  <c r="N143" i="16"/>
  <c r="P143" i="16" s="1"/>
  <c r="M143" i="16"/>
  <c r="L143" i="16"/>
  <c r="I143" i="16"/>
  <c r="E143" i="16"/>
  <c r="N142" i="16"/>
  <c r="L142" i="16"/>
  <c r="M142" i="16" s="1"/>
  <c r="I142" i="16"/>
  <c r="E142" i="16"/>
  <c r="P141" i="16"/>
  <c r="N141" i="16"/>
  <c r="L141" i="16"/>
  <c r="M141" i="16" s="1"/>
  <c r="I141" i="16"/>
  <c r="E141" i="16"/>
  <c r="O140" i="16"/>
  <c r="N140" i="16"/>
  <c r="L140" i="16"/>
  <c r="M140" i="16" s="1"/>
  <c r="I140" i="16"/>
  <c r="E140" i="16"/>
  <c r="N139" i="16"/>
  <c r="L139" i="16"/>
  <c r="M139" i="16" s="1"/>
  <c r="I139" i="16"/>
  <c r="E139" i="16"/>
  <c r="P138" i="16"/>
  <c r="N138" i="16"/>
  <c r="L138" i="16"/>
  <c r="M138" i="16" s="1"/>
  <c r="I138" i="16"/>
  <c r="E138" i="16"/>
  <c r="N137" i="16"/>
  <c r="M137" i="16"/>
  <c r="L137" i="16"/>
  <c r="I137" i="16"/>
  <c r="E137" i="16"/>
  <c r="Q136" i="16"/>
  <c r="P136" i="16"/>
  <c r="N136" i="16"/>
  <c r="O136" i="16" s="1"/>
  <c r="L136" i="16"/>
  <c r="M136" i="16" s="1"/>
  <c r="I136" i="16"/>
  <c r="E136" i="16"/>
  <c r="P135" i="16"/>
  <c r="N135" i="16"/>
  <c r="L135" i="16"/>
  <c r="I135" i="16"/>
  <c r="E135" i="16"/>
  <c r="O134" i="16"/>
  <c r="N134" i="16"/>
  <c r="M134" i="16"/>
  <c r="L134" i="16"/>
  <c r="I134" i="16"/>
  <c r="E134" i="16"/>
  <c r="O133" i="16"/>
  <c r="N133" i="16"/>
  <c r="M133" i="16"/>
  <c r="L133" i="16"/>
  <c r="I133" i="16"/>
  <c r="E133" i="16"/>
  <c r="N132" i="16"/>
  <c r="L132" i="16"/>
  <c r="M132" i="16" s="1"/>
  <c r="I132" i="16"/>
  <c r="E132" i="16"/>
  <c r="Q131" i="16"/>
  <c r="P131" i="16"/>
  <c r="O131" i="16"/>
  <c r="N131" i="16"/>
  <c r="M131" i="16"/>
  <c r="L131" i="16"/>
  <c r="R131" i="16" s="1"/>
  <c r="I131" i="16"/>
  <c r="E131" i="16"/>
  <c r="P130" i="16"/>
  <c r="O130" i="16"/>
  <c r="N130" i="16"/>
  <c r="L130" i="16"/>
  <c r="I130" i="16"/>
  <c r="E130" i="16"/>
  <c r="N129" i="16"/>
  <c r="L129" i="16"/>
  <c r="M129" i="16" s="1"/>
  <c r="I129" i="16"/>
  <c r="E129" i="16"/>
  <c r="Q128" i="16"/>
  <c r="O128" i="16"/>
  <c r="N128" i="16"/>
  <c r="P128" i="16" s="1"/>
  <c r="L128" i="16"/>
  <c r="M128" i="16" s="1"/>
  <c r="I128" i="16"/>
  <c r="E128" i="16"/>
  <c r="N127" i="16"/>
  <c r="L127" i="16"/>
  <c r="M127" i="16" s="1"/>
  <c r="I127" i="16"/>
  <c r="E127" i="16"/>
  <c r="P126" i="16"/>
  <c r="N126" i="16"/>
  <c r="O126" i="16" s="1"/>
  <c r="L126" i="16"/>
  <c r="M126" i="16" s="1"/>
  <c r="Q126" i="16" s="1"/>
  <c r="I126" i="16"/>
  <c r="E126" i="16"/>
  <c r="P125" i="16"/>
  <c r="N125" i="16"/>
  <c r="L125" i="16"/>
  <c r="M125" i="16" s="1"/>
  <c r="I125" i="16"/>
  <c r="E125" i="16"/>
  <c r="P124" i="16"/>
  <c r="N124" i="16"/>
  <c r="L124" i="16"/>
  <c r="M124" i="16" s="1"/>
  <c r="I124" i="16"/>
  <c r="E124" i="16"/>
  <c r="P123" i="16"/>
  <c r="N123" i="16"/>
  <c r="Q123" i="16" s="1"/>
  <c r="L123" i="16"/>
  <c r="M123" i="16" s="1"/>
  <c r="I123" i="16"/>
  <c r="E123" i="16"/>
  <c r="N122" i="16"/>
  <c r="M122" i="16"/>
  <c r="L122" i="16"/>
  <c r="I122" i="16"/>
  <c r="E122" i="16"/>
  <c r="P121" i="16"/>
  <c r="O121" i="16"/>
  <c r="N121" i="16"/>
  <c r="M121" i="16"/>
  <c r="L121" i="16"/>
  <c r="I121" i="16"/>
  <c r="E121" i="16"/>
  <c r="L120" i="16"/>
  <c r="M120" i="16" s="1"/>
  <c r="I120" i="16"/>
  <c r="N120" i="16" s="1"/>
  <c r="E120" i="16"/>
  <c r="O119" i="16"/>
  <c r="M119" i="16"/>
  <c r="L119" i="16"/>
  <c r="I119" i="16"/>
  <c r="N119" i="16" s="1"/>
  <c r="E119" i="16"/>
  <c r="Q118" i="16"/>
  <c r="T118" i="16" s="1"/>
  <c r="O118" i="16"/>
  <c r="N118" i="16"/>
  <c r="R118" i="16" s="1"/>
  <c r="S118" i="16" s="1"/>
  <c r="M118" i="16"/>
  <c r="L118" i="16"/>
  <c r="I118" i="16"/>
  <c r="E118" i="16"/>
  <c r="N117" i="16"/>
  <c r="L117" i="16"/>
  <c r="M117" i="16" s="1"/>
  <c r="I117" i="16"/>
  <c r="E117" i="16"/>
  <c r="Q116" i="16"/>
  <c r="O116" i="16"/>
  <c r="N116" i="16"/>
  <c r="P116" i="16" s="1"/>
  <c r="L116" i="16"/>
  <c r="M116" i="16" s="1"/>
  <c r="I116" i="16"/>
  <c r="E116" i="16"/>
  <c r="O115" i="16"/>
  <c r="N115" i="16"/>
  <c r="L115" i="16"/>
  <c r="I115" i="16"/>
  <c r="E115" i="16"/>
  <c r="P114" i="16"/>
  <c r="N114" i="16"/>
  <c r="L114" i="16"/>
  <c r="M114" i="16" s="1"/>
  <c r="I114" i="16"/>
  <c r="E114" i="16"/>
  <c r="P113" i="16"/>
  <c r="N113" i="16"/>
  <c r="L113" i="16"/>
  <c r="M113" i="16" s="1"/>
  <c r="I113" i="16"/>
  <c r="E113" i="16"/>
  <c r="N112" i="16"/>
  <c r="L112" i="16"/>
  <c r="M112" i="16" s="1"/>
  <c r="I112" i="16"/>
  <c r="E112" i="16"/>
  <c r="P111" i="16"/>
  <c r="N111" i="16"/>
  <c r="L111" i="16"/>
  <c r="M111" i="16" s="1"/>
  <c r="I111" i="16"/>
  <c r="E111" i="16"/>
  <c r="N110" i="16"/>
  <c r="Q110" i="16" s="1"/>
  <c r="M110" i="16"/>
  <c r="L110" i="16"/>
  <c r="I110" i="16"/>
  <c r="E110" i="16"/>
  <c r="P109" i="16"/>
  <c r="O109" i="16"/>
  <c r="N109" i="16"/>
  <c r="M109" i="16"/>
  <c r="L109" i="16"/>
  <c r="I109" i="16"/>
  <c r="E109" i="16"/>
  <c r="P108" i="16"/>
  <c r="N108" i="16"/>
  <c r="Q108" i="16" s="1"/>
  <c r="L108" i="16"/>
  <c r="M108" i="16" s="1"/>
  <c r="I108" i="16"/>
  <c r="E108" i="16"/>
  <c r="O107" i="16"/>
  <c r="N107" i="16"/>
  <c r="M107" i="16"/>
  <c r="L107" i="16"/>
  <c r="I107" i="16"/>
  <c r="E107" i="16"/>
  <c r="Q106" i="16"/>
  <c r="O106" i="16"/>
  <c r="N106" i="16"/>
  <c r="P106" i="16" s="1"/>
  <c r="M106" i="16"/>
  <c r="L106" i="16"/>
  <c r="I106" i="16"/>
  <c r="E106" i="16"/>
  <c r="O105" i="16"/>
  <c r="N105" i="16"/>
  <c r="L105" i="16"/>
  <c r="I105" i="16"/>
  <c r="E105" i="16"/>
  <c r="Q104" i="16"/>
  <c r="O104" i="16"/>
  <c r="N104" i="16"/>
  <c r="R104" i="16" s="1"/>
  <c r="L104" i="16"/>
  <c r="M104" i="16" s="1"/>
  <c r="I104" i="16"/>
  <c r="E104" i="16"/>
  <c r="O103" i="16"/>
  <c r="N103" i="16"/>
  <c r="L103" i="16"/>
  <c r="I103" i="16"/>
  <c r="E103" i="16"/>
  <c r="N102" i="16"/>
  <c r="L102" i="16"/>
  <c r="M102" i="16" s="1"/>
  <c r="I102" i="16"/>
  <c r="E102" i="16"/>
  <c r="P101" i="16"/>
  <c r="N101" i="16"/>
  <c r="L101" i="16"/>
  <c r="M101" i="16" s="1"/>
  <c r="I101" i="16"/>
  <c r="E101" i="16"/>
  <c r="N100" i="16"/>
  <c r="L100" i="16"/>
  <c r="M100" i="16" s="1"/>
  <c r="I100" i="16"/>
  <c r="E100" i="16"/>
  <c r="P99" i="16"/>
  <c r="N99" i="16"/>
  <c r="O99" i="16" s="1"/>
  <c r="L99" i="16"/>
  <c r="M99" i="16" s="1"/>
  <c r="Q99" i="16" s="1"/>
  <c r="I99" i="16"/>
  <c r="E99" i="16"/>
  <c r="P98" i="16"/>
  <c r="N98" i="16"/>
  <c r="L98" i="16"/>
  <c r="I98" i="16"/>
  <c r="E98" i="16"/>
  <c r="O97" i="16"/>
  <c r="N97" i="16"/>
  <c r="M97" i="16"/>
  <c r="L97" i="16"/>
  <c r="I97" i="16"/>
  <c r="E97" i="16"/>
  <c r="P96" i="16"/>
  <c r="N96" i="16"/>
  <c r="Q96" i="16" s="1"/>
  <c r="L96" i="16"/>
  <c r="M96" i="16" s="1"/>
  <c r="I96" i="16"/>
  <c r="E96" i="16"/>
  <c r="N95" i="16"/>
  <c r="M95" i="16"/>
  <c r="L95" i="16"/>
  <c r="I95" i="16"/>
  <c r="E95" i="16"/>
  <c r="Q94" i="16"/>
  <c r="T94" i="16" s="1"/>
  <c r="P94" i="16"/>
  <c r="O94" i="16"/>
  <c r="N94" i="16"/>
  <c r="R94" i="16" s="1"/>
  <c r="M94" i="16"/>
  <c r="L94" i="16"/>
  <c r="I94" i="16"/>
  <c r="E94" i="16"/>
  <c r="P93" i="16"/>
  <c r="N93" i="16"/>
  <c r="Q93" i="16" s="1"/>
  <c r="M93" i="16"/>
  <c r="L93" i="16"/>
  <c r="I93" i="16"/>
  <c r="E93" i="16"/>
  <c r="P92" i="16"/>
  <c r="N92" i="16"/>
  <c r="O92" i="16" s="1"/>
  <c r="L92" i="16"/>
  <c r="M92" i="16" s="1"/>
  <c r="Q92" i="16" s="1"/>
  <c r="I92" i="16"/>
  <c r="E92" i="16"/>
  <c r="O91" i="16"/>
  <c r="N91" i="16"/>
  <c r="L91" i="16"/>
  <c r="I91" i="16"/>
  <c r="E91" i="16"/>
  <c r="Q90" i="16"/>
  <c r="P90" i="16"/>
  <c r="O90" i="16"/>
  <c r="N90" i="16"/>
  <c r="R90" i="16" s="1"/>
  <c r="M90" i="16"/>
  <c r="L90" i="16"/>
  <c r="I90" i="16"/>
  <c r="E90" i="16"/>
  <c r="P89" i="16"/>
  <c r="N89" i="16"/>
  <c r="Q89" i="16" s="1"/>
  <c r="M89" i="16"/>
  <c r="L89" i="16"/>
  <c r="I89" i="16"/>
  <c r="E89" i="16"/>
  <c r="P88" i="16"/>
  <c r="N88" i="16"/>
  <c r="O88" i="16" s="1"/>
  <c r="L88" i="16"/>
  <c r="M88" i="16" s="1"/>
  <c r="Q88" i="16" s="1"/>
  <c r="I88" i="16"/>
  <c r="E88" i="16"/>
  <c r="O87" i="16"/>
  <c r="N87" i="16"/>
  <c r="L87" i="16"/>
  <c r="I87" i="16"/>
  <c r="E87" i="16"/>
  <c r="Q86" i="16"/>
  <c r="P86" i="16"/>
  <c r="O86" i="16"/>
  <c r="N86" i="16"/>
  <c r="R86" i="16" s="1"/>
  <c r="M86" i="16"/>
  <c r="L86" i="16"/>
  <c r="I86" i="16"/>
  <c r="E86" i="16"/>
  <c r="P85" i="16"/>
  <c r="N85" i="16"/>
  <c r="Q85" i="16" s="1"/>
  <c r="M85" i="16"/>
  <c r="L85" i="16"/>
  <c r="I85" i="16"/>
  <c r="E85" i="16"/>
  <c r="P84" i="16"/>
  <c r="N84" i="16"/>
  <c r="O84" i="16" s="1"/>
  <c r="L84" i="16"/>
  <c r="M84" i="16" s="1"/>
  <c r="Q84" i="16" s="1"/>
  <c r="I84" i="16"/>
  <c r="E84" i="16"/>
  <c r="O83" i="16"/>
  <c r="N83" i="16"/>
  <c r="L83" i="16"/>
  <c r="I83" i="16"/>
  <c r="E83" i="16"/>
  <c r="M82" i="16"/>
  <c r="L82" i="16"/>
  <c r="I82" i="16"/>
  <c r="N82" i="16" s="1"/>
  <c r="E82" i="16"/>
  <c r="M81" i="16"/>
  <c r="L81" i="16"/>
  <c r="I81" i="16"/>
  <c r="N81" i="16" s="1"/>
  <c r="E81" i="16"/>
  <c r="P80" i="16"/>
  <c r="N80" i="16"/>
  <c r="O80" i="16" s="1"/>
  <c r="L80" i="16"/>
  <c r="M80" i="16" s="1"/>
  <c r="Q80" i="16" s="1"/>
  <c r="I80" i="16"/>
  <c r="E80" i="16"/>
  <c r="O79" i="16"/>
  <c r="N79" i="16"/>
  <c r="P79" i="16" s="1"/>
  <c r="L79" i="16"/>
  <c r="I79" i="16"/>
  <c r="E79" i="16"/>
  <c r="M78" i="16"/>
  <c r="L78" i="16"/>
  <c r="I78" i="16"/>
  <c r="N78" i="16" s="1"/>
  <c r="E78" i="16"/>
  <c r="M77" i="16"/>
  <c r="L77" i="16"/>
  <c r="I77" i="16"/>
  <c r="N77" i="16" s="1"/>
  <c r="E77" i="16"/>
  <c r="P76" i="16"/>
  <c r="N76" i="16"/>
  <c r="O76" i="16" s="1"/>
  <c r="L76" i="16"/>
  <c r="M76" i="16" s="1"/>
  <c r="Q76" i="16" s="1"/>
  <c r="I76" i="16"/>
  <c r="E76" i="16"/>
  <c r="O75" i="16"/>
  <c r="N75" i="16"/>
  <c r="P75" i="16" s="1"/>
  <c r="L75" i="16"/>
  <c r="I75" i="16"/>
  <c r="E75" i="16"/>
  <c r="M74" i="16"/>
  <c r="L74" i="16"/>
  <c r="I74" i="16"/>
  <c r="N74" i="16" s="1"/>
  <c r="E74" i="16"/>
  <c r="M73" i="16"/>
  <c r="L73" i="16"/>
  <c r="I73" i="16"/>
  <c r="N73" i="16" s="1"/>
  <c r="E73" i="16"/>
  <c r="P72" i="16"/>
  <c r="N72" i="16"/>
  <c r="O72" i="16" s="1"/>
  <c r="L72" i="16"/>
  <c r="M72" i="16" s="1"/>
  <c r="Q72" i="16" s="1"/>
  <c r="I72" i="16"/>
  <c r="E72" i="16"/>
  <c r="O71" i="16"/>
  <c r="N71" i="16"/>
  <c r="P71" i="16" s="1"/>
  <c r="L71" i="16"/>
  <c r="I71" i="16"/>
  <c r="E71" i="16"/>
  <c r="Q70" i="16"/>
  <c r="T70" i="16" s="1"/>
  <c r="P70" i="16"/>
  <c r="O70" i="16"/>
  <c r="N70" i="16"/>
  <c r="R70" i="16" s="1"/>
  <c r="M70" i="16"/>
  <c r="L70" i="16"/>
  <c r="I70" i="16"/>
  <c r="E70" i="16"/>
  <c r="P69" i="16"/>
  <c r="N69" i="16"/>
  <c r="M69" i="16"/>
  <c r="L69" i="16"/>
  <c r="I69" i="16"/>
  <c r="E69" i="16"/>
  <c r="P68" i="16"/>
  <c r="N68" i="16"/>
  <c r="O68" i="16" s="1"/>
  <c r="L68" i="16"/>
  <c r="M68" i="16" s="1"/>
  <c r="Q68" i="16" s="1"/>
  <c r="I68" i="16"/>
  <c r="E68" i="16"/>
  <c r="O67" i="16"/>
  <c r="N67" i="16"/>
  <c r="P67" i="16" s="1"/>
  <c r="L67" i="16"/>
  <c r="I67" i="16"/>
  <c r="E67" i="16"/>
  <c r="Q66" i="16"/>
  <c r="P66" i="16"/>
  <c r="O66" i="16"/>
  <c r="N66" i="16"/>
  <c r="R66" i="16" s="1"/>
  <c r="M66" i="16"/>
  <c r="L66" i="16"/>
  <c r="I66" i="16"/>
  <c r="E66" i="16"/>
  <c r="P65" i="16"/>
  <c r="N65" i="16"/>
  <c r="Q65" i="16" s="1"/>
  <c r="M65" i="16"/>
  <c r="L65" i="16"/>
  <c r="I65" i="16"/>
  <c r="E65" i="16"/>
  <c r="P64" i="16"/>
  <c r="N64" i="16"/>
  <c r="O64" i="16" s="1"/>
  <c r="L64" i="16"/>
  <c r="M64" i="16" s="1"/>
  <c r="Q64" i="16" s="1"/>
  <c r="I64" i="16"/>
  <c r="E64" i="16"/>
  <c r="O63" i="16"/>
  <c r="N63" i="16"/>
  <c r="L63" i="16"/>
  <c r="I63" i="16"/>
  <c r="E63" i="16"/>
  <c r="Q62" i="16"/>
  <c r="P62" i="16"/>
  <c r="O62" i="16"/>
  <c r="N62" i="16"/>
  <c r="M62" i="16"/>
  <c r="L62" i="16"/>
  <c r="I62" i="16"/>
  <c r="E62" i="16"/>
  <c r="P61" i="16"/>
  <c r="N61" i="16"/>
  <c r="M61" i="16"/>
  <c r="L61" i="16"/>
  <c r="I61" i="16"/>
  <c r="E61" i="16"/>
  <c r="P60" i="16"/>
  <c r="N60" i="16"/>
  <c r="O60" i="16" s="1"/>
  <c r="L60" i="16"/>
  <c r="M60" i="16" s="1"/>
  <c r="Q60" i="16" s="1"/>
  <c r="I60" i="16"/>
  <c r="E60" i="16"/>
  <c r="O59" i="16"/>
  <c r="N59" i="16"/>
  <c r="L59" i="16"/>
  <c r="I59" i="16"/>
  <c r="E59" i="16"/>
  <c r="Q58" i="16"/>
  <c r="P58" i="16"/>
  <c r="O58" i="16"/>
  <c r="N58" i="16"/>
  <c r="R58" i="16" s="1"/>
  <c r="M58" i="16"/>
  <c r="L58" i="16"/>
  <c r="I58" i="16"/>
  <c r="E58" i="16"/>
  <c r="P57" i="16"/>
  <c r="N57" i="16"/>
  <c r="Q57" i="16" s="1"/>
  <c r="M57" i="16"/>
  <c r="L57" i="16"/>
  <c r="I57" i="16"/>
  <c r="E57" i="16"/>
  <c r="Q56" i="16"/>
  <c r="P56" i="16"/>
  <c r="N56" i="16"/>
  <c r="O56" i="16" s="1"/>
  <c r="L56" i="16"/>
  <c r="M56" i="16" s="1"/>
  <c r="I56" i="16"/>
  <c r="E56" i="16"/>
  <c r="O55" i="16"/>
  <c r="N55" i="16"/>
  <c r="L55" i="16"/>
  <c r="I55" i="16"/>
  <c r="E55" i="16"/>
  <c r="Q54" i="16"/>
  <c r="P54" i="16"/>
  <c r="O54" i="16"/>
  <c r="N54" i="16"/>
  <c r="M54" i="16"/>
  <c r="L54" i="16"/>
  <c r="I54" i="16"/>
  <c r="E54" i="16"/>
  <c r="P53" i="16"/>
  <c r="N53" i="16"/>
  <c r="Q53" i="16" s="1"/>
  <c r="M53" i="16"/>
  <c r="L53" i="16"/>
  <c r="I53" i="16"/>
  <c r="E53" i="16"/>
  <c r="Q52" i="16"/>
  <c r="P52" i="16"/>
  <c r="N52" i="16"/>
  <c r="O52" i="16" s="1"/>
  <c r="L52" i="16"/>
  <c r="M52" i="16" s="1"/>
  <c r="I52" i="16"/>
  <c r="E52" i="16"/>
  <c r="O51" i="16"/>
  <c r="N51" i="16"/>
  <c r="L51" i="16"/>
  <c r="M51" i="16" s="1"/>
  <c r="I51" i="16"/>
  <c r="E51" i="16"/>
  <c r="Q50" i="16"/>
  <c r="P50" i="16"/>
  <c r="O50" i="16"/>
  <c r="N50" i="16"/>
  <c r="R50" i="16" s="1"/>
  <c r="M50" i="16"/>
  <c r="L50" i="16"/>
  <c r="I50" i="16"/>
  <c r="E50" i="16"/>
  <c r="P49" i="16"/>
  <c r="N49" i="16"/>
  <c r="Q49" i="16" s="1"/>
  <c r="M49" i="16"/>
  <c r="L49" i="16"/>
  <c r="I49" i="16"/>
  <c r="E49" i="16"/>
  <c r="P48" i="16"/>
  <c r="N48" i="16"/>
  <c r="O48" i="16" s="1"/>
  <c r="L48" i="16"/>
  <c r="M48" i="16" s="1"/>
  <c r="Q48" i="16" s="1"/>
  <c r="I48" i="16"/>
  <c r="E48" i="16"/>
  <c r="O47" i="16"/>
  <c r="N47" i="16"/>
  <c r="M47" i="16"/>
  <c r="L47" i="16"/>
  <c r="I47" i="16"/>
  <c r="E47" i="16"/>
  <c r="Q46" i="16"/>
  <c r="P46" i="16"/>
  <c r="O46" i="16"/>
  <c r="N46" i="16"/>
  <c r="M46" i="16"/>
  <c r="L46" i="16"/>
  <c r="I46" i="16"/>
  <c r="E46" i="16"/>
  <c r="P45" i="16"/>
  <c r="N45" i="16"/>
  <c r="M45" i="16"/>
  <c r="L45" i="16"/>
  <c r="I45" i="16"/>
  <c r="E45" i="16"/>
  <c r="P44" i="16"/>
  <c r="N44" i="16"/>
  <c r="O44" i="16" s="1"/>
  <c r="L44" i="16"/>
  <c r="M44" i="16" s="1"/>
  <c r="Q44" i="16" s="1"/>
  <c r="I44" i="16"/>
  <c r="E44" i="16"/>
  <c r="O43" i="16"/>
  <c r="N43" i="16"/>
  <c r="L43" i="16"/>
  <c r="M43" i="16" s="1"/>
  <c r="I43" i="16"/>
  <c r="E43" i="16"/>
  <c r="Q42" i="16"/>
  <c r="P42" i="16"/>
  <c r="O42" i="16"/>
  <c r="N42" i="16"/>
  <c r="M42" i="16"/>
  <c r="L42" i="16"/>
  <c r="I42" i="16"/>
  <c r="E42" i="16"/>
  <c r="P41" i="16"/>
  <c r="N41" i="16"/>
  <c r="M41" i="16"/>
  <c r="L41" i="16"/>
  <c r="I41" i="16"/>
  <c r="E41" i="16"/>
  <c r="P40" i="16"/>
  <c r="N40" i="16"/>
  <c r="O40" i="16" s="1"/>
  <c r="L40" i="16"/>
  <c r="I40" i="16"/>
  <c r="E40" i="16"/>
  <c r="O39" i="16"/>
  <c r="N39" i="16"/>
  <c r="M39" i="16"/>
  <c r="L39" i="16"/>
  <c r="I39" i="16"/>
  <c r="E39" i="16"/>
  <c r="Q38" i="16"/>
  <c r="P38" i="16"/>
  <c r="O38" i="16"/>
  <c r="N38" i="16"/>
  <c r="R38" i="16" s="1"/>
  <c r="T38" i="16" s="1"/>
  <c r="M38" i="16"/>
  <c r="L38" i="16"/>
  <c r="I38" i="16"/>
  <c r="E38" i="16"/>
  <c r="P37" i="16"/>
  <c r="N37" i="16"/>
  <c r="L37" i="16"/>
  <c r="I37" i="16"/>
  <c r="E37" i="16"/>
  <c r="P36" i="16"/>
  <c r="N36" i="16"/>
  <c r="O36" i="16" s="1"/>
  <c r="L36" i="16"/>
  <c r="I36" i="16"/>
  <c r="E36" i="16"/>
  <c r="O35" i="16"/>
  <c r="N35" i="16"/>
  <c r="L35" i="16"/>
  <c r="M35" i="16" s="1"/>
  <c r="I35" i="16"/>
  <c r="E35" i="16"/>
  <c r="Q34" i="16"/>
  <c r="P34" i="16"/>
  <c r="O34" i="16"/>
  <c r="N34" i="16"/>
  <c r="R34" i="16" s="1"/>
  <c r="M34" i="16"/>
  <c r="L34" i="16"/>
  <c r="I34" i="16"/>
  <c r="E34" i="16"/>
  <c r="P33" i="16"/>
  <c r="N33" i="16"/>
  <c r="M33" i="16"/>
  <c r="L33" i="16"/>
  <c r="I33" i="16"/>
  <c r="E33" i="16"/>
  <c r="P32" i="16"/>
  <c r="N32" i="16"/>
  <c r="O32" i="16" s="1"/>
  <c r="L32" i="16"/>
  <c r="I32" i="16"/>
  <c r="E32" i="16"/>
  <c r="O31" i="16"/>
  <c r="N31" i="16"/>
  <c r="M31" i="16"/>
  <c r="L31" i="16"/>
  <c r="I31" i="16"/>
  <c r="E31" i="16"/>
  <c r="Q30" i="16"/>
  <c r="P30" i="16"/>
  <c r="O30" i="16"/>
  <c r="N30" i="16"/>
  <c r="M30" i="16"/>
  <c r="L30" i="16"/>
  <c r="I30" i="16"/>
  <c r="E30" i="16"/>
  <c r="P29" i="16"/>
  <c r="N29" i="16"/>
  <c r="L29" i="16"/>
  <c r="I29" i="16"/>
  <c r="E29" i="16"/>
  <c r="Q28" i="16"/>
  <c r="P28" i="16"/>
  <c r="N28" i="16"/>
  <c r="O28" i="16" s="1"/>
  <c r="L28" i="16"/>
  <c r="M28" i="16" s="1"/>
  <c r="I28" i="16"/>
  <c r="E28" i="16"/>
  <c r="N27" i="16"/>
  <c r="L27" i="16"/>
  <c r="M27" i="16" s="1"/>
  <c r="I27" i="16"/>
  <c r="E27" i="16"/>
  <c r="O26" i="16"/>
  <c r="N26" i="16"/>
  <c r="L26" i="16"/>
  <c r="M26" i="16" s="1"/>
  <c r="I26" i="16"/>
  <c r="E26" i="16"/>
  <c r="P25" i="16"/>
  <c r="N25" i="16"/>
  <c r="L25" i="16"/>
  <c r="I25" i="16"/>
  <c r="E25" i="16"/>
  <c r="P24" i="16"/>
  <c r="N24" i="16"/>
  <c r="O24" i="16" s="1"/>
  <c r="L24" i="16"/>
  <c r="M24" i="16" s="1"/>
  <c r="I24" i="16"/>
  <c r="E24" i="16"/>
  <c r="N23" i="16"/>
  <c r="L23" i="16"/>
  <c r="I23" i="16"/>
  <c r="E23" i="16"/>
  <c r="P22" i="16"/>
  <c r="N22" i="16"/>
  <c r="L22" i="16"/>
  <c r="M22" i="16" s="1"/>
  <c r="Q22" i="16" s="1"/>
  <c r="I22" i="16"/>
  <c r="E22" i="16"/>
  <c r="P21" i="16"/>
  <c r="N21" i="16"/>
  <c r="L21" i="16"/>
  <c r="I21" i="16"/>
  <c r="E21" i="16"/>
  <c r="N20" i="16"/>
  <c r="L20" i="16"/>
  <c r="M20" i="16" s="1"/>
  <c r="I20" i="16"/>
  <c r="E20" i="16"/>
  <c r="N19" i="16"/>
  <c r="L19" i="16"/>
  <c r="M19" i="16" s="1"/>
  <c r="I19" i="16"/>
  <c r="E19" i="16"/>
  <c r="P18" i="16"/>
  <c r="N18" i="16"/>
  <c r="L18" i="16"/>
  <c r="M18" i="16" s="1"/>
  <c r="I18" i="16"/>
  <c r="E18" i="16"/>
  <c r="P17" i="16"/>
  <c r="N17" i="16"/>
  <c r="L17" i="16"/>
  <c r="M17" i="16" s="1"/>
  <c r="I17" i="16"/>
  <c r="E17" i="16"/>
  <c r="P16" i="16"/>
  <c r="N16" i="16"/>
  <c r="O16" i="16" s="1"/>
  <c r="L16" i="16"/>
  <c r="M16" i="16" s="1"/>
  <c r="I16" i="16"/>
  <c r="E16" i="16"/>
  <c r="N15" i="16"/>
  <c r="M15" i="16"/>
  <c r="L15" i="16"/>
  <c r="I15" i="16"/>
  <c r="E15" i="16"/>
  <c r="H4" i="16"/>
  <c r="G4" i="16"/>
  <c r="H304" i="15"/>
  <c r="G304" i="15"/>
  <c r="E304" i="15"/>
  <c r="H303" i="15"/>
  <c r="G303" i="15"/>
  <c r="E303" i="15"/>
  <c r="H302" i="15"/>
  <c r="G302" i="15"/>
  <c r="E302" i="15"/>
  <c r="H301" i="15"/>
  <c r="G301" i="15"/>
  <c r="E301" i="15"/>
  <c r="H300" i="15"/>
  <c r="G300" i="15"/>
  <c r="E300" i="15"/>
  <c r="H299" i="15"/>
  <c r="G299" i="15"/>
  <c r="E299" i="15"/>
  <c r="H298" i="15"/>
  <c r="G298" i="15"/>
  <c r="E298" i="15"/>
  <c r="H297" i="15"/>
  <c r="G297" i="15"/>
  <c r="E297" i="15"/>
  <c r="H296" i="15"/>
  <c r="G296" i="15"/>
  <c r="E296" i="15"/>
  <c r="H295" i="15"/>
  <c r="G295" i="15"/>
  <c r="E295" i="15"/>
  <c r="H294" i="15"/>
  <c r="G294" i="15"/>
  <c r="E294" i="15"/>
  <c r="H293" i="15"/>
  <c r="G293" i="15"/>
  <c r="E293" i="15"/>
  <c r="H292" i="15"/>
  <c r="G292" i="15"/>
  <c r="E292" i="15"/>
  <c r="H291" i="15"/>
  <c r="G291" i="15"/>
  <c r="E291" i="15"/>
  <c r="H290" i="15"/>
  <c r="G290" i="15"/>
  <c r="E290" i="15"/>
  <c r="H289" i="15"/>
  <c r="G289" i="15"/>
  <c r="E289" i="15"/>
  <c r="H288" i="15"/>
  <c r="G288" i="15"/>
  <c r="E288" i="15"/>
  <c r="H287" i="15"/>
  <c r="G287" i="15"/>
  <c r="E287" i="15"/>
  <c r="H286" i="15"/>
  <c r="G286" i="15"/>
  <c r="E286" i="15"/>
  <c r="H285" i="15"/>
  <c r="G285" i="15"/>
  <c r="E285" i="15"/>
  <c r="H284" i="15"/>
  <c r="G284" i="15"/>
  <c r="E284" i="15"/>
  <c r="H283" i="15"/>
  <c r="G283" i="15"/>
  <c r="E283" i="15"/>
  <c r="H282" i="15"/>
  <c r="G282" i="15"/>
  <c r="E282" i="15"/>
  <c r="H281" i="15"/>
  <c r="G281" i="15"/>
  <c r="E281" i="15"/>
  <c r="H280" i="15"/>
  <c r="G280" i="15"/>
  <c r="E280" i="15"/>
  <c r="H279" i="15"/>
  <c r="G279" i="15"/>
  <c r="E279" i="15"/>
  <c r="H278" i="15"/>
  <c r="G278" i="15"/>
  <c r="E278" i="15"/>
  <c r="H277" i="15"/>
  <c r="G277" i="15"/>
  <c r="E277" i="15"/>
  <c r="H276" i="15"/>
  <c r="G276" i="15"/>
  <c r="E276" i="15"/>
  <c r="H275" i="15"/>
  <c r="G275" i="15"/>
  <c r="E275" i="15"/>
  <c r="H274" i="15"/>
  <c r="G274" i="15"/>
  <c r="E274" i="15"/>
  <c r="H273" i="15"/>
  <c r="G273" i="15"/>
  <c r="E273" i="15"/>
  <c r="H272" i="15"/>
  <c r="G272" i="15"/>
  <c r="E272" i="15"/>
  <c r="H271" i="15"/>
  <c r="G271" i="15"/>
  <c r="E271" i="15"/>
  <c r="H270" i="15"/>
  <c r="G270" i="15"/>
  <c r="E270" i="15"/>
  <c r="H269" i="15"/>
  <c r="G269" i="15"/>
  <c r="E269" i="15"/>
  <c r="H268" i="15"/>
  <c r="G268" i="15"/>
  <c r="E268" i="15"/>
  <c r="H267" i="15"/>
  <c r="G267" i="15"/>
  <c r="E267" i="15"/>
  <c r="H266" i="15"/>
  <c r="G266" i="15"/>
  <c r="E266" i="15"/>
  <c r="H265" i="15"/>
  <c r="G265" i="15"/>
  <c r="E265" i="15"/>
  <c r="H264" i="15"/>
  <c r="G264" i="15"/>
  <c r="E264" i="15"/>
  <c r="H263" i="15"/>
  <c r="G263" i="15"/>
  <c r="E263" i="15"/>
  <c r="H262" i="15"/>
  <c r="G262" i="15"/>
  <c r="E262" i="15"/>
  <c r="H261" i="15"/>
  <c r="G261" i="15"/>
  <c r="E261" i="15"/>
  <c r="H260" i="15"/>
  <c r="G260" i="15"/>
  <c r="E260" i="15"/>
  <c r="H259" i="15"/>
  <c r="G259" i="15"/>
  <c r="E259" i="15"/>
  <c r="H258" i="15"/>
  <c r="G258" i="15"/>
  <c r="E258" i="15"/>
  <c r="H257" i="15"/>
  <c r="G257" i="15"/>
  <c r="E257" i="15"/>
  <c r="H256" i="15"/>
  <c r="G256" i="15"/>
  <c r="E256" i="15"/>
  <c r="H255" i="15"/>
  <c r="G255" i="15"/>
  <c r="E255" i="15"/>
  <c r="H254" i="15"/>
  <c r="G254" i="15"/>
  <c r="E254" i="15"/>
  <c r="H253" i="15"/>
  <c r="G253" i="15"/>
  <c r="E253" i="15"/>
  <c r="H252" i="15"/>
  <c r="G252" i="15"/>
  <c r="E252" i="15"/>
  <c r="H251" i="15"/>
  <c r="G251" i="15"/>
  <c r="E251" i="15"/>
  <c r="H250" i="15"/>
  <c r="G250" i="15"/>
  <c r="E250" i="15"/>
  <c r="H249" i="15"/>
  <c r="G249" i="15"/>
  <c r="E249" i="15"/>
  <c r="H248" i="15"/>
  <c r="G248" i="15"/>
  <c r="E248" i="15"/>
  <c r="H247" i="15"/>
  <c r="G247" i="15"/>
  <c r="E247" i="15"/>
  <c r="H246" i="15"/>
  <c r="G246" i="15"/>
  <c r="E246" i="15"/>
  <c r="H245" i="15"/>
  <c r="G245" i="15"/>
  <c r="E245" i="15"/>
  <c r="H244" i="15"/>
  <c r="G244" i="15"/>
  <c r="E244" i="15"/>
  <c r="H243" i="15"/>
  <c r="G243" i="15"/>
  <c r="E243" i="15"/>
  <c r="H242" i="15"/>
  <c r="G242" i="15"/>
  <c r="E242" i="15"/>
  <c r="H241" i="15"/>
  <c r="G241" i="15"/>
  <c r="E241" i="15"/>
  <c r="H240" i="15"/>
  <c r="G240" i="15"/>
  <c r="E240" i="15"/>
  <c r="H239" i="15"/>
  <c r="G239" i="15"/>
  <c r="E239" i="15"/>
  <c r="H238" i="15"/>
  <c r="G238" i="15"/>
  <c r="E238" i="15"/>
  <c r="H237" i="15"/>
  <c r="G237" i="15"/>
  <c r="E237" i="15"/>
  <c r="H236" i="15"/>
  <c r="G236" i="15"/>
  <c r="E236" i="15"/>
  <c r="H235" i="15"/>
  <c r="G235" i="15"/>
  <c r="E235" i="15"/>
  <c r="H234" i="15"/>
  <c r="G234" i="15"/>
  <c r="E234" i="15"/>
  <c r="H233" i="15"/>
  <c r="G233" i="15"/>
  <c r="E233" i="15"/>
  <c r="H232" i="15"/>
  <c r="G232" i="15"/>
  <c r="E232" i="15"/>
  <c r="H231" i="15"/>
  <c r="G231" i="15"/>
  <c r="E231" i="15"/>
  <c r="H230" i="15"/>
  <c r="G230" i="15"/>
  <c r="E230" i="15"/>
  <c r="H229" i="15"/>
  <c r="G229" i="15"/>
  <c r="E229" i="15"/>
  <c r="H228" i="15"/>
  <c r="G228" i="15"/>
  <c r="E228" i="15"/>
  <c r="H227" i="15"/>
  <c r="G227" i="15"/>
  <c r="E227" i="15"/>
  <c r="H226" i="15"/>
  <c r="G226" i="15"/>
  <c r="E226" i="15"/>
  <c r="H225" i="15"/>
  <c r="G225" i="15"/>
  <c r="E225" i="15"/>
  <c r="H224" i="15"/>
  <c r="G224" i="15"/>
  <c r="E224" i="15"/>
  <c r="H223" i="15"/>
  <c r="G223" i="15"/>
  <c r="E223" i="15"/>
  <c r="H222" i="15"/>
  <c r="G222" i="15"/>
  <c r="E222" i="15"/>
  <c r="H221" i="15"/>
  <c r="G221" i="15"/>
  <c r="E221" i="15"/>
  <c r="H220" i="15"/>
  <c r="G220" i="15"/>
  <c r="E220" i="15"/>
  <c r="H219" i="15"/>
  <c r="G219" i="15"/>
  <c r="E219" i="15"/>
  <c r="H218" i="15"/>
  <c r="G218" i="15"/>
  <c r="E218" i="15"/>
  <c r="H217" i="15"/>
  <c r="G217" i="15"/>
  <c r="E217" i="15"/>
  <c r="H216" i="15"/>
  <c r="G216" i="15"/>
  <c r="E216" i="15"/>
  <c r="H215" i="15"/>
  <c r="G215" i="15"/>
  <c r="E215" i="15"/>
  <c r="H214" i="15"/>
  <c r="G214" i="15"/>
  <c r="E214" i="15"/>
  <c r="H213" i="15"/>
  <c r="G213" i="15"/>
  <c r="E213" i="15"/>
  <c r="H212" i="15"/>
  <c r="G212" i="15"/>
  <c r="E212" i="15"/>
  <c r="H211" i="15"/>
  <c r="G211" i="15"/>
  <c r="E211" i="15"/>
  <c r="H210" i="15"/>
  <c r="G210" i="15"/>
  <c r="E210" i="15"/>
  <c r="H209" i="15"/>
  <c r="G209" i="15"/>
  <c r="E209" i="15"/>
  <c r="H208" i="15"/>
  <c r="G208" i="15"/>
  <c r="E208" i="15"/>
  <c r="H207" i="15"/>
  <c r="G207" i="15"/>
  <c r="E207" i="15"/>
  <c r="H206" i="15"/>
  <c r="G206" i="15"/>
  <c r="E206" i="15"/>
  <c r="H205" i="15"/>
  <c r="G205" i="15"/>
  <c r="E205" i="15"/>
  <c r="H204" i="15"/>
  <c r="G204" i="15"/>
  <c r="E204" i="15"/>
  <c r="H203" i="15"/>
  <c r="G203" i="15"/>
  <c r="E203" i="15"/>
  <c r="H202" i="15"/>
  <c r="G202" i="15"/>
  <c r="E202" i="15"/>
  <c r="H201" i="15"/>
  <c r="G201" i="15"/>
  <c r="E201" i="15"/>
  <c r="H200" i="15"/>
  <c r="G200" i="15"/>
  <c r="E200" i="15"/>
  <c r="H199" i="15"/>
  <c r="G199" i="15"/>
  <c r="E199" i="15"/>
  <c r="H198" i="15"/>
  <c r="G198" i="15"/>
  <c r="E198" i="15"/>
  <c r="H197" i="15"/>
  <c r="G197" i="15"/>
  <c r="E197" i="15"/>
  <c r="H196" i="15"/>
  <c r="G196" i="15"/>
  <c r="E196" i="15"/>
  <c r="H195" i="15"/>
  <c r="G195" i="15"/>
  <c r="E195" i="15"/>
  <c r="G194" i="15"/>
  <c r="H194" i="15" s="1"/>
  <c r="E194" i="15"/>
  <c r="G193" i="15"/>
  <c r="H193" i="15" s="1"/>
  <c r="E193" i="15"/>
  <c r="H192" i="15"/>
  <c r="G192" i="15"/>
  <c r="E192" i="15"/>
  <c r="H191" i="15"/>
  <c r="G191" i="15"/>
  <c r="E191" i="15"/>
  <c r="H190" i="15"/>
  <c r="G190" i="15"/>
  <c r="E190" i="15"/>
  <c r="H189" i="15"/>
  <c r="G189" i="15"/>
  <c r="E189" i="15"/>
  <c r="H188" i="15"/>
  <c r="G188" i="15"/>
  <c r="E188" i="15"/>
  <c r="H187" i="15"/>
  <c r="G187" i="15"/>
  <c r="E187" i="15"/>
  <c r="H186" i="15"/>
  <c r="G186" i="15"/>
  <c r="E186" i="15"/>
  <c r="H185" i="15"/>
  <c r="G185" i="15"/>
  <c r="E185" i="15"/>
  <c r="H184" i="15"/>
  <c r="G184" i="15"/>
  <c r="E184" i="15"/>
  <c r="H183" i="15"/>
  <c r="G183" i="15"/>
  <c r="E183" i="15"/>
  <c r="H182" i="15"/>
  <c r="G182" i="15"/>
  <c r="E182" i="15"/>
  <c r="H181" i="15"/>
  <c r="G181" i="15"/>
  <c r="E181" i="15"/>
  <c r="H180" i="15"/>
  <c r="G180" i="15"/>
  <c r="E180" i="15"/>
  <c r="H179" i="15"/>
  <c r="G179" i="15"/>
  <c r="E179" i="15"/>
  <c r="H178" i="15"/>
  <c r="G178" i="15"/>
  <c r="E178" i="15"/>
  <c r="H177" i="15"/>
  <c r="G177" i="15"/>
  <c r="E177" i="15"/>
  <c r="H176" i="15"/>
  <c r="G176" i="15"/>
  <c r="E176" i="15"/>
  <c r="H175" i="15"/>
  <c r="G175" i="15"/>
  <c r="E175" i="15"/>
  <c r="H174" i="15"/>
  <c r="G174" i="15"/>
  <c r="E174" i="15"/>
  <c r="H173" i="15"/>
  <c r="G173" i="15"/>
  <c r="E173" i="15"/>
  <c r="H172" i="15"/>
  <c r="G172" i="15"/>
  <c r="E172" i="15"/>
  <c r="H171" i="15"/>
  <c r="G171" i="15"/>
  <c r="E171" i="15"/>
  <c r="H170" i="15"/>
  <c r="G170" i="15"/>
  <c r="E170" i="15"/>
  <c r="H169" i="15"/>
  <c r="G169" i="15"/>
  <c r="E169" i="15"/>
  <c r="H168" i="15"/>
  <c r="G168" i="15"/>
  <c r="E168" i="15"/>
  <c r="H167" i="15"/>
  <c r="G167" i="15"/>
  <c r="E167" i="15"/>
  <c r="H166" i="15"/>
  <c r="G166" i="15"/>
  <c r="E166" i="15"/>
  <c r="H165" i="15"/>
  <c r="G165" i="15"/>
  <c r="E165" i="15"/>
  <c r="H164" i="15"/>
  <c r="G164" i="15"/>
  <c r="E164" i="15"/>
  <c r="H163" i="15"/>
  <c r="G163" i="15"/>
  <c r="E163" i="15"/>
  <c r="H162" i="15"/>
  <c r="G162" i="15"/>
  <c r="E162" i="15"/>
  <c r="H161" i="15"/>
  <c r="G161" i="15"/>
  <c r="E161" i="15"/>
  <c r="H160" i="15"/>
  <c r="G160" i="15"/>
  <c r="E160" i="15"/>
  <c r="H159" i="15"/>
  <c r="G159" i="15"/>
  <c r="E159" i="15"/>
  <c r="H158" i="15"/>
  <c r="G158" i="15"/>
  <c r="E158" i="15"/>
  <c r="H157" i="15"/>
  <c r="G157" i="15"/>
  <c r="E157" i="15"/>
  <c r="H156" i="15"/>
  <c r="G156" i="15"/>
  <c r="E156" i="15"/>
  <c r="H155" i="15"/>
  <c r="G155" i="15"/>
  <c r="E155" i="15"/>
  <c r="H154" i="15"/>
  <c r="G154" i="15"/>
  <c r="E154" i="15"/>
  <c r="H153" i="15"/>
  <c r="G153" i="15"/>
  <c r="E153" i="15"/>
  <c r="H152" i="15"/>
  <c r="G152" i="15"/>
  <c r="E152" i="15"/>
  <c r="H151" i="15"/>
  <c r="G151" i="15"/>
  <c r="E151" i="15"/>
  <c r="H150" i="15"/>
  <c r="G150" i="15"/>
  <c r="E150" i="15"/>
  <c r="H149" i="15"/>
  <c r="G149" i="15"/>
  <c r="E149" i="15"/>
  <c r="H148" i="15"/>
  <c r="G148" i="15"/>
  <c r="E148" i="15"/>
  <c r="H147" i="15"/>
  <c r="G147" i="15"/>
  <c r="E147" i="15"/>
  <c r="H146" i="15"/>
  <c r="G146" i="15"/>
  <c r="E146" i="15"/>
  <c r="H145" i="15"/>
  <c r="G145" i="15"/>
  <c r="E145" i="15"/>
  <c r="H144" i="15"/>
  <c r="G144" i="15"/>
  <c r="E144" i="15"/>
  <c r="H143" i="15"/>
  <c r="G143" i="15"/>
  <c r="E143" i="15"/>
  <c r="H142" i="15"/>
  <c r="G142" i="15"/>
  <c r="E142" i="15"/>
  <c r="H141" i="15"/>
  <c r="G141" i="15"/>
  <c r="E141" i="15"/>
  <c r="H140" i="15"/>
  <c r="G140" i="15"/>
  <c r="E140" i="15"/>
  <c r="H139" i="15"/>
  <c r="G139" i="15"/>
  <c r="E139" i="15"/>
  <c r="H138" i="15"/>
  <c r="G138" i="15"/>
  <c r="E138" i="15"/>
  <c r="H137" i="15"/>
  <c r="G137" i="15"/>
  <c r="E137" i="15"/>
  <c r="H136" i="15"/>
  <c r="G136" i="15"/>
  <c r="E136" i="15"/>
  <c r="H135" i="15"/>
  <c r="G135" i="15"/>
  <c r="E135" i="15"/>
  <c r="H134" i="15"/>
  <c r="G134" i="15"/>
  <c r="E134" i="15"/>
  <c r="H133" i="15"/>
  <c r="G133" i="15"/>
  <c r="E133" i="15"/>
  <c r="H132" i="15"/>
  <c r="G132" i="15"/>
  <c r="E132" i="15"/>
  <c r="H131" i="15"/>
  <c r="G131" i="15"/>
  <c r="E131" i="15"/>
  <c r="H130" i="15"/>
  <c r="G130" i="15"/>
  <c r="E130" i="15"/>
  <c r="H129" i="15"/>
  <c r="G129" i="15"/>
  <c r="E129" i="15"/>
  <c r="H128" i="15"/>
  <c r="G128" i="15"/>
  <c r="E128" i="15"/>
  <c r="H127" i="15"/>
  <c r="G127" i="15"/>
  <c r="E127" i="15"/>
  <c r="H126" i="15"/>
  <c r="G126" i="15"/>
  <c r="E126" i="15"/>
  <c r="H125" i="15"/>
  <c r="G125" i="15"/>
  <c r="E125" i="15"/>
  <c r="H124" i="15"/>
  <c r="G124" i="15"/>
  <c r="E124" i="15"/>
  <c r="H123" i="15"/>
  <c r="G123" i="15"/>
  <c r="E123" i="15"/>
  <c r="H122" i="15"/>
  <c r="G122" i="15"/>
  <c r="E122" i="15"/>
  <c r="H121" i="15"/>
  <c r="G121" i="15"/>
  <c r="E121" i="15"/>
  <c r="H120" i="15"/>
  <c r="G120" i="15"/>
  <c r="E120" i="15"/>
  <c r="H119" i="15"/>
  <c r="G119" i="15"/>
  <c r="E119" i="15"/>
  <c r="H118" i="15"/>
  <c r="G118" i="15"/>
  <c r="E118" i="15"/>
  <c r="H117" i="15"/>
  <c r="G117" i="15"/>
  <c r="E117" i="15"/>
  <c r="H116" i="15"/>
  <c r="G116" i="15"/>
  <c r="E116" i="15"/>
  <c r="H115" i="15"/>
  <c r="G115" i="15"/>
  <c r="E115" i="15"/>
  <c r="H114" i="15"/>
  <c r="G114" i="15"/>
  <c r="E114" i="15"/>
  <c r="H113" i="15"/>
  <c r="G113" i="15"/>
  <c r="E113" i="15"/>
  <c r="H112" i="15"/>
  <c r="G112" i="15"/>
  <c r="E112" i="15"/>
  <c r="H111" i="15"/>
  <c r="G111" i="15"/>
  <c r="E111" i="15"/>
  <c r="H110" i="15"/>
  <c r="G110" i="15"/>
  <c r="E110" i="15"/>
  <c r="H109" i="15"/>
  <c r="G109" i="15"/>
  <c r="E109" i="15"/>
  <c r="H108" i="15"/>
  <c r="G108" i="15"/>
  <c r="E108" i="15"/>
  <c r="H107" i="15"/>
  <c r="G107" i="15"/>
  <c r="E107" i="15"/>
  <c r="H106" i="15"/>
  <c r="G106" i="15"/>
  <c r="E106" i="15"/>
  <c r="H105" i="15"/>
  <c r="G105" i="15"/>
  <c r="E105" i="15"/>
  <c r="H104" i="15"/>
  <c r="G104" i="15"/>
  <c r="E104" i="15"/>
  <c r="H103" i="15"/>
  <c r="G103" i="15"/>
  <c r="E103" i="15"/>
  <c r="H102" i="15"/>
  <c r="G102" i="15"/>
  <c r="E102" i="15"/>
  <c r="H101" i="15"/>
  <c r="G101" i="15"/>
  <c r="E101" i="15"/>
  <c r="H100" i="15"/>
  <c r="G100" i="15"/>
  <c r="E100" i="15"/>
  <c r="H99" i="15"/>
  <c r="G99" i="15"/>
  <c r="E99" i="15"/>
  <c r="H98" i="15"/>
  <c r="G98" i="15"/>
  <c r="E98" i="15"/>
  <c r="H97" i="15"/>
  <c r="G97" i="15"/>
  <c r="E97" i="15"/>
  <c r="H96" i="15"/>
  <c r="G96" i="15"/>
  <c r="E96" i="15"/>
  <c r="H95" i="15"/>
  <c r="G95" i="15"/>
  <c r="E95" i="15"/>
  <c r="H94" i="15"/>
  <c r="G94" i="15"/>
  <c r="E94" i="15"/>
  <c r="H93" i="15"/>
  <c r="G93" i="15"/>
  <c r="E93" i="15"/>
  <c r="H92" i="15"/>
  <c r="G92" i="15"/>
  <c r="E92" i="15"/>
  <c r="H91" i="15"/>
  <c r="G91" i="15"/>
  <c r="E91" i="15"/>
  <c r="H90" i="15"/>
  <c r="G90" i="15"/>
  <c r="E90" i="15"/>
  <c r="H89" i="15"/>
  <c r="G89" i="15"/>
  <c r="E89" i="15"/>
  <c r="H88" i="15"/>
  <c r="G88" i="15"/>
  <c r="E88" i="15"/>
  <c r="H87" i="15"/>
  <c r="G87" i="15"/>
  <c r="E87" i="15"/>
  <c r="H86" i="15"/>
  <c r="G86" i="15"/>
  <c r="E86" i="15"/>
  <c r="H85" i="15"/>
  <c r="G85" i="15"/>
  <c r="E85" i="15"/>
  <c r="H84" i="15"/>
  <c r="G84" i="15"/>
  <c r="E84" i="15"/>
  <c r="H83" i="15"/>
  <c r="G83" i="15"/>
  <c r="E83" i="15"/>
  <c r="H82" i="15"/>
  <c r="G82" i="15"/>
  <c r="E82" i="15"/>
  <c r="H81" i="15"/>
  <c r="G81" i="15"/>
  <c r="E81" i="15"/>
  <c r="H80" i="15"/>
  <c r="G80" i="15"/>
  <c r="E80" i="15"/>
  <c r="H79" i="15"/>
  <c r="G79" i="15"/>
  <c r="E79" i="15"/>
  <c r="H78" i="15"/>
  <c r="G78" i="15"/>
  <c r="E78" i="15"/>
  <c r="H77" i="15"/>
  <c r="G77" i="15"/>
  <c r="E77" i="15"/>
  <c r="H76" i="15"/>
  <c r="G76" i="15"/>
  <c r="E76" i="15"/>
  <c r="H75" i="15"/>
  <c r="G75" i="15"/>
  <c r="E75" i="15"/>
  <c r="H74" i="15"/>
  <c r="G74" i="15"/>
  <c r="E74" i="15"/>
  <c r="H73" i="15"/>
  <c r="G73" i="15"/>
  <c r="E73" i="15"/>
  <c r="H72" i="15"/>
  <c r="G72" i="15"/>
  <c r="E72" i="15"/>
  <c r="H71" i="15"/>
  <c r="G71" i="15"/>
  <c r="E71" i="15"/>
  <c r="H70" i="15"/>
  <c r="G70" i="15"/>
  <c r="E70" i="15"/>
  <c r="H69" i="15"/>
  <c r="G69" i="15"/>
  <c r="E69" i="15"/>
  <c r="H68" i="15"/>
  <c r="G68" i="15"/>
  <c r="E68" i="15"/>
  <c r="H67" i="15"/>
  <c r="G67" i="15"/>
  <c r="E67" i="15"/>
  <c r="H66" i="15"/>
  <c r="G66" i="15"/>
  <c r="E66" i="15"/>
  <c r="H65" i="15"/>
  <c r="G65" i="15"/>
  <c r="E65" i="15"/>
  <c r="H64" i="15"/>
  <c r="G64" i="15"/>
  <c r="E64" i="15"/>
  <c r="H63" i="15"/>
  <c r="G63" i="15"/>
  <c r="E63" i="15"/>
  <c r="H62" i="15"/>
  <c r="G62" i="15"/>
  <c r="E62" i="15"/>
  <c r="H61" i="15"/>
  <c r="G61" i="15"/>
  <c r="E61" i="15"/>
  <c r="H60" i="15"/>
  <c r="G60" i="15"/>
  <c r="E60" i="15"/>
  <c r="H59" i="15"/>
  <c r="G59" i="15"/>
  <c r="E59" i="15"/>
  <c r="H58" i="15"/>
  <c r="G58" i="15"/>
  <c r="E58" i="15"/>
  <c r="H57" i="15"/>
  <c r="G57" i="15"/>
  <c r="E57" i="15"/>
  <c r="H56" i="15"/>
  <c r="G56" i="15"/>
  <c r="E56" i="15"/>
  <c r="H55" i="15"/>
  <c r="G55" i="15"/>
  <c r="E55" i="15"/>
  <c r="H54" i="15"/>
  <c r="G54" i="15"/>
  <c r="E54" i="15"/>
  <c r="H53" i="15"/>
  <c r="G53" i="15"/>
  <c r="E53" i="15"/>
  <c r="H52" i="15"/>
  <c r="G52" i="15"/>
  <c r="E52" i="15"/>
  <c r="H51" i="15"/>
  <c r="G51" i="15"/>
  <c r="E51" i="15"/>
  <c r="H50" i="15"/>
  <c r="G50" i="15"/>
  <c r="E50" i="15"/>
  <c r="H49" i="15"/>
  <c r="G49" i="15"/>
  <c r="E49" i="15"/>
  <c r="H48" i="15"/>
  <c r="G48" i="15"/>
  <c r="E48" i="15"/>
  <c r="H47" i="15"/>
  <c r="G47" i="15"/>
  <c r="E47" i="15"/>
  <c r="H46" i="15"/>
  <c r="G46" i="15"/>
  <c r="E46" i="15"/>
  <c r="H45" i="15"/>
  <c r="G45" i="15"/>
  <c r="E45" i="15"/>
  <c r="H44" i="15"/>
  <c r="G44" i="15"/>
  <c r="E44" i="15"/>
  <c r="H43" i="15"/>
  <c r="G43" i="15"/>
  <c r="E43" i="15"/>
  <c r="H42" i="15"/>
  <c r="G42" i="15"/>
  <c r="E42" i="15"/>
  <c r="H41" i="15"/>
  <c r="G41" i="15"/>
  <c r="E41" i="15"/>
  <c r="H40" i="15"/>
  <c r="G40" i="15"/>
  <c r="E40" i="15"/>
  <c r="H39" i="15"/>
  <c r="G39" i="15"/>
  <c r="E39" i="15"/>
  <c r="H38" i="15"/>
  <c r="G38" i="15"/>
  <c r="E38" i="15"/>
  <c r="H37" i="15"/>
  <c r="G37" i="15"/>
  <c r="E37" i="15"/>
  <c r="H36" i="15"/>
  <c r="G36" i="15"/>
  <c r="E36" i="15"/>
  <c r="H35" i="15"/>
  <c r="G35" i="15"/>
  <c r="E35" i="15"/>
  <c r="H34" i="15"/>
  <c r="G34" i="15"/>
  <c r="E34" i="15"/>
  <c r="H33" i="15"/>
  <c r="G33" i="15"/>
  <c r="E33" i="15"/>
  <c r="H32" i="15"/>
  <c r="G32" i="15"/>
  <c r="E32" i="15"/>
  <c r="H31" i="15"/>
  <c r="G31" i="15"/>
  <c r="E31" i="15"/>
  <c r="H30" i="15"/>
  <c r="G30" i="15"/>
  <c r="E30" i="15"/>
  <c r="H29" i="15"/>
  <c r="G29" i="15"/>
  <c r="E29" i="15"/>
  <c r="H28" i="15"/>
  <c r="G28" i="15"/>
  <c r="E28" i="15"/>
  <c r="H27" i="15"/>
  <c r="G27" i="15"/>
  <c r="E27" i="15"/>
  <c r="H26" i="15"/>
  <c r="G26" i="15"/>
  <c r="E26" i="15"/>
  <c r="H25" i="15"/>
  <c r="G25" i="15"/>
  <c r="E25" i="15"/>
  <c r="H24" i="15"/>
  <c r="G24" i="15"/>
  <c r="E24" i="15"/>
  <c r="H23" i="15"/>
  <c r="G23" i="15"/>
  <c r="E23" i="15"/>
  <c r="H22" i="15"/>
  <c r="G22" i="15"/>
  <c r="E22" i="15"/>
  <c r="H21" i="15"/>
  <c r="G21" i="15"/>
  <c r="E21" i="15"/>
  <c r="H20" i="15"/>
  <c r="G20" i="15"/>
  <c r="E20" i="15"/>
  <c r="H19" i="15"/>
  <c r="G19" i="15"/>
  <c r="E19" i="15"/>
  <c r="H18" i="15"/>
  <c r="G18" i="15"/>
  <c r="E18" i="15"/>
  <c r="H17" i="15"/>
  <c r="G17" i="15"/>
  <c r="E17" i="15"/>
  <c r="H16" i="15"/>
  <c r="G16" i="15"/>
  <c r="E16" i="15"/>
  <c r="G15" i="15"/>
  <c r="H15" i="15" s="1"/>
  <c r="E15" i="15"/>
  <c r="F4" i="15"/>
  <c r="AB130" i="14"/>
  <c r="Y130" i="14"/>
  <c r="V130" i="14"/>
  <c r="U130" i="14"/>
  <c r="S130" i="14"/>
  <c r="I130" i="14"/>
  <c r="H130" i="14"/>
  <c r="E130" i="14"/>
  <c r="AB129" i="14"/>
  <c r="Y129" i="14"/>
  <c r="V129" i="14"/>
  <c r="U129" i="14"/>
  <c r="S129" i="14"/>
  <c r="I129" i="14"/>
  <c r="H129" i="14"/>
  <c r="E129" i="14"/>
  <c r="AB128" i="14"/>
  <c r="Y128" i="14"/>
  <c r="V128" i="14"/>
  <c r="U128" i="14"/>
  <c r="S128" i="14"/>
  <c r="I128" i="14"/>
  <c r="H128" i="14"/>
  <c r="E128" i="14"/>
  <c r="AB127" i="14"/>
  <c r="Y127" i="14"/>
  <c r="V127" i="14"/>
  <c r="U127" i="14"/>
  <c r="S127" i="14"/>
  <c r="I127" i="14"/>
  <c r="H127" i="14"/>
  <c r="E127" i="14"/>
  <c r="AB126" i="14"/>
  <c r="Y126" i="14"/>
  <c r="V126" i="14"/>
  <c r="U126" i="14"/>
  <c r="S126" i="14"/>
  <c r="I126" i="14"/>
  <c r="H126" i="14"/>
  <c r="E126" i="14"/>
  <c r="AB125" i="14"/>
  <c r="Y125" i="14"/>
  <c r="V125" i="14"/>
  <c r="U125" i="14"/>
  <c r="S125" i="14"/>
  <c r="I125" i="14"/>
  <c r="H125" i="14"/>
  <c r="E125" i="14"/>
  <c r="AB124" i="14"/>
  <c r="Y124" i="14"/>
  <c r="V124" i="14"/>
  <c r="U124" i="14"/>
  <c r="S124" i="14"/>
  <c r="I124" i="14"/>
  <c r="H124" i="14"/>
  <c r="E124" i="14"/>
  <c r="AB123" i="14"/>
  <c r="Y123" i="14"/>
  <c r="V123" i="14"/>
  <c r="U123" i="14"/>
  <c r="S123" i="14"/>
  <c r="I123" i="14"/>
  <c r="H123" i="14"/>
  <c r="E123" i="14"/>
  <c r="AB122" i="14"/>
  <c r="Y122" i="14"/>
  <c r="V122" i="14"/>
  <c r="U122" i="14"/>
  <c r="S122" i="14"/>
  <c r="I122" i="14"/>
  <c r="H122" i="14"/>
  <c r="E122" i="14"/>
  <c r="AB121" i="14"/>
  <c r="Y121" i="14"/>
  <c r="V121" i="14"/>
  <c r="U121" i="14"/>
  <c r="S121" i="14"/>
  <c r="I121" i="14"/>
  <c r="H121" i="14"/>
  <c r="E121" i="14"/>
  <c r="AC120" i="14"/>
  <c r="AB120" i="14"/>
  <c r="Y120" i="14"/>
  <c r="V120" i="14"/>
  <c r="U120" i="14"/>
  <c r="S120" i="14"/>
  <c r="I120" i="14"/>
  <c r="H120" i="14"/>
  <c r="E120" i="14"/>
  <c r="AB119" i="14"/>
  <c r="Y119" i="14"/>
  <c r="V119" i="14"/>
  <c r="U119" i="14"/>
  <c r="S119" i="14"/>
  <c r="I119" i="14"/>
  <c r="H119" i="14"/>
  <c r="E119" i="14"/>
  <c r="AB118" i="14"/>
  <c r="Y118" i="14"/>
  <c r="V118" i="14"/>
  <c r="U118" i="14"/>
  <c r="S118" i="14"/>
  <c r="I118" i="14"/>
  <c r="H118" i="14"/>
  <c r="E118" i="14"/>
  <c r="AB117" i="14"/>
  <c r="Y117" i="14"/>
  <c r="V117" i="14"/>
  <c r="U117" i="14"/>
  <c r="S117" i="14"/>
  <c r="I117" i="14"/>
  <c r="H117" i="14"/>
  <c r="E117" i="14"/>
  <c r="AB116" i="14"/>
  <c r="Y116" i="14"/>
  <c r="V116" i="14"/>
  <c r="U116" i="14"/>
  <c r="S116" i="14"/>
  <c r="I116" i="14"/>
  <c r="H116" i="14"/>
  <c r="E116" i="14"/>
  <c r="AB115" i="14"/>
  <c r="Y115" i="14"/>
  <c r="V115" i="14"/>
  <c r="U115" i="14"/>
  <c r="S115" i="14"/>
  <c r="I115" i="14"/>
  <c r="H115" i="14"/>
  <c r="E115" i="14"/>
  <c r="AB114" i="14"/>
  <c r="Y114" i="14"/>
  <c r="V114" i="14"/>
  <c r="U114" i="14"/>
  <c r="S114" i="14"/>
  <c r="I114" i="14"/>
  <c r="H114" i="14"/>
  <c r="E114" i="14"/>
  <c r="AB113" i="14"/>
  <c r="Y113" i="14"/>
  <c r="V113" i="14"/>
  <c r="U113" i="14"/>
  <c r="S113" i="14"/>
  <c r="I113" i="14"/>
  <c r="H113" i="14"/>
  <c r="E113" i="14"/>
  <c r="AB112" i="14"/>
  <c r="Y112" i="14"/>
  <c r="V112" i="14"/>
  <c r="U112" i="14"/>
  <c r="S112" i="14"/>
  <c r="I112" i="14"/>
  <c r="H112" i="14"/>
  <c r="E112" i="14"/>
  <c r="AB111" i="14"/>
  <c r="Y111" i="14"/>
  <c r="V111" i="14"/>
  <c r="U111" i="14"/>
  <c r="S111" i="14"/>
  <c r="I111" i="14"/>
  <c r="H111" i="14"/>
  <c r="E111" i="14"/>
  <c r="AB110" i="14"/>
  <c r="Y110" i="14"/>
  <c r="V110" i="14"/>
  <c r="U110" i="14"/>
  <c r="S110" i="14"/>
  <c r="I110" i="14"/>
  <c r="H110" i="14"/>
  <c r="E110" i="14"/>
  <c r="AB109" i="14"/>
  <c r="Y109" i="14"/>
  <c r="V109" i="14"/>
  <c r="U109" i="14"/>
  <c r="S109" i="14"/>
  <c r="I109" i="14"/>
  <c r="H109" i="14"/>
  <c r="E109" i="14"/>
  <c r="AB108" i="14"/>
  <c r="Y108" i="14"/>
  <c r="V108" i="14"/>
  <c r="U108" i="14"/>
  <c r="S108" i="14"/>
  <c r="I108" i="14"/>
  <c r="H108" i="14"/>
  <c r="E108" i="14"/>
  <c r="AB107" i="14"/>
  <c r="Y107" i="14"/>
  <c r="V107" i="14"/>
  <c r="U107" i="14"/>
  <c r="S107" i="14"/>
  <c r="I107" i="14"/>
  <c r="H107" i="14"/>
  <c r="E107" i="14"/>
  <c r="AB106" i="14"/>
  <c r="Y106" i="14"/>
  <c r="V106" i="14"/>
  <c r="U106" i="14"/>
  <c r="S106" i="14"/>
  <c r="I106" i="14"/>
  <c r="H106" i="14"/>
  <c r="E106" i="14"/>
  <c r="AB105" i="14"/>
  <c r="Y105" i="14"/>
  <c r="V105" i="14"/>
  <c r="U105" i="14"/>
  <c r="S105" i="14"/>
  <c r="I105" i="14"/>
  <c r="H105" i="14"/>
  <c r="E105" i="14"/>
  <c r="AB104" i="14"/>
  <c r="Y104" i="14"/>
  <c r="V104" i="14"/>
  <c r="U104" i="14"/>
  <c r="S104" i="14"/>
  <c r="I104" i="14"/>
  <c r="H104" i="14"/>
  <c r="E104" i="14"/>
  <c r="AB103" i="14"/>
  <c r="Y103" i="14"/>
  <c r="V103" i="14"/>
  <c r="U103" i="14"/>
  <c r="S103" i="14"/>
  <c r="I103" i="14"/>
  <c r="H103" i="14"/>
  <c r="E103" i="14"/>
  <c r="AB102" i="14"/>
  <c r="Y102" i="14"/>
  <c r="V102" i="14"/>
  <c r="U102" i="14"/>
  <c r="S102" i="14"/>
  <c r="I102" i="14"/>
  <c r="H102" i="14"/>
  <c r="E102" i="14"/>
  <c r="AB101" i="14"/>
  <c r="Y101" i="14"/>
  <c r="V101" i="14"/>
  <c r="U101" i="14"/>
  <c r="S101" i="14"/>
  <c r="I101" i="14"/>
  <c r="H101" i="14"/>
  <c r="E101" i="14"/>
  <c r="AB100" i="14"/>
  <c r="Y100" i="14"/>
  <c r="V100" i="14"/>
  <c r="U100" i="14"/>
  <c r="S100" i="14"/>
  <c r="I100" i="14"/>
  <c r="H100" i="14"/>
  <c r="E100" i="14"/>
  <c r="AB99" i="14"/>
  <c r="Y99" i="14"/>
  <c r="V99" i="14"/>
  <c r="U99" i="14"/>
  <c r="S99" i="14"/>
  <c r="I99" i="14"/>
  <c r="H99" i="14"/>
  <c r="E99" i="14"/>
  <c r="AB98" i="14"/>
  <c r="Y98" i="14"/>
  <c r="V98" i="14"/>
  <c r="U98" i="14"/>
  <c r="S98" i="14"/>
  <c r="I98" i="14"/>
  <c r="H98" i="14"/>
  <c r="E98" i="14"/>
  <c r="AB97" i="14"/>
  <c r="Y97" i="14"/>
  <c r="V97" i="14"/>
  <c r="U97" i="14"/>
  <c r="S97" i="14"/>
  <c r="I97" i="14"/>
  <c r="H97" i="14"/>
  <c r="E97" i="14"/>
  <c r="AB96" i="14"/>
  <c r="Y96" i="14"/>
  <c r="V96" i="14"/>
  <c r="U96" i="14"/>
  <c r="S96" i="14"/>
  <c r="I96" i="14"/>
  <c r="H96" i="14"/>
  <c r="E96" i="14"/>
  <c r="AB95" i="14"/>
  <c r="Y95" i="14"/>
  <c r="V95" i="14"/>
  <c r="U95" i="14"/>
  <c r="S95" i="14"/>
  <c r="I95" i="14"/>
  <c r="H95" i="14"/>
  <c r="E95" i="14"/>
  <c r="AB94" i="14"/>
  <c r="Y94" i="14"/>
  <c r="V94" i="14"/>
  <c r="U94" i="14"/>
  <c r="S94" i="14"/>
  <c r="I94" i="14"/>
  <c r="H94" i="14"/>
  <c r="E94" i="14"/>
  <c r="AB93" i="14"/>
  <c r="Y93" i="14"/>
  <c r="V93" i="14"/>
  <c r="U93" i="14"/>
  <c r="S93" i="14"/>
  <c r="I93" i="14"/>
  <c r="H93" i="14"/>
  <c r="E93" i="14"/>
  <c r="AB92" i="14"/>
  <c r="Y92" i="14"/>
  <c r="V92" i="14"/>
  <c r="U92" i="14"/>
  <c r="S92" i="14"/>
  <c r="I92" i="14"/>
  <c r="H92" i="14"/>
  <c r="E92" i="14"/>
  <c r="AB91" i="14"/>
  <c r="Y91" i="14"/>
  <c r="V91" i="14"/>
  <c r="U91" i="14"/>
  <c r="S91" i="14"/>
  <c r="I91" i="14"/>
  <c r="H91" i="14"/>
  <c r="E91" i="14"/>
  <c r="AB90" i="14"/>
  <c r="Y90" i="14"/>
  <c r="V90" i="14"/>
  <c r="U90" i="14"/>
  <c r="S90" i="14"/>
  <c r="I90" i="14"/>
  <c r="H90" i="14"/>
  <c r="E90" i="14"/>
  <c r="AB89" i="14"/>
  <c r="Y89" i="14"/>
  <c r="V89" i="14"/>
  <c r="U89" i="14"/>
  <c r="S89" i="14"/>
  <c r="I89" i="14"/>
  <c r="H89" i="14"/>
  <c r="E89" i="14"/>
  <c r="AB88" i="14"/>
  <c r="Y88" i="14"/>
  <c r="V88" i="14"/>
  <c r="U88" i="14"/>
  <c r="S88" i="14"/>
  <c r="I88" i="14"/>
  <c r="H88" i="14"/>
  <c r="E88" i="14"/>
  <c r="AB87" i="14"/>
  <c r="Y87" i="14"/>
  <c r="V87" i="14"/>
  <c r="U87" i="14"/>
  <c r="S87" i="14"/>
  <c r="I87" i="14"/>
  <c r="H87" i="14"/>
  <c r="E87" i="14"/>
  <c r="AB86" i="14"/>
  <c r="Y86" i="14"/>
  <c r="V86" i="14"/>
  <c r="U86" i="14"/>
  <c r="S86" i="14"/>
  <c r="I86" i="14"/>
  <c r="H86" i="14"/>
  <c r="E86" i="14"/>
  <c r="AB85" i="14"/>
  <c r="Y85" i="14"/>
  <c r="V85" i="14"/>
  <c r="U85" i="14"/>
  <c r="S85" i="14"/>
  <c r="I85" i="14"/>
  <c r="H85" i="14"/>
  <c r="E85" i="14"/>
  <c r="AB84" i="14"/>
  <c r="Y84" i="14"/>
  <c r="V84" i="14"/>
  <c r="U84" i="14"/>
  <c r="S84" i="14"/>
  <c r="I84" i="14"/>
  <c r="H84" i="14"/>
  <c r="E84" i="14"/>
  <c r="AB83" i="14"/>
  <c r="Y83" i="14"/>
  <c r="V83" i="14"/>
  <c r="U83" i="14"/>
  <c r="S83" i="14"/>
  <c r="I83" i="14"/>
  <c r="H83" i="14"/>
  <c r="E83" i="14"/>
  <c r="AB82" i="14"/>
  <c r="Y82" i="14"/>
  <c r="V82" i="14"/>
  <c r="U82" i="14"/>
  <c r="S82" i="14"/>
  <c r="I82" i="14"/>
  <c r="H82" i="14"/>
  <c r="E82" i="14"/>
  <c r="AB81" i="14"/>
  <c r="Y81" i="14"/>
  <c r="V81" i="14"/>
  <c r="U81" i="14"/>
  <c r="S81" i="14"/>
  <c r="I81" i="14"/>
  <c r="H81" i="14"/>
  <c r="E81" i="14"/>
  <c r="AC80" i="14"/>
  <c r="AB80" i="14"/>
  <c r="Y80" i="14"/>
  <c r="V80" i="14"/>
  <c r="U80" i="14"/>
  <c r="S80" i="14"/>
  <c r="I80" i="14"/>
  <c r="H80" i="14"/>
  <c r="E80" i="14"/>
  <c r="AB79" i="14"/>
  <c r="Y79" i="14"/>
  <c r="V79" i="14"/>
  <c r="U79" i="14"/>
  <c r="S79" i="14"/>
  <c r="I79" i="14"/>
  <c r="H79" i="14"/>
  <c r="E79" i="14"/>
  <c r="AB78" i="14"/>
  <c r="Y78" i="14"/>
  <c r="V78" i="14"/>
  <c r="U78" i="14"/>
  <c r="S78" i="14"/>
  <c r="I78" i="14"/>
  <c r="H78" i="14"/>
  <c r="E78" i="14"/>
  <c r="AB77" i="14"/>
  <c r="Y77" i="14"/>
  <c r="V77" i="14"/>
  <c r="U77" i="14"/>
  <c r="S77" i="14"/>
  <c r="I77" i="14"/>
  <c r="H77" i="14"/>
  <c r="E77" i="14"/>
  <c r="AB76" i="14"/>
  <c r="Y76" i="14"/>
  <c r="V76" i="14"/>
  <c r="U76" i="14"/>
  <c r="S76" i="14"/>
  <c r="I76" i="14"/>
  <c r="H76" i="14"/>
  <c r="E76" i="14"/>
  <c r="AB75" i="14"/>
  <c r="Y75" i="14"/>
  <c r="V75" i="14"/>
  <c r="U75" i="14"/>
  <c r="S75" i="14"/>
  <c r="I75" i="14"/>
  <c r="H75" i="14"/>
  <c r="E75" i="14"/>
  <c r="AB74" i="14"/>
  <c r="Y74" i="14"/>
  <c r="V74" i="14"/>
  <c r="U74" i="14"/>
  <c r="S74" i="14"/>
  <c r="I74" i="14"/>
  <c r="H74" i="14"/>
  <c r="E74" i="14"/>
  <c r="AB73" i="14"/>
  <c r="Y73" i="14"/>
  <c r="V73" i="14"/>
  <c r="U73" i="14"/>
  <c r="S73" i="14"/>
  <c r="I73" i="14"/>
  <c r="H73" i="14"/>
  <c r="E73" i="14"/>
  <c r="AB72" i="14"/>
  <c r="Y72" i="14"/>
  <c r="V72" i="14"/>
  <c r="U72" i="14"/>
  <c r="S72" i="14"/>
  <c r="I72" i="14"/>
  <c r="H72" i="14"/>
  <c r="E72" i="14"/>
  <c r="AB71" i="14"/>
  <c r="Y71" i="14"/>
  <c r="V71" i="14"/>
  <c r="U71" i="14"/>
  <c r="S71" i="14"/>
  <c r="I71" i="14"/>
  <c r="H71" i="14"/>
  <c r="E71" i="14"/>
  <c r="AB70" i="14"/>
  <c r="Y70" i="14"/>
  <c r="V70" i="14"/>
  <c r="U70" i="14"/>
  <c r="S70" i="14"/>
  <c r="I70" i="14"/>
  <c r="H70" i="14"/>
  <c r="E70" i="14"/>
  <c r="AB69" i="14"/>
  <c r="Y69" i="14"/>
  <c r="V69" i="14"/>
  <c r="U69" i="14"/>
  <c r="S69" i="14"/>
  <c r="I69" i="14"/>
  <c r="H69" i="14"/>
  <c r="E69" i="14"/>
  <c r="AB68" i="14"/>
  <c r="Y68" i="14"/>
  <c r="V68" i="14"/>
  <c r="U68" i="14"/>
  <c r="S68" i="14"/>
  <c r="I68" i="14"/>
  <c r="H68" i="14"/>
  <c r="E68" i="14"/>
  <c r="AB67" i="14"/>
  <c r="Y67" i="14"/>
  <c r="V67" i="14"/>
  <c r="U67" i="14"/>
  <c r="S67" i="14"/>
  <c r="I67" i="14"/>
  <c r="H67" i="14"/>
  <c r="E67" i="14"/>
  <c r="AB66" i="14"/>
  <c r="Y66" i="14"/>
  <c r="V66" i="14"/>
  <c r="U66" i="14"/>
  <c r="S66" i="14"/>
  <c r="I66" i="14"/>
  <c r="H66" i="14"/>
  <c r="E66" i="14"/>
  <c r="AB65" i="14"/>
  <c r="Y65" i="14"/>
  <c r="V65" i="14"/>
  <c r="U65" i="14"/>
  <c r="S65" i="14"/>
  <c r="I65" i="14"/>
  <c r="H65" i="14"/>
  <c r="E65" i="14"/>
  <c r="AB64" i="14"/>
  <c r="Y64" i="14"/>
  <c r="V64" i="14"/>
  <c r="U64" i="14"/>
  <c r="S64" i="14"/>
  <c r="I64" i="14"/>
  <c r="H64" i="14"/>
  <c r="E64" i="14"/>
  <c r="AB63" i="14"/>
  <c r="Y63" i="14"/>
  <c r="V63" i="14"/>
  <c r="U63" i="14"/>
  <c r="S63" i="14"/>
  <c r="I63" i="14"/>
  <c r="H63" i="14"/>
  <c r="E63" i="14"/>
  <c r="AB62" i="14"/>
  <c r="Y62" i="14"/>
  <c r="V62" i="14"/>
  <c r="U62" i="14"/>
  <c r="S62" i="14"/>
  <c r="I62" i="14"/>
  <c r="H62" i="14"/>
  <c r="E62" i="14"/>
  <c r="AB61" i="14"/>
  <c r="Y61" i="14"/>
  <c r="V61" i="14"/>
  <c r="U61" i="14"/>
  <c r="S61" i="14"/>
  <c r="I61" i="14"/>
  <c r="H61" i="14"/>
  <c r="E61" i="14"/>
  <c r="AB60" i="14"/>
  <c r="Y60" i="14"/>
  <c r="V60" i="14"/>
  <c r="U60" i="14"/>
  <c r="S60" i="14"/>
  <c r="I60" i="14"/>
  <c r="H60" i="14"/>
  <c r="E60" i="14"/>
  <c r="AB59" i="14"/>
  <c r="Y59" i="14"/>
  <c r="V59" i="14"/>
  <c r="U59" i="14"/>
  <c r="S59" i="14"/>
  <c r="I59" i="14"/>
  <c r="H59" i="14"/>
  <c r="E59" i="14"/>
  <c r="AB58" i="14"/>
  <c r="Y58" i="14"/>
  <c r="V58" i="14"/>
  <c r="U58" i="14"/>
  <c r="S58" i="14"/>
  <c r="I58" i="14"/>
  <c r="H58" i="14"/>
  <c r="E58" i="14"/>
  <c r="AB57" i="14"/>
  <c r="Y57" i="14"/>
  <c r="V57" i="14"/>
  <c r="U57" i="14"/>
  <c r="S57" i="14"/>
  <c r="I57" i="14"/>
  <c r="H57" i="14"/>
  <c r="E57" i="14"/>
  <c r="AC56" i="14"/>
  <c r="AB56" i="14"/>
  <c r="Y56" i="14"/>
  <c r="V56" i="14"/>
  <c r="U56" i="14"/>
  <c r="S56" i="14"/>
  <c r="I56" i="14"/>
  <c r="H56" i="14"/>
  <c r="E56" i="14"/>
  <c r="AC55" i="14"/>
  <c r="AB55" i="14"/>
  <c r="Y55" i="14"/>
  <c r="V55" i="14"/>
  <c r="U55" i="14"/>
  <c r="S55" i="14"/>
  <c r="I55" i="14"/>
  <c r="H55" i="14"/>
  <c r="E55" i="14"/>
  <c r="AB54" i="14"/>
  <c r="Y54" i="14"/>
  <c r="V54" i="14"/>
  <c r="U54" i="14"/>
  <c r="S54" i="14"/>
  <c r="I54" i="14"/>
  <c r="H54" i="14"/>
  <c r="E54" i="14"/>
  <c r="AB53" i="14"/>
  <c r="Y53" i="14"/>
  <c r="V53" i="14"/>
  <c r="U53" i="14"/>
  <c r="S53" i="14"/>
  <c r="I53" i="14"/>
  <c r="H53" i="14"/>
  <c r="E53" i="14"/>
  <c r="AB52" i="14"/>
  <c r="Y52" i="14"/>
  <c r="V52" i="14"/>
  <c r="U52" i="14"/>
  <c r="S52" i="14"/>
  <c r="I52" i="14"/>
  <c r="H52" i="14"/>
  <c r="E52" i="14"/>
  <c r="AC51" i="14"/>
  <c r="AB51" i="14"/>
  <c r="Y51" i="14"/>
  <c r="V51" i="14"/>
  <c r="U51" i="14"/>
  <c r="S51" i="14"/>
  <c r="I51" i="14"/>
  <c r="H51" i="14"/>
  <c r="E51" i="14"/>
  <c r="AB50" i="14"/>
  <c r="Y50" i="14"/>
  <c r="V50" i="14"/>
  <c r="U50" i="14"/>
  <c r="S50" i="14"/>
  <c r="I50" i="14"/>
  <c r="H50" i="14"/>
  <c r="E50" i="14"/>
  <c r="AB49" i="14"/>
  <c r="Y49" i="14"/>
  <c r="V49" i="14"/>
  <c r="U49" i="14"/>
  <c r="S49" i="14"/>
  <c r="I49" i="14"/>
  <c r="H49" i="14"/>
  <c r="E49" i="14"/>
  <c r="AB48" i="14"/>
  <c r="Y48" i="14"/>
  <c r="V48" i="14"/>
  <c r="U48" i="14"/>
  <c r="S48" i="14"/>
  <c r="I48" i="14"/>
  <c r="H48" i="14"/>
  <c r="E48" i="14"/>
  <c r="AB47" i="14"/>
  <c r="Y47" i="14"/>
  <c r="V47" i="14"/>
  <c r="U47" i="14"/>
  <c r="S47" i="14"/>
  <c r="I47" i="14"/>
  <c r="H47" i="14"/>
  <c r="E47" i="14"/>
  <c r="AB46" i="14"/>
  <c r="Y46" i="14"/>
  <c r="V46" i="14"/>
  <c r="U46" i="14"/>
  <c r="S46" i="14"/>
  <c r="I46" i="14"/>
  <c r="H46" i="14"/>
  <c r="E46" i="14"/>
  <c r="AB45" i="14"/>
  <c r="Y45" i="14"/>
  <c r="V45" i="14"/>
  <c r="U45" i="14"/>
  <c r="S45" i="14"/>
  <c r="I45" i="14"/>
  <c r="H45" i="14"/>
  <c r="E45" i="14"/>
  <c r="AB44" i="14"/>
  <c r="Y44" i="14"/>
  <c r="V44" i="14"/>
  <c r="U44" i="14"/>
  <c r="S44" i="14"/>
  <c r="I44" i="14"/>
  <c r="H44" i="14"/>
  <c r="E44" i="14"/>
  <c r="AB43" i="14"/>
  <c r="Y43" i="14"/>
  <c r="V43" i="14"/>
  <c r="U43" i="14"/>
  <c r="S43" i="14"/>
  <c r="I43" i="14"/>
  <c r="H43" i="14"/>
  <c r="E43" i="14"/>
  <c r="AB42" i="14"/>
  <c r="Y42" i="14"/>
  <c r="V42" i="14"/>
  <c r="U42" i="14"/>
  <c r="S42" i="14"/>
  <c r="I42" i="14"/>
  <c r="H42" i="14"/>
  <c r="E42" i="14"/>
  <c r="AB41" i="14"/>
  <c r="Y41" i="14"/>
  <c r="V41" i="14"/>
  <c r="U41" i="14"/>
  <c r="S41" i="14"/>
  <c r="I41" i="14"/>
  <c r="H41" i="14"/>
  <c r="E41" i="14"/>
  <c r="AB40" i="14"/>
  <c r="Y40" i="14"/>
  <c r="V40" i="14"/>
  <c r="U40" i="14"/>
  <c r="S40" i="14"/>
  <c r="I40" i="14"/>
  <c r="H40" i="14"/>
  <c r="E40" i="14"/>
  <c r="AB39" i="14"/>
  <c r="Y39" i="14"/>
  <c r="V39" i="14"/>
  <c r="U39" i="14"/>
  <c r="S39" i="14"/>
  <c r="I39" i="14"/>
  <c r="H39" i="14"/>
  <c r="E39" i="14"/>
  <c r="AB38" i="14"/>
  <c r="Y38" i="14"/>
  <c r="V38" i="14"/>
  <c r="U38" i="14"/>
  <c r="S38" i="14"/>
  <c r="I38" i="14"/>
  <c r="H38" i="14"/>
  <c r="E38" i="14"/>
  <c r="AB37" i="14"/>
  <c r="Y37" i="14"/>
  <c r="V37" i="14"/>
  <c r="U37" i="14"/>
  <c r="S37" i="14"/>
  <c r="I37" i="14"/>
  <c r="H37" i="14"/>
  <c r="E37" i="14"/>
  <c r="AB36" i="14"/>
  <c r="Y36" i="14"/>
  <c r="V36" i="14"/>
  <c r="U36" i="14"/>
  <c r="S36" i="14"/>
  <c r="I36" i="14"/>
  <c r="H36" i="14"/>
  <c r="E36" i="14"/>
  <c r="AB35" i="14"/>
  <c r="Y35" i="14"/>
  <c r="V35" i="14"/>
  <c r="U35" i="14"/>
  <c r="S35" i="14"/>
  <c r="I35" i="14"/>
  <c r="H35" i="14"/>
  <c r="E35" i="14"/>
  <c r="AB34" i="14"/>
  <c r="Y34" i="14"/>
  <c r="V34" i="14"/>
  <c r="U34" i="14"/>
  <c r="S34" i="14"/>
  <c r="I34" i="14"/>
  <c r="H34" i="14"/>
  <c r="E34" i="14"/>
  <c r="AB33" i="14"/>
  <c r="Y33" i="14"/>
  <c r="V33" i="14"/>
  <c r="U33" i="14"/>
  <c r="S33" i="14"/>
  <c r="I33" i="14"/>
  <c r="H33" i="14"/>
  <c r="E33" i="14"/>
  <c r="AB32" i="14"/>
  <c r="Y32" i="14"/>
  <c r="V32" i="14"/>
  <c r="U32" i="14"/>
  <c r="S32" i="14"/>
  <c r="I32" i="14"/>
  <c r="H32" i="14"/>
  <c r="E32" i="14"/>
  <c r="AB31" i="14"/>
  <c r="Y31" i="14"/>
  <c r="V31" i="14"/>
  <c r="U31" i="14"/>
  <c r="S31" i="14"/>
  <c r="I31" i="14"/>
  <c r="H31" i="14"/>
  <c r="E31" i="14"/>
  <c r="AB30" i="14"/>
  <c r="Y30" i="14"/>
  <c r="V30" i="14"/>
  <c r="U30" i="14"/>
  <c r="S30" i="14"/>
  <c r="I30" i="14"/>
  <c r="H30" i="14"/>
  <c r="E30" i="14"/>
  <c r="AB29" i="14"/>
  <c r="Y29" i="14"/>
  <c r="V29" i="14"/>
  <c r="U29" i="14"/>
  <c r="S29" i="14"/>
  <c r="I29" i="14"/>
  <c r="H29" i="14"/>
  <c r="E29" i="14"/>
  <c r="AB28" i="14"/>
  <c r="Y28" i="14"/>
  <c r="V28" i="14"/>
  <c r="U28" i="14"/>
  <c r="S28" i="14"/>
  <c r="I28" i="14"/>
  <c r="H28" i="14"/>
  <c r="E28" i="14"/>
  <c r="AB27" i="14"/>
  <c r="Y27" i="14"/>
  <c r="V27" i="14"/>
  <c r="U27" i="14"/>
  <c r="S27" i="14"/>
  <c r="I27" i="14"/>
  <c r="H27" i="14"/>
  <c r="E27" i="14"/>
  <c r="AB26" i="14"/>
  <c r="Y26" i="14"/>
  <c r="V26" i="14"/>
  <c r="U26" i="14"/>
  <c r="S26" i="14"/>
  <c r="S4" i="14" s="1"/>
  <c r="I26" i="14"/>
  <c r="H26" i="14"/>
  <c r="E26" i="14"/>
  <c r="AB25" i="14"/>
  <c r="Y25" i="14"/>
  <c r="V25" i="14"/>
  <c r="U25" i="14"/>
  <c r="S25" i="14"/>
  <c r="I25" i="14"/>
  <c r="H25" i="14"/>
  <c r="E25" i="14"/>
  <c r="AB24" i="14"/>
  <c r="Y24" i="14"/>
  <c r="V24" i="14"/>
  <c r="U24" i="14"/>
  <c r="S24" i="14"/>
  <c r="I24" i="14"/>
  <c r="H24" i="14"/>
  <c r="E24" i="14"/>
  <c r="AB23" i="14"/>
  <c r="Y23" i="14"/>
  <c r="V23" i="14"/>
  <c r="U23" i="14"/>
  <c r="S23" i="14"/>
  <c r="I23" i="14"/>
  <c r="H23" i="14"/>
  <c r="E23" i="14"/>
  <c r="AB22" i="14"/>
  <c r="Y22" i="14"/>
  <c r="V22" i="14"/>
  <c r="U22" i="14"/>
  <c r="S22" i="14"/>
  <c r="I22" i="14"/>
  <c r="H22" i="14"/>
  <c r="E22" i="14"/>
  <c r="AB21" i="14"/>
  <c r="Y21" i="14"/>
  <c r="V21" i="14"/>
  <c r="U21" i="14"/>
  <c r="S21" i="14"/>
  <c r="I21" i="14"/>
  <c r="H21" i="14"/>
  <c r="E21" i="14"/>
  <c r="AB20" i="14"/>
  <c r="Y20" i="14"/>
  <c r="V20" i="14"/>
  <c r="U20" i="14"/>
  <c r="S20" i="14"/>
  <c r="I20" i="14"/>
  <c r="H20" i="14"/>
  <c r="E20" i="14"/>
  <c r="AB19" i="14"/>
  <c r="Y19" i="14"/>
  <c r="V19" i="14"/>
  <c r="U19" i="14"/>
  <c r="S19" i="14"/>
  <c r="I19" i="14"/>
  <c r="H19" i="14"/>
  <c r="E19" i="14"/>
  <c r="AB18" i="14"/>
  <c r="Y18" i="14"/>
  <c r="V18" i="14"/>
  <c r="U18" i="14"/>
  <c r="S18" i="14"/>
  <c r="I18" i="14"/>
  <c r="H18" i="14"/>
  <c r="E18" i="14"/>
  <c r="AB17" i="14"/>
  <c r="Y17" i="14"/>
  <c r="V17" i="14"/>
  <c r="U17" i="14"/>
  <c r="S17" i="14"/>
  <c r="I17" i="14"/>
  <c r="H17" i="14"/>
  <c r="E17" i="14"/>
  <c r="AB16" i="14"/>
  <c r="Y16" i="14"/>
  <c r="V16" i="14"/>
  <c r="U16" i="14"/>
  <c r="S16" i="14"/>
  <c r="I16" i="14"/>
  <c r="H16" i="14"/>
  <c r="E16" i="14"/>
  <c r="AB15" i="14"/>
  <c r="Y15" i="14"/>
  <c r="V15" i="14"/>
  <c r="U15" i="14"/>
  <c r="S15" i="14"/>
  <c r="I15" i="14"/>
  <c r="H15" i="14"/>
  <c r="E15" i="14"/>
  <c r="AB4" i="14"/>
  <c r="R4" i="14"/>
  <c r="Q4" i="14"/>
  <c r="P4" i="14"/>
  <c r="L72" i="13"/>
  <c r="K72" i="13"/>
  <c r="E72" i="13"/>
  <c r="L71" i="13"/>
  <c r="K71" i="13"/>
  <c r="E71" i="13"/>
  <c r="L70" i="13"/>
  <c r="K70" i="13"/>
  <c r="E70" i="13"/>
  <c r="L69" i="13"/>
  <c r="K69" i="13"/>
  <c r="E69" i="13"/>
  <c r="L68" i="13"/>
  <c r="K68" i="13"/>
  <c r="E68" i="13"/>
  <c r="L67" i="13"/>
  <c r="K67" i="13"/>
  <c r="E67" i="13"/>
  <c r="L66" i="13"/>
  <c r="K66" i="13"/>
  <c r="E66" i="13"/>
  <c r="L65" i="13"/>
  <c r="K65" i="13"/>
  <c r="E65" i="13"/>
  <c r="L64" i="13"/>
  <c r="K64" i="13"/>
  <c r="E64" i="13"/>
  <c r="L63" i="13"/>
  <c r="K63" i="13"/>
  <c r="E63" i="13"/>
  <c r="L62" i="13"/>
  <c r="K62" i="13"/>
  <c r="E62" i="13"/>
  <c r="L61" i="13"/>
  <c r="K61" i="13"/>
  <c r="E61" i="13"/>
  <c r="L60" i="13"/>
  <c r="K60" i="13"/>
  <c r="E60" i="13"/>
  <c r="L59" i="13"/>
  <c r="K59" i="13"/>
  <c r="E59" i="13"/>
  <c r="L58" i="13"/>
  <c r="K58" i="13"/>
  <c r="E58" i="13"/>
  <c r="L57" i="13"/>
  <c r="K57" i="13"/>
  <c r="E57" i="13"/>
  <c r="L56" i="13"/>
  <c r="K56" i="13"/>
  <c r="E56" i="13"/>
  <c r="L55" i="13"/>
  <c r="K55" i="13"/>
  <c r="E55" i="13"/>
  <c r="L54" i="13"/>
  <c r="K54" i="13"/>
  <c r="E54" i="13"/>
  <c r="L53" i="13"/>
  <c r="K53" i="13"/>
  <c r="E53" i="13"/>
  <c r="L52" i="13"/>
  <c r="K52" i="13"/>
  <c r="E52" i="13"/>
  <c r="L51" i="13"/>
  <c r="K51" i="13"/>
  <c r="E51" i="13"/>
  <c r="L50" i="13"/>
  <c r="K50" i="13"/>
  <c r="E50" i="13"/>
  <c r="L49" i="13"/>
  <c r="K49" i="13"/>
  <c r="E49" i="13"/>
  <c r="L48" i="13"/>
  <c r="K48" i="13"/>
  <c r="E48" i="13"/>
  <c r="L47" i="13"/>
  <c r="K47" i="13"/>
  <c r="E47" i="13"/>
  <c r="L46" i="13"/>
  <c r="K46" i="13"/>
  <c r="E46" i="13"/>
  <c r="L45" i="13"/>
  <c r="K45" i="13"/>
  <c r="E45" i="13"/>
  <c r="L44" i="13"/>
  <c r="K44" i="13"/>
  <c r="E44" i="13"/>
  <c r="L43" i="13"/>
  <c r="K43" i="13"/>
  <c r="E43" i="13"/>
  <c r="L42" i="13"/>
  <c r="K42" i="13"/>
  <c r="E42" i="13"/>
  <c r="L41" i="13"/>
  <c r="K41" i="13"/>
  <c r="E41" i="13"/>
  <c r="L40" i="13"/>
  <c r="K40" i="13"/>
  <c r="E40" i="13"/>
  <c r="L39" i="13"/>
  <c r="K39" i="13"/>
  <c r="E39" i="13"/>
  <c r="L38" i="13"/>
  <c r="K38" i="13"/>
  <c r="E38" i="13"/>
  <c r="L37" i="13"/>
  <c r="K37" i="13"/>
  <c r="E37" i="13"/>
  <c r="L36" i="13"/>
  <c r="K36" i="13"/>
  <c r="E36" i="13"/>
  <c r="L35" i="13"/>
  <c r="K35" i="13"/>
  <c r="E35" i="13"/>
  <c r="L34" i="13"/>
  <c r="K34" i="13"/>
  <c r="E34" i="13"/>
  <c r="L33" i="13"/>
  <c r="K33" i="13"/>
  <c r="E33" i="13"/>
  <c r="L32" i="13"/>
  <c r="K32" i="13"/>
  <c r="E32" i="13"/>
  <c r="L31" i="13"/>
  <c r="K31" i="13"/>
  <c r="E31" i="13"/>
  <c r="L30" i="13"/>
  <c r="K30" i="13"/>
  <c r="E30" i="13"/>
  <c r="L29" i="13"/>
  <c r="K29" i="13"/>
  <c r="E29" i="13"/>
  <c r="L28" i="13"/>
  <c r="K28" i="13"/>
  <c r="E28" i="13"/>
  <c r="L27" i="13"/>
  <c r="K27" i="13"/>
  <c r="E27" i="13"/>
  <c r="L26" i="13"/>
  <c r="K26" i="13"/>
  <c r="E26" i="13"/>
  <c r="L25" i="13"/>
  <c r="K25" i="13"/>
  <c r="E25" i="13"/>
  <c r="L24" i="13"/>
  <c r="K24" i="13"/>
  <c r="E24" i="13"/>
  <c r="L23" i="13"/>
  <c r="K23" i="13"/>
  <c r="E23" i="13"/>
  <c r="L22" i="13"/>
  <c r="K22" i="13"/>
  <c r="E22" i="13"/>
  <c r="L21" i="13"/>
  <c r="K21" i="13"/>
  <c r="E21" i="13"/>
  <c r="L20" i="13"/>
  <c r="K20" i="13"/>
  <c r="E20" i="13"/>
  <c r="L19" i="13"/>
  <c r="K19" i="13"/>
  <c r="E19" i="13"/>
  <c r="L18" i="13"/>
  <c r="K18" i="13"/>
  <c r="E18" i="13"/>
  <c r="L17" i="13"/>
  <c r="K17" i="13"/>
  <c r="E17" i="13"/>
  <c r="L16" i="13"/>
  <c r="K16" i="13"/>
  <c r="E16" i="13"/>
  <c r="L15" i="13"/>
  <c r="K15" i="13"/>
  <c r="E15" i="13"/>
  <c r="G4" i="13"/>
  <c r="F4" i="13"/>
  <c r="AZ362" i="12"/>
  <c r="AY362" i="12"/>
  <c r="AX362" i="12"/>
  <c r="AP362" i="12"/>
  <c r="AO362" i="12"/>
  <c r="I362" i="12"/>
  <c r="H362" i="12"/>
  <c r="E362" i="12"/>
  <c r="AZ361" i="12"/>
  <c r="AX361" i="12"/>
  <c r="AY361" i="12" s="1"/>
  <c r="AR361" i="12"/>
  <c r="K361" i="12"/>
  <c r="E361" i="12"/>
  <c r="AZ360" i="12"/>
  <c r="AY360" i="12"/>
  <c r="AX360" i="12"/>
  <c r="AP360" i="12"/>
  <c r="AO360" i="12"/>
  <c r="I360" i="12"/>
  <c r="H360" i="12"/>
  <c r="E360" i="12"/>
  <c r="AZ359" i="12"/>
  <c r="AY359" i="12"/>
  <c r="AX359" i="12"/>
  <c r="AR359" i="12"/>
  <c r="K359" i="12"/>
  <c r="E359" i="12"/>
  <c r="AZ358" i="12"/>
  <c r="AY358" i="12"/>
  <c r="AX358" i="12"/>
  <c r="AP358" i="12"/>
  <c r="AO358" i="12"/>
  <c r="I358" i="12"/>
  <c r="H358" i="12"/>
  <c r="E358" i="12"/>
  <c r="AZ357" i="12"/>
  <c r="AY357" i="12"/>
  <c r="AX357" i="12"/>
  <c r="AR357" i="12"/>
  <c r="K357" i="12"/>
  <c r="E357" i="12"/>
  <c r="AZ356" i="12"/>
  <c r="AY356" i="12"/>
  <c r="BQ43" i="20" s="1"/>
  <c r="AX356" i="12"/>
  <c r="AP356" i="12"/>
  <c r="AO356" i="12"/>
  <c r="I356" i="12"/>
  <c r="H356" i="12"/>
  <c r="E356" i="12"/>
  <c r="AZ355" i="12"/>
  <c r="AY355" i="12"/>
  <c r="AX355" i="12"/>
  <c r="AR355" i="12"/>
  <c r="K355" i="12"/>
  <c r="E355" i="12"/>
  <c r="AZ354" i="12"/>
  <c r="AY354" i="12"/>
  <c r="AX354" i="12"/>
  <c r="AS354" i="12"/>
  <c r="AR354" i="12"/>
  <c r="AP354" i="12"/>
  <c r="AO354" i="12"/>
  <c r="K354" i="12"/>
  <c r="I354" i="12"/>
  <c r="H354" i="12"/>
  <c r="E354" i="12"/>
  <c r="AZ353" i="12"/>
  <c r="AX353" i="12"/>
  <c r="AY353" i="12" s="1"/>
  <c r="AS353" i="12"/>
  <c r="AR353" i="12"/>
  <c r="K353" i="12"/>
  <c r="E353" i="12"/>
  <c r="AZ352" i="12"/>
  <c r="AY352" i="12"/>
  <c r="AX352" i="12"/>
  <c r="AS352" i="12"/>
  <c r="AR352" i="12"/>
  <c r="AP352" i="12"/>
  <c r="AO352" i="12"/>
  <c r="K352" i="12"/>
  <c r="I352" i="12"/>
  <c r="H352" i="12"/>
  <c r="E352" i="12"/>
  <c r="AZ351" i="12"/>
  <c r="AY351" i="12"/>
  <c r="AX351" i="12"/>
  <c r="AS351" i="12"/>
  <c r="AR351" i="12"/>
  <c r="AP351" i="12"/>
  <c r="AO351" i="12"/>
  <c r="K351" i="12"/>
  <c r="I351" i="12"/>
  <c r="H351" i="12"/>
  <c r="E351" i="12"/>
  <c r="AZ350" i="12"/>
  <c r="AX350" i="12"/>
  <c r="AY350" i="12" s="1"/>
  <c r="AP350" i="12"/>
  <c r="AO350" i="12"/>
  <c r="I350" i="12"/>
  <c r="H350" i="12"/>
  <c r="E350" i="12"/>
  <c r="AZ349" i="12"/>
  <c r="AY349" i="12"/>
  <c r="AX349" i="12"/>
  <c r="AR349" i="12"/>
  <c r="K349" i="12"/>
  <c r="E349" i="12"/>
  <c r="AZ348" i="12"/>
  <c r="AY348" i="12"/>
  <c r="AX348" i="12"/>
  <c r="AP348" i="12"/>
  <c r="AO348" i="12"/>
  <c r="I348" i="12"/>
  <c r="H348" i="12"/>
  <c r="E348" i="12"/>
  <c r="AZ347" i="12"/>
  <c r="AY347" i="12"/>
  <c r="AX347" i="12"/>
  <c r="AR347" i="12"/>
  <c r="K347" i="12"/>
  <c r="E347" i="12"/>
  <c r="AZ346" i="12"/>
  <c r="AY346" i="12"/>
  <c r="AX346" i="12"/>
  <c r="AP346" i="12"/>
  <c r="AO346" i="12"/>
  <c r="I346" i="12"/>
  <c r="H346" i="12"/>
  <c r="E346" i="12"/>
  <c r="AZ345" i="12"/>
  <c r="AY345" i="12"/>
  <c r="AX345" i="12"/>
  <c r="AR345" i="12"/>
  <c r="K345" i="12"/>
  <c r="E345" i="12"/>
  <c r="AZ344" i="12"/>
  <c r="AY344" i="12"/>
  <c r="AX344" i="12"/>
  <c r="AP344" i="12"/>
  <c r="AO344" i="12"/>
  <c r="I344" i="12"/>
  <c r="H344" i="12"/>
  <c r="E344" i="12"/>
  <c r="AZ343" i="12"/>
  <c r="AY343" i="12"/>
  <c r="AX343" i="12"/>
  <c r="AR343" i="12"/>
  <c r="K343" i="12"/>
  <c r="E343" i="12"/>
  <c r="AZ342" i="12"/>
  <c r="AY342" i="12"/>
  <c r="AX342" i="12"/>
  <c r="AS342" i="12"/>
  <c r="AR342" i="12"/>
  <c r="AP342" i="12"/>
  <c r="AO342" i="12"/>
  <c r="K342" i="12"/>
  <c r="I342" i="12"/>
  <c r="H342" i="12"/>
  <c r="E342" i="12"/>
  <c r="AZ341" i="12"/>
  <c r="AY341" i="12"/>
  <c r="AX341" i="12"/>
  <c r="AS341" i="12"/>
  <c r="AR341" i="12"/>
  <c r="K341" i="12"/>
  <c r="E341" i="12"/>
  <c r="AZ340" i="12"/>
  <c r="AY340" i="12"/>
  <c r="AX340" i="12"/>
  <c r="AS340" i="12"/>
  <c r="AR340" i="12"/>
  <c r="AP340" i="12"/>
  <c r="AO340" i="12"/>
  <c r="K340" i="12"/>
  <c r="I340" i="12"/>
  <c r="H340" i="12"/>
  <c r="E340" i="12"/>
  <c r="AZ339" i="12"/>
  <c r="AY339" i="12"/>
  <c r="AX339" i="12"/>
  <c r="AS339" i="12"/>
  <c r="AR339" i="12"/>
  <c r="AP339" i="12"/>
  <c r="AO339" i="12"/>
  <c r="K339" i="12"/>
  <c r="I339" i="12"/>
  <c r="H339" i="12"/>
  <c r="E339" i="12"/>
  <c r="AZ338" i="12"/>
  <c r="AX338" i="12"/>
  <c r="AY338" i="12" s="1"/>
  <c r="AP338" i="12"/>
  <c r="AO338" i="12"/>
  <c r="I338" i="12"/>
  <c r="H338" i="12"/>
  <c r="E338" i="12"/>
  <c r="AZ337" i="12"/>
  <c r="AY337" i="12"/>
  <c r="AX337" i="12"/>
  <c r="AR337" i="12"/>
  <c r="K337" i="12"/>
  <c r="E337" i="12"/>
  <c r="AZ336" i="12"/>
  <c r="AY336" i="12"/>
  <c r="AX336" i="12"/>
  <c r="AP336" i="12"/>
  <c r="AO336" i="12"/>
  <c r="I336" i="12"/>
  <c r="H336" i="12"/>
  <c r="E336" i="12"/>
  <c r="AZ335" i="12"/>
  <c r="AY335" i="12"/>
  <c r="AX335" i="12"/>
  <c r="AR335" i="12"/>
  <c r="K335" i="12"/>
  <c r="E335" i="12"/>
  <c r="AZ334" i="12"/>
  <c r="AY334" i="12"/>
  <c r="AX334" i="12"/>
  <c r="AP334" i="12"/>
  <c r="AO334" i="12"/>
  <c r="I334" i="12"/>
  <c r="H334" i="12"/>
  <c r="E334" i="12"/>
  <c r="AZ333" i="12"/>
  <c r="AY333" i="12"/>
  <c r="AX333" i="12"/>
  <c r="AR333" i="12"/>
  <c r="K333" i="12"/>
  <c r="E333" i="12"/>
  <c r="AZ332" i="12"/>
  <c r="AY332" i="12"/>
  <c r="BQ41" i="20" s="1"/>
  <c r="AX332" i="12"/>
  <c r="AP332" i="12"/>
  <c r="AO332" i="12"/>
  <c r="I332" i="12"/>
  <c r="H332" i="12"/>
  <c r="E332" i="12"/>
  <c r="AZ331" i="12"/>
  <c r="AY331" i="12"/>
  <c r="AX331" i="12"/>
  <c r="AR331" i="12"/>
  <c r="K331" i="12"/>
  <c r="E331" i="12"/>
  <c r="AZ330" i="12"/>
  <c r="AY330" i="12"/>
  <c r="AX330" i="12"/>
  <c r="AS330" i="12"/>
  <c r="AR330" i="12"/>
  <c r="AP330" i="12"/>
  <c r="AO330" i="12"/>
  <c r="K330" i="12"/>
  <c r="I330" i="12"/>
  <c r="H330" i="12"/>
  <c r="E330" i="12"/>
  <c r="AZ329" i="12"/>
  <c r="AY329" i="12"/>
  <c r="AX329" i="12"/>
  <c r="AS329" i="12"/>
  <c r="AR329" i="12"/>
  <c r="K329" i="12"/>
  <c r="E329" i="12"/>
  <c r="AZ328" i="12"/>
  <c r="AY328" i="12"/>
  <c r="AX328" i="12"/>
  <c r="AS328" i="12"/>
  <c r="AR328" i="12"/>
  <c r="AP328" i="12"/>
  <c r="AO328" i="12"/>
  <c r="K328" i="12"/>
  <c r="I328" i="12"/>
  <c r="H328" i="12"/>
  <c r="E328" i="12"/>
  <c r="AZ327" i="12"/>
  <c r="AY327" i="12"/>
  <c r="AX327" i="12"/>
  <c r="AS327" i="12"/>
  <c r="AR327" i="12"/>
  <c r="AP327" i="12"/>
  <c r="AO327" i="12"/>
  <c r="K327" i="12"/>
  <c r="I327" i="12"/>
  <c r="H327" i="12"/>
  <c r="E327" i="12"/>
  <c r="AZ326" i="12"/>
  <c r="AY326" i="12"/>
  <c r="AX326" i="12"/>
  <c r="AP326" i="12"/>
  <c r="AO326" i="12"/>
  <c r="I326" i="12"/>
  <c r="H326" i="12"/>
  <c r="E326" i="12"/>
  <c r="AZ325" i="12"/>
  <c r="AY325" i="12"/>
  <c r="AX325" i="12"/>
  <c r="AR325" i="12"/>
  <c r="K325" i="12"/>
  <c r="E325" i="12"/>
  <c r="AZ324" i="12"/>
  <c r="AY324" i="12"/>
  <c r="AX324" i="12"/>
  <c r="AP324" i="12"/>
  <c r="AO324" i="12"/>
  <c r="I324" i="12"/>
  <c r="H324" i="12"/>
  <c r="E324" i="12"/>
  <c r="AZ323" i="12"/>
  <c r="AY323" i="12"/>
  <c r="AX323" i="12"/>
  <c r="AR323" i="12"/>
  <c r="K323" i="12"/>
  <c r="E323" i="12"/>
  <c r="AZ322" i="12"/>
  <c r="AY322" i="12"/>
  <c r="AX322" i="12"/>
  <c r="AP322" i="12"/>
  <c r="AO322" i="12"/>
  <c r="I322" i="12"/>
  <c r="H322" i="12"/>
  <c r="E322" i="12"/>
  <c r="AZ321" i="12"/>
  <c r="AY321" i="12"/>
  <c r="AX321" i="12"/>
  <c r="AR321" i="12"/>
  <c r="K321" i="12"/>
  <c r="E321" i="12"/>
  <c r="AZ320" i="12"/>
  <c r="AY320" i="12"/>
  <c r="BQ40" i="20" s="1"/>
  <c r="AX320" i="12"/>
  <c r="AP320" i="12"/>
  <c r="AO320" i="12"/>
  <c r="I320" i="12"/>
  <c r="H320" i="12"/>
  <c r="E320" i="12"/>
  <c r="AZ319" i="12"/>
  <c r="AY319" i="12"/>
  <c r="BP40" i="20" s="1"/>
  <c r="AX319" i="12"/>
  <c r="AR319" i="12"/>
  <c r="K319" i="12"/>
  <c r="E319" i="12"/>
  <c r="AZ318" i="12"/>
  <c r="AY318" i="12"/>
  <c r="AX318" i="12"/>
  <c r="AS318" i="12"/>
  <c r="AR318" i="12"/>
  <c r="AP318" i="12"/>
  <c r="AO318" i="12"/>
  <c r="K318" i="12"/>
  <c r="I318" i="12"/>
  <c r="H318" i="12"/>
  <c r="E318" i="12"/>
  <c r="AZ317" i="12"/>
  <c r="AY317" i="12"/>
  <c r="AX317" i="12"/>
  <c r="AS317" i="12"/>
  <c r="AR317" i="12"/>
  <c r="K317" i="12"/>
  <c r="E317" i="12"/>
  <c r="AZ316" i="12"/>
  <c r="AY316" i="12"/>
  <c r="AX316" i="12"/>
  <c r="AS316" i="12"/>
  <c r="AR316" i="12"/>
  <c r="AP316" i="12"/>
  <c r="AO316" i="12"/>
  <c r="K316" i="12"/>
  <c r="I316" i="12"/>
  <c r="H316" i="12"/>
  <c r="E316" i="12"/>
  <c r="AZ315" i="12"/>
  <c r="AY315" i="12"/>
  <c r="AX315" i="12"/>
  <c r="AS315" i="12"/>
  <c r="AR315" i="12"/>
  <c r="AP315" i="12"/>
  <c r="AO315" i="12"/>
  <c r="K315" i="12"/>
  <c r="I315" i="12"/>
  <c r="H315" i="12"/>
  <c r="E315" i="12"/>
  <c r="AZ314" i="12"/>
  <c r="AY314" i="12"/>
  <c r="AX314" i="12"/>
  <c r="AP314" i="12"/>
  <c r="AO314" i="12"/>
  <c r="I314" i="12"/>
  <c r="H314" i="12"/>
  <c r="E314" i="12"/>
  <c r="AZ313" i="12"/>
  <c r="AX313" i="12"/>
  <c r="AY313" i="12" s="1"/>
  <c r="AR313" i="12"/>
  <c r="K313" i="12"/>
  <c r="E313" i="12"/>
  <c r="AZ312" i="12"/>
  <c r="AY312" i="12"/>
  <c r="AX312" i="12"/>
  <c r="AP312" i="12"/>
  <c r="AO312" i="12"/>
  <c r="I312" i="12"/>
  <c r="H312" i="12"/>
  <c r="E312" i="12"/>
  <c r="AZ311" i="12"/>
  <c r="AY311" i="12"/>
  <c r="AX311" i="12"/>
  <c r="AR311" i="12"/>
  <c r="K311" i="12"/>
  <c r="E311" i="12"/>
  <c r="AZ310" i="12"/>
  <c r="AY310" i="12"/>
  <c r="AX310" i="12"/>
  <c r="AP310" i="12"/>
  <c r="AO310" i="12"/>
  <c r="I310" i="12"/>
  <c r="H310" i="12"/>
  <c r="E310" i="12"/>
  <c r="AZ309" i="12"/>
  <c r="AY309" i="12"/>
  <c r="AX309" i="12"/>
  <c r="AR309" i="12"/>
  <c r="K309" i="12"/>
  <c r="E309" i="12"/>
  <c r="AZ308" i="12"/>
  <c r="AY308" i="12"/>
  <c r="BQ39" i="20" s="1"/>
  <c r="AX308" i="12"/>
  <c r="AP308" i="12"/>
  <c r="AO308" i="12"/>
  <c r="I308" i="12"/>
  <c r="H308" i="12"/>
  <c r="E308" i="12"/>
  <c r="AZ307" i="12"/>
  <c r="AY307" i="12"/>
  <c r="BP39" i="20" s="1"/>
  <c r="AX307" i="12"/>
  <c r="AR307" i="12"/>
  <c r="K307" i="12"/>
  <c r="E307" i="12"/>
  <c r="AZ306" i="12"/>
  <c r="AY306" i="12"/>
  <c r="AX306" i="12"/>
  <c r="AS306" i="12"/>
  <c r="AR306" i="12"/>
  <c r="AP306" i="12"/>
  <c r="AO306" i="12"/>
  <c r="K306" i="12"/>
  <c r="I306" i="12"/>
  <c r="H306" i="12"/>
  <c r="E306" i="12"/>
  <c r="AZ305" i="12"/>
  <c r="AY305" i="12"/>
  <c r="AX305" i="12"/>
  <c r="AS305" i="12"/>
  <c r="AR305" i="12"/>
  <c r="K305" i="12"/>
  <c r="E305" i="12"/>
  <c r="AZ304" i="12"/>
  <c r="AY304" i="12"/>
  <c r="AX304" i="12"/>
  <c r="AS304" i="12"/>
  <c r="AR304" i="12"/>
  <c r="AP304" i="12"/>
  <c r="AO304" i="12"/>
  <c r="K304" i="12"/>
  <c r="I304" i="12"/>
  <c r="H304" i="12"/>
  <c r="E304" i="12"/>
  <c r="AZ303" i="12"/>
  <c r="AY303" i="12"/>
  <c r="AX303" i="12"/>
  <c r="AS303" i="12"/>
  <c r="AR303" i="12"/>
  <c r="AP303" i="12"/>
  <c r="AO303" i="12"/>
  <c r="K303" i="12"/>
  <c r="I303" i="12"/>
  <c r="H303" i="12"/>
  <c r="E303" i="12"/>
  <c r="AZ302" i="12"/>
  <c r="AX302" i="12"/>
  <c r="AY302" i="12" s="1"/>
  <c r="AP302" i="12"/>
  <c r="AO302" i="12"/>
  <c r="I302" i="12"/>
  <c r="H302" i="12"/>
  <c r="E302" i="12"/>
  <c r="AZ301" i="12"/>
  <c r="AX301" i="12"/>
  <c r="AY301" i="12" s="1"/>
  <c r="AR301" i="12"/>
  <c r="K301" i="12"/>
  <c r="E301" i="12"/>
  <c r="AZ300" i="12"/>
  <c r="AY300" i="12"/>
  <c r="AX300" i="12"/>
  <c r="AP300" i="12"/>
  <c r="AO300" i="12"/>
  <c r="I300" i="12"/>
  <c r="H300" i="12"/>
  <c r="E300" i="12"/>
  <c r="AZ299" i="12"/>
  <c r="AY299" i="12"/>
  <c r="AX299" i="12"/>
  <c r="AR299" i="12"/>
  <c r="K299" i="12"/>
  <c r="E299" i="12"/>
  <c r="AZ298" i="12"/>
  <c r="AY298" i="12"/>
  <c r="AX298" i="12"/>
  <c r="AP298" i="12"/>
  <c r="AO298" i="12"/>
  <c r="I298" i="12"/>
  <c r="H298" i="12"/>
  <c r="E298" i="12"/>
  <c r="AZ297" i="12"/>
  <c r="AY297" i="12"/>
  <c r="AX297" i="12"/>
  <c r="AR297" i="12"/>
  <c r="K297" i="12"/>
  <c r="E297" i="12"/>
  <c r="AZ296" i="12"/>
  <c r="AY296" i="12"/>
  <c r="AX296" i="12"/>
  <c r="AP296" i="12"/>
  <c r="AO296" i="12"/>
  <c r="I296" i="12"/>
  <c r="H296" i="12"/>
  <c r="E296" i="12"/>
  <c r="AZ295" i="12"/>
  <c r="AY295" i="12"/>
  <c r="BP38" i="20" s="1"/>
  <c r="AX295" i="12"/>
  <c r="AR295" i="12"/>
  <c r="K295" i="12"/>
  <c r="E295" i="12"/>
  <c r="AZ294" i="12"/>
  <c r="AY294" i="12"/>
  <c r="AX294" i="12"/>
  <c r="AS294" i="12"/>
  <c r="AR294" i="12"/>
  <c r="AP294" i="12"/>
  <c r="AO294" i="12"/>
  <c r="K294" i="12"/>
  <c r="I294" i="12"/>
  <c r="H294" i="12"/>
  <c r="E294" i="12"/>
  <c r="AZ293" i="12"/>
  <c r="AY293" i="12"/>
  <c r="AX293" i="12"/>
  <c r="AS293" i="12"/>
  <c r="AR293" i="12"/>
  <c r="K293" i="12"/>
  <c r="E293" i="12"/>
  <c r="AZ292" i="12"/>
  <c r="AY292" i="12"/>
  <c r="AX292" i="12"/>
  <c r="AS292" i="12"/>
  <c r="AR292" i="12"/>
  <c r="AP292" i="12"/>
  <c r="AO292" i="12"/>
  <c r="K292" i="12"/>
  <c r="I292" i="12"/>
  <c r="H292" i="12"/>
  <c r="E292" i="12"/>
  <c r="AZ291" i="12"/>
  <c r="AY291" i="12"/>
  <c r="AX291" i="12"/>
  <c r="AS291" i="12"/>
  <c r="AR291" i="12"/>
  <c r="AP291" i="12"/>
  <c r="AO291" i="12"/>
  <c r="K291" i="12"/>
  <c r="I291" i="12"/>
  <c r="H291" i="12"/>
  <c r="E291" i="12"/>
  <c r="AZ290" i="12"/>
  <c r="AX290" i="12"/>
  <c r="AY290" i="12" s="1"/>
  <c r="AP290" i="12"/>
  <c r="AO290" i="12"/>
  <c r="I290" i="12"/>
  <c r="H290" i="12"/>
  <c r="E290" i="12"/>
  <c r="AZ289" i="12"/>
  <c r="AX289" i="12"/>
  <c r="AY289" i="12" s="1"/>
  <c r="AR289" i="12"/>
  <c r="K289" i="12"/>
  <c r="E289" i="12"/>
  <c r="AZ288" i="12"/>
  <c r="AY288" i="12"/>
  <c r="AX288" i="12"/>
  <c r="AP288" i="12"/>
  <c r="AO288" i="12"/>
  <c r="I288" i="12"/>
  <c r="H288" i="12"/>
  <c r="E288" i="12"/>
  <c r="AZ287" i="12"/>
  <c r="AY287" i="12"/>
  <c r="AX287" i="12"/>
  <c r="AR287" i="12"/>
  <c r="K287" i="12"/>
  <c r="E287" i="12"/>
  <c r="AZ286" i="12"/>
  <c r="AY286" i="12"/>
  <c r="AX286" i="12"/>
  <c r="AP286" i="12"/>
  <c r="AO286" i="12"/>
  <c r="I286" i="12"/>
  <c r="H286" i="12"/>
  <c r="E286" i="12"/>
  <c r="AZ285" i="12"/>
  <c r="AY285" i="12"/>
  <c r="AX285" i="12"/>
  <c r="AR285" i="12"/>
  <c r="K285" i="12"/>
  <c r="E285" i="12"/>
  <c r="AZ284" i="12"/>
  <c r="AY284" i="12"/>
  <c r="AX284" i="12"/>
  <c r="AP284" i="12"/>
  <c r="AO284" i="12"/>
  <c r="I284" i="12"/>
  <c r="H284" i="12"/>
  <c r="E284" i="12"/>
  <c r="AZ283" i="12"/>
  <c r="AY283" i="12"/>
  <c r="AX283" i="12"/>
  <c r="AR283" i="12"/>
  <c r="K283" i="12"/>
  <c r="E283" i="12"/>
  <c r="AZ282" i="12"/>
  <c r="AY282" i="12"/>
  <c r="AX282" i="12"/>
  <c r="AS282" i="12"/>
  <c r="AR282" i="12"/>
  <c r="AP282" i="12"/>
  <c r="AO282" i="12"/>
  <c r="K282" i="12"/>
  <c r="I282" i="12"/>
  <c r="H282" i="12"/>
  <c r="E282" i="12"/>
  <c r="AZ281" i="12"/>
  <c r="AY281" i="12"/>
  <c r="AX281" i="12"/>
  <c r="AS281" i="12"/>
  <c r="AR281" i="12"/>
  <c r="K281" i="12"/>
  <c r="E281" i="12"/>
  <c r="AZ280" i="12"/>
  <c r="AY280" i="12"/>
  <c r="AX280" i="12"/>
  <c r="AS280" i="12"/>
  <c r="AR280" i="12"/>
  <c r="AP280" i="12"/>
  <c r="AO280" i="12"/>
  <c r="K280" i="12"/>
  <c r="I280" i="12"/>
  <c r="H280" i="12"/>
  <c r="E280" i="12"/>
  <c r="AZ279" i="12"/>
  <c r="AY279" i="12"/>
  <c r="AX279" i="12"/>
  <c r="AS279" i="12"/>
  <c r="AR279" i="12"/>
  <c r="AP279" i="12"/>
  <c r="AO279" i="12"/>
  <c r="K279" i="12"/>
  <c r="I279" i="12"/>
  <c r="H279" i="12"/>
  <c r="E279" i="12"/>
  <c r="AZ278" i="12"/>
  <c r="AY278" i="12"/>
  <c r="AX278" i="12"/>
  <c r="AP278" i="12"/>
  <c r="AO278" i="12"/>
  <c r="I278" i="12"/>
  <c r="H278" i="12"/>
  <c r="E278" i="12"/>
  <c r="AZ277" i="12"/>
  <c r="AX277" i="12"/>
  <c r="AY277" i="12" s="1"/>
  <c r="AR277" i="12"/>
  <c r="K277" i="12"/>
  <c r="E277" i="12"/>
  <c r="AZ276" i="12"/>
  <c r="AY276" i="12"/>
  <c r="AX276" i="12"/>
  <c r="AP276" i="12"/>
  <c r="AO276" i="12"/>
  <c r="I276" i="12"/>
  <c r="H276" i="12"/>
  <c r="E276" i="12"/>
  <c r="AZ275" i="12"/>
  <c r="AY275" i="12"/>
  <c r="AX275" i="12"/>
  <c r="AR275" i="12"/>
  <c r="K275" i="12"/>
  <c r="E275" i="12"/>
  <c r="AZ274" i="12"/>
  <c r="AY274" i="12"/>
  <c r="AX274" i="12"/>
  <c r="AP274" i="12"/>
  <c r="AO274" i="12"/>
  <c r="I274" i="12"/>
  <c r="H274" i="12"/>
  <c r="E274" i="12"/>
  <c r="AZ273" i="12"/>
  <c r="AY273" i="12"/>
  <c r="AX273" i="12"/>
  <c r="AR273" i="12"/>
  <c r="K273" i="12"/>
  <c r="E273" i="12"/>
  <c r="AZ272" i="12"/>
  <c r="AY272" i="12"/>
  <c r="BQ36" i="20" s="1"/>
  <c r="AX272" i="12"/>
  <c r="AP272" i="12"/>
  <c r="AO272" i="12"/>
  <c r="I272" i="12"/>
  <c r="H272" i="12"/>
  <c r="E272" i="12"/>
  <c r="AZ271" i="12"/>
  <c r="AY271" i="12"/>
  <c r="AX271" i="12"/>
  <c r="AR271" i="12"/>
  <c r="K271" i="12"/>
  <c r="E271" i="12"/>
  <c r="AZ270" i="12"/>
  <c r="AY270" i="12"/>
  <c r="AX270" i="12"/>
  <c r="AS270" i="12"/>
  <c r="AR270" i="12"/>
  <c r="AP270" i="12"/>
  <c r="AO270" i="12"/>
  <c r="K270" i="12"/>
  <c r="I270" i="12"/>
  <c r="H270" i="12"/>
  <c r="E270" i="12"/>
  <c r="AZ269" i="12"/>
  <c r="AY269" i="12"/>
  <c r="AX269" i="12"/>
  <c r="AS269" i="12"/>
  <c r="AR269" i="12"/>
  <c r="K269" i="12"/>
  <c r="E269" i="12"/>
  <c r="AZ268" i="12"/>
  <c r="AY268" i="12"/>
  <c r="AX268" i="12"/>
  <c r="AS268" i="12"/>
  <c r="AR268" i="12"/>
  <c r="AP268" i="12"/>
  <c r="AO268" i="12"/>
  <c r="K268" i="12"/>
  <c r="I268" i="12"/>
  <c r="H268" i="12"/>
  <c r="E268" i="12"/>
  <c r="AZ267" i="12"/>
  <c r="AY267" i="12"/>
  <c r="AX267" i="12"/>
  <c r="AS267" i="12"/>
  <c r="AR267" i="12"/>
  <c r="AP267" i="12"/>
  <c r="AO267" i="12"/>
  <c r="K267" i="12"/>
  <c r="I267" i="12"/>
  <c r="H267" i="12"/>
  <c r="E267" i="12"/>
  <c r="AZ266" i="12"/>
  <c r="AX266" i="12"/>
  <c r="AY266" i="12" s="1"/>
  <c r="AP266" i="12"/>
  <c r="AO266" i="12"/>
  <c r="I266" i="12"/>
  <c r="H266" i="12"/>
  <c r="E266" i="12"/>
  <c r="AZ265" i="12"/>
  <c r="AX265" i="12"/>
  <c r="AY265" i="12" s="1"/>
  <c r="AR265" i="12"/>
  <c r="K265" i="12"/>
  <c r="E265" i="12"/>
  <c r="AZ264" i="12"/>
  <c r="AY264" i="12"/>
  <c r="AX264" i="12"/>
  <c r="AP264" i="12"/>
  <c r="AO264" i="12"/>
  <c r="I264" i="12"/>
  <c r="H264" i="12"/>
  <c r="E264" i="12"/>
  <c r="AZ263" i="12"/>
  <c r="AY263" i="12"/>
  <c r="AX263" i="12"/>
  <c r="AR263" i="12"/>
  <c r="K263" i="12"/>
  <c r="E263" i="12"/>
  <c r="AZ262" i="12"/>
  <c r="AY262" i="12"/>
  <c r="AX262" i="12"/>
  <c r="AP262" i="12"/>
  <c r="AO262" i="12"/>
  <c r="I262" i="12"/>
  <c r="H262" i="12"/>
  <c r="E262" i="12"/>
  <c r="AZ261" i="12"/>
  <c r="AY261" i="12"/>
  <c r="AX261" i="12"/>
  <c r="AR261" i="12"/>
  <c r="K261" i="12"/>
  <c r="E261" i="12"/>
  <c r="AZ260" i="12"/>
  <c r="AY260" i="12"/>
  <c r="AX260" i="12"/>
  <c r="AP260" i="12"/>
  <c r="AO260" i="12"/>
  <c r="I260" i="12"/>
  <c r="H260" i="12"/>
  <c r="E260" i="12"/>
  <c r="AZ259" i="12"/>
  <c r="AY259" i="12"/>
  <c r="AX259" i="12"/>
  <c r="AR259" i="12"/>
  <c r="K259" i="12"/>
  <c r="E259" i="12"/>
  <c r="AZ258" i="12"/>
  <c r="AY258" i="12"/>
  <c r="AX258" i="12"/>
  <c r="AS258" i="12"/>
  <c r="AR258" i="12"/>
  <c r="AP258" i="12"/>
  <c r="AO258" i="12"/>
  <c r="K258" i="12"/>
  <c r="I258" i="12"/>
  <c r="H258" i="12"/>
  <c r="E258" i="12"/>
  <c r="AZ257" i="12"/>
  <c r="AX257" i="12"/>
  <c r="AY257" i="12" s="1"/>
  <c r="AS257" i="12"/>
  <c r="AR257" i="12"/>
  <c r="K257" i="12"/>
  <c r="E257" i="12"/>
  <c r="AZ256" i="12"/>
  <c r="AY256" i="12"/>
  <c r="AX256" i="12"/>
  <c r="AS256" i="12"/>
  <c r="AR256" i="12"/>
  <c r="AP256" i="12"/>
  <c r="AO256" i="12"/>
  <c r="K256" i="12"/>
  <c r="I256" i="12"/>
  <c r="H256" i="12"/>
  <c r="E256" i="12"/>
  <c r="AZ255" i="12"/>
  <c r="AY255" i="12"/>
  <c r="AX255" i="12"/>
  <c r="AS255" i="12"/>
  <c r="AR255" i="12"/>
  <c r="AP255" i="12"/>
  <c r="AO255" i="12"/>
  <c r="K255" i="12"/>
  <c r="I255" i="12"/>
  <c r="H255" i="12"/>
  <c r="E255" i="12"/>
  <c r="AZ254" i="12"/>
  <c r="AY254" i="12"/>
  <c r="AX254" i="12"/>
  <c r="AP254" i="12"/>
  <c r="AO254" i="12"/>
  <c r="I254" i="12"/>
  <c r="H254" i="12"/>
  <c r="E254" i="12"/>
  <c r="AZ253" i="12"/>
  <c r="AY253" i="12"/>
  <c r="AX253" i="12"/>
  <c r="AR253" i="12"/>
  <c r="K253" i="12"/>
  <c r="E253" i="12"/>
  <c r="AZ252" i="12"/>
  <c r="AY252" i="12"/>
  <c r="AX252" i="12"/>
  <c r="AP252" i="12"/>
  <c r="AO252" i="12"/>
  <c r="I252" i="12"/>
  <c r="H252" i="12"/>
  <c r="E252" i="12"/>
  <c r="AZ251" i="12"/>
  <c r="AY251" i="12"/>
  <c r="AX251" i="12"/>
  <c r="AR251" i="12"/>
  <c r="K251" i="12"/>
  <c r="E251" i="12"/>
  <c r="AZ250" i="12"/>
  <c r="AY250" i="12"/>
  <c r="AX250" i="12"/>
  <c r="AP250" i="12"/>
  <c r="AO250" i="12"/>
  <c r="I250" i="12"/>
  <c r="H250" i="12"/>
  <c r="E250" i="12"/>
  <c r="AZ249" i="12"/>
  <c r="AY249" i="12"/>
  <c r="AX249" i="12"/>
  <c r="AR249" i="12"/>
  <c r="K249" i="12"/>
  <c r="E249" i="12"/>
  <c r="AZ248" i="12"/>
  <c r="AY248" i="12"/>
  <c r="AX248" i="12"/>
  <c r="AP248" i="12"/>
  <c r="AO248" i="12"/>
  <c r="I248" i="12"/>
  <c r="H248" i="12"/>
  <c r="E248" i="12"/>
  <c r="AZ247" i="12"/>
  <c r="AY247" i="12"/>
  <c r="BP34" i="20" s="1"/>
  <c r="AX247" i="12"/>
  <c r="AR247" i="12"/>
  <c r="K247" i="12"/>
  <c r="E247" i="12"/>
  <c r="AZ246" i="12"/>
  <c r="AY246" i="12"/>
  <c r="AX246" i="12"/>
  <c r="AS246" i="12"/>
  <c r="AR246" i="12"/>
  <c r="AP246" i="12"/>
  <c r="AO246" i="12"/>
  <c r="K246" i="12"/>
  <c r="I246" i="12"/>
  <c r="H246" i="12"/>
  <c r="E246" i="12"/>
  <c r="AZ245" i="12"/>
  <c r="AY245" i="12"/>
  <c r="AX245" i="12"/>
  <c r="AS245" i="12"/>
  <c r="AR245" i="12"/>
  <c r="K245" i="12"/>
  <c r="E245" i="12"/>
  <c r="AZ244" i="12"/>
  <c r="AY244" i="12"/>
  <c r="AX244" i="12"/>
  <c r="AS244" i="12"/>
  <c r="AR244" i="12"/>
  <c r="AP244" i="12"/>
  <c r="AO244" i="12"/>
  <c r="K244" i="12"/>
  <c r="I244" i="12"/>
  <c r="H244" i="12"/>
  <c r="E244" i="12"/>
  <c r="AZ243" i="12"/>
  <c r="AY243" i="12"/>
  <c r="AX243" i="12"/>
  <c r="AS243" i="12"/>
  <c r="AR243" i="12"/>
  <c r="AP243" i="12"/>
  <c r="AO243" i="12"/>
  <c r="K243" i="12"/>
  <c r="I243" i="12"/>
  <c r="H243" i="12"/>
  <c r="E243" i="12"/>
  <c r="AZ242" i="12"/>
  <c r="AX242" i="12"/>
  <c r="AY242" i="12" s="1"/>
  <c r="AP242" i="12"/>
  <c r="AO242" i="12"/>
  <c r="I242" i="12"/>
  <c r="H242" i="12"/>
  <c r="E242" i="12"/>
  <c r="AZ241" i="12"/>
  <c r="AX241" i="12"/>
  <c r="AY241" i="12" s="1"/>
  <c r="AR241" i="12"/>
  <c r="K241" i="12"/>
  <c r="E241" i="12"/>
  <c r="AZ240" i="12"/>
  <c r="AY240" i="12"/>
  <c r="AX240" i="12"/>
  <c r="AP240" i="12"/>
  <c r="AO240" i="12"/>
  <c r="I240" i="12"/>
  <c r="H240" i="12"/>
  <c r="E240" i="12"/>
  <c r="AZ239" i="12"/>
  <c r="AY239" i="12"/>
  <c r="AX239" i="12"/>
  <c r="AR239" i="12"/>
  <c r="K239" i="12"/>
  <c r="E239" i="12"/>
  <c r="AZ238" i="12"/>
  <c r="AY238" i="12"/>
  <c r="AX238" i="12"/>
  <c r="AP238" i="12"/>
  <c r="AO238" i="12"/>
  <c r="I238" i="12"/>
  <c r="H238" i="12"/>
  <c r="E238" i="12"/>
  <c r="AZ237" i="12"/>
  <c r="AY237" i="12"/>
  <c r="AX237" i="12"/>
  <c r="AR237" i="12"/>
  <c r="K237" i="12"/>
  <c r="E237" i="12"/>
  <c r="AZ236" i="12"/>
  <c r="AY236" i="12"/>
  <c r="AX236" i="12"/>
  <c r="AP236" i="12"/>
  <c r="AO236" i="12"/>
  <c r="I236" i="12"/>
  <c r="H236" i="12"/>
  <c r="E236" i="12"/>
  <c r="AZ235" i="12"/>
  <c r="AY235" i="12"/>
  <c r="AX235" i="12"/>
  <c r="AR235" i="12"/>
  <c r="K235" i="12"/>
  <c r="E235" i="12"/>
  <c r="AZ234" i="12"/>
  <c r="AY234" i="12"/>
  <c r="AX234" i="12"/>
  <c r="AS234" i="12"/>
  <c r="AR234" i="12"/>
  <c r="AP234" i="12"/>
  <c r="AO234" i="12"/>
  <c r="K234" i="12"/>
  <c r="I234" i="12"/>
  <c r="H234" i="12"/>
  <c r="E234" i="12"/>
  <c r="AZ233" i="12"/>
  <c r="AY233" i="12"/>
  <c r="AX233" i="12"/>
  <c r="AS233" i="12"/>
  <c r="AR233" i="12"/>
  <c r="K233" i="12"/>
  <c r="E233" i="12"/>
  <c r="AZ232" i="12"/>
  <c r="AY232" i="12"/>
  <c r="AX232" i="12"/>
  <c r="AS232" i="12"/>
  <c r="AR232" i="12"/>
  <c r="AP232" i="12"/>
  <c r="AO232" i="12"/>
  <c r="K232" i="12"/>
  <c r="I232" i="12"/>
  <c r="H232" i="12"/>
  <c r="E232" i="12"/>
  <c r="AZ231" i="12"/>
  <c r="AY231" i="12"/>
  <c r="AX231" i="12"/>
  <c r="AS231" i="12"/>
  <c r="AR231" i="12"/>
  <c r="AP231" i="12"/>
  <c r="AO231" i="12"/>
  <c r="K231" i="12"/>
  <c r="I231" i="12"/>
  <c r="H231" i="12"/>
  <c r="E231" i="12"/>
  <c r="AZ230" i="12"/>
  <c r="AX230" i="12"/>
  <c r="AY230" i="12" s="1"/>
  <c r="AP230" i="12"/>
  <c r="AO230" i="12"/>
  <c r="I230" i="12"/>
  <c r="H230" i="12"/>
  <c r="E230" i="12"/>
  <c r="AZ229" i="12"/>
  <c r="AX229" i="12"/>
  <c r="AY229" i="12" s="1"/>
  <c r="AR229" i="12"/>
  <c r="K229" i="12"/>
  <c r="E229" i="12"/>
  <c r="AZ228" i="12"/>
  <c r="AY228" i="12"/>
  <c r="AX228" i="12"/>
  <c r="AP228" i="12"/>
  <c r="AO228" i="12"/>
  <c r="I228" i="12"/>
  <c r="H228" i="12"/>
  <c r="E228" i="12"/>
  <c r="AZ227" i="12"/>
  <c r="AY227" i="12"/>
  <c r="AX227" i="12"/>
  <c r="AR227" i="12"/>
  <c r="K227" i="12"/>
  <c r="E227" i="12"/>
  <c r="AZ226" i="12"/>
  <c r="AY226" i="12"/>
  <c r="AX226" i="12"/>
  <c r="AP226" i="12"/>
  <c r="AO226" i="12"/>
  <c r="I226" i="12"/>
  <c r="H226" i="12"/>
  <c r="E226" i="12"/>
  <c r="AZ225" i="12"/>
  <c r="AY225" i="12"/>
  <c r="AX225" i="12"/>
  <c r="AR225" i="12"/>
  <c r="K225" i="12"/>
  <c r="E225" i="12"/>
  <c r="AZ224" i="12"/>
  <c r="AY224" i="12"/>
  <c r="AX224" i="12"/>
  <c r="AP224" i="12"/>
  <c r="AO224" i="12"/>
  <c r="I224" i="12"/>
  <c r="H224" i="12"/>
  <c r="E224" i="12"/>
  <c r="AZ223" i="12"/>
  <c r="AY223" i="12"/>
  <c r="BP32" i="20" s="1"/>
  <c r="AX223" i="12"/>
  <c r="AR223" i="12"/>
  <c r="K223" i="12"/>
  <c r="E223" i="12"/>
  <c r="AZ222" i="12"/>
  <c r="AY222" i="12"/>
  <c r="AX222" i="12"/>
  <c r="AS222" i="12"/>
  <c r="AR222" i="12"/>
  <c r="AP222" i="12"/>
  <c r="AO222" i="12"/>
  <c r="K222" i="12"/>
  <c r="I222" i="12"/>
  <c r="H222" i="12"/>
  <c r="E222" i="12"/>
  <c r="AZ221" i="12"/>
  <c r="AX221" i="12"/>
  <c r="AY221" i="12" s="1"/>
  <c r="AS221" i="12"/>
  <c r="AR221" i="12"/>
  <c r="K221" i="12"/>
  <c r="E221" i="12"/>
  <c r="AZ220" i="12"/>
  <c r="AY220" i="12"/>
  <c r="AX220" i="12"/>
  <c r="AS220" i="12"/>
  <c r="AR220" i="12"/>
  <c r="AP220" i="12"/>
  <c r="AO220" i="12"/>
  <c r="K220" i="12"/>
  <c r="I220" i="12"/>
  <c r="H220" i="12"/>
  <c r="E220" i="12"/>
  <c r="AZ219" i="12"/>
  <c r="AY219" i="12"/>
  <c r="AX219" i="12"/>
  <c r="AS219" i="12"/>
  <c r="AR219" i="12"/>
  <c r="AP219" i="12"/>
  <c r="AO219" i="12"/>
  <c r="K219" i="12"/>
  <c r="I219" i="12"/>
  <c r="H219" i="12"/>
  <c r="E219" i="12"/>
  <c r="AZ218" i="12"/>
  <c r="AX218" i="12"/>
  <c r="AY218" i="12" s="1"/>
  <c r="AP218" i="12"/>
  <c r="AO218" i="12"/>
  <c r="I218" i="12"/>
  <c r="H218" i="12"/>
  <c r="E218" i="12"/>
  <c r="AZ217" i="12"/>
  <c r="AY217" i="12"/>
  <c r="AX217" i="12"/>
  <c r="AR217" i="12"/>
  <c r="K217" i="12"/>
  <c r="E217" i="12"/>
  <c r="AZ216" i="12"/>
  <c r="AY216" i="12"/>
  <c r="AX216" i="12"/>
  <c r="AP216" i="12"/>
  <c r="AO216" i="12"/>
  <c r="I216" i="12"/>
  <c r="H216" i="12"/>
  <c r="E216" i="12"/>
  <c r="AZ215" i="12"/>
  <c r="AY215" i="12"/>
  <c r="AX215" i="12"/>
  <c r="AR215" i="12"/>
  <c r="K215" i="12"/>
  <c r="E215" i="12"/>
  <c r="AZ214" i="12"/>
  <c r="AY214" i="12"/>
  <c r="AX214" i="12"/>
  <c r="AP214" i="12"/>
  <c r="AO214" i="12"/>
  <c r="I214" i="12"/>
  <c r="H214" i="12"/>
  <c r="E214" i="12"/>
  <c r="AZ213" i="12"/>
  <c r="AY213" i="12"/>
  <c r="AX213" i="12"/>
  <c r="AR213" i="12"/>
  <c r="K213" i="12"/>
  <c r="E213" i="12"/>
  <c r="AZ212" i="12"/>
  <c r="AY212" i="12"/>
  <c r="AX212" i="12"/>
  <c r="AP212" i="12"/>
  <c r="AO212" i="12"/>
  <c r="I212" i="12"/>
  <c r="H212" i="12"/>
  <c r="E212" i="12"/>
  <c r="AZ211" i="12"/>
  <c r="AY211" i="12"/>
  <c r="BP31" i="20" s="1"/>
  <c r="AX211" i="12"/>
  <c r="AR211" i="12"/>
  <c r="K211" i="12"/>
  <c r="E211" i="12"/>
  <c r="AZ210" i="12"/>
  <c r="AY210" i="12"/>
  <c r="AX210" i="12"/>
  <c r="AS210" i="12"/>
  <c r="AR210" i="12"/>
  <c r="AP210" i="12"/>
  <c r="AO210" i="12"/>
  <c r="K210" i="12"/>
  <c r="I210" i="12"/>
  <c r="H210" i="12"/>
  <c r="E210" i="12"/>
  <c r="AZ209" i="12"/>
  <c r="AY209" i="12"/>
  <c r="AX209" i="12"/>
  <c r="AS209" i="12"/>
  <c r="AR209" i="12"/>
  <c r="K209" i="12"/>
  <c r="E209" i="12"/>
  <c r="AZ208" i="12"/>
  <c r="AY208" i="12"/>
  <c r="AX208" i="12"/>
  <c r="AS208" i="12"/>
  <c r="AR208" i="12"/>
  <c r="AP208" i="12"/>
  <c r="AO208" i="12"/>
  <c r="K208" i="12"/>
  <c r="I208" i="12"/>
  <c r="H208" i="12"/>
  <c r="E208" i="12"/>
  <c r="AZ207" i="12"/>
  <c r="AY207" i="12"/>
  <c r="AX207" i="12"/>
  <c r="AS207" i="12"/>
  <c r="AR207" i="12"/>
  <c r="AP207" i="12"/>
  <c r="AO207" i="12"/>
  <c r="K207" i="12"/>
  <c r="I207" i="12"/>
  <c r="H207" i="12"/>
  <c r="E207" i="12"/>
  <c r="AZ206" i="12"/>
  <c r="AX206" i="12"/>
  <c r="AY206" i="12" s="1"/>
  <c r="AP206" i="12"/>
  <c r="AO206" i="12"/>
  <c r="I206" i="12"/>
  <c r="H206" i="12"/>
  <c r="E206" i="12"/>
  <c r="AZ205" i="12"/>
  <c r="AX205" i="12"/>
  <c r="AY205" i="12" s="1"/>
  <c r="AR205" i="12"/>
  <c r="K205" i="12"/>
  <c r="E205" i="12"/>
  <c r="AZ204" i="12"/>
  <c r="AY204" i="12"/>
  <c r="AX204" i="12"/>
  <c r="AP204" i="12"/>
  <c r="AO204" i="12"/>
  <c r="I204" i="12"/>
  <c r="H204" i="12"/>
  <c r="E204" i="12"/>
  <c r="AZ203" i="12"/>
  <c r="AY203" i="12"/>
  <c r="AX203" i="12"/>
  <c r="AR203" i="12"/>
  <c r="K203" i="12"/>
  <c r="E203" i="12"/>
  <c r="AZ202" i="12"/>
  <c r="AY202" i="12"/>
  <c r="AX202" i="12"/>
  <c r="AP202" i="12"/>
  <c r="AO202" i="12"/>
  <c r="I202" i="12"/>
  <c r="H202" i="12"/>
  <c r="E202" i="12"/>
  <c r="AZ201" i="12"/>
  <c r="AY201" i="12"/>
  <c r="AX201" i="12"/>
  <c r="AR201" i="12"/>
  <c r="K201" i="12"/>
  <c r="E201" i="12"/>
  <c r="AZ200" i="12"/>
  <c r="AY200" i="12"/>
  <c r="AX200" i="12"/>
  <c r="AP200" i="12"/>
  <c r="AO200" i="12"/>
  <c r="I200" i="12"/>
  <c r="H200" i="12"/>
  <c r="E200" i="12"/>
  <c r="AZ199" i="12"/>
  <c r="AY199" i="12"/>
  <c r="AX199" i="12"/>
  <c r="AR199" i="12"/>
  <c r="K199" i="12"/>
  <c r="E199" i="12"/>
  <c r="AZ198" i="12"/>
  <c r="AY198" i="12"/>
  <c r="AX198" i="12"/>
  <c r="AS198" i="12"/>
  <c r="AR198" i="12"/>
  <c r="AP198" i="12"/>
  <c r="AO198" i="12"/>
  <c r="K198" i="12"/>
  <c r="I198" i="12"/>
  <c r="H198" i="12"/>
  <c r="E198" i="12"/>
  <c r="AZ197" i="12"/>
  <c r="AY197" i="12"/>
  <c r="AX197" i="12"/>
  <c r="AS197" i="12"/>
  <c r="AR197" i="12"/>
  <c r="K197" i="12"/>
  <c r="E197" i="12"/>
  <c r="AZ196" i="12"/>
  <c r="AY196" i="12"/>
  <c r="AX196" i="12"/>
  <c r="AS196" i="12"/>
  <c r="AR196" i="12"/>
  <c r="AP196" i="12"/>
  <c r="AO196" i="12"/>
  <c r="K196" i="12"/>
  <c r="I196" i="12"/>
  <c r="H196" i="12"/>
  <c r="E196" i="12"/>
  <c r="AZ195" i="12"/>
  <c r="AY195" i="12"/>
  <c r="AX195" i="12"/>
  <c r="AS195" i="12"/>
  <c r="AR195" i="12"/>
  <c r="AP195" i="12"/>
  <c r="AO195" i="12"/>
  <c r="K195" i="12"/>
  <c r="I195" i="12"/>
  <c r="H195" i="12"/>
  <c r="E195" i="12"/>
  <c r="AZ194" i="12"/>
  <c r="AX194" i="12"/>
  <c r="AY194" i="12" s="1"/>
  <c r="AP194" i="12"/>
  <c r="AO194" i="12"/>
  <c r="I194" i="12"/>
  <c r="H194" i="12"/>
  <c r="E194" i="12"/>
  <c r="AZ193" i="12"/>
  <c r="AX193" i="12"/>
  <c r="AY193" i="12" s="1"/>
  <c r="AR193" i="12"/>
  <c r="K193" i="12"/>
  <c r="E193" i="12"/>
  <c r="AZ192" i="12"/>
  <c r="AY192" i="12"/>
  <c r="AX192" i="12"/>
  <c r="AP192" i="12"/>
  <c r="AO192" i="12"/>
  <c r="I192" i="12"/>
  <c r="H192" i="12"/>
  <c r="E192" i="12"/>
  <c r="AZ191" i="12"/>
  <c r="AY191" i="12"/>
  <c r="AX191" i="12"/>
  <c r="AR191" i="12"/>
  <c r="K191" i="12"/>
  <c r="E191" i="12"/>
  <c r="AZ190" i="12"/>
  <c r="AY190" i="12"/>
  <c r="AX190" i="12"/>
  <c r="AP190" i="12"/>
  <c r="AO190" i="12"/>
  <c r="I190" i="12"/>
  <c r="H190" i="12"/>
  <c r="E190" i="12"/>
  <c r="AZ189" i="12"/>
  <c r="AY189" i="12"/>
  <c r="AX189" i="12"/>
  <c r="AR189" i="12"/>
  <c r="K189" i="12"/>
  <c r="E189" i="12"/>
  <c r="AZ188" i="12"/>
  <c r="AY188" i="12"/>
  <c r="BQ29" i="20" s="1"/>
  <c r="AX188" i="12"/>
  <c r="AP188" i="12"/>
  <c r="AO188" i="12"/>
  <c r="I188" i="12"/>
  <c r="H188" i="12"/>
  <c r="E188" i="12"/>
  <c r="AZ187" i="12"/>
  <c r="AY187" i="12"/>
  <c r="AX187" i="12"/>
  <c r="AR187" i="12"/>
  <c r="K187" i="12"/>
  <c r="E187" i="12"/>
  <c r="AZ186" i="12"/>
  <c r="AY186" i="12"/>
  <c r="AX186" i="12"/>
  <c r="AS186" i="12"/>
  <c r="AR186" i="12"/>
  <c r="AP186" i="12"/>
  <c r="AO186" i="12"/>
  <c r="K186" i="12"/>
  <c r="I186" i="12"/>
  <c r="H186" i="12"/>
  <c r="E186" i="12"/>
  <c r="AZ185" i="12"/>
  <c r="AY185" i="12"/>
  <c r="AX185" i="12"/>
  <c r="AS185" i="12"/>
  <c r="AR185" i="12"/>
  <c r="K185" i="12"/>
  <c r="E185" i="12"/>
  <c r="AZ184" i="12"/>
  <c r="AY184" i="12"/>
  <c r="AX184" i="12"/>
  <c r="AS184" i="12"/>
  <c r="AR184" i="12"/>
  <c r="AP184" i="12"/>
  <c r="AO184" i="12"/>
  <c r="K184" i="12"/>
  <c r="I184" i="12"/>
  <c r="H184" i="12"/>
  <c r="E184" i="12"/>
  <c r="AZ183" i="12"/>
  <c r="AY183" i="12"/>
  <c r="AX183" i="12"/>
  <c r="AS183" i="12"/>
  <c r="AR183" i="12"/>
  <c r="AP183" i="12"/>
  <c r="AO183" i="12"/>
  <c r="K183" i="12"/>
  <c r="I183" i="12"/>
  <c r="H183" i="12"/>
  <c r="E183" i="12"/>
  <c r="AZ182" i="12"/>
  <c r="AY182" i="12"/>
  <c r="AX182" i="12"/>
  <c r="AP182" i="12"/>
  <c r="AO182" i="12"/>
  <c r="I182" i="12"/>
  <c r="H182" i="12"/>
  <c r="E182" i="12"/>
  <c r="AZ181" i="12"/>
  <c r="AY181" i="12"/>
  <c r="AX181" i="12"/>
  <c r="AR181" i="12"/>
  <c r="K181" i="12"/>
  <c r="E181" i="12"/>
  <c r="AZ180" i="12"/>
  <c r="AY180" i="12"/>
  <c r="AX180" i="12"/>
  <c r="AP180" i="12"/>
  <c r="AO180" i="12"/>
  <c r="I180" i="12"/>
  <c r="H180" i="12"/>
  <c r="E180" i="12"/>
  <c r="AZ179" i="12"/>
  <c r="AY179" i="12"/>
  <c r="AX179" i="12"/>
  <c r="AR179" i="12"/>
  <c r="K179" i="12"/>
  <c r="E179" i="12"/>
  <c r="AZ178" i="12"/>
  <c r="AY178" i="12"/>
  <c r="AX178" i="12"/>
  <c r="AP178" i="12"/>
  <c r="AO178" i="12"/>
  <c r="I178" i="12"/>
  <c r="H178" i="12"/>
  <c r="E178" i="12"/>
  <c r="AZ177" i="12"/>
  <c r="AY177" i="12"/>
  <c r="AX177" i="12"/>
  <c r="AR177" i="12"/>
  <c r="K177" i="12"/>
  <c r="E177" i="12"/>
  <c r="AZ176" i="12"/>
  <c r="AY176" i="12"/>
  <c r="AX176" i="12"/>
  <c r="AP176" i="12"/>
  <c r="AO176" i="12"/>
  <c r="I176" i="12"/>
  <c r="H176" i="12"/>
  <c r="E176" i="12"/>
  <c r="AZ175" i="12"/>
  <c r="AY175" i="12"/>
  <c r="BP28" i="20" s="1"/>
  <c r="AX175" i="12"/>
  <c r="AR175" i="12"/>
  <c r="K175" i="12"/>
  <c r="E175" i="12"/>
  <c r="AZ174" i="12"/>
  <c r="AY174" i="12"/>
  <c r="AX174" i="12"/>
  <c r="AS174" i="12"/>
  <c r="AR174" i="12"/>
  <c r="AP174" i="12"/>
  <c r="AO174" i="12"/>
  <c r="K174" i="12"/>
  <c r="I174" i="12"/>
  <c r="H174" i="12"/>
  <c r="E174" i="12"/>
  <c r="AZ173" i="12"/>
  <c r="AY173" i="12"/>
  <c r="AX173" i="12"/>
  <c r="AS173" i="12"/>
  <c r="AR173" i="12"/>
  <c r="K173" i="12"/>
  <c r="E173" i="12"/>
  <c r="AZ172" i="12"/>
  <c r="AY172" i="12"/>
  <c r="AX172" i="12"/>
  <c r="AS172" i="12"/>
  <c r="AR172" i="12"/>
  <c r="AP172" i="12"/>
  <c r="AO172" i="12"/>
  <c r="K172" i="12"/>
  <c r="I172" i="12"/>
  <c r="H172" i="12"/>
  <c r="E172" i="12"/>
  <c r="AZ171" i="12"/>
  <c r="AY171" i="12"/>
  <c r="AX171" i="12"/>
  <c r="AS171" i="12"/>
  <c r="AR171" i="12"/>
  <c r="AP171" i="12"/>
  <c r="AO171" i="12"/>
  <c r="K171" i="12"/>
  <c r="I171" i="12"/>
  <c r="H171" i="12"/>
  <c r="E171" i="12"/>
  <c r="AZ170" i="12"/>
  <c r="AX170" i="12"/>
  <c r="AY170" i="12" s="1"/>
  <c r="AP170" i="12"/>
  <c r="AO170" i="12"/>
  <c r="I170" i="12"/>
  <c r="H170" i="12"/>
  <c r="E170" i="12"/>
  <c r="AZ169" i="12"/>
  <c r="AX169" i="12"/>
  <c r="AY169" i="12" s="1"/>
  <c r="AR169" i="12"/>
  <c r="K169" i="12"/>
  <c r="E169" i="12"/>
  <c r="AZ168" i="12"/>
  <c r="AY168" i="12"/>
  <c r="AX168" i="12"/>
  <c r="AP168" i="12"/>
  <c r="AO168" i="12"/>
  <c r="I168" i="12"/>
  <c r="H168" i="12"/>
  <c r="E168" i="12"/>
  <c r="AZ167" i="12"/>
  <c r="AY167" i="12"/>
  <c r="AX167" i="12"/>
  <c r="AR167" i="12"/>
  <c r="K167" i="12"/>
  <c r="E167" i="12"/>
  <c r="AZ166" i="12"/>
  <c r="AY166" i="12"/>
  <c r="AX166" i="12"/>
  <c r="AP166" i="12"/>
  <c r="AO166" i="12"/>
  <c r="I166" i="12"/>
  <c r="H166" i="12"/>
  <c r="E166" i="12"/>
  <c r="AZ165" i="12"/>
  <c r="AY165" i="12"/>
  <c r="AX165" i="12"/>
  <c r="AR165" i="12"/>
  <c r="K165" i="12"/>
  <c r="E165" i="12"/>
  <c r="AZ164" i="12"/>
  <c r="AY164" i="12"/>
  <c r="AX164" i="12"/>
  <c r="AP164" i="12"/>
  <c r="AO164" i="12"/>
  <c r="I164" i="12"/>
  <c r="H164" i="12"/>
  <c r="E164" i="12"/>
  <c r="AZ163" i="12"/>
  <c r="AY163" i="12"/>
  <c r="AX163" i="12"/>
  <c r="AR163" i="12"/>
  <c r="K163" i="12"/>
  <c r="E163" i="12"/>
  <c r="AZ162" i="12"/>
  <c r="AY162" i="12"/>
  <c r="AX162" i="12"/>
  <c r="AS162" i="12"/>
  <c r="AR162" i="12"/>
  <c r="AP162" i="12"/>
  <c r="AO162" i="12"/>
  <c r="K162" i="12"/>
  <c r="I162" i="12"/>
  <c r="H162" i="12"/>
  <c r="E162" i="12"/>
  <c r="AZ161" i="12"/>
  <c r="AY161" i="12"/>
  <c r="AX161" i="12"/>
  <c r="AS161" i="12"/>
  <c r="AR161" i="12"/>
  <c r="K161" i="12"/>
  <c r="E161" i="12"/>
  <c r="AZ160" i="12"/>
  <c r="AY160" i="12"/>
  <c r="AX160" i="12"/>
  <c r="AS160" i="12"/>
  <c r="AR160" i="12"/>
  <c r="AP160" i="12"/>
  <c r="AO160" i="12"/>
  <c r="K160" i="12"/>
  <c r="I160" i="12"/>
  <c r="H160" i="12"/>
  <c r="E160" i="12"/>
  <c r="AZ159" i="12"/>
  <c r="AY159" i="12"/>
  <c r="AX159" i="12"/>
  <c r="AS159" i="12"/>
  <c r="AR159" i="12"/>
  <c r="AP159" i="12"/>
  <c r="AO159" i="12"/>
  <c r="K159" i="12"/>
  <c r="I159" i="12"/>
  <c r="H159" i="12"/>
  <c r="E159" i="12"/>
  <c r="AZ158" i="12"/>
  <c r="AY158" i="12"/>
  <c r="AX158" i="12"/>
  <c r="AP158" i="12"/>
  <c r="AO158" i="12"/>
  <c r="I158" i="12"/>
  <c r="H158" i="12"/>
  <c r="E158" i="12"/>
  <c r="AZ157" i="12"/>
  <c r="AX157" i="12"/>
  <c r="AY157" i="12" s="1"/>
  <c r="AR157" i="12"/>
  <c r="K157" i="12"/>
  <c r="E157" i="12"/>
  <c r="AZ156" i="12"/>
  <c r="AY156" i="12"/>
  <c r="AX156" i="12"/>
  <c r="AP156" i="12"/>
  <c r="AO156" i="12"/>
  <c r="I156" i="12"/>
  <c r="H156" i="12"/>
  <c r="E156" i="12"/>
  <c r="AZ155" i="12"/>
  <c r="AY155" i="12"/>
  <c r="AX155" i="12"/>
  <c r="AR155" i="12"/>
  <c r="K155" i="12"/>
  <c r="E155" i="12"/>
  <c r="AZ154" i="12"/>
  <c r="AY154" i="12"/>
  <c r="AX154" i="12"/>
  <c r="AP154" i="12"/>
  <c r="AO154" i="12"/>
  <c r="I154" i="12"/>
  <c r="H154" i="12"/>
  <c r="E154" i="12"/>
  <c r="AZ153" i="12"/>
  <c r="AY153" i="12"/>
  <c r="AX153" i="12"/>
  <c r="AR153" i="12"/>
  <c r="K153" i="12"/>
  <c r="E153" i="12"/>
  <c r="AZ152" i="12"/>
  <c r="AY152" i="12"/>
  <c r="BQ26" i="20" s="1"/>
  <c r="AX152" i="12"/>
  <c r="AP152" i="12"/>
  <c r="AO152" i="12"/>
  <c r="I152" i="12"/>
  <c r="H152" i="12"/>
  <c r="E152" i="12"/>
  <c r="AZ151" i="12"/>
  <c r="AY151" i="12"/>
  <c r="AX151" i="12"/>
  <c r="AR151" i="12"/>
  <c r="K151" i="12"/>
  <c r="E151" i="12"/>
  <c r="AZ150" i="12"/>
  <c r="AY150" i="12"/>
  <c r="AX150" i="12"/>
  <c r="AS150" i="12"/>
  <c r="AR150" i="12"/>
  <c r="AP150" i="12"/>
  <c r="AO150" i="12"/>
  <c r="K150" i="12"/>
  <c r="I150" i="12"/>
  <c r="H150" i="12"/>
  <c r="E150" i="12"/>
  <c r="AZ149" i="12"/>
  <c r="AY149" i="12"/>
  <c r="AX149" i="12"/>
  <c r="AS149" i="12"/>
  <c r="AR149" i="12"/>
  <c r="K149" i="12"/>
  <c r="E149" i="12"/>
  <c r="AZ148" i="12"/>
  <c r="AY148" i="12"/>
  <c r="AX148" i="12"/>
  <c r="AS148" i="12"/>
  <c r="AR148" i="12"/>
  <c r="AP148" i="12"/>
  <c r="AO148" i="12"/>
  <c r="K148" i="12"/>
  <c r="I148" i="12"/>
  <c r="H148" i="12"/>
  <c r="E148" i="12"/>
  <c r="AZ147" i="12"/>
  <c r="AY147" i="12"/>
  <c r="AX147" i="12"/>
  <c r="AS147" i="12"/>
  <c r="AR147" i="12"/>
  <c r="AP147" i="12"/>
  <c r="AO147" i="12"/>
  <c r="K147" i="12"/>
  <c r="I147" i="12"/>
  <c r="H147" i="12"/>
  <c r="E147" i="12"/>
  <c r="AZ146" i="12"/>
  <c r="AY146" i="12"/>
  <c r="AX146" i="12"/>
  <c r="AP146" i="12"/>
  <c r="AO146" i="12"/>
  <c r="I146" i="12"/>
  <c r="H146" i="12"/>
  <c r="E146" i="12"/>
  <c r="AZ145" i="12"/>
  <c r="AX145" i="12"/>
  <c r="AY145" i="12" s="1"/>
  <c r="AR145" i="12"/>
  <c r="K145" i="12"/>
  <c r="E145" i="12"/>
  <c r="AZ144" i="12"/>
  <c r="AY144" i="12"/>
  <c r="AX144" i="12"/>
  <c r="AP144" i="12"/>
  <c r="AO144" i="12"/>
  <c r="I144" i="12"/>
  <c r="H144" i="12"/>
  <c r="E144" i="12"/>
  <c r="AZ143" i="12"/>
  <c r="AY143" i="12"/>
  <c r="AX143" i="12"/>
  <c r="AR143" i="12"/>
  <c r="K143" i="12"/>
  <c r="E143" i="12"/>
  <c r="AZ142" i="12"/>
  <c r="AY142" i="12"/>
  <c r="AX142" i="12"/>
  <c r="AP142" i="12"/>
  <c r="AO142" i="12"/>
  <c r="I142" i="12"/>
  <c r="H142" i="12"/>
  <c r="E142" i="12"/>
  <c r="AZ141" i="12"/>
  <c r="AY141" i="12"/>
  <c r="AX141" i="12"/>
  <c r="AR141" i="12"/>
  <c r="K141" i="12"/>
  <c r="E141" i="12"/>
  <c r="AZ140" i="12"/>
  <c r="AY140" i="12"/>
  <c r="AX140" i="12"/>
  <c r="AP140" i="12"/>
  <c r="AO140" i="12"/>
  <c r="I140" i="12"/>
  <c r="H140" i="12"/>
  <c r="E140" i="12"/>
  <c r="AZ139" i="12"/>
  <c r="AY139" i="12"/>
  <c r="AX139" i="12"/>
  <c r="AR139" i="12"/>
  <c r="K139" i="12"/>
  <c r="E139" i="12"/>
  <c r="AZ138" i="12"/>
  <c r="AY138" i="12"/>
  <c r="AX138" i="12"/>
  <c r="AS138" i="12"/>
  <c r="AR138" i="12"/>
  <c r="AP138" i="12"/>
  <c r="AO138" i="12"/>
  <c r="K138" i="12"/>
  <c r="I138" i="12"/>
  <c r="H138" i="12"/>
  <c r="E138" i="12"/>
  <c r="AZ137" i="12"/>
  <c r="AY137" i="12"/>
  <c r="AX137" i="12"/>
  <c r="AS137" i="12"/>
  <c r="AR137" i="12"/>
  <c r="K137" i="12"/>
  <c r="E137" i="12"/>
  <c r="AZ136" i="12"/>
  <c r="AY136" i="12"/>
  <c r="AX136" i="12"/>
  <c r="AS136" i="12"/>
  <c r="AR136" i="12"/>
  <c r="AP136" i="12"/>
  <c r="AO136" i="12"/>
  <c r="K136" i="12"/>
  <c r="I136" i="12"/>
  <c r="H136" i="12"/>
  <c r="E136" i="12"/>
  <c r="AZ135" i="12"/>
  <c r="AY135" i="12"/>
  <c r="AX135" i="12"/>
  <c r="AS135" i="12"/>
  <c r="AR135" i="12"/>
  <c r="AP135" i="12"/>
  <c r="AO135" i="12"/>
  <c r="K135" i="12"/>
  <c r="I135" i="12"/>
  <c r="H135" i="12"/>
  <c r="E135" i="12"/>
  <c r="AZ134" i="12"/>
  <c r="AX134" i="12"/>
  <c r="AY134" i="12" s="1"/>
  <c r="AP134" i="12"/>
  <c r="AO134" i="12"/>
  <c r="I134" i="12"/>
  <c r="H134" i="12"/>
  <c r="E134" i="12"/>
  <c r="AZ133" i="12"/>
  <c r="AX133" i="12"/>
  <c r="AY133" i="12" s="1"/>
  <c r="AR133" i="12"/>
  <c r="K133" i="12"/>
  <c r="E133" i="12"/>
  <c r="AZ132" i="12"/>
  <c r="AY132" i="12"/>
  <c r="AX132" i="12"/>
  <c r="AP132" i="12"/>
  <c r="AO132" i="12"/>
  <c r="I132" i="12"/>
  <c r="H132" i="12"/>
  <c r="E132" i="12"/>
  <c r="AZ131" i="12"/>
  <c r="AY131" i="12"/>
  <c r="AX131" i="12"/>
  <c r="AR131" i="12"/>
  <c r="K131" i="12"/>
  <c r="E131" i="12"/>
  <c r="AZ130" i="12"/>
  <c r="AY130" i="12"/>
  <c r="AX130" i="12"/>
  <c r="AP130" i="12"/>
  <c r="AO130" i="12"/>
  <c r="I130" i="12"/>
  <c r="H130" i="12"/>
  <c r="E130" i="12"/>
  <c r="AZ129" i="12"/>
  <c r="AY129" i="12"/>
  <c r="AX129" i="12"/>
  <c r="AR129" i="12"/>
  <c r="K129" i="12"/>
  <c r="E129" i="12"/>
  <c r="AZ128" i="12"/>
  <c r="AY128" i="12"/>
  <c r="BQ24" i="20" s="1"/>
  <c r="AX128" i="12"/>
  <c r="AP128" i="12"/>
  <c r="AO128" i="12"/>
  <c r="I128" i="12"/>
  <c r="H128" i="12"/>
  <c r="E128" i="12"/>
  <c r="AZ127" i="12"/>
  <c r="AY127" i="12"/>
  <c r="BP24" i="20" s="1"/>
  <c r="AX127" i="12"/>
  <c r="AR127" i="12"/>
  <c r="K127" i="12"/>
  <c r="E127" i="12"/>
  <c r="AZ126" i="12"/>
  <c r="AY126" i="12"/>
  <c r="AX126" i="12"/>
  <c r="AS126" i="12"/>
  <c r="AR126" i="12"/>
  <c r="AP126" i="12"/>
  <c r="AO126" i="12"/>
  <c r="K126" i="12"/>
  <c r="I126" i="12"/>
  <c r="H126" i="12"/>
  <c r="E126" i="12"/>
  <c r="AZ125" i="12"/>
  <c r="AY125" i="12"/>
  <c r="AX125" i="12"/>
  <c r="AS125" i="12"/>
  <c r="AR125" i="12"/>
  <c r="K125" i="12"/>
  <c r="E125" i="12"/>
  <c r="AZ124" i="12"/>
  <c r="AY124" i="12"/>
  <c r="AX124" i="12"/>
  <c r="AS124" i="12"/>
  <c r="AR124" i="12"/>
  <c r="AP124" i="12"/>
  <c r="AO124" i="12"/>
  <c r="K124" i="12"/>
  <c r="I124" i="12"/>
  <c r="H124" i="12"/>
  <c r="E124" i="12"/>
  <c r="AZ123" i="12"/>
  <c r="AY123" i="12"/>
  <c r="AX123" i="12"/>
  <c r="AS123" i="12"/>
  <c r="AR123" i="12"/>
  <c r="AP123" i="12"/>
  <c r="AO123" i="12"/>
  <c r="K123" i="12"/>
  <c r="I123" i="12"/>
  <c r="H123" i="12"/>
  <c r="E123" i="12"/>
  <c r="AZ122" i="12"/>
  <c r="AX122" i="12"/>
  <c r="AY122" i="12" s="1"/>
  <c r="AP122" i="12"/>
  <c r="AO122" i="12"/>
  <c r="I122" i="12"/>
  <c r="H122" i="12"/>
  <c r="E122" i="12"/>
  <c r="AZ121" i="12"/>
  <c r="AX121" i="12"/>
  <c r="AY121" i="12" s="1"/>
  <c r="AR121" i="12"/>
  <c r="K121" i="12"/>
  <c r="E121" i="12"/>
  <c r="AZ120" i="12"/>
  <c r="AY120" i="12"/>
  <c r="AX120" i="12"/>
  <c r="AP120" i="12"/>
  <c r="AO120" i="12"/>
  <c r="I120" i="12"/>
  <c r="H120" i="12"/>
  <c r="E120" i="12"/>
  <c r="AZ119" i="12"/>
  <c r="AY119" i="12"/>
  <c r="AX119" i="12"/>
  <c r="AR119" i="12"/>
  <c r="K119" i="12"/>
  <c r="E119" i="12"/>
  <c r="AZ118" i="12"/>
  <c r="AY118" i="12"/>
  <c r="AX118" i="12"/>
  <c r="AP118" i="12"/>
  <c r="AO118" i="12"/>
  <c r="I118" i="12"/>
  <c r="H118" i="12"/>
  <c r="E118" i="12"/>
  <c r="AZ117" i="12"/>
  <c r="AY117" i="12"/>
  <c r="AX117" i="12"/>
  <c r="AR117" i="12"/>
  <c r="K117" i="12"/>
  <c r="E117" i="12"/>
  <c r="AZ116" i="12"/>
  <c r="AY116" i="12"/>
  <c r="AX116" i="12"/>
  <c r="AP116" i="12"/>
  <c r="AO116" i="12"/>
  <c r="I116" i="12"/>
  <c r="H116" i="12"/>
  <c r="E116" i="12"/>
  <c r="AZ115" i="12"/>
  <c r="AY115" i="12"/>
  <c r="AX115" i="12"/>
  <c r="AR115" i="12"/>
  <c r="K115" i="12"/>
  <c r="E115" i="12"/>
  <c r="AZ114" i="12"/>
  <c r="AY114" i="12"/>
  <c r="AX114" i="12"/>
  <c r="AS114" i="12"/>
  <c r="AR114" i="12"/>
  <c r="AP114" i="12"/>
  <c r="AO114" i="12"/>
  <c r="K114" i="12"/>
  <c r="I114" i="12"/>
  <c r="H114" i="12"/>
  <c r="E114" i="12"/>
  <c r="AZ113" i="12"/>
  <c r="AY113" i="12"/>
  <c r="AX113" i="12"/>
  <c r="AS113" i="12"/>
  <c r="AR113" i="12"/>
  <c r="K113" i="12"/>
  <c r="E113" i="12"/>
  <c r="AZ112" i="12"/>
  <c r="AY112" i="12"/>
  <c r="AX112" i="12"/>
  <c r="AS112" i="12"/>
  <c r="AR112" i="12"/>
  <c r="AP112" i="12"/>
  <c r="AO112" i="12"/>
  <c r="K112" i="12"/>
  <c r="I112" i="12"/>
  <c r="H112" i="12"/>
  <c r="E112" i="12"/>
  <c r="AZ111" i="12"/>
  <c r="AY111" i="12"/>
  <c r="AX111" i="12"/>
  <c r="AS111" i="12"/>
  <c r="AR111" i="12"/>
  <c r="AP111" i="12"/>
  <c r="AO111" i="12"/>
  <c r="K111" i="12"/>
  <c r="I111" i="12"/>
  <c r="H111" i="12"/>
  <c r="E111" i="12"/>
  <c r="AZ110" i="12"/>
  <c r="AY110" i="12"/>
  <c r="AX110" i="12"/>
  <c r="AP110" i="12"/>
  <c r="AO110" i="12"/>
  <c r="I110" i="12"/>
  <c r="H110" i="12"/>
  <c r="E110" i="12"/>
  <c r="AZ109" i="12"/>
  <c r="AY109" i="12"/>
  <c r="AX109" i="12"/>
  <c r="AR109" i="12"/>
  <c r="K109" i="12"/>
  <c r="E109" i="12"/>
  <c r="AZ108" i="12"/>
  <c r="AY108" i="12"/>
  <c r="AX108" i="12"/>
  <c r="AP108" i="12"/>
  <c r="AO108" i="12"/>
  <c r="I108" i="12"/>
  <c r="H108" i="12"/>
  <c r="E108" i="12"/>
  <c r="AZ107" i="12"/>
  <c r="AY107" i="12"/>
  <c r="AX107" i="12"/>
  <c r="AR107" i="12"/>
  <c r="K107" i="12"/>
  <c r="E107" i="12"/>
  <c r="AZ106" i="12"/>
  <c r="AY106" i="12"/>
  <c r="AX106" i="12"/>
  <c r="AP106" i="12"/>
  <c r="AO106" i="12"/>
  <c r="I106" i="12"/>
  <c r="H106" i="12"/>
  <c r="E106" i="12"/>
  <c r="AZ105" i="12"/>
  <c r="AY105" i="12"/>
  <c r="AX105" i="12"/>
  <c r="AR105" i="12"/>
  <c r="K105" i="12"/>
  <c r="E105" i="12"/>
  <c r="AZ104" i="12"/>
  <c r="AY104" i="12"/>
  <c r="BQ22" i="20" s="1"/>
  <c r="AX104" i="12"/>
  <c r="AP104" i="12"/>
  <c r="AO104" i="12"/>
  <c r="I104" i="12"/>
  <c r="H104" i="12"/>
  <c r="E104" i="12"/>
  <c r="AZ103" i="12"/>
  <c r="AY103" i="12"/>
  <c r="BP22" i="20" s="1"/>
  <c r="AX103" i="12"/>
  <c r="AR103" i="12"/>
  <c r="K103" i="12"/>
  <c r="E103" i="12"/>
  <c r="AZ102" i="12"/>
  <c r="AY102" i="12"/>
  <c r="AX102" i="12"/>
  <c r="AS102" i="12"/>
  <c r="AR102" i="12"/>
  <c r="AP102" i="12"/>
  <c r="AO102" i="12"/>
  <c r="K102" i="12"/>
  <c r="I102" i="12"/>
  <c r="H102" i="12"/>
  <c r="E102" i="12"/>
  <c r="AZ101" i="12"/>
  <c r="AY101" i="12"/>
  <c r="AX101" i="12"/>
  <c r="AS101" i="12"/>
  <c r="AR101" i="12"/>
  <c r="K101" i="12"/>
  <c r="E101" i="12"/>
  <c r="AZ100" i="12"/>
  <c r="AY100" i="12"/>
  <c r="AX100" i="12"/>
  <c r="AS100" i="12"/>
  <c r="AR100" i="12"/>
  <c r="AP100" i="12"/>
  <c r="AO100" i="12"/>
  <c r="K100" i="12"/>
  <c r="I100" i="12"/>
  <c r="H100" i="12"/>
  <c r="E100" i="12"/>
  <c r="AZ99" i="12"/>
  <c r="AY99" i="12"/>
  <c r="AX99" i="12"/>
  <c r="AS99" i="12"/>
  <c r="AR99" i="12"/>
  <c r="AP99" i="12"/>
  <c r="AO99" i="12"/>
  <c r="K99" i="12"/>
  <c r="I99" i="12"/>
  <c r="H99" i="12"/>
  <c r="E99" i="12"/>
  <c r="AZ98" i="12"/>
  <c r="AY98" i="12"/>
  <c r="AX98" i="12"/>
  <c r="AP98" i="12"/>
  <c r="AO98" i="12"/>
  <c r="I98" i="12"/>
  <c r="H98" i="12"/>
  <c r="E98" i="12"/>
  <c r="AZ97" i="12"/>
  <c r="AY97" i="12"/>
  <c r="AX97" i="12"/>
  <c r="AR97" i="12"/>
  <c r="K97" i="12"/>
  <c r="E97" i="12"/>
  <c r="AZ96" i="12"/>
  <c r="AY96" i="12"/>
  <c r="AX96" i="12"/>
  <c r="AP96" i="12"/>
  <c r="AO96" i="12"/>
  <c r="I96" i="12"/>
  <c r="H96" i="12"/>
  <c r="E96" i="12"/>
  <c r="AZ95" i="12"/>
  <c r="AY95" i="12"/>
  <c r="AX95" i="12"/>
  <c r="AR95" i="12"/>
  <c r="K95" i="12"/>
  <c r="E95" i="12"/>
  <c r="AZ94" i="12"/>
  <c r="AY94" i="12"/>
  <c r="AX94" i="12"/>
  <c r="AP94" i="12"/>
  <c r="AO94" i="12"/>
  <c r="I94" i="12"/>
  <c r="H94" i="12"/>
  <c r="E94" i="12"/>
  <c r="AZ93" i="12"/>
  <c r="AY93" i="12"/>
  <c r="AX93" i="12"/>
  <c r="AR93" i="12"/>
  <c r="K93" i="12"/>
  <c r="E93" i="12"/>
  <c r="AZ92" i="12"/>
  <c r="AY92" i="12"/>
  <c r="AX92" i="12"/>
  <c r="AP92" i="12"/>
  <c r="AO92" i="12"/>
  <c r="I92" i="12"/>
  <c r="H92" i="12"/>
  <c r="E92" i="12"/>
  <c r="AZ91" i="12"/>
  <c r="AY91" i="12"/>
  <c r="AX91" i="12"/>
  <c r="AR91" i="12"/>
  <c r="K91" i="12"/>
  <c r="E91" i="12"/>
  <c r="AZ90" i="12"/>
  <c r="AY90" i="12"/>
  <c r="AX90" i="12"/>
  <c r="AS90" i="12"/>
  <c r="AR90" i="12"/>
  <c r="AP90" i="12"/>
  <c r="AO90" i="12"/>
  <c r="K90" i="12"/>
  <c r="I90" i="12"/>
  <c r="H90" i="12"/>
  <c r="E90" i="12"/>
  <c r="AZ89" i="12"/>
  <c r="AY89" i="12"/>
  <c r="AX89" i="12"/>
  <c r="AS89" i="12"/>
  <c r="AR89" i="12"/>
  <c r="K89" i="12"/>
  <c r="E89" i="12"/>
  <c r="AZ88" i="12"/>
  <c r="AY88" i="12"/>
  <c r="AX88" i="12"/>
  <c r="AS88" i="12"/>
  <c r="AR88" i="12"/>
  <c r="AP88" i="12"/>
  <c r="AO88" i="12"/>
  <c r="K88" i="12"/>
  <c r="I88" i="12"/>
  <c r="H88" i="12"/>
  <c r="E88" i="12"/>
  <c r="AZ87" i="12"/>
  <c r="AY87" i="12"/>
  <c r="AX87" i="12"/>
  <c r="AS87" i="12"/>
  <c r="AR87" i="12"/>
  <c r="AP87" i="12"/>
  <c r="AO87" i="12"/>
  <c r="K87" i="12"/>
  <c r="I87" i="12"/>
  <c r="H87" i="12"/>
  <c r="E87" i="12"/>
  <c r="AZ86" i="12"/>
  <c r="AY86" i="12"/>
  <c r="AX86" i="12"/>
  <c r="AP86" i="12"/>
  <c r="AO86" i="12"/>
  <c r="I86" i="12"/>
  <c r="H86" i="12"/>
  <c r="E86" i="12"/>
  <c r="AZ85" i="12"/>
  <c r="AX85" i="12"/>
  <c r="AY85" i="12" s="1"/>
  <c r="AR85" i="12"/>
  <c r="K85" i="12"/>
  <c r="E85" i="12"/>
  <c r="AZ84" i="12"/>
  <c r="AY84" i="12"/>
  <c r="AX84" i="12"/>
  <c r="AP84" i="12"/>
  <c r="AO84" i="12"/>
  <c r="I84" i="12"/>
  <c r="H84" i="12"/>
  <c r="E84" i="12"/>
  <c r="AZ83" i="12"/>
  <c r="AY83" i="12"/>
  <c r="AX83" i="12"/>
  <c r="AR83" i="12"/>
  <c r="K83" i="12"/>
  <c r="E83" i="12"/>
  <c r="AZ82" i="12"/>
  <c r="AY82" i="12"/>
  <c r="AX82" i="12"/>
  <c r="AP82" i="12"/>
  <c r="AO82" i="12"/>
  <c r="I82" i="12"/>
  <c r="H82" i="12"/>
  <c r="E82" i="12"/>
  <c r="AZ81" i="12"/>
  <c r="AY81" i="12"/>
  <c r="AX81" i="12"/>
  <c r="AR81" i="12"/>
  <c r="K81" i="12"/>
  <c r="E81" i="12"/>
  <c r="AZ80" i="12"/>
  <c r="AY80" i="12"/>
  <c r="AX80" i="12"/>
  <c r="AP80" i="12"/>
  <c r="AO80" i="12"/>
  <c r="I80" i="12"/>
  <c r="H80" i="12"/>
  <c r="E80" i="12"/>
  <c r="AZ79" i="12"/>
  <c r="AY79" i="12"/>
  <c r="AX79" i="12"/>
  <c r="AR79" i="12"/>
  <c r="K79" i="12"/>
  <c r="E79" i="12"/>
  <c r="AZ78" i="12"/>
  <c r="AY78" i="12"/>
  <c r="AX78" i="12"/>
  <c r="AS78" i="12"/>
  <c r="AR78" i="12"/>
  <c r="AP78" i="12"/>
  <c r="AO78" i="12"/>
  <c r="K78" i="12"/>
  <c r="I78" i="12"/>
  <c r="H78" i="12"/>
  <c r="E78" i="12"/>
  <c r="AZ77" i="12"/>
  <c r="AY77" i="12"/>
  <c r="AX77" i="12"/>
  <c r="AS77" i="12"/>
  <c r="AR77" i="12"/>
  <c r="K77" i="12"/>
  <c r="E77" i="12"/>
  <c r="AZ76" i="12"/>
  <c r="AY76" i="12"/>
  <c r="AX76" i="12"/>
  <c r="AS76" i="12"/>
  <c r="AR76" i="12"/>
  <c r="AP76" i="12"/>
  <c r="AO76" i="12"/>
  <c r="K76" i="12"/>
  <c r="I76" i="12"/>
  <c r="H76" i="12"/>
  <c r="E76" i="12"/>
  <c r="AZ75" i="12"/>
  <c r="AY75" i="12"/>
  <c r="AX75" i="12"/>
  <c r="AS75" i="12"/>
  <c r="AR75" i="12"/>
  <c r="AP75" i="12"/>
  <c r="AO75" i="12"/>
  <c r="K75" i="12"/>
  <c r="I75" i="12"/>
  <c r="H75" i="12"/>
  <c r="E75" i="12"/>
  <c r="AZ74" i="12"/>
  <c r="AX74" i="12"/>
  <c r="AY74" i="12" s="1"/>
  <c r="AP74" i="12"/>
  <c r="AO74" i="12"/>
  <c r="I74" i="12"/>
  <c r="H74" i="12"/>
  <c r="E74" i="12"/>
  <c r="AZ73" i="12"/>
  <c r="AX73" i="12"/>
  <c r="AY73" i="12" s="1"/>
  <c r="AR73" i="12"/>
  <c r="K73" i="12"/>
  <c r="E73" i="12"/>
  <c r="AZ72" i="12"/>
  <c r="AY72" i="12"/>
  <c r="AX72" i="12"/>
  <c r="AP72" i="12"/>
  <c r="AO72" i="12"/>
  <c r="I72" i="12"/>
  <c r="H72" i="12"/>
  <c r="E72" i="12"/>
  <c r="AZ71" i="12"/>
  <c r="AY71" i="12"/>
  <c r="AX71" i="12"/>
  <c r="AR71" i="12"/>
  <c r="K71" i="12"/>
  <c r="E71" i="12"/>
  <c r="AZ70" i="12"/>
  <c r="AY70" i="12"/>
  <c r="AX70" i="12"/>
  <c r="AP70" i="12"/>
  <c r="AO70" i="12"/>
  <c r="I70" i="12"/>
  <c r="H70" i="12"/>
  <c r="E70" i="12"/>
  <c r="AZ69" i="12"/>
  <c r="AY69" i="12"/>
  <c r="AX69" i="12"/>
  <c r="AR69" i="12"/>
  <c r="K69" i="12"/>
  <c r="E69" i="12"/>
  <c r="AZ68" i="12"/>
  <c r="AY68" i="12"/>
  <c r="AX68" i="12"/>
  <c r="AP68" i="12"/>
  <c r="AO68" i="12"/>
  <c r="I68" i="12"/>
  <c r="H68" i="12"/>
  <c r="E68" i="12"/>
  <c r="AZ67" i="12"/>
  <c r="AY67" i="12"/>
  <c r="BP19" i="20" s="1"/>
  <c r="AX67" i="12"/>
  <c r="AR67" i="12"/>
  <c r="K67" i="12"/>
  <c r="E67" i="12"/>
  <c r="AZ66" i="12"/>
  <c r="AY66" i="12"/>
  <c r="AX66" i="12"/>
  <c r="AS66" i="12"/>
  <c r="AR66" i="12"/>
  <c r="AP66" i="12"/>
  <c r="AO66" i="12"/>
  <c r="K66" i="12"/>
  <c r="I66" i="12"/>
  <c r="H66" i="12"/>
  <c r="E66" i="12"/>
  <c r="AZ65" i="12"/>
  <c r="AY65" i="12"/>
  <c r="AX65" i="12"/>
  <c r="AS65" i="12"/>
  <c r="AR65" i="12"/>
  <c r="K65" i="12"/>
  <c r="E65" i="12"/>
  <c r="AZ64" i="12"/>
  <c r="AY64" i="12"/>
  <c r="AX64" i="12"/>
  <c r="AS64" i="12"/>
  <c r="AR64" i="12"/>
  <c r="AP64" i="12"/>
  <c r="AO64" i="12"/>
  <c r="K64" i="12"/>
  <c r="I64" i="12"/>
  <c r="H64" i="12"/>
  <c r="E64" i="12"/>
  <c r="AZ63" i="12"/>
  <c r="AY63" i="12"/>
  <c r="AX63" i="12"/>
  <c r="AS63" i="12"/>
  <c r="AR63" i="12"/>
  <c r="AP63" i="12"/>
  <c r="AO63" i="12"/>
  <c r="K63" i="12"/>
  <c r="I63" i="12"/>
  <c r="H63" i="12"/>
  <c r="E63" i="12"/>
  <c r="AZ62" i="12"/>
  <c r="AX62" i="12"/>
  <c r="AY62" i="12" s="1"/>
  <c r="AP62" i="12"/>
  <c r="AO62" i="12"/>
  <c r="I62" i="12"/>
  <c r="H62" i="12"/>
  <c r="E62" i="12"/>
  <c r="AZ61" i="12"/>
  <c r="AX61" i="12"/>
  <c r="AY61" i="12" s="1"/>
  <c r="AR61" i="12"/>
  <c r="K61" i="12"/>
  <c r="E61" i="12"/>
  <c r="AZ60" i="12"/>
  <c r="AY60" i="12"/>
  <c r="AX60" i="12"/>
  <c r="AP60" i="12"/>
  <c r="AO60" i="12"/>
  <c r="I60" i="12"/>
  <c r="H60" i="12"/>
  <c r="E60" i="12"/>
  <c r="AZ59" i="12"/>
  <c r="AY59" i="12"/>
  <c r="AX59" i="12"/>
  <c r="AR59" i="12"/>
  <c r="K59" i="12"/>
  <c r="E59" i="12"/>
  <c r="AZ58" i="12"/>
  <c r="AY58" i="12"/>
  <c r="AX58" i="12"/>
  <c r="AP58" i="12"/>
  <c r="AO58" i="12"/>
  <c r="I58" i="12"/>
  <c r="H58" i="12"/>
  <c r="E58" i="12"/>
  <c r="AZ57" i="12"/>
  <c r="AY57" i="12"/>
  <c r="AX57" i="12"/>
  <c r="AR57" i="12"/>
  <c r="K57" i="12"/>
  <c r="E57" i="12"/>
  <c r="AZ56" i="12"/>
  <c r="AY56" i="12"/>
  <c r="BQ18" i="20" s="1"/>
  <c r="AX56" i="12"/>
  <c r="AP56" i="12"/>
  <c r="AO56" i="12"/>
  <c r="I56" i="12"/>
  <c r="H56" i="12"/>
  <c r="E56" i="12"/>
  <c r="AZ55" i="12"/>
  <c r="AY55" i="12"/>
  <c r="AX55" i="12"/>
  <c r="AR55" i="12"/>
  <c r="K55" i="12"/>
  <c r="E55" i="12"/>
  <c r="AZ54" i="12"/>
  <c r="AY54" i="12"/>
  <c r="AX54" i="12"/>
  <c r="AS54" i="12"/>
  <c r="AR54" i="12"/>
  <c r="AP54" i="12"/>
  <c r="AO54" i="12"/>
  <c r="K54" i="12"/>
  <c r="I54" i="12"/>
  <c r="H54" i="12"/>
  <c r="E54" i="12"/>
  <c r="AZ53" i="12"/>
  <c r="AY53" i="12"/>
  <c r="AX53" i="12"/>
  <c r="AS53" i="12"/>
  <c r="AR53" i="12"/>
  <c r="K53" i="12"/>
  <c r="E53" i="12"/>
  <c r="AZ52" i="12"/>
  <c r="AY52" i="12"/>
  <c r="AX52" i="12"/>
  <c r="AS52" i="12"/>
  <c r="AR52" i="12"/>
  <c r="AP52" i="12"/>
  <c r="AO52" i="12"/>
  <c r="K52" i="12"/>
  <c r="I52" i="12"/>
  <c r="H52" i="12"/>
  <c r="E52" i="12"/>
  <c r="AZ51" i="12"/>
  <c r="AY51" i="12"/>
  <c r="AX51" i="12"/>
  <c r="AS51" i="12"/>
  <c r="AR51" i="12"/>
  <c r="AP51" i="12"/>
  <c r="AO51" i="12"/>
  <c r="K51" i="12"/>
  <c r="I51" i="12"/>
  <c r="H51" i="12"/>
  <c r="E51" i="12"/>
  <c r="AZ50" i="12"/>
  <c r="AX50" i="12"/>
  <c r="AY50" i="12" s="1"/>
  <c r="AP50" i="12"/>
  <c r="AO50" i="12"/>
  <c r="I50" i="12"/>
  <c r="H50" i="12"/>
  <c r="E50" i="12"/>
  <c r="AZ49" i="12"/>
  <c r="AX49" i="12"/>
  <c r="AY49" i="12" s="1"/>
  <c r="AR49" i="12"/>
  <c r="K49" i="12"/>
  <c r="E49" i="12"/>
  <c r="AZ48" i="12"/>
  <c r="AY48" i="12"/>
  <c r="AX48" i="12"/>
  <c r="AP48" i="12"/>
  <c r="AO48" i="12"/>
  <c r="I48" i="12"/>
  <c r="H48" i="12"/>
  <c r="E48" i="12"/>
  <c r="AZ47" i="12"/>
  <c r="AY47" i="12"/>
  <c r="AX47" i="12"/>
  <c r="AR47" i="12"/>
  <c r="K47" i="12"/>
  <c r="E47" i="12"/>
  <c r="AZ46" i="12"/>
  <c r="AY46" i="12"/>
  <c r="AX46" i="12"/>
  <c r="AP46" i="12"/>
  <c r="AO46" i="12"/>
  <c r="I46" i="12"/>
  <c r="H46" i="12"/>
  <c r="E46" i="12"/>
  <c r="AZ45" i="12"/>
  <c r="AY45" i="12"/>
  <c r="AX45" i="12"/>
  <c r="AR45" i="12"/>
  <c r="K45" i="12"/>
  <c r="E45" i="12"/>
  <c r="AZ44" i="12"/>
  <c r="AY44" i="12"/>
  <c r="BQ17" i="20" s="1"/>
  <c r="AX44" i="12"/>
  <c r="AP44" i="12"/>
  <c r="AO44" i="12"/>
  <c r="I44" i="12"/>
  <c r="H44" i="12"/>
  <c r="E44" i="12"/>
  <c r="AZ43" i="12"/>
  <c r="AY43" i="12"/>
  <c r="AX43" i="12"/>
  <c r="AR43" i="12"/>
  <c r="K43" i="12"/>
  <c r="E43" i="12"/>
  <c r="AZ42" i="12"/>
  <c r="AY42" i="12"/>
  <c r="AX42" i="12"/>
  <c r="AS42" i="12"/>
  <c r="AR42" i="12"/>
  <c r="AP42" i="12"/>
  <c r="AO42" i="12"/>
  <c r="K42" i="12"/>
  <c r="I42" i="12"/>
  <c r="H42" i="12"/>
  <c r="E42" i="12"/>
  <c r="AZ41" i="12"/>
  <c r="AY41" i="12"/>
  <c r="AX41" i="12"/>
  <c r="AS41" i="12"/>
  <c r="AR41" i="12"/>
  <c r="K41" i="12"/>
  <c r="E41" i="12"/>
  <c r="AZ40" i="12"/>
  <c r="AY40" i="12"/>
  <c r="AX40" i="12"/>
  <c r="AS40" i="12"/>
  <c r="AR40" i="12"/>
  <c r="AP40" i="12"/>
  <c r="AO40" i="12"/>
  <c r="K40" i="12"/>
  <c r="I40" i="12"/>
  <c r="H40" i="12"/>
  <c r="E40" i="12"/>
  <c r="AZ39" i="12"/>
  <c r="AY39" i="12"/>
  <c r="AX39" i="12"/>
  <c r="AS39" i="12"/>
  <c r="AR39" i="12"/>
  <c r="AP39" i="12"/>
  <c r="AO39" i="12"/>
  <c r="K39" i="12"/>
  <c r="I39" i="12"/>
  <c r="H39" i="12"/>
  <c r="E39" i="12"/>
  <c r="AZ38" i="12"/>
  <c r="AY38" i="12"/>
  <c r="AX38" i="12"/>
  <c r="AP38" i="12"/>
  <c r="AO38" i="12"/>
  <c r="I38" i="12"/>
  <c r="H38" i="12"/>
  <c r="E38" i="12"/>
  <c r="AZ37" i="12"/>
  <c r="AY37" i="12"/>
  <c r="AX37" i="12"/>
  <c r="AR37" i="12"/>
  <c r="K37" i="12"/>
  <c r="E37" i="12"/>
  <c r="AZ36" i="12"/>
  <c r="AY36" i="12"/>
  <c r="AX36" i="12"/>
  <c r="AP36" i="12"/>
  <c r="AO36" i="12"/>
  <c r="I36" i="12"/>
  <c r="H36" i="12"/>
  <c r="E36" i="12"/>
  <c r="AZ35" i="12"/>
  <c r="AY35" i="12"/>
  <c r="AX35" i="12"/>
  <c r="AR35" i="12"/>
  <c r="K35" i="12"/>
  <c r="E35" i="12"/>
  <c r="AZ34" i="12"/>
  <c r="AY34" i="12"/>
  <c r="AX34" i="12"/>
  <c r="AP34" i="12"/>
  <c r="AO34" i="12"/>
  <c r="I34" i="12"/>
  <c r="H34" i="12"/>
  <c r="E34" i="12"/>
  <c r="AZ33" i="12"/>
  <c r="AY33" i="12"/>
  <c r="AX33" i="12"/>
  <c r="AR33" i="12"/>
  <c r="K33" i="12"/>
  <c r="E33" i="12"/>
  <c r="AZ32" i="12"/>
  <c r="AY32" i="12"/>
  <c r="BQ16" i="20" s="1"/>
  <c r="AX32" i="12"/>
  <c r="AP32" i="12"/>
  <c r="AO32" i="12"/>
  <c r="I32" i="12"/>
  <c r="H32" i="12"/>
  <c r="E32" i="12"/>
  <c r="AZ31" i="12"/>
  <c r="AY31" i="12"/>
  <c r="BP16" i="20" s="1"/>
  <c r="AX31" i="12"/>
  <c r="AR31" i="12"/>
  <c r="K31" i="12"/>
  <c r="E31" i="12"/>
  <c r="AZ30" i="12"/>
  <c r="AY30" i="12"/>
  <c r="AX30" i="12"/>
  <c r="AS30" i="12"/>
  <c r="AR30" i="12"/>
  <c r="AP30" i="12"/>
  <c r="AO30" i="12"/>
  <c r="K30" i="12"/>
  <c r="I30" i="12"/>
  <c r="H30" i="12"/>
  <c r="E30" i="12"/>
  <c r="AZ29" i="12"/>
  <c r="AY29" i="12"/>
  <c r="AX29" i="12"/>
  <c r="AS29" i="12"/>
  <c r="AR29" i="12"/>
  <c r="K29" i="12"/>
  <c r="E29" i="12"/>
  <c r="AZ28" i="12"/>
  <c r="AY28" i="12"/>
  <c r="AX28" i="12"/>
  <c r="AS28" i="12"/>
  <c r="AR28" i="12"/>
  <c r="AP28" i="12"/>
  <c r="AO28" i="12"/>
  <c r="K28" i="12"/>
  <c r="I28" i="12"/>
  <c r="H28" i="12"/>
  <c r="E28" i="12"/>
  <c r="AZ27" i="12"/>
  <c r="AY27" i="12"/>
  <c r="AX27" i="12"/>
  <c r="AS27" i="12"/>
  <c r="AR27" i="12"/>
  <c r="AP27" i="12"/>
  <c r="AO27" i="12"/>
  <c r="K27" i="12"/>
  <c r="I27" i="12"/>
  <c r="H27" i="12"/>
  <c r="E27" i="12"/>
  <c r="AZ26" i="12"/>
  <c r="AX26" i="12"/>
  <c r="AY26" i="12" s="1"/>
  <c r="AP26" i="12"/>
  <c r="AO26" i="12"/>
  <c r="I26" i="12"/>
  <c r="H26" i="12"/>
  <c r="F26" i="12"/>
  <c r="E26" i="12"/>
  <c r="AZ25" i="12"/>
  <c r="AY25" i="12"/>
  <c r="AX25" i="12"/>
  <c r="AR25" i="12"/>
  <c r="K25" i="12"/>
  <c r="F25" i="12"/>
  <c r="E25" i="12"/>
  <c r="AZ24" i="12"/>
  <c r="AY24" i="12"/>
  <c r="AX24" i="12"/>
  <c r="AP24" i="12"/>
  <c r="AO24" i="12"/>
  <c r="I24" i="12"/>
  <c r="H24" i="12"/>
  <c r="F24" i="12"/>
  <c r="E24" i="12"/>
  <c r="AZ23" i="12"/>
  <c r="AY23" i="12"/>
  <c r="AX23" i="12"/>
  <c r="AR23" i="12"/>
  <c r="K23" i="12"/>
  <c r="F23" i="12"/>
  <c r="E23" i="12"/>
  <c r="AZ22" i="12"/>
  <c r="AY22" i="12"/>
  <c r="AX22" i="12"/>
  <c r="AP22" i="12"/>
  <c r="AO22" i="12"/>
  <c r="I22" i="12"/>
  <c r="H22" i="12"/>
  <c r="F22" i="12"/>
  <c r="E22" i="12"/>
  <c r="AZ21" i="12"/>
  <c r="AY21" i="12"/>
  <c r="AX21" i="12"/>
  <c r="AR21" i="12"/>
  <c r="K21" i="12"/>
  <c r="F21" i="12"/>
  <c r="E21" i="12"/>
  <c r="AZ20" i="12"/>
  <c r="AY20" i="12"/>
  <c r="AX20" i="12"/>
  <c r="AP20" i="12"/>
  <c r="AO20" i="12"/>
  <c r="I20" i="12"/>
  <c r="H20" i="12"/>
  <c r="F20" i="12"/>
  <c r="E20" i="12"/>
  <c r="AZ19" i="12"/>
  <c r="AY19" i="12"/>
  <c r="AX19" i="12"/>
  <c r="AR19" i="12"/>
  <c r="K19" i="12"/>
  <c r="F19" i="12"/>
  <c r="E19" i="12"/>
  <c r="AZ18" i="12"/>
  <c r="AY18" i="12"/>
  <c r="AX18" i="12"/>
  <c r="AS18" i="12"/>
  <c r="AR18" i="12"/>
  <c r="AP18" i="12"/>
  <c r="AO18" i="12"/>
  <c r="K18" i="12"/>
  <c r="I18" i="12"/>
  <c r="H18" i="12"/>
  <c r="F18" i="12"/>
  <c r="E18" i="12"/>
  <c r="AZ17" i="12"/>
  <c r="AY17" i="12"/>
  <c r="AX17" i="12"/>
  <c r="AS17" i="12"/>
  <c r="AR17" i="12"/>
  <c r="K17" i="12"/>
  <c r="F17" i="12"/>
  <c r="E17" i="12"/>
  <c r="AZ16" i="12"/>
  <c r="AY16" i="12"/>
  <c r="AX16" i="12"/>
  <c r="AS16" i="12"/>
  <c r="AR16" i="12"/>
  <c r="AP16" i="12"/>
  <c r="AO16" i="12"/>
  <c r="K16" i="12"/>
  <c r="I16" i="12"/>
  <c r="H16" i="12"/>
  <c r="F16" i="12"/>
  <c r="E16" i="12"/>
  <c r="AZ15" i="12"/>
  <c r="AY15" i="12"/>
  <c r="AY4" i="12" s="1"/>
  <c r="AX15" i="12"/>
  <c r="AS15" i="12"/>
  <c r="AR15" i="12"/>
  <c r="AP15" i="12"/>
  <c r="AO15" i="12"/>
  <c r="K15" i="12"/>
  <c r="I15" i="12"/>
  <c r="H15" i="12"/>
  <c r="F15" i="12"/>
  <c r="E15" i="12"/>
  <c r="AW4" i="12"/>
  <c r="P246" i="11"/>
  <c r="O246" i="11"/>
  <c r="Q246" i="11" s="1"/>
  <c r="L246" i="11"/>
  <c r="I246" i="11"/>
  <c r="H246" i="11"/>
  <c r="E246" i="11"/>
  <c r="P245" i="11"/>
  <c r="O245" i="11"/>
  <c r="Q245" i="11" s="1"/>
  <c r="L245" i="11"/>
  <c r="I245" i="11"/>
  <c r="H245" i="11"/>
  <c r="E245" i="11"/>
  <c r="Q244" i="11"/>
  <c r="P244" i="11"/>
  <c r="O244" i="11"/>
  <c r="L244" i="11"/>
  <c r="I244" i="11"/>
  <c r="H244" i="11"/>
  <c r="E244" i="11"/>
  <c r="P243" i="11"/>
  <c r="O243" i="11"/>
  <c r="Q243" i="11" s="1"/>
  <c r="L243" i="11"/>
  <c r="I243" i="11"/>
  <c r="H243" i="11"/>
  <c r="E243" i="11"/>
  <c r="P242" i="11"/>
  <c r="O242" i="11"/>
  <c r="Q242" i="11" s="1"/>
  <c r="L242" i="11"/>
  <c r="I242" i="11"/>
  <c r="H242" i="11"/>
  <c r="E242" i="11"/>
  <c r="Q241" i="11"/>
  <c r="P241" i="11"/>
  <c r="O241" i="11"/>
  <c r="L241" i="11"/>
  <c r="I241" i="11"/>
  <c r="H241" i="11"/>
  <c r="E241" i="11"/>
  <c r="Q240" i="11"/>
  <c r="P240" i="11"/>
  <c r="O240" i="11"/>
  <c r="L240" i="11"/>
  <c r="I240" i="11"/>
  <c r="H240" i="11"/>
  <c r="E240" i="11"/>
  <c r="Q239" i="11"/>
  <c r="P239" i="11"/>
  <c r="O239" i="11"/>
  <c r="L239" i="11"/>
  <c r="I239" i="11"/>
  <c r="H239" i="11"/>
  <c r="E239" i="11"/>
  <c r="Q238" i="11"/>
  <c r="P238" i="11"/>
  <c r="O238" i="11"/>
  <c r="L238" i="11"/>
  <c r="I238" i="11"/>
  <c r="H238" i="11"/>
  <c r="E238" i="11"/>
  <c r="P237" i="11"/>
  <c r="O237" i="11"/>
  <c r="Q237" i="11" s="1"/>
  <c r="L237" i="11"/>
  <c r="I237" i="11"/>
  <c r="H237" i="11"/>
  <c r="E237" i="11"/>
  <c r="P236" i="11"/>
  <c r="O236" i="11"/>
  <c r="Q236" i="11" s="1"/>
  <c r="L236" i="11"/>
  <c r="I236" i="11"/>
  <c r="H236" i="11"/>
  <c r="E236" i="11"/>
  <c r="Q235" i="11"/>
  <c r="P235" i="11"/>
  <c r="O235" i="11"/>
  <c r="L235" i="11"/>
  <c r="I235" i="11"/>
  <c r="H235" i="11"/>
  <c r="E235" i="11"/>
  <c r="P234" i="11"/>
  <c r="O234" i="11"/>
  <c r="Q234" i="11" s="1"/>
  <c r="L234" i="11"/>
  <c r="I234" i="11"/>
  <c r="H234" i="11"/>
  <c r="E234" i="11"/>
  <c r="Q233" i="11"/>
  <c r="P233" i="11"/>
  <c r="O233" i="11"/>
  <c r="L233" i="11"/>
  <c r="I233" i="11"/>
  <c r="H233" i="11"/>
  <c r="E233" i="11"/>
  <c r="P232" i="11"/>
  <c r="O232" i="11"/>
  <c r="L232" i="11"/>
  <c r="M42" i="20" s="1"/>
  <c r="I232" i="11"/>
  <c r="H232" i="11"/>
  <c r="E232" i="11"/>
  <c r="Q231" i="11"/>
  <c r="P231" i="11"/>
  <c r="O231" i="11"/>
  <c r="L231" i="11"/>
  <c r="I231" i="11"/>
  <c r="H231" i="11"/>
  <c r="E231" i="11"/>
  <c r="Q230" i="11"/>
  <c r="P230" i="11"/>
  <c r="O230" i="11"/>
  <c r="L230" i="11"/>
  <c r="I230" i="11"/>
  <c r="H230" i="11"/>
  <c r="E230" i="11"/>
  <c r="Q229" i="11"/>
  <c r="P229" i="11"/>
  <c r="O229" i="11"/>
  <c r="L229" i="11"/>
  <c r="I229" i="11"/>
  <c r="H229" i="11"/>
  <c r="E229" i="11"/>
  <c r="Q228" i="11"/>
  <c r="P228" i="11"/>
  <c r="O228" i="11"/>
  <c r="L228" i="11"/>
  <c r="I228" i="11"/>
  <c r="H228" i="11"/>
  <c r="E228" i="11"/>
  <c r="Q227" i="11"/>
  <c r="P227" i="11"/>
  <c r="O227" i="11"/>
  <c r="L227" i="11"/>
  <c r="I227" i="11"/>
  <c r="H227" i="11"/>
  <c r="E227" i="11"/>
  <c r="P226" i="11"/>
  <c r="O226" i="11"/>
  <c r="Q226" i="11" s="1"/>
  <c r="L226" i="11"/>
  <c r="I226" i="11"/>
  <c r="H226" i="11"/>
  <c r="E226" i="11"/>
  <c r="Q225" i="11"/>
  <c r="P225" i="11"/>
  <c r="O225" i="11"/>
  <c r="L225" i="11"/>
  <c r="I225" i="11"/>
  <c r="H225" i="11"/>
  <c r="E225" i="11"/>
  <c r="P224" i="11"/>
  <c r="O224" i="11"/>
  <c r="E41" i="20" s="1"/>
  <c r="L224" i="11"/>
  <c r="M41" i="20" s="1"/>
  <c r="I224" i="11"/>
  <c r="H224" i="11"/>
  <c r="E224" i="11"/>
  <c r="Q223" i="11"/>
  <c r="P223" i="11"/>
  <c r="O223" i="11"/>
  <c r="L223" i="11"/>
  <c r="I223" i="11"/>
  <c r="H223" i="11"/>
  <c r="E223" i="11"/>
  <c r="Q222" i="11"/>
  <c r="P222" i="11"/>
  <c r="O222" i="11"/>
  <c r="L222" i="11"/>
  <c r="I222" i="11"/>
  <c r="H222" i="11"/>
  <c r="E222" i="11"/>
  <c r="Q221" i="11"/>
  <c r="P221" i="11"/>
  <c r="O221" i="11"/>
  <c r="L221" i="11"/>
  <c r="I221" i="11"/>
  <c r="H221" i="11"/>
  <c r="E221" i="11"/>
  <c r="P220" i="11"/>
  <c r="O220" i="11"/>
  <c r="Q220" i="11" s="1"/>
  <c r="L220" i="11"/>
  <c r="I220" i="11"/>
  <c r="H220" i="11"/>
  <c r="E220" i="11"/>
  <c r="Q219" i="11"/>
  <c r="P219" i="11"/>
  <c r="O219" i="11"/>
  <c r="L219" i="11"/>
  <c r="I219" i="11"/>
  <c r="H219" i="11"/>
  <c r="E219" i="11"/>
  <c r="P218" i="11"/>
  <c r="O218" i="11"/>
  <c r="Q218" i="11" s="1"/>
  <c r="L218" i="11"/>
  <c r="I218" i="11"/>
  <c r="H218" i="11"/>
  <c r="E218" i="11"/>
  <c r="Q217" i="11"/>
  <c r="P217" i="11"/>
  <c r="O217" i="11"/>
  <c r="L217" i="11"/>
  <c r="I217" i="11"/>
  <c r="H217" i="11"/>
  <c r="E217" i="11"/>
  <c r="P216" i="11"/>
  <c r="O216" i="11"/>
  <c r="E40" i="20" s="1"/>
  <c r="L216" i="11"/>
  <c r="M40" i="20" s="1"/>
  <c r="I216" i="11"/>
  <c r="H216" i="11"/>
  <c r="E216" i="11"/>
  <c r="Q215" i="11"/>
  <c r="P215" i="11"/>
  <c r="O215" i="11"/>
  <c r="L215" i="11"/>
  <c r="I215" i="11"/>
  <c r="H215" i="11"/>
  <c r="E215" i="11"/>
  <c r="Q214" i="11"/>
  <c r="P214" i="11"/>
  <c r="O214" i="11"/>
  <c r="L214" i="11"/>
  <c r="I214" i="11"/>
  <c r="H214" i="11"/>
  <c r="E214" i="11"/>
  <c r="Q213" i="11"/>
  <c r="P213" i="11"/>
  <c r="O213" i="11"/>
  <c r="L213" i="11"/>
  <c r="I213" i="11"/>
  <c r="H213" i="11"/>
  <c r="E213" i="11"/>
  <c r="Q212" i="11"/>
  <c r="P212" i="11"/>
  <c r="O212" i="11"/>
  <c r="L212" i="11"/>
  <c r="I212" i="11"/>
  <c r="H212" i="11"/>
  <c r="E212" i="11"/>
  <c r="P211" i="11"/>
  <c r="O211" i="11"/>
  <c r="Q211" i="11" s="1"/>
  <c r="L211" i="11"/>
  <c r="I211" i="11"/>
  <c r="H211" i="11"/>
  <c r="E211" i="11"/>
  <c r="P210" i="11"/>
  <c r="O210" i="11"/>
  <c r="Q210" i="11" s="1"/>
  <c r="L210" i="11"/>
  <c r="I210" i="11"/>
  <c r="H210" i="11"/>
  <c r="E210" i="11"/>
  <c r="Q209" i="11"/>
  <c r="P209" i="11"/>
  <c r="O209" i="11"/>
  <c r="L209" i="11"/>
  <c r="I209" i="11"/>
  <c r="H209" i="11"/>
  <c r="E209" i="11"/>
  <c r="Q208" i="11"/>
  <c r="P208" i="11"/>
  <c r="O208" i="11"/>
  <c r="L208" i="11"/>
  <c r="M39" i="20" s="1"/>
  <c r="I208" i="11"/>
  <c r="H208" i="11"/>
  <c r="E208" i="11"/>
  <c r="Q207" i="11"/>
  <c r="P207" i="11"/>
  <c r="O207" i="11"/>
  <c r="L207" i="11"/>
  <c r="I207" i="11"/>
  <c r="H207" i="11"/>
  <c r="E207" i="11"/>
  <c r="Q206" i="11"/>
  <c r="P206" i="11"/>
  <c r="O206" i="11"/>
  <c r="L206" i="11"/>
  <c r="I206" i="11"/>
  <c r="H206" i="11"/>
  <c r="E206" i="11"/>
  <c r="P205" i="11"/>
  <c r="O205" i="11"/>
  <c r="Q205" i="11" s="1"/>
  <c r="L205" i="11"/>
  <c r="I205" i="11"/>
  <c r="H205" i="11"/>
  <c r="E205" i="11"/>
  <c r="Q204" i="11"/>
  <c r="P204" i="11"/>
  <c r="O204" i="11"/>
  <c r="L204" i="11"/>
  <c r="I204" i="11"/>
  <c r="H204" i="11"/>
  <c r="E204" i="11"/>
  <c r="P203" i="11"/>
  <c r="O203" i="11"/>
  <c r="Q203" i="11" s="1"/>
  <c r="L203" i="11"/>
  <c r="I203" i="11"/>
  <c r="H203" i="11"/>
  <c r="E203" i="11"/>
  <c r="P202" i="11"/>
  <c r="O202" i="11"/>
  <c r="Q202" i="11" s="1"/>
  <c r="L202" i="11"/>
  <c r="I202" i="11"/>
  <c r="H202" i="11"/>
  <c r="E202" i="11"/>
  <c r="Q201" i="11"/>
  <c r="P201" i="11"/>
  <c r="O201" i="11"/>
  <c r="L201" i="11"/>
  <c r="I201" i="11"/>
  <c r="H201" i="11"/>
  <c r="E201" i="11"/>
  <c r="P200" i="11"/>
  <c r="O200" i="11"/>
  <c r="L200" i="11"/>
  <c r="I200" i="11"/>
  <c r="H200" i="11"/>
  <c r="E200" i="11"/>
  <c r="Q199" i="11"/>
  <c r="P199" i="11"/>
  <c r="O199" i="11"/>
  <c r="L199" i="11"/>
  <c r="I199" i="11"/>
  <c r="H199" i="11"/>
  <c r="E199" i="11"/>
  <c r="P198" i="11"/>
  <c r="O198" i="11"/>
  <c r="Q198" i="11" s="1"/>
  <c r="L198" i="11"/>
  <c r="I198" i="11"/>
  <c r="H198" i="11"/>
  <c r="E198" i="11"/>
  <c r="P197" i="11"/>
  <c r="O197" i="11"/>
  <c r="Q197" i="11" s="1"/>
  <c r="L197" i="11"/>
  <c r="I197" i="11"/>
  <c r="H197" i="11"/>
  <c r="E197" i="11"/>
  <c r="Q196" i="11"/>
  <c r="P196" i="11"/>
  <c r="O196" i="11"/>
  <c r="L196" i="11"/>
  <c r="I196" i="11"/>
  <c r="H196" i="11"/>
  <c r="E196" i="11"/>
  <c r="Q195" i="11"/>
  <c r="P195" i="11"/>
  <c r="O195" i="11"/>
  <c r="L195" i="11"/>
  <c r="I195" i="11"/>
  <c r="H195" i="11"/>
  <c r="E195" i="11"/>
  <c r="P194" i="11"/>
  <c r="O194" i="11"/>
  <c r="Q194" i="11" s="1"/>
  <c r="L194" i="11"/>
  <c r="I194" i="11"/>
  <c r="H194" i="11"/>
  <c r="E194" i="11"/>
  <c r="P193" i="11"/>
  <c r="O193" i="11"/>
  <c r="Q193" i="11" s="1"/>
  <c r="L193" i="11"/>
  <c r="I193" i="11"/>
  <c r="H193" i="11"/>
  <c r="E193" i="11"/>
  <c r="P192" i="11"/>
  <c r="O192" i="11"/>
  <c r="L192" i="11"/>
  <c r="I192" i="11"/>
  <c r="H192" i="11"/>
  <c r="E192" i="11"/>
  <c r="Q191" i="11"/>
  <c r="P191" i="11"/>
  <c r="O191" i="11"/>
  <c r="L191" i="11"/>
  <c r="I191" i="11"/>
  <c r="H191" i="11"/>
  <c r="E191" i="11"/>
  <c r="Q190" i="11"/>
  <c r="P190" i="11"/>
  <c r="O190" i="11"/>
  <c r="L190" i="11"/>
  <c r="I190" i="11"/>
  <c r="H190" i="11"/>
  <c r="E190" i="11"/>
  <c r="Q189" i="11"/>
  <c r="P189" i="11"/>
  <c r="O189" i="11"/>
  <c r="L189" i="11"/>
  <c r="I189" i="11"/>
  <c r="H189" i="11"/>
  <c r="E189" i="11"/>
  <c r="Q188" i="11"/>
  <c r="P188" i="11"/>
  <c r="O188" i="11"/>
  <c r="L188" i="11"/>
  <c r="I188" i="11"/>
  <c r="H188" i="11"/>
  <c r="E188" i="11"/>
  <c r="P187" i="11"/>
  <c r="O187" i="11"/>
  <c r="Q187" i="11" s="1"/>
  <c r="L187" i="11"/>
  <c r="I187" i="11"/>
  <c r="H187" i="11"/>
  <c r="E187" i="11"/>
  <c r="Q186" i="11"/>
  <c r="P186" i="11"/>
  <c r="O186" i="11"/>
  <c r="L186" i="11"/>
  <c r="I186" i="11"/>
  <c r="H186" i="11"/>
  <c r="E186" i="11"/>
  <c r="P185" i="11"/>
  <c r="O185" i="11"/>
  <c r="Q185" i="11" s="1"/>
  <c r="L185" i="11"/>
  <c r="I185" i="11"/>
  <c r="H185" i="11"/>
  <c r="E185" i="11"/>
  <c r="P184" i="11"/>
  <c r="O184" i="11"/>
  <c r="L184" i="11"/>
  <c r="M36" i="20" s="1"/>
  <c r="I184" i="11"/>
  <c r="H184" i="11"/>
  <c r="E184" i="11"/>
  <c r="Q183" i="11"/>
  <c r="P183" i="11"/>
  <c r="O183" i="11"/>
  <c r="L183" i="11"/>
  <c r="I183" i="11"/>
  <c r="H183" i="11"/>
  <c r="E183" i="11"/>
  <c r="Q182" i="11"/>
  <c r="P182" i="11"/>
  <c r="O182" i="11"/>
  <c r="L182" i="11"/>
  <c r="I182" i="11"/>
  <c r="H182" i="11"/>
  <c r="E182" i="11"/>
  <c r="Q181" i="11"/>
  <c r="P181" i="11"/>
  <c r="O181" i="11"/>
  <c r="L181" i="11"/>
  <c r="I181" i="11"/>
  <c r="H181" i="11"/>
  <c r="E181" i="11"/>
  <c r="P180" i="11"/>
  <c r="O180" i="11"/>
  <c r="Q180" i="11" s="1"/>
  <c r="L180" i="11"/>
  <c r="I180" i="11"/>
  <c r="H180" i="11"/>
  <c r="E180" i="11"/>
  <c r="Q179" i="11"/>
  <c r="P179" i="11"/>
  <c r="O179" i="11"/>
  <c r="L179" i="11"/>
  <c r="I179" i="11"/>
  <c r="H179" i="11"/>
  <c r="E179" i="11"/>
  <c r="P178" i="11"/>
  <c r="O178" i="11"/>
  <c r="Q178" i="11" s="1"/>
  <c r="L178" i="11"/>
  <c r="I178" i="11"/>
  <c r="H178" i="11"/>
  <c r="E178" i="11"/>
  <c r="P177" i="11"/>
  <c r="O177" i="11"/>
  <c r="Q177" i="11" s="1"/>
  <c r="L177" i="11"/>
  <c r="I177" i="11"/>
  <c r="H177" i="11"/>
  <c r="E177" i="11"/>
  <c r="P176" i="11"/>
  <c r="O176" i="11"/>
  <c r="L176" i="11"/>
  <c r="M35" i="20" s="1"/>
  <c r="I176" i="11"/>
  <c r="H176" i="11"/>
  <c r="E176" i="11"/>
  <c r="Q175" i="11"/>
  <c r="P175" i="11"/>
  <c r="O175" i="11"/>
  <c r="L175" i="11"/>
  <c r="I175" i="11"/>
  <c r="H175" i="11"/>
  <c r="E175" i="11"/>
  <c r="Q174" i="11"/>
  <c r="P174" i="11"/>
  <c r="O174" i="11"/>
  <c r="L174" i="11"/>
  <c r="I174" i="11"/>
  <c r="H174" i="11"/>
  <c r="E174" i="11"/>
  <c r="Q173" i="11"/>
  <c r="P173" i="11"/>
  <c r="O173" i="11"/>
  <c r="L173" i="11"/>
  <c r="I173" i="11"/>
  <c r="H173" i="11"/>
  <c r="E173" i="11"/>
  <c r="P172" i="11"/>
  <c r="O172" i="11"/>
  <c r="Q172" i="11" s="1"/>
  <c r="L172" i="11"/>
  <c r="I172" i="11"/>
  <c r="H172" i="11"/>
  <c r="E172" i="11"/>
  <c r="Q171" i="11"/>
  <c r="P171" i="11"/>
  <c r="O171" i="11"/>
  <c r="L171" i="11"/>
  <c r="I171" i="11"/>
  <c r="H171" i="11"/>
  <c r="E171" i="11"/>
  <c r="P170" i="11"/>
  <c r="O170" i="11"/>
  <c r="Q170" i="11" s="1"/>
  <c r="L170" i="11"/>
  <c r="I170" i="11"/>
  <c r="H170" i="11"/>
  <c r="E170" i="11"/>
  <c r="P169" i="11"/>
  <c r="O169" i="11"/>
  <c r="Q169" i="11" s="1"/>
  <c r="L169" i="11"/>
  <c r="I169" i="11"/>
  <c r="H169" i="11"/>
  <c r="E169" i="11"/>
  <c r="P168" i="11"/>
  <c r="O168" i="11"/>
  <c r="L168" i="11"/>
  <c r="M34" i="20" s="1"/>
  <c r="I168" i="11"/>
  <c r="H168" i="11"/>
  <c r="E168" i="11"/>
  <c r="Q167" i="11"/>
  <c r="P167" i="11"/>
  <c r="O167" i="11"/>
  <c r="L167" i="11"/>
  <c r="I167" i="11"/>
  <c r="H167" i="11"/>
  <c r="E167" i="11"/>
  <c r="Q166" i="11"/>
  <c r="P166" i="11"/>
  <c r="O166" i="11"/>
  <c r="L166" i="11"/>
  <c r="I166" i="11"/>
  <c r="H166" i="11"/>
  <c r="E166" i="11"/>
  <c r="Q165" i="11"/>
  <c r="P165" i="11"/>
  <c r="O165" i="11"/>
  <c r="L165" i="11"/>
  <c r="I165" i="11"/>
  <c r="H165" i="11"/>
  <c r="E165" i="11"/>
  <c r="Q164" i="11"/>
  <c r="P164" i="11"/>
  <c r="O164" i="11"/>
  <c r="L164" i="11"/>
  <c r="I164" i="11"/>
  <c r="H164" i="11"/>
  <c r="E164" i="11"/>
  <c r="P163" i="11"/>
  <c r="O163" i="11"/>
  <c r="Q163" i="11" s="1"/>
  <c r="L163" i="11"/>
  <c r="I163" i="11"/>
  <c r="H163" i="11"/>
  <c r="E163" i="11"/>
  <c r="P162" i="11"/>
  <c r="O162" i="11"/>
  <c r="Q162" i="11" s="1"/>
  <c r="L162" i="11"/>
  <c r="I162" i="11"/>
  <c r="H162" i="11"/>
  <c r="E162" i="11"/>
  <c r="P161" i="11"/>
  <c r="O161" i="11"/>
  <c r="Q161" i="11" s="1"/>
  <c r="L161" i="11"/>
  <c r="I161" i="11"/>
  <c r="H161" i="11"/>
  <c r="E161" i="11"/>
  <c r="P160" i="11"/>
  <c r="O160" i="11"/>
  <c r="L160" i="11"/>
  <c r="M33" i="20" s="1"/>
  <c r="I160" i="11"/>
  <c r="H160" i="11"/>
  <c r="E160" i="11"/>
  <c r="Q159" i="11"/>
  <c r="P159" i="11"/>
  <c r="O159" i="11"/>
  <c r="L159" i="11"/>
  <c r="I159" i="11"/>
  <c r="H159" i="11"/>
  <c r="E159" i="11"/>
  <c r="Q158" i="11"/>
  <c r="P158" i="11"/>
  <c r="O158" i="11"/>
  <c r="L158" i="11"/>
  <c r="I158" i="11"/>
  <c r="H158" i="11"/>
  <c r="E158" i="11"/>
  <c r="Q157" i="11"/>
  <c r="P157" i="11"/>
  <c r="O157" i="11"/>
  <c r="L157" i="11"/>
  <c r="I157" i="11"/>
  <c r="H157" i="11"/>
  <c r="E157" i="11"/>
  <c r="Q156" i="11"/>
  <c r="P156" i="11"/>
  <c r="O156" i="11"/>
  <c r="L156" i="11"/>
  <c r="I156" i="11"/>
  <c r="H156" i="11"/>
  <c r="E156" i="11"/>
  <c r="P155" i="11"/>
  <c r="O155" i="11"/>
  <c r="Q155" i="11" s="1"/>
  <c r="L155" i="11"/>
  <c r="I155" i="11"/>
  <c r="H155" i="11"/>
  <c r="E155" i="11"/>
  <c r="P154" i="11"/>
  <c r="O154" i="11"/>
  <c r="Q154" i="11" s="1"/>
  <c r="L154" i="11"/>
  <c r="I154" i="11"/>
  <c r="H154" i="11"/>
  <c r="E154" i="11"/>
  <c r="P153" i="11"/>
  <c r="O153" i="11"/>
  <c r="Q153" i="11" s="1"/>
  <c r="L153" i="11"/>
  <c r="I153" i="11"/>
  <c r="H153" i="11"/>
  <c r="E153" i="11"/>
  <c r="P152" i="11"/>
  <c r="O152" i="11"/>
  <c r="L152" i="11"/>
  <c r="M32" i="20" s="1"/>
  <c r="I152" i="11"/>
  <c r="H152" i="11"/>
  <c r="E152" i="11"/>
  <c r="Q151" i="11"/>
  <c r="P151" i="11"/>
  <c r="O151" i="11"/>
  <c r="L151" i="11"/>
  <c r="I151" i="11"/>
  <c r="H151" i="11"/>
  <c r="E151" i="11"/>
  <c r="Q150" i="11"/>
  <c r="P150" i="11"/>
  <c r="O150" i="11"/>
  <c r="L150" i="11"/>
  <c r="I150" i="11"/>
  <c r="H150" i="11"/>
  <c r="E150" i="11"/>
  <c r="Q149" i="11"/>
  <c r="P149" i="11"/>
  <c r="O149" i="11"/>
  <c r="L149" i="11"/>
  <c r="I149" i="11"/>
  <c r="H149" i="11"/>
  <c r="E149" i="11"/>
  <c r="P148" i="11"/>
  <c r="O148" i="11"/>
  <c r="Q148" i="11" s="1"/>
  <c r="L148" i="11"/>
  <c r="I148" i="11"/>
  <c r="H148" i="11"/>
  <c r="E148" i="11"/>
  <c r="Q147" i="11"/>
  <c r="P147" i="11"/>
  <c r="O147" i="11"/>
  <c r="L147" i="11"/>
  <c r="I147" i="11"/>
  <c r="H147" i="11"/>
  <c r="E147" i="11"/>
  <c r="P146" i="11"/>
  <c r="O146" i="11"/>
  <c r="Q146" i="11" s="1"/>
  <c r="L146" i="11"/>
  <c r="I146" i="11"/>
  <c r="H146" i="11"/>
  <c r="E146" i="11"/>
  <c r="P145" i="11"/>
  <c r="O145" i="11"/>
  <c r="Q145" i="11" s="1"/>
  <c r="L145" i="11"/>
  <c r="I145" i="11"/>
  <c r="H145" i="11"/>
  <c r="E145" i="11"/>
  <c r="P144" i="11"/>
  <c r="O144" i="11"/>
  <c r="L144" i="11"/>
  <c r="M31" i="20" s="1"/>
  <c r="I144" i="11"/>
  <c r="H144" i="11"/>
  <c r="E144" i="11"/>
  <c r="Q143" i="11"/>
  <c r="P143" i="11"/>
  <c r="O143" i="11"/>
  <c r="L143" i="11"/>
  <c r="I143" i="11"/>
  <c r="H143" i="11"/>
  <c r="E143" i="11"/>
  <c r="Q142" i="11"/>
  <c r="P142" i="11"/>
  <c r="O142" i="11"/>
  <c r="L142" i="11"/>
  <c r="I142" i="11"/>
  <c r="H142" i="11"/>
  <c r="E142" i="11"/>
  <c r="Q141" i="11"/>
  <c r="P141" i="11"/>
  <c r="O141" i="11"/>
  <c r="L141" i="11"/>
  <c r="I141" i="11"/>
  <c r="H141" i="11"/>
  <c r="E141" i="11"/>
  <c r="Q140" i="11"/>
  <c r="P140" i="11"/>
  <c r="O140" i="11"/>
  <c r="L140" i="11"/>
  <c r="I140" i="11"/>
  <c r="H140" i="11"/>
  <c r="E140" i="11"/>
  <c r="P139" i="11"/>
  <c r="O139" i="11"/>
  <c r="Q139" i="11" s="1"/>
  <c r="L139" i="11"/>
  <c r="I139" i="11"/>
  <c r="H139" i="11"/>
  <c r="E139" i="11"/>
  <c r="P138" i="11"/>
  <c r="O138" i="11"/>
  <c r="Q138" i="11" s="1"/>
  <c r="L138" i="11"/>
  <c r="I138" i="11"/>
  <c r="H138" i="11"/>
  <c r="E138" i="11"/>
  <c r="P137" i="11"/>
  <c r="O137" i="11"/>
  <c r="Q137" i="11" s="1"/>
  <c r="L137" i="11"/>
  <c r="I137" i="11"/>
  <c r="H137" i="11"/>
  <c r="E137" i="11"/>
  <c r="P136" i="11"/>
  <c r="O136" i="11"/>
  <c r="L136" i="11"/>
  <c r="M30" i="20" s="1"/>
  <c r="I136" i="11"/>
  <c r="H136" i="11"/>
  <c r="E136" i="11"/>
  <c r="Q135" i="11"/>
  <c r="P135" i="11"/>
  <c r="O135" i="11"/>
  <c r="L135" i="11"/>
  <c r="I135" i="11"/>
  <c r="H135" i="11"/>
  <c r="E135" i="11"/>
  <c r="Q134" i="11"/>
  <c r="P134" i="11"/>
  <c r="O134" i="11"/>
  <c r="L134" i="11"/>
  <c r="I134" i="11"/>
  <c r="H134" i="11"/>
  <c r="E134" i="11"/>
  <c r="Q133" i="11"/>
  <c r="P133" i="11"/>
  <c r="O133" i="11"/>
  <c r="L133" i="11"/>
  <c r="I133" i="11"/>
  <c r="H133" i="11"/>
  <c r="E133" i="11"/>
  <c r="Q132" i="11"/>
  <c r="P132" i="11"/>
  <c r="O132" i="11"/>
  <c r="L132" i="11"/>
  <c r="I132" i="11"/>
  <c r="H132" i="11"/>
  <c r="E132" i="11"/>
  <c r="Q131" i="11"/>
  <c r="P131" i="11"/>
  <c r="O131" i="11"/>
  <c r="L131" i="11"/>
  <c r="I131" i="11"/>
  <c r="H131" i="11"/>
  <c r="E131" i="11"/>
  <c r="P130" i="11"/>
  <c r="O130" i="11"/>
  <c r="Q130" i="11" s="1"/>
  <c r="L130" i="11"/>
  <c r="I130" i="11"/>
  <c r="H130" i="11"/>
  <c r="E130" i="11"/>
  <c r="P129" i="11"/>
  <c r="O129" i="11"/>
  <c r="Q129" i="11" s="1"/>
  <c r="L129" i="11"/>
  <c r="I129" i="11"/>
  <c r="H129" i="11"/>
  <c r="E129" i="11"/>
  <c r="P128" i="11"/>
  <c r="O128" i="11"/>
  <c r="L128" i="11"/>
  <c r="M29" i="20" s="1"/>
  <c r="I128" i="11"/>
  <c r="H128" i="11"/>
  <c r="E128" i="11"/>
  <c r="Q127" i="11"/>
  <c r="P127" i="11"/>
  <c r="O127" i="11"/>
  <c r="L127" i="11"/>
  <c r="I127" i="11"/>
  <c r="H127" i="11"/>
  <c r="E127" i="11"/>
  <c r="Q126" i="11"/>
  <c r="P126" i="11"/>
  <c r="O126" i="11"/>
  <c r="L126" i="11"/>
  <c r="I126" i="11"/>
  <c r="H126" i="11"/>
  <c r="E126" i="11"/>
  <c r="Q125" i="11"/>
  <c r="P125" i="11"/>
  <c r="O125" i="11"/>
  <c r="L125" i="11"/>
  <c r="I125" i="11"/>
  <c r="H125" i="11"/>
  <c r="E125" i="11"/>
  <c r="P124" i="11"/>
  <c r="O124" i="11"/>
  <c r="Q124" i="11" s="1"/>
  <c r="L124" i="11"/>
  <c r="I124" i="11"/>
  <c r="H124" i="11"/>
  <c r="E124" i="11"/>
  <c r="Q123" i="11"/>
  <c r="P123" i="11"/>
  <c r="O123" i="11"/>
  <c r="L123" i="11"/>
  <c r="I123" i="11"/>
  <c r="H123" i="11"/>
  <c r="E123" i="11"/>
  <c r="P122" i="11"/>
  <c r="O122" i="11"/>
  <c r="Q122" i="11" s="1"/>
  <c r="L122" i="11"/>
  <c r="I122" i="11"/>
  <c r="H122" i="11"/>
  <c r="E122" i="11"/>
  <c r="P121" i="11"/>
  <c r="O121" i="11"/>
  <c r="Q121" i="11" s="1"/>
  <c r="L121" i="11"/>
  <c r="I121" i="11"/>
  <c r="H121" i="11"/>
  <c r="E121" i="11"/>
  <c r="P120" i="11"/>
  <c r="O120" i="11"/>
  <c r="L120" i="11"/>
  <c r="I120" i="11"/>
  <c r="H120" i="11"/>
  <c r="E120" i="11"/>
  <c r="Q119" i="11"/>
  <c r="P119" i="11"/>
  <c r="O119" i="11"/>
  <c r="L119" i="11"/>
  <c r="I119" i="11"/>
  <c r="H119" i="11"/>
  <c r="E119" i="11"/>
  <c r="Q118" i="11"/>
  <c r="P118" i="11"/>
  <c r="O118" i="11"/>
  <c r="L118" i="11"/>
  <c r="I118" i="11"/>
  <c r="H118" i="11"/>
  <c r="E118" i="11"/>
  <c r="Q117" i="11"/>
  <c r="P117" i="11"/>
  <c r="O117" i="11"/>
  <c r="L117" i="11"/>
  <c r="I117" i="11"/>
  <c r="H117" i="11"/>
  <c r="E117" i="11"/>
  <c r="Q116" i="11"/>
  <c r="P116" i="11"/>
  <c r="O116" i="11"/>
  <c r="L116" i="11"/>
  <c r="I116" i="11"/>
  <c r="H116" i="11"/>
  <c r="E116" i="11"/>
  <c r="P115" i="11"/>
  <c r="O115" i="11"/>
  <c r="Q115" i="11" s="1"/>
  <c r="L115" i="11"/>
  <c r="I115" i="11"/>
  <c r="H115" i="11"/>
  <c r="E115" i="11"/>
  <c r="P114" i="11"/>
  <c r="O114" i="11"/>
  <c r="Q114" i="11" s="1"/>
  <c r="L114" i="11"/>
  <c r="I114" i="11"/>
  <c r="H114" i="11"/>
  <c r="E114" i="11"/>
  <c r="P113" i="11"/>
  <c r="O113" i="11"/>
  <c r="Q113" i="11" s="1"/>
  <c r="L113" i="11"/>
  <c r="I113" i="11"/>
  <c r="H113" i="11"/>
  <c r="E113" i="11"/>
  <c r="P112" i="11"/>
  <c r="O112" i="11"/>
  <c r="L112" i="11"/>
  <c r="M27" i="20" s="1"/>
  <c r="I112" i="11"/>
  <c r="H112" i="11"/>
  <c r="E112" i="11"/>
  <c r="Q111" i="11"/>
  <c r="P111" i="11"/>
  <c r="O111" i="11"/>
  <c r="L111" i="11"/>
  <c r="I111" i="11"/>
  <c r="H111" i="11"/>
  <c r="E111" i="11"/>
  <c r="Q110" i="11"/>
  <c r="P110" i="11"/>
  <c r="O110" i="11"/>
  <c r="L110" i="11"/>
  <c r="I110" i="11"/>
  <c r="H110" i="11"/>
  <c r="E110" i="11"/>
  <c r="Q109" i="11"/>
  <c r="P109" i="11"/>
  <c r="O109" i="11"/>
  <c r="L109" i="11"/>
  <c r="I109" i="11"/>
  <c r="H109" i="11"/>
  <c r="E109" i="11"/>
  <c r="Q108" i="11"/>
  <c r="P108" i="11"/>
  <c r="O108" i="11"/>
  <c r="L108" i="11"/>
  <c r="I108" i="11"/>
  <c r="H108" i="11"/>
  <c r="E108" i="11"/>
  <c r="Q107" i="11"/>
  <c r="P107" i="11"/>
  <c r="O107" i="11"/>
  <c r="L107" i="11"/>
  <c r="I107" i="11"/>
  <c r="H107" i="11"/>
  <c r="E107" i="11"/>
  <c r="P106" i="11"/>
  <c r="O106" i="11"/>
  <c r="Q106" i="11" s="1"/>
  <c r="L106" i="11"/>
  <c r="I106" i="11"/>
  <c r="H106" i="11"/>
  <c r="E106" i="11"/>
  <c r="P105" i="11"/>
  <c r="O105" i="11"/>
  <c r="Q105" i="11" s="1"/>
  <c r="L105" i="11"/>
  <c r="I105" i="11"/>
  <c r="H105" i="11"/>
  <c r="E105" i="11"/>
  <c r="P104" i="11"/>
  <c r="O104" i="11"/>
  <c r="L104" i="11"/>
  <c r="I104" i="11"/>
  <c r="H104" i="11"/>
  <c r="E104" i="11"/>
  <c r="Q103" i="11"/>
  <c r="P103" i="11"/>
  <c r="O103" i="11"/>
  <c r="L103" i="11"/>
  <c r="I103" i="11"/>
  <c r="H103" i="11"/>
  <c r="E103" i="11"/>
  <c r="Q102" i="11"/>
  <c r="P102" i="11"/>
  <c r="O102" i="11"/>
  <c r="L102" i="11"/>
  <c r="I102" i="11"/>
  <c r="H102" i="11"/>
  <c r="E102" i="11"/>
  <c r="P101" i="11"/>
  <c r="O101" i="11"/>
  <c r="Q101" i="11" s="1"/>
  <c r="L101" i="11"/>
  <c r="I101" i="11"/>
  <c r="H101" i="11"/>
  <c r="E101" i="11"/>
  <c r="P100" i="11"/>
  <c r="O100" i="11"/>
  <c r="Q100" i="11" s="1"/>
  <c r="L100" i="11"/>
  <c r="I100" i="11"/>
  <c r="H100" i="11"/>
  <c r="E100" i="11"/>
  <c r="Q99" i="11"/>
  <c r="P99" i="11"/>
  <c r="O99" i="11"/>
  <c r="L99" i="11"/>
  <c r="I99" i="11"/>
  <c r="H99" i="11"/>
  <c r="E99" i="11"/>
  <c r="P98" i="11"/>
  <c r="O98" i="11"/>
  <c r="Q98" i="11" s="1"/>
  <c r="L98" i="11"/>
  <c r="I98" i="11"/>
  <c r="H98" i="11"/>
  <c r="E98" i="11"/>
  <c r="P97" i="11"/>
  <c r="O97" i="11"/>
  <c r="Q97" i="11" s="1"/>
  <c r="L97" i="11"/>
  <c r="I97" i="11"/>
  <c r="H97" i="11"/>
  <c r="E97" i="11"/>
  <c r="P96" i="11"/>
  <c r="O96" i="11"/>
  <c r="E25" i="20" s="1"/>
  <c r="L96" i="11"/>
  <c r="I96" i="11"/>
  <c r="H96" i="11"/>
  <c r="E96" i="11"/>
  <c r="Q95" i="11"/>
  <c r="P95" i="11"/>
  <c r="O95" i="11"/>
  <c r="L95" i="11"/>
  <c r="I95" i="11"/>
  <c r="H95" i="11"/>
  <c r="E95" i="11"/>
  <c r="Q94" i="11"/>
  <c r="P94" i="11"/>
  <c r="O94" i="11"/>
  <c r="L94" i="11"/>
  <c r="I94" i="11"/>
  <c r="H94" i="11"/>
  <c r="E94" i="11"/>
  <c r="P93" i="11"/>
  <c r="O93" i="11"/>
  <c r="Q93" i="11" s="1"/>
  <c r="L93" i="11"/>
  <c r="I93" i="11"/>
  <c r="H93" i="11"/>
  <c r="E93" i="11"/>
  <c r="P92" i="11"/>
  <c r="O92" i="11"/>
  <c r="Q92" i="11" s="1"/>
  <c r="L92" i="11"/>
  <c r="I92" i="11"/>
  <c r="H92" i="11"/>
  <c r="E92" i="11"/>
  <c r="P91" i="11"/>
  <c r="O91" i="11"/>
  <c r="Q91" i="11" s="1"/>
  <c r="L91" i="11"/>
  <c r="I91" i="11"/>
  <c r="H91" i="11"/>
  <c r="E91" i="11"/>
  <c r="P90" i="11"/>
  <c r="O90" i="11"/>
  <c r="Q90" i="11" s="1"/>
  <c r="L90" i="11"/>
  <c r="I90" i="11"/>
  <c r="H90" i="11"/>
  <c r="E90" i="11"/>
  <c r="P89" i="11"/>
  <c r="O89" i="11"/>
  <c r="Q89" i="11" s="1"/>
  <c r="L89" i="11"/>
  <c r="I89" i="11"/>
  <c r="H89" i="11"/>
  <c r="E89" i="11"/>
  <c r="P88" i="11"/>
  <c r="O88" i="11"/>
  <c r="L88" i="11"/>
  <c r="M24" i="20" s="1"/>
  <c r="I88" i="11"/>
  <c r="H88" i="11"/>
  <c r="E88" i="11"/>
  <c r="Q87" i="11"/>
  <c r="P87" i="11"/>
  <c r="O87" i="11"/>
  <c r="L87" i="11"/>
  <c r="I87" i="11"/>
  <c r="H87" i="11"/>
  <c r="E87" i="11"/>
  <c r="Q86" i="11"/>
  <c r="P86" i="11"/>
  <c r="O86" i="11"/>
  <c r="L86" i="11"/>
  <c r="I86" i="11"/>
  <c r="H86" i="11"/>
  <c r="E86" i="11"/>
  <c r="Q85" i="11"/>
  <c r="P85" i="11"/>
  <c r="O85" i="11"/>
  <c r="L85" i="11"/>
  <c r="I85" i="11"/>
  <c r="H85" i="11"/>
  <c r="E85" i="11"/>
  <c r="Q84" i="11"/>
  <c r="P84" i="11"/>
  <c r="O84" i="11"/>
  <c r="L84" i="11"/>
  <c r="I84" i="11"/>
  <c r="H84" i="11"/>
  <c r="E84" i="11"/>
  <c r="Q83" i="11"/>
  <c r="P83" i="11"/>
  <c r="O83" i="11"/>
  <c r="L83" i="11"/>
  <c r="I83" i="11"/>
  <c r="H83" i="11"/>
  <c r="E83" i="11"/>
  <c r="P82" i="11"/>
  <c r="O82" i="11"/>
  <c r="Q82" i="11" s="1"/>
  <c r="L82" i="11"/>
  <c r="I82" i="11"/>
  <c r="H82" i="11"/>
  <c r="E82" i="11"/>
  <c r="P81" i="11"/>
  <c r="O81" i="11"/>
  <c r="Q81" i="11" s="1"/>
  <c r="L81" i="11"/>
  <c r="I81" i="11"/>
  <c r="H81" i="11"/>
  <c r="E81" i="11"/>
  <c r="Q80" i="11"/>
  <c r="P80" i="11"/>
  <c r="O80" i="11"/>
  <c r="E23" i="20" s="1"/>
  <c r="L80" i="11"/>
  <c r="M23" i="20" s="1"/>
  <c r="I80" i="11"/>
  <c r="H80" i="11"/>
  <c r="E80" i="11"/>
  <c r="Q79" i="11"/>
  <c r="P79" i="11"/>
  <c r="O79" i="11"/>
  <c r="L79" i="11"/>
  <c r="I79" i="11"/>
  <c r="H79" i="11"/>
  <c r="E79" i="11"/>
  <c r="Q78" i="11"/>
  <c r="P78" i="11"/>
  <c r="O78" i="11"/>
  <c r="L78" i="11"/>
  <c r="I78" i="11"/>
  <c r="H78" i="11"/>
  <c r="E78" i="11"/>
  <c r="Q77" i="11"/>
  <c r="P77" i="11"/>
  <c r="O77" i="11"/>
  <c r="L77" i="11"/>
  <c r="I77" i="11"/>
  <c r="H77" i="11"/>
  <c r="E77" i="11"/>
  <c r="P76" i="11"/>
  <c r="O76" i="11"/>
  <c r="Q76" i="11" s="1"/>
  <c r="L76" i="11"/>
  <c r="I76" i="11"/>
  <c r="H76" i="11"/>
  <c r="E76" i="11"/>
  <c r="Q75" i="11"/>
  <c r="P75" i="11"/>
  <c r="O75" i="11"/>
  <c r="L75" i="11"/>
  <c r="I75" i="11"/>
  <c r="H75" i="11"/>
  <c r="E75" i="11"/>
  <c r="P74" i="11"/>
  <c r="O74" i="11"/>
  <c r="Q74" i="11" s="1"/>
  <c r="L74" i="11"/>
  <c r="I74" i="11"/>
  <c r="H74" i="11"/>
  <c r="E74" i="11"/>
  <c r="P73" i="11"/>
  <c r="O73" i="11"/>
  <c r="Q73" i="11" s="1"/>
  <c r="L73" i="11"/>
  <c r="I73" i="11"/>
  <c r="H73" i="11"/>
  <c r="E73" i="11"/>
  <c r="P72" i="11"/>
  <c r="O72" i="11"/>
  <c r="L72" i="11"/>
  <c r="M22" i="20" s="1"/>
  <c r="I72" i="11"/>
  <c r="H72" i="11"/>
  <c r="E72" i="11"/>
  <c r="Q71" i="11"/>
  <c r="P71" i="11"/>
  <c r="O71" i="11"/>
  <c r="L71" i="11"/>
  <c r="I71" i="11"/>
  <c r="H71" i="11"/>
  <c r="E71" i="11"/>
  <c r="Q70" i="11"/>
  <c r="P70" i="11"/>
  <c r="O70" i="11"/>
  <c r="L70" i="11"/>
  <c r="I70" i="11"/>
  <c r="H70" i="11"/>
  <c r="E70" i="11"/>
  <c r="P69" i="11"/>
  <c r="O69" i="11"/>
  <c r="Q69" i="11" s="1"/>
  <c r="L69" i="11"/>
  <c r="I69" i="11"/>
  <c r="H69" i="11"/>
  <c r="E69" i="11"/>
  <c r="P68" i="11"/>
  <c r="O68" i="11"/>
  <c r="Q68" i="11" s="1"/>
  <c r="L68" i="11"/>
  <c r="I68" i="11"/>
  <c r="H68" i="11"/>
  <c r="E68" i="11"/>
  <c r="Q67" i="11"/>
  <c r="P67" i="11"/>
  <c r="O67" i="11"/>
  <c r="L67" i="11"/>
  <c r="I67" i="11"/>
  <c r="H67" i="11"/>
  <c r="E67" i="11"/>
  <c r="P66" i="11"/>
  <c r="O66" i="11"/>
  <c r="Q66" i="11" s="1"/>
  <c r="L66" i="11"/>
  <c r="I66" i="11"/>
  <c r="H66" i="11"/>
  <c r="E66" i="11"/>
  <c r="P65" i="11"/>
  <c r="O65" i="11"/>
  <c r="Q65" i="11" s="1"/>
  <c r="L65" i="11"/>
  <c r="I65" i="11"/>
  <c r="H65" i="11"/>
  <c r="E65" i="11"/>
  <c r="P64" i="11"/>
  <c r="O64" i="11"/>
  <c r="E21" i="20" s="1"/>
  <c r="L64" i="11"/>
  <c r="M21" i="20" s="1"/>
  <c r="I64" i="11"/>
  <c r="H64" i="11"/>
  <c r="E64" i="11"/>
  <c r="Q63" i="11"/>
  <c r="P63" i="11"/>
  <c r="O63" i="11"/>
  <c r="L63" i="11"/>
  <c r="I63" i="11"/>
  <c r="H63" i="11"/>
  <c r="E63" i="11"/>
  <c r="Q62" i="11"/>
  <c r="P62" i="11"/>
  <c r="O62" i="11"/>
  <c r="L62" i="11"/>
  <c r="I62" i="11"/>
  <c r="H62" i="11"/>
  <c r="E62" i="11"/>
  <c r="P61" i="11"/>
  <c r="O61" i="11"/>
  <c r="Q61" i="11" s="1"/>
  <c r="L61" i="11"/>
  <c r="I61" i="11"/>
  <c r="H61" i="11"/>
  <c r="E61" i="11"/>
  <c r="Q60" i="11"/>
  <c r="P60" i="11"/>
  <c r="O60" i="11"/>
  <c r="L60" i="11"/>
  <c r="I60" i="11"/>
  <c r="H60" i="11"/>
  <c r="E60" i="11"/>
  <c r="P59" i="11"/>
  <c r="O59" i="11"/>
  <c r="Q59" i="11" s="1"/>
  <c r="L59" i="11"/>
  <c r="I59" i="11"/>
  <c r="H59" i="11"/>
  <c r="E59" i="11"/>
  <c r="P58" i="11"/>
  <c r="O58" i="11"/>
  <c r="Q58" i="11" s="1"/>
  <c r="L58" i="11"/>
  <c r="I58" i="11"/>
  <c r="H58" i="11"/>
  <c r="E58" i="11"/>
  <c r="P57" i="11"/>
  <c r="O57" i="11"/>
  <c r="Q57" i="11" s="1"/>
  <c r="L57" i="11"/>
  <c r="I57" i="11"/>
  <c r="H57" i="11"/>
  <c r="E57" i="11"/>
  <c r="P56" i="11"/>
  <c r="O56" i="11"/>
  <c r="L56" i="11"/>
  <c r="M20" i="20" s="1"/>
  <c r="I56" i="11"/>
  <c r="H56" i="11"/>
  <c r="E56" i="11"/>
  <c r="Q55" i="11"/>
  <c r="P55" i="11"/>
  <c r="O55" i="11"/>
  <c r="L55" i="11"/>
  <c r="I55" i="11"/>
  <c r="H55" i="11"/>
  <c r="E55" i="11"/>
  <c r="Q54" i="11"/>
  <c r="P54" i="11"/>
  <c r="O54" i="11"/>
  <c r="L54" i="11"/>
  <c r="I54" i="11"/>
  <c r="H54" i="11"/>
  <c r="E54" i="11"/>
  <c r="Q53" i="11"/>
  <c r="P53" i="11"/>
  <c r="O53" i="11"/>
  <c r="L53" i="11"/>
  <c r="I53" i="11"/>
  <c r="H53" i="11"/>
  <c r="E53" i="11"/>
  <c r="P52" i="11"/>
  <c r="O52" i="11"/>
  <c r="Q52" i="11" s="1"/>
  <c r="L52" i="11"/>
  <c r="I52" i="11"/>
  <c r="H52" i="11"/>
  <c r="E52" i="11"/>
  <c r="P51" i="11"/>
  <c r="O51" i="11"/>
  <c r="Q51" i="11" s="1"/>
  <c r="L51" i="11"/>
  <c r="I51" i="11"/>
  <c r="H51" i="11"/>
  <c r="E51" i="11"/>
  <c r="P50" i="11"/>
  <c r="O50" i="11"/>
  <c r="Q50" i="11" s="1"/>
  <c r="L50" i="11"/>
  <c r="I50" i="11"/>
  <c r="H50" i="11"/>
  <c r="E50" i="11"/>
  <c r="P49" i="11"/>
  <c r="O49" i="11"/>
  <c r="Q49" i="11" s="1"/>
  <c r="L49" i="11"/>
  <c r="I49" i="11"/>
  <c r="H49" i="11"/>
  <c r="E49" i="11"/>
  <c r="P48" i="11"/>
  <c r="O48" i="11"/>
  <c r="L48" i="11"/>
  <c r="I48" i="11"/>
  <c r="H48" i="11"/>
  <c r="E48" i="11"/>
  <c r="Q47" i="11"/>
  <c r="P47" i="11"/>
  <c r="O47" i="11"/>
  <c r="L47" i="11"/>
  <c r="I47" i="11"/>
  <c r="H47" i="11"/>
  <c r="E47" i="11"/>
  <c r="Q46" i="11"/>
  <c r="P46" i="11"/>
  <c r="O46" i="11"/>
  <c r="L46" i="11"/>
  <c r="I46" i="11"/>
  <c r="H46" i="11"/>
  <c r="E46" i="11"/>
  <c r="P45" i="11"/>
  <c r="O45" i="11"/>
  <c r="Q45" i="11" s="1"/>
  <c r="L45" i="11"/>
  <c r="I45" i="11"/>
  <c r="H45" i="11"/>
  <c r="E45" i="11"/>
  <c r="Q44" i="11"/>
  <c r="P44" i="11"/>
  <c r="O44" i="11"/>
  <c r="L44" i="11"/>
  <c r="I44" i="11"/>
  <c r="H44" i="11"/>
  <c r="E44" i="11"/>
  <c r="P43" i="11"/>
  <c r="O43" i="11"/>
  <c r="Q43" i="11" s="1"/>
  <c r="L43" i="11"/>
  <c r="I43" i="11"/>
  <c r="H43" i="11"/>
  <c r="E43" i="11"/>
  <c r="P42" i="11"/>
  <c r="O42" i="11"/>
  <c r="Q42" i="11" s="1"/>
  <c r="L42" i="11"/>
  <c r="I42" i="11"/>
  <c r="H42" i="11"/>
  <c r="E42" i="11"/>
  <c r="P41" i="11"/>
  <c r="O41" i="11"/>
  <c r="Q41" i="11" s="1"/>
  <c r="L41" i="11"/>
  <c r="I41" i="11"/>
  <c r="H41" i="11"/>
  <c r="E41" i="11"/>
  <c r="Q40" i="11"/>
  <c r="P40" i="11"/>
  <c r="O40" i="11"/>
  <c r="E18" i="20" s="1"/>
  <c r="L40" i="11"/>
  <c r="I40" i="11"/>
  <c r="H40" i="11"/>
  <c r="E40" i="11"/>
  <c r="Q39" i="11"/>
  <c r="P39" i="11"/>
  <c r="O39" i="11"/>
  <c r="L39" i="11"/>
  <c r="I39" i="11"/>
  <c r="H39" i="11"/>
  <c r="E39" i="11"/>
  <c r="Q38" i="11"/>
  <c r="P38" i="11"/>
  <c r="O38" i="11"/>
  <c r="L38" i="11"/>
  <c r="I38" i="11"/>
  <c r="H38" i="11"/>
  <c r="E38" i="11"/>
  <c r="Q37" i="11"/>
  <c r="P37" i="11"/>
  <c r="O37" i="11"/>
  <c r="L37" i="11"/>
  <c r="I37" i="11"/>
  <c r="H37" i="11"/>
  <c r="E37" i="11"/>
  <c r="P36" i="11"/>
  <c r="O36" i="11"/>
  <c r="Q36" i="11" s="1"/>
  <c r="L36" i="11"/>
  <c r="I36" i="11"/>
  <c r="H36" i="11"/>
  <c r="E36" i="11"/>
  <c r="Q35" i="11"/>
  <c r="P35" i="11"/>
  <c r="O35" i="11"/>
  <c r="L35" i="11"/>
  <c r="I35" i="11"/>
  <c r="H35" i="11"/>
  <c r="E35" i="11"/>
  <c r="P34" i="11"/>
  <c r="O34" i="11"/>
  <c r="Q34" i="11" s="1"/>
  <c r="L34" i="11"/>
  <c r="I34" i="11"/>
  <c r="H34" i="11"/>
  <c r="E34" i="11"/>
  <c r="P33" i="11"/>
  <c r="O33" i="11"/>
  <c r="Q33" i="11" s="1"/>
  <c r="L33" i="11"/>
  <c r="I33" i="11"/>
  <c r="H33" i="11"/>
  <c r="E33" i="11"/>
  <c r="P32" i="11"/>
  <c r="O32" i="11"/>
  <c r="L32" i="11"/>
  <c r="M17" i="20" s="1"/>
  <c r="I32" i="11"/>
  <c r="H32" i="11"/>
  <c r="E32" i="11"/>
  <c r="Q31" i="11"/>
  <c r="P31" i="11"/>
  <c r="O31" i="11"/>
  <c r="L31" i="11"/>
  <c r="I31" i="11"/>
  <c r="H31" i="11"/>
  <c r="E31" i="11"/>
  <c r="Q30" i="11"/>
  <c r="P30" i="11"/>
  <c r="O30" i="11"/>
  <c r="L30" i="11"/>
  <c r="I30" i="11"/>
  <c r="H30" i="11"/>
  <c r="E30" i="11"/>
  <c r="Q29" i="11"/>
  <c r="P29" i="11"/>
  <c r="O29" i="11"/>
  <c r="L29" i="11"/>
  <c r="I29" i="11"/>
  <c r="H29" i="11"/>
  <c r="E29" i="11"/>
  <c r="P28" i="11"/>
  <c r="O28" i="11"/>
  <c r="Q28" i="11" s="1"/>
  <c r="L28" i="11"/>
  <c r="I28" i="11"/>
  <c r="H28" i="11"/>
  <c r="E28" i="11"/>
  <c r="P27" i="11"/>
  <c r="O27" i="11"/>
  <c r="Q27" i="11" s="1"/>
  <c r="L27" i="11"/>
  <c r="I27" i="11"/>
  <c r="H27" i="11"/>
  <c r="E27" i="11"/>
  <c r="P26" i="11"/>
  <c r="O26" i="11"/>
  <c r="Q26" i="11" s="1"/>
  <c r="L26" i="11"/>
  <c r="I26" i="11"/>
  <c r="H26" i="11"/>
  <c r="E26" i="11"/>
  <c r="P25" i="11"/>
  <c r="O25" i="11"/>
  <c r="Q25" i="11" s="1"/>
  <c r="L25" i="11"/>
  <c r="I25" i="11"/>
  <c r="H25" i="11"/>
  <c r="E25" i="11"/>
  <c r="P24" i="11"/>
  <c r="O24" i="11"/>
  <c r="L24" i="11"/>
  <c r="M16" i="20" s="1"/>
  <c r="I24" i="11"/>
  <c r="H24" i="11"/>
  <c r="E24" i="11"/>
  <c r="Q23" i="11"/>
  <c r="P23" i="11"/>
  <c r="O23" i="11"/>
  <c r="L23" i="11"/>
  <c r="I23" i="11"/>
  <c r="H23" i="11"/>
  <c r="E23" i="11"/>
  <c r="Q22" i="11"/>
  <c r="P22" i="11"/>
  <c r="O22" i="11"/>
  <c r="L22" i="11"/>
  <c r="I22" i="11"/>
  <c r="H22" i="11"/>
  <c r="F22" i="11"/>
  <c r="E22" i="11"/>
  <c r="P21" i="11"/>
  <c r="O21" i="11"/>
  <c r="Q21" i="11" s="1"/>
  <c r="L21" i="11"/>
  <c r="I21" i="11"/>
  <c r="H21" i="11"/>
  <c r="F21" i="11"/>
  <c r="E21" i="11"/>
  <c r="P20" i="11"/>
  <c r="O20" i="11"/>
  <c r="Q20" i="11" s="1"/>
  <c r="L20" i="11"/>
  <c r="I20" i="11"/>
  <c r="H20" i="11"/>
  <c r="F20" i="11"/>
  <c r="E20" i="11"/>
  <c r="P19" i="11"/>
  <c r="O19" i="11"/>
  <c r="Q19" i="11" s="1"/>
  <c r="L19" i="11"/>
  <c r="I19" i="11"/>
  <c r="H19" i="11"/>
  <c r="F19" i="11"/>
  <c r="E19" i="11"/>
  <c r="P18" i="11"/>
  <c r="O18" i="11"/>
  <c r="Q18" i="11" s="1"/>
  <c r="L18" i="11"/>
  <c r="I18" i="11"/>
  <c r="H18" i="11"/>
  <c r="F18" i="11"/>
  <c r="E18" i="11"/>
  <c r="P17" i="11"/>
  <c r="O17" i="11"/>
  <c r="Q17" i="11" s="1"/>
  <c r="L17" i="11"/>
  <c r="I17" i="11"/>
  <c r="H17" i="11"/>
  <c r="F17" i="11"/>
  <c r="E17" i="11"/>
  <c r="Q16" i="11"/>
  <c r="P16" i="11"/>
  <c r="O16" i="11"/>
  <c r="E15" i="20" s="1"/>
  <c r="L16" i="11"/>
  <c r="I16" i="11"/>
  <c r="H16" i="11"/>
  <c r="F16" i="11"/>
  <c r="E16" i="11"/>
  <c r="Q15" i="11"/>
  <c r="P15" i="11"/>
  <c r="O15" i="11"/>
  <c r="L15" i="11"/>
  <c r="I15" i="11"/>
  <c r="H15" i="11"/>
  <c r="F15" i="11"/>
  <c r="E15" i="11"/>
  <c r="N4" i="11"/>
  <c r="M4" i="11"/>
  <c r="K4" i="11"/>
  <c r="J4" i="11"/>
  <c r="X130" i="10"/>
  <c r="V130" i="10"/>
  <c r="T130" i="10"/>
  <c r="S130" i="10"/>
  <c r="E130" i="10"/>
  <c r="X129" i="10"/>
  <c r="V129" i="10"/>
  <c r="T129" i="10"/>
  <c r="S129" i="10"/>
  <c r="E129" i="10"/>
  <c r="X128" i="10"/>
  <c r="V128" i="10"/>
  <c r="T128" i="10"/>
  <c r="S128" i="10"/>
  <c r="E128" i="10"/>
  <c r="X127" i="10"/>
  <c r="V127" i="10"/>
  <c r="T127" i="10"/>
  <c r="S127" i="10"/>
  <c r="E127" i="10"/>
  <c r="X126" i="10"/>
  <c r="V126" i="10"/>
  <c r="T126" i="10"/>
  <c r="S126" i="10"/>
  <c r="E126" i="10"/>
  <c r="X125" i="10"/>
  <c r="V125" i="10"/>
  <c r="T125" i="10"/>
  <c r="S125" i="10"/>
  <c r="E125" i="10"/>
  <c r="X124" i="10"/>
  <c r="V124" i="10"/>
  <c r="T124" i="10"/>
  <c r="S124" i="10"/>
  <c r="E124" i="10"/>
  <c r="X123" i="10"/>
  <c r="V123" i="10"/>
  <c r="T123" i="10"/>
  <c r="S123" i="10"/>
  <c r="E123" i="10"/>
  <c r="X122" i="10"/>
  <c r="V122" i="10"/>
  <c r="T122" i="10"/>
  <c r="S122" i="10"/>
  <c r="E122" i="10"/>
  <c r="X121" i="10"/>
  <c r="V121" i="10"/>
  <c r="T121" i="10"/>
  <c r="S121" i="10"/>
  <c r="E121" i="10"/>
  <c r="X120" i="10"/>
  <c r="V120" i="10"/>
  <c r="T120" i="10"/>
  <c r="S120" i="10"/>
  <c r="E120" i="10"/>
  <c r="X119" i="10"/>
  <c r="V119" i="10"/>
  <c r="T119" i="10"/>
  <c r="S119" i="10"/>
  <c r="E119" i="10"/>
  <c r="X118" i="10"/>
  <c r="V118" i="10"/>
  <c r="T118" i="10"/>
  <c r="S118" i="10"/>
  <c r="E118" i="10"/>
  <c r="X117" i="10"/>
  <c r="V117" i="10"/>
  <c r="T117" i="10"/>
  <c r="S117" i="10"/>
  <c r="E117" i="10"/>
  <c r="X116" i="10"/>
  <c r="V116" i="10"/>
  <c r="T116" i="10"/>
  <c r="S116" i="10"/>
  <c r="E116" i="10"/>
  <c r="X115" i="10"/>
  <c r="V115" i="10"/>
  <c r="T115" i="10"/>
  <c r="S115" i="10"/>
  <c r="E115" i="10"/>
  <c r="X114" i="10"/>
  <c r="V114" i="10"/>
  <c r="T114" i="10"/>
  <c r="S114" i="10"/>
  <c r="E114" i="10"/>
  <c r="X113" i="10"/>
  <c r="V113" i="10"/>
  <c r="T113" i="10"/>
  <c r="S113" i="10"/>
  <c r="E113" i="10"/>
  <c r="X112" i="10"/>
  <c r="V112" i="10"/>
  <c r="T112" i="10"/>
  <c r="S112" i="10"/>
  <c r="E112" i="10"/>
  <c r="X111" i="10"/>
  <c r="V111" i="10"/>
  <c r="T111" i="10"/>
  <c r="S111" i="10"/>
  <c r="E111" i="10"/>
  <c r="X110" i="10"/>
  <c r="V110" i="10"/>
  <c r="T110" i="10"/>
  <c r="S110" i="10"/>
  <c r="E110" i="10"/>
  <c r="X109" i="10"/>
  <c r="V109" i="10"/>
  <c r="T109" i="10"/>
  <c r="S109" i="10"/>
  <c r="E109" i="10"/>
  <c r="X108" i="10"/>
  <c r="V108" i="10"/>
  <c r="T108" i="10"/>
  <c r="S108" i="10"/>
  <c r="E108" i="10"/>
  <c r="X107" i="10"/>
  <c r="V107" i="10"/>
  <c r="T107" i="10"/>
  <c r="S107" i="10"/>
  <c r="E107" i="10"/>
  <c r="X106" i="10"/>
  <c r="V106" i="10"/>
  <c r="T106" i="10"/>
  <c r="S106" i="10"/>
  <c r="E106" i="10"/>
  <c r="X105" i="10"/>
  <c r="V105" i="10"/>
  <c r="T105" i="10"/>
  <c r="S105" i="10"/>
  <c r="E105" i="10"/>
  <c r="X104" i="10"/>
  <c r="V104" i="10"/>
  <c r="T104" i="10"/>
  <c r="S104" i="10"/>
  <c r="E104" i="10"/>
  <c r="X103" i="10"/>
  <c r="V103" i="10"/>
  <c r="T103" i="10"/>
  <c r="S103" i="10"/>
  <c r="E103" i="10"/>
  <c r="X102" i="10"/>
  <c r="V102" i="10"/>
  <c r="T102" i="10"/>
  <c r="S102" i="10"/>
  <c r="E102" i="10"/>
  <c r="X101" i="10"/>
  <c r="V101" i="10"/>
  <c r="T101" i="10"/>
  <c r="S101" i="10"/>
  <c r="E101" i="10"/>
  <c r="X100" i="10"/>
  <c r="V100" i="10"/>
  <c r="T100" i="10"/>
  <c r="S100" i="10"/>
  <c r="E100" i="10"/>
  <c r="X99" i="10"/>
  <c r="V99" i="10"/>
  <c r="T99" i="10"/>
  <c r="S99" i="10"/>
  <c r="E99" i="10"/>
  <c r="X98" i="10"/>
  <c r="V98" i="10"/>
  <c r="T98" i="10"/>
  <c r="S98" i="10"/>
  <c r="E98" i="10"/>
  <c r="X97" i="10"/>
  <c r="V97" i="10"/>
  <c r="T97" i="10"/>
  <c r="S97" i="10"/>
  <c r="E97" i="10"/>
  <c r="X96" i="10"/>
  <c r="V96" i="10"/>
  <c r="T96" i="10"/>
  <c r="S96" i="10"/>
  <c r="E96" i="10"/>
  <c r="X95" i="10"/>
  <c r="V95" i="10"/>
  <c r="T95" i="10"/>
  <c r="S95" i="10"/>
  <c r="E95" i="10"/>
  <c r="X94" i="10"/>
  <c r="V94" i="10"/>
  <c r="T94" i="10"/>
  <c r="S94" i="10"/>
  <c r="E94" i="10"/>
  <c r="X93" i="10"/>
  <c r="V93" i="10"/>
  <c r="T93" i="10"/>
  <c r="S93" i="10"/>
  <c r="E93" i="10"/>
  <c r="X92" i="10"/>
  <c r="V92" i="10"/>
  <c r="T92" i="10"/>
  <c r="S92" i="10"/>
  <c r="E92" i="10"/>
  <c r="X91" i="10"/>
  <c r="V91" i="10"/>
  <c r="T91" i="10"/>
  <c r="S91" i="10"/>
  <c r="E91" i="10"/>
  <c r="X90" i="10"/>
  <c r="V90" i="10"/>
  <c r="T90" i="10"/>
  <c r="S90" i="10"/>
  <c r="E90" i="10"/>
  <c r="X89" i="10"/>
  <c r="V89" i="10"/>
  <c r="T89" i="10"/>
  <c r="S89" i="10"/>
  <c r="E89" i="10"/>
  <c r="X88" i="10"/>
  <c r="V88" i="10"/>
  <c r="T88" i="10"/>
  <c r="S88" i="10"/>
  <c r="E88" i="10"/>
  <c r="X87" i="10"/>
  <c r="V87" i="10"/>
  <c r="T87" i="10"/>
  <c r="S87" i="10"/>
  <c r="E87" i="10"/>
  <c r="X86" i="10"/>
  <c r="V86" i="10"/>
  <c r="T86" i="10"/>
  <c r="S86" i="10"/>
  <c r="E86" i="10"/>
  <c r="X85" i="10"/>
  <c r="V85" i="10"/>
  <c r="T85" i="10"/>
  <c r="S85" i="10"/>
  <c r="E85" i="10"/>
  <c r="X84" i="10"/>
  <c r="V84" i="10"/>
  <c r="T84" i="10"/>
  <c r="S84" i="10"/>
  <c r="E84" i="10"/>
  <c r="X83" i="10"/>
  <c r="V83" i="10"/>
  <c r="T83" i="10"/>
  <c r="S83" i="10"/>
  <c r="E83" i="10"/>
  <c r="X82" i="10"/>
  <c r="V82" i="10"/>
  <c r="T82" i="10"/>
  <c r="S82" i="10"/>
  <c r="E82" i="10"/>
  <c r="X81" i="10"/>
  <c r="V81" i="10"/>
  <c r="T81" i="10"/>
  <c r="S81" i="10"/>
  <c r="E81" i="10"/>
  <c r="X80" i="10"/>
  <c r="V80" i="10"/>
  <c r="T80" i="10"/>
  <c r="S80" i="10"/>
  <c r="E80" i="10"/>
  <c r="X79" i="10"/>
  <c r="V79" i="10"/>
  <c r="T79" i="10"/>
  <c r="S79" i="10"/>
  <c r="E79" i="10"/>
  <c r="X78" i="10"/>
  <c r="V78" i="10"/>
  <c r="T78" i="10"/>
  <c r="S78" i="10"/>
  <c r="E78" i="10"/>
  <c r="X77" i="10"/>
  <c r="V77" i="10"/>
  <c r="T77" i="10"/>
  <c r="S77" i="10"/>
  <c r="E77" i="10"/>
  <c r="X76" i="10"/>
  <c r="V76" i="10"/>
  <c r="T76" i="10"/>
  <c r="S76" i="10"/>
  <c r="E76" i="10"/>
  <c r="X75" i="10"/>
  <c r="V75" i="10"/>
  <c r="T75" i="10"/>
  <c r="S75" i="10"/>
  <c r="E75" i="10"/>
  <c r="X74" i="10"/>
  <c r="V74" i="10"/>
  <c r="T74" i="10"/>
  <c r="S74" i="10"/>
  <c r="E74" i="10"/>
  <c r="X73" i="10"/>
  <c r="V73" i="10"/>
  <c r="T73" i="10"/>
  <c r="S73" i="10"/>
  <c r="E73" i="10"/>
  <c r="X72" i="10"/>
  <c r="V72" i="10"/>
  <c r="T72" i="10"/>
  <c r="S72" i="10"/>
  <c r="E72" i="10"/>
  <c r="X71" i="10"/>
  <c r="V71" i="10"/>
  <c r="T71" i="10"/>
  <c r="S71" i="10"/>
  <c r="E71" i="10"/>
  <c r="X70" i="10"/>
  <c r="V70" i="10"/>
  <c r="T70" i="10"/>
  <c r="S70" i="10"/>
  <c r="E70" i="10"/>
  <c r="X69" i="10"/>
  <c r="V69" i="10"/>
  <c r="T69" i="10"/>
  <c r="S69" i="10"/>
  <c r="E69" i="10"/>
  <c r="X68" i="10"/>
  <c r="V68" i="10"/>
  <c r="T68" i="10"/>
  <c r="S68" i="10"/>
  <c r="E68" i="10"/>
  <c r="X67" i="10"/>
  <c r="V67" i="10"/>
  <c r="T67" i="10"/>
  <c r="S67" i="10"/>
  <c r="E67" i="10"/>
  <c r="X66" i="10"/>
  <c r="V66" i="10"/>
  <c r="T66" i="10"/>
  <c r="S66" i="10"/>
  <c r="E66" i="10"/>
  <c r="X65" i="10"/>
  <c r="V65" i="10"/>
  <c r="T65" i="10"/>
  <c r="S65" i="10"/>
  <c r="E65" i="10"/>
  <c r="X64" i="10"/>
  <c r="V64" i="10"/>
  <c r="T64" i="10"/>
  <c r="S64" i="10"/>
  <c r="E64" i="10"/>
  <c r="X63" i="10"/>
  <c r="V63" i="10"/>
  <c r="T63" i="10"/>
  <c r="S63" i="10"/>
  <c r="E63" i="10"/>
  <c r="X62" i="10"/>
  <c r="V62" i="10"/>
  <c r="T62" i="10"/>
  <c r="S62" i="10"/>
  <c r="E62" i="10"/>
  <c r="X61" i="10"/>
  <c r="V61" i="10"/>
  <c r="T61" i="10"/>
  <c r="S61" i="10"/>
  <c r="E61" i="10"/>
  <c r="X60" i="10"/>
  <c r="V60" i="10"/>
  <c r="T60" i="10"/>
  <c r="S60" i="10"/>
  <c r="E60" i="10"/>
  <c r="X59" i="10"/>
  <c r="V59" i="10"/>
  <c r="T59" i="10"/>
  <c r="S59" i="10"/>
  <c r="E59" i="10"/>
  <c r="X58" i="10"/>
  <c r="V58" i="10"/>
  <c r="T58" i="10"/>
  <c r="S58" i="10"/>
  <c r="E58" i="10"/>
  <c r="X57" i="10"/>
  <c r="V57" i="10"/>
  <c r="T57" i="10"/>
  <c r="S57" i="10"/>
  <c r="E57" i="10"/>
  <c r="X56" i="10"/>
  <c r="V56" i="10"/>
  <c r="T56" i="10"/>
  <c r="S56" i="10"/>
  <c r="E56" i="10"/>
  <c r="X55" i="10"/>
  <c r="V55" i="10"/>
  <c r="T55" i="10"/>
  <c r="S55" i="10"/>
  <c r="E55" i="10"/>
  <c r="X54" i="10"/>
  <c r="V54" i="10"/>
  <c r="T54" i="10"/>
  <c r="S54" i="10"/>
  <c r="E54" i="10"/>
  <c r="X53" i="10"/>
  <c r="V53" i="10"/>
  <c r="T53" i="10"/>
  <c r="S53" i="10"/>
  <c r="E53" i="10"/>
  <c r="X52" i="10"/>
  <c r="V52" i="10"/>
  <c r="T52" i="10"/>
  <c r="S52" i="10"/>
  <c r="E52" i="10"/>
  <c r="X51" i="10"/>
  <c r="V51" i="10"/>
  <c r="T51" i="10"/>
  <c r="S51" i="10"/>
  <c r="E51" i="10"/>
  <c r="X50" i="10"/>
  <c r="V50" i="10"/>
  <c r="T50" i="10"/>
  <c r="S50" i="10"/>
  <c r="E50" i="10"/>
  <c r="X49" i="10"/>
  <c r="V49" i="10"/>
  <c r="T49" i="10"/>
  <c r="S49" i="10"/>
  <c r="E49" i="10"/>
  <c r="X48" i="10"/>
  <c r="V48" i="10"/>
  <c r="T48" i="10"/>
  <c r="S48" i="10"/>
  <c r="E48" i="10"/>
  <c r="X47" i="10"/>
  <c r="V47" i="10"/>
  <c r="T47" i="10"/>
  <c r="S47" i="10"/>
  <c r="E47" i="10"/>
  <c r="X46" i="10"/>
  <c r="V46" i="10"/>
  <c r="T46" i="10"/>
  <c r="S46" i="10"/>
  <c r="E46" i="10"/>
  <c r="X45" i="10"/>
  <c r="V45" i="10"/>
  <c r="T45" i="10"/>
  <c r="S45" i="10"/>
  <c r="E45" i="10"/>
  <c r="X44" i="10"/>
  <c r="V44" i="10"/>
  <c r="T44" i="10"/>
  <c r="S44" i="10"/>
  <c r="E44" i="10"/>
  <c r="X43" i="10"/>
  <c r="V43" i="10"/>
  <c r="T43" i="10"/>
  <c r="S43" i="10"/>
  <c r="E43" i="10"/>
  <c r="X42" i="10"/>
  <c r="V42" i="10"/>
  <c r="T42" i="10"/>
  <c r="S42" i="10"/>
  <c r="E42" i="10"/>
  <c r="X41" i="10"/>
  <c r="V41" i="10"/>
  <c r="T41" i="10"/>
  <c r="S41" i="10"/>
  <c r="E41" i="10"/>
  <c r="X40" i="10"/>
  <c r="V40" i="10"/>
  <c r="T40" i="10"/>
  <c r="S40" i="10"/>
  <c r="E40" i="10"/>
  <c r="X39" i="10"/>
  <c r="V39" i="10"/>
  <c r="T39" i="10"/>
  <c r="S39" i="10"/>
  <c r="E39" i="10"/>
  <c r="X38" i="10"/>
  <c r="V38" i="10"/>
  <c r="T38" i="10"/>
  <c r="S38" i="10"/>
  <c r="E38" i="10"/>
  <c r="X37" i="10"/>
  <c r="V37" i="10"/>
  <c r="T37" i="10"/>
  <c r="S37" i="10"/>
  <c r="E37" i="10"/>
  <c r="X36" i="10"/>
  <c r="V36" i="10"/>
  <c r="T36" i="10"/>
  <c r="S36" i="10"/>
  <c r="E36" i="10"/>
  <c r="X35" i="10"/>
  <c r="V35" i="10"/>
  <c r="T35" i="10"/>
  <c r="S35" i="10"/>
  <c r="E35" i="10"/>
  <c r="X34" i="10"/>
  <c r="V34" i="10"/>
  <c r="T34" i="10"/>
  <c r="S34" i="10"/>
  <c r="E34" i="10"/>
  <c r="X33" i="10"/>
  <c r="V33" i="10"/>
  <c r="T33" i="10"/>
  <c r="S33" i="10"/>
  <c r="E33" i="10"/>
  <c r="X32" i="10"/>
  <c r="V32" i="10"/>
  <c r="T32" i="10"/>
  <c r="S32" i="10"/>
  <c r="E32" i="10"/>
  <c r="X31" i="10"/>
  <c r="V31" i="10"/>
  <c r="T31" i="10"/>
  <c r="S31" i="10"/>
  <c r="E31" i="10"/>
  <c r="X30" i="10"/>
  <c r="V30" i="10"/>
  <c r="T30" i="10"/>
  <c r="S30" i="10"/>
  <c r="E30" i="10"/>
  <c r="X29" i="10"/>
  <c r="V29" i="10"/>
  <c r="T29" i="10"/>
  <c r="S29" i="10"/>
  <c r="E29" i="10"/>
  <c r="X28" i="10"/>
  <c r="V28" i="10"/>
  <c r="T28" i="10"/>
  <c r="S28" i="10"/>
  <c r="E28" i="10"/>
  <c r="X27" i="10"/>
  <c r="V27" i="10"/>
  <c r="T27" i="10"/>
  <c r="S27" i="10"/>
  <c r="E27" i="10"/>
  <c r="X26" i="10"/>
  <c r="V26" i="10"/>
  <c r="T26" i="10"/>
  <c r="S26" i="10"/>
  <c r="E26" i="10"/>
  <c r="X25" i="10"/>
  <c r="V25" i="10"/>
  <c r="T25" i="10"/>
  <c r="S25" i="10"/>
  <c r="E25" i="10"/>
  <c r="X24" i="10"/>
  <c r="V24" i="10"/>
  <c r="T24" i="10"/>
  <c r="S24" i="10"/>
  <c r="E24" i="10"/>
  <c r="X23" i="10"/>
  <c r="V23" i="10"/>
  <c r="T23" i="10"/>
  <c r="S23" i="10"/>
  <c r="E23" i="10"/>
  <c r="X22" i="10"/>
  <c r="V22" i="10"/>
  <c r="T22" i="10"/>
  <c r="S22" i="10"/>
  <c r="E22" i="10"/>
  <c r="X21" i="10"/>
  <c r="V21" i="10"/>
  <c r="T21" i="10"/>
  <c r="S21" i="10"/>
  <c r="E21" i="10"/>
  <c r="X20" i="10"/>
  <c r="V20" i="10"/>
  <c r="T20" i="10"/>
  <c r="S20" i="10"/>
  <c r="E20" i="10"/>
  <c r="X19" i="10"/>
  <c r="V19" i="10"/>
  <c r="T19" i="10"/>
  <c r="S19" i="10"/>
  <c r="E19" i="10"/>
  <c r="AB18" i="10"/>
  <c r="Y18" i="10"/>
  <c r="AA18" i="10" s="1"/>
  <c r="AD18" i="10" s="1"/>
  <c r="X18" i="10"/>
  <c r="V18" i="10"/>
  <c r="T18" i="10"/>
  <c r="S18" i="10"/>
  <c r="Q18" i="10"/>
  <c r="R18" i="10" s="1"/>
  <c r="O18" i="10"/>
  <c r="N18" i="10"/>
  <c r="M18" i="10"/>
  <c r="J18" i="10"/>
  <c r="I18" i="10"/>
  <c r="H18" i="10"/>
  <c r="G18" i="10"/>
  <c r="F18" i="10"/>
  <c r="P18" i="10" s="1"/>
  <c r="E18" i="10"/>
  <c r="Y17" i="10"/>
  <c r="AA17" i="10" s="1"/>
  <c r="AD17" i="10" s="1"/>
  <c r="X17" i="10"/>
  <c r="V17" i="10"/>
  <c r="T17" i="10"/>
  <c r="S17" i="10"/>
  <c r="R17" i="10"/>
  <c r="Q17" i="10"/>
  <c r="P17" i="10"/>
  <c r="O17" i="10"/>
  <c r="N17" i="10"/>
  <c r="M17" i="10"/>
  <c r="J17" i="10"/>
  <c r="I17" i="10"/>
  <c r="H17" i="10"/>
  <c r="G17" i="10"/>
  <c r="F17" i="10"/>
  <c r="E17" i="10"/>
  <c r="AD16" i="10"/>
  <c r="AB16" i="10"/>
  <c r="AA16" i="10"/>
  <c r="Z16" i="10"/>
  <c r="Y16" i="10"/>
  <c r="X16" i="10"/>
  <c r="V16" i="10"/>
  <c r="T16" i="10"/>
  <c r="S16" i="10"/>
  <c r="R16" i="10"/>
  <c r="N16" i="10"/>
  <c r="M16" i="10"/>
  <c r="J16" i="10"/>
  <c r="I16" i="10"/>
  <c r="H16" i="10"/>
  <c r="G16" i="10"/>
  <c r="F16" i="10"/>
  <c r="Q16" i="10" s="1"/>
  <c r="E16" i="10"/>
  <c r="Z15" i="10"/>
  <c r="Y15" i="10"/>
  <c r="AB15" i="10" s="1"/>
  <c r="X15" i="10"/>
  <c r="V15" i="10"/>
  <c r="T15" i="10"/>
  <c r="S15" i="10"/>
  <c r="P15" i="10"/>
  <c r="N15" i="10"/>
  <c r="M15" i="10"/>
  <c r="J15" i="10"/>
  <c r="I15" i="10"/>
  <c r="H15" i="10"/>
  <c r="G15" i="10"/>
  <c r="F15" i="10"/>
  <c r="O15" i="10" s="1"/>
  <c r="E15" i="10"/>
  <c r="L4" i="10"/>
  <c r="K4" i="10"/>
  <c r="V362" i="9"/>
  <c r="M362" i="9"/>
  <c r="K362" i="9"/>
  <c r="H362" i="9"/>
  <c r="N362" i="9" s="1"/>
  <c r="P362" i="9" s="1"/>
  <c r="G362" i="9"/>
  <c r="E362" i="9"/>
  <c r="M361" i="9"/>
  <c r="K361" i="9"/>
  <c r="H361" i="9"/>
  <c r="N361" i="9" s="1"/>
  <c r="G361" i="9"/>
  <c r="E361" i="9"/>
  <c r="N360" i="9"/>
  <c r="M360" i="9"/>
  <c r="K360" i="9"/>
  <c r="H360" i="9"/>
  <c r="G360" i="9"/>
  <c r="E360" i="9"/>
  <c r="Q359" i="9"/>
  <c r="M359" i="9"/>
  <c r="K359" i="9"/>
  <c r="H359" i="9"/>
  <c r="N359" i="9" s="1"/>
  <c r="P359" i="9" s="1"/>
  <c r="G359" i="9"/>
  <c r="E359" i="9"/>
  <c r="N358" i="9"/>
  <c r="Q358" i="9" s="1"/>
  <c r="M358" i="9"/>
  <c r="K358" i="9"/>
  <c r="H358" i="9"/>
  <c r="G358" i="9"/>
  <c r="E358" i="9"/>
  <c r="N357" i="9"/>
  <c r="M357" i="9"/>
  <c r="K357" i="9"/>
  <c r="H357" i="9"/>
  <c r="G357" i="9"/>
  <c r="E357" i="9"/>
  <c r="V356" i="9"/>
  <c r="Q356" i="9"/>
  <c r="P356" i="9"/>
  <c r="T356" i="9" s="1"/>
  <c r="O356" i="9"/>
  <c r="S356" i="9" s="1"/>
  <c r="N356" i="9"/>
  <c r="M356" i="9"/>
  <c r="K356" i="9"/>
  <c r="H356" i="9"/>
  <c r="G356" i="9"/>
  <c r="E356" i="9"/>
  <c r="S355" i="9"/>
  <c r="Q355" i="9"/>
  <c r="P355" i="9"/>
  <c r="V355" i="9" s="1"/>
  <c r="O355" i="9"/>
  <c r="M355" i="9"/>
  <c r="K355" i="9"/>
  <c r="H355" i="9"/>
  <c r="N355" i="9" s="1"/>
  <c r="G355" i="9"/>
  <c r="E355" i="9"/>
  <c r="M354" i="9"/>
  <c r="K354" i="9"/>
  <c r="H354" i="9"/>
  <c r="N354" i="9" s="1"/>
  <c r="G354" i="9"/>
  <c r="E354" i="9"/>
  <c r="M353" i="9"/>
  <c r="K353" i="9"/>
  <c r="G353" i="9"/>
  <c r="H353" i="9" s="1"/>
  <c r="N353" i="9" s="1"/>
  <c r="E353" i="9"/>
  <c r="Q352" i="9"/>
  <c r="M352" i="9"/>
  <c r="K352" i="9"/>
  <c r="H352" i="9"/>
  <c r="N352" i="9" s="1"/>
  <c r="G352" i="9"/>
  <c r="E352" i="9"/>
  <c r="N351" i="9"/>
  <c r="M351" i="9"/>
  <c r="K351" i="9"/>
  <c r="H351" i="9"/>
  <c r="G351" i="9"/>
  <c r="E351" i="9"/>
  <c r="M350" i="9"/>
  <c r="K350" i="9"/>
  <c r="H350" i="9"/>
  <c r="N350" i="9" s="1"/>
  <c r="G350" i="9"/>
  <c r="E350" i="9"/>
  <c r="Q349" i="9"/>
  <c r="M349" i="9"/>
  <c r="K349" i="9"/>
  <c r="H349" i="9"/>
  <c r="N349" i="9" s="1"/>
  <c r="G349" i="9"/>
  <c r="E349" i="9"/>
  <c r="N348" i="9"/>
  <c r="M348" i="9"/>
  <c r="K348" i="9"/>
  <c r="H348" i="9"/>
  <c r="G348" i="9"/>
  <c r="E348" i="9"/>
  <c r="M347" i="9"/>
  <c r="K347" i="9"/>
  <c r="H347" i="9"/>
  <c r="N347" i="9" s="1"/>
  <c r="G347" i="9"/>
  <c r="E347" i="9"/>
  <c r="O346" i="9"/>
  <c r="S346" i="9" s="1"/>
  <c r="N346" i="9"/>
  <c r="Q346" i="9" s="1"/>
  <c r="M346" i="9"/>
  <c r="K346" i="9"/>
  <c r="H346" i="9"/>
  <c r="G346" i="9"/>
  <c r="E346" i="9"/>
  <c r="M345" i="9"/>
  <c r="K345" i="9"/>
  <c r="H345" i="9"/>
  <c r="N345" i="9" s="1"/>
  <c r="G345" i="9"/>
  <c r="E345" i="9"/>
  <c r="T344" i="9"/>
  <c r="S344" i="9"/>
  <c r="P344" i="9"/>
  <c r="V344" i="9" s="1"/>
  <c r="N344" i="9"/>
  <c r="O344" i="9" s="1"/>
  <c r="M344" i="9"/>
  <c r="K344" i="9"/>
  <c r="H344" i="9"/>
  <c r="G344" i="9"/>
  <c r="E344" i="9"/>
  <c r="V343" i="9"/>
  <c r="S343" i="9"/>
  <c r="Q343" i="9"/>
  <c r="P343" i="9"/>
  <c r="R343" i="9" s="1"/>
  <c r="O343" i="9"/>
  <c r="M343" i="9"/>
  <c r="K343" i="9"/>
  <c r="H343" i="9"/>
  <c r="N343" i="9" s="1"/>
  <c r="G343" i="9"/>
  <c r="E343" i="9"/>
  <c r="M342" i="9"/>
  <c r="K342" i="9"/>
  <c r="G342" i="9"/>
  <c r="H342" i="9" s="1"/>
  <c r="N342" i="9" s="1"/>
  <c r="E342" i="9"/>
  <c r="P341" i="9"/>
  <c r="M341" i="9"/>
  <c r="K341" i="9"/>
  <c r="H341" i="9"/>
  <c r="N341" i="9" s="1"/>
  <c r="O341" i="9" s="1"/>
  <c r="S341" i="9" s="1"/>
  <c r="G341" i="9"/>
  <c r="E341" i="9"/>
  <c r="S340" i="9"/>
  <c r="Q340" i="9"/>
  <c r="P340" i="9"/>
  <c r="V340" i="9" s="1"/>
  <c r="O340" i="9"/>
  <c r="N340" i="9"/>
  <c r="M340" i="9"/>
  <c r="K340" i="9"/>
  <c r="H340" i="9"/>
  <c r="G340" i="9"/>
  <c r="E340" i="9"/>
  <c r="M339" i="9"/>
  <c r="K339" i="9"/>
  <c r="H339" i="9"/>
  <c r="N339" i="9" s="1"/>
  <c r="G339" i="9"/>
  <c r="E339" i="9"/>
  <c r="M338" i="9"/>
  <c r="K338" i="9"/>
  <c r="H338" i="9"/>
  <c r="N338" i="9" s="1"/>
  <c r="G338" i="9"/>
  <c r="E338" i="9"/>
  <c r="Q337" i="9"/>
  <c r="N337" i="9"/>
  <c r="M337" i="9"/>
  <c r="K337" i="9"/>
  <c r="H337" i="9"/>
  <c r="G337" i="9"/>
  <c r="E337" i="9"/>
  <c r="M336" i="9"/>
  <c r="K336" i="9"/>
  <c r="H336" i="9"/>
  <c r="N336" i="9" s="1"/>
  <c r="P336" i="9" s="1"/>
  <c r="G336" i="9"/>
  <c r="E336" i="9"/>
  <c r="R335" i="9"/>
  <c r="P335" i="9"/>
  <c r="M335" i="9"/>
  <c r="K335" i="9"/>
  <c r="H335" i="9"/>
  <c r="N335" i="9" s="1"/>
  <c r="G335" i="9"/>
  <c r="E335" i="9"/>
  <c r="M334" i="9"/>
  <c r="K334" i="9"/>
  <c r="H334" i="9"/>
  <c r="N334" i="9" s="1"/>
  <c r="G334" i="9"/>
  <c r="E334" i="9"/>
  <c r="N333" i="9"/>
  <c r="P333" i="9" s="1"/>
  <c r="M333" i="9"/>
  <c r="K333" i="9"/>
  <c r="H333" i="9"/>
  <c r="G333" i="9"/>
  <c r="E333" i="9"/>
  <c r="N332" i="9"/>
  <c r="O332" i="9" s="1"/>
  <c r="S332" i="9" s="1"/>
  <c r="M332" i="9"/>
  <c r="K332" i="9"/>
  <c r="H332" i="9"/>
  <c r="G332" i="9"/>
  <c r="E332" i="9"/>
  <c r="N331" i="9"/>
  <c r="M331" i="9"/>
  <c r="K331" i="9"/>
  <c r="H331" i="9"/>
  <c r="G331" i="9"/>
  <c r="E331" i="9"/>
  <c r="O330" i="9"/>
  <c r="S330" i="9" s="1"/>
  <c r="N330" i="9"/>
  <c r="M330" i="9"/>
  <c r="K330" i="9"/>
  <c r="G330" i="9"/>
  <c r="H330" i="9" s="1"/>
  <c r="E330" i="9"/>
  <c r="M329" i="9"/>
  <c r="K329" i="9"/>
  <c r="H329" i="9"/>
  <c r="N329" i="9" s="1"/>
  <c r="G329" i="9"/>
  <c r="E329" i="9"/>
  <c r="V328" i="9"/>
  <c r="T328" i="9"/>
  <c r="S328" i="9"/>
  <c r="R328" i="9"/>
  <c r="Q328" i="9"/>
  <c r="P328" i="9"/>
  <c r="N328" i="9"/>
  <c r="O328" i="9" s="1"/>
  <c r="M328" i="9"/>
  <c r="K328" i="9"/>
  <c r="H328" i="9"/>
  <c r="G328" i="9"/>
  <c r="E328" i="9"/>
  <c r="M327" i="9"/>
  <c r="K327" i="9"/>
  <c r="H327" i="9"/>
  <c r="N327" i="9" s="1"/>
  <c r="G327" i="9"/>
  <c r="E327" i="9"/>
  <c r="N326" i="9"/>
  <c r="M326" i="9"/>
  <c r="K326" i="9"/>
  <c r="H326" i="9"/>
  <c r="G326" i="9"/>
  <c r="E326" i="9"/>
  <c r="M325" i="9"/>
  <c r="K325" i="9"/>
  <c r="H325" i="9"/>
  <c r="N325" i="9" s="1"/>
  <c r="G325" i="9"/>
  <c r="E325" i="9"/>
  <c r="M324" i="9"/>
  <c r="K324" i="9"/>
  <c r="H324" i="9"/>
  <c r="N324" i="9" s="1"/>
  <c r="G324" i="9"/>
  <c r="E324" i="9"/>
  <c r="Q323" i="9"/>
  <c r="P323" i="9"/>
  <c r="N323" i="9"/>
  <c r="O323" i="9" s="1"/>
  <c r="S323" i="9" s="1"/>
  <c r="M323" i="9"/>
  <c r="K323" i="9"/>
  <c r="H323" i="9"/>
  <c r="G323" i="9"/>
  <c r="E323" i="9"/>
  <c r="Q322" i="9"/>
  <c r="M322" i="9"/>
  <c r="K322" i="9"/>
  <c r="H322" i="9"/>
  <c r="N322" i="9" s="1"/>
  <c r="P322" i="9" s="1"/>
  <c r="G322" i="9"/>
  <c r="E322" i="9"/>
  <c r="M321" i="9"/>
  <c r="K321" i="9"/>
  <c r="H321" i="9"/>
  <c r="N321" i="9" s="1"/>
  <c r="G321" i="9"/>
  <c r="E321" i="9"/>
  <c r="N320" i="9"/>
  <c r="M320" i="9"/>
  <c r="K320" i="9"/>
  <c r="H320" i="9"/>
  <c r="G320" i="9"/>
  <c r="E320" i="9"/>
  <c r="N319" i="9"/>
  <c r="P319" i="9" s="1"/>
  <c r="V319" i="9" s="1"/>
  <c r="M319" i="9"/>
  <c r="K319" i="9"/>
  <c r="H319" i="9"/>
  <c r="G319" i="9"/>
  <c r="E319" i="9"/>
  <c r="Y319" i="9" s="1"/>
  <c r="M318" i="9"/>
  <c r="K318" i="9"/>
  <c r="H318" i="9"/>
  <c r="N318" i="9" s="1"/>
  <c r="G318" i="9"/>
  <c r="E318" i="9"/>
  <c r="M317" i="9"/>
  <c r="K317" i="9"/>
  <c r="G317" i="9"/>
  <c r="H317" i="9" s="1"/>
  <c r="N317" i="9" s="1"/>
  <c r="E317" i="9"/>
  <c r="Y317" i="9" s="1"/>
  <c r="M316" i="9"/>
  <c r="K316" i="9"/>
  <c r="H316" i="9"/>
  <c r="N316" i="9" s="1"/>
  <c r="G316" i="9"/>
  <c r="E316" i="9"/>
  <c r="N315" i="9"/>
  <c r="M315" i="9"/>
  <c r="K315" i="9"/>
  <c r="H315" i="9"/>
  <c r="G315" i="9"/>
  <c r="E315" i="9"/>
  <c r="N314" i="9"/>
  <c r="O314" i="9" s="1"/>
  <c r="S314" i="9" s="1"/>
  <c r="M314" i="9"/>
  <c r="K314" i="9"/>
  <c r="H314" i="9"/>
  <c r="G314" i="9"/>
  <c r="E314" i="9"/>
  <c r="M313" i="9"/>
  <c r="K313" i="9"/>
  <c r="H313" i="9"/>
  <c r="N313" i="9" s="1"/>
  <c r="G313" i="9"/>
  <c r="E313" i="9"/>
  <c r="S312" i="9"/>
  <c r="P312" i="9"/>
  <c r="R312" i="9" s="1"/>
  <c r="O312" i="9"/>
  <c r="N312" i="9"/>
  <c r="Q312" i="9" s="1"/>
  <c r="M312" i="9"/>
  <c r="K312" i="9"/>
  <c r="H312" i="9"/>
  <c r="G312" i="9"/>
  <c r="E312" i="9"/>
  <c r="T311" i="9"/>
  <c r="S311" i="9"/>
  <c r="Q311" i="9"/>
  <c r="P311" i="9"/>
  <c r="R311" i="9" s="1"/>
  <c r="O311" i="9"/>
  <c r="N311" i="9"/>
  <c r="M311" i="9"/>
  <c r="K311" i="9"/>
  <c r="H311" i="9"/>
  <c r="G311" i="9"/>
  <c r="E311" i="9"/>
  <c r="V310" i="9"/>
  <c r="P310" i="9"/>
  <c r="R310" i="9" s="1"/>
  <c r="M310" i="9"/>
  <c r="K310" i="9"/>
  <c r="H310" i="9"/>
  <c r="N310" i="9" s="1"/>
  <c r="Q310" i="9" s="1"/>
  <c r="G310" i="9"/>
  <c r="E310" i="9"/>
  <c r="M309" i="9"/>
  <c r="K309" i="9"/>
  <c r="H309" i="9"/>
  <c r="N309" i="9" s="1"/>
  <c r="Q309" i="9" s="1"/>
  <c r="G309" i="9"/>
  <c r="E309" i="9"/>
  <c r="N308" i="9"/>
  <c r="Q308" i="9" s="1"/>
  <c r="M308" i="9"/>
  <c r="K308" i="9"/>
  <c r="H308" i="9"/>
  <c r="G308" i="9"/>
  <c r="E308" i="9"/>
  <c r="Y307" i="9"/>
  <c r="S307" i="9"/>
  <c r="Q307" i="9"/>
  <c r="P307" i="9"/>
  <c r="O307" i="9"/>
  <c r="N307" i="9"/>
  <c r="M307" i="9"/>
  <c r="K307" i="9"/>
  <c r="H307" i="9"/>
  <c r="G307" i="9"/>
  <c r="E307" i="9"/>
  <c r="M306" i="9"/>
  <c r="K306" i="9"/>
  <c r="H306" i="9"/>
  <c r="N306" i="9" s="1"/>
  <c r="G306" i="9"/>
  <c r="E306" i="9"/>
  <c r="Y305" i="9"/>
  <c r="M305" i="9"/>
  <c r="K305" i="9"/>
  <c r="H305" i="9"/>
  <c r="N305" i="9" s="1"/>
  <c r="G305" i="9"/>
  <c r="E305" i="9"/>
  <c r="M304" i="9"/>
  <c r="K304" i="9"/>
  <c r="H304" i="9"/>
  <c r="N304" i="9" s="1"/>
  <c r="G304" i="9"/>
  <c r="E304" i="9"/>
  <c r="Y304" i="9" s="1"/>
  <c r="M303" i="9"/>
  <c r="K303" i="9"/>
  <c r="H303" i="9"/>
  <c r="N303" i="9" s="1"/>
  <c r="G303" i="9"/>
  <c r="E303" i="9"/>
  <c r="N302" i="9"/>
  <c r="M302" i="9"/>
  <c r="K302" i="9"/>
  <c r="H302" i="9"/>
  <c r="G302" i="9"/>
  <c r="E302" i="9"/>
  <c r="M301" i="9"/>
  <c r="K301" i="9"/>
  <c r="H301" i="9"/>
  <c r="N301" i="9" s="1"/>
  <c r="G301" i="9"/>
  <c r="E301" i="9"/>
  <c r="Q300" i="9"/>
  <c r="M300" i="9"/>
  <c r="K300" i="9"/>
  <c r="H300" i="9"/>
  <c r="N300" i="9" s="1"/>
  <c r="G300" i="9"/>
  <c r="E300" i="9"/>
  <c r="S299" i="9"/>
  <c r="N299" i="9"/>
  <c r="O299" i="9" s="1"/>
  <c r="M299" i="9"/>
  <c r="K299" i="9"/>
  <c r="H299" i="9"/>
  <c r="G299" i="9"/>
  <c r="E299" i="9"/>
  <c r="Y299" i="9" s="1"/>
  <c r="S298" i="9"/>
  <c r="N298" i="9"/>
  <c r="O298" i="9" s="1"/>
  <c r="M298" i="9"/>
  <c r="K298" i="9"/>
  <c r="H298" i="9"/>
  <c r="G298" i="9"/>
  <c r="E298" i="9"/>
  <c r="Q297" i="9"/>
  <c r="N297" i="9"/>
  <c r="P297" i="9" s="1"/>
  <c r="M297" i="9"/>
  <c r="K297" i="9"/>
  <c r="H297" i="9"/>
  <c r="G297" i="9"/>
  <c r="E297" i="9"/>
  <c r="Y297" i="9" s="1"/>
  <c r="Q296" i="9"/>
  <c r="N296" i="9"/>
  <c r="P296" i="9" s="1"/>
  <c r="M296" i="9"/>
  <c r="K296" i="9"/>
  <c r="H296" i="9"/>
  <c r="G296" i="9"/>
  <c r="E296" i="9"/>
  <c r="V295" i="9"/>
  <c r="T295" i="9"/>
  <c r="R295" i="9"/>
  <c r="Q295" i="9"/>
  <c r="P295" i="9"/>
  <c r="O295" i="9"/>
  <c r="S295" i="9" s="1"/>
  <c r="N295" i="9"/>
  <c r="M295" i="9"/>
  <c r="K295" i="9"/>
  <c r="H295" i="9"/>
  <c r="G295" i="9"/>
  <c r="E295" i="9"/>
  <c r="M294" i="9"/>
  <c r="K294" i="9"/>
  <c r="H294" i="9"/>
  <c r="N294" i="9" s="1"/>
  <c r="Q294" i="9" s="1"/>
  <c r="G294" i="9"/>
  <c r="E294" i="9"/>
  <c r="M293" i="9"/>
  <c r="K293" i="9"/>
  <c r="H293" i="9"/>
  <c r="N293" i="9" s="1"/>
  <c r="G293" i="9"/>
  <c r="E293" i="9"/>
  <c r="M292" i="9"/>
  <c r="K292" i="9"/>
  <c r="H292" i="9"/>
  <c r="N292" i="9" s="1"/>
  <c r="G292" i="9"/>
  <c r="E292" i="9"/>
  <c r="M291" i="9"/>
  <c r="K291" i="9"/>
  <c r="H291" i="9"/>
  <c r="N291" i="9" s="1"/>
  <c r="G291" i="9"/>
  <c r="E291" i="9"/>
  <c r="M290" i="9"/>
  <c r="K290" i="9"/>
  <c r="H290" i="9"/>
  <c r="N290" i="9" s="1"/>
  <c r="G290" i="9"/>
  <c r="E290" i="9"/>
  <c r="M289" i="9"/>
  <c r="K289" i="9"/>
  <c r="H289" i="9"/>
  <c r="N289" i="9" s="1"/>
  <c r="G289" i="9"/>
  <c r="E289" i="9"/>
  <c r="Y289" i="9" s="1"/>
  <c r="N288" i="9"/>
  <c r="P288" i="9" s="1"/>
  <c r="V288" i="9" s="1"/>
  <c r="M288" i="9"/>
  <c r="K288" i="9"/>
  <c r="H288" i="9"/>
  <c r="G288" i="9"/>
  <c r="E288" i="9"/>
  <c r="N287" i="9"/>
  <c r="P287" i="9" s="1"/>
  <c r="V287" i="9" s="1"/>
  <c r="M287" i="9"/>
  <c r="K287" i="9"/>
  <c r="H287" i="9"/>
  <c r="G287" i="9"/>
  <c r="E287" i="9"/>
  <c r="N286" i="9"/>
  <c r="Q286" i="9" s="1"/>
  <c r="M286" i="9"/>
  <c r="K286" i="9"/>
  <c r="H286" i="9"/>
  <c r="G286" i="9"/>
  <c r="E286" i="9"/>
  <c r="O285" i="9"/>
  <c r="S285" i="9" s="1"/>
  <c r="N285" i="9"/>
  <c r="Q285" i="9" s="1"/>
  <c r="M285" i="9"/>
  <c r="K285" i="9"/>
  <c r="H285" i="9"/>
  <c r="G285" i="9"/>
  <c r="E285" i="9"/>
  <c r="N284" i="9"/>
  <c r="M284" i="9"/>
  <c r="K284" i="9"/>
  <c r="H284" i="9"/>
  <c r="G284" i="9"/>
  <c r="E284" i="9"/>
  <c r="S283" i="9"/>
  <c r="Q283" i="9"/>
  <c r="P283" i="9"/>
  <c r="N283" i="9"/>
  <c r="O283" i="9" s="1"/>
  <c r="M283" i="9"/>
  <c r="K283" i="9"/>
  <c r="H283" i="9"/>
  <c r="G283" i="9"/>
  <c r="E283" i="9"/>
  <c r="Y283" i="9" s="1"/>
  <c r="M282" i="9"/>
  <c r="K282" i="9"/>
  <c r="H282" i="9"/>
  <c r="N282" i="9" s="1"/>
  <c r="G282" i="9"/>
  <c r="E282" i="9"/>
  <c r="M281" i="9"/>
  <c r="K281" i="9"/>
  <c r="H281" i="9"/>
  <c r="N281" i="9" s="1"/>
  <c r="G281" i="9"/>
  <c r="E281" i="9"/>
  <c r="N280" i="9"/>
  <c r="Q280" i="9" s="1"/>
  <c r="M280" i="9"/>
  <c r="K280" i="9"/>
  <c r="H280" i="9"/>
  <c r="G280" i="9"/>
  <c r="E280" i="9"/>
  <c r="N279" i="9"/>
  <c r="M279" i="9"/>
  <c r="K279" i="9"/>
  <c r="H279" i="9"/>
  <c r="G279" i="9"/>
  <c r="E279" i="9"/>
  <c r="Y279" i="9" s="1"/>
  <c r="Q278" i="9"/>
  <c r="M278" i="9"/>
  <c r="K278" i="9"/>
  <c r="H278" i="9"/>
  <c r="N278" i="9" s="1"/>
  <c r="P278" i="9" s="1"/>
  <c r="G278" i="9"/>
  <c r="E278" i="9"/>
  <c r="M277" i="9"/>
  <c r="K277" i="9"/>
  <c r="H277" i="9"/>
  <c r="N277" i="9" s="1"/>
  <c r="G277" i="9"/>
  <c r="E277" i="9"/>
  <c r="M276" i="9"/>
  <c r="K276" i="9"/>
  <c r="H276" i="9"/>
  <c r="N276" i="9" s="1"/>
  <c r="G276" i="9"/>
  <c r="E276" i="9"/>
  <c r="O275" i="9"/>
  <c r="S275" i="9" s="1"/>
  <c r="N275" i="9"/>
  <c r="Q275" i="9" s="1"/>
  <c r="M275" i="9"/>
  <c r="K275" i="9"/>
  <c r="H275" i="9"/>
  <c r="G275" i="9"/>
  <c r="E275" i="9"/>
  <c r="Q274" i="9"/>
  <c r="P274" i="9"/>
  <c r="V274" i="9" s="1"/>
  <c r="O274" i="9"/>
  <c r="S274" i="9" s="1"/>
  <c r="N274" i="9"/>
  <c r="M274" i="9"/>
  <c r="K274" i="9"/>
  <c r="H274" i="9"/>
  <c r="G274" i="9"/>
  <c r="E274" i="9"/>
  <c r="M273" i="9"/>
  <c r="K273" i="9"/>
  <c r="H273" i="9"/>
  <c r="N273" i="9" s="1"/>
  <c r="G273" i="9"/>
  <c r="E273" i="9"/>
  <c r="Y273" i="9" s="1"/>
  <c r="V272" i="9"/>
  <c r="T272" i="9"/>
  <c r="Q272" i="9"/>
  <c r="O272" i="9"/>
  <c r="S272" i="9" s="1"/>
  <c r="N272" i="9"/>
  <c r="P272" i="9" s="1"/>
  <c r="R272" i="9" s="1"/>
  <c r="M272" i="9"/>
  <c r="K272" i="9"/>
  <c r="H272" i="9"/>
  <c r="G272" i="9"/>
  <c r="E272" i="9"/>
  <c r="M271" i="9"/>
  <c r="K271" i="9"/>
  <c r="H271" i="9"/>
  <c r="N271" i="9" s="1"/>
  <c r="G271" i="9"/>
  <c r="E271" i="9"/>
  <c r="Y271" i="9" s="1"/>
  <c r="M270" i="9"/>
  <c r="K270" i="9"/>
  <c r="G270" i="9"/>
  <c r="H270" i="9" s="1"/>
  <c r="N270" i="9" s="1"/>
  <c r="E270" i="9"/>
  <c r="Y270" i="9" s="1"/>
  <c r="M269" i="9"/>
  <c r="K269" i="9"/>
  <c r="G269" i="9"/>
  <c r="H269" i="9" s="1"/>
  <c r="N269" i="9" s="1"/>
  <c r="E269" i="9"/>
  <c r="Y268" i="9"/>
  <c r="M268" i="9"/>
  <c r="K268" i="9"/>
  <c r="H268" i="9"/>
  <c r="N268" i="9" s="1"/>
  <c r="G268" i="9"/>
  <c r="E268" i="9"/>
  <c r="Y267" i="9"/>
  <c r="N267" i="9"/>
  <c r="Q267" i="9" s="1"/>
  <c r="M267" i="9"/>
  <c r="K267" i="9"/>
  <c r="H267" i="9"/>
  <c r="G267" i="9"/>
  <c r="E267" i="9"/>
  <c r="M266" i="9"/>
  <c r="K266" i="9"/>
  <c r="H266" i="9"/>
  <c r="N266" i="9" s="1"/>
  <c r="G266" i="9"/>
  <c r="E266" i="9"/>
  <c r="Y265" i="9"/>
  <c r="M265" i="9"/>
  <c r="K265" i="9"/>
  <c r="H265" i="9"/>
  <c r="N265" i="9" s="1"/>
  <c r="G265" i="9"/>
  <c r="E265" i="9"/>
  <c r="N264" i="9"/>
  <c r="M264" i="9"/>
  <c r="K264" i="9"/>
  <c r="H264" i="9"/>
  <c r="G264" i="9"/>
  <c r="E264" i="9"/>
  <c r="Q263" i="9"/>
  <c r="O263" i="9"/>
  <c r="S263" i="9" s="1"/>
  <c r="N263" i="9"/>
  <c r="P263" i="9" s="1"/>
  <c r="M263" i="9"/>
  <c r="K263" i="9"/>
  <c r="H263" i="9"/>
  <c r="G263" i="9"/>
  <c r="E263" i="9"/>
  <c r="M262" i="9"/>
  <c r="K262" i="9"/>
  <c r="H262" i="9"/>
  <c r="N262" i="9" s="1"/>
  <c r="G262" i="9"/>
  <c r="E262" i="9"/>
  <c r="M261" i="9"/>
  <c r="K261" i="9"/>
  <c r="H261" i="9"/>
  <c r="N261" i="9" s="1"/>
  <c r="G261" i="9"/>
  <c r="E261" i="9"/>
  <c r="Y261" i="9" s="1"/>
  <c r="Q260" i="9"/>
  <c r="N260" i="9"/>
  <c r="M260" i="9"/>
  <c r="K260" i="9"/>
  <c r="H260" i="9"/>
  <c r="G260" i="9"/>
  <c r="E260" i="9"/>
  <c r="M259" i="9"/>
  <c r="K259" i="9"/>
  <c r="H259" i="9"/>
  <c r="N259" i="9" s="1"/>
  <c r="G259" i="9"/>
  <c r="E259" i="9"/>
  <c r="Y259" i="9" s="1"/>
  <c r="M258" i="9"/>
  <c r="K258" i="9"/>
  <c r="G258" i="9"/>
  <c r="H258" i="9" s="1"/>
  <c r="N258" i="9" s="1"/>
  <c r="E258" i="9"/>
  <c r="M257" i="9"/>
  <c r="K257" i="9"/>
  <c r="G257" i="9"/>
  <c r="H257" i="9" s="1"/>
  <c r="N257" i="9" s="1"/>
  <c r="E257" i="9"/>
  <c r="Y257" i="9" s="1"/>
  <c r="V256" i="9"/>
  <c r="T256" i="9"/>
  <c r="P256" i="9"/>
  <c r="R256" i="9" s="1"/>
  <c r="O256" i="9"/>
  <c r="S256" i="9" s="1"/>
  <c r="N256" i="9"/>
  <c r="Q256" i="9" s="1"/>
  <c r="M256" i="9"/>
  <c r="K256" i="9"/>
  <c r="H256" i="9"/>
  <c r="G256" i="9"/>
  <c r="E256" i="9"/>
  <c r="Y256" i="9" s="1"/>
  <c r="Y255" i="9"/>
  <c r="P255" i="9"/>
  <c r="M255" i="9"/>
  <c r="K255" i="9"/>
  <c r="H255" i="9"/>
  <c r="N255" i="9" s="1"/>
  <c r="G255" i="9"/>
  <c r="E255" i="9"/>
  <c r="M254" i="9"/>
  <c r="K254" i="9"/>
  <c r="H254" i="9"/>
  <c r="N254" i="9" s="1"/>
  <c r="G254" i="9"/>
  <c r="E254" i="9"/>
  <c r="P253" i="9"/>
  <c r="O253" i="9"/>
  <c r="S253" i="9" s="1"/>
  <c r="N253" i="9"/>
  <c r="Q253" i="9" s="1"/>
  <c r="M253" i="9"/>
  <c r="K253" i="9"/>
  <c r="H253" i="9"/>
  <c r="G253" i="9"/>
  <c r="E253" i="9"/>
  <c r="M252" i="9"/>
  <c r="K252" i="9"/>
  <c r="H252" i="9"/>
  <c r="N252" i="9" s="1"/>
  <c r="G252" i="9"/>
  <c r="E252" i="9"/>
  <c r="N251" i="9"/>
  <c r="Q251" i="9" s="1"/>
  <c r="M251" i="9"/>
  <c r="K251" i="9"/>
  <c r="H251" i="9"/>
  <c r="G251" i="9"/>
  <c r="E251" i="9"/>
  <c r="O250" i="9"/>
  <c r="S250" i="9" s="1"/>
  <c r="M250" i="9"/>
  <c r="K250" i="9"/>
  <c r="H250" i="9"/>
  <c r="N250" i="9" s="1"/>
  <c r="G250" i="9"/>
  <c r="E250" i="9"/>
  <c r="M249" i="9"/>
  <c r="K249" i="9"/>
  <c r="H249" i="9"/>
  <c r="N249" i="9" s="1"/>
  <c r="G249" i="9"/>
  <c r="E249" i="9"/>
  <c r="R248" i="9"/>
  <c r="Q248" i="9"/>
  <c r="N248" i="9"/>
  <c r="P248" i="9" s="1"/>
  <c r="M248" i="9"/>
  <c r="K248" i="9"/>
  <c r="H248" i="9"/>
  <c r="G248" i="9"/>
  <c r="E248" i="9"/>
  <c r="T247" i="9"/>
  <c r="R247" i="9"/>
  <c r="Q247" i="9"/>
  <c r="P247" i="9"/>
  <c r="V247" i="9" s="1"/>
  <c r="O247" i="9"/>
  <c r="S247" i="9" s="1"/>
  <c r="N247" i="9"/>
  <c r="M247" i="9"/>
  <c r="K247" i="9"/>
  <c r="H247" i="9"/>
  <c r="G247" i="9"/>
  <c r="E247" i="9"/>
  <c r="M246" i="9"/>
  <c r="K246" i="9"/>
  <c r="H246" i="9"/>
  <c r="N246" i="9" s="1"/>
  <c r="G246" i="9"/>
  <c r="E246" i="9"/>
  <c r="Y246" i="9" s="1"/>
  <c r="M245" i="9"/>
  <c r="K245" i="9"/>
  <c r="H245" i="9"/>
  <c r="N245" i="9" s="1"/>
  <c r="G245" i="9"/>
  <c r="E245" i="9"/>
  <c r="Y245" i="9" s="1"/>
  <c r="Y244" i="9"/>
  <c r="M244" i="9"/>
  <c r="K244" i="9"/>
  <c r="H244" i="9"/>
  <c r="N244" i="9" s="1"/>
  <c r="G244" i="9"/>
  <c r="E244" i="9"/>
  <c r="M243" i="9"/>
  <c r="K243" i="9"/>
  <c r="H243" i="9"/>
  <c r="N243" i="9" s="1"/>
  <c r="G243" i="9"/>
  <c r="E243" i="9"/>
  <c r="Y243" i="9" s="1"/>
  <c r="N242" i="9"/>
  <c r="Q242" i="9" s="1"/>
  <c r="M242" i="9"/>
  <c r="K242" i="9"/>
  <c r="H242" i="9"/>
  <c r="G242" i="9"/>
  <c r="E242" i="9"/>
  <c r="M241" i="9"/>
  <c r="K241" i="9"/>
  <c r="H241" i="9"/>
  <c r="N241" i="9" s="1"/>
  <c r="G241" i="9"/>
  <c r="E241" i="9"/>
  <c r="Y241" i="9" s="1"/>
  <c r="V240" i="9"/>
  <c r="T240" i="9"/>
  <c r="P240" i="9"/>
  <c r="R240" i="9" s="1"/>
  <c r="O240" i="9"/>
  <c r="S240" i="9" s="1"/>
  <c r="N240" i="9"/>
  <c r="Q240" i="9" s="1"/>
  <c r="M240" i="9"/>
  <c r="K240" i="9"/>
  <c r="H240" i="9"/>
  <c r="G240" i="9"/>
  <c r="E240" i="9"/>
  <c r="Y239" i="9"/>
  <c r="M239" i="9"/>
  <c r="K239" i="9"/>
  <c r="H239" i="9"/>
  <c r="N239" i="9" s="1"/>
  <c r="G239" i="9"/>
  <c r="E239" i="9"/>
  <c r="M238" i="9"/>
  <c r="K238" i="9"/>
  <c r="H238" i="9"/>
  <c r="N238" i="9" s="1"/>
  <c r="G238" i="9"/>
  <c r="E238" i="9"/>
  <c r="S237" i="9"/>
  <c r="P237" i="9"/>
  <c r="T237" i="9" s="1"/>
  <c r="O237" i="9"/>
  <c r="N237" i="9"/>
  <c r="Q237" i="9" s="1"/>
  <c r="M237" i="9"/>
  <c r="K237" i="9"/>
  <c r="H237" i="9"/>
  <c r="G237" i="9"/>
  <c r="E237" i="9"/>
  <c r="M236" i="9"/>
  <c r="K236" i="9"/>
  <c r="H236" i="9"/>
  <c r="N236" i="9" s="1"/>
  <c r="Q236" i="9" s="1"/>
  <c r="G236" i="9"/>
  <c r="E236" i="9"/>
  <c r="S235" i="9"/>
  <c r="O235" i="9"/>
  <c r="N235" i="9"/>
  <c r="M235" i="9"/>
  <c r="K235" i="9"/>
  <c r="H235" i="9"/>
  <c r="G235" i="9"/>
  <c r="E235" i="9"/>
  <c r="Y235" i="9" s="1"/>
  <c r="Y234" i="9"/>
  <c r="M234" i="9"/>
  <c r="K234" i="9"/>
  <c r="O234" i="9" s="1"/>
  <c r="S234" i="9" s="1"/>
  <c r="H234" i="9"/>
  <c r="N234" i="9" s="1"/>
  <c r="G234" i="9"/>
  <c r="E234" i="9"/>
  <c r="Y233" i="9"/>
  <c r="M233" i="9"/>
  <c r="K233" i="9"/>
  <c r="H233" i="9"/>
  <c r="N233" i="9" s="1"/>
  <c r="G233" i="9"/>
  <c r="E233" i="9"/>
  <c r="R232" i="9"/>
  <c r="Q232" i="9"/>
  <c r="O232" i="9"/>
  <c r="S232" i="9" s="1"/>
  <c r="N232" i="9"/>
  <c r="P232" i="9" s="1"/>
  <c r="M232" i="9"/>
  <c r="K232" i="9"/>
  <c r="H232" i="9"/>
  <c r="G232" i="9"/>
  <c r="E232" i="9"/>
  <c r="Y232" i="9" s="1"/>
  <c r="Q231" i="9"/>
  <c r="P231" i="9"/>
  <c r="V231" i="9" s="1"/>
  <c r="O231" i="9"/>
  <c r="S231" i="9" s="1"/>
  <c r="N231" i="9"/>
  <c r="M231" i="9"/>
  <c r="K231" i="9"/>
  <c r="H231" i="9"/>
  <c r="G231" i="9"/>
  <c r="E231" i="9"/>
  <c r="M230" i="9"/>
  <c r="K230" i="9"/>
  <c r="H230" i="9"/>
  <c r="N230" i="9" s="1"/>
  <c r="G230" i="9"/>
  <c r="E230" i="9"/>
  <c r="M229" i="9"/>
  <c r="K229" i="9"/>
  <c r="H229" i="9"/>
  <c r="N229" i="9" s="1"/>
  <c r="G229" i="9"/>
  <c r="E229" i="9"/>
  <c r="N228" i="9"/>
  <c r="M228" i="9"/>
  <c r="K228" i="9"/>
  <c r="H228" i="9"/>
  <c r="G228" i="9"/>
  <c r="E228" i="9"/>
  <c r="M227" i="9"/>
  <c r="K227" i="9"/>
  <c r="H227" i="9"/>
  <c r="N227" i="9" s="1"/>
  <c r="G227" i="9"/>
  <c r="E227" i="9"/>
  <c r="Y227" i="9" s="1"/>
  <c r="Q226" i="9"/>
  <c r="O226" i="9"/>
  <c r="S226" i="9" s="1"/>
  <c r="N226" i="9"/>
  <c r="P226" i="9" s="1"/>
  <c r="M226" i="9"/>
  <c r="K226" i="9"/>
  <c r="H226" i="9"/>
  <c r="G226" i="9"/>
  <c r="E226" i="9"/>
  <c r="S225" i="9"/>
  <c r="Q225" i="9"/>
  <c r="M225" i="9"/>
  <c r="K225" i="9"/>
  <c r="H225" i="9"/>
  <c r="N225" i="9" s="1"/>
  <c r="O225" i="9" s="1"/>
  <c r="G225" i="9"/>
  <c r="E225" i="9"/>
  <c r="Y225" i="9" s="1"/>
  <c r="V224" i="9"/>
  <c r="T224" i="9"/>
  <c r="P224" i="9"/>
  <c r="R224" i="9" s="1"/>
  <c r="O224" i="9"/>
  <c r="S224" i="9" s="1"/>
  <c r="N224" i="9"/>
  <c r="Q224" i="9" s="1"/>
  <c r="M224" i="9"/>
  <c r="K224" i="9"/>
  <c r="H224" i="9"/>
  <c r="G224" i="9"/>
  <c r="E224" i="9"/>
  <c r="Y223" i="9"/>
  <c r="M223" i="9"/>
  <c r="K223" i="9"/>
  <c r="H223" i="9"/>
  <c r="N223" i="9" s="1"/>
  <c r="G223" i="9"/>
  <c r="E223" i="9"/>
  <c r="Y222" i="9"/>
  <c r="N222" i="9"/>
  <c r="M222" i="9"/>
  <c r="K222" i="9"/>
  <c r="H222" i="9"/>
  <c r="G222" i="9"/>
  <c r="E222" i="9"/>
  <c r="N221" i="9"/>
  <c r="M221" i="9"/>
  <c r="K221" i="9"/>
  <c r="G221" i="9"/>
  <c r="H221" i="9" s="1"/>
  <c r="E221" i="9"/>
  <c r="Y221" i="9" s="1"/>
  <c r="R220" i="9"/>
  <c r="Q220" i="9"/>
  <c r="P220" i="9"/>
  <c r="V220" i="9" s="1"/>
  <c r="O220" i="9"/>
  <c r="S220" i="9" s="1"/>
  <c r="M220" i="9"/>
  <c r="K220" i="9"/>
  <c r="H220" i="9"/>
  <c r="N220" i="9" s="1"/>
  <c r="G220" i="9"/>
  <c r="E220" i="9"/>
  <c r="Y220" i="9" s="1"/>
  <c r="O219" i="9"/>
  <c r="S219" i="9" s="1"/>
  <c r="N219" i="9"/>
  <c r="M219" i="9"/>
  <c r="K219" i="9"/>
  <c r="H219" i="9"/>
  <c r="G219" i="9"/>
  <c r="E219" i="9"/>
  <c r="M218" i="9"/>
  <c r="K218" i="9"/>
  <c r="H218" i="9"/>
  <c r="N218" i="9" s="1"/>
  <c r="G218" i="9"/>
  <c r="E218" i="9"/>
  <c r="N217" i="9"/>
  <c r="M217" i="9"/>
  <c r="K217" i="9"/>
  <c r="H217" i="9"/>
  <c r="G217" i="9"/>
  <c r="E217" i="9"/>
  <c r="M216" i="9"/>
  <c r="K216" i="9"/>
  <c r="H216" i="9"/>
  <c r="N216" i="9" s="1"/>
  <c r="G216" i="9"/>
  <c r="E216" i="9"/>
  <c r="M215" i="9"/>
  <c r="K215" i="9"/>
  <c r="H215" i="9"/>
  <c r="N215" i="9" s="1"/>
  <c r="G215" i="9"/>
  <c r="E215" i="9"/>
  <c r="M214" i="9"/>
  <c r="K214" i="9"/>
  <c r="H214" i="9"/>
  <c r="N214" i="9" s="1"/>
  <c r="G214" i="9"/>
  <c r="E214" i="9"/>
  <c r="M213" i="9"/>
  <c r="K213" i="9"/>
  <c r="H213" i="9"/>
  <c r="N213" i="9" s="1"/>
  <c r="G213" i="9"/>
  <c r="E213" i="9"/>
  <c r="Q212" i="9"/>
  <c r="N212" i="9"/>
  <c r="M212" i="9"/>
  <c r="K212" i="9"/>
  <c r="H212" i="9"/>
  <c r="G212" i="9"/>
  <c r="E212" i="9"/>
  <c r="T211" i="9"/>
  <c r="Q211" i="9"/>
  <c r="O211" i="9"/>
  <c r="S211" i="9" s="1"/>
  <c r="N211" i="9"/>
  <c r="P211" i="9" s="1"/>
  <c r="M211" i="9"/>
  <c r="K211" i="9"/>
  <c r="H211" i="9"/>
  <c r="G211" i="9"/>
  <c r="E211" i="9"/>
  <c r="Y211" i="9" s="1"/>
  <c r="Y210" i="9"/>
  <c r="N210" i="9"/>
  <c r="O210" i="9" s="1"/>
  <c r="S210" i="9" s="1"/>
  <c r="M210" i="9"/>
  <c r="K210" i="9"/>
  <c r="H210" i="9"/>
  <c r="G210" i="9"/>
  <c r="E210" i="9"/>
  <c r="M209" i="9"/>
  <c r="K209" i="9"/>
  <c r="G209" i="9"/>
  <c r="H209" i="9" s="1"/>
  <c r="N209" i="9" s="1"/>
  <c r="E209" i="9"/>
  <c r="Y209" i="9" s="1"/>
  <c r="Y208" i="9"/>
  <c r="N208" i="9"/>
  <c r="M208" i="9"/>
  <c r="K208" i="9"/>
  <c r="H208" i="9"/>
  <c r="G208" i="9"/>
  <c r="E208" i="9"/>
  <c r="M207" i="9"/>
  <c r="K207" i="9"/>
  <c r="H207" i="9"/>
  <c r="N207" i="9" s="1"/>
  <c r="G207" i="9"/>
  <c r="E207" i="9"/>
  <c r="Y207" i="9" s="1"/>
  <c r="P206" i="9"/>
  <c r="N206" i="9"/>
  <c r="Q206" i="9" s="1"/>
  <c r="M206" i="9"/>
  <c r="K206" i="9"/>
  <c r="H206" i="9"/>
  <c r="G206" i="9"/>
  <c r="E206" i="9"/>
  <c r="Q205" i="9"/>
  <c r="P205" i="9"/>
  <c r="T205" i="9" s="1"/>
  <c r="O205" i="9"/>
  <c r="S205" i="9" s="1"/>
  <c r="N205" i="9"/>
  <c r="M205" i="9"/>
  <c r="K205" i="9"/>
  <c r="H205" i="9"/>
  <c r="G205" i="9"/>
  <c r="E205" i="9"/>
  <c r="M204" i="9"/>
  <c r="K204" i="9"/>
  <c r="H204" i="9"/>
  <c r="N204" i="9" s="1"/>
  <c r="G204" i="9"/>
  <c r="E204" i="9"/>
  <c r="N203" i="9"/>
  <c r="M203" i="9"/>
  <c r="K203" i="9"/>
  <c r="H203" i="9"/>
  <c r="G203" i="9"/>
  <c r="E203" i="9"/>
  <c r="Y203" i="9" s="1"/>
  <c r="O202" i="9"/>
  <c r="S202" i="9" s="1"/>
  <c r="M202" i="9"/>
  <c r="K202" i="9"/>
  <c r="H202" i="9"/>
  <c r="N202" i="9" s="1"/>
  <c r="G202" i="9"/>
  <c r="E202" i="9"/>
  <c r="M201" i="9"/>
  <c r="K201" i="9"/>
  <c r="H201" i="9"/>
  <c r="N201" i="9" s="1"/>
  <c r="G201" i="9"/>
  <c r="E201" i="9"/>
  <c r="N200" i="9"/>
  <c r="Q200" i="9" s="1"/>
  <c r="M200" i="9"/>
  <c r="K200" i="9"/>
  <c r="H200" i="9"/>
  <c r="G200" i="9"/>
  <c r="E200" i="9"/>
  <c r="M199" i="9"/>
  <c r="K199" i="9"/>
  <c r="H199" i="9"/>
  <c r="N199" i="9" s="1"/>
  <c r="G199" i="9"/>
  <c r="E199" i="9"/>
  <c r="N198" i="9"/>
  <c r="M198" i="9"/>
  <c r="K198" i="9"/>
  <c r="H198" i="9"/>
  <c r="G198" i="9"/>
  <c r="E198" i="9"/>
  <c r="Y198" i="9" s="1"/>
  <c r="M197" i="9"/>
  <c r="K197" i="9"/>
  <c r="H197" i="9"/>
  <c r="N197" i="9" s="1"/>
  <c r="G197" i="9"/>
  <c r="E197" i="9"/>
  <c r="N196" i="9"/>
  <c r="M196" i="9"/>
  <c r="K196" i="9"/>
  <c r="H196" i="9"/>
  <c r="G196" i="9"/>
  <c r="E196" i="9"/>
  <c r="M195" i="9"/>
  <c r="K195" i="9"/>
  <c r="H195" i="9"/>
  <c r="N195" i="9" s="1"/>
  <c r="G195" i="9"/>
  <c r="E195" i="9"/>
  <c r="Y195" i="9" s="1"/>
  <c r="S194" i="9"/>
  <c r="P194" i="9"/>
  <c r="V194" i="9" s="1"/>
  <c r="O194" i="9"/>
  <c r="N194" i="9"/>
  <c r="Q194" i="9" s="1"/>
  <c r="M194" i="9"/>
  <c r="K194" i="9"/>
  <c r="H194" i="9"/>
  <c r="G194" i="9"/>
  <c r="E194" i="9"/>
  <c r="M193" i="9"/>
  <c r="K193" i="9"/>
  <c r="H193" i="9"/>
  <c r="N193" i="9" s="1"/>
  <c r="G193" i="9"/>
  <c r="E193" i="9"/>
  <c r="Y193" i="9" s="1"/>
  <c r="O192" i="9"/>
  <c r="S192" i="9" s="1"/>
  <c r="N192" i="9"/>
  <c r="Q192" i="9" s="1"/>
  <c r="M192" i="9"/>
  <c r="K192" i="9"/>
  <c r="H192" i="9"/>
  <c r="G192" i="9"/>
  <c r="E192" i="9"/>
  <c r="M191" i="9"/>
  <c r="K191" i="9"/>
  <c r="H191" i="9"/>
  <c r="N191" i="9" s="1"/>
  <c r="G191" i="9"/>
  <c r="E191" i="9"/>
  <c r="M190" i="9"/>
  <c r="K190" i="9"/>
  <c r="H190" i="9"/>
  <c r="N190" i="9" s="1"/>
  <c r="G190" i="9"/>
  <c r="E190" i="9"/>
  <c r="V189" i="9"/>
  <c r="S189" i="9"/>
  <c r="Q189" i="9"/>
  <c r="O189" i="9"/>
  <c r="N189" i="9"/>
  <c r="P189" i="9" s="1"/>
  <c r="M189" i="9"/>
  <c r="K189" i="9"/>
  <c r="H189" i="9"/>
  <c r="G189" i="9"/>
  <c r="E189" i="9"/>
  <c r="Y189" i="9" s="1"/>
  <c r="V188" i="9"/>
  <c r="T188" i="9"/>
  <c r="R188" i="9"/>
  <c r="Q188" i="9"/>
  <c r="P188" i="9"/>
  <c r="O188" i="9"/>
  <c r="S188" i="9" s="1"/>
  <c r="M188" i="9"/>
  <c r="K188" i="9"/>
  <c r="H188" i="9"/>
  <c r="N188" i="9" s="1"/>
  <c r="G188" i="9"/>
  <c r="E188" i="9"/>
  <c r="Y187" i="9"/>
  <c r="N187" i="9"/>
  <c r="M187" i="9"/>
  <c r="K187" i="9"/>
  <c r="H187" i="9"/>
  <c r="G187" i="9"/>
  <c r="E187" i="9"/>
  <c r="Y186" i="9"/>
  <c r="Q186" i="9"/>
  <c r="M186" i="9"/>
  <c r="K186" i="9"/>
  <c r="H186" i="9"/>
  <c r="N186" i="9" s="1"/>
  <c r="P186" i="9" s="1"/>
  <c r="G186" i="9"/>
  <c r="E186" i="9"/>
  <c r="Y185" i="9"/>
  <c r="O185" i="9"/>
  <c r="S185" i="9" s="1"/>
  <c r="M185" i="9"/>
  <c r="K185" i="9"/>
  <c r="G185" i="9"/>
  <c r="H185" i="9" s="1"/>
  <c r="N185" i="9" s="1"/>
  <c r="E185" i="9"/>
  <c r="V184" i="9"/>
  <c r="R184" i="9"/>
  <c r="Q184" i="9"/>
  <c r="P184" i="9"/>
  <c r="T184" i="9" s="1"/>
  <c r="N184" i="9"/>
  <c r="O184" i="9" s="1"/>
  <c r="S184" i="9" s="1"/>
  <c r="M184" i="9"/>
  <c r="K184" i="9"/>
  <c r="H184" i="9"/>
  <c r="G184" i="9"/>
  <c r="E184" i="9"/>
  <c r="Y184" i="9" s="1"/>
  <c r="Y183" i="9"/>
  <c r="T183" i="9"/>
  <c r="S183" i="9"/>
  <c r="R183" i="9"/>
  <c r="Q183" i="9"/>
  <c r="P183" i="9"/>
  <c r="V183" i="9" s="1"/>
  <c r="O183" i="9"/>
  <c r="N183" i="9"/>
  <c r="M183" i="9"/>
  <c r="K183" i="9"/>
  <c r="H183" i="9"/>
  <c r="G183" i="9"/>
  <c r="E183" i="9"/>
  <c r="N182" i="9"/>
  <c r="M182" i="9"/>
  <c r="K182" i="9"/>
  <c r="H182" i="9"/>
  <c r="G182" i="9"/>
  <c r="E182" i="9"/>
  <c r="Y181" i="9"/>
  <c r="V181" i="9"/>
  <c r="T181" i="9"/>
  <c r="Q181" i="9"/>
  <c r="P181" i="9"/>
  <c r="R181" i="9" s="1"/>
  <c r="O181" i="9"/>
  <c r="S181" i="9" s="1"/>
  <c r="N181" i="9"/>
  <c r="M181" i="9"/>
  <c r="K181" i="9"/>
  <c r="H181" i="9"/>
  <c r="G181" i="9"/>
  <c r="E181" i="9"/>
  <c r="Q180" i="9"/>
  <c r="N180" i="9"/>
  <c r="M180" i="9"/>
  <c r="K180" i="9"/>
  <c r="H180" i="9"/>
  <c r="G180" i="9"/>
  <c r="E180" i="9"/>
  <c r="V179" i="9"/>
  <c r="T179" i="9"/>
  <c r="Q179" i="9"/>
  <c r="P179" i="9"/>
  <c r="R179" i="9" s="1"/>
  <c r="O179" i="9"/>
  <c r="S179" i="9" s="1"/>
  <c r="N179" i="9"/>
  <c r="M179" i="9"/>
  <c r="K179" i="9"/>
  <c r="H179" i="9"/>
  <c r="G179" i="9"/>
  <c r="E179" i="9"/>
  <c r="Y179" i="9" s="1"/>
  <c r="M178" i="9"/>
  <c r="K178" i="9"/>
  <c r="H178" i="9"/>
  <c r="N178" i="9" s="1"/>
  <c r="G178" i="9"/>
  <c r="E178" i="9"/>
  <c r="M177" i="9"/>
  <c r="K177" i="9"/>
  <c r="H177" i="9"/>
  <c r="N177" i="9" s="1"/>
  <c r="G177" i="9"/>
  <c r="E177" i="9"/>
  <c r="Y177" i="9" s="1"/>
  <c r="V176" i="9"/>
  <c r="T176" i="9"/>
  <c r="Q176" i="9"/>
  <c r="O176" i="9"/>
  <c r="S176" i="9" s="1"/>
  <c r="N176" i="9"/>
  <c r="P176" i="9" s="1"/>
  <c r="R176" i="9" s="1"/>
  <c r="M176" i="9"/>
  <c r="K176" i="9"/>
  <c r="H176" i="9"/>
  <c r="G176" i="9"/>
  <c r="E176" i="9"/>
  <c r="M175" i="9"/>
  <c r="K175" i="9"/>
  <c r="H175" i="9"/>
  <c r="N175" i="9" s="1"/>
  <c r="G175" i="9"/>
  <c r="E175" i="9"/>
  <c r="Y175" i="9" s="1"/>
  <c r="Y174" i="9"/>
  <c r="M174" i="9"/>
  <c r="K174" i="9"/>
  <c r="H174" i="9"/>
  <c r="N174" i="9" s="1"/>
  <c r="G174" i="9"/>
  <c r="E174" i="9"/>
  <c r="Y173" i="9"/>
  <c r="M173" i="9"/>
  <c r="K173" i="9"/>
  <c r="G173" i="9"/>
  <c r="H173" i="9" s="1"/>
  <c r="N173" i="9" s="1"/>
  <c r="E173" i="9"/>
  <c r="Y172" i="9"/>
  <c r="M172" i="9"/>
  <c r="K172" i="9"/>
  <c r="H172" i="9"/>
  <c r="N172" i="9" s="1"/>
  <c r="G172" i="9"/>
  <c r="E172" i="9"/>
  <c r="Y171" i="9"/>
  <c r="V171" i="9"/>
  <c r="T171" i="9"/>
  <c r="P171" i="9"/>
  <c r="R171" i="9" s="1"/>
  <c r="M171" i="9"/>
  <c r="K171" i="9"/>
  <c r="H171" i="9"/>
  <c r="N171" i="9" s="1"/>
  <c r="G171" i="9"/>
  <c r="E171" i="9"/>
  <c r="O170" i="9"/>
  <c r="S170" i="9" s="1"/>
  <c r="M170" i="9"/>
  <c r="K170" i="9"/>
  <c r="H170" i="9"/>
  <c r="N170" i="9" s="1"/>
  <c r="G170" i="9"/>
  <c r="E170" i="9"/>
  <c r="M169" i="9"/>
  <c r="K169" i="9"/>
  <c r="H169" i="9"/>
  <c r="N169" i="9" s="1"/>
  <c r="G169" i="9"/>
  <c r="E169" i="9"/>
  <c r="Y169" i="9" s="1"/>
  <c r="M168" i="9"/>
  <c r="K168" i="9"/>
  <c r="H168" i="9"/>
  <c r="N168" i="9" s="1"/>
  <c r="G168" i="9"/>
  <c r="E168" i="9"/>
  <c r="M167" i="9"/>
  <c r="K167" i="9"/>
  <c r="H167" i="9"/>
  <c r="N167" i="9" s="1"/>
  <c r="G167" i="9"/>
  <c r="E167" i="9"/>
  <c r="M166" i="9"/>
  <c r="K166" i="9"/>
  <c r="H166" i="9"/>
  <c r="N166" i="9" s="1"/>
  <c r="G166" i="9"/>
  <c r="E166" i="9"/>
  <c r="Y165" i="9"/>
  <c r="M165" i="9"/>
  <c r="K165" i="9"/>
  <c r="H165" i="9"/>
  <c r="N165" i="9" s="1"/>
  <c r="Q165" i="9" s="1"/>
  <c r="G165" i="9"/>
  <c r="E165" i="9"/>
  <c r="T164" i="9"/>
  <c r="S164" i="9"/>
  <c r="R164" i="9"/>
  <c r="Q164" i="9"/>
  <c r="P164" i="9"/>
  <c r="V164" i="9" s="1"/>
  <c r="O164" i="9"/>
  <c r="N164" i="9"/>
  <c r="M164" i="9"/>
  <c r="K164" i="9"/>
  <c r="H164" i="9"/>
  <c r="G164" i="9"/>
  <c r="E164" i="9"/>
  <c r="M163" i="9"/>
  <c r="K163" i="9"/>
  <c r="H163" i="9"/>
  <c r="N163" i="9" s="1"/>
  <c r="G163" i="9"/>
  <c r="E163" i="9"/>
  <c r="Y163" i="9" s="1"/>
  <c r="Y162" i="9"/>
  <c r="M162" i="9"/>
  <c r="K162" i="9"/>
  <c r="H162" i="9"/>
  <c r="N162" i="9" s="1"/>
  <c r="G162" i="9"/>
  <c r="E162" i="9"/>
  <c r="Y161" i="9"/>
  <c r="M161" i="9"/>
  <c r="K161" i="9"/>
  <c r="H161" i="9"/>
  <c r="N161" i="9" s="1"/>
  <c r="G161" i="9"/>
  <c r="E161" i="9"/>
  <c r="T160" i="9"/>
  <c r="R160" i="9"/>
  <c r="Q160" i="9"/>
  <c r="P160" i="9"/>
  <c r="V160" i="9" s="1"/>
  <c r="O160" i="9"/>
  <c r="S160" i="9" s="1"/>
  <c r="N160" i="9"/>
  <c r="M160" i="9"/>
  <c r="K160" i="9"/>
  <c r="H160" i="9"/>
  <c r="G160" i="9"/>
  <c r="E160" i="9"/>
  <c r="Y160" i="9" s="1"/>
  <c r="T159" i="9"/>
  <c r="R159" i="9"/>
  <c r="P159" i="9"/>
  <c r="V159" i="9" s="1"/>
  <c r="M159" i="9"/>
  <c r="K159" i="9"/>
  <c r="H159" i="9"/>
  <c r="N159" i="9" s="1"/>
  <c r="Q159" i="9" s="1"/>
  <c r="G159" i="9"/>
  <c r="E159" i="9"/>
  <c r="Y159" i="9" s="1"/>
  <c r="M158" i="9"/>
  <c r="K158" i="9"/>
  <c r="H158" i="9"/>
  <c r="N158" i="9" s="1"/>
  <c r="G158" i="9"/>
  <c r="E158" i="9"/>
  <c r="M157" i="9"/>
  <c r="K157" i="9"/>
  <c r="H157" i="9"/>
  <c r="N157" i="9" s="1"/>
  <c r="G157" i="9"/>
  <c r="E157" i="9"/>
  <c r="Y157" i="9" s="1"/>
  <c r="S156" i="9"/>
  <c r="Q156" i="9"/>
  <c r="N156" i="9"/>
  <c r="O156" i="9" s="1"/>
  <c r="M156" i="9"/>
  <c r="K156" i="9"/>
  <c r="H156" i="9"/>
  <c r="G156" i="9"/>
  <c r="E156" i="9"/>
  <c r="Y155" i="9"/>
  <c r="Q155" i="9"/>
  <c r="P155" i="9"/>
  <c r="O155" i="9"/>
  <c r="S155" i="9" s="1"/>
  <c r="N155" i="9"/>
  <c r="M155" i="9"/>
  <c r="K155" i="9"/>
  <c r="H155" i="9"/>
  <c r="G155" i="9"/>
  <c r="E155" i="9"/>
  <c r="Q154" i="9"/>
  <c r="P154" i="9"/>
  <c r="O154" i="9"/>
  <c r="S154" i="9" s="1"/>
  <c r="N154" i="9"/>
  <c r="M154" i="9"/>
  <c r="K154" i="9"/>
  <c r="H154" i="9"/>
  <c r="G154" i="9"/>
  <c r="E154" i="9"/>
  <c r="Y153" i="9"/>
  <c r="V153" i="9"/>
  <c r="T153" i="9"/>
  <c r="S153" i="9"/>
  <c r="R153" i="9"/>
  <c r="Q153" i="9"/>
  <c r="P153" i="9"/>
  <c r="O153" i="9"/>
  <c r="N153" i="9"/>
  <c r="M153" i="9"/>
  <c r="K153" i="9"/>
  <c r="H153" i="9"/>
  <c r="G153" i="9"/>
  <c r="E153" i="9"/>
  <c r="P152" i="9"/>
  <c r="O152" i="9"/>
  <c r="S152" i="9" s="1"/>
  <c r="M152" i="9"/>
  <c r="K152" i="9"/>
  <c r="H152" i="9"/>
  <c r="N152" i="9" s="1"/>
  <c r="Q152" i="9" s="1"/>
  <c r="G152" i="9"/>
  <c r="E152" i="9"/>
  <c r="Y151" i="9"/>
  <c r="P151" i="9"/>
  <c r="O151" i="9"/>
  <c r="S151" i="9" s="1"/>
  <c r="M151" i="9"/>
  <c r="K151" i="9"/>
  <c r="H151" i="9"/>
  <c r="N151" i="9" s="1"/>
  <c r="Q151" i="9" s="1"/>
  <c r="G151" i="9"/>
  <c r="E151" i="9"/>
  <c r="N150" i="9"/>
  <c r="M150" i="9"/>
  <c r="K150" i="9"/>
  <c r="H150" i="9"/>
  <c r="G150" i="9"/>
  <c r="E150" i="9"/>
  <c r="Y150" i="9" s="1"/>
  <c r="Y149" i="9"/>
  <c r="N149" i="9"/>
  <c r="M149" i="9"/>
  <c r="K149" i="9"/>
  <c r="H149" i="9"/>
  <c r="G149" i="9"/>
  <c r="E149" i="9"/>
  <c r="Y148" i="9"/>
  <c r="N148" i="9"/>
  <c r="M148" i="9"/>
  <c r="K148" i="9"/>
  <c r="H148" i="9"/>
  <c r="G148" i="9"/>
  <c r="E148" i="9"/>
  <c r="Y147" i="9"/>
  <c r="N147" i="9"/>
  <c r="M147" i="9"/>
  <c r="K147" i="9"/>
  <c r="H147" i="9"/>
  <c r="G147" i="9"/>
  <c r="E147" i="9"/>
  <c r="N146" i="9"/>
  <c r="M146" i="9"/>
  <c r="K146" i="9"/>
  <c r="H146" i="9"/>
  <c r="G146" i="9"/>
  <c r="E146" i="9"/>
  <c r="Y145" i="9"/>
  <c r="O145" i="9"/>
  <c r="S145" i="9" s="1"/>
  <c r="N145" i="9"/>
  <c r="P145" i="9" s="1"/>
  <c r="V145" i="9" s="1"/>
  <c r="M145" i="9"/>
  <c r="K145" i="9"/>
  <c r="H145" i="9"/>
  <c r="G145" i="9"/>
  <c r="E145" i="9"/>
  <c r="N144" i="9"/>
  <c r="Q144" i="9" s="1"/>
  <c r="M144" i="9"/>
  <c r="K144" i="9"/>
  <c r="H144" i="9"/>
  <c r="G144" i="9"/>
  <c r="E144" i="9"/>
  <c r="M143" i="9"/>
  <c r="K143" i="9"/>
  <c r="H143" i="9"/>
  <c r="N143" i="9" s="1"/>
  <c r="G143" i="9"/>
  <c r="E143" i="9"/>
  <c r="Y143" i="9" s="1"/>
  <c r="M142" i="9"/>
  <c r="K142" i="9"/>
  <c r="H142" i="9"/>
  <c r="N142" i="9" s="1"/>
  <c r="G142" i="9"/>
  <c r="E142" i="9"/>
  <c r="M141" i="9"/>
  <c r="K141" i="9"/>
  <c r="H141" i="9"/>
  <c r="N141" i="9" s="1"/>
  <c r="G141" i="9"/>
  <c r="E141" i="9"/>
  <c r="Y141" i="9" s="1"/>
  <c r="M140" i="9"/>
  <c r="K140" i="9"/>
  <c r="H140" i="9"/>
  <c r="N140" i="9" s="1"/>
  <c r="G140" i="9"/>
  <c r="E140" i="9"/>
  <c r="M139" i="9"/>
  <c r="K139" i="9"/>
  <c r="H139" i="9"/>
  <c r="N139" i="9" s="1"/>
  <c r="G139" i="9"/>
  <c r="E139" i="9"/>
  <c r="Q138" i="9"/>
  <c r="P138" i="9"/>
  <c r="V138" i="9" s="1"/>
  <c r="N138" i="9"/>
  <c r="O138" i="9" s="1"/>
  <c r="S138" i="9" s="1"/>
  <c r="M138" i="9"/>
  <c r="K138" i="9"/>
  <c r="H138" i="9"/>
  <c r="G138" i="9"/>
  <c r="E138" i="9"/>
  <c r="Y137" i="9"/>
  <c r="V137" i="9"/>
  <c r="T137" i="9"/>
  <c r="S137" i="9"/>
  <c r="R137" i="9"/>
  <c r="Q137" i="9"/>
  <c r="P137" i="9"/>
  <c r="O137" i="9"/>
  <c r="N137" i="9"/>
  <c r="M137" i="9"/>
  <c r="K137" i="9"/>
  <c r="H137" i="9"/>
  <c r="G137" i="9"/>
  <c r="E137" i="9"/>
  <c r="M136" i="9"/>
  <c r="K136" i="9"/>
  <c r="H136" i="9"/>
  <c r="N136" i="9" s="1"/>
  <c r="Q136" i="9" s="1"/>
  <c r="G136" i="9"/>
  <c r="E136" i="9"/>
  <c r="M135" i="9"/>
  <c r="K135" i="9"/>
  <c r="H135" i="9"/>
  <c r="N135" i="9" s="1"/>
  <c r="Q135" i="9" s="1"/>
  <c r="G135" i="9"/>
  <c r="E135" i="9"/>
  <c r="N134" i="9"/>
  <c r="Q134" i="9" s="1"/>
  <c r="M134" i="9"/>
  <c r="K134" i="9"/>
  <c r="H134" i="9"/>
  <c r="G134" i="9"/>
  <c r="E134" i="9"/>
  <c r="Y133" i="9"/>
  <c r="N133" i="9"/>
  <c r="Q133" i="9" s="1"/>
  <c r="M133" i="9"/>
  <c r="K133" i="9"/>
  <c r="H133" i="9"/>
  <c r="G133" i="9"/>
  <c r="E133" i="9"/>
  <c r="N132" i="9"/>
  <c r="O132" i="9" s="1"/>
  <c r="S132" i="9" s="1"/>
  <c r="M132" i="9"/>
  <c r="K132" i="9"/>
  <c r="H132" i="9"/>
  <c r="G132" i="9"/>
  <c r="E132" i="9"/>
  <c r="Y131" i="9"/>
  <c r="N131" i="9"/>
  <c r="P131" i="9" s="1"/>
  <c r="R131" i="9" s="1"/>
  <c r="M131" i="9"/>
  <c r="K131" i="9"/>
  <c r="H131" i="9"/>
  <c r="G131" i="9"/>
  <c r="E131" i="9"/>
  <c r="N130" i="9"/>
  <c r="P130" i="9" s="1"/>
  <c r="V130" i="9" s="1"/>
  <c r="M130" i="9"/>
  <c r="K130" i="9"/>
  <c r="H130" i="9"/>
  <c r="G130" i="9"/>
  <c r="E130" i="9"/>
  <c r="N129" i="9"/>
  <c r="P129" i="9" s="1"/>
  <c r="V129" i="9" s="1"/>
  <c r="M129" i="9"/>
  <c r="K129" i="9"/>
  <c r="H129" i="9"/>
  <c r="G129" i="9"/>
  <c r="E129" i="9"/>
  <c r="O128" i="9"/>
  <c r="S128" i="9" s="1"/>
  <c r="N128" i="9"/>
  <c r="Q128" i="9" s="1"/>
  <c r="M128" i="9"/>
  <c r="K128" i="9"/>
  <c r="H128" i="9"/>
  <c r="G128" i="9"/>
  <c r="E128" i="9"/>
  <c r="T127" i="9"/>
  <c r="Q127" i="9"/>
  <c r="P127" i="9"/>
  <c r="V127" i="9" s="1"/>
  <c r="O127" i="9"/>
  <c r="S127" i="9" s="1"/>
  <c r="M127" i="9"/>
  <c r="K127" i="9"/>
  <c r="H127" i="9"/>
  <c r="N127" i="9" s="1"/>
  <c r="G127" i="9"/>
  <c r="E127" i="9"/>
  <c r="Y127" i="9" s="1"/>
  <c r="M126" i="9"/>
  <c r="K126" i="9"/>
  <c r="G126" i="9"/>
  <c r="H126" i="9" s="1"/>
  <c r="N126" i="9" s="1"/>
  <c r="E126" i="9"/>
  <c r="Y126" i="9" s="1"/>
  <c r="Y125" i="9"/>
  <c r="V125" i="9"/>
  <c r="P125" i="9"/>
  <c r="N125" i="9"/>
  <c r="O125" i="9" s="1"/>
  <c r="S125" i="9" s="1"/>
  <c r="M125" i="9"/>
  <c r="K125" i="9"/>
  <c r="H125" i="9"/>
  <c r="G125" i="9"/>
  <c r="E125" i="9"/>
  <c r="Y124" i="9"/>
  <c r="M124" i="9"/>
  <c r="K124" i="9"/>
  <c r="H124" i="9"/>
  <c r="N124" i="9" s="1"/>
  <c r="G124" i="9"/>
  <c r="E124" i="9"/>
  <c r="Y123" i="9"/>
  <c r="M123" i="9"/>
  <c r="K123" i="9"/>
  <c r="H123" i="9"/>
  <c r="N123" i="9" s="1"/>
  <c r="G123" i="9"/>
  <c r="E123" i="9"/>
  <c r="Q122" i="9"/>
  <c r="N122" i="9"/>
  <c r="P122" i="9" s="1"/>
  <c r="M122" i="9"/>
  <c r="K122" i="9"/>
  <c r="H122" i="9"/>
  <c r="G122" i="9"/>
  <c r="E122" i="9"/>
  <c r="Y121" i="9"/>
  <c r="V121" i="9"/>
  <c r="T121" i="9"/>
  <c r="S121" i="9"/>
  <c r="R121" i="9"/>
  <c r="Q121" i="9"/>
  <c r="P121" i="9"/>
  <c r="O121" i="9"/>
  <c r="N121" i="9"/>
  <c r="M121" i="9"/>
  <c r="K121" i="9"/>
  <c r="H121" i="9"/>
  <c r="G121" i="9"/>
  <c r="E121" i="9"/>
  <c r="M120" i="9"/>
  <c r="K120" i="9"/>
  <c r="H120" i="9"/>
  <c r="N120" i="9" s="1"/>
  <c r="Q120" i="9" s="1"/>
  <c r="G120" i="9"/>
  <c r="E120" i="9"/>
  <c r="Y119" i="9"/>
  <c r="M119" i="9"/>
  <c r="K119" i="9"/>
  <c r="H119" i="9"/>
  <c r="N119" i="9" s="1"/>
  <c r="Q119" i="9" s="1"/>
  <c r="G119" i="9"/>
  <c r="E119" i="9"/>
  <c r="M118" i="9"/>
  <c r="K118" i="9"/>
  <c r="H118" i="9"/>
  <c r="N118" i="9" s="1"/>
  <c r="G118" i="9"/>
  <c r="E118" i="9"/>
  <c r="Y117" i="9"/>
  <c r="M117" i="9"/>
  <c r="K117" i="9"/>
  <c r="H117" i="9"/>
  <c r="N117" i="9" s="1"/>
  <c r="G117" i="9"/>
  <c r="E117" i="9"/>
  <c r="S116" i="9"/>
  <c r="O116" i="9"/>
  <c r="N116" i="9"/>
  <c r="Q116" i="9" s="1"/>
  <c r="M116" i="9"/>
  <c r="K116" i="9"/>
  <c r="H116" i="9"/>
  <c r="G116" i="9"/>
  <c r="E116" i="9"/>
  <c r="N115" i="9"/>
  <c r="P115" i="9" s="1"/>
  <c r="V115" i="9" s="1"/>
  <c r="M115" i="9"/>
  <c r="K115" i="9"/>
  <c r="H115" i="9"/>
  <c r="G115" i="9"/>
  <c r="E115" i="9"/>
  <c r="Y114" i="9"/>
  <c r="M114" i="9"/>
  <c r="K114" i="9"/>
  <c r="G114" i="9"/>
  <c r="H114" i="9" s="1"/>
  <c r="N114" i="9" s="1"/>
  <c r="E114" i="9"/>
  <c r="N113" i="9"/>
  <c r="P113" i="9" s="1"/>
  <c r="V113" i="9" s="1"/>
  <c r="M113" i="9"/>
  <c r="K113" i="9"/>
  <c r="H113" i="9"/>
  <c r="G113" i="9"/>
  <c r="E113" i="9"/>
  <c r="Y113" i="9" s="1"/>
  <c r="N112" i="9"/>
  <c r="Q112" i="9" s="1"/>
  <c r="M112" i="9"/>
  <c r="K112" i="9"/>
  <c r="H112" i="9"/>
  <c r="G112" i="9"/>
  <c r="E112" i="9"/>
  <c r="Y112" i="9" s="1"/>
  <c r="M111" i="9"/>
  <c r="K111" i="9"/>
  <c r="H111" i="9"/>
  <c r="N111" i="9" s="1"/>
  <c r="G111" i="9"/>
  <c r="E111" i="9"/>
  <c r="Y111" i="9" s="1"/>
  <c r="M110" i="9"/>
  <c r="K110" i="9"/>
  <c r="H110" i="9"/>
  <c r="N110" i="9" s="1"/>
  <c r="G110" i="9"/>
  <c r="E110" i="9"/>
  <c r="M109" i="9"/>
  <c r="K109" i="9"/>
  <c r="H109" i="9"/>
  <c r="N109" i="9" s="1"/>
  <c r="G109" i="9"/>
  <c r="E109" i="9"/>
  <c r="Y109" i="9" s="1"/>
  <c r="M108" i="9"/>
  <c r="K108" i="9"/>
  <c r="H108" i="9"/>
  <c r="N108" i="9" s="1"/>
  <c r="G108" i="9"/>
  <c r="E108" i="9"/>
  <c r="M107" i="9"/>
  <c r="K107" i="9"/>
  <c r="H107" i="9"/>
  <c r="N107" i="9" s="1"/>
  <c r="G107" i="9"/>
  <c r="E107" i="9"/>
  <c r="Y107" i="9" s="1"/>
  <c r="Q106" i="9"/>
  <c r="N106" i="9"/>
  <c r="P106" i="9" s="1"/>
  <c r="M106" i="9"/>
  <c r="K106" i="9"/>
  <c r="H106" i="9"/>
  <c r="G106" i="9"/>
  <c r="E106" i="9"/>
  <c r="S105" i="9"/>
  <c r="R105" i="9"/>
  <c r="Q105" i="9"/>
  <c r="P105" i="9"/>
  <c r="V105" i="9" s="1"/>
  <c r="O105" i="9"/>
  <c r="N105" i="9"/>
  <c r="M105" i="9"/>
  <c r="K105" i="9"/>
  <c r="H105" i="9"/>
  <c r="G105" i="9"/>
  <c r="E105" i="9"/>
  <c r="Y105" i="9" s="1"/>
  <c r="M104" i="9"/>
  <c r="K104" i="9"/>
  <c r="H104" i="9"/>
  <c r="N104" i="9" s="1"/>
  <c r="G104" i="9"/>
  <c r="E104" i="9"/>
  <c r="M103" i="9"/>
  <c r="K103" i="9"/>
  <c r="H103" i="9"/>
  <c r="N103" i="9" s="1"/>
  <c r="G103" i="9"/>
  <c r="E103" i="9"/>
  <c r="Y103" i="9" s="1"/>
  <c r="M102" i="9"/>
  <c r="K102" i="9"/>
  <c r="H102" i="9"/>
  <c r="N102" i="9" s="1"/>
  <c r="G102" i="9"/>
  <c r="E102" i="9"/>
  <c r="Y102" i="9" s="1"/>
  <c r="M101" i="9"/>
  <c r="K101" i="9"/>
  <c r="H101" i="9"/>
  <c r="N101" i="9" s="1"/>
  <c r="G101" i="9"/>
  <c r="E101" i="9"/>
  <c r="Y101" i="9" s="1"/>
  <c r="O100" i="9"/>
  <c r="S100" i="9" s="1"/>
  <c r="N100" i="9"/>
  <c r="Q100" i="9" s="1"/>
  <c r="M100" i="9"/>
  <c r="K100" i="9"/>
  <c r="H100" i="9"/>
  <c r="G100" i="9"/>
  <c r="E100" i="9"/>
  <c r="Y100" i="9" s="1"/>
  <c r="Y99" i="9"/>
  <c r="N99" i="9"/>
  <c r="M99" i="9"/>
  <c r="K99" i="9"/>
  <c r="H99" i="9"/>
  <c r="G99" i="9"/>
  <c r="E99" i="9"/>
  <c r="N98" i="9"/>
  <c r="M98" i="9"/>
  <c r="K98" i="9"/>
  <c r="H98" i="9"/>
  <c r="G98" i="9"/>
  <c r="E98" i="9"/>
  <c r="Y97" i="9"/>
  <c r="N97" i="9"/>
  <c r="M97" i="9"/>
  <c r="K97" i="9"/>
  <c r="H97" i="9"/>
  <c r="G97" i="9"/>
  <c r="E97" i="9"/>
  <c r="O96" i="9"/>
  <c r="S96" i="9" s="1"/>
  <c r="N96" i="9"/>
  <c r="M96" i="9"/>
  <c r="K96" i="9"/>
  <c r="H96" i="9"/>
  <c r="G96" i="9"/>
  <c r="E96" i="9"/>
  <c r="Q95" i="9"/>
  <c r="P95" i="9"/>
  <c r="N95" i="9"/>
  <c r="O95" i="9" s="1"/>
  <c r="S95" i="9" s="1"/>
  <c r="M95" i="9"/>
  <c r="K95" i="9"/>
  <c r="H95" i="9"/>
  <c r="G95" i="9"/>
  <c r="E95" i="9"/>
  <c r="Y95" i="9" s="1"/>
  <c r="M94" i="9"/>
  <c r="K94" i="9"/>
  <c r="H94" i="9"/>
  <c r="N94" i="9" s="1"/>
  <c r="G94" i="9"/>
  <c r="E94" i="9"/>
  <c r="Y93" i="9"/>
  <c r="M93" i="9"/>
  <c r="K93" i="9"/>
  <c r="H93" i="9"/>
  <c r="N93" i="9" s="1"/>
  <c r="G93" i="9"/>
  <c r="E93" i="9"/>
  <c r="M92" i="9"/>
  <c r="K92" i="9"/>
  <c r="H92" i="9"/>
  <c r="N92" i="9" s="1"/>
  <c r="G92" i="9"/>
  <c r="E92" i="9"/>
  <c r="Y91" i="9"/>
  <c r="S91" i="9"/>
  <c r="O91" i="9"/>
  <c r="N91" i="9"/>
  <c r="Q91" i="9" s="1"/>
  <c r="M91" i="9"/>
  <c r="K91" i="9"/>
  <c r="H91" i="9"/>
  <c r="G91" i="9"/>
  <c r="E91" i="9"/>
  <c r="N90" i="9"/>
  <c r="Q90" i="9" s="1"/>
  <c r="M90" i="9"/>
  <c r="K90" i="9"/>
  <c r="H90" i="9"/>
  <c r="G90" i="9"/>
  <c r="E90" i="9"/>
  <c r="Y90" i="9" s="1"/>
  <c r="Y89" i="9"/>
  <c r="O89" i="9"/>
  <c r="S89" i="9" s="1"/>
  <c r="M89" i="9"/>
  <c r="K89" i="9"/>
  <c r="G89" i="9"/>
  <c r="H89" i="9" s="1"/>
  <c r="N89" i="9" s="1"/>
  <c r="E89" i="9"/>
  <c r="Y88" i="9"/>
  <c r="P88" i="9"/>
  <c r="V88" i="9" s="1"/>
  <c r="O88" i="9"/>
  <c r="S88" i="9" s="1"/>
  <c r="M88" i="9"/>
  <c r="K88" i="9"/>
  <c r="H88" i="9"/>
  <c r="N88" i="9" s="1"/>
  <c r="Q88" i="9" s="1"/>
  <c r="G88" i="9"/>
  <c r="E88" i="9"/>
  <c r="M87" i="9"/>
  <c r="K87" i="9"/>
  <c r="H87" i="9"/>
  <c r="N87" i="9" s="1"/>
  <c r="G87" i="9"/>
  <c r="E87" i="9"/>
  <c r="M86" i="9"/>
  <c r="K86" i="9"/>
  <c r="H86" i="9"/>
  <c r="N86" i="9" s="1"/>
  <c r="G86" i="9"/>
  <c r="E86" i="9"/>
  <c r="Y85" i="9"/>
  <c r="M85" i="9"/>
  <c r="K85" i="9"/>
  <c r="H85" i="9"/>
  <c r="N85" i="9" s="1"/>
  <c r="G85" i="9"/>
  <c r="E85" i="9"/>
  <c r="O84" i="9"/>
  <c r="S84" i="9" s="1"/>
  <c r="N84" i="9"/>
  <c r="Q84" i="9" s="1"/>
  <c r="M84" i="9"/>
  <c r="K84" i="9"/>
  <c r="H84" i="9"/>
  <c r="G84" i="9"/>
  <c r="E84" i="9"/>
  <c r="Y83" i="9"/>
  <c r="O83" i="9"/>
  <c r="S83" i="9" s="1"/>
  <c r="N83" i="9"/>
  <c r="M83" i="9"/>
  <c r="K83" i="9"/>
  <c r="H83" i="9"/>
  <c r="G83" i="9"/>
  <c r="E83" i="9"/>
  <c r="T82" i="9"/>
  <c r="R82" i="9"/>
  <c r="Q82" i="9"/>
  <c r="O82" i="9"/>
  <c r="S82" i="9" s="1"/>
  <c r="N82" i="9"/>
  <c r="P82" i="9" s="1"/>
  <c r="V82" i="9" s="1"/>
  <c r="M82" i="9"/>
  <c r="K82" i="9"/>
  <c r="H82" i="9"/>
  <c r="G82" i="9"/>
  <c r="E82" i="9"/>
  <c r="Y81" i="9"/>
  <c r="Q81" i="9"/>
  <c r="P81" i="9"/>
  <c r="N81" i="9"/>
  <c r="O81" i="9" s="1"/>
  <c r="S81" i="9" s="1"/>
  <c r="M81" i="9"/>
  <c r="K81" i="9"/>
  <c r="H81" i="9"/>
  <c r="G81" i="9"/>
  <c r="E81" i="9"/>
  <c r="M80" i="9"/>
  <c r="K80" i="9"/>
  <c r="H80" i="9"/>
  <c r="N80" i="9" s="1"/>
  <c r="G80" i="9"/>
  <c r="E80" i="9"/>
  <c r="M79" i="9"/>
  <c r="K79" i="9"/>
  <c r="H79" i="9"/>
  <c r="N79" i="9" s="1"/>
  <c r="G79" i="9"/>
  <c r="E79" i="9"/>
  <c r="Y79" i="9" s="1"/>
  <c r="M78" i="9"/>
  <c r="K78" i="9"/>
  <c r="G78" i="9"/>
  <c r="H78" i="9" s="1"/>
  <c r="N78" i="9" s="1"/>
  <c r="E78" i="9"/>
  <c r="M77" i="9"/>
  <c r="K77" i="9"/>
  <c r="G77" i="9"/>
  <c r="H77" i="9" s="1"/>
  <c r="N77" i="9" s="1"/>
  <c r="E77" i="9"/>
  <c r="M76" i="9"/>
  <c r="K76" i="9"/>
  <c r="H76" i="9"/>
  <c r="N76" i="9" s="1"/>
  <c r="G76" i="9"/>
  <c r="E76" i="9"/>
  <c r="Y76" i="9" s="1"/>
  <c r="Y75" i="9"/>
  <c r="N75" i="9"/>
  <c r="M75" i="9"/>
  <c r="K75" i="9"/>
  <c r="H75" i="9"/>
  <c r="G75" i="9"/>
  <c r="E75" i="9"/>
  <c r="Q74" i="9"/>
  <c r="P74" i="9"/>
  <c r="O74" i="9"/>
  <c r="S74" i="9" s="1"/>
  <c r="N74" i="9"/>
  <c r="M74" i="9"/>
  <c r="K74" i="9"/>
  <c r="H74" i="9"/>
  <c r="G74" i="9"/>
  <c r="E74" i="9"/>
  <c r="T73" i="9"/>
  <c r="S73" i="9"/>
  <c r="R73" i="9"/>
  <c r="Q73" i="9"/>
  <c r="P73" i="9"/>
  <c r="V73" i="9" s="1"/>
  <c r="O73" i="9"/>
  <c r="N73" i="9"/>
  <c r="M73" i="9"/>
  <c r="K73" i="9"/>
  <c r="H73" i="9"/>
  <c r="G73" i="9"/>
  <c r="E73" i="9"/>
  <c r="Y73" i="9" s="1"/>
  <c r="M72" i="9"/>
  <c r="K72" i="9"/>
  <c r="H72" i="9"/>
  <c r="N72" i="9" s="1"/>
  <c r="Q72" i="9" s="1"/>
  <c r="G72" i="9"/>
  <c r="E72" i="9"/>
  <c r="Y71" i="9"/>
  <c r="O71" i="9"/>
  <c r="S71" i="9" s="1"/>
  <c r="N71" i="9"/>
  <c r="Q71" i="9" s="1"/>
  <c r="M71" i="9"/>
  <c r="K71" i="9"/>
  <c r="H71" i="9"/>
  <c r="G71" i="9"/>
  <c r="E71" i="9"/>
  <c r="N70" i="9"/>
  <c r="Q70" i="9" s="1"/>
  <c r="M70" i="9"/>
  <c r="K70" i="9"/>
  <c r="H70" i="9"/>
  <c r="G70" i="9"/>
  <c r="E70" i="9"/>
  <c r="M69" i="9"/>
  <c r="K69" i="9"/>
  <c r="H69" i="9"/>
  <c r="N69" i="9" s="1"/>
  <c r="G69" i="9"/>
  <c r="E69" i="9"/>
  <c r="N68" i="9"/>
  <c r="M68" i="9"/>
  <c r="K68" i="9"/>
  <c r="H68" i="9"/>
  <c r="G68" i="9"/>
  <c r="E68" i="9"/>
  <c r="N67" i="9"/>
  <c r="M67" i="9"/>
  <c r="K67" i="9"/>
  <c r="H67" i="9"/>
  <c r="G67" i="9"/>
  <c r="E67" i="9"/>
  <c r="Y67" i="9" s="1"/>
  <c r="Y66" i="9"/>
  <c r="M66" i="9"/>
  <c r="K66" i="9"/>
  <c r="G66" i="9"/>
  <c r="H66" i="9" s="1"/>
  <c r="N66" i="9" s="1"/>
  <c r="E66" i="9"/>
  <c r="M65" i="9"/>
  <c r="K65" i="9"/>
  <c r="G65" i="9"/>
  <c r="H65" i="9" s="1"/>
  <c r="N65" i="9" s="1"/>
  <c r="E65" i="9"/>
  <c r="Y65" i="9" s="1"/>
  <c r="Y64" i="9"/>
  <c r="M64" i="9"/>
  <c r="K64" i="9"/>
  <c r="H64" i="9"/>
  <c r="N64" i="9" s="1"/>
  <c r="G64" i="9"/>
  <c r="E64" i="9"/>
  <c r="N63" i="9"/>
  <c r="Q63" i="9" s="1"/>
  <c r="M63" i="9"/>
  <c r="K63" i="9"/>
  <c r="H63" i="9"/>
  <c r="G63" i="9"/>
  <c r="E63" i="9"/>
  <c r="Y63" i="9" s="1"/>
  <c r="M62" i="9"/>
  <c r="K62" i="9"/>
  <c r="H62" i="9"/>
  <c r="N62" i="9" s="1"/>
  <c r="G62" i="9"/>
  <c r="E62" i="9"/>
  <c r="M61" i="9"/>
  <c r="K61" i="9"/>
  <c r="H61" i="9"/>
  <c r="N61" i="9" s="1"/>
  <c r="G61" i="9"/>
  <c r="E61" i="9"/>
  <c r="Y61" i="9" s="1"/>
  <c r="N60" i="9"/>
  <c r="M60" i="9"/>
  <c r="K60" i="9"/>
  <c r="H60" i="9"/>
  <c r="G60" i="9"/>
  <c r="E60" i="9"/>
  <c r="Q59" i="9"/>
  <c r="P59" i="9"/>
  <c r="O59" i="9"/>
  <c r="S59" i="9" s="1"/>
  <c r="N59" i="9"/>
  <c r="M59" i="9"/>
  <c r="K59" i="9"/>
  <c r="H59" i="9"/>
  <c r="G59" i="9"/>
  <c r="E59" i="9"/>
  <c r="Y59" i="9" s="1"/>
  <c r="Q58" i="9"/>
  <c r="M58" i="9"/>
  <c r="K58" i="9"/>
  <c r="H58" i="9"/>
  <c r="N58" i="9" s="1"/>
  <c r="G58" i="9"/>
  <c r="E58" i="9"/>
  <c r="V57" i="9"/>
  <c r="Q57" i="9"/>
  <c r="N57" i="9"/>
  <c r="P57" i="9" s="1"/>
  <c r="R57" i="9" s="1"/>
  <c r="M57" i="9"/>
  <c r="K57" i="9"/>
  <c r="H57" i="9"/>
  <c r="G57" i="9"/>
  <c r="E57" i="9"/>
  <c r="Y57" i="9" s="1"/>
  <c r="V56" i="9"/>
  <c r="T56" i="9"/>
  <c r="Q56" i="9"/>
  <c r="P56" i="9"/>
  <c r="R56" i="9" s="1"/>
  <c r="O56" i="9"/>
  <c r="S56" i="9" s="1"/>
  <c r="M56" i="9"/>
  <c r="K56" i="9"/>
  <c r="H56" i="9"/>
  <c r="N56" i="9" s="1"/>
  <c r="G56" i="9"/>
  <c r="E56" i="9"/>
  <c r="Y55" i="9"/>
  <c r="O55" i="9"/>
  <c r="S55" i="9" s="1"/>
  <c r="N55" i="9"/>
  <c r="Q55" i="9" s="1"/>
  <c r="M55" i="9"/>
  <c r="K55" i="9"/>
  <c r="H55" i="9"/>
  <c r="G55" i="9"/>
  <c r="E55" i="9"/>
  <c r="M54" i="9"/>
  <c r="K54" i="9"/>
  <c r="H54" i="9"/>
  <c r="N54" i="9" s="1"/>
  <c r="G54" i="9"/>
  <c r="E54" i="9"/>
  <c r="M53" i="9"/>
  <c r="K53" i="9"/>
  <c r="H53" i="9"/>
  <c r="N53" i="9" s="1"/>
  <c r="G53" i="9"/>
  <c r="E53" i="9"/>
  <c r="Y53" i="9" s="1"/>
  <c r="P52" i="9"/>
  <c r="N52" i="9"/>
  <c r="M52" i="9"/>
  <c r="K52" i="9"/>
  <c r="H52" i="9"/>
  <c r="G52" i="9"/>
  <c r="E52" i="9"/>
  <c r="Y52" i="9" s="1"/>
  <c r="Q51" i="9"/>
  <c r="P51" i="9"/>
  <c r="N51" i="9"/>
  <c r="O51" i="9" s="1"/>
  <c r="S51" i="9" s="1"/>
  <c r="M51" i="9"/>
  <c r="K51" i="9"/>
  <c r="H51" i="9"/>
  <c r="G51" i="9"/>
  <c r="E51" i="9"/>
  <c r="Y51" i="9" s="1"/>
  <c r="M50" i="9"/>
  <c r="K50" i="9"/>
  <c r="H50" i="9"/>
  <c r="N50" i="9" s="1"/>
  <c r="G50" i="9"/>
  <c r="E50" i="9"/>
  <c r="Y49" i="9"/>
  <c r="M49" i="9"/>
  <c r="K49" i="9"/>
  <c r="H49" i="9"/>
  <c r="N49" i="9" s="1"/>
  <c r="G49" i="9"/>
  <c r="E49" i="9"/>
  <c r="N48" i="9"/>
  <c r="Q48" i="9" s="1"/>
  <c r="M48" i="9"/>
  <c r="K48" i="9"/>
  <c r="H48" i="9"/>
  <c r="G48" i="9"/>
  <c r="E48" i="9"/>
  <c r="M47" i="9"/>
  <c r="K47" i="9"/>
  <c r="H47" i="9"/>
  <c r="N47" i="9" s="1"/>
  <c r="G47" i="9"/>
  <c r="E47" i="9"/>
  <c r="Y47" i="9" s="1"/>
  <c r="M46" i="9"/>
  <c r="K46" i="9"/>
  <c r="H46" i="9"/>
  <c r="N46" i="9" s="1"/>
  <c r="G46" i="9"/>
  <c r="E46" i="9"/>
  <c r="Y45" i="9"/>
  <c r="N45" i="9"/>
  <c r="M45" i="9"/>
  <c r="K45" i="9"/>
  <c r="H45" i="9"/>
  <c r="G45" i="9"/>
  <c r="E45" i="9"/>
  <c r="Q44" i="9"/>
  <c r="P44" i="9"/>
  <c r="O44" i="9"/>
  <c r="S44" i="9" s="1"/>
  <c r="N44" i="9"/>
  <c r="M44" i="9"/>
  <c r="K44" i="9"/>
  <c r="H44" i="9"/>
  <c r="G44" i="9"/>
  <c r="E44" i="9"/>
  <c r="M43" i="9"/>
  <c r="K43" i="9"/>
  <c r="H43" i="9"/>
  <c r="N43" i="9" s="1"/>
  <c r="G43" i="9"/>
  <c r="E43" i="9"/>
  <c r="Y43" i="9" s="1"/>
  <c r="Y42" i="9"/>
  <c r="S42" i="9"/>
  <c r="O42" i="9"/>
  <c r="N42" i="9"/>
  <c r="Q42" i="9" s="1"/>
  <c r="M42" i="9"/>
  <c r="K42" i="9"/>
  <c r="H42" i="9"/>
  <c r="G42" i="9"/>
  <c r="E42" i="9"/>
  <c r="M41" i="9"/>
  <c r="K41" i="9"/>
  <c r="H41" i="9"/>
  <c r="N41" i="9" s="1"/>
  <c r="G41" i="9"/>
  <c r="E41" i="9"/>
  <c r="N40" i="9"/>
  <c r="M40" i="9"/>
  <c r="K40" i="9"/>
  <c r="H40" i="9"/>
  <c r="G40" i="9"/>
  <c r="E40" i="9"/>
  <c r="Y40" i="9" s="1"/>
  <c r="N39" i="9"/>
  <c r="M39" i="9"/>
  <c r="K39" i="9"/>
  <c r="H39" i="9"/>
  <c r="G39" i="9"/>
  <c r="E39" i="9"/>
  <c r="Y39" i="9" s="1"/>
  <c r="Q38" i="9"/>
  <c r="M38" i="9"/>
  <c r="K38" i="9"/>
  <c r="H38" i="9"/>
  <c r="N38" i="9" s="1"/>
  <c r="G38" i="9"/>
  <c r="E38" i="9"/>
  <c r="M37" i="9"/>
  <c r="K37" i="9"/>
  <c r="H37" i="9"/>
  <c r="N37" i="9" s="1"/>
  <c r="G37" i="9"/>
  <c r="E37" i="9"/>
  <c r="Y37" i="9" s="1"/>
  <c r="M36" i="9"/>
  <c r="K36" i="9"/>
  <c r="H36" i="9"/>
  <c r="N36" i="9" s="1"/>
  <c r="G36" i="9"/>
  <c r="E36" i="9"/>
  <c r="N35" i="9"/>
  <c r="M35" i="9"/>
  <c r="K35" i="9"/>
  <c r="H35" i="9"/>
  <c r="G35" i="9"/>
  <c r="E35" i="9"/>
  <c r="Y35" i="9" s="1"/>
  <c r="Q34" i="9"/>
  <c r="P34" i="9"/>
  <c r="N34" i="9"/>
  <c r="O34" i="9" s="1"/>
  <c r="S34" i="9" s="1"/>
  <c r="M34" i="9"/>
  <c r="K34" i="9"/>
  <c r="H34" i="9"/>
  <c r="G34" i="9"/>
  <c r="E34" i="9"/>
  <c r="Q33" i="9"/>
  <c r="P33" i="9"/>
  <c r="N33" i="9"/>
  <c r="O33" i="9" s="1"/>
  <c r="S33" i="9" s="1"/>
  <c r="M33" i="9"/>
  <c r="K33" i="9"/>
  <c r="H33" i="9"/>
  <c r="G33" i="9"/>
  <c r="E33" i="9"/>
  <c r="Y33" i="9" s="1"/>
  <c r="M32" i="9"/>
  <c r="K32" i="9"/>
  <c r="H32" i="9"/>
  <c r="N32" i="9" s="1"/>
  <c r="G32" i="9"/>
  <c r="E32" i="9"/>
  <c r="N31" i="9"/>
  <c r="Q31" i="9" s="1"/>
  <c r="M31" i="9"/>
  <c r="K31" i="9"/>
  <c r="H31" i="9"/>
  <c r="G31" i="9"/>
  <c r="E31" i="9"/>
  <c r="M30" i="9"/>
  <c r="K30" i="9"/>
  <c r="G30" i="9"/>
  <c r="H30" i="9" s="1"/>
  <c r="N30" i="9" s="1"/>
  <c r="E30" i="9"/>
  <c r="P29" i="9"/>
  <c r="O29" i="9"/>
  <c r="S29" i="9" s="1"/>
  <c r="N29" i="9"/>
  <c r="Q29" i="9" s="1"/>
  <c r="M29" i="9"/>
  <c r="K29" i="9"/>
  <c r="H29" i="9"/>
  <c r="G29" i="9"/>
  <c r="E29" i="9"/>
  <c r="Y29" i="9" s="1"/>
  <c r="R28" i="9"/>
  <c r="Q28" i="9"/>
  <c r="P28" i="9"/>
  <c r="O28" i="9"/>
  <c r="S28" i="9" s="1"/>
  <c r="N28" i="9"/>
  <c r="M28" i="9"/>
  <c r="K28" i="9"/>
  <c r="H28" i="9"/>
  <c r="G28" i="9"/>
  <c r="E28" i="9"/>
  <c r="Y28" i="9" s="1"/>
  <c r="M27" i="9"/>
  <c r="K27" i="9"/>
  <c r="H27" i="9"/>
  <c r="N27" i="9" s="1"/>
  <c r="G27" i="9"/>
  <c r="E27" i="9"/>
  <c r="Y27" i="9" s="1"/>
  <c r="Y26" i="9"/>
  <c r="S26" i="9"/>
  <c r="O26" i="9"/>
  <c r="N26" i="9"/>
  <c r="Q26" i="9" s="1"/>
  <c r="M26" i="9"/>
  <c r="K26" i="9"/>
  <c r="H26" i="9"/>
  <c r="G26" i="9"/>
  <c r="E26" i="9"/>
  <c r="Y25" i="9"/>
  <c r="M25" i="9"/>
  <c r="K25" i="9"/>
  <c r="H25" i="9"/>
  <c r="N25" i="9" s="1"/>
  <c r="G25" i="9"/>
  <c r="E25" i="9"/>
  <c r="O24" i="9"/>
  <c r="S24" i="9" s="1"/>
  <c r="N24" i="9"/>
  <c r="M24" i="9"/>
  <c r="K24" i="9"/>
  <c r="H24" i="9"/>
  <c r="G24" i="9"/>
  <c r="E24" i="9"/>
  <c r="Y24" i="9" s="1"/>
  <c r="R23" i="9"/>
  <c r="Q23" i="9"/>
  <c r="N23" i="9"/>
  <c r="P23" i="9" s="1"/>
  <c r="M23" i="9"/>
  <c r="K23" i="9"/>
  <c r="H23" i="9"/>
  <c r="G23" i="9"/>
  <c r="E23" i="9"/>
  <c r="Y23" i="9" s="1"/>
  <c r="Q22" i="9"/>
  <c r="M22" i="9"/>
  <c r="K22" i="9"/>
  <c r="H22" i="9"/>
  <c r="N22" i="9" s="1"/>
  <c r="G22" i="9"/>
  <c r="E22" i="9"/>
  <c r="Y22" i="9" s="1"/>
  <c r="M21" i="9"/>
  <c r="K21" i="9"/>
  <c r="H21" i="9"/>
  <c r="N21" i="9" s="1"/>
  <c r="G21" i="9"/>
  <c r="E21" i="9"/>
  <c r="Y21" i="9" s="1"/>
  <c r="M20" i="9"/>
  <c r="K20" i="9"/>
  <c r="H20" i="9"/>
  <c r="N20" i="9" s="1"/>
  <c r="G20" i="9"/>
  <c r="E20" i="9"/>
  <c r="M19" i="9"/>
  <c r="K19" i="9"/>
  <c r="H19" i="9"/>
  <c r="N19" i="9" s="1"/>
  <c r="G19" i="9"/>
  <c r="E19" i="9"/>
  <c r="Y19" i="9" s="1"/>
  <c r="N18" i="9"/>
  <c r="M18" i="9"/>
  <c r="K18" i="9"/>
  <c r="H18" i="9"/>
  <c r="G18" i="9"/>
  <c r="E18" i="9"/>
  <c r="Y18" i="9" s="1"/>
  <c r="T17" i="9"/>
  <c r="Q17" i="9"/>
  <c r="P17" i="9"/>
  <c r="N17" i="9"/>
  <c r="O17" i="9" s="1"/>
  <c r="S17" i="9" s="1"/>
  <c r="M17" i="9"/>
  <c r="K17" i="9"/>
  <c r="H17" i="9"/>
  <c r="G17" i="9"/>
  <c r="E17" i="9"/>
  <c r="Y17" i="9" s="1"/>
  <c r="M16" i="9"/>
  <c r="K16" i="9"/>
  <c r="H16" i="9"/>
  <c r="N16" i="9" s="1"/>
  <c r="G16" i="9"/>
  <c r="E16" i="9"/>
  <c r="Y16" i="9" s="1"/>
  <c r="Y15" i="9"/>
  <c r="N15" i="9"/>
  <c r="Q15" i="9" s="1"/>
  <c r="M15" i="9"/>
  <c r="K15" i="9"/>
  <c r="H15" i="9"/>
  <c r="G15" i="9"/>
  <c r="E15" i="9"/>
  <c r="I4" i="9"/>
  <c r="F4" i="9"/>
  <c r="U43" i="8"/>
  <c r="S43" i="8"/>
  <c r="Q43" i="8"/>
  <c r="O43" i="8"/>
  <c r="M43" i="8"/>
  <c r="E43" i="8"/>
  <c r="D43" i="8"/>
  <c r="U42" i="8"/>
  <c r="S42" i="8"/>
  <c r="Q42" i="8"/>
  <c r="O42" i="8"/>
  <c r="M42" i="8"/>
  <c r="E42" i="8"/>
  <c r="D42" i="8"/>
  <c r="U41" i="8"/>
  <c r="S41" i="8"/>
  <c r="Q41" i="8"/>
  <c r="O41" i="8"/>
  <c r="M41" i="8"/>
  <c r="E41" i="8"/>
  <c r="D41" i="8"/>
  <c r="U40" i="8"/>
  <c r="S40" i="8"/>
  <c r="Q40" i="8"/>
  <c r="O40" i="8"/>
  <c r="M40" i="8"/>
  <c r="E40" i="8"/>
  <c r="D40" i="8"/>
  <c r="U39" i="8"/>
  <c r="S39" i="8"/>
  <c r="Q39" i="8"/>
  <c r="O39" i="8"/>
  <c r="M39" i="8"/>
  <c r="E39" i="8"/>
  <c r="D39" i="8"/>
  <c r="U38" i="8"/>
  <c r="S38" i="8"/>
  <c r="Q38" i="8"/>
  <c r="O38" i="8"/>
  <c r="M38" i="8"/>
  <c r="E38" i="8"/>
  <c r="D38" i="8"/>
  <c r="U37" i="8"/>
  <c r="S37" i="8"/>
  <c r="Q37" i="8"/>
  <c r="O37" i="8"/>
  <c r="M37" i="8"/>
  <c r="E37" i="8"/>
  <c r="D37" i="8"/>
  <c r="U36" i="8"/>
  <c r="S36" i="8"/>
  <c r="Q36" i="8"/>
  <c r="O36" i="8"/>
  <c r="M36" i="8"/>
  <c r="E36" i="8"/>
  <c r="D36" i="8"/>
  <c r="U35" i="8"/>
  <c r="S35" i="8"/>
  <c r="Q35" i="8"/>
  <c r="O35" i="8"/>
  <c r="M35" i="8"/>
  <c r="E35" i="8"/>
  <c r="D35" i="8"/>
  <c r="U34" i="8"/>
  <c r="S34" i="8"/>
  <c r="Q34" i="8"/>
  <c r="O34" i="8"/>
  <c r="M34" i="8"/>
  <c r="E34" i="8"/>
  <c r="D34" i="8"/>
  <c r="U33" i="8"/>
  <c r="S33" i="8"/>
  <c r="Q33" i="8"/>
  <c r="O33" i="8"/>
  <c r="M33" i="8"/>
  <c r="E33" i="8"/>
  <c r="D33" i="8"/>
  <c r="U32" i="8"/>
  <c r="S32" i="8"/>
  <c r="Q32" i="8"/>
  <c r="O32" i="8"/>
  <c r="M32" i="8"/>
  <c r="E32" i="8"/>
  <c r="D32" i="8"/>
  <c r="U31" i="8"/>
  <c r="S31" i="8"/>
  <c r="Q31" i="8"/>
  <c r="O31" i="8"/>
  <c r="M31" i="8"/>
  <c r="E31" i="8"/>
  <c r="D31" i="8"/>
  <c r="U30" i="8"/>
  <c r="S30" i="8"/>
  <c r="Q30" i="8"/>
  <c r="O30" i="8"/>
  <c r="M30" i="8"/>
  <c r="E30" i="8"/>
  <c r="D30" i="8"/>
  <c r="U29" i="8"/>
  <c r="S29" i="8"/>
  <c r="Q29" i="8"/>
  <c r="O29" i="8"/>
  <c r="M29" i="8"/>
  <c r="E29" i="8"/>
  <c r="D29" i="8"/>
  <c r="U28" i="8"/>
  <c r="S28" i="8"/>
  <c r="Q28" i="8"/>
  <c r="O28" i="8"/>
  <c r="M28" i="8"/>
  <c r="E28" i="8"/>
  <c r="D28" i="8"/>
  <c r="U27" i="8"/>
  <c r="S27" i="8"/>
  <c r="Q27" i="8"/>
  <c r="O27" i="8"/>
  <c r="M27" i="8"/>
  <c r="E27" i="8"/>
  <c r="D27" i="8"/>
  <c r="U26" i="8"/>
  <c r="S26" i="8"/>
  <c r="Q26" i="8"/>
  <c r="O26" i="8"/>
  <c r="M26" i="8"/>
  <c r="E26" i="8"/>
  <c r="D26" i="8"/>
  <c r="U25" i="8"/>
  <c r="S25" i="8"/>
  <c r="Q25" i="8"/>
  <c r="O25" i="8"/>
  <c r="M25" i="8"/>
  <c r="E25" i="8"/>
  <c r="D25" i="8"/>
  <c r="U24" i="8"/>
  <c r="S24" i="8"/>
  <c r="Q24" i="8"/>
  <c r="O24" i="8"/>
  <c r="M24" i="8"/>
  <c r="E24" i="8"/>
  <c r="D24" i="8"/>
  <c r="U23" i="8"/>
  <c r="S23" i="8"/>
  <c r="Q23" i="8"/>
  <c r="O23" i="8"/>
  <c r="M23" i="8"/>
  <c r="E23" i="8"/>
  <c r="D23" i="8"/>
  <c r="U22" i="8"/>
  <c r="S22" i="8"/>
  <c r="Q22" i="8"/>
  <c r="O22" i="8"/>
  <c r="M22" i="8"/>
  <c r="E22" i="8"/>
  <c r="D22" i="8"/>
  <c r="U21" i="8"/>
  <c r="S21" i="8"/>
  <c r="Q21" i="8"/>
  <c r="O21" i="8"/>
  <c r="M21" i="8"/>
  <c r="E21" i="8"/>
  <c r="D21" i="8"/>
  <c r="U20" i="8"/>
  <c r="S20" i="8"/>
  <c r="Q20" i="8"/>
  <c r="O20" i="8"/>
  <c r="M20" i="8"/>
  <c r="E20" i="8"/>
  <c r="D20" i="8"/>
  <c r="U19" i="8"/>
  <c r="S19" i="8"/>
  <c r="Q19" i="8"/>
  <c r="O19" i="8"/>
  <c r="M19" i="8"/>
  <c r="E19" i="8"/>
  <c r="D19" i="8"/>
  <c r="U18" i="8"/>
  <c r="S18" i="8"/>
  <c r="Q18" i="8"/>
  <c r="O18" i="8"/>
  <c r="M18" i="8"/>
  <c r="E18" i="8"/>
  <c r="D18" i="8"/>
  <c r="U17" i="8"/>
  <c r="S17" i="8"/>
  <c r="Q17" i="8"/>
  <c r="O17" i="8"/>
  <c r="M17" i="8"/>
  <c r="E17" i="8"/>
  <c r="D17" i="8"/>
  <c r="U16" i="8"/>
  <c r="S16" i="8"/>
  <c r="Q16" i="8"/>
  <c r="O16" i="8"/>
  <c r="M16" i="8"/>
  <c r="E16" i="8"/>
  <c r="D16" i="8"/>
  <c r="U15" i="8"/>
  <c r="S15" i="8"/>
  <c r="Q15" i="8"/>
  <c r="O15" i="8"/>
  <c r="M15" i="8"/>
  <c r="E15" i="8"/>
  <c r="D15" i="8"/>
  <c r="AQ159" i="7"/>
  <c r="AG159" i="7"/>
  <c r="AN159" i="7" s="1"/>
  <c r="AF159" i="7"/>
  <c r="AE159" i="7"/>
  <c r="AH159" i="7" s="1"/>
  <c r="AA159" i="7"/>
  <c r="V159" i="7"/>
  <c r="T159" i="7"/>
  <c r="S159" i="7"/>
  <c r="E159" i="7"/>
  <c r="AQ158" i="7"/>
  <c r="AH158" i="7"/>
  <c r="AD158" i="7"/>
  <c r="AC158" i="7"/>
  <c r="AB158" i="7"/>
  <c r="AJ158" i="7" s="1"/>
  <c r="AA158" i="7"/>
  <c r="T158" i="7"/>
  <c r="V158" i="7" s="1"/>
  <c r="AE158" i="7" s="1"/>
  <c r="S158" i="7"/>
  <c r="E158" i="7"/>
  <c r="AQ157" i="7"/>
  <c r="AA157" i="7"/>
  <c r="V157" i="7"/>
  <c r="AE157" i="7" s="1"/>
  <c r="T157" i="7"/>
  <c r="S157" i="7"/>
  <c r="E157" i="7"/>
  <c r="AQ156" i="7"/>
  <c r="AG156" i="7"/>
  <c r="AN156" i="7" s="1"/>
  <c r="AA156" i="7"/>
  <c r="V156" i="7"/>
  <c r="AE156" i="7" s="1"/>
  <c r="T156" i="7"/>
  <c r="S156" i="7"/>
  <c r="E156" i="7"/>
  <c r="AQ155" i="7"/>
  <c r="T155" i="7"/>
  <c r="S155" i="7"/>
  <c r="E155" i="7"/>
  <c r="AQ154" i="7"/>
  <c r="AA154" i="7"/>
  <c r="T154" i="7"/>
  <c r="S154" i="7"/>
  <c r="E154" i="7"/>
  <c r="AQ153" i="7"/>
  <c r="AE153" i="7"/>
  <c r="AB153" i="7"/>
  <c r="AA153" i="7"/>
  <c r="V153" i="7"/>
  <c r="T153" i="7"/>
  <c r="S153" i="7"/>
  <c r="E153" i="7"/>
  <c r="AQ152" i="7"/>
  <c r="T152" i="7"/>
  <c r="S152" i="7"/>
  <c r="E152" i="7"/>
  <c r="AQ151" i="7"/>
  <c r="AA151" i="7"/>
  <c r="AD151" i="7" s="1"/>
  <c r="T151" i="7"/>
  <c r="S151" i="7"/>
  <c r="E151" i="7"/>
  <c r="AZ150" i="7"/>
  <c r="AQ150" i="7"/>
  <c r="S150" i="7"/>
  <c r="T150" i="7" s="1"/>
  <c r="E150" i="7"/>
  <c r="AQ149" i="7"/>
  <c r="AI149" i="7"/>
  <c r="AF149" i="7"/>
  <c r="AD149" i="7"/>
  <c r="AC149" i="7"/>
  <c r="AB149" i="7"/>
  <c r="AJ149" i="7" s="1"/>
  <c r="AA149" i="7"/>
  <c r="V149" i="7"/>
  <c r="AE149" i="7" s="1"/>
  <c r="AH149" i="7" s="1"/>
  <c r="T149" i="7"/>
  <c r="S149" i="7"/>
  <c r="E149" i="7"/>
  <c r="AX148" i="7"/>
  <c r="AQ148" i="7"/>
  <c r="AH148" i="7"/>
  <c r="AG148" i="7"/>
  <c r="AN148" i="7" s="1"/>
  <c r="AD148" i="7"/>
  <c r="AB148" i="7"/>
  <c r="AA148" i="7"/>
  <c r="AC148" i="7" s="1"/>
  <c r="T148" i="7"/>
  <c r="V148" i="7" s="1"/>
  <c r="AE148" i="7" s="1"/>
  <c r="AF148" i="7" s="1"/>
  <c r="AM148" i="7" s="1"/>
  <c r="S148" i="7"/>
  <c r="E148" i="7"/>
  <c r="AQ147" i="7"/>
  <c r="T147" i="7"/>
  <c r="AA147" i="7" s="1"/>
  <c r="S147" i="7"/>
  <c r="E147" i="7"/>
  <c r="AX146" i="7"/>
  <c r="AQ146" i="7"/>
  <c r="AI146" i="7"/>
  <c r="AD146" i="7"/>
  <c r="AB146" i="7"/>
  <c r="AJ146" i="7" s="1"/>
  <c r="AA146" i="7"/>
  <c r="AC146" i="7" s="1"/>
  <c r="T146" i="7"/>
  <c r="S146" i="7"/>
  <c r="E146" i="7"/>
  <c r="AQ145" i="7"/>
  <c r="S145" i="7"/>
  <c r="T145" i="7" s="1"/>
  <c r="E145" i="7"/>
  <c r="AX144" i="7"/>
  <c r="AS144" i="7"/>
  <c r="AY144" i="7" s="1"/>
  <c r="AQ144" i="7"/>
  <c r="AJ144" i="7"/>
  <c r="AH144" i="7"/>
  <c r="AE144" i="7"/>
  <c r="AD144" i="7"/>
  <c r="AC144" i="7"/>
  <c r="AK144" i="7" s="1"/>
  <c r="AB144" i="7"/>
  <c r="AO144" i="7" s="1"/>
  <c r="V144" i="7"/>
  <c r="T144" i="7"/>
  <c r="AA144" i="7" s="1"/>
  <c r="S144" i="7"/>
  <c r="E144" i="7"/>
  <c r="AQ143" i="7"/>
  <c r="AE143" i="7"/>
  <c r="AD143" i="7"/>
  <c r="AA143" i="7"/>
  <c r="AB143" i="7" s="1"/>
  <c r="AJ143" i="7" s="1"/>
  <c r="V143" i="7"/>
  <c r="T143" i="7"/>
  <c r="S143" i="7"/>
  <c r="E143" i="7"/>
  <c r="AQ142" i="7"/>
  <c r="AF142" i="7"/>
  <c r="AM142" i="7" s="1"/>
  <c r="AA142" i="7"/>
  <c r="T142" i="7"/>
  <c r="V142" i="7" s="1"/>
  <c r="AE142" i="7" s="1"/>
  <c r="S142" i="7"/>
  <c r="E142" i="7"/>
  <c r="AQ141" i="7"/>
  <c r="AJ141" i="7"/>
  <c r="AA141" i="7"/>
  <c r="AB141" i="7" s="1"/>
  <c r="V141" i="7"/>
  <c r="AE141" i="7" s="1"/>
  <c r="T141" i="7"/>
  <c r="S141" i="7"/>
  <c r="E141" i="7"/>
  <c r="AQ140" i="7"/>
  <c r="T140" i="7"/>
  <c r="AA140" i="7" s="1"/>
  <c r="S140" i="7"/>
  <c r="E140" i="7"/>
  <c r="AQ139" i="7"/>
  <c r="T139" i="7"/>
  <c r="S139" i="7"/>
  <c r="E139" i="7"/>
  <c r="AQ138" i="7"/>
  <c r="T138" i="7"/>
  <c r="S138" i="7"/>
  <c r="E138" i="7"/>
  <c r="AQ137" i="7"/>
  <c r="T137" i="7"/>
  <c r="S137" i="7"/>
  <c r="E137" i="7"/>
  <c r="AQ136" i="7"/>
  <c r="T136" i="7"/>
  <c r="S136" i="7"/>
  <c r="E136" i="7"/>
  <c r="AZ136" i="7" s="1"/>
  <c r="AQ135" i="7"/>
  <c r="T135" i="7"/>
  <c r="AA135" i="7" s="1"/>
  <c r="S135" i="7"/>
  <c r="E135" i="7"/>
  <c r="AQ134" i="7"/>
  <c r="AA134" i="7"/>
  <c r="V134" i="7"/>
  <c r="AE134" i="7" s="1"/>
  <c r="AH134" i="7" s="1"/>
  <c r="T134" i="7"/>
  <c r="S134" i="7"/>
  <c r="E134" i="7"/>
  <c r="AQ133" i="7"/>
  <c r="T133" i="7"/>
  <c r="S133" i="7"/>
  <c r="E133" i="7"/>
  <c r="AQ132" i="7"/>
  <c r="AM132" i="7"/>
  <c r="AH132" i="7"/>
  <c r="AG132" i="7"/>
  <c r="AN132" i="7" s="1"/>
  <c r="AF132" i="7"/>
  <c r="AL132" i="7" s="1"/>
  <c r="AD132" i="7"/>
  <c r="AC132" i="7"/>
  <c r="AX132" i="7" s="1"/>
  <c r="AB132" i="7"/>
  <c r="AA132" i="7"/>
  <c r="V132" i="7"/>
  <c r="AE132" i="7" s="1"/>
  <c r="T132" i="7"/>
  <c r="S132" i="7"/>
  <c r="E132" i="7"/>
  <c r="AQ131" i="7"/>
  <c r="AK131" i="7"/>
  <c r="AB131" i="7"/>
  <c r="AJ131" i="7" s="1"/>
  <c r="AA131" i="7"/>
  <c r="AC131" i="7" s="1"/>
  <c r="V131" i="7"/>
  <c r="AE131" i="7" s="1"/>
  <c r="T131" i="7"/>
  <c r="S131" i="7"/>
  <c r="E131" i="7"/>
  <c r="AQ130" i="7"/>
  <c r="T130" i="7"/>
  <c r="AA130" i="7" s="1"/>
  <c r="S130" i="7"/>
  <c r="E130" i="7"/>
  <c r="AQ129" i="7"/>
  <c r="T129" i="7"/>
  <c r="S129" i="7"/>
  <c r="E129" i="7"/>
  <c r="AQ128" i="7"/>
  <c r="T128" i="7"/>
  <c r="S128" i="7"/>
  <c r="E128" i="7"/>
  <c r="AQ127" i="7"/>
  <c r="AN127" i="7"/>
  <c r="AM127" i="7"/>
  <c r="AH127" i="7"/>
  <c r="AF127" i="7"/>
  <c r="AL127" i="7" s="1"/>
  <c r="V127" i="7"/>
  <c r="AE127" i="7" s="1"/>
  <c r="AG127" i="7" s="1"/>
  <c r="T127" i="7"/>
  <c r="S127" i="7"/>
  <c r="E127" i="7"/>
  <c r="AQ126" i="7"/>
  <c r="T126" i="7"/>
  <c r="S126" i="7"/>
  <c r="E126" i="7"/>
  <c r="AQ125" i="7"/>
  <c r="T125" i="7"/>
  <c r="S125" i="7"/>
  <c r="E125" i="7"/>
  <c r="AX124" i="7"/>
  <c r="AQ124" i="7"/>
  <c r="AJ124" i="7"/>
  <c r="AG124" i="7"/>
  <c r="AN124" i="7" s="1"/>
  <c r="AF124" i="7"/>
  <c r="AD124" i="7"/>
  <c r="AC124" i="7"/>
  <c r="AB124" i="7"/>
  <c r="AA124" i="7"/>
  <c r="V124" i="7"/>
  <c r="AE124" i="7" s="1"/>
  <c r="AH124" i="7" s="1"/>
  <c r="T124" i="7"/>
  <c r="S124" i="7"/>
  <c r="E124" i="7"/>
  <c r="AQ123" i="7"/>
  <c r="AE123" i="7"/>
  <c r="AG123" i="7" s="1"/>
  <c r="AN123" i="7" s="1"/>
  <c r="AD123" i="7"/>
  <c r="AA123" i="7"/>
  <c r="AC123" i="7" s="1"/>
  <c r="AK123" i="7" s="1"/>
  <c r="V123" i="7"/>
  <c r="T123" i="7"/>
  <c r="S123" i="7"/>
  <c r="E123" i="7"/>
  <c r="AQ122" i="7"/>
  <c r="T122" i="7"/>
  <c r="S122" i="7"/>
  <c r="E122" i="7"/>
  <c r="AQ121" i="7"/>
  <c r="AD121" i="7"/>
  <c r="AB121" i="7"/>
  <c r="AJ121" i="7" s="1"/>
  <c r="AA121" i="7"/>
  <c r="AC121" i="7" s="1"/>
  <c r="AX121" i="7" s="1"/>
  <c r="V121" i="7"/>
  <c r="AE121" i="7" s="1"/>
  <c r="T121" i="7"/>
  <c r="S121" i="7"/>
  <c r="E121" i="7"/>
  <c r="AQ120" i="7"/>
  <c r="T120" i="7"/>
  <c r="S120" i="7"/>
  <c r="E120" i="7"/>
  <c r="AQ119" i="7"/>
  <c r="T119" i="7"/>
  <c r="S119" i="7"/>
  <c r="E119" i="7"/>
  <c r="AX118" i="7"/>
  <c r="AQ118" i="7"/>
  <c r="AK118" i="7"/>
  <c r="AH118" i="7"/>
  <c r="AG118" i="7"/>
  <c r="AN118" i="7" s="1"/>
  <c r="AF118" i="7"/>
  <c r="AM118" i="7" s="1"/>
  <c r="AD118" i="7"/>
  <c r="AB118" i="7"/>
  <c r="AJ118" i="7" s="1"/>
  <c r="AA118" i="7"/>
  <c r="AC118" i="7" s="1"/>
  <c r="V118" i="7"/>
  <c r="AE118" i="7" s="1"/>
  <c r="T118" i="7"/>
  <c r="S118" i="7"/>
  <c r="E118" i="7"/>
  <c r="AQ117" i="7"/>
  <c r="AO117" i="7"/>
  <c r="AE117" i="7"/>
  <c r="AD117" i="7"/>
  <c r="AB117" i="7"/>
  <c r="AJ117" i="7" s="1"/>
  <c r="AA117" i="7"/>
  <c r="AC117" i="7" s="1"/>
  <c r="T117" i="7"/>
  <c r="V117" i="7" s="1"/>
  <c r="S117" i="7"/>
  <c r="E117" i="7"/>
  <c r="AQ116" i="7"/>
  <c r="AG116" i="7"/>
  <c r="AN116" i="7" s="1"/>
  <c r="AF116" i="7"/>
  <c r="AD116" i="7"/>
  <c r="AC116" i="7"/>
  <c r="AX116" i="7" s="1"/>
  <c r="AB116" i="7"/>
  <c r="AJ116" i="7" s="1"/>
  <c r="AA116" i="7"/>
  <c r="V116" i="7"/>
  <c r="AE116" i="7" s="1"/>
  <c r="AH116" i="7" s="1"/>
  <c r="T116" i="7"/>
  <c r="S116" i="7"/>
  <c r="E116" i="7"/>
  <c r="AQ115" i="7"/>
  <c r="T115" i="7"/>
  <c r="S115" i="7"/>
  <c r="E115" i="7"/>
  <c r="AQ114" i="7"/>
  <c r="V114" i="7"/>
  <c r="AE114" i="7" s="1"/>
  <c r="T114" i="7"/>
  <c r="AA114" i="7" s="1"/>
  <c r="AD114" i="7" s="1"/>
  <c r="S114" i="7"/>
  <c r="E114" i="7"/>
  <c r="AQ113" i="7"/>
  <c r="T113" i="7"/>
  <c r="S113" i="7"/>
  <c r="E113" i="7"/>
  <c r="AQ112" i="7"/>
  <c r="AK112" i="7"/>
  <c r="AJ112" i="7"/>
  <c r="AC112" i="7"/>
  <c r="AI112" i="7" s="1"/>
  <c r="AB112" i="7"/>
  <c r="T112" i="7"/>
  <c r="AA112" i="7" s="1"/>
  <c r="AD112" i="7" s="1"/>
  <c r="S112" i="7"/>
  <c r="E112" i="7"/>
  <c r="AZ111" i="7"/>
  <c r="AQ111" i="7"/>
  <c r="V111" i="7"/>
  <c r="AE111" i="7" s="1"/>
  <c r="T111" i="7"/>
  <c r="AA111" i="7" s="1"/>
  <c r="S111" i="7"/>
  <c r="E111" i="7"/>
  <c r="AQ110" i="7"/>
  <c r="AA110" i="7"/>
  <c r="S110" i="7"/>
  <c r="T110" i="7" s="1"/>
  <c r="E110" i="7"/>
  <c r="AQ109" i="7"/>
  <c r="T109" i="7"/>
  <c r="S109" i="7"/>
  <c r="E109" i="7"/>
  <c r="AQ108" i="7"/>
  <c r="AI108" i="7"/>
  <c r="AH108" i="7"/>
  <c r="AG108" i="7"/>
  <c r="AN108" i="7" s="1"/>
  <c r="AF108" i="7"/>
  <c r="AM108" i="7" s="1"/>
  <c r="AE108" i="7"/>
  <c r="AC108" i="7"/>
  <c r="AB108" i="7"/>
  <c r="AJ108" i="7" s="1"/>
  <c r="AA108" i="7"/>
  <c r="AD108" i="7" s="1"/>
  <c r="AO108" i="7" s="1"/>
  <c r="V108" i="7"/>
  <c r="T108" i="7"/>
  <c r="S108" i="7"/>
  <c r="E108" i="7"/>
  <c r="AQ107" i="7"/>
  <c r="AA107" i="7"/>
  <c r="V107" i="7"/>
  <c r="AE107" i="7" s="1"/>
  <c r="AH107" i="7" s="1"/>
  <c r="T107" i="7"/>
  <c r="S107" i="7"/>
  <c r="E107" i="7"/>
  <c r="AQ106" i="7"/>
  <c r="AE106" i="7"/>
  <c r="AD106" i="7"/>
  <c r="V106" i="7"/>
  <c r="T106" i="7"/>
  <c r="AA106" i="7" s="1"/>
  <c r="S106" i="7"/>
  <c r="E106" i="7"/>
  <c r="AQ105" i="7"/>
  <c r="T105" i="7"/>
  <c r="S105" i="7"/>
  <c r="E105" i="7"/>
  <c r="AQ104" i="7"/>
  <c r="AG104" i="7"/>
  <c r="AN104" i="7" s="1"/>
  <c r="AA104" i="7"/>
  <c r="V104" i="7"/>
  <c r="AE104" i="7" s="1"/>
  <c r="T104" i="7"/>
  <c r="S104" i="7"/>
  <c r="E104" i="7"/>
  <c r="AQ103" i="7"/>
  <c r="V103" i="7"/>
  <c r="AE103" i="7" s="1"/>
  <c r="T103" i="7"/>
  <c r="AA103" i="7" s="1"/>
  <c r="S103" i="7"/>
  <c r="E103" i="7"/>
  <c r="AQ102" i="7"/>
  <c r="T102" i="7"/>
  <c r="S102" i="7"/>
  <c r="E102" i="7"/>
  <c r="AQ101" i="7"/>
  <c r="AD101" i="7"/>
  <c r="AA101" i="7"/>
  <c r="T101" i="7"/>
  <c r="S101" i="7"/>
  <c r="E101" i="7"/>
  <c r="AQ100" i="7"/>
  <c r="S100" i="7"/>
  <c r="T100" i="7" s="1"/>
  <c r="E100" i="7"/>
  <c r="AQ99" i="7"/>
  <c r="AG99" i="7"/>
  <c r="AN99" i="7" s="1"/>
  <c r="AF99" i="7"/>
  <c r="AA99" i="7"/>
  <c r="V99" i="7"/>
  <c r="AE99" i="7" s="1"/>
  <c r="AH99" i="7" s="1"/>
  <c r="T99" i="7"/>
  <c r="S99" i="7"/>
  <c r="E99" i="7"/>
  <c r="AQ98" i="7"/>
  <c r="V98" i="7"/>
  <c r="AE98" i="7" s="1"/>
  <c r="T98" i="7"/>
  <c r="AA98" i="7" s="1"/>
  <c r="S98" i="7"/>
  <c r="E98" i="7"/>
  <c r="AQ97" i="7"/>
  <c r="T97" i="7"/>
  <c r="S97" i="7"/>
  <c r="E97" i="7"/>
  <c r="AZ96" i="7"/>
  <c r="AQ96" i="7"/>
  <c r="AA96" i="7"/>
  <c r="V96" i="7"/>
  <c r="AE96" i="7" s="1"/>
  <c r="T96" i="7"/>
  <c r="S96" i="7"/>
  <c r="E96" i="7"/>
  <c r="AQ95" i="7"/>
  <c r="T95" i="7"/>
  <c r="AA95" i="7" s="1"/>
  <c r="S95" i="7"/>
  <c r="E95" i="7"/>
  <c r="AQ94" i="7"/>
  <c r="T94" i="7"/>
  <c r="S94" i="7"/>
  <c r="E94" i="7"/>
  <c r="AZ94" i="7" s="1"/>
  <c r="AQ93" i="7"/>
  <c r="AK93" i="7"/>
  <c r="AJ93" i="7"/>
  <c r="AC93" i="7"/>
  <c r="AB93" i="7"/>
  <c r="AA93" i="7"/>
  <c r="AD93" i="7" s="1"/>
  <c r="T93" i="7"/>
  <c r="S93" i="7"/>
  <c r="E93" i="7"/>
  <c r="AQ92" i="7"/>
  <c r="AH92" i="7"/>
  <c r="AG92" i="7"/>
  <c r="AN92" i="7" s="1"/>
  <c r="AF92" i="7"/>
  <c r="AM92" i="7" s="1"/>
  <c r="AE92" i="7"/>
  <c r="AB92" i="7"/>
  <c r="AJ92" i="7" s="1"/>
  <c r="AA92" i="7"/>
  <c r="AD92" i="7" s="1"/>
  <c r="V92" i="7"/>
  <c r="T92" i="7"/>
  <c r="S92" i="7"/>
  <c r="E92" i="7"/>
  <c r="AQ91" i="7"/>
  <c r="AA91" i="7"/>
  <c r="V91" i="7"/>
  <c r="AE91" i="7" s="1"/>
  <c r="AH91" i="7" s="1"/>
  <c r="T91" i="7"/>
  <c r="S91" i="7"/>
  <c r="E91" i="7"/>
  <c r="AQ90" i="7"/>
  <c r="T90" i="7"/>
  <c r="AA90" i="7" s="1"/>
  <c r="S90" i="7"/>
  <c r="E90" i="7"/>
  <c r="AQ89" i="7"/>
  <c r="T89" i="7"/>
  <c r="S89" i="7"/>
  <c r="E89" i="7"/>
  <c r="AQ88" i="7"/>
  <c r="AA88" i="7"/>
  <c r="V88" i="7"/>
  <c r="AE88" i="7" s="1"/>
  <c r="AF88" i="7" s="1"/>
  <c r="T88" i="7"/>
  <c r="S88" i="7"/>
  <c r="E88" i="7"/>
  <c r="AZ87" i="7"/>
  <c r="AQ87" i="7"/>
  <c r="V87" i="7"/>
  <c r="AE87" i="7" s="1"/>
  <c r="T87" i="7"/>
  <c r="AA87" i="7" s="1"/>
  <c r="S87" i="7"/>
  <c r="E87" i="7"/>
  <c r="AQ86" i="7"/>
  <c r="AF86" i="7"/>
  <c r="AM86" i="7" s="1"/>
  <c r="AE86" i="7"/>
  <c r="AH86" i="7" s="1"/>
  <c r="V86" i="7"/>
  <c r="T86" i="7"/>
  <c r="S86" i="7"/>
  <c r="E86" i="7"/>
  <c r="AQ85" i="7"/>
  <c r="AA85" i="7"/>
  <c r="T85" i="7"/>
  <c r="S85" i="7"/>
  <c r="E85" i="7"/>
  <c r="AZ84" i="7"/>
  <c r="AQ84" i="7"/>
  <c r="AH84" i="7"/>
  <c r="AG84" i="7"/>
  <c r="AN84" i="7" s="1"/>
  <c r="AF84" i="7"/>
  <c r="AE84" i="7"/>
  <c r="AA84" i="7"/>
  <c r="AD84" i="7" s="1"/>
  <c r="V84" i="7"/>
  <c r="T84" i="7"/>
  <c r="S84" i="7"/>
  <c r="E84" i="7"/>
  <c r="AQ83" i="7"/>
  <c r="AA83" i="7"/>
  <c r="V83" i="7"/>
  <c r="AE83" i="7" s="1"/>
  <c r="T83" i="7"/>
  <c r="S83" i="7"/>
  <c r="E83" i="7"/>
  <c r="AQ82" i="7"/>
  <c r="T82" i="7"/>
  <c r="AA82" i="7" s="1"/>
  <c r="AD82" i="7" s="1"/>
  <c r="S82" i="7"/>
  <c r="E82" i="7"/>
  <c r="AQ81" i="7"/>
  <c r="T81" i="7"/>
  <c r="S81" i="7"/>
  <c r="E81" i="7"/>
  <c r="AQ80" i="7"/>
  <c r="AA80" i="7"/>
  <c r="S80" i="7"/>
  <c r="T80" i="7" s="1"/>
  <c r="E80" i="7"/>
  <c r="AQ79" i="7"/>
  <c r="V79" i="7"/>
  <c r="AE79" i="7" s="1"/>
  <c r="T79" i="7"/>
  <c r="AA79" i="7" s="1"/>
  <c r="S79" i="7"/>
  <c r="E79" i="7"/>
  <c r="AQ78" i="7"/>
  <c r="V78" i="7"/>
  <c r="AE78" i="7" s="1"/>
  <c r="T78" i="7"/>
  <c r="S78" i="7"/>
  <c r="E78" i="7"/>
  <c r="AQ77" i="7"/>
  <c r="T77" i="7"/>
  <c r="S77" i="7"/>
  <c r="E77" i="7"/>
  <c r="AQ76" i="7"/>
  <c r="AO76" i="7"/>
  <c r="AT76" i="7" s="1"/>
  <c r="AJ76" i="7"/>
  <c r="AE76" i="7"/>
  <c r="AH76" i="7" s="1"/>
  <c r="AC76" i="7"/>
  <c r="AK76" i="7" s="1"/>
  <c r="AB76" i="7"/>
  <c r="AA76" i="7"/>
  <c r="AD76" i="7" s="1"/>
  <c r="V76" i="7"/>
  <c r="T76" i="7"/>
  <c r="S76" i="7"/>
  <c r="E76" i="7"/>
  <c r="AX75" i="7"/>
  <c r="AQ75" i="7"/>
  <c r="AC75" i="7"/>
  <c r="AB75" i="7"/>
  <c r="AJ75" i="7" s="1"/>
  <c r="AA75" i="7"/>
  <c r="AD75" i="7" s="1"/>
  <c r="V75" i="7"/>
  <c r="AE75" i="7" s="1"/>
  <c r="T75" i="7"/>
  <c r="S75" i="7"/>
  <c r="E75" i="7"/>
  <c r="AQ74" i="7"/>
  <c r="T74" i="7"/>
  <c r="AA74" i="7" s="1"/>
  <c r="S74" i="7"/>
  <c r="E74" i="7"/>
  <c r="AQ73" i="7"/>
  <c r="AE73" i="7"/>
  <c r="AA73" i="7"/>
  <c r="AD73" i="7" s="1"/>
  <c r="V73" i="7"/>
  <c r="T73" i="7"/>
  <c r="S73" i="7"/>
  <c r="E73" i="7"/>
  <c r="AZ72" i="7"/>
  <c r="AQ72" i="7"/>
  <c r="T72" i="7"/>
  <c r="AA72" i="7" s="1"/>
  <c r="S72" i="7"/>
  <c r="E72" i="7"/>
  <c r="AQ71" i="7"/>
  <c r="AA71" i="7"/>
  <c r="V71" i="7"/>
  <c r="AE71" i="7" s="1"/>
  <c r="T71" i="7"/>
  <c r="S71" i="7"/>
  <c r="E71" i="7"/>
  <c r="AQ70" i="7"/>
  <c r="T70" i="7"/>
  <c r="AA70" i="7" s="1"/>
  <c r="S70" i="7"/>
  <c r="E70" i="7"/>
  <c r="AZ69" i="7"/>
  <c r="AQ69" i="7"/>
  <c r="T69" i="7"/>
  <c r="S69" i="7"/>
  <c r="E69" i="7"/>
  <c r="AX68" i="7"/>
  <c r="AQ68" i="7"/>
  <c r="AK68" i="7"/>
  <c r="AJ68" i="7"/>
  <c r="AE68" i="7"/>
  <c r="AH68" i="7" s="1"/>
  <c r="AD68" i="7"/>
  <c r="AO68" i="7" s="1"/>
  <c r="AC68" i="7"/>
  <c r="AI68" i="7" s="1"/>
  <c r="AB68" i="7"/>
  <c r="AA68" i="7"/>
  <c r="V68" i="7"/>
  <c r="T68" i="7"/>
  <c r="S68" i="7"/>
  <c r="E68" i="7"/>
  <c r="AQ67" i="7"/>
  <c r="V67" i="7"/>
  <c r="AE67" i="7" s="1"/>
  <c r="T67" i="7"/>
  <c r="AA67" i="7" s="1"/>
  <c r="S67" i="7"/>
  <c r="E67" i="7"/>
  <c r="AQ66" i="7"/>
  <c r="AF66" i="7"/>
  <c r="AM66" i="7" s="1"/>
  <c r="AE66" i="7"/>
  <c r="AH66" i="7" s="1"/>
  <c r="AB66" i="7"/>
  <c r="AA66" i="7"/>
  <c r="AD66" i="7" s="1"/>
  <c r="V66" i="7"/>
  <c r="T66" i="7"/>
  <c r="S66" i="7"/>
  <c r="E66" i="7"/>
  <c r="AQ65" i="7"/>
  <c r="T65" i="7"/>
  <c r="AA65" i="7" s="1"/>
  <c r="S65" i="7"/>
  <c r="E65" i="7"/>
  <c r="AQ64" i="7"/>
  <c r="AJ64" i="7"/>
  <c r="AI64" i="7"/>
  <c r="AE64" i="7"/>
  <c r="AH64" i="7" s="1"/>
  <c r="AC64" i="7"/>
  <c r="AX64" i="7" s="1"/>
  <c r="AB64" i="7"/>
  <c r="AA64" i="7"/>
  <c r="AD64" i="7" s="1"/>
  <c r="V64" i="7"/>
  <c r="T64" i="7"/>
  <c r="S64" i="7"/>
  <c r="E64" i="7"/>
  <c r="AZ63" i="7"/>
  <c r="AQ63" i="7"/>
  <c r="AA63" i="7"/>
  <c r="AD63" i="7" s="1"/>
  <c r="T63" i="7"/>
  <c r="S63" i="7"/>
  <c r="E63" i="7"/>
  <c r="AQ62" i="7"/>
  <c r="AE62" i="7"/>
  <c r="AH62" i="7" s="1"/>
  <c r="AA62" i="7"/>
  <c r="AD62" i="7" s="1"/>
  <c r="V62" i="7"/>
  <c r="T62" i="7"/>
  <c r="S62" i="7"/>
  <c r="E62" i="7"/>
  <c r="AQ61" i="7"/>
  <c r="T61" i="7"/>
  <c r="AA61" i="7" s="1"/>
  <c r="S61" i="7"/>
  <c r="E61" i="7"/>
  <c r="AZ61" i="7" s="1"/>
  <c r="AZ60" i="7"/>
  <c r="AQ60" i="7"/>
  <c r="S60" i="7"/>
  <c r="T60" i="7" s="1"/>
  <c r="E60" i="7"/>
  <c r="AZ59" i="7"/>
  <c r="AQ59" i="7"/>
  <c r="AA59" i="7"/>
  <c r="AD59" i="7" s="1"/>
  <c r="V59" i="7"/>
  <c r="AE59" i="7" s="1"/>
  <c r="T59" i="7"/>
  <c r="S59" i="7"/>
  <c r="E59" i="7"/>
  <c r="AQ58" i="7"/>
  <c r="V58" i="7"/>
  <c r="AE58" i="7" s="1"/>
  <c r="T58" i="7"/>
  <c r="AA58" i="7" s="1"/>
  <c r="S58" i="7"/>
  <c r="E58" i="7"/>
  <c r="AQ57" i="7"/>
  <c r="T57" i="7"/>
  <c r="AA57" i="7" s="1"/>
  <c r="S57" i="7"/>
  <c r="E57" i="7"/>
  <c r="AZ56" i="7"/>
  <c r="AQ56" i="7"/>
  <c r="AJ56" i="7"/>
  <c r="AI56" i="7"/>
  <c r="AE56" i="7"/>
  <c r="AH56" i="7" s="1"/>
  <c r="AC56" i="7"/>
  <c r="AX56" i="7" s="1"/>
  <c r="AB56" i="7"/>
  <c r="AA56" i="7"/>
  <c r="AD56" i="7" s="1"/>
  <c r="V56" i="7"/>
  <c r="T56" i="7"/>
  <c r="S56" i="7"/>
  <c r="E56" i="7"/>
  <c r="AZ55" i="7"/>
  <c r="AQ55" i="7"/>
  <c r="AA55" i="7"/>
  <c r="T55" i="7"/>
  <c r="S55" i="7"/>
  <c r="E55" i="7"/>
  <c r="AQ54" i="7"/>
  <c r="AE54" i="7"/>
  <c r="AH54" i="7" s="1"/>
  <c r="AA54" i="7"/>
  <c r="AD54" i="7" s="1"/>
  <c r="V54" i="7"/>
  <c r="T54" i="7"/>
  <c r="S54" i="7"/>
  <c r="E54" i="7"/>
  <c r="AQ53" i="7"/>
  <c r="T53" i="7"/>
  <c r="AA53" i="7" s="1"/>
  <c r="S53" i="7"/>
  <c r="E53" i="7"/>
  <c r="AZ52" i="7"/>
  <c r="AQ52" i="7"/>
  <c r="AM52" i="7"/>
  <c r="AF52" i="7"/>
  <c r="AE52" i="7"/>
  <c r="AH52" i="7" s="1"/>
  <c r="AA52" i="7"/>
  <c r="AD52" i="7" s="1"/>
  <c r="V52" i="7"/>
  <c r="T52" i="7"/>
  <c r="S52" i="7"/>
  <c r="E52" i="7"/>
  <c r="AQ51" i="7"/>
  <c r="AA51" i="7"/>
  <c r="AD51" i="7" s="1"/>
  <c r="V51" i="7"/>
  <c r="AE51" i="7" s="1"/>
  <c r="T51" i="7"/>
  <c r="S51" i="7"/>
  <c r="E51" i="7"/>
  <c r="AQ50" i="7"/>
  <c r="T50" i="7"/>
  <c r="AA50" i="7" s="1"/>
  <c r="S50" i="7"/>
  <c r="E50" i="7"/>
  <c r="AQ49" i="7"/>
  <c r="T49" i="7"/>
  <c r="AA49" i="7" s="1"/>
  <c r="S49" i="7"/>
  <c r="E49" i="7"/>
  <c r="AZ48" i="7"/>
  <c r="AQ48" i="7"/>
  <c r="AI48" i="7"/>
  <c r="AE48" i="7"/>
  <c r="AH48" i="7" s="1"/>
  <c r="AC48" i="7"/>
  <c r="AX48" i="7" s="1"/>
  <c r="AA48" i="7"/>
  <c r="AD48" i="7" s="1"/>
  <c r="V48" i="7"/>
  <c r="T48" i="7"/>
  <c r="S48" i="7"/>
  <c r="E48" i="7"/>
  <c r="AQ47" i="7"/>
  <c r="AA47" i="7"/>
  <c r="AD47" i="7" s="1"/>
  <c r="T47" i="7"/>
  <c r="V47" i="7" s="1"/>
  <c r="AE47" i="7" s="1"/>
  <c r="S47" i="7"/>
  <c r="E47" i="7"/>
  <c r="AQ46" i="7"/>
  <c r="AE46" i="7"/>
  <c r="AH46" i="7" s="1"/>
  <c r="AA46" i="7"/>
  <c r="AD46" i="7" s="1"/>
  <c r="V46" i="7"/>
  <c r="T46" i="7"/>
  <c r="S46" i="7"/>
  <c r="E46" i="7"/>
  <c r="AQ45" i="7"/>
  <c r="S45" i="7"/>
  <c r="T45" i="7" s="1"/>
  <c r="E45" i="7"/>
  <c r="AQ44" i="7"/>
  <c r="AM44" i="7"/>
  <c r="AF44" i="7"/>
  <c r="AE44" i="7"/>
  <c r="AH44" i="7" s="1"/>
  <c r="AA44" i="7"/>
  <c r="AD44" i="7" s="1"/>
  <c r="V44" i="7"/>
  <c r="T44" i="7"/>
  <c r="S44" i="7"/>
  <c r="E44" i="7"/>
  <c r="AQ43" i="7"/>
  <c r="AA43" i="7"/>
  <c r="AD43" i="7" s="1"/>
  <c r="V43" i="7"/>
  <c r="AE43" i="7" s="1"/>
  <c r="T43" i="7"/>
  <c r="S43" i="7"/>
  <c r="E43" i="7"/>
  <c r="AQ42" i="7"/>
  <c r="V42" i="7"/>
  <c r="AE42" i="7" s="1"/>
  <c r="T42" i="7"/>
  <c r="AA42" i="7" s="1"/>
  <c r="S42" i="7"/>
  <c r="E42" i="7"/>
  <c r="AZ42" i="7" s="1"/>
  <c r="AQ41" i="7"/>
  <c r="T41" i="7"/>
  <c r="AA41" i="7" s="1"/>
  <c r="S41" i="7"/>
  <c r="E41" i="7"/>
  <c r="AQ40" i="7"/>
  <c r="S40" i="7"/>
  <c r="T40" i="7" s="1"/>
  <c r="E40" i="7"/>
  <c r="AZ39" i="7"/>
  <c r="AQ39" i="7"/>
  <c r="AA39" i="7"/>
  <c r="AD39" i="7" s="1"/>
  <c r="T39" i="7"/>
  <c r="V39" i="7" s="1"/>
  <c r="AE39" i="7" s="1"/>
  <c r="S39" i="7"/>
  <c r="E39" i="7"/>
  <c r="AQ38" i="7"/>
  <c r="AE38" i="7"/>
  <c r="AH38" i="7" s="1"/>
  <c r="AA38" i="7"/>
  <c r="AD38" i="7" s="1"/>
  <c r="V38" i="7"/>
  <c r="T38" i="7"/>
  <c r="S38" i="7"/>
  <c r="E38" i="7"/>
  <c r="AQ37" i="7"/>
  <c r="T37" i="7"/>
  <c r="AA37" i="7" s="1"/>
  <c r="S37" i="7"/>
  <c r="E37" i="7"/>
  <c r="AQ36" i="7"/>
  <c r="AM36" i="7"/>
  <c r="AF36" i="7"/>
  <c r="AE36" i="7"/>
  <c r="AH36" i="7" s="1"/>
  <c r="AA36" i="7"/>
  <c r="AD36" i="7" s="1"/>
  <c r="V36" i="7"/>
  <c r="T36" i="7"/>
  <c r="S36" i="7"/>
  <c r="E36" i="7"/>
  <c r="AQ35" i="7"/>
  <c r="S35" i="7"/>
  <c r="T35" i="7" s="1"/>
  <c r="E35" i="7"/>
  <c r="AQ34" i="7"/>
  <c r="V34" i="7"/>
  <c r="AE34" i="7" s="1"/>
  <c r="T34" i="7"/>
  <c r="AA34" i="7" s="1"/>
  <c r="S34" i="7"/>
  <c r="E34" i="7"/>
  <c r="AQ33" i="7"/>
  <c r="T33" i="7"/>
  <c r="AA33" i="7" s="1"/>
  <c r="S33" i="7"/>
  <c r="E33" i="7"/>
  <c r="AZ33" i="7" s="1"/>
  <c r="AZ32" i="7"/>
  <c r="AQ32" i="7"/>
  <c r="AI32" i="7"/>
  <c r="AE32" i="7"/>
  <c r="AH32" i="7" s="1"/>
  <c r="AC32" i="7"/>
  <c r="AX32" i="7" s="1"/>
  <c r="AA32" i="7"/>
  <c r="AD32" i="7" s="1"/>
  <c r="V32" i="7"/>
  <c r="T32" i="7"/>
  <c r="S32" i="7"/>
  <c r="E32" i="7"/>
  <c r="AQ31" i="7"/>
  <c r="AA31" i="7"/>
  <c r="AD31" i="7" s="1"/>
  <c r="T31" i="7"/>
  <c r="V31" i="7" s="1"/>
  <c r="AE31" i="7" s="1"/>
  <c r="S31" i="7"/>
  <c r="E31" i="7"/>
  <c r="AQ30" i="7"/>
  <c r="S30" i="7"/>
  <c r="T30" i="7" s="1"/>
  <c r="E30" i="7"/>
  <c r="AQ29" i="7"/>
  <c r="T29" i="7"/>
  <c r="AA29" i="7" s="1"/>
  <c r="S29" i="7"/>
  <c r="E29" i="7"/>
  <c r="AQ28" i="7"/>
  <c r="AM28" i="7"/>
  <c r="AF28" i="7"/>
  <c r="AE28" i="7"/>
  <c r="AH28" i="7" s="1"/>
  <c r="AA28" i="7"/>
  <c r="AD28" i="7" s="1"/>
  <c r="V28" i="7"/>
  <c r="T28" i="7"/>
  <c r="S28" i="7"/>
  <c r="E28" i="7"/>
  <c r="AQ27" i="7"/>
  <c r="AA27" i="7"/>
  <c r="AD27" i="7" s="1"/>
  <c r="V27" i="7"/>
  <c r="AE27" i="7" s="1"/>
  <c r="T27" i="7"/>
  <c r="S27" i="7"/>
  <c r="E27" i="7"/>
  <c r="AQ26" i="7"/>
  <c r="V26" i="7"/>
  <c r="AE26" i="7" s="1"/>
  <c r="T26" i="7"/>
  <c r="AA26" i="7" s="1"/>
  <c r="S26" i="7"/>
  <c r="E26" i="7"/>
  <c r="AQ25" i="7"/>
  <c r="S25" i="7"/>
  <c r="T25" i="7" s="1"/>
  <c r="E25" i="7"/>
  <c r="AQ24" i="7"/>
  <c r="AI24" i="7"/>
  <c r="AC24" i="7"/>
  <c r="AX24" i="7" s="1"/>
  <c r="AA24" i="7"/>
  <c r="AD24" i="7" s="1"/>
  <c r="V24" i="7"/>
  <c r="AE24" i="7" s="1"/>
  <c r="T24" i="7"/>
  <c r="S24" i="7"/>
  <c r="E24" i="7"/>
  <c r="AQ23" i="7"/>
  <c r="AG23" i="7"/>
  <c r="AN23" i="7" s="1"/>
  <c r="AA23" i="7"/>
  <c r="AD23" i="7" s="1"/>
  <c r="T23" i="7"/>
  <c r="V23" i="7" s="1"/>
  <c r="AE23" i="7" s="1"/>
  <c r="S23" i="7"/>
  <c r="E23" i="7"/>
  <c r="AQ22" i="7"/>
  <c r="AF22" i="7"/>
  <c r="AE22" i="7"/>
  <c r="AA22" i="7"/>
  <c r="AD22" i="7" s="1"/>
  <c r="V22" i="7"/>
  <c r="T22" i="7"/>
  <c r="S22" i="7"/>
  <c r="E22" i="7"/>
  <c r="AQ21" i="7"/>
  <c r="AD21" i="7"/>
  <c r="AC21" i="7"/>
  <c r="T21" i="7"/>
  <c r="AA21" i="7" s="1"/>
  <c r="AB21" i="7" s="1"/>
  <c r="AJ21" i="7" s="1"/>
  <c r="S21" i="7"/>
  <c r="E21" i="7"/>
  <c r="AZ20" i="7"/>
  <c r="AQ20" i="7"/>
  <c r="AA20" i="7"/>
  <c r="S20" i="7"/>
  <c r="T20" i="7" s="1"/>
  <c r="E20" i="7"/>
  <c r="AQ19" i="7"/>
  <c r="AA19" i="7"/>
  <c r="AD19" i="7" s="1"/>
  <c r="Z19" i="7"/>
  <c r="X19" i="7"/>
  <c r="V19" i="7"/>
  <c r="AE19" i="7" s="1"/>
  <c r="U19" i="7"/>
  <c r="T19" i="7"/>
  <c r="S19" i="7"/>
  <c r="Q19" i="7"/>
  <c r="P19" i="7"/>
  <c r="O19" i="7"/>
  <c r="N19" i="7"/>
  <c r="M19" i="7"/>
  <c r="L19" i="7"/>
  <c r="K19" i="7"/>
  <c r="J19" i="7"/>
  <c r="I19" i="7"/>
  <c r="H19" i="7"/>
  <c r="G19" i="7"/>
  <c r="F19" i="7"/>
  <c r="E19" i="7"/>
  <c r="AQ18" i="7"/>
  <c r="Z18" i="7"/>
  <c r="X18" i="7"/>
  <c r="V18" i="7"/>
  <c r="AE18" i="7" s="1"/>
  <c r="U18" i="7"/>
  <c r="T18" i="7"/>
  <c r="AA18" i="7" s="1"/>
  <c r="S18" i="7"/>
  <c r="Q18" i="7"/>
  <c r="P18" i="7"/>
  <c r="O18" i="7"/>
  <c r="N18" i="7"/>
  <c r="M18" i="7"/>
  <c r="L18" i="7"/>
  <c r="K18" i="7"/>
  <c r="J18" i="7"/>
  <c r="I18" i="7"/>
  <c r="H18" i="7"/>
  <c r="G18" i="7"/>
  <c r="F18" i="7"/>
  <c r="E18" i="7"/>
  <c r="AQ17" i="7"/>
  <c r="U17" i="7"/>
  <c r="T17" i="7"/>
  <c r="S17" i="7"/>
  <c r="Q17" i="7"/>
  <c r="P17" i="7"/>
  <c r="O17" i="7"/>
  <c r="N17" i="7"/>
  <c r="M17" i="7"/>
  <c r="L17" i="7"/>
  <c r="K17" i="7"/>
  <c r="Z17" i="7" s="1"/>
  <c r="J17" i="7"/>
  <c r="I17" i="7"/>
  <c r="H17" i="7"/>
  <c r="G17" i="7"/>
  <c r="F17" i="7"/>
  <c r="E17" i="7"/>
  <c r="AQ16" i="7"/>
  <c r="AI16" i="7"/>
  <c r="AC16" i="7"/>
  <c r="AX16" i="7" s="1"/>
  <c r="AA16" i="7"/>
  <c r="AD16" i="7" s="1"/>
  <c r="Z16" i="7"/>
  <c r="V16" i="7"/>
  <c r="AE16" i="7" s="1"/>
  <c r="U16" i="7"/>
  <c r="T16" i="7"/>
  <c r="S16" i="7"/>
  <c r="Q16" i="7"/>
  <c r="P16" i="7"/>
  <c r="O16" i="7"/>
  <c r="N16" i="7"/>
  <c r="M16" i="7"/>
  <c r="L16" i="7"/>
  <c r="K16" i="7"/>
  <c r="X16" i="7" s="1"/>
  <c r="J16" i="7"/>
  <c r="I16" i="7"/>
  <c r="H16" i="7"/>
  <c r="G16" i="7"/>
  <c r="F16" i="7"/>
  <c r="E16" i="7"/>
  <c r="AZ15" i="7"/>
  <c r="AQ15" i="7"/>
  <c r="AA15" i="7"/>
  <c r="Z15" i="7"/>
  <c r="X15" i="7"/>
  <c r="U15" i="7"/>
  <c r="T15" i="7"/>
  <c r="V15" i="7" s="1"/>
  <c r="S15" i="7"/>
  <c r="Q15" i="7"/>
  <c r="P15" i="7"/>
  <c r="O15" i="7"/>
  <c r="N15" i="7"/>
  <c r="M15" i="7"/>
  <c r="L15" i="7"/>
  <c r="K15" i="7"/>
  <c r="J15" i="7"/>
  <c r="I15" i="7"/>
  <c r="H15" i="7"/>
  <c r="G15" i="7"/>
  <c r="F15" i="7"/>
  <c r="E15" i="7"/>
  <c r="R4" i="7"/>
  <c r="EY57" i="6"/>
  <c r="EX57" i="6"/>
  <c r="EZ57" i="6" s="1"/>
  <c r="EX56" i="6"/>
  <c r="EW55" i="6"/>
  <c r="ES55" i="6"/>
  <c r="EU55" i="6" s="1"/>
  <c r="ER55" i="6"/>
  <c r="EV55" i="6" s="1"/>
  <c r="EW54" i="6"/>
  <c r="EU54" i="6"/>
  <c r="ES54" i="6"/>
  <c r="ER54" i="6"/>
  <c r="EV54" i="6" s="1"/>
  <c r="ET53" i="6"/>
  <c r="ES53" i="6"/>
  <c r="ER53" i="6"/>
  <c r="EV53" i="6" s="1"/>
  <c r="DD33" i="6"/>
  <c r="DC33" i="6"/>
  <c r="DB33" i="6"/>
  <c r="CX33" i="6"/>
  <c r="CV33" i="6"/>
  <c r="CT33" i="6"/>
  <c r="CS33" i="6"/>
  <c r="CU33" i="6" s="1"/>
  <c r="BG33" i="6"/>
  <c r="BF33" i="6"/>
  <c r="BE33" i="6"/>
  <c r="T33" i="6"/>
  <c r="Q33" i="6"/>
  <c r="O33" i="6"/>
  <c r="J33" i="6"/>
  <c r="N33" i="6" s="1"/>
  <c r="DB32" i="6"/>
  <c r="CW32" i="6"/>
  <c r="CT32" i="6"/>
  <c r="CV32" i="6" s="1"/>
  <c r="CS32" i="6"/>
  <c r="CU32" i="6" s="1"/>
  <c r="BG32" i="6"/>
  <c r="BE32" i="6"/>
  <c r="BF32" i="6" s="1"/>
  <c r="Q32" i="6"/>
  <c r="O32" i="6"/>
  <c r="J32" i="6"/>
  <c r="N32" i="6" s="1"/>
  <c r="DB31" i="6"/>
  <c r="DD31" i="6" s="1"/>
  <c r="CX31" i="6"/>
  <c r="CU31" i="6"/>
  <c r="CT31" i="6"/>
  <c r="CV31" i="6" s="1"/>
  <c r="CS31" i="6"/>
  <c r="CW31" i="6" s="1"/>
  <c r="BE31" i="6"/>
  <c r="Q31" i="6"/>
  <c r="O31" i="6"/>
  <c r="J31" i="6"/>
  <c r="N31" i="6" s="1"/>
  <c r="DC30" i="6"/>
  <c r="DB30" i="6"/>
  <c r="DD30" i="6" s="1"/>
  <c r="CW30" i="6"/>
  <c r="CV30" i="6"/>
  <c r="CU30" i="6"/>
  <c r="CT30" i="6"/>
  <c r="CX30" i="6" s="1"/>
  <c r="CS30" i="6"/>
  <c r="BE30" i="6"/>
  <c r="T30" i="6"/>
  <c r="Q30" i="6"/>
  <c r="O30" i="6"/>
  <c r="J30" i="6"/>
  <c r="N30" i="6" s="1"/>
  <c r="DD29" i="6"/>
  <c r="DB29" i="6"/>
  <c r="DC29" i="6" s="1"/>
  <c r="CX29" i="6"/>
  <c r="CW29" i="6"/>
  <c r="CV29" i="6"/>
  <c r="CT29" i="6"/>
  <c r="CS29" i="6"/>
  <c r="CU29" i="6" s="1"/>
  <c r="BG29" i="6"/>
  <c r="BE29" i="6"/>
  <c r="BF29" i="6" s="1"/>
  <c r="Q29" i="6"/>
  <c r="O29" i="6"/>
  <c r="N29" i="6"/>
  <c r="T29" i="6" s="1"/>
  <c r="J29" i="6"/>
  <c r="CY28" i="6"/>
  <c r="CV28" i="6"/>
  <c r="CT28" i="6"/>
  <c r="CX28" i="6" s="1"/>
  <c r="CS28" i="6"/>
  <c r="CG28" i="6"/>
  <c r="BE28" i="6"/>
  <c r="BF28" i="6" s="1"/>
  <c r="BG28" i="6" s="1"/>
  <c r="CZ27" i="6"/>
  <c r="DA27" i="6" s="1"/>
  <c r="CY27" i="6"/>
  <c r="CX27" i="6"/>
  <c r="CW27" i="6"/>
  <c r="CV27" i="6"/>
  <c r="CU27" i="6"/>
  <c r="CT27" i="6"/>
  <c r="CS27" i="6"/>
  <c r="CG27" i="6"/>
  <c r="BS27" i="6"/>
  <c r="BE27" i="6"/>
  <c r="CY26" i="6"/>
  <c r="CX26" i="6"/>
  <c r="CW26" i="6"/>
  <c r="CT26" i="6"/>
  <c r="CV26" i="6" s="1"/>
  <c r="CS26" i="6"/>
  <c r="CU26" i="6" s="1"/>
  <c r="CG26" i="6"/>
  <c r="BF26" i="6"/>
  <c r="BE26" i="6"/>
  <c r="BG26" i="6" s="1"/>
  <c r="CY25" i="6"/>
  <c r="DA25" i="6" s="1"/>
  <c r="CX25" i="6"/>
  <c r="CW25" i="6"/>
  <c r="CT25" i="6"/>
  <c r="CV25" i="6" s="1"/>
  <c r="CS25" i="6"/>
  <c r="CU25" i="6" s="1"/>
  <c r="CG25" i="6"/>
  <c r="BS25" i="6"/>
  <c r="BG25" i="6"/>
  <c r="BE25" i="6"/>
  <c r="BF25" i="6" s="1"/>
  <c r="DA24" i="6"/>
  <c r="CZ24" i="6"/>
  <c r="CY24" i="6"/>
  <c r="CX24" i="6"/>
  <c r="CV24" i="6"/>
  <c r="CT24" i="6"/>
  <c r="CS24" i="6"/>
  <c r="CU24" i="6" s="1"/>
  <c r="CG24" i="6"/>
  <c r="BE24" i="6"/>
  <c r="CY23" i="6"/>
  <c r="CT23" i="6"/>
  <c r="CX23" i="6" s="1"/>
  <c r="CS23" i="6"/>
  <c r="CG23" i="6"/>
  <c r="BS23" i="6"/>
  <c r="BG23" i="6"/>
  <c r="BE23" i="6"/>
  <c r="BF23" i="6" s="1"/>
  <c r="CY22" i="6"/>
  <c r="CT22" i="6"/>
  <c r="CS22" i="6"/>
  <c r="CW22" i="6" s="1"/>
  <c r="CG22" i="6"/>
  <c r="BE22" i="6"/>
  <c r="DA21" i="6"/>
  <c r="CZ21" i="6"/>
  <c r="CY21" i="6"/>
  <c r="CT21" i="6"/>
  <c r="CS21" i="6"/>
  <c r="CG21" i="6"/>
  <c r="BS21" i="6"/>
  <c r="BG21" i="6"/>
  <c r="BF21" i="6"/>
  <c r="BE21" i="6"/>
  <c r="DA20" i="6"/>
  <c r="CY20" i="6"/>
  <c r="CZ20" i="6" s="1"/>
  <c r="CG20" i="6"/>
  <c r="BG20" i="6"/>
  <c r="BE20" i="6"/>
  <c r="BF20" i="6" s="1"/>
  <c r="CY19" i="6"/>
  <c r="CG19" i="6"/>
  <c r="BS19" i="6"/>
  <c r="BK19" i="6"/>
  <c r="BE19" i="6"/>
  <c r="BF19" i="6" s="1"/>
  <c r="CG18" i="6"/>
  <c r="M18" i="6"/>
  <c r="CG17" i="6"/>
  <c r="AM159" i="5"/>
  <c r="AI159" i="5"/>
  <c r="AE159" i="5"/>
  <c r="AC159" i="5"/>
  <c r="AA159" i="5"/>
  <c r="AB159" i="5" s="1"/>
  <c r="AD159" i="5" s="1"/>
  <c r="AF159" i="5" s="1"/>
  <c r="Y159" i="5"/>
  <c r="X159" i="5"/>
  <c r="Z159" i="5" s="1"/>
  <c r="AK159" i="5" s="1"/>
  <c r="W159" i="5"/>
  <c r="V159" i="5"/>
  <c r="U159" i="5"/>
  <c r="S159" i="5"/>
  <c r="Q159" i="5"/>
  <c r="P159" i="5"/>
  <c r="D159" i="5"/>
  <c r="AM158" i="5"/>
  <c r="AI158" i="5"/>
  <c r="AE158" i="5"/>
  <c r="AC158" i="5"/>
  <c r="AA158" i="5"/>
  <c r="Y158" i="5"/>
  <c r="V158" i="5"/>
  <c r="X158" i="5" s="1"/>
  <c r="Z158" i="5" s="1"/>
  <c r="AK158" i="5" s="1"/>
  <c r="U158" i="5"/>
  <c r="S158" i="5"/>
  <c r="Q158" i="5"/>
  <c r="W158" i="5" s="1"/>
  <c r="P158" i="5"/>
  <c r="D158" i="5"/>
  <c r="AM157" i="5"/>
  <c r="AI157" i="5"/>
  <c r="AE157" i="5"/>
  <c r="AC157" i="5"/>
  <c r="AA157" i="5"/>
  <c r="Y157" i="5"/>
  <c r="V157" i="5"/>
  <c r="U157" i="5"/>
  <c r="S157" i="5"/>
  <c r="Q157" i="5"/>
  <c r="W157" i="5" s="1"/>
  <c r="P157" i="5"/>
  <c r="D157" i="5"/>
  <c r="AM156" i="5"/>
  <c r="AI156" i="5"/>
  <c r="AE156" i="5"/>
  <c r="AC156" i="5"/>
  <c r="AA156" i="5"/>
  <c r="Y156" i="5"/>
  <c r="V156" i="5"/>
  <c r="U156" i="5"/>
  <c r="S156" i="5"/>
  <c r="P156" i="5"/>
  <c r="D156" i="5"/>
  <c r="AM155" i="5"/>
  <c r="AI155" i="5"/>
  <c r="AE155" i="5"/>
  <c r="AC155" i="5"/>
  <c r="AA155" i="5"/>
  <c r="Y155" i="5"/>
  <c r="X155" i="5"/>
  <c r="Z155" i="5" s="1"/>
  <c r="AK155" i="5" s="1"/>
  <c r="AN155" i="5" s="1"/>
  <c r="V155" i="5"/>
  <c r="U155" i="5"/>
  <c r="S155" i="5"/>
  <c r="Q155" i="5"/>
  <c r="P155" i="5"/>
  <c r="W155" i="5" s="1"/>
  <c r="D155" i="5"/>
  <c r="AM154" i="5"/>
  <c r="AI154" i="5"/>
  <c r="AE154" i="5"/>
  <c r="AC154" i="5"/>
  <c r="AA154" i="5"/>
  <c r="Y154" i="5"/>
  <c r="W154" i="5"/>
  <c r="V154" i="5"/>
  <c r="U154" i="5"/>
  <c r="S154" i="5"/>
  <c r="Q154" i="5"/>
  <c r="P154" i="5"/>
  <c r="D154" i="5"/>
  <c r="AM153" i="5"/>
  <c r="AI153" i="5"/>
  <c r="AE153" i="5"/>
  <c r="AC153" i="5"/>
  <c r="AA153" i="5"/>
  <c r="Y153" i="5"/>
  <c r="X153" i="5"/>
  <c r="W153" i="5"/>
  <c r="V153" i="5"/>
  <c r="U153" i="5"/>
  <c r="S153" i="5"/>
  <c r="Q153" i="5"/>
  <c r="P153" i="5"/>
  <c r="AB153" i="5" s="1"/>
  <c r="AD153" i="5" s="1"/>
  <c r="AF153" i="5" s="1"/>
  <c r="D153" i="5"/>
  <c r="AM152" i="5"/>
  <c r="AI152" i="5"/>
  <c r="AE152" i="5"/>
  <c r="AC152" i="5"/>
  <c r="AA152" i="5"/>
  <c r="Y152" i="5"/>
  <c r="V152" i="5"/>
  <c r="U152" i="5"/>
  <c r="S152" i="5"/>
  <c r="P152" i="5"/>
  <c r="D152" i="5"/>
  <c r="AM151" i="5"/>
  <c r="AI151" i="5"/>
  <c r="AE151" i="5"/>
  <c r="AC151" i="5"/>
  <c r="AA151" i="5"/>
  <c r="AB151" i="5" s="1"/>
  <c r="AD151" i="5" s="1"/>
  <c r="AF151" i="5" s="1"/>
  <c r="Y151" i="5"/>
  <c r="W151" i="5"/>
  <c r="V151" i="5"/>
  <c r="U151" i="5"/>
  <c r="X151" i="5" s="1"/>
  <c r="Z151" i="5" s="1"/>
  <c r="AK151" i="5" s="1"/>
  <c r="S151" i="5"/>
  <c r="Q151" i="5"/>
  <c r="P151" i="5"/>
  <c r="D151" i="5"/>
  <c r="AN150" i="5"/>
  <c r="AM150" i="5"/>
  <c r="AL150" i="5"/>
  <c r="AI150" i="5"/>
  <c r="AE150" i="5"/>
  <c r="AC150" i="5"/>
  <c r="AA150" i="5"/>
  <c r="AB150" i="5" s="1"/>
  <c r="AD150" i="5" s="1"/>
  <c r="AF150" i="5" s="1"/>
  <c r="Y150" i="5"/>
  <c r="V150" i="5"/>
  <c r="X150" i="5" s="1"/>
  <c r="Z150" i="5" s="1"/>
  <c r="AK150" i="5" s="1"/>
  <c r="U150" i="5"/>
  <c r="S150" i="5"/>
  <c r="Q150" i="5"/>
  <c r="W150" i="5" s="1"/>
  <c r="P150" i="5"/>
  <c r="D150" i="5"/>
  <c r="AM149" i="5"/>
  <c r="AI149" i="5"/>
  <c r="AE149" i="5"/>
  <c r="AC149" i="5"/>
  <c r="AA149" i="5"/>
  <c r="Y149" i="5"/>
  <c r="W149" i="5"/>
  <c r="V149" i="5"/>
  <c r="U149" i="5"/>
  <c r="S149" i="5"/>
  <c r="Q149" i="5"/>
  <c r="P149" i="5"/>
  <c r="D149" i="5"/>
  <c r="AM148" i="5"/>
  <c r="AI148" i="5"/>
  <c r="AE148" i="5"/>
  <c r="AC148" i="5"/>
  <c r="AA148" i="5"/>
  <c r="Y148" i="5"/>
  <c r="V148" i="5"/>
  <c r="U148" i="5"/>
  <c r="S148" i="5"/>
  <c r="P148" i="5"/>
  <c r="D148" i="5"/>
  <c r="AM147" i="5"/>
  <c r="AI147" i="5"/>
  <c r="AE147" i="5"/>
  <c r="AC147" i="5"/>
  <c r="AA147" i="5"/>
  <c r="Y147" i="5"/>
  <c r="V147" i="5"/>
  <c r="U147" i="5"/>
  <c r="S147" i="5"/>
  <c r="P147" i="5"/>
  <c r="D147" i="5"/>
  <c r="AM146" i="5"/>
  <c r="AL146" i="5"/>
  <c r="AI146" i="5"/>
  <c r="AE146" i="5"/>
  <c r="AC146" i="5"/>
  <c r="AA146" i="5"/>
  <c r="AB146" i="5" s="1"/>
  <c r="Y146" i="5"/>
  <c r="V146" i="5"/>
  <c r="X146" i="5" s="1"/>
  <c r="Z146" i="5" s="1"/>
  <c r="AK146" i="5" s="1"/>
  <c r="AN146" i="5" s="1"/>
  <c r="U146" i="5"/>
  <c r="S146" i="5"/>
  <c r="Q146" i="5"/>
  <c r="W146" i="5" s="1"/>
  <c r="P146" i="5"/>
  <c r="D146" i="5"/>
  <c r="AM145" i="5"/>
  <c r="AI145" i="5"/>
  <c r="AE145" i="5"/>
  <c r="AC145" i="5"/>
  <c r="AA145" i="5"/>
  <c r="Y145" i="5"/>
  <c r="X145" i="5"/>
  <c r="Z145" i="5" s="1"/>
  <c r="AK145" i="5" s="1"/>
  <c r="V145" i="5"/>
  <c r="U145" i="5"/>
  <c r="S145" i="5"/>
  <c r="Q145" i="5"/>
  <c r="P145" i="5"/>
  <c r="W145" i="5" s="1"/>
  <c r="D145" i="5"/>
  <c r="AM144" i="5"/>
  <c r="AI144" i="5"/>
  <c r="AE144" i="5"/>
  <c r="AC144" i="5"/>
  <c r="AA144" i="5"/>
  <c r="Y144" i="5"/>
  <c r="V144" i="5"/>
  <c r="U144" i="5"/>
  <c r="S144" i="5"/>
  <c r="Q144" i="5"/>
  <c r="X144" i="5" s="1"/>
  <c r="Z144" i="5" s="1"/>
  <c r="AK144" i="5" s="1"/>
  <c r="P144" i="5"/>
  <c r="D144" i="5"/>
  <c r="AM143" i="5"/>
  <c r="AI143" i="5"/>
  <c r="AE143" i="5"/>
  <c r="AC143" i="5"/>
  <c r="AA143" i="5"/>
  <c r="Y143" i="5"/>
  <c r="W143" i="5"/>
  <c r="V143" i="5"/>
  <c r="U143" i="5"/>
  <c r="S143" i="5"/>
  <c r="Q143" i="5"/>
  <c r="X143" i="5" s="1"/>
  <c r="Z143" i="5" s="1"/>
  <c r="AK143" i="5" s="1"/>
  <c r="P143" i="5"/>
  <c r="D143" i="5"/>
  <c r="AM142" i="5"/>
  <c r="AI142" i="5"/>
  <c r="AE142" i="5"/>
  <c r="AC142" i="5"/>
  <c r="AA142" i="5"/>
  <c r="Z142" i="5"/>
  <c r="AK142" i="5" s="1"/>
  <c r="Y142" i="5"/>
  <c r="V142" i="5"/>
  <c r="X142" i="5" s="1"/>
  <c r="U142" i="5"/>
  <c r="S142" i="5"/>
  <c r="Q142" i="5"/>
  <c r="W142" i="5" s="1"/>
  <c r="P142" i="5"/>
  <c r="D142" i="5"/>
  <c r="AM141" i="5"/>
  <c r="AI141" i="5"/>
  <c r="AE141" i="5"/>
  <c r="AC141" i="5"/>
  <c r="AA141" i="5"/>
  <c r="Y141" i="5"/>
  <c r="W141" i="5"/>
  <c r="V141" i="5"/>
  <c r="U141" i="5"/>
  <c r="S141" i="5"/>
  <c r="Q141" i="5"/>
  <c r="P141" i="5"/>
  <c r="D141" i="5"/>
  <c r="AM140" i="5"/>
  <c r="AI140" i="5"/>
  <c r="AE140" i="5"/>
  <c r="AC140" i="5"/>
  <c r="AA140" i="5"/>
  <c r="Y140" i="5"/>
  <c r="V140" i="5"/>
  <c r="U140" i="5"/>
  <c r="S140" i="5"/>
  <c r="P140" i="5"/>
  <c r="D140" i="5"/>
  <c r="AM139" i="5"/>
  <c r="AI139" i="5"/>
  <c r="AE139" i="5"/>
  <c r="AC139" i="5"/>
  <c r="AA139" i="5"/>
  <c r="Y139" i="5"/>
  <c r="V139" i="5"/>
  <c r="U139" i="5"/>
  <c r="S139" i="5"/>
  <c r="P139" i="5"/>
  <c r="D139" i="5"/>
  <c r="AM138" i="5"/>
  <c r="AL138" i="5"/>
  <c r="AI138" i="5"/>
  <c r="AE138" i="5"/>
  <c r="AC138" i="5"/>
  <c r="AA138" i="5"/>
  <c r="Y138" i="5"/>
  <c r="X138" i="5"/>
  <c r="Z138" i="5" s="1"/>
  <c r="AK138" i="5" s="1"/>
  <c r="AN138" i="5" s="1"/>
  <c r="V138" i="5"/>
  <c r="U138" i="5"/>
  <c r="S138" i="5"/>
  <c r="Q138" i="5"/>
  <c r="P138" i="5"/>
  <c r="D138" i="5"/>
  <c r="AM137" i="5"/>
  <c r="AI137" i="5"/>
  <c r="AE137" i="5"/>
  <c r="AC137" i="5"/>
  <c r="AA137" i="5"/>
  <c r="Y137" i="5"/>
  <c r="V137" i="5"/>
  <c r="U137" i="5"/>
  <c r="S137" i="5"/>
  <c r="Q137" i="5"/>
  <c r="X137" i="5" s="1"/>
  <c r="Z137" i="5" s="1"/>
  <c r="AK137" i="5" s="1"/>
  <c r="P137" i="5"/>
  <c r="D137" i="5"/>
  <c r="AM136" i="5"/>
  <c r="AI136" i="5"/>
  <c r="AE136" i="5"/>
  <c r="AC136" i="5"/>
  <c r="AA136" i="5"/>
  <c r="Y136" i="5"/>
  <c r="V136" i="5"/>
  <c r="U136" i="5"/>
  <c r="S136" i="5"/>
  <c r="P136" i="5"/>
  <c r="D136" i="5"/>
  <c r="AM135" i="5"/>
  <c r="AI135" i="5"/>
  <c r="AE135" i="5"/>
  <c r="AC135" i="5"/>
  <c r="AA135" i="5"/>
  <c r="Y135" i="5"/>
  <c r="V135" i="5"/>
  <c r="U135" i="5"/>
  <c r="S135" i="5"/>
  <c r="Q135" i="5"/>
  <c r="P135" i="5"/>
  <c r="D135" i="5"/>
  <c r="AM134" i="5"/>
  <c r="AI134" i="5"/>
  <c r="AE134" i="5"/>
  <c r="AC134" i="5"/>
  <c r="AA134" i="5"/>
  <c r="Y134" i="5"/>
  <c r="V134" i="5"/>
  <c r="U134" i="5"/>
  <c r="S134" i="5"/>
  <c r="Q134" i="5"/>
  <c r="W134" i="5" s="1"/>
  <c r="P134" i="5"/>
  <c r="D134" i="5"/>
  <c r="AM133" i="5"/>
  <c r="AI133" i="5"/>
  <c r="AE133" i="5"/>
  <c r="AC133" i="5"/>
  <c r="AA133" i="5"/>
  <c r="Y133" i="5"/>
  <c r="W133" i="5"/>
  <c r="V133" i="5"/>
  <c r="U133" i="5"/>
  <c r="S133" i="5"/>
  <c r="Q133" i="5"/>
  <c r="P133" i="5"/>
  <c r="D133" i="5"/>
  <c r="AM132" i="5"/>
  <c r="AI132" i="5"/>
  <c r="AE132" i="5"/>
  <c r="AC132" i="5"/>
  <c r="AA132" i="5"/>
  <c r="Y132" i="5"/>
  <c r="V132" i="5"/>
  <c r="U132" i="5"/>
  <c r="S132" i="5"/>
  <c r="P132" i="5"/>
  <c r="D132" i="5"/>
  <c r="AM131" i="5"/>
  <c r="AI131" i="5"/>
  <c r="AE131" i="5"/>
  <c r="AC131" i="5"/>
  <c r="AA131" i="5"/>
  <c r="Y131" i="5"/>
  <c r="V131" i="5"/>
  <c r="U131" i="5"/>
  <c r="S131" i="5"/>
  <c r="P131" i="5"/>
  <c r="Q131" i="5" s="1"/>
  <c r="W131" i="5" s="1"/>
  <c r="D131" i="5"/>
  <c r="AM130" i="5"/>
  <c r="AI130" i="5"/>
  <c r="AE130" i="5"/>
  <c r="AC130" i="5"/>
  <c r="AA130" i="5"/>
  <c r="Y130" i="5"/>
  <c r="V130" i="5"/>
  <c r="U130" i="5"/>
  <c r="S130" i="5"/>
  <c r="P130" i="5"/>
  <c r="Q130" i="5" s="1"/>
  <c r="X130" i="5" s="1"/>
  <c r="Z130" i="5" s="1"/>
  <c r="AK130" i="5" s="1"/>
  <c r="D130" i="5"/>
  <c r="AM129" i="5"/>
  <c r="AI129" i="5"/>
  <c r="AE129" i="5"/>
  <c r="AC129" i="5"/>
  <c r="AA129" i="5"/>
  <c r="Y129" i="5"/>
  <c r="V129" i="5"/>
  <c r="U129" i="5"/>
  <c r="S129" i="5"/>
  <c r="Q129" i="5"/>
  <c r="P129" i="5"/>
  <c r="D129" i="5"/>
  <c r="AM128" i="5"/>
  <c r="AI128" i="5"/>
  <c r="AE128" i="5"/>
  <c r="AC128" i="5"/>
  <c r="AA128" i="5"/>
  <c r="Y128" i="5"/>
  <c r="V128" i="5"/>
  <c r="U128" i="5"/>
  <c r="S128" i="5"/>
  <c r="P128" i="5"/>
  <c r="D128" i="5"/>
  <c r="AM127" i="5"/>
  <c r="AI127" i="5"/>
  <c r="AE127" i="5"/>
  <c r="AC127" i="5"/>
  <c r="AA127" i="5"/>
  <c r="Y127" i="5"/>
  <c r="W127" i="5"/>
  <c r="V127" i="5"/>
  <c r="U127" i="5"/>
  <c r="S127" i="5"/>
  <c r="Q127" i="5"/>
  <c r="X127" i="5" s="1"/>
  <c r="P127" i="5"/>
  <c r="D127" i="5"/>
  <c r="AM126" i="5"/>
  <c r="AI126" i="5"/>
  <c r="AE126" i="5"/>
  <c r="AC126" i="5"/>
  <c r="AA126" i="5"/>
  <c r="Y126" i="5"/>
  <c r="V126" i="5"/>
  <c r="X126" i="5" s="1"/>
  <c r="Z126" i="5" s="1"/>
  <c r="AK126" i="5" s="1"/>
  <c r="U126" i="5"/>
  <c r="S126" i="5"/>
  <c r="Q126" i="5"/>
  <c r="W126" i="5" s="1"/>
  <c r="P126" i="5"/>
  <c r="D126" i="5"/>
  <c r="AM125" i="5"/>
  <c r="AI125" i="5"/>
  <c r="AE125" i="5"/>
  <c r="AC125" i="5"/>
  <c r="AA125" i="5"/>
  <c r="Y125" i="5"/>
  <c r="W125" i="5"/>
  <c r="V125" i="5"/>
  <c r="U125" i="5"/>
  <c r="S125" i="5"/>
  <c r="Q125" i="5"/>
  <c r="P125" i="5"/>
  <c r="D125" i="5"/>
  <c r="AM124" i="5"/>
  <c r="AI124" i="5"/>
  <c r="AE124" i="5"/>
  <c r="AC124" i="5"/>
  <c r="AA124" i="5"/>
  <c r="AB124" i="5" s="1"/>
  <c r="AD124" i="5" s="1"/>
  <c r="AF124" i="5" s="1"/>
  <c r="Y124" i="5"/>
  <c r="Z124" i="5" s="1"/>
  <c r="AK124" i="5" s="1"/>
  <c r="V124" i="5"/>
  <c r="X124" i="5" s="1"/>
  <c r="U124" i="5"/>
  <c r="S124" i="5"/>
  <c r="P124" i="5"/>
  <c r="Q124" i="5" s="1"/>
  <c r="D124" i="5"/>
  <c r="AM123" i="5"/>
  <c r="AI123" i="5"/>
  <c r="AE123" i="5"/>
  <c r="AC123" i="5"/>
  <c r="AA123" i="5"/>
  <c r="Y123" i="5"/>
  <c r="V123" i="5"/>
  <c r="U123" i="5"/>
  <c r="S123" i="5"/>
  <c r="P123" i="5"/>
  <c r="Q123" i="5" s="1"/>
  <c r="X123" i="5" s="1"/>
  <c r="Z123" i="5" s="1"/>
  <c r="AK123" i="5" s="1"/>
  <c r="D123" i="5"/>
  <c r="AM122" i="5"/>
  <c r="AI122" i="5"/>
  <c r="AE122" i="5"/>
  <c r="AC122" i="5"/>
  <c r="AA122" i="5"/>
  <c r="Y122" i="5"/>
  <c r="X122" i="5"/>
  <c r="Z122" i="5" s="1"/>
  <c r="AK122" i="5" s="1"/>
  <c r="AN122" i="5" s="1"/>
  <c r="V122" i="5"/>
  <c r="U122" i="5"/>
  <c r="S122" i="5"/>
  <c r="Q122" i="5"/>
  <c r="P122" i="5"/>
  <c r="W122" i="5" s="1"/>
  <c r="D122" i="5"/>
  <c r="AM121" i="5"/>
  <c r="AI121" i="5"/>
  <c r="AE121" i="5"/>
  <c r="AC121" i="5"/>
  <c r="AA121" i="5"/>
  <c r="Y121" i="5"/>
  <c r="V121" i="5"/>
  <c r="U121" i="5"/>
  <c r="S121" i="5"/>
  <c r="Q121" i="5"/>
  <c r="X121" i="5" s="1"/>
  <c r="Z121" i="5" s="1"/>
  <c r="AK121" i="5" s="1"/>
  <c r="P121" i="5"/>
  <c r="D121" i="5"/>
  <c r="AM120" i="5"/>
  <c r="AI120" i="5"/>
  <c r="AE120" i="5"/>
  <c r="AC120" i="5"/>
  <c r="AA120" i="5"/>
  <c r="Y120" i="5"/>
  <c r="V120" i="5"/>
  <c r="U120" i="5"/>
  <c r="S120" i="5"/>
  <c r="P120" i="5"/>
  <c r="D120" i="5"/>
  <c r="AM119" i="5"/>
  <c r="AI119" i="5"/>
  <c r="AE119" i="5"/>
  <c r="AC119" i="5"/>
  <c r="AA119" i="5"/>
  <c r="Y119" i="5"/>
  <c r="W119" i="5"/>
  <c r="V119" i="5"/>
  <c r="U119" i="5"/>
  <c r="S119" i="5"/>
  <c r="Q119" i="5"/>
  <c r="X119" i="5" s="1"/>
  <c r="Z119" i="5" s="1"/>
  <c r="AK119" i="5" s="1"/>
  <c r="AL119" i="5" s="1"/>
  <c r="P119" i="5"/>
  <c r="D119" i="5"/>
  <c r="AM118" i="5"/>
  <c r="AI118" i="5"/>
  <c r="AE118" i="5"/>
  <c r="AC118" i="5"/>
  <c r="AA118" i="5"/>
  <c r="Y118" i="5"/>
  <c r="V118" i="5"/>
  <c r="U118" i="5"/>
  <c r="S118" i="5"/>
  <c r="Q118" i="5"/>
  <c r="W118" i="5" s="1"/>
  <c r="P118" i="5"/>
  <c r="D118" i="5"/>
  <c r="AM117" i="5"/>
  <c r="AI117" i="5"/>
  <c r="AE117" i="5"/>
  <c r="AC117" i="5"/>
  <c r="AA117" i="5"/>
  <c r="Y117" i="5"/>
  <c r="V117" i="5"/>
  <c r="U117" i="5"/>
  <c r="S117" i="5"/>
  <c r="Q117" i="5"/>
  <c r="W117" i="5" s="1"/>
  <c r="P117" i="5"/>
  <c r="D117" i="5"/>
  <c r="AM116" i="5"/>
  <c r="AI116" i="5"/>
  <c r="AE116" i="5"/>
  <c r="AC116" i="5"/>
  <c r="AA116" i="5"/>
  <c r="Y116" i="5"/>
  <c r="V116" i="5"/>
  <c r="U116" i="5"/>
  <c r="S116" i="5"/>
  <c r="P116" i="5"/>
  <c r="D116" i="5"/>
  <c r="AM115" i="5"/>
  <c r="AI115" i="5"/>
  <c r="AE115" i="5"/>
  <c r="AC115" i="5"/>
  <c r="AA115" i="5"/>
  <c r="Y115" i="5"/>
  <c r="V115" i="5"/>
  <c r="U115" i="5"/>
  <c r="S115" i="5"/>
  <c r="P115" i="5"/>
  <c r="D115" i="5"/>
  <c r="AM114" i="5"/>
  <c r="AI114" i="5"/>
  <c r="AE114" i="5"/>
  <c r="AC114" i="5"/>
  <c r="AA114" i="5"/>
  <c r="Y114" i="5"/>
  <c r="V114" i="5"/>
  <c r="U114" i="5"/>
  <c r="S114" i="5"/>
  <c r="P114" i="5"/>
  <c r="D114" i="5"/>
  <c r="AM113" i="5"/>
  <c r="AI113" i="5"/>
  <c r="AE113" i="5"/>
  <c r="AC113" i="5"/>
  <c r="AA113" i="5"/>
  <c r="Y113" i="5"/>
  <c r="V113" i="5"/>
  <c r="U113" i="5"/>
  <c r="S113" i="5"/>
  <c r="P113" i="5"/>
  <c r="Q113" i="5" s="1"/>
  <c r="X113" i="5" s="1"/>
  <c r="Z113" i="5" s="1"/>
  <c r="AK113" i="5" s="1"/>
  <c r="D113" i="5"/>
  <c r="AM112" i="5"/>
  <c r="AI112" i="5"/>
  <c r="AE112" i="5"/>
  <c r="AC112" i="5"/>
  <c r="AA112" i="5"/>
  <c r="Y112" i="5"/>
  <c r="V112" i="5"/>
  <c r="U112" i="5"/>
  <c r="S112" i="5"/>
  <c r="P112" i="5"/>
  <c r="D112" i="5"/>
  <c r="AM111" i="5"/>
  <c r="AI111" i="5"/>
  <c r="AE111" i="5"/>
  <c r="AC111" i="5"/>
  <c r="AA111" i="5"/>
  <c r="Y111" i="5"/>
  <c r="W111" i="5"/>
  <c r="V111" i="5"/>
  <c r="U111" i="5"/>
  <c r="S111" i="5"/>
  <c r="Q111" i="5"/>
  <c r="P111" i="5"/>
  <c r="D111" i="5"/>
  <c r="AM110" i="5"/>
  <c r="AI110" i="5"/>
  <c r="AE110" i="5"/>
  <c r="AC110" i="5"/>
  <c r="AA110" i="5"/>
  <c r="Y110" i="5"/>
  <c r="V110" i="5"/>
  <c r="U110" i="5"/>
  <c r="S110" i="5"/>
  <c r="Q110" i="5"/>
  <c r="W110" i="5" s="1"/>
  <c r="P110" i="5"/>
  <c r="D110" i="5"/>
  <c r="AM109" i="5"/>
  <c r="AI109" i="5"/>
  <c r="AE109" i="5"/>
  <c r="AC109" i="5"/>
  <c r="AA109" i="5"/>
  <c r="Y109" i="5"/>
  <c r="V109" i="5"/>
  <c r="U109" i="5"/>
  <c r="S109" i="5"/>
  <c r="Q109" i="5"/>
  <c r="W109" i="5" s="1"/>
  <c r="P109" i="5"/>
  <c r="D109" i="5"/>
  <c r="AN108" i="5"/>
  <c r="AM108" i="5"/>
  <c r="AI108" i="5"/>
  <c r="AE108" i="5"/>
  <c r="AC108" i="5"/>
  <c r="AA108" i="5"/>
  <c r="Y108" i="5"/>
  <c r="W108" i="5"/>
  <c r="V108" i="5"/>
  <c r="X108" i="5" s="1"/>
  <c r="Z108" i="5" s="1"/>
  <c r="AK108" i="5" s="1"/>
  <c r="AL108" i="5" s="1"/>
  <c r="U108" i="5"/>
  <c r="S108" i="5"/>
  <c r="P108" i="5"/>
  <c r="Q108" i="5" s="1"/>
  <c r="D108" i="5"/>
  <c r="AM107" i="5"/>
  <c r="AI107" i="5"/>
  <c r="AE107" i="5"/>
  <c r="AC107" i="5"/>
  <c r="AA107" i="5"/>
  <c r="Y107" i="5"/>
  <c r="V107" i="5"/>
  <c r="U107" i="5"/>
  <c r="S107" i="5"/>
  <c r="P107" i="5"/>
  <c r="D107" i="5"/>
  <c r="AM106" i="5"/>
  <c r="AI106" i="5"/>
  <c r="AE106" i="5"/>
  <c r="AC106" i="5"/>
  <c r="AA106" i="5"/>
  <c r="Y106" i="5"/>
  <c r="V106" i="5"/>
  <c r="U106" i="5"/>
  <c r="S106" i="5"/>
  <c r="P106" i="5"/>
  <c r="D106" i="5"/>
  <c r="AM105" i="5"/>
  <c r="AI105" i="5"/>
  <c r="AE105" i="5"/>
  <c r="AC105" i="5"/>
  <c r="AA105" i="5"/>
  <c r="Y105" i="5"/>
  <c r="X105" i="5"/>
  <c r="V105" i="5"/>
  <c r="U105" i="5"/>
  <c r="S105" i="5"/>
  <c r="Q105" i="5"/>
  <c r="P105" i="5"/>
  <c r="W105" i="5" s="1"/>
  <c r="D105" i="5"/>
  <c r="AM104" i="5"/>
  <c r="AI104" i="5"/>
  <c r="AE104" i="5"/>
  <c r="AC104" i="5"/>
  <c r="AA104" i="5"/>
  <c r="Y104" i="5"/>
  <c r="V104" i="5"/>
  <c r="U104" i="5"/>
  <c r="S104" i="5"/>
  <c r="P104" i="5"/>
  <c r="D104" i="5"/>
  <c r="AM103" i="5"/>
  <c r="AI103" i="5"/>
  <c r="AE103" i="5"/>
  <c r="AC103" i="5"/>
  <c r="AA103" i="5"/>
  <c r="Y103" i="5"/>
  <c r="W103" i="5"/>
  <c r="V103" i="5"/>
  <c r="U103" i="5"/>
  <c r="X103" i="5" s="1"/>
  <c r="S103" i="5"/>
  <c r="Q103" i="5"/>
  <c r="P103" i="5"/>
  <c r="D103" i="5"/>
  <c r="AM102" i="5"/>
  <c r="AI102" i="5"/>
  <c r="AE102" i="5"/>
  <c r="AC102" i="5"/>
  <c r="AA102" i="5"/>
  <c r="Y102" i="5"/>
  <c r="V102" i="5"/>
  <c r="U102" i="5"/>
  <c r="S102" i="5"/>
  <c r="Q102" i="5"/>
  <c r="W102" i="5" s="1"/>
  <c r="P102" i="5"/>
  <c r="D102" i="5"/>
  <c r="AM101" i="5"/>
  <c r="AI101" i="5"/>
  <c r="AE101" i="5"/>
  <c r="AC101" i="5"/>
  <c r="AA101" i="5"/>
  <c r="Y101" i="5"/>
  <c r="V101" i="5"/>
  <c r="U101" i="5"/>
  <c r="S101" i="5"/>
  <c r="Q101" i="5"/>
  <c r="W101" i="5" s="1"/>
  <c r="P101" i="5"/>
  <c r="D101" i="5"/>
  <c r="AM100" i="5"/>
  <c r="AI100" i="5"/>
  <c r="AE100" i="5"/>
  <c r="AC100" i="5"/>
  <c r="AA100" i="5"/>
  <c r="Z100" i="5"/>
  <c r="AK100" i="5" s="1"/>
  <c r="Y100" i="5"/>
  <c r="W100" i="5"/>
  <c r="V100" i="5"/>
  <c r="X100" i="5" s="1"/>
  <c r="AB100" i="5" s="1"/>
  <c r="AD100" i="5" s="1"/>
  <c r="U100" i="5"/>
  <c r="S100" i="5"/>
  <c r="P100" i="5"/>
  <c r="Q100" i="5" s="1"/>
  <c r="D100" i="5"/>
  <c r="AM99" i="5"/>
  <c r="AI99" i="5"/>
  <c r="AE99" i="5"/>
  <c r="AC99" i="5"/>
  <c r="AA99" i="5"/>
  <c r="Y99" i="5"/>
  <c r="V99" i="5"/>
  <c r="U99" i="5"/>
  <c r="S99" i="5"/>
  <c r="P99" i="5"/>
  <c r="D99" i="5"/>
  <c r="AM98" i="5"/>
  <c r="AI98" i="5"/>
  <c r="AE98" i="5"/>
  <c r="AC98" i="5"/>
  <c r="AA98" i="5"/>
  <c r="Y98" i="5"/>
  <c r="X98" i="5"/>
  <c r="V98" i="5"/>
  <c r="U98" i="5"/>
  <c r="S98" i="5"/>
  <c r="P98" i="5"/>
  <c r="Q98" i="5" s="1"/>
  <c r="W98" i="5" s="1"/>
  <c r="D98" i="5"/>
  <c r="AM97" i="5"/>
  <c r="AI97" i="5"/>
  <c r="AE97" i="5"/>
  <c r="AC97" i="5"/>
  <c r="AA97" i="5"/>
  <c r="Y97" i="5"/>
  <c r="V97" i="5"/>
  <c r="U97" i="5"/>
  <c r="S97" i="5"/>
  <c r="P97" i="5"/>
  <c r="D97" i="5"/>
  <c r="AM96" i="5"/>
  <c r="AI96" i="5"/>
  <c r="AE96" i="5"/>
  <c r="AC96" i="5"/>
  <c r="AA96" i="5"/>
  <c r="Y96" i="5"/>
  <c r="V96" i="5"/>
  <c r="U96" i="5"/>
  <c r="S96" i="5"/>
  <c r="P96" i="5"/>
  <c r="D96" i="5"/>
  <c r="AN95" i="5"/>
  <c r="AM95" i="5"/>
  <c r="AI95" i="5"/>
  <c r="AE95" i="5"/>
  <c r="AC95" i="5"/>
  <c r="AA95" i="5"/>
  <c r="Y95" i="5"/>
  <c r="X95" i="5"/>
  <c r="Z95" i="5" s="1"/>
  <c r="AK95" i="5" s="1"/>
  <c r="AL95" i="5" s="1"/>
  <c r="V95" i="5"/>
  <c r="U95" i="5"/>
  <c r="S95" i="5"/>
  <c r="Q95" i="5"/>
  <c r="W95" i="5" s="1"/>
  <c r="P95" i="5"/>
  <c r="D95" i="5"/>
  <c r="AM94" i="5"/>
  <c r="AI94" i="5"/>
  <c r="AE94" i="5"/>
  <c r="AC94" i="5"/>
  <c r="AA94" i="5"/>
  <c r="Y94" i="5"/>
  <c r="V94" i="5"/>
  <c r="U94" i="5"/>
  <c r="S94" i="5"/>
  <c r="Q94" i="5"/>
  <c r="W94" i="5" s="1"/>
  <c r="P94" i="5"/>
  <c r="D94" i="5"/>
  <c r="AM93" i="5"/>
  <c r="AI93" i="5"/>
  <c r="AE93" i="5"/>
  <c r="AC93" i="5"/>
  <c r="AA93" i="5"/>
  <c r="Y93" i="5"/>
  <c r="V93" i="5"/>
  <c r="U93" i="5"/>
  <c r="S93" i="5"/>
  <c r="Q93" i="5"/>
  <c r="W93" i="5" s="1"/>
  <c r="P93" i="5"/>
  <c r="D93" i="5"/>
  <c r="AM92" i="5"/>
  <c r="AK92" i="5"/>
  <c r="AI92" i="5"/>
  <c r="AE92" i="5"/>
  <c r="AC92" i="5"/>
  <c r="AB92" i="5"/>
  <c r="AD92" i="5" s="1"/>
  <c r="AF92" i="5" s="1"/>
  <c r="AA92" i="5"/>
  <c r="Y92" i="5"/>
  <c r="W92" i="5"/>
  <c r="V92" i="5"/>
  <c r="X92" i="5" s="1"/>
  <c r="Z92" i="5" s="1"/>
  <c r="U92" i="5"/>
  <c r="S92" i="5"/>
  <c r="P92" i="5"/>
  <c r="Q92" i="5" s="1"/>
  <c r="D92" i="5"/>
  <c r="AM91" i="5"/>
  <c r="AK91" i="5"/>
  <c r="AL91" i="5" s="1"/>
  <c r="AI91" i="5"/>
  <c r="AE91" i="5"/>
  <c r="AC91" i="5"/>
  <c r="AA91" i="5"/>
  <c r="Y91" i="5"/>
  <c r="W91" i="5"/>
  <c r="V91" i="5"/>
  <c r="U91" i="5"/>
  <c r="S91" i="5"/>
  <c r="Q91" i="5"/>
  <c r="X91" i="5" s="1"/>
  <c r="Z91" i="5" s="1"/>
  <c r="P91" i="5"/>
  <c r="D91" i="5"/>
  <c r="AM90" i="5"/>
  <c r="AI90" i="5"/>
  <c r="AE90" i="5"/>
  <c r="AC90" i="5"/>
  <c r="AA90" i="5"/>
  <c r="Y90" i="5"/>
  <c r="W90" i="5"/>
  <c r="V90" i="5"/>
  <c r="U90" i="5"/>
  <c r="S90" i="5"/>
  <c r="P90" i="5"/>
  <c r="Q90" i="5" s="1"/>
  <c r="X90" i="5" s="1"/>
  <c r="Z90" i="5" s="1"/>
  <c r="AK90" i="5" s="1"/>
  <c r="D90" i="5"/>
  <c r="AM89" i="5"/>
  <c r="AI89" i="5"/>
  <c r="AE89" i="5"/>
  <c r="AC89" i="5"/>
  <c r="AA89" i="5"/>
  <c r="Y89" i="5"/>
  <c r="V89" i="5"/>
  <c r="U89" i="5"/>
  <c r="S89" i="5"/>
  <c r="P89" i="5"/>
  <c r="D89" i="5"/>
  <c r="AM88" i="5"/>
  <c r="AI88" i="5"/>
  <c r="AE88" i="5"/>
  <c r="AC88" i="5"/>
  <c r="AA88" i="5"/>
  <c r="Y88" i="5"/>
  <c r="V88" i="5"/>
  <c r="U88" i="5"/>
  <c r="S88" i="5"/>
  <c r="P88" i="5"/>
  <c r="D88" i="5"/>
  <c r="AN87" i="5"/>
  <c r="AM87" i="5"/>
  <c r="AI87" i="5"/>
  <c r="AE87" i="5"/>
  <c r="AC87" i="5"/>
  <c r="AA87" i="5"/>
  <c r="Z87" i="5"/>
  <c r="AK87" i="5" s="1"/>
  <c r="AL87" i="5" s="1"/>
  <c r="Y87" i="5"/>
  <c r="V87" i="5"/>
  <c r="U87" i="5"/>
  <c r="S87" i="5"/>
  <c r="Q87" i="5"/>
  <c r="X87" i="5" s="1"/>
  <c r="P87" i="5"/>
  <c r="D87" i="5"/>
  <c r="AM86" i="5"/>
  <c r="AI86" i="5"/>
  <c r="AE86" i="5"/>
  <c r="AC86" i="5"/>
  <c r="AA86" i="5"/>
  <c r="Y86" i="5"/>
  <c r="V86" i="5"/>
  <c r="U86" i="5"/>
  <c r="S86" i="5"/>
  <c r="Q86" i="5"/>
  <c r="W86" i="5" s="1"/>
  <c r="P86" i="5"/>
  <c r="D86" i="5"/>
  <c r="AM85" i="5"/>
  <c r="AI85" i="5"/>
  <c r="AE85" i="5"/>
  <c r="AC85" i="5"/>
  <c r="AA85" i="5"/>
  <c r="AB85" i="5" s="1"/>
  <c r="AD85" i="5" s="1"/>
  <c r="AF85" i="5" s="1"/>
  <c r="Y85" i="5"/>
  <c r="Z85" i="5" s="1"/>
  <c r="AK85" i="5" s="1"/>
  <c r="V85" i="5"/>
  <c r="X85" i="5" s="1"/>
  <c r="U85" i="5"/>
  <c r="S85" i="5"/>
  <c r="Q85" i="5"/>
  <c r="W85" i="5" s="1"/>
  <c r="P85" i="5"/>
  <c r="D85" i="5"/>
  <c r="AM84" i="5"/>
  <c r="AI84" i="5"/>
  <c r="AE84" i="5"/>
  <c r="AC84" i="5"/>
  <c r="AA84" i="5"/>
  <c r="Y84" i="5"/>
  <c r="W84" i="5"/>
  <c r="V84" i="5"/>
  <c r="U84" i="5"/>
  <c r="S84" i="5"/>
  <c r="P84" i="5"/>
  <c r="Q84" i="5" s="1"/>
  <c r="D84" i="5"/>
  <c r="AM83" i="5"/>
  <c r="AI83" i="5"/>
  <c r="AE83" i="5"/>
  <c r="AC83" i="5"/>
  <c r="AA83" i="5"/>
  <c r="Y83" i="5"/>
  <c r="V83" i="5"/>
  <c r="U83" i="5"/>
  <c r="S83" i="5"/>
  <c r="P83" i="5"/>
  <c r="D83" i="5"/>
  <c r="AM82" i="5"/>
  <c r="AI82" i="5"/>
  <c r="AE82" i="5"/>
  <c r="AC82" i="5"/>
  <c r="AA82" i="5"/>
  <c r="Y82" i="5"/>
  <c r="V82" i="5"/>
  <c r="U82" i="5"/>
  <c r="S82" i="5"/>
  <c r="P82" i="5"/>
  <c r="D82" i="5"/>
  <c r="AM81" i="5"/>
  <c r="AI81" i="5"/>
  <c r="AE81" i="5"/>
  <c r="AC81" i="5"/>
  <c r="AB81" i="5"/>
  <c r="AD81" i="5" s="1"/>
  <c r="AF81" i="5" s="1"/>
  <c r="AA81" i="5"/>
  <c r="Y81" i="5"/>
  <c r="X81" i="5"/>
  <c r="Z81" i="5" s="1"/>
  <c r="AK81" i="5" s="1"/>
  <c r="V81" i="5"/>
  <c r="U81" i="5"/>
  <c r="S81" i="5"/>
  <c r="P81" i="5"/>
  <c r="Q81" i="5" s="1"/>
  <c r="W81" i="5" s="1"/>
  <c r="D81" i="5"/>
  <c r="AM80" i="5"/>
  <c r="AI80" i="5"/>
  <c r="AE80" i="5"/>
  <c r="AC80" i="5"/>
  <c r="AA80" i="5"/>
  <c r="Y80" i="5"/>
  <c r="V80" i="5"/>
  <c r="U80" i="5"/>
  <c r="S80" i="5"/>
  <c r="Q80" i="5"/>
  <c r="X80" i="5" s="1"/>
  <c r="P80" i="5"/>
  <c r="D80" i="5"/>
  <c r="AM79" i="5"/>
  <c r="AI79" i="5"/>
  <c r="AE79" i="5"/>
  <c r="AC79" i="5"/>
  <c r="AA79" i="5"/>
  <c r="Y79" i="5"/>
  <c r="V79" i="5"/>
  <c r="U79" i="5"/>
  <c r="S79" i="5"/>
  <c r="Q79" i="5"/>
  <c r="P79" i="5"/>
  <c r="D79" i="5"/>
  <c r="AM78" i="5"/>
  <c r="AI78" i="5"/>
  <c r="AE78" i="5"/>
  <c r="AC78" i="5"/>
  <c r="AA78" i="5"/>
  <c r="Y78" i="5"/>
  <c r="V78" i="5"/>
  <c r="U78" i="5"/>
  <c r="S78" i="5"/>
  <c r="Q78" i="5"/>
  <c r="W78" i="5" s="1"/>
  <c r="P78" i="5"/>
  <c r="D78" i="5"/>
  <c r="AM77" i="5"/>
  <c r="AI77" i="5"/>
  <c r="AE77" i="5"/>
  <c r="AC77" i="5"/>
  <c r="AA77" i="5"/>
  <c r="Y77" i="5"/>
  <c r="V77" i="5"/>
  <c r="X77" i="5" s="1"/>
  <c r="Z77" i="5" s="1"/>
  <c r="AK77" i="5" s="1"/>
  <c r="U77" i="5"/>
  <c r="S77" i="5"/>
  <c r="Q77" i="5"/>
  <c r="W77" i="5" s="1"/>
  <c r="P77" i="5"/>
  <c r="D77" i="5"/>
  <c r="AM76" i="5"/>
  <c r="AI76" i="5"/>
  <c r="AE76" i="5"/>
  <c r="AC76" i="5"/>
  <c r="AB76" i="5"/>
  <c r="AD76" i="5" s="1"/>
  <c r="AF76" i="5" s="1"/>
  <c r="AA76" i="5"/>
  <c r="Y76" i="5"/>
  <c r="W76" i="5"/>
  <c r="V76" i="5"/>
  <c r="X76" i="5" s="1"/>
  <c r="Z76" i="5" s="1"/>
  <c r="AK76" i="5" s="1"/>
  <c r="U76" i="5"/>
  <c r="S76" i="5"/>
  <c r="P76" i="5"/>
  <c r="Q76" i="5" s="1"/>
  <c r="D76" i="5"/>
  <c r="AM75" i="5"/>
  <c r="AI75" i="5"/>
  <c r="AE75" i="5"/>
  <c r="AC75" i="5"/>
  <c r="AA75" i="5"/>
  <c r="Y75" i="5"/>
  <c r="W75" i="5"/>
  <c r="V75" i="5"/>
  <c r="U75" i="5"/>
  <c r="X75" i="5" s="1"/>
  <c r="Z75" i="5" s="1"/>
  <c r="AK75" i="5" s="1"/>
  <c r="AN75" i="5" s="1"/>
  <c r="S75" i="5"/>
  <c r="Q75" i="5"/>
  <c r="P75" i="5"/>
  <c r="D75" i="5"/>
  <c r="AM74" i="5"/>
  <c r="AI74" i="5"/>
  <c r="AE74" i="5"/>
  <c r="AC74" i="5"/>
  <c r="AA74" i="5"/>
  <c r="Y74" i="5"/>
  <c r="V74" i="5"/>
  <c r="U74" i="5"/>
  <c r="S74" i="5"/>
  <c r="P74" i="5"/>
  <c r="D74" i="5"/>
  <c r="AM73" i="5"/>
  <c r="AI73" i="5"/>
  <c r="AE73" i="5"/>
  <c r="AC73" i="5"/>
  <c r="AA73" i="5"/>
  <c r="Y73" i="5"/>
  <c r="V73" i="5"/>
  <c r="U73" i="5"/>
  <c r="S73" i="5"/>
  <c r="P73" i="5"/>
  <c r="Q73" i="5" s="1"/>
  <c r="X73" i="5" s="1"/>
  <c r="Z73" i="5" s="1"/>
  <c r="AK73" i="5" s="1"/>
  <c r="D73" i="5"/>
  <c r="AM72" i="5"/>
  <c r="AI72" i="5"/>
  <c r="AE72" i="5"/>
  <c r="AC72" i="5"/>
  <c r="AA72" i="5"/>
  <c r="Y72" i="5"/>
  <c r="V72" i="5"/>
  <c r="U72" i="5"/>
  <c r="S72" i="5"/>
  <c r="P72" i="5"/>
  <c r="D72" i="5"/>
  <c r="AM71" i="5"/>
  <c r="AI71" i="5"/>
  <c r="AE71" i="5"/>
  <c r="AC71" i="5"/>
  <c r="AA71" i="5"/>
  <c r="Y71" i="5"/>
  <c r="X71" i="5"/>
  <c r="Z71" i="5" s="1"/>
  <c r="AK71" i="5" s="1"/>
  <c r="V71" i="5"/>
  <c r="U71" i="5"/>
  <c r="S71" i="5"/>
  <c r="Q71" i="5"/>
  <c r="W71" i="5" s="1"/>
  <c r="P71" i="5"/>
  <c r="D71" i="5"/>
  <c r="AM70" i="5"/>
  <c r="AI70" i="5"/>
  <c r="AE70" i="5"/>
  <c r="AC70" i="5"/>
  <c r="AA70" i="5"/>
  <c r="Y70" i="5"/>
  <c r="V70" i="5"/>
  <c r="U70" i="5"/>
  <c r="S70" i="5"/>
  <c r="Q70" i="5"/>
  <c r="W70" i="5" s="1"/>
  <c r="P70" i="5"/>
  <c r="D70" i="5"/>
  <c r="AM69" i="5"/>
  <c r="AI69" i="5"/>
  <c r="AE69" i="5"/>
  <c r="AC69" i="5"/>
  <c r="AA69" i="5"/>
  <c r="Y69" i="5"/>
  <c r="W69" i="5"/>
  <c r="V69" i="5"/>
  <c r="X69" i="5" s="1"/>
  <c r="U69" i="5"/>
  <c r="S69" i="5"/>
  <c r="Q69" i="5"/>
  <c r="P69" i="5"/>
  <c r="D69" i="5"/>
  <c r="AM68" i="5"/>
  <c r="AI68" i="5"/>
  <c r="AE68" i="5"/>
  <c r="AC68" i="5"/>
  <c r="AA68" i="5"/>
  <c r="Y68" i="5"/>
  <c r="V68" i="5"/>
  <c r="U68" i="5"/>
  <c r="S68" i="5"/>
  <c r="P68" i="5"/>
  <c r="Q68" i="5" s="1"/>
  <c r="D68" i="5"/>
  <c r="AM67" i="5"/>
  <c r="AK67" i="5"/>
  <c r="AI67" i="5"/>
  <c r="AE67" i="5"/>
  <c r="AC67" i="5"/>
  <c r="AA67" i="5"/>
  <c r="Y67" i="5"/>
  <c r="X67" i="5"/>
  <c r="Z67" i="5" s="1"/>
  <c r="V67" i="5"/>
  <c r="U67" i="5"/>
  <c r="S67" i="5"/>
  <c r="Q67" i="5"/>
  <c r="P67" i="5"/>
  <c r="D67" i="5"/>
  <c r="AM66" i="5"/>
  <c r="AI66" i="5"/>
  <c r="AE66" i="5"/>
  <c r="AC66" i="5"/>
  <c r="AA66" i="5"/>
  <c r="Y66" i="5"/>
  <c r="V66" i="5"/>
  <c r="U66" i="5"/>
  <c r="S66" i="5"/>
  <c r="P66" i="5"/>
  <c r="D66" i="5"/>
  <c r="AM65" i="5"/>
  <c r="AI65" i="5"/>
  <c r="AE65" i="5"/>
  <c r="AC65" i="5"/>
  <c r="AA65" i="5"/>
  <c r="Y65" i="5"/>
  <c r="V65" i="5"/>
  <c r="U65" i="5"/>
  <c r="S65" i="5"/>
  <c r="P65" i="5"/>
  <c r="D65" i="5"/>
  <c r="AM64" i="5"/>
  <c r="AI64" i="5"/>
  <c r="AE64" i="5"/>
  <c r="AC64" i="5"/>
  <c r="AA64" i="5"/>
  <c r="Y64" i="5"/>
  <c r="W64" i="5"/>
  <c r="V64" i="5"/>
  <c r="U64" i="5"/>
  <c r="X64" i="5" s="1"/>
  <c r="S64" i="5"/>
  <c r="Q64" i="5"/>
  <c r="P64" i="5"/>
  <c r="D64" i="5"/>
  <c r="AM63" i="5"/>
  <c r="AL63" i="5"/>
  <c r="AI63" i="5"/>
  <c r="AE63" i="5"/>
  <c r="AC63" i="5"/>
  <c r="AA63" i="5"/>
  <c r="Z63" i="5"/>
  <c r="AK63" i="5" s="1"/>
  <c r="AN63" i="5" s="1"/>
  <c r="Y63" i="5"/>
  <c r="X63" i="5"/>
  <c r="V63" i="5"/>
  <c r="U63" i="5"/>
  <c r="S63" i="5"/>
  <c r="Q63" i="5"/>
  <c r="W63" i="5" s="1"/>
  <c r="P63" i="5"/>
  <c r="D63" i="5"/>
  <c r="AM62" i="5"/>
  <c r="AI62" i="5"/>
  <c r="AE62" i="5"/>
  <c r="AC62" i="5"/>
  <c r="AA62" i="5"/>
  <c r="Y62" i="5"/>
  <c r="V62" i="5"/>
  <c r="U62" i="5"/>
  <c r="S62" i="5"/>
  <c r="Q62" i="5"/>
  <c r="W62" i="5" s="1"/>
  <c r="P62" i="5"/>
  <c r="D62" i="5"/>
  <c r="AM61" i="5"/>
  <c r="AI61" i="5"/>
  <c r="AE61" i="5"/>
  <c r="AC61" i="5"/>
  <c r="AA61" i="5"/>
  <c r="Z61" i="5"/>
  <c r="AK61" i="5" s="1"/>
  <c r="Y61" i="5"/>
  <c r="W61" i="5"/>
  <c r="V61" i="5"/>
  <c r="X61" i="5" s="1"/>
  <c r="AB61" i="5" s="1"/>
  <c r="AD61" i="5" s="1"/>
  <c r="AF61" i="5" s="1"/>
  <c r="U61" i="5"/>
  <c r="S61" i="5"/>
  <c r="Q61" i="5"/>
  <c r="P61" i="5"/>
  <c r="D61" i="5"/>
  <c r="AM60" i="5"/>
  <c r="AI60" i="5"/>
  <c r="AE60" i="5"/>
  <c r="AC60" i="5"/>
  <c r="AA60" i="5"/>
  <c r="Y60" i="5"/>
  <c r="W60" i="5"/>
  <c r="V60" i="5"/>
  <c r="U60" i="5"/>
  <c r="S60" i="5"/>
  <c r="P60" i="5"/>
  <c r="Q60" i="5" s="1"/>
  <c r="D60" i="5"/>
  <c r="AN59" i="5"/>
  <c r="AM59" i="5"/>
  <c r="AI59" i="5"/>
  <c r="AE59" i="5"/>
  <c r="AC59" i="5"/>
  <c r="AA59" i="5"/>
  <c r="Y59" i="5"/>
  <c r="W59" i="5"/>
  <c r="V59" i="5"/>
  <c r="X59" i="5" s="1"/>
  <c r="Z59" i="5" s="1"/>
  <c r="AK59" i="5" s="1"/>
  <c r="AL59" i="5" s="1"/>
  <c r="U59" i="5"/>
  <c r="S59" i="5"/>
  <c r="Q59" i="5"/>
  <c r="P59" i="5"/>
  <c r="D59" i="5"/>
  <c r="AM58" i="5"/>
  <c r="AI58" i="5"/>
  <c r="AE58" i="5"/>
  <c r="AC58" i="5"/>
  <c r="AB58" i="5"/>
  <c r="AD58" i="5" s="1"/>
  <c r="AF58" i="5" s="1"/>
  <c r="AA58" i="5"/>
  <c r="Y58" i="5"/>
  <c r="W58" i="5"/>
  <c r="V58" i="5"/>
  <c r="U58" i="5"/>
  <c r="S58" i="5"/>
  <c r="Q58" i="5"/>
  <c r="X58" i="5" s="1"/>
  <c r="P58" i="5"/>
  <c r="D58" i="5"/>
  <c r="AM57" i="5"/>
  <c r="AI57" i="5"/>
  <c r="AE57" i="5"/>
  <c r="AC57" i="5"/>
  <c r="AA57" i="5"/>
  <c r="Y57" i="5"/>
  <c r="V57" i="5"/>
  <c r="U57" i="5"/>
  <c r="S57" i="5"/>
  <c r="P57" i="5"/>
  <c r="D57" i="5"/>
  <c r="AM56" i="5"/>
  <c r="AI56" i="5"/>
  <c r="AE56" i="5"/>
  <c r="AC56" i="5"/>
  <c r="AA56" i="5"/>
  <c r="Y56" i="5"/>
  <c r="V56" i="5"/>
  <c r="U56" i="5"/>
  <c r="S56" i="5"/>
  <c r="Q56" i="5"/>
  <c r="X56" i="5" s="1"/>
  <c r="Z56" i="5" s="1"/>
  <c r="AK56" i="5" s="1"/>
  <c r="P56" i="5"/>
  <c r="D56" i="5"/>
  <c r="AM55" i="5"/>
  <c r="AI55" i="5"/>
  <c r="AE55" i="5"/>
  <c r="AC55" i="5"/>
  <c r="AA55" i="5"/>
  <c r="Y55" i="5"/>
  <c r="V55" i="5"/>
  <c r="U55" i="5"/>
  <c r="S55" i="5"/>
  <c r="Q55" i="5"/>
  <c r="W55" i="5" s="1"/>
  <c r="P55" i="5"/>
  <c r="D55" i="5"/>
  <c r="AM54" i="5"/>
  <c r="AI54" i="5"/>
  <c r="AE54" i="5"/>
  <c r="AC54" i="5"/>
  <c r="AA54" i="5"/>
  <c r="Y54" i="5"/>
  <c r="V54" i="5"/>
  <c r="U54" i="5"/>
  <c r="S54" i="5"/>
  <c r="Q54" i="5"/>
  <c r="W54" i="5" s="1"/>
  <c r="P54" i="5"/>
  <c r="D54" i="5"/>
  <c r="AM53" i="5"/>
  <c r="AI53" i="5"/>
  <c r="AE53" i="5"/>
  <c r="AC53" i="5"/>
  <c r="AA53" i="5"/>
  <c r="Y53" i="5"/>
  <c r="W53" i="5"/>
  <c r="V53" i="5"/>
  <c r="X53" i="5" s="1"/>
  <c r="U53" i="5"/>
  <c r="S53" i="5"/>
  <c r="Q53" i="5"/>
  <c r="P53" i="5"/>
  <c r="D53" i="5"/>
  <c r="AM52" i="5"/>
  <c r="AI52" i="5"/>
  <c r="AE52" i="5"/>
  <c r="AC52" i="5"/>
  <c r="AA52" i="5"/>
  <c r="Y52" i="5"/>
  <c r="V52" i="5"/>
  <c r="U52" i="5"/>
  <c r="S52" i="5"/>
  <c r="P52" i="5"/>
  <c r="Q52" i="5" s="1"/>
  <c r="D52" i="5"/>
  <c r="AM51" i="5"/>
  <c r="AI51" i="5"/>
  <c r="AE51" i="5"/>
  <c r="AC51" i="5"/>
  <c r="AA51" i="5"/>
  <c r="Y51" i="5"/>
  <c r="V51" i="5"/>
  <c r="U51" i="5"/>
  <c r="S51" i="5"/>
  <c r="Q51" i="5"/>
  <c r="W51" i="5" s="1"/>
  <c r="P51" i="5"/>
  <c r="D51" i="5"/>
  <c r="AM50" i="5"/>
  <c r="AI50" i="5"/>
  <c r="AE50" i="5"/>
  <c r="AC50" i="5"/>
  <c r="AA50" i="5"/>
  <c r="Y50" i="5"/>
  <c r="V50" i="5"/>
  <c r="U50" i="5"/>
  <c r="S50" i="5"/>
  <c r="P50" i="5"/>
  <c r="D50" i="5"/>
  <c r="AM49" i="5"/>
  <c r="AI49" i="5"/>
  <c r="AE49" i="5"/>
  <c r="AC49" i="5"/>
  <c r="AA49" i="5"/>
  <c r="Y49" i="5"/>
  <c r="V49" i="5"/>
  <c r="U49" i="5"/>
  <c r="S49" i="5"/>
  <c r="P49" i="5"/>
  <c r="D49" i="5"/>
  <c r="AM48" i="5"/>
  <c r="AI48" i="5"/>
  <c r="AE48" i="5"/>
  <c r="AC48" i="5"/>
  <c r="AA48" i="5"/>
  <c r="Y48" i="5"/>
  <c r="W48" i="5"/>
  <c r="V48" i="5"/>
  <c r="U48" i="5"/>
  <c r="S48" i="5"/>
  <c r="Q48" i="5"/>
  <c r="P48" i="5"/>
  <c r="D48" i="5"/>
  <c r="AM47" i="5"/>
  <c r="AI47" i="5"/>
  <c r="AE47" i="5"/>
  <c r="AC47" i="5"/>
  <c r="AA47" i="5"/>
  <c r="Z47" i="5"/>
  <c r="AK47" i="5" s="1"/>
  <c r="Y47" i="5"/>
  <c r="X47" i="5"/>
  <c r="W47" i="5"/>
  <c r="V47" i="5"/>
  <c r="U47" i="5"/>
  <c r="S47" i="5"/>
  <c r="Q47" i="5"/>
  <c r="P47" i="5"/>
  <c r="D47" i="5"/>
  <c r="AM46" i="5"/>
  <c r="AL46" i="5"/>
  <c r="AI46" i="5"/>
  <c r="AE46" i="5"/>
  <c r="AD46" i="5"/>
  <c r="AF46" i="5" s="1"/>
  <c r="AC46" i="5"/>
  <c r="AA46" i="5"/>
  <c r="AB46" i="5" s="1"/>
  <c r="Z46" i="5"/>
  <c r="AK46" i="5" s="1"/>
  <c r="AN46" i="5" s="1"/>
  <c r="Y46" i="5"/>
  <c r="V46" i="5"/>
  <c r="X46" i="5" s="1"/>
  <c r="U46" i="5"/>
  <c r="S46" i="5"/>
  <c r="Q46" i="5"/>
  <c r="W46" i="5" s="1"/>
  <c r="P46" i="5"/>
  <c r="D46" i="5"/>
  <c r="AM45" i="5"/>
  <c r="AI45" i="5"/>
  <c r="AE45" i="5"/>
  <c r="AC45" i="5"/>
  <c r="AA45" i="5"/>
  <c r="Y45" i="5"/>
  <c r="W45" i="5"/>
  <c r="V45" i="5"/>
  <c r="U45" i="5"/>
  <c r="S45" i="5"/>
  <c r="Q45" i="5"/>
  <c r="P45" i="5"/>
  <c r="D45" i="5"/>
  <c r="AM44" i="5"/>
  <c r="AI44" i="5"/>
  <c r="AE44" i="5"/>
  <c r="AC44" i="5"/>
  <c r="AA44" i="5"/>
  <c r="Y44" i="5"/>
  <c r="W44" i="5"/>
  <c r="V44" i="5"/>
  <c r="U44" i="5"/>
  <c r="S44" i="5"/>
  <c r="P44" i="5"/>
  <c r="Q44" i="5" s="1"/>
  <c r="D44" i="5"/>
  <c r="AM43" i="5"/>
  <c r="AI43" i="5"/>
  <c r="AE43" i="5"/>
  <c r="AC43" i="5"/>
  <c r="AA43" i="5"/>
  <c r="Y43" i="5"/>
  <c r="V43" i="5"/>
  <c r="U43" i="5"/>
  <c r="S43" i="5"/>
  <c r="Q43" i="5"/>
  <c r="X43" i="5" s="1"/>
  <c r="Z43" i="5" s="1"/>
  <c r="AK43" i="5" s="1"/>
  <c r="P43" i="5"/>
  <c r="D43" i="5"/>
  <c r="AM42" i="5"/>
  <c r="AI42" i="5"/>
  <c r="AE42" i="5"/>
  <c r="AC42" i="5"/>
  <c r="AA42" i="5"/>
  <c r="Y42" i="5"/>
  <c r="W42" i="5"/>
  <c r="V42" i="5"/>
  <c r="U42" i="5"/>
  <c r="X42" i="5" s="1"/>
  <c r="Z42" i="5" s="1"/>
  <c r="AK42" i="5" s="1"/>
  <c r="AN42" i="5" s="1"/>
  <c r="S42" i="5"/>
  <c r="Q42" i="5"/>
  <c r="P42" i="5"/>
  <c r="D42" i="5"/>
  <c r="AM41" i="5"/>
  <c r="AI41" i="5"/>
  <c r="AE41" i="5"/>
  <c r="AC41" i="5"/>
  <c r="AA41" i="5"/>
  <c r="Y41" i="5"/>
  <c r="V41" i="5"/>
  <c r="U41" i="5"/>
  <c r="S41" i="5"/>
  <c r="Q41" i="5"/>
  <c r="X41" i="5" s="1"/>
  <c r="Z41" i="5" s="1"/>
  <c r="AK41" i="5" s="1"/>
  <c r="P41" i="5"/>
  <c r="D41" i="5"/>
  <c r="AM40" i="5"/>
  <c r="AI40" i="5"/>
  <c r="AE40" i="5"/>
  <c r="AC40" i="5"/>
  <c r="AA40" i="5"/>
  <c r="Y40" i="5"/>
  <c r="V40" i="5"/>
  <c r="U40" i="5"/>
  <c r="S40" i="5"/>
  <c r="Q40" i="5"/>
  <c r="P40" i="5"/>
  <c r="D40" i="5"/>
  <c r="AM39" i="5"/>
  <c r="AI39" i="5"/>
  <c r="AE39" i="5"/>
  <c r="AC39" i="5"/>
  <c r="AA39" i="5"/>
  <c r="Y39" i="5"/>
  <c r="W39" i="5"/>
  <c r="V39" i="5"/>
  <c r="U39" i="5"/>
  <c r="S39" i="5"/>
  <c r="Q39" i="5"/>
  <c r="X39" i="5" s="1"/>
  <c r="P39" i="5"/>
  <c r="D39" i="5"/>
  <c r="AM38" i="5"/>
  <c r="AI38" i="5"/>
  <c r="AE38" i="5"/>
  <c r="AC38" i="5"/>
  <c r="AA38" i="5"/>
  <c r="Y38" i="5"/>
  <c r="V38" i="5"/>
  <c r="U38" i="5"/>
  <c r="S38" i="5"/>
  <c r="Q38" i="5"/>
  <c r="W38" i="5" s="1"/>
  <c r="P38" i="5"/>
  <c r="D38" i="5"/>
  <c r="AM37" i="5"/>
  <c r="AI37" i="5"/>
  <c r="AE37" i="5"/>
  <c r="AC37" i="5"/>
  <c r="AB37" i="5"/>
  <c r="AD37" i="5" s="1"/>
  <c r="AF37" i="5" s="1"/>
  <c r="AA37" i="5"/>
  <c r="Z37" i="5"/>
  <c r="AK37" i="5" s="1"/>
  <c r="AL37" i="5" s="1"/>
  <c r="Y37" i="5"/>
  <c r="V37" i="5"/>
  <c r="X37" i="5" s="1"/>
  <c r="U37" i="5"/>
  <c r="S37" i="5"/>
  <c r="Q37" i="5"/>
  <c r="W37" i="5" s="1"/>
  <c r="P37" i="5"/>
  <c r="D37" i="5"/>
  <c r="AM36" i="5"/>
  <c r="AI36" i="5"/>
  <c r="AE36" i="5"/>
  <c r="AC36" i="5"/>
  <c r="AA36" i="5"/>
  <c r="Y36" i="5"/>
  <c r="W36" i="5"/>
  <c r="V36" i="5"/>
  <c r="U36" i="5"/>
  <c r="S36" i="5"/>
  <c r="P36" i="5"/>
  <c r="Q36" i="5" s="1"/>
  <c r="D36" i="5"/>
  <c r="AM35" i="5"/>
  <c r="AI35" i="5"/>
  <c r="AE35" i="5"/>
  <c r="AC35" i="5"/>
  <c r="AA35" i="5"/>
  <c r="AB35" i="5" s="1"/>
  <c r="AD35" i="5" s="1"/>
  <c r="AF35" i="5" s="1"/>
  <c r="Y35" i="5"/>
  <c r="X35" i="5"/>
  <c r="Z35" i="5" s="1"/>
  <c r="AK35" i="5" s="1"/>
  <c r="AN35" i="5" s="1"/>
  <c r="V35" i="5"/>
  <c r="U35" i="5"/>
  <c r="S35" i="5"/>
  <c r="P35" i="5"/>
  <c r="Q35" i="5" s="1"/>
  <c r="D35" i="5"/>
  <c r="AM34" i="5"/>
  <c r="AI34" i="5"/>
  <c r="AE34" i="5"/>
  <c r="AC34" i="5"/>
  <c r="AA34" i="5"/>
  <c r="Y34" i="5"/>
  <c r="X34" i="5"/>
  <c r="Z34" i="5" s="1"/>
  <c r="AK34" i="5" s="1"/>
  <c r="V34" i="5"/>
  <c r="U34" i="5"/>
  <c r="S34" i="5"/>
  <c r="Q34" i="5"/>
  <c r="P34" i="5"/>
  <c r="W34" i="5" s="1"/>
  <c r="D34" i="5"/>
  <c r="AM33" i="5"/>
  <c r="AI33" i="5"/>
  <c r="AE33" i="5"/>
  <c r="AC33" i="5"/>
  <c r="AA33" i="5"/>
  <c r="Y33" i="5"/>
  <c r="V33" i="5"/>
  <c r="U33" i="5"/>
  <c r="S33" i="5"/>
  <c r="P33" i="5"/>
  <c r="D33" i="5"/>
  <c r="AM32" i="5"/>
  <c r="AI32" i="5"/>
  <c r="AE32" i="5"/>
  <c r="AC32" i="5"/>
  <c r="AA32" i="5"/>
  <c r="Y32" i="5"/>
  <c r="V32" i="5"/>
  <c r="U32" i="5"/>
  <c r="S32" i="5"/>
  <c r="Q32" i="5"/>
  <c r="X32" i="5" s="1"/>
  <c r="Z32" i="5" s="1"/>
  <c r="AK32" i="5" s="1"/>
  <c r="P32" i="5"/>
  <c r="D32" i="5"/>
  <c r="AM31" i="5"/>
  <c r="AI31" i="5"/>
  <c r="AE31" i="5"/>
  <c r="AC31" i="5"/>
  <c r="AA31" i="5"/>
  <c r="AB31" i="5" s="1"/>
  <c r="AD31" i="5" s="1"/>
  <c r="AF31" i="5" s="1"/>
  <c r="Y31" i="5"/>
  <c r="X31" i="5"/>
  <c r="Z31" i="5" s="1"/>
  <c r="AK31" i="5" s="1"/>
  <c r="W31" i="5"/>
  <c r="V31" i="5"/>
  <c r="U31" i="5"/>
  <c r="S31" i="5"/>
  <c r="Q31" i="5"/>
  <c r="P31" i="5"/>
  <c r="D31" i="5"/>
  <c r="AM30" i="5"/>
  <c r="AI30" i="5"/>
  <c r="AE30" i="5"/>
  <c r="AC30" i="5"/>
  <c r="AA30" i="5"/>
  <c r="Y30" i="5"/>
  <c r="V30" i="5"/>
  <c r="X30" i="5" s="1"/>
  <c r="Z30" i="5" s="1"/>
  <c r="AK30" i="5" s="1"/>
  <c r="U30" i="5"/>
  <c r="S30" i="5"/>
  <c r="Q30" i="5"/>
  <c r="W30" i="5" s="1"/>
  <c r="P30" i="5"/>
  <c r="D30" i="5"/>
  <c r="AM29" i="5"/>
  <c r="AI29" i="5"/>
  <c r="AE29" i="5"/>
  <c r="AC29" i="5"/>
  <c r="AA29" i="5"/>
  <c r="Y29" i="5"/>
  <c r="V29" i="5"/>
  <c r="U29" i="5"/>
  <c r="S29" i="5"/>
  <c r="Q29" i="5"/>
  <c r="W29" i="5" s="1"/>
  <c r="P29" i="5"/>
  <c r="D29" i="5"/>
  <c r="AM28" i="5"/>
  <c r="AI28" i="5"/>
  <c r="AE28" i="5"/>
  <c r="AC28" i="5"/>
  <c r="AA28" i="5"/>
  <c r="Y28" i="5"/>
  <c r="V28" i="5"/>
  <c r="U28" i="5"/>
  <c r="S28" i="5"/>
  <c r="P28" i="5"/>
  <c r="D28" i="5"/>
  <c r="AN27" i="5"/>
  <c r="AM27" i="5"/>
  <c r="AL27" i="5"/>
  <c r="AI27" i="5"/>
  <c r="AE27" i="5"/>
  <c r="AC27" i="5"/>
  <c r="AB27" i="5"/>
  <c r="AD27" i="5" s="1"/>
  <c r="AF27" i="5" s="1"/>
  <c r="AA27" i="5"/>
  <c r="Y27" i="5"/>
  <c r="X27" i="5"/>
  <c r="Z27" i="5" s="1"/>
  <c r="AK27" i="5" s="1"/>
  <c r="V27" i="5"/>
  <c r="U27" i="5"/>
  <c r="S27" i="5"/>
  <c r="Q27" i="5"/>
  <c r="P27" i="5"/>
  <c r="W27" i="5" s="1"/>
  <c r="D27" i="5"/>
  <c r="AM26" i="5"/>
  <c r="AI26" i="5"/>
  <c r="AE26" i="5"/>
  <c r="AC26" i="5"/>
  <c r="AA26" i="5"/>
  <c r="Y26" i="5"/>
  <c r="V26" i="5"/>
  <c r="X26" i="5" s="1"/>
  <c r="Z26" i="5" s="1"/>
  <c r="AK26" i="5" s="1"/>
  <c r="AL26" i="5" s="1"/>
  <c r="U26" i="5"/>
  <c r="S26" i="5"/>
  <c r="Q26" i="5"/>
  <c r="W26" i="5" s="1"/>
  <c r="P26" i="5"/>
  <c r="D26" i="5"/>
  <c r="AM25" i="5"/>
  <c r="AI25" i="5"/>
  <c r="AE25" i="5"/>
  <c r="AC25" i="5"/>
  <c r="AA25" i="5"/>
  <c r="Y25" i="5"/>
  <c r="X25" i="5"/>
  <c r="W25" i="5"/>
  <c r="V25" i="5"/>
  <c r="U25" i="5"/>
  <c r="S25" i="5"/>
  <c r="Q25" i="5"/>
  <c r="P25" i="5"/>
  <c r="AB25" i="5" s="1"/>
  <c r="AD25" i="5" s="1"/>
  <c r="AF25" i="5" s="1"/>
  <c r="D25" i="5"/>
  <c r="AM24" i="5"/>
  <c r="AI24" i="5"/>
  <c r="AE24" i="5"/>
  <c r="AC24" i="5"/>
  <c r="AA24" i="5"/>
  <c r="Y24" i="5"/>
  <c r="V24" i="5"/>
  <c r="U24" i="5"/>
  <c r="S24" i="5"/>
  <c r="P24" i="5"/>
  <c r="D24" i="5"/>
  <c r="AM23" i="5"/>
  <c r="AI23" i="5"/>
  <c r="AE23" i="5"/>
  <c r="AC23" i="5"/>
  <c r="AA23" i="5"/>
  <c r="Y23" i="5"/>
  <c r="W23" i="5"/>
  <c r="V23" i="5"/>
  <c r="U23" i="5"/>
  <c r="X23" i="5" s="1"/>
  <c r="Z23" i="5" s="1"/>
  <c r="AK23" i="5" s="1"/>
  <c r="S23" i="5"/>
  <c r="Q23" i="5"/>
  <c r="P23" i="5"/>
  <c r="D23" i="5"/>
  <c r="AM22" i="5"/>
  <c r="AI22" i="5"/>
  <c r="AE22" i="5"/>
  <c r="AC22" i="5"/>
  <c r="AA22" i="5"/>
  <c r="Y22" i="5"/>
  <c r="V22" i="5"/>
  <c r="X22" i="5" s="1"/>
  <c r="Z22" i="5" s="1"/>
  <c r="AK22" i="5" s="1"/>
  <c r="AN22" i="5" s="1"/>
  <c r="U22" i="5"/>
  <c r="S22" i="5"/>
  <c r="Q22" i="5"/>
  <c r="W22" i="5" s="1"/>
  <c r="P22" i="5"/>
  <c r="D22" i="5"/>
  <c r="AM21" i="5"/>
  <c r="AI21" i="5"/>
  <c r="AE21" i="5"/>
  <c r="AC21" i="5"/>
  <c r="AA21" i="5"/>
  <c r="Y21" i="5"/>
  <c r="W21" i="5"/>
  <c r="V21" i="5"/>
  <c r="U21" i="5"/>
  <c r="S21" i="5"/>
  <c r="Q21" i="5"/>
  <c r="P21" i="5"/>
  <c r="D21" i="5"/>
  <c r="AM20" i="5"/>
  <c r="AI20" i="5"/>
  <c r="AE20" i="5"/>
  <c r="AC20" i="5"/>
  <c r="AA20" i="5"/>
  <c r="Y20" i="5"/>
  <c r="V20" i="5"/>
  <c r="U20" i="5"/>
  <c r="S20" i="5"/>
  <c r="P20" i="5"/>
  <c r="D20" i="5"/>
  <c r="AM19" i="5"/>
  <c r="AI19" i="5"/>
  <c r="AE19" i="5"/>
  <c r="AC19" i="5"/>
  <c r="AA19" i="5"/>
  <c r="Y19" i="5"/>
  <c r="V19" i="5"/>
  <c r="U19" i="5"/>
  <c r="S19" i="5"/>
  <c r="P19" i="5"/>
  <c r="D19" i="5"/>
  <c r="AM18" i="5"/>
  <c r="AI18" i="5"/>
  <c r="AE18" i="5"/>
  <c r="AC18" i="5"/>
  <c r="AA18" i="5"/>
  <c r="Y18" i="5"/>
  <c r="V18" i="5"/>
  <c r="U18" i="5"/>
  <c r="S18" i="5"/>
  <c r="Q18" i="5"/>
  <c r="P18" i="5"/>
  <c r="D18" i="5"/>
  <c r="AM17" i="5"/>
  <c r="AI17" i="5"/>
  <c r="AE17" i="5"/>
  <c r="AC17" i="5"/>
  <c r="AA17" i="5"/>
  <c r="Y17" i="5"/>
  <c r="V17" i="5"/>
  <c r="U17" i="5"/>
  <c r="S17" i="5"/>
  <c r="Q17" i="5"/>
  <c r="P17" i="5"/>
  <c r="D17" i="5"/>
  <c r="AM16" i="5"/>
  <c r="AI16" i="5"/>
  <c r="AE16" i="5"/>
  <c r="AC16" i="5"/>
  <c r="AA16" i="5"/>
  <c r="Y16" i="5"/>
  <c r="X16" i="5"/>
  <c r="Z16" i="5" s="1"/>
  <c r="V16" i="5"/>
  <c r="U16" i="5"/>
  <c r="S16" i="5"/>
  <c r="Q16" i="5"/>
  <c r="P16" i="5"/>
  <c r="D16" i="5"/>
  <c r="AM15" i="5"/>
  <c r="AI15" i="5"/>
  <c r="AE15" i="5"/>
  <c r="AC15" i="5"/>
  <c r="AA15" i="5"/>
  <c r="Y15" i="5"/>
  <c r="V15" i="5"/>
  <c r="U15" i="5"/>
  <c r="S15" i="5"/>
  <c r="Q15" i="5"/>
  <c r="P15" i="5"/>
  <c r="D15" i="5"/>
  <c r="AP4" i="5"/>
  <c r="AO4" i="5"/>
  <c r="AH4" i="5"/>
  <c r="AG4" i="5"/>
  <c r="T4" i="5"/>
  <c r="S4" i="5"/>
  <c r="R4" i="5"/>
  <c r="O4" i="5"/>
  <c r="N4" i="5"/>
  <c r="M4" i="5"/>
  <c r="L4" i="5"/>
  <c r="K4" i="5"/>
  <c r="J4" i="5"/>
  <c r="I4" i="5"/>
  <c r="H4" i="5"/>
  <c r="G4" i="5"/>
  <c r="F4" i="5"/>
  <c r="E4" i="5"/>
  <c r="BG420" i="4"/>
  <c r="BD420" i="4"/>
  <c r="BA420" i="4"/>
  <c r="AY420" i="4"/>
  <c r="AW420" i="4"/>
  <c r="AT420" i="4"/>
  <c r="AS420" i="4"/>
  <c r="AN420" i="4"/>
  <c r="O420" i="4"/>
  <c r="R420" i="4" s="1"/>
  <c r="E420" i="4"/>
  <c r="BG419" i="4"/>
  <c r="BD419" i="4"/>
  <c r="BA419" i="4"/>
  <c r="AY419" i="4"/>
  <c r="AW419" i="4"/>
  <c r="AT419" i="4"/>
  <c r="AS419" i="4"/>
  <c r="AN419" i="4"/>
  <c r="R419" i="4"/>
  <c r="O419" i="4"/>
  <c r="E419" i="4"/>
  <c r="BG418" i="4"/>
  <c r="BD418" i="4"/>
  <c r="BA418" i="4"/>
  <c r="AY418" i="4"/>
  <c r="AW418" i="4"/>
  <c r="AT418" i="4"/>
  <c r="AS418" i="4"/>
  <c r="AN418" i="4"/>
  <c r="O418" i="4"/>
  <c r="R418" i="4" s="1"/>
  <c r="E418" i="4"/>
  <c r="BG417" i="4"/>
  <c r="BD417" i="4"/>
  <c r="BA417" i="4"/>
  <c r="AY417" i="4"/>
  <c r="AW417" i="4"/>
  <c r="AT417" i="4"/>
  <c r="AS417" i="4"/>
  <c r="AN417" i="4"/>
  <c r="R417" i="4"/>
  <c r="O417" i="4"/>
  <c r="E417" i="4"/>
  <c r="BG416" i="4"/>
  <c r="BD416" i="4"/>
  <c r="BA416" i="4"/>
  <c r="AY416" i="4"/>
  <c r="AW416" i="4"/>
  <c r="AT416" i="4"/>
  <c r="AS416" i="4"/>
  <c r="AN416" i="4"/>
  <c r="O416" i="4"/>
  <c r="E416" i="4"/>
  <c r="BG415" i="4"/>
  <c r="BD415" i="4"/>
  <c r="BA415" i="4"/>
  <c r="AY415" i="4"/>
  <c r="AW415" i="4"/>
  <c r="AT415" i="4"/>
  <c r="AS415" i="4"/>
  <c r="AN415" i="4"/>
  <c r="O415" i="4"/>
  <c r="E415" i="4"/>
  <c r="BG414" i="4"/>
  <c r="BD414" i="4"/>
  <c r="BA414" i="4"/>
  <c r="AY414" i="4"/>
  <c r="AW414" i="4"/>
  <c r="AT414" i="4"/>
  <c r="AS414" i="4"/>
  <c r="AN414" i="4"/>
  <c r="R414" i="4"/>
  <c r="O414" i="4"/>
  <c r="F130" i="14" s="1"/>
  <c r="E414" i="4"/>
  <c r="BG413" i="4"/>
  <c r="BD413" i="4"/>
  <c r="BA413" i="4"/>
  <c r="AY413" i="4"/>
  <c r="AW413" i="4"/>
  <c r="AT413" i="4"/>
  <c r="AS413" i="4"/>
  <c r="AN413" i="4"/>
  <c r="O413" i="4"/>
  <c r="E413" i="4"/>
  <c r="BG412" i="4"/>
  <c r="BD412" i="4"/>
  <c r="BA412" i="4"/>
  <c r="AY412" i="4"/>
  <c r="AW412" i="4"/>
  <c r="AT412" i="4"/>
  <c r="AS412" i="4"/>
  <c r="AN412" i="4"/>
  <c r="O412" i="4"/>
  <c r="R412" i="4" s="1"/>
  <c r="E412" i="4"/>
  <c r="BG411" i="4"/>
  <c r="BD411" i="4"/>
  <c r="BA411" i="4"/>
  <c r="AY411" i="4"/>
  <c r="AW411" i="4"/>
  <c r="AT411" i="4"/>
  <c r="AS411" i="4"/>
  <c r="AN411" i="4"/>
  <c r="R411" i="4"/>
  <c r="O411" i="4"/>
  <c r="E411" i="4"/>
  <c r="BG410" i="4"/>
  <c r="BD410" i="4"/>
  <c r="BA410" i="4"/>
  <c r="AY410" i="4"/>
  <c r="AW410" i="4"/>
  <c r="AT410" i="4"/>
  <c r="AS410" i="4"/>
  <c r="AN410" i="4"/>
  <c r="O410" i="4"/>
  <c r="R410" i="4" s="1"/>
  <c r="E410" i="4"/>
  <c r="BG409" i="4"/>
  <c r="BD409" i="4"/>
  <c r="BA409" i="4"/>
  <c r="AY409" i="4"/>
  <c r="AW409" i="4"/>
  <c r="AT409" i="4"/>
  <c r="AS409" i="4"/>
  <c r="AN409" i="4"/>
  <c r="R409" i="4"/>
  <c r="O409" i="4"/>
  <c r="E409" i="4"/>
  <c r="BG408" i="4"/>
  <c r="BD408" i="4"/>
  <c r="BA408" i="4"/>
  <c r="AY408" i="4"/>
  <c r="AW408" i="4"/>
  <c r="AU408" i="4"/>
  <c r="AT408" i="4"/>
  <c r="AS408" i="4"/>
  <c r="AM408" i="4"/>
  <c r="AL408" i="4"/>
  <c r="O408" i="4"/>
  <c r="E408" i="4"/>
  <c r="BG407" i="4"/>
  <c r="BD407" i="4"/>
  <c r="BA407" i="4"/>
  <c r="AY407" i="4"/>
  <c r="AW407" i="4"/>
  <c r="AU407" i="4"/>
  <c r="AT407" i="4"/>
  <c r="AS407" i="4"/>
  <c r="AM407" i="4"/>
  <c r="AL407" i="4"/>
  <c r="O407" i="4"/>
  <c r="E407" i="4"/>
  <c r="BG406" i="4"/>
  <c r="BD406" i="4"/>
  <c r="BA406" i="4"/>
  <c r="AY406" i="4"/>
  <c r="AW406" i="4"/>
  <c r="AT406" i="4"/>
  <c r="AS406" i="4"/>
  <c r="AN406" i="4"/>
  <c r="R406" i="4"/>
  <c r="O406" i="4"/>
  <c r="E406" i="4"/>
  <c r="BG405" i="4"/>
  <c r="BD405" i="4"/>
  <c r="BA405" i="4"/>
  <c r="AY405" i="4"/>
  <c r="AW405" i="4"/>
  <c r="AT405" i="4"/>
  <c r="AS405" i="4"/>
  <c r="AN405" i="4"/>
  <c r="R405" i="4"/>
  <c r="O405" i="4"/>
  <c r="E405" i="4"/>
  <c r="BG404" i="4"/>
  <c r="BD404" i="4"/>
  <c r="BA404" i="4"/>
  <c r="AY404" i="4"/>
  <c r="AW404" i="4"/>
  <c r="AT404" i="4"/>
  <c r="AS404" i="4"/>
  <c r="AN404" i="4"/>
  <c r="O404" i="4"/>
  <c r="R404" i="4" s="1"/>
  <c r="E404" i="4"/>
  <c r="BG403" i="4"/>
  <c r="BD403" i="4"/>
  <c r="BA403" i="4"/>
  <c r="AY403" i="4"/>
  <c r="AW403" i="4"/>
  <c r="AT403" i="4"/>
  <c r="AS403" i="4"/>
  <c r="AN403" i="4"/>
  <c r="R403" i="4"/>
  <c r="O403" i="4"/>
  <c r="E403" i="4"/>
  <c r="BG402" i="4"/>
  <c r="BD402" i="4"/>
  <c r="BA402" i="4"/>
  <c r="AY402" i="4"/>
  <c r="AW402" i="4"/>
  <c r="AT402" i="4"/>
  <c r="AS402" i="4"/>
  <c r="AN402" i="4"/>
  <c r="O402" i="4"/>
  <c r="R402" i="4" s="1"/>
  <c r="E402" i="4"/>
  <c r="BG401" i="4"/>
  <c r="BD401" i="4"/>
  <c r="BA401" i="4"/>
  <c r="AY401" i="4"/>
  <c r="AW401" i="4"/>
  <c r="AT401" i="4"/>
  <c r="AS401" i="4"/>
  <c r="AN401" i="4"/>
  <c r="R401" i="4"/>
  <c r="O401" i="4"/>
  <c r="E401" i="4"/>
  <c r="BG400" i="4"/>
  <c r="BD400" i="4"/>
  <c r="BA400" i="4"/>
  <c r="AY400" i="4"/>
  <c r="AW400" i="4"/>
  <c r="AT400" i="4"/>
  <c r="AS400" i="4"/>
  <c r="AN400" i="4"/>
  <c r="O400" i="4"/>
  <c r="E400" i="4"/>
  <c r="BG399" i="4"/>
  <c r="BD399" i="4"/>
  <c r="BA399" i="4"/>
  <c r="AY399" i="4"/>
  <c r="AW399" i="4"/>
  <c r="AT399" i="4"/>
  <c r="AS399" i="4"/>
  <c r="AN399" i="4"/>
  <c r="O399" i="4"/>
  <c r="E399" i="4"/>
  <c r="BG398" i="4"/>
  <c r="BD398" i="4"/>
  <c r="BA398" i="4"/>
  <c r="AY398" i="4"/>
  <c r="AW398" i="4"/>
  <c r="AT398" i="4"/>
  <c r="AS398" i="4"/>
  <c r="AN398" i="4"/>
  <c r="R398" i="4"/>
  <c r="O398" i="4"/>
  <c r="E398" i="4"/>
  <c r="BG397" i="4"/>
  <c r="BD397" i="4"/>
  <c r="BA397" i="4"/>
  <c r="AY397" i="4"/>
  <c r="AW397" i="4"/>
  <c r="AT397" i="4"/>
  <c r="AS397" i="4"/>
  <c r="AN397" i="4"/>
  <c r="O397" i="4"/>
  <c r="E397" i="4"/>
  <c r="BG396" i="4"/>
  <c r="BD396" i="4"/>
  <c r="BA396" i="4"/>
  <c r="AY396" i="4"/>
  <c r="AW396" i="4"/>
  <c r="AT396" i="4"/>
  <c r="AS396" i="4"/>
  <c r="AN396" i="4"/>
  <c r="O396" i="4"/>
  <c r="R396" i="4" s="1"/>
  <c r="E396" i="4"/>
  <c r="BG395" i="4"/>
  <c r="BD395" i="4"/>
  <c r="BA395" i="4"/>
  <c r="AY395" i="4"/>
  <c r="AW395" i="4"/>
  <c r="AT395" i="4"/>
  <c r="AS395" i="4"/>
  <c r="AN395" i="4"/>
  <c r="R395" i="4"/>
  <c r="O395" i="4"/>
  <c r="E395" i="4"/>
  <c r="BG394" i="4"/>
  <c r="BD394" i="4"/>
  <c r="BA394" i="4"/>
  <c r="AY394" i="4"/>
  <c r="AW394" i="4"/>
  <c r="AU394" i="4"/>
  <c r="AT394" i="4"/>
  <c r="AS394" i="4"/>
  <c r="AM394" i="4"/>
  <c r="AL394" i="4"/>
  <c r="R394" i="4"/>
  <c r="O394" i="4"/>
  <c r="F124" i="14" s="1"/>
  <c r="E394" i="4"/>
  <c r="BG393" i="4"/>
  <c r="BD393" i="4"/>
  <c r="BA393" i="4"/>
  <c r="AY393" i="4"/>
  <c r="AW393" i="4"/>
  <c r="AU393" i="4"/>
  <c r="AT393" i="4"/>
  <c r="AS393" i="4"/>
  <c r="AM393" i="4"/>
  <c r="AL393" i="4"/>
  <c r="R393" i="4"/>
  <c r="O393" i="4"/>
  <c r="F123" i="14" s="1"/>
  <c r="E393" i="4"/>
  <c r="BG392" i="4"/>
  <c r="BD392" i="4"/>
  <c r="BA392" i="4"/>
  <c r="AY392" i="4"/>
  <c r="AW392" i="4"/>
  <c r="AT392" i="4"/>
  <c r="AS392" i="4"/>
  <c r="AN392" i="4"/>
  <c r="O392" i="4"/>
  <c r="E392" i="4"/>
  <c r="BG391" i="4"/>
  <c r="BD391" i="4"/>
  <c r="BA391" i="4"/>
  <c r="AY391" i="4"/>
  <c r="AW391" i="4"/>
  <c r="AT391" i="4"/>
  <c r="AS391" i="4"/>
  <c r="AN391" i="4"/>
  <c r="R391" i="4"/>
  <c r="O391" i="4"/>
  <c r="E391" i="4"/>
  <c r="BG390" i="4"/>
  <c r="BD390" i="4"/>
  <c r="BA390" i="4"/>
  <c r="AY390" i="4"/>
  <c r="AW390" i="4"/>
  <c r="AT390" i="4"/>
  <c r="AS390" i="4"/>
  <c r="AN390" i="4"/>
  <c r="R390" i="4"/>
  <c r="O390" i="4"/>
  <c r="E390" i="4"/>
  <c r="BG389" i="4"/>
  <c r="BD389" i="4"/>
  <c r="BA389" i="4"/>
  <c r="AY389" i="4"/>
  <c r="AW389" i="4"/>
  <c r="AT389" i="4"/>
  <c r="AS389" i="4"/>
  <c r="AN389" i="4"/>
  <c r="O389" i="4"/>
  <c r="E389" i="4"/>
  <c r="BG388" i="4"/>
  <c r="BD388" i="4"/>
  <c r="BA388" i="4"/>
  <c r="AY388" i="4"/>
  <c r="AW388" i="4"/>
  <c r="AT388" i="4"/>
  <c r="AS388" i="4"/>
  <c r="AN388" i="4"/>
  <c r="O388" i="4"/>
  <c r="R388" i="4" s="1"/>
  <c r="E388" i="4"/>
  <c r="BG387" i="4"/>
  <c r="BD387" i="4"/>
  <c r="BA387" i="4"/>
  <c r="AY387" i="4"/>
  <c r="AW387" i="4"/>
  <c r="AT387" i="4"/>
  <c r="AS387" i="4"/>
  <c r="AN387" i="4"/>
  <c r="R387" i="4"/>
  <c r="O387" i="4"/>
  <c r="E387" i="4"/>
  <c r="BG386" i="4"/>
  <c r="BD386" i="4"/>
  <c r="BA386" i="4"/>
  <c r="AY386" i="4"/>
  <c r="AW386" i="4"/>
  <c r="AT386" i="4"/>
  <c r="AS386" i="4"/>
  <c r="AN386" i="4"/>
  <c r="O386" i="4"/>
  <c r="E386" i="4"/>
  <c r="BG385" i="4"/>
  <c r="BD385" i="4"/>
  <c r="BA385" i="4"/>
  <c r="AY385" i="4"/>
  <c r="AW385" i="4"/>
  <c r="AT385" i="4"/>
  <c r="AS385" i="4"/>
  <c r="AN385" i="4"/>
  <c r="R385" i="4"/>
  <c r="O385" i="4"/>
  <c r="F121" i="14" s="1"/>
  <c r="E385" i="4"/>
  <c r="BG384" i="4"/>
  <c r="BD384" i="4"/>
  <c r="BA384" i="4"/>
  <c r="AY384" i="4"/>
  <c r="AW384" i="4"/>
  <c r="AT384" i="4"/>
  <c r="AS384" i="4"/>
  <c r="AN384" i="4"/>
  <c r="O384" i="4"/>
  <c r="R384" i="4" s="1"/>
  <c r="E384" i="4"/>
  <c r="BG383" i="4"/>
  <c r="BD383" i="4"/>
  <c r="BA383" i="4"/>
  <c r="AY383" i="4"/>
  <c r="AW383" i="4"/>
  <c r="AT383" i="4"/>
  <c r="AS383" i="4"/>
  <c r="AN383" i="4"/>
  <c r="O383" i="4"/>
  <c r="R383" i="4" s="1"/>
  <c r="E383" i="4"/>
  <c r="BG382" i="4"/>
  <c r="BD382" i="4"/>
  <c r="BA382" i="4"/>
  <c r="AY382" i="4"/>
  <c r="AW382" i="4"/>
  <c r="AT382" i="4"/>
  <c r="AS382" i="4"/>
  <c r="AN382" i="4"/>
  <c r="R382" i="4"/>
  <c r="O382" i="4"/>
  <c r="E382" i="4"/>
  <c r="BG381" i="4"/>
  <c r="BD381" i="4"/>
  <c r="BA381" i="4"/>
  <c r="AY381" i="4"/>
  <c r="AW381" i="4"/>
  <c r="AT381" i="4"/>
  <c r="AS381" i="4"/>
  <c r="AN381" i="4"/>
  <c r="O381" i="4"/>
  <c r="E381" i="4"/>
  <c r="BG380" i="4"/>
  <c r="BD380" i="4"/>
  <c r="BA380" i="4"/>
  <c r="AY380" i="4"/>
  <c r="AW380" i="4"/>
  <c r="AU380" i="4"/>
  <c r="AT380" i="4"/>
  <c r="AS380" i="4"/>
  <c r="AM380" i="4"/>
  <c r="AL380" i="4"/>
  <c r="R380" i="4"/>
  <c r="O380" i="4"/>
  <c r="F120" i="14" s="1"/>
  <c r="E380" i="4"/>
  <c r="BG379" i="4"/>
  <c r="BD379" i="4"/>
  <c r="BA379" i="4"/>
  <c r="AY379" i="4"/>
  <c r="AW379" i="4"/>
  <c r="AU379" i="4"/>
  <c r="AT379" i="4"/>
  <c r="AS379" i="4"/>
  <c r="AM379" i="4"/>
  <c r="AL379" i="4"/>
  <c r="R379" i="4"/>
  <c r="O379" i="4"/>
  <c r="F119" i="14" s="1"/>
  <c r="E379" i="4"/>
  <c r="BG378" i="4"/>
  <c r="BD378" i="4"/>
  <c r="BA378" i="4"/>
  <c r="AY378" i="4"/>
  <c r="AW378" i="4"/>
  <c r="AT378" i="4"/>
  <c r="AS378" i="4"/>
  <c r="AN378" i="4"/>
  <c r="O378" i="4"/>
  <c r="E378" i="4"/>
  <c r="BG377" i="4"/>
  <c r="BD377" i="4"/>
  <c r="BA377" i="4"/>
  <c r="AY377" i="4"/>
  <c r="AW377" i="4"/>
  <c r="AT377" i="4"/>
  <c r="AS377" i="4"/>
  <c r="AN377" i="4"/>
  <c r="O377" i="4"/>
  <c r="R377" i="4" s="1"/>
  <c r="E377" i="4"/>
  <c r="BG376" i="4"/>
  <c r="BD376" i="4"/>
  <c r="BA376" i="4"/>
  <c r="AY376" i="4"/>
  <c r="AW376" i="4"/>
  <c r="AT376" i="4"/>
  <c r="AS376" i="4"/>
  <c r="AN376" i="4"/>
  <c r="R376" i="4"/>
  <c r="O376" i="4"/>
  <c r="E376" i="4"/>
  <c r="BG375" i="4"/>
  <c r="BD375" i="4"/>
  <c r="BA375" i="4"/>
  <c r="AY375" i="4"/>
  <c r="AW375" i="4"/>
  <c r="AT375" i="4"/>
  <c r="AS375" i="4"/>
  <c r="AN375" i="4"/>
  <c r="O375" i="4"/>
  <c r="R375" i="4" s="1"/>
  <c r="E375" i="4"/>
  <c r="BG374" i="4"/>
  <c r="BD374" i="4"/>
  <c r="BA374" i="4"/>
  <c r="AY374" i="4"/>
  <c r="AW374" i="4"/>
  <c r="AT374" i="4"/>
  <c r="AS374" i="4"/>
  <c r="AN374" i="4"/>
  <c r="R374" i="4"/>
  <c r="O374" i="4"/>
  <c r="E374" i="4"/>
  <c r="BG373" i="4"/>
  <c r="BD373" i="4"/>
  <c r="BA373" i="4"/>
  <c r="AY373" i="4"/>
  <c r="AW373" i="4"/>
  <c r="AT373" i="4"/>
  <c r="AS373" i="4"/>
  <c r="AN373" i="4"/>
  <c r="O373" i="4"/>
  <c r="R373" i="4" s="1"/>
  <c r="E373" i="4"/>
  <c r="BG372" i="4"/>
  <c r="BD372" i="4"/>
  <c r="BA372" i="4"/>
  <c r="AY372" i="4"/>
  <c r="AW372" i="4"/>
  <c r="AT372" i="4"/>
  <c r="AS372" i="4"/>
  <c r="AN372" i="4"/>
  <c r="R372" i="4"/>
  <c r="O372" i="4"/>
  <c r="F118" i="14" s="1"/>
  <c r="E372" i="4"/>
  <c r="BG371" i="4"/>
  <c r="BD371" i="4"/>
  <c r="BA371" i="4"/>
  <c r="AY371" i="4"/>
  <c r="AW371" i="4"/>
  <c r="AT371" i="4"/>
  <c r="AS371" i="4"/>
  <c r="AN371" i="4"/>
  <c r="R371" i="4"/>
  <c r="O371" i="4"/>
  <c r="F117" i="14" s="1"/>
  <c r="E371" i="4"/>
  <c r="BG370" i="4"/>
  <c r="BD370" i="4"/>
  <c r="BA370" i="4"/>
  <c r="AY370" i="4"/>
  <c r="AW370" i="4"/>
  <c r="AT370" i="4"/>
  <c r="AS370" i="4"/>
  <c r="AN370" i="4"/>
  <c r="O370" i="4"/>
  <c r="E370" i="4"/>
  <c r="BG369" i="4"/>
  <c r="BD369" i="4"/>
  <c r="BA369" i="4"/>
  <c r="AY369" i="4"/>
  <c r="AW369" i="4"/>
  <c r="AT369" i="4"/>
  <c r="AS369" i="4"/>
  <c r="AN369" i="4"/>
  <c r="O369" i="4"/>
  <c r="E369" i="4"/>
  <c r="BG368" i="4"/>
  <c r="BD368" i="4"/>
  <c r="BA368" i="4"/>
  <c r="AY368" i="4"/>
  <c r="AW368" i="4"/>
  <c r="AT368" i="4"/>
  <c r="AS368" i="4"/>
  <c r="AN368" i="4"/>
  <c r="O368" i="4"/>
  <c r="R368" i="4" s="1"/>
  <c r="E368" i="4"/>
  <c r="BG367" i="4"/>
  <c r="BD367" i="4"/>
  <c r="BA367" i="4"/>
  <c r="AY367" i="4"/>
  <c r="AW367" i="4"/>
  <c r="AT367" i="4"/>
  <c r="AS367" i="4"/>
  <c r="AN367" i="4"/>
  <c r="R367" i="4"/>
  <c r="O367" i="4"/>
  <c r="E367" i="4"/>
  <c r="BG366" i="4"/>
  <c r="BD366" i="4"/>
  <c r="BA366" i="4"/>
  <c r="AY366" i="4"/>
  <c r="AW366" i="4"/>
  <c r="AU366" i="4"/>
  <c r="AT366" i="4"/>
  <c r="AS366" i="4"/>
  <c r="AM366" i="4"/>
  <c r="AL366" i="4"/>
  <c r="R366" i="4"/>
  <c r="O366" i="4"/>
  <c r="F116" i="14" s="1"/>
  <c r="E366" i="4"/>
  <c r="BG365" i="4"/>
  <c r="BD365" i="4"/>
  <c r="BA365" i="4"/>
  <c r="AY365" i="4"/>
  <c r="AW365" i="4"/>
  <c r="AU365" i="4"/>
  <c r="AT365" i="4"/>
  <c r="AS365" i="4"/>
  <c r="AM365" i="4"/>
  <c r="AL365" i="4"/>
  <c r="O365" i="4"/>
  <c r="E365" i="4"/>
  <c r="BG364" i="4"/>
  <c r="BD364" i="4"/>
  <c r="BA364" i="4"/>
  <c r="AY364" i="4"/>
  <c r="AW364" i="4"/>
  <c r="AT364" i="4"/>
  <c r="AS364" i="4"/>
  <c r="AN364" i="4"/>
  <c r="R364" i="4"/>
  <c r="O364" i="4"/>
  <c r="E364" i="4"/>
  <c r="BG363" i="4"/>
  <c r="BD363" i="4"/>
  <c r="BA363" i="4"/>
  <c r="AY363" i="4"/>
  <c r="AW363" i="4"/>
  <c r="AT363" i="4"/>
  <c r="AS363" i="4"/>
  <c r="AN363" i="4"/>
  <c r="R363" i="4"/>
  <c r="O363" i="4"/>
  <c r="E363" i="4"/>
  <c r="BG362" i="4"/>
  <c r="BD362" i="4"/>
  <c r="BA362" i="4"/>
  <c r="AY362" i="4"/>
  <c r="AW362" i="4"/>
  <c r="AT362" i="4"/>
  <c r="AS362" i="4"/>
  <c r="AN362" i="4"/>
  <c r="O362" i="4"/>
  <c r="E362" i="4"/>
  <c r="BG361" i="4"/>
  <c r="BD361" i="4"/>
  <c r="BA361" i="4"/>
  <c r="AY361" i="4"/>
  <c r="AW361" i="4"/>
  <c r="AT361" i="4"/>
  <c r="AS361" i="4"/>
  <c r="AN361" i="4"/>
  <c r="O361" i="4"/>
  <c r="E361" i="4"/>
  <c r="BG360" i="4"/>
  <c r="BD360" i="4"/>
  <c r="BA360" i="4"/>
  <c r="AY360" i="4"/>
  <c r="AW360" i="4"/>
  <c r="AT360" i="4"/>
  <c r="AS360" i="4"/>
  <c r="AN360" i="4"/>
  <c r="O360" i="4"/>
  <c r="R360" i="4" s="1"/>
  <c r="E360" i="4"/>
  <c r="BG359" i="4"/>
  <c r="BD359" i="4"/>
  <c r="BA359" i="4"/>
  <c r="AY359" i="4"/>
  <c r="AW359" i="4"/>
  <c r="AT359" i="4"/>
  <c r="AS359" i="4"/>
  <c r="AN359" i="4"/>
  <c r="R359" i="4"/>
  <c r="O359" i="4"/>
  <c r="E359" i="4"/>
  <c r="BG358" i="4"/>
  <c r="BD358" i="4"/>
  <c r="BA358" i="4"/>
  <c r="AY358" i="4"/>
  <c r="AW358" i="4"/>
  <c r="AT358" i="4"/>
  <c r="AS358" i="4"/>
  <c r="AN358" i="4"/>
  <c r="R358" i="4"/>
  <c r="O358" i="4"/>
  <c r="F114" i="14" s="1"/>
  <c r="E358" i="4"/>
  <c r="BG357" i="4"/>
  <c r="BD357" i="4"/>
  <c r="BA357" i="4"/>
  <c r="AY357" i="4"/>
  <c r="AW357" i="4"/>
  <c r="AT357" i="4"/>
  <c r="AS357" i="4"/>
  <c r="AN357" i="4"/>
  <c r="O357" i="4"/>
  <c r="E357" i="4"/>
  <c r="BG356" i="4"/>
  <c r="BD356" i="4"/>
  <c r="BA356" i="4"/>
  <c r="AY356" i="4"/>
  <c r="AW356" i="4"/>
  <c r="AT356" i="4"/>
  <c r="AS356" i="4"/>
  <c r="AN356" i="4"/>
  <c r="O356" i="4"/>
  <c r="E356" i="4"/>
  <c r="BG355" i="4"/>
  <c r="BD355" i="4"/>
  <c r="BA355" i="4"/>
  <c r="AY355" i="4"/>
  <c r="AW355" i="4"/>
  <c r="AT355" i="4"/>
  <c r="AS355" i="4"/>
  <c r="AN355" i="4"/>
  <c r="R355" i="4"/>
  <c r="O355" i="4"/>
  <c r="E355" i="4"/>
  <c r="BG354" i="4"/>
  <c r="BD354" i="4"/>
  <c r="BA354" i="4"/>
  <c r="AY354" i="4"/>
  <c r="AW354" i="4"/>
  <c r="AT354" i="4"/>
  <c r="AS354" i="4"/>
  <c r="AN354" i="4"/>
  <c r="R354" i="4"/>
  <c r="O354" i="4"/>
  <c r="E354" i="4"/>
  <c r="BG353" i="4"/>
  <c r="BD353" i="4"/>
  <c r="BA353" i="4"/>
  <c r="AY353" i="4"/>
  <c r="AW353" i="4"/>
  <c r="AT353" i="4"/>
  <c r="AS353" i="4"/>
  <c r="AN353" i="4"/>
  <c r="O353" i="4"/>
  <c r="R353" i="4" s="1"/>
  <c r="E353" i="4"/>
  <c r="BG352" i="4"/>
  <c r="BD352" i="4"/>
  <c r="BA352" i="4"/>
  <c r="AY352" i="4"/>
  <c r="AW352" i="4"/>
  <c r="AU352" i="4"/>
  <c r="AT352" i="4"/>
  <c r="AS352" i="4"/>
  <c r="AM352" i="4"/>
  <c r="AL352" i="4"/>
  <c r="O352" i="4"/>
  <c r="E352" i="4"/>
  <c r="BG351" i="4"/>
  <c r="BD351" i="4"/>
  <c r="BA351" i="4"/>
  <c r="AY351" i="4"/>
  <c r="AW351" i="4"/>
  <c r="AU351" i="4"/>
  <c r="AT351" i="4"/>
  <c r="AS351" i="4"/>
  <c r="AM351" i="4"/>
  <c r="AL351" i="4"/>
  <c r="R351" i="4"/>
  <c r="O351" i="4"/>
  <c r="F111" i="14" s="1"/>
  <c r="E351" i="4"/>
  <c r="BG350" i="4"/>
  <c r="BD350" i="4"/>
  <c r="BA350" i="4"/>
  <c r="AY350" i="4"/>
  <c r="AW350" i="4"/>
  <c r="AT350" i="4"/>
  <c r="AS350" i="4"/>
  <c r="AN350" i="4"/>
  <c r="R350" i="4"/>
  <c r="O350" i="4"/>
  <c r="E350" i="4"/>
  <c r="BG349" i="4"/>
  <c r="BD349" i="4"/>
  <c r="BA349" i="4"/>
  <c r="AY349" i="4"/>
  <c r="AW349" i="4"/>
  <c r="AT349" i="4"/>
  <c r="AS349" i="4"/>
  <c r="AN349" i="4"/>
  <c r="O349" i="4"/>
  <c r="E349" i="4"/>
  <c r="BG348" i="4"/>
  <c r="BD348" i="4"/>
  <c r="BA348" i="4"/>
  <c r="AY348" i="4"/>
  <c r="AW348" i="4"/>
  <c r="AT348" i="4"/>
  <c r="AS348" i="4"/>
  <c r="AN348" i="4"/>
  <c r="R348" i="4"/>
  <c r="O348" i="4"/>
  <c r="E348" i="4"/>
  <c r="BG347" i="4"/>
  <c r="BD347" i="4"/>
  <c r="BA347" i="4"/>
  <c r="AY347" i="4"/>
  <c r="AW347" i="4"/>
  <c r="AT347" i="4"/>
  <c r="AS347" i="4"/>
  <c r="AN347" i="4"/>
  <c r="R347" i="4"/>
  <c r="O347" i="4"/>
  <c r="E347" i="4"/>
  <c r="BG346" i="4"/>
  <c r="BD346" i="4"/>
  <c r="BA346" i="4"/>
  <c r="AY346" i="4"/>
  <c r="AW346" i="4"/>
  <c r="AT346" i="4"/>
  <c r="AS346" i="4"/>
  <c r="AN346" i="4"/>
  <c r="O346" i="4"/>
  <c r="E346" i="4"/>
  <c r="BG345" i="4"/>
  <c r="BD345" i="4"/>
  <c r="BA345" i="4"/>
  <c r="AY345" i="4"/>
  <c r="AW345" i="4"/>
  <c r="AT345" i="4"/>
  <c r="AS345" i="4"/>
  <c r="AN345" i="4"/>
  <c r="R345" i="4"/>
  <c r="O345" i="4"/>
  <c r="E345" i="4"/>
  <c r="BG344" i="4"/>
  <c r="BD344" i="4"/>
  <c r="BA344" i="4"/>
  <c r="AY344" i="4"/>
  <c r="AW344" i="4"/>
  <c r="AT344" i="4"/>
  <c r="AS344" i="4"/>
  <c r="AN344" i="4"/>
  <c r="R344" i="4"/>
  <c r="O344" i="4"/>
  <c r="F110" i="14" s="1"/>
  <c r="E344" i="4"/>
  <c r="BG343" i="4"/>
  <c r="BD343" i="4"/>
  <c r="BA343" i="4"/>
  <c r="AY343" i="4"/>
  <c r="AW343" i="4"/>
  <c r="AT343" i="4"/>
  <c r="AS343" i="4"/>
  <c r="AN343" i="4"/>
  <c r="R343" i="4"/>
  <c r="O343" i="4"/>
  <c r="F109" i="14" s="1"/>
  <c r="E343" i="4"/>
  <c r="BG342" i="4"/>
  <c r="BD342" i="4"/>
  <c r="BA342" i="4"/>
  <c r="AY342" i="4"/>
  <c r="AW342" i="4"/>
  <c r="AT342" i="4"/>
  <c r="AS342" i="4"/>
  <c r="AN342" i="4"/>
  <c r="O342" i="4"/>
  <c r="E342" i="4"/>
  <c r="BG341" i="4"/>
  <c r="BD341" i="4"/>
  <c r="BA341" i="4"/>
  <c r="AY341" i="4"/>
  <c r="AW341" i="4"/>
  <c r="AT341" i="4"/>
  <c r="AS341" i="4"/>
  <c r="AN341" i="4"/>
  <c r="O341" i="4"/>
  <c r="R341" i="4" s="1"/>
  <c r="E341" i="4"/>
  <c r="BG340" i="4"/>
  <c r="BD340" i="4"/>
  <c r="BA340" i="4"/>
  <c r="AY340" i="4"/>
  <c r="AW340" i="4"/>
  <c r="AT340" i="4"/>
  <c r="AS340" i="4"/>
  <c r="AN340" i="4"/>
  <c r="O340" i="4"/>
  <c r="E340" i="4"/>
  <c r="BG339" i="4"/>
  <c r="BD339" i="4"/>
  <c r="BA339" i="4"/>
  <c r="AY339" i="4"/>
  <c r="AW339" i="4"/>
  <c r="AT339" i="4"/>
  <c r="AS339" i="4"/>
  <c r="AN339" i="4"/>
  <c r="R339" i="4"/>
  <c r="O339" i="4"/>
  <c r="E339" i="4"/>
  <c r="BG338" i="4"/>
  <c r="BD338" i="4"/>
  <c r="BA338" i="4"/>
  <c r="AY338" i="4"/>
  <c r="AW338" i="4"/>
  <c r="AU338" i="4"/>
  <c r="AT338" i="4"/>
  <c r="AS338" i="4"/>
  <c r="AM338" i="4"/>
  <c r="AL338" i="4"/>
  <c r="O338" i="4"/>
  <c r="F108" i="14" s="1"/>
  <c r="E338" i="4"/>
  <c r="BG337" i="4"/>
  <c r="BD337" i="4"/>
  <c r="BA337" i="4"/>
  <c r="AY337" i="4"/>
  <c r="AW337" i="4"/>
  <c r="AU337" i="4"/>
  <c r="AT337" i="4"/>
  <c r="AS337" i="4"/>
  <c r="AM337" i="4"/>
  <c r="AL337" i="4"/>
  <c r="R337" i="4"/>
  <c r="O337" i="4"/>
  <c r="F107" i="14" s="1"/>
  <c r="E337" i="4"/>
  <c r="BG336" i="4"/>
  <c r="BD336" i="4"/>
  <c r="BA336" i="4"/>
  <c r="AY336" i="4"/>
  <c r="AW336" i="4"/>
  <c r="AT336" i="4"/>
  <c r="AS336" i="4"/>
  <c r="AN336" i="4"/>
  <c r="R336" i="4"/>
  <c r="O336" i="4"/>
  <c r="E336" i="4"/>
  <c r="BG335" i="4"/>
  <c r="BD335" i="4"/>
  <c r="BA335" i="4"/>
  <c r="AY335" i="4"/>
  <c r="AW335" i="4"/>
  <c r="AT335" i="4"/>
  <c r="AS335" i="4"/>
  <c r="AN335" i="4"/>
  <c r="R335" i="4"/>
  <c r="O335" i="4"/>
  <c r="E335" i="4"/>
  <c r="BG334" i="4"/>
  <c r="BD334" i="4"/>
  <c r="BA334" i="4"/>
  <c r="AY334" i="4"/>
  <c r="AW334" i="4"/>
  <c r="AT334" i="4"/>
  <c r="AS334" i="4"/>
  <c r="AN334" i="4"/>
  <c r="O334" i="4"/>
  <c r="E334" i="4"/>
  <c r="BG333" i="4"/>
  <c r="BD333" i="4"/>
  <c r="BA333" i="4"/>
  <c r="AY333" i="4"/>
  <c r="AW333" i="4"/>
  <c r="AT333" i="4"/>
  <c r="AS333" i="4"/>
  <c r="AN333" i="4"/>
  <c r="O333" i="4"/>
  <c r="R333" i="4" s="1"/>
  <c r="E333" i="4"/>
  <c r="BG332" i="4"/>
  <c r="BD332" i="4"/>
  <c r="BA332" i="4"/>
  <c r="AY332" i="4"/>
  <c r="AW332" i="4"/>
  <c r="AT332" i="4"/>
  <c r="AS332" i="4"/>
  <c r="AN332" i="4"/>
  <c r="O332" i="4"/>
  <c r="E332" i="4"/>
  <c r="BG331" i="4"/>
  <c r="BD331" i="4"/>
  <c r="BA331" i="4"/>
  <c r="AY331" i="4"/>
  <c r="AW331" i="4"/>
  <c r="AT331" i="4"/>
  <c r="AS331" i="4"/>
  <c r="AN331" i="4"/>
  <c r="R331" i="4"/>
  <c r="O331" i="4"/>
  <c r="E331" i="4"/>
  <c r="BG330" i="4"/>
  <c r="BD330" i="4"/>
  <c r="BA330" i="4"/>
  <c r="AY330" i="4"/>
  <c r="AW330" i="4"/>
  <c r="AT330" i="4"/>
  <c r="AS330" i="4"/>
  <c r="AN330" i="4"/>
  <c r="R330" i="4"/>
  <c r="O330" i="4"/>
  <c r="F106" i="14" s="1"/>
  <c r="E330" i="4"/>
  <c r="BG329" i="4"/>
  <c r="BD329" i="4"/>
  <c r="BA329" i="4"/>
  <c r="AY329" i="4"/>
  <c r="AW329" i="4"/>
  <c r="AT329" i="4"/>
  <c r="AS329" i="4"/>
  <c r="AN329" i="4"/>
  <c r="O329" i="4"/>
  <c r="F105" i="14" s="1"/>
  <c r="E329" i="4"/>
  <c r="BG328" i="4"/>
  <c r="BD328" i="4"/>
  <c r="BA328" i="4"/>
  <c r="AY328" i="4"/>
  <c r="AW328" i="4"/>
  <c r="AT328" i="4"/>
  <c r="AS328" i="4"/>
  <c r="AN328" i="4"/>
  <c r="O328" i="4"/>
  <c r="E328" i="4"/>
  <c r="BG327" i="4"/>
  <c r="BD327" i="4"/>
  <c r="BA327" i="4"/>
  <c r="AY327" i="4"/>
  <c r="AW327" i="4"/>
  <c r="AT327" i="4"/>
  <c r="AS327" i="4"/>
  <c r="AN327" i="4"/>
  <c r="R327" i="4"/>
  <c r="O327" i="4"/>
  <c r="E327" i="4"/>
  <c r="BG326" i="4"/>
  <c r="BD326" i="4"/>
  <c r="BA326" i="4"/>
  <c r="AY326" i="4"/>
  <c r="AW326" i="4"/>
  <c r="AT326" i="4"/>
  <c r="AS326" i="4"/>
  <c r="AN326" i="4"/>
  <c r="O326" i="4"/>
  <c r="E326" i="4"/>
  <c r="BG325" i="4"/>
  <c r="BD325" i="4"/>
  <c r="BA325" i="4"/>
  <c r="AY325" i="4"/>
  <c r="AW325" i="4"/>
  <c r="AT325" i="4"/>
  <c r="AS325" i="4"/>
  <c r="AN325" i="4"/>
  <c r="R325" i="4"/>
  <c r="O325" i="4"/>
  <c r="E325" i="4"/>
  <c r="BG324" i="4"/>
  <c r="BD324" i="4"/>
  <c r="BA324" i="4"/>
  <c r="AY324" i="4"/>
  <c r="AW324" i="4"/>
  <c r="AU324" i="4"/>
  <c r="AT324" i="4"/>
  <c r="AS324" i="4"/>
  <c r="AM324" i="4"/>
  <c r="AL324" i="4"/>
  <c r="R324" i="4"/>
  <c r="O324" i="4"/>
  <c r="F104" i="14" s="1"/>
  <c r="E324" i="4"/>
  <c r="BG323" i="4"/>
  <c r="BD323" i="4"/>
  <c r="BA323" i="4"/>
  <c r="AY323" i="4"/>
  <c r="AW323" i="4"/>
  <c r="AU323" i="4"/>
  <c r="AT323" i="4"/>
  <c r="AS323" i="4"/>
  <c r="AM323" i="4"/>
  <c r="AL323" i="4"/>
  <c r="O323" i="4"/>
  <c r="E323" i="4"/>
  <c r="BG322" i="4"/>
  <c r="BD322" i="4"/>
  <c r="BA322" i="4"/>
  <c r="AY322" i="4"/>
  <c r="AW322" i="4"/>
  <c r="AT322" i="4"/>
  <c r="AS322" i="4"/>
  <c r="AN322" i="4"/>
  <c r="O322" i="4"/>
  <c r="E322" i="4"/>
  <c r="BG321" i="4"/>
  <c r="BD321" i="4"/>
  <c r="BA321" i="4"/>
  <c r="AY321" i="4"/>
  <c r="AW321" i="4"/>
  <c r="AT321" i="4"/>
  <c r="AS321" i="4"/>
  <c r="AN321" i="4"/>
  <c r="R321" i="4"/>
  <c r="O321" i="4"/>
  <c r="E321" i="4"/>
  <c r="BG320" i="4"/>
  <c r="BD320" i="4"/>
  <c r="BA320" i="4"/>
  <c r="AY320" i="4"/>
  <c r="AW320" i="4"/>
  <c r="AT320" i="4"/>
  <c r="AS320" i="4"/>
  <c r="AN320" i="4"/>
  <c r="O320" i="4"/>
  <c r="E320" i="4"/>
  <c r="BG319" i="4"/>
  <c r="BD319" i="4"/>
  <c r="BA319" i="4"/>
  <c r="AY319" i="4"/>
  <c r="AW319" i="4"/>
  <c r="AT319" i="4"/>
  <c r="AS319" i="4"/>
  <c r="AN319" i="4"/>
  <c r="R319" i="4"/>
  <c r="O319" i="4"/>
  <c r="E319" i="4"/>
  <c r="BG318" i="4"/>
  <c r="BD318" i="4"/>
  <c r="BA318" i="4"/>
  <c r="AY318" i="4"/>
  <c r="AW318" i="4"/>
  <c r="AT318" i="4"/>
  <c r="AS318" i="4"/>
  <c r="AN318" i="4"/>
  <c r="R318" i="4"/>
  <c r="O318" i="4"/>
  <c r="E318" i="4"/>
  <c r="BG317" i="4"/>
  <c r="BD317" i="4"/>
  <c r="BA317" i="4"/>
  <c r="AY317" i="4"/>
  <c r="AW317" i="4"/>
  <c r="AT317" i="4"/>
  <c r="AS317" i="4"/>
  <c r="AN317" i="4"/>
  <c r="O317" i="4"/>
  <c r="R317" i="4" s="1"/>
  <c r="E317" i="4"/>
  <c r="BG316" i="4"/>
  <c r="BD316" i="4"/>
  <c r="BA316" i="4"/>
  <c r="AY316" i="4"/>
  <c r="AW316" i="4"/>
  <c r="AT316" i="4"/>
  <c r="AS316" i="4"/>
  <c r="AN316" i="4"/>
  <c r="O316" i="4"/>
  <c r="F102" i="14" s="1"/>
  <c r="E316" i="4"/>
  <c r="BG315" i="4"/>
  <c r="BD315" i="4"/>
  <c r="BA315" i="4"/>
  <c r="AY315" i="4"/>
  <c r="AW315" i="4"/>
  <c r="AT315" i="4"/>
  <c r="AS315" i="4"/>
  <c r="AN315" i="4"/>
  <c r="R315" i="4"/>
  <c r="O315" i="4"/>
  <c r="F101" i="14" s="1"/>
  <c r="E315" i="4"/>
  <c r="BG314" i="4"/>
  <c r="BD314" i="4"/>
  <c r="BA314" i="4"/>
  <c r="AY314" i="4"/>
  <c r="AW314" i="4"/>
  <c r="AT314" i="4"/>
  <c r="AS314" i="4"/>
  <c r="AN314" i="4"/>
  <c r="O314" i="4"/>
  <c r="E314" i="4"/>
  <c r="BG313" i="4"/>
  <c r="BD313" i="4"/>
  <c r="BA313" i="4"/>
  <c r="AY313" i="4"/>
  <c r="AW313" i="4"/>
  <c r="AT313" i="4"/>
  <c r="AS313" i="4"/>
  <c r="AN313" i="4"/>
  <c r="O313" i="4"/>
  <c r="E313" i="4"/>
  <c r="BG312" i="4"/>
  <c r="BD312" i="4"/>
  <c r="BA312" i="4"/>
  <c r="AY312" i="4"/>
  <c r="AW312" i="4"/>
  <c r="AT312" i="4"/>
  <c r="AS312" i="4"/>
  <c r="AN312" i="4"/>
  <c r="R312" i="4"/>
  <c r="O312" i="4"/>
  <c r="E312" i="4"/>
  <c r="BG311" i="4"/>
  <c r="BD311" i="4"/>
  <c r="BA311" i="4"/>
  <c r="AY311" i="4"/>
  <c r="AW311" i="4"/>
  <c r="AT311" i="4"/>
  <c r="AS311" i="4"/>
  <c r="AN311" i="4"/>
  <c r="R311" i="4"/>
  <c r="O311" i="4"/>
  <c r="E311" i="4"/>
  <c r="BG310" i="4"/>
  <c r="BD310" i="4"/>
  <c r="BA310" i="4"/>
  <c r="AY310" i="4"/>
  <c r="AW310" i="4"/>
  <c r="AU310" i="4"/>
  <c r="AT310" i="4"/>
  <c r="AS310" i="4"/>
  <c r="AM310" i="4"/>
  <c r="AL310" i="4"/>
  <c r="R310" i="4"/>
  <c r="O310" i="4"/>
  <c r="F100" i="14" s="1"/>
  <c r="E310" i="4"/>
  <c r="BG309" i="4"/>
  <c r="BD309" i="4"/>
  <c r="BA309" i="4"/>
  <c r="AY309" i="4"/>
  <c r="AW309" i="4"/>
  <c r="AU309" i="4"/>
  <c r="AT309" i="4"/>
  <c r="AS309" i="4"/>
  <c r="AM309" i="4"/>
  <c r="AL309" i="4"/>
  <c r="O309" i="4"/>
  <c r="F99" i="14" s="1"/>
  <c r="E309" i="4"/>
  <c r="BG308" i="4"/>
  <c r="BD308" i="4"/>
  <c r="BA308" i="4"/>
  <c r="AY308" i="4"/>
  <c r="AW308" i="4"/>
  <c r="AT308" i="4"/>
  <c r="AS308" i="4"/>
  <c r="AN308" i="4"/>
  <c r="R308" i="4"/>
  <c r="O308" i="4"/>
  <c r="E308" i="4"/>
  <c r="BG307" i="4"/>
  <c r="BD307" i="4"/>
  <c r="BA307" i="4"/>
  <c r="AY307" i="4"/>
  <c r="AW307" i="4"/>
  <c r="AT307" i="4"/>
  <c r="AS307" i="4"/>
  <c r="AN307" i="4"/>
  <c r="O307" i="4"/>
  <c r="R307" i="4" s="1"/>
  <c r="E307" i="4"/>
  <c r="BG306" i="4"/>
  <c r="BD306" i="4"/>
  <c r="BA306" i="4"/>
  <c r="AY306" i="4"/>
  <c r="AW306" i="4"/>
  <c r="AT306" i="4"/>
  <c r="AS306" i="4"/>
  <c r="AN306" i="4"/>
  <c r="R306" i="4"/>
  <c r="O306" i="4"/>
  <c r="E306" i="4"/>
  <c r="BG305" i="4"/>
  <c r="BD305" i="4"/>
  <c r="BA305" i="4"/>
  <c r="AY305" i="4"/>
  <c r="AW305" i="4"/>
  <c r="AT305" i="4"/>
  <c r="AS305" i="4"/>
  <c r="AN305" i="4"/>
  <c r="R305" i="4"/>
  <c r="O305" i="4"/>
  <c r="E305" i="4"/>
  <c r="BG304" i="4"/>
  <c r="BD304" i="4"/>
  <c r="BA304" i="4"/>
  <c r="AY304" i="4"/>
  <c r="AW304" i="4"/>
  <c r="AT304" i="4"/>
  <c r="AS304" i="4"/>
  <c r="AN304" i="4"/>
  <c r="O304" i="4"/>
  <c r="R304" i="4" s="1"/>
  <c r="E304" i="4"/>
  <c r="BG303" i="4"/>
  <c r="BD303" i="4"/>
  <c r="BA303" i="4"/>
  <c r="AY303" i="4"/>
  <c r="AW303" i="4"/>
  <c r="AT303" i="4"/>
  <c r="AS303" i="4"/>
  <c r="AN303" i="4"/>
  <c r="R303" i="4"/>
  <c r="O303" i="4"/>
  <c r="E303" i="4"/>
  <c r="BG302" i="4"/>
  <c r="BD302" i="4"/>
  <c r="BA302" i="4"/>
  <c r="AY302" i="4"/>
  <c r="AW302" i="4"/>
  <c r="AT302" i="4"/>
  <c r="AS302" i="4"/>
  <c r="AN302" i="4"/>
  <c r="R302" i="4"/>
  <c r="O302" i="4"/>
  <c r="F98" i="14" s="1"/>
  <c r="E302" i="4"/>
  <c r="BG301" i="4"/>
  <c r="BD301" i="4"/>
  <c r="BA301" i="4"/>
  <c r="AY301" i="4"/>
  <c r="AW301" i="4"/>
  <c r="AT301" i="4"/>
  <c r="AS301" i="4"/>
  <c r="AN301" i="4"/>
  <c r="R301" i="4"/>
  <c r="O301" i="4"/>
  <c r="F97" i="14" s="1"/>
  <c r="E301" i="4"/>
  <c r="BG300" i="4"/>
  <c r="BD300" i="4"/>
  <c r="BA300" i="4"/>
  <c r="AY300" i="4"/>
  <c r="AW300" i="4"/>
  <c r="AT300" i="4"/>
  <c r="AS300" i="4"/>
  <c r="AN300" i="4"/>
  <c r="R300" i="4"/>
  <c r="O300" i="4"/>
  <c r="E300" i="4"/>
  <c r="BG299" i="4"/>
  <c r="BD299" i="4"/>
  <c r="BA299" i="4"/>
  <c r="AY299" i="4"/>
  <c r="AW299" i="4"/>
  <c r="AT299" i="4"/>
  <c r="AS299" i="4"/>
  <c r="AN299" i="4"/>
  <c r="O299" i="4"/>
  <c r="R299" i="4" s="1"/>
  <c r="E299" i="4"/>
  <c r="BG298" i="4"/>
  <c r="BD298" i="4"/>
  <c r="BA298" i="4"/>
  <c r="AY298" i="4"/>
  <c r="AW298" i="4"/>
  <c r="AT298" i="4"/>
  <c r="AS298" i="4"/>
  <c r="AN298" i="4"/>
  <c r="R298" i="4"/>
  <c r="O298" i="4"/>
  <c r="E298" i="4"/>
  <c r="BG297" i="4"/>
  <c r="BD297" i="4"/>
  <c r="BA297" i="4"/>
  <c r="AY297" i="4"/>
  <c r="AW297" i="4"/>
  <c r="AT297" i="4"/>
  <c r="AS297" i="4"/>
  <c r="AN297" i="4"/>
  <c r="R297" i="4"/>
  <c r="O297" i="4"/>
  <c r="E297" i="4"/>
  <c r="BG296" i="4"/>
  <c r="BD296" i="4"/>
  <c r="BA296" i="4"/>
  <c r="AY296" i="4"/>
  <c r="AW296" i="4"/>
  <c r="AU296" i="4"/>
  <c r="AT296" i="4"/>
  <c r="AS296" i="4"/>
  <c r="AM296" i="4"/>
  <c r="AL296" i="4"/>
  <c r="O296" i="4"/>
  <c r="F96" i="14" s="1"/>
  <c r="E296" i="4"/>
  <c r="BG295" i="4"/>
  <c r="BD295" i="4"/>
  <c r="BA295" i="4"/>
  <c r="AY295" i="4"/>
  <c r="AW295" i="4"/>
  <c r="AU295" i="4"/>
  <c r="AT295" i="4"/>
  <c r="AS295" i="4"/>
  <c r="AM295" i="4"/>
  <c r="AL295" i="4"/>
  <c r="R295" i="4"/>
  <c r="O295" i="4"/>
  <c r="F95" i="14" s="1"/>
  <c r="E295" i="4"/>
  <c r="BG294" i="4"/>
  <c r="BD294" i="4"/>
  <c r="BA294" i="4"/>
  <c r="AY294" i="4"/>
  <c r="AW294" i="4"/>
  <c r="AT294" i="4"/>
  <c r="AS294" i="4"/>
  <c r="AN294" i="4"/>
  <c r="R294" i="4"/>
  <c r="O294" i="4"/>
  <c r="E294" i="4"/>
  <c r="BG293" i="4"/>
  <c r="BD293" i="4"/>
  <c r="BA293" i="4"/>
  <c r="AY293" i="4"/>
  <c r="AW293" i="4"/>
  <c r="AT293" i="4"/>
  <c r="AS293" i="4"/>
  <c r="AN293" i="4"/>
  <c r="R293" i="4"/>
  <c r="O293" i="4"/>
  <c r="E293" i="4"/>
  <c r="BG292" i="4"/>
  <c r="BD292" i="4"/>
  <c r="BA292" i="4"/>
  <c r="AY292" i="4"/>
  <c r="AW292" i="4"/>
  <c r="AT292" i="4"/>
  <c r="AS292" i="4"/>
  <c r="AN292" i="4"/>
  <c r="R292" i="4"/>
  <c r="O292" i="4"/>
  <c r="E292" i="4"/>
  <c r="BG291" i="4"/>
  <c r="BD291" i="4"/>
  <c r="BA291" i="4"/>
  <c r="AY291" i="4"/>
  <c r="AW291" i="4"/>
  <c r="AT291" i="4"/>
  <c r="AS291" i="4"/>
  <c r="AN291" i="4"/>
  <c r="O291" i="4"/>
  <c r="R291" i="4" s="1"/>
  <c r="E291" i="4"/>
  <c r="BG290" i="4"/>
  <c r="BD290" i="4"/>
  <c r="BA290" i="4"/>
  <c r="AY290" i="4"/>
  <c r="AW290" i="4"/>
  <c r="AT290" i="4"/>
  <c r="AS290" i="4"/>
  <c r="AN290" i="4"/>
  <c r="R290" i="4"/>
  <c r="O290" i="4"/>
  <c r="E290" i="4"/>
  <c r="BG289" i="4"/>
  <c r="BD289" i="4"/>
  <c r="BA289" i="4"/>
  <c r="AY289" i="4"/>
  <c r="AW289" i="4"/>
  <c r="AT289" i="4"/>
  <c r="AS289" i="4"/>
  <c r="AN289" i="4"/>
  <c r="R289" i="4"/>
  <c r="O289" i="4"/>
  <c r="E289" i="4"/>
  <c r="BG288" i="4"/>
  <c r="BD288" i="4"/>
  <c r="BA288" i="4"/>
  <c r="AY288" i="4"/>
  <c r="AW288" i="4"/>
  <c r="AT288" i="4"/>
  <c r="AS288" i="4"/>
  <c r="AN288" i="4"/>
  <c r="O288" i="4"/>
  <c r="F94" i="14" s="1"/>
  <c r="E288" i="4"/>
  <c r="BG287" i="4"/>
  <c r="BD287" i="4"/>
  <c r="BA287" i="4"/>
  <c r="AY287" i="4"/>
  <c r="AW287" i="4"/>
  <c r="AT287" i="4"/>
  <c r="AS287" i="4"/>
  <c r="AN287" i="4"/>
  <c r="O287" i="4"/>
  <c r="F93" i="14" s="1"/>
  <c r="E287" i="4"/>
  <c r="BG286" i="4"/>
  <c r="BD286" i="4"/>
  <c r="BA286" i="4"/>
  <c r="AY286" i="4"/>
  <c r="AW286" i="4"/>
  <c r="AT286" i="4"/>
  <c r="AS286" i="4"/>
  <c r="AN286" i="4"/>
  <c r="R286" i="4"/>
  <c r="O286" i="4"/>
  <c r="E286" i="4"/>
  <c r="BG285" i="4"/>
  <c r="BD285" i="4"/>
  <c r="BA285" i="4"/>
  <c r="AY285" i="4"/>
  <c r="AW285" i="4"/>
  <c r="AT285" i="4"/>
  <c r="AS285" i="4"/>
  <c r="AN285" i="4"/>
  <c r="R285" i="4"/>
  <c r="O285" i="4"/>
  <c r="E285" i="4"/>
  <c r="BG284" i="4"/>
  <c r="BD284" i="4"/>
  <c r="BA284" i="4"/>
  <c r="AY284" i="4"/>
  <c r="AW284" i="4"/>
  <c r="AT284" i="4"/>
  <c r="AS284" i="4"/>
  <c r="AN284" i="4"/>
  <c r="R284" i="4"/>
  <c r="O284" i="4"/>
  <c r="E284" i="4"/>
  <c r="BG283" i="4"/>
  <c r="BD283" i="4"/>
  <c r="BA283" i="4"/>
  <c r="AY283" i="4"/>
  <c r="AW283" i="4"/>
  <c r="AT283" i="4"/>
  <c r="AS283" i="4"/>
  <c r="AN283" i="4"/>
  <c r="O283" i="4"/>
  <c r="R283" i="4" s="1"/>
  <c r="E283" i="4"/>
  <c r="BG282" i="4"/>
  <c r="BD282" i="4"/>
  <c r="BA282" i="4"/>
  <c r="AY282" i="4"/>
  <c r="AW282" i="4"/>
  <c r="AU282" i="4"/>
  <c r="AT282" i="4"/>
  <c r="AS282" i="4"/>
  <c r="AM282" i="4"/>
  <c r="AL282" i="4"/>
  <c r="R282" i="4"/>
  <c r="O282" i="4"/>
  <c r="F92" i="14" s="1"/>
  <c r="E282" i="4"/>
  <c r="BG281" i="4"/>
  <c r="BD281" i="4"/>
  <c r="BA281" i="4"/>
  <c r="AY281" i="4"/>
  <c r="AW281" i="4"/>
  <c r="AU281" i="4"/>
  <c r="AT281" i="4"/>
  <c r="AS281" i="4"/>
  <c r="AM281" i="4"/>
  <c r="AL281" i="4"/>
  <c r="R281" i="4"/>
  <c r="O281" i="4"/>
  <c r="F91" i="14" s="1"/>
  <c r="E281" i="4"/>
  <c r="BG280" i="4"/>
  <c r="BD280" i="4"/>
  <c r="BA280" i="4"/>
  <c r="AY280" i="4"/>
  <c r="AW280" i="4"/>
  <c r="AT280" i="4"/>
  <c r="AS280" i="4"/>
  <c r="AN280" i="4"/>
  <c r="O280" i="4"/>
  <c r="E280" i="4"/>
  <c r="BG279" i="4"/>
  <c r="BD279" i="4"/>
  <c r="BA279" i="4"/>
  <c r="AY279" i="4"/>
  <c r="AW279" i="4"/>
  <c r="AT279" i="4"/>
  <c r="AS279" i="4"/>
  <c r="AN279" i="4"/>
  <c r="O279" i="4"/>
  <c r="R279" i="4" s="1"/>
  <c r="E279" i="4"/>
  <c r="BG278" i="4"/>
  <c r="BD278" i="4"/>
  <c r="BA278" i="4"/>
  <c r="AY278" i="4"/>
  <c r="AW278" i="4"/>
  <c r="AT278" i="4"/>
  <c r="AS278" i="4"/>
  <c r="AN278" i="4"/>
  <c r="R278" i="4"/>
  <c r="O278" i="4"/>
  <c r="E278" i="4"/>
  <c r="BG277" i="4"/>
  <c r="BD277" i="4"/>
  <c r="BA277" i="4"/>
  <c r="AY277" i="4"/>
  <c r="AW277" i="4"/>
  <c r="AT277" i="4"/>
  <c r="AS277" i="4"/>
  <c r="AN277" i="4"/>
  <c r="R277" i="4"/>
  <c r="O277" i="4"/>
  <c r="E277" i="4"/>
  <c r="BG276" i="4"/>
  <c r="BD276" i="4"/>
  <c r="BA276" i="4"/>
  <c r="AY276" i="4"/>
  <c r="AW276" i="4"/>
  <c r="AT276" i="4"/>
  <c r="AS276" i="4"/>
  <c r="AN276" i="4"/>
  <c r="R276" i="4"/>
  <c r="O276" i="4"/>
  <c r="E276" i="4"/>
  <c r="BG275" i="4"/>
  <c r="BD275" i="4"/>
  <c r="BA275" i="4"/>
  <c r="AY275" i="4"/>
  <c r="AW275" i="4"/>
  <c r="AT275" i="4"/>
  <c r="AS275" i="4"/>
  <c r="AN275" i="4"/>
  <c r="O275" i="4"/>
  <c r="R275" i="4" s="1"/>
  <c r="E275" i="4"/>
  <c r="BG274" i="4"/>
  <c r="BD274" i="4"/>
  <c r="BA274" i="4"/>
  <c r="AY274" i="4"/>
  <c r="AW274" i="4"/>
  <c r="AT274" i="4"/>
  <c r="AS274" i="4"/>
  <c r="AN274" i="4"/>
  <c r="R274" i="4"/>
  <c r="O274" i="4"/>
  <c r="F90" i="14" s="1"/>
  <c r="E274" i="4"/>
  <c r="BG273" i="4"/>
  <c r="BD273" i="4"/>
  <c r="BA273" i="4"/>
  <c r="AY273" i="4"/>
  <c r="AW273" i="4"/>
  <c r="AT273" i="4"/>
  <c r="AS273" i="4"/>
  <c r="AN273" i="4"/>
  <c r="R273" i="4"/>
  <c r="O273" i="4"/>
  <c r="F89" i="14" s="1"/>
  <c r="E273" i="4"/>
  <c r="BG272" i="4"/>
  <c r="BD272" i="4"/>
  <c r="BA272" i="4"/>
  <c r="AY272" i="4"/>
  <c r="AW272" i="4"/>
  <c r="AT272" i="4"/>
  <c r="AS272" i="4"/>
  <c r="AN272" i="4"/>
  <c r="O272" i="4"/>
  <c r="E272" i="4"/>
  <c r="BG271" i="4"/>
  <c r="BD271" i="4"/>
  <c r="BA271" i="4"/>
  <c r="AY271" i="4"/>
  <c r="AW271" i="4"/>
  <c r="AT271" i="4"/>
  <c r="AS271" i="4"/>
  <c r="AN271" i="4"/>
  <c r="O271" i="4"/>
  <c r="R271" i="4" s="1"/>
  <c r="E271" i="4"/>
  <c r="BG270" i="4"/>
  <c r="BD270" i="4"/>
  <c r="BA270" i="4"/>
  <c r="AY270" i="4"/>
  <c r="AW270" i="4"/>
  <c r="AT270" i="4"/>
  <c r="AS270" i="4"/>
  <c r="AN270" i="4"/>
  <c r="R270" i="4"/>
  <c r="O270" i="4"/>
  <c r="E270" i="4"/>
  <c r="BG269" i="4"/>
  <c r="BD269" i="4"/>
  <c r="BA269" i="4"/>
  <c r="AY269" i="4"/>
  <c r="AW269" i="4"/>
  <c r="AT269" i="4"/>
  <c r="AS269" i="4"/>
  <c r="AN269" i="4"/>
  <c r="R269" i="4"/>
  <c r="O269" i="4"/>
  <c r="E269" i="4"/>
  <c r="BG268" i="4"/>
  <c r="BD268" i="4"/>
  <c r="BA268" i="4"/>
  <c r="AY268" i="4"/>
  <c r="AW268" i="4"/>
  <c r="AU268" i="4"/>
  <c r="AT268" i="4"/>
  <c r="AS268" i="4"/>
  <c r="AM268" i="4"/>
  <c r="AL268" i="4"/>
  <c r="R268" i="4"/>
  <c r="O268" i="4"/>
  <c r="F88" i="14" s="1"/>
  <c r="E268" i="4"/>
  <c r="BG267" i="4"/>
  <c r="BD267" i="4"/>
  <c r="BA267" i="4"/>
  <c r="AY267" i="4"/>
  <c r="AW267" i="4"/>
  <c r="AU267" i="4"/>
  <c r="AT267" i="4"/>
  <c r="AS267" i="4"/>
  <c r="AM267" i="4"/>
  <c r="AL267" i="4"/>
  <c r="O267" i="4"/>
  <c r="F87" i="14" s="1"/>
  <c r="E267" i="4"/>
  <c r="BG266" i="4"/>
  <c r="BD266" i="4"/>
  <c r="BA266" i="4"/>
  <c r="AY266" i="4"/>
  <c r="AW266" i="4"/>
  <c r="AT266" i="4"/>
  <c r="AS266" i="4"/>
  <c r="AN266" i="4"/>
  <c r="R266" i="4"/>
  <c r="O266" i="4"/>
  <c r="E266" i="4"/>
  <c r="BG265" i="4"/>
  <c r="BD265" i="4"/>
  <c r="BA265" i="4"/>
  <c r="AY265" i="4"/>
  <c r="AW265" i="4"/>
  <c r="AT265" i="4"/>
  <c r="AS265" i="4"/>
  <c r="AN265" i="4"/>
  <c r="O265" i="4"/>
  <c r="E265" i="4"/>
  <c r="BG264" i="4"/>
  <c r="BD264" i="4"/>
  <c r="BA264" i="4"/>
  <c r="AY264" i="4"/>
  <c r="AW264" i="4"/>
  <c r="AT264" i="4"/>
  <c r="AS264" i="4"/>
  <c r="AN264" i="4"/>
  <c r="O264" i="4"/>
  <c r="E264" i="4"/>
  <c r="BG263" i="4"/>
  <c r="BD263" i="4"/>
  <c r="BA263" i="4"/>
  <c r="AY263" i="4"/>
  <c r="AW263" i="4"/>
  <c r="AT263" i="4"/>
  <c r="AS263" i="4"/>
  <c r="AN263" i="4"/>
  <c r="O263" i="4"/>
  <c r="R263" i="4" s="1"/>
  <c r="E263" i="4"/>
  <c r="BG262" i="4"/>
  <c r="BD262" i="4"/>
  <c r="BA262" i="4"/>
  <c r="AY262" i="4"/>
  <c r="AW262" i="4"/>
  <c r="AT262" i="4"/>
  <c r="AS262" i="4"/>
  <c r="AN262" i="4"/>
  <c r="R262" i="4"/>
  <c r="O262" i="4"/>
  <c r="E262" i="4"/>
  <c r="BG261" i="4"/>
  <c r="BD261" i="4"/>
  <c r="BA261" i="4"/>
  <c r="AY261" i="4"/>
  <c r="AW261" i="4"/>
  <c r="AT261" i="4"/>
  <c r="AS261" i="4"/>
  <c r="AN261" i="4"/>
  <c r="R261" i="4"/>
  <c r="O261" i="4"/>
  <c r="E261" i="4"/>
  <c r="BG260" i="4"/>
  <c r="BD260" i="4"/>
  <c r="BA260" i="4"/>
  <c r="AY260" i="4"/>
  <c r="AW260" i="4"/>
  <c r="AT260" i="4"/>
  <c r="AS260" i="4"/>
  <c r="AN260" i="4"/>
  <c r="R260" i="4"/>
  <c r="O260" i="4"/>
  <c r="F86" i="14" s="1"/>
  <c r="E260" i="4"/>
  <c r="BG259" i="4"/>
  <c r="BD259" i="4"/>
  <c r="BA259" i="4"/>
  <c r="AY259" i="4"/>
  <c r="AW259" i="4"/>
  <c r="AT259" i="4"/>
  <c r="AS259" i="4"/>
  <c r="AN259" i="4"/>
  <c r="O259" i="4"/>
  <c r="F85" i="14" s="1"/>
  <c r="E259" i="4"/>
  <c r="BG258" i="4"/>
  <c r="BD258" i="4"/>
  <c r="BA258" i="4"/>
  <c r="AY258" i="4"/>
  <c r="AW258" i="4"/>
  <c r="AT258" i="4"/>
  <c r="AS258" i="4"/>
  <c r="AN258" i="4"/>
  <c r="R258" i="4"/>
  <c r="O258" i="4"/>
  <c r="E258" i="4"/>
  <c r="BG257" i="4"/>
  <c r="BD257" i="4"/>
  <c r="BA257" i="4"/>
  <c r="AY257" i="4"/>
  <c r="AW257" i="4"/>
  <c r="AT257" i="4"/>
  <c r="AS257" i="4"/>
  <c r="AN257" i="4"/>
  <c r="O257" i="4"/>
  <c r="E257" i="4"/>
  <c r="BG256" i="4"/>
  <c r="BD256" i="4"/>
  <c r="BA256" i="4"/>
  <c r="AY256" i="4"/>
  <c r="AW256" i="4"/>
  <c r="AT256" i="4"/>
  <c r="AS256" i="4"/>
  <c r="AN256" i="4"/>
  <c r="O256" i="4"/>
  <c r="R256" i="4" s="1"/>
  <c r="E256" i="4"/>
  <c r="BG255" i="4"/>
  <c r="BD255" i="4"/>
  <c r="BA255" i="4"/>
  <c r="AY255" i="4"/>
  <c r="AW255" i="4"/>
  <c r="AT255" i="4"/>
  <c r="AS255" i="4"/>
  <c r="AN255" i="4"/>
  <c r="R255" i="4"/>
  <c r="O255" i="4"/>
  <c r="E255" i="4"/>
  <c r="BG254" i="4"/>
  <c r="BD254" i="4"/>
  <c r="BA254" i="4"/>
  <c r="AY254" i="4"/>
  <c r="AW254" i="4"/>
  <c r="AU254" i="4"/>
  <c r="AT254" i="4"/>
  <c r="AS254" i="4"/>
  <c r="AM254" i="4"/>
  <c r="AL254" i="4"/>
  <c r="R254" i="4"/>
  <c r="O254" i="4"/>
  <c r="F84" i="14" s="1"/>
  <c r="E254" i="4"/>
  <c r="BG253" i="4"/>
  <c r="BD253" i="4"/>
  <c r="BA253" i="4"/>
  <c r="AY253" i="4"/>
  <c r="AW253" i="4"/>
  <c r="AU253" i="4"/>
  <c r="AT253" i="4"/>
  <c r="AS253" i="4"/>
  <c r="AM253" i="4"/>
  <c r="AL253" i="4"/>
  <c r="O253" i="4"/>
  <c r="F83" i="14" s="1"/>
  <c r="E253" i="4"/>
  <c r="BG252" i="4"/>
  <c r="BD252" i="4"/>
  <c r="BA252" i="4"/>
  <c r="AY252" i="4"/>
  <c r="AW252" i="4"/>
  <c r="AT252" i="4"/>
  <c r="AS252" i="4"/>
  <c r="AN252" i="4"/>
  <c r="O252" i="4"/>
  <c r="E252" i="4"/>
  <c r="BG251" i="4"/>
  <c r="BD251" i="4"/>
  <c r="BA251" i="4"/>
  <c r="AY251" i="4"/>
  <c r="AW251" i="4"/>
  <c r="AT251" i="4"/>
  <c r="AS251" i="4"/>
  <c r="AN251" i="4"/>
  <c r="R251" i="4"/>
  <c r="O251" i="4"/>
  <c r="E251" i="4"/>
  <c r="BG250" i="4"/>
  <c r="BD250" i="4"/>
  <c r="BA250" i="4"/>
  <c r="AY250" i="4"/>
  <c r="AW250" i="4"/>
  <c r="AT250" i="4"/>
  <c r="AS250" i="4"/>
  <c r="AN250" i="4"/>
  <c r="O250" i="4"/>
  <c r="E250" i="4"/>
  <c r="BG249" i="4"/>
  <c r="BD249" i="4"/>
  <c r="BA249" i="4"/>
  <c r="AY249" i="4"/>
  <c r="AW249" i="4"/>
  <c r="AT249" i="4"/>
  <c r="AS249" i="4"/>
  <c r="AN249" i="4"/>
  <c r="O249" i="4"/>
  <c r="E249" i="4"/>
  <c r="BG248" i="4"/>
  <c r="BD248" i="4"/>
  <c r="BA248" i="4"/>
  <c r="AY248" i="4"/>
  <c r="AW248" i="4"/>
  <c r="AT248" i="4"/>
  <c r="AS248" i="4"/>
  <c r="AN248" i="4"/>
  <c r="O248" i="4"/>
  <c r="R248" i="4" s="1"/>
  <c r="E248" i="4"/>
  <c r="BG247" i="4"/>
  <c r="BD247" i="4"/>
  <c r="BA247" i="4"/>
  <c r="AY247" i="4"/>
  <c r="AW247" i="4"/>
  <c r="AT247" i="4"/>
  <c r="AS247" i="4"/>
  <c r="AN247" i="4"/>
  <c r="R247" i="4"/>
  <c r="O247" i="4"/>
  <c r="E247" i="4"/>
  <c r="BG246" i="4"/>
  <c r="BD246" i="4"/>
  <c r="BA246" i="4"/>
  <c r="AY246" i="4"/>
  <c r="AW246" i="4"/>
  <c r="AT246" i="4"/>
  <c r="AS246" i="4"/>
  <c r="AN246" i="4"/>
  <c r="R246" i="4"/>
  <c r="O246" i="4"/>
  <c r="F82" i="14" s="1"/>
  <c r="E246" i="4"/>
  <c r="BG245" i="4"/>
  <c r="BD245" i="4"/>
  <c r="BA245" i="4"/>
  <c r="AY245" i="4"/>
  <c r="AW245" i="4"/>
  <c r="AT245" i="4"/>
  <c r="AS245" i="4"/>
  <c r="AN245" i="4"/>
  <c r="R245" i="4"/>
  <c r="O245" i="4"/>
  <c r="F81" i="14" s="1"/>
  <c r="E245" i="4"/>
  <c r="BG244" i="4"/>
  <c r="BD244" i="4"/>
  <c r="BA244" i="4"/>
  <c r="AY244" i="4"/>
  <c r="AW244" i="4"/>
  <c r="AT244" i="4"/>
  <c r="AS244" i="4"/>
  <c r="AN244" i="4"/>
  <c r="O244" i="4"/>
  <c r="E244" i="4"/>
  <c r="BG243" i="4"/>
  <c r="BD243" i="4"/>
  <c r="BA243" i="4"/>
  <c r="AY243" i="4"/>
  <c r="AW243" i="4"/>
  <c r="AT243" i="4"/>
  <c r="AS243" i="4"/>
  <c r="AN243" i="4"/>
  <c r="R243" i="4"/>
  <c r="O243" i="4"/>
  <c r="E243" i="4"/>
  <c r="BG242" i="4"/>
  <c r="BD242" i="4"/>
  <c r="BA242" i="4"/>
  <c r="AY242" i="4"/>
  <c r="AW242" i="4"/>
  <c r="AT242" i="4"/>
  <c r="AS242" i="4"/>
  <c r="AN242" i="4"/>
  <c r="O242" i="4"/>
  <c r="E242" i="4"/>
  <c r="BG241" i="4"/>
  <c r="BD241" i="4"/>
  <c r="BA241" i="4"/>
  <c r="AY241" i="4"/>
  <c r="AW241" i="4"/>
  <c r="AT241" i="4"/>
  <c r="AS241" i="4"/>
  <c r="AN241" i="4"/>
  <c r="O241" i="4"/>
  <c r="E241" i="4"/>
  <c r="BG240" i="4"/>
  <c r="BD240" i="4"/>
  <c r="BA240" i="4"/>
  <c r="AY240" i="4"/>
  <c r="AW240" i="4"/>
  <c r="AU240" i="4"/>
  <c r="AT240" i="4"/>
  <c r="AS240" i="4"/>
  <c r="AM240" i="4"/>
  <c r="AL240" i="4"/>
  <c r="O240" i="4"/>
  <c r="F80" i="14" s="1"/>
  <c r="E240" i="4"/>
  <c r="BG239" i="4"/>
  <c r="BD239" i="4"/>
  <c r="BA239" i="4"/>
  <c r="AY239" i="4"/>
  <c r="AW239" i="4"/>
  <c r="AU239" i="4"/>
  <c r="AT239" i="4"/>
  <c r="AS239" i="4"/>
  <c r="AM239" i="4"/>
  <c r="AL239" i="4"/>
  <c r="R239" i="4"/>
  <c r="O239" i="4"/>
  <c r="F79" i="14" s="1"/>
  <c r="E239" i="4"/>
  <c r="BG238" i="4"/>
  <c r="BD238" i="4"/>
  <c r="BA238" i="4"/>
  <c r="AY238" i="4"/>
  <c r="AW238" i="4"/>
  <c r="AT238" i="4"/>
  <c r="AS238" i="4"/>
  <c r="AN238" i="4"/>
  <c r="R238" i="4"/>
  <c r="O238" i="4"/>
  <c r="E238" i="4"/>
  <c r="BG237" i="4"/>
  <c r="BD237" i="4"/>
  <c r="BA237" i="4"/>
  <c r="AY237" i="4"/>
  <c r="AW237" i="4"/>
  <c r="AT237" i="4"/>
  <c r="AS237" i="4"/>
  <c r="AN237" i="4"/>
  <c r="O237" i="4"/>
  <c r="E237" i="4"/>
  <c r="BG236" i="4"/>
  <c r="BD236" i="4"/>
  <c r="BA236" i="4"/>
  <c r="AY236" i="4"/>
  <c r="AW236" i="4"/>
  <c r="AT236" i="4"/>
  <c r="AS236" i="4"/>
  <c r="AN236" i="4"/>
  <c r="O236" i="4"/>
  <c r="E236" i="4"/>
  <c r="BG235" i="4"/>
  <c r="BD235" i="4"/>
  <c r="BA235" i="4"/>
  <c r="AY235" i="4"/>
  <c r="AW235" i="4"/>
  <c r="AT235" i="4"/>
  <c r="AS235" i="4"/>
  <c r="AN235" i="4"/>
  <c r="R235" i="4"/>
  <c r="O235" i="4"/>
  <c r="E235" i="4"/>
  <c r="BG234" i="4"/>
  <c r="BD234" i="4"/>
  <c r="BA234" i="4"/>
  <c r="AY234" i="4"/>
  <c r="AW234" i="4"/>
  <c r="AT234" i="4"/>
  <c r="AS234" i="4"/>
  <c r="AN234" i="4"/>
  <c r="R234" i="4"/>
  <c r="O234" i="4"/>
  <c r="E234" i="4"/>
  <c r="BG233" i="4"/>
  <c r="BD233" i="4"/>
  <c r="BA233" i="4"/>
  <c r="AY233" i="4"/>
  <c r="AW233" i="4"/>
  <c r="AT233" i="4"/>
  <c r="AS233" i="4"/>
  <c r="AN233" i="4"/>
  <c r="O233" i="4"/>
  <c r="E233" i="4"/>
  <c r="BG232" i="4"/>
  <c r="BD232" i="4"/>
  <c r="BA232" i="4"/>
  <c r="AY232" i="4"/>
  <c r="AW232" i="4"/>
  <c r="AT232" i="4"/>
  <c r="AS232" i="4"/>
  <c r="AN232" i="4"/>
  <c r="O232" i="4"/>
  <c r="F78" i="14" s="1"/>
  <c r="E232" i="4"/>
  <c r="BG231" i="4"/>
  <c r="BD231" i="4"/>
  <c r="BA231" i="4"/>
  <c r="AY231" i="4"/>
  <c r="AW231" i="4"/>
  <c r="AT231" i="4"/>
  <c r="AS231" i="4"/>
  <c r="AN231" i="4"/>
  <c r="R231" i="4"/>
  <c r="O231" i="4"/>
  <c r="F77" i="14" s="1"/>
  <c r="E231" i="4"/>
  <c r="BG230" i="4"/>
  <c r="BD230" i="4"/>
  <c r="BA230" i="4"/>
  <c r="AY230" i="4"/>
  <c r="AW230" i="4"/>
  <c r="AT230" i="4"/>
  <c r="AS230" i="4"/>
  <c r="AN230" i="4"/>
  <c r="R230" i="4"/>
  <c r="O230" i="4"/>
  <c r="E230" i="4"/>
  <c r="BG229" i="4"/>
  <c r="BD229" i="4"/>
  <c r="BA229" i="4"/>
  <c r="AY229" i="4"/>
  <c r="AW229" i="4"/>
  <c r="AT229" i="4"/>
  <c r="AS229" i="4"/>
  <c r="AN229" i="4"/>
  <c r="O229" i="4"/>
  <c r="E229" i="4"/>
  <c r="BG228" i="4"/>
  <c r="BD228" i="4"/>
  <c r="BA228" i="4"/>
  <c r="AY228" i="4"/>
  <c r="AW228" i="4"/>
  <c r="AT228" i="4"/>
  <c r="AS228" i="4"/>
  <c r="AN228" i="4"/>
  <c r="O228" i="4"/>
  <c r="E228" i="4"/>
  <c r="BG227" i="4"/>
  <c r="BD227" i="4"/>
  <c r="BA227" i="4"/>
  <c r="AY227" i="4"/>
  <c r="AW227" i="4"/>
  <c r="AT227" i="4"/>
  <c r="AS227" i="4"/>
  <c r="AN227" i="4"/>
  <c r="R227" i="4"/>
  <c r="O227" i="4"/>
  <c r="E227" i="4"/>
  <c r="BG226" i="4"/>
  <c r="BD226" i="4"/>
  <c r="BA226" i="4"/>
  <c r="AY226" i="4"/>
  <c r="AW226" i="4"/>
  <c r="AU226" i="4"/>
  <c r="AT226" i="4"/>
  <c r="AS226" i="4"/>
  <c r="AM226" i="4"/>
  <c r="AL226" i="4"/>
  <c r="R226" i="4"/>
  <c r="O226" i="4"/>
  <c r="F76" i="14" s="1"/>
  <c r="E226" i="4"/>
  <c r="BG225" i="4"/>
  <c r="BD225" i="4"/>
  <c r="BA225" i="4"/>
  <c r="AY225" i="4"/>
  <c r="AW225" i="4"/>
  <c r="AU225" i="4"/>
  <c r="AT225" i="4"/>
  <c r="AS225" i="4"/>
  <c r="AM225" i="4"/>
  <c r="AL225" i="4"/>
  <c r="O225" i="4"/>
  <c r="F75" i="14" s="1"/>
  <c r="E225" i="4"/>
  <c r="BG224" i="4"/>
  <c r="BD224" i="4"/>
  <c r="BA224" i="4"/>
  <c r="AY224" i="4"/>
  <c r="AW224" i="4"/>
  <c r="AT224" i="4"/>
  <c r="AS224" i="4"/>
  <c r="AN224" i="4"/>
  <c r="O224" i="4"/>
  <c r="E224" i="4"/>
  <c r="BG223" i="4"/>
  <c r="BD223" i="4"/>
  <c r="BA223" i="4"/>
  <c r="AY223" i="4"/>
  <c r="AW223" i="4"/>
  <c r="AT223" i="4"/>
  <c r="AS223" i="4"/>
  <c r="AN223" i="4"/>
  <c r="O223" i="4"/>
  <c r="E223" i="4"/>
  <c r="BG222" i="4"/>
  <c r="BD222" i="4"/>
  <c r="BA222" i="4"/>
  <c r="AY222" i="4"/>
  <c r="AW222" i="4"/>
  <c r="AT222" i="4"/>
  <c r="AS222" i="4"/>
  <c r="AN222" i="4"/>
  <c r="R222" i="4"/>
  <c r="O222" i="4"/>
  <c r="E222" i="4"/>
  <c r="BG221" i="4"/>
  <c r="BD221" i="4"/>
  <c r="BA221" i="4"/>
  <c r="AY221" i="4"/>
  <c r="AW221" i="4"/>
  <c r="AT221" i="4"/>
  <c r="AS221" i="4"/>
  <c r="AN221" i="4"/>
  <c r="R221" i="4"/>
  <c r="O221" i="4"/>
  <c r="E221" i="4"/>
  <c r="BG220" i="4"/>
  <c r="BD220" i="4"/>
  <c r="BA220" i="4"/>
  <c r="AY220" i="4"/>
  <c r="AW220" i="4"/>
  <c r="AT220" i="4"/>
  <c r="AS220" i="4"/>
  <c r="AN220" i="4"/>
  <c r="O220" i="4"/>
  <c r="E220" i="4"/>
  <c r="BG219" i="4"/>
  <c r="BD219" i="4"/>
  <c r="BA219" i="4"/>
  <c r="AY219" i="4"/>
  <c r="AW219" i="4"/>
  <c r="AT219" i="4"/>
  <c r="AS219" i="4"/>
  <c r="AN219" i="4"/>
  <c r="R219" i="4"/>
  <c r="O219" i="4"/>
  <c r="E219" i="4"/>
  <c r="BG218" i="4"/>
  <c r="BD218" i="4"/>
  <c r="BA218" i="4"/>
  <c r="AY218" i="4"/>
  <c r="AW218" i="4"/>
  <c r="AT218" i="4"/>
  <c r="AS218" i="4"/>
  <c r="AN218" i="4"/>
  <c r="O218" i="4"/>
  <c r="E218" i="4"/>
  <c r="BG217" i="4"/>
  <c r="BD217" i="4"/>
  <c r="BA217" i="4"/>
  <c r="AY217" i="4"/>
  <c r="AW217" i="4"/>
  <c r="AT217" i="4"/>
  <c r="AS217" i="4"/>
  <c r="AN217" i="4"/>
  <c r="O217" i="4"/>
  <c r="F73" i="14" s="1"/>
  <c r="E217" i="4"/>
  <c r="BG216" i="4"/>
  <c r="BD216" i="4"/>
  <c r="BA216" i="4"/>
  <c r="AY216" i="4"/>
  <c r="AW216" i="4"/>
  <c r="AT216" i="4"/>
  <c r="AS216" i="4"/>
  <c r="AN216" i="4"/>
  <c r="O216" i="4"/>
  <c r="E216" i="4"/>
  <c r="BG215" i="4"/>
  <c r="BD215" i="4"/>
  <c r="BA215" i="4"/>
  <c r="AY215" i="4"/>
  <c r="AW215" i="4"/>
  <c r="AT215" i="4"/>
  <c r="AS215" i="4"/>
  <c r="AN215" i="4"/>
  <c r="O215" i="4"/>
  <c r="E215" i="4"/>
  <c r="BG214" i="4"/>
  <c r="BD214" i="4"/>
  <c r="BA214" i="4"/>
  <c r="AY214" i="4"/>
  <c r="AW214" i="4"/>
  <c r="AT214" i="4"/>
  <c r="AS214" i="4"/>
  <c r="AN214" i="4"/>
  <c r="R214" i="4"/>
  <c r="O214" i="4"/>
  <c r="E214" i="4"/>
  <c r="BG213" i="4"/>
  <c r="BD213" i="4"/>
  <c r="BA213" i="4"/>
  <c r="AY213" i="4"/>
  <c r="AW213" i="4"/>
  <c r="AT213" i="4"/>
  <c r="AS213" i="4"/>
  <c r="AN213" i="4"/>
  <c r="R213" i="4"/>
  <c r="O213" i="4"/>
  <c r="E213" i="4"/>
  <c r="BG212" i="4"/>
  <c r="BD212" i="4"/>
  <c r="BA212" i="4"/>
  <c r="AY212" i="4"/>
  <c r="AW212" i="4"/>
  <c r="AU212" i="4"/>
  <c r="AT212" i="4"/>
  <c r="AS212" i="4"/>
  <c r="AM212" i="4"/>
  <c r="AL212" i="4"/>
  <c r="O212" i="4"/>
  <c r="F72" i="14" s="1"/>
  <c r="E212" i="4"/>
  <c r="BG211" i="4"/>
  <c r="BD211" i="4"/>
  <c r="BA211" i="4"/>
  <c r="AY211" i="4"/>
  <c r="AW211" i="4"/>
  <c r="AU211" i="4"/>
  <c r="AT211" i="4"/>
  <c r="AS211" i="4"/>
  <c r="AM211" i="4"/>
  <c r="AL211" i="4"/>
  <c r="R211" i="4"/>
  <c r="O211" i="4"/>
  <c r="F71" i="14" s="1"/>
  <c r="E211" i="4"/>
  <c r="BG210" i="4"/>
  <c r="BD210" i="4"/>
  <c r="BA210" i="4"/>
  <c r="AY210" i="4"/>
  <c r="AW210" i="4"/>
  <c r="AT210" i="4"/>
  <c r="AS210" i="4"/>
  <c r="AN210" i="4"/>
  <c r="O210" i="4"/>
  <c r="E210" i="4"/>
  <c r="BG209" i="4"/>
  <c r="BD209" i="4"/>
  <c r="BA209" i="4"/>
  <c r="AY209" i="4"/>
  <c r="AW209" i="4"/>
  <c r="AT209" i="4"/>
  <c r="AS209" i="4"/>
  <c r="AN209" i="4"/>
  <c r="O209" i="4"/>
  <c r="E209" i="4"/>
  <c r="BG208" i="4"/>
  <c r="BD208" i="4"/>
  <c r="BA208" i="4"/>
  <c r="AY208" i="4"/>
  <c r="AW208" i="4"/>
  <c r="AT208" i="4"/>
  <c r="AS208" i="4"/>
  <c r="AN208" i="4"/>
  <c r="O208" i="4"/>
  <c r="E208" i="4"/>
  <c r="BG207" i="4"/>
  <c r="BD207" i="4"/>
  <c r="BA207" i="4"/>
  <c r="AY207" i="4"/>
  <c r="AW207" i="4"/>
  <c r="AT207" i="4"/>
  <c r="AS207" i="4"/>
  <c r="AN207" i="4"/>
  <c r="O207" i="4"/>
  <c r="E207" i="4"/>
  <c r="BG206" i="4"/>
  <c r="BD206" i="4"/>
  <c r="BA206" i="4"/>
  <c r="AY206" i="4"/>
  <c r="AW206" i="4"/>
  <c r="AT206" i="4"/>
  <c r="AS206" i="4"/>
  <c r="AN206" i="4"/>
  <c r="R206" i="4"/>
  <c r="O206" i="4"/>
  <c r="E206" i="4"/>
  <c r="BG205" i="4"/>
  <c r="BD205" i="4"/>
  <c r="BA205" i="4"/>
  <c r="AY205" i="4"/>
  <c r="AW205" i="4"/>
  <c r="AT205" i="4"/>
  <c r="AS205" i="4"/>
  <c r="AN205" i="4"/>
  <c r="R205" i="4"/>
  <c r="O205" i="4"/>
  <c r="E205" i="4"/>
  <c r="BG204" i="4"/>
  <c r="BD204" i="4"/>
  <c r="BA204" i="4"/>
  <c r="AY204" i="4"/>
  <c r="AW204" i="4"/>
  <c r="AT204" i="4"/>
  <c r="AS204" i="4"/>
  <c r="AN204" i="4"/>
  <c r="O204" i="4"/>
  <c r="F70" i="14" s="1"/>
  <c r="E204" i="4"/>
  <c r="BG203" i="4"/>
  <c r="BD203" i="4"/>
  <c r="BA203" i="4"/>
  <c r="AY203" i="4"/>
  <c r="AW203" i="4"/>
  <c r="AT203" i="4"/>
  <c r="AS203" i="4"/>
  <c r="AN203" i="4"/>
  <c r="O203" i="4"/>
  <c r="F69" i="14" s="1"/>
  <c r="E203" i="4"/>
  <c r="BG202" i="4"/>
  <c r="BD202" i="4"/>
  <c r="BA202" i="4"/>
  <c r="AY202" i="4"/>
  <c r="AW202" i="4"/>
  <c r="AT202" i="4"/>
  <c r="AS202" i="4"/>
  <c r="AN202" i="4"/>
  <c r="O202" i="4"/>
  <c r="E202" i="4"/>
  <c r="BG201" i="4"/>
  <c r="BD201" i="4"/>
  <c r="BA201" i="4"/>
  <c r="AY201" i="4"/>
  <c r="AW201" i="4"/>
  <c r="AT201" i="4"/>
  <c r="AS201" i="4"/>
  <c r="AN201" i="4"/>
  <c r="O201" i="4"/>
  <c r="E201" i="4"/>
  <c r="BG200" i="4"/>
  <c r="BD200" i="4"/>
  <c r="BA200" i="4"/>
  <c r="AY200" i="4"/>
  <c r="AW200" i="4"/>
  <c r="AT200" i="4"/>
  <c r="AS200" i="4"/>
  <c r="AN200" i="4"/>
  <c r="O200" i="4"/>
  <c r="E200" i="4"/>
  <c r="BG199" i="4"/>
  <c r="BD199" i="4"/>
  <c r="BA199" i="4"/>
  <c r="AY199" i="4"/>
  <c r="AW199" i="4"/>
  <c r="AT199" i="4"/>
  <c r="AS199" i="4"/>
  <c r="AN199" i="4"/>
  <c r="O199" i="4"/>
  <c r="E199" i="4"/>
  <c r="BG198" i="4"/>
  <c r="BD198" i="4"/>
  <c r="BA198" i="4"/>
  <c r="AY198" i="4"/>
  <c r="AW198" i="4"/>
  <c r="AU198" i="4"/>
  <c r="AT198" i="4"/>
  <c r="AS198" i="4"/>
  <c r="AM198" i="4"/>
  <c r="AL198" i="4"/>
  <c r="R198" i="4"/>
  <c r="O198" i="4"/>
  <c r="F68" i="14" s="1"/>
  <c r="E198" i="4"/>
  <c r="BG197" i="4"/>
  <c r="BD197" i="4"/>
  <c r="BA197" i="4"/>
  <c r="AY197" i="4"/>
  <c r="AW197" i="4"/>
  <c r="AU197" i="4"/>
  <c r="AT197" i="4"/>
  <c r="AS197" i="4"/>
  <c r="AM197" i="4"/>
  <c r="AL197" i="4"/>
  <c r="R197" i="4"/>
  <c r="O197" i="4"/>
  <c r="F67" i="14" s="1"/>
  <c r="E197" i="4"/>
  <c r="BG196" i="4"/>
  <c r="BD196" i="4"/>
  <c r="BA196" i="4"/>
  <c r="AY196" i="4"/>
  <c r="AW196" i="4"/>
  <c r="AT196" i="4"/>
  <c r="AS196" i="4"/>
  <c r="AN196" i="4"/>
  <c r="O196" i="4"/>
  <c r="E196" i="4"/>
  <c r="BG195" i="4"/>
  <c r="BD195" i="4"/>
  <c r="BA195" i="4"/>
  <c r="AY195" i="4"/>
  <c r="AW195" i="4"/>
  <c r="AT195" i="4"/>
  <c r="AS195" i="4"/>
  <c r="AN195" i="4"/>
  <c r="O195" i="4"/>
  <c r="R195" i="4" s="1"/>
  <c r="E195" i="4"/>
  <c r="BG194" i="4"/>
  <c r="BD194" i="4"/>
  <c r="BA194" i="4"/>
  <c r="AY194" i="4"/>
  <c r="AW194" i="4"/>
  <c r="AT194" i="4"/>
  <c r="AS194" i="4"/>
  <c r="AN194" i="4"/>
  <c r="R194" i="4"/>
  <c r="O194" i="4"/>
  <c r="E194" i="4"/>
  <c r="BG193" i="4"/>
  <c r="BD193" i="4"/>
  <c r="BA193" i="4"/>
  <c r="AY193" i="4"/>
  <c r="AW193" i="4"/>
  <c r="AT193" i="4"/>
  <c r="AS193" i="4"/>
  <c r="AN193" i="4"/>
  <c r="O193" i="4"/>
  <c r="E193" i="4"/>
  <c r="BG192" i="4"/>
  <c r="BD192" i="4"/>
  <c r="BA192" i="4"/>
  <c r="AY192" i="4"/>
  <c r="AW192" i="4"/>
  <c r="AT192" i="4"/>
  <c r="AS192" i="4"/>
  <c r="AN192" i="4"/>
  <c r="O192" i="4"/>
  <c r="E192" i="4"/>
  <c r="BG191" i="4"/>
  <c r="BD191" i="4"/>
  <c r="BA191" i="4"/>
  <c r="AY191" i="4"/>
  <c r="AW191" i="4"/>
  <c r="AT191" i="4"/>
  <c r="AS191" i="4"/>
  <c r="AN191" i="4"/>
  <c r="O191" i="4"/>
  <c r="E191" i="4"/>
  <c r="BG190" i="4"/>
  <c r="BD190" i="4"/>
  <c r="BA190" i="4"/>
  <c r="AY190" i="4"/>
  <c r="AW190" i="4"/>
  <c r="AT190" i="4"/>
  <c r="AS190" i="4"/>
  <c r="AN190" i="4"/>
  <c r="O190" i="4"/>
  <c r="F66" i="14" s="1"/>
  <c r="E190" i="4"/>
  <c r="BG189" i="4"/>
  <c r="BD189" i="4"/>
  <c r="BA189" i="4"/>
  <c r="AY189" i="4"/>
  <c r="AW189" i="4"/>
  <c r="AT189" i="4"/>
  <c r="AS189" i="4"/>
  <c r="AN189" i="4"/>
  <c r="R189" i="4"/>
  <c r="O189" i="4"/>
  <c r="F65" i="14" s="1"/>
  <c r="E189" i="4"/>
  <c r="BG188" i="4"/>
  <c r="BD188" i="4"/>
  <c r="BA188" i="4"/>
  <c r="AY188" i="4"/>
  <c r="AW188" i="4"/>
  <c r="AT188" i="4"/>
  <c r="AS188" i="4"/>
  <c r="AN188" i="4"/>
  <c r="O188" i="4"/>
  <c r="E188" i="4"/>
  <c r="BG187" i="4"/>
  <c r="BD187" i="4"/>
  <c r="BA187" i="4"/>
  <c r="AY187" i="4"/>
  <c r="AW187" i="4"/>
  <c r="AT187" i="4"/>
  <c r="AS187" i="4"/>
  <c r="AN187" i="4"/>
  <c r="O187" i="4"/>
  <c r="R187" i="4" s="1"/>
  <c r="E187" i="4"/>
  <c r="BG186" i="4"/>
  <c r="BD186" i="4"/>
  <c r="BA186" i="4"/>
  <c r="AY186" i="4"/>
  <c r="AW186" i="4"/>
  <c r="AT186" i="4"/>
  <c r="AS186" i="4"/>
  <c r="AN186" i="4"/>
  <c r="O186" i="4"/>
  <c r="E186" i="4"/>
  <c r="BG185" i="4"/>
  <c r="BD185" i="4"/>
  <c r="BA185" i="4"/>
  <c r="AY185" i="4"/>
  <c r="AW185" i="4"/>
  <c r="AT185" i="4"/>
  <c r="AS185" i="4"/>
  <c r="AN185" i="4"/>
  <c r="O185" i="4"/>
  <c r="E185" i="4"/>
  <c r="BG184" i="4"/>
  <c r="BD184" i="4"/>
  <c r="BA184" i="4"/>
  <c r="AY184" i="4"/>
  <c r="AW184" i="4"/>
  <c r="AU184" i="4"/>
  <c r="AT184" i="4"/>
  <c r="AS184" i="4"/>
  <c r="AM184" i="4"/>
  <c r="AL184" i="4"/>
  <c r="O184" i="4"/>
  <c r="F64" i="14" s="1"/>
  <c r="E184" i="4"/>
  <c r="BG183" i="4"/>
  <c r="BD183" i="4"/>
  <c r="BA183" i="4"/>
  <c r="AY183" i="4"/>
  <c r="AW183" i="4"/>
  <c r="AU183" i="4"/>
  <c r="AT183" i="4"/>
  <c r="AS183" i="4"/>
  <c r="AM183" i="4"/>
  <c r="AL183" i="4"/>
  <c r="O183" i="4"/>
  <c r="E183" i="4"/>
  <c r="BG182" i="4"/>
  <c r="BD182" i="4"/>
  <c r="BA182" i="4"/>
  <c r="AY182" i="4"/>
  <c r="AW182" i="4"/>
  <c r="AT182" i="4"/>
  <c r="AS182" i="4"/>
  <c r="AN182" i="4"/>
  <c r="O182" i="4"/>
  <c r="R182" i="4" s="1"/>
  <c r="E182" i="4"/>
  <c r="BG181" i="4"/>
  <c r="BD181" i="4"/>
  <c r="BA181" i="4"/>
  <c r="AY181" i="4"/>
  <c r="AW181" i="4"/>
  <c r="AT181" i="4"/>
  <c r="AS181" i="4"/>
  <c r="AN181" i="4"/>
  <c r="R181" i="4"/>
  <c r="O181" i="4"/>
  <c r="E181" i="4"/>
  <c r="BG180" i="4"/>
  <c r="BD180" i="4"/>
  <c r="BA180" i="4"/>
  <c r="AY180" i="4"/>
  <c r="AW180" i="4"/>
  <c r="AT180" i="4"/>
  <c r="AS180" i="4"/>
  <c r="AN180" i="4"/>
  <c r="O180" i="4"/>
  <c r="E180" i="4"/>
  <c r="BG179" i="4"/>
  <c r="BD179" i="4"/>
  <c r="BA179" i="4"/>
  <c r="AY179" i="4"/>
  <c r="AW179" i="4"/>
  <c r="AT179" i="4"/>
  <c r="AS179" i="4"/>
  <c r="AN179" i="4"/>
  <c r="O179" i="4"/>
  <c r="R179" i="4" s="1"/>
  <c r="E179" i="4"/>
  <c r="BG178" i="4"/>
  <c r="BD178" i="4"/>
  <c r="BA178" i="4"/>
  <c r="AY178" i="4"/>
  <c r="AW178" i="4"/>
  <c r="AT178" i="4"/>
  <c r="AS178" i="4"/>
  <c r="AN178" i="4"/>
  <c r="O178" i="4"/>
  <c r="E178" i="4"/>
  <c r="BG177" i="4"/>
  <c r="BD177" i="4"/>
  <c r="BA177" i="4"/>
  <c r="AY177" i="4"/>
  <c r="AW177" i="4"/>
  <c r="AT177" i="4"/>
  <c r="AS177" i="4"/>
  <c r="AN177" i="4"/>
  <c r="O177" i="4"/>
  <c r="E177" i="4"/>
  <c r="BG176" i="4"/>
  <c r="BD176" i="4"/>
  <c r="BA176" i="4"/>
  <c r="AY176" i="4"/>
  <c r="AW176" i="4"/>
  <c r="AT176" i="4"/>
  <c r="AS176" i="4"/>
  <c r="AN176" i="4"/>
  <c r="O176" i="4"/>
  <c r="F62" i="14" s="1"/>
  <c r="E176" i="4"/>
  <c r="BG175" i="4"/>
  <c r="BD175" i="4"/>
  <c r="BA175" i="4"/>
  <c r="AY175" i="4"/>
  <c r="AW175" i="4"/>
  <c r="AT175" i="4"/>
  <c r="AS175" i="4"/>
  <c r="AN175" i="4"/>
  <c r="O175" i="4"/>
  <c r="E175" i="4"/>
  <c r="BG174" i="4"/>
  <c r="BD174" i="4"/>
  <c r="BA174" i="4"/>
  <c r="AY174" i="4"/>
  <c r="AW174" i="4"/>
  <c r="AT174" i="4"/>
  <c r="AS174" i="4"/>
  <c r="AN174" i="4"/>
  <c r="O174" i="4"/>
  <c r="R174" i="4" s="1"/>
  <c r="E174" i="4"/>
  <c r="BG173" i="4"/>
  <c r="BD173" i="4"/>
  <c r="BA173" i="4"/>
  <c r="AY173" i="4"/>
  <c r="AW173" i="4"/>
  <c r="AT173" i="4"/>
  <c r="AS173" i="4"/>
  <c r="AN173" i="4"/>
  <c r="R173" i="4"/>
  <c r="O173" i="4"/>
  <c r="E173" i="4"/>
  <c r="BG172" i="4"/>
  <c r="BD172" i="4"/>
  <c r="BA172" i="4"/>
  <c r="AY172" i="4"/>
  <c r="AW172" i="4"/>
  <c r="AT172" i="4"/>
  <c r="AS172" i="4"/>
  <c r="AN172" i="4"/>
  <c r="O172" i="4"/>
  <c r="E172" i="4"/>
  <c r="BG171" i="4"/>
  <c r="BD171" i="4"/>
  <c r="BA171" i="4"/>
  <c r="AY171" i="4"/>
  <c r="AW171" i="4"/>
  <c r="AT171" i="4"/>
  <c r="AS171" i="4"/>
  <c r="AN171" i="4"/>
  <c r="O171" i="4"/>
  <c r="R171" i="4" s="1"/>
  <c r="E171" i="4"/>
  <c r="BG170" i="4"/>
  <c r="BD170" i="4"/>
  <c r="BA170" i="4"/>
  <c r="AY170" i="4"/>
  <c r="AW170" i="4"/>
  <c r="AU170" i="4"/>
  <c r="AT170" i="4"/>
  <c r="AS170" i="4"/>
  <c r="AM170" i="4"/>
  <c r="AL170" i="4"/>
  <c r="O170" i="4"/>
  <c r="E170" i="4"/>
  <c r="BG169" i="4"/>
  <c r="BD169" i="4"/>
  <c r="BA169" i="4"/>
  <c r="AY169" i="4"/>
  <c r="AW169" i="4"/>
  <c r="AU169" i="4"/>
  <c r="AT169" i="4"/>
  <c r="AS169" i="4"/>
  <c r="AM169" i="4"/>
  <c r="AL169" i="4"/>
  <c r="O169" i="4"/>
  <c r="F59" i="14" s="1"/>
  <c r="E169" i="4"/>
  <c r="BG168" i="4"/>
  <c r="BD168" i="4"/>
  <c r="BA168" i="4"/>
  <c r="AY168" i="4"/>
  <c r="AW168" i="4"/>
  <c r="AT168" i="4"/>
  <c r="AS168" i="4"/>
  <c r="AN168" i="4"/>
  <c r="O168" i="4"/>
  <c r="E168" i="4"/>
  <c r="BG167" i="4"/>
  <c r="BD167" i="4"/>
  <c r="BA167" i="4"/>
  <c r="AY167" i="4"/>
  <c r="AW167" i="4"/>
  <c r="AT167" i="4"/>
  <c r="AS167" i="4"/>
  <c r="AN167" i="4"/>
  <c r="O167" i="4"/>
  <c r="E167" i="4"/>
  <c r="BG166" i="4"/>
  <c r="BD166" i="4"/>
  <c r="BA166" i="4"/>
  <c r="AY166" i="4"/>
  <c r="AW166" i="4"/>
  <c r="AT166" i="4"/>
  <c r="AS166" i="4"/>
  <c r="AN166" i="4"/>
  <c r="O166" i="4"/>
  <c r="R166" i="4" s="1"/>
  <c r="E166" i="4"/>
  <c r="BG165" i="4"/>
  <c r="BD165" i="4"/>
  <c r="BA165" i="4"/>
  <c r="AY165" i="4"/>
  <c r="AW165" i="4"/>
  <c r="AT165" i="4"/>
  <c r="AS165" i="4"/>
  <c r="AN165" i="4"/>
  <c r="R165" i="4"/>
  <c r="O165" i="4"/>
  <c r="E165" i="4"/>
  <c r="BG164" i="4"/>
  <c r="BD164" i="4"/>
  <c r="BA164" i="4"/>
  <c r="AY164" i="4"/>
  <c r="AW164" i="4"/>
  <c r="AT164" i="4"/>
  <c r="AS164" i="4"/>
  <c r="AN164" i="4"/>
  <c r="O164" i="4"/>
  <c r="E164" i="4"/>
  <c r="BG163" i="4"/>
  <c r="BD163" i="4"/>
  <c r="BA163" i="4"/>
  <c r="AY163" i="4"/>
  <c r="AW163" i="4"/>
  <c r="AT163" i="4"/>
  <c r="AS163" i="4"/>
  <c r="AN163" i="4"/>
  <c r="O163" i="4"/>
  <c r="R163" i="4" s="1"/>
  <c r="E163" i="4"/>
  <c r="BG162" i="4"/>
  <c r="BD162" i="4"/>
  <c r="BA162" i="4"/>
  <c r="AY162" i="4"/>
  <c r="AW162" i="4"/>
  <c r="AT162" i="4"/>
  <c r="AS162" i="4"/>
  <c r="AN162" i="4"/>
  <c r="O162" i="4"/>
  <c r="E162" i="4"/>
  <c r="BG161" i="4"/>
  <c r="BD161" i="4"/>
  <c r="BA161" i="4"/>
  <c r="AY161" i="4"/>
  <c r="AW161" i="4"/>
  <c r="AT161" i="4"/>
  <c r="AS161" i="4"/>
  <c r="AN161" i="4"/>
  <c r="O161" i="4"/>
  <c r="F57" i="14" s="1"/>
  <c r="E161" i="4"/>
  <c r="BG160" i="4"/>
  <c r="BD160" i="4"/>
  <c r="BA160" i="4"/>
  <c r="AY160" i="4"/>
  <c r="AW160" i="4"/>
  <c r="AT160" i="4"/>
  <c r="AS160" i="4"/>
  <c r="AN160" i="4"/>
  <c r="O160" i="4"/>
  <c r="E160" i="4"/>
  <c r="BG159" i="4"/>
  <c r="BD159" i="4"/>
  <c r="BA159" i="4"/>
  <c r="AY159" i="4"/>
  <c r="AW159" i="4"/>
  <c r="AT159" i="4"/>
  <c r="AS159" i="4"/>
  <c r="AN159" i="4"/>
  <c r="O159" i="4"/>
  <c r="E159" i="4"/>
  <c r="BG158" i="4"/>
  <c r="BD158" i="4"/>
  <c r="BA158" i="4"/>
  <c r="AY158" i="4"/>
  <c r="AW158" i="4"/>
  <c r="AT158" i="4"/>
  <c r="AS158" i="4"/>
  <c r="AN158" i="4"/>
  <c r="O158" i="4"/>
  <c r="R158" i="4" s="1"/>
  <c r="E158" i="4"/>
  <c r="BG157" i="4"/>
  <c r="BD157" i="4"/>
  <c r="BA157" i="4"/>
  <c r="AY157" i="4"/>
  <c r="AW157" i="4"/>
  <c r="AT157" i="4"/>
  <c r="AS157" i="4"/>
  <c r="AN157" i="4"/>
  <c r="R157" i="4"/>
  <c r="O157" i="4"/>
  <c r="E157" i="4"/>
  <c r="BG156" i="4"/>
  <c r="BD156" i="4"/>
  <c r="BA156" i="4"/>
  <c r="AY156" i="4"/>
  <c r="AW156" i="4"/>
  <c r="AU156" i="4"/>
  <c r="AT156" i="4"/>
  <c r="AS156" i="4"/>
  <c r="AM156" i="4"/>
  <c r="AL156" i="4"/>
  <c r="O156" i="4"/>
  <c r="F56" i="14" s="1"/>
  <c r="E156" i="4"/>
  <c r="BG155" i="4"/>
  <c r="BD155" i="4"/>
  <c r="BA155" i="4"/>
  <c r="AY155" i="4"/>
  <c r="AW155" i="4"/>
  <c r="AU155" i="4"/>
  <c r="AT155" i="4"/>
  <c r="AS155" i="4"/>
  <c r="AM155" i="4"/>
  <c r="AL155" i="4"/>
  <c r="O155" i="4"/>
  <c r="F55" i="14" s="1"/>
  <c r="E155" i="4"/>
  <c r="BG154" i="4"/>
  <c r="BD154" i="4"/>
  <c r="BA154" i="4"/>
  <c r="AY154" i="4"/>
  <c r="AW154" i="4"/>
  <c r="AT154" i="4"/>
  <c r="AS154" i="4"/>
  <c r="AN154" i="4"/>
  <c r="O154" i="4"/>
  <c r="E154" i="4"/>
  <c r="BG153" i="4"/>
  <c r="BD153" i="4"/>
  <c r="BA153" i="4"/>
  <c r="AY153" i="4"/>
  <c r="AW153" i="4"/>
  <c r="AT153" i="4"/>
  <c r="AS153" i="4"/>
  <c r="AN153" i="4"/>
  <c r="O153" i="4"/>
  <c r="E153" i="4"/>
  <c r="BG152" i="4"/>
  <c r="BD152" i="4"/>
  <c r="BA152" i="4"/>
  <c r="AY152" i="4"/>
  <c r="AW152" i="4"/>
  <c r="AT152" i="4"/>
  <c r="AS152" i="4"/>
  <c r="AN152" i="4"/>
  <c r="O152" i="4"/>
  <c r="E152" i="4"/>
  <c r="BG151" i="4"/>
  <c r="BD151" i="4"/>
  <c r="BA151" i="4"/>
  <c r="AY151" i="4"/>
  <c r="AW151" i="4"/>
  <c r="AT151" i="4"/>
  <c r="AS151" i="4"/>
  <c r="AN151" i="4"/>
  <c r="O151" i="4"/>
  <c r="E151" i="4"/>
  <c r="BG150" i="4"/>
  <c r="BD150" i="4"/>
  <c r="BA150" i="4"/>
  <c r="AY150" i="4"/>
  <c r="AW150" i="4"/>
  <c r="AT150" i="4"/>
  <c r="AS150" i="4"/>
  <c r="AN150" i="4"/>
  <c r="O150" i="4"/>
  <c r="R150" i="4" s="1"/>
  <c r="E150" i="4"/>
  <c r="BG149" i="4"/>
  <c r="BD149" i="4"/>
  <c r="BA149" i="4"/>
  <c r="AY149" i="4"/>
  <c r="AW149" i="4"/>
  <c r="AT149" i="4"/>
  <c r="AS149" i="4"/>
  <c r="AN149" i="4"/>
  <c r="R149" i="4"/>
  <c r="O149" i="4"/>
  <c r="E149" i="4"/>
  <c r="BG148" i="4"/>
  <c r="BD148" i="4"/>
  <c r="BA148" i="4"/>
  <c r="AY148" i="4"/>
  <c r="AW148" i="4"/>
  <c r="AT148" i="4"/>
  <c r="AS148" i="4"/>
  <c r="AN148" i="4"/>
  <c r="O148" i="4"/>
  <c r="E148" i="4"/>
  <c r="BG147" i="4"/>
  <c r="BD147" i="4"/>
  <c r="BA147" i="4"/>
  <c r="AY147" i="4"/>
  <c r="AW147" i="4"/>
  <c r="AT147" i="4"/>
  <c r="AS147" i="4"/>
  <c r="AN147" i="4"/>
  <c r="O147" i="4"/>
  <c r="F53" i="14" s="1"/>
  <c r="E147" i="4"/>
  <c r="BG146" i="4"/>
  <c r="BD146" i="4"/>
  <c r="BA146" i="4"/>
  <c r="AY146" i="4"/>
  <c r="AW146" i="4"/>
  <c r="AT146" i="4"/>
  <c r="AS146" i="4"/>
  <c r="AN146" i="4"/>
  <c r="R146" i="4"/>
  <c r="O146" i="4"/>
  <c r="E146" i="4"/>
  <c r="BG145" i="4"/>
  <c r="BD145" i="4"/>
  <c r="BA145" i="4"/>
  <c r="AY145" i="4"/>
  <c r="AW145" i="4"/>
  <c r="AT145" i="4"/>
  <c r="AS145" i="4"/>
  <c r="AN145" i="4"/>
  <c r="O145" i="4"/>
  <c r="E145" i="4"/>
  <c r="BG144" i="4"/>
  <c r="BD144" i="4"/>
  <c r="BA144" i="4"/>
  <c r="AY144" i="4"/>
  <c r="AW144" i="4"/>
  <c r="AT144" i="4"/>
  <c r="AS144" i="4"/>
  <c r="AN144" i="4"/>
  <c r="O144" i="4"/>
  <c r="E144" i="4"/>
  <c r="BG143" i="4"/>
  <c r="BD143" i="4"/>
  <c r="BA143" i="4"/>
  <c r="AY143" i="4"/>
  <c r="AW143" i="4"/>
  <c r="AT143" i="4"/>
  <c r="AS143" i="4"/>
  <c r="AN143" i="4"/>
  <c r="R143" i="4"/>
  <c r="O143" i="4"/>
  <c r="E143" i="4"/>
  <c r="BG142" i="4"/>
  <c r="BD142" i="4"/>
  <c r="BA142" i="4"/>
  <c r="AY142" i="4"/>
  <c r="AW142" i="4"/>
  <c r="AU142" i="4"/>
  <c r="AT142" i="4"/>
  <c r="AS142" i="4"/>
  <c r="AM142" i="4"/>
  <c r="AL142" i="4"/>
  <c r="O142" i="4"/>
  <c r="E142" i="4"/>
  <c r="BG141" i="4"/>
  <c r="BD141" i="4"/>
  <c r="BA141" i="4"/>
  <c r="AY141" i="4"/>
  <c r="AW141" i="4"/>
  <c r="AU141" i="4"/>
  <c r="AT141" i="4"/>
  <c r="AS141" i="4"/>
  <c r="AM141" i="4"/>
  <c r="AL141" i="4"/>
  <c r="O141" i="4"/>
  <c r="F51" i="14" s="1"/>
  <c r="E141" i="4"/>
  <c r="BG140" i="4"/>
  <c r="BD140" i="4"/>
  <c r="BA140" i="4"/>
  <c r="AY140" i="4"/>
  <c r="AW140" i="4"/>
  <c r="AT140" i="4"/>
  <c r="AS140" i="4"/>
  <c r="AN140" i="4"/>
  <c r="O140" i="4"/>
  <c r="E140" i="4"/>
  <c r="BG139" i="4"/>
  <c r="BD139" i="4"/>
  <c r="BA139" i="4"/>
  <c r="AY139" i="4"/>
  <c r="AW139" i="4"/>
  <c r="AT139" i="4"/>
  <c r="AS139" i="4"/>
  <c r="AN139" i="4"/>
  <c r="O139" i="4"/>
  <c r="E139" i="4"/>
  <c r="BG138" i="4"/>
  <c r="BD138" i="4"/>
  <c r="BA138" i="4"/>
  <c r="AY138" i="4"/>
  <c r="AW138" i="4"/>
  <c r="AT138" i="4"/>
  <c r="AS138" i="4"/>
  <c r="AN138" i="4"/>
  <c r="O138" i="4"/>
  <c r="R138" i="4" s="1"/>
  <c r="E138" i="4"/>
  <c r="BG137" i="4"/>
  <c r="BD137" i="4"/>
  <c r="BA137" i="4"/>
  <c r="AY137" i="4"/>
  <c r="AW137" i="4"/>
  <c r="AT137" i="4"/>
  <c r="AS137" i="4"/>
  <c r="AN137" i="4"/>
  <c r="R137" i="4"/>
  <c r="O137" i="4"/>
  <c r="E137" i="4"/>
  <c r="BG136" i="4"/>
  <c r="BD136" i="4"/>
  <c r="BA136" i="4"/>
  <c r="AY136" i="4"/>
  <c r="AW136" i="4"/>
  <c r="AT136" i="4"/>
  <c r="AS136" i="4"/>
  <c r="AN136" i="4"/>
  <c r="O136" i="4"/>
  <c r="E136" i="4"/>
  <c r="BG135" i="4"/>
  <c r="BD135" i="4"/>
  <c r="BA135" i="4"/>
  <c r="AY135" i="4"/>
  <c r="AW135" i="4"/>
  <c r="AT135" i="4"/>
  <c r="AS135" i="4"/>
  <c r="AN135" i="4"/>
  <c r="O135" i="4"/>
  <c r="E135" i="4"/>
  <c r="BG134" i="4"/>
  <c r="BD134" i="4"/>
  <c r="BA134" i="4"/>
  <c r="AY134" i="4"/>
  <c r="AW134" i="4"/>
  <c r="AT134" i="4"/>
  <c r="AS134" i="4"/>
  <c r="AN134" i="4"/>
  <c r="O134" i="4"/>
  <c r="F50" i="14" s="1"/>
  <c r="E134" i="4"/>
  <c r="BG133" i="4"/>
  <c r="BD133" i="4"/>
  <c r="BA133" i="4"/>
  <c r="AY133" i="4"/>
  <c r="AW133" i="4"/>
  <c r="AT133" i="4"/>
  <c r="AS133" i="4"/>
  <c r="AN133" i="4"/>
  <c r="R133" i="4"/>
  <c r="O133" i="4"/>
  <c r="F49" i="14" s="1"/>
  <c r="E133" i="4"/>
  <c r="BG132" i="4"/>
  <c r="BD132" i="4"/>
  <c r="BA132" i="4"/>
  <c r="AY132" i="4"/>
  <c r="AW132" i="4"/>
  <c r="AT132" i="4"/>
  <c r="AS132" i="4"/>
  <c r="AN132" i="4"/>
  <c r="R132" i="4"/>
  <c r="O132" i="4"/>
  <c r="E132" i="4"/>
  <c r="BG131" i="4"/>
  <c r="BD131" i="4"/>
  <c r="BA131" i="4"/>
  <c r="AY131" i="4"/>
  <c r="AW131" i="4"/>
  <c r="AT131" i="4"/>
  <c r="AS131" i="4"/>
  <c r="AN131" i="4"/>
  <c r="O131" i="4"/>
  <c r="E131" i="4"/>
  <c r="BG130" i="4"/>
  <c r="BD130" i="4"/>
  <c r="BA130" i="4"/>
  <c r="AY130" i="4"/>
  <c r="AW130" i="4"/>
  <c r="AT130" i="4"/>
  <c r="AS130" i="4"/>
  <c r="AN130" i="4"/>
  <c r="O130" i="4"/>
  <c r="E130" i="4"/>
  <c r="BG129" i="4"/>
  <c r="BD129" i="4"/>
  <c r="BA129" i="4"/>
  <c r="AY129" i="4"/>
  <c r="AW129" i="4"/>
  <c r="AT129" i="4"/>
  <c r="AS129" i="4"/>
  <c r="AN129" i="4"/>
  <c r="O129" i="4"/>
  <c r="R129" i="4" s="1"/>
  <c r="E129" i="4"/>
  <c r="BG128" i="4"/>
  <c r="BD128" i="4"/>
  <c r="BA128" i="4"/>
  <c r="AY128" i="4"/>
  <c r="AW128" i="4"/>
  <c r="AU128" i="4"/>
  <c r="AT128" i="4"/>
  <c r="AS128" i="4"/>
  <c r="AM128" i="4"/>
  <c r="AL128" i="4"/>
  <c r="R128" i="4"/>
  <c r="O128" i="4"/>
  <c r="F48" i="14" s="1"/>
  <c r="E128" i="4"/>
  <c r="BG127" i="4"/>
  <c r="BD127" i="4"/>
  <c r="BA127" i="4"/>
  <c r="AY127" i="4"/>
  <c r="AW127" i="4"/>
  <c r="AU127" i="4"/>
  <c r="AT127" i="4"/>
  <c r="AS127" i="4"/>
  <c r="AM127" i="4"/>
  <c r="AL127" i="4"/>
  <c r="R127" i="4"/>
  <c r="O127" i="4"/>
  <c r="F47" i="14" s="1"/>
  <c r="E127" i="4"/>
  <c r="BG126" i="4"/>
  <c r="BD126" i="4"/>
  <c r="BA126" i="4"/>
  <c r="AY126" i="4"/>
  <c r="AW126" i="4"/>
  <c r="AT126" i="4"/>
  <c r="AS126" i="4"/>
  <c r="AN126" i="4"/>
  <c r="O126" i="4"/>
  <c r="E126" i="4"/>
  <c r="BG125" i="4"/>
  <c r="BD125" i="4"/>
  <c r="BA125" i="4"/>
  <c r="AY125" i="4"/>
  <c r="AW125" i="4"/>
  <c r="AT125" i="4"/>
  <c r="AS125" i="4"/>
  <c r="AN125" i="4"/>
  <c r="O125" i="4"/>
  <c r="R125" i="4" s="1"/>
  <c r="E125" i="4"/>
  <c r="BG124" i="4"/>
  <c r="BD124" i="4"/>
  <c r="BA124" i="4"/>
  <c r="AY124" i="4"/>
  <c r="AW124" i="4"/>
  <c r="AT124" i="4"/>
  <c r="AS124" i="4"/>
  <c r="AN124" i="4"/>
  <c r="O124" i="4"/>
  <c r="E124" i="4"/>
  <c r="BG123" i="4"/>
  <c r="BD123" i="4"/>
  <c r="BA123" i="4"/>
  <c r="AY123" i="4"/>
  <c r="AW123" i="4"/>
  <c r="AT123" i="4"/>
  <c r="AS123" i="4"/>
  <c r="AN123" i="4"/>
  <c r="O123" i="4"/>
  <c r="E123" i="4"/>
  <c r="BG122" i="4"/>
  <c r="BD122" i="4"/>
  <c r="BA122" i="4"/>
  <c r="AY122" i="4"/>
  <c r="AW122" i="4"/>
  <c r="AT122" i="4"/>
  <c r="AS122" i="4"/>
  <c r="AN122" i="4"/>
  <c r="O122" i="4"/>
  <c r="E122" i="4"/>
  <c r="BG121" i="4"/>
  <c r="BD121" i="4"/>
  <c r="BA121" i="4"/>
  <c r="AY121" i="4"/>
  <c r="AW121" i="4"/>
  <c r="AT121" i="4"/>
  <c r="AS121" i="4"/>
  <c r="AN121" i="4"/>
  <c r="O121" i="4"/>
  <c r="R121" i="4" s="1"/>
  <c r="E121" i="4"/>
  <c r="BG120" i="4"/>
  <c r="BD120" i="4"/>
  <c r="BA120" i="4"/>
  <c r="AY120" i="4"/>
  <c r="AW120" i="4"/>
  <c r="AT120" i="4"/>
  <c r="AS120" i="4"/>
  <c r="AN120" i="4"/>
  <c r="R120" i="4"/>
  <c r="O120" i="4"/>
  <c r="F46" i="14" s="1"/>
  <c r="E120" i="4"/>
  <c r="BG119" i="4"/>
  <c r="BD119" i="4"/>
  <c r="BA119" i="4"/>
  <c r="AY119" i="4"/>
  <c r="AW119" i="4"/>
  <c r="AT119" i="4"/>
  <c r="AS119" i="4"/>
  <c r="AN119" i="4"/>
  <c r="O119" i="4"/>
  <c r="F45" i="14" s="1"/>
  <c r="E119" i="4"/>
  <c r="BG118" i="4"/>
  <c r="BD118" i="4"/>
  <c r="BA118" i="4"/>
  <c r="AY118" i="4"/>
  <c r="AW118" i="4"/>
  <c r="AT118" i="4"/>
  <c r="AS118" i="4"/>
  <c r="AN118" i="4"/>
  <c r="R118" i="4"/>
  <c r="O118" i="4"/>
  <c r="E118" i="4"/>
  <c r="BG117" i="4"/>
  <c r="BD117" i="4"/>
  <c r="BA117" i="4"/>
  <c r="AY117" i="4"/>
  <c r="AW117" i="4"/>
  <c r="AT117" i="4"/>
  <c r="AS117" i="4"/>
  <c r="AN117" i="4"/>
  <c r="O117" i="4"/>
  <c r="R117" i="4" s="1"/>
  <c r="E117" i="4"/>
  <c r="BG116" i="4"/>
  <c r="BD116" i="4"/>
  <c r="BA116" i="4"/>
  <c r="AY116" i="4"/>
  <c r="AW116" i="4"/>
  <c r="AT116" i="4"/>
  <c r="AS116" i="4"/>
  <c r="AN116" i="4"/>
  <c r="R116" i="4"/>
  <c r="O116" i="4"/>
  <c r="E116" i="4"/>
  <c r="BG115" i="4"/>
  <c r="BD115" i="4"/>
  <c r="BA115" i="4"/>
  <c r="AY115" i="4"/>
  <c r="AW115" i="4"/>
  <c r="AT115" i="4"/>
  <c r="AS115" i="4"/>
  <c r="AN115" i="4"/>
  <c r="O115" i="4"/>
  <c r="E115" i="4"/>
  <c r="BG114" i="4"/>
  <c r="BD114" i="4"/>
  <c r="BA114" i="4"/>
  <c r="AY114" i="4"/>
  <c r="AW114" i="4"/>
  <c r="AU114" i="4"/>
  <c r="AT114" i="4"/>
  <c r="AS114" i="4"/>
  <c r="AM114" i="4"/>
  <c r="AL114" i="4"/>
  <c r="O114" i="4"/>
  <c r="F44" i="14" s="1"/>
  <c r="E114" i="4"/>
  <c r="BG113" i="4"/>
  <c r="BD113" i="4"/>
  <c r="BA113" i="4"/>
  <c r="AY113" i="4"/>
  <c r="AW113" i="4"/>
  <c r="AU113" i="4"/>
  <c r="AT113" i="4"/>
  <c r="AS113" i="4"/>
  <c r="AM113" i="4"/>
  <c r="AL113" i="4"/>
  <c r="O113" i="4"/>
  <c r="F43" i="14" s="1"/>
  <c r="E113" i="4"/>
  <c r="BG112" i="4"/>
  <c r="BD112" i="4"/>
  <c r="BA112" i="4"/>
  <c r="AY112" i="4"/>
  <c r="AW112" i="4"/>
  <c r="AT112" i="4"/>
  <c r="AS112" i="4"/>
  <c r="AN112" i="4"/>
  <c r="R112" i="4"/>
  <c r="O112" i="4"/>
  <c r="E112" i="4"/>
  <c r="BG111" i="4"/>
  <c r="BD111" i="4"/>
  <c r="BA111" i="4"/>
  <c r="AY111" i="4"/>
  <c r="AW111" i="4"/>
  <c r="AT111" i="4"/>
  <c r="AS111" i="4"/>
  <c r="AN111" i="4"/>
  <c r="O111" i="4"/>
  <c r="E111" i="4"/>
  <c r="BG110" i="4"/>
  <c r="BD110" i="4"/>
  <c r="BA110" i="4"/>
  <c r="AY110" i="4"/>
  <c r="AW110" i="4"/>
  <c r="AT110" i="4"/>
  <c r="AS110" i="4"/>
  <c r="AN110" i="4"/>
  <c r="R110" i="4"/>
  <c r="O110" i="4"/>
  <c r="E110" i="4"/>
  <c r="BG109" i="4"/>
  <c r="BD109" i="4"/>
  <c r="BA109" i="4"/>
  <c r="AY109" i="4"/>
  <c r="AW109" i="4"/>
  <c r="AT109" i="4"/>
  <c r="AS109" i="4"/>
  <c r="AN109" i="4"/>
  <c r="O109" i="4"/>
  <c r="R109" i="4" s="1"/>
  <c r="E109" i="4"/>
  <c r="BG108" i="4"/>
  <c r="BD108" i="4"/>
  <c r="BA108" i="4"/>
  <c r="AY108" i="4"/>
  <c r="AW108" i="4"/>
  <c r="AT108" i="4"/>
  <c r="AS108" i="4"/>
  <c r="AN108" i="4"/>
  <c r="O108" i="4"/>
  <c r="E108" i="4"/>
  <c r="BG107" i="4"/>
  <c r="BD107" i="4"/>
  <c r="BA107" i="4"/>
  <c r="AY107" i="4"/>
  <c r="AW107" i="4"/>
  <c r="AT107" i="4"/>
  <c r="AS107" i="4"/>
  <c r="AN107" i="4"/>
  <c r="O107" i="4"/>
  <c r="E107" i="4"/>
  <c r="BG106" i="4"/>
  <c r="BD106" i="4"/>
  <c r="BA106" i="4"/>
  <c r="AY106" i="4"/>
  <c r="AW106" i="4"/>
  <c r="AT106" i="4"/>
  <c r="AS106" i="4"/>
  <c r="AN106" i="4"/>
  <c r="O106" i="4"/>
  <c r="F42" i="14" s="1"/>
  <c r="E106" i="4"/>
  <c r="BG105" i="4"/>
  <c r="BD105" i="4"/>
  <c r="BA105" i="4"/>
  <c r="AY105" i="4"/>
  <c r="AW105" i="4"/>
  <c r="AT105" i="4"/>
  <c r="AS105" i="4"/>
  <c r="AN105" i="4"/>
  <c r="O105" i="4"/>
  <c r="F41" i="14" s="1"/>
  <c r="E105" i="4"/>
  <c r="BG104" i="4"/>
  <c r="BD104" i="4"/>
  <c r="BA104" i="4"/>
  <c r="AY104" i="4"/>
  <c r="AW104" i="4"/>
  <c r="AT104" i="4"/>
  <c r="AS104" i="4"/>
  <c r="AN104" i="4"/>
  <c r="R104" i="4"/>
  <c r="O104" i="4"/>
  <c r="E104" i="4"/>
  <c r="BG103" i="4"/>
  <c r="BD103" i="4"/>
  <c r="BA103" i="4"/>
  <c r="AY103" i="4"/>
  <c r="AW103" i="4"/>
  <c r="AT103" i="4"/>
  <c r="AS103" i="4"/>
  <c r="AN103" i="4"/>
  <c r="O103" i="4"/>
  <c r="E103" i="4"/>
  <c r="BG102" i="4"/>
  <c r="BD102" i="4"/>
  <c r="BA102" i="4"/>
  <c r="AY102" i="4"/>
  <c r="AW102" i="4"/>
  <c r="AT102" i="4"/>
  <c r="AS102" i="4"/>
  <c r="AN102" i="4"/>
  <c r="R102" i="4"/>
  <c r="O102" i="4"/>
  <c r="E102" i="4"/>
  <c r="BG101" i="4"/>
  <c r="BD101" i="4"/>
  <c r="BA101" i="4"/>
  <c r="AY101" i="4"/>
  <c r="AW101" i="4"/>
  <c r="AT101" i="4"/>
  <c r="AS101" i="4"/>
  <c r="AN101" i="4"/>
  <c r="O101" i="4"/>
  <c r="R101" i="4" s="1"/>
  <c r="E101" i="4"/>
  <c r="BG100" i="4"/>
  <c r="BD100" i="4"/>
  <c r="BA100" i="4"/>
  <c r="AY100" i="4"/>
  <c r="AW100" i="4"/>
  <c r="AU100" i="4"/>
  <c r="AT100" i="4"/>
  <c r="AS100" i="4"/>
  <c r="AM100" i="4"/>
  <c r="AL100" i="4"/>
  <c r="O100" i="4"/>
  <c r="F40" i="14" s="1"/>
  <c r="E100" i="4"/>
  <c r="BG99" i="4"/>
  <c r="BD99" i="4"/>
  <c r="BA99" i="4"/>
  <c r="AY99" i="4"/>
  <c r="AW99" i="4"/>
  <c r="AU99" i="4"/>
  <c r="AT99" i="4"/>
  <c r="AS99" i="4"/>
  <c r="AM99" i="4"/>
  <c r="AL99" i="4"/>
  <c r="O99" i="4"/>
  <c r="F39" i="14" s="1"/>
  <c r="E99" i="4"/>
  <c r="BG98" i="4"/>
  <c r="BD98" i="4"/>
  <c r="BA98" i="4"/>
  <c r="AY98" i="4"/>
  <c r="AW98" i="4"/>
  <c r="AT98" i="4"/>
  <c r="AS98" i="4"/>
  <c r="AN98" i="4"/>
  <c r="O98" i="4"/>
  <c r="E98" i="4"/>
  <c r="BG97" i="4"/>
  <c r="BD97" i="4"/>
  <c r="BA97" i="4"/>
  <c r="AY97" i="4"/>
  <c r="AW97" i="4"/>
  <c r="AT97" i="4"/>
  <c r="AS97" i="4"/>
  <c r="AN97" i="4"/>
  <c r="O97" i="4"/>
  <c r="E97" i="4"/>
  <c r="BG96" i="4"/>
  <c r="BD96" i="4"/>
  <c r="BA96" i="4"/>
  <c r="AY96" i="4"/>
  <c r="AW96" i="4"/>
  <c r="AT96" i="4"/>
  <c r="AS96" i="4"/>
  <c r="AN96" i="4"/>
  <c r="R96" i="4"/>
  <c r="O96" i="4"/>
  <c r="E96" i="4"/>
  <c r="BG95" i="4"/>
  <c r="BD95" i="4"/>
  <c r="BA95" i="4"/>
  <c r="AY95" i="4"/>
  <c r="AW95" i="4"/>
  <c r="AT95" i="4"/>
  <c r="AS95" i="4"/>
  <c r="AN95" i="4"/>
  <c r="O95" i="4"/>
  <c r="E95" i="4"/>
  <c r="BG94" i="4"/>
  <c r="BD94" i="4"/>
  <c r="BA94" i="4"/>
  <c r="AY94" i="4"/>
  <c r="AW94" i="4"/>
  <c r="AT94" i="4"/>
  <c r="AS94" i="4"/>
  <c r="AN94" i="4"/>
  <c r="R94" i="4"/>
  <c r="O94" i="4"/>
  <c r="E94" i="4"/>
  <c r="BG93" i="4"/>
  <c r="BD93" i="4"/>
  <c r="BA93" i="4"/>
  <c r="AY93" i="4"/>
  <c r="AW93" i="4"/>
  <c r="AT93" i="4"/>
  <c r="AS93" i="4"/>
  <c r="AN93" i="4"/>
  <c r="O93" i="4"/>
  <c r="R93" i="4" s="1"/>
  <c r="E93" i="4"/>
  <c r="BG92" i="4"/>
  <c r="BD92" i="4"/>
  <c r="BA92" i="4"/>
  <c r="AY92" i="4"/>
  <c r="AW92" i="4"/>
  <c r="AT92" i="4"/>
  <c r="AS92" i="4"/>
  <c r="AN92" i="4"/>
  <c r="O92" i="4"/>
  <c r="E92" i="4"/>
  <c r="BG91" i="4"/>
  <c r="BD91" i="4"/>
  <c r="BA91" i="4"/>
  <c r="AY91" i="4"/>
  <c r="AW91" i="4"/>
  <c r="AT91" i="4"/>
  <c r="AS91" i="4"/>
  <c r="AN91" i="4"/>
  <c r="O91" i="4"/>
  <c r="F37" i="14" s="1"/>
  <c r="E91" i="4"/>
  <c r="BG90" i="4"/>
  <c r="BD90" i="4"/>
  <c r="BA90" i="4"/>
  <c r="AY90" i="4"/>
  <c r="AW90" i="4"/>
  <c r="AT90" i="4"/>
  <c r="AS90" i="4"/>
  <c r="AN90" i="4"/>
  <c r="O90" i="4"/>
  <c r="E90" i="4"/>
  <c r="BG89" i="4"/>
  <c r="BD89" i="4"/>
  <c r="BA89" i="4"/>
  <c r="AY89" i="4"/>
  <c r="AW89" i="4"/>
  <c r="AT89" i="4"/>
  <c r="AS89" i="4"/>
  <c r="AN89" i="4"/>
  <c r="O89" i="4"/>
  <c r="E89" i="4"/>
  <c r="BG88" i="4"/>
  <c r="BD88" i="4"/>
  <c r="BA88" i="4"/>
  <c r="AY88" i="4"/>
  <c r="AW88" i="4"/>
  <c r="AT88" i="4"/>
  <c r="AS88" i="4"/>
  <c r="AN88" i="4"/>
  <c r="R88" i="4"/>
  <c r="O88" i="4"/>
  <c r="E88" i="4"/>
  <c r="BG87" i="4"/>
  <c r="BD87" i="4"/>
  <c r="BA87" i="4"/>
  <c r="AY87" i="4"/>
  <c r="AW87" i="4"/>
  <c r="AT87" i="4"/>
  <c r="AS87" i="4"/>
  <c r="AN87" i="4"/>
  <c r="O87" i="4"/>
  <c r="E87" i="4"/>
  <c r="BG86" i="4"/>
  <c r="BD86" i="4"/>
  <c r="BA86" i="4"/>
  <c r="AY86" i="4"/>
  <c r="AW86" i="4"/>
  <c r="AU86" i="4"/>
  <c r="AT86" i="4"/>
  <c r="AS86" i="4"/>
  <c r="AM86" i="4"/>
  <c r="AL86" i="4"/>
  <c r="R86" i="4"/>
  <c r="O86" i="4"/>
  <c r="F36" i="14" s="1"/>
  <c r="E86" i="4"/>
  <c r="BG85" i="4"/>
  <c r="BD85" i="4"/>
  <c r="BA85" i="4"/>
  <c r="AY85" i="4"/>
  <c r="AW85" i="4"/>
  <c r="AU85" i="4"/>
  <c r="AT85" i="4"/>
  <c r="AS85" i="4"/>
  <c r="AM85" i="4"/>
  <c r="AL85" i="4"/>
  <c r="O85" i="4"/>
  <c r="F35" i="14" s="1"/>
  <c r="E85" i="4"/>
  <c r="BG84" i="4"/>
  <c r="BD84" i="4"/>
  <c r="BA84" i="4"/>
  <c r="AY84" i="4"/>
  <c r="AW84" i="4"/>
  <c r="AT84" i="4"/>
  <c r="AS84" i="4"/>
  <c r="AN84" i="4"/>
  <c r="O84" i="4"/>
  <c r="E84" i="4"/>
  <c r="BG83" i="4"/>
  <c r="BD83" i="4"/>
  <c r="BA83" i="4"/>
  <c r="AY83" i="4"/>
  <c r="AW83" i="4"/>
  <c r="AT83" i="4"/>
  <c r="AS83" i="4"/>
  <c r="AN83" i="4"/>
  <c r="O83" i="4"/>
  <c r="E83" i="4"/>
  <c r="BG82" i="4"/>
  <c r="BD82" i="4"/>
  <c r="BA82" i="4"/>
  <c r="AY82" i="4"/>
  <c r="AW82" i="4"/>
  <c r="AT82" i="4"/>
  <c r="AS82" i="4"/>
  <c r="AN82" i="4"/>
  <c r="O82" i="4"/>
  <c r="E82" i="4"/>
  <c r="BG81" i="4"/>
  <c r="BD81" i="4"/>
  <c r="BA81" i="4"/>
  <c r="AY81" i="4"/>
  <c r="AW81" i="4"/>
  <c r="AT81" i="4"/>
  <c r="AS81" i="4"/>
  <c r="AN81" i="4"/>
  <c r="O81" i="4"/>
  <c r="E81" i="4"/>
  <c r="BG80" i="4"/>
  <c r="BD80" i="4"/>
  <c r="BA80" i="4"/>
  <c r="AY80" i="4"/>
  <c r="AW80" i="4"/>
  <c r="AT80" i="4"/>
  <c r="AS80" i="4"/>
  <c r="AN80" i="4"/>
  <c r="R80" i="4"/>
  <c r="O80" i="4"/>
  <c r="E80" i="4"/>
  <c r="BG79" i="4"/>
  <c r="BD79" i="4"/>
  <c r="BA79" i="4"/>
  <c r="AY79" i="4"/>
  <c r="AW79" i="4"/>
  <c r="AT79" i="4"/>
  <c r="AS79" i="4"/>
  <c r="AN79" i="4"/>
  <c r="O79" i="4"/>
  <c r="E79" i="4"/>
  <c r="BG78" i="4"/>
  <c r="BD78" i="4"/>
  <c r="BA78" i="4"/>
  <c r="AY78" i="4"/>
  <c r="AW78" i="4"/>
  <c r="AT78" i="4"/>
  <c r="AS78" i="4"/>
  <c r="AN78" i="4"/>
  <c r="O78" i="4"/>
  <c r="F34" i="14" s="1"/>
  <c r="E78" i="4"/>
  <c r="BG77" i="4"/>
  <c r="BD77" i="4"/>
  <c r="BA77" i="4"/>
  <c r="AY77" i="4"/>
  <c r="AW77" i="4"/>
  <c r="AT77" i="4"/>
  <c r="AS77" i="4"/>
  <c r="AN77" i="4"/>
  <c r="O77" i="4"/>
  <c r="F33" i="14" s="1"/>
  <c r="E77" i="4"/>
  <c r="BG76" i="4"/>
  <c r="BD76" i="4"/>
  <c r="BA76" i="4"/>
  <c r="AY76" i="4"/>
  <c r="AW76" i="4"/>
  <c r="AT76" i="4"/>
  <c r="AS76" i="4"/>
  <c r="AN76" i="4"/>
  <c r="O76" i="4"/>
  <c r="E76" i="4"/>
  <c r="BG75" i="4"/>
  <c r="BD75" i="4"/>
  <c r="BA75" i="4"/>
  <c r="AY75" i="4"/>
  <c r="AW75" i="4"/>
  <c r="AT75" i="4"/>
  <c r="AS75" i="4"/>
  <c r="AN75" i="4"/>
  <c r="O75" i="4"/>
  <c r="E75" i="4"/>
  <c r="BG74" i="4"/>
  <c r="BD74" i="4"/>
  <c r="BA74" i="4"/>
  <c r="AY74" i="4"/>
  <c r="AW74" i="4"/>
  <c r="AT74" i="4"/>
  <c r="AS74" i="4"/>
  <c r="AN74" i="4"/>
  <c r="O74" i="4"/>
  <c r="E74" i="4"/>
  <c r="BG73" i="4"/>
  <c r="BD73" i="4"/>
  <c r="BA73" i="4"/>
  <c r="AY73" i="4"/>
  <c r="AW73" i="4"/>
  <c r="AT73" i="4"/>
  <c r="AS73" i="4"/>
  <c r="AN73" i="4"/>
  <c r="O73" i="4"/>
  <c r="E73" i="4"/>
  <c r="BG72" i="4"/>
  <c r="BD72" i="4"/>
  <c r="BA72" i="4"/>
  <c r="AY72" i="4"/>
  <c r="AW72" i="4"/>
  <c r="AU72" i="4"/>
  <c r="AT72" i="4"/>
  <c r="AS72" i="4"/>
  <c r="AM72" i="4"/>
  <c r="AL72" i="4"/>
  <c r="R72" i="4"/>
  <c r="O72" i="4"/>
  <c r="F32" i="14" s="1"/>
  <c r="E72" i="4"/>
  <c r="BG71" i="4"/>
  <c r="BD71" i="4"/>
  <c r="BA71" i="4"/>
  <c r="AY71" i="4"/>
  <c r="AW71" i="4"/>
  <c r="AU71" i="4"/>
  <c r="AT71" i="4"/>
  <c r="AS71" i="4"/>
  <c r="AM71" i="4"/>
  <c r="AL71" i="4"/>
  <c r="O71" i="4"/>
  <c r="F31" i="14" s="1"/>
  <c r="E71" i="4"/>
  <c r="BG70" i="4"/>
  <c r="BD70" i="4"/>
  <c r="BA70" i="4"/>
  <c r="AY70" i="4"/>
  <c r="AW70" i="4"/>
  <c r="AT70" i="4"/>
  <c r="AS70" i="4"/>
  <c r="AN70" i="4"/>
  <c r="O70" i="4"/>
  <c r="E70" i="4"/>
  <c r="BG69" i="4"/>
  <c r="BD69" i="4"/>
  <c r="BA69" i="4"/>
  <c r="AY69" i="4"/>
  <c r="AW69" i="4"/>
  <c r="AT69" i="4"/>
  <c r="AS69" i="4"/>
  <c r="AN69" i="4"/>
  <c r="O69" i="4"/>
  <c r="R69" i="4" s="1"/>
  <c r="E69" i="4"/>
  <c r="BG68" i="4"/>
  <c r="BD68" i="4"/>
  <c r="BA68" i="4"/>
  <c r="AY68" i="4"/>
  <c r="AW68" i="4"/>
  <c r="AT68" i="4"/>
  <c r="AS68" i="4"/>
  <c r="AN68" i="4"/>
  <c r="R68" i="4"/>
  <c r="O68" i="4"/>
  <c r="E68" i="4"/>
  <c r="BG67" i="4"/>
  <c r="BD67" i="4"/>
  <c r="BA67" i="4"/>
  <c r="AY67" i="4"/>
  <c r="AW67" i="4"/>
  <c r="AT67" i="4"/>
  <c r="AS67" i="4"/>
  <c r="AN67" i="4"/>
  <c r="O67" i="4"/>
  <c r="E67" i="4"/>
  <c r="BG66" i="4"/>
  <c r="BD66" i="4"/>
  <c r="BA66" i="4"/>
  <c r="AY66" i="4"/>
  <c r="AW66" i="4"/>
  <c r="AT66" i="4"/>
  <c r="AS66" i="4"/>
  <c r="AN66" i="4"/>
  <c r="O66" i="4"/>
  <c r="E66" i="4"/>
  <c r="BG65" i="4"/>
  <c r="BD65" i="4"/>
  <c r="BA65" i="4"/>
  <c r="AY65" i="4"/>
  <c r="AW65" i="4"/>
  <c r="AT65" i="4"/>
  <c r="AS65" i="4"/>
  <c r="AN65" i="4"/>
  <c r="O65" i="4"/>
  <c r="E65" i="4"/>
  <c r="BG64" i="4"/>
  <c r="BD64" i="4"/>
  <c r="BA64" i="4"/>
  <c r="AY64" i="4"/>
  <c r="AW64" i="4"/>
  <c r="AT64" i="4"/>
  <c r="AS64" i="4"/>
  <c r="AN64" i="4"/>
  <c r="R64" i="4"/>
  <c r="O64" i="4"/>
  <c r="F30" i="14" s="1"/>
  <c r="E64" i="4"/>
  <c r="BG63" i="4"/>
  <c r="BD63" i="4"/>
  <c r="BA63" i="4"/>
  <c r="AY63" i="4"/>
  <c r="AW63" i="4"/>
  <c r="AT63" i="4"/>
  <c r="AS63" i="4"/>
  <c r="AN63" i="4"/>
  <c r="O63" i="4"/>
  <c r="F29" i="14" s="1"/>
  <c r="E63" i="4"/>
  <c r="BG62" i="4"/>
  <c r="BD62" i="4"/>
  <c r="BA62" i="4"/>
  <c r="AY62" i="4"/>
  <c r="AW62" i="4"/>
  <c r="AT62" i="4"/>
  <c r="AS62" i="4"/>
  <c r="AN62" i="4"/>
  <c r="O62" i="4"/>
  <c r="E62" i="4"/>
  <c r="BG61" i="4"/>
  <c r="BD61" i="4"/>
  <c r="BA61" i="4"/>
  <c r="AY61" i="4"/>
  <c r="AW61" i="4"/>
  <c r="AT61" i="4"/>
  <c r="AS61" i="4"/>
  <c r="AN61" i="4"/>
  <c r="O61" i="4"/>
  <c r="R61" i="4" s="1"/>
  <c r="E61" i="4"/>
  <c r="BG60" i="4"/>
  <c r="BD60" i="4"/>
  <c r="BA60" i="4"/>
  <c r="AY60" i="4"/>
  <c r="AW60" i="4"/>
  <c r="AT60" i="4"/>
  <c r="AS60" i="4"/>
  <c r="AN60" i="4"/>
  <c r="R60" i="4"/>
  <c r="O60" i="4"/>
  <c r="E60" i="4"/>
  <c r="BG59" i="4"/>
  <c r="BD59" i="4"/>
  <c r="BA59" i="4"/>
  <c r="AY59" i="4"/>
  <c r="AW59" i="4"/>
  <c r="AT59" i="4"/>
  <c r="AS59" i="4"/>
  <c r="AN59" i="4"/>
  <c r="O59" i="4"/>
  <c r="E59" i="4"/>
  <c r="BG58" i="4"/>
  <c r="BD58" i="4"/>
  <c r="BA58" i="4"/>
  <c r="AY58" i="4"/>
  <c r="AW58" i="4"/>
  <c r="AU58" i="4"/>
  <c r="AT58" i="4"/>
  <c r="AS58" i="4"/>
  <c r="AM58" i="4"/>
  <c r="AL58" i="4"/>
  <c r="O58" i="4"/>
  <c r="F28" i="14" s="1"/>
  <c r="E58" i="4"/>
  <c r="BG57" i="4"/>
  <c r="BD57" i="4"/>
  <c r="BA57" i="4"/>
  <c r="AY57" i="4"/>
  <c r="AW57" i="4"/>
  <c r="AU57" i="4"/>
  <c r="AT57" i="4"/>
  <c r="AS57" i="4"/>
  <c r="AM57" i="4"/>
  <c r="AL57" i="4"/>
  <c r="O57" i="4"/>
  <c r="F27" i="14" s="1"/>
  <c r="E57" i="4"/>
  <c r="BG56" i="4"/>
  <c r="BD56" i="4"/>
  <c r="BA56" i="4"/>
  <c r="AY56" i="4"/>
  <c r="AW56" i="4"/>
  <c r="AT56" i="4"/>
  <c r="AS56" i="4"/>
  <c r="AN56" i="4"/>
  <c r="R56" i="4"/>
  <c r="O56" i="4"/>
  <c r="E56" i="4"/>
  <c r="BG55" i="4"/>
  <c r="BD55" i="4"/>
  <c r="BA55" i="4"/>
  <c r="AY55" i="4"/>
  <c r="AW55" i="4"/>
  <c r="AT55" i="4"/>
  <c r="AS55" i="4"/>
  <c r="AN55" i="4"/>
  <c r="O55" i="4"/>
  <c r="E55" i="4"/>
  <c r="BG54" i="4"/>
  <c r="BD54" i="4"/>
  <c r="BA54" i="4"/>
  <c r="AY54" i="4"/>
  <c r="AW54" i="4"/>
  <c r="AT54" i="4"/>
  <c r="AS54" i="4"/>
  <c r="AN54" i="4"/>
  <c r="O54" i="4"/>
  <c r="E54" i="4"/>
  <c r="BG53" i="4"/>
  <c r="BD53" i="4"/>
  <c r="BA53" i="4"/>
  <c r="AY53" i="4"/>
  <c r="AW53" i="4"/>
  <c r="AT53" i="4"/>
  <c r="AS53" i="4"/>
  <c r="AN53" i="4"/>
  <c r="O53" i="4"/>
  <c r="R53" i="4" s="1"/>
  <c r="E53" i="4"/>
  <c r="BG52" i="4"/>
  <c r="BD52" i="4"/>
  <c r="BA52" i="4"/>
  <c r="AY52" i="4"/>
  <c r="AW52" i="4"/>
  <c r="AT52" i="4"/>
  <c r="AS52" i="4"/>
  <c r="AN52" i="4"/>
  <c r="O52" i="4"/>
  <c r="E52" i="4"/>
  <c r="BG51" i="4"/>
  <c r="BD51" i="4"/>
  <c r="BA51" i="4"/>
  <c r="AY51" i="4"/>
  <c r="AW51" i="4"/>
  <c r="AT51" i="4"/>
  <c r="AS51" i="4"/>
  <c r="AN51" i="4"/>
  <c r="O51" i="4"/>
  <c r="E51" i="4"/>
  <c r="A51" i="4"/>
  <c r="BG50" i="4"/>
  <c r="BD50" i="4"/>
  <c r="BA50" i="4"/>
  <c r="AY50" i="4"/>
  <c r="AW50" i="4"/>
  <c r="AT50" i="4"/>
  <c r="AS50" i="4"/>
  <c r="AN50" i="4"/>
  <c r="O50" i="4"/>
  <c r="F26" i="14" s="1"/>
  <c r="E50" i="4"/>
  <c r="BG49" i="4"/>
  <c r="BD49" i="4"/>
  <c r="BA49" i="4"/>
  <c r="AY49" i="4"/>
  <c r="AW49" i="4"/>
  <c r="AT49" i="4"/>
  <c r="AS49" i="4"/>
  <c r="AN49" i="4"/>
  <c r="O49" i="4"/>
  <c r="F25" i="14" s="1"/>
  <c r="E49" i="4"/>
  <c r="BG48" i="4"/>
  <c r="BD48" i="4"/>
  <c r="BA48" i="4"/>
  <c r="AY48" i="4"/>
  <c r="AW48" i="4"/>
  <c r="AT48" i="4"/>
  <c r="AS48" i="4"/>
  <c r="AN48" i="4"/>
  <c r="R48" i="4"/>
  <c r="O48" i="4"/>
  <c r="E48" i="4"/>
  <c r="BG47" i="4"/>
  <c r="BD47" i="4"/>
  <c r="BA47" i="4"/>
  <c r="AY47" i="4"/>
  <c r="AW47" i="4"/>
  <c r="AT47" i="4"/>
  <c r="AS47" i="4"/>
  <c r="AN47" i="4"/>
  <c r="O47" i="4"/>
  <c r="E47" i="4"/>
  <c r="BG46" i="4"/>
  <c r="BD46" i="4"/>
  <c r="BA46" i="4"/>
  <c r="AY46" i="4"/>
  <c r="AW46" i="4"/>
  <c r="AT46" i="4"/>
  <c r="AS46" i="4"/>
  <c r="AN46" i="4"/>
  <c r="O46" i="4"/>
  <c r="E46" i="4"/>
  <c r="BG45" i="4"/>
  <c r="BD45" i="4"/>
  <c r="BA45" i="4"/>
  <c r="AY45" i="4"/>
  <c r="AW45" i="4"/>
  <c r="AT45" i="4"/>
  <c r="AS45" i="4"/>
  <c r="AN45" i="4"/>
  <c r="O45" i="4"/>
  <c r="R45" i="4" s="1"/>
  <c r="E45" i="4"/>
  <c r="BG44" i="4"/>
  <c r="BD44" i="4"/>
  <c r="BA44" i="4"/>
  <c r="AY44" i="4"/>
  <c r="AW44" i="4"/>
  <c r="AU44" i="4"/>
  <c r="AT44" i="4"/>
  <c r="AS44" i="4"/>
  <c r="AM44" i="4"/>
  <c r="AL44" i="4"/>
  <c r="O44" i="4"/>
  <c r="F24" i="14" s="1"/>
  <c r="E44" i="4"/>
  <c r="BG43" i="4"/>
  <c r="BD43" i="4"/>
  <c r="BA43" i="4"/>
  <c r="AY43" i="4"/>
  <c r="AW43" i="4"/>
  <c r="AU43" i="4"/>
  <c r="AT43" i="4"/>
  <c r="AS43" i="4"/>
  <c r="AM43" i="4"/>
  <c r="AL43" i="4"/>
  <c r="O43" i="4"/>
  <c r="F23" i="14" s="1"/>
  <c r="E43" i="4"/>
  <c r="BG42" i="4"/>
  <c r="BD42" i="4"/>
  <c r="BA42" i="4"/>
  <c r="AY42" i="4"/>
  <c r="AW42" i="4"/>
  <c r="AT42" i="4"/>
  <c r="AS42" i="4"/>
  <c r="AN42" i="4"/>
  <c r="O42" i="4"/>
  <c r="E42" i="4"/>
  <c r="BG41" i="4"/>
  <c r="BD41" i="4"/>
  <c r="BA41" i="4"/>
  <c r="AY41" i="4"/>
  <c r="AW41" i="4"/>
  <c r="AT41" i="4"/>
  <c r="AS41" i="4"/>
  <c r="AN41" i="4"/>
  <c r="O41" i="4"/>
  <c r="R41" i="4" s="1"/>
  <c r="E41" i="4"/>
  <c r="BG40" i="4"/>
  <c r="BD40" i="4"/>
  <c r="BA40" i="4"/>
  <c r="AY40" i="4"/>
  <c r="AW40" i="4"/>
  <c r="AT40" i="4"/>
  <c r="AS40" i="4"/>
  <c r="AN40" i="4"/>
  <c r="R40" i="4"/>
  <c r="O40" i="4"/>
  <c r="E40" i="4"/>
  <c r="BG39" i="4"/>
  <c r="BD39" i="4"/>
  <c r="BA39" i="4"/>
  <c r="AY39" i="4"/>
  <c r="AW39" i="4"/>
  <c r="AT39" i="4"/>
  <c r="AS39" i="4"/>
  <c r="AN39" i="4"/>
  <c r="O39" i="4"/>
  <c r="E39" i="4"/>
  <c r="BG38" i="4"/>
  <c r="BD38" i="4"/>
  <c r="BA38" i="4"/>
  <c r="AY38" i="4"/>
  <c r="AW38" i="4"/>
  <c r="AT38" i="4"/>
  <c r="AS38" i="4"/>
  <c r="AN38" i="4"/>
  <c r="O38" i="4"/>
  <c r="E38" i="4"/>
  <c r="BG37" i="4"/>
  <c r="BD37" i="4"/>
  <c r="BA37" i="4"/>
  <c r="AY37" i="4"/>
  <c r="AW37" i="4"/>
  <c r="AT37" i="4"/>
  <c r="AS37" i="4"/>
  <c r="AN37" i="4"/>
  <c r="R37" i="4"/>
  <c r="O37" i="4"/>
  <c r="E37" i="4"/>
  <c r="BG36" i="4"/>
  <c r="BD36" i="4"/>
  <c r="BA36" i="4"/>
  <c r="AY36" i="4"/>
  <c r="AW36" i="4"/>
  <c r="AT36" i="4"/>
  <c r="AS36" i="4"/>
  <c r="AN36" i="4"/>
  <c r="O36" i="4"/>
  <c r="E36" i="4"/>
  <c r="BG35" i="4"/>
  <c r="BD35" i="4"/>
  <c r="BA35" i="4"/>
  <c r="AY35" i="4"/>
  <c r="AW35" i="4"/>
  <c r="AT35" i="4"/>
  <c r="AS35" i="4"/>
  <c r="AN35" i="4"/>
  <c r="O35" i="4"/>
  <c r="E35" i="4"/>
  <c r="BG34" i="4"/>
  <c r="BD34" i="4"/>
  <c r="BA34" i="4"/>
  <c r="AY34" i="4"/>
  <c r="AW34" i="4"/>
  <c r="AT34" i="4"/>
  <c r="AS34" i="4"/>
  <c r="AN34" i="4"/>
  <c r="O34" i="4"/>
  <c r="E34" i="4"/>
  <c r="BG33" i="4"/>
  <c r="BD33" i="4"/>
  <c r="BA33" i="4"/>
  <c r="AY33" i="4"/>
  <c r="AW33" i="4"/>
  <c r="AT33" i="4"/>
  <c r="AS33" i="4"/>
  <c r="AN33" i="4"/>
  <c r="O33" i="4"/>
  <c r="R33" i="4" s="1"/>
  <c r="E33" i="4"/>
  <c r="BG32" i="4"/>
  <c r="BD32" i="4"/>
  <c r="BA32" i="4"/>
  <c r="AY32" i="4"/>
  <c r="AW32" i="4"/>
  <c r="AT32" i="4"/>
  <c r="AS32" i="4"/>
  <c r="AN32" i="4"/>
  <c r="R32" i="4"/>
  <c r="O32" i="4"/>
  <c r="E32" i="4"/>
  <c r="BG31" i="4"/>
  <c r="BD31" i="4"/>
  <c r="BA31" i="4"/>
  <c r="AY31" i="4"/>
  <c r="AW31" i="4"/>
  <c r="AT31" i="4"/>
  <c r="AS31" i="4"/>
  <c r="AN31" i="4"/>
  <c r="O31" i="4"/>
  <c r="E31" i="4"/>
  <c r="BG30" i="4"/>
  <c r="BD30" i="4"/>
  <c r="BA30" i="4"/>
  <c r="AY30" i="4"/>
  <c r="AW30" i="4"/>
  <c r="AU30" i="4"/>
  <c r="AT30" i="4"/>
  <c r="AS30" i="4"/>
  <c r="AM30" i="4"/>
  <c r="AL30" i="4"/>
  <c r="O30" i="4"/>
  <c r="F20" i="14" s="1"/>
  <c r="E30" i="4"/>
  <c r="BG29" i="4"/>
  <c r="BD29" i="4"/>
  <c r="BA29" i="4"/>
  <c r="AY29" i="4"/>
  <c r="AW29" i="4"/>
  <c r="AU29" i="4"/>
  <c r="AT29" i="4"/>
  <c r="AS29" i="4"/>
  <c r="AM29" i="4"/>
  <c r="AL29" i="4"/>
  <c r="R29" i="4"/>
  <c r="O29" i="4"/>
  <c r="F19" i="14" s="1"/>
  <c r="E29" i="4"/>
  <c r="BG28" i="4"/>
  <c r="BF28" i="4"/>
  <c r="BD28" i="4"/>
  <c r="BC28" i="4"/>
  <c r="BA28" i="4"/>
  <c r="AY28" i="4"/>
  <c r="AW28" i="4"/>
  <c r="AT28" i="4"/>
  <c r="AS28" i="4"/>
  <c r="AQ28" i="4"/>
  <c r="AN28" i="4"/>
  <c r="AM28" i="4"/>
  <c r="AL28" i="4"/>
  <c r="AK28" i="4"/>
  <c r="AJ28" i="4"/>
  <c r="AI28" i="4"/>
  <c r="AH28" i="4"/>
  <c r="AG28" i="4"/>
  <c r="AF28" i="4"/>
  <c r="AD28" i="4"/>
  <c r="AC28" i="4"/>
  <c r="AA28" i="4"/>
  <c r="Z28" i="4"/>
  <c r="AE28" i="4" s="1"/>
  <c r="X28" i="4"/>
  <c r="AB28" i="4" s="1"/>
  <c r="W28" i="4"/>
  <c r="V28" i="4"/>
  <c r="U28" i="4"/>
  <c r="Y28" i="4" s="1"/>
  <c r="T28" i="4"/>
  <c r="S28" i="4"/>
  <c r="R28" i="4"/>
  <c r="O28" i="4"/>
  <c r="E28" i="4"/>
  <c r="BG27" i="4"/>
  <c r="BF27" i="4"/>
  <c r="BD27" i="4"/>
  <c r="BC27" i="4"/>
  <c r="BA27" i="4"/>
  <c r="AY27" i="4"/>
  <c r="AW27" i="4"/>
  <c r="AT27" i="4"/>
  <c r="AS27" i="4"/>
  <c r="AQ27" i="4"/>
  <c r="AO27" i="4"/>
  <c r="AP27" i="4" s="1"/>
  <c r="AN27" i="4"/>
  <c r="AM27" i="4"/>
  <c r="AL27" i="4"/>
  <c r="AK27" i="4"/>
  <c r="AJ27" i="4"/>
  <c r="AI27" i="4"/>
  <c r="AH27" i="4"/>
  <c r="AG27" i="4"/>
  <c r="AF27" i="4"/>
  <c r="AE27" i="4"/>
  <c r="AD27" i="4"/>
  <c r="AC27" i="4"/>
  <c r="AA27" i="4"/>
  <c r="Z27" i="4"/>
  <c r="Y27" i="4"/>
  <c r="X27" i="4"/>
  <c r="AB27" i="4" s="1"/>
  <c r="W27" i="4"/>
  <c r="V27" i="4"/>
  <c r="U27" i="4"/>
  <c r="T27" i="4"/>
  <c r="S27" i="4"/>
  <c r="O27" i="4"/>
  <c r="E27" i="4"/>
  <c r="BG26" i="4"/>
  <c r="BF26" i="4"/>
  <c r="BD26" i="4"/>
  <c r="BC26" i="4"/>
  <c r="BA26" i="4"/>
  <c r="AY26" i="4"/>
  <c r="AW26" i="4"/>
  <c r="AT26" i="4"/>
  <c r="AS26" i="4"/>
  <c r="AR26" i="4"/>
  <c r="AQ26" i="4"/>
  <c r="AN26" i="4"/>
  <c r="AM26" i="4"/>
  <c r="AO26" i="4" s="1"/>
  <c r="AP26" i="4" s="1"/>
  <c r="AL26" i="4"/>
  <c r="AK26" i="4"/>
  <c r="AJ26" i="4"/>
  <c r="AI26" i="4"/>
  <c r="AH26" i="4"/>
  <c r="AG26" i="4"/>
  <c r="AF26" i="4"/>
  <c r="AE26" i="4"/>
  <c r="AD26" i="4"/>
  <c r="AC26" i="4"/>
  <c r="AB26" i="4"/>
  <c r="AA26" i="4"/>
  <c r="Z26" i="4"/>
  <c r="Y26" i="4"/>
  <c r="X26" i="4"/>
  <c r="W26" i="4"/>
  <c r="V26" i="4"/>
  <c r="U26" i="4"/>
  <c r="T26" i="4"/>
  <c r="S26" i="4"/>
  <c r="O26" i="4"/>
  <c r="E26" i="4"/>
  <c r="BG25" i="4"/>
  <c r="BF25" i="4"/>
  <c r="BD25" i="4"/>
  <c r="BC25" i="4"/>
  <c r="BA25" i="4"/>
  <c r="AY25" i="4"/>
  <c r="AW25" i="4"/>
  <c r="AU25" i="4"/>
  <c r="AT25" i="4"/>
  <c r="AS25" i="4"/>
  <c r="AQ25" i="4"/>
  <c r="AN25" i="4"/>
  <c r="AM25" i="4"/>
  <c r="AO25" i="4" s="1"/>
  <c r="AP25" i="4" s="1"/>
  <c r="AL25" i="4"/>
  <c r="AK25" i="4"/>
  <c r="AJ25" i="4"/>
  <c r="AR25" i="4" s="1"/>
  <c r="AI25" i="4"/>
  <c r="AH25" i="4"/>
  <c r="AG25" i="4"/>
  <c r="AF25" i="4"/>
  <c r="AE25" i="4"/>
  <c r="AD25" i="4"/>
  <c r="AC25" i="4"/>
  <c r="AB25" i="4"/>
  <c r="AA25" i="4"/>
  <c r="Z25" i="4"/>
  <c r="X25" i="4"/>
  <c r="W25" i="4"/>
  <c r="V25" i="4"/>
  <c r="U25" i="4"/>
  <c r="Y25" i="4" s="1"/>
  <c r="T25" i="4"/>
  <c r="S25" i="4"/>
  <c r="O25" i="4"/>
  <c r="R25" i="4" s="1"/>
  <c r="E25" i="4"/>
  <c r="BG24" i="4"/>
  <c r="BF24" i="4"/>
  <c r="BD24" i="4"/>
  <c r="BC24" i="4"/>
  <c r="BA24" i="4"/>
  <c r="AY24" i="4"/>
  <c r="AW24" i="4"/>
  <c r="AT24" i="4"/>
  <c r="AS24" i="4"/>
  <c r="AR24" i="4"/>
  <c r="AQ24" i="4"/>
  <c r="AN24" i="4"/>
  <c r="AM24" i="4"/>
  <c r="AO24" i="4" s="1"/>
  <c r="AP24" i="4" s="1"/>
  <c r="AL24" i="4"/>
  <c r="AK24" i="4"/>
  <c r="AJ24" i="4"/>
  <c r="AI24" i="4"/>
  <c r="AH24" i="4"/>
  <c r="AG24" i="4"/>
  <c r="AF24" i="4"/>
  <c r="AE24" i="4"/>
  <c r="AD24" i="4"/>
  <c r="AC24" i="4"/>
  <c r="AB24" i="4"/>
  <c r="AA24" i="4"/>
  <c r="Z24" i="4"/>
  <c r="Y24" i="4"/>
  <c r="X24" i="4"/>
  <c r="W24" i="4"/>
  <c r="V24" i="4"/>
  <c r="U24" i="4"/>
  <c r="T24" i="4"/>
  <c r="S24" i="4"/>
  <c r="R24" i="4"/>
  <c r="O24" i="4"/>
  <c r="E24" i="4"/>
  <c r="BG23" i="4"/>
  <c r="BF23" i="4"/>
  <c r="BD23" i="4"/>
  <c r="BC23" i="4"/>
  <c r="BA23" i="4"/>
  <c r="AY23" i="4"/>
  <c r="AW23" i="4"/>
  <c r="AT23" i="4"/>
  <c r="AS23" i="4"/>
  <c r="AR23" i="4"/>
  <c r="AQ23" i="4"/>
  <c r="AN23" i="4"/>
  <c r="AM23" i="4"/>
  <c r="AL23" i="4"/>
  <c r="AK23" i="4"/>
  <c r="AJ23" i="4"/>
  <c r="AI23" i="4"/>
  <c r="AH23" i="4"/>
  <c r="AG23" i="4"/>
  <c r="AF23" i="4"/>
  <c r="AD23" i="4"/>
  <c r="AC23" i="4"/>
  <c r="AA23" i="4"/>
  <c r="Z23" i="4"/>
  <c r="AO23" i="4" s="1"/>
  <c r="AP23" i="4" s="1"/>
  <c r="Y23" i="4"/>
  <c r="X23" i="4"/>
  <c r="AB23" i="4" s="1"/>
  <c r="W23" i="4"/>
  <c r="V23" i="4"/>
  <c r="U23" i="4"/>
  <c r="T23" i="4"/>
  <c r="S23" i="4"/>
  <c r="O23" i="4"/>
  <c r="E23" i="4"/>
  <c r="BG22" i="4"/>
  <c r="BF22" i="4"/>
  <c r="BD22" i="4"/>
  <c r="BC22" i="4"/>
  <c r="BA22" i="4"/>
  <c r="AY22" i="4"/>
  <c r="AW22" i="4"/>
  <c r="AT22" i="4"/>
  <c r="AS22" i="4"/>
  <c r="AR22" i="4"/>
  <c r="AQ22" i="4"/>
  <c r="AN22" i="4"/>
  <c r="AM22" i="4"/>
  <c r="AO22" i="4" s="1"/>
  <c r="AP22" i="4" s="1"/>
  <c r="AL22" i="4"/>
  <c r="AK22" i="4"/>
  <c r="AJ22" i="4"/>
  <c r="AI22" i="4"/>
  <c r="AH22" i="4"/>
  <c r="AF22" i="4"/>
  <c r="AE22" i="4"/>
  <c r="AD22" i="4"/>
  <c r="AG22" i="4" s="1"/>
  <c r="AC22" i="4"/>
  <c r="AB22" i="4"/>
  <c r="AA22" i="4"/>
  <c r="Z22" i="4"/>
  <c r="X22" i="4"/>
  <c r="W22" i="4"/>
  <c r="V22" i="4"/>
  <c r="U22" i="4"/>
  <c r="Y22" i="4" s="1"/>
  <c r="T22" i="4"/>
  <c r="S22" i="4"/>
  <c r="O22" i="4"/>
  <c r="E22" i="4"/>
  <c r="BG21" i="4"/>
  <c r="BF21" i="4"/>
  <c r="BD21" i="4"/>
  <c r="BC21" i="4"/>
  <c r="BA21" i="4"/>
  <c r="AY21" i="4"/>
  <c r="AW21" i="4"/>
  <c r="AT21" i="4"/>
  <c r="AS21" i="4"/>
  <c r="AQ21" i="4"/>
  <c r="AN21" i="4"/>
  <c r="AM21" i="4"/>
  <c r="AL21" i="4"/>
  <c r="AK21" i="4"/>
  <c r="AJ21" i="4"/>
  <c r="AI21" i="4"/>
  <c r="AH21" i="4"/>
  <c r="AG21" i="4"/>
  <c r="AF21" i="4"/>
  <c r="AE21" i="4"/>
  <c r="AD21" i="4"/>
  <c r="AC21" i="4"/>
  <c r="AB21" i="4"/>
  <c r="AA21" i="4"/>
  <c r="Z21" i="4"/>
  <c r="X21" i="4"/>
  <c r="W21" i="4"/>
  <c r="V21" i="4"/>
  <c r="U21" i="4"/>
  <c r="Y21" i="4" s="1"/>
  <c r="T21" i="4"/>
  <c r="S21" i="4"/>
  <c r="O21" i="4"/>
  <c r="E21" i="4"/>
  <c r="BG20" i="4"/>
  <c r="BF20" i="4"/>
  <c r="BD20" i="4"/>
  <c r="BC20" i="4"/>
  <c r="BA20" i="4"/>
  <c r="AY20" i="4"/>
  <c r="AW20" i="4"/>
  <c r="AT20" i="4"/>
  <c r="AS20" i="4"/>
  <c r="AR20" i="4"/>
  <c r="AQ20" i="4"/>
  <c r="AN20" i="4"/>
  <c r="AM20" i="4"/>
  <c r="AL20" i="4"/>
  <c r="AK20" i="4"/>
  <c r="AJ20" i="4"/>
  <c r="AI20" i="4"/>
  <c r="AH20" i="4"/>
  <c r="AG20" i="4"/>
  <c r="AF20" i="4"/>
  <c r="AD20" i="4"/>
  <c r="AC20" i="4"/>
  <c r="AB20" i="4"/>
  <c r="AA20" i="4"/>
  <c r="Z20" i="4"/>
  <c r="AE20" i="4" s="1"/>
  <c r="Y20" i="4"/>
  <c r="X20" i="4"/>
  <c r="W20" i="4"/>
  <c r="V20" i="4"/>
  <c r="U20" i="4"/>
  <c r="T20" i="4"/>
  <c r="S20" i="4"/>
  <c r="O20" i="4"/>
  <c r="AO20" i="4" s="1"/>
  <c r="AP20" i="4" s="1"/>
  <c r="E20" i="4"/>
  <c r="BG19" i="4"/>
  <c r="BF19" i="4"/>
  <c r="BD19" i="4"/>
  <c r="BC19" i="4"/>
  <c r="BA19" i="4"/>
  <c r="AY19" i="4"/>
  <c r="AW19" i="4"/>
  <c r="AT19" i="4"/>
  <c r="AS19" i="4"/>
  <c r="AQ19" i="4"/>
  <c r="AN19" i="4"/>
  <c r="AM19" i="4"/>
  <c r="AO19" i="4" s="1"/>
  <c r="AP19" i="4" s="1"/>
  <c r="AL19" i="4"/>
  <c r="AK19" i="4"/>
  <c r="AJ19" i="4"/>
  <c r="AI19" i="4"/>
  <c r="AH19" i="4"/>
  <c r="AG19" i="4"/>
  <c r="AF19" i="4"/>
  <c r="AD19" i="4"/>
  <c r="AC19" i="4"/>
  <c r="AA19" i="4"/>
  <c r="Z19" i="4"/>
  <c r="AE19" i="4" s="1"/>
  <c r="X19" i="4"/>
  <c r="AB19" i="4" s="1"/>
  <c r="W19" i="4"/>
  <c r="V19" i="4"/>
  <c r="U19" i="4"/>
  <c r="Y19" i="4" s="1"/>
  <c r="T19" i="4"/>
  <c r="S19" i="4"/>
  <c r="R19" i="4"/>
  <c r="O19" i="4"/>
  <c r="E19" i="4"/>
  <c r="BG18" i="4"/>
  <c r="BF18" i="4"/>
  <c r="BD18" i="4"/>
  <c r="BC18" i="4"/>
  <c r="BA18" i="4"/>
  <c r="AY18" i="4"/>
  <c r="AW18" i="4"/>
  <c r="AT18" i="4"/>
  <c r="AS18" i="4"/>
  <c r="AR18" i="4"/>
  <c r="AQ18" i="4"/>
  <c r="AN18" i="4"/>
  <c r="AM18" i="4"/>
  <c r="AL18" i="4"/>
  <c r="AK18" i="4"/>
  <c r="AJ18" i="4"/>
  <c r="AI18" i="4"/>
  <c r="AH18" i="4"/>
  <c r="AG18" i="4"/>
  <c r="AF18" i="4"/>
  <c r="AE18" i="4"/>
  <c r="AD18" i="4"/>
  <c r="AC18" i="4"/>
  <c r="AA18" i="4"/>
  <c r="Z18" i="4"/>
  <c r="Y18" i="4"/>
  <c r="X18" i="4"/>
  <c r="AB18" i="4" s="1"/>
  <c r="W18" i="4"/>
  <c r="V18" i="4"/>
  <c r="U18" i="4"/>
  <c r="T18" i="4"/>
  <c r="S18" i="4"/>
  <c r="R18" i="4"/>
  <c r="O18" i="4"/>
  <c r="E18" i="4"/>
  <c r="BG17" i="4"/>
  <c r="BF17" i="4"/>
  <c r="BD17" i="4"/>
  <c r="BC17" i="4"/>
  <c r="BA17" i="4"/>
  <c r="AY17" i="4"/>
  <c r="AW17" i="4"/>
  <c r="AT17" i="4"/>
  <c r="AS17" i="4"/>
  <c r="AQ17" i="4"/>
  <c r="AN17" i="4"/>
  <c r="AM17" i="4"/>
  <c r="AO17" i="4" s="1"/>
  <c r="AP17" i="4" s="1"/>
  <c r="AL17" i="4"/>
  <c r="AK17" i="4"/>
  <c r="AJ17" i="4"/>
  <c r="AI17" i="4"/>
  <c r="AH17" i="4"/>
  <c r="AG17" i="4"/>
  <c r="AF17" i="4"/>
  <c r="AE17" i="4"/>
  <c r="AD17" i="4"/>
  <c r="AC17" i="4"/>
  <c r="AB17" i="4"/>
  <c r="AA17" i="4"/>
  <c r="Z17" i="4"/>
  <c r="X17" i="4"/>
  <c r="W17" i="4"/>
  <c r="V17" i="4"/>
  <c r="U17" i="4"/>
  <c r="Y17" i="4" s="1"/>
  <c r="T17" i="4"/>
  <c r="S17" i="4"/>
  <c r="O17" i="4"/>
  <c r="R17" i="4" s="1"/>
  <c r="E17" i="4"/>
  <c r="BG16" i="4"/>
  <c r="BF16" i="4"/>
  <c r="BD16" i="4"/>
  <c r="BC16" i="4"/>
  <c r="BA16" i="4"/>
  <c r="AY16" i="4"/>
  <c r="AW16" i="4"/>
  <c r="AU16" i="4"/>
  <c r="AT16" i="4"/>
  <c r="AS16" i="4"/>
  <c r="AR16" i="4"/>
  <c r="AQ16" i="4"/>
  <c r="AM16" i="4"/>
  <c r="AL16" i="4"/>
  <c r="AK16" i="4"/>
  <c r="AJ16" i="4"/>
  <c r="AI16" i="4"/>
  <c r="AH16" i="4"/>
  <c r="AF16" i="4"/>
  <c r="AE16" i="4"/>
  <c r="AD16" i="4"/>
  <c r="AG16" i="4" s="1"/>
  <c r="AC16" i="4"/>
  <c r="AB16" i="4"/>
  <c r="AA16" i="4"/>
  <c r="Z16" i="4"/>
  <c r="X16" i="4"/>
  <c r="W16" i="4"/>
  <c r="V16" i="4"/>
  <c r="U16" i="4"/>
  <c r="Y16" i="4" s="1"/>
  <c r="T16" i="4"/>
  <c r="S16" i="4"/>
  <c r="O16" i="4"/>
  <c r="E16" i="4"/>
  <c r="BG15" i="4"/>
  <c r="BF15" i="4"/>
  <c r="BD15" i="4"/>
  <c r="BC15" i="4"/>
  <c r="BA15" i="4"/>
  <c r="AY15" i="4"/>
  <c r="AW15" i="4"/>
  <c r="AU15" i="4"/>
  <c r="AT15" i="4"/>
  <c r="AS15" i="4"/>
  <c r="AR15" i="4"/>
  <c r="AQ15" i="4"/>
  <c r="AM15" i="4"/>
  <c r="AL15" i="4"/>
  <c r="AK15" i="4"/>
  <c r="AJ15" i="4"/>
  <c r="AI15" i="4"/>
  <c r="AH15" i="4"/>
  <c r="AF15" i="4"/>
  <c r="AD15" i="4"/>
  <c r="AC15" i="4"/>
  <c r="AA15" i="4"/>
  <c r="Z15" i="4"/>
  <c r="Y15" i="4"/>
  <c r="X15" i="4"/>
  <c r="W15" i="4"/>
  <c r="V15" i="4"/>
  <c r="U15" i="4"/>
  <c r="T15" i="4"/>
  <c r="S15" i="4"/>
  <c r="R15" i="4"/>
  <c r="O15" i="4"/>
  <c r="F15" i="14" s="1"/>
  <c r="E15" i="4"/>
  <c r="Q4" i="4"/>
  <c r="P4" i="4"/>
  <c r="N4" i="4"/>
  <c r="M4" i="4"/>
  <c r="L4" i="4"/>
  <c r="K4" i="4"/>
  <c r="J4" i="4"/>
  <c r="I4" i="4"/>
  <c r="H4" i="4"/>
  <c r="G4" i="4"/>
  <c r="D43" i="3"/>
  <c r="C43" i="3"/>
  <c r="D42" i="3"/>
  <c r="C42" i="3"/>
  <c r="D41" i="3"/>
  <c r="C41" i="3"/>
  <c r="D40" i="3"/>
  <c r="C40" i="3"/>
  <c r="C39" i="3"/>
  <c r="D39" i="3" s="1"/>
  <c r="D38" i="3"/>
  <c r="C38" i="3"/>
  <c r="C37" i="3"/>
  <c r="D37" i="3" s="1"/>
  <c r="C36" i="3"/>
  <c r="D36" i="3" s="1"/>
  <c r="D35" i="3"/>
  <c r="C35" i="3"/>
  <c r="D34" i="3"/>
  <c r="C34" i="3"/>
  <c r="D33" i="3"/>
  <c r="C33" i="3"/>
  <c r="D32" i="3"/>
  <c r="C32" i="3"/>
  <c r="C31" i="3"/>
  <c r="D31" i="3" s="1"/>
  <c r="D30" i="3"/>
  <c r="C30" i="3"/>
  <c r="C29" i="3"/>
  <c r="D29" i="3" s="1"/>
  <c r="C28" i="3"/>
  <c r="D28" i="3" s="1"/>
  <c r="C27" i="3"/>
  <c r="D27" i="3" s="1"/>
  <c r="D26" i="3"/>
  <c r="C26" i="3"/>
  <c r="D25" i="3"/>
  <c r="C25" i="3"/>
  <c r="D24" i="3"/>
  <c r="C24" i="3"/>
  <c r="C23" i="3"/>
  <c r="D23" i="3" s="1"/>
  <c r="D22" i="3"/>
  <c r="A123" i="4" s="1"/>
  <c r="C22" i="3"/>
  <c r="C21" i="3"/>
  <c r="D21" i="3" s="1"/>
  <c r="C20" i="3"/>
  <c r="D20" i="3" s="1"/>
  <c r="D19" i="3"/>
  <c r="C19" i="3"/>
  <c r="D18" i="3"/>
  <c r="C18" i="3"/>
  <c r="D17" i="3"/>
  <c r="A43" i="4" s="1"/>
  <c r="C17" i="3"/>
  <c r="D16" i="3"/>
  <c r="C16" i="3"/>
  <c r="C15" i="3"/>
  <c r="Q7645" i="2"/>
  <c r="R7645" i="2" s="1"/>
  <c r="R7644" i="2"/>
  <c r="Q7644" i="2"/>
  <c r="Q7643" i="2"/>
  <c r="R7643" i="2" s="1"/>
  <c r="Q7642" i="2"/>
  <c r="R7642" i="2" s="1"/>
  <c r="R7641" i="2"/>
  <c r="Q7641" i="2"/>
  <c r="Q7640" i="2"/>
  <c r="R7640" i="2" s="1"/>
  <c r="Q7639" i="2"/>
  <c r="R7639" i="2" s="1"/>
  <c r="R7638" i="2"/>
  <c r="Q7638" i="2"/>
  <c r="Q7637" i="2"/>
  <c r="R7637" i="2" s="1"/>
  <c r="R7636" i="2"/>
  <c r="Q7636" i="2"/>
  <c r="Q7635" i="2"/>
  <c r="R7635" i="2" s="1"/>
  <c r="R7634" i="2"/>
  <c r="Q7634" i="2"/>
  <c r="R7633" i="2"/>
  <c r="Q7633" i="2"/>
  <c r="Q7632" i="2"/>
  <c r="R7632" i="2" s="1"/>
  <c r="Q7631" i="2"/>
  <c r="R7631" i="2" s="1"/>
  <c r="R7630" i="2"/>
  <c r="Q7630" i="2"/>
  <c r="Q7629" i="2"/>
  <c r="R7629" i="2" s="1"/>
  <c r="R7628" i="2"/>
  <c r="Q7628" i="2"/>
  <c r="Q7627" i="2"/>
  <c r="R7627" i="2" s="1"/>
  <c r="Q7626" i="2"/>
  <c r="R7626" i="2" s="1"/>
  <c r="R7625" i="2"/>
  <c r="Q7625" i="2"/>
  <c r="Q7624" i="2"/>
  <c r="R7624" i="2" s="1"/>
  <c r="Q7623" i="2"/>
  <c r="R7623" i="2" s="1"/>
  <c r="R7622" i="2"/>
  <c r="Q7622" i="2"/>
  <c r="Q7621" i="2"/>
  <c r="R7621" i="2" s="1"/>
  <c r="R7620" i="2"/>
  <c r="Q7620" i="2"/>
  <c r="Q7619" i="2"/>
  <c r="R7619" i="2" s="1"/>
  <c r="Q7618" i="2"/>
  <c r="R7618" i="2" s="1"/>
  <c r="R7617" i="2"/>
  <c r="Q7617" i="2"/>
  <c r="Q7616" i="2"/>
  <c r="R7616" i="2" s="1"/>
  <c r="Q7615" i="2"/>
  <c r="R7615" i="2" s="1"/>
  <c r="R7614" i="2"/>
  <c r="Q7614" i="2"/>
  <c r="Q7613" i="2"/>
  <c r="R7613" i="2" s="1"/>
  <c r="R7612" i="2"/>
  <c r="Q7612" i="2"/>
  <c r="Q7611" i="2"/>
  <c r="R7611" i="2" s="1"/>
  <c r="Q7610" i="2"/>
  <c r="R7610" i="2" s="1"/>
  <c r="R7609" i="2"/>
  <c r="Q7609" i="2"/>
  <c r="Q7608" i="2"/>
  <c r="R7608" i="2" s="1"/>
  <c r="Q7607" i="2"/>
  <c r="R7607" i="2" s="1"/>
  <c r="R7606" i="2"/>
  <c r="Q7606" i="2"/>
  <c r="Q7605" i="2"/>
  <c r="R7605" i="2" s="1"/>
  <c r="R7604" i="2"/>
  <c r="Q7604" i="2"/>
  <c r="Q7603" i="2"/>
  <c r="R7603" i="2" s="1"/>
  <c r="R7602" i="2"/>
  <c r="Q7602" i="2"/>
  <c r="R7601" i="2"/>
  <c r="Q7601" i="2"/>
  <c r="Q7600" i="2"/>
  <c r="R7600" i="2" s="1"/>
  <c r="Q7599" i="2"/>
  <c r="R7599" i="2" s="1"/>
  <c r="R7598" i="2"/>
  <c r="Q7598" i="2"/>
  <c r="Q7597" i="2"/>
  <c r="R7597" i="2" s="1"/>
  <c r="R7596" i="2"/>
  <c r="Q7596" i="2"/>
  <c r="Q7595" i="2"/>
  <c r="R7595" i="2" s="1"/>
  <c r="Q7594" i="2"/>
  <c r="R7594" i="2" s="1"/>
  <c r="R7593" i="2"/>
  <c r="Q7593" i="2"/>
  <c r="Q7592" i="2"/>
  <c r="R7592" i="2" s="1"/>
  <c r="Q7591" i="2"/>
  <c r="R7591" i="2" s="1"/>
  <c r="R7590" i="2"/>
  <c r="Q7590" i="2"/>
  <c r="Q7589" i="2"/>
  <c r="R7589" i="2" s="1"/>
  <c r="R7588" i="2"/>
  <c r="Q7588" i="2"/>
  <c r="Q7587" i="2"/>
  <c r="R7587" i="2" s="1"/>
  <c r="Q7586" i="2"/>
  <c r="R7586" i="2" s="1"/>
  <c r="R7585" i="2"/>
  <c r="Q7585" i="2"/>
  <c r="Q7584" i="2"/>
  <c r="R7584" i="2" s="1"/>
  <c r="Q7583" i="2"/>
  <c r="R7583" i="2" s="1"/>
  <c r="R7582" i="2"/>
  <c r="Q7582" i="2"/>
  <c r="Q7581" i="2"/>
  <c r="R7581" i="2" s="1"/>
  <c r="R7580" i="2"/>
  <c r="Q7580" i="2"/>
  <c r="Q7579" i="2"/>
  <c r="R7579" i="2" s="1"/>
  <c r="Q7578" i="2"/>
  <c r="R7578" i="2" s="1"/>
  <c r="R7577" i="2"/>
  <c r="Q7577" i="2"/>
  <c r="Q7576" i="2"/>
  <c r="R7576" i="2" s="1"/>
  <c r="Q7575" i="2"/>
  <c r="R7575" i="2" s="1"/>
  <c r="R7574" i="2"/>
  <c r="Q7574" i="2"/>
  <c r="Q7573" i="2"/>
  <c r="R7573" i="2" s="1"/>
  <c r="R7572" i="2"/>
  <c r="Q7572" i="2"/>
  <c r="Q7571" i="2"/>
  <c r="R7571" i="2" s="1"/>
  <c r="R7570" i="2"/>
  <c r="Q7570" i="2"/>
  <c r="R7569" i="2"/>
  <c r="Q7569" i="2"/>
  <c r="Q7568" i="2"/>
  <c r="R7568" i="2" s="1"/>
  <c r="Q7567" i="2"/>
  <c r="R7567" i="2" s="1"/>
  <c r="R7566" i="2"/>
  <c r="Q7566" i="2"/>
  <c r="Q7565" i="2"/>
  <c r="R7565" i="2" s="1"/>
  <c r="R7564" i="2"/>
  <c r="Q7564" i="2"/>
  <c r="Q7563" i="2"/>
  <c r="R7563" i="2" s="1"/>
  <c r="Q7562" i="2"/>
  <c r="R7562" i="2" s="1"/>
  <c r="R7561" i="2"/>
  <c r="Q7561" i="2"/>
  <c r="Q7560" i="2"/>
  <c r="R7560" i="2" s="1"/>
  <c r="Q7559" i="2"/>
  <c r="R7559" i="2" s="1"/>
  <c r="R7558" i="2"/>
  <c r="Q7558" i="2"/>
  <c r="Q7557" i="2"/>
  <c r="R7557" i="2" s="1"/>
  <c r="R7556" i="2"/>
  <c r="Q7556" i="2"/>
  <c r="Q7555" i="2"/>
  <c r="R7555" i="2" s="1"/>
  <c r="R7554" i="2"/>
  <c r="Q7554" i="2"/>
  <c r="R7553" i="2"/>
  <c r="Q7553" i="2"/>
  <c r="Q7552" i="2"/>
  <c r="R7552" i="2" s="1"/>
  <c r="Q7551" i="2"/>
  <c r="R7551" i="2" s="1"/>
  <c r="R7550" i="2"/>
  <c r="Q7550" i="2"/>
  <c r="Q7549" i="2"/>
  <c r="R7549" i="2" s="1"/>
  <c r="R7548" i="2"/>
  <c r="Q7548" i="2"/>
  <c r="Q7547" i="2"/>
  <c r="R7547" i="2" s="1"/>
  <c r="Q7546" i="2"/>
  <c r="R7546" i="2" s="1"/>
  <c r="R7545" i="2"/>
  <c r="Q7545" i="2"/>
  <c r="Q7544" i="2"/>
  <c r="R7544" i="2" s="1"/>
  <c r="Q7543" i="2"/>
  <c r="R7543" i="2" s="1"/>
  <c r="Q7542" i="2"/>
  <c r="R7542" i="2" s="1"/>
  <c r="Q7541" i="2"/>
  <c r="R7541" i="2" s="1"/>
  <c r="R7540" i="2"/>
  <c r="Q7540" i="2"/>
  <c r="Q7539" i="2"/>
  <c r="R7539" i="2" s="1"/>
  <c r="R7538" i="2"/>
  <c r="Q7538" i="2"/>
  <c r="R7537" i="2"/>
  <c r="Q7537" i="2"/>
  <c r="Q7536" i="2"/>
  <c r="R7536" i="2" s="1"/>
  <c r="Q7535" i="2"/>
  <c r="R7535" i="2" s="1"/>
  <c r="Q7534" i="2"/>
  <c r="R7534" i="2" s="1"/>
  <c r="Q7533" i="2"/>
  <c r="R7533" i="2" s="1"/>
  <c r="R7532" i="2"/>
  <c r="Q7532" i="2"/>
  <c r="Q7531" i="2"/>
  <c r="R7531" i="2" s="1"/>
  <c r="R7530" i="2"/>
  <c r="Q7530" i="2"/>
  <c r="R7529" i="2"/>
  <c r="Q7529" i="2"/>
  <c r="Q7528" i="2"/>
  <c r="R7528" i="2" s="1"/>
  <c r="Q7527" i="2"/>
  <c r="R7527" i="2" s="1"/>
  <c r="Q7526" i="2"/>
  <c r="R7526" i="2" s="1"/>
  <c r="Q7525" i="2"/>
  <c r="R7525" i="2" s="1"/>
  <c r="R7524" i="2"/>
  <c r="Q7524" i="2"/>
  <c r="Q7523" i="2"/>
  <c r="R7523" i="2" s="1"/>
  <c r="R7522" i="2"/>
  <c r="Q7522" i="2"/>
  <c r="R7521" i="2"/>
  <c r="Q7521" i="2"/>
  <c r="Q7520" i="2"/>
  <c r="R7520" i="2" s="1"/>
  <c r="Q7519" i="2"/>
  <c r="R7519" i="2" s="1"/>
  <c r="Q7518" i="2"/>
  <c r="R7518" i="2" s="1"/>
  <c r="Q7517" i="2"/>
  <c r="R7517" i="2" s="1"/>
  <c r="R7516" i="2"/>
  <c r="Q7516" i="2"/>
  <c r="Q7515" i="2"/>
  <c r="R7515" i="2" s="1"/>
  <c r="Q7514" i="2"/>
  <c r="R7514" i="2" s="1"/>
  <c r="R7513" i="2"/>
  <c r="Q7513" i="2"/>
  <c r="Q7512" i="2"/>
  <c r="R7512" i="2" s="1"/>
  <c r="Q7511" i="2"/>
  <c r="R7511" i="2" s="1"/>
  <c r="Q7510" i="2"/>
  <c r="R7510" i="2" s="1"/>
  <c r="Q7509" i="2"/>
  <c r="R7509" i="2" s="1"/>
  <c r="R7508" i="2"/>
  <c r="Q7508" i="2"/>
  <c r="Q7507" i="2"/>
  <c r="R7507" i="2" s="1"/>
  <c r="R7506" i="2"/>
  <c r="Q7506" i="2"/>
  <c r="R7505" i="2"/>
  <c r="Q7505" i="2"/>
  <c r="Q7504" i="2"/>
  <c r="R7504" i="2" s="1"/>
  <c r="Q7503" i="2"/>
  <c r="R7503" i="2" s="1"/>
  <c r="Q7502" i="2"/>
  <c r="R7502" i="2" s="1"/>
  <c r="Q7501" i="2"/>
  <c r="R7501" i="2" s="1"/>
  <c r="R7500" i="2"/>
  <c r="Q7500" i="2"/>
  <c r="Q7499" i="2"/>
  <c r="R7499" i="2" s="1"/>
  <c r="R7498" i="2"/>
  <c r="Q7498" i="2"/>
  <c r="R7497" i="2"/>
  <c r="Q7497" i="2"/>
  <c r="Q7496" i="2"/>
  <c r="R7496" i="2" s="1"/>
  <c r="Q7495" i="2"/>
  <c r="R7495" i="2" s="1"/>
  <c r="Q7494" i="2"/>
  <c r="R7494" i="2" s="1"/>
  <c r="Q7493" i="2"/>
  <c r="R7493" i="2" s="1"/>
  <c r="R7492" i="2"/>
  <c r="Q7492" i="2"/>
  <c r="Q7491" i="2"/>
  <c r="R7491" i="2" s="1"/>
  <c r="R7490" i="2"/>
  <c r="Q7490" i="2"/>
  <c r="R7489" i="2"/>
  <c r="Q7489" i="2"/>
  <c r="Q7488" i="2"/>
  <c r="R7488" i="2" s="1"/>
  <c r="Q7487" i="2"/>
  <c r="R7487" i="2" s="1"/>
  <c r="Q7486" i="2"/>
  <c r="R7486" i="2" s="1"/>
  <c r="Q7485" i="2"/>
  <c r="R7485" i="2" s="1"/>
  <c r="R7484" i="2"/>
  <c r="Q7484" i="2"/>
  <c r="Q7483" i="2"/>
  <c r="R7483" i="2" s="1"/>
  <c r="Q7482" i="2"/>
  <c r="R7482" i="2" s="1"/>
  <c r="R7481" i="2"/>
  <c r="Q7481" i="2"/>
  <c r="Q7480" i="2"/>
  <c r="R7480" i="2" s="1"/>
  <c r="Q7479" i="2"/>
  <c r="R7479" i="2" s="1"/>
  <c r="Q7478" i="2"/>
  <c r="R7478" i="2" s="1"/>
  <c r="Q7477" i="2"/>
  <c r="R7477" i="2" s="1"/>
  <c r="R7476" i="2"/>
  <c r="Q7476" i="2"/>
  <c r="Q7475" i="2"/>
  <c r="R7475" i="2" s="1"/>
  <c r="R7474" i="2"/>
  <c r="Q7474" i="2"/>
  <c r="R7473" i="2"/>
  <c r="Q7473" i="2"/>
  <c r="Q7472" i="2"/>
  <c r="R7472" i="2" s="1"/>
  <c r="Q7471" i="2"/>
  <c r="R7471" i="2" s="1"/>
  <c r="Q7470" i="2"/>
  <c r="R7470" i="2" s="1"/>
  <c r="Q7469" i="2"/>
  <c r="R7469" i="2" s="1"/>
  <c r="R7468" i="2"/>
  <c r="Q7468" i="2"/>
  <c r="Q7467" i="2"/>
  <c r="R7467" i="2" s="1"/>
  <c r="R7466" i="2"/>
  <c r="Q7466" i="2"/>
  <c r="R7465" i="2"/>
  <c r="Q7465" i="2"/>
  <c r="Q7464" i="2"/>
  <c r="R7464" i="2" s="1"/>
  <c r="Q7463" i="2"/>
  <c r="R7463" i="2" s="1"/>
  <c r="Q7462" i="2"/>
  <c r="R7462" i="2" s="1"/>
  <c r="Q7461" i="2"/>
  <c r="R7461" i="2" s="1"/>
  <c r="R7460" i="2"/>
  <c r="Q7460" i="2"/>
  <c r="Q7459" i="2"/>
  <c r="R7459" i="2" s="1"/>
  <c r="R7458" i="2"/>
  <c r="Q7458" i="2"/>
  <c r="R7457" i="2"/>
  <c r="Q7457" i="2"/>
  <c r="Q7456" i="2"/>
  <c r="R7456" i="2" s="1"/>
  <c r="Q7455" i="2"/>
  <c r="R7455" i="2" s="1"/>
  <c r="Q7454" i="2"/>
  <c r="R7454" i="2" s="1"/>
  <c r="Q7453" i="2"/>
  <c r="R7453" i="2" s="1"/>
  <c r="R7452" i="2"/>
  <c r="Q7452" i="2"/>
  <c r="Q7451" i="2"/>
  <c r="R7451" i="2" s="1"/>
  <c r="Q7450" i="2"/>
  <c r="R7450" i="2" s="1"/>
  <c r="R7449" i="2"/>
  <c r="Q7449" i="2"/>
  <c r="Q7448" i="2"/>
  <c r="R7448" i="2" s="1"/>
  <c r="Q7447" i="2"/>
  <c r="R7447" i="2" s="1"/>
  <c r="Q7446" i="2"/>
  <c r="R7446" i="2" s="1"/>
  <c r="Q7445" i="2"/>
  <c r="R7445" i="2" s="1"/>
  <c r="R7444" i="2"/>
  <c r="Q7444" i="2"/>
  <c r="Q7443" i="2"/>
  <c r="R7443" i="2" s="1"/>
  <c r="R7442" i="2"/>
  <c r="Q7442" i="2"/>
  <c r="R7441" i="2"/>
  <c r="Q7441" i="2"/>
  <c r="Q7440" i="2"/>
  <c r="R7440" i="2" s="1"/>
  <c r="Q7439" i="2"/>
  <c r="R7439" i="2" s="1"/>
  <c r="Q7438" i="2"/>
  <c r="R7438" i="2" s="1"/>
  <c r="Q7437" i="2"/>
  <c r="R7437" i="2" s="1"/>
  <c r="R7436" i="2"/>
  <c r="Q7436" i="2"/>
  <c r="Q7435" i="2"/>
  <c r="R7435" i="2" s="1"/>
  <c r="R7434" i="2"/>
  <c r="Q7434" i="2"/>
  <c r="R7433" i="2"/>
  <c r="Q7433" i="2"/>
  <c r="Q7432" i="2"/>
  <c r="R7432" i="2" s="1"/>
  <c r="Q7431" i="2"/>
  <c r="R7431" i="2" s="1"/>
  <c r="Q7430" i="2"/>
  <c r="R7430" i="2" s="1"/>
  <c r="Q7429" i="2"/>
  <c r="R7429" i="2" s="1"/>
  <c r="R7428" i="2"/>
  <c r="Q7428" i="2"/>
  <c r="Q7427" i="2"/>
  <c r="R7427" i="2" s="1"/>
  <c r="R7426" i="2"/>
  <c r="Q7426" i="2"/>
  <c r="R7425" i="2"/>
  <c r="Q7425" i="2"/>
  <c r="Q7424" i="2"/>
  <c r="R7424" i="2" s="1"/>
  <c r="Q7423" i="2"/>
  <c r="R7423" i="2" s="1"/>
  <c r="Q7422" i="2"/>
  <c r="R7422" i="2" s="1"/>
  <c r="Q7421" i="2"/>
  <c r="R7421" i="2" s="1"/>
  <c r="R7420" i="2"/>
  <c r="Q7420" i="2"/>
  <c r="Q7419" i="2"/>
  <c r="R7419" i="2" s="1"/>
  <c r="Q7418" i="2"/>
  <c r="R7418" i="2" s="1"/>
  <c r="R7417" i="2"/>
  <c r="Q7417" i="2"/>
  <c r="Q7416" i="2"/>
  <c r="R7416" i="2" s="1"/>
  <c r="Q7415" i="2"/>
  <c r="R7415" i="2" s="1"/>
  <c r="Q7414" i="2"/>
  <c r="R7414" i="2" s="1"/>
  <c r="Q7413" i="2"/>
  <c r="R7413" i="2" s="1"/>
  <c r="R7412" i="2"/>
  <c r="Q7412" i="2"/>
  <c r="Q7411" i="2"/>
  <c r="R7411" i="2" s="1"/>
  <c r="Q7410" i="2"/>
  <c r="R7410" i="2" s="1"/>
  <c r="R7409" i="2"/>
  <c r="Q7409" i="2"/>
  <c r="Q7408" i="2"/>
  <c r="R7408" i="2" s="1"/>
  <c r="Q7407" i="2"/>
  <c r="R7407" i="2" s="1"/>
  <c r="Q7406" i="2"/>
  <c r="R7406" i="2" s="1"/>
  <c r="Q7405" i="2"/>
  <c r="R7405" i="2" s="1"/>
  <c r="R7404" i="2"/>
  <c r="Q7404" i="2"/>
  <c r="Q7403" i="2"/>
  <c r="R7403" i="2" s="1"/>
  <c r="R7402" i="2"/>
  <c r="Q7402" i="2"/>
  <c r="R7401" i="2"/>
  <c r="Q7401" i="2"/>
  <c r="Q7400" i="2"/>
  <c r="R7400" i="2" s="1"/>
  <c r="Q7399" i="2"/>
  <c r="R7399" i="2" s="1"/>
  <c r="Q7398" i="2"/>
  <c r="R7398" i="2" s="1"/>
  <c r="Q7397" i="2"/>
  <c r="R7397" i="2" s="1"/>
  <c r="R7396" i="2"/>
  <c r="Q7396" i="2"/>
  <c r="Q7395" i="2"/>
  <c r="R7395" i="2" s="1"/>
  <c r="R7394" i="2"/>
  <c r="Q7394" i="2"/>
  <c r="R7393" i="2"/>
  <c r="Q7393" i="2"/>
  <c r="Q7392" i="2"/>
  <c r="R7392" i="2" s="1"/>
  <c r="Q7391" i="2"/>
  <c r="R7391" i="2" s="1"/>
  <c r="Q7390" i="2"/>
  <c r="R7390" i="2" s="1"/>
  <c r="Q7389" i="2"/>
  <c r="R7389" i="2" s="1"/>
  <c r="R7388" i="2"/>
  <c r="Q7388" i="2"/>
  <c r="Q7387" i="2"/>
  <c r="R7387" i="2" s="1"/>
  <c r="Q7386" i="2"/>
  <c r="R7386" i="2" s="1"/>
  <c r="R7385" i="2"/>
  <c r="Q7385" i="2"/>
  <c r="Q7384" i="2"/>
  <c r="R7384" i="2" s="1"/>
  <c r="Q7383" i="2"/>
  <c r="R7383" i="2" s="1"/>
  <c r="Q7382" i="2"/>
  <c r="R7382" i="2" s="1"/>
  <c r="Q7381" i="2"/>
  <c r="R7381" i="2" s="1"/>
  <c r="R7380" i="2"/>
  <c r="Q7380" i="2"/>
  <c r="Q7379" i="2"/>
  <c r="R7379" i="2" s="1"/>
  <c r="Q7378" i="2"/>
  <c r="R7378" i="2" s="1"/>
  <c r="R7377" i="2"/>
  <c r="Q7377" i="2"/>
  <c r="Q7376" i="2"/>
  <c r="R7376" i="2" s="1"/>
  <c r="Q7375" i="2"/>
  <c r="R7375" i="2" s="1"/>
  <c r="Q7374" i="2"/>
  <c r="R7374" i="2" s="1"/>
  <c r="Q7373" i="2"/>
  <c r="R7373" i="2" s="1"/>
  <c r="R7372" i="2"/>
  <c r="Q7372" i="2"/>
  <c r="Q7371" i="2"/>
  <c r="R7371" i="2" s="1"/>
  <c r="R7370" i="2"/>
  <c r="Q7370" i="2"/>
  <c r="R7369" i="2"/>
  <c r="Q7369" i="2"/>
  <c r="Q7368" i="2"/>
  <c r="R7368" i="2" s="1"/>
  <c r="Q7367" i="2"/>
  <c r="R7367" i="2" s="1"/>
  <c r="Q7366" i="2"/>
  <c r="R7366" i="2" s="1"/>
  <c r="Q7365" i="2"/>
  <c r="R7365" i="2" s="1"/>
  <c r="R7364" i="2"/>
  <c r="Q7364" i="2"/>
  <c r="Q7363" i="2"/>
  <c r="R7363" i="2" s="1"/>
  <c r="R7362" i="2"/>
  <c r="Q7362" i="2"/>
  <c r="R7361" i="2"/>
  <c r="Q7361" i="2"/>
  <c r="Q7360" i="2"/>
  <c r="R7360" i="2" s="1"/>
  <c r="Q7359" i="2"/>
  <c r="R7359" i="2" s="1"/>
  <c r="Q7358" i="2"/>
  <c r="R7358" i="2" s="1"/>
  <c r="Q7357" i="2"/>
  <c r="R7357" i="2" s="1"/>
  <c r="R7356" i="2"/>
  <c r="Q7356" i="2"/>
  <c r="Q7355" i="2"/>
  <c r="R7355" i="2" s="1"/>
  <c r="Q7354" i="2"/>
  <c r="R7354" i="2" s="1"/>
  <c r="R7353" i="2"/>
  <c r="Q7353" i="2"/>
  <c r="Q7352" i="2"/>
  <c r="R7352" i="2" s="1"/>
  <c r="Q7351" i="2"/>
  <c r="R7351" i="2" s="1"/>
  <c r="Q7350" i="2"/>
  <c r="R7350" i="2" s="1"/>
  <c r="Q7349" i="2"/>
  <c r="R7349" i="2" s="1"/>
  <c r="R7348" i="2"/>
  <c r="Q7348" i="2"/>
  <c r="Q7347" i="2"/>
  <c r="R7347" i="2" s="1"/>
  <c r="Q7346" i="2"/>
  <c r="R7346" i="2" s="1"/>
  <c r="R7345" i="2"/>
  <c r="Q7345" i="2"/>
  <c r="Q7344" i="2"/>
  <c r="R7344" i="2" s="1"/>
  <c r="Q7343" i="2"/>
  <c r="R7343" i="2" s="1"/>
  <c r="Q7342" i="2"/>
  <c r="R7342" i="2" s="1"/>
  <c r="Q7341" i="2"/>
  <c r="R7341" i="2" s="1"/>
  <c r="R7340" i="2"/>
  <c r="Q7340" i="2"/>
  <c r="Q7339" i="2"/>
  <c r="R7339" i="2" s="1"/>
  <c r="R7338" i="2"/>
  <c r="Q7338" i="2"/>
  <c r="R7337" i="2"/>
  <c r="Q7337" i="2"/>
  <c r="Q7336" i="2"/>
  <c r="R7336" i="2" s="1"/>
  <c r="Q7335" i="2"/>
  <c r="R7335" i="2" s="1"/>
  <c r="Q7334" i="2"/>
  <c r="R7334" i="2" s="1"/>
  <c r="Q7333" i="2"/>
  <c r="R7333" i="2" s="1"/>
  <c r="R7332" i="2"/>
  <c r="Q7332" i="2"/>
  <c r="Q7331" i="2"/>
  <c r="R7331" i="2" s="1"/>
  <c r="R7330" i="2"/>
  <c r="Q7330" i="2"/>
  <c r="R7329" i="2"/>
  <c r="Q7329" i="2"/>
  <c r="Q7328" i="2"/>
  <c r="R7328" i="2" s="1"/>
  <c r="Q7327" i="2"/>
  <c r="R7327" i="2" s="1"/>
  <c r="Q7326" i="2"/>
  <c r="R7326" i="2" s="1"/>
  <c r="Q7325" i="2"/>
  <c r="R7325" i="2" s="1"/>
  <c r="R7324" i="2"/>
  <c r="Q7324" i="2"/>
  <c r="Q7323" i="2"/>
  <c r="R7323" i="2" s="1"/>
  <c r="Q7322" i="2"/>
  <c r="R7322" i="2" s="1"/>
  <c r="R7321" i="2"/>
  <c r="Q7321" i="2"/>
  <c r="Q7320" i="2"/>
  <c r="R7320" i="2" s="1"/>
  <c r="Q7319" i="2"/>
  <c r="R7319" i="2" s="1"/>
  <c r="Q7318" i="2"/>
  <c r="R7318" i="2" s="1"/>
  <c r="Q7317" i="2"/>
  <c r="R7317" i="2" s="1"/>
  <c r="R7316" i="2"/>
  <c r="Q7316" i="2"/>
  <c r="Q7315" i="2"/>
  <c r="R7315" i="2" s="1"/>
  <c r="R7314" i="2"/>
  <c r="Q7314" i="2"/>
  <c r="R7313" i="2"/>
  <c r="Q7313" i="2"/>
  <c r="Q7312" i="2"/>
  <c r="R7312" i="2" s="1"/>
  <c r="Q7311" i="2"/>
  <c r="R7311" i="2" s="1"/>
  <c r="Q7310" i="2"/>
  <c r="R7310" i="2" s="1"/>
  <c r="Q7309" i="2"/>
  <c r="R7309" i="2" s="1"/>
  <c r="R7308" i="2"/>
  <c r="Q7308" i="2"/>
  <c r="Q7307" i="2"/>
  <c r="R7307" i="2" s="1"/>
  <c r="R7306" i="2"/>
  <c r="Q7306" i="2"/>
  <c r="R7305" i="2"/>
  <c r="Q7305" i="2"/>
  <c r="Q7304" i="2"/>
  <c r="R7304" i="2" s="1"/>
  <c r="Q7303" i="2"/>
  <c r="R7303" i="2" s="1"/>
  <c r="Q7302" i="2"/>
  <c r="R7302" i="2" s="1"/>
  <c r="Q7301" i="2"/>
  <c r="R7301" i="2" s="1"/>
  <c r="R7300" i="2"/>
  <c r="Q7300" i="2"/>
  <c r="Q7299" i="2"/>
  <c r="R7299" i="2" s="1"/>
  <c r="R7298" i="2"/>
  <c r="Q7298" i="2"/>
  <c r="R7297" i="2"/>
  <c r="Q7297" i="2"/>
  <c r="Q7296" i="2"/>
  <c r="R7296" i="2" s="1"/>
  <c r="Q7295" i="2"/>
  <c r="R7295" i="2" s="1"/>
  <c r="Q7294" i="2"/>
  <c r="R7294" i="2" s="1"/>
  <c r="Q7293" i="2"/>
  <c r="R7293" i="2" s="1"/>
  <c r="R7292" i="2"/>
  <c r="Q7292" i="2"/>
  <c r="Q7291" i="2"/>
  <c r="R7291" i="2" s="1"/>
  <c r="Q7290" i="2"/>
  <c r="R7290" i="2" s="1"/>
  <c r="R7289" i="2"/>
  <c r="Q7289" i="2"/>
  <c r="Q7288" i="2"/>
  <c r="R7288" i="2" s="1"/>
  <c r="Q7287" i="2"/>
  <c r="R7287" i="2" s="1"/>
  <c r="Q7286" i="2"/>
  <c r="R7286" i="2" s="1"/>
  <c r="Q7285" i="2"/>
  <c r="R7285" i="2" s="1"/>
  <c r="R7284" i="2"/>
  <c r="Q7284" i="2"/>
  <c r="Q7283" i="2"/>
  <c r="R7283" i="2" s="1"/>
  <c r="R7282" i="2"/>
  <c r="Q7282" i="2"/>
  <c r="R7281" i="2"/>
  <c r="Q7281" i="2"/>
  <c r="Q7280" i="2"/>
  <c r="R7280" i="2" s="1"/>
  <c r="Q7279" i="2"/>
  <c r="R7279" i="2" s="1"/>
  <c r="Q7278" i="2"/>
  <c r="R7278" i="2" s="1"/>
  <c r="Q7277" i="2"/>
  <c r="R7277" i="2" s="1"/>
  <c r="R7276" i="2"/>
  <c r="Q7276" i="2"/>
  <c r="Q7275" i="2"/>
  <c r="R7275" i="2" s="1"/>
  <c r="R7274" i="2"/>
  <c r="Q7274" i="2"/>
  <c r="R7273" i="2"/>
  <c r="Q7273" i="2"/>
  <c r="Q7272" i="2"/>
  <c r="R7272" i="2" s="1"/>
  <c r="Q7271" i="2"/>
  <c r="R7271" i="2" s="1"/>
  <c r="Q7270" i="2"/>
  <c r="R7270" i="2" s="1"/>
  <c r="Q7269" i="2"/>
  <c r="R7269" i="2" s="1"/>
  <c r="R7268" i="2"/>
  <c r="Q7268" i="2"/>
  <c r="Q7267" i="2"/>
  <c r="R7267" i="2" s="1"/>
  <c r="R7266" i="2"/>
  <c r="Q7266" i="2"/>
  <c r="R7265" i="2"/>
  <c r="Q7265" i="2"/>
  <c r="Q7264" i="2"/>
  <c r="R7264" i="2" s="1"/>
  <c r="Q7263" i="2"/>
  <c r="R7263" i="2" s="1"/>
  <c r="Q7262" i="2"/>
  <c r="R7262" i="2" s="1"/>
  <c r="Q7261" i="2"/>
  <c r="R7261" i="2" s="1"/>
  <c r="R7260" i="2"/>
  <c r="Q7260" i="2"/>
  <c r="Q7259" i="2"/>
  <c r="R7259" i="2" s="1"/>
  <c r="Q7258" i="2"/>
  <c r="R7258" i="2" s="1"/>
  <c r="R7257" i="2"/>
  <c r="Q7257" i="2"/>
  <c r="Q7256" i="2"/>
  <c r="R7256" i="2" s="1"/>
  <c r="Q7255" i="2"/>
  <c r="R7255" i="2" s="1"/>
  <c r="Q7254" i="2"/>
  <c r="R7254" i="2" s="1"/>
  <c r="Q7253" i="2"/>
  <c r="R7253" i="2" s="1"/>
  <c r="R7252" i="2"/>
  <c r="Q7252" i="2"/>
  <c r="Q7251" i="2"/>
  <c r="R7251" i="2" s="1"/>
  <c r="R7250" i="2"/>
  <c r="Q7250" i="2"/>
  <c r="R7249" i="2"/>
  <c r="Q7249" i="2"/>
  <c r="Q7248" i="2"/>
  <c r="R7248" i="2" s="1"/>
  <c r="Q7247" i="2"/>
  <c r="R7247" i="2" s="1"/>
  <c r="Q7246" i="2"/>
  <c r="R7246" i="2" s="1"/>
  <c r="Q7245" i="2"/>
  <c r="R7245" i="2" s="1"/>
  <c r="R7244" i="2"/>
  <c r="Q7244" i="2"/>
  <c r="Q7243" i="2"/>
  <c r="R7243" i="2" s="1"/>
  <c r="R7242" i="2"/>
  <c r="Q7242" i="2"/>
  <c r="R7241" i="2"/>
  <c r="Q7241" i="2"/>
  <c r="Q7240" i="2"/>
  <c r="R7240" i="2" s="1"/>
  <c r="Q7239" i="2"/>
  <c r="R7239" i="2" s="1"/>
  <c r="Q7238" i="2"/>
  <c r="R7238" i="2" s="1"/>
  <c r="Q7237" i="2"/>
  <c r="R7237" i="2" s="1"/>
  <c r="R7236" i="2"/>
  <c r="Q7236" i="2"/>
  <c r="Q7235" i="2"/>
  <c r="R7235" i="2" s="1"/>
  <c r="R7234" i="2"/>
  <c r="Q7234" i="2"/>
  <c r="R7233" i="2"/>
  <c r="Q7233" i="2"/>
  <c r="Q7232" i="2"/>
  <c r="R7232" i="2" s="1"/>
  <c r="Q7231" i="2"/>
  <c r="R7231" i="2" s="1"/>
  <c r="Q7230" i="2"/>
  <c r="R7230" i="2" s="1"/>
  <c r="Q7229" i="2"/>
  <c r="R7229" i="2" s="1"/>
  <c r="R7228" i="2"/>
  <c r="Q7228" i="2"/>
  <c r="Q7227" i="2"/>
  <c r="R7227" i="2" s="1"/>
  <c r="Q7226" i="2"/>
  <c r="R7226" i="2" s="1"/>
  <c r="R7225" i="2"/>
  <c r="Q7225" i="2"/>
  <c r="Q7224" i="2"/>
  <c r="R7224" i="2" s="1"/>
  <c r="Q7223" i="2"/>
  <c r="R7223" i="2" s="1"/>
  <c r="Q7222" i="2"/>
  <c r="R7222" i="2" s="1"/>
  <c r="Q7221" i="2"/>
  <c r="R7221" i="2" s="1"/>
  <c r="R7220" i="2"/>
  <c r="Q7220" i="2"/>
  <c r="Q7219" i="2"/>
  <c r="R7219" i="2" s="1"/>
  <c r="R7218" i="2"/>
  <c r="Q7218" i="2"/>
  <c r="R7217" i="2"/>
  <c r="Q7217" i="2"/>
  <c r="Q7216" i="2"/>
  <c r="R7216" i="2" s="1"/>
  <c r="Q7215" i="2"/>
  <c r="R7215" i="2" s="1"/>
  <c r="Q7214" i="2"/>
  <c r="R7214" i="2" s="1"/>
  <c r="Q7213" i="2"/>
  <c r="R7213" i="2" s="1"/>
  <c r="R7212" i="2"/>
  <c r="Q7212" i="2"/>
  <c r="Q7211" i="2"/>
  <c r="R7211" i="2" s="1"/>
  <c r="R7210" i="2"/>
  <c r="Q7210" i="2"/>
  <c r="R7209" i="2"/>
  <c r="Q7209" i="2"/>
  <c r="Q7208" i="2"/>
  <c r="R7208" i="2" s="1"/>
  <c r="Q7207" i="2"/>
  <c r="R7207" i="2" s="1"/>
  <c r="Q7206" i="2"/>
  <c r="R7206" i="2" s="1"/>
  <c r="Q7205" i="2"/>
  <c r="R7205" i="2" s="1"/>
  <c r="R7204" i="2"/>
  <c r="Q7204" i="2"/>
  <c r="Q7203" i="2"/>
  <c r="R7203" i="2" s="1"/>
  <c r="R7202" i="2"/>
  <c r="Q7202" i="2"/>
  <c r="R7201" i="2"/>
  <c r="Q7201" i="2"/>
  <c r="Q7200" i="2"/>
  <c r="R7200" i="2" s="1"/>
  <c r="Q7199" i="2"/>
  <c r="R7199" i="2" s="1"/>
  <c r="Q7198" i="2"/>
  <c r="R7198" i="2" s="1"/>
  <c r="Q7197" i="2"/>
  <c r="R7197" i="2" s="1"/>
  <c r="R7196" i="2"/>
  <c r="Q7196" i="2"/>
  <c r="Q7195" i="2"/>
  <c r="R7195" i="2" s="1"/>
  <c r="Q7194" i="2"/>
  <c r="R7194" i="2" s="1"/>
  <c r="R7193" i="2"/>
  <c r="Q7193" i="2"/>
  <c r="Q7192" i="2"/>
  <c r="R7192" i="2" s="1"/>
  <c r="Q7191" i="2"/>
  <c r="R7191" i="2" s="1"/>
  <c r="Q7190" i="2"/>
  <c r="R7190" i="2" s="1"/>
  <c r="Q7189" i="2"/>
  <c r="R7189" i="2" s="1"/>
  <c r="R7188" i="2"/>
  <c r="Q7188" i="2"/>
  <c r="Q7187" i="2"/>
  <c r="R7187" i="2" s="1"/>
  <c r="R7186" i="2"/>
  <c r="Q7186" i="2"/>
  <c r="R7185" i="2"/>
  <c r="Q7185" i="2"/>
  <c r="Q7184" i="2"/>
  <c r="R7184" i="2" s="1"/>
  <c r="Q7183" i="2"/>
  <c r="R7183" i="2" s="1"/>
  <c r="Q7182" i="2"/>
  <c r="R7182" i="2" s="1"/>
  <c r="Q7181" i="2"/>
  <c r="R7181" i="2" s="1"/>
  <c r="R7180" i="2"/>
  <c r="Q7180" i="2"/>
  <c r="Q7179" i="2"/>
  <c r="R7179" i="2" s="1"/>
  <c r="R7178" i="2"/>
  <c r="Q7178" i="2"/>
  <c r="R7177" i="2"/>
  <c r="Q7177" i="2"/>
  <c r="Q7176" i="2"/>
  <c r="R7176" i="2" s="1"/>
  <c r="Q7175" i="2"/>
  <c r="R7175" i="2" s="1"/>
  <c r="Q7174" i="2"/>
  <c r="R7174" i="2" s="1"/>
  <c r="Q7173" i="2"/>
  <c r="R7173" i="2" s="1"/>
  <c r="R7172" i="2"/>
  <c r="Q7172" i="2"/>
  <c r="Q7171" i="2"/>
  <c r="R7171" i="2" s="1"/>
  <c r="R7170" i="2"/>
  <c r="Q7170" i="2"/>
  <c r="R7169" i="2"/>
  <c r="Q7169" i="2"/>
  <c r="Q7168" i="2"/>
  <c r="R7168" i="2" s="1"/>
  <c r="Q7167" i="2"/>
  <c r="R7167" i="2" s="1"/>
  <c r="Q7166" i="2"/>
  <c r="R7166" i="2" s="1"/>
  <c r="Q7165" i="2"/>
  <c r="R7165" i="2" s="1"/>
  <c r="R7164" i="2"/>
  <c r="Q7164" i="2"/>
  <c r="Q7163" i="2"/>
  <c r="R7163" i="2" s="1"/>
  <c r="Q7162" i="2"/>
  <c r="R7162" i="2" s="1"/>
  <c r="R7161" i="2"/>
  <c r="Q7161" i="2"/>
  <c r="Q7160" i="2"/>
  <c r="R7160" i="2" s="1"/>
  <c r="Q7159" i="2"/>
  <c r="R7159" i="2" s="1"/>
  <c r="Q7158" i="2"/>
  <c r="R7158" i="2" s="1"/>
  <c r="Q7157" i="2"/>
  <c r="R7157" i="2" s="1"/>
  <c r="R7156" i="2"/>
  <c r="Q7156" i="2"/>
  <c r="Q7155" i="2"/>
  <c r="R7155" i="2" s="1"/>
  <c r="R7154" i="2"/>
  <c r="Q7154" i="2"/>
  <c r="R7153" i="2"/>
  <c r="Q7153" i="2"/>
  <c r="Q7152" i="2"/>
  <c r="R7152" i="2" s="1"/>
  <c r="Q7151" i="2"/>
  <c r="R7151" i="2" s="1"/>
  <c r="Q7150" i="2"/>
  <c r="R7150" i="2" s="1"/>
  <c r="Q7149" i="2"/>
  <c r="R7149" i="2" s="1"/>
  <c r="R7148" i="2"/>
  <c r="Q7148" i="2"/>
  <c r="Q7147" i="2"/>
  <c r="R7147" i="2" s="1"/>
  <c r="R7146" i="2"/>
  <c r="Q7146" i="2"/>
  <c r="R7145" i="2"/>
  <c r="Q7145" i="2"/>
  <c r="Q7144" i="2"/>
  <c r="R7144" i="2" s="1"/>
  <c r="Q7143" i="2"/>
  <c r="R7143" i="2" s="1"/>
  <c r="Q7142" i="2"/>
  <c r="R7142" i="2" s="1"/>
  <c r="Q7141" i="2"/>
  <c r="R7141" i="2" s="1"/>
  <c r="R7140" i="2"/>
  <c r="Q7140" i="2"/>
  <c r="Q7139" i="2"/>
  <c r="R7139" i="2" s="1"/>
  <c r="R7138" i="2"/>
  <c r="Q7138" i="2"/>
  <c r="R7137" i="2"/>
  <c r="Q7137" i="2"/>
  <c r="Q7136" i="2"/>
  <c r="R7136" i="2" s="1"/>
  <c r="Q7135" i="2"/>
  <c r="R7135" i="2" s="1"/>
  <c r="Q7134" i="2"/>
  <c r="R7134" i="2" s="1"/>
  <c r="Q7133" i="2"/>
  <c r="R7133" i="2" s="1"/>
  <c r="R7132" i="2"/>
  <c r="Q7132" i="2"/>
  <c r="Q7131" i="2"/>
  <c r="R7131" i="2" s="1"/>
  <c r="Q7130" i="2"/>
  <c r="R7130" i="2" s="1"/>
  <c r="R7129" i="2"/>
  <c r="Q7129" i="2"/>
  <c r="Q7128" i="2"/>
  <c r="R7128" i="2" s="1"/>
  <c r="Q7127" i="2"/>
  <c r="R7127" i="2" s="1"/>
  <c r="Q7126" i="2"/>
  <c r="R7126" i="2" s="1"/>
  <c r="Q7125" i="2"/>
  <c r="R7125" i="2" s="1"/>
  <c r="R7124" i="2"/>
  <c r="Q7124" i="2"/>
  <c r="Q7123" i="2"/>
  <c r="R7123" i="2" s="1"/>
  <c r="R7122" i="2"/>
  <c r="Q7122" i="2"/>
  <c r="R7121" i="2"/>
  <c r="Q7121" i="2"/>
  <c r="Q7120" i="2"/>
  <c r="R7120" i="2" s="1"/>
  <c r="Q7119" i="2"/>
  <c r="R7119" i="2" s="1"/>
  <c r="Q7118" i="2"/>
  <c r="R7118" i="2" s="1"/>
  <c r="Q7117" i="2"/>
  <c r="R7117" i="2" s="1"/>
  <c r="R7116" i="2"/>
  <c r="Q7116" i="2"/>
  <c r="Q7115" i="2"/>
  <c r="R7115" i="2" s="1"/>
  <c r="R7114" i="2"/>
  <c r="Q7114" i="2"/>
  <c r="R7113" i="2"/>
  <c r="Q7113" i="2"/>
  <c r="Q7112" i="2"/>
  <c r="R7112" i="2" s="1"/>
  <c r="Q7111" i="2"/>
  <c r="R7111" i="2" s="1"/>
  <c r="Q7110" i="2"/>
  <c r="R7110" i="2" s="1"/>
  <c r="Q7109" i="2"/>
  <c r="R7109" i="2" s="1"/>
  <c r="R7108" i="2"/>
  <c r="Q7108" i="2"/>
  <c r="Q7107" i="2"/>
  <c r="R7107" i="2" s="1"/>
  <c r="R7106" i="2"/>
  <c r="Q7106" i="2"/>
  <c r="R7105" i="2"/>
  <c r="Q7105" i="2"/>
  <c r="Q7104" i="2"/>
  <c r="R7104" i="2" s="1"/>
  <c r="Q7103" i="2"/>
  <c r="R7103" i="2" s="1"/>
  <c r="Q7102" i="2"/>
  <c r="R7102" i="2" s="1"/>
  <c r="Q7101" i="2"/>
  <c r="R7101" i="2" s="1"/>
  <c r="R7100" i="2"/>
  <c r="Q7100" i="2"/>
  <c r="Q7099" i="2"/>
  <c r="R7099" i="2" s="1"/>
  <c r="Q7098" i="2"/>
  <c r="R7098" i="2" s="1"/>
  <c r="R7097" i="2"/>
  <c r="Q7097" i="2"/>
  <c r="Q7096" i="2"/>
  <c r="R7096" i="2" s="1"/>
  <c r="Q7095" i="2"/>
  <c r="R7095" i="2" s="1"/>
  <c r="Q7094" i="2"/>
  <c r="R7094" i="2" s="1"/>
  <c r="Q7093" i="2"/>
  <c r="R7093" i="2" s="1"/>
  <c r="R7092" i="2"/>
  <c r="Q7092" i="2"/>
  <c r="Q7091" i="2"/>
  <c r="R7091" i="2" s="1"/>
  <c r="R7090" i="2"/>
  <c r="Q7090" i="2"/>
  <c r="R7089" i="2"/>
  <c r="Q7089" i="2"/>
  <c r="Q7088" i="2"/>
  <c r="R7088" i="2" s="1"/>
  <c r="Q7087" i="2"/>
  <c r="R7087" i="2" s="1"/>
  <c r="Q7086" i="2"/>
  <c r="R7086" i="2" s="1"/>
  <c r="Q7085" i="2"/>
  <c r="R7085" i="2" s="1"/>
  <c r="R7084" i="2"/>
  <c r="Q7084" i="2"/>
  <c r="Q7083" i="2"/>
  <c r="R7083" i="2" s="1"/>
  <c r="R7082" i="2"/>
  <c r="Q7082" i="2"/>
  <c r="R7081" i="2"/>
  <c r="Q7081" i="2"/>
  <c r="Q7080" i="2"/>
  <c r="R7080" i="2" s="1"/>
  <c r="Q7079" i="2"/>
  <c r="R7079" i="2" s="1"/>
  <c r="Q7078" i="2"/>
  <c r="R7078" i="2" s="1"/>
  <c r="Q7077" i="2"/>
  <c r="R7077" i="2" s="1"/>
  <c r="R7076" i="2"/>
  <c r="Q7076" i="2"/>
  <c r="Q7075" i="2"/>
  <c r="R7075" i="2" s="1"/>
  <c r="R7074" i="2"/>
  <c r="Q7074" i="2"/>
  <c r="R7073" i="2"/>
  <c r="Q7073" i="2"/>
  <c r="Q7072" i="2"/>
  <c r="R7072" i="2" s="1"/>
  <c r="Q7071" i="2"/>
  <c r="R7071" i="2" s="1"/>
  <c r="Q7070" i="2"/>
  <c r="R7070" i="2" s="1"/>
  <c r="Q7069" i="2"/>
  <c r="R7069" i="2" s="1"/>
  <c r="R7068" i="2"/>
  <c r="Q7068" i="2"/>
  <c r="Q7067" i="2"/>
  <c r="R7067" i="2" s="1"/>
  <c r="Q7066" i="2"/>
  <c r="R7066" i="2" s="1"/>
  <c r="R7065" i="2"/>
  <c r="Q7065" i="2"/>
  <c r="Q7064" i="2"/>
  <c r="R7064" i="2" s="1"/>
  <c r="Q7063" i="2"/>
  <c r="R7063" i="2" s="1"/>
  <c r="Q7062" i="2"/>
  <c r="R7062" i="2" s="1"/>
  <c r="Q7061" i="2"/>
  <c r="R7061" i="2" s="1"/>
  <c r="R7060" i="2"/>
  <c r="Q7060" i="2"/>
  <c r="Q7059" i="2"/>
  <c r="R7059" i="2" s="1"/>
  <c r="R7058" i="2"/>
  <c r="Q7058" i="2"/>
  <c r="R7057" i="2"/>
  <c r="Q7057" i="2"/>
  <c r="Q7056" i="2"/>
  <c r="R7056" i="2" s="1"/>
  <c r="Q7055" i="2"/>
  <c r="R7055" i="2" s="1"/>
  <c r="Q7054" i="2"/>
  <c r="R7054" i="2" s="1"/>
  <c r="Q7053" i="2"/>
  <c r="R7053" i="2" s="1"/>
  <c r="R7052" i="2"/>
  <c r="Q7052" i="2"/>
  <c r="Q7051" i="2"/>
  <c r="R7051" i="2" s="1"/>
  <c r="R7050" i="2"/>
  <c r="Q7050" i="2"/>
  <c r="R7049" i="2"/>
  <c r="Q7049" i="2"/>
  <c r="Q7048" i="2"/>
  <c r="R7048" i="2" s="1"/>
  <c r="Q7047" i="2"/>
  <c r="R7047" i="2" s="1"/>
  <c r="Q7046" i="2"/>
  <c r="R7046" i="2" s="1"/>
  <c r="Q7045" i="2"/>
  <c r="R7045" i="2" s="1"/>
  <c r="R7044" i="2"/>
  <c r="Q7044" i="2"/>
  <c r="Q7043" i="2"/>
  <c r="R7043" i="2" s="1"/>
  <c r="R7042" i="2"/>
  <c r="Q7042" i="2"/>
  <c r="R7041" i="2"/>
  <c r="Q7041" i="2"/>
  <c r="Q7040" i="2"/>
  <c r="R7040" i="2" s="1"/>
  <c r="Q7039" i="2"/>
  <c r="R7039" i="2" s="1"/>
  <c r="Q7038" i="2"/>
  <c r="R7038" i="2" s="1"/>
  <c r="Q7037" i="2"/>
  <c r="R7037" i="2" s="1"/>
  <c r="R7036" i="2"/>
  <c r="Q7036" i="2"/>
  <c r="Q7035" i="2"/>
  <c r="R7035" i="2" s="1"/>
  <c r="Q7034" i="2"/>
  <c r="R7034" i="2" s="1"/>
  <c r="R7033" i="2"/>
  <c r="Q7033" i="2"/>
  <c r="Q7032" i="2"/>
  <c r="R7032" i="2" s="1"/>
  <c r="Q7031" i="2"/>
  <c r="R7031" i="2" s="1"/>
  <c r="Q7030" i="2"/>
  <c r="R7030" i="2" s="1"/>
  <c r="Q7029" i="2"/>
  <c r="R7029" i="2" s="1"/>
  <c r="R7028" i="2"/>
  <c r="Q7028" i="2"/>
  <c r="Q7027" i="2"/>
  <c r="R7027" i="2" s="1"/>
  <c r="R7026" i="2"/>
  <c r="Q7026" i="2"/>
  <c r="R7025" i="2"/>
  <c r="Q7025" i="2"/>
  <c r="Q7024" i="2"/>
  <c r="R7024" i="2" s="1"/>
  <c r="Q7023" i="2"/>
  <c r="R7023" i="2" s="1"/>
  <c r="Q7022" i="2"/>
  <c r="R7022" i="2" s="1"/>
  <c r="Q7021" i="2"/>
  <c r="R7021" i="2" s="1"/>
  <c r="R7020" i="2"/>
  <c r="Q7020" i="2"/>
  <c r="Q7019" i="2"/>
  <c r="R7019" i="2" s="1"/>
  <c r="R7018" i="2"/>
  <c r="Q7018" i="2"/>
  <c r="R7017" i="2"/>
  <c r="Q7017" i="2"/>
  <c r="Q7016" i="2"/>
  <c r="R7016" i="2" s="1"/>
  <c r="Q7015" i="2"/>
  <c r="R7015" i="2" s="1"/>
  <c r="Q7014" i="2"/>
  <c r="R7014" i="2" s="1"/>
  <c r="Q7013" i="2"/>
  <c r="R7013" i="2" s="1"/>
  <c r="R7012" i="2"/>
  <c r="Q7012" i="2"/>
  <c r="Q7011" i="2"/>
  <c r="R7011" i="2" s="1"/>
  <c r="R7010" i="2"/>
  <c r="Q7010" i="2"/>
  <c r="R7009" i="2"/>
  <c r="Q7009" i="2"/>
  <c r="Q7008" i="2"/>
  <c r="R7008" i="2" s="1"/>
  <c r="Q7007" i="2"/>
  <c r="R7007" i="2" s="1"/>
  <c r="Q7006" i="2"/>
  <c r="R7006" i="2" s="1"/>
  <c r="Q7005" i="2"/>
  <c r="R7005" i="2" s="1"/>
  <c r="R7004" i="2"/>
  <c r="Q7004" i="2"/>
  <c r="Q7003" i="2"/>
  <c r="R7003" i="2" s="1"/>
  <c r="Q7002" i="2"/>
  <c r="R7002" i="2" s="1"/>
  <c r="R7001" i="2"/>
  <c r="Q7001" i="2"/>
  <c r="Q7000" i="2"/>
  <c r="R7000" i="2" s="1"/>
  <c r="Q6999" i="2"/>
  <c r="R6999" i="2" s="1"/>
  <c r="Q6998" i="2"/>
  <c r="R6998" i="2" s="1"/>
  <c r="Q6997" i="2"/>
  <c r="R6997" i="2" s="1"/>
  <c r="R6996" i="2"/>
  <c r="Q6996" i="2"/>
  <c r="Q6995" i="2"/>
  <c r="R6995" i="2" s="1"/>
  <c r="R6994" i="2"/>
  <c r="Q6994" i="2"/>
  <c r="Q6993" i="2"/>
  <c r="R6993" i="2" s="1"/>
  <c r="Q6992" i="2"/>
  <c r="R6992" i="2" s="1"/>
  <c r="Q6991" i="2"/>
  <c r="R6991" i="2" s="1"/>
  <c r="Q6990" i="2"/>
  <c r="R6990" i="2" s="1"/>
  <c r="Q6989" i="2"/>
  <c r="R6989" i="2" s="1"/>
  <c r="R6988" i="2"/>
  <c r="Q6988" i="2"/>
  <c r="Q6987" i="2"/>
  <c r="R6987" i="2" s="1"/>
  <c r="R6986" i="2"/>
  <c r="Q6986" i="2"/>
  <c r="Q6985" i="2"/>
  <c r="R6985" i="2" s="1"/>
  <c r="Q6984" i="2"/>
  <c r="R6984" i="2" s="1"/>
  <c r="Q6983" i="2"/>
  <c r="R6983" i="2" s="1"/>
  <c r="Q6982" i="2"/>
  <c r="R6982" i="2" s="1"/>
  <c r="Q6981" i="2"/>
  <c r="R6981" i="2" s="1"/>
  <c r="R6980" i="2"/>
  <c r="Q6980" i="2"/>
  <c r="Q6979" i="2"/>
  <c r="R6979" i="2" s="1"/>
  <c r="R6978" i="2"/>
  <c r="Q6978" i="2"/>
  <c r="Q6977" i="2"/>
  <c r="R6977" i="2" s="1"/>
  <c r="Q6976" i="2"/>
  <c r="R6976" i="2" s="1"/>
  <c r="Q6975" i="2"/>
  <c r="R6975" i="2" s="1"/>
  <c r="Q6974" i="2"/>
  <c r="R6974" i="2" s="1"/>
  <c r="Q6973" i="2"/>
  <c r="R6973" i="2" s="1"/>
  <c r="R6972" i="2"/>
  <c r="Q6972" i="2"/>
  <c r="Q6971" i="2"/>
  <c r="R6971" i="2" s="1"/>
  <c r="Q6970" i="2"/>
  <c r="R6970" i="2" s="1"/>
  <c r="Q6969" i="2"/>
  <c r="R6969" i="2" s="1"/>
  <c r="Q6968" i="2"/>
  <c r="R6968" i="2" s="1"/>
  <c r="Q6967" i="2"/>
  <c r="R6967" i="2" s="1"/>
  <c r="Q6966" i="2"/>
  <c r="R6966" i="2" s="1"/>
  <c r="Q6965" i="2"/>
  <c r="R6965" i="2" s="1"/>
  <c r="R6964" i="2"/>
  <c r="Q6964" i="2"/>
  <c r="Q6963" i="2"/>
  <c r="R6963" i="2" s="1"/>
  <c r="R6962" i="2"/>
  <c r="Q6962" i="2"/>
  <c r="Q6961" i="2"/>
  <c r="R6961" i="2" s="1"/>
  <c r="Q6960" i="2"/>
  <c r="R6960" i="2" s="1"/>
  <c r="Q6959" i="2"/>
  <c r="R6959" i="2" s="1"/>
  <c r="Q6958" i="2"/>
  <c r="R6958" i="2" s="1"/>
  <c r="Q6957" i="2"/>
  <c r="R6957" i="2" s="1"/>
  <c r="R6956" i="2"/>
  <c r="Q6956" i="2"/>
  <c r="Q6955" i="2"/>
  <c r="R6955" i="2" s="1"/>
  <c r="R6954" i="2"/>
  <c r="Q6954" i="2"/>
  <c r="Q6953" i="2"/>
  <c r="R6953" i="2" s="1"/>
  <c r="Q6952" i="2"/>
  <c r="R6952" i="2" s="1"/>
  <c r="Q6951" i="2"/>
  <c r="R6951" i="2" s="1"/>
  <c r="Q6950" i="2"/>
  <c r="R6950" i="2" s="1"/>
  <c r="Q6949" i="2"/>
  <c r="R6949" i="2" s="1"/>
  <c r="R6948" i="2"/>
  <c r="Q6948" i="2"/>
  <c r="Q6947" i="2"/>
  <c r="R6947" i="2" s="1"/>
  <c r="R6946" i="2"/>
  <c r="Q6946" i="2"/>
  <c r="Q6945" i="2"/>
  <c r="R6945" i="2" s="1"/>
  <c r="Q6944" i="2"/>
  <c r="R6944" i="2" s="1"/>
  <c r="Q6943" i="2"/>
  <c r="R6943" i="2" s="1"/>
  <c r="Q6942" i="2"/>
  <c r="R6942" i="2" s="1"/>
  <c r="Q6941" i="2"/>
  <c r="R6941" i="2" s="1"/>
  <c r="R6940" i="2"/>
  <c r="Q6940" i="2"/>
  <c r="Q6939" i="2"/>
  <c r="R6939" i="2" s="1"/>
  <c r="Q6938" i="2"/>
  <c r="R6938" i="2" s="1"/>
  <c r="Q6937" i="2"/>
  <c r="R6937" i="2" s="1"/>
  <c r="Q6936" i="2"/>
  <c r="R6936" i="2" s="1"/>
  <c r="Q6935" i="2"/>
  <c r="R6935" i="2" s="1"/>
  <c r="Q6934" i="2"/>
  <c r="R6934" i="2" s="1"/>
  <c r="Q6933" i="2"/>
  <c r="R6933" i="2" s="1"/>
  <c r="R6932" i="2"/>
  <c r="Q6932" i="2"/>
  <c r="Q6931" i="2"/>
  <c r="R6931" i="2" s="1"/>
  <c r="R6930" i="2"/>
  <c r="Q6930" i="2"/>
  <c r="Q6929" i="2"/>
  <c r="R6929" i="2" s="1"/>
  <c r="Q6928" i="2"/>
  <c r="R6928" i="2" s="1"/>
  <c r="Q6927" i="2"/>
  <c r="R6927" i="2" s="1"/>
  <c r="Q6926" i="2"/>
  <c r="R6926" i="2" s="1"/>
  <c r="Q6925" i="2"/>
  <c r="R6925" i="2" s="1"/>
  <c r="R6924" i="2"/>
  <c r="Q6924" i="2"/>
  <c r="Q6923" i="2"/>
  <c r="R6923" i="2" s="1"/>
  <c r="R6922" i="2"/>
  <c r="Q6922" i="2"/>
  <c r="Q6921" i="2"/>
  <c r="R6921" i="2" s="1"/>
  <c r="Q6920" i="2"/>
  <c r="R6920" i="2" s="1"/>
  <c r="Q6919" i="2"/>
  <c r="R6919" i="2" s="1"/>
  <c r="Q6918" i="2"/>
  <c r="R6918" i="2" s="1"/>
  <c r="Q6917" i="2"/>
  <c r="R6917" i="2" s="1"/>
  <c r="R6916" i="2"/>
  <c r="Q6916" i="2"/>
  <c r="Q6915" i="2"/>
  <c r="R6915" i="2" s="1"/>
  <c r="R6914" i="2"/>
  <c r="Q6914" i="2"/>
  <c r="Q6913" i="2"/>
  <c r="R6913" i="2" s="1"/>
  <c r="Q6912" i="2"/>
  <c r="R6912" i="2" s="1"/>
  <c r="Q6911" i="2"/>
  <c r="R6911" i="2" s="1"/>
  <c r="Q6910" i="2"/>
  <c r="R6910" i="2" s="1"/>
  <c r="Q6909" i="2"/>
  <c r="R6909" i="2" s="1"/>
  <c r="R6908" i="2"/>
  <c r="Q6908" i="2"/>
  <c r="Q6907" i="2"/>
  <c r="R6907" i="2" s="1"/>
  <c r="Q6906" i="2"/>
  <c r="R6906" i="2" s="1"/>
  <c r="Q6905" i="2"/>
  <c r="R6905" i="2" s="1"/>
  <c r="Q6904" i="2"/>
  <c r="R6904" i="2" s="1"/>
  <c r="Q6903" i="2"/>
  <c r="R6903" i="2" s="1"/>
  <c r="Q6902" i="2"/>
  <c r="R6902" i="2" s="1"/>
  <c r="Q6901" i="2"/>
  <c r="R6901" i="2" s="1"/>
  <c r="R6900" i="2"/>
  <c r="Q6900" i="2"/>
  <c r="Q6899" i="2"/>
  <c r="R6899" i="2" s="1"/>
  <c r="R6898" i="2"/>
  <c r="Q6898" i="2"/>
  <c r="Q6897" i="2"/>
  <c r="R6897" i="2" s="1"/>
  <c r="Q6896" i="2"/>
  <c r="R6896" i="2" s="1"/>
  <c r="Q6895" i="2"/>
  <c r="R6895" i="2" s="1"/>
  <c r="Q6894" i="2"/>
  <c r="R6894" i="2" s="1"/>
  <c r="Q6893" i="2"/>
  <c r="R6893" i="2" s="1"/>
  <c r="R6892" i="2"/>
  <c r="Q6892" i="2"/>
  <c r="Q6891" i="2"/>
  <c r="R6891" i="2" s="1"/>
  <c r="R6890" i="2"/>
  <c r="Q6890" i="2"/>
  <c r="Q6889" i="2"/>
  <c r="R6889" i="2" s="1"/>
  <c r="Q6888" i="2"/>
  <c r="R6888" i="2" s="1"/>
  <c r="Q6887" i="2"/>
  <c r="R6887" i="2" s="1"/>
  <c r="Q6886" i="2"/>
  <c r="R6886" i="2" s="1"/>
  <c r="Q6885" i="2"/>
  <c r="R6885" i="2" s="1"/>
  <c r="R6884" i="2"/>
  <c r="Q6884" i="2"/>
  <c r="Q6883" i="2"/>
  <c r="R6883" i="2" s="1"/>
  <c r="R6882" i="2"/>
  <c r="Q6882" i="2"/>
  <c r="Q6881" i="2"/>
  <c r="R6881" i="2" s="1"/>
  <c r="Q6880" i="2"/>
  <c r="R6880" i="2" s="1"/>
  <c r="Q6879" i="2"/>
  <c r="R6879" i="2" s="1"/>
  <c r="Q6878" i="2"/>
  <c r="R6878" i="2" s="1"/>
  <c r="Q6877" i="2"/>
  <c r="R6877" i="2" s="1"/>
  <c r="R6876" i="2"/>
  <c r="Q6876" i="2"/>
  <c r="Q6875" i="2"/>
  <c r="R6875" i="2" s="1"/>
  <c r="Q6874" i="2"/>
  <c r="R6874" i="2" s="1"/>
  <c r="Q6873" i="2"/>
  <c r="R6873" i="2" s="1"/>
  <c r="Q6872" i="2"/>
  <c r="R6872" i="2" s="1"/>
  <c r="Q6871" i="2"/>
  <c r="R6871" i="2" s="1"/>
  <c r="Q6870" i="2"/>
  <c r="R6870" i="2" s="1"/>
  <c r="Q6869" i="2"/>
  <c r="R6869" i="2" s="1"/>
  <c r="R6868" i="2"/>
  <c r="Q6868" i="2"/>
  <c r="Q6867" i="2"/>
  <c r="R6867" i="2" s="1"/>
  <c r="R6866" i="2"/>
  <c r="Q6866" i="2"/>
  <c r="Q6865" i="2"/>
  <c r="R6865" i="2" s="1"/>
  <c r="Q6864" i="2"/>
  <c r="R6864" i="2" s="1"/>
  <c r="Q6863" i="2"/>
  <c r="R6863" i="2" s="1"/>
  <c r="Q6862" i="2"/>
  <c r="R6862" i="2" s="1"/>
  <c r="Q6861" i="2"/>
  <c r="R6861" i="2" s="1"/>
  <c r="R6860" i="2"/>
  <c r="Q6860" i="2"/>
  <c r="Q6859" i="2"/>
  <c r="R6859" i="2" s="1"/>
  <c r="R6858" i="2"/>
  <c r="Q6858" i="2"/>
  <c r="Q6857" i="2"/>
  <c r="R6857" i="2" s="1"/>
  <c r="Q6856" i="2"/>
  <c r="R6856" i="2" s="1"/>
  <c r="Q6855" i="2"/>
  <c r="R6855" i="2" s="1"/>
  <c r="Q6854" i="2"/>
  <c r="R6854" i="2" s="1"/>
  <c r="Q6853" i="2"/>
  <c r="R6853" i="2" s="1"/>
  <c r="R6852" i="2"/>
  <c r="Q6852" i="2"/>
  <c r="Q6851" i="2"/>
  <c r="R6851" i="2" s="1"/>
  <c r="R6850" i="2"/>
  <c r="Q6850" i="2"/>
  <c r="Q6849" i="2"/>
  <c r="R6849" i="2" s="1"/>
  <c r="Q6848" i="2"/>
  <c r="R6848" i="2" s="1"/>
  <c r="Q6847" i="2"/>
  <c r="R6847" i="2" s="1"/>
  <c r="Q6846" i="2"/>
  <c r="R6846" i="2" s="1"/>
  <c r="Q6845" i="2"/>
  <c r="R6845" i="2" s="1"/>
  <c r="R6844" i="2"/>
  <c r="Q6844" i="2"/>
  <c r="Q6843" i="2"/>
  <c r="R6843" i="2" s="1"/>
  <c r="Q6842" i="2"/>
  <c r="R6842" i="2" s="1"/>
  <c r="Q6841" i="2"/>
  <c r="R6841" i="2" s="1"/>
  <c r="Q6840" i="2"/>
  <c r="R6840" i="2" s="1"/>
  <c r="Q6839" i="2"/>
  <c r="R6839" i="2" s="1"/>
  <c r="Q6838" i="2"/>
  <c r="R6838" i="2" s="1"/>
  <c r="Q6837" i="2"/>
  <c r="R6837" i="2" s="1"/>
  <c r="R6836" i="2"/>
  <c r="Q6836" i="2"/>
  <c r="Q6835" i="2"/>
  <c r="R6835" i="2" s="1"/>
  <c r="R6834" i="2"/>
  <c r="Q6834" i="2"/>
  <c r="Q6833" i="2"/>
  <c r="R6833" i="2" s="1"/>
  <c r="Q6832" i="2"/>
  <c r="R6832" i="2" s="1"/>
  <c r="Q6831" i="2"/>
  <c r="R6831" i="2" s="1"/>
  <c r="Q6830" i="2"/>
  <c r="R6830" i="2" s="1"/>
  <c r="Q6829" i="2"/>
  <c r="R6829" i="2" s="1"/>
  <c r="R6828" i="2"/>
  <c r="Q6828" i="2"/>
  <c r="Q6827" i="2"/>
  <c r="R6827" i="2" s="1"/>
  <c r="R6826" i="2"/>
  <c r="Q6826" i="2"/>
  <c r="Q6825" i="2"/>
  <c r="R6825" i="2" s="1"/>
  <c r="Q6824" i="2"/>
  <c r="R6824" i="2" s="1"/>
  <c r="Q6823" i="2"/>
  <c r="R6823" i="2" s="1"/>
  <c r="Q6822" i="2"/>
  <c r="R6822" i="2" s="1"/>
  <c r="Q6821" i="2"/>
  <c r="R6821" i="2" s="1"/>
  <c r="R6820" i="2"/>
  <c r="Q6820" i="2"/>
  <c r="Q6819" i="2"/>
  <c r="R6819" i="2" s="1"/>
  <c r="R6818" i="2"/>
  <c r="Q6818" i="2"/>
  <c r="Q6817" i="2"/>
  <c r="R6817" i="2" s="1"/>
  <c r="Q6816" i="2"/>
  <c r="R6816" i="2" s="1"/>
  <c r="Q6815" i="2"/>
  <c r="R6815" i="2" s="1"/>
  <c r="Q6814" i="2"/>
  <c r="R6814" i="2" s="1"/>
  <c r="Q6813" i="2"/>
  <c r="R6813" i="2" s="1"/>
  <c r="R6812" i="2"/>
  <c r="Q6812" i="2"/>
  <c r="Q6811" i="2"/>
  <c r="R6811" i="2" s="1"/>
  <c r="Q6810" i="2"/>
  <c r="R6810" i="2" s="1"/>
  <c r="Q6809" i="2"/>
  <c r="R6809" i="2" s="1"/>
  <c r="Q6808" i="2"/>
  <c r="R6808" i="2" s="1"/>
  <c r="Q6807" i="2"/>
  <c r="R6807" i="2" s="1"/>
  <c r="Q6806" i="2"/>
  <c r="R6806" i="2" s="1"/>
  <c r="Q6805" i="2"/>
  <c r="R6805" i="2" s="1"/>
  <c r="R6804" i="2"/>
  <c r="Q6804" i="2"/>
  <c r="Q6803" i="2"/>
  <c r="R6803" i="2" s="1"/>
  <c r="R6802" i="2"/>
  <c r="Q6802" i="2"/>
  <c r="Q6801" i="2"/>
  <c r="R6801" i="2" s="1"/>
  <c r="Q6800" i="2"/>
  <c r="R6800" i="2" s="1"/>
  <c r="Q6799" i="2"/>
  <c r="R6799" i="2" s="1"/>
  <c r="Q6798" i="2"/>
  <c r="R6798" i="2" s="1"/>
  <c r="Q6797" i="2"/>
  <c r="R6797" i="2" s="1"/>
  <c r="R6796" i="2"/>
  <c r="Q6796" i="2"/>
  <c r="Q6795" i="2"/>
  <c r="R6795" i="2" s="1"/>
  <c r="R6794" i="2"/>
  <c r="Q6794" i="2"/>
  <c r="Q6793" i="2"/>
  <c r="R6793" i="2" s="1"/>
  <c r="Q6792" i="2"/>
  <c r="R6792" i="2" s="1"/>
  <c r="Q6791" i="2"/>
  <c r="R6791" i="2" s="1"/>
  <c r="Q6790" i="2"/>
  <c r="R6790" i="2" s="1"/>
  <c r="Q6789" i="2"/>
  <c r="R6789" i="2" s="1"/>
  <c r="R6788" i="2"/>
  <c r="Q6788" i="2"/>
  <c r="Q6787" i="2"/>
  <c r="R6787" i="2" s="1"/>
  <c r="R6786" i="2"/>
  <c r="Q6786" i="2"/>
  <c r="Q6785" i="2"/>
  <c r="R6785" i="2" s="1"/>
  <c r="Q6784" i="2"/>
  <c r="R6784" i="2" s="1"/>
  <c r="Q6783" i="2"/>
  <c r="R6783" i="2" s="1"/>
  <c r="Q6782" i="2"/>
  <c r="R6782" i="2" s="1"/>
  <c r="Q6781" i="2"/>
  <c r="R6781" i="2" s="1"/>
  <c r="R6780" i="2"/>
  <c r="Q6780" i="2"/>
  <c r="Q6779" i="2"/>
  <c r="R6779" i="2" s="1"/>
  <c r="Q6778" i="2"/>
  <c r="R6778" i="2" s="1"/>
  <c r="Q6777" i="2"/>
  <c r="R6777" i="2" s="1"/>
  <c r="Q6776" i="2"/>
  <c r="R6776" i="2" s="1"/>
  <c r="Q6775" i="2"/>
  <c r="R6775" i="2" s="1"/>
  <c r="Q6774" i="2"/>
  <c r="R6774" i="2" s="1"/>
  <c r="Q6773" i="2"/>
  <c r="R6773" i="2" s="1"/>
  <c r="R6772" i="2"/>
  <c r="Q6772" i="2"/>
  <c r="Q6771" i="2"/>
  <c r="R6771" i="2" s="1"/>
  <c r="R6770" i="2"/>
  <c r="Q6770" i="2"/>
  <c r="Q6769" i="2"/>
  <c r="R6769" i="2" s="1"/>
  <c r="Q6768" i="2"/>
  <c r="R6768" i="2" s="1"/>
  <c r="Q6767" i="2"/>
  <c r="R6767" i="2" s="1"/>
  <c r="Q6766" i="2"/>
  <c r="R6766" i="2" s="1"/>
  <c r="Q6765" i="2"/>
  <c r="R6765" i="2" s="1"/>
  <c r="R6764" i="2"/>
  <c r="Q6764" i="2"/>
  <c r="Q6763" i="2"/>
  <c r="R6763" i="2" s="1"/>
  <c r="R6762" i="2"/>
  <c r="Q6762" i="2"/>
  <c r="Q6761" i="2"/>
  <c r="R6761" i="2" s="1"/>
  <c r="Q6760" i="2"/>
  <c r="R6760" i="2" s="1"/>
  <c r="Q6759" i="2"/>
  <c r="R6759" i="2" s="1"/>
  <c r="Q6758" i="2"/>
  <c r="R6758" i="2" s="1"/>
  <c r="Q6757" i="2"/>
  <c r="R6757" i="2" s="1"/>
  <c r="R6756" i="2"/>
  <c r="Q6756" i="2"/>
  <c r="Q6755" i="2"/>
  <c r="R6755" i="2" s="1"/>
  <c r="R6754" i="2"/>
  <c r="Q6754" i="2"/>
  <c r="Q6753" i="2"/>
  <c r="R6753" i="2" s="1"/>
  <c r="Q6752" i="2"/>
  <c r="R6752" i="2" s="1"/>
  <c r="Q6751" i="2"/>
  <c r="R6751" i="2" s="1"/>
  <c r="Q6750" i="2"/>
  <c r="R6750" i="2" s="1"/>
  <c r="Q6749" i="2"/>
  <c r="R6749" i="2" s="1"/>
  <c r="R6748" i="2"/>
  <c r="Q6748" i="2"/>
  <c r="Q6747" i="2"/>
  <c r="R6747" i="2" s="1"/>
  <c r="Q6746" i="2"/>
  <c r="R6746" i="2" s="1"/>
  <c r="Q6745" i="2"/>
  <c r="R6745" i="2" s="1"/>
  <c r="Q6744" i="2"/>
  <c r="R6744" i="2" s="1"/>
  <c r="Q6743" i="2"/>
  <c r="R6743" i="2" s="1"/>
  <c r="Q6742" i="2"/>
  <c r="R6742" i="2" s="1"/>
  <c r="Q6741" i="2"/>
  <c r="R6741" i="2" s="1"/>
  <c r="R6740" i="2"/>
  <c r="Q6740" i="2"/>
  <c r="Q6739" i="2"/>
  <c r="R6739" i="2" s="1"/>
  <c r="R6738" i="2"/>
  <c r="Q6738" i="2"/>
  <c r="Q6737" i="2"/>
  <c r="R6737" i="2" s="1"/>
  <c r="Q6736" i="2"/>
  <c r="R6736" i="2" s="1"/>
  <c r="Q6735" i="2"/>
  <c r="R6735" i="2" s="1"/>
  <c r="Q6734" i="2"/>
  <c r="R6734" i="2" s="1"/>
  <c r="Q6733" i="2"/>
  <c r="R6733" i="2" s="1"/>
  <c r="R6732" i="2"/>
  <c r="Q6732" i="2"/>
  <c r="Q6731" i="2"/>
  <c r="R6731" i="2" s="1"/>
  <c r="R6730" i="2"/>
  <c r="Q6730" i="2"/>
  <c r="Q6729" i="2"/>
  <c r="R6729" i="2" s="1"/>
  <c r="Q6728" i="2"/>
  <c r="R6728" i="2" s="1"/>
  <c r="Q6727" i="2"/>
  <c r="R6727" i="2" s="1"/>
  <c r="Q6726" i="2"/>
  <c r="R6726" i="2" s="1"/>
  <c r="Q6725" i="2"/>
  <c r="R6725" i="2" s="1"/>
  <c r="R6724" i="2"/>
  <c r="Q6724" i="2"/>
  <c r="Q6723" i="2"/>
  <c r="R6723" i="2" s="1"/>
  <c r="R6722" i="2"/>
  <c r="Q6722" i="2"/>
  <c r="Q6721" i="2"/>
  <c r="R6721" i="2" s="1"/>
  <c r="Q6720" i="2"/>
  <c r="R6720" i="2" s="1"/>
  <c r="Q6719" i="2"/>
  <c r="R6719" i="2" s="1"/>
  <c r="Q6718" i="2"/>
  <c r="R6718" i="2" s="1"/>
  <c r="Q6717" i="2"/>
  <c r="R6717" i="2" s="1"/>
  <c r="R6716" i="2"/>
  <c r="Q6716" i="2"/>
  <c r="Q6715" i="2"/>
  <c r="R6715" i="2" s="1"/>
  <c r="Q6714" i="2"/>
  <c r="R6714" i="2" s="1"/>
  <c r="Q6713" i="2"/>
  <c r="R6713" i="2" s="1"/>
  <c r="Q6712" i="2"/>
  <c r="R6712" i="2" s="1"/>
  <c r="Q6711" i="2"/>
  <c r="R6711" i="2" s="1"/>
  <c r="Q6710" i="2"/>
  <c r="R6710" i="2" s="1"/>
  <c r="Q6709" i="2"/>
  <c r="R6709" i="2" s="1"/>
  <c r="R6708" i="2"/>
  <c r="Q6708" i="2"/>
  <c r="Q6707" i="2"/>
  <c r="R6707" i="2" s="1"/>
  <c r="R6706" i="2"/>
  <c r="Q6706" i="2"/>
  <c r="Q6705" i="2"/>
  <c r="R6705" i="2" s="1"/>
  <c r="Q6704" i="2"/>
  <c r="R6704" i="2" s="1"/>
  <c r="Q6703" i="2"/>
  <c r="R6703" i="2" s="1"/>
  <c r="Q6702" i="2"/>
  <c r="R6702" i="2" s="1"/>
  <c r="Q6701" i="2"/>
  <c r="R6701" i="2" s="1"/>
  <c r="R6700" i="2"/>
  <c r="Q6700" i="2"/>
  <c r="Q6699" i="2"/>
  <c r="R6699" i="2" s="1"/>
  <c r="R6698" i="2"/>
  <c r="Q6698" i="2"/>
  <c r="Q6697" i="2"/>
  <c r="R6697" i="2" s="1"/>
  <c r="Q6696" i="2"/>
  <c r="R6696" i="2" s="1"/>
  <c r="Q6695" i="2"/>
  <c r="R6695" i="2" s="1"/>
  <c r="Q6694" i="2"/>
  <c r="R6694" i="2" s="1"/>
  <c r="Q6693" i="2"/>
  <c r="R6693" i="2" s="1"/>
  <c r="R6692" i="2"/>
  <c r="Q6692" i="2"/>
  <c r="Q6691" i="2"/>
  <c r="R6691" i="2" s="1"/>
  <c r="R6690" i="2"/>
  <c r="Q6690" i="2"/>
  <c r="Q6689" i="2"/>
  <c r="R6689" i="2" s="1"/>
  <c r="Q6688" i="2"/>
  <c r="R6688" i="2" s="1"/>
  <c r="Q6687" i="2"/>
  <c r="R6687" i="2" s="1"/>
  <c r="Q6686" i="2"/>
  <c r="R6686" i="2" s="1"/>
  <c r="Q6685" i="2"/>
  <c r="R6685" i="2" s="1"/>
  <c r="R6684" i="2"/>
  <c r="Q6684" i="2"/>
  <c r="Q6683" i="2"/>
  <c r="R6683" i="2" s="1"/>
  <c r="Q6682" i="2"/>
  <c r="R6682" i="2" s="1"/>
  <c r="Q6681" i="2"/>
  <c r="R6681" i="2" s="1"/>
  <c r="Q6680" i="2"/>
  <c r="R6680" i="2" s="1"/>
  <c r="Q6679" i="2"/>
  <c r="R6679" i="2" s="1"/>
  <c r="Q6678" i="2"/>
  <c r="R6678" i="2" s="1"/>
  <c r="Q6677" i="2"/>
  <c r="R6677" i="2" s="1"/>
  <c r="R6676" i="2"/>
  <c r="Q6676" i="2"/>
  <c r="Q6675" i="2"/>
  <c r="R6675" i="2" s="1"/>
  <c r="R6674" i="2"/>
  <c r="Q6674" i="2"/>
  <c r="Q6673" i="2"/>
  <c r="R6673" i="2" s="1"/>
  <c r="Q6672" i="2"/>
  <c r="R6672" i="2" s="1"/>
  <c r="Q6671" i="2"/>
  <c r="R6671" i="2" s="1"/>
  <c r="Q6670" i="2"/>
  <c r="R6670" i="2" s="1"/>
  <c r="Q6669" i="2"/>
  <c r="R6669" i="2" s="1"/>
  <c r="R6668" i="2"/>
  <c r="Q6668" i="2"/>
  <c r="Q6667" i="2"/>
  <c r="R6667" i="2" s="1"/>
  <c r="R6666" i="2"/>
  <c r="Q6666" i="2"/>
  <c r="Q6665" i="2"/>
  <c r="R6665" i="2" s="1"/>
  <c r="Q6664" i="2"/>
  <c r="R6664" i="2" s="1"/>
  <c r="Q6663" i="2"/>
  <c r="R6663" i="2" s="1"/>
  <c r="Q6662" i="2"/>
  <c r="R6662" i="2" s="1"/>
  <c r="Q6661" i="2"/>
  <c r="R6661" i="2" s="1"/>
  <c r="R6660" i="2"/>
  <c r="Q6660" i="2"/>
  <c r="Q6659" i="2"/>
  <c r="R6659" i="2" s="1"/>
  <c r="R6658" i="2"/>
  <c r="Q6658" i="2"/>
  <c r="Q6657" i="2"/>
  <c r="R6657" i="2" s="1"/>
  <c r="Q6656" i="2"/>
  <c r="R6656" i="2" s="1"/>
  <c r="Q6655" i="2"/>
  <c r="R6655" i="2" s="1"/>
  <c r="Q6654" i="2"/>
  <c r="R6654" i="2" s="1"/>
  <c r="Q6653" i="2"/>
  <c r="R6653" i="2" s="1"/>
  <c r="R6652" i="2"/>
  <c r="Q6652" i="2"/>
  <c r="Q6651" i="2"/>
  <c r="R6651" i="2" s="1"/>
  <c r="Q6650" i="2"/>
  <c r="R6650" i="2" s="1"/>
  <c r="Q6649" i="2"/>
  <c r="R6649" i="2" s="1"/>
  <c r="Q6648" i="2"/>
  <c r="R6648" i="2" s="1"/>
  <c r="Q6647" i="2"/>
  <c r="R6647" i="2" s="1"/>
  <c r="Q6646" i="2"/>
  <c r="R6646" i="2" s="1"/>
  <c r="Q6645" i="2"/>
  <c r="R6645" i="2" s="1"/>
  <c r="R6644" i="2"/>
  <c r="Q6644" i="2"/>
  <c r="Q6643" i="2"/>
  <c r="R6643" i="2" s="1"/>
  <c r="R6642" i="2"/>
  <c r="Q6642" i="2"/>
  <c r="Q6641" i="2"/>
  <c r="R6641" i="2" s="1"/>
  <c r="Q6640" i="2"/>
  <c r="R6640" i="2" s="1"/>
  <c r="Q6639" i="2"/>
  <c r="R6639" i="2" s="1"/>
  <c r="Q6638" i="2"/>
  <c r="R6638" i="2" s="1"/>
  <c r="Q6637" i="2"/>
  <c r="R6637" i="2" s="1"/>
  <c r="R6636" i="2"/>
  <c r="Q6636" i="2"/>
  <c r="Q6635" i="2"/>
  <c r="R6635" i="2" s="1"/>
  <c r="R6634" i="2"/>
  <c r="Q6634" i="2"/>
  <c r="Q6633" i="2"/>
  <c r="R6633" i="2" s="1"/>
  <c r="Q6632" i="2"/>
  <c r="R6632" i="2" s="1"/>
  <c r="Q6631" i="2"/>
  <c r="R6631" i="2" s="1"/>
  <c r="Q6630" i="2"/>
  <c r="R6630" i="2" s="1"/>
  <c r="Q6629" i="2"/>
  <c r="R6629" i="2" s="1"/>
  <c r="R6628" i="2"/>
  <c r="Q6628" i="2"/>
  <c r="Q6627" i="2"/>
  <c r="R6627" i="2" s="1"/>
  <c r="R6626" i="2"/>
  <c r="Q6626" i="2"/>
  <c r="Q6625" i="2"/>
  <c r="R6625" i="2" s="1"/>
  <c r="Q6624" i="2"/>
  <c r="R6624" i="2" s="1"/>
  <c r="Q6623" i="2"/>
  <c r="R6623" i="2" s="1"/>
  <c r="Q6622" i="2"/>
  <c r="R6622" i="2" s="1"/>
  <c r="Q6621" i="2"/>
  <c r="R6621" i="2" s="1"/>
  <c r="R6620" i="2"/>
  <c r="Q6620" i="2"/>
  <c r="Q6619" i="2"/>
  <c r="R6619" i="2" s="1"/>
  <c r="Q6618" i="2"/>
  <c r="R6618" i="2" s="1"/>
  <c r="Q6617" i="2"/>
  <c r="R6617" i="2" s="1"/>
  <c r="Q6616" i="2"/>
  <c r="R6616" i="2" s="1"/>
  <c r="Q6615" i="2"/>
  <c r="R6615" i="2" s="1"/>
  <c r="Q6614" i="2"/>
  <c r="R6614" i="2" s="1"/>
  <c r="Q6613" i="2"/>
  <c r="R6613" i="2" s="1"/>
  <c r="R6612" i="2"/>
  <c r="Q6612" i="2"/>
  <c r="Q6611" i="2"/>
  <c r="R6611" i="2" s="1"/>
  <c r="R6610" i="2"/>
  <c r="Q6610" i="2"/>
  <c r="Q6609" i="2"/>
  <c r="R6609" i="2" s="1"/>
  <c r="Q6608" i="2"/>
  <c r="R6608" i="2" s="1"/>
  <c r="Q6607" i="2"/>
  <c r="R6607" i="2" s="1"/>
  <c r="Q6606" i="2"/>
  <c r="R6606" i="2" s="1"/>
  <c r="Q6605" i="2"/>
  <c r="R6605" i="2" s="1"/>
  <c r="R6604" i="2"/>
  <c r="Q6604" i="2"/>
  <c r="Q6603" i="2"/>
  <c r="R6603" i="2" s="1"/>
  <c r="R6602" i="2"/>
  <c r="Q6602" i="2"/>
  <c r="Q6601" i="2"/>
  <c r="R6601" i="2" s="1"/>
  <c r="Q6600" i="2"/>
  <c r="R6600" i="2" s="1"/>
  <c r="Q6599" i="2"/>
  <c r="R6599" i="2" s="1"/>
  <c r="Q6598" i="2"/>
  <c r="R6598" i="2" s="1"/>
  <c r="Q6597" i="2"/>
  <c r="R6597" i="2" s="1"/>
  <c r="R6596" i="2"/>
  <c r="Q6596" i="2"/>
  <c r="Q6595" i="2"/>
  <c r="R6595" i="2" s="1"/>
  <c r="R6594" i="2"/>
  <c r="Q6594" i="2"/>
  <c r="Q6593" i="2"/>
  <c r="R6593" i="2" s="1"/>
  <c r="Q6592" i="2"/>
  <c r="R6592" i="2" s="1"/>
  <c r="Q6591" i="2"/>
  <c r="R6591" i="2" s="1"/>
  <c r="Q6590" i="2"/>
  <c r="R6590" i="2" s="1"/>
  <c r="Q6589" i="2"/>
  <c r="R6589" i="2" s="1"/>
  <c r="R6588" i="2"/>
  <c r="Q6588" i="2"/>
  <c r="Q6587" i="2"/>
  <c r="R6587" i="2" s="1"/>
  <c r="Q6586" i="2"/>
  <c r="R6586" i="2" s="1"/>
  <c r="Q6585" i="2"/>
  <c r="R6585" i="2" s="1"/>
  <c r="Q6584" i="2"/>
  <c r="R6584" i="2" s="1"/>
  <c r="Q6583" i="2"/>
  <c r="R6583" i="2" s="1"/>
  <c r="Q6582" i="2"/>
  <c r="R6582" i="2" s="1"/>
  <c r="Q6581" i="2"/>
  <c r="R6581" i="2" s="1"/>
  <c r="R6580" i="2"/>
  <c r="Q6580" i="2"/>
  <c r="Q6579" i="2"/>
  <c r="R6579" i="2" s="1"/>
  <c r="R6578" i="2"/>
  <c r="Q6578" i="2"/>
  <c r="Q6577" i="2"/>
  <c r="R6577" i="2" s="1"/>
  <c r="Q6576" i="2"/>
  <c r="R6576" i="2" s="1"/>
  <c r="Q6575" i="2"/>
  <c r="R6575" i="2" s="1"/>
  <c r="Q6574" i="2"/>
  <c r="R6574" i="2" s="1"/>
  <c r="Q6573" i="2"/>
  <c r="R6573" i="2" s="1"/>
  <c r="R6572" i="2"/>
  <c r="Q6572" i="2"/>
  <c r="Q6571" i="2"/>
  <c r="R6571" i="2" s="1"/>
  <c r="R6570" i="2"/>
  <c r="Q6570" i="2"/>
  <c r="Q6569" i="2"/>
  <c r="R6569" i="2" s="1"/>
  <c r="Q6568" i="2"/>
  <c r="R6568" i="2" s="1"/>
  <c r="Q6567" i="2"/>
  <c r="R6567" i="2" s="1"/>
  <c r="Q6566" i="2"/>
  <c r="R6566" i="2" s="1"/>
  <c r="Q6565" i="2"/>
  <c r="R6565" i="2" s="1"/>
  <c r="R6564" i="2"/>
  <c r="Q6564" i="2"/>
  <c r="Q6563" i="2"/>
  <c r="R6563" i="2" s="1"/>
  <c r="R6562" i="2"/>
  <c r="Q6562" i="2"/>
  <c r="Q6561" i="2"/>
  <c r="R6561" i="2" s="1"/>
  <c r="Q6560" i="2"/>
  <c r="R6560" i="2" s="1"/>
  <c r="Q6559" i="2"/>
  <c r="R6559" i="2" s="1"/>
  <c r="Q6558" i="2"/>
  <c r="R6558" i="2" s="1"/>
  <c r="Q6557" i="2"/>
  <c r="R6557" i="2" s="1"/>
  <c r="R6556" i="2"/>
  <c r="Q6556" i="2"/>
  <c r="Q6555" i="2"/>
  <c r="R6555" i="2" s="1"/>
  <c r="Q6554" i="2"/>
  <c r="R6554" i="2" s="1"/>
  <c r="Q6553" i="2"/>
  <c r="R6553" i="2" s="1"/>
  <c r="Q6552" i="2"/>
  <c r="R6552" i="2" s="1"/>
  <c r="Q6551" i="2"/>
  <c r="R6551" i="2" s="1"/>
  <c r="Q6550" i="2"/>
  <c r="R6550" i="2" s="1"/>
  <c r="Q6549" i="2"/>
  <c r="R6549" i="2" s="1"/>
  <c r="R6548" i="2"/>
  <c r="Q6548" i="2"/>
  <c r="Q6547" i="2"/>
  <c r="R6547" i="2" s="1"/>
  <c r="R6546" i="2"/>
  <c r="Q6546" i="2"/>
  <c r="Q6545" i="2"/>
  <c r="R6545" i="2" s="1"/>
  <c r="Q6544" i="2"/>
  <c r="R6544" i="2" s="1"/>
  <c r="Q6543" i="2"/>
  <c r="R6543" i="2" s="1"/>
  <c r="Q6542" i="2"/>
  <c r="R6542" i="2" s="1"/>
  <c r="Q6541" i="2"/>
  <c r="R6541" i="2" s="1"/>
  <c r="R6540" i="2"/>
  <c r="Q6540" i="2"/>
  <c r="Q6539" i="2"/>
  <c r="R6539" i="2" s="1"/>
  <c r="R6538" i="2"/>
  <c r="Q6538" i="2"/>
  <c r="Q6537" i="2"/>
  <c r="R6537" i="2" s="1"/>
  <c r="Q6536" i="2"/>
  <c r="R6536" i="2" s="1"/>
  <c r="Q6535" i="2"/>
  <c r="R6535" i="2" s="1"/>
  <c r="Q6534" i="2"/>
  <c r="R6534" i="2" s="1"/>
  <c r="Q6533" i="2"/>
  <c r="R6533" i="2" s="1"/>
  <c r="R6532" i="2"/>
  <c r="Q6532" i="2"/>
  <c r="Q6531" i="2"/>
  <c r="R6531" i="2" s="1"/>
  <c r="R6530" i="2"/>
  <c r="Q6530" i="2"/>
  <c r="Q6529" i="2"/>
  <c r="R6529" i="2" s="1"/>
  <c r="Q6528" i="2"/>
  <c r="R6528" i="2" s="1"/>
  <c r="Q6527" i="2"/>
  <c r="R6527" i="2" s="1"/>
  <c r="Q6526" i="2"/>
  <c r="R6526" i="2" s="1"/>
  <c r="Q6525" i="2"/>
  <c r="R6525" i="2" s="1"/>
  <c r="R6524" i="2"/>
  <c r="Q6524" i="2"/>
  <c r="Q6523" i="2"/>
  <c r="R6523" i="2" s="1"/>
  <c r="Q6522" i="2"/>
  <c r="R6522" i="2" s="1"/>
  <c r="Q6521" i="2"/>
  <c r="R6521" i="2" s="1"/>
  <c r="Q6520" i="2"/>
  <c r="R6520" i="2" s="1"/>
  <c r="Q6519" i="2"/>
  <c r="R6519" i="2" s="1"/>
  <c r="Q6518" i="2"/>
  <c r="R6518" i="2" s="1"/>
  <c r="Q6517" i="2"/>
  <c r="R6517" i="2" s="1"/>
  <c r="R6516" i="2"/>
  <c r="Q6516" i="2"/>
  <c r="Q6515" i="2"/>
  <c r="R6515" i="2" s="1"/>
  <c r="R6514" i="2"/>
  <c r="Q6514" i="2"/>
  <c r="Q6513" i="2"/>
  <c r="R6513" i="2" s="1"/>
  <c r="Q6512" i="2"/>
  <c r="R6512" i="2" s="1"/>
  <c r="Q6511" i="2"/>
  <c r="R6511" i="2" s="1"/>
  <c r="Q6510" i="2"/>
  <c r="R6510" i="2" s="1"/>
  <c r="Q6509" i="2"/>
  <c r="R6509" i="2" s="1"/>
  <c r="R6508" i="2"/>
  <c r="Q6508" i="2"/>
  <c r="Q6507" i="2"/>
  <c r="R6507" i="2" s="1"/>
  <c r="R6506" i="2"/>
  <c r="Q6506" i="2"/>
  <c r="Q6505" i="2"/>
  <c r="R6505" i="2" s="1"/>
  <c r="Q6504" i="2"/>
  <c r="R6504" i="2" s="1"/>
  <c r="Q6503" i="2"/>
  <c r="R6503" i="2" s="1"/>
  <c r="Q6502" i="2"/>
  <c r="R6502" i="2" s="1"/>
  <c r="Q6501" i="2"/>
  <c r="R6501" i="2" s="1"/>
  <c r="R6500" i="2"/>
  <c r="Q6500" i="2"/>
  <c r="Q6499" i="2"/>
  <c r="R6499" i="2" s="1"/>
  <c r="R6498" i="2"/>
  <c r="Q6498" i="2"/>
  <c r="Q6497" i="2"/>
  <c r="R6497" i="2" s="1"/>
  <c r="Q6496" i="2"/>
  <c r="R6496" i="2" s="1"/>
  <c r="Q6495" i="2"/>
  <c r="R6495" i="2" s="1"/>
  <c r="Q6494" i="2"/>
  <c r="R6494" i="2" s="1"/>
  <c r="Q6493" i="2"/>
  <c r="R6493" i="2" s="1"/>
  <c r="R6492" i="2"/>
  <c r="Q6492" i="2"/>
  <c r="Q6491" i="2"/>
  <c r="R6491" i="2" s="1"/>
  <c r="Q6490" i="2"/>
  <c r="R6490" i="2" s="1"/>
  <c r="Q6489" i="2"/>
  <c r="R6489" i="2" s="1"/>
  <c r="Q6488" i="2"/>
  <c r="R6488" i="2" s="1"/>
  <c r="Q6487" i="2"/>
  <c r="R6487" i="2" s="1"/>
  <c r="Q6486" i="2"/>
  <c r="R6486" i="2" s="1"/>
  <c r="Q6485" i="2"/>
  <c r="R6485" i="2" s="1"/>
  <c r="R6484" i="2"/>
  <c r="Q6484" i="2"/>
  <c r="Q6483" i="2"/>
  <c r="R6483" i="2" s="1"/>
  <c r="R6482" i="2"/>
  <c r="Q6482" i="2"/>
  <c r="Q6481" i="2"/>
  <c r="R6481" i="2" s="1"/>
  <c r="Q6480" i="2"/>
  <c r="R6480" i="2" s="1"/>
  <c r="Q6479" i="2"/>
  <c r="R6479" i="2" s="1"/>
  <c r="Q6478" i="2"/>
  <c r="R6478" i="2" s="1"/>
  <c r="Q6477" i="2"/>
  <c r="R6477" i="2" s="1"/>
  <c r="R6476" i="2"/>
  <c r="Q6476" i="2"/>
  <c r="Q6475" i="2"/>
  <c r="R6475" i="2" s="1"/>
  <c r="R6474" i="2"/>
  <c r="Q6474" i="2"/>
  <c r="Q6473" i="2"/>
  <c r="R6473" i="2" s="1"/>
  <c r="Q6472" i="2"/>
  <c r="R6472" i="2" s="1"/>
  <c r="Q6471" i="2"/>
  <c r="R6471" i="2" s="1"/>
  <c r="Q6470" i="2"/>
  <c r="Q6469" i="2"/>
  <c r="R6469" i="2" s="1"/>
  <c r="R6468" i="2"/>
  <c r="Q6468" i="2"/>
  <c r="Q6467" i="2"/>
  <c r="R6467" i="2" s="1"/>
  <c r="R6466" i="2"/>
  <c r="Q6466" i="2"/>
  <c r="Q6465" i="2"/>
  <c r="R6465" i="2" s="1"/>
  <c r="Q6464" i="2"/>
  <c r="R6464" i="2" s="1"/>
  <c r="Q6463" i="2"/>
  <c r="R6463" i="2" s="1"/>
  <c r="Q6462" i="2"/>
  <c r="R6462" i="2" s="1"/>
  <c r="Q6461" i="2"/>
  <c r="R6461" i="2" s="1"/>
  <c r="R6460" i="2"/>
  <c r="Q6460" i="2"/>
  <c r="Q6459" i="2"/>
  <c r="R6459" i="2" s="1"/>
  <c r="Q6458" i="2"/>
  <c r="R6458" i="2" s="1"/>
  <c r="Q6457" i="2"/>
  <c r="R6457" i="2" s="1"/>
  <c r="Q6456" i="2"/>
  <c r="R6456" i="2" s="1"/>
  <c r="Q6455" i="2"/>
  <c r="R6455" i="2" s="1"/>
  <c r="Q6454" i="2"/>
  <c r="R6454" i="2" s="1"/>
  <c r="Q6453" i="2"/>
  <c r="R6453" i="2" s="1"/>
  <c r="R6452" i="2"/>
  <c r="Q6452" i="2"/>
  <c r="Q6451" i="2"/>
  <c r="R6451" i="2" s="1"/>
  <c r="R6450" i="2"/>
  <c r="Q6450" i="2"/>
  <c r="Q6449" i="2"/>
  <c r="R6449" i="2" s="1"/>
  <c r="Q6448" i="2"/>
  <c r="R6448" i="2" s="1"/>
  <c r="Q6447" i="2"/>
  <c r="R6447" i="2" s="1"/>
  <c r="Q6446" i="2"/>
  <c r="R6446" i="2" s="1"/>
  <c r="Q6445" i="2"/>
  <c r="R6445" i="2" s="1"/>
  <c r="R6444" i="2"/>
  <c r="Q6444" i="2"/>
  <c r="Q6443" i="2"/>
  <c r="R6443" i="2" s="1"/>
  <c r="R6442" i="2"/>
  <c r="Q6442" i="2"/>
  <c r="Q6441" i="2"/>
  <c r="R6441" i="2" s="1"/>
  <c r="Q6440" i="2"/>
  <c r="R6440" i="2" s="1"/>
  <c r="Q6439" i="2"/>
  <c r="R6439" i="2" s="1"/>
  <c r="Q6438" i="2"/>
  <c r="R6438" i="2" s="1"/>
  <c r="Q6437" i="2"/>
  <c r="R6437" i="2" s="1"/>
  <c r="R6436" i="2"/>
  <c r="Q6436" i="2"/>
  <c r="Q6435" i="2"/>
  <c r="R6435" i="2" s="1"/>
  <c r="R6434" i="2"/>
  <c r="Q6434" i="2"/>
  <c r="Q6433" i="2"/>
  <c r="R6433" i="2" s="1"/>
  <c r="Q6432" i="2"/>
  <c r="R6432" i="2" s="1"/>
  <c r="Q6431" i="2"/>
  <c r="R6431" i="2" s="1"/>
  <c r="Q6430" i="2"/>
  <c r="R6430" i="2" s="1"/>
  <c r="Q6429" i="2"/>
  <c r="R6429" i="2" s="1"/>
  <c r="R6428" i="2"/>
  <c r="Q6428" i="2"/>
  <c r="Q6427" i="2"/>
  <c r="R6427" i="2" s="1"/>
  <c r="Q6426" i="2"/>
  <c r="R6426" i="2" s="1"/>
  <c r="Q6425" i="2"/>
  <c r="R6425" i="2" s="1"/>
  <c r="Q6424" i="2"/>
  <c r="R6424" i="2" s="1"/>
  <c r="Q6423" i="2"/>
  <c r="R6423" i="2" s="1"/>
  <c r="Q6422" i="2"/>
  <c r="R6422" i="2" s="1"/>
  <c r="Q6421" i="2"/>
  <c r="R6421" i="2" s="1"/>
  <c r="R6420" i="2"/>
  <c r="Q6420" i="2"/>
  <c r="Q6419" i="2"/>
  <c r="R6419" i="2" s="1"/>
  <c r="R6418" i="2"/>
  <c r="Q6418" i="2"/>
  <c r="Q6417" i="2"/>
  <c r="R6417" i="2" s="1"/>
  <c r="Q6416" i="2"/>
  <c r="R6416" i="2" s="1"/>
  <c r="Q6415" i="2"/>
  <c r="R6415" i="2" s="1"/>
  <c r="Q6414" i="2"/>
  <c r="R6414" i="2" s="1"/>
  <c r="Q6413" i="2"/>
  <c r="R6413" i="2" s="1"/>
  <c r="R6412" i="2"/>
  <c r="Q6412" i="2"/>
  <c r="Q6411" i="2"/>
  <c r="R6411" i="2" s="1"/>
  <c r="R6410" i="2"/>
  <c r="Q6410" i="2"/>
  <c r="Q6409" i="2"/>
  <c r="R6409" i="2" s="1"/>
  <c r="Q6408" i="2"/>
  <c r="R6408" i="2" s="1"/>
  <c r="Q6407" i="2"/>
  <c r="R6407" i="2" s="1"/>
  <c r="Q6406" i="2"/>
  <c r="R6406" i="2" s="1"/>
  <c r="Q6405" i="2"/>
  <c r="R6405" i="2" s="1"/>
  <c r="R6404" i="2"/>
  <c r="Q6404" i="2"/>
  <c r="Q6403" i="2"/>
  <c r="R6403" i="2" s="1"/>
  <c r="R6402" i="2"/>
  <c r="Q6402" i="2"/>
  <c r="Q6401" i="2"/>
  <c r="R6401" i="2" s="1"/>
  <c r="Q6400" i="2"/>
  <c r="R6400" i="2" s="1"/>
  <c r="Q6399" i="2"/>
  <c r="R6399" i="2" s="1"/>
  <c r="Q6398" i="2"/>
  <c r="R6398" i="2" s="1"/>
  <c r="Q6397" i="2"/>
  <c r="R6397" i="2" s="1"/>
  <c r="R6396" i="2"/>
  <c r="Q6396" i="2"/>
  <c r="Q6395" i="2"/>
  <c r="R6395" i="2" s="1"/>
  <c r="Q6394" i="2"/>
  <c r="R6394" i="2" s="1"/>
  <c r="Q6393" i="2"/>
  <c r="R6393" i="2" s="1"/>
  <c r="Q6392" i="2"/>
  <c r="R6392" i="2" s="1"/>
  <c r="Q6391" i="2"/>
  <c r="R6391" i="2" s="1"/>
  <c r="Q6390" i="2"/>
  <c r="R6390" i="2" s="1"/>
  <c r="Q6389" i="2"/>
  <c r="R6389" i="2" s="1"/>
  <c r="R6388" i="2"/>
  <c r="Q6388" i="2"/>
  <c r="Q6387" i="2"/>
  <c r="R6387" i="2" s="1"/>
  <c r="R6386" i="2"/>
  <c r="Q6386" i="2"/>
  <c r="Q6385" i="2"/>
  <c r="R6385" i="2" s="1"/>
  <c r="Q6384" i="2"/>
  <c r="R6384" i="2" s="1"/>
  <c r="Q6383" i="2"/>
  <c r="R6383" i="2" s="1"/>
  <c r="Q6382" i="2"/>
  <c r="R6382" i="2" s="1"/>
  <c r="R6381" i="2"/>
  <c r="Q6381" i="2"/>
  <c r="Q6380" i="2"/>
  <c r="R6380" i="2" s="1"/>
  <c r="Q6379" i="2"/>
  <c r="R6379" i="2" s="1"/>
  <c r="R6378" i="2"/>
  <c r="Q6378" i="2"/>
  <c r="Q6377" i="2"/>
  <c r="R6377" i="2" s="1"/>
  <c r="Q6376" i="2"/>
  <c r="R6376" i="2" s="1"/>
  <c r="Q6375" i="2"/>
  <c r="R6375" i="2" s="1"/>
  <c r="R6374" i="2"/>
  <c r="Q6374" i="2"/>
  <c r="R6373" i="2"/>
  <c r="Q6373" i="2"/>
  <c r="Q6372" i="2"/>
  <c r="R6372" i="2" s="1"/>
  <c r="Q6371" i="2"/>
  <c r="R6371" i="2" s="1"/>
  <c r="Q6370" i="2"/>
  <c r="R6370" i="2" s="1"/>
  <c r="R6369" i="2"/>
  <c r="Q6369" i="2"/>
  <c r="Q6368" i="2"/>
  <c r="R6368" i="2" s="1"/>
  <c r="Q6367" i="2"/>
  <c r="R6367" i="2" s="1"/>
  <c r="R6366" i="2"/>
  <c r="Q6366" i="2"/>
  <c r="Q6365" i="2"/>
  <c r="R6365" i="2" s="1"/>
  <c r="Q6364" i="2"/>
  <c r="R6364" i="2" s="1"/>
  <c r="Q6363" i="2"/>
  <c r="R6363" i="2" s="1"/>
  <c r="Q6362" i="2"/>
  <c r="R6362" i="2" s="1"/>
  <c r="R6361" i="2"/>
  <c r="Q6361" i="2"/>
  <c r="Q6360" i="2"/>
  <c r="R6360" i="2" s="1"/>
  <c r="Q6359" i="2"/>
  <c r="R6359" i="2" s="1"/>
  <c r="R6358" i="2"/>
  <c r="Q6358" i="2"/>
  <c r="Q6357" i="2"/>
  <c r="R6357" i="2" s="1"/>
  <c r="R6356" i="2"/>
  <c r="Q6356" i="2"/>
  <c r="Q6355" i="2"/>
  <c r="R6355" i="2" s="1"/>
  <c r="Q6354" i="2"/>
  <c r="R6354" i="2" s="1"/>
  <c r="Q6353" i="2"/>
  <c r="R6353" i="2" s="1"/>
  <c r="Q6352" i="2"/>
  <c r="R6352" i="2" s="1"/>
  <c r="Q6351" i="2"/>
  <c r="R6351" i="2" s="1"/>
  <c r="Q6350" i="2"/>
  <c r="R6350" i="2" s="1"/>
  <c r="R6349" i="2"/>
  <c r="Q6349" i="2"/>
  <c r="Q6348" i="2"/>
  <c r="R6348" i="2" s="1"/>
  <c r="Q6347" i="2"/>
  <c r="R6347" i="2" s="1"/>
  <c r="R6346" i="2"/>
  <c r="Q6346" i="2"/>
  <c r="R6345" i="2"/>
  <c r="Q6345" i="2"/>
  <c r="Q6344" i="2"/>
  <c r="R6344" i="2" s="1"/>
  <c r="Q6343" i="2"/>
  <c r="R6343" i="2" s="1"/>
  <c r="Q6342" i="2"/>
  <c r="R6342" i="2" s="1"/>
  <c r="R6341" i="2"/>
  <c r="Q6341" i="2"/>
  <c r="Q6340" i="2"/>
  <c r="R6340" i="2" s="1"/>
  <c r="Q6339" i="2"/>
  <c r="R6339" i="2" s="1"/>
  <c r="Q6338" i="2"/>
  <c r="R6338" i="2" s="1"/>
  <c r="R6337" i="2"/>
  <c r="Q6337" i="2"/>
  <c r="Q6336" i="2"/>
  <c r="R6336" i="2" s="1"/>
  <c r="Q6335" i="2"/>
  <c r="R6335" i="2" s="1"/>
  <c r="Q6334" i="2"/>
  <c r="R6334" i="2" s="1"/>
  <c r="Q6333" i="2"/>
  <c r="R6333" i="2" s="1"/>
  <c r="R6332" i="2"/>
  <c r="Q6332" i="2"/>
  <c r="Q6331" i="2"/>
  <c r="R6331" i="2" s="1"/>
  <c r="Q6330" i="2"/>
  <c r="R6330" i="2" s="1"/>
  <c r="R6329" i="2"/>
  <c r="Q6329" i="2"/>
  <c r="Q6328" i="2"/>
  <c r="R6328" i="2" s="1"/>
  <c r="Q6327" i="2"/>
  <c r="R6327" i="2" s="1"/>
  <c r="R6326" i="2"/>
  <c r="Q6326" i="2"/>
  <c r="R6325" i="2"/>
  <c r="Q6325" i="2"/>
  <c r="R6324" i="2"/>
  <c r="Q6324" i="2"/>
  <c r="Q6323" i="2"/>
  <c r="R6323" i="2" s="1"/>
  <c r="R6322" i="2"/>
  <c r="Q6322" i="2"/>
  <c r="Q6321" i="2"/>
  <c r="R6321" i="2" s="1"/>
  <c r="Q6320" i="2"/>
  <c r="R6320" i="2" s="1"/>
  <c r="Q6319" i="2"/>
  <c r="R6319" i="2" s="1"/>
  <c r="Q6318" i="2"/>
  <c r="R6318" i="2" s="1"/>
  <c r="R6317" i="2"/>
  <c r="Q6317" i="2"/>
  <c r="Q6316" i="2"/>
  <c r="R6316" i="2" s="1"/>
  <c r="Q6315" i="2"/>
  <c r="R6315" i="2" s="1"/>
  <c r="R6314" i="2"/>
  <c r="Q6314" i="2"/>
  <c r="Q6313" i="2"/>
  <c r="R6313" i="2" s="1"/>
  <c r="Q6312" i="2"/>
  <c r="R6312" i="2" s="1"/>
  <c r="Q6311" i="2"/>
  <c r="R6311" i="2" s="1"/>
  <c r="Q6310" i="2"/>
  <c r="R6310" i="2" s="1"/>
  <c r="R6309" i="2"/>
  <c r="Q6309" i="2"/>
  <c r="Q6308" i="2"/>
  <c r="R6308" i="2" s="1"/>
  <c r="Q6307" i="2"/>
  <c r="R6307" i="2" s="1"/>
  <c r="Q6306" i="2"/>
  <c r="R6306" i="2" s="1"/>
  <c r="Q6305" i="2"/>
  <c r="R6305" i="2" s="1"/>
  <c r="Q6304" i="2"/>
  <c r="R6304" i="2" s="1"/>
  <c r="Q6303" i="2"/>
  <c r="R6303" i="2" s="1"/>
  <c r="R6302" i="2"/>
  <c r="Q6302" i="2"/>
  <c r="Q6301" i="2"/>
  <c r="R6301" i="2" s="1"/>
  <c r="R6300" i="2"/>
  <c r="Q6300" i="2"/>
  <c r="Q6299" i="2"/>
  <c r="R6299" i="2" s="1"/>
  <c r="Q6298" i="2"/>
  <c r="R6298" i="2" s="1"/>
  <c r="R6297" i="2"/>
  <c r="Q6297" i="2"/>
  <c r="Q6296" i="2"/>
  <c r="R6296" i="2" s="1"/>
  <c r="Q6295" i="2"/>
  <c r="R6295" i="2" s="1"/>
  <c r="R6294" i="2"/>
  <c r="Q6294" i="2"/>
  <c r="Q6293" i="2"/>
  <c r="R6293" i="2" s="1"/>
  <c r="R6292" i="2"/>
  <c r="Q6292" i="2"/>
  <c r="Q6291" i="2"/>
  <c r="R6291" i="2" s="1"/>
  <c r="R6290" i="2"/>
  <c r="Q6290" i="2"/>
  <c r="Q6289" i="2"/>
  <c r="R6289" i="2" s="1"/>
  <c r="Q6288" i="2"/>
  <c r="R6288" i="2" s="1"/>
  <c r="Q6287" i="2"/>
  <c r="R6287" i="2" s="1"/>
  <c r="Q6286" i="2"/>
  <c r="R6286" i="2" s="1"/>
  <c r="Q6285" i="2"/>
  <c r="R6285" i="2" s="1"/>
  <c r="Q6284" i="2"/>
  <c r="R6284" i="2" s="1"/>
  <c r="Q6283" i="2"/>
  <c r="R6283" i="2" s="1"/>
  <c r="R6282" i="2"/>
  <c r="Q6282" i="2"/>
  <c r="Q6281" i="2"/>
  <c r="R6281" i="2" s="1"/>
  <c r="Q6280" i="2"/>
  <c r="R6280" i="2" s="1"/>
  <c r="Q6279" i="2"/>
  <c r="R6279" i="2" s="1"/>
  <c r="Q6278" i="2"/>
  <c r="R6278" i="2" s="1"/>
  <c r="R6277" i="2"/>
  <c r="Q6277" i="2"/>
  <c r="R6276" i="2"/>
  <c r="Q6276" i="2"/>
  <c r="Q6275" i="2"/>
  <c r="R6275" i="2" s="1"/>
  <c r="Q6274" i="2"/>
  <c r="R6274" i="2" s="1"/>
  <c r="R6273" i="2"/>
  <c r="Q6273" i="2"/>
  <c r="Q6272" i="2"/>
  <c r="R6272" i="2" s="1"/>
  <c r="Q6271" i="2"/>
  <c r="R6271" i="2" s="1"/>
  <c r="R6270" i="2"/>
  <c r="Q6270" i="2"/>
  <c r="Q6269" i="2"/>
  <c r="R6269" i="2" s="1"/>
  <c r="R6268" i="2"/>
  <c r="Q6268" i="2"/>
  <c r="Q6267" i="2"/>
  <c r="R6267" i="2" s="1"/>
  <c r="R6266" i="2"/>
  <c r="Q6266" i="2"/>
  <c r="R6265" i="2"/>
  <c r="Q6265" i="2"/>
  <c r="Q6264" i="2"/>
  <c r="R6264" i="2" s="1"/>
  <c r="Q6263" i="2"/>
  <c r="R6263" i="2" s="1"/>
  <c r="R6262" i="2"/>
  <c r="Q6262" i="2"/>
  <c r="Q6261" i="2"/>
  <c r="R6261" i="2" s="1"/>
  <c r="R6260" i="2"/>
  <c r="Q6260" i="2"/>
  <c r="Q6259" i="2"/>
  <c r="R6259" i="2" s="1"/>
  <c r="R6258" i="2"/>
  <c r="Q6258" i="2"/>
  <c r="Q6257" i="2"/>
  <c r="R6257" i="2" s="1"/>
  <c r="Q6256" i="2"/>
  <c r="R6256" i="2" s="1"/>
  <c r="Q6255" i="2"/>
  <c r="R6255" i="2" s="1"/>
  <c r="Q6254" i="2"/>
  <c r="R6254" i="2" s="1"/>
  <c r="R6253" i="2"/>
  <c r="Q6253" i="2"/>
  <c r="Q6252" i="2"/>
  <c r="R6252" i="2" s="1"/>
  <c r="Q6251" i="2"/>
  <c r="R6251" i="2" s="1"/>
  <c r="R6250" i="2"/>
  <c r="Q6250" i="2"/>
  <c r="Q6249" i="2"/>
  <c r="R6249" i="2" s="1"/>
  <c r="Q6248" i="2"/>
  <c r="R6248" i="2" s="1"/>
  <c r="Q6247" i="2"/>
  <c r="R6247" i="2" s="1"/>
  <c r="R6246" i="2"/>
  <c r="Q6246" i="2"/>
  <c r="R6245" i="2"/>
  <c r="Q6245" i="2"/>
  <c r="Q6244" i="2"/>
  <c r="R6244" i="2" s="1"/>
  <c r="Q6243" i="2"/>
  <c r="R6243" i="2" s="1"/>
  <c r="Q6242" i="2"/>
  <c r="R6242" i="2" s="1"/>
  <c r="R6241" i="2"/>
  <c r="Q6241" i="2"/>
  <c r="Q6240" i="2"/>
  <c r="R6240" i="2" s="1"/>
  <c r="Q6239" i="2"/>
  <c r="R6239" i="2" s="1"/>
  <c r="R6238" i="2"/>
  <c r="Q6238" i="2"/>
  <c r="Q6237" i="2"/>
  <c r="R6237" i="2" s="1"/>
  <c r="Q6236" i="2"/>
  <c r="R6236" i="2" s="1"/>
  <c r="Q6235" i="2"/>
  <c r="R6235" i="2" s="1"/>
  <c r="Q6234" i="2"/>
  <c r="R6234" i="2" s="1"/>
  <c r="R6233" i="2"/>
  <c r="Q6233" i="2"/>
  <c r="Q6232" i="2"/>
  <c r="R6232" i="2" s="1"/>
  <c r="Q6231" i="2"/>
  <c r="R6231" i="2" s="1"/>
  <c r="R6230" i="2"/>
  <c r="Q6230" i="2"/>
  <c r="Q6229" i="2"/>
  <c r="R6229" i="2" s="1"/>
  <c r="R6228" i="2"/>
  <c r="Q6228" i="2"/>
  <c r="Q6227" i="2"/>
  <c r="R6227" i="2" s="1"/>
  <c r="Q6226" i="2"/>
  <c r="R6226" i="2" s="1"/>
  <c r="Q6225" i="2"/>
  <c r="R6225" i="2" s="1"/>
  <c r="Q6224" i="2"/>
  <c r="R6224" i="2" s="1"/>
  <c r="Q6223" i="2"/>
  <c r="R6223" i="2" s="1"/>
  <c r="Q6222" i="2"/>
  <c r="R6222" i="2" s="1"/>
  <c r="R6221" i="2"/>
  <c r="Q6221" i="2"/>
  <c r="Q6220" i="2"/>
  <c r="R6220" i="2" s="1"/>
  <c r="Q6219" i="2"/>
  <c r="R6219" i="2" s="1"/>
  <c r="R6218" i="2"/>
  <c r="Q6218" i="2"/>
  <c r="R6217" i="2"/>
  <c r="Q6217" i="2"/>
  <c r="Q6216" i="2"/>
  <c r="R6216" i="2" s="1"/>
  <c r="Q6215" i="2"/>
  <c r="R6215" i="2" s="1"/>
  <c r="Q6214" i="2"/>
  <c r="R6214" i="2" s="1"/>
  <c r="R6213" i="2"/>
  <c r="Q6213" i="2"/>
  <c r="Q6212" i="2"/>
  <c r="R6212" i="2" s="1"/>
  <c r="Q6211" i="2"/>
  <c r="R6211" i="2" s="1"/>
  <c r="Q6210" i="2"/>
  <c r="R6210" i="2" s="1"/>
  <c r="R6209" i="2"/>
  <c r="Q6209" i="2"/>
  <c r="Q6208" i="2"/>
  <c r="R6208" i="2" s="1"/>
  <c r="Q6207" i="2"/>
  <c r="R6207" i="2" s="1"/>
  <c r="Q6206" i="2"/>
  <c r="R6206" i="2" s="1"/>
  <c r="Q6205" i="2"/>
  <c r="R6205" i="2" s="1"/>
  <c r="R6204" i="2"/>
  <c r="Q6204" i="2"/>
  <c r="Q6203" i="2"/>
  <c r="R6203" i="2" s="1"/>
  <c r="Q6202" i="2"/>
  <c r="R6202" i="2" s="1"/>
  <c r="R6201" i="2"/>
  <c r="Q6201" i="2"/>
  <c r="Q6200" i="2"/>
  <c r="R6200" i="2" s="1"/>
  <c r="Q6199" i="2"/>
  <c r="R6199" i="2" s="1"/>
  <c r="R6198" i="2"/>
  <c r="Q6198" i="2"/>
  <c r="R6197" i="2"/>
  <c r="Q6197" i="2"/>
  <c r="R6196" i="2"/>
  <c r="Q6196" i="2"/>
  <c r="Q6195" i="2"/>
  <c r="R6195" i="2" s="1"/>
  <c r="R6194" i="2"/>
  <c r="Q6194" i="2"/>
  <c r="Q6193" i="2"/>
  <c r="R6193" i="2" s="1"/>
  <c r="Q6192" i="2"/>
  <c r="R6192" i="2" s="1"/>
  <c r="Q6191" i="2"/>
  <c r="R6191" i="2" s="1"/>
  <c r="Q6190" i="2"/>
  <c r="R6190" i="2" s="1"/>
  <c r="R6189" i="2"/>
  <c r="Q6189" i="2"/>
  <c r="Q6188" i="2"/>
  <c r="R6188" i="2" s="1"/>
  <c r="Q6187" i="2"/>
  <c r="R6187" i="2" s="1"/>
  <c r="R6186" i="2"/>
  <c r="Q6186" i="2"/>
  <c r="Q6185" i="2"/>
  <c r="R6185" i="2" s="1"/>
  <c r="Q6184" i="2"/>
  <c r="R6184" i="2" s="1"/>
  <c r="Q6183" i="2"/>
  <c r="R6183" i="2" s="1"/>
  <c r="Q6182" i="2"/>
  <c r="R6182" i="2" s="1"/>
  <c r="R6181" i="2"/>
  <c r="Q6181" i="2"/>
  <c r="Q6180" i="2"/>
  <c r="R6180" i="2" s="1"/>
  <c r="Q6179" i="2"/>
  <c r="R6179" i="2" s="1"/>
  <c r="Q6178" i="2"/>
  <c r="R6178" i="2" s="1"/>
  <c r="Q6177" i="2"/>
  <c r="R6177" i="2" s="1"/>
  <c r="Q6176" i="2"/>
  <c r="R6176" i="2" s="1"/>
  <c r="Q6175" i="2"/>
  <c r="R6175" i="2" s="1"/>
  <c r="R6174" i="2"/>
  <c r="Q6174" i="2"/>
  <c r="Q6173" i="2"/>
  <c r="R6173" i="2" s="1"/>
  <c r="R6172" i="2"/>
  <c r="Q6172" i="2"/>
  <c r="Q6171" i="2"/>
  <c r="R6171" i="2" s="1"/>
  <c r="Q6170" i="2"/>
  <c r="R6170" i="2" s="1"/>
  <c r="R6169" i="2"/>
  <c r="Q6169" i="2"/>
  <c r="Q6168" i="2"/>
  <c r="R6168" i="2" s="1"/>
  <c r="Q6167" i="2"/>
  <c r="R6167" i="2" s="1"/>
  <c r="R6166" i="2"/>
  <c r="Q6166" i="2"/>
  <c r="Q6165" i="2"/>
  <c r="R6165" i="2" s="1"/>
  <c r="R6164" i="2"/>
  <c r="Q6164" i="2"/>
  <c r="Q6163" i="2"/>
  <c r="R6163" i="2" s="1"/>
  <c r="R6162" i="2"/>
  <c r="Q6162" i="2"/>
  <c r="Q6161" i="2"/>
  <c r="R6161" i="2" s="1"/>
  <c r="Q6160" i="2"/>
  <c r="R6160" i="2" s="1"/>
  <c r="Q6159" i="2"/>
  <c r="R6159" i="2" s="1"/>
  <c r="Q6158" i="2"/>
  <c r="R6158" i="2" s="1"/>
  <c r="Q6157" i="2"/>
  <c r="R6157" i="2" s="1"/>
  <c r="Q6156" i="2"/>
  <c r="R6156" i="2" s="1"/>
  <c r="Q6155" i="2"/>
  <c r="R6155" i="2" s="1"/>
  <c r="R6154" i="2"/>
  <c r="Q6154" i="2"/>
  <c r="Q6153" i="2"/>
  <c r="R6153" i="2" s="1"/>
  <c r="Q6152" i="2"/>
  <c r="R6152" i="2" s="1"/>
  <c r="Q6151" i="2"/>
  <c r="R6151" i="2" s="1"/>
  <c r="Q6150" i="2"/>
  <c r="R6150" i="2" s="1"/>
  <c r="R6149" i="2"/>
  <c r="Q6149" i="2"/>
  <c r="R6148" i="2"/>
  <c r="Q6148" i="2"/>
  <c r="Q6147" i="2"/>
  <c r="R6147" i="2" s="1"/>
  <c r="Q6146" i="2"/>
  <c r="R6146" i="2" s="1"/>
  <c r="R6145" i="2"/>
  <c r="Q6145" i="2"/>
  <c r="Q6144" i="2"/>
  <c r="R6144" i="2" s="1"/>
  <c r="Q6143" i="2"/>
  <c r="R6143" i="2" s="1"/>
  <c r="R6142" i="2"/>
  <c r="Q6142" i="2"/>
  <c r="Q6141" i="2"/>
  <c r="R6141" i="2" s="1"/>
  <c r="R6140" i="2"/>
  <c r="Q6140" i="2"/>
  <c r="Q6139" i="2"/>
  <c r="R6139" i="2" s="1"/>
  <c r="R6138" i="2"/>
  <c r="Q6138" i="2"/>
  <c r="R6137" i="2"/>
  <c r="Q6137" i="2"/>
  <c r="Q6136" i="2"/>
  <c r="R6136" i="2" s="1"/>
  <c r="Q6135" i="2"/>
  <c r="R6135" i="2" s="1"/>
  <c r="R6134" i="2"/>
  <c r="Q6134" i="2"/>
  <c r="Q6133" i="2"/>
  <c r="R6133" i="2" s="1"/>
  <c r="R6132" i="2"/>
  <c r="Q6132" i="2"/>
  <c r="Q6131" i="2"/>
  <c r="R6131" i="2" s="1"/>
  <c r="R6130" i="2"/>
  <c r="Q6130" i="2"/>
  <c r="Q6129" i="2"/>
  <c r="R6129" i="2" s="1"/>
  <c r="Q6128" i="2"/>
  <c r="R6128" i="2" s="1"/>
  <c r="Q6127" i="2"/>
  <c r="R6127" i="2" s="1"/>
  <c r="Q6126" i="2"/>
  <c r="R6126" i="2" s="1"/>
  <c r="R6125" i="2"/>
  <c r="Q6125" i="2"/>
  <c r="Q6124" i="2"/>
  <c r="R6124" i="2" s="1"/>
  <c r="Q6123" i="2"/>
  <c r="R6123" i="2" s="1"/>
  <c r="R6122" i="2"/>
  <c r="Q6122" i="2"/>
  <c r="Q6121" i="2"/>
  <c r="R6121" i="2" s="1"/>
  <c r="Q6120" i="2"/>
  <c r="R6120" i="2" s="1"/>
  <c r="Q6119" i="2"/>
  <c r="R6119" i="2" s="1"/>
  <c r="R6118" i="2"/>
  <c r="Q6118" i="2"/>
  <c r="R6117" i="2"/>
  <c r="Q6117" i="2"/>
  <c r="Q6116" i="2"/>
  <c r="R6116" i="2" s="1"/>
  <c r="Q6115" i="2"/>
  <c r="R6115" i="2" s="1"/>
  <c r="Q6114" i="2"/>
  <c r="R6114" i="2" s="1"/>
  <c r="R6113" i="2"/>
  <c r="Q6113" i="2"/>
  <c r="Q6112" i="2"/>
  <c r="R6112" i="2" s="1"/>
  <c r="Q6111" i="2"/>
  <c r="R6111" i="2" s="1"/>
  <c r="R6110" i="2"/>
  <c r="Q6110" i="2"/>
  <c r="Q6109" i="2"/>
  <c r="R6109" i="2" s="1"/>
  <c r="Q6108" i="2"/>
  <c r="R6108" i="2" s="1"/>
  <c r="Q6107" i="2"/>
  <c r="R6107" i="2" s="1"/>
  <c r="Q6106" i="2"/>
  <c r="R6106" i="2" s="1"/>
  <c r="R6105" i="2"/>
  <c r="Q6105" i="2"/>
  <c r="Q6104" i="2"/>
  <c r="R6104" i="2" s="1"/>
  <c r="Q6103" i="2"/>
  <c r="R6103" i="2" s="1"/>
  <c r="R6102" i="2"/>
  <c r="Q6102" i="2"/>
  <c r="Q6101" i="2"/>
  <c r="R6101" i="2" s="1"/>
  <c r="R6100" i="2"/>
  <c r="Q6100" i="2"/>
  <c r="Q6099" i="2"/>
  <c r="R6099" i="2" s="1"/>
  <c r="Q6098" i="2"/>
  <c r="R6098" i="2" s="1"/>
  <c r="Q6097" i="2"/>
  <c r="R6097" i="2" s="1"/>
  <c r="Q6096" i="2"/>
  <c r="R6096" i="2" s="1"/>
  <c r="Q6095" i="2"/>
  <c r="R6095" i="2" s="1"/>
  <c r="Q6094" i="2"/>
  <c r="R6094" i="2" s="1"/>
  <c r="R6093" i="2"/>
  <c r="Q6093" i="2"/>
  <c r="Q6092" i="2"/>
  <c r="R6092" i="2" s="1"/>
  <c r="Q6091" i="2"/>
  <c r="R6091" i="2" s="1"/>
  <c r="R6090" i="2"/>
  <c r="Q6090" i="2"/>
  <c r="R6089" i="2"/>
  <c r="Q6089" i="2"/>
  <c r="Q6088" i="2"/>
  <c r="R6088" i="2" s="1"/>
  <c r="Q6087" i="2"/>
  <c r="R6087" i="2" s="1"/>
  <c r="Q6086" i="2"/>
  <c r="R6086" i="2" s="1"/>
  <c r="R6085" i="2"/>
  <c r="Q6085" i="2"/>
  <c r="Q6084" i="2"/>
  <c r="R6084" i="2" s="1"/>
  <c r="Q6083" i="2"/>
  <c r="R6083" i="2" s="1"/>
  <c r="Q6082" i="2"/>
  <c r="R6082" i="2" s="1"/>
  <c r="R6081" i="2"/>
  <c r="Q6081" i="2"/>
  <c r="Q6080" i="2"/>
  <c r="R6080" i="2" s="1"/>
  <c r="Q6079" i="2"/>
  <c r="R6079" i="2" s="1"/>
  <c r="Q6078" i="2"/>
  <c r="R6078" i="2" s="1"/>
  <c r="Q6077" i="2"/>
  <c r="R6077" i="2" s="1"/>
  <c r="R6076" i="2"/>
  <c r="Q6076" i="2"/>
  <c r="Q6075" i="2"/>
  <c r="R6075" i="2" s="1"/>
  <c r="Q6074" i="2"/>
  <c r="R6074" i="2" s="1"/>
  <c r="R6073" i="2"/>
  <c r="Q6073" i="2"/>
  <c r="Q6072" i="2"/>
  <c r="R6072" i="2" s="1"/>
  <c r="Q6071" i="2"/>
  <c r="R6071" i="2" s="1"/>
  <c r="R6070" i="2"/>
  <c r="Q6070" i="2"/>
  <c r="R6069" i="2"/>
  <c r="Q6069" i="2"/>
  <c r="R6068" i="2"/>
  <c r="Q6068" i="2"/>
  <c r="Q6067" i="2"/>
  <c r="R6067" i="2" s="1"/>
  <c r="R6066" i="2"/>
  <c r="Q6066" i="2"/>
  <c r="Q6065" i="2"/>
  <c r="R6065" i="2" s="1"/>
  <c r="Q6064" i="2"/>
  <c r="R6064" i="2" s="1"/>
  <c r="Q6063" i="2"/>
  <c r="R6063" i="2" s="1"/>
  <c r="Q6062" i="2"/>
  <c r="R6062" i="2" s="1"/>
  <c r="R6061" i="2"/>
  <c r="Q6061" i="2"/>
  <c r="Q6060" i="2"/>
  <c r="R6060" i="2" s="1"/>
  <c r="Q6059" i="2"/>
  <c r="R6059" i="2" s="1"/>
  <c r="R6058" i="2"/>
  <c r="Q6058" i="2"/>
  <c r="Q6057" i="2"/>
  <c r="R6057" i="2" s="1"/>
  <c r="Q6056" i="2"/>
  <c r="R6056" i="2" s="1"/>
  <c r="Q6055" i="2"/>
  <c r="R6055" i="2" s="1"/>
  <c r="Q6054" i="2"/>
  <c r="R6054" i="2" s="1"/>
  <c r="R6053" i="2"/>
  <c r="Q6053" i="2"/>
  <c r="Q6052" i="2"/>
  <c r="R6052" i="2" s="1"/>
  <c r="R6051" i="2"/>
  <c r="Q6051" i="2"/>
  <c r="R6050" i="2"/>
  <c r="Q6050" i="2"/>
  <c r="R6049" i="2"/>
  <c r="Q6049" i="2"/>
  <c r="Q6048" i="2"/>
  <c r="R6048" i="2" s="1"/>
  <c r="Q6047" i="2"/>
  <c r="R6047" i="2" s="1"/>
  <c r="R6046" i="2"/>
  <c r="Q6046" i="2"/>
  <c r="Q6045" i="2"/>
  <c r="R6045" i="2" s="1"/>
  <c r="R6044" i="2"/>
  <c r="Q6044" i="2"/>
  <c r="Q6043" i="2"/>
  <c r="R6043" i="2" s="1"/>
  <c r="R6042" i="2"/>
  <c r="Q6042" i="2"/>
  <c r="R6041" i="2"/>
  <c r="Q6041" i="2"/>
  <c r="Q6040" i="2"/>
  <c r="R6040" i="2" s="1"/>
  <c r="Q6039" i="2"/>
  <c r="R6039" i="2" s="1"/>
  <c r="Q6038" i="2"/>
  <c r="R6038" i="2" s="1"/>
  <c r="R6037" i="2"/>
  <c r="Q6037" i="2"/>
  <c r="Q6036" i="2"/>
  <c r="R6036" i="2" s="1"/>
  <c r="R6035" i="2"/>
  <c r="Q6035" i="2"/>
  <c r="Q6034" i="2"/>
  <c r="R6034" i="2" s="1"/>
  <c r="R6033" i="2"/>
  <c r="Q6033" i="2"/>
  <c r="Q6032" i="2"/>
  <c r="R6032" i="2" s="1"/>
  <c r="Q6031" i="2"/>
  <c r="R6031" i="2" s="1"/>
  <c r="R6030" i="2"/>
  <c r="Q6030" i="2"/>
  <c r="Q6029" i="2"/>
  <c r="R6029" i="2" s="1"/>
  <c r="R6028" i="2"/>
  <c r="Q6028" i="2"/>
  <c r="Q6027" i="2"/>
  <c r="R6027" i="2" s="1"/>
  <c r="R6026" i="2"/>
  <c r="Q6026" i="2"/>
  <c r="Q6025" i="2"/>
  <c r="R6025" i="2" s="1"/>
  <c r="Q6024" i="2"/>
  <c r="R6024" i="2" s="1"/>
  <c r="Q6023" i="2"/>
  <c r="R6023" i="2" s="1"/>
  <c r="R6022" i="2"/>
  <c r="Q6022" i="2"/>
  <c r="R6021" i="2"/>
  <c r="Q6021" i="2"/>
  <c r="Q6020" i="2"/>
  <c r="R6020" i="2" s="1"/>
  <c r="R6019" i="2"/>
  <c r="Q6019" i="2"/>
  <c r="Q6018" i="2"/>
  <c r="R6018" i="2" s="1"/>
  <c r="R6017" i="2"/>
  <c r="Q6017" i="2"/>
  <c r="Q6016" i="2"/>
  <c r="R6016" i="2" s="1"/>
  <c r="Q6015" i="2"/>
  <c r="R6015" i="2" s="1"/>
  <c r="R6014" i="2"/>
  <c r="Q6014" i="2"/>
  <c r="R6013" i="2"/>
  <c r="Q6013" i="2"/>
  <c r="R6012" i="2"/>
  <c r="Q6012" i="2"/>
  <c r="Q6011" i="2"/>
  <c r="R6011" i="2" s="1"/>
  <c r="R6010" i="2"/>
  <c r="Q6010" i="2"/>
  <c r="Q6009" i="2"/>
  <c r="R6009" i="2" s="1"/>
  <c r="Q6008" i="2"/>
  <c r="R6008" i="2" s="1"/>
  <c r="Q6007" i="2"/>
  <c r="R6007" i="2" s="1"/>
  <c r="Q6006" i="2"/>
  <c r="R6006" i="2" s="1"/>
  <c r="R6005" i="2"/>
  <c r="Q6005" i="2"/>
  <c r="R6004" i="2"/>
  <c r="Q6004" i="2"/>
  <c r="R6003" i="2"/>
  <c r="Q6003" i="2"/>
  <c r="Q6002" i="2"/>
  <c r="R6002" i="2" s="1"/>
  <c r="R6001" i="2"/>
  <c r="Q6001" i="2"/>
  <c r="Q6000" i="2"/>
  <c r="R6000" i="2" s="1"/>
  <c r="Q5999" i="2"/>
  <c r="R5999" i="2" s="1"/>
  <c r="R5998" i="2"/>
  <c r="Q5998" i="2"/>
  <c r="Q5997" i="2"/>
  <c r="R5997" i="2" s="1"/>
  <c r="R5996" i="2"/>
  <c r="Q5996" i="2"/>
  <c r="R5995" i="2"/>
  <c r="Q5995" i="2"/>
  <c r="R5994" i="2"/>
  <c r="Q5994" i="2"/>
  <c r="Q5993" i="2"/>
  <c r="R5993" i="2" s="1"/>
  <c r="Q5992" i="2"/>
  <c r="R5992" i="2" s="1"/>
  <c r="Q5991" i="2"/>
  <c r="R5991" i="2" s="1"/>
  <c r="Q5990" i="2"/>
  <c r="R5990" i="2" s="1"/>
  <c r="R5989" i="2"/>
  <c r="Q5989" i="2"/>
  <c r="Q5988" i="2"/>
  <c r="R5988" i="2" s="1"/>
  <c r="R5987" i="2"/>
  <c r="Q5987" i="2"/>
  <c r="R5986" i="2"/>
  <c r="Q5986" i="2"/>
  <c r="R5985" i="2"/>
  <c r="Q5985" i="2"/>
  <c r="Q5984" i="2"/>
  <c r="R5984" i="2" s="1"/>
  <c r="Q5983" i="2"/>
  <c r="R5983" i="2" s="1"/>
  <c r="R5982" i="2"/>
  <c r="Q5982" i="2"/>
  <c r="Q5981" i="2"/>
  <c r="R5981" i="2" s="1"/>
  <c r="R5980" i="2"/>
  <c r="Q5980" i="2"/>
  <c r="Q5979" i="2"/>
  <c r="R5979" i="2" s="1"/>
  <c r="R5978" i="2"/>
  <c r="Q5978" i="2"/>
  <c r="R5977" i="2"/>
  <c r="Q5977" i="2"/>
  <c r="Q5976" i="2"/>
  <c r="R5976" i="2" s="1"/>
  <c r="Q5975" i="2"/>
  <c r="R5975" i="2" s="1"/>
  <c r="Q5974" i="2"/>
  <c r="R5974" i="2" s="1"/>
  <c r="R5973" i="2"/>
  <c r="Q5973" i="2"/>
  <c r="Q5972" i="2"/>
  <c r="R5972" i="2" s="1"/>
  <c r="R5971" i="2"/>
  <c r="Q5971" i="2"/>
  <c r="Q5970" i="2"/>
  <c r="R5970" i="2" s="1"/>
  <c r="R5969" i="2"/>
  <c r="Q5969" i="2"/>
  <c r="Q5968" i="2"/>
  <c r="R5968" i="2" s="1"/>
  <c r="Q5967" i="2"/>
  <c r="R5967" i="2" s="1"/>
  <c r="R5966" i="2"/>
  <c r="Q5966" i="2"/>
  <c r="Q5965" i="2"/>
  <c r="R5965" i="2" s="1"/>
  <c r="R5964" i="2"/>
  <c r="Q5964" i="2"/>
  <c r="Q5963" i="2"/>
  <c r="R5963" i="2" s="1"/>
  <c r="R5962" i="2"/>
  <c r="Q5962" i="2"/>
  <c r="Q5961" i="2"/>
  <c r="R5961" i="2" s="1"/>
  <c r="Q5960" i="2"/>
  <c r="R5960" i="2" s="1"/>
  <c r="Q5959" i="2"/>
  <c r="R5959" i="2" s="1"/>
  <c r="R5958" i="2"/>
  <c r="Q5958" i="2"/>
  <c r="R5957" i="2"/>
  <c r="Q5957" i="2"/>
  <c r="Q5956" i="2"/>
  <c r="R5956" i="2" s="1"/>
  <c r="R5955" i="2"/>
  <c r="Q5955" i="2"/>
  <c r="Q5954" i="2"/>
  <c r="R5954" i="2" s="1"/>
  <c r="R5953" i="2"/>
  <c r="Q5953" i="2"/>
  <c r="Q5952" i="2"/>
  <c r="R5952" i="2" s="1"/>
  <c r="Q5951" i="2"/>
  <c r="R5951" i="2" s="1"/>
  <c r="R5950" i="2"/>
  <c r="Q5950" i="2"/>
  <c r="R5949" i="2"/>
  <c r="Q5949" i="2"/>
  <c r="R5948" i="2"/>
  <c r="Q5948" i="2"/>
  <c r="Q5947" i="2"/>
  <c r="R5947" i="2" s="1"/>
  <c r="R5946" i="2"/>
  <c r="Q5946" i="2"/>
  <c r="Q5945" i="2"/>
  <c r="R5945" i="2" s="1"/>
  <c r="Q5944" i="2"/>
  <c r="R5944" i="2" s="1"/>
  <c r="Q5943" i="2"/>
  <c r="R5943" i="2" s="1"/>
  <c r="Q5942" i="2"/>
  <c r="R5942" i="2" s="1"/>
  <c r="R5941" i="2"/>
  <c r="Q5941" i="2"/>
  <c r="R5940" i="2"/>
  <c r="Q5940" i="2"/>
  <c r="R5939" i="2"/>
  <c r="Q5939" i="2"/>
  <c r="Q5938" i="2"/>
  <c r="R5938" i="2" s="1"/>
  <c r="R5937" i="2"/>
  <c r="Q5937" i="2"/>
  <c r="Q5936" i="2"/>
  <c r="R5936" i="2" s="1"/>
  <c r="Q5935" i="2"/>
  <c r="R5935" i="2" s="1"/>
  <c r="R5934" i="2"/>
  <c r="Q5934" i="2"/>
  <c r="Q5933" i="2"/>
  <c r="R5933" i="2" s="1"/>
  <c r="R5932" i="2"/>
  <c r="Q5932" i="2"/>
  <c r="R5931" i="2"/>
  <c r="Q5931" i="2"/>
  <c r="R5930" i="2"/>
  <c r="Q5930" i="2"/>
  <c r="Q5929" i="2"/>
  <c r="R5929" i="2" s="1"/>
  <c r="Q5928" i="2"/>
  <c r="R5928" i="2" s="1"/>
  <c r="Q5927" i="2"/>
  <c r="R5927" i="2" s="1"/>
  <c r="Q5926" i="2"/>
  <c r="R5926" i="2" s="1"/>
  <c r="R5925" i="2"/>
  <c r="Q5925" i="2"/>
  <c r="Q5924" i="2"/>
  <c r="R5924" i="2" s="1"/>
  <c r="R5923" i="2"/>
  <c r="Q5923" i="2"/>
  <c r="R5922" i="2"/>
  <c r="Q5922" i="2"/>
  <c r="R5921" i="2"/>
  <c r="Q5921" i="2"/>
  <c r="Q5920" i="2"/>
  <c r="R5920" i="2" s="1"/>
  <c r="Q5919" i="2"/>
  <c r="R5919" i="2" s="1"/>
  <c r="R5918" i="2"/>
  <c r="Q5918" i="2"/>
  <c r="Q5917" i="2"/>
  <c r="R5917" i="2" s="1"/>
  <c r="R5916" i="2"/>
  <c r="Q5916" i="2"/>
  <c r="Q5915" i="2"/>
  <c r="R5915" i="2" s="1"/>
  <c r="R5914" i="2"/>
  <c r="Q5914" i="2"/>
  <c r="R5913" i="2"/>
  <c r="Q5913" i="2"/>
  <c r="Q5912" i="2"/>
  <c r="R5912" i="2" s="1"/>
  <c r="Q5911" i="2"/>
  <c r="R5911" i="2" s="1"/>
  <c r="Q5910" i="2"/>
  <c r="R5910" i="2" s="1"/>
  <c r="R5909" i="2"/>
  <c r="Q5909" i="2"/>
  <c r="Q5908" i="2"/>
  <c r="R5908" i="2" s="1"/>
  <c r="R5907" i="2"/>
  <c r="Q5907" i="2"/>
  <c r="Q5906" i="2"/>
  <c r="R5906" i="2" s="1"/>
  <c r="R5905" i="2"/>
  <c r="Q5905" i="2"/>
  <c r="Q5904" i="2"/>
  <c r="R5904" i="2" s="1"/>
  <c r="Q5903" i="2"/>
  <c r="R5903" i="2" s="1"/>
  <c r="R5902" i="2"/>
  <c r="Q5902" i="2"/>
  <c r="Q5901" i="2"/>
  <c r="R5901" i="2" s="1"/>
  <c r="R5900" i="2"/>
  <c r="Q5900" i="2"/>
  <c r="Q5899" i="2"/>
  <c r="R5899" i="2" s="1"/>
  <c r="R5898" i="2"/>
  <c r="Q5898" i="2"/>
  <c r="Q5897" i="2"/>
  <c r="R5897" i="2" s="1"/>
  <c r="Q5896" i="2"/>
  <c r="R5896" i="2" s="1"/>
  <c r="Q5895" i="2"/>
  <c r="R5895" i="2" s="1"/>
  <c r="R5894" i="2"/>
  <c r="Q5894" i="2"/>
  <c r="R5893" i="2"/>
  <c r="Q5893" i="2"/>
  <c r="Q5892" i="2"/>
  <c r="R5892" i="2" s="1"/>
  <c r="R5891" i="2"/>
  <c r="Q5891" i="2"/>
  <c r="Q5890" i="2"/>
  <c r="R5890" i="2" s="1"/>
  <c r="R5889" i="2"/>
  <c r="Q5889" i="2"/>
  <c r="Q5888" i="2"/>
  <c r="R5888" i="2" s="1"/>
  <c r="Q5887" i="2"/>
  <c r="R5887" i="2" s="1"/>
  <c r="R5886" i="2"/>
  <c r="Q5886" i="2"/>
  <c r="R5885" i="2"/>
  <c r="Q5885" i="2"/>
  <c r="R5884" i="2"/>
  <c r="Q5884" i="2"/>
  <c r="Q5883" i="2"/>
  <c r="R5883" i="2" s="1"/>
  <c r="R5882" i="2"/>
  <c r="Q5882" i="2"/>
  <c r="Q5881" i="2"/>
  <c r="R5881" i="2" s="1"/>
  <c r="Q5880" i="2"/>
  <c r="R5880" i="2" s="1"/>
  <c r="Q5879" i="2"/>
  <c r="R5879" i="2" s="1"/>
  <c r="Q5878" i="2"/>
  <c r="R5878" i="2" s="1"/>
  <c r="R5877" i="2"/>
  <c r="Q5877" i="2"/>
  <c r="R5876" i="2"/>
  <c r="Q5876" i="2"/>
  <c r="R5875" i="2"/>
  <c r="Q5875" i="2"/>
  <c r="Q5874" i="2"/>
  <c r="R5874" i="2" s="1"/>
  <c r="R5873" i="2"/>
  <c r="Q5873" i="2"/>
  <c r="Q5872" i="2"/>
  <c r="R5872" i="2" s="1"/>
  <c r="Q5871" i="2"/>
  <c r="R5871" i="2" s="1"/>
  <c r="R5870" i="2"/>
  <c r="Q5870" i="2"/>
  <c r="Q5869" i="2"/>
  <c r="R5869" i="2" s="1"/>
  <c r="R5868" i="2"/>
  <c r="Q5868" i="2"/>
  <c r="R5867" i="2"/>
  <c r="Q5867" i="2"/>
  <c r="R5866" i="2"/>
  <c r="Q5866" i="2"/>
  <c r="Q5865" i="2"/>
  <c r="R5865" i="2" s="1"/>
  <c r="Q5864" i="2"/>
  <c r="R5864" i="2" s="1"/>
  <c r="Q5863" i="2"/>
  <c r="R5863" i="2" s="1"/>
  <c r="Q5862" i="2"/>
  <c r="R5862" i="2" s="1"/>
  <c r="R5861" i="2"/>
  <c r="Q5861" i="2"/>
  <c r="Q5860" i="2"/>
  <c r="R5860" i="2" s="1"/>
  <c r="R5859" i="2"/>
  <c r="Q5859" i="2"/>
  <c r="R5858" i="2"/>
  <c r="Q5858" i="2"/>
  <c r="R5857" i="2"/>
  <c r="Q5857" i="2"/>
  <c r="Q5856" i="2"/>
  <c r="R5856" i="2" s="1"/>
  <c r="Q5855" i="2"/>
  <c r="R5855" i="2" s="1"/>
  <c r="R5854" i="2"/>
  <c r="Q5854" i="2"/>
  <c r="Q5853" i="2"/>
  <c r="R5853" i="2" s="1"/>
  <c r="R5852" i="2"/>
  <c r="Q5852" i="2"/>
  <c r="Q5851" i="2"/>
  <c r="R5851" i="2" s="1"/>
  <c r="R5850" i="2"/>
  <c r="Q5850" i="2"/>
  <c r="R5849" i="2"/>
  <c r="Q5849" i="2"/>
  <c r="Q5848" i="2"/>
  <c r="R5848" i="2" s="1"/>
  <c r="Q5847" i="2"/>
  <c r="R5847" i="2" s="1"/>
  <c r="Q5846" i="2"/>
  <c r="R5846" i="2" s="1"/>
  <c r="R5845" i="2"/>
  <c r="Q5845" i="2"/>
  <c r="Q5844" i="2"/>
  <c r="R5844" i="2" s="1"/>
  <c r="R5843" i="2"/>
  <c r="Q5843" i="2"/>
  <c r="Q5842" i="2"/>
  <c r="R5842" i="2" s="1"/>
  <c r="R5841" i="2"/>
  <c r="Q5841" i="2"/>
  <c r="Q5840" i="2"/>
  <c r="R5840" i="2" s="1"/>
  <c r="Q5839" i="2"/>
  <c r="R5839" i="2" s="1"/>
  <c r="R5838" i="2"/>
  <c r="Q5838" i="2"/>
  <c r="Q5837" i="2"/>
  <c r="R5837" i="2" s="1"/>
  <c r="R5836" i="2"/>
  <c r="Q5836" i="2"/>
  <c r="Q5835" i="2"/>
  <c r="R5835" i="2" s="1"/>
  <c r="R5834" i="2"/>
  <c r="Q5834" i="2"/>
  <c r="Q5833" i="2"/>
  <c r="R5833" i="2" s="1"/>
  <c r="Q5832" i="2"/>
  <c r="R5832" i="2" s="1"/>
  <c r="Q5831" i="2"/>
  <c r="R5831" i="2" s="1"/>
  <c r="R5830" i="2"/>
  <c r="Q5830" i="2"/>
  <c r="R5829" i="2"/>
  <c r="Q5829" i="2"/>
  <c r="Q5828" i="2"/>
  <c r="R5828" i="2" s="1"/>
  <c r="R5827" i="2"/>
  <c r="Q5827" i="2"/>
  <c r="Q5826" i="2"/>
  <c r="R5826" i="2" s="1"/>
  <c r="R5825" i="2"/>
  <c r="Q5825" i="2"/>
  <c r="Q5824" i="2"/>
  <c r="R5824" i="2" s="1"/>
  <c r="Q5823" i="2"/>
  <c r="R5823" i="2" s="1"/>
  <c r="R5822" i="2"/>
  <c r="Q5822" i="2"/>
  <c r="R5821" i="2"/>
  <c r="Q5821" i="2"/>
  <c r="R5820" i="2"/>
  <c r="Q5820" i="2"/>
  <c r="Q5819" i="2"/>
  <c r="R5819" i="2" s="1"/>
  <c r="R5818" i="2"/>
  <c r="Q5818" i="2"/>
  <c r="Q5817" i="2"/>
  <c r="R5817" i="2" s="1"/>
  <c r="Q5816" i="2"/>
  <c r="R5816" i="2" s="1"/>
  <c r="Q5815" i="2"/>
  <c r="R5815" i="2" s="1"/>
  <c r="Q5814" i="2"/>
  <c r="R5814" i="2" s="1"/>
  <c r="R5813" i="2"/>
  <c r="Q5813" i="2"/>
  <c r="R5812" i="2"/>
  <c r="Q5812" i="2"/>
  <c r="R5811" i="2"/>
  <c r="Q5811" i="2"/>
  <c r="Q5810" i="2"/>
  <c r="R5810" i="2" s="1"/>
  <c r="R5809" i="2"/>
  <c r="Q5809" i="2"/>
  <c r="Q5808" i="2"/>
  <c r="R5808" i="2" s="1"/>
  <c r="Q5807" i="2"/>
  <c r="R5807" i="2" s="1"/>
  <c r="R5806" i="2"/>
  <c r="Q5806" i="2"/>
  <c r="Q5805" i="2"/>
  <c r="R5805" i="2" s="1"/>
  <c r="R5804" i="2"/>
  <c r="Q5804" i="2"/>
  <c r="R5803" i="2"/>
  <c r="Q5803" i="2"/>
  <c r="R5802" i="2"/>
  <c r="Q5802" i="2"/>
  <c r="Q5801" i="2"/>
  <c r="R5801" i="2" s="1"/>
  <c r="Q5800" i="2"/>
  <c r="R5800" i="2" s="1"/>
  <c r="Q5799" i="2"/>
  <c r="R5799" i="2" s="1"/>
  <c r="Q5798" i="2"/>
  <c r="R5798" i="2" s="1"/>
  <c r="R5797" i="2"/>
  <c r="Q5797" i="2"/>
  <c r="R5796" i="2"/>
  <c r="Q5796" i="2"/>
  <c r="R5795" i="2"/>
  <c r="Q5795" i="2"/>
  <c r="R5794" i="2"/>
  <c r="Q5794" i="2"/>
  <c r="R5793" i="2"/>
  <c r="Q5793" i="2"/>
  <c r="Q5792" i="2"/>
  <c r="R5792" i="2" s="1"/>
  <c r="Q5791" i="2"/>
  <c r="R5791" i="2" s="1"/>
  <c r="R5790" i="2"/>
  <c r="Q5790" i="2"/>
  <c r="Q5789" i="2"/>
  <c r="R5789" i="2" s="1"/>
  <c r="R5788" i="2"/>
  <c r="Q5788" i="2"/>
  <c r="R5787" i="2"/>
  <c r="Q5787" i="2"/>
  <c r="R5786" i="2"/>
  <c r="Q5786" i="2"/>
  <c r="R5785" i="2"/>
  <c r="Q5785" i="2"/>
  <c r="Q5784" i="2"/>
  <c r="R5784" i="2" s="1"/>
  <c r="Q5783" i="2"/>
  <c r="R5783" i="2" s="1"/>
  <c r="Q5782" i="2"/>
  <c r="R5782" i="2" s="1"/>
  <c r="R5781" i="2"/>
  <c r="Q5781" i="2"/>
  <c r="Q5780" i="2"/>
  <c r="R5780" i="2" s="1"/>
  <c r="R5779" i="2"/>
  <c r="Q5779" i="2"/>
  <c r="Q5778" i="2"/>
  <c r="R5778" i="2" s="1"/>
  <c r="R5777" i="2"/>
  <c r="Q5777" i="2"/>
  <c r="Q5776" i="2"/>
  <c r="R5776" i="2" s="1"/>
  <c r="Q5775" i="2"/>
  <c r="R5775" i="2" s="1"/>
  <c r="R5774" i="2"/>
  <c r="Q5774" i="2"/>
  <c r="Q5773" i="2"/>
  <c r="R5773" i="2" s="1"/>
  <c r="R5772" i="2"/>
  <c r="Q5772" i="2"/>
  <c r="Q5771" i="2"/>
  <c r="R5771" i="2" s="1"/>
  <c r="R5770" i="2"/>
  <c r="Q5770" i="2"/>
  <c r="Q5769" i="2"/>
  <c r="R5769" i="2" s="1"/>
  <c r="Q5768" i="2"/>
  <c r="R5768" i="2" s="1"/>
  <c r="Q5767" i="2"/>
  <c r="R5767" i="2" s="1"/>
  <c r="R5766" i="2"/>
  <c r="Q5766" i="2"/>
  <c r="R5765" i="2"/>
  <c r="Q5765" i="2"/>
  <c r="Q5764" i="2"/>
  <c r="R5764" i="2" s="1"/>
  <c r="R5763" i="2"/>
  <c r="Q5763" i="2"/>
  <c r="Q5762" i="2"/>
  <c r="R5762" i="2" s="1"/>
  <c r="R5761" i="2"/>
  <c r="Q5761" i="2"/>
  <c r="Q5760" i="2"/>
  <c r="R5760" i="2" s="1"/>
  <c r="Q5759" i="2"/>
  <c r="R5759" i="2" s="1"/>
  <c r="R5758" i="2"/>
  <c r="Q5758" i="2"/>
  <c r="R5757" i="2"/>
  <c r="Q5757" i="2"/>
  <c r="R5756" i="2"/>
  <c r="Q5756" i="2"/>
  <c r="Q5755" i="2"/>
  <c r="R5755" i="2" s="1"/>
  <c r="R5754" i="2"/>
  <c r="Q5754" i="2"/>
  <c r="Q5753" i="2"/>
  <c r="R5753" i="2" s="1"/>
  <c r="Q5752" i="2"/>
  <c r="R5752" i="2" s="1"/>
  <c r="Q5751" i="2"/>
  <c r="R5751" i="2" s="1"/>
  <c r="Q5750" i="2"/>
  <c r="R5750" i="2" s="1"/>
  <c r="R5749" i="2"/>
  <c r="Q5749" i="2"/>
  <c r="Q5748" i="2"/>
  <c r="R5748" i="2" s="1"/>
  <c r="R5747" i="2"/>
  <c r="Q5747" i="2"/>
  <c r="Q5746" i="2"/>
  <c r="R5746" i="2" s="1"/>
  <c r="R5745" i="2"/>
  <c r="Q5745" i="2"/>
  <c r="Q5744" i="2"/>
  <c r="R5744" i="2" s="1"/>
  <c r="Q5743" i="2"/>
  <c r="R5743" i="2" s="1"/>
  <c r="R5742" i="2"/>
  <c r="Q5742" i="2"/>
  <c r="R5741" i="2"/>
  <c r="Q5741" i="2"/>
  <c r="R5740" i="2"/>
  <c r="Q5740" i="2"/>
  <c r="Q5739" i="2"/>
  <c r="R5739" i="2" s="1"/>
  <c r="R5738" i="2"/>
  <c r="Q5738" i="2"/>
  <c r="Q5737" i="2"/>
  <c r="R5737" i="2" s="1"/>
  <c r="Q5736" i="2"/>
  <c r="R5736" i="2" s="1"/>
  <c r="Q5735" i="2"/>
  <c r="R5735" i="2" s="1"/>
  <c r="Q5734" i="2"/>
  <c r="R5734" i="2" s="1"/>
  <c r="R5733" i="2"/>
  <c r="Q5733" i="2"/>
  <c r="Q5732" i="2"/>
  <c r="R5732" i="2" s="1"/>
  <c r="R5731" i="2"/>
  <c r="Q5731" i="2"/>
  <c r="Q5730" i="2"/>
  <c r="R5730" i="2" s="1"/>
  <c r="R5729" i="2"/>
  <c r="Q5729" i="2"/>
  <c r="Q5728" i="2"/>
  <c r="R5728" i="2" s="1"/>
  <c r="Q5727" i="2"/>
  <c r="R5727" i="2" s="1"/>
  <c r="R5726" i="2"/>
  <c r="Q5726" i="2"/>
  <c r="Q5725" i="2"/>
  <c r="R5725" i="2" s="1"/>
  <c r="R5724" i="2"/>
  <c r="Q5724" i="2"/>
  <c r="Q5723" i="2"/>
  <c r="R5723" i="2" s="1"/>
  <c r="R5722" i="2"/>
  <c r="Q5722" i="2"/>
  <c r="Q5721" i="2"/>
  <c r="R5721" i="2" s="1"/>
  <c r="Q5720" i="2"/>
  <c r="R5720" i="2" s="1"/>
  <c r="Q5719" i="2"/>
  <c r="R5719" i="2" s="1"/>
  <c r="Q5718" i="2"/>
  <c r="R5718" i="2" s="1"/>
  <c r="R5717" i="2"/>
  <c r="Q5717" i="2"/>
  <c r="Q5716" i="2"/>
  <c r="R5716" i="2" s="1"/>
  <c r="R5715" i="2"/>
  <c r="Q5715" i="2"/>
  <c r="R5714" i="2"/>
  <c r="Q5714" i="2"/>
  <c r="R5713" i="2"/>
  <c r="Q5713" i="2"/>
  <c r="Q5712" i="2"/>
  <c r="R5712" i="2" s="1"/>
  <c r="Q5711" i="2"/>
  <c r="R5711" i="2" s="1"/>
  <c r="R5710" i="2"/>
  <c r="Q5710" i="2"/>
  <c r="Q5709" i="2"/>
  <c r="R5709" i="2" s="1"/>
  <c r="R5708" i="2"/>
  <c r="Q5708" i="2"/>
  <c r="Q5707" i="2"/>
  <c r="R5707" i="2" s="1"/>
  <c r="R5706" i="2"/>
  <c r="Q5706" i="2"/>
  <c r="R5705" i="2"/>
  <c r="Q5705" i="2"/>
  <c r="Q5704" i="2"/>
  <c r="R5704" i="2" s="1"/>
  <c r="Q5703" i="2"/>
  <c r="R5703" i="2" s="1"/>
  <c r="Q5702" i="2"/>
  <c r="R5702" i="2" s="1"/>
  <c r="R5701" i="2"/>
  <c r="Q5701" i="2"/>
  <c r="Q5700" i="2"/>
  <c r="R5700" i="2" s="1"/>
  <c r="R5699" i="2"/>
  <c r="Q5699" i="2"/>
  <c r="Q5698" i="2"/>
  <c r="R5698" i="2" s="1"/>
  <c r="R5697" i="2"/>
  <c r="Q5697" i="2"/>
  <c r="Q5696" i="2"/>
  <c r="R5696" i="2" s="1"/>
  <c r="Q5695" i="2"/>
  <c r="R5695" i="2" s="1"/>
  <c r="R5694" i="2"/>
  <c r="Q5694" i="2"/>
  <c r="R5693" i="2"/>
  <c r="Q5693" i="2"/>
  <c r="R5692" i="2"/>
  <c r="Q5692" i="2"/>
  <c r="Q5691" i="2"/>
  <c r="R5691" i="2" s="1"/>
  <c r="R5690" i="2"/>
  <c r="Q5690" i="2"/>
  <c r="Q5689" i="2"/>
  <c r="R5689" i="2" s="1"/>
  <c r="Q5688" i="2"/>
  <c r="R5688" i="2" s="1"/>
  <c r="Q5687" i="2"/>
  <c r="R5687" i="2" s="1"/>
  <c r="Q5686" i="2"/>
  <c r="R5686" i="2" s="1"/>
  <c r="R5685" i="2"/>
  <c r="Q5685" i="2"/>
  <c r="R5684" i="2"/>
  <c r="Q5684" i="2"/>
  <c r="R5683" i="2"/>
  <c r="Q5683" i="2"/>
  <c r="Q5682" i="2"/>
  <c r="R5682" i="2" s="1"/>
  <c r="R5681" i="2"/>
  <c r="Q5681" i="2"/>
  <c r="Q5680" i="2"/>
  <c r="R5680" i="2" s="1"/>
  <c r="Q5679" i="2"/>
  <c r="R5679" i="2" s="1"/>
  <c r="R5678" i="2"/>
  <c r="Q5678" i="2"/>
  <c r="Q5677" i="2"/>
  <c r="R5677" i="2" s="1"/>
  <c r="R5676" i="2"/>
  <c r="Q5676" i="2"/>
  <c r="R5675" i="2"/>
  <c r="Q5675" i="2"/>
  <c r="R5674" i="2"/>
  <c r="Q5674" i="2"/>
  <c r="Q5673" i="2"/>
  <c r="R5673" i="2" s="1"/>
  <c r="Q5672" i="2"/>
  <c r="R5672" i="2" s="1"/>
  <c r="Q5671" i="2"/>
  <c r="R5671" i="2" s="1"/>
  <c r="Q5670" i="2"/>
  <c r="R5670" i="2" s="1"/>
  <c r="R5669" i="2"/>
  <c r="Q5669" i="2"/>
  <c r="Q5668" i="2"/>
  <c r="R5668" i="2" s="1"/>
  <c r="R5667" i="2"/>
  <c r="Q5667" i="2"/>
  <c r="R5666" i="2"/>
  <c r="Q5666" i="2"/>
  <c r="R5665" i="2"/>
  <c r="Q5665" i="2"/>
  <c r="Q5664" i="2"/>
  <c r="R5664" i="2" s="1"/>
  <c r="Q5663" i="2"/>
  <c r="R5663" i="2" s="1"/>
  <c r="R5662" i="2"/>
  <c r="Q5662" i="2"/>
  <c r="Q5661" i="2"/>
  <c r="R5661" i="2" s="1"/>
  <c r="R5660" i="2"/>
  <c r="Q5660" i="2"/>
  <c r="Q5659" i="2"/>
  <c r="R5659" i="2" s="1"/>
  <c r="R5658" i="2"/>
  <c r="Q5658" i="2"/>
  <c r="Q5657" i="2"/>
  <c r="R5657" i="2" s="1"/>
  <c r="Q5656" i="2"/>
  <c r="R5656" i="2" s="1"/>
  <c r="Q5655" i="2"/>
  <c r="R5655" i="2" s="1"/>
  <c r="Q5654" i="2"/>
  <c r="R5654" i="2" s="1"/>
  <c r="R5653" i="2"/>
  <c r="Q5653" i="2"/>
  <c r="Q5652" i="2"/>
  <c r="R5652" i="2" s="1"/>
  <c r="R5651" i="2"/>
  <c r="Q5651" i="2"/>
  <c r="R5650" i="2"/>
  <c r="Q5650" i="2"/>
  <c r="R5649" i="2"/>
  <c r="Q5649" i="2"/>
  <c r="Q5648" i="2"/>
  <c r="R5648" i="2" s="1"/>
  <c r="Q5647" i="2"/>
  <c r="R5647" i="2" s="1"/>
  <c r="R5646" i="2"/>
  <c r="Q5646" i="2"/>
  <c r="Q5645" i="2"/>
  <c r="R5645" i="2" s="1"/>
  <c r="R5644" i="2"/>
  <c r="Q5644" i="2"/>
  <c r="Q5643" i="2"/>
  <c r="R5643" i="2" s="1"/>
  <c r="R5642" i="2"/>
  <c r="Q5642" i="2"/>
  <c r="Q5641" i="2"/>
  <c r="R5641" i="2" s="1"/>
  <c r="Q5640" i="2"/>
  <c r="R5640" i="2" s="1"/>
  <c r="Q5639" i="2"/>
  <c r="R5639" i="2" s="1"/>
  <c r="Q5638" i="2"/>
  <c r="R5638" i="2" s="1"/>
  <c r="R5637" i="2"/>
  <c r="Q5637" i="2"/>
  <c r="Q5636" i="2"/>
  <c r="R5636" i="2" s="1"/>
  <c r="R5635" i="2"/>
  <c r="Q5635" i="2"/>
  <c r="Q5634" i="2"/>
  <c r="R5634" i="2" s="1"/>
  <c r="R5633" i="2"/>
  <c r="Q5633" i="2"/>
  <c r="Q5632" i="2"/>
  <c r="R5632" i="2" s="1"/>
  <c r="Q5631" i="2"/>
  <c r="R5631" i="2" s="1"/>
  <c r="R5630" i="2"/>
  <c r="Q5630" i="2"/>
  <c r="R5629" i="2"/>
  <c r="Q5629" i="2"/>
  <c r="R5628" i="2"/>
  <c r="Q5628" i="2"/>
  <c r="Q5627" i="2"/>
  <c r="R5627" i="2" s="1"/>
  <c r="R5626" i="2"/>
  <c r="Q5626" i="2"/>
  <c r="Q5625" i="2"/>
  <c r="R5625" i="2" s="1"/>
  <c r="Q5624" i="2"/>
  <c r="R5624" i="2" s="1"/>
  <c r="Q5623" i="2"/>
  <c r="R5623" i="2" s="1"/>
  <c r="R5622" i="2"/>
  <c r="Q5622" i="2"/>
  <c r="R5621" i="2"/>
  <c r="Q5621" i="2"/>
  <c r="Q5620" i="2"/>
  <c r="R5620" i="2" s="1"/>
  <c r="R5619" i="2"/>
  <c r="Q5619" i="2"/>
  <c r="Q5618" i="2"/>
  <c r="R5618" i="2" s="1"/>
  <c r="R5617" i="2"/>
  <c r="Q5617" i="2"/>
  <c r="Q5616" i="2"/>
  <c r="R5616" i="2" s="1"/>
  <c r="Q5615" i="2"/>
  <c r="R5615" i="2" s="1"/>
  <c r="R5614" i="2"/>
  <c r="Q5614" i="2"/>
  <c r="R5613" i="2"/>
  <c r="Q5613" i="2"/>
  <c r="R5612" i="2"/>
  <c r="Q5612" i="2"/>
  <c r="Q5611" i="2"/>
  <c r="R5611" i="2" s="1"/>
  <c r="R5610" i="2"/>
  <c r="Q5610" i="2"/>
  <c r="Q5609" i="2"/>
  <c r="R5609" i="2" s="1"/>
  <c r="Q5608" i="2"/>
  <c r="R5608" i="2" s="1"/>
  <c r="Q5607" i="2"/>
  <c r="R5607" i="2" s="1"/>
  <c r="Q5606" i="2"/>
  <c r="R5606" i="2" s="1"/>
  <c r="R5605" i="2"/>
  <c r="Q5605" i="2"/>
  <c r="R5604" i="2"/>
  <c r="Q5604" i="2"/>
  <c r="R5603" i="2"/>
  <c r="Q5603" i="2"/>
  <c r="R5602" i="2"/>
  <c r="Q5602" i="2"/>
  <c r="R5601" i="2"/>
  <c r="Q5601" i="2"/>
  <c r="Q5600" i="2"/>
  <c r="R5600" i="2" s="1"/>
  <c r="Q5599" i="2"/>
  <c r="R5599" i="2" s="1"/>
  <c r="R5598" i="2"/>
  <c r="Q5598" i="2"/>
  <c r="Q5597" i="2"/>
  <c r="R5597" i="2" s="1"/>
  <c r="R5596" i="2"/>
  <c r="Q5596" i="2"/>
  <c r="Q5595" i="2"/>
  <c r="R5595" i="2" s="1"/>
  <c r="R5594" i="2"/>
  <c r="Q5594" i="2"/>
  <c r="R5593" i="2"/>
  <c r="Q5593" i="2"/>
  <c r="Q5592" i="2"/>
  <c r="R5592" i="2" s="1"/>
  <c r="Q5591" i="2"/>
  <c r="R5591" i="2" s="1"/>
  <c r="Q5590" i="2"/>
  <c r="R5590" i="2" s="1"/>
  <c r="R5589" i="2"/>
  <c r="Q5589" i="2"/>
  <c r="Q5588" i="2"/>
  <c r="R5588" i="2" s="1"/>
  <c r="R5587" i="2"/>
  <c r="Q5587" i="2"/>
  <c r="R5586" i="2"/>
  <c r="Q5586" i="2"/>
  <c r="R5585" i="2"/>
  <c r="Q5585" i="2"/>
  <c r="Q5584" i="2"/>
  <c r="R5584" i="2" s="1"/>
  <c r="Q5583" i="2"/>
  <c r="R5583" i="2" s="1"/>
  <c r="R5582" i="2"/>
  <c r="Q5582" i="2"/>
  <c r="Q5581" i="2"/>
  <c r="R5581" i="2" s="1"/>
  <c r="R5580" i="2"/>
  <c r="Q5580" i="2"/>
  <c r="Q5579" i="2"/>
  <c r="R5579" i="2" s="1"/>
  <c r="R5578" i="2"/>
  <c r="Q5578" i="2"/>
  <c r="Q5577" i="2"/>
  <c r="R5577" i="2" s="1"/>
  <c r="Q5576" i="2"/>
  <c r="R5576" i="2" s="1"/>
  <c r="Q5575" i="2"/>
  <c r="R5575" i="2" s="1"/>
  <c r="Q5574" i="2"/>
  <c r="R5574" i="2" s="1"/>
  <c r="R5573" i="2"/>
  <c r="Q5573" i="2"/>
  <c r="Q5572" i="2"/>
  <c r="R5572" i="2" s="1"/>
  <c r="R5571" i="2"/>
  <c r="Q5571" i="2"/>
  <c r="Q5570" i="2"/>
  <c r="R5570" i="2" s="1"/>
  <c r="R5569" i="2"/>
  <c r="Q5569" i="2"/>
  <c r="Q5568" i="2"/>
  <c r="R5568" i="2" s="1"/>
  <c r="Q5567" i="2"/>
  <c r="R5567" i="2" s="1"/>
  <c r="R5566" i="2"/>
  <c r="Q5566" i="2"/>
  <c r="R5565" i="2"/>
  <c r="Q5565" i="2"/>
  <c r="R5564" i="2"/>
  <c r="Q5564" i="2"/>
  <c r="Q5563" i="2"/>
  <c r="R5563" i="2" s="1"/>
  <c r="R5562" i="2"/>
  <c r="Q5562" i="2"/>
  <c r="Q5561" i="2"/>
  <c r="R5561" i="2" s="1"/>
  <c r="Q5560" i="2"/>
  <c r="R5560" i="2" s="1"/>
  <c r="Q5559" i="2"/>
  <c r="R5559" i="2" s="1"/>
  <c r="Q5558" i="2"/>
  <c r="R5558" i="2" s="1"/>
  <c r="R5557" i="2"/>
  <c r="Q5557" i="2"/>
  <c r="Q5556" i="2"/>
  <c r="R5556" i="2" s="1"/>
  <c r="R5555" i="2"/>
  <c r="Q5555" i="2"/>
  <c r="Q5554" i="2"/>
  <c r="R5554" i="2" s="1"/>
  <c r="R5553" i="2"/>
  <c r="Q5553" i="2"/>
  <c r="Q5552" i="2"/>
  <c r="R5552" i="2" s="1"/>
  <c r="Q5551" i="2"/>
  <c r="R5551" i="2" s="1"/>
  <c r="R5550" i="2"/>
  <c r="Q5550" i="2"/>
  <c r="Q5549" i="2"/>
  <c r="R5549" i="2" s="1"/>
  <c r="R5548" i="2"/>
  <c r="Q5548" i="2"/>
  <c r="R5547" i="2"/>
  <c r="Q5547" i="2"/>
  <c r="R5546" i="2"/>
  <c r="Q5546" i="2"/>
  <c r="Q5545" i="2"/>
  <c r="R5545" i="2" s="1"/>
  <c r="Q5544" i="2"/>
  <c r="R5544" i="2" s="1"/>
  <c r="Q5543" i="2"/>
  <c r="R5543" i="2" s="1"/>
  <c r="Q5542" i="2"/>
  <c r="R5542" i="2" s="1"/>
  <c r="R5541" i="2"/>
  <c r="Q5541" i="2"/>
  <c r="R5540" i="2"/>
  <c r="Q5540" i="2"/>
  <c r="R5539" i="2"/>
  <c r="Q5539" i="2"/>
  <c r="Q5538" i="2"/>
  <c r="R5538" i="2" s="1"/>
  <c r="R5537" i="2"/>
  <c r="Q5537" i="2"/>
  <c r="Q5536" i="2"/>
  <c r="R5536" i="2" s="1"/>
  <c r="Q5535" i="2"/>
  <c r="R5535" i="2" s="1"/>
  <c r="R5534" i="2"/>
  <c r="Q5534" i="2"/>
  <c r="Q5533" i="2"/>
  <c r="R5533" i="2" s="1"/>
  <c r="R5532" i="2"/>
  <c r="Q5532" i="2"/>
  <c r="R5531" i="2"/>
  <c r="Q5531" i="2"/>
  <c r="R5530" i="2"/>
  <c r="Q5530" i="2"/>
  <c r="Q5529" i="2"/>
  <c r="R5529" i="2" s="1"/>
  <c r="Q5528" i="2"/>
  <c r="R5528" i="2" s="1"/>
  <c r="Q5527" i="2"/>
  <c r="R5527" i="2" s="1"/>
  <c r="Q5526" i="2"/>
  <c r="R5526" i="2" s="1"/>
  <c r="R5525" i="2"/>
  <c r="Q5525" i="2"/>
  <c r="Q5524" i="2"/>
  <c r="R5524" i="2" s="1"/>
  <c r="R5523" i="2"/>
  <c r="Q5523" i="2"/>
  <c r="Q5522" i="2"/>
  <c r="R5522" i="2" s="1"/>
  <c r="R5521" i="2"/>
  <c r="Q5521" i="2"/>
  <c r="Q5520" i="2"/>
  <c r="R5520" i="2" s="1"/>
  <c r="Q5519" i="2"/>
  <c r="R5519" i="2" s="1"/>
  <c r="R5518" i="2"/>
  <c r="Q5518" i="2"/>
  <c r="Q5517" i="2"/>
  <c r="R5517" i="2" s="1"/>
  <c r="R5516" i="2"/>
  <c r="Q5516" i="2"/>
  <c r="Q5515" i="2"/>
  <c r="R5515" i="2" s="1"/>
  <c r="R5514" i="2"/>
  <c r="Q5514" i="2"/>
  <c r="Q5513" i="2"/>
  <c r="R5513" i="2" s="1"/>
  <c r="Q5512" i="2"/>
  <c r="R5512" i="2" s="1"/>
  <c r="Q5511" i="2"/>
  <c r="R5511" i="2" s="1"/>
  <c r="R5510" i="2"/>
  <c r="Q5510" i="2"/>
  <c r="R5509" i="2"/>
  <c r="Q5509" i="2"/>
  <c r="Q5508" i="2"/>
  <c r="R5508" i="2" s="1"/>
  <c r="R5507" i="2"/>
  <c r="Q5507" i="2"/>
  <c r="Q5506" i="2"/>
  <c r="R5506" i="2" s="1"/>
  <c r="R5505" i="2"/>
  <c r="Q5505" i="2"/>
  <c r="Q5504" i="2"/>
  <c r="R5504" i="2" s="1"/>
  <c r="Q5503" i="2"/>
  <c r="R5503" i="2" s="1"/>
  <c r="R5502" i="2"/>
  <c r="Q5502" i="2"/>
  <c r="Q5501" i="2"/>
  <c r="R5501" i="2" s="1"/>
  <c r="R5500" i="2"/>
  <c r="Q5500" i="2"/>
  <c r="Q5499" i="2"/>
  <c r="R5499" i="2" s="1"/>
  <c r="R5498" i="2"/>
  <c r="Q5498" i="2"/>
  <c r="Q5497" i="2"/>
  <c r="R5497" i="2" s="1"/>
  <c r="Q5496" i="2"/>
  <c r="R5496" i="2" s="1"/>
  <c r="Q5495" i="2"/>
  <c r="R5495" i="2" s="1"/>
  <c r="Q5494" i="2"/>
  <c r="R5494" i="2" s="1"/>
  <c r="R5493" i="2"/>
  <c r="Q5493" i="2"/>
  <c r="Q5492" i="2"/>
  <c r="R5492" i="2" s="1"/>
  <c r="R5491" i="2"/>
  <c r="Q5491" i="2"/>
  <c r="Q5490" i="2"/>
  <c r="R5490" i="2" s="1"/>
  <c r="R5489" i="2"/>
  <c r="Q5489" i="2"/>
  <c r="Q5488" i="2"/>
  <c r="R5488" i="2" s="1"/>
  <c r="Q5487" i="2"/>
  <c r="R5487" i="2" s="1"/>
  <c r="R5486" i="2"/>
  <c r="Q5486" i="2"/>
  <c r="R5485" i="2"/>
  <c r="Q5485" i="2"/>
  <c r="R5484" i="2"/>
  <c r="Q5484" i="2"/>
  <c r="Q5483" i="2"/>
  <c r="R5483" i="2" s="1"/>
  <c r="R5482" i="2"/>
  <c r="Q5482" i="2"/>
  <c r="Q5481" i="2"/>
  <c r="R5481" i="2" s="1"/>
  <c r="Q5480" i="2"/>
  <c r="R5480" i="2" s="1"/>
  <c r="Q5479" i="2"/>
  <c r="R5479" i="2" s="1"/>
  <c r="Q5478" i="2"/>
  <c r="R5478" i="2" s="1"/>
  <c r="R5477" i="2"/>
  <c r="Q5477" i="2"/>
  <c r="Q5476" i="2"/>
  <c r="R5476" i="2" s="1"/>
  <c r="R5475" i="2"/>
  <c r="Q5475" i="2"/>
  <c r="Q5474" i="2"/>
  <c r="R5474" i="2" s="1"/>
  <c r="R5473" i="2"/>
  <c r="Q5473" i="2"/>
  <c r="Q5472" i="2"/>
  <c r="R5472" i="2" s="1"/>
  <c r="Q5471" i="2"/>
  <c r="R5471" i="2" s="1"/>
  <c r="R5470" i="2"/>
  <c r="Q5470" i="2"/>
  <c r="Q5469" i="2"/>
  <c r="R5469" i="2" s="1"/>
  <c r="R5468" i="2"/>
  <c r="Q5468" i="2"/>
  <c r="Q5467" i="2"/>
  <c r="R5467" i="2" s="1"/>
  <c r="R5466" i="2"/>
  <c r="Q5466" i="2"/>
  <c r="Q5465" i="2"/>
  <c r="R5465" i="2" s="1"/>
  <c r="Q5464" i="2"/>
  <c r="R5464" i="2" s="1"/>
  <c r="Q5463" i="2"/>
  <c r="R5463" i="2" s="1"/>
  <c r="Q5462" i="2"/>
  <c r="R5462" i="2" s="1"/>
  <c r="R5461" i="2"/>
  <c r="Q5461" i="2"/>
  <c r="Q5460" i="2"/>
  <c r="R5460" i="2" s="1"/>
  <c r="R5459" i="2"/>
  <c r="Q5459" i="2"/>
  <c r="R5458" i="2"/>
  <c r="Q5458" i="2"/>
  <c r="R5457" i="2"/>
  <c r="Q5457" i="2"/>
  <c r="Q5456" i="2"/>
  <c r="R5456" i="2" s="1"/>
  <c r="Q5455" i="2"/>
  <c r="R5455" i="2" s="1"/>
  <c r="R5454" i="2"/>
  <c r="Q5454" i="2"/>
  <c r="Q5453" i="2"/>
  <c r="R5453" i="2" s="1"/>
  <c r="R5452" i="2"/>
  <c r="Q5452" i="2"/>
  <c r="Q5451" i="2"/>
  <c r="R5451" i="2" s="1"/>
  <c r="R5450" i="2"/>
  <c r="Q5450" i="2"/>
  <c r="R5449" i="2"/>
  <c r="Q5449" i="2"/>
  <c r="Q5448" i="2"/>
  <c r="R5448" i="2" s="1"/>
  <c r="Q5447" i="2"/>
  <c r="R5447" i="2" s="1"/>
  <c r="Q5446" i="2"/>
  <c r="R5446" i="2" s="1"/>
  <c r="R5445" i="2"/>
  <c r="Q5445" i="2"/>
  <c r="Q5444" i="2"/>
  <c r="R5444" i="2" s="1"/>
  <c r="R5443" i="2"/>
  <c r="Q5443" i="2"/>
  <c r="Q5442" i="2"/>
  <c r="R5442" i="2" s="1"/>
  <c r="R5441" i="2"/>
  <c r="Q5441" i="2"/>
  <c r="Q5440" i="2"/>
  <c r="R5440" i="2" s="1"/>
  <c r="Q5439" i="2"/>
  <c r="R5439" i="2" s="1"/>
  <c r="R5438" i="2"/>
  <c r="Q5438" i="2"/>
  <c r="R5437" i="2"/>
  <c r="Q5437" i="2"/>
  <c r="R5436" i="2"/>
  <c r="Q5436" i="2"/>
  <c r="Q5435" i="2"/>
  <c r="R5435" i="2" s="1"/>
  <c r="R5434" i="2"/>
  <c r="Q5434" i="2"/>
  <c r="Q5433" i="2"/>
  <c r="R5433" i="2" s="1"/>
  <c r="Q5432" i="2"/>
  <c r="R5432" i="2" s="1"/>
  <c r="Q5431" i="2"/>
  <c r="R5431" i="2" s="1"/>
  <c r="Q5430" i="2"/>
  <c r="R5430" i="2" s="1"/>
  <c r="R5429" i="2"/>
  <c r="Q5429" i="2"/>
  <c r="R5428" i="2"/>
  <c r="Q5428" i="2"/>
  <c r="R5427" i="2"/>
  <c r="Q5427" i="2"/>
  <c r="Q5426" i="2"/>
  <c r="R5426" i="2" s="1"/>
  <c r="R5425" i="2"/>
  <c r="Q5425" i="2"/>
  <c r="Q5424" i="2"/>
  <c r="R5424" i="2" s="1"/>
  <c r="Q5423" i="2"/>
  <c r="R5423" i="2" s="1"/>
  <c r="R5422" i="2"/>
  <c r="Q5422" i="2"/>
  <c r="Q5421" i="2"/>
  <c r="R5421" i="2" s="1"/>
  <c r="R5420" i="2"/>
  <c r="Q5420" i="2"/>
  <c r="R5419" i="2"/>
  <c r="Q5419" i="2"/>
  <c r="R5418" i="2"/>
  <c r="Q5418" i="2"/>
  <c r="Q5417" i="2"/>
  <c r="R5417" i="2" s="1"/>
  <c r="Q5416" i="2"/>
  <c r="R5416" i="2" s="1"/>
  <c r="Q5415" i="2"/>
  <c r="R5415" i="2" s="1"/>
  <c r="Q5414" i="2"/>
  <c r="R5414" i="2" s="1"/>
  <c r="R5413" i="2"/>
  <c r="Q5413" i="2"/>
  <c r="Q5412" i="2"/>
  <c r="R5412" i="2" s="1"/>
  <c r="R5411" i="2"/>
  <c r="Q5411" i="2"/>
  <c r="R5410" i="2"/>
  <c r="Q5410" i="2"/>
  <c r="R5409" i="2"/>
  <c r="Q5409" i="2"/>
  <c r="Q5408" i="2"/>
  <c r="R5408" i="2" s="1"/>
  <c r="R5407" i="2"/>
  <c r="Q5407" i="2"/>
  <c r="Q5406" i="2"/>
  <c r="R5406" i="2" s="1"/>
  <c r="Q5405" i="2"/>
  <c r="R5405" i="2" s="1"/>
  <c r="Q5404" i="2"/>
  <c r="R5404" i="2" s="1"/>
  <c r="Q5403" i="2"/>
  <c r="R5403" i="2" s="1"/>
  <c r="Q5402" i="2"/>
  <c r="R5402" i="2" s="1"/>
  <c r="Q5401" i="2"/>
  <c r="R5401" i="2" s="1"/>
  <c r="Q5400" i="2"/>
  <c r="R5400" i="2" s="1"/>
  <c r="Q5399" i="2"/>
  <c r="R5399" i="2" s="1"/>
  <c r="Q5398" i="2"/>
  <c r="R5398" i="2" s="1"/>
  <c r="R5397" i="2"/>
  <c r="Q5397" i="2"/>
  <c r="Q5396" i="2"/>
  <c r="R5396" i="2" s="1"/>
  <c r="Q5395" i="2"/>
  <c r="R5395" i="2" s="1"/>
  <c r="Q5394" i="2"/>
  <c r="R5394" i="2" s="1"/>
  <c r="R5393" i="2"/>
  <c r="Q5393" i="2"/>
  <c r="Q5392" i="2"/>
  <c r="R5392" i="2" s="1"/>
  <c r="R5391" i="2"/>
  <c r="Q5391" i="2"/>
  <c r="Q5390" i="2"/>
  <c r="R5390" i="2" s="1"/>
  <c r="R5389" i="2"/>
  <c r="Q5389" i="2"/>
  <c r="Q5388" i="2"/>
  <c r="R5388" i="2" s="1"/>
  <c r="R5387" i="2"/>
  <c r="Q5387" i="2"/>
  <c r="Q5386" i="2"/>
  <c r="R5386" i="2" s="1"/>
  <c r="Q5385" i="2"/>
  <c r="R5385" i="2" s="1"/>
  <c r="Q5384" i="2"/>
  <c r="R5384" i="2" s="1"/>
  <c r="R5383" i="2"/>
  <c r="Q5383" i="2"/>
  <c r="Q5382" i="2"/>
  <c r="R5382" i="2" s="1"/>
  <c r="Q5381" i="2"/>
  <c r="R5381" i="2" s="1"/>
  <c r="Q5380" i="2"/>
  <c r="R5380" i="2" s="1"/>
  <c r="Q5379" i="2"/>
  <c r="R5379" i="2" s="1"/>
  <c r="Q5378" i="2"/>
  <c r="R5378" i="2" s="1"/>
  <c r="R5377" i="2"/>
  <c r="Q5377" i="2"/>
  <c r="Q5376" i="2"/>
  <c r="R5376" i="2" s="1"/>
  <c r="R5375" i="2"/>
  <c r="Q5375" i="2"/>
  <c r="Q5374" i="2"/>
  <c r="R5374" i="2" s="1"/>
  <c r="Q5373" i="2"/>
  <c r="R5373" i="2" s="1"/>
  <c r="Q5372" i="2"/>
  <c r="R5372" i="2" s="1"/>
  <c r="Q5371" i="2"/>
  <c r="R5371" i="2" s="1"/>
  <c r="Q5370" i="2"/>
  <c r="R5370" i="2" s="1"/>
  <c r="Q5369" i="2"/>
  <c r="R5369" i="2" s="1"/>
  <c r="Q5368" i="2"/>
  <c r="R5368" i="2" s="1"/>
  <c r="Q5367" i="2"/>
  <c r="R5367" i="2" s="1"/>
  <c r="Q5366" i="2"/>
  <c r="R5366" i="2" s="1"/>
  <c r="R5365" i="2"/>
  <c r="Q5365" i="2"/>
  <c r="Q5364" i="2"/>
  <c r="R5364" i="2" s="1"/>
  <c r="Q5363" i="2"/>
  <c r="R5363" i="2" s="1"/>
  <c r="Q5362" i="2"/>
  <c r="R5362" i="2" s="1"/>
  <c r="R5361" i="2"/>
  <c r="Q5361" i="2"/>
  <c r="Q5360" i="2"/>
  <c r="R5360" i="2" s="1"/>
  <c r="R5359" i="2"/>
  <c r="Q5359" i="2"/>
  <c r="Q5358" i="2"/>
  <c r="R5358" i="2" s="1"/>
  <c r="R5357" i="2"/>
  <c r="Q5357" i="2"/>
  <c r="Q5356" i="2"/>
  <c r="R5356" i="2" s="1"/>
  <c r="R5355" i="2"/>
  <c r="Q5355" i="2"/>
  <c r="Q5354" i="2"/>
  <c r="R5354" i="2" s="1"/>
  <c r="Q5353" i="2"/>
  <c r="R5353" i="2" s="1"/>
  <c r="Q5352" i="2"/>
  <c r="R5352" i="2" s="1"/>
  <c r="R5351" i="2"/>
  <c r="Q5351" i="2"/>
  <c r="Q5350" i="2"/>
  <c r="R5350" i="2" s="1"/>
  <c r="Q5349" i="2"/>
  <c r="R5349" i="2" s="1"/>
  <c r="Q5348" i="2"/>
  <c r="R5348" i="2" s="1"/>
  <c r="Q5347" i="2"/>
  <c r="R5347" i="2" s="1"/>
  <c r="Q5346" i="2"/>
  <c r="R5346" i="2" s="1"/>
  <c r="R5345" i="2"/>
  <c r="Q5345" i="2"/>
  <c r="Q5344" i="2"/>
  <c r="R5344" i="2" s="1"/>
  <c r="R5343" i="2"/>
  <c r="Q5343" i="2"/>
  <c r="Q5342" i="2"/>
  <c r="R5342" i="2" s="1"/>
  <c r="Q5341" i="2"/>
  <c r="R5341" i="2" s="1"/>
  <c r="Q5340" i="2"/>
  <c r="R5340" i="2" s="1"/>
  <c r="Q5339" i="2"/>
  <c r="R5339" i="2" s="1"/>
  <c r="Q5338" i="2"/>
  <c r="R5338" i="2" s="1"/>
  <c r="Q5337" i="2"/>
  <c r="R5337" i="2" s="1"/>
  <c r="Q5336" i="2"/>
  <c r="R5336" i="2" s="1"/>
  <c r="Q5335" i="2"/>
  <c r="R5335" i="2" s="1"/>
  <c r="Q5334" i="2"/>
  <c r="R5334" i="2" s="1"/>
  <c r="R5333" i="2"/>
  <c r="Q5333" i="2"/>
  <c r="Q5332" i="2"/>
  <c r="R5332" i="2" s="1"/>
  <c r="Q5331" i="2"/>
  <c r="R5331" i="2" s="1"/>
  <c r="Q5330" i="2"/>
  <c r="R5330" i="2" s="1"/>
  <c r="R5329" i="2"/>
  <c r="Q5329" i="2"/>
  <c r="Q5328" i="2"/>
  <c r="R5328" i="2" s="1"/>
  <c r="R5327" i="2"/>
  <c r="Q5327" i="2"/>
  <c r="Q5326" i="2"/>
  <c r="R5326" i="2" s="1"/>
  <c r="R5325" i="2"/>
  <c r="Q5325" i="2"/>
  <c r="Q5324" i="2"/>
  <c r="R5324" i="2" s="1"/>
  <c r="R5323" i="2"/>
  <c r="Q5323" i="2"/>
  <c r="Q5322" i="2"/>
  <c r="R5322" i="2" s="1"/>
  <c r="Q5321" i="2"/>
  <c r="R5321" i="2" s="1"/>
  <c r="Q5320" i="2"/>
  <c r="R5320" i="2" s="1"/>
  <c r="R5319" i="2"/>
  <c r="Q5319" i="2"/>
  <c r="Q5318" i="2"/>
  <c r="R5318" i="2" s="1"/>
  <c r="Q5317" i="2"/>
  <c r="R5317" i="2" s="1"/>
  <c r="Q5316" i="2"/>
  <c r="R5316" i="2" s="1"/>
  <c r="Q5315" i="2"/>
  <c r="R5315" i="2" s="1"/>
  <c r="Q5314" i="2"/>
  <c r="R5314" i="2" s="1"/>
  <c r="R5313" i="2"/>
  <c r="Q5313" i="2"/>
  <c r="Q5312" i="2"/>
  <c r="R5312" i="2" s="1"/>
  <c r="R5311" i="2"/>
  <c r="Q5311" i="2"/>
  <c r="Q5310" i="2"/>
  <c r="R5310" i="2" s="1"/>
  <c r="Q5309" i="2"/>
  <c r="R5309" i="2" s="1"/>
  <c r="Q5308" i="2"/>
  <c r="R5308" i="2" s="1"/>
  <c r="Q5307" i="2"/>
  <c r="R5307" i="2" s="1"/>
  <c r="Q5306" i="2"/>
  <c r="R5306" i="2" s="1"/>
  <c r="Q5305" i="2"/>
  <c r="R5305" i="2" s="1"/>
  <c r="Q5304" i="2"/>
  <c r="R5304" i="2" s="1"/>
  <c r="Q5303" i="2"/>
  <c r="R5303" i="2" s="1"/>
  <c r="Q5302" i="2"/>
  <c r="R5302" i="2" s="1"/>
  <c r="R5301" i="2"/>
  <c r="Q5301" i="2"/>
  <c r="Q5300" i="2"/>
  <c r="R5300" i="2" s="1"/>
  <c r="Q5299" i="2"/>
  <c r="R5299" i="2" s="1"/>
  <c r="Q5298" i="2"/>
  <c r="R5298" i="2" s="1"/>
  <c r="R5297" i="2"/>
  <c r="Q5297" i="2"/>
  <c r="Q5296" i="2"/>
  <c r="R5296" i="2" s="1"/>
  <c r="R5295" i="2"/>
  <c r="Q5295" i="2"/>
  <c r="Q5294" i="2"/>
  <c r="R5294" i="2" s="1"/>
  <c r="R5293" i="2"/>
  <c r="Q5293" i="2"/>
  <c r="Q5292" i="2"/>
  <c r="R5292" i="2" s="1"/>
  <c r="R5291" i="2"/>
  <c r="Q5291" i="2"/>
  <c r="Q5290" i="2"/>
  <c r="R5290" i="2" s="1"/>
  <c r="Q5289" i="2"/>
  <c r="R5289" i="2" s="1"/>
  <c r="Q5288" i="2"/>
  <c r="R5288" i="2" s="1"/>
  <c r="R5287" i="2"/>
  <c r="Q5287" i="2"/>
  <c r="Q5286" i="2"/>
  <c r="R5286" i="2" s="1"/>
  <c r="Q5285" i="2"/>
  <c r="R5285" i="2" s="1"/>
  <c r="Q5284" i="2"/>
  <c r="R5284" i="2" s="1"/>
  <c r="Q5283" i="2"/>
  <c r="R5283" i="2" s="1"/>
  <c r="Q5282" i="2"/>
  <c r="R5282" i="2" s="1"/>
  <c r="R5281" i="2"/>
  <c r="Q5281" i="2"/>
  <c r="Q5280" i="2"/>
  <c r="R5280" i="2" s="1"/>
  <c r="R5279" i="2"/>
  <c r="Q5279" i="2"/>
  <c r="Q5278" i="2"/>
  <c r="R5278" i="2" s="1"/>
  <c r="Q5277" i="2"/>
  <c r="R5277" i="2" s="1"/>
  <c r="Q5276" i="2"/>
  <c r="R5276" i="2" s="1"/>
  <c r="Q5275" i="2"/>
  <c r="R5275" i="2" s="1"/>
  <c r="Q5274" i="2"/>
  <c r="R5274" i="2" s="1"/>
  <c r="R5273" i="2"/>
  <c r="Q5273" i="2"/>
  <c r="Q5272" i="2"/>
  <c r="R5272" i="2" s="1"/>
  <c r="Q5271" i="2"/>
  <c r="R5271" i="2" s="1"/>
  <c r="Q5270" i="2"/>
  <c r="R5270" i="2" s="1"/>
  <c r="R5269" i="2"/>
  <c r="Q5269" i="2"/>
  <c r="Q5268" i="2"/>
  <c r="R5268" i="2" s="1"/>
  <c r="Q5267" i="2"/>
  <c r="R5267" i="2" s="1"/>
  <c r="Q5266" i="2"/>
  <c r="R5266" i="2" s="1"/>
  <c r="R5265" i="2"/>
  <c r="Q5265" i="2"/>
  <c r="Q5264" i="2"/>
  <c r="R5264" i="2" s="1"/>
  <c r="R5263" i="2"/>
  <c r="Q5263" i="2"/>
  <c r="Q5262" i="2"/>
  <c r="R5262" i="2" s="1"/>
  <c r="R5261" i="2"/>
  <c r="Q5261" i="2"/>
  <c r="Q5260" i="2"/>
  <c r="R5260" i="2" s="1"/>
  <c r="R5259" i="2"/>
  <c r="Q5259" i="2"/>
  <c r="Q5258" i="2"/>
  <c r="R5258" i="2" s="1"/>
  <c r="Q5257" i="2"/>
  <c r="R5257" i="2" s="1"/>
  <c r="Q5256" i="2"/>
  <c r="R5256" i="2" s="1"/>
  <c r="R5255" i="2"/>
  <c r="Q5255" i="2"/>
  <c r="Q5254" i="2"/>
  <c r="R5254" i="2" s="1"/>
  <c r="Q5253" i="2"/>
  <c r="R5253" i="2" s="1"/>
  <c r="Q5252" i="2"/>
  <c r="R5252" i="2" s="1"/>
  <c r="Q5251" i="2"/>
  <c r="R5251" i="2" s="1"/>
  <c r="Q5250" i="2"/>
  <c r="R5250" i="2" s="1"/>
  <c r="R5249" i="2"/>
  <c r="Q5249" i="2"/>
  <c r="Q5248" i="2"/>
  <c r="R5248" i="2" s="1"/>
  <c r="R5247" i="2"/>
  <c r="Q5247" i="2"/>
  <c r="Q5246" i="2"/>
  <c r="R5246" i="2" s="1"/>
  <c r="Q5245" i="2"/>
  <c r="R5245" i="2" s="1"/>
  <c r="Q5244" i="2"/>
  <c r="R5244" i="2" s="1"/>
  <c r="Q5243" i="2"/>
  <c r="R5243" i="2" s="1"/>
  <c r="Q5242" i="2"/>
  <c r="R5242" i="2" s="1"/>
  <c r="R5241" i="2"/>
  <c r="Q5241" i="2"/>
  <c r="Q5240" i="2"/>
  <c r="R5240" i="2" s="1"/>
  <c r="Q5239" i="2"/>
  <c r="R5239" i="2" s="1"/>
  <c r="Q5238" i="2"/>
  <c r="R5238" i="2" s="1"/>
  <c r="R5237" i="2"/>
  <c r="Q5237" i="2"/>
  <c r="Q5236" i="2"/>
  <c r="R5236" i="2" s="1"/>
  <c r="Q5235" i="2"/>
  <c r="R5235" i="2" s="1"/>
  <c r="Q5234" i="2"/>
  <c r="R5234" i="2" s="1"/>
  <c r="R5233" i="2"/>
  <c r="Q5233" i="2"/>
  <c r="Q5232" i="2"/>
  <c r="R5232" i="2" s="1"/>
  <c r="R5231" i="2"/>
  <c r="Q5231" i="2"/>
  <c r="Q5230" i="2"/>
  <c r="R5230" i="2" s="1"/>
  <c r="R5229" i="2"/>
  <c r="Q5229" i="2"/>
  <c r="Q5228" i="2"/>
  <c r="R5228" i="2" s="1"/>
  <c r="R5227" i="2"/>
  <c r="Q5227" i="2"/>
  <c r="Q5226" i="2"/>
  <c r="R5226" i="2" s="1"/>
  <c r="Q5225" i="2"/>
  <c r="R5225" i="2" s="1"/>
  <c r="Q5224" i="2"/>
  <c r="R5224" i="2" s="1"/>
  <c r="R5223" i="2"/>
  <c r="Q5223" i="2"/>
  <c r="Q5222" i="2"/>
  <c r="R5222" i="2" s="1"/>
  <c r="Q5221" i="2"/>
  <c r="R5221" i="2" s="1"/>
  <c r="Q5220" i="2"/>
  <c r="R5220" i="2" s="1"/>
  <c r="Q5219" i="2"/>
  <c r="R5219" i="2" s="1"/>
  <c r="Q5218" i="2"/>
  <c r="R5218" i="2" s="1"/>
  <c r="R5217" i="2"/>
  <c r="Q5217" i="2"/>
  <c r="Q5216" i="2"/>
  <c r="R5216" i="2" s="1"/>
  <c r="R5215" i="2"/>
  <c r="Q5215" i="2"/>
  <c r="Q5214" i="2"/>
  <c r="R5214" i="2" s="1"/>
  <c r="Q5213" i="2"/>
  <c r="R5213" i="2" s="1"/>
  <c r="Q5212" i="2"/>
  <c r="R5212" i="2" s="1"/>
  <c r="Q5211" i="2"/>
  <c r="R5211" i="2" s="1"/>
  <c r="Q5210" i="2"/>
  <c r="R5210" i="2" s="1"/>
  <c r="R5209" i="2"/>
  <c r="Q5209" i="2"/>
  <c r="Q5208" i="2"/>
  <c r="R5208" i="2" s="1"/>
  <c r="Q5207" i="2"/>
  <c r="R5207" i="2" s="1"/>
  <c r="Q5206" i="2"/>
  <c r="R5206" i="2" s="1"/>
  <c r="R5205" i="2"/>
  <c r="Q5205" i="2"/>
  <c r="Q5204" i="2"/>
  <c r="R5204" i="2" s="1"/>
  <c r="Q5203" i="2"/>
  <c r="R5203" i="2" s="1"/>
  <c r="Q5202" i="2"/>
  <c r="R5202" i="2" s="1"/>
  <c r="R5201" i="2"/>
  <c r="Q5201" i="2"/>
  <c r="Q5200" i="2"/>
  <c r="R5200" i="2" s="1"/>
  <c r="R5199" i="2"/>
  <c r="Q5199" i="2"/>
  <c r="Q5198" i="2"/>
  <c r="R5198" i="2" s="1"/>
  <c r="R5197" i="2"/>
  <c r="Q5197" i="2"/>
  <c r="Q5196" i="2"/>
  <c r="R5196" i="2" s="1"/>
  <c r="Q5195" i="2"/>
  <c r="R5195" i="2" s="1"/>
  <c r="Q5194" i="2"/>
  <c r="R5194" i="2" s="1"/>
  <c r="Q5193" i="2"/>
  <c r="R5193" i="2" s="1"/>
  <c r="Q5192" i="2"/>
  <c r="R5192" i="2" s="1"/>
  <c r="R5191" i="2"/>
  <c r="Q5191" i="2"/>
  <c r="Q5190" i="2"/>
  <c r="R5190" i="2" s="1"/>
  <c r="Q5189" i="2"/>
  <c r="R5189" i="2" s="1"/>
  <c r="Q5188" i="2"/>
  <c r="R5188" i="2" s="1"/>
  <c r="Q5187" i="2"/>
  <c r="R5187" i="2" s="1"/>
  <c r="Q5186" i="2"/>
  <c r="R5186" i="2" s="1"/>
  <c r="R5185" i="2"/>
  <c r="Q5185" i="2"/>
  <c r="Q5184" i="2"/>
  <c r="R5184" i="2" s="1"/>
  <c r="R5183" i="2"/>
  <c r="Q5183" i="2"/>
  <c r="Q5182" i="2"/>
  <c r="R5182" i="2" s="1"/>
  <c r="Q5181" i="2"/>
  <c r="R5181" i="2" s="1"/>
  <c r="Q5180" i="2"/>
  <c r="R5180" i="2" s="1"/>
  <c r="Q5179" i="2"/>
  <c r="R5179" i="2" s="1"/>
  <c r="Q5178" i="2"/>
  <c r="R5178" i="2" s="1"/>
  <c r="R5177" i="2"/>
  <c r="Q5177" i="2"/>
  <c r="Q5176" i="2"/>
  <c r="R5176" i="2" s="1"/>
  <c r="Q5175" i="2"/>
  <c r="R5175" i="2" s="1"/>
  <c r="Q5174" i="2"/>
  <c r="R5174" i="2" s="1"/>
  <c r="R5173" i="2"/>
  <c r="Q5173" i="2"/>
  <c r="Q5172" i="2"/>
  <c r="R5172" i="2" s="1"/>
  <c r="Q5171" i="2"/>
  <c r="R5171" i="2" s="1"/>
  <c r="Q5170" i="2"/>
  <c r="R5170" i="2" s="1"/>
  <c r="R5169" i="2"/>
  <c r="Q5169" i="2"/>
  <c r="Q5168" i="2"/>
  <c r="R5168" i="2" s="1"/>
  <c r="R5167" i="2"/>
  <c r="Q5167" i="2"/>
  <c r="Q5166" i="2"/>
  <c r="R5166" i="2" s="1"/>
  <c r="R5165" i="2"/>
  <c r="Q5165" i="2"/>
  <c r="Q5164" i="2"/>
  <c r="R5164" i="2" s="1"/>
  <c r="Q5163" i="2"/>
  <c r="R5163" i="2" s="1"/>
  <c r="Q5162" i="2"/>
  <c r="R5162" i="2" s="1"/>
  <c r="Q5161" i="2"/>
  <c r="R5161" i="2" s="1"/>
  <c r="Q5160" i="2"/>
  <c r="R5160" i="2" s="1"/>
  <c r="R5159" i="2"/>
  <c r="Q5159" i="2"/>
  <c r="Q5158" i="2"/>
  <c r="R5158" i="2" s="1"/>
  <c r="Q5157" i="2"/>
  <c r="R5157" i="2" s="1"/>
  <c r="Q5156" i="2"/>
  <c r="R5156" i="2" s="1"/>
  <c r="Q5155" i="2"/>
  <c r="R5155" i="2" s="1"/>
  <c r="Q5154" i="2"/>
  <c r="R5154" i="2" s="1"/>
  <c r="R5153" i="2"/>
  <c r="Q5153" i="2"/>
  <c r="Q5152" i="2"/>
  <c r="R5152" i="2" s="1"/>
  <c r="R5151" i="2"/>
  <c r="Q5151" i="2"/>
  <c r="Q5150" i="2"/>
  <c r="R5150" i="2" s="1"/>
  <c r="Q5149" i="2"/>
  <c r="R5149" i="2" s="1"/>
  <c r="Q5148" i="2"/>
  <c r="R5148" i="2" s="1"/>
  <c r="Q5147" i="2"/>
  <c r="R5147" i="2" s="1"/>
  <c r="Q5146" i="2"/>
  <c r="R5146" i="2" s="1"/>
  <c r="R5145" i="2"/>
  <c r="Q5145" i="2"/>
  <c r="Q5144" i="2"/>
  <c r="R5144" i="2" s="1"/>
  <c r="Q5143" i="2"/>
  <c r="R5143" i="2" s="1"/>
  <c r="Q5142" i="2"/>
  <c r="R5142" i="2" s="1"/>
  <c r="R5141" i="2"/>
  <c r="Q5141" i="2"/>
  <c r="Q5140" i="2"/>
  <c r="R5140" i="2" s="1"/>
  <c r="Q5139" i="2"/>
  <c r="R5139" i="2" s="1"/>
  <c r="Q5138" i="2"/>
  <c r="R5138" i="2" s="1"/>
  <c r="R5137" i="2"/>
  <c r="Q5137" i="2"/>
  <c r="Q5136" i="2"/>
  <c r="R5136" i="2" s="1"/>
  <c r="R5135" i="2"/>
  <c r="Q5135" i="2"/>
  <c r="Q5134" i="2"/>
  <c r="R5134" i="2" s="1"/>
  <c r="R5133" i="2"/>
  <c r="Q5133" i="2"/>
  <c r="Q5132" i="2"/>
  <c r="R5132" i="2" s="1"/>
  <c r="Q5131" i="2"/>
  <c r="R5131" i="2" s="1"/>
  <c r="Q5130" i="2"/>
  <c r="R5130" i="2" s="1"/>
  <c r="Q5129" i="2"/>
  <c r="R5129" i="2" s="1"/>
  <c r="Q5128" i="2"/>
  <c r="R5128" i="2" s="1"/>
  <c r="R5127" i="2"/>
  <c r="Q5127" i="2"/>
  <c r="Q5126" i="2"/>
  <c r="R5126" i="2" s="1"/>
  <c r="Q5125" i="2"/>
  <c r="R5125" i="2" s="1"/>
  <c r="Q5124" i="2"/>
  <c r="R5124" i="2" s="1"/>
  <c r="Q5123" i="2"/>
  <c r="R5123" i="2" s="1"/>
  <c r="Q5122" i="2"/>
  <c r="R5122" i="2" s="1"/>
  <c r="R5121" i="2"/>
  <c r="Q5121" i="2"/>
  <c r="Q5120" i="2"/>
  <c r="R5120" i="2" s="1"/>
  <c r="R5119" i="2"/>
  <c r="Q5119" i="2"/>
  <c r="Q5118" i="2"/>
  <c r="R5118" i="2" s="1"/>
  <c r="Q5117" i="2"/>
  <c r="R5117" i="2" s="1"/>
  <c r="Q5116" i="2"/>
  <c r="R5116" i="2" s="1"/>
  <c r="Q5115" i="2"/>
  <c r="R5115" i="2" s="1"/>
  <c r="Q5114" i="2"/>
  <c r="R5114" i="2" s="1"/>
  <c r="R5113" i="2"/>
  <c r="Q5113" i="2"/>
  <c r="Q5112" i="2"/>
  <c r="R5112" i="2" s="1"/>
  <c r="Q5111" i="2"/>
  <c r="R5111" i="2" s="1"/>
  <c r="Q5110" i="2"/>
  <c r="R5110" i="2" s="1"/>
  <c r="R5109" i="2"/>
  <c r="Q5109" i="2"/>
  <c r="Q5108" i="2"/>
  <c r="R5108" i="2" s="1"/>
  <c r="Q5107" i="2"/>
  <c r="R5107" i="2" s="1"/>
  <c r="Q5106" i="2"/>
  <c r="R5106" i="2" s="1"/>
  <c r="R5105" i="2"/>
  <c r="Q5105" i="2"/>
  <c r="Q5104" i="2"/>
  <c r="R5104" i="2" s="1"/>
  <c r="R5103" i="2"/>
  <c r="Q5103" i="2"/>
  <c r="Q5102" i="2"/>
  <c r="R5102" i="2" s="1"/>
  <c r="R5101" i="2"/>
  <c r="Q5101" i="2"/>
  <c r="Q5100" i="2"/>
  <c r="R5100" i="2" s="1"/>
  <c r="Q5099" i="2"/>
  <c r="R5099" i="2" s="1"/>
  <c r="Q5098" i="2"/>
  <c r="R5098" i="2" s="1"/>
  <c r="Q5097" i="2"/>
  <c r="R5097" i="2" s="1"/>
  <c r="Q5096" i="2"/>
  <c r="R5096" i="2" s="1"/>
  <c r="R5095" i="2"/>
  <c r="Q5095" i="2"/>
  <c r="Q5094" i="2"/>
  <c r="R5094" i="2" s="1"/>
  <c r="Q5093" i="2"/>
  <c r="R5093" i="2" s="1"/>
  <c r="Q5092" i="2"/>
  <c r="R5092" i="2" s="1"/>
  <c r="Q5091" i="2"/>
  <c r="R5091" i="2" s="1"/>
  <c r="Q5090" i="2"/>
  <c r="R5090" i="2" s="1"/>
  <c r="R5089" i="2"/>
  <c r="Q5089" i="2"/>
  <c r="Q5088" i="2"/>
  <c r="R5088" i="2" s="1"/>
  <c r="R5087" i="2"/>
  <c r="Q5087" i="2"/>
  <c r="Q5086" i="2"/>
  <c r="R5086" i="2" s="1"/>
  <c r="Q5085" i="2"/>
  <c r="R5085" i="2" s="1"/>
  <c r="Q5084" i="2"/>
  <c r="R5084" i="2" s="1"/>
  <c r="Q5083" i="2"/>
  <c r="R5083" i="2" s="1"/>
  <c r="Q5082" i="2"/>
  <c r="R5082" i="2" s="1"/>
  <c r="R5081" i="2"/>
  <c r="Q5081" i="2"/>
  <c r="Q5080" i="2"/>
  <c r="R5080" i="2" s="1"/>
  <c r="Q5079" i="2"/>
  <c r="R5079" i="2" s="1"/>
  <c r="Q5078" i="2"/>
  <c r="R5078" i="2" s="1"/>
  <c r="R5077" i="2"/>
  <c r="Q5077" i="2"/>
  <c r="Q5076" i="2"/>
  <c r="R5076" i="2" s="1"/>
  <c r="Q5075" i="2"/>
  <c r="R5075" i="2" s="1"/>
  <c r="Q5074" i="2"/>
  <c r="R5074" i="2" s="1"/>
  <c r="R5073" i="2"/>
  <c r="Q5073" i="2"/>
  <c r="Q5072" i="2"/>
  <c r="R5072" i="2" s="1"/>
  <c r="R5071" i="2"/>
  <c r="Q5071" i="2"/>
  <c r="Q5070" i="2"/>
  <c r="R5070" i="2" s="1"/>
  <c r="R5069" i="2"/>
  <c r="Q5069" i="2"/>
  <c r="Q5068" i="2"/>
  <c r="R5068" i="2" s="1"/>
  <c r="Q5067" i="2"/>
  <c r="R5067" i="2" s="1"/>
  <c r="Q5066" i="2"/>
  <c r="R5066" i="2" s="1"/>
  <c r="Q5065" i="2"/>
  <c r="R5065" i="2" s="1"/>
  <c r="Q5064" i="2"/>
  <c r="R5064" i="2" s="1"/>
  <c r="R5063" i="2"/>
  <c r="Q5063" i="2"/>
  <c r="Q5062" i="2"/>
  <c r="R5062" i="2" s="1"/>
  <c r="Q5061" i="2"/>
  <c r="R5061" i="2" s="1"/>
  <c r="Q5060" i="2"/>
  <c r="R5060" i="2" s="1"/>
  <c r="Q5059" i="2"/>
  <c r="R5059" i="2" s="1"/>
  <c r="Q5058" i="2"/>
  <c r="R5058" i="2" s="1"/>
  <c r="R5057" i="2"/>
  <c r="Q5057" i="2"/>
  <c r="Q5056" i="2"/>
  <c r="R5056" i="2" s="1"/>
  <c r="R5055" i="2"/>
  <c r="Q5055" i="2"/>
  <c r="Q5054" i="2"/>
  <c r="R5054" i="2" s="1"/>
  <c r="Q5053" i="2"/>
  <c r="R5053" i="2" s="1"/>
  <c r="Q5052" i="2"/>
  <c r="R5052" i="2" s="1"/>
  <c r="Q5051" i="2"/>
  <c r="R5051" i="2" s="1"/>
  <c r="Q5050" i="2"/>
  <c r="R5050" i="2" s="1"/>
  <c r="R5049" i="2"/>
  <c r="Q5049" i="2"/>
  <c r="Q5048" i="2"/>
  <c r="R5048" i="2" s="1"/>
  <c r="Q5047" i="2"/>
  <c r="R5047" i="2" s="1"/>
  <c r="Q5046" i="2"/>
  <c r="R5046" i="2" s="1"/>
  <c r="R5045" i="2"/>
  <c r="Q5045" i="2"/>
  <c r="Q5044" i="2"/>
  <c r="R5044" i="2" s="1"/>
  <c r="Q5043" i="2"/>
  <c r="R5043" i="2" s="1"/>
  <c r="Q5042" i="2"/>
  <c r="R5042" i="2" s="1"/>
  <c r="R5041" i="2"/>
  <c r="Q5041" i="2"/>
  <c r="Q5040" i="2"/>
  <c r="R5040" i="2" s="1"/>
  <c r="R5039" i="2"/>
  <c r="Q5039" i="2"/>
  <c r="Q5038" i="2"/>
  <c r="R5038" i="2" s="1"/>
  <c r="R5037" i="2"/>
  <c r="Q5037" i="2"/>
  <c r="Q5036" i="2"/>
  <c r="R5036" i="2" s="1"/>
  <c r="Q5035" i="2"/>
  <c r="R5035" i="2" s="1"/>
  <c r="Q5034" i="2"/>
  <c r="R5034" i="2" s="1"/>
  <c r="Q5033" i="2"/>
  <c r="R5033" i="2" s="1"/>
  <c r="Q5032" i="2"/>
  <c r="R5032" i="2" s="1"/>
  <c r="R5031" i="2"/>
  <c r="Q5031" i="2"/>
  <c r="Q5030" i="2"/>
  <c r="R5030" i="2" s="1"/>
  <c r="Q5029" i="2"/>
  <c r="R5029" i="2" s="1"/>
  <c r="Q5028" i="2"/>
  <c r="R5028" i="2" s="1"/>
  <c r="Q5027" i="2"/>
  <c r="R5027" i="2" s="1"/>
  <c r="Q5026" i="2"/>
  <c r="R5026" i="2" s="1"/>
  <c r="R5025" i="2"/>
  <c r="Q5025" i="2"/>
  <c r="Q5024" i="2"/>
  <c r="R5024" i="2" s="1"/>
  <c r="R5023" i="2"/>
  <c r="Q5023" i="2"/>
  <c r="Q5022" i="2"/>
  <c r="R5022" i="2" s="1"/>
  <c r="Q5021" i="2"/>
  <c r="R5021" i="2" s="1"/>
  <c r="Q5020" i="2"/>
  <c r="R5020" i="2" s="1"/>
  <c r="Q5019" i="2"/>
  <c r="R5019" i="2" s="1"/>
  <c r="Q5018" i="2"/>
  <c r="R5018" i="2" s="1"/>
  <c r="R5017" i="2"/>
  <c r="Q5017" i="2"/>
  <c r="Q5016" i="2"/>
  <c r="R5016" i="2" s="1"/>
  <c r="Q5015" i="2"/>
  <c r="R5015" i="2" s="1"/>
  <c r="Q5014" i="2"/>
  <c r="R5014" i="2" s="1"/>
  <c r="R5013" i="2"/>
  <c r="Q5013" i="2"/>
  <c r="Q5012" i="2"/>
  <c r="R5012" i="2" s="1"/>
  <c r="Q5011" i="2"/>
  <c r="R5011" i="2" s="1"/>
  <c r="Q5010" i="2"/>
  <c r="R5010" i="2" s="1"/>
  <c r="R5009" i="2"/>
  <c r="Q5009" i="2"/>
  <c r="Q5008" i="2"/>
  <c r="R5008" i="2" s="1"/>
  <c r="R5007" i="2"/>
  <c r="Q5007" i="2"/>
  <c r="Q5006" i="2"/>
  <c r="R5006" i="2" s="1"/>
  <c r="R5005" i="2"/>
  <c r="Q5005" i="2"/>
  <c r="Q5004" i="2"/>
  <c r="R5004" i="2" s="1"/>
  <c r="Q5003" i="2"/>
  <c r="R5003" i="2" s="1"/>
  <c r="Q5002" i="2"/>
  <c r="R5002" i="2" s="1"/>
  <c r="Q5001" i="2"/>
  <c r="R5001" i="2" s="1"/>
  <c r="Q5000" i="2"/>
  <c r="R5000" i="2" s="1"/>
  <c r="R4999" i="2"/>
  <c r="Q4999" i="2"/>
  <c r="Q4998" i="2"/>
  <c r="R4998" i="2" s="1"/>
  <c r="Q4997" i="2"/>
  <c r="R4997" i="2" s="1"/>
  <c r="Q4996" i="2"/>
  <c r="R4996" i="2" s="1"/>
  <c r="Q4995" i="2"/>
  <c r="R4995" i="2" s="1"/>
  <c r="Q4994" i="2"/>
  <c r="R4994" i="2" s="1"/>
  <c r="R4993" i="2"/>
  <c r="Q4993" i="2"/>
  <c r="Q4992" i="2"/>
  <c r="R4992" i="2" s="1"/>
  <c r="R4991" i="2"/>
  <c r="Q4991" i="2"/>
  <c r="Q4990" i="2"/>
  <c r="R4990" i="2" s="1"/>
  <c r="Q4989" i="2"/>
  <c r="R4989" i="2" s="1"/>
  <c r="Q4988" i="2"/>
  <c r="R4988" i="2" s="1"/>
  <c r="Q4987" i="2"/>
  <c r="R4987" i="2" s="1"/>
  <c r="Q4986" i="2"/>
  <c r="R4986" i="2" s="1"/>
  <c r="R4985" i="2"/>
  <c r="Q4985" i="2"/>
  <c r="Q4984" i="2"/>
  <c r="R4984" i="2" s="1"/>
  <c r="Q4983" i="2"/>
  <c r="R4983" i="2" s="1"/>
  <c r="Q4982" i="2"/>
  <c r="R4982" i="2" s="1"/>
  <c r="R4981" i="2"/>
  <c r="Q4981" i="2"/>
  <c r="Q4980" i="2"/>
  <c r="R4980" i="2" s="1"/>
  <c r="Q4979" i="2"/>
  <c r="R4979" i="2" s="1"/>
  <c r="Q4978" i="2"/>
  <c r="R4978" i="2" s="1"/>
  <c r="R4977" i="2"/>
  <c r="Q4977" i="2"/>
  <c r="Q4976" i="2"/>
  <c r="R4976" i="2" s="1"/>
  <c r="R4975" i="2"/>
  <c r="Q4975" i="2"/>
  <c r="Q4974" i="2"/>
  <c r="R4974" i="2" s="1"/>
  <c r="R4973" i="2"/>
  <c r="Q4973" i="2"/>
  <c r="Q4972" i="2"/>
  <c r="R4972" i="2" s="1"/>
  <c r="Q4971" i="2"/>
  <c r="R4971" i="2" s="1"/>
  <c r="Q4970" i="2"/>
  <c r="R4970" i="2" s="1"/>
  <c r="Q4969" i="2"/>
  <c r="R4969" i="2" s="1"/>
  <c r="Q4968" i="2"/>
  <c r="R4968" i="2" s="1"/>
  <c r="R4967" i="2"/>
  <c r="Q4967" i="2"/>
  <c r="Q4966" i="2"/>
  <c r="R4966" i="2" s="1"/>
  <c r="Q4965" i="2"/>
  <c r="R4965" i="2" s="1"/>
  <c r="Q4964" i="2"/>
  <c r="R4964" i="2" s="1"/>
  <c r="Q4963" i="2"/>
  <c r="R4963" i="2" s="1"/>
  <c r="Q4962" i="2"/>
  <c r="R4962" i="2" s="1"/>
  <c r="R4961" i="2"/>
  <c r="Q4961" i="2"/>
  <c r="Q4960" i="2"/>
  <c r="R4960" i="2" s="1"/>
  <c r="R4959" i="2"/>
  <c r="Q4959" i="2"/>
  <c r="Q4958" i="2"/>
  <c r="R4958" i="2" s="1"/>
  <c r="Q4957" i="2"/>
  <c r="R4957" i="2" s="1"/>
  <c r="Q4956" i="2"/>
  <c r="R4956" i="2" s="1"/>
  <c r="Q4955" i="2"/>
  <c r="R4955" i="2" s="1"/>
  <c r="Q4954" i="2"/>
  <c r="R4954" i="2" s="1"/>
  <c r="R4953" i="2"/>
  <c r="Q4953" i="2"/>
  <c r="Q4952" i="2"/>
  <c r="R4952" i="2" s="1"/>
  <c r="Q4951" i="2"/>
  <c r="R4951" i="2" s="1"/>
  <c r="Q4950" i="2"/>
  <c r="R4950" i="2" s="1"/>
  <c r="R4949" i="2"/>
  <c r="Q4949" i="2"/>
  <c r="Q4948" i="2"/>
  <c r="R4948" i="2" s="1"/>
  <c r="Q4947" i="2"/>
  <c r="R4947" i="2" s="1"/>
  <c r="Q4946" i="2"/>
  <c r="R4946" i="2" s="1"/>
  <c r="R4945" i="2"/>
  <c r="Q4945" i="2"/>
  <c r="Q4944" i="2"/>
  <c r="R4944" i="2" s="1"/>
  <c r="R4943" i="2"/>
  <c r="Q4943" i="2"/>
  <c r="Q4942" i="2"/>
  <c r="R4942" i="2" s="1"/>
  <c r="R4941" i="2"/>
  <c r="Q4941" i="2"/>
  <c r="Q4940" i="2"/>
  <c r="R4940" i="2" s="1"/>
  <c r="Q4939" i="2"/>
  <c r="R4939" i="2" s="1"/>
  <c r="Q4938" i="2"/>
  <c r="R4938" i="2" s="1"/>
  <c r="Q4937" i="2"/>
  <c r="R4937" i="2" s="1"/>
  <c r="Q4936" i="2"/>
  <c r="R4936" i="2" s="1"/>
  <c r="R4935" i="2"/>
  <c r="Q4935" i="2"/>
  <c r="Q4934" i="2"/>
  <c r="R4934" i="2" s="1"/>
  <c r="Q4933" i="2"/>
  <c r="R4933" i="2" s="1"/>
  <c r="Q4932" i="2"/>
  <c r="R4932" i="2" s="1"/>
  <c r="Q4931" i="2"/>
  <c r="R4931" i="2" s="1"/>
  <c r="Q4930" i="2"/>
  <c r="R4930" i="2" s="1"/>
  <c r="R4929" i="2"/>
  <c r="Q4929" i="2"/>
  <c r="Q4928" i="2"/>
  <c r="R4928" i="2" s="1"/>
  <c r="R4927" i="2"/>
  <c r="Q4927" i="2"/>
  <c r="Q4926" i="2"/>
  <c r="R4926" i="2" s="1"/>
  <c r="Q4925" i="2"/>
  <c r="R4925" i="2" s="1"/>
  <c r="Q4924" i="2"/>
  <c r="R4924" i="2" s="1"/>
  <c r="Q4923" i="2"/>
  <c r="R4923" i="2" s="1"/>
  <c r="Q4922" i="2"/>
  <c r="R4922" i="2" s="1"/>
  <c r="R4921" i="2"/>
  <c r="Q4921" i="2"/>
  <c r="Q4920" i="2"/>
  <c r="R4920" i="2" s="1"/>
  <c r="Q4919" i="2"/>
  <c r="R4919" i="2" s="1"/>
  <c r="Q4918" i="2"/>
  <c r="R4918" i="2" s="1"/>
  <c r="R4917" i="2"/>
  <c r="Q4917" i="2"/>
  <c r="Q4916" i="2"/>
  <c r="R4916" i="2" s="1"/>
  <c r="Q4915" i="2"/>
  <c r="R4915" i="2" s="1"/>
  <c r="Q4914" i="2"/>
  <c r="R4914" i="2" s="1"/>
  <c r="R4913" i="2"/>
  <c r="Q4913" i="2"/>
  <c r="Q4912" i="2"/>
  <c r="R4912" i="2" s="1"/>
  <c r="R4911" i="2"/>
  <c r="Q4911" i="2"/>
  <c r="Q4910" i="2"/>
  <c r="R4910" i="2" s="1"/>
  <c r="R4909" i="2"/>
  <c r="Q4909" i="2"/>
  <c r="M26" i="6" s="1"/>
  <c r="Q4908" i="2"/>
  <c r="R4908" i="2" s="1"/>
  <c r="Q4907" i="2"/>
  <c r="R4907" i="2" s="1"/>
  <c r="Q4906" i="2"/>
  <c r="R4906" i="2" s="1"/>
  <c r="Q4905" i="2"/>
  <c r="R4905" i="2" s="1"/>
  <c r="Q4904" i="2"/>
  <c r="R4904" i="2" s="1"/>
  <c r="R4903" i="2"/>
  <c r="Q4903" i="2"/>
  <c r="Q4902" i="2"/>
  <c r="R4902" i="2" s="1"/>
  <c r="Q4901" i="2"/>
  <c r="R4901" i="2" s="1"/>
  <c r="Q4900" i="2"/>
  <c r="R4900" i="2" s="1"/>
  <c r="Q4899" i="2"/>
  <c r="R4899" i="2" s="1"/>
  <c r="Q4898" i="2"/>
  <c r="R4898" i="2" s="1"/>
  <c r="R4897" i="2"/>
  <c r="Q4897" i="2"/>
  <c r="Q4896" i="2"/>
  <c r="R4896" i="2" s="1"/>
  <c r="R4895" i="2"/>
  <c r="Q4895" i="2"/>
  <c r="Q4894" i="2"/>
  <c r="R4894" i="2" s="1"/>
  <c r="Q4893" i="2"/>
  <c r="R4893" i="2" s="1"/>
  <c r="Q4892" i="2"/>
  <c r="R4892" i="2" s="1"/>
  <c r="Q4891" i="2"/>
  <c r="R4891" i="2" s="1"/>
  <c r="Q4890" i="2"/>
  <c r="R4890" i="2" s="1"/>
  <c r="R4889" i="2"/>
  <c r="Q4889" i="2"/>
  <c r="Q4888" i="2"/>
  <c r="R4888" i="2" s="1"/>
  <c r="Q4887" i="2"/>
  <c r="R4887" i="2" s="1"/>
  <c r="Q4886" i="2"/>
  <c r="R4886" i="2" s="1"/>
  <c r="R4885" i="2"/>
  <c r="Q4885" i="2"/>
  <c r="Q4884" i="2"/>
  <c r="R4884" i="2" s="1"/>
  <c r="Q4883" i="2"/>
  <c r="R4883" i="2" s="1"/>
  <c r="Q4882" i="2"/>
  <c r="R4882" i="2" s="1"/>
  <c r="R4881" i="2"/>
  <c r="Q4881" i="2"/>
  <c r="Q4880" i="2"/>
  <c r="R4880" i="2" s="1"/>
  <c r="R4879" i="2"/>
  <c r="Q4879" i="2"/>
  <c r="Q4878" i="2"/>
  <c r="R4878" i="2" s="1"/>
  <c r="Q4877" i="2"/>
  <c r="R4877" i="2" s="1"/>
  <c r="Q4876" i="2"/>
  <c r="R4876" i="2" s="1"/>
  <c r="Q4875" i="2"/>
  <c r="R4875" i="2" s="1"/>
  <c r="Q4874" i="2"/>
  <c r="R4874" i="2" s="1"/>
  <c r="Q4873" i="2"/>
  <c r="R4873" i="2" s="1"/>
  <c r="Q4872" i="2"/>
  <c r="R4872" i="2" s="1"/>
  <c r="R4871" i="2"/>
  <c r="Q4871" i="2"/>
  <c r="Q4870" i="2"/>
  <c r="R4870" i="2" s="1"/>
  <c r="Q4869" i="2"/>
  <c r="R4869" i="2" s="1"/>
  <c r="Q4868" i="2"/>
  <c r="R4868" i="2" s="1"/>
  <c r="Q4867" i="2"/>
  <c r="R4867" i="2" s="1"/>
  <c r="Q4866" i="2"/>
  <c r="R4866" i="2" s="1"/>
  <c r="R4865" i="2"/>
  <c r="Q4865" i="2"/>
  <c r="Q4864" i="2"/>
  <c r="R4864" i="2" s="1"/>
  <c r="R4863" i="2"/>
  <c r="Q4863" i="2"/>
  <c r="Q4862" i="2"/>
  <c r="R4862" i="2" s="1"/>
  <c r="Q4861" i="2"/>
  <c r="R4861" i="2" s="1"/>
  <c r="Q4860" i="2"/>
  <c r="R4860" i="2" s="1"/>
  <c r="Q4859" i="2"/>
  <c r="R4859" i="2" s="1"/>
  <c r="Q4858" i="2"/>
  <c r="R4858" i="2" s="1"/>
  <c r="R4857" i="2"/>
  <c r="Q4857" i="2"/>
  <c r="Q4856" i="2"/>
  <c r="R4856" i="2" s="1"/>
  <c r="Q4855" i="2"/>
  <c r="R4855" i="2" s="1"/>
  <c r="Q4854" i="2"/>
  <c r="R4854" i="2" s="1"/>
  <c r="R4853" i="2"/>
  <c r="Q4853" i="2"/>
  <c r="Q4852" i="2"/>
  <c r="R4852" i="2" s="1"/>
  <c r="Q4851" i="2"/>
  <c r="R4851" i="2" s="1"/>
  <c r="Q4850" i="2"/>
  <c r="R4850" i="2" s="1"/>
  <c r="R4849" i="2"/>
  <c r="Q4849" i="2"/>
  <c r="Q4848" i="2"/>
  <c r="R4848" i="2" s="1"/>
  <c r="R4847" i="2"/>
  <c r="Q4847" i="2"/>
  <c r="Q4846" i="2"/>
  <c r="R4846" i="2" s="1"/>
  <c r="Q4845" i="2"/>
  <c r="R4845" i="2" s="1"/>
  <c r="Q4844" i="2"/>
  <c r="R4844" i="2" s="1"/>
  <c r="Q4843" i="2"/>
  <c r="R4843" i="2" s="1"/>
  <c r="Q4842" i="2"/>
  <c r="R4842" i="2" s="1"/>
  <c r="Q4841" i="2"/>
  <c r="R4841" i="2" s="1"/>
  <c r="Q4840" i="2"/>
  <c r="R4840" i="2" s="1"/>
  <c r="R4839" i="2"/>
  <c r="Q4839" i="2"/>
  <c r="Q4838" i="2"/>
  <c r="R4838" i="2" s="1"/>
  <c r="Q4837" i="2"/>
  <c r="R4837" i="2" s="1"/>
  <c r="Q4836" i="2"/>
  <c r="R4836" i="2" s="1"/>
  <c r="Q4835" i="2"/>
  <c r="R4835" i="2" s="1"/>
  <c r="Q4834" i="2"/>
  <c r="R4834" i="2" s="1"/>
  <c r="R4833" i="2"/>
  <c r="Q4833" i="2"/>
  <c r="Q4832" i="2"/>
  <c r="R4832" i="2" s="1"/>
  <c r="R4831" i="2"/>
  <c r="Q4831" i="2"/>
  <c r="Q4830" i="2"/>
  <c r="R4830" i="2" s="1"/>
  <c r="Q4829" i="2"/>
  <c r="R4829" i="2" s="1"/>
  <c r="Q4828" i="2"/>
  <c r="R4828" i="2" s="1"/>
  <c r="Q4827" i="2"/>
  <c r="R4827" i="2" s="1"/>
  <c r="Q4826" i="2"/>
  <c r="R4826" i="2" s="1"/>
  <c r="R4825" i="2"/>
  <c r="Q4825" i="2"/>
  <c r="Q4824" i="2"/>
  <c r="R4824" i="2" s="1"/>
  <c r="Q4823" i="2"/>
  <c r="R4823" i="2" s="1"/>
  <c r="Q4822" i="2"/>
  <c r="R4822" i="2" s="1"/>
  <c r="R4821" i="2"/>
  <c r="Q4821" i="2"/>
  <c r="Q4820" i="2"/>
  <c r="R4820" i="2" s="1"/>
  <c r="Q4819" i="2"/>
  <c r="R4819" i="2" s="1"/>
  <c r="Q4818" i="2"/>
  <c r="R4818" i="2" s="1"/>
  <c r="R4817" i="2"/>
  <c r="Q4817" i="2"/>
  <c r="Q4816" i="2"/>
  <c r="R4816" i="2" s="1"/>
  <c r="R4815" i="2"/>
  <c r="Q4815" i="2"/>
  <c r="Q4814" i="2"/>
  <c r="R4814" i="2" s="1"/>
  <c r="Q4813" i="2"/>
  <c r="R4813" i="2" s="1"/>
  <c r="Q4812" i="2"/>
  <c r="R4812" i="2" s="1"/>
  <c r="Q4811" i="2"/>
  <c r="R4811" i="2" s="1"/>
  <c r="Q4810" i="2"/>
  <c r="R4810" i="2" s="1"/>
  <c r="Q4809" i="2"/>
  <c r="R4809" i="2" s="1"/>
  <c r="Q4808" i="2"/>
  <c r="R4808" i="2" s="1"/>
  <c r="R4807" i="2"/>
  <c r="Q4807" i="2"/>
  <c r="Q4806" i="2"/>
  <c r="R4806" i="2" s="1"/>
  <c r="Q4805" i="2"/>
  <c r="R4805" i="2" s="1"/>
  <c r="Q4804" i="2"/>
  <c r="R4804" i="2" s="1"/>
  <c r="Q4803" i="2"/>
  <c r="R4803" i="2" s="1"/>
  <c r="Q4802" i="2"/>
  <c r="R4802" i="2" s="1"/>
  <c r="R4801" i="2"/>
  <c r="Q4801" i="2"/>
  <c r="Q4800" i="2"/>
  <c r="R4800" i="2" s="1"/>
  <c r="R4799" i="2"/>
  <c r="Q4799" i="2"/>
  <c r="Q4798" i="2"/>
  <c r="R4798" i="2" s="1"/>
  <c r="Q4797" i="2"/>
  <c r="R4797" i="2" s="1"/>
  <c r="Q4796" i="2"/>
  <c r="R4796" i="2" s="1"/>
  <c r="Q4795" i="2"/>
  <c r="R4795" i="2" s="1"/>
  <c r="Q4794" i="2"/>
  <c r="R4794" i="2" s="1"/>
  <c r="R4793" i="2"/>
  <c r="Q4793" i="2"/>
  <c r="Q4792" i="2"/>
  <c r="R4792" i="2" s="1"/>
  <c r="Q4791" i="2"/>
  <c r="R4791" i="2" s="1"/>
  <c r="Q4790" i="2"/>
  <c r="R4790" i="2" s="1"/>
  <c r="R4789" i="2"/>
  <c r="Q4789" i="2"/>
  <c r="Q4788" i="2"/>
  <c r="R4788" i="2" s="1"/>
  <c r="Q4787" i="2"/>
  <c r="R4787" i="2" s="1"/>
  <c r="Q4786" i="2"/>
  <c r="R4786" i="2" s="1"/>
  <c r="R4785" i="2"/>
  <c r="Q4785" i="2"/>
  <c r="Q4784" i="2"/>
  <c r="R4784" i="2" s="1"/>
  <c r="R4783" i="2"/>
  <c r="Q4783" i="2"/>
  <c r="Q4782" i="2"/>
  <c r="R4782" i="2" s="1"/>
  <c r="Q4781" i="2"/>
  <c r="R4781" i="2" s="1"/>
  <c r="Q4780" i="2"/>
  <c r="R4780" i="2" s="1"/>
  <c r="Q4779" i="2"/>
  <c r="R4779" i="2" s="1"/>
  <c r="Q4778" i="2"/>
  <c r="R4778" i="2" s="1"/>
  <c r="Q4777" i="2"/>
  <c r="R4777" i="2" s="1"/>
  <c r="Q4776" i="2"/>
  <c r="R4776" i="2" s="1"/>
  <c r="R4775" i="2"/>
  <c r="Q4775" i="2"/>
  <c r="Q4774" i="2"/>
  <c r="R4774" i="2" s="1"/>
  <c r="R4773" i="2"/>
  <c r="Q4773" i="2"/>
  <c r="Q4772" i="2"/>
  <c r="R4772" i="2" s="1"/>
  <c r="Q4771" i="2"/>
  <c r="R4771" i="2" s="1"/>
  <c r="Q4770" i="2"/>
  <c r="R4770" i="2" s="1"/>
  <c r="R4769" i="2"/>
  <c r="Q4769" i="2"/>
  <c r="Q4768" i="2"/>
  <c r="R4768" i="2" s="1"/>
  <c r="R4767" i="2"/>
  <c r="Q4767" i="2"/>
  <c r="Q4766" i="2"/>
  <c r="R4766" i="2" s="1"/>
  <c r="Q4765" i="2"/>
  <c r="R4765" i="2" s="1"/>
  <c r="Q4764" i="2"/>
  <c r="R4764" i="2" s="1"/>
  <c r="Q4763" i="2"/>
  <c r="R4763" i="2" s="1"/>
  <c r="Q4762" i="2"/>
  <c r="R4762" i="2" s="1"/>
  <c r="R4761" i="2"/>
  <c r="Q4761" i="2"/>
  <c r="Q4760" i="2"/>
  <c r="R4760" i="2" s="1"/>
  <c r="Q4759" i="2"/>
  <c r="R4759" i="2" s="1"/>
  <c r="Q4758" i="2"/>
  <c r="R4758" i="2" s="1"/>
  <c r="R4757" i="2"/>
  <c r="Q4757" i="2"/>
  <c r="Q4756" i="2"/>
  <c r="R4756" i="2" s="1"/>
  <c r="Q4755" i="2"/>
  <c r="R4755" i="2" s="1"/>
  <c r="Q4754" i="2"/>
  <c r="R4754" i="2" s="1"/>
  <c r="R4753" i="2"/>
  <c r="Q4753" i="2"/>
  <c r="Q4752" i="2"/>
  <c r="R4752" i="2" s="1"/>
  <c r="R4751" i="2"/>
  <c r="Q4751" i="2"/>
  <c r="Q4750" i="2"/>
  <c r="R4750" i="2" s="1"/>
  <c r="Q4749" i="2"/>
  <c r="R4749" i="2" s="1"/>
  <c r="Q4748" i="2"/>
  <c r="R4748" i="2" s="1"/>
  <c r="Q4747" i="2"/>
  <c r="R4747" i="2" s="1"/>
  <c r="Q4746" i="2"/>
  <c r="R4746" i="2" s="1"/>
  <c r="Q4745" i="2"/>
  <c r="R4745" i="2" s="1"/>
  <c r="Q4744" i="2"/>
  <c r="R4744" i="2" s="1"/>
  <c r="R4743" i="2"/>
  <c r="Q4743" i="2"/>
  <c r="Q4742" i="2"/>
  <c r="R4742" i="2" s="1"/>
  <c r="Q4741" i="2"/>
  <c r="R4741" i="2" s="1"/>
  <c r="Q4740" i="2"/>
  <c r="R4740" i="2" s="1"/>
  <c r="Q4739" i="2"/>
  <c r="R4739" i="2" s="1"/>
  <c r="Q4738" i="2"/>
  <c r="R4738" i="2" s="1"/>
  <c r="R4737" i="2"/>
  <c r="Q4737" i="2"/>
  <c r="Q4736" i="2"/>
  <c r="R4736" i="2" s="1"/>
  <c r="R4735" i="2"/>
  <c r="Q4735" i="2"/>
  <c r="Q4734" i="2"/>
  <c r="R4734" i="2" s="1"/>
  <c r="Q4733" i="2"/>
  <c r="R4733" i="2" s="1"/>
  <c r="Q4732" i="2"/>
  <c r="R4732" i="2" s="1"/>
  <c r="Q4731" i="2"/>
  <c r="R4731" i="2" s="1"/>
  <c r="Q4730" i="2"/>
  <c r="R4730" i="2" s="1"/>
  <c r="R4729" i="2"/>
  <c r="Q4729" i="2"/>
  <c r="Q4728" i="2"/>
  <c r="R4728" i="2" s="1"/>
  <c r="Q4727" i="2"/>
  <c r="R4727" i="2" s="1"/>
  <c r="Q4726" i="2"/>
  <c r="R4726" i="2" s="1"/>
  <c r="R4725" i="2"/>
  <c r="Q4725" i="2"/>
  <c r="Q4724" i="2"/>
  <c r="R4724" i="2" s="1"/>
  <c r="Q4723" i="2"/>
  <c r="R4723" i="2" s="1"/>
  <c r="Q4722" i="2"/>
  <c r="R4722" i="2" s="1"/>
  <c r="R4721" i="2"/>
  <c r="Q4721" i="2"/>
  <c r="Q4720" i="2"/>
  <c r="R4720" i="2" s="1"/>
  <c r="R4719" i="2"/>
  <c r="Q4719" i="2"/>
  <c r="Q4718" i="2"/>
  <c r="R4718" i="2" s="1"/>
  <c r="Q4717" i="2"/>
  <c r="R4717" i="2" s="1"/>
  <c r="Q4716" i="2"/>
  <c r="R4716" i="2" s="1"/>
  <c r="Q4715" i="2"/>
  <c r="R4715" i="2" s="1"/>
  <c r="Q4714" i="2"/>
  <c r="R4714" i="2" s="1"/>
  <c r="Q4713" i="2"/>
  <c r="R4713" i="2" s="1"/>
  <c r="Q4712" i="2"/>
  <c r="R4712" i="2" s="1"/>
  <c r="R4711" i="2"/>
  <c r="Q4711" i="2"/>
  <c r="Q4710" i="2"/>
  <c r="R4710" i="2" s="1"/>
  <c r="Q4709" i="2"/>
  <c r="R4709" i="2" s="1"/>
  <c r="Q4708" i="2"/>
  <c r="R4708" i="2" s="1"/>
  <c r="Q4707" i="2"/>
  <c r="R4707" i="2" s="1"/>
  <c r="Q4706" i="2"/>
  <c r="R4706" i="2" s="1"/>
  <c r="R4705" i="2"/>
  <c r="Q4705" i="2"/>
  <c r="Q4704" i="2"/>
  <c r="R4704" i="2" s="1"/>
  <c r="R4703" i="2"/>
  <c r="Q4703" i="2"/>
  <c r="Q4702" i="2"/>
  <c r="R4702" i="2" s="1"/>
  <c r="Q4701" i="2"/>
  <c r="R4701" i="2" s="1"/>
  <c r="Q4700" i="2"/>
  <c r="R4700" i="2" s="1"/>
  <c r="Q4699" i="2"/>
  <c r="R4699" i="2" s="1"/>
  <c r="Q4698" i="2"/>
  <c r="R4698" i="2" s="1"/>
  <c r="R4697" i="2"/>
  <c r="Q4697" i="2"/>
  <c r="Q4696" i="2"/>
  <c r="R4696" i="2" s="1"/>
  <c r="Q4695" i="2"/>
  <c r="R4695" i="2" s="1"/>
  <c r="Q4694" i="2"/>
  <c r="R4694" i="2" s="1"/>
  <c r="R4693" i="2"/>
  <c r="Q4693" i="2"/>
  <c r="Q4692" i="2"/>
  <c r="R4692" i="2" s="1"/>
  <c r="Q4691" i="2"/>
  <c r="R4691" i="2" s="1"/>
  <c r="Q4690" i="2"/>
  <c r="R4690" i="2" s="1"/>
  <c r="R4689" i="2"/>
  <c r="Q4689" i="2"/>
  <c r="Q4688" i="2"/>
  <c r="R4688" i="2" s="1"/>
  <c r="R4687" i="2"/>
  <c r="Q4687" i="2"/>
  <c r="Q4686" i="2"/>
  <c r="R4686" i="2" s="1"/>
  <c r="Q4685" i="2"/>
  <c r="R4685" i="2" s="1"/>
  <c r="Q4684" i="2"/>
  <c r="R4684" i="2" s="1"/>
  <c r="Q4683" i="2"/>
  <c r="R4683" i="2" s="1"/>
  <c r="Q4682" i="2"/>
  <c r="R4682" i="2" s="1"/>
  <c r="Q4681" i="2"/>
  <c r="R4681" i="2" s="1"/>
  <c r="Q4680" i="2"/>
  <c r="R4680" i="2" s="1"/>
  <c r="R4679" i="2"/>
  <c r="Q4679" i="2"/>
  <c r="Q4678" i="2"/>
  <c r="R4678" i="2" s="1"/>
  <c r="Q4677" i="2"/>
  <c r="R4677" i="2" s="1"/>
  <c r="Q4676" i="2"/>
  <c r="R4676" i="2" s="1"/>
  <c r="Q4675" i="2"/>
  <c r="R4675" i="2" s="1"/>
  <c r="Q4674" i="2"/>
  <c r="R4674" i="2" s="1"/>
  <c r="R4673" i="2"/>
  <c r="Q4673" i="2"/>
  <c r="Q4672" i="2"/>
  <c r="R4672" i="2" s="1"/>
  <c r="R4671" i="2"/>
  <c r="Q4671" i="2"/>
  <c r="Q4670" i="2"/>
  <c r="R4670" i="2" s="1"/>
  <c r="Q4669" i="2"/>
  <c r="R4669" i="2" s="1"/>
  <c r="Q4668" i="2"/>
  <c r="R4668" i="2" s="1"/>
  <c r="Q4667" i="2"/>
  <c r="R4667" i="2" s="1"/>
  <c r="Q4666" i="2"/>
  <c r="R4666" i="2" s="1"/>
  <c r="R4665" i="2"/>
  <c r="Q4665" i="2"/>
  <c r="Q4664" i="2"/>
  <c r="R4664" i="2" s="1"/>
  <c r="Q4663" i="2"/>
  <c r="R4663" i="2" s="1"/>
  <c r="Q4662" i="2"/>
  <c r="R4662" i="2" s="1"/>
  <c r="R4661" i="2"/>
  <c r="Q4661" i="2"/>
  <c r="Q4660" i="2"/>
  <c r="R4660" i="2" s="1"/>
  <c r="Q4659" i="2"/>
  <c r="R4659" i="2" s="1"/>
  <c r="Q4658" i="2"/>
  <c r="R4658" i="2" s="1"/>
  <c r="R4657" i="2"/>
  <c r="Q4657" i="2"/>
  <c r="Q4656" i="2"/>
  <c r="R4656" i="2" s="1"/>
  <c r="R4655" i="2"/>
  <c r="Q4655" i="2"/>
  <c r="Q4654" i="2"/>
  <c r="R4654" i="2" s="1"/>
  <c r="Q4653" i="2"/>
  <c r="R4653" i="2" s="1"/>
  <c r="Q4652" i="2"/>
  <c r="R4652" i="2" s="1"/>
  <c r="Q4651" i="2"/>
  <c r="R4651" i="2" s="1"/>
  <c r="Q4650" i="2"/>
  <c r="R4650" i="2" s="1"/>
  <c r="Q4649" i="2"/>
  <c r="R4649" i="2" s="1"/>
  <c r="Q4648" i="2"/>
  <c r="R4648" i="2" s="1"/>
  <c r="R4647" i="2"/>
  <c r="Q4647" i="2"/>
  <c r="Q4646" i="2"/>
  <c r="R4646" i="2" s="1"/>
  <c r="Q4645" i="2"/>
  <c r="R4645" i="2" s="1"/>
  <c r="Q4644" i="2"/>
  <c r="R4644" i="2" s="1"/>
  <c r="Q4643" i="2"/>
  <c r="R4643" i="2" s="1"/>
  <c r="Q4642" i="2"/>
  <c r="R4642" i="2" s="1"/>
  <c r="R4641" i="2"/>
  <c r="Q4641" i="2"/>
  <c r="Q4640" i="2"/>
  <c r="R4640" i="2" s="1"/>
  <c r="R4639" i="2"/>
  <c r="Q4639" i="2"/>
  <c r="Q4638" i="2"/>
  <c r="R4638" i="2" s="1"/>
  <c r="Q4637" i="2"/>
  <c r="R4637" i="2" s="1"/>
  <c r="Q4636" i="2"/>
  <c r="R4636" i="2" s="1"/>
  <c r="Q4635" i="2"/>
  <c r="R4635" i="2" s="1"/>
  <c r="Q4634" i="2"/>
  <c r="R4634" i="2" s="1"/>
  <c r="R4633" i="2"/>
  <c r="Q4633" i="2"/>
  <c r="Q4632" i="2"/>
  <c r="R4632" i="2" s="1"/>
  <c r="Q4631" i="2"/>
  <c r="R4631" i="2" s="1"/>
  <c r="Q4630" i="2"/>
  <c r="R4630" i="2" s="1"/>
  <c r="R4629" i="2"/>
  <c r="Q4629" i="2"/>
  <c r="Q4628" i="2"/>
  <c r="R4628" i="2" s="1"/>
  <c r="Q4627" i="2"/>
  <c r="R4627" i="2" s="1"/>
  <c r="Q4626" i="2"/>
  <c r="R4626" i="2" s="1"/>
  <c r="R4625" i="2"/>
  <c r="Q4625" i="2"/>
  <c r="Q4624" i="2"/>
  <c r="R4624" i="2" s="1"/>
  <c r="R4623" i="2"/>
  <c r="Q4623" i="2"/>
  <c r="Q4622" i="2"/>
  <c r="R4622" i="2" s="1"/>
  <c r="Q4621" i="2"/>
  <c r="R4621" i="2" s="1"/>
  <c r="Q4620" i="2"/>
  <c r="R4620" i="2" s="1"/>
  <c r="Q4619" i="2"/>
  <c r="R4619" i="2" s="1"/>
  <c r="Q4618" i="2"/>
  <c r="R4618" i="2" s="1"/>
  <c r="Q4617" i="2"/>
  <c r="R4617" i="2" s="1"/>
  <c r="Q4616" i="2"/>
  <c r="R4616" i="2" s="1"/>
  <c r="R4615" i="2"/>
  <c r="Q4615" i="2"/>
  <c r="Q4614" i="2"/>
  <c r="R4614" i="2" s="1"/>
  <c r="Q4613" i="2"/>
  <c r="R4613" i="2" s="1"/>
  <c r="Q4612" i="2"/>
  <c r="R4612" i="2" s="1"/>
  <c r="Q4611" i="2"/>
  <c r="R4611" i="2" s="1"/>
  <c r="Q4610" i="2"/>
  <c r="R4610" i="2" s="1"/>
  <c r="R4609" i="2"/>
  <c r="Q4609" i="2"/>
  <c r="Q4608" i="2"/>
  <c r="R4608" i="2" s="1"/>
  <c r="R4607" i="2"/>
  <c r="Q4607" i="2"/>
  <c r="Q4606" i="2"/>
  <c r="R4606" i="2" s="1"/>
  <c r="Q4605" i="2"/>
  <c r="R4605" i="2" s="1"/>
  <c r="Q4604" i="2"/>
  <c r="R4604" i="2" s="1"/>
  <c r="Q4603" i="2"/>
  <c r="R4603" i="2" s="1"/>
  <c r="Q4602" i="2"/>
  <c r="R4602" i="2" s="1"/>
  <c r="R4601" i="2"/>
  <c r="Q4601" i="2"/>
  <c r="Q4600" i="2"/>
  <c r="R4600" i="2" s="1"/>
  <c r="Q4599" i="2"/>
  <c r="R4599" i="2" s="1"/>
  <c r="Q4598" i="2"/>
  <c r="R4598" i="2" s="1"/>
  <c r="R4597" i="2"/>
  <c r="Q4597" i="2"/>
  <c r="Q4596" i="2"/>
  <c r="R4596" i="2" s="1"/>
  <c r="Q4595" i="2"/>
  <c r="R4595" i="2" s="1"/>
  <c r="Q4594" i="2"/>
  <c r="R4594" i="2" s="1"/>
  <c r="R4593" i="2"/>
  <c r="Q4593" i="2"/>
  <c r="Q4592" i="2"/>
  <c r="R4592" i="2" s="1"/>
  <c r="R4591" i="2"/>
  <c r="Q4591" i="2"/>
  <c r="Q4590" i="2"/>
  <c r="R4590" i="2" s="1"/>
  <c r="Q4589" i="2"/>
  <c r="R4589" i="2" s="1"/>
  <c r="Q4588" i="2"/>
  <c r="R4588" i="2" s="1"/>
  <c r="Q4587" i="2"/>
  <c r="R4587" i="2" s="1"/>
  <c r="Q4586" i="2"/>
  <c r="R4586" i="2" s="1"/>
  <c r="Q4585" i="2"/>
  <c r="R4585" i="2" s="1"/>
  <c r="Q4584" i="2"/>
  <c r="R4584" i="2" s="1"/>
  <c r="R4583" i="2"/>
  <c r="Q4583" i="2"/>
  <c r="Q4582" i="2"/>
  <c r="R4582" i="2" s="1"/>
  <c r="Q4581" i="2"/>
  <c r="R4581" i="2" s="1"/>
  <c r="Q4580" i="2"/>
  <c r="R4580" i="2" s="1"/>
  <c r="Q4579" i="2"/>
  <c r="R4579" i="2" s="1"/>
  <c r="Q4578" i="2"/>
  <c r="R4578" i="2" s="1"/>
  <c r="R4577" i="2"/>
  <c r="Q4577" i="2"/>
  <c r="Q4576" i="2"/>
  <c r="R4576" i="2" s="1"/>
  <c r="R4575" i="2"/>
  <c r="Q4575" i="2"/>
  <c r="Q4574" i="2"/>
  <c r="R4574" i="2" s="1"/>
  <c r="Q4573" i="2"/>
  <c r="R4573" i="2" s="1"/>
  <c r="Q4572" i="2"/>
  <c r="R4572" i="2" s="1"/>
  <c r="Q4571" i="2"/>
  <c r="R4571" i="2" s="1"/>
  <c r="Q4570" i="2"/>
  <c r="R4570" i="2" s="1"/>
  <c r="R4569" i="2"/>
  <c r="Q4569" i="2"/>
  <c r="Q4568" i="2"/>
  <c r="R4568" i="2" s="1"/>
  <c r="Q4567" i="2"/>
  <c r="R4567" i="2" s="1"/>
  <c r="Q4566" i="2"/>
  <c r="R4566" i="2" s="1"/>
  <c r="R4565" i="2"/>
  <c r="Q4565" i="2"/>
  <c r="Q4564" i="2"/>
  <c r="R4564" i="2" s="1"/>
  <c r="Q4563" i="2"/>
  <c r="R4563" i="2" s="1"/>
  <c r="Q4562" i="2"/>
  <c r="R4562" i="2" s="1"/>
  <c r="R4561" i="2"/>
  <c r="Q4561" i="2"/>
  <c r="Q4560" i="2"/>
  <c r="R4560" i="2" s="1"/>
  <c r="R4559" i="2"/>
  <c r="Q4559" i="2"/>
  <c r="Q4558" i="2"/>
  <c r="R4558" i="2" s="1"/>
  <c r="Q4557" i="2"/>
  <c r="R4557" i="2" s="1"/>
  <c r="Q4556" i="2"/>
  <c r="R4556" i="2" s="1"/>
  <c r="Q4555" i="2"/>
  <c r="R4555" i="2" s="1"/>
  <c r="Q4554" i="2"/>
  <c r="R4554" i="2" s="1"/>
  <c r="Q4553" i="2"/>
  <c r="R4553" i="2" s="1"/>
  <c r="Q4552" i="2"/>
  <c r="R4552" i="2" s="1"/>
  <c r="R4551" i="2"/>
  <c r="Q4551" i="2"/>
  <c r="Q4550" i="2"/>
  <c r="R4550" i="2" s="1"/>
  <c r="Q4549" i="2"/>
  <c r="R4549" i="2" s="1"/>
  <c r="Q4548" i="2"/>
  <c r="R4548" i="2" s="1"/>
  <c r="Q4547" i="2"/>
  <c r="R4547" i="2" s="1"/>
  <c r="Q4546" i="2"/>
  <c r="R4546" i="2" s="1"/>
  <c r="R4545" i="2"/>
  <c r="Q4545" i="2"/>
  <c r="Q4544" i="2"/>
  <c r="R4544" i="2" s="1"/>
  <c r="R4543" i="2"/>
  <c r="Q4543" i="2"/>
  <c r="Q4542" i="2"/>
  <c r="R4542" i="2" s="1"/>
  <c r="Q4541" i="2"/>
  <c r="R4541" i="2" s="1"/>
  <c r="Q4540" i="2"/>
  <c r="R4540" i="2" s="1"/>
  <c r="Q4539" i="2"/>
  <c r="R4539" i="2" s="1"/>
  <c r="Q4538" i="2"/>
  <c r="R4538" i="2" s="1"/>
  <c r="R4537" i="2"/>
  <c r="Q4537" i="2"/>
  <c r="Q4536" i="2"/>
  <c r="R4536" i="2" s="1"/>
  <c r="Q4535" i="2"/>
  <c r="R4535" i="2" s="1"/>
  <c r="Q4534" i="2"/>
  <c r="R4534" i="2" s="1"/>
  <c r="R4533" i="2"/>
  <c r="Q4533" i="2"/>
  <c r="Q4532" i="2"/>
  <c r="R4532" i="2" s="1"/>
  <c r="Q4531" i="2"/>
  <c r="R4531" i="2" s="1"/>
  <c r="Q4530" i="2"/>
  <c r="R4530" i="2" s="1"/>
  <c r="R4529" i="2"/>
  <c r="Q4529" i="2"/>
  <c r="Q4528" i="2"/>
  <c r="R4528" i="2" s="1"/>
  <c r="R4527" i="2"/>
  <c r="Q4527" i="2"/>
  <c r="Q4526" i="2"/>
  <c r="R4526" i="2" s="1"/>
  <c r="Q4525" i="2"/>
  <c r="R4525" i="2" s="1"/>
  <c r="Q4524" i="2"/>
  <c r="R4524" i="2" s="1"/>
  <c r="Q4523" i="2"/>
  <c r="R4523" i="2" s="1"/>
  <c r="Q4522" i="2"/>
  <c r="R4522" i="2" s="1"/>
  <c r="Q4521" i="2"/>
  <c r="R4521" i="2" s="1"/>
  <c r="Q4520" i="2"/>
  <c r="R4520" i="2" s="1"/>
  <c r="R4519" i="2"/>
  <c r="Q4519" i="2"/>
  <c r="Q4518" i="2"/>
  <c r="R4518" i="2" s="1"/>
  <c r="Q4517" i="2"/>
  <c r="R4517" i="2" s="1"/>
  <c r="Q4516" i="2"/>
  <c r="R4516" i="2" s="1"/>
  <c r="Q4515" i="2"/>
  <c r="R4515" i="2" s="1"/>
  <c r="Q4514" i="2"/>
  <c r="R4514" i="2" s="1"/>
  <c r="R4513" i="2"/>
  <c r="Q4513" i="2"/>
  <c r="Q4512" i="2"/>
  <c r="R4512" i="2" s="1"/>
  <c r="R4511" i="2"/>
  <c r="Q4511" i="2"/>
  <c r="Q4510" i="2"/>
  <c r="R4510" i="2" s="1"/>
  <c r="Q4509" i="2"/>
  <c r="R4509" i="2" s="1"/>
  <c r="Q4508" i="2"/>
  <c r="R4508" i="2" s="1"/>
  <c r="Q4507" i="2"/>
  <c r="R4507" i="2" s="1"/>
  <c r="Q4506" i="2"/>
  <c r="R4506" i="2" s="1"/>
  <c r="R4505" i="2"/>
  <c r="Q4505" i="2"/>
  <c r="Q4504" i="2"/>
  <c r="R4504" i="2" s="1"/>
  <c r="Q4503" i="2"/>
  <c r="R4503" i="2" s="1"/>
  <c r="Q4502" i="2"/>
  <c r="R4502" i="2" s="1"/>
  <c r="R4501" i="2"/>
  <c r="Q4501" i="2"/>
  <c r="Q4500" i="2"/>
  <c r="R4500" i="2" s="1"/>
  <c r="Q4499" i="2"/>
  <c r="R4499" i="2" s="1"/>
  <c r="Q4498" i="2"/>
  <c r="R4498" i="2" s="1"/>
  <c r="R4497" i="2"/>
  <c r="Q4497" i="2"/>
  <c r="Q4496" i="2"/>
  <c r="R4496" i="2" s="1"/>
  <c r="R4495" i="2"/>
  <c r="Q4495" i="2"/>
  <c r="Q4494" i="2"/>
  <c r="R4494" i="2" s="1"/>
  <c r="Q4493" i="2"/>
  <c r="R4493" i="2" s="1"/>
  <c r="Q4492" i="2"/>
  <c r="R4492" i="2" s="1"/>
  <c r="Q4491" i="2"/>
  <c r="R4491" i="2" s="1"/>
  <c r="Q4490" i="2"/>
  <c r="R4490" i="2" s="1"/>
  <c r="Q4489" i="2"/>
  <c r="R4489" i="2" s="1"/>
  <c r="Q4488" i="2"/>
  <c r="R4488" i="2" s="1"/>
  <c r="R4487" i="2"/>
  <c r="Q4487" i="2"/>
  <c r="Q4486" i="2"/>
  <c r="R4486" i="2" s="1"/>
  <c r="Q4485" i="2"/>
  <c r="R4485" i="2" s="1"/>
  <c r="Q4484" i="2"/>
  <c r="R4484" i="2" s="1"/>
  <c r="Q4483" i="2"/>
  <c r="R4483" i="2" s="1"/>
  <c r="Q4482" i="2"/>
  <c r="R4482" i="2" s="1"/>
  <c r="R4481" i="2"/>
  <c r="Q4481" i="2"/>
  <c r="Q4480" i="2"/>
  <c r="R4480" i="2" s="1"/>
  <c r="R4479" i="2"/>
  <c r="Q4479" i="2"/>
  <c r="Q4478" i="2"/>
  <c r="R4478" i="2" s="1"/>
  <c r="Q4477" i="2"/>
  <c r="R4477" i="2" s="1"/>
  <c r="Q4476" i="2"/>
  <c r="R4476" i="2" s="1"/>
  <c r="Q4475" i="2"/>
  <c r="R4475" i="2" s="1"/>
  <c r="Q4474" i="2"/>
  <c r="R4474" i="2" s="1"/>
  <c r="R4473" i="2"/>
  <c r="Q4473" i="2"/>
  <c r="Q4472" i="2"/>
  <c r="R4472" i="2" s="1"/>
  <c r="Q4471" i="2"/>
  <c r="R4471" i="2" s="1"/>
  <c r="Q4470" i="2"/>
  <c r="R4470" i="2" s="1"/>
  <c r="R4469" i="2"/>
  <c r="Q4469" i="2"/>
  <c r="Q4468" i="2"/>
  <c r="R4468" i="2" s="1"/>
  <c r="Q4467" i="2"/>
  <c r="R4467" i="2" s="1"/>
  <c r="Q4466" i="2"/>
  <c r="R4466" i="2" s="1"/>
  <c r="R4465" i="2"/>
  <c r="Q4465" i="2"/>
  <c r="Q4464" i="2"/>
  <c r="R4464" i="2" s="1"/>
  <c r="R4463" i="2"/>
  <c r="Q4463" i="2"/>
  <c r="Q4462" i="2"/>
  <c r="R4462" i="2" s="1"/>
  <c r="Q4461" i="2"/>
  <c r="R4461" i="2" s="1"/>
  <c r="Q4460" i="2"/>
  <c r="R4460" i="2" s="1"/>
  <c r="Q4459" i="2"/>
  <c r="R4459" i="2" s="1"/>
  <c r="Q4458" i="2"/>
  <c r="R4458" i="2" s="1"/>
  <c r="Q4457" i="2"/>
  <c r="R4457" i="2" s="1"/>
  <c r="Q4456" i="2"/>
  <c r="R4456" i="2" s="1"/>
  <c r="R4455" i="2"/>
  <c r="Q4455" i="2"/>
  <c r="Q4454" i="2"/>
  <c r="R4454" i="2" s="1"/>
  <c r="Q4453" i="2"/>
  <c r="R4453" i="2" s="1"/>
  <c r="Q4452" i="2"/>
  <c r="R4452" i="2" s="1"/>
  <c r="Q4451" i="2"/>
  <c r="R4451" i="2" s="1"/>
  <c r="Q4450" i="2"/>
  <c r="R4450" i="2" s="1"/>
  <c r="R4449" i="2"/>
  <c r="Q4449" i="2"/>
  <c r="Q4448" i="2"/>
  <c r="R4448" i="2" s="1"/>
  <c r="R4447" i="2"/>
  <c r="Q4447" i="2"/>
  <c r="Q4446" i="2"/>
  <c r="R4446" i="2" s="1"/>
  <c r="Q4445" i="2"/>
  <c r="R4445" i="2" s="1"/>
  <c r="Q4444" i="2"/>
  <c r="R4444" i="2" s="1"/>
  <c r="Q4443" i="2"/>
  <c r="R4443" i="2" s="1"/>
  <c r="Q4442" i="2"/>
  <c r="R4442" i="2" s="1"/>
  <c r="R4441" i="2"/>
  <c r="Q4441" i="2"/>
  <c r="Q4440" i="2"/>
  <c r="R4440" i="2" s="1"/>
  <c r="Q4439" i="2"/>
  <c r="R4439" i="2" s="1"/>
  <c r="Q4438" i="2"/>
  <c r="R4438" i="2" s="1"/>
  <c r="R4437" i="2"/>
  <c r="Q4437" i="2"/>
  <c r="Q4436" i="2"/>
  <c r="R4436" i="2" s="1"/>
  <c r="Q4435" i="2"/>
  <c r="R4435" i="2" s="1"/>
  <c r="Q4434" i="2"/>
  <c r="R4434" i="2" s="1"/>
  <c r="R4433" i="2"/>
  <c r="Q4433" i="2"/>
  <c r="Q4432" i="2"/>
  <c r="R4432" i="2" s="1"/>
  <c r="R4431" i="2"/>
  <c r="Q4431" i="2"/>
  <c r="Q4430" i="2"/>
  <c r="R4430" i="2" s="1"/>
  <c r="Q4429" i="2"/>
  <c r="R4429" i="2" s="1"/>
  <c r="Q4428" i="2"/>
  <c r="R4428" i="2" s="1"/>
  <c r="Q4427" i="2"/>
  <c r="R4427" i="2" s="1"/>
  <c r="Q4426" i="2"/>
  <c r="R4426" i="2" s="1"/>
  <c r="Q4425" i="2"/>
  <c r="R4425" i="2" s="1"/>
  <c r="Q4424" i="2"/>
  <c r="R4424" i="2" s="1"/>
  <c r="R4423" i="2"/>
  <c r="Q4423" i="2"/>
  <c r="Q4422" i="2"/>
  <c r="R4422" i="2" s="1"/>
  <c r="Q4421" i="2"/>
  <c r="R4421" i="2" s="1"/>
  <c r="Q4420" i="2"/>
  <c r="R4420" i="2" s="1"/>
  <c r="Q4419" i="2"/>
  <c r="R4419" i="2" s="1"/>
  <c r="Q4418" i="2"/>
  <c r="R4418" i="2" s="1"/>
  <c r="R4417" i="2"/>
  <c r="Q4417" i="2"/>
  <c r="Q4416" i="2"/>
  <c r="R4416" i="2" s="1"/>
  <c r="R4415" i="2"/>
  <c r="Q4415" i="2"/>
  <c r="Q4414" i="2"/>
  <c r="R4414" i="2" s="1"/>
  <c r="Q4413" i="2"/>
  <c r="R4413" i="2" s="1"/>
  <c r="Q4412" i="2"/>
  <c r="R4412" i="2" s="1"/>
  <c r="Q4411" i="2"/>
  <c r="R4411" i="2" s="1"/>
  <c r="Q4410" i="2"/>
  <c r="R4410" i="2" s="1"/>
  <c r="R4409" i="2"/>
  <c r="Q4409" i="2"/>
  <c r="Q4408" i="2"/>
  <c r="R4408" i="2" s="1"/>
  <c r="Q4407" i="2"/>
  <c r="R4407" i="2" s="1"/>
  <c r="Q4406" i="2"/>
  <c r="R4406" i="2" s="1"/>
  <c r="R4405" i="2"/>
  <c r="Q4405" i="2"/>
  <c r="Q4404" i="2"/>
  <c r="R4404" i="2" s="1"/>
  <c r="Q4403" i="2"/>
  <c r="R4403" i="2" s="1"/>
  <c r="Q4402" i="2"/>
  <c r="R4402" i="2" s="1"/>
  <c r="R4401" i="2"/>
  <c r="Q4401" i="2"/>
  <c r="Q4400" i="2"/>
  <c r="R4400" i="2" s="1"/>
  <c r="R4399" i="2"/>
  <c r="Q4399" i="2"/>
  <c r="Q4398" i="2"/>
  <c r="R4398" i="2" s="1"/>
  <c r="Q4397" i="2"/>
  <c r="R4397" i="2" s="1"/>
  <c r="Q4396" i="2"/>
  <c r="R4396" i="2" s="1"/>
  <c r="Q4395" i="2"/>
  <c r="R4395" i="2" s="1"/>
  <c r="Q4394" i="2"/>
  <c r="R4394" i="2" s="1"/>
  <c r="Q4393" i="2"/>
  <c r="R4393" i="2" s="1"/>
  <c r="Q4392" i="2"/>
  <c r="R4392" i="2" s="1"/>
  <c r="R4391" i="2"/>
  <c r="Q4391" i="2"/>
  <c r="Q4390" i="2"/>
  <c r="R4390" i="2" s="1"/>
  <c r="Q4389" i="2"/>
  <c r="R4389" i="2" s="1"/>
  <c r="Q4388" i="2"/>
  <c r="R4388" i="2" s="1"/>
  <c r="Q4387" i="2"/>
  <c r="R4387" i="2" s="1"/>
  <c r="Q4386" i="2"/>
  <c r="R4386" i="2" s="1"/>
  <c r="R4385" i="2"/>
  <c r="Q4385" i="2"/>
  <c r="Q4384" i="2"/>
  <c r="R4384" i="2" s="1"/>
  <c r="R4383" i="2"/>
  <c r="Q4383" i="2"/>
  <c r="Q4382" i="2"/>
  <c r="R4382" i="2" s="1"/>
  <c r="Q4381" i="2"/>
  <c r="R4381" i="2" s="1"/>
  <c r="Q4380" i="2"/>
  <c r="R4380" i="2" s="1"/>
  <c r="Q4379" i="2"/>
  <c r="R4379" i="2" s="1"/>
  <c r="Q4378" i="2"/>
  <c r="R4378" i="2" s="1"/>
  <c r="R4377" i="2"/>
  <c r="Q4377" i="2"/>
  <c r="Q4376" i="2"/>
  <c r="R4376" i="2" s="1"/>
  <c r="Q4375" i="2"/>
  <c r="R4375" i="2" s="1"/>
  <c r="Q4374" i="2"/>
  <c r="R4374" i="2" s="1"/>
  <c r="R4373" i="2"/>
  <c r="Q4373" i="2"/>
  <c r="Q4372" i="2"/>
  <c r="R4372" i="2" s="1"/>
  <c r="Q4371" i="2"/>
  <c r="R4371" i="2" s="1"/>
  <c r="Q4370" i="2"/>
  <c r="R4370" i="2" s="1"/>
  <c r="R4369" i="2"/>
  <c r="Q4369" i="2"/>
  <c r="Q4368" i="2"/>
  <c r="R4368" i="2" s="1"/>
  <c r="R4367" i="2"/>
  <c r="Q4367" i="2"/>
  <c r="Q4366" i="2"/>
  <c r="R4366" i="2" s="1"/>
  <c r="Q4365" i="2"/>
  <c r="R4365" i="2" s="1"/>
  <c r="Q4364" i="2"/>
  <c r="R4364" i="2" s="1"/>
  <c r="Q4363" i="2"/>
  <c r="R4363" i="2" s="1"/>
  <c r="Q4362" i="2"/>
  <c r="R4362" i="2" s="1"/>
  <c r="R4361" i="2"/>
  <c r="Q4361" i="2"/>
  <c r="Q4360" i="2"/>
  <c r="R4360" i="2" s="1"/>
  <c r="Q4359" i="2"/>
  <c r="R4359" i="2" s="1"/>
  <c r="Q4358" i="2"/>
  <c r="R4358" i="2" s="1"/>
  <c r="Q4357" i="2"/>
  <c r="R4357" i="2" s="1"/>
  <c r="Q4356" i="2"/>
  <c r="R4356" i="2" s="1"/>
  <c r="Q4355" i="2"/>
  <c r="R4355" i="2" s="1"/>
  <c r="Q4354" i="2"/>
  <c r="R4354" i="2" s="1"/>
  <c r="R4353" i="2"/>
  <c r="Q4353" i="2"/>
  <c r="Q4352" i="2"/>
  <c r="R4352" i="2" s="1"/>
  <c r="R4351" i="2"/>
  <c r="Q4351" i="2"/>
  <c r="Q4350" i="2"/>
  <c r="R4350" i="2" s="1"/>
  <c r="Q4349" i="2"/>
  <c r="R4349" i="2" s="1"/>
  <c r="Q4348" i="2"/>
  <c r="R4348" i="2" s="1"/>
  <c r="Q4347" i="2"/>
  <c r="R4347" i="2" s="1"/>
  <c r="Q4346" i="2"/>
  <c r="R4346" i="2" s="1"/>
  <c r="R4345" i="2"/>
  <c r="Q4345" i="2"/>
  <c r="Q4344" i="2"/>
  <c r="R4344" i="2" s="1"/>
  <c r="Q4343" i="2"/>
  <c r="R4343" i="2" s="1"/>
  <c r="Q4342" i="2"/>
  <c r="R4342" i="2" s="1"/>
  <c r="R4341" i="2"/>
  <c r="Q4341" i="2"/>
  <c r="Q4340" i="2"/>
  <c r="R4340" i="2" s="1"/>
  <c r="Q4339" i="2"/>
  <c r="R4339" i="2" s="1"/>
  <c r="Q4338" i="2"/>
  <c r="R4338" i="2" s="1"/>
  <c r="R4337" i="2"/>
  <c r="Q4337" i="2"/>
  <c r="Q4336" i="2"/>
  <c r="R4336" i="2" s="1"/>
  <c r="R4335" i="2"/>
  <c r="Q4335" i="2"/>
  <c r="Q4334" i="2"/>
  <c r="R4334" i="2" s="1"/>
  <c r="Q4333" i="2"/>
  <c r="R4333" i="2" s="1"/>
  <c r="Q4332" i="2"/>
  <c r="R4332" i="2" s="1"/>
  <c r="Q4331" i="2"/>
  <c r="R4331" i="2" s="1"/>
  <c r="Q4330" i="2"/>
  <c r="R4330" i="2" s="1"/>
  <c r="R4329" i="2"/>
  <c r="Q4329" i="2"/>
  <c r="Q4328" i="2"/>
  <c r="R4328" i="2" s="1"/>
  <c r="Q4327" i="2"/>
  <c r="R4327" i="2" s="1"/>
  <c r="Q4326" i="2"/>
  <c r="R4326" i="2" s="1"/>
  <c r="Q4325" i="2"/>
  <c r="R4325" i="2" s="1"/>
  <c r="Q4324" i="2"/>
  <c r="R4324" i="2" s="1"/>
  <c r="Q4323" i="2"/>
  <c r="R4323" i="2" s="1"/>
  <c r="Q4322" i="2"/>
  <c r="R4322" i="2" s="1"/>
  <c r="R4321" i="2"/>
  <c r="Q4321" i="2"/>
  <c r="Q4320" i="2"/>
  <c r="R4320" i="2" s="1"/>
  <c r="R4319" i="2"/>
  <c r="Q4319" i="2"/>
  <c r="Q4318" i="2"/>
  <c r="R4318" i="2" s="1"/>
  <c r="Q4317" i="2"/>
  <c r="R4317" i="2" s="1"/>
  <c r="Q4316" i="2"/>
  <c r="R4316" i="2" s="1"/>
  <c r="Q4315" i="2"/>
  <c r="R4315" i="2" s="1"/>
  <c r="Q4314" i="2"/>
  <c r="R4314" i="2" s="1"/>
  <c r="R4313" i="2"/>
  <c r="Q4313" i="2"/>
  <c r="Q4312" i="2"/>
  <c r="R4312" i="2" s="1"/>
  <c r="Q4311" i="2"/>
  <c r="R4311" i="2" s="1"/>
  <c r="Q4310" i="2"/>
  <c r="R4310" i="2" s="1"/>
  <c r="R4309" i="2"/>
  <c r="Q4309" i="2"/>
  <c r="Q4308" i="2"/>
  <c r="R4308" i="2" s="1"/>
  <c r="Q4307" i="2"/>
  <c r="R4307" i="2" s="1"/>
  <c r="Q4306" i="2"/>
  <c r="R4306" i="2" s="1"/>
  <c r="R4305" i="2"/>
  <c r="Q4305" i="2"/>
  <c r="Q4304" i="2"/>
  <c r="R4304" i="2" s="1"/>
  <c r="R4303" i="2"/>
  <c r="Q4303" i="2"/>
  <c r="Q4302" i="2"/>
  <c r="R4302" i="2" s="1"/>
  <c r="Q4301" i="2"/>
  <c r="R4301" i="2" s="1"/>
  <c r="Q4300" i="2"/>
  <c r="R4300" i="2" s="1"/>
  <c r="Q4299" i="2"/>
  <c r="R4299" i="2" s="1"/>
  <c r="Q4298" i="2"/>
  <c r="R4298" i="2" s="1"/>
  <c r="R4297" i="2"/>
  <c r="Q4297" i="2"/>
  <c r="Q4296" i="2"/>
  <c r="R4296" i="2" s="1"/>
  <c r="Q4295" i="2"/>
  <c r="R4295" i="2" s="1"/>
  <c r="Q4294" i="2"/>
  <c r="R4294" i="2" s="1"/>
  <c r="Q4293" i="2"/>
  <c r="R4293" i="2" s="1"/>
  <c r="Q4292" i="2"/>
  <c r="R4292" i="2" s="1"/>
  <c r="Q4291" i="2"/>
  <c r="R4291" i="2" s="1"/>
  <c r="Q4290" i="2"/>
  <c r="R4290" i="2" s="1"/>
  <c r="R4289" i="2"/>
  <c r="Q4289" i="2"/>
  <c r="Q4288" i="2"/>
  <c r="R4288" i="2" s="1"/>
  <c r="R4287" i="2"/>
  <c r="Q4287" i="2"/>
  <c r="Q4286" i="2"/>
  <c r="R4286" i="2" s="1"/>
  <c r="Q4285" i="2"/>
  <c r="R4285" i="2" s="1"/>
  <c r="Q4284" i="2"/>
  <c r="R4284" i="2" s="1"/>
  <c r="Q4283" i="2"/>
  <c r="R4283" i="2" s="1"/>
  <c r="Q4282" i="2"/>
  <c r="R4282" i="2" s="1"/>
  <c r="R4281" i="2"/>
  <c r="Q4281" i="2"/>
  <c r="Q4280" i="2"/>
  <c r="R4280" i="2" s="1"/>
  <c r="Q4279" i="2"/>
  <c r="R4279" i="2" s="1"/>
  <c r="Q4278" i="2"/>
  <c r="R4278" i="2" s="1"/>
  <c r="R4277" i="2"/>
  <c r="Q4277" i="2"/>
  <c r="Q4276" i="2"/>
  <c r="R4276" i="2" s="1"/>
  <c r="Q4275" i="2"/>
  <c r="R4275" i="2" s="1"/>
  <c r="Q4274" i="2"/>
  <c r="R4274" i="2" s="1"/>
  <c r="R4273" i="2"/>
  <c r="Q4273" i="2"/>
  <c r="Q4272" i="2"/>
  <c r="R4272" i="2" s="1"/>
  <c r="R4271" i="2"/>
  <c r="Q4271" i="2"/>
  <c r="Q4270" i="2"/>
  <c r="R4270" i="2" s="1"/>
  <c r="Q4269" i="2"/>
  <c r="R4269" i="2" s="1"/>
  <c r="Q4268" i="2"/>
  <c r="R4268" i="2" s="1"/>
  <c r="Q4267" i="2"/>
  <c r="R4267" i="2" s="1"/>
  <c r="Q4266" i="2"/>
  <c r="R4266" i="2" s="1"/>
  <c r="R4265" i="2"/>
  <c r="Q4265" i="2"/>
  <c r="Q4264" i="2"/>
  <c r="R4264" i="2" s="1"/>
  <c r="Q4263" i="2"/>
  <c r="R4263" i="2" s="1"/>
  <c r="Q4262" i="2"/>
  <c r="R4262" i="2" s="1"/>
  <c r="Q4261" i="2"/>
  <c r="R4261" i="2" s="1"/>
  <c r="Q4260" i="2"/>
  <c r="R4260" i="2" s="1"/>
  <c r="Q4259" i="2"/>
  <c r="R4259" i="2" s="1"/>
  <c r="Q4258" i="2"/>
  <c r="R4258" i="2" s="1"/>
  <c r="R4257" i="2"/>
  <c r="Q4257" i="2"/>
  <c r="Q4256" i="2"/>
  <c r="R4256" i="2" s="1"/>
  <c r="R4255" i="2"/>
  <c r="Q4255" i="2"/>
  <c r="Q4254" i="2"/>
  <c r="R4254" i="2" s="1"/>
  <c r="Q4253" i="2"/>
  <c r="R4253" i="2" s="1"/>
  <c r="Q4252" i="2"/>
  <c r="R4252" i="2" s="1"/>
  <c r="Q4251" i="2"/>
  <c r="R4251" i="2" s="1"/>
  <c r="Q4250" i="2"/>
  <c r="R4250" i="2" s="1"/>
  <c r="R4249" i="2"/>
  <c r="Q4249" i="2"/>
  <c r="Q4248" i="2"/>
  <c r="R4248" i="2" s="1"/>
  <c r="Q4247" i="2"/>
  <c r="R4247" i="2" s="1"/>
  <c r="Q4246" i="2"/>
  <c r="R4246" i="2" s="1"/>
  <c r="R4245" i="2"/>
  <c r="Q4245" i="2"/>
  <c r="Q4244" i="2"/>
  <c r="R4244" i="2" s="1"/>
  <c r="Q4243" i="2"/>
  <c r="R4243" i="2" s="1"/>
  <c r="Q4242" i="2"/>
  <c r="R4242" i="2" s="1"/>
  <c r="R4241" i="2"/>
  <c r="Q4241" i="2"/>
  <c r="Q4240" i="2"/>
  <c r="R4240" i="2" s="1"/>
  <c r="R4239" i="2"/>
  <c r="Q4239" i="2"/>
  <c r="Q4238" i="2"/>
  <c r="R4238" i="2" s="1"/>
  <c r="Q4237" i="2"/>
  <c r="R4237" i="2" s="1"/>
  <c r="Q4236" i="2"/>
  <c r="R4236" i="2" s="1"/>
  <c r="Q4235" i="2"/>
  <c r="R4235" i="2" s="1"/>
  <c r="Q4234" i="2"/>
  <c r="R4234" i="2" s="1"/>
  <c r="R4233" i="2"/>
  <c r="Q4233" i="2"/>
  <c r="Q4232" i="2"/>
  <c r="R4232" i="2" s="1"/>
  <c r="Q4231" i="2"/>
  <c r="R4231" i="2" s="1"/>
  <c r="Q4230" i="2"/>
  <c r="R4230" i="2" s="1"/>
  <c r="Q4229" i="2"/>
  <c r="R4229" i="2" s="1"/>
  <c r="Q4228" i="2"/>
  <c r="R4228" i="2" s="1"/>
  <c r="Q4227" i="2"/>
  <c r="R4227" i="2" s="1"/>
  <c r="Q4226" i="2"/>
  <c r="R4226" i="2" s="1"/>
  <c r="R4225" i="2"/>
  <c r="Q4225" i="2"/>
  <c r="Q4224" i="2"/>
  <c r="R4224" i="2" s="1"/>
  <c r="R4223" i="2"/>
  <c r="Q4223" i="2"/>
  <c r="Q4222" i="2"/>
  <c r="R4222" i="2" s="1"/>
  <c r="Q4221" i="2"/>
  <c r="R4221" i="2" s="1"/>
  <c r="Q4220" i="2"/>
  <c r="R4220" i="2" s="1"/>
  <c r="Q4219" i="2"/>
  <c r="R4219" i="2" s="1"/>
  <c r="Q4218" i="2"/>
  <c r="R4218" i="2" s="1"/>
  <c r="R4217" i="2"/>
  <c r="Q4217" i="2"/>
  <c r="Q4216" i="2"/>
  <c r="R4216" i="2" s="1"/>
  <c r="Q4215" i="2"/>
  <c r="R4215" i="2" s="1"/>
  <c r="Q4214" i="2"/>
  <c r="R4214" i="2" s="1"/>
  <c r="R4213" i="2"/>
  <c r="Q4213" i="2"/>
  <c r="Q4212" i="2"/>
  <c r="R4212" i="2" s="1"/>
  <c r="Q4211" i="2"/>
  <c r="R4211" i="2" s="1"/>
  <c r="Q4210" i="2"/>
  <c r="R4210" i="2" s="1"/>
  <c r="R4209" i="2"/>
  <c r="Q4209" i="2"/>
  <c r="Q4208" i="2"/>
  <c r="R4208" i="2" s="1"/>
  <c r="R4207" i="2"/>
  <c r="Q4207" i="2"/>
  <c r="Q4206" i="2"/>
  <c r="R4206" i="2" s="1"/>
  <c r="Q4205" i="2"/>
  <c r="R4205" i="2" s="1"/>
  <c r="Q4204" i="2"/>
  <c r="R4204" i="2" s="1"/>
  <c r="Q4203" i="2"/>
  <c r="R4203" i="2" s="1"/>
  <c r="Q4202" i="2"/>
  <c r="R4202" i="2" s="1"/>
  <c r="R4201" i="2"/>
  <c r="Q4201" i="2"/>
  <c r="Q4200" i="2"/>
  <c r="R4200" i="2" s="1"/>
  <c r="Q4199" i="2"/>
  <c r="R4199" i="2" s="1"/>
  <c r="Q4198" i="2"/>
  <c r="R4198" i="2" s="1"/>
  <c r="Q4197" i="2"/>
  <c r="R4197" i="2" s="1"/>
  <c r="Q4196" i="2"/>
  <c r="R4196" i="2" s="1"/>
  <c r="Q4195" i="2"/>
  <c r="R4195" i="2" s="1"/>
  <c r="Q4194" i="2"/>
  <c r="R4194" i="2" s="1"/>
  <c r="R4193" i="2"/>
  <c r="Q4193" i="2"/>
  <c r="Q4192" i="2"/>
  <c r="R4192" i="2" s="1"/>
  <c r="R4191" i="2"/>
  <c r="Q4191" i="2"/>
  <c r="Q4190" i="2"/>
  <c r="R4190" i="2" s="1"/>
  <c r="Q4189" i="2"/>
  <c r="R4189" i="2" s="1"/>
  <c r="Q4188" i="2"/>
  <c r="R4188" i="2" s="1"/>
  <c r="Q4187" i="2"/>
  <c r="R4187" i="2" s="1"/>
  <c r="Q4186" i="2"/>
  <c r="R4186" i="2" s="1"/>
  <c r="R4185" i="2"/>
  <c r="Q4185" i="2"/>
  <c r="Q4184" i="2"/>
  <c r="R4184" i="2" s="1"/>
  <c r="Q4183" i="2"/>
  <c r="R4183" i="2" s="1"/>
  <c r="Q4182" i="2"/>
  <c r="R4182" i="2" s="1"/>
  <c r="R4181" i="2"/>
  <c r="Q4181" i="2"/>
  <c r="Q4180" i="2"/>
  <c r="R4180" i="2" s="1"/>
  <c r="Q4179" i="2"/>
  <c r="R4179" i="2" s="1"/>
  <c r="Q4178" i="2"/>
  <c r="R4178" i="2" s="1"/>
  <c r="R4177" i="2"/>
  <c r="Q4177" i="2"/>
  <c r="Q4176" i="2"/>
  <c r="R4176" i="2" s="1"/>
  <c r="R4175" i="2"/>
  <c r="Q4175" i="2"/>
  <c r="Q4174" i="2"/>
  <c r="R4174" i="2" s="1"/>
  <c r="Q4173" i="2"/>
  <c r="R4173" i="2" s="1"/>
  <c r="Q4172" i="2"/>
  <c r="R4172" i="2" s="1"/>
  <c r="Q4171" i="2"/>
  <c r="R4171" i="2" s="1"/>
  <c r="Q4170" i="2"/>
  <c r="R4170" i="2" s="1"/>
  <c r="R4169" i="2"/>
  <c r="Q4169" i="2"/>
  <c r="Q4168" i="2"/>
  <c r="R4168" i="2" s="1"/>
  <c r="Q4167" i="2"/>
  <c r="R4167" i="2" s="1"/>
  <c r="Q4166" i="2"/>
  <c r="R4166" i="2" s="1"/>
  <c r="Q4165" i="2"/>
  <c r="R4165" i="2" s="1"/>
  <c r="Q4164" i="2"/>
  <c r="R4164" i="2" s="1"/>
  <c r="Q4163" i="2"/>
  <c r="R4163" i="2" s="1"/>
  <c r="Q4162" i="2"/>
  <c r="R4162" i="2" s="1"/>
  <c r="R4161" i="2"/>
  <c r="Q4161" i="2"/>
  <c r="Q4160" i="2"/>
  <c r="R4160" i="2" s="1"/>
  <c r="R4159" i="2"/>
  <c r="Q4159" i="2"/>
  <c r="Q4158" i="2"/>
  <c r="R4158" i="2" s="1"/>
  <c r="Q4157" i="2"/>
  <c r="R4157" i="2" s="1"/>
  <c r="Q4156" i="2"/>
  <c r="R4156" i="2" s="1"/>
  <c r="Q4155" i="2"/>
  <c r="R4155" i="2" s="1"/>
  <c r="Q4154" i="2"/>
  <c r="R4154" i="2" s="1"/>
  <c r="R4153" i="2"/>
  <c r="Q4153" i="2"/>
  <c r="Q4152" i="2"/>
  <c r="R4152" i="2" s="1"/>
  <c r="Q4151" i="2"/>
  <c r="R4151" i="2" s="1"/>
  <c r="Q4150" i="2"/>
  <c r="R4150" i="2" s="1"/>
  <c r="R4149" i="2"/>
  <c r="Q4149" i="2"/>
  <c r="Q4148" i="2"/>
  <c r="R4148" i="2" s="1"/>
  <c r="Q4147" i="2"/>
  <c r="R4147" i="2" s="1"/>
  <c r="Q4146" i="2"/>
  <c r="R4146" i="2" s="1"/>
  <c r="R4145" i="2"/>
  <c r="Q4145" i="2"/>
  <c r="Q4144" i="2"/>
  <c r="R4144" i="2" s="1"/>
  <c r="R4143" i="2"/>
  <c r="Q4143" i="2"/>
  <c r="Q4142" i="2"/>
  <c r="R4142" i="2" s="1"/>
  <c r="Q4141" i="2"/>
  <c r="R4141" i="2" s="1"/>
  <c r="Q4140" i="2"/>
  <c r="R4140" i="2" s="1"/>
  <c r="Q4139" i="2"/>
  <c r="R4139" i="2" s="1"/>
  <c r="Q4138" i="2"/>
  <c r="R4138" i="2" s="1"/>
  <c r="R4137" i="2"/>
  <c r="Q4137" i="2"/>
  <c r="Q4136" i="2"/>
  <c r="R4136" i="2" s="1"/>
  <c r="Q4135" i="2"/>
  <c r="R4135" i="2" s="1"/>
  <c r="Q4134" i="2"/>
  <c r="R4134" i="2" s="1"/>
  <c r="Q4133" i="2"/>
  <c r="R4133" i="2" s="1"/>
  <c r="Q4132" i="2"/>
  <c r="R4132" i="2" s="1"/>
  <c r="Q4131" i="2"/>
  <c r="R4131" i="2" s="1"/>
  <c r="Q4130" i="2"/>
  <c r="R4130" i="2" s="1"/>
  <c r="R4129" i="2"/>
  <c r="Q4129" i="2"/>
  <c r="Q4128" i="2"/>
  <c r="R4128" i="2" s="1"/>
  <c r="R4127" i="2"/>
  <c r="Q4127" i="2"/>
  <c r="Q4126" i="2"/>
  <c r="R4126" i="2" s="1"/>
  <c r="Q4125" i="2"/>
  <c r="R4125" i="2" s="1"/>
  <c r="Q4124" i="2"/>
  <c r="R4124" i="2" s="1"/>
  <c r="Q4123" i="2"/>
  <c r="R4123" i="2" s="1"/>
  <c r="Q4122" i="2"/>
  <c r="R4122" i="2" s="1"/>
  <c r="R4121" i="2"/>
  <c r="Q4121" i="2"/>
  <c r="Q4120" i="2"/>
  <c r="R4120" i="2" s="1"/>
  <c r="Q4119" i="2"/>
  <c r="R4119" i="2" s="1"/>
  <c r="Q4118" i="2"/>
  <c r="R4118" i="2" s="1"/>
  <c r="R4117" i="2"/>
  <c r="Q4117" i="2"/>
  <c r="Q4116" i="2"/>
  <c r="R4116" i="2" s="1"/>
  <c r="Q4115" i="2"/>
  <c r="R4115" i="2" s="1"/>
  <c r="Q4114" i="2"/>
  <c r="R4114" i="2" s="1"/>
  <c r="R4113" i="2"/>
  <c r="Q4113" i="2"/>
  <c r="Q4112" i="2"/>
  <c r="R4112" i="2" s="1"/>
  <c r="R4111" i="2"/>
  <c r="Q4111" i="2"/>
  <c r="Q4110" i="2"/>
  <c r="R4110" i="2" s="1"/>
  <c r="Q4109" i="2"/>
  <c r="R4109" i="2" s="1"/>
  <c r="Q4108" i="2"/>
  <c r="R4108" i="2" s="1"/>
  <c r="Q4107" i="2"/>
  <c r="R4107" i="2" s="1"/>
  <c r="Q4106" i="2"/>
  <c r="R4106" i="2" s="1"/>
  <c r="R4105" i="2"/>
  <c r="Q4105" i="2"/>
  <c r="Q4104" i="2"/>
  <c r="R4104" i="2" s="1"/>
  <c r="Q4103" i="2"/>
  <c r="R4103" i="2" s="1"/>
  <c r="Q4102" i="2"/>
  <c r="R4102" i="2" s="1"/>
  <c r="Q4101" i="2"/>
  <c r="R4101" i="2" s="1"/>
  <c r="Q4100" i="2"/>
  <c r="R4100" i="2" s="1"/>
  <c r="Q4099" i="2"/>
  <c r="R4099" i="2" s="1"/>
  <c r="Q4098" i="2"/>
  <c r="R4098" i="2" s="1"/>
  <c r="R4097" i="2"/>
  <c r="Q4097" i="2"/>
  <c r="Q4096" i="2"/>
  <c r="R4096" i="2" s="1"/>
  <c r="R4095" i="2"/>
  <c r="Q4095" i="2"/>
  <c r="Q4094" i="2"/>
  <c r="R4094" i="2" s="1"/>
  <c r="Q4093" i="2"/>
  <c r="R4093" i="2" s="1"/>
  <c r="Q4092" i="2"/>
  <c r="R4092" i="2" s="1"/>
  <c r="Q4091" i="2"/>
  <c r="R4091" i="2" s="1"/>
  <c r="Q4090" i="2"/>
  <c r="R4090" i="2" s="1"/>
  <c r="R4089" i="2"/>
  <c r="Q4089" i="2"/>
  <c r="Q4088" i="2"/>
  <c r="R4088" i="2" s="1"/>
  <c r="Q4087" i="2"/>
  <c r="R4087" i="2" s="1"/>
  <c r="Q4086" i="2"/>
  <c r="R4086" i="2" s="1"/>
  <c r="R4085" i="2"/>
  <c r="Q4085" i="2"/>
  <c r="Q4084" i="2"/>
  <c r="R4084" i="2" s="1"/>
  <c r="Q4083" i="2"/>
  <c r="R4083" i="2" s="1"/>
  <c r="Q4082" i="2"/>
  <c r="R4082" i="2" s="1"/>
  <c r="R4081" i="2"/>
  <c r="Q4081" i="2"/>
  <c r="Q4080" i="2"/>
  <c r="R4080" i="2" s="1"/>
  <c r="R4079" i="2"/>
  <c r="Q4079" i="2"/>
  <c r="Q4078" i="2"/>
  <c r="R4078" i="2" s="1"/>
  <c r="Q4077" i="2"/>
  <c r="R4077" i="2" s="1"/>
  <c r="Q4076" i="2"/>
  <c r="R4076" i="2" s="1"/>
  <c r="Q4075" i="2"/>
  <c r="R4075" i="2" s="1"/>
  <c r="Q4074" i="2"/>
  <c r="R4074" i="2" s="1"/>
  <c r="R4073" i="2"/>
  <c r="Q4073" i="2"/>
  <c r="Q4072" i="2"/>
  <c r="R4072" i="2" s="1"/>
  <c r="Q4071" i="2"/>
  <c r="R4071" i="2" s="1"/>
  <c r="Q4070" i="2"/>
  <c r="R4070" i="2" s="1"/>
  <c r="Q4069" i="2"/>
  <c r="R4069" i="2" s="1"/>
  <c r="Q4068" i="2"/>
  <c r="R4068" i="2" s="1"/>
  <c r="Q4067" i="2"/>
  <c r="R4067" i="2" s="1"/>
  <c r="Q4066" i="2"/>
  <c r="R4066" i="2" s="1"/>
  <c r="R4065" i="2"/>
  <c r="Q4065" i="2"/>
  <c r="Q4064" i="2"/>
  <c r="R4064" i="2" s="1"/>
  <c r="R4063" i="2"/>
  <c r="Q4063" i="2"/>
  <c r="Q4062" i="2"/>
  <c r="R4062" i="2" s="1"/>
  <c r="Q4061" i="2"/>
  <c r="R4061" i="2" s="1"/>
  <c r="Q4060" i="2"/>
  <c r="R4060" i="2" s="1"/>
  <c r="Q4059" i="2"/>
  <c r="R4059" i="2" s="1"/>
  <c r="Q4058" i="2"/>
  <c r="R4058" i="2" s="1"/>
  <c r="R4057" i="2"/>
  <c r="Q4057" i="2"/>
  <c r="Q4056" i="2"/>
  <c r="R4056" i="2" s="1"/>
  <c r="Q4055" i="2"/>
  <c r="R4055" i="2" s="1"/>
  <c r="Q4054" i="2"/>
  <c r="R4054" i="2" s="1"/>
  <c r="R4053" i="2"/>
  <c r="Q4053" i="2"/>
  <c r="Q4052" i="2"/>
  <c r="R4052" i="2" s="1"/>
  <c r="Q4051" i="2"/>
  <c r="R4051" i="2" s="1"/>
  <c r="Q4050" i="2"/>
  <c r="R4050" i="2" s="1"/>
  <c r="R4049" i="2"/>
  <c r="Q4049" i="2"/>
  <c r="Q4048" i="2"/>
  <c r="R4048" i="2" s="1"/>
  <c r="R4047" i="2"/>
  <c r="Q4047" i="2"/>
  <c r="Q4046" i="2"/>
  <c r="R4046" i="2" s="1"/>
  <c r="Q4045" i="2"/>
  <c r="R4045" i="2" s="1"/>
  <c r="Q4044" i="2"/>
  <c r="R4044" i="2" s="1"/>
  <c r="Q4043" i="2"/>
  <c r="R4043" i="2" s="1"/>
  <c r="Q4042" i="2"/>
  <c r="R4042" i="2" s="1"/>
  <c r="R4041" i="2"/>
  <c r="Q4041" i="2"/>
  <c r="Q4040" i="2"/>
  <c r="R4040" i="2" s="1"/>
  <c r="Q4039" i="2"/>
  <c r="R4039" i="2" s="1"/>
  <c r="Q4038" i="2"/>
  <c r="R4038" i="2" s="1"/>
  <c r="Q4037" i="2"/>
  <c r="R4037" i="2" s="1"/>
  <c r="Q4036" i="2"/>
  <c r="R4036" i="2" s="1"/>
  <c r="Q4035" i="2"/>
  <c r="R4035" i="2" s="1"/>
  <c r="Q4034" i="2"/>
  <c r="R4034" i="2" s="1"/>
  <c r="R4033" i="2"/>
  <c r="Q4033" i="2"/>
  <c r="Q4032" i="2"/>
  <c r="R4032" i="2" s="1"/>
  <c r="R4031" i="2"/>
  <c r="Q4031" i="2"/>
  <c r="Q4030" i="2"/>
  <c r="R4030" i="2" s="1"/>
  <c r="Q4029" i="2"/>
  <c r="R4029" i="2" s="1"/>
  <c r="Q4028" i="2"/>
  <c r="R4028" i="2" s="1"/>
  <c r="Q4027" i="2"/>
  <c r="R4027" i="2" s="1"/>
  <c r="Q4026" i="2"/>
  <c r="R4026" i="2" s="1"/>
  <c r="R4025" i="2"/>
  <c r="Q4025" i="2"/>
  <c r="Q4024" i="2"/>
  <c r="R4024" i="2" s="1"/>
  <c r="Q4023" i="2"/>
  <c r="R4023" i="2" s="1"/>
  <c r="Q4022" i="2"/>
  <c r="R4022" i="2" s="1"/>
  <c r="R4021" i="2"/>
  <c r="Q4021" i="2"/>
  <c r="Q4020" i="2"/>
  <c r="R4020" i="2" s="1"/>
  <c r="Q4019" i="2"/>
  <c r="R4019" i="2" s="1"/>
  <c r="Q4018" i="2"/>
  <c r="R4018" i="2" s="1"/>
  <c r="R4017" i="2"/>
  <c r="Q4017" i="2"/>
  <c r="Q4016" i="2"/>
  <c r="R4016" i="2" s="1"/>
  <c r="R4015" i="2"/>
  <c r="Q4015" i="2"/>
  <c r="Q4014" i="2"/>
  <c r="R4014" i="2" s="1"/>
  <c r="Q4013" i="2"/>
  <c r="R4013" i="2" s="1"/>
  <c r="Q4012" i="2"/>
  <c r="R4012" i="2" s="1"/>
  <c r="Q4011" i="2"/>
  <c r="R4011" i="2" s="1"/>
  <c r="Q4010" i="2"/>
  <c r="R4010" i="2" s="1"/>
  <c r="R4009" i="2"/>
  <c r="Q4009" i="2"/>
  <c r="Q4008" i="2"/>
  <c r="R4008" i="2" s="1"/>
  <c r="Q4007" i="2"/>
  <c r="R4007" i="2" s="1"/>
  <c r="Q4006" i="2"/>
  <c r="R4006" i="2" s="1"/>
  <c r="Q4005" i="2"/>
  <c r="R4005" i="2" s="1"/>
  <c r="Q4004" i="2"/>
  <c r="R4004" i="2" s="1"/>
  <c r="Q4003" i="2"/>
  <c r="R4003" i="2" s="1"/>
  <c r="Q4002" i="2"/>
  <c r="R4002" i="2" s="1"/>
  <c r="R4001" i="2"/>
  <c r="Q4001" i="2"/>
  <c r="Q4000" i="2"/>
  <c r="R4000" i="2" s="1"/>
  <c r="R3999" i="2"/>
  <c r="Q3999" i="2"/>
  <c r="Q3998" i="2"/>
  <c r="R3998" i="2" s="1"/>
  <c r="Q3997" i="2"/>
  <c r="R3997" i="2" s="1"/>
  <c r="Q3996" i="2"/>
  <c r="R3996" i="2" s="1"/>
  <c r="Q3995" i="2"/>
  <c r="R3995" i="2" s="1"/>
  <c r="Q3994" i="2"/>
  <c r="R3994" i="2" s="1"/>
  <c r="R3993" i="2"/>
  <c r="Q3993" i="2"/>
  <c r="Q3992" i="2"/>
  <c r="R3992" i="2" s="1"/>
  <c r="Q3991" i="2"/>
  <c r="R3991" i="2" s="1"/>
  <c r="Q3990" i="2"/>
  <c r="R3990" i="2" s="1"/>
  <c r="R3989" i="2"/>
  <c r="Q3989" i="2"/>
  <c r="Q3988" i="2"/>
  <c r="R3988" i="2" s="1"/>
  <c r="Q3987" i="2"/>
  <c r="R3987" i="2" s="1"/>
  <c r="Q3986" i="2"/>
  <c r="R3986" i="2" s="1"/>
  <c r="R3985" i="2"/>
  <c r="Q3985" i="2"/>
  <c r="Q3984" i="2"/>
  <c r="R3984" i="2" s="1"/>
  <c r="R3983" i="2"/>
  <c r="Q3983" i="2"/>
  <c r="Q3982" i="2"/>
  <c r="R3982" i="2" s="1"/>
  <c r="Q3981" i="2"/>
  <c r="R3981" i="2" s="1"/>
  <c r="Q3980" i="2"/>
  <c r="R3980" i="2" s="1"/>
  <c r="Q3979" i="2"/>
  <c r="R3979" i="2" s="1"/>
  <c r="Q3978" i="2"/>
  <c r="R3978" i="2" s="1"/>
  <c r="R3977" i="2"/>
  <c r="Q3977" i="2"/>
  <c r="Q3976" i="2"/>
  <c r="R3976" i="2" s="1"/>
  <c r="Q3975" i="2"/>
  <c r="R3975" i="2" s="1"/>
  <c r="Q3974" i="2"/>
  <c r="R3974" i="2" s="1"/>
  <c r="Q3973" i="2"/>
  <c r="R3973" i="2" s="1"/>
  <c r="Q3972" i="2"/>
  <c r="R3972" i="2" s="1"/>
  <c r="Q3971" i="2"/>
  <c r="R3971" i="2" s="1"/>
  <c r="Q3970" i="2"/>
  <c r="R3970" i="2" s="1"/>
  <c r="R3969" i="2"/>
  <c r="Q3969" i="2"/>
  <c r="Q3968" i="2"/>
  <c r="R3968" i="2" s="1"/>
  <c r="R3967" i="2"/>
  <c r="Q3967" i="2"/>
  <c r="Q3966" i="2"/>
  <c r="R3966" i="2" s="1"/>
  <c r="Q3965" i="2"/>
  <c r="R3965" i="2" s="1"/>
  <c r="Q3964" i="2"/>
  <c r="R3964" i="2" s="1"/>
  <c r="Q3963" i="2"/>
  <c r="R3963" i="2" s="1"/>
  <c r="Q3962" i="2"/>
  <c r="R3962" i="2" s="1"/>
  <c r="R3961" i="2"/>
  <c r="Q3961" i="2"/>
  <c r="Q3960" i="2"/>
  <c r="R3960" i="2" s="1"/>
  <c r="Q3959" i="2"/>
  <c r="R3959" i="2" s="1"/>
  <c r="Q3958" i="2"/>
  <c r="R3958" i="2" s="1"/>
  <c r="R3957" i="2"/>
  <c r="Q3957" i="2"/>
  <c r="Q3956" i="2"/>
  <c r="R3956" i="2" s="1"/>
  <c r="Q3955" i="2"/>
  <c r="R3955" i="2" s="1"/>
  <c r="Q3954" i="2"/>
  <c r="R3954" i="2" s="1"/>
  <c r="R3953" i="2"/>
  <c r="Q3953" i="2"/>
  <c r="Q3952" i="2"/>
  <c r="R3952" i="2" s="1"/>
  <c r="R3951" i="2"/>
  <c r="Q3951" i="2"/>
  <c r="Q3950" i="2"/>
  <c r="R3950" i="2" s="1"/>
  <c r="Q3949" i="2"/>
  <c r="R3949" i="2" s="1"/>
  <c r="Q3948" i="2"/>
  <c r="R3948" i="2" s="1"/>
  <c r="Q3947" i="2"/>
  <c r="R3947" i="2" s="1"/>
  <c r="Q3946" i="2"/>
  <c r="R3946" i="2" s="1"/>
  <c r="R3945" i="2"/>
  <c r="Q3945" i="2"/>
  <c r="Q3944" i="2"/>
  <c r="R3944" i="2" s="1"/>
  <c r="Q3943" i="2"/>
  <c r="R3943" i="2" s="1"/>
  <c r="Q3942" i="2"/>
  <c r="R3942" i="2" s="1"/>
  <c r="Q3941" i="2"/>
  <c r="R3941" i="2" s="1"/>
  <c r="Q3940" i="2"/>
  <c r="R3940" i="2" s="1"/>
  <c r="Q3939" i="2"/>
  <c r="R3939" i="2" s="1"/>
  <c r="Q3938" i="2"/>
  <c r="R3938" i="2" s="1"/>
  <c r="R3937" i="2"/>
  <c r="Q3937" i="2"/>
  <c r="Q3936" i="2"/>
  <c r="R3936" i="2" s="1"/>
  <c r="R3935" i="2"/>
  <c r="Q3935" i="2"/>
  <c r="Q3934" i="2"/>
  <c r="R3934" i="2" s="1"/>
  <c r="Q3933" i="2"/>
  <c r="R3933" i="2" s="1"/>
  <c r="Q3932" i="2"/>
  <c r="R3932" i="2" s="1"/>
  <c r="Q3931" i="2"/>
  <c r="R3931" i="2" s="1"/>
  <c r="Q3930" i="2"/>
  <c r="R3930" i="2" s="1"/>
  <c r="R3929" i="2"/>
  <c r="Q3929" i="2"/>
  <c r="Q3928" i="2"/>
  <c r="R3928" i="2" s="1"/>
  <c r="Q3927" i="2"/>
  <c r="R3927" i="2" s="1"/>
  <c r="Q3926" i="2"/>
  <c r="R3926" i="2" s="1"/>
  <c r="R3925" i="2"/>
  <c r="Q3925" i="2"/>
  <c r="Q3924" i="2"/>
  <c r="R3924" i="2" s="1"/>
  <c r="Q3923" i="2"/>
  <c r="R3923" i="2" s="1"/>
  <c r="Q3922" i="2"/>
  <c r="R3922" i="2" s="1"/>
  <c r="R3921" i="2"/>
  <c r="Q3921" i="2"/>
  <c r="Q3920" i="2"/>
  <c r="R3920" i="2" s="1"/>
  <c r="R3919" i="2"/>
  <c r="Q3919" i="2"/>
  <c r="Q3918" i="2"/>
  <c r="R3918" i="2" s="1"/>
  <c r="Q3917" i="2"/>
  <c r="R3917" i="2" s="1"/>
  <c r="Q3916" i="2"/>
  <c r="R3916" i="2" s="1"/>
  <c r="Q3915" i="2"/>
  <c r="R3915" i="2" s="1"/>
  <c r="Q3914" i="2"/>
  <c r="R3914" i="2" s="1"/>
  <c r="R3913" i="2"/>
  <c r="Q3913" i="2"/>
  <c r="Q3912" i="2"/>
  <c r="R3912" i="2" s="1"/>
  <c r="Q3911" i="2"/>
  <c r="R3911" i="2" s="1"/>
  <c r="Q3910" i="2"/>
  <c r="R3910" i="2" s="1"/>
  <c r="Q3909" i="2"/>
  <c r="R3909" i="2" s="1"/>
  <c r="Q3908" i="2"/>
  <c r="R3908" i="2" s="1"/>
  <c r="Q3907" i="2"/>
  <c r="R3907" i="2" s="1"/>
  <c r="Q3906" i="2"/>
  <c r="R3906" i="2" s="1"/>
  <c r="R3905" i="2"/>
  <c r="Q3905" i="2"/>
  <c r="Q3904" i="2"/>
  <c r="R3904" i="2" s="1"/>
  <c r="R3903" i="2"/>
  <c r="Q3903" i="2"/>
  <c r="Q3902" i="2"/>
  <c r="R3902" i="2" s="1"/>
  <c r="Q3901" i="2"/>
  <c r="R3901" i="2" s="1"/>
  <c r="Q3900" i="2"/>
  <c r="R3900" i="2" s="1"/>
  <c r="Q3899" i="2"/>
  <c r="R3899" i="2" s="1"/>
  <c r="Q3898" i="2"/>
  <c r="R3898" i="2" s="1"/>
  <c r="R3897" i="2"/>
  <c r="Q3897" i="2"/>
  <c r="Q3896" i="2"/>
  <c r="R3896" i="2" s="1"/>
  <c r="Q3895" i="2"/>
  <c r="R3895" i="2" s="1"/>
  <c r="Q3894" i="2"/>
  <c r="R3894" i="2" s="1"/>
  <c r="Q3893" i="2"/>
  <c r="R3893" i="2" s="1"/>
  <c r="Q3892" i="2"/>
  <c r="R3892" i="2" s="1"/>
  <c r="Q3891" i="2"/>
  <c r="R3891" i="2" s="1"/>
  <c r="Q3890" i="2"/>
  <c r="R3890" i="2" s="1"/>
  <c r="R3889" i="2"/>
  <c r="Q3889" i="2"/>
  <c r="Q3888" i="2"/>
  <c r="R3888" i="2" s="1"/>
  <c r="R3887" i="2"/>
  <c r="Q3887" i="2"/>
  <c r="Q3886" i="2"/>
  <c r="R3886" i="2" s="1"/>
  <c r="Q3885" i="2"/>
  <c r="R3885" i="2" s="1"/>
  <c r="Q3884" i="2"/>
  <c r="R3884" i="2" s="1"/>
  <c r="Q3883" i="2"/>
  <c r="R3883" i="2" s="1"/>
  <c r="Q3882" i="2"/>
  <c r="R3882" i="2" s="1"/>
  <c r="R3881" i="2"/>
  <c r="Q3881" i="2"/>
  <c r="Q3880" i="2"/>
  <c r="R3880" i="2" s="1"/>
  <c r="Q3879" i="2"/>
  <c r="R3879" i="2" s="1"/>
  <c r="Q3878" i="2"/>
  <c r="R3878" i="2" s="1"/>
  <c r="Q3877" i="2"/>
  <c r="R3877" i="2" s="1"/>
  <c r="Q3876" i="2"/>
  <c r="R3876" i="2" s="1"/>
  <c r="Q3875" i="2"/>
  <c r="R3875" i="2" s="1"/>
  <c r="Q3874" i="2"/>
  <c r="R3874" i="2" s="1"/>
  <c r="R3873" i="2"/>
  <c r="Q3873" i="2"/>
  <c r="Q3872" i="2"/>
  <c r="R3872" i="2" s="1"/>
  <c r="R3871" i="2"/>
  <c r="Q3871" i="2"/>
  <c r="Q3870" i="2"/>
  <c r="R3870" i="2" s="1"/>
  <c r="Q3869" i="2"/>
  <c r="R3869" i="2" s="1"/>
  <c r="Q3868" i="2"/>
  <c r="R3868" i="2" s="1"/>
  <c r="Q3867" i="2"/>
  <c r="R3867" i="2" s="1"/>
  <c r="Q3866" i="2"/>
  <c r="R3866" i="2" s="1"/>
  <c r="R3865" i="2"/>
  <c r="Q3865" i="2"/>
  <c r="Q3864" i="2"/>
  <c r="R3864" i="2" s="1"/>
  <c r="Q3863" i="2"/>
  <c r="R3863" i="2" s="1"/>
  <c r="Q3862" i="2"/>
  <c r="R3862" i="2" s="1"/>
  <c r="Q3861" i="2"/>
  <c r="R3861" i="2" s="1"/>
  <c r="Q3860" i="2"/>
  <c r="R3860" i="2" s="1"/>
  <c r="Q3859" i="2"/>
  <c r="R3859" i="2" s="1"/>
  <c r="Q3858" i="2"/>
  <c r="R3858" i="2" s="1"/>
  <c r="R3857" i="2"/>
  <c r="Q3857" i="2"/>
  <c r="Q3856" i="2"/>
  <c r="R3856" i="2" s="1"/>
  <c r="R3855" i="2"/>
  <c r="Q3855" i="2"/>
  <c r="Q3854" i="2"/>
  <c r="R3854" i="2" s="1"/>
  <c r="Q3853" i="2"/>
  <c r="R3853" i="2" s="1"/>
  <c r="Q3852" i="2"/>
  <c r="R3852" i="2" s="1"/>
  <c r="Q3851" i="2"/>
  <c r="R3851" i="2" s="1"/>
  <c r="Q3850" i="2"/>
  <c r="R3850" i="2" s="1"/>
  <c r="R3849" i="2"/>
  <c r="Q3849" i="2"/>
  <c r="Q3848" i="2"/>
  <c r="R3848" i="2" s="1"/>
  <c r="Q3847" i="2"/>
  <c r="R3847" i="2" s="1"/>
  <c r="Q3846" i="2"/>
  <c r="R3846" i="2" s="1"/>
  <c r="Q3845" i="2"/>
  <c r="R3845" i="2" s="1"/>
  <c r="Q3844" i="2"/>
  <c r="R3844" i="2" s="1"/>
  <c r="Q3843" i="2"/>
  <c r="R3843" i="2" s="1"/>
  <c r="Q3842" i="2"/>
  <c r="R3842" i="2" s="1"/>
  <c r="R3841" i="2"/>
  <c r="Q3841" i="2"/>
  <c r="Q3840" i="2"/>
  <c r="R3840" i="2" s="1"/>
  <c r="R3839" i="2"/>
  <c r="Q3839" i="2"/>
  <c r="Q3838" i="2"/>
  <c r="R3838" i="2" s="1"/>
  <c r="Q3837" i="2"/>
  <c r="R3837" i="2" s="1"/>
  <c r="Q3836" i="2"/>
  <c r="R3836" i="2" s="1"/>
  <c r="Q3835" i="2"/>
  <c r="R3835" i="2" s="1"/>
  <c r="Q3834" i="2"/>
  <c r="R3834" i="2" s="1"/>
  <c r="R3833" i="2"/>
  <c r="Q3833" i="2"/>
  <c r="Q3832" i="2"/>
  <c r="R3832" i="2" s="1"/>
  <c r="Q3831" i="2"/>
  <c r="R3831" i="2" s="1"/>
  <c r="Q3830" i="2"/>
  <c r="R3830" i="2" s="1"/>
  <c r="Q3829" i="2"/>
  <c r="R3829" i="2" s="1"/>
  <c r="Q3828" i="2"/>
  <c r="R3828" i="2" s="1"/>
  <c r="Q3827" i="2"/>
  <c r="R3827" i="2" s="1"/>
  <c r="Q3826" i="2"/>
  <c r="R3826" i="2" s="1"/>
  <c r="R3825" i="2"/>
  <c r="Q3825" i="2"/>
  <c r="Q3824" i="2"/>
  <c r="R3824" i="2" s="1"/>
  <c r="R3823" i="2"/>
  <c r="Q3823" i="2"/>
  <c r="Q3822" i="2"/>
  <c r="R3822" i="2" s="1"/>
  <c r="Q3821" i="2"/>
  <c r="R3821" i="2" s="1"/>
  <c r="Q3820" i="2"/>
  <c r="R3820" i="2" s="1"/>
  <c r="Q3819" i="2"/>
  <c r="R3819" i="2" s="1"/>
  <c r="Q3818" i="2"/>
  <c r="R3818" i="2" s="1"/>
  <c r="R3817" i="2"/>
  <c r="Q3817" i="2"/>
  <c r="Q3816" i="2"/>
  <c r="R3816" i="2" s="1"/>
  <c r="Q3815" i="2"/>
  <c r="R3815" i="2" s="1"/>
  <c r="Q3814" i="2"/>
  <c r="R3814" i="2" s="1"/>
  <c r="Q3813" i="2"/>
  <c r="R3813" i="2" s="1"/>
  <c r="Q3812" i="2"/>
  <c r="R3812" i="2" s="1"/>
  <c r="Q3811" i="2"/>
  <c r="R3811" i="2" s="1"/>
  <c r="Q3810" i="2"/>
  <c r="R3810" i="2" s="1"/>
  <c r="R3809" i="2"/>
  <c r="Q3809" i="2"/>
  <c r="Q3808" i="2"/>
  <c r="R3808" i="2" s="1"/>
  <c r="R3807" i="2"/>
  <c r="Q3807" i="2"/>
  <c r="Q3806" i="2"/>
  <c r="R3806" i="2" s="1"/>
  <c r="Q3805" i="2"/>
  <c r="R3805" i="2" s="1"/>
  <c r="Q3804" i="2"/>
  <c r="R3804" i="2" s="1"/>
  <c r="Q3803" i="2"/>
  <c r="R3803" i="2" s="1"/>
  <c r="Q3802" i="2"/>
  <c r="R3802" i="2" s="1"/>
  <c r="R3801" i="2"/>
  <c r="Q3801" i="2"/>
  <c r="Q3800" i="2"/>
  <c r="R3800" i="2" s="1"/>
  <c r="Q3799" i="2"/>
  <c r="R3799" i="2" s="1"/>
  <c r="Q3798" i="2"/>
  <c r="R3798" i="2" s="1"/>
  <c r="Q3797" i="2"/>
  <c r="R3797" i="2" s="1"/>
  <c r="Q3796" i="2"/>
  <c r="R3796" i="2" s="1"/>
  <c r="Q3795" i="2"/>
  <c r="R3795" i="2" s="1"/>
  <c r="Q3794" i="2"/>
  <c r="R3794" i="2" s="1"/>
  <c r="R3793" i="2"/>
  <c r="Q3793" i="2"/>
  <c r="Q3792" i="2"/>
  <c r="R3792" i="2" s="1"/>
  <c r="R3791" i="2"/>
  <c r="Q3791" i="2"/>
  <c r="Q3790" i="2"/>
  <c r="R3790" i="2" s="1"/>
  <c r="Q3789" i="2"/>
  <c r="R3789" i="2" s="1"/>
  <c r="Q3788" i="2"/>
  <c r="R3788" i="2" s="1"/>
  <c r="Q3787" i="2"/>
  <c r="R3787" i="2" s="1"/>
  <c r="Q3786" i="2"/>
  <c r="R3786" i="2" s="1"/>
  <c r="R3785" i="2"/>
  <c r="Q3785" i="2"/>
  <c r="Q3784" i="2"/>
  <c r="R3784" i="2" s="1"/>
  <c r="R3783" i="2"/>
  <c r="Q3783" i="2"/>
  <c r="Q3782" i="2"/>
  <c r="R3782" i="2" s="1"/>
  <c r="Q3781" i="2"/>
  <c r="R3781" i="2" s="1"/>
  <c r="Q3780" i="2"/>
  <c r="R3780" i="2" s="1"/>
  <c r="Q3779" i="2"/>
  <c r="R3779" i="2" s="1"/>
  <c r="Q3778" i="2"/>
  <c r="R3778" i="2" s="1"/>
  <c r="R3777" i="2"/>
  <c r="Q3777" i="2"/>
  <c r="Q3776" i="2"/>
  <c r="R3776" i="2" s="1"/>
  <c r="R3775" i="2"/>
  <c r="Q3775" i="2"/>
  <c r="Q3774" i="2"/>
  <c r="R3774" i="2" s="1"/>
  <c r="Q3773" i="2"/>
  <c r="R3773" i="2" s="1"/>
  <c r="Q3772" i="2"/>
  <c r="R3772" i="2" s="1"/>
  <c r="Q3771" i="2"/>
  <c r="R3771" i="2" s="1"/>
  <c r="Q3770" i="2"/>
  <c r="R3770" i="2" s="1"/>
  <c r="R3769" i="2"/>
  <c r="Q3769" i="2"/>
  <c r="Q3768" i="2"/>
  <c r="R3768" i="2" s="1"/>
  <c r="Q3767" i="2"/>
  <c r="R3767" i="2" s="1"/>
  <c r="Q3766" i="2"/>
  <c r="R3766" i="2" s="1"/>
  <c r="Q3765" i="2"/>
  <c r="R3765" i="2" s="1"/>
  <c r="Q3764" i="2"/>
  <c r="R3764" i="2" s="1"/>
  <c r="Q3763" i="2"/>
  <c r="R3763" i="2" s="1"/>
  <c r="Q3762" i="2"/>
  <c r="R3762" i="2" s="1"/>
  <c r="R3761" i="2"/>
  <c r="Q3761" i="2"/>
  <c r="Q3760" i="2"/>
  <c r="R3760" i="2" s="1"/>
  <c r="R3759" i="2"/>
  <c r="Q3759" i="2"/>
  <c r="Q3758" i="2"/>
  <c r="R3758" i="2" s="1"/>
  <c r="Q3757" i="2"/>
  <c r="R3757" i="2" s="1"/>
  <c r="Q3756" i="2"/>
  <c r="R3756" i="2" s="1"/>
  <c r="Q3755" i="2"/>
  <c r="R3755" i="2" s="1"/>
  <c r="Q3754" i="2"/>
  <c r="R3754" i="2" s="1"/>
  <c r="R3753" i="2"/>
  <c r="Q3753" i="2"/>
  <c r="Q3752" i="2"/>
  <c r="R3752" i="2" s="1"/>
  <c r="R3751" i="2"/>
  <c r="Q3751" i="2"/>
  <c r="Q3750" i="2"/>
  <c r="R3750" i="2" s="1"/>
  <c r="Q3749" i="2"/>
  <c r="R3749" i="2" s="1"/>
  <c r="Q3748" i="2"/>
  <c r="R3748" i="2" s="1"/>
  <c r="Q3747" i="2"/>
  <c r="R3747" i="2" s="1"/>
  <c r="Q3746" i="2"/>
  <c r="R3746" i="2" s="1"/>
  <c r="R3745" i="2"/>
  <c r="Q3745" i="2"/>
  <c r="Q3744" i="2"/>
  <c r="R3744" i="2" s="1"/>
  <c r="R3743" i="2"/>
  <c r="Q3743" i="2"/>
  <c r="Q3742" i="2"/>
  <c r="R3742" i="2" s="1"/>
  <c r="Q3741" i="2"/>
  <c r="R3741" i="2" s="1"/>
  <c r="Q3740" i="2"/>
  <c r="R3740" i="2" s="1"/>
  <c r="Q3739" i="2"/>
  <c r="R3739" i="2" s="1"/>
  <c r="Q3738" i="2"/>
  <c r="R3738" i="2" s="1"/>
  <c r="R3737" i="2"/>
  <c r="Q3737" i="2"/>
  <c r="Q3736" i="2"/>
  <c r="R3736" i="2" s="1"/>
  <c r="Q3735" i="2"/>
  <c r="R3735" i="2" s="1"/>
  <c r="Q3734" i="2"/>
  <c r="R3734" i="2" s="1"/>
  <c r="Q3733" i="2"/>
  <c r="R3733" i="2" s="1"/>
  <c r="Q3732" i="2"/>
  <c r="R3732" i="2" s="1"/>
  <c r="Q3731" i="2"/>
  <c r="R3731" i="2" s="1"/>
  <c r="Q3730" i="2"/>
  <c r="R3730" i="2" s="1"/>
  <c r="R3729" i="2"/>
  <c r="Q3729" i="2"/>
  <c r="Q3728" i="2"/>
  <c r="R3728" i="2" s="1"/>
  <c r="R3727" i="2"/>
  <c r="Q3727" i="2"/>
  <c r="Q3726" i="2"/>
  <c r="R3726" i="2" s="1"/>
  <c r="Q3725" i="2"/>
  <c r="R3725" i="2" s="1"/>
  <c r="Q3724" i="2"/>
  <c r="R3724" i="2" s="1"/>
  <c r="Q3723" i="2"/>
  <c r="R3723" i="2" s="1"/>
  <c r="Q3722" i="2"/>
  <c r="R3722" i="2" s="1"/>
  <c r="R3721" i="2"/>
  <c r="Q3721" i="2"/>
  <c r="Q3720" i="2"/>
  <c r="R3720" i="2" s="1"/>
  <c r="R3719" i="2"/>
  <c r="Q3719" i="2"/>
  <c r="Q3718" i="2"/>
  <c r="R3718" i="2" s="1"/>
  <c r="Q3717" i="2"/>
  <c r="R3717" i="2" s="1"/>
  <c r="Q3716" i="2"/>
  <c r="R3716" i="2" s="1"/>
  <c r="Q3715" i="2"/>
  <c r="R3715" i="2" s="1"/>
  <c r="Q3714" i="2"/>
  <c r="R3714" i="2" s="1"/>
  <c r="R3713" i="2"/>
  <c r="Q3713" i="2"/>
  <c r="Q3712" i="2"/>
  <c r="R3712" i="2" s="1"/>
  <c r="R3711" i="2"/>
  <c r="Q3711" i="2"/>
  <c r="Q3710" i="2"/>
  <c r="R3710" i="2" s="1"/>
  <c r="Q3709" i="2"/>
  <c r="R3709" i="2" s="1"/>
  <c r="Q3708" i="2"/>
  <c r="R3708" i="2" s="1"/>
  <c r="Q3707" i="2"/>
  <c r="R3707" i="2" s="1"/>
  <c r="Q3706" i="2"/>
  <c r="R3706" i="2" s="1"/>
  <c r="R3705" i="2"/>
  <c r="Q3705" i="2"/>
  <c r="Q3704" i="2"/>
  <c r="R3704" i="2" s="1"/>
  <c r="Q3703" i="2"/>
  <c r="R3703" i="2" s="1"/>
  <c r="Q3702" i="2"/>
  <c r="R3702" i="2" s="1"/>
  <c r="Q3701" i="2"/>
  <c r="R3701" i="2" s="1"/>
  <c r="Q3700" i="2"/>
  <c r="R3700" i="2" s="1"/>
  <c r="Q3699" i="2"/>
  <c r="R3699" i="2" s="1"/>
  <c r="Q3698" i="2"/>
  <c r="R3698" i="2" s="1"/>
  <c r="R3697" i="2"/>
  <c r="Q3697" i="2"/>
  <c r="Q3696" i="2"/>
  <c r="R3696" i="2" s="1"/>
  <c r="R3695" i="2"/>
  <c r="Q3695" i="2"/>
  <c r="Q3694" i="2"/>
  <c r="R3694" i="2" s="1"/>
  <c r="Q3693" i="2"/>
  <c r="R3693" i="2" s="1"/>
  <c r="Q3692" i="2"/>
  <c r="R3692" i="2" s="1"/>
  <c r="Q3691" i="2"/>
  <c r="R3691" i="2" s="1"/>
  <c r="Q3690" i="2"/>
  <c r="R3690" i="2" s="1"/>
  <c r="R3689" i="2"/>
  <c r="Q3689" i="2"/>
  <c r="Q3688" i="2"/>
  <c r="R3688" i="2" s="1"/>
  <c r="R3687" i="2"/>
  <c r="Q3687" i="2"/>
  <c r="Q3686" i="2"/>
  <c r="R3686" i="2" s="1"/>
  <c r="Q3685" i="2"/>
  <c r="R3685" i="2" s="1"/>
  <c r="Q3684" i="2"/>
  <c r="R3684" i="2" s="1"/>
  <c r="Q3683" i="2"/>
  <c r="R3683" i="2" s="1"/>
  <c r="Q3682" i="2"/>
  <c r="R3682" i="2" s="1"/>
  <c r="R3681" i="2"/>
  <c r="Q3681" i="2"/>
  <c r="Q3680" i="2"/>
  <c r="R3680" i="2" s="1"/>
  <c r="R3679" i="2"/>
  <c r="Q3679" i="2"/>
  <c r="Q3678" i="2"/>
  <c r="R3678" i="2" s="1"/>
  <c r="Q3677" i="2"/>
  <c r="R3677" i="2" s="1"/>
  <c r="Q3676" i="2"/>
  <c r="R3676" i="2" s="1"/>
  <c r="Q3675" i="2"/>
  <c r="R3675" i="2" s="1"/>
  <c r="Q3674" i="2"/>
  <c r="R3674" i="2" s="1"/>
  <c r="R3673" i="2"/>
  <c r="Q3673" i="2"/>
  <c r="Q3672" i="2"/>
  <c r="R3672" i="2" s="1"/>
  <c r="Q3671" i="2"/>
  <c r="R3671" i="2" s="1"/>
  <c r="Q3670" i="2"/>
  <c r="R3670" i="2" s="1"/>
  <c r="Q3669" i="2"/>
  <c r="R3669" i="2" s="1"/>
  <c r="Q3668" i="2"/>
  <c r="R3668" i="2" s="1"/>
  <c r="Q3667" i="2"/>
  <c r="R3667" i="2" s="1"/>
  <c r="Q3666" i="2"/>
  <c r="R3666" i="2" s="1"/>
  <c r="R3665" i="2"/>
  <c r="Q3665" i="2"/>
  <c r="Q3664" i="2"/>
  <c r="R3664" i="2" s="1"/>
  <c r="R3663" i="2"/>
  <c r="Q3663" i="2"/>
  <c r="Q3662" i="2"/>
  <c r="R3662" i="2" s="1"/>
  <c r="Q3661" i="2"/>
  <c r="R3661" i="2" s="1"/>
  <c r="Q3660" i="2"/>
  <c r="R3660" i="2" s="1"/>
  <c r="Q3659" i="2"/>
  <c r="R3659" i="2" s="1"/>
  <c r="Q3658" i="2"/>
  <c r="R3658" i="2" s="1"/>
  <c r="R3657" i="2"/>
  <c r="Q3657" i="2"/>
  <c r="Q3656" i="2"/>
  <c r="R3656" i="2" s="1"/>
  <c r="R3655" i="2"/>
  <c r="Q3655" i="2"/>
  <c r="Q3654" i="2"/>
  <c r="R3654" i="2" s="1"/>
  <c r="Q3653" i="2"/>
  <c r="R3653" i="2" s="1"/>
  <c r="Q3652" i="2"/>
  <c r="R3652" i="2" s="1"/>
  <c r="Q3651" i="2"/>
  <c r="R3651" i="2" s="1"/>
  <c r="Q3650" i="2"/>
  <c r="R3650" i="2" s="1"/>
  <c r="R3649" i="2"/>
  <c r="Q3649" i="2"/>
  <c r="Q3648" i="2"/>
  <c r="R3648" i="2" s="1"/>
  <c r="R3647" i="2"/>
  <c r="Q3647" i="2"/>
  <c r="Q3646" i="2"/>
  <c r="R3646" i="2" s="1"/>
  <c r="Q3645" i="2"/>
  <c r="R3645" i="2" s="1"/>
  <c r="Q3644" i="2"/>
  <c r="R3644" i="2" s="1"/>
  <c r="Q3643" i="2"/>
  <c r="R3643" i="2" s="1"/>
  <c r="Q3642" i="2"/>
  <c r="R3642" i="2" s="1"/>
  <c r="R3641" i="2"/>
  <c r="Q3641" i="2"/>
  <c r="Q3640" i="2"/>
  <c r="R3640" i="2" s="1"/>
  <c r="Q3639" i="2"/>
  <c r="R3639" i="2" s="1"/>
  <c r="Q3638" i="2"/>
  <c r="R3638" i="2" s="1"/>
  <c r="Q3637" i="2"/>
  <c r="R3637" i="2" s="1"/>
  <c r="Q3636" i="2"/>
  <c r="R3636" i="2" s="1"/>
  <c r="Q3635" i="2"/>
  <c r="R3635" i="2" s="1"/>
  <c r="Q3634" i="2"/>
  <c r="R3634" i="2" s="1"/>
  <c r="R3633" i="2"/>
  <c r="Q3633" i="2"/>
  <c r="Q3632" i="2"/>
  <c r="R3632" i="2" s="1"/>
  <c r="R3631" i="2"/>
  <c r="Q3631" i="2"/>
  <c r="Q3630" i="2"/>
  <c r="R3630" i="2" s="1"/>
  <c r="Q3629" i="2"/>
  <c r="R3629" i="2" s="1"/>
  <c r="Q3628" i="2"/>
  <c r="R3628" i="2" s="1"/>
  <c r="Q3627" i="2"/>
  <c r="R3627" i="2" s="1"/>
  <c r="Q3626" i="2"/>
  <c r="R3626" i="2" s="1"/>
  <c r="R3625" i="2"/>
  <c r="Q3625" i="2"/>
  <c r="Q3624" i="2"/>
  <c r="R3624" i="2" s="1"/>
  <c r="R3623" i="2"/>
  <c r="Q3623" i="2"/>
  <c r="Q3622" i="2"/>
  <c r="R3622" i="2" s="1"/>
  <c r="Q3621" i="2"/>
  <c r="R3621" i="2" s="1"/>
  <c r="Q3620" i="2"/>
  <c r="R3620" i="2" s="1"/>
  <c r="Q3619" i="2"/>
  <c r="R3619" i="2" s="1"/>
  <c r="Q3618" i="2"/>
  <c r="R3618" i="2" s="1"/>
  <c r="R3617" i="2"/>
  <c r="Q3617" i="2"/>
  <c r="Q3616" i="2"/>
  <c r="R3616" i="2" s="1"/>
  <c r="R3615" i="2"/>
  <c r="Q3615" i="2"/>
  <c r="Q3614" i="2"/>
  <c r="R3614" i="2" s="1"/>
  <c r="Q3613" i="2"/>
  <c r="R3613" i="2" s="1"/>
  <c r="Q3612" i="2"/>
  <c r="R3612" i="2" s="1"/>
  <c r="Q3611" i="2"/>
  <c r="R3611" i="2" s="1"/>
  <c r="Q3610" i="2"/>
  <c r="R3610" i="2" s="1"/>
  <c r="R3609" i="2"/>
  <c r="Q3609" i="2"/>
  <c r="Q3608" i="2"/>
  <c r="R3608" i="2" s="1"/>
  <c r="Q3607" i="2"/>
  <c r="R3607" i="2" s="1"/>
  <c r="Q3606" i="2"/>
  <c r="R3606" i="2" s="1"/>
  <c r="Q3605" i="2"/>
  <c r="R3605" i="2" s="1"/>
  <c r="Q3604" i="2"/>
  <c r="R3604" i="2" s="1"/>
  <c r="Q3603" i="2"/>
  <c r="R3603" i="2" s="1"/>
  <c r="Q3602" i="2"/>
  <c r="R3602" i="2" s="1"/>
  <c r="R3601" i="2"/>
  <c r="Q3601" i="2"/>
  <c r="Q3600" i="2"/>
  <c r="R3600" i="2" s="1"/>
  <c r="R3599" i="2"/>
  <c r="Q3599" i="2"/>
  <c r="Q3598" i="2"/>
  <c r="R3598" i="2" s="1"/>
  <c r="Q3597" i="2"/>
  <c r="R3597" i="2" s="1"/>
  <c r="Q3596" i="2"/>
  <c r="R3596" i="2" s="1"/>
  <c r="Q3595" i="2"/>
  <c r="R3595" i="2" s="1"/>
  <c r="Q3594" i="2"/>
  <c r="R3594" i="2" s="1"/>
  <c r="R3593" i="2"/>
  <c r="Q3593" i="2"/>
  <c r="Q3592" i="2"/>
  <c r="R3592" i="2" s="1"/>
  <c r="R3591" i="2"/>
  <c r="Q3591" i="2"/>
  <c r="Q3590" i="2"/>
  <c r="R3590" i="2" s="1"/>
  <c r="Q3589" i="2"/>
  <c r="R3589" i="2" s="1"/>
  <c r="Q3588" i="2"/>
  <c r="R3588" i="2" s="1"/>
  <c r="Q3587" i="2"/>
  <c r="R3587" i="2" s="1"/>
  <c r="Q3586" i="2"/>
  <c r="R3586" i="2" s="1"/>
  <c r="R3585" i="2"/>
  <c r="Q3585" i="2"/>
  <c r="Q3584" i="2"/>
  <c r="R3584" i="2" s="1"/>
  <c r="R3583" i="2"/>
  <c r="Q3583" i="2"/>
  <c r="Q3582" i="2"/>
  <c r="R3582" i="2" s="1"/>
  <c r="Q3581" i="2"/>
  <c r="R3581" i="2" s="1"/>
  <c r="Q3580" i="2"/>
  <c r="R3580" i="2" s="1"/>
  <c r="Q3579" i="2"/>
  <c r="R3579" i="2" s="1"/>
  <c r="Q3578" i="2"/>
  <c r="R3578" i="2" s="1"/>
  <c r="R3577" i="2"/>
  <c r="Q3577" i="2"/>
  <c r="Q3576" i="2"/>
  <c r="R3576" i="2" s="1"/>
  <c r="Q3575" i="2"/>
  <c r="R3575" i="2" s="1"/>
  <c r="Q3574" i="2"/>
  <c r="R3574" i="2" s="1"/>
  <c r="Q3573" i="2"/>
  <c r="R3573" i="2" s="1"/>
  <c r="Q3572" i="2"/>
  <c r="R3572" i="2" s="1"/>
  <c r="Q3571" i="2"/>
  <c r="R3571" i="2" s="1"/>
  <c r="Q3570" i="2"/>
  <c r="R3570" i="2" s="1"/>
  <c r="R3569" i="2"/>
  <c r="Q3569" i="2"/>
  <c r="Q3568" i="2"/>
  <c r="R3568" i="2" s="1"/>
  <c r="R3567" i="2"/>
  <c r="Q3567" i="2"/>
  <c r="Q3566" i="2"/>
  <c r="R3566" i="2" s="1"/>
  <c r="Q3565" i="2"/>
  <c r="R3565" i="2" s="1"/>
  <c r="Q3564" i="2"/>
  <c r="R3564" i="2" s="1"/>
  <c r="Q3563" i="2"/>
  <c r="R3563" i="2" s="1"/>
  <c r="Q3562" i="2"/>
  <c r="R3562" i="2" s="1"/>
  <c r="R3561" i="2"/>
  <c r="Q3561" i="2"/>
  <c r="Q3560" i="2"/>
  <c r="R3560" i="2" s="1"/>
  <c r="R3559" i="2"/>
  <c r="Q3559" i="2"/>
  <c r="Q3558" i="2"/>
  <c r="R3558" i="2" s="1"/>
  <c r="Q3557" i="2"/>
  <c r="R3557" i="2" s="1"/>
  <c r="Q3556" i="2"/>
  <c r="R3556" i="2" s="1"/>
  <c r="Q3555" i="2"/>
  <c r="R3555" i="2" s="1"/>
  <c r="Q3554" i="2"/>
  <c r="R3554" i="2" s="1"/>
  <c r="R3553" i="2"/>
  <c r="Q3553" i="2"/>
  <c r="Q3552" i="2"/>
  <c r="R3552" i="2" s="1"/>
  <c r="R3551" i="2"/>
  <c r="Q3551" i="2"/>
  <c r="Q3550" i="2"/>
  <c r="R3550" i="2" s="1"/>
  <c r="Q3549" i="2"/>
  <c r="R3549" i="2" s="1"/>
  <c r="Q3548" i="2"/>
  <c r="R3548" i="2" s="1"/>
  <c r="Q3547" i="2"/>
  <c r="R3547" i="2" s="1"/>
  <c r="Q3546" i="2"/>
  <c r="R3546" i="2" s="1"/>
  <c r="R3545" i="2"/>
  <c r="Q3545" i="2"/>
  <c r="Q3544" i="2"/>
  <c r="R3544" i="2" s="1"/>
  <c r="Q3543" i="2"/>
  <c r="R3543" i="2" s="1"/>
  <c r="Q3542" i="2"/>
  <c r="R3542" i="2" s="1"/>
  <c r="Q3541" i="2"/>
  <c r="R3541" i="2" s="1"/>
  <c r="Q3540" i="2"/>
  <c r="R3540" i="2" s="1"/>
  <c r="Q3539" i="2"/>
  <c r="R3539" i="2" s="1"/>
  <c r="Q3538" i="2"/>
  <c r="R3538" i="2" s="1"/>
  <c r="R3537" i="2"/>
  <c r="Q3537" i="2"/>
  <c r="Q3536" i="2"/>
  <c r="R3536" i="2" s="1"/>
  <c r="R3535" i="2"/>
  <c r="Q3535" i="2"/>
  <c r="Q3534" i="2"/>
  <c r="R3534" i="2" s="1"/>
  <c r="Q3533" i="2"/>
  <c r="R3533" i="2" s="1"/>
  <c r="Q3532" i="2"/>
  <c r="R3532" i="2" s="1"/>
  <c r="Q3531" i="2"/>
  <c r="R3531" i="2" s="1"/>
  <c r="Q3530" i="2"/>
  <c r="R3530" i="2" s="1"/>
  <c r="R3529" i="2"/>
  <c r="Q3529" i="2"/>
  <c r="Q3528" i="2"/>
  <c r="R3528" i="2" s="1"/>
  <c r="R3527" i="2"/>
  <c r="Q3527" i="2"/>
  <c r="Q3526" i="2"/>
  <c r="R3526" i="2" s="1"/>
  <c r="Q3525" i="2"/>
  <c r="R3525" i="2" s="1"/>
  <c r="Q3524" i="2"/>
  <c r="R3524" i="2" s="1"/>
  <c r="Q3523" i="2"/>
  <c r="R3523" i="2" s="1"/>
  <c r="Q3522" i="2"/>
  <c r="R3522" i="2" s="1"/>
  <c r="R3521" i="2"/>
  <c r="Q3521" i="2"/>
  <c r="Q3520" i="2"/>
  <c r="R3520" i="2" s="1"/>
  <c r="R3519" i="2"/>
  <c r="Q3519" i="2"/>
  <c r="Q3518" i="2"/>
  <c r="R3518" i="2" s="1"/>
  <c r="Q3517" i="2"/>
  <c r="R3517" i="2" s="1"/>
  <c r="Q3516" i="2"/>
  <c r="R3516" i="2" s="1"/>
  <c r="Q3515" i="2"/>
  <c r="R3515" i="2" s="1"/>
  <c r="Q3514" i="2"/>
  <c r="R3514" i="2" s="1"/>
  <c r="R3513" i="2"/>
  <c r="Q3513" i="2"/>
  <c r="Q3512" i="2"/>
  <c r="R3512" i="2" s="1"/>
  <c r="Q3511" i="2"/>
  <c r="R3511" i="2" s="1"/>
  <c r="Q3510" i="2"/>
  <c r="R3510" i="2" s="1"/>
  <c r="Q3509" i="2"/>
  <c r="R3509" i="2" s="1"/>
  <c r="Q3508" i="2"/>
  <c r="R3508" i="2" s="1"/>
  <c r="Q3507" i="2"/>
  <c r="R3507" i="2" s="1"/>
  <c r="Q3506" i="2"/>
  <c r="R3506" i="2" s="1"/>
  <c r="R3505" i="2"/>
  <c r="Q3505" i="2"/>
  <c r="Q3504" i="2"/>
  <c r="R3504" i="2" s="1"/>
  <c r="R3503" i="2"/>
  <c r="Q3503" i="2"/>
  <c r="Q3502" i="2"/>
  <c r="R3502" i="2" s="1"/>
  <c r="Q3501" i="2"/>
  <c r="R3501" i="2" s="1"/>
  <c r="Q3500" i="2"/>
  <c r="R3500" i="2" s="1"/>
  <c r="Q3499" i="2"/>
  <c r="R3499" i="2" s="1"/>
  <c r="Q3498" i="2"/>
  <c r="R3498" i="2" s="1"/>
  <c r="R3497" i="2"/>
  <c r="Q3497" i="2"/>
  <c r="Q3496" i="2"/>
  <c r="R3496" i="2" s="1"/>
  <c r="R3495" i="2"/>
  <c r="Q3495" i="2"/>
  <c r="Q3494" i="2"/>
  <c r="R3494" i="2" s="1"/>
  <c r="Q3493" i="2"/>
  <c r="R3493" i="2" s="1"/>
  <c r="Q3492" i="2"/>
  <c r="R3492" i="2" s="1"/>
  <c r="Q3491" i="2"/>
  <c r="R3491" i="2" s="1"/>
  <c r="Q3490" i="2"/>
  <c r="R3490" i="2" s="1"/>
  <c r="R3489" i="2"/>
  <c r="Q3489" i="2"/>
  <c r="Q3488" i="2"/>
  <c r="R3488" i="2" s="1"/>
  <c r="R3487" i="2"/>
  <c r="Q3487" i="2"/>
  <c r="Q3486" i="2"/>
  <c r="R3486" i="2" s="1"/>
  <c r="Q3485" i="2"/>
  <c r="R3485" i="2" s="1"/>
  <c r="Q3484" i="2"/>
  <c r="R3484" i="2" s="1"/>
  <c r="Q3483" i="2"/>
  <c r="R3483" i="2" s="1"/>
  <c r="Q3482" i="2"/>
  <c r="R3482" i="2" s="1"/>
  <c r="R3481" i="2"/>
  <c r="Q3481" i="2"/>
  <c r="Q3480" i="2"/>
  <c r="R3480" i="2" s="1"/>
  <c r="Q3479" i="2"/>
  <c r="R3479" i="2" s="1"/>
  <c r="Q3478" i="2"/>
  <c r="R3478" i="2" s="1"/>
  <c r="Q3477" i="2"/>
  <c r="R3477" i="2" s="1"/>
  <c r="Q3476" i="2"/>
  <c r="R3476" i="2" s="1"/>
  <c r="Q3475" i="2"/>
  <c r="R3475" i="2" s="1"/>
  <c r="Q3474" i="2"/>
  <c r="R3474" i="2" s="1"/>
  <c r="R3473" i="2"/>
  <c r="Q3473" i="2"/>
  <c r="Q3472" i="2"/>
  <c r="R3472" i="2" s="1"/>
  <c r="R3471" i="2"/>
  <c r="Q3471" i="2"/>
  <c r="Q3470" i="2"/>
  <c r="R3470" i="2" s="1"/>
  <c r="Q3469" i="2"/>
  <c r="R3469" i="2" s="1"/>
  <c r="Q3468" i="2"/>
  <c r="R3468" i="2" s="1"/>
  <c r="Q3467" i="2"/>
  <c r="R3467" i="2" s="1"/>
  <c r="Q3466" i="2"/>
  <c r="R3466" i="2" s="1"/>
  <c r="R3465" i="2"/>
  <c r="Q3465" i="2"/>
  <c r="Q3464" i="2"/>
  <c r="R3464" i="2" s="1"/>
  <c r="R3463" i="2"/>
  <c r="Q3463" i="2"/>
  <c r="Q3462" i="2"/>
  <c r="R3462" i="2" s="1"/>
  <c r="Q3461" i="2"/>
  <c r="R3461" i="2" s="1"/>
  <c r="Q3460" i="2"/>
  <c r="R3460" i="2" s="1"/>
  <c r="Q3459" i="2"/>
  <c r="R3459" i="2" s="1"/>
  <c r="Q3458" i="2"/>
  <c r="R3458" i="2" s="1"/>
  <c r="R3457" i="2"/>
  <c r="Q3457" i="2"/>
  <c r="Q3456" i="2"/>
  <c r="R3456" i="2" s="1"/>
  <c r="R3455" i="2"/>
  <c r="Q3455" i="2"/>
  <c r="Q3454" i="2"/>
  <c r="R3454" i="2" s="1"/>
  <c r="Q3453" i="2"/>
  <c r="R3453" i="2" s="1"/>
  <c r="Q3452" i="2"/>
  <c r="R3452" i="2" s="1"/>
  <c r="Q3451" i="2"/>
  <c r="R3451" i="2" s="1"/>
  <c r="Q3450" i="2"/>
  <c r="R3450" i="2" s="1"/>
  <c r="R3449" i="2"/>
  <c r="Q3449" i="2"/>
  <c r="Q3448" i="2"/>
  <c r="R3448" i="2" s="1"/>
  <c r="Q3447" i="2"/>
  <c r="R3447" i="2" s="1"/>
  <c r="Q3446" i="2"/>
  <c r="R3446" i="2" s="1"/>
  <c r="Q3445" i="2"/>
  <c r="R3445" i="2" s="1"/>
  <c r="Q3444" i="2"/>
  <c r="R3444" i="2" s="1"/>
  <c r="Q3443" i="2"/>
  <c r="R3443" i="2" s="1"/>
  <c r="Q3442" i="2"/>
  <c r="R3442" i="2" s="1"/>
  <c r="R3441" i="2"/>
  <c r="Q3441" i="2"/>
  <c r="Q3440" i="2"/>
  <c r="R3440" i="2" s="1"/>
  <c r="R3439" i="2"/>
  <c r="Q3439" i="2"/>
  <c r="Q3438" i="2"/>
  <c r="R3438" i="2" s="1"/>
  <c r="Q3437" i="2"/>
  <c r="R3437" i="2" s="1"/>
  <c r="Q3436" i="2"/>
  <c r="R3436" i="2" s="1"/>
  <c r="Q3435" i="2"/>
  <c r="R3435" i="2" s="1"/>
  <c r="Q3434" i="2"/>
  <c r="R3434" i="2" s="1"/>
  <c r="R3433" i="2"/>
  <c r="Q3433" i="2"/>
  <c r="Q3432" i="2"/>
  <c r="R3432" i="2" s="1"/>
  <c r="R3431" i="2"/>
  <c r="Q3431" i="2"/>
  <c r="Q3430" i="2"/>
  <c r="R3430" i="2" s="1"/>
  <c r="Q3429" i="2"/>
  <c r="R3429" i="2" s="1"/>
  <c r="Q3428" i="2"/>
  <c r="R3428" i="2" s="1"/>
  <c r="Q3427" i="2"/>
  <c r="R3427" i="2" s="1"/>
  <c r="Q3426" i="2"/>
  <c r="R3426" i="2" s="1"/>
  <c r="R3425" i="2"/>
  <c r="Q3425" i="2"/>
  <c r="Q3424" i="2"/>
  <c r="R3424" i="2" s="1"/>
  <c r="R3423" i="2"/>
  <c r="Q3423" i="2"/>
  <c r="Q3422" i="2"/>
  <c r="R3422" i="2" s="1"/>
  <c r="Q3421" i="2"/>
  <c r="R3421" i="2" s="1"/>
  <c r="Q3420" i="2"/>
  <c r="R3420" i="2" s="1"/>
  <c r="Q3419" i="2"/>
  <c r="R3419" i="2" s="1"/>
  <c r="Q3418" i="2"/>
  <c r="R3418" i="2" s="1"/>
  <c r="R3417" i="2"/>
  <c r="Q3417" i="2"/>
  <c r="Q3416" i="2"/>
  <c r="R3416" i="2" s="1"/>
  <c r="Q3415" i="2"/>
  <c r="R3415" i="2" s="1"/>
  <c r="Q3414" i="2"/>
  <c r="R3414" i="2" s="1"/>
  <c r="Q3413" i="2"/>
  <c r="R3413" i="2" s="1"/>
  <c r="Q3412" i="2"/>
  <c r="R3412" i="2" s="1"/>
  <c r="Q3411" i="2"/>
  <c r="R3411" i="2" s="1"/>
  <c r="Q3410" i="2"/>
  <c r="R3410" i="2" s="1"/>
  <c r="R3409" i="2"/>
  <c r="Q3409" i="2"/>
  <c r="Q3408" i="2"/>
  <c r="R3408" i="2" s="1"/>
  <c r="R3407" i="2"/>
  <c r="Q3407" i="2"/>
  <c r="Q3406" i="2"/>
  <c r="R3406" i="2" s="1"/>
  <c r="Q3405" i="2"/>
  <c r="R3405" i="2" s="1"/>
  <c r="Q3404" i="2"/>
  <c r="R3404" i="2" s="1"/>
  <c r="Q3403" i="2"/>
  <c r="R3403" i="2" s="1"/>
  <c r="Q3402" i="2"/>
  <c r="R3402" i="2" s="1"/>
  <c r="R3401" i="2"/>
  <c r="Q3401" i="2"/>
  <c r="Q3400" i="2"/>
  <c r="R3400" i="2" s="1"/>
  <c r="R3399" i="2"/>
  <c r="Q3399" i="2"/>
  <c r="Q3398" i="2"/>
  <c r="R3398" i="2" s="1"/>
  <c r="Q3397" i="2"/>
  <c r="R3397" i="2" s="1"/>
  <c r="Q3396" i="2"/>
  <c r="R3396" i="2" s="1"/>
  <c r="Q3395" i="2"/>
  <c r="R3395" i="2" s="1"/>
  <c r="Q3394" i="2"/>
  <c r="R3394" i="2" s="1"/>
  <c r="R3393" i="2"/>
  <c r="Q3393" i="2"/>
  <c r="Q3392" i="2"/>
  <c r="R3392" i="2" s="1"/>
  <c r="R3391" i="2"/>
  <c r="Q3391" i="2"/>
  <c r="Q3390" i="2"/>
  <c r="R3390" i="2" s="1"/>
  <c r="Q3389" i="2"/>
  <c r="R3389" i="2" s="1"/>
  <c r="Q3388" i="2"/>
  <c r="R3388" i="2" s="1"/>
  <c r="Q3387" i="2"/>
  <c r="R3387" i="2" s="1"/>
  <c r="Q3386" i="2"/>
  <c r="R3386" i="2" s="1"/>
  <c r="R3385" i="2"/>
  <c r="Q3385" i="2"/>
  <c r="Q3384" i="2"/>
  <c r="R3384" i="2" s="1"/>
  <c r="Q3383" i="2"/>
  <c r="R3383" i="2" s="1"/>
  <c r="Q3382" i="2"/>
  <c r="R3382" i="2" s="1"/>
  <c r="Q3381" i="2"/>
  <c r="R3381" i="2" s="1"/>
  <c r="Q3380" i="2"/>
  <c r="R3380" i="2" s="1"/>
  <c r="Q3379" i="2"/>
  <c r="R3379" i="2" s="1"/>
  <c r="Q3378" i="2"/>
  <c r="R3378" i="2" s="1"/>
  <c r="R3377" i="2"/>
  <c r="Q3377" i="2"/>
  <c r="Q3376" i="2"/>
  <c r="R3376" i="2" s="1"/>
  <c r="R3375" i="2"/>
  <c r="Q3375" i="2"/>
  <c r="Q3374" i="2"/>
  <c r="R3374" i="2" s="1"/>
  <c r="Q3373" i="2"/>
  <c r="R3373" i="2" s="1"/>
  <c r="Q3372" i="2"/>
  <c r="R3372" i="2" s="1"/>
  <c r="Q3371" i="2"/>
  <c r="R3371" i="2" s="1"/>
  <c r="Q3370" i="2"/>
  <c r="R3370" i="2" s="1"/>
  <c r="R3369" i="2"/>
  <c r="Q3369" i="2"/>
  <c r="Q3368" i="2"/>
  <c r="R3368" i="2" s="1"/>
  <c r="R3367" i="2"/>
  <c r="Q3367" i="2"/>
  <c r="Q3366" i="2"/>
  <c r="R3366" i="2" s="1"/>
  <c r="Q3365" i="2"/>
  <c r="R3365" i="2" s="1"/>
  <c r="Q3364" i="2"/>
  <c r="R3364" i="2" s="1"/>
  <c r="Q3363" i="2"/>
  <c r="R3363" i="2" s="1"/>
  <c r="Q3362" i="2"/>
  <c r="R3362" i="2" s="1"/>
  <c r="R3361" i="2"/>
  <c r="Q3361" i="2"/>
  <c r="Q3360" i="2"/>
  <c r="R3360" i="2" s="1"/>
  <c r="R3359" i="2"/>
  <c r="Q3359" i="2"/>
  <c r="Q3358" i="2"/>
  <c r="R3358" i="2" s="1"/>
  <c r="Q3357" i="2"/>
  <c r="R3357" i="2" s="1"/>
  <c r="Q3356" i="2"/>
  <c r="R3356" i="2" s="1"/>
  <c r="Q3355" i="2"/>
  <c r="R3355" i="2" s="1"/>
  <c r="Q3354" i="2"/>
  <c r="R3354" i="2" s="1"/>
  <c r="R3353" i="2"/>
  <c r="Q3353" i="2"/>
  <c r="Q3352" i="2"/>
  <c r="R3352" i="2" s="1"/>
  <c r="Q3351" i="2"/>
  <c r="R3351" i="2" s="1"/>
  <c r="Q3350" i="2"/>
  <c r="R3350" i="2" s="1"/>
  <c r="Q3349" i="2"/>
  <c r="R3349" i="2" s="1"/>
  <c r="Q3348" i="2"/>
  <c r="R3348" i="2" s="1"/>
  <c r="Q3347" i="2"/>
  <c r="R3347" i="2" s="1"/>
  <c r="Q3346" i="2"/>
  <c r="R3346" i="2" s="1"/>
  <c r="R3345" i="2"/>
  <c r="Q3345" i="2"/>
  <c r="Q3344" i="2"/>
  <c r="R3344" i="2" s="1"/>
  <c r="R3343" i="2"/>
  <c r="Q3343" i="2"/>
  <c r="Q3342" i="2"/>
  <c r="R3342" i="2" s="1"/>
  <c r="Q3341" i="2"/>
  <c r="R3341" i="2" s="1"/>
  <c r="Q3340" i="2"/>
  <c r="R3340" i="2" s="1"/>
  <c r="Q3339" i="2"/>
  <c r="R3339" i="2" s="1"/>
  <c r="Q3338" i="2"/>
  <c r="R3338" i="2" s="1"/>
  <c r="R3337" i="2"/>
  <c r="Q3337" i="2"/>
  <c r="Q3336" i="2"/>
  <c r="R3336" i="2" s="1"/>
  <c r="R3335" i="2"/>
  <c r="Q3335" i="2"/>
  <c r="Q3334" i="2"/>
  <c r="R3334" i="2" s="1"/>
  <c r="Q3333" i="2"/>
  <c r="R3333" i="2" s="1"/>
  <c r="Q3332" i="2"/>
  <c r="R3332" i="2" s="1"/>
  <c r="Q3331" i="2"/>
  <c r="R3331" i="2" s="1"/>
  <c r="Q3330" i="2"/>
  <c r="R3330" i="2" s="1"/>
  <c r="R3329" i="2"/>
  <c r="Q3329" i="2"/>
  <c r="Q3328" i="2"/>
  <c r="R3328" i="2" s="1"/>
  <c r="R3327" i="2"/>
  <c r="Q3327" i="2"/>
  <c r="Q3326" i="2"/>
  <c r="R3326" i="2" s="1"/>
  <c r="Q3325" i="2"/>
  <c r="R3325" i="2" s="1"/>
  <c r="Q3324" i="2"/>
  <c r="R3324" i="2" s="1"/>
  <c r="Q3323" i="2"/>
  <c r="R3323" i="2" s="1"/>
  <c r="Q3322" i="2"/>
  <c r="R3322" i="2" s="1"/>
  <c r="R3321" i="2"/>
  <c r="Q3321" i="2"/>
  <c r="Q3320" i="2"/>
  <c r="R3320" i="2" s="1"/>
  <c r="Q3319" i="2"/>
  <c r="R3319" i="2" s="1"/>
  <c r="Q3318" i="2"/>
  <c r="R3318" i="2" s="1"/>
  <c r="Q3317" i="2"/>
  <c r="R3317" i="2" s="1"/>
  <c r="Q3316" i="2"/>
  <c r="R3316" i="2" s="1"/>
  <c r="Q3315" i="2"/>
  <c r="R3315" i="2" s="1"/>
  <c r="Q3314" i="2"/>
  <c r="R3314" i="2" s="1"/>
  <c r="R3313" i="2"/>
  <c r="Q3313" i="2"/>
  <c r="Q3312" i="2"/>
  <c r="R3312" i="2" s="1"/>
  <c r="R3311" i="2"/>
  <c r="Q3311" i="2"/>
  <c r="Q3310" i="2"/>
  <c r="R3310" i="2" s="1"/>
  <c r="Q3309" i="2"/>
  <c r="R3309" i="2" s="1"/>
  <c r="Q3308" i="2"/>
  <c r="R3308" i="2" s="1"/>
  <c r="Q3307" i="2"/>
  <c r="R3307" i="2" s="1"/>
  <c r="Q3306" i="2"/>
  <c r="R3306" i="2" s="1"/>
  <c r="R3305" i="2"/>
  <c r="Q3305" i="2"/>
  <c r="Q3304" i="2"/>
  <c r="R3304" i="2" s="1"/>
  <c r="R3303" i="2"/>
  <c r="Q3303" i="2"/>
  <c r="Q3302" i="2"/>
  <c r="R3302" i="2" s="1"/>
  <c r="Q3301" i="2"/>
  <c r="R3301" i="2" s="1"/>
  <c r="Q3300" i="2"/>
  <c r="R3300" i="2" s="1"/>
  <c r="Q3299" i="2"/>
  <c r="R3299" i="2" s="1"/>
  <c r="Q3298" i="2"/>
  <c r="R3298" i="2" s="1"/>
  <c r="R3297" i="2"/>
  <c r="Q3297" i="2"/>
  <c r="Q3296" i="2"/>
  <c r="R3296" i="2" s="1"/>
  <c r="R3295" i="2"/>
  <c r="Q3295" i="2"/>
  <c r="Q3294" i="2"/>
  <c r="R3294" i="2" s="1"/>
  <c r="Q3293" i="2"/>
  <c r="R3293" i="2" s="1"/>
  <c r="Q3292" i="2"/>
  <c r="R3292" i="2" s="1"/>
  <c r="Q3291" i="2"/>
  <c r="R3291" i="2" s="1"/>
  <c r="Q3290" i="2"/>
  <c r="R3290" i="2" s="1"/>
  <c r="R3289" i="2"/>
  <c r="Q3289" i="2"/>
  <c r="Q3288" i="2"/>
  <c r="R3288" i="2" s="1"/>
  <c r="Q3287" i="2"/>
  <c r="R3287" i="2" s="1"/>
  <c r="Q3286" i="2"/>
  <c r="R3286" i="2" s="1"/>
  <c r="Q3285" i="2"/>
  <c r="R3285" i="2" s="1"/>
  <c r="Q3284" i="2"/>
  <c r="R3284" i="2" s="1"/>
  <c r="Q3283" i="2"/>
  <c r="R3283" i="2" s="1"/>
  <c r="Q3282" i="2"/>
  <c r="R3282" i="2" s="1"/>
  <c r="R3281" i="2"/>
  <c r="Q3281" i="2"/>
  <c r="Q3280" i="2"/>
  <c r="R3280" i="2" s="1"/>
  <c r="R3279" i="2"/>
  <c r="Q3279" i="2"/>
  <c r="Q3278" i="2"/>
  <c r="R3278" i="2" s="1"/>
  <c r="Q3277" i="2"/>
  <c r="R3277" i="2" s="1"/>
  <c r="Q3276" i="2"/>
  <c r="R3276" i="2" s="1"/>
  <c r="Q3275" i="2"/>
  <c r="R3275" i="2" s="1"/>
  <c r="Q3274" i="2"/>
  <c r="R3274" i="2" s="1"/>
  <c r="Q3273" i="2"/>
  <c r="R3273" i="2" s="1"/>
  <c r="R3272" i="2"/>
  <c r="Q3272" i="2"/>
  <c r="Q3271" i="2"/>
  <c r="R3271" i="2" s="1"/>
  <c r="R3270" i="2"/>
  <c r="Q3270" i="2"/>
  <c r="Q3269" i="2"/>
  <c r="R3269" i="2" s="1"/>
  <c r="Q3268" i="2"/>
  <c r="R3268" i="2" s="1"/>
  <c r="Q3267" i="2"/>
  <c r="R3267" i="2" s="1"/>
  <c r="Q3266" i="2"/>
  <c r="R3266" i="2" s="1"/>
  <c r="R3265" i="2"/>
  <c r="Q3265" i="2"/>
  <c r="Q3264" i="2"/>
  <c r="R3264" i="2" s="1"/>
  <c r="R3263" i="2"/>
  <c r="Q3263" i="2"/>
  <c r="Q3262" i="2"/>
  <c r="R3262" i="2" s="1"/>
  <c r="R3261" i="2"/>
  <c r="Q3261" i="2"/>
  <c r="Q3260" i="2"/>
  <c r="R3260" i="2" s="1"/>
  <c r="R3259" i="2"/>
  <c r="Q3259" i="2"/>
  <c r="Q3258" i="2"/>
  <c r="R3258" i="2" s="1"/>
  <c r="R3257" i="2"/>
  <c r="Q3257" i="2"/>
  <c r="Q3256" i="2"/>
  <c r="R3256" i="2" s="1"/>
  <c r="R3255" i="2"/>
  <c r="Q3255" i="2"/>
  <c r="Q3254" i="2"/>
  <c r="R3254" i="2" s="1"/>
  <c r="R3253" i="2"/>
  <c r="Q3253" i="2"/>
  <c r="Q3252" i="2"/>
  <c r="R3252" i="2" s="1"/>
  <c r="Q3251" i="2"/>
  <c r="R3251" i="2" s="1"/>
  <c r="Q3250" i="2"/>
  <c r="R3250" i="2" s="1"/>
  <c r="Q3249" i="2"/>
  <c r="R3249" i="2" s="1"/>
  <c r="R3248" i="2"/>
  <c r="Q3248" i="2"/>
  <c r="Q3247" i="2"/>
  <c r="R3247" i="2" s="1"/>
  <c r="R3246" i="2"/>
  <c r="Q3246" i="2"/>
  <c r="Q3245" i="2"/>
  <c r="R3245" i="2" s="1"/>
  <c r="R3244" i="2"/>
  <c r="Q3244" i="2"/>
  <c r="Q3243" i="2"/>
  <c r="R3243" i="2" s="1"/>
  <c r="Q3242" i="2"/>
  <c r="R3242" i="2" s="1"/>
  <c r="Q3241" i="2"/>
  <c r="R3241" i="2" s="1"/>
  <c r="R3240" i="2"/>
  <c r="Q3240" i="2"/>
  <c r="Q3239" i="2"/>
  <c r="R3239" i="2" s="1"/>
  <c r="R3238" i="2"/>
  <c r="Q3238" i="2"/>
  <c r="Q3237" i="2"/>
  <c r="R3237" i="2" s="1"/>
  <c r="R3236" i="2"/>
  <c r="Q3236" i="2"/>
  <c r="Q3235" i="2"/>
  <c r="R3235" i="2" s="1"/>
  <c r="Q3234" i="2"/>
  <c r="R3234" i="2" s="1"/>
  <c r="R3233" i="2"/>
  <c r="Q3233" i="2"/>
  <c r="Q3232" i="2"/>
  <c r="R3232" i="2" s="1"/>
  <c r="R3231" i="2"/>
  <c r="Q3231" i="2"/>
  <c r="Q3230" i="2"/>
  <c r="R3230" i="2" s="1"/>
  <c r="R3229" i="2"/>
  <c r="Q3229" i="2"/>
  <c r="Q3228" i="2"/>
  <c r="R3228" i="2" s="1"/>
  <c r="R3227" i="2"/>
  <c r="Q3227" i="2"/>
  <c r="Q3226" i="2"/>
  <c r="R3226" i="2" s="1"/>
  <c r="Q3225" i="2"/>
  <c r="R3225" i="2" s="1"/>
  <c r="Q3224" i="2"/>
  <c r="R3224" i="2" s="1"/>
  <c r="R3223" i="2"/>
  <c r="Q3223" i="2"/>
  <c r="Q3222" i="2"/>
  <c r="R3222" i="2" s="1"/>
  <c r="R3221" i="2"/>
  <c r="Q3221" i="2"/>
  <c r="Q3220" i="2"/>
  <c r="R3220" i="2" s="1"/>
  <c r="R3219" i="2"/>
  <c r="Q3219" i="2"/>
  <c r="Q3218" i="2"/>
  <c r="R3218" i="2" s="1"/>
  <c r="Q3217" i="2"/>
  <c r="R3217" i="2" s="1"/>
  <c r="R3216" i="2"/>
  <c r="Q3216" i="2"/>
  <c r="Q3215" i="2"/>
  <c r="R3215" i="2" s="1"/>
  <c r="R3214" i="2"/>
  <c r="Q3214" i="2"/>
  <c r="Q3213" i="2"/>
  <c r="R3213" i="2" s="1"/>
  <c r="R3212" i="2"/>
  <c r="Q3212" i="2"/>
  <c r="Q3211" i="2"/>
  <c r="R3211" i="2" s="1"/>
  <c r="Q3210" i="2"/>
  <c r="R3210" i="2" s="1"/>
  <c r="Q3209" i="2"/>
  <c r="R3209" i="2" s="1"/>
  <c r="Q3208" i="2"/>
  <c r="R3208" i="2" s="1"/>
  <c r="Q3207" i="2"/>
  <c r="R3207" i="2" s="1"/>
  <c r="R3206" i="2"/>
  <c r="Q3206" i="2"/>
  <c r="Q3205" i="2"/>
  <c r="R3205" i="2" s="1"/>
  <c r="R3204" i="2"/>
  <c r="Q3204" i="2"/>
  <c r="Q3203" i="2"/>
  <c r="R3203" i="2" s="1"/>
  <c r="Q3202" i="2"/>
  <c r="R3202" i="2" s="1"/>
  <c r="R3201" i="2"/>
  <c r="Q3201" i="2"/>
  <c r="Q3200" i="2"/>
  <c r="R3200" i="2" s="1"/>
  <c r="R3199" i="2"/>
  <c r="Q3199" i="2"/>
  <c r="Q3198" i="2"/>
  <c r="R3198" i="2" s="1"/>
  <c r="R3197" i="2"/>
  <c r="Q3197" i="2"/>
  <c r="Q3196" i="2"/>
  <c r="R3196" i="2" s="1"/>
  <c r="R3195" i="2"/>
  <c r="Q3195" i="2"/>
  <c r="Q3194" i="2"/>
  <c r="R3194" i="2" s="1"/>
  <c r="R3193" i="2"/>
  <c r="Q3193" i="2"/>
  <c r="Q3192" i="2"/>
  <c r="R3192" i="2" s="1"/>
  <c r="Q3191" i="2"/>
  <c r="R3191" i="2" s="1"/>
  <c r="Q3190" i="2"/>
  <c r="R3190" i="2" s="1"/>
  <c r="R3189" i="2"/>
  <c r="Q3189" i="2"/>
  <c r="Q3188" i="2"/>
  <c r="R3188" i="2" s="1"/>
  <c r="R3187" i="2"/>
  <c r="Q3187" i="2"/>
  <c r="Q3186" i="2"/>
  <c r="R3186" i="2" s="1"/>
  <c r="Q3185" i="2"/>
  <c r="R3185" i="2" s="1"/>
  <c r="R3184" i="2"/>
  <c r="Q3184" i="2"/>
  <c r="Q3183" i="2"/>
  <c r="R3183" i="2" s="1"/>
  <c r="R3182" i="2"/>
  <c r="Q3182" i="2"/>
  <c r="Q3181" i="2"/>
  <c r="R3181" i="2" s="1"/>
  <c r="R3180" i="2"/>
  <c r="Q3180" i="2"/>
  <c r="Q3179" i="2"/>
  <c r="R3179" i="2" s="1"/>
  <c r="Q3178" i="2"/>
  <c r="R3178" i="2" s="1"/>
  <c r="Q3177" i="2"/>
  <c r="R3177" i="2" s="1"/>
  <c r="R3176" i="2"/>
  <c r="Q3176" i="2"/>
  <c r="Q3175" i="2"/>
  <c r="R3175" i="2" s="1"/>
  <c r="Q3174" i="2"/>
  <c r="R3174" i="2" s="1"/>
  <c r="Q3173" i="2"/>
  <c r="R3173" i="2" s="1"/>
  <c r="R3172" i="2"/>
  <c r="Q3172" i="2"/>
  <c r="Q3171" i="2"/>
  <c r="R3171" i="2" s="1"/>
  <c r="Q3170" i="2"/>
  <c r="R3170" i="2" s="1"/>
  <c r="R3169" i="2"/>
  <c r="Q3169" i="2"/>
  <c r="Q3168" i="2"/>
  <c r="R3168" i="2" s="1"/>
  <c r="R3167" i="2"/>
  <c r="Q3167" i="2"/>
  <c r="Q3166" i="2"/>
  <c r="R3166" i="2" s="1"/>
  <c r="R3165" i="2"/>
  <c r="Q3165" i="2"/>
  <c r="Q3164" i="2"/>
  <c r="R3164" i="2" s="1"/>
  <c r="R3163" i="2"/>
  <c r="Q3163" i="2"/>
  <c r="Q3162" i="2"/>
  <c r="R3162" i="2" s="1"/>
  <c r="R3161" i="2"/>
  <c r="Q3161" i="2"/>
  <c r="Q3160" i="2"/>
  <c r="R3160" i="2" s="1"/>
  <c r="R3159" i="2"/>
  <c r="Q3159" i="2"/>
  <c r="Q3158" i="2"/>
  <c r="R3158" i="2" s="1"/>
  <c r="Q3157" i="2"/>
  <c r="R3157" i="2" s="1"/>
  <c r="Q3156" i="2"/>
  <c r="R3156" i="2" s="1"/>
  <c r="R3155" i="2"/>
  <c r="Q3155" i="2"/>
  <c r="Q3154" i="2"/>
  <c r="R3154" i="2" s="1"/>
  <c r="Q3153" i="2"/>
  <c r="R3153" i="2" s="1"/>
  <c r="R3152" i="2"/>
  <c r="Q3152" i="2"/>
  <c r="Q3151" i="2"/>
  <c r="R3151" i="2" s="1"/>
  <c r="R3150" i="2"/>
  <c r="Q3150" i="2"/>
  <c r="Q3149" i="2"/>
  <c r="R3149" i="2" s="1"/>
  <c r="R3148" i="2"/>
  <c r="Q3148" i="2"/>
  <c r="Q3147" i="2"/>
  <c r="R3147" i="2" s="1"/>
  <c r="Q3146" i="2"/>
  <c r="R3146" i="2" s="1"/>
  <c r="Q3145" i="2"/>
  <c r="R3145" i="2" s="1"/>
  <c r="R3144" i="2"/>
  <c r="Q3144" i="2"/>
  <c r="Q3143" i="2"/>
  <c r="R3143" i="2" s="1"/>
  <c r="R3142" i="2"/>
  <c r="Q3142" i="2"/>
  <c r="Q3141" i="2"/>
  <c r="R3141" i="2" s="1"/>
  <c r="Q3140" i="2"/>
  <c r="R3140" i="2" s="1"/>
  <c r="Q3139" i="2"/>
  <c r="R3139" i="2" s="1"/>
  <c r="Q3138" i="2"/>
  <c r="R3138" i="2" s="1"/>
  <c r="R3137" i="2"/>
  <c r="Q3137" i="2"/>
  <c r="Q3136" i="2"/>
  <c r="R3136" i="2" s="1"/>
  <c r="R3135" i="2"/>
  <c r="Q3135" i="2"/>
  <c r="Q3134" i="2"/>
  <c r="R3134" i="2" s="1"/>
  <c r="R3133" i="2"/>
  <c r="Q3133" i="2"/>
  <c r="Q3132" i="2"/>
  <c r="R3132" i="2" s="1"/>
  <c r="R3131" i="2"/>
  <c r="Q3131" i="2"/>
  <c r="Q3130" i="2"/>
  <c r="R3130" i="2" s="1"/>
  <c r="R3129" i="2"/>
  <c r="Q3129" i="2"/>
  <c r="Q3128" i="2"/>
  <c r="R3128" i="2" s="1"/>
  <c r="R3127" i="2"/>
  <c r="Q3127" i="2"/>
  <c r="Q3126" i="2"/>
  <c r="R3126" i="2" s="1"/>
  <c r="R3125" i="2"/>
  <c r="Q3125" i="2"/>
  <c r="Q3124" i="2"/>
  <c r="R3124" i="2" s="1"/>
  <c r="Q3123" i="2"/>
  <c r="R3123" i="2" s="1"/>
  <c r="Q3122" i="2"/>
  <c r="R3122" i="2" s="1"/>
  <c r="Q3121" i="2"/>
  <c r="R3121" i="2" s="1"/>
  <c r="R3120" i="2"/>
  <c r="Q3120" i="2"/>
  <c r="Q3119" i="2"/>
  <c r="R3119" i="2" s="1"/>
  <c r="R3118" i="2"/>
  <c r="Q3118" i="2"/>
  <c r="Q3117" i="2"/>
  <c r="R3117" i="2" s="1"/>
  <c r="R3116" i="2"/>
  <c r="Q3116" i="2"/>
  <c r="Q3115" i="2"/>
  <c r="R3115" i="2" s="1"/>
  <c r="Q3114" i="2"/>
  <c r="R3114" i="2" s="1"/>
  <c r="Q3113" i="2"/>
  <c r="R3113" i="2" s="1"/>
  <c r="R3112" i="2"/>
  <c r="Q3112" i="2"/>
  <c r="Q3111" i="2"/>
  <c r="R3111" i="2" s="1"/>
  <c r="R3110" i="2"/>
  <c r="Q3110" i="2"/>
  <c r="Q3109" i="2"/>
  <c r="R3109" i="2" s="1"/>
  <c r="R3108" i="2"/>
  <c r="Q3108" i="2"/>
  <c r="Q3107" i="2"/>
  <c r="R3107" i="2" s="1"/>
  <c r="Q3106" i="2"/>
  <c r="R3106" i="2" s="1"/>
  <c r="R3105" i="2"/>
  <c r="Q3105" i="2"/>
  <c r="Q3104" i="2"/>
  <c r="R3104" i="2" s="1"/>
  <c r="R3103" i="2"/>
  <c r="Q3103" i="2"/>
  <c r="Q3102" i="2"/>
  <c r="R3102" i="2" s="1"/>
  <c r="R3101" i="2"/>
  <c r="Q3101" i="2"/>
  <c r="Q3100" i="2"/>
  <c r="R3100" i="2" s="1"/>
  <c r="R3099" i="2"/>
  <c r="Q3099" i="2"/>
  <c r="Q3098" i="2"/>
  <c r="R3098" i="2" s="1"/>
  <c r="Q3097" i="2"/>
  <c r="R3097" i="2" s="1"/>
  <c r="Q3096" i="2"/>
  <c r="R3096" i="2" s="1"/>
  <c r="R3095" i="2"/>
  <c r="Q3095" i="2"/>
  <c r="Q3094" i="2"/>
  <c r="R3094" i="2" s="1"/>
  <c r="R3093" i="2"/>
  <c r="Q3093" i="2"/>
  <c r="Q3092" i="2"/>
  <c r="R3092" i="2" s="1"/>
  <c r="R3091" i="2"/>
  <c r="Q3091" i="2"/>
  <c r="Q3090" i="2"/>
  <c r="R3090" i="2" s="1"/>
  <c r="Q3089" i="2"/>
  <c r="R3089" i="2" s="1"/>
  <c r="R3088" i="2"/>
  <c r="Q3088" i="2"/>
  <c r="Q3087" i="2"/>
  <c r="R3087" i="2" s="1"/>
  <c r="R3086" i="2"/>
  <c r="Q3086" i="2"/>
  <c r="Q3085" i="2"/>
  <c r="R3085" i="2" s="1"/>
  <c r="R3084" i="2"/>
  <c r="Q3084" i="2"/>
  <c r="Q3083" i="2"/>
  <c r="R3083" i="2" s="1"/>
  <c r="Q3082" i="2"/>
  <c r="R3082" i="2" s="1"/>
  <c r="Q3081" i="2"/>
  <c r="R3081" i="2" s="1"/>
  <c r="Q3080" i="2"/>
  <c r="R3080" i="2" s="1"/>
  <c r="Q3079" i="2"/>
  <c r="R3079" i="2" s="1"/>
  <c r="R3078" i="2"/>
  <c r="Q3078" i="2"/>
  <c r="Q3077" i="2"/>
  <c r="R3077" i="2" s="1"/>
  <c r="R3076" i="2"/>
  <c r="Q3076" i="2"/>
  <c r="Q3075" i="2"/>
  <c r="R3075" i="2" s="1"/>
  <c r="Q3074" i="2"/>
  <c r="R3074" i="2" s="1"/>
  <c r="R3073" i="2"/>
  <c r="Q3073" i="2"/>
  <c r="Q3072" i="2"/>
  <c r="R3072" i="2" s="1"/>
  <c r="R3071" i="2"/>
  <c r="Q3071" i="2"/>
  <c r="Q3070" i="2"/>
  <c r="R3070" i="2" s="1"/>
  <c r="R3069" i="2"/>
  <c r="Q3069" i="2"/>
  <c r="Q3068" i="2"/>
  <c r="R3068" i="2" s="1"/>
  <c r="R3067" i="2"/>
  <c r="Q3067" i="2"/>
  <c r="Q3066" i="2"/>
  <c r="R3066" i="2" s="1"/>
  <c r="R3065" i="2"/>
  <c r="Q3065" i="2"/>
  <c r="Q3064" i="2"/>
  <c r="R3064" i="2" s="1"/>
  <c r="Q3063" i="2"/>
  <c r="R3063" i="2" s="1"/>
  <c r="Q3062" i="2"/>
  <c r="R3062" i="2" s="1"/>
  <c r="R3061" i="2"/>
  <c r="Q3061" i="2"/>
  <c r="Q3060" i="2"/>
  <c r="R3060" i="2" s="1"/>
  <c r="R3059" i="2"/>
  <c r="Q3059" i="2"/>
  <c r="Q3058" i="2"/>
  <c r="R3058" i="2" s="1"/>
  <c r="Q3057" i="2"/>
  <c r="R3057" i="2" s="1"/>
  <c r="R3056" i="2"/>
  <c r="Q3056" i="2"/>
  <c r="Q3055" i="2"/>
  <c r="R3055" i="2" s="1"/>
  <c r="R3054" i="2"/>
  <c r="Q3054" i="2"/>
  <c r="Q3053" i="2"/>
  <c r="R3053" i="2" s="1"/>
  <c r="R3052" i="2"/>
  <c r="Q3052" i="2"/>
  <c r="Q3051" i="2"/>
  <c r="R3051" i="2" s="1"/>
  <c r="Q3050" i="2"/>
  <c r="R3050" i="2" s="1"/>
  <c r="Q3049" i="2"/>
  <c r="R3049" i="2" s="1"/>
  <c r="R3048" i="2"/>
  <c r="Q3048" i="2"/>
  <c r="Q3047" i="2"/>
  <c r="R3047" i="2" s="1"/>
  <c r="Q3046" i="2"/>
  <c r="R3046" i="2" s="1"/>
  <c r="Q3045" i="2"/>
  <c r="R3045" i="2" s="1"/>
  <c r="R3044" i="2"/>
  <c r="Q3044" i="2"/>
  <c r="Q3043" i="2"/>
  <c r="R3043" i="2" s="1"/>
  <c r="Q3042" i="2"/>
  <c r="R3042" i="2" s="1"/>
  <c r="R3041" i="2"/>
  <c r="Q3041" i="2"/>
  <c r="Q3040" i="2"/>
  <c r="R3040" i="2" s="1"/>
  <c r="R3039" i="2"/>
  <c r="Q3039" i="2"/>
  <c r="Q3038" i="2"/>
  <c r="R3038" i="2" s="1"/>
  <c r="R3037" i="2"/>
  <c r="Q3037" i="2"/>
  <c r="Q3036" i="2"/>
  <c r="R3036" i="2" s="1"/>
  <c r="R3035" i="2"/>
  <c r="Q3035" i="2"/>
  <c r="Q3034" i="2"/>
  <c r="R3034" i="2" s="1"/>
  <c r="R3033" i="2"/>
  <c r="Q3033" i="2"/>
  <c r="Q3032" i="2"/>
  <c r="R3032" i="2" s="1"/>
  <c r="R3031" i="2"/>
  <c r="Q3031" i="2"/>
  <c r="Q3030" i="2"/>
  <c r="R3030" i="2" s="1"/>
  <c r="Q3029" i="2"/>
  <c r="R3029" i="2" s="1"/>
  <c r="Q3028" i="2"/>
  <c r="R3028" i="2" s="1"/>
  <c r="R3027" i="2"/>
  <c r="Q3027" i="2"/>
  <c r="Q3026" i="2"/>
  <c r="R3026" i="2" s="1"/>
  <c r="Q3025" i="2"/>
  <c r="R3025" i="2" s="1"/>
  <c r="R3024" i="2"/>
  <c r="Q3024" i="2"/>
  <c r="Q3023" i="2"/>
  <c r="R3023" i="2" s="1"/>
  <c r="R3022" i="2"/>
  <c r="Q3022" i="2"/>
  <c r="Q3021" i="2"/>
  <c r="R3021" i="2" s="1"/>
  <c r="R3020" i="2"/>
  <c r="Q3020" i="2"/>
  <c r="Q3019" i="2"/>
  <c r="R3019" i="2" s="1"/>
  <c r="Q3018" i="2"/>
  <c r="R3018" i="2" s="1"/>
  <c r="Q3017" i="2"/>
  <c r="R3017" i="2" s="1"/>
  <c r="R3016" i="2"/>
  <c r="Q3016" i="2"/>
  <c r="Q3015" i="2"/>
  <c r="R3015" i="2" s="1"/>
  <c r="R3014" i="2"/>
  <c r="Q3014" i="2"/>
  <c r="Q3013" i="2"/>
  <c r="R3013" i="2" s="1"/>
  <c r="Q3012" i="2"/>
  <c r="R3012" i="2" s="1"/>
  <c r="Q3011" i="2"/>
  <c r="R3011" i="2" s="1"/>
  <c r="Q3010" i="2"/>
  <c r="R3010" i="2" s="1"/>
  <c r="R3009" i="2"/>
  <c r="Q3009" i="2"/>
  <c r="Q3008" i="2"/>
  <c r="R3008" i="2" s="1"/>
  <c r="R3007" i="2"/>
  <c r="Q3007" i="2"/>
  <c r="Q3006" i="2"/>
  <c r="R3006" i="2" s="1"/>
  <c r="R3005" i="2"/>
  <c r="Q3005" i="2"/>
  <c r="Q3004" i="2"/>
  <c r="R3004" i="2" s="1"/>
  <c r="R3003" i="2"/>
  <c r="Q3003" i="2"/>
  <c r="Q3002" i="2"/>
  <c r="R3002" i="2" s="1"/>
  <c r="R3001" i="2"/>
  <c r="Q3001" i="2"/>
  <c r="Q3000" i="2"/>
  <c r="R3000" i="2" s="1"/>
  <c r="R2999" i="2"/>
  <c r="Q2999" i="2"/>
  <c r="Q2998" i="2"/>
  <c r="R2998" i="2" s="1"/>
  <c r="R2997" i="2"/>
  <c r="Q2997" i="2"/>
  <c r="Q2996" i="2"/>
  <c r="R2996" i="2" s="1"/>
  <c r="Q2995" i="2"/>
  <c r="R2995" i="2" s="1"/>
  <c r="Q2994" i="2"/>
  <c r="R2994" i="2" s="1"/>
  <c r="Q2993" i="2"/>
  <c r="R2993" i="2" s="1"/>
  <c r="R2992" i="2"/>
  <c r="Q2992" i="2"/>
  <c r="Q2991" i="2"/>
  <c r="R2991" i="2" s="1"/>
  <c r="R2990" i="2"/>
  <c r="Q2990" i="2"/>
  <c r="Q2989" i="2"/>
  <c r="R2989" i="2" s="1"/>
  <c r="R2988" i="2"/>
  <c r="Q2988" i="2"/>
  <c r="Q2987" i="2"/>
  <c r="R2987" i="2" s="1"/>
  <c r="Q2986" i="2"/>
  <c r="R2986" i="2" s="1"/>
  <c r="Q2985" i="2"/>
  <c r="R2985" i="2" s="1"/>
  <c r="R2984" i="2"/>
  <c r="Q2984" i="2"/>
  <c r="Q2983" i="2"/>
  <c r="R2983" i="2" s="1"/>
  <c r="R2982" i="2"/>
  <c r="Q2982" i="2"/>
  <c r="Q2981" i="2"/>
  <c r="R2981" i="2" s="1"/>
  <c r="R2980" i="2"/>
  <c r="Q2980" i="2"/>
  <c r="Q2979" i="2"/>
  <c r="R2979" i="2" s="1"/>
  <c r="Q2978" i="2"/>
  <c r="R2978" i="2" s="1"/>
  <c r="R2977" i="2"/>
  <c r="Q2977" i="2"/>
  <c r="Q2976" i="2"/>
  <c r="R2976" i="2" s="1"/>
  <c r="R2975" i="2"/>
  <c r="Q2975" i="2"/>
  <c r="Q2974" i="2"/>
  <c r="R2974" i="2" s="1"/>
  <c r="R2973" i="2"/>
  <c r="Q2973" i="2"/>
  <c r="Q2972" i="2"/>
  <c r="R2972" i="2" s="1"/>
  <c r="R2971" i="2"/>
  <c r="Q2971" i="2"/>
  <c r="Q2970" i="2"/>
  <c r="R2970" i="2" s="1"/>
  <c r="Q2969" i="2"/>
  <c r="R2969" i="2" s="1"/>
  <c r="Q2968" i="2"/>
  <c r="R2968" i="2" s="1"/>
  <c r="R2967" i="2"/>
  <c r="Q2967" i="2"/>
  <c r="Q2966" i="2"/>
  <c r="R2966" i="2" s="1"/>
  <c r="R2965" i="2"/>
  <c r="Q2965" i="2"/>
  <c r="Q2964" i="2"/>
  <c r="R2964" i="2" s="1"/>
  <c r="R2963" i="2"/>
  <c r="Q2963" i="2"/>
  <c r="Q2962" i="2"/>
  <c r="R2962" i="2" s="1"/>
  <c r="Q2961" i="2"/>
  <c r="R2961" i="2" s="1"/>
  <c r="R2960" i="2"/>
  <c r="Q2960" i="2"/>
  <c r="Q2959" i="2"/>
  <c r="R2959" i="2" s="1"/>
  <c r="R2958" i="2"/>
  <c r="Q2958" i="2"/>
  <c r="Q2957" i="2"/>
  <c r="R2957" i="2" s="1"/>
  <c r="R2956" i="2"/>
  <c r="Q2956" i="2"/>
  <c r="Q2955" i="2"/>
  <c r="R2955" i="2" s="1"/>
  <c r="Q2954" i="2"/>
  <c r="R2954" i="2" s="1"/>
  <c r="Q2953" i="2"/>
  <c r="R2953" i="2" s="1"/>
  <c r="Q2952" i="2"/>
  <c r="R2952" i="2" s="1"/>
  <c r="Q2951" i="2"/>
  <c r="R2951" i="2" s="1"/>
  <c r="R2950" i="2"/>
  <c r="Q2950" i="2"/>
  <c r="Q2949" i="2"/>
  <c r="R2949" i="2" s="1"/>
  <c r="R2948" i="2"/>
  <c r="Q2948" i="2"/>
  <c r="Q2947" i="2"/>
  <c r="R2947" i="2" s="1"/>
  <c r="Q2946" i="2"/>
  <c r="R2946" i="2" s="1"/>
  <c r="R2945" i="2"/>
  <c r="Q2945" i="2"/>
  <c r="Q2944" i="2"/>
  <c r="R2944" i="2" s="1"/>
  <c r="R2943" i="2"/>
  <c r="Q2943" i="2"/>
  <c r="Q2942" i="2"/>
  <c r="R2942" i="2" s="1"/>
  <c r="R2941" i="2"/>
  <c r="Q2941" i="2"/>
  <c r="Q2940" i="2"/>
  <c r="R2940" i="2" s="1"/>
  <c r="R2939" i="2"/>
  <c r="Q2939" i="2"/>
  <c r="Q2938" i="2"/>
  <c r="R2938" i="2" s="1"/>
  <c r="R2937" i="2"/>
  <c r="Q2937" i="2"/>
  <c r="Q2936" i="2"/>
  <c r="R2936" i="2" s="1"/>
  <c r="Q2935" i="2"/>
  <c r="R2935" i="2" s="1"/>
  <c r="Q2934" i="2"/>
  <c r="R2934" i="2" s="1"/>
  <c r="R2933" i="2"/>
  <c r="Q2933" i="2"/>
  <c r="Q2932" i="2"/>
  <c r="R2932" i="2" s="1"/>
  <c r="R2931" i="2"/>
  <c r="Q2931" i="2"/>
  <c r="Q2930" i="2"/>
  <c r="R2930" i="2" s="1"/>
  <c r="Q2929" i="2"/>
  <c r="R2929" i="2" s="1"/>
  <c r="R2928" i="2"/>
  <c r="Q2928" i="2"/>
  <c r="Q2927" i="2"/>
  <c r="R2927" i="2" s="1"/>
  <c r="R2926" i="2"/>
  <c r="Q2926" i="2"/>
  <c r="Q2925" i="2"/>
  <c r="R2925" i="2" s="1"/>
  <c r="R2924" i="2"/>
  <c r="Q2924" i="2"/>
  <c r="Q2923" i="2"/>
  <c r="R2923" i="2" s="1"/>
  <c r="Q2922" i="2"/>
  <c r="R2922" i="2" s="1"/>
  <c r="Q2921" i="2"/>
  <c r="R2921" i="2" s="1"/>
  <c r="R2920" i="2"/>
  <c r="Q2920" i="2"/>
  <c r="Q2919" i="2"/>
  <c r="R2919" i="2" s="1"/>
  <c r="Q2918" i="2"/>
  <c r="R2918" i="2" s="1"/>
  <c r="Q2917" i="2"/>
  <c r="R2917" i="2" s="1"/>
  <c r="R2916" i="2"/>
  <c r="Q2916" i="2"/>
  <c r="Q2915" i="2"/>
  <c r="R2915" i="2" s="1"/>
  <c r="Q2914" i="2"/>
  <c r="R2914" i="2" s="1"/>
  <c r="R2913" i="2"/>
  <c r="Q2913" i="2"/>
  <c r="Q2912" i="2"/>
  <c r="R2912" i="2" s="1"/>
  <c r="R2911" i="2"/>
  <c r="Q2911" i="2"/>
  <c r="Q2910" i="2"/>
  <c r="R2910" i="2" s="1"/>
  <c r="R2909" i="2"/>
  <c r="Q2909" i="2"/>
  <c r="Q2908" i="2"/>
  <c r="R2908" i="2" s="1"/>
  <c r="R2907" i="2"/>
  <c r="Q2907" i="2"/>
  <c r="Q2906" i="2"/>
  <c r="R2906" i="2" s="1"/>
  <c r="R2905" i="2"/>
  <c r="Q2905" i="2"/>
  <c r="Q2904" i="2"/>
  <c r="R2904" i="2" s="1"/>
  <c r="R2903" i="2"/>
  <c r="Q2903" i="2"/>
  <c r="Q2902" i="2"/>
  <c r="R2902" i="2" s="1"/>
  <c r="Q2901" i="2"/>
  <c r="R2901" i="2" s="1"/>
  <c r="Q2900" i="2"/>
  <c r="R2900" i="2" s="1"/>
  <c r="R2899" i="2"/>
  <c r="Q2899" i="2"/>
  <c r="Q2898" i="2"/>
  <c r="R2898" i="2" s="1"/>
  <c r="Q2897" i="2"/>
  <c r="R2897" i="2" s="1"/>
  <c r="R2896" i="2"/>
  <c r="Q2896" i="2"/>
  <c r="Q2895" i="2"/>
  <c r="R2895" i="2" s="1"/>
  <c r="R2894" i="2"/>
  <c r="Q2894" i="2"/>
  <c r="Q2893" i="2"/>
  <c r="R2893" i="2" s="1"/>
  <c r="R2892" i="2"/>
  <c r="Q2892" i="2"/>
  <c r="Q2891" i="2"/>
  <c r="R2891" i="2" s="1"/>
  <c r="Q2890" i="2"/>
  <c r="R2890" i="2" s="1"/>
  <c r="Q2889" i="2"/>
  <c r="R2889" i="2" s="1"/>
  <c r="R2888" i="2"/>
  <c r="Q2888" i="2"/>
  <c r="Q2887" i="2"/>
  <c r="R2887" i="2" s="1"/>
  <c r="R2886" i="2"/>
  <c r="Q2886" i="2"/>
  <c r="Q2885" i="2"/>
  <c r="R2885" i="2" s="1"/>
  <c r="Q2884" i="2"/>
  <c r="R2884" i="2" s="1"/>
  <c r="Q2883" i="2"/>
  <c r="R2883" i="2" s="1"/>
  <c r="Q2882" i="2"/>
  <c r="R2882" i="2" s="1"/>
  <c r="R2881" i="2"/>
  <c r="Q2881" i="2"/>
  <c r="Q2880" i="2"/>
  <c r="R2880" i="2" s="1"/>
  <c r="R2879" i="2"/>
  <c r="Q2879" i="2"/>
  <c r="Q2878" i="2"/>
  <c r="R2878" i="2" s="1"/>
  <c r="R2877" i="2"/>
  <c r="Q2877" i="2"/>
  <c r="Q2876" i="2"/>
  <c r="R2876" i="2" s="1"/>
  <c r="R2875" i="2"/>
  <c r="Q2875" i="2"/>
  <c r="Q2874" i="2"/>
  <c r="R2874" i="2" s="1"/>
  <c r="R2873" i="2"/>
  <c r="Q2873" i="2"/>
  <c r="Q2872" i="2"/>
  <c r="R2872" i="2" s="1"/>
  <c r="R2871" i="2"/>
  <c r="Q2871" i="2"/>
  <c r="Q2870" i="2"/>
  <c r="R2870" i="2" s="1"/>
  <c r="R2869" i="2"/>
  <c r="Q2869" i="2"/>
  <c r="Q2868" i="2"/>
  <c r="R2868" i="2" s="1"/>
  <c r="Q2867" i="2"/>
  <c r="R2867" i="2" s="1"/>
  <c r="Q2866" i="2"/>
  <c r="R2866" i="2" s="1"/>
  <c r="Q2865" i="2"/>
  <c r="R2865" i="2" s="1"/>
  <c r="R2864" i="2"/>
  <c r="Q2864" i="2"/>
  <c r="Q2863" i="2"/>
  <c r="R2863" i="2" s="1"/>
  <c r="R2862" i="2"/>
  <c r="Q2862" i="2"/>
  <c r="Q2861" i="2"/>
  <c r="R2861" i="2" s="1"/>
  <c r="R2860" i="2"/>
  <c r="Q2860" i="2"/>
  <c r="Q2859" i="2"/>
  <c r="R2859" i="2" s="1"/>
  <c r="Q2858" i="2"/>
  <c r="R2858" i="2" s="1"/>
  <c r="Q2857" i="2"/>
  <c r="R2857" i="2" s="1"/>
  <c r="R2856" i="2"/>
  <c r="Q2856" i="2"/>
  <c r="Q2855" i="2"/>
  <c r="R2855" i="2" s="1"/>
  <c r="R2854" i="2"/>
  <c r="Q2854" i="2"/>
  <c r="Q2853" i="2"/>
  <c r="R2853" i="2" s="1"/>
  <c r="R2852" i="2"/>
  <c r="Q2852" i="2"/>
  <c r="Q2851" i="2"/>
  <c r="R2851" i="2" s="1"/>
  <c r="Q2850" i="2"/>
  <c r="R2850" i="2" s="1"/>
  <c r="R2849" i="2"/>
  <c r="Q2849" i="2"/>
  <c r="Q2848" i="2"/>
  <c r="R2848" i="2" s="1"/>
  <c r="R2847" i="2"/>
  <c r="Q2847" i="2"/>
  <c r="Q2846" i="2"/>
  <c r="R2846" i="2" s="1"/>
  <c r="R2845" i="2"/>
  <c r="Q2845" i="2"/>
  <c r="Q2844" i="2"/>
  <c r="R2844" i="2" s="1"/>
  <c r="R2843" i="2"/>
  <c r="Q2843" i="2"/>
  <c r="Q2842" i="2"/>
  <c r="R2842" i="2" s="1"/>
  <c r="Q2841" i="2"/>
  <c r="R2841" i="2" s="1"/>
  <c r="Q2840" i="2"/>
  <c r="R2840" i="2" s="1"/>
  <c r="R2839" i="2"/>
  <c r="Q2839" i="2"/>
  <c r="Q2838" i="2"/>
  <c r="R2838" i="2" s="1"/>
  <c r="R2837" i="2"/>
  <c r="Q2837" i="2"/>
  <c r="Q2836" i="2"/>
  <c r="R2836" i="2" s="1"/>
  <c r="R2835" i="2"/>
  <c r="Q2835" i="2"/>
  <c r="Q2834" i="2"/>
  <c r="R2834" i="2" s="1"/>
  <c r="Q2833" i="2"/>
  <c r="R2833" i="2" s="1"/>
  <c r="R2832" i="2"/>
  <c r="Q2832" i="2"/>
  <c r="Q2831" i="2"/>
  <c r="R2831" i="2" s="1"/>
  <c r="R2830" i="2"/>
  <c r="Q2830" i="2"/>
  <c r="Q2829" i="2"/>
  <c r="R2829" i="2" s="1"/>
  <c r="R2828" i="2"/>
  <c r="Q2828" i="2"/>
  <c r="Q2827" i="2"/>
  <c r="R2827" i="2" s="1"/>
  <c r="Q2826" i="2"/>
  <c r="R2826" i="2" s="1"/>
  <c r="Q2825" i="2"/>
  <c r="R2825" i="2" s="1"/>
  <c r="Q2824" i="2"/>
  <c r="R2824" i="2" s="1"/>
  <c r="Q2823" i="2"/>
  <c r="R2823" i="2" s="1"/>
  <c r="R2822" i="2"/>
  <c r="Q2822" i="2"/>
  <c r="Q2821" i="2"/>
  <c r="R2821" i="2" s="1"/>
  <c r="R2820" i="2"/>
  <c r="Q2820" i="2"/>
  <c r="Q2819" i="2"/>
  <c r="R2819" i="2" s="1"/>
  <c r="Q2818" i="2"/>
  <c r="R2818" i="2" s="1"/>
  <c r="R2817" i="2"/>
  <c r="Q2817" i="2"/>
  <c r="Q2816" i="2"/>
  <c r="R2816" i="2" s="1"/>
  <c r="R2815" i="2"/>
  <c r="Q2815" i="2"/>
  <c r="Q2814" i="2"/>
  <c r="R2814" i="2" s="1"/>
  <c r="R2813" i="2"/>
  <c r="Q2813" i="2"/>
  <c r="Q2812" i="2"/>
  <c r="R2812" i="2" s="1"/>
  <c r="R2811" i="2"/>
  <c r="Q2811" i="2"/>
  <c r="Q2810" i="2"/>
  <c r="R2810" i="2" s="1"/>
  <c r="R2809" i="2"/>
  <c r="Q2809" i="2"/>
  <c r="Q2808" i="2"/>
  <c r="R2808" i="2" s="1"/>
  <c r="Q2807" i="2"/>
  <c r="R2807" i="2" s="1"/>
  <c r="Q2806" i="2"/>
  <c r="R2806" i="2" s="1"/>
  <c r="R2805" i="2"/>
  <c r="Q2805" i="2"/>
  <c r="Q2804" i="2"/>
  <c r="R2804" i="2" s="1"/>
  <c r="R2803" i="2"/>
  <c r="Q2803" i="2"/>
  <c r="Q2802" i="2"/>
  <c r="R2802" i="2" s="1"/>
  <c r="Q2801" i="2"/>
  <c r="R2801" i="2" s="1"/>
  <c r="R2800" i="2"/>
  <c r="Q2800" i="2"/>
  <c r="Q2799" i="2"/>
  <c r="R2799" i="2" s="1"/>
  <c r="R2798" i="2"/>
  <c r="Q2798" i="2"/>
  <c r="Q2797" i="2"/>
  <c r="R2797" i="2" s="1"/>
  <c r="R2796" i="2"/>
  <c r="Q2796" i="2"/>
  <c r="Q2795" i="2"/>
  <c r="R2795" i="2" s="1"/>
  <c r="Q2794" i="2"/>
  <c r="R2794" i="2" s="1"/>
  <c r="Q2793" i="2"/>
  <c r="R2793" i="2" s="1"/>
  <c r="R2792" i="2"/>
  <c r="Q2792" i="2"/>
  <c r="Q2791" i="2"/>
  <c r="R2791" i="2" s="1"/>
  <c r="Q2790" i="2"/>
  <c r="R2790" i="2" s="1"/>
  <c r="Q2789" i="2"/>
  <c r="R2789" i="2" s="1"/>
  <c r="R2788" i="2"/>
  <c r="Q2788" i="2"/>
  <c r="Q2787" i="2"/>
  <c r="R2787" i="2" s="1"/>
  <c r="Q2786" i="2"/>
  <c r="R2786" i="2" s="1"/>
  <c r="R2785" i="2"/>
  <c r="Q2785" i="2"/>
  <c r="Q2784" i="2"/>
  <c r="R2784" i="2" s="1"/>
  <c r="R2783" i="2"/>
  <c r="Q2783" i="2"/>
  <c r="Q2782" i="2"/>
  <c r="R2782" i="2" s="1"/>
  <c r="R2781" i="2"/>
  <c r="Q2781" i="2"/>
  <c r="Q2780" i="2"/>
  <c r="R2780" i="2" s="1"/>
  <c r="R2779" i="2"/>
  <c r="Q2779" i="2"/>
  <c r="Q2778" i="2"/>
  <c r="R2778" i="2" s="1"/>
  <c r="R2777" i="2"/>
  <c r="Q2777" i="2"/>
  <c r="Q2776" i="2"/>
  <c r="R2776" i="2" s="1"/>
  <c r="R2775" i="2"/>
  <c r="Q2775" i="2"/>
  <c r="Q2774" i="2"/>
  <c r="R2774" i="2" s="1"/>
  <c r="Q2773" i="2"/>
  <c r="R2773" i="2" s="1"/>
  <c r="Q2772" i="2"/>
  <c r="R2772" i="2" s="1"/>
  <c r="R2771" i="2"/>
  <c r="Q2771" i="2"/>
  <c r="Q2770" i="2"/>
  <c r="R2770" i="2" s="1"/>
  <c r="Q2769" i="2"/>
  <c r="R2769" i="2" s="1"/>
  <c r="R2768" i="2"/>
  <c r="Q2768" i="2"/>
  <c r="Q2767" i="2"/>
  <c r="R2767" i="2" s="1"/>
  <c r="R2766" i="2"/>
  <c r="Q2766" i="2"/>
  <c r="Q2765" i="2"/>
  <c r="R2765" i="2" s="1"/>
  <c r="R2764" i="2"/>
  <c r="Q2764" i="2"/>
  <c r="Q2763" i="2"/>
  <c r="R2763" i="2" s="1"/>
  <c r="Q2762" i="2"/>
  <c r="R2762" i="2" s="1"/>
  <c r="Q2761" i="2"/>
  <c r="R2761" i="2" s="1"/>
  <c r="R2760" i="2"/>
  <c r="Q2760" i="2"/>
  <c r="Q2759" i="2"/>
  <c r="R2759" i="2" s="1"/>
  <c r="R2758" i="2"/>
  <c r="Q2758" i="2"/>
  <c r="Q2757" i="2"/>
  <c r="R2757" i="2" s="1"/>
  <c r="Q2756" i="2"/>
  <c r="R2756" i="2" s="1"/>
  <c r="Q2755" i="2"/>
  <c r="R2755" i="2" s="1"/>
  <c r="Q2754" i="2"/>
  <c r="R2754" i="2" s="1"/>
  <c r="R2753" i="2"/>
  <c r="Q2753" i="2"/>
  <c r="Q2752" i="2"/>
  <c r="R2752" i="2" s="1"/>
  <c r="R2751" i="2"/>
  <c r="Q2751" i="2"/>
  <c r="Q2750" i="2"/>
  <c r="R2750" i="2" s="1"/>
  <c r="R2749" i="2"/>
  <c r="Q2749" i="2"/>
  <c r="Q2748" i="2"/>
  <c r="R2748" i="2" s="1"/>
  <c r="R2747" i="2"/>
  <c r="Q2747" i="2"/>
  <c r="Q2746" i="2"/>
  <c r="R2746" i="2" s="1"/>
  <c r="R2745" i="2"/>
  <c r="Q2745" i="2"/>
  <c r="Q2744" i="2"/>
  <c r="R2744" i="2" s="1"/>
  <c r="R2743" i="2"/>
  <c r="Q2743" i="2"/>
  <c r="Q2742" i="2"/>
  <c r="R2742" i="2" s="1"/>
  <c r="R2741" i="2"/>
  <c r="Q2741" i="2"/>
  <c r="Q2740" i="2"/>
  <c r="R2740" i="2" s="1"/>
  <c r="Q2739" i="2"/>
  <c r="R2739" i="2" s="1"/>
  <c r="Q2738" i="2"/>
  <c r="R2738" i="2" s="1"/>
  <c r="Q2737" i="2"/>
  <c r="R2737" i="2" s="1"/>
  <c r="R2736" i="2"/>
  <c r="Q2736" i="2"/>
  <c r="Q2735" i="2"/>
  <c r="R2735" i="2" s="1"/>
  <c r="R2734" i="2"/>
  <c r="Q2734" i="2"/>
  <c r="Q2733" i="2"/>
  <c r="R2733" i="2" s="1"/>
  <c r="R2732" i="2"/>
  <c r="Q2732" i="2"/>
  <c r="Q2731" i="2"/>
  <c r="R2731" i="2" s="1"/>
  <c r="Q2730" i="2"/>
  <c r="R2730" i="2" s="1"/>
  <c r="Q2729" i="2"/>
  <c r="R2729" i="2" s="1"/>
  <c r="R2728" i="2"/>
  <c r="Q2728" i="2"/>
  <c r="Q2727" i="2"/>
  <c r="R2727" i="2" s="1"/>
  <c r="R2726" i="2"/>
  <c r="Q2726" i="2"/>
  <c r="Q2725" i="2"/>
  <c r="R2725" i="2" s="1"/>
  <c r="R2724" i="2"/>
  <c r="Q2724" i="2"/>
  <c r="Q2723" i="2"/>
  <c r="R2723" i="2" s="1"/>
  <c r="Q2722" i="2"/>
  <c r="R2722" i="2" s="1"/>
  <c r="R2721" i="2"/>
  <c r="Q2721" i="2"/>
  <c r="Q2720" i="2"/>
  <c r="R2720" i="2" s="1"/>
  <c r="R2719" i="2"/>
  <c r="Q2719" i="2"/>
  <c r="Q2718" i="2"/>
  <c r="R2718" i="2" s="1"/>
  <c r="R2717" i="2"/>
  <c r="Q2717" i="2"/>
  <c r="Q2716" i="2"/>
  <c r="R2716" i="2" s="1"/>
  <c r="R2715" i="2"/>
  <c r="Q2715" i="2"/>
  <c r="Q2714" i="2"/>
  <c r="R2714" i="2" s="1"/>
  <c r="Q2713" i="2"/>
  <c r="R2713" i="2" s="1"/>
  <c r="Q2712" i="2"/>
  <c r="R2712" i="2" s="1"/>
  <c r="R2711" i="2"/>
  <c r="Q2711" i="2"/>
  <c r="Q2710" i="2"/>
  <c r="R2710" i="2" s="1"/>
  <c r="R2709" i="2"/>
  <c r="Q2709" i="2"/>
  <c r="Q2708" i="2"/>
  <c r="R2708" i="2" s="1"/>
  <c r="R2707" i="2"/>
  <c r="Q2707" i="2"/>
  <c r="Q2706" i="2"/>
  <c r="R2706" i="2" s="1"/>
  <c r="Q2705" i="2"/>
  <c r="R2705" i="2" s="1"/>
  <c r="R2704" i="2"/>
  <c r="Q2704" i="2"/>
  <c r="Q2703" i="2"/>
  <c r="R2703" i="2" s="1"/>
  <c r="R2702" i="2"/>
  <c r="Q2702" i="2"/>
  <c r="Q2701" i="2"/>
  <c r="R2701" i="2" s="1"/>
  <c r="R2700" i="2"/>
  <c r="Q2700" i="2"/>
  <c r="Q2699" i="2"/>
  <c r="R2699" i="2" s="1"/>
  <c r="Q2698" i="2"/>
  <c r="R2698" i="2" s="1"/>
  <c r="Q2697" i="2"/>
  <c r="R2697" i="2" s="1"/>
  <c r="Q2696" i="2"/>
  <c r="R2696" i="2" s="1"/>
  <c r="Q2695" i="2"/>
  <c r="R2695" i="2" s="1"/>
  <c r="R2694" i="2"/>
  <c r="Q2694" i="2"/>
  <c r="Q2693" i="2"/>
  <c r="R2693" i="2" s="1"/>
  <c r="R2692" i="2"/>
  <c r="Q2692" i="2"/>
  <c r="Q2691" i="2"/>
  <c r="R2691" i="2" s="1"/>
  <c r="Q2690" i="2"/>
  <c r="R2690" i="2" s="1"/>
  <c r="R2689" i="2"/>
  <c r="Q2689" i="2"/>
  <c r="Q2688" i="2"/>
  <c r="R2688" i="2" s="1"/>
  <c r="R2687" i="2"/>
  <c r="Q2687" i="2"/>
  <c r="Q2686" i="2"/>
  <c r="R2686" i="2" s="1"/>
  <c r="R2685" i="2"/>
  <c r="Q2685" i="2"/>
  <c r="Q2684" i="2"/>
  <c r="R2684" i="2" s="1"/>
  <c r="R2683" i="2"/>
  <c r="Q2683" i="2"/>
  <c r="Q2682" i="2"/>
  <c r="R2682" i="2" s="1"/>
  <c r="R2681" i="2"/>
  <c r="Q2681" i="2"/>
  <c r="Q2680" i="2"/>
  <c r="R2680" i="2" s="1"/>
  <c r="Q2679" i="2"/>
  <c r="R2679" i="2" s="1"/>
  <c r="Q2678" i="2"/>
  <c r="R2678" i="2" s="1"/>
  <c r="R2677" i="2"/>
  <c r="Q2677" i="2"/>
  <c r="Q2676" i="2"/>
  <c r="R2676" i="2" s="1"/>
  <c r="R2675" i="2"/>
  <c r="Q2675" i="2"/>
  <c r="Q2674" i="2"/>
  <c r="R2674" i="2" s="1"/>
  <c r="Q2673" i="2"/>
  <c r="R2673" i="2" s="1"/>
  <c r="R2672" i="2"/>
  <c r="Q2672" i="2"/>
  <c r="Q2671" i="2"/>
  <c r="R2671" i="2" s="1"/>
  <c r="R2670" i="2"/>
  <c r="Q2670" i="2"/>
  <c r="Q2669" i="2"/>
  <c r="R2669" i="2" s="1"/>
  <c r="R2668" i="2"/>
  <c r="Q2668" i="2"/>
  <c r="Q2667" i="2"/>
  <c r="R2667" i="2" s="1"/>
  <c r="Q2666" i="2"/>
  <c r="R2666" i="2" s="1"/>
  <c r="Q2665" i="2"/>
  <c r="R2665" i="2" s="1"/>
  <c r="Q2664" i="2"/>
  <c r="R2664" i="2" s="1"/>
  <c r="Q2663" i="2"/>
  <c r="R2663" i="2" s="1"/>
  <c r="Q2662" i="2"/>
  <c r="R2662" i="2" s="1"/>
  <c r="Q2661" i="2"/>
  <c r="R2661" i="2" s="1"/>
  <c r="R2660" i="2"/>
  <c r="Q2660" i="2"/>
  <c r="Q2659" i="2"/>
  <c r="R2659" i="2" s="1"/>
  <c r="Q2658" i="2"/>
  <c r="R2658" i="2" s="1"/>
  <c r="R2657" i="2"/>
  <c r="Q2657" i="2"/>
  <c r="Q2656" i="2"/>
  <c r="R2656" i="2" s="1"/>
  <c r="R2655" i="2"/>
  <c r="Q2655" i="2"/>
  <c r="Q2654" i="2"/>
  <c r="R2654" i="2" s="1"/>
  <c r="R2653" i="2"/>
  <c r="Q2653" i="2"/>
  <c r="Q2652" i="2"/>
  <c r="R2652" i="2" s="1"/>
  <c r="R2651" i="2"/>
  <c r="Q2651" i="2"/>
  <c r="Q2650" i="2"/>
  <c r="R2650" i="2" s="1"/>
  <c r="R2649" i="2"/>
  <c r="Q2649" i="2"/>
  <c r="Q2648" i="2"/>
  <c r="R2648" i="2" s="1"/>
  <c r="Q2647" i="2"/>
  <c r="R2647" i="2" s="1"/>
  <c r="Q2646" i="2"/>
  <c r="R2646" i="2" s="1"/>
  <c r="Q2645" i="2"/>
  <c r="R2645" i="2" s="1"/>
  <c r="Q2644" i="2"/>
  <c r="R2644" i="2" s="1"/>
  <c r="R2643" i="2"/>
  <c r="Q2643" i="2"/>
  <c r="Q2642" i="2"/>
  <c r="R2642" i="2" s="1"/>
  <c r="Q2641" i="2"/>
  <c r="R2641" i="2" s="1"/>
  <c r="R2640" i="2"/>
  <c r="Q2640" i="2"/>
  <c r="Q2639" i="2"/>
  <c r="R2639" i="2" s="1"/>
  <c r="R2638" i="2"/>
  <c r="Q2638" i="2"/>
  <c r="Q2637" i="2"/>
  <c r="R2637" i="2" s="1"/>
  <c r="R2636" i="2"/>
  <c r="Q2636" i="2"/>
  <c r="Q2635" i="2"/>
  <c r="R2635" i="2" s="1"/>
  <c r="Q2634" i="2"/>
  <c r="R2634" i="2" s="1"/>
  <c r="Q2633" i="2"/>
  <c r="R2633" i="2" s="1"/>
  <c r="R2632" i="2"/>
  <c r="Q2632" i="2"/>
  <c r="Q2631" i="2"/>
  <c r="R2631" i="2" s="1"/>
  <c r="Q2630" i="2"/>
  <c r="R2630" i="2" s="1"/>
  <c r="Q2629" i="2"/>
  <c r="R2629" i="2" s="1"/>
  <c r="Q2628" i="2"/>
  <c r="R2628" i="2" s="1"/>
  <c r="Q2627" i="2"/>
  <c r="R2627" i="2" s="1"/>
  <c r="Q2626" i="2"/>
  <c r="R2626" i="2" s="1"/>
  <c r="R2625" i="2"/>
  <c r="Q2625" i="2"/>
  <c r="Q2624" i="2"/>
  <c r="R2624" i="2" s="1"/>
  <c r="R2623" i="2"/>
  <c r="Q2623" i="2"/>
  <c r="Q2622" i="2"/>
  <c r="R2622" i="2" s="1"/>
  <c r="R2621" i="2"/>
  <c r="Q2621" i="2"/>
  <c r="Q2620" i="2"/>
  <c r="R2620" i="2" s="1"/>
  <c r="R2619" i="2"/>
  <c r="Q2619" i="2"/>
  <c r="Q2618" i="2"/>
  <c r="R2618" i="2" s="1"/>
  <c r="R2617" i="2"/>
  <c r="Q2617" i="2"/>
  <c r="Q2616" i="2"/>
  <c r="R2616" i="2" s="1"/>
  <c r="R2615" i="2"/>
  <c r="Q2615" i="2"/>
  <c r="Q2614" i="2"/>
  <c r="R2614" i="2" s="1"/>
  <c r="R2613" i="2"/>
  <c r="Q2613" i="2"/>
  <c r="Q2612" i="2"/>
  <c r="R2612" i="2" s="1"/>
  <c r="Q2611" i="2"/>
  <c r="R2611" i="2" s="1"/>
  <c r="Q2610" i="2"/>
  <c r="R2610" i="2" s="1"/>
  <c r="Q2609" i="2"/>
  <c r="R2609" i="2" s="1"/>
  <c r="R2608" i="2"/>
  <c r="Q2608" i="2"/>
  <c r="Q2607" i="2"/>
  <c r="R2607" i="2" s="1"/>
  <c r="R2606" i="2"/>
  <c r="Q2606" i="2"/>
  <c r="Q2605" i="2"/>
  <c r="R2605" i="2" s="1"/>
  <c r="R2604" i="2"/>
  <c r="Q2604" i="2"/>
  <c r="Q2603" i="2"/>
  <c r="R2603" i="2" s="1"/>
  <c r="Q2602" i="2"/>
  <c r="R2602" i="2" s="1"/>
  <c r="Q2601" i="2"/>
  <c r="R2601" i="2" s="1"/>
  <c r="R2600" i="2"/>
  <c r="Q2600" i="2"/>
  <c r="Q2599" i="2"/>
  <c r="R2599" i="2" s="1"/>
  <c r="R2598" i="2"/>
  <c r="Q2598" i="2"/>
  <c r="Q2597" i="2"/>
  <c r="R2597" i="2" s="1"/>
  <c r="Q2596" i="2"/>
  <c r="R2596" i="2" s="1"/>
  <c r="Q2595" i="2"/>
  <c r="R2595" i="2" s="1"/>
  <c r="Q2594" i="2"/>
  <c r="R2594" i="2" s="1"/>
  <c r="R2593" i="2"/>
  <c r="Q2593" i="2"/>
  <c r="Q2592" i="2"/>
  <c r="R2592" i="2" s="1"/>
  <c r="R2591" i="2"/>
  <c r="Q2591" i="2"/>
  <c r="Q2590" i="2"/>
  <c r="R2590" i="2" s="1"/>
  <c r="R2589" i="2"/>
  <c r="Q2589" i="2"/>
  <c r="Q2588" i="2"/>
  <c r="R2588" i="2" s="1"/>
  <c r="R2587" i="2"/>
  <c r="Q2587" i="2"/>
  <c r="Q2586" i="2"/>
  <c r="R2586" i="2" s="1"/>
  <c r="Q2585" i="2"/>
  <c r="R2585" i="2" s="1"/>
  <c r="Q2584" i="2"/>
  <c r="R2584" i="2" s="1"/>
  <c r="R2583" i="2"/>
  <c r="Q2583" i="2"/>
  <c r="Q2582" i="2"/>
  <c r="R2582" i="2" s="1"/>
  <c r="R2581" i="2"/>
  <c r="Q2581" i="2"/>
  <c r="Q2580" i="2"/>
  <c r="R2580" i="2" s="1"/>
  <c r="Q2579" i="2"/>
  <c r="R2579" i="2" s="1"/>
  <c r="Q2578" i="2"/>
  <c r="R2578" i="2" s="1"/>
  <c r="Q2577" i="2"/>
  <c r="R2577" i="2" s="1"/>
  <c r="R2576" i="2"/>
  <c r="Q2576" i="2"/>
  <c r="Q2575" i="2"/>
  <c r="R2575" i="2" s="1"/>
  <c r="R2574" i="2"/>
  <c r="Q2574" i="2"/>
  <c r="Q2573" i="2"/>
  <c r="R2573" i="2" s="1"/>
  <c r="R2572" i="2"/>
  <c r="Q2572" i="2"/>
  <c r="Q2571" i="2"/>
  <c r="R2571" i="2" s="1"/>
  <c r="Q2570" i="2"/>
  <c r="R2570" i="2" s="1"/>
  <c r="Q2569" i="2"/>
  <c r="R2569" i="2" s="1"/>
  <c r="Q2568" i="2"/>
  <c r="R2568" i="2" s="1"/>
  <c r="Q2567" i="2"/>
  <c r="R2567" i="2" s="1"/>
  <c r="R2566" i="2"/>
  <c r="Q2566" i="2"/>
  <c r="Q2565" i="2"/>
  <c r="R2565" i="2" s="1"/>
  <c r="R2564" i="2"/>
  <c r="Q2564" i="2"/>
  <c r="Q2563" i="2"/>
  <c r="R2563" i="2" s="1"/>
  <c r="Q2562" i="2"/>
  <c r="R2562" i="2" s="1"/>
  <c r="R2561" i="2"/>
  <c r="Q2561" i="2"/>
  <c r="Q2560" i="2"/>
  <c r="R2560" i="2" s="1"/>
  <c r="R2559" i="2"/>
  <c r="Q2559" i="2"/>
  <c r="Q2558" i="2"/>
  <c r="R2558" i="2" s="1"/>
  <c r="R2557" i="2"/>
  <c r="Q2557" i="2"/>
  <c r="Q2556" i="2"/>
  <c r="R2556" i="2" s="1"/>
  <c r="R2555" i="2"/>
  <c r="Q2555" i="2"/>
  <c r="Q2554" i="2"/>
  <c r="R2554" i="2" s="1"/>
  <c r="R2553" i="2"/>
  <c r="Q2553" i="2"/>
  <c r="Q2552" i="2"/>
  <c r="R2552" i="2" s="1"/>
  <c r="R2551" i="2"/>
  <c r="Q2551" i="2"/>
  <c r="Q2550" i="2"/>
  <c r="R2550" i="2" s="1"/>
  <c r="R2549" i="2"/>
  <c r="Q2549" i="2"/>
  <c r="Q2548" i="2"/>
  <c r="R2548" i="2" s="1"/>
  <c r="R2547" i="2"/>
  <c r="Q2547" i="2"/>
  <c r="Q2546" i="2"/>
  <c r="R2546" i="2" s="1"/>
  <c r="R2545" i="2"/>
  <c r="Q2545" i="2"/>
  <c r="Q2544" i="2"/>
  <c r="R2544" i="2" s="1"/>
  <c r="R2543" i="2"/>
  <c r="Q2543" i="2"/>
  <c r="Q2542" i="2"/>
  <c r="R2542" i="2" s="1"/>
  <c r="R2541" i="2"/>
  <c r="Q2541" i="2"/>
  <c r="Q2540" i="2"/>
  <c r="R2540" i="2" s="1"/>
  <c r="R2539" i="2"/>
  <c r="Q2539" i="2"/>
  <c r="Q2538" i="2"/>
  <c r="R2538" i="2" s="1"/>
  <c r="R2537" i="2"/>
  <c r="Q2537" i="2"/>
  <c r="Q2536" i="2"/>
  <c r="R2536" i="2" s="1"/>
  <c r="R2535" i="2"/>
  <c r="Q2535" i="2"/>
  <c r="Q2534" i="2"/>
  <c r="R2534" i="2" s="1"/>
  <c r="R2533" i="2"/>
  <c r="Q2533" i="2"/>
  <c r="Q2532" i="2"/>
  <c r="R2532" i="2" s="1"/>
  <c r="R2531" i="2"/>
  <c r="Q2531" i="2"/>
  <c r="Q2530" i="2"/>
  <c r="R2530" i="2" s="1"/>
  <c r="R2529" i="2"/>
  <c r="Q2529" i="2"/>
  <c r="Q2528" i="2"/>
  <c r="R2528" i="2" s="1"/>
  <c r="R2527" i="2"/>
  <c r="Q2527" i="2"/>
  <c r="Q2526" i="2"/>
  <c r="R2526" i="2" s="1"/>
  <c r="R2525" i="2"/>
  <c r="Q2525" i="2"/>
  <c r="Q2524" i="2"/>
  <c r="R2524" i="2" s="1"/>
  <c r="R2523" i="2"/>
  <c r="Q2523" i="2"/>
  <c r="Q2522" i="2"/>
  <c r="R2522" i="2" s="1"/>
  <c r="R2521" i="2"/>
  <c r="Q2521" i="2"/>
  <c r="Q2520" i="2"/>
  <c r="R2520" i="2" s="1"/>
  <c r="R2519" i="2"/>
  <c r="Q2519" i="2"/>
  <c r="Q2518" i="2"/>
  <c r="R2518" i="2" s="1"/>
  <c r="R2517" i="2"/>
  <c r="Q2517" i="2"/>
  <c r="Q2516" i="2"/>
  <c r="R2516" i="2" s="1"/>
  <c r="R2515" i="2"/>
  <c r="Q2515" i="2"/>
  <c r="Q2514" i="2"/>
  <c r="R2514" i="2" s="1"/>
  <c r="R2513" i="2"/>
  <c r="Q2513" i="2"/>
  <c r="Q2512" i="2"/>
  <c r="R2512" i="2" s="1"/>
  <c r="R2511" i="2"/>
  <c r="Q2511" i="2"/>
  <c r="Q2510" i="2"/>
  <c r="R2510" i="2" s="1"/>
  <c r="R2509" i="2"/>
  <c r="Q2509" i="2"/>
  <c r="Q2508" i="2"/>
  <c r="R2508" i="2" s="1"/>
  <c r="R2507" i="2"/>
  <c r="Q2507" i="2"/>
  <c r="Q2506" i="2"/>
  <c r="R2506" i="2" s="1"/>
  <c r="R2505" i="2"/>
  <c r="Q2505" i="2"/>
  <c r="Q2504" i="2"/>
  <c r="R2504" i="2" s="1"/>
  <c r="R2503" i="2"/>
  <c r="Q2503" i="2"/>
  <c r="Q2502" i="2"/>
  <c r="R2502" i="2" s="1"/>
  <c r="R2501" i="2"/>
  <c r="Q2501" i="2"/>
  <c r="Q2500" i="2"/>
  <c r="R2500" i="2" s="1"/>
  <c r="R2499" i="2"/>
  <c r="Q2499" i="2"/>
  <c r="Q2498" i="2"/>
  <c r="R2498" i="2" s="1"/>
  <c r="R2497" i="2"/>
  <c r="Q2497" i="2"/>
  <c r="Q2496" i="2"/>
  <c r="R2496" i="2" s="1"/>
  <c r="R2495" i="2"/>
  <c r="Q2495" i="2"/>
  <c r="Q2494" i="2"/>
  <c r="R2494" i="2" s="1"/>
  <c r="R2493" i="2"/>
  <c r="Q2493" i="2"/>
  <c r="Q2492" i="2"/>
  <c r="R2492" i="2" s="1"/>
  <c r="R2491" i="2"/>
  <c r="Q2491" i="2"/>
  <c r="Q2490" i="2"/>
  <c r="R2490" i="2" s="1"/>
  <c r="R2489" i="2"/>
  <c r="Q2489" i="2"/>
  <c r="Q2488" i="2"/>
  <c r="R2488" i="2" s="1"/>
  <c r="R2487" i="2"/>
  <c r="Q2487" i="2"/>
  <c r="Q2486" i="2"/>
  <c r="R2486" i="2" s="1"/>
  <c r="R2485" i="2"/>
  <c r="Q2485" i="2"/>
  <c r="Q2484" i="2"/>
  <c r="R2484" i="2" s="1"/>
  <c r="R2483" i="2"/>
  <c r="Q2483" i="2"/>
  <c r="Q2482" i="2"/>
  <c r="R2482" i="2" s="1"/>
  <c r="R2481" i="2"/>
  <c r="Q2481" i="2"/>
  <c r="Q2480" i="2"/>
  <c r="R2480" i="2" s="1"/>
  <c r="R2479" i="2"/>
  <c r="Q2479" i="2"/>
  <c r="Q2478" i="2"/>
  <c r="R2478" i="2" s="1"/>
  <c r="R2477" i="2"/>
  <c r="Q2477" i="2"/>
  <c r="Q2476" i="2"/>
  <c r="R2476" i="2" s="1"/>
  <c r="R2475" i="2"/>
  <c r="Q2475" i="2"/>
  <c r="Q2474" i="2"/>
  <c r="R2474" i="2" s="1"/>
  <c r="R2473" i="2"/>
  <c r="Q2473" i="2"/>
  <c r="Q2472" i="2"/>
  <c r="R2472" i="2" s="1"/>
  <c r="R2471" i="2"/>
  <c r="Q2471" i="2"/>
  <c r="Q2470" i="2"/>
  <c r="R2470" i="2" s="1"/>
  <c r="R2469" i="2"/>
  <c r="Q2469" i="2"/>
  <c r="Q2468" i="2"/>
  <c r="R2468" i="2" s="1"/>
  <c r="R2467" i="2"/>
  <c r="Q2467" i="2"/>
  <c r="Q2466" i="2"/>
  <c r="R2466" i="2" s="1"/>
  <c r="R2465" i="2"/>
  <c r="Q2465" i="2"/>
  <c r="Q2464" i="2"/>
  <c r="R2464" i="2" s="1"/>
  <c r="R2463" i="2"/>
  <c r="Q2463" i="2"/>
  <c r="Q2462" i="2"/>
  <c r="R2462" i="2" s="1"/>
  <c r="R2461" i="2"/>
  <c r="Q2461" i="2"/>
  <c r="Q2460" i="2"/>
  <c r="R2460" i="2" s="1"/>
  <c r="R2459" i="2"/>
  <c r="Q2459" i="2"/>
  <c r="Q2458" i="2"/>
  <c r="R2458" i="2" s="1"/>
  <c r="R2457" i="2"/>
  <c r="Q2457" i="2"/>
  <c r="Q2456" i="2"/>
  <c r="R2456" i="2" s="1"/>
  <c r="R2455" i="2"/>
  <c r="Q2455" i="2"/>
  <c r="Q2454" i="2"/>
  <c r="R2454" i="2" s="1"/>
  <c r="R2453" i="2"/>
  <c r="Q2453" i="2"/>
  <c r="Q2452" i="2"/>
  <c r="R2452" i="2" s="1"/>
  <c r="R2451" i="2"/>
  <c r="Q2451" i="2"/>
  <c r="Q2450" i="2"/>
  <c r="R2450" i="2" s="1"/>
  <c r="R2449" i="2"/>
  <c r="Q2449" i="2"/>
  <c r="Q2448" i="2"/>
  <c r="R2448" i="2" s="1"/>
  <c r="R2447" i="2"/>
  <c r="Q2447" i="2"/>
  <c r="Q2446" i="2"/>
  <c r="R2446" i="2" s="1"/>
  <c r="R2445" i="2"/>
  <c r="Q2445" i="2"/>
  <c r="Q2444" i="2"/>
  <c r="R2444" i="2" s="1"/>
  <c r="R2443" i="2"/>
  <c r="Q2443" i="2"/>
  <c r="Q2442" i="2"/>
  <c r="R2442" i="2" s="1"/>
  <c r="R2441" i="2"/>
  <c r="Q2441" i="2"/>
  <c r="Q2440" i="2"/>
  <c r="R2440" i="2" s="1"/>
  <c r="R2439" i="2"/>
  <c r="Q2439" i="2"/>
  <c r="Q2438" i="2"/>
  <c r="R2438" i="2" s="1"/>
  <c r="R2437" i="2"/>
  <c r="Q2437" i="2"/>
  <c r="Q2436" i="2"/>
  <c r="R2436" i="2" s="1"/>
  <c r="R2435" i="2"/>
  <c r="Q2435" i="2"/>
  <c r="Q2434" i="2"/>
  <c r="R2434" i="2" s="1"/>
  <c r="R2433" i="2"/>
  <c r="Q2433" i="2"/>
  <c r="Q2432" i="2"/>
  <c r="R2432" i="2" s="1"/>
  <c r="R2431" i="2"/>
  <c r="Q2431" i="2"/>
  <c r="Q2430" i="2"/>
  <c r="R2430" i="2" s="1"/>
  <c r="R2429" i="2"/>
  <c r="Q2429" i="2"/>
  <c r="Q2428" i="2"/>
  <c r="R2428" i="2" s="1"/>
  <c r="R2427" i="2"/>
  <c r="Q2427" i="2"/>
  <c r="Q2426" i="2"/>
  <c r="R2426" i="2" s="1"/>
  <c r="R2425" i="2"/>
  <c r="Q2425" i="2"/>
  <c r="Q2424" i="2"/>
  <c r="R2424" i="2" s="1"/>
  <c r="R2423" i="2"/>
  <c r="Q2423" i="2"/>
  <c r="Q2422" i="2"/>
  <c r="R2422" i="2" s="1"/>
  <c r="R2421" i="2"/>
  <c r="Q2421" i="2"/>
  <c r="Q2420" i="2"/>
  <c r="R2420" i="2" s="1"/>
  <c r="R2419" i="2"/>
  <c r="Q2419" i="2"/>
  <c r="Q2418" i="2"/>
  <c r="R2418" i="2" s="1"/>
  <c r="R2417" i="2"/>
  <c r="Q2417" i="2"/>
  <c r="Q2416" i="2"/>
  <c r="R2416" i="2" s="1"/>
  <c r="R2415" i="2"/>
  <c r="Q2415" i="2"/>
  <c r="Q2414" i="2"/>
  <c r="R2414" i="2" s="1"/>
  <c r="R2413" i="2"/>
  <c r="Q2413" i="2"/>
  <c r="Q2412" i="2"/>
  <c r="R2412" i="2" s="1"/>
  <c r="R2411" i="2"/>
  <c r="Q2411" i="2"/>
  <c r="Q2410" i="2"/>
  <c r="R2410" i="2" s="1"/>
  <c r="R2409" i="2"/>
  <c r="Q2409" i="2"/>
  <c r="Q2408" i="2"/>
  <c r="R2408" i="2" s="1"/>
  <c r="R2407" i="2"/>
  <c r="Q2407" i="2"/>
  <c r="Q2406" i="2"/>
  <c r="R2406" i="2" s="1"/>
  <c r="R2405" i="2"/>
  <c r="Q2405" i="2"/>
  <c r="Q2404" i="2"/>
  <c r="R2404" i="2" s="1"/>
  <c r="R2403" i="2"/>
  <c r="Q2403" i="2"/>
  <c r="Q2402" i="2"/>
  <c r="R2402" i="2" s="1"/>
  <c r="R2401" i="2"/>
  <c r="Q2401" i="2"/>
  <c r="Q2400" i="2"/>
  <c r="R2400" i="2" s="1"/>
  <c r="R2399" i="2"/>
  <c r="Q2399" i="2"/>
  <c r="Q2398" i="2"/>
  <c r="R2398" i="2" s="1"/>
  <c r="R2397" i="2"/>
  <c r="Q2397" i="2"/>
  <c r="Q2396" i="2"/>
  <c r="R2396" i="2" s="1"/>
  <c r="R2395" i="2"/>
  <c r="Q2395" i="2"/>
  <c r="Q2394" i="2"/>
  <c r="R2394" i="2" s="1"/>
  <c r="R2393" i="2"/>
  <c r="Q2393" i="2"/>
  <c r="Q2392" i="2"/>
  <c r="R2392" i="2" s="1"/>
  <c r="R2391" i="2"/>
  <c r="Q2391" i="2"/>
  <c r="Q2390" i="2"/>
  <c r="R2390" i="2" s="1"/>
  <c r="R2389" i="2"/>
  <c r="Q2389" i="2"/>
  <c r="Q2388" i="2"/>
  <c r="R2388" i="2" s="1"/>
  <c r="R2387" i="2"/>
  <c r="Q2387" i="2"/>
  <c r="Q2386" i="2"/>
  <c r="R2386" i="2" s="1"/>
  <c r="R2385" i="2"/>
  <c r="Q2385" i="2"/>
  <c r="Q2384" i="2"/>
  <c r="R2384" i="2" s="1"/>
  <c r="R2383" i="2"/>
  <c r="Q2383" i="2"/>
  <c r="Q2382" i="2"/>
  <c r="R2382" i="2" s="1"/>
  <c r="R2381" i="2"/>
  <c r="Q2381" i="2"/>
  <c r="Q2380" i="2"/>
  <c r="R2380" i="2" s="1"/>
  <c r="R2379" i="2"/>
  <c r="Q2379" i="2"/>
  <c r="Q2378" i="2"/>
  <c r="R2378" i="2" s="1"/>
  <c r="R2377" i="2"/>
  <c r="Q2377" i="2"/>
  <c r="Q2376" i="2"/>
  <c r="R2376" i="2" s="1"/>
  <c r="R2375" i="2"/>
  <c r="Q2375" i="2"/>
  <c r="Q2374" i="2"/>
  <c r="R2374" i="2" s="1"/>
  <c r="R2373" i="2"/>
  <c r="Q2373" i="2"/>
  <c r="Q2372" i="2"/>
  <c r="R2372" i="2" s="1"/>
  <c r="R2371" i="2"/>
  <c r="Q2371" i="2"/>
  <c r="Q2370" i="2"/>
  <c r="R2370" i="2" s="1"/>
  <c r="R2369" i="2"/>
  <c r="Q2369" i="2"/>
  <c r="Q2368" i="2"/>
  <c r="R2368" i="2" s="1"/>
  <c r="R2367" i="2"/>
  <c r="Q2367" i="2"/>
  <c r="Q2366" i="2"/>
  <c r="R2366" i="2" s="1"/>
  <c r="R2365" i="2"/>
  <c r="Q2365" i="2"/>
  <c r="Q2364" i="2"/>
  <c r="R2364" i="2" s="1"/>
  <c r="R2363" i="2"/>
  <c r="Q2363" i="2"/>
  <c r="Q2362" i="2"/>
  <c r="R2362" i="2" s="1"/>
  <c r="R2361" i="2"/>
  <c r="Q2361" i="2"/>
  <c r="Q2360" i="2"/>
  <c r="R2360" i="2" s="1"/>
  <c r="R2359" i="2"/>
  <c r="Q2359" i="2"/>
  <c r="Q2358" i="2"/>
  <c r="R2358" i="2" s="1"/>
  <c r="R2357" i="2"/>
  <c r="Q2357" i="2"/>
  <c r="Q2356" i="2"/>
  <c r="R2356" i="2" s="1"/>
  <c r="R2355" i="2"/>
  <c r="Q2355" i="2"/>
  <c r="Q2354" i="2"/>
  <c r="R2354" i="2" s="1"/>
  <c r="R2353" i="2"/>
  <c r="Q2353" i="2"/>
  <c r="Q2352" i="2"/>
  <c r="R2352" i="2" s="1"/>
  <c r="R2351" i="2"/>
  <c r="Q2351" i="2"/>
  <c r="Q2350" i="2"/>
  <c r="R2350" i="2" s="1"/>
  <c r="R2349" i="2"/>
  <c r="Q2349" i="2"/>
  <c r="Q2348" i="2"/>
  <c r="R2348" i="2" s="1"/>
  <c r="R2347" i="2"/>
  <c r="Q2347" i="2"/>
  <c r="Q2346" i="2"/>
  <c r="R2346" i="2" s="1"/>
  <c r="R2345" i="2"/>
  <c r="Q2345" i="2"/>
  <c r="Q2344" i="2"/>
  <c r="R2344" i="2" s="1"/>
  <c r="R2343" i="2"/>
  <c r="Q2343" i="2"/>
  <c r="Q2342" i="2"/>
  <c r="R2342" i="2" s="1"/>
  <c r="R2341" i="2"/>
  <c r="Q2341" i="2"/>
  <c r="Q2340" i="2"/>
  <c r="R2340" i="2" s="1"/>
  <c r="R2339" i="2"/>
  <c r="Q2339" i="2"/>
  <c r="Q2338" i="2"/>
  <c r="R2338" i="2" s="1"/>
  <c r="R2337" i="2"/>
  <c r="Q2337" i="2"/>
  <c r="Q2336" i="2"/>
  <c r="R2336" i="2" s="1"/>
  <c r="R2335" i="2"/>
  <c r="Q2335" i="2"/>
  <c r="Q2334" i="2"/>
  <c r="R2334" i="2" s="1"/>
  <c r="R2333" i="2"/>
  <c r="Q2333" i="2"/>
  <c r="Q2332" i="2"/>
  <c r="R2332" i="2" s="1"/>
  <c r="R2331" i="2"/>
  <c r="Q2331" i="2"/>
  <c r="Q2330" i="2"/>
  <c r="R2330" i="2" s="1"/>
  <c r="R2329" i="2"/>
  <c r="Q2329" i="2"/>
  <c r="Q2328" i="2"/>
  <c r="R2328" i="2" s="1"/>
  <c r="R2327" i="2"/>
  <c r="Q2327" i="2"/>
  <c r="Q2326" i="2"/>
  <c r="R2326" i="2" s="1"/>
  <c r="R2325" i="2"/>
  <c r="Q2325" i="2"/>
  <c r="Q2324" i="2"/>
  <c r="R2324" i="2" s="1"/>
  <c r="R2323" i="2"/>
  <c r="Q2323" i="2"/>
  <c r="Q2322" i="2"/>
  <c r="R2322" i="2" s="1"/>
  <c r="R2321" i="2"/>
  <c r="Q2321" i="2"/>
  <c r="Q2320" i="2"/>
  <c r="R2320" i="2" s="1"/>
  <c r="R2319" i="2"/>
  <c r="Q2319" i="2"/>
  <c r="Q2318" i="2"/>
  <c r="R2318" i="2" s="1"/>
  <c r="R2317" i="2"/>
  <c r="Q2317" i="2"/>
  <c r="Q2316" i="2"/>
  <c r="R2316" i="2" s="1"/>
  <c r="R2315" i="2"/>
  <c r="Q2315" i="2"/>
  <c r="Q2314" i="2"/>
  <c r="R2314" i="2" s="1"/>
  <c r="R2313" i="2"/>
  <c r="Q2313" i="2"/>
  <c r="Q2312" i="2"/>
  <c r="R2312" i="2" s="1"/>
  <c r="R2311" i="2"/>
  <c r="Q2311" i="2"/>
  <c r="Q2310" i="2"/>
  <c r="R2310" i="2" s="1"/>
  <c r="R2309" i="2"/>
  <c r="Q2309" i="2"/>
  <c r="Q2308" i="2"/>
  <c r="R2308" i="2" s="1"/>
  <c r="R2307" i="2"/>
  <c r="Q2307" i="2"/>
  <c r="Q2306" i="2"/>
  <c r="R2306" i="2" s="1"/>
  <c r="R2305" i="2"/>
  <c r="Q2305" i="2"/>
  <c r="Q2304" i="2"/>
  <c r="R2304" i="2" s="1"/>
  <c r="R2303" i="2"/>
  <c r="Q2303" i="2"/>
  <c r="Q2302" i="2"/>
  <c r="R2302" i="2" s="1"/>
  <c r="R2301" i="2"/>
  <c r="Q2301" i="2"/>
  <c r="Q2300" i="2"/>
  <c r="R2300" i="2" s="1"/>
  <c r="R2299" i="2"/>
  <c r="Q2299" i="2"/>
  <c r="Q2298" i="2"/>
  <c r="R2298" i="2" s="1"/>
  <c r="R2297" i="2"/>
  <c r="Q2297" i="2"/>
  <c r="Q2296" i="2"/>
  <c r="R2296" i="2" s="1"/>
  <c r="R2295" i="2"/>
  <c r="Q2295" i="2"/>
  <c r="Q2294" i="2"/>
  <c r="R2294" i="2" s="1"/>
  <c r="R2293" i="2"/>
  <c r="Q2293" i="2"/>
  <c r="Q2292" i="2"/>
  <c r="R2292" i="2" s="1"/>
  <c r="R2291" i="2"/>
  <c r="Q2291" i="2"/>
  <c r="Q2290" i="2"/>
  <c r="R2290" i="2" s="1"/>
  <c r="R2289" i="2"/>
  <c r="Q2289" i="2"/>
  <c r="Q2288" i="2"/>
  <c r="R2288" i="2" s="1"/>
  <c r="R2287" i="2"/>
  <c r="Q2287" i="2"/>
  <c r="Q2286" i="2"/>
  <c r="R2286" i="2" s="1"/>
  <c r="R2285" i="2"/>
  <c r="Q2285" i="2"/>
  <c r="Q2284" i="2"/>
  <c r="R2284" i="2" s="1"/>
  <c r="R2283" i="2"/>
  <c r="Q2283" i="2"/>
  <c r="Q2282" i="2"/>
  <c r="R2282" i="2" s="1"/>
  <c r="R2281" i="2"/>
  <c r="Q2281" i="2"/>
  <c r="Q2280" i="2"/>
  <c r="R2280" i="2" s="1"/>
  <c r="R2279" i="2"/>
  <c r="Q2279" i="2"/>
  <c r="Q2278" i="2"/>
  <c r="R2278" i="2" s="1"/>
  <c r="R2277" i="2"/>
  <c r="Q2277" i="2"/>
  <c r="Q2276" i="2"/>
  <c r="R2276" i="2" s="1"/>
  <c r="R2275" i="2"/>
  <c r="Q2275" i="2"/>
  <c r="Q2274" i="2"/>
  <c r="R2274" i="2" s="1"/>
  <c r="R2273" i="2"/>
  <c r="Q2273" i="2"/>
  <c r="Q2272" i="2"/>
  <c r="R2272" i="2" s="1"/>
  <c r="R2271" i="2"/>
  <c r="Q2271" i="2"/>
  <c r="Q2270" i="2"/>
  <c r="R2270" i="2" s="1"/>
  <c r="R2269" i="2"/>
  <c r="Q2269" i="2"/>
  <c r="Q2268" i="2"/>
  <c r="R2268" i="2" s="1"/>
  <c r="R2267" i="2"/>
  <c r="Q2267" i="2"/>
  <c r="Q2266" i="2"/>
  <c r="R2266" i="2" s="1"/>
  <c r="R2265" i="2"/>
  <c r="Q2265" i="2"/>
  <c r="Q2264" i="2"/>
  <c r="R2264" i="2" s="1"/>
  <c r="R2263" i="2"/>
  <c r="Q2263" i="2"/>
  <c r="Q2262" i="2"/>
  <c r="R2262" i="2" s="1"/>
  <c r="R2261" i="2"/>
  <c r="Q2261" i="2"/>
  <c r="Q2260" i="2"/>
  <c r="R2260" i="2" s="1"/>
  <c r="R2259" i="2"/>
  <c r="Q2259" i="2"/>
  <c r="Q2258" i="2"/>
  <c r="R2258" i="2" s="1"/>
  <c r="R2257" i="2"/>
  <c r="Q2257" i="2"/>
  <c r="Q2256" i="2"/>
  <c r="R2256" i="2" s="1"/>
  <c r="R2255" i="2"/>
  <c r="Q2255" i="2"/>
  <c r="Q2254" i="2"/>
  <c r="R2254" i="2" s="1"/>
  <c r="R2253" i="2"/>
  <c r="Q2253" i="2"/>
  <c r="Q2252" i="2"/>
  <c r="R2252" i="2" s="1"/>
  <c r="R2251" i="2"/>
  <c r="Q2251" i="2"/>
  <c r="Q2250" i="2"/>
  <c r="R2250" i="2" s="1"/>
  <c r="R2249" i="2"/>
  <c r="Q2249" i="2"/>
  <c r="Q2248" i="2"/>
  <c r="R2248" i="2" s="1"/>
  <c r="R2247" i="2"/>
  <c r="Q2247" i="2"/>
  <c r="Q2246" i="2"/>
  <c r="R2246" i="2" s="1"/>
  <c r="R2245" i="2"/>
  <c r="Q2245" i="2"/>
  <c r="Q2244" i="2"/>
  <c r="R2244" i="2" s="1"/>
  <c r="R2243" i="2"/>
  <c r="Q2243" i="2"/>
  <c r="Q2242" i="2"/>
  <c r="R2242" i="2" s="1"/>
  <c r="R2241" i="2"/>
  <c r="Q2241" i="2"/>
  <c r="Q2240" i="2"/>
  <c r="R2240" i="2" s="1"/>
  <c r="R2239" i="2"/>
  <c r="Q2239" i="2"/>
  <c r="Q2238" i="2"/>
  <c r="R2238" i="2" s="1"/>
  <c r="R2237" i="2"/>
  <c r="Q2237" i="2"/>
  <c r="Q2236" i="2"/>
  <c r="R2236" i="2" s="1"/>
  <c r="R2235" i="2"/>
  <c r="Q2235" i="2"/>
  <c r="Q2234" i="2"/>
  <c r="R2234" i="2" s="1"/>
  <c r="R2233" i="2"/>
  <c r="Q2233" i="2"/>
  <c r="Q2232" i="2"/>
  <c r="R2232" i="2" s="1"/>
  <c r="R2231" i="2"/>
  <c r="Q2231" i="2"/>
  <c r="Q2230" i="2"/>
  <c r="R2230" i="2" s="1"/>
  <c r="R2229" i="2"/>
  <c r="Q2229" i="2"/>
  <c r="Q2228" i="2"/>
  <c r="R2228" i="2" s="1"/>
  <c r="R2227" i="2"/>
  <c r="Q2227" i="2"/>
  <c r="Q2226" i="2"/>
  <c r="R2226" i="2" s="1"/>
  <c r="R2225" i="2"/>
  <c r="Q2225" i="2"/>
  <c r="Q2224" i="2"/>
  <c r="R2224" i="2" s="1"/>
  <c r="R2223" i="2"/>
  <c r="Q2223" i="2"/>
  <c r="Q2222" i="2"/>
  <c r="R2222" i="2" s="1"/>
  <c r="R2221" i="2"/>
  <c r="Q2221" i="2"/>
  <c r="Q2220" i="2"/>
  <c r="R2220" i="2" s="1"/>
  <c r="R2219" i="2"/>
  <c r="Q2219" i="2"/>
  <c r="Q2218" i="2"/>
  <c r="R2218" i="2" s="1"/>
  <c r="R2217" i="2"/>
  <c r="Q2217" i="2"/>
  <c r="Q2216" i="2"/>
  <c r="R2216" i="2" s="1"/>
  <c r="R2215" i="2"/>
  <c r="Q2215" i="2"/>
  <c r="Q2214" i="2"/>
  <c r="R2214" i="2" s="1"/>
  <c r="R2213" i="2"/>
  <c r="Q2213" i="2"/>
  <c r="Q2212" i="2"/>
  <c r="R2212" i="2" s="1"/>
  <c r="R2211" i="2"/>
  <c r="Q2211" i="2"/>
  <c r="Q2210" i="2"/>
  <c r="R2210" i="2" s="1"/>
  <c r="R2209" i="2"/>
  <c r="Q2209" i="2"/>
  <c r="Q2208" i="2"/>
  <c r="R2208" i="2" s="1"/>
  <c r="R2207" i="2"/>
  <c r="Q2207" i="2"/>
  <c r="Q2206" i="2"/>
  <c r="R2206" i="2" s="1"/>
  <c r="R2205" i="2"/>
  <c r="Q2205" i="2"/>
  <c r="Q2204" i="2"/>
  <c r="R2204" i="2" s="1"/>
  <c r="R2203" i="2"/>
  <c r="Q2203" i="2"/>
  <c r="Q2202" i="2"/>
  <c r="R2202" i="2" s="1"/>
  <c r="R2201" i="2"/>
  <c r="Q2201" i="2"/>
  <c r="Q2200" i="2"/>
  <c r="R2200" i="2" s="1"/>
  <c r="R2199" i="2"/>
  <c r="Q2199" i="2"/>
  <c r="Q2198" i="2"/>
  <c r="R2198" i="2" s="1"/>
  <c r="R2197" i="2"/>
  <c r="Q2197" i="2"/>
  <c r="Q2196" i="2"/>
  <c r="R2196" i="2" s="1"/>
  <c r="R2195" i="2"/>
  <c r="Q2195" i="2"/>
  <c r="Q2194" i="2"/>
  <c r="R2194" i="2" s="1"/>
  <c r="R2193" i="2"/>
  <c r="Q2193" i="2"/>
  <c r="Q2192" i="2"/>
  <c r="R2192" i="2" s="1"/>
  <c r="R2191" i="2"/>
  <c r="Q2191" i="2"/>
  <c r="Q2190" i="2"/>
  <c r="R2190" i="2" s="1"/>
  <c r="R2189" i="2"/>
  <c r="Q2189" i="2"/>
  <c r="Q2188" i="2"/>
  <c r="R2188" i="2" s="1"/>
  <c r="R2187" i="2"/>
  <c r="Q2187" i="2"/>
  <c r="Q2186" i="2"/>
  <c r="R2186" i="2" s="1"/>
  <c r="R2185" i="2"/>
  <c r="Q2185" i="2"/>
  <c r="Q2184" i="2"/>
  <c r="R2184" i="2" s="1"/>
  <c r="R2183" i="2"/>
  <c r="Q2183" i="2"/>
  <c r="Q2182" i="2"/>
  <c r="R2182" i="2" s="1"/>
  <c r="R2181" i="2"/>
  <c r="Q2181" i="2"/>
  <c r="Q2180" i="2"/>
  <c r="R2180" i="2" s="1"/>
  <c r="R2179" i="2"/>
  <c r="Q2179" i="2"/>
  <c r="Q2178" i="2"/>
  <c r="R2178" i="2" s="1"/>
  <c r="R2177" i="2"/>
  <c r="Q2177" i="2"/>
  <c r="Q2176" i="2"/>
  <c r="R2176" i="2" s="1"/>
  <c r="R2175" i="2"/>
  <c r="Q2175" i="2"/>
  <c r="Q2174" i="2"/>
  <c r="R2174" i="2" s="1"/>
  <c r="R2173" i="2"/>
  <c r="Q2173" i="2"/>
  <c r="Q2172" i="2"/>
  <c r="R2172" i="2" s="1"/>
  <c r="R2171" i="2"/>
  <c r="Q2171" i="2"/>
  <c r="Q2170" i="2"/>
  <c r="R2170" i="2" s="1"/>
  <c r="R2169" i="2"/>
  <c r="Q2169" i="2"/>
  <c r="Q2168" i="2"/>
  <c r="R2168" i="2" s="1"/>
  <c r="R2167" i="2"/>
  <c r="Q2167" i="2"/>
  <c r="Q2166" i="2"/>
  <c r="R2166" i="2" s="1"/>
  <c r="R2165" i="2"/>
  <c r="Q2165" i="2"/>
  <c r="Q2164" i="2"/>
  <c r="R2164" i="2" s="1"/>
  <c r="R2163" i="2"/>
  <c r="Q2163" i="2"/>
  <c r="Q2162" i="2"/>
  <c r="R2162" i="2" s="1"/>
  <c r="R2161" i="2"/>
  <c r="Q2161" i="2"/>
  <c r="Q2160" i="2"/>
  <c r="R2160" i="2" s="1"/>
  <c r="R2159" i="2"/>
  <c r="Q2159" i="2"/>
  <c r="Q2158" i="2"/>
  <c r="R2158" i="2" s="1"/>
  <c r="R2157" i="2"/>
  <c r="Q2157" i="2"/>
  <c r="Q2156" i="2"/>
  <c r="R2156" i="2" s="1"/>
  <c r="R2155" i="2"/>
  <c r="Q2155" i="2"/>
  <c r="Q2154" i="2"/>
  <c r="R2154" i="2" s="1"/>
  <c r="R2153" i="2"/>
  <c r="Q2153" i="2"/>
  <c r="Q2152" i="2"/>
  <c r="R2152" i="2" s="1"/>
  <c r="R2151" i="2"/>
  <c r="Q2151" i="2"/>
  <c r="Q2150" i="2"/>
  <c r="R2150" i="2" s="1"/>
  <c r="R2149" i="2"/>
  <c r="Q2149" i="2"/>
  <c r="Q2148" i="2"/>
  <c r="R2148" i="2" s="1"/>
  <c r="R2147" i="2"/>
  <c r="Q2147" i="2"/>
  <c r="Q2146" i="2"/>
  <c r="R2146" i="2" s="1"/>
  <c r="R2145" i="2"/>
  <c r="Q2145" i="2"/>
  <c r="Q2144" i="2"/>
  <c r="R2144" i="2" s="1"/>
  <c r="R2143" i="2"/>
  <c r="Q2143" i="2"/>
  <c r="Q2142" i="2"/>
  <c r="R2142" i="2" s="1"/>
  <c r="R2141" i="2"/>
  <c r="Q2141" i="2"/>
  <c r="Q2140" i="2"/>
  <c r="R2140" i="2" s="1"/>
  <c r="R2139" i="2"/>
  <c r="Q2139" i="2"/>
  <c r="Q2138" i="2"/>
  <c r="R2138" i="2" s="1"/>
  <c r="R2137" i="2"/>
  <c r="Q2137" i="2"/>
  <c r="Q2136" i="2"/>
  <c r="R2136" i="2" s="1"/>
  <c r="R2135" i="2"/>
  <c r="Q2135" i="2"/>
  <c r="Q2134" i="2"/>
  <c r="R2134" i="2" s="1"/>
  <c r="R2133" i="2"/>
  <c r="Q2133" i="2"/>
  <c r="Q2132" i="2"/>
  <c r="R2132" i="2" s="1"/>
  <c r="R2131" i="2"/>
  <c r="Q2131" i="2"/>
  <c r="Q2130" i="2"/>
  <c r="R2130" i="2" s="1"/>
  <c r="R2129" i="2"/>
  <c r="Q2129" i="2"/>
  <c r="Q2128" i="2"/>
  <c r="R2128" i="2" s="1"/>
  <c r="R2127" i="2"/>
  <c r="Q2127" i="2"/>
  <c r="Q2126" i="2"/>
  <c r="R2126" i="2" s="1"/>
  <c r="R2125" i="2"/>
  <c r="Q2125" i="2"/>
  <c r="Q2124" i="2"/>
  <c r="R2124" i="2" s="1"/>
  <c r="R2123" i="2"/>
  <c r="Q2123" i="2"/>
  <c r="Q2122" i="2"/>
  <c r="R2122" i="2" s="1"/>
  <c r="R2121" i="2"/>
  <c r="Q2121" i="2"/>
  <c r="Q2120" i="2"/>
  <c r="R2120" i="2" s="1"/>
  <c r="R2119" i="2"/>
  <c r="Q2119" i="2"/>
  <c r="Q2118" i="2"/>
  <c r="R2118" i="2" s="1"/>
  <c r="R2117" i="2"/>
  <c r="Q2117" i="2"/>
  <c r="Q2116" i="2"/>
  <c r="R2116" i="2" s="1"/>
  <c r="R2115" i="2"/>
  <c r="Q2115" i="2"/>
  <c r="Q2114" i="2"/>
  <c r="R2114" i="2" s="1"/>
  <c r="R2113" i="2"/>
  <c r="Q2113" i="2"/>
  <c r="Q2112" i="2"/>
  <c r="R2112" i="2" s="1"/>
  <c r="R2111" i="2"/>
  <c r="Q2111" i="2"/>
  <c r="Q2110" i="2"/>
  <c r="R2110" i="2" s="1"/>
  <c r="R2109" i="2"/>
  <c r="Q2109" i="2"/>
  <c r="Q2108" i="2"/>
  <c r="R2108" i="2" s="1"/>
  <c r="R2107" i="2"/>
  <c r="Q2107" i="2"/>
  <c r="Q2106" i="2"/>
  <c r="R2106" i="2" s="1"/>
  <c r="R2105" i="2"/>
  <c r="Q2105" i="2"/>
  <c r="Q2104" i="2"/>
  <c r="R2104" i="2" s="1"/>
  <c r="R2103" i="2"/>
  <c r="Q2103" i="2"/>
  <c r="Q2102" i="2"/>
  <c r="R2102" i="2" s="1"/>
  <c r="R2101" i="2"/>
  <c r="Q2101" i="2"/>
  <c r="Q2100" i="2"/>
  <c r="R2100" i="2" s="1"/>
  <c r="R2099" i="2"/>
  <c r="Q2099" i="2"/>
  <c r="Q2098" i="2"/>
  <c r="R2098" i="2" s="1"/>
  <c r="R2097" i="2"/>
  <c r="Q2097" i="2"/>
  <c r="Q2096" i="2"/>
  <c r="R2096" i="2" s="1"/>
  <c r="R2095" i="2"/>
  <c r="Q2095" i="2"/>
  <c r="Q2094" i="2"/>
  <c r="R2094" i="2" s="1"/>
  <c r="R2093" i="2"/>
  <c r="Q2093" i="2"/>
  <c r="Q2092" i="2"/>
  <c r="R2092" i="2" s="1"/>
  <c r="R2091" i="2"/>
  <c r="Q2091" i="2"/>
  <c r="Q2090" i="2"/>
  <c r="R2090" i="2" s="1"/>
  <c r="R2089" i="2"/>
  <c r="Q2089" i="2"/>
  <c r="Q2088" i="2"/>
  <c r="R2088" i="2" s="1"/>
  <c r="R2087" i="2"/>
  <c r="Q2087" i="2"/>
  <c r="Q2086" i="2"/>
  <c r="R2086" i="2" s="1"/>
  <c r="R2085" i="2"/>
  <c r="Q2085" i="2"/>
  <c r="Q2084" i="2"/>
  <c r="R2084" i="2" s="1"/>
  <c r="R2083" i="2"/>
  <c r="Q2083" i="2"/>
  <c r="Q2082" i="2"/>
  <c r="R2082" i="2" s="1"/>
  <c r="R2081" i="2"/>
  <c r="Q2081" i="2"/>
  <c r="Q2080" i="2"/>
  <c r="R2080" i="2" s="1"/>
  <c r="R2079" i="2"/>
  <c r="Q2079" i="2"/>
  <c r="Q2078" i="2"/>
  <c r="R2078" i="2" s="1"/>
  <c r="R2077" i="2"/>
  <c r="Q2077" i="2"/>
  <c r="Q2076" i="2"/>
  <c r="R2076" i="2" s="1"/>
  <c r="R2075" i="2"/>
  <c r="Q2075" i="2"/>
  <c r="Q2074" i="2"/>
  <c r="R2074" i="2" s="1"/>
  <c r="R2073" i="2"/>
  <c r="Q2073" i="2"/>
  <c r="Q2072" i="2"/>
  <c r="R2072" i="2" s="1"/>
  <c r="R2071" i="2"/>
  <c r="Q2071" i="2"/>
  <c r="Q2070" i="2"/>
  <c r="R2070" i="2" s="1"/>
  <c r="R2069" i="2"/>
  <c r="Q2069" i="2"/>
  <c r="Q2068" i="2"/>
  <c r="R2068" i="2" s="1"/>
  <c r="R2067" i="2"/>
  <c r="Q2067" i="2"/>
  <c r="Q2066" i="2"/>
  <c r="R2066" i="2" s="1"/>
  <c r="R2065" i="2"/>
  <c r="Q2065" i="2"/>
  <c r="Q2064" i="2"/>
  <c r="R2064" i="2" s="1"/>
  <c r="R2063" i="2"/>
  <c r="Q2063" i="2"/>
  <c r="Q2062" i="2"/>
  <c r="R2062" i="2" s="1"/>
  <c r="R2061" i="2"/>
  <c r="Q2061" i="2"/>
  <c r="Q2060" i="2"/>
  <c r="R2060" i="2" s="1"/>
  <c r="R2059" i="2"/>
  <c r="Q2059" i="2"/>
  <c r="Q2058" i="2"/>
  <c r="R2058" i="2" s="1"/>
  <c r="R2057" i="2"/>
  <c r="Q2057" i="2"/>
  <c r="Q2056" i="2"/>
  <c r="R2056" i="2" s="1"/>
  <c r="R2055" i="2"/>
  <c r="Q2055" i="2"/>
  <c r="Q2054" i="2"/>
  <c r="R2054" i="2" s="1"/>
  <c r="R2053" i="2"/>
  <c r="Q2053" i="2"/>
  <c r="Q2052" i="2"/>
  <c r="R2052" i="2" s="1"/>
  <c r="R2051" i="2"/>
  <c r="Q2051" i="2"/>
  <c r="Q2050" i="2"/>
  <c r="R2050" i="2" s="1"/>
  <c r="R2049" i="2"/>
  <c r="Q2049" i="2"/>
  <c r="Q2048" i="2"/>
  <c r="R2048" i="2" s="1"/>
  <c r="R2047" i="2"/>
  <c r="Q2047" i="2"/>
  <c r="Q2046" i="2"/>
  <c r="R2046" i="2" s="1"/>
  <c r="R2045" i="2"/>
  <c r="Q2045" i="2"/>
  <c r="Q2044" i="2"/>
  <c r="R2044" i="2" s="1"/>
  <c r="R2043" i="2"/>
  <c r="Q2043" i="2"/>
  <c r="Q2042" i="2"/>
  <c r="R2042" i="2" s="1"/>
  <c r="R2041" i="2"/>
  <c r="Q2041" i="2"/>
  <c r="Q2040" i="2"/>
  <c r="R2040" i="2" s="1"/>
  <c r="R2039" i="2"/>
  <c r="Q2039" i="2"/>
  <c r="Q2038" i="2"/>
  <c r="R2038" i="2" s="1"/>
  <c r="R2037" i="2"/>
  <c r="Q2037" i="2"/>
  <c r="Q2036" i="2"/>
  <c r="R2036" i="2" s="1"/>
  <c r="R2035" i="2"/>
  <c r="Q2035" i="2"/>
  <c r="Q2034" i="2"/>
  <c r="R2034" i="2" s="1"/>
  <c r="R2033" i="2"/>
  <c r="Q2033" i="2"/>
  <c r="Q2032" i="2"/>
  <c r="R2032" i="2" s="1"/>
  <c r="R2031" i="2"/>
  <c r="Q2031" i="2"/>
  <c r="Q2030" i="2"/>
  <c r="R2030" i="2" s="1"/>
  <c r="R2029" i="2"/>
  <c r="Q2029" i="2"/>
  <c r="Q2028" i="2"/>
  <c r="R2028" i="2" s="1"/>
  <c r="R2027" i="2"/>
  <c r="Q2027" i="2"/>
  <c r="Q2026" i="2"/>
  <c r="R2026" i="2" s="1"/>
  <c r="R2025" i="2"/>
  <c r="Q2025" i="2"/>
  <c r="Q2024" i="2"/>
  <c r="R2024" i="2" s="1"/>
  <c r="R2023" i="2"/>
  <c r="Q2023" i="2"/>
  <c r="Q2022" i="2"/>
  <c r="R2022" i="2" s="1"/>
  <c r="R2021" i="2"/>
  <c r="Q2021" i="2"/>
  <c r="Q2020" i="2"/>
  <c r="R2020" i="2" s="1"/>
  <c r="R2019" i="2"/>
  <c r="Q2019" i="2"/>
  <c r="Q2018" i="2"/>
  <c r="R2018" i="2" s="1"/>
  <c r="R2017" i="2"/>
  <c r="Q2017" i="2"/>
  <c r="Q2016" i="2"/>
  <c r="R2016" i="2" s="1"/>
  <c r="R2015" i="2"/>
  <c r="Q2015" i="2"/>
  <c r="Q2014" i="2"/>
  <c r="R2014" i="2" s="1"/>
  <c r="R2013" i="2"/>
  <c r="Q2013" i="2"/>
  <c r="Q2012" i="2"/>
  <c r="R2012" i="2" s="1"/>
  <c r="R2011" i="2"/>
  <c r="Q2011" i="2"/>
  <c r="Q2010" i="2"/>
  <c r="R2010" i="2" s="1"/>
  <c r="R2009" i="2"/>
  <c r="Q2009" i="2"/>
  <c r="Q2008" i="2"/>
  <c r="R2008" i="2" s="1"/>
  <c r="R2007" i="2"/>
  <c r="Q2007" i="2"/>
  <c r="Q2006" i="2"/>
  <c r="R2006" i="2" s="1"/>
  <c r="R2005" i="2"/>
  <c r="Q2005" i="2"/>
  <c r="Q2004" i="2"/>
  <c r="R2004" i="2" s="1"/>
  <c r="R2003" i="2"/>
  <c r="Q2003" i="2"/>
  <c r="Q2002" i="2"/>
  <c r="R2002" i="2" s="1"/>
  <c r="R2001" i="2"/>
  <c r="Q2001" i="2"/>
  <c r="Q2000" i="2"/>
  <c r="R2000" i="2" s="1"/>
  <c r="R1999" i="2"/>
  <c r="Q1999" i="2"/>
  <c r="Q1998" i="2"/>
  <c r="R1998" i="2" s="1"/>
  <c r="R1997" i="2"/>
  <c r="Q1997" i="2"/>
  <c r="Q1996" i="2"/>
  <c r="R1996" i="2" s="1"/>
  <c r="R1995" i="2"/>
  <c r="Q1995" i="2"/>
  <c r="Q1994" i="2"/>
  <c r="R1994" i="2" s="1"/>
  <c r="R1993" i="2"/>
  <c r="Q1993" i="2"/>
  <c r="Q1992" i="2"/>
  <c r="R1992" i="2" s="1"/>
  <c r="R1991" i="2"/>
  <c r="Q1991" i="2"/>
  <c r="Q1990" i="2"/>
  <c r="R1990" i="2" s="1"/>
  <c r="R1989" i="2"/>
  <c r="Q1989" i="2"/>
  <c r="Q1988" i="2"/>
  <c r="R1988" i="2" s="1"/>
  <c r="R1987" i="2"/>
  <c r="Q1987" i="2"/>
  <c r="Q1986" i="2"/>
  <c r="R1986" i="2" s="1"/>
  <c r="R1985" i="2"/>
  <c r="Q1985" i="2"/>
  <c r="Q1984" i="2"/>
  <c r="R1984" i="2" s="1"/>
  <c r="R1983" i="2"/>
  <c r="Q1983" i="2"/>
  <c r="Q1982" i="2"/>
  <c r="R1982" i="2" s="1"/>
  <c r="R1981" i="2"/>
  <c r="Q1981" i="2"/>
  <c r="Q1980" i="2"/>
  <c r="R1980" i="2" s="1"/>
  <c r="R1979" i="2"/>
  <c r="Q1979" i="2"/>
  <c r="Q1978" i="2"/>
  <c r="R1978" i="2" s="1"/>
  <c r="R1977" i="2"/>
  <c r="Q1977" i="2"/>
  <c r="Q1976" i="2"/>
  <c r="R1976" i="2" s="1"/>
  <c r="R1975" i="2"/>
  <c r="Q1975" i="2"/>
  <c r="Q1974" i="2"/>
  <c r="R1974" i="2" s="1"/>
  <c r="R1973" i="2"/>
  <c r="Q1973" i="2"/>
  <c r="Q1972" i="2"/>
  <c r="R1972" i="2" s="1"/>
  <c r="R1971" i="2"/>
  <c r="Q1971" i="2"/>
  <c r="Q1970" i="2"/>
  <c r="R1970" i="2" s="1"/>
  <c r="R1969" i="2"/>
  <c r="Q1969" i="2"/>
  <c r="Q1968" i="2"/>
  <c r="R1968" i="2" s="1"/>
  <c r="R1967" i="2"/>
  <c r="Q1967" i="2"/>
  <c r="Q1966" i="2"/>
  <c r="R1966" i="2" s="1"/>
  <c r="R1965" i="2"/>
  <c r="Q1965" i="2"/>
  <c r="Q1964" i="2"/>
  <c r="R1964" i="2" s="1"/>
  <c r="R1963" i="2"/>
  <c r="Q1963" i="2"/>
  <c r="Q1962" i="2"/>
  <c r="R1962" i="2" s="1"/>
  <c r="R1961" i="2"/>
  <c r="Q1961" i="2"/>
  <c r="Q1960" i="2"/>
  <c r="R1960" i="2" s="1"/>
  <c r="R1959" i="2"/>
  <c r="Q1959" i="2"/>
  <c r="Q1958" i="2"/>
  <c r="R1958" i="2" s="1"/>
  <c r="R1957" i="2"/>
  <c r="Q1957" i="2"/>
  <c r="Q1956" i="2"/>
  <c r="R1956" i="2" s="1"/>
  <c r="R1955" i="2"/>
  <c r="Q1955" i="2"/>
  <c r="Q1954" i="2"/>
  <c r="R1954" i="2" s="1"/>
  <c r="R1953" i="2"/>
  <c r="Q1953" i="2"/>
  <c r="Q1952" i="2"/>
  <c r="R1952" i="2" s="1"/>
  <c r="R1951" i="2"/>
  <c r="Q1951" i="2"/>
  <c r="Q1950" i="2"/>
  <c r="R1950" i="2" s="1"/>
  <c r="R1949" i="2"/>
  <c r="Q1949" i="2"/>
  <c r="Q1948" i="2"/>
  <c r="R1948" i="2" s="1"/>
  <c r="R1947" i="2"/>
  <c r="Q1947" i="2"/>
  <c r="Q1946" i="2"/>
  <c r="R1946" i="2" s="1"/>
  <c r="R1945" i="2"/>
  <c r="Q1945" i="2"/>
  <c r="Q1944" i="2"/>
  <c r="R1944" i="2" s="1"/>
  <c r="R1943" i="2"/>
  <c r="Q1943" i="2"/>
  <c r="Q1942" i="2"/>
  <c r="R1942" i="2" s="1"/>
  <c r="R1941" i="2"/>
  <c r="Q1941" i="2"/>
  <c r="Q1940" i="2"/>
  <c r="R1940" i="2" s="1"/>
  <c r="R1939" i="2"/>
  <c r="Q1939" i="2"/>
  <c r="Q1938" i="2"/>
  <c r="R1938" i="2" s="1"/>
  <c r="R1937" i="2"/>
  <c r="Q1937" i="2"/>
  <c r="Q1936" i="2"/>
  <c r="R1936" i="2" s="1"/>
  <c r="R1935" i="2"/>
  <c r="Q1935" i="2"/>
  <c r="Q1934" i="2"/>
  <c r="R1934" i="2" s="1"/>
  <c r="R1933" i="2"/>
  <c r="Q1933" i="2"/>
  <c r="Q1932" i="2"/>
  <c r="R1932" i="2" s="1"/>
  <c r="R1931" i="2"/>
  <c r="Q1931" i="2"/>
  <c r="Q1930" i="2"/>
  <c r="R1930" i="2" s="1"/>
  <c r="R1929" i="2"/>
  <c r="Q1929" i="2"/>
  <c r="Q1928" i="2"/>
  <c r="R1928" i="2" s="1"/>
  <c r="R1927" i="2"/>
  <c r="Q1927" i="2"/>
  <c r="Q1926" i="2"/>
  <c r="R1926" i="2" s="1"/>
  <c r="R1925" i="2"/>
  <c r="Q1925" i="2"/>
  <c r="Q1924" i="2"/>
  <c r="R1924" i="2" s="1"/>
  <c r="R1923" i="2"/>
  <c r="Q1923" i="2"/>
  <c r="Q1922" i="2"/>
  <c r="R1922" i="2" s="1"/>
  <c r="R1921" i="2"/>
  <c r="Q1921" i="2"/>
  <c r="Q1920" i="2"/>
  <c r="R1920" i="2" s="1"/>
  <c r="R1919" i="2"/>
  <c r="Q1919" i="2"/>
  <c r="Q1918" i="2"/>
  <c r="R1918" i="2" s="1"/>
  <c r="R1917" i="2"/>
  <c r="Q1917" i="2"/>
  <c r="Q1916" i="2"/>
  <c r="R1916" i="2" s="1"/>
  <c r="R1915" i="2"/>
  <c r="Q1915" i="2"/>
  <c r="Q1914" i="2"/>
  <c r="R1914" i="2" s="1"/>
  <c r="R1913" i="2"/>
  <c r="Q1913" i="2"/>
  <c r="Q1912" i="2"/>
  <c r="R1912" i="2" s="1"/>
  <c r="R1911" i="2"/>
  <c r="Q1911" i="2"/>
  <c r="Q1910" i="2"/>
  <c r="R1910" i="2" s="1"/>
  <c r="R1909" i="2"/>
  <c r="Q1909" i="2"/>
  <c r="Q1908" i="2"/>
  <c r="R1908" i="2" s="1"/>
  <c r="R1907" i="2"/>
  <c r="Q1907" i="2"/>
  <c r="Q1906" i="2"/>
  <c r="R1906" i="2" s="1"/>
  <c r="R1905" i="2"/>
  <c r="Q1905" i="2"/>
  <c r="Q1904" i="2"/>
  <c r="R1904" i="2" s="1"/>
  <c r="R1903" i="2"/>
  <c r="Q1903" i="2"/>
  <c r="Q1902" i="2"/>
  <c r="R1902" i="2" s="1"/>
  <c r="R1901" i="2"/>
  <c r="Q1901" i="2"/>
  <c r="Q1900" i="2"/>
  <c r="R1900" i="2" s="1"/>
  <c r="R1899" i="2"/>
  <c r="Q1899" i="2"/>
  <c r="Q1898" i="2"/>
  <c r="R1898" i="2" s="1"/>
  <c r="R1897" i="2"/>
  <c r="Q1897" i="2"/>
  <c r="Q1896" i="2"/>
  <c r="R1896" i="2" s="1"/>
  <c r="R1895" i="2"/>
  <c r="Q1895" i="2"/>
  <c r="Q1894" i="2"/>
  <c r="R1894" i="2" s="1"/>
  <c r="R1893" i="2"/>
  <c r="Q1893" i="2"/>
  <c r="Q1892" i="2"/>
  <c r="R1892" i="2" s="1"/>
  <c r="R1891" i="2"/>
  <c r="Q1891" i="2"/>
  <c r="Q1890" i="2"/>
  <c r="R1890" i="2" s="1"/>
  <c r="R1889" i="2"/>
  <c r="Q1889" i="2"/>
  <c r="Q1888" i="2"/>
  <c r="R1888" i="2" s="1"/>
  <c r="R1887" i="2"/>
  <c r="Q1887" i="2"/>
  <c r="Q1886" i="2"/>
  <c r="R1886" i="2" s="1"/>
  <c r="R1885" i="2"/>
  <c r="Q1885" i="2"/>
  <c r="Q1884" i="2"/>
  <c r="R1884" i="2" s="1"/>
  <c r="R1883" i="2"/>
  <c r="Q1883" i="2"/>
  <c r="Q1882" i="2"/>
  <c r="R1882" i="2" s="1"/>
  <c r="R1881" i="2"/>
  <c r="Q1881" i="2"/>
  <c r="Q1880" i="2"/>
  <c r="R1880" i="2" s="1"/>
  <c r="R1879" i="2"/>
  <c r="Q1879" i="2"/>
  <c r="Q1878" i="2"/>
  <c r="R1878" i="2" s="1"/>
  <c r="R1877" i="2"/>
  <c r="Q1877" i="2"/>
  <c r="Q1876" i="2"/>
  <c r="R1876" i="2" s="1"/>
  <c r="R1875" i="2"/>
  <c r="Q1875" i="2"/>
  <c r="Q1874" i="2"/>
  <c r="R1874" i="2" s="1"/>
  <c r="R1873" i="2"/>
  <c r="Q1873" i="2"/>
  <c r="Q1872" i="2"/>
  <c r="R1872" i="2" s="1"/>
  <c r="R1871" i="2"/>
  <c r="Q1871" i="2"/>
  <c r="Q1870" i="2"/>
  <c r="R1870" i="2" s="1"/>
  <c r="R1869" i="2"/>
  <c r="Q1869" i="2"/>
  <c r="Q1868" i="2"/>
  <c r="R1868" i="2" s="1"/>
  <c r="R1867" i="2"/>
  <c r="Q1867" i="2"/>
  <c r="Q1866" i="2"/>
  <c r="R1866" i="2" s="1"/>
  <c r="R1865" i="2"/>
  <c r="Q1865" i="2"/>
  <c r="Q1864" i="2"/>
  <c r="R1864" i="2" s="1"/>
  <c r="R1863" i="2"/>
  <c r="Q1863" i="2"/>
  <c r="Q1862" i="2"/>
  <c r="R1862" i="2" s="1"/>
  <c r="R1861" i="2"/>
  <c r="Q1861" i="2"/>
  <c r="Q1860" i="2"/>
  <c r="R1860" i="2" s="1"/>
  <c r="R1859" i="2"/>
  <c r="Q1859" i="2"/>
  <c r="Q1858" i="2"/>
  <c r="R1858" i="2" s="1"/>
  <c r="R1857" i="2"/>
  <c r="Q1857" i="2"/>
  <c r="Q1856" i="2"/>
  <c r="R1856" i="2" s="1"/>
  <c r="R1855" i="2"/>
  <c r="Q1855" i="2"/>
  <c r="Q1854" i="2"/>
  <c r="R1854" i="2" s="1"/>
  <c r="R1853" i="2"/>
  <c r="Q1853" i="2"/>
  <c r="Q1852" i="2"/>
  <c r="R1852" i="2" s="1"/>
  <c r="R1851" i="2"/>
  <c r="Q1851" i="2"/>
  <c r="Q1850" i="2"/>
  <c r="R1850" i="2" s="1"/>
  <c r="R1849" i="2"/>
  <c r="Q1849" i="2"/>
  <c r="Q1848" i="2"/>
  <c r="R1848" i="2" s="1"/>
  <c r="R1847" i="2"/>
  <c r="Q1847" i="2"/>
  <c r="Q1846" i="2"/>
  <c r="R1846" i="2" s="1"/>
  <c r="R1845" i="2"/>
  <c r="Q1845" i="2"/>
  <c r="Q1844" i="2"/>
  <c r="R1844" i="2" s="1"/>
  <c r="R1843" i="2"/>
  <c r="Q1843" i="2"/>
  <c r="Q1842" i="2"/>
  <c r="R1842" i="2" s="1"/>
  <c r="R1841" i="2"/>
  <c r="Q1841" i="2"/>
  <c r="Q1840" i="2"/>
  <c r="R1840" i="2" s="1"/>
  <c r="R1839" i="2"/>
  <c r="Q1839" i="2"/>
  <c r="Q1838" i="2"/>
  <c r="R1838" i="2" s="1"/>
  <c r="R1837" i="2"/>
  <c r="Q1837" i="2"/>
  <c r="Q1836" i="2"/>
  <c r="R1836" i="2" s="1"/>
  <c r="R1835" i="2"/>
  <c r="Q1835" i="2"/>
  <c r="Q1834" i="2"/>
  <c r="R1834" i="2" s="1"/>
  <c r="R1833" i="2"/>
  <c r="Q1833" i="2"/>
  <c r="Q1832" i="2"/>
  <c r="R1832" i="2" s="1"/>
  <c r="R1831" i="2"/>
  <c r="Q1831" i="2"/>
  <c r="Q1830" i="2"/>
  <c r="R1830" i="2" s="1"/>
  <c r="R1829" i="2"/>
  <c r="Q1829" i="2"/>
  <c r="Q1828" i="2"/>
  <c r="R1828" i="2" s="1"/>
  <c r="R1827" i="2"/>
  <c r="Q1827" i="2"/>
  <c r="Q1826" i="2"/>
  <c r="R1826" i="2" s="1"/>
  <c r="R1825" i="2"/>
  <c r="Q1825" i="2"/>
  <c r="Q1824" i="2"/>
  <c r="R1824" i="2" s="1"/>
  <c r="R1823" i="2"/>
  <c r="Q1823" i="2"/>
  <c r="Q1822" i="2"/>
  <c r="R1822" i="2" s="1"/>
  <c r="R1821" i="2"/>
  <c r="Q1821" i="2"/>
  <c r="Q1820" i="2"/>
  <c r="R1820" i="2" s="1"/>
  <c r="R1819" i="2"/>
  <c r="Q1819" i="2"/>
  <c r="Q1818" i="2"/>
  <c r="R1818" i="2" s="1"/>
  <c r="R1817" i="2"/>
  <c r="Q1817" i="2"/>
  <c r="Q1816" i="2"/>
  <c r="R1816" i="2" s="1"/>
  <c r="R1815" i="2"/>
  <c r="Q1815" i="2"/>
  <c r="Q1814" i="2"/>
  <c r="R1814" i="2" s="1"/>
  <c r="R1813" i="2"/>
  <c r="Q1813" i="2"/>
  <c r="Q1812" i="2"/>
  <c r="R1812" i="2" s="1"/>
  <c r="R1811" i="2"/>
  <c r="Q1811" i="2"/>
  <c r="Q1810" i="2"/>
  <c r="R1810" i="2" s="1"/>
  <c r="R1809" i="2"/>
  <c r="Q1809" i="2"/>
  <c r="Q1808" i="2"/>
  <c r="R1808" i="2" s="1"/>
  <c r="R1807" i="2"/>
  <c r="Q1807" i="2"/>
  <c r="Q1806" i="2"/>
  <c r="R1806" i="2" s="1"/>
  <c r="R1805" i="2"/>
  <c r="Q1805" i="2"/>
  <c r="Q1804" i="2"/>
  <c r="R1804" i="2" s="1"/>
  <c r="R1803" i="2"/>
  <c r="Q1803" i="2"/>
  <c r="Q1802" i="2"/>
  <c r="R1802" i="2" s="1"/>
  <c r="R1801" i="2"/>
  <c r="Q1801" i="2"/>
  <c r="Q1800" i="2"/>
  <c r="R1800" i="2" s="1"/>
  <c r="R1799" i="2"/>
  <c r="Q1799" i="2"/>
  <c r="Q1798" i="2"/>
  <c r="R1798" i="2" s="1"/>
  <c r="R1797" i="2"/>
  <c r="Q1797" i="2"/>
  <c r="Q1796" i="2"/>
  <c r="R1796" i="2" s="1"/>
  <c r="R1795" i="2"/>
  <c r="Q1795" i="2"/>
  <c r="Q1794" i="2"/>
  <c r="R1794" i="2" s="1"/>
  <c r="R1793" i="2"/>
  <c r="Q1793" i="2"/>
  <c r="Q1792" i="2"/>
  <c r="R1792" i="2" s="1"/>
  <c r="R1791" i="2"/>
  <c r="Q1791" i="2"/>
  <c r="Q1790" i="2"/>
  <c r="R1790" i="2" s="1"/>
  <c r="R1789" i="2"/>
  <c r="Q1789" i="2"/>
  <c r="Q1788" i="2"/>
  <c r="R1788" i="2" s="1"/>
  <c r="R1787" i="2"/>
  <c r="Q1787" i="2"/>
  <c r="Q1786" i="2"/>
  <c r="R1786" i="2" s="1"/>
  <c r="R1785" i="2"/>
  <c r="Q1785" i="2"/>
  <c r="Q1784" i="2"/>
  <c r="R1784" i="2" s="1"/>
  <c r="R1783" i="2"/>
  <c r="Q1783" i="2"/>
  <c r="Q1782" i="2"/>
  <c r="R1782" i="2" s="1"/>
  <c r="R1781" i="2"/>
  <c r="Q1781" i="2"/>
  <c r="Q1780" i="2"/>
  <c r="R1780" i="2" s="1"/>
  <c r="R1779" i="2"/>
  <c r="Q1779" i="2"/>
  <c r="Q1778" i="2"/>
  <c r="R1778" i="2" s="1"/>
  <c r="R1777" i="2"/>
  <c r="Q1777" i="2"/>
  <c r="Q1776" i="2"/>
  <c r="R1776" i="2" s="1"/>
  <c r="R1775" i="2"/>
  <c r="Q1775" i="2"/>
  <c r="Q1774" i="2"/>
  <c r="R1774" i="2" s="1"/>
  <c r="R1773" i="2"/>
  <c r="Q1773" i="2"/>
  <c r="Q1772" i="2"/>
  <c r="R1772" i="2" s="1"/>
  <c r="R1771" i="2"/>
  <c r="Q1771" i="2"/>
  <c r="Q1770" i="2"/>
  <c r="R1770" i="2" s="1"/>
  <c r="R1769" i="2"/>
  <c r="Q1769" i="2"/>
  <c r="Q1768" i="2"/>
  <c r="R1768" i="2" s="1"/>
  <c r="R1767" i="2"/>
  <c r="Q1767" i="2"/>
  <c r="Q1766" i="2"/>
  <c r="R1766" i="2" s="1"/>
  <c r="R1765" i="2"/>
  <c r="Q1765" i="2"/>
  <c r="Q1764" i="2"/>
  <c r="R1764" i="2" s="1"/>
  <c r="R1763" i="2"/>
  <c r="Q1763" i="2"/>
  <c r="Q1762" i="2"/>
  <c r="R1762" i="2" s="1"/>
  <c r="R1761" i="2"/>
  <c r="Q1761" i="2"/>
  <c r="Q1760" i="2"/>
  <c r="R1760" i="2" s="1"/>
  <c r="R1759" i="2"/>
  <c r="Q1759" i="2"/>
  <c r="Q1758" i="2"/>
  <c r="R1758" i="2" s="1"/>
  <c r="R1757" i="2"/>
  <c r="Q1757" i="2"/>
  <c r="Q1756" i="2"/>
  <c r="R1756" i="2" s="1"/>
  <c r="R1755" i="2"/>
  <c r="Q1755" i="2"/>
  <c r="Q1754" i="2"/>
  <c r="R1754" i="2" s="1"/>
  <c r="R1753" i="2"/>
  <c r="Q1753" i="2"/>
  <c r="Q1752" i="2"/>
  <c r="R1752" i="2" s="1"/>
  <c r="R1751" i="2"/>
  <c r="Q1751" i="2"/>
  <c r="Q1750" i="2"/>
  <c r="R1750" i="2" s="1"/>
  <c r="R1749" i="2"/>
  <c r="Q1749" i="2"/>
  <c r="Q1748" i="2"/>
  <c r="R1748" i="2" s="1"/>
  <c r="R1747" i="2"/>
  <c r="Q1747" i="2"/>
  <c r="Q1746" i="2"/>
  <c r="R1746" i="2" s="1"/>
  <c r="R1745" i="2"/>
  <c r="Q1745" i="2"/>
  <c r="Q1744" i="2"/>
  <c r="R1744" i="2" s="1"/>
  <c r="R1743" i="2"/>
  <c r="Q1743" i="2"/>
  <c r="Q1742" i="2"/>
  <c r="R1742" i="2" s="1"/>
  <c r="R1741" i="2"/>
  <c r="Q1741" i="2"/>
  <c r="Q1740" i="2"/>
  <c r="R1740" i="2" s="1"/>
  <c r="R1739" i="2"/>
  <c r="Q1739" i="2"/>
  <c r="Q1738" i="2"/>
  <c r="R1738" i="2" s="1"/>
  <c r="R1737" i="2"/>
  <c r="Q1737" i="2"/>
  <c r="Q1736" i="2"/>
  <c r="R1736" i="2" s="1"/>
  <c r="R1735" i="2"/>
  <c r="Q1735" i="2"/>
  <c r="Q1734" i="2"/>
  <c r="R1734" i="2" s="1"/>
  <c r="R1733" i="2"/>
  <c r="Q1733" i="2"/>
  <c r="Q1732" i="2"/>
  <c r="R1732" i="2" s="1"/>
  <c r="R1731" i="2"/>
  <c r="Q1731" i="2"/>
  <c r="Q1730" i="2"/>
  <c r="R1730" i="2" s="1"/>
  <c r="R1729" i="2"/>
  <c r="Q1729" i="2"/>
  <c r="Q1728" i="2"/>
  <c r="R1728" i="2" s="1"/>
  <c r="R1727" i="2"/>
  <c r="Q1727" i="2"/>
  <c r="Q1726" i="2"/>
  <c r="R1726" i="2" s="1"/>
  <c r="R1725" i="2"/>
  <c r="Q1725" i="2"/>
  <c r="Q1724" i="2"/>
  <c r="R1724" i="2" s="1"/>
  <c r="R1723" i="2"/>
  <c r="Q1723" i="2"/>
  <c r="Q1722" i="2"/>
  <c r="R1722" i="2" s="1"/>
  <c r="R1721" i="2"/>
  <c r="Q1721" i="2"/>
  <c r="Q1720" i="2"/>
  <c r="R1720" i="2" s="1"/>
  <c r="R1719" i="2"/>
  <c r="Q1719" i="2"/>
  <c r="Q1718" i="2"/>
  <c r="R1718" i="2" s="1"/>
  <c r="R1717" i="2"/>
  <c r="Q1717" i="2"/>
  <c r="Q1716" i="2"/>
  <c r="R1716" i="2" s="1"/>
  <c r="R1715" i="2"/>
  <c r="Q1715" i="2"/>
  <c r="Q1714" i="2"/>
  <c r="R1714" i="2" s="1"/>
  <c r="R1713" i="2"/>
  <c r="Q1713" i="2"/>
  <c r="Q1712" i="2"/>
  <c r="R1712" i="2" s="1"/>
  <c r="R1711" i="2"/>
  <c r="Q1711" i="2"/>
  <c r="Q1710" i="2"/>
  <c r="R1710" i="2" s="1"/>
  <c r="R1709" i="2"/>
  <c r="Q1709" i="2"/>
  <c r="Q1708" i="2"/>
  <c r="R1708" i="2" s="1"/>
  <c r="R1707" i="2"/>
  <c r="Q1707" i="2"/>
  <c r="Q1706" i="2"/>
  <c r="R1706" i="2" s="1"/>
  <c r="R1705" i="2"/>
  <c r="Q1705" i="2"/>
  <c r="Q1704" i="2"/>
  <c r="R1704" i="2" s="1"/>
  <c r="R1703" i="2"/>
  <c r="Q1703" i="2"/>
  <c r="Q1702" i="2"/>
  <c r="R1702" i="2" s="1"/>
  <c r="R1701" i="2"/>
  <c r="Q1701" i="2"/>
  <c r="Q1700" i="2"/>
  <c r="R1700" i="2" s="1"/>
  <c r="R1699" i="2"/>
  <c r="Q1699" i="2"/>
  <c r="Q1698" i="2"/>
  <c r="R1698" i="2" s="1"/>
  <c r="R1697" i="2"/>
  <c r="Q1697" i="2"/>
  <c r="Q1696" i="2"/>
  <c r="R1696" i="2" s="1"/>
  <c r="R1695" i="2"/>
  <c r="Q1695" i="2"/>
  <c r="Q1694" i="2"/>
  <c r="R1694" i="2" s="1"/>
  <c r="R1693" i="2"/>
  <c r="Q1693" i="2"/>
  <c r="Q1692" i="2"/>
  <c r="R1692" i="2" s="1"/>
  <c r="R1691" i="2"/>
  <c r="Q1691" i="2"/>
  <c r="Q1690" i="2"/>
  <c r="R1690" i="2" s="1"/>
  <c r="R1689" i="2"/>
  <c r="Q1689" i="2"/>
  <c r="Q1688" i="2"/>
  <c r="R1688" i="2" s="1"/>
  <c r="R1687" i="2"/>
  <c r="Q1687" i="2"/>
  <c r="Q1686" i="2"/>
  <c r="R1686" i="2" s="1"/>
  <c r="R1685" i="2"/>
  <c r="Q1685" i="2"/>
  <c r="Q1684" i="2"/>
  <c r="R1684" i="2" s="1"/>
  <c r="R1683" i="2"/>
  <c r="Q1683" i="2"/>
  <c r="Q1682" i="2"/>
  <c r="R1682" i="2" s="1"/>
  <c r="R1681" i="2"/>
  <c r="Q1681" i="2"/>
  <c r="Q1680" i="2"/>
  <c r="R1680" i="2" s="1"/>
  <c r="R1679" i="2"/>
  <c r="Q1679" i="2"/>
  <c r="Q1678" i="2"/>
  <c r="R1678" i="2" s="1"/>
  <c r="R1677" i="2"/>
  <c r="Q1677" i="2"/>
  <c r="Q1676" i="2"/>
  <c r="R1676" i="2" s="1"/>
  <c r="R1675" i="2"/>
  <c r="Q1675" i="2"/>
  <c r="Q1674" i="2"/>
  <c r="R1674" i="2" s="1"/>
  <c r="R1673" i="2"/>
  <c r="Q1673" i="2"/>
  <c r="Q1672" i="2"/>
  <c r="R1672" i="2" s="1"/>
  <c r="R1671" i="2"/>
  <c r="Q1671" i="2"/>
  <c r="Q1670" i="2"/>
  <c r="R1670" i="2" s="1"/>
  <c r="R1669" i="2"/>
  <c r="Q1669" i="2"/>
  <c r="Q1668" i="2"/>
  <c r="R1668" i="2" s="1"/>
  <c r="R1667" i="2"/>
  <c r="Q1667" i="2"/>
  <c r="Q1666" i="2"/>
  <c r="R1666" i="2" s="1"/>
  <c r="R1665" i="2"/>
  <c r="Q1665" i="2"/>
  <c r="Q1664" i="2"/>
  <c r="R1664" i="2" s="1"/>
  <c r="R1663" i="2"/>
  <c r="Q1663" i="2"/>
  <c r="Q1662" i="2"/>
  <c r="R1662" i="2" s="1"/>
  <c r="R1661" i="2"/>
  <c r="Q1661" i="2"/>
  <c r="Q1660" i="2"/>
  <c r="R1660" i="2" s="1"/>
  <c r="R1659" i="2"/>
  <c r="Q1659" i="2"/>
  <c r="Q1658" i="2"/>
  <c r="R1658" i="2" s="1"/>
  <c r="R1657" i="2"/>
  <c r="Q1657" i="2"/>
  <c r="Q1656" i="2"/>
  <c r="R1656" i="2" s="1"/>
  <c r="R1655" i="2"/>
  <c r="Q1655" i="2"/>
  <c r="Q1654" i="2"/>
  <c r="R1654" i="2" s="1"/>
  <c r="R1653" i="2"/>
  <c r="Q1653" i="2"/>
  <c r="Q1652" i="2"/>
  <c r="R1652" i="2" s="1"/>
  <c r="R1651" i="2"/>
  <c r="Q1651" i="2"/>
  <c r="Q1650" i="2"/>
  <c r="R1650" i="2" s="1"/>
  <c r="R1649" i="2"/>
  <c r="Q1649" i="2"/>
  <c r="Q1648" i="2"/>
  <c r="R1648" i="2" s="1"/>
  <c r="R1647" i="2"/>
  <c r="Q1647" i="2"/>
  <c r="Q1646" i="2"/>
  <c r="R1646" i="2" s="1"/>
  <c r="R1645" i="2"/>
  <c r="Q1645" i="2"/>
  <c r="Q1644" i="2"/>
  <c r="R1644" i="2" s="1"/>
  <c r="R1643" i="2"/>
  <c r="Q1643" i="2"/>
  <c r="Q1642" i="2"/>
  <c r="R1642" i="2" s="1"/>
  <c r="R1641" i="2"/>
  <c r="Q1641" i="2"/>
  <c r="Q1640" i="2"/>
  <c r="R1640" i="2" s="1"/>
  <c r="R1639" i="2"/>
  <c r="Q1639" i="2"/>
  <c r="Q1638" i="2"/>
  <c r="R1638" i="2" s="1"/>
  <c r="R1637" i="2"/>
  <c r="Q1637" i="2"/>
  <c r="Q1636" i="2"/>
  <c r="R1636" i="2" s="1"/>
  <c r="R1635" i="2"/>
  <c r="Q1635" i="2"/>
  <c r="Q1634" i="2"/>
  <c r="R1634" i="2" s="1"/>
  <c r="R1633" i="2"/>
  <c r="Q1633" i="2"/>
  <c r="Q1632" i="2"/>
  <c r="R1632" i="2" s="1"/>
  <c r="R1631" i="2"/>
  <c r="Q1631" i="2"/>
  <c r="Q1630" i="2"/>
  <c r="R1630" i="2" s="1"/>
  <c r="R1629" i="2"/>
  <c r="Q1629" i="2"/>
  <c r="Q1628" i="2"/>
  <c r="R1628" i="2" s="1"/>
  <c r="R1627" i="2"/>
  <c r="Q1627" i="2"/>
  <c r="Q1626" i="2"/>
  <c r="R1626" i="2" s="1"/>
  <c r="R1625" i="2"/>
  <c r="Q1625" i="2"/>
  <c r="Q1624" i="2"/>
  <c r="R1624" i="2" s="1"/>
  <c r="R1623" i="2"/>
  <c r="Q1623" i="2"/>
  <c r="Q1622" i="2"/>
  <c r="R1622" i="2" s="1"/>
  <c r="R1621" i="2"/>
  <c r="Q1621" i="2"/>
  <c r="Q1620" i="2"/>
  <c r="R1620" i="2" s="1"/>
  <c r="R1619" i="2"/>
  <c r="Q1619" i="2"/>
  <c r="Q1618" i="2"/>
  <c r="R1618" i="2" s="1"/>
  <c r="R1617" i="2"/>
  <c r="Q1617" i="2"/>
  <c r="Q1616" i="2"/>
  <c r="R1616" i="2" s="1"/>
  <c r="R1615" i="2"/>
  <c r="Q1615" i="2"/>
  <c r="Q1614" i="2"/>
  <c r="R1614" i="2" s="1"/>
  <c r="R1613" i="2"/>
  <c r="Q1613" i="2"/>
  <c r="Q1612" i="2"/>
  <c r="R1612" i="2" s="1"/>
  <c r="R1611" i="2"/>
  <c r="Q1611" i="2"/>
  <c r="Q1610" i="2"/>
  <c r="R1610" i="2" s="1"/>
  <c r="R1609" i="2"/>
  <c r="Q1609" i="2"/>
  <c r="Q1608" i="2"/>
  <c r="R1608" i="2" s="1"/>
  <c r="R1607" i="2"/>
  <c r="Q1607" i="2"/>
  <c r="Q1606" i="2"/>
  <c r="R1606" i="2" s="1"/>
  <c r="R1605" i="2"/>
  <c r="Q1605" i="2"/>
  <c r="Q1604" i="2"/>
  <c r="R1604" i="2" s="1"/>
  <c r="R1603" i="2"/>
  <c r="Q1603" i="2"/>
  <c r="Q1602" i="2"/>
  <c r="R1602" i="2" s="1"/>
  <c r="R1601" i="2"/>
  <c r="Q1601" i="2"/>
  <c r="Q1600" i="2"/>
  <c r="R1600" i="2" s="1"/>
  <c r="R1599" i="2"/>
  <c r="Q1599" i="2"/>
  <c r="Q1598" i="2"/>
  <c r="R1598" i="2" s="1"/>
  <c r="R1597" i="2"/>
  <c r="Q1597" i="2"/>
  <c r="Q1596" i="2"/>
  <c r="R1596" i="2" s="1"/>
  <c r="R1595" i="2"/>
  <c r="Q1595" i="2"/>
  <c r="Q1594" i="2"/>
  <c r="R1594" i="2" s="1"/>
  <c r="R1593" i="2"/>
  <c r="Q1593" i="2"/>
  <c r="Q1592" i="2"/>
  <c r="R1592" i="2" s="1"/>
  <c r="R1591" i="2"/>
  <c r="Q1591" i="2"/>
  <c r="Q1590" i="2"/>
  <c r="R1590" i="2" s="1"/>
  <c r="R1589" i="2"/>
  <c r="Q1589" i="2"/>
  <c r="Q1588" i="2"/>
  <c r="R1588" i="2" s="1"/>
  <c r="R1587" i="2"/>
  <c r="Q1587" i="2"/>
  <c r="Q1586" i="2"/>
  <c r="R1586" i="2" s="1"/>
  <c r="R1585" i="2"/>
  <c r="Q1585" i="2"/>
  <c r="Q1584" i="2"/>
  <c r="R1584" i="2" s="1"/>
  <c r="R1583" i="2"/>
  <c r="Q1583" i="2"/>
  <c r="Q1582" i="2"/>
  <c r="R1582" i="2" s="1"/>
  <c r="R1581" i="2"/>
  <c r="Q1581" i="2"/>
  <c r="Q1580" i="2"/>
  <c r="R1580" i="2" s="1"/>
  <c r="R1579" i="2"/>
  <c r="Q1579" i="2"/>
  <c r="Q1578" i="2"/>
  <c r="R1578" i="2" s="1"/>
  <c r="R1577" i="2"/>
  <c r="Q1577" i="2"/>
  <c r="Q1576" i="2"/>
  <c r="R1576" i="2" s="1"/>
  <c r="R1575" i="2"/>
  <c r="Q1575" i="2"/>
  <c r="Q1574" i="2"/>
  <c r="R1574" i="2" s="1"/>
  <c r="R1573" i="2"/>
  <c r="Q1573" i="2"/>
  <c r="Q1572" i="2"/>
  <c r="R1572" i="2" s="1"/>
  <c r="R1571" i="2"/>
  <c r="Q1571" i="2"/>
  <c r="Q1570" i="2"/>
  <c r="R1570" i="2" s="1"/>
  <c r="R1569" i="2"/>
  <c r="Q1569" i="2"/>
  <c r="Q1568" i="2"/>
  <c r="R1568" i="2" s="1"/>
  <c r="R1567" i="2"/>
  <c r="Q1567" i="2"/>
  <c r="Q1566" i="2"/>
  <c r="R1566" i="2" s="1"/>
  <c r="R1565" i="2"/>
  <c r="Q1565" i="2"/>
  <c r="Q1564" i="2"/>
  <c r="R1564" i="2" s="1"/>
  <c r="R1563" i="2"/>
  <c r="Q1563" i="2"/>
  <c r="Q1562" i="2"/>
  <c r="R1562" i="2" s="1"/>
  <c r="R1561" i="2"/>
  <c r="Q1561" i="2"/>
  <c r="Q1560" i="2"/>
  <c r="R1560" i="2" s="1"/>
  <c r="R1559" i="2"/>
  <c r="Q1559" i="2"/>
  <c r="Q1558" i="2"/>
  <c r="R1558" i="2" s="1"/>
  <c r="R1557" i="2"/>
  <c r="Q1557" i="2"/>
  <c r="Q1556" i="2"/>
  <c r="R1556" i="2" s="1"/>
  <c r="R1555" i="2"/>
  <c r="Q1555" i="2"/>
  <c r="Q1554" i="2"/>
  <c r="R1554" i="2" s="1"/>
  <c r="R1553" i="2"/>
  <c r="Q1553" i="2"/>
  <c r="Q1552" i="2"/>
  <c r="R1552" i="2" s="1"/>
  <c r="R1551" i="2"/>
  <c r="Q1551" i="2"/>
  <c r="Q1550" i="2"/>
  <c r="R1550" i="2" s="1"/>
  <c r="R1549" i="2"/>
  <c r="Q1549" i="2"/>
  <c r="Q1548" i="2"/>
  <c r="R1548" i="2" s="1"/>
  <c r="R1547" i="2"/>
  <c r="Q1547" i="2"/>
  <c r="Q1546" i="2"/>
  <c r="R1546" i="2" s="1"/>
  <c r="R1545" i="2"/>
  <c r="Q1545" i="2"/>
  <c r="Q1544" i="2"/>
  <c r="R1544" i="2" s="1"/>
  <c r="R1543" i="2"/>
  <c r="Q1543" i="2"/>
  <c r="Q1542" i="2"/>
  <c r="R1542" i="2" s="1"/>
  <c r="R1541" i="2"/>
  <c r="Q1541" i="2"/>
  <c r="Q1540" i="2"/>
  <c r="R1540" i="2" s="1"/>
  <c r="R1539" i="2"/>
  <c r="Q1539" i="2"/>
  <c r="Q1538" i="2"/>
  <c r="R1538" i="2" s="1"/>
  <c r="R1537" i="2"/>
  <c r="Q1537" i="2"/>
  <c r="Q1536" i="2"/>
  <c r="R1536" i="2" s="1"/>
  <c r="R1535" i="2"/>
  <c r="Q1535" i="2"/>
  <c r="Q1534" i="2"/>
  <c r="R1534" i="2" s="1"/>
  <c r="R1533" i="2"/>
  <c r="Q1533" i="2"/>
  <c r="Q1532" i="2"/>
  <c r="R1532" i="2" s="1"/>
  <c r="R1531" i="2"/>
  <c r="Q1531" i="2"/>
  <c r="Q1530" i="2"/>
  <c r="R1530" i="2" s="1"/>
  <c r="R1529" i="2"/>
  <c r="Q1529" i="2"/>
  <c r="Q1528" i="2"/>
  <c r="R1528" i="2" s="1"/>
  <c r="R1527" i="2"/>
  <c r="Q1527" i="2"/>
  <c r="Q1526" i="2"/>
  <c r="R1526" i="2" s="1"/>
  <c r="R1525" i="2"/>
  <c r="Q1525" i="2"/>
  <c r="Q1524" i="2"/>
  <c r="R1524" i="2" s="1"/>
  <c r="R1523" i="2"/>
  <c r="Q1523" i="2"/>
  <c r="Q1522" i="2"/>
  <c r="R1522" i="2" s="1"/>
  <c r="R1521" i="2"/>
  <c r="Q1521" i="2"/>
  <c r="Q1520" i="2"/>
  <c r="R1520" i="2" s="1"/>
  <c r="R1519" i="2"/>
  <c r="Q1519" i="2"/>
  <c r="Q1518" i="2"/>
  <c r="R1518" i="2" s="1"/>
  <c r="R1517" i="2"/>
  <c r="Q1517" i="2"/>
  <c r="Q1516" i="2"/>
  <c r="R1516" i="2" s="1"/>
  <c r="R1515" i="2"/>
  <c r="Q1515" i="2"/>
  <c r="Q1514" i="2"/>
  <c r="R1514" i="2" s="1"/>
  <c r="R1513" i="2"/>
  <c r="Q1513" i="2"/>
  <c r="Q1512" i="2"/>
  <c r="R1512" i="2" s="1"/>
  <c r="R1511" i="2"/>
  <c r="Q1511" i="2"/>
  <c r="Q1510" i="2"/>
  <c r="R1510" i="2" s="1"/>
  <c r="R1509" i="2"/>
  <c r="Q1509" i="2"/>
  <c r="Q1508" i="2"/>
  <c r="R1508" i="2" s="1"/>
  <c r="R1507" i="2"/>
  <c r="Q1507" i="2"/>
  <c r="Q1506" i="2"/>
  <c r="R1506" i="2" s="1"/>
  <c r="R1505" i="2"/>
  <c r="Q1505" i="2"/>
  <c r="Q1504" i="2"/>
  <c r="R1504" i="2" s="1"/>
  <c r="R1503" i="2"/>
  <c r="Q1503" i="2"/>
  <c r="Q1502" i="2"/>
  <c r="R1502" i="2" s="1"/>
  <c r="R1501" i="2"/>
  <c r="Q1501" i="2"/>
  <c r="Q1500" i="2"/>
  <c r="R1500" i="2" s="1"/>
  <c r="R1499" i="2"/>
  <c r="Q1499" i="2"/>
  <c r="Q1498" i="2"/>
  <c r="R1498" i="2" s="1"/>
  <c r="R1497" i="2"/>
  <c r="Q1497" i="2"/>
  <c r="Q1496" i="2"/>
  <c r="R1496" i="2" s="1"/>
  <c r="R1495" i="2"/>
  <c r="Q1495" i="2"/>
  <c r="Q1494" i="2"/>
  <c r="R1494" i="2" s="1"/>
  <c r="R1493" i="2"/>
  <c r="Q1493" i="2"/>
  <c r="Q1492" i="2"/>
  <c r="R1492" i="2" s="1"/>
  <c r="R1491" i="2"/>
  <c r="Q1491" i="2"/>
  <c r="Q1490" i="2"/>
  <c r="R1490" i="2" s="1"/>
  <c r="R1489" i="2"/>
  <c r="Q1489" i="2"/>
  <c r="Q1488" i="2"/>
  <c r="R1488" i="2" s="1"/>
  <c r="R1487" i="2"/>
  <c r="Q1487" i="2"/>
  <c r="Q1486" i="2"/>
  <c r="R1486" i="2" s="1"/>
  <c r="R1485" i="2"/>
  <c r="Q1485" i="2"/>
  <c r="Q1484" i="2"/>
  <c r="R1484" i="2" s="1"/>
  <c r="R1483" i="2"/>
  <c r="Q1483" i="2"/>
  <c r="Q1482" i="2"/>
  <c r="R1482" i="2" s="1"/>
  <c r="R1481" i="2"/>
  <c r="Q1481" i="2"/>
  <c r="Q1480" i="2"/>
  <c r="R1480" i="2" s="1"/>
  <c r="R1479" i="2"/>
  <c r="Q1479" i="2"/>
  <c r="Q1478" i="2"/>
  <c r="R1478" i="2" s="1"/>
  <c r="R1477" i="2"/>
  <c r="Q1477" i="2"/>
  <c r="Q1476" i="2"/>
  <c r="R1476" i="2" s="1"/>
  <c r="R1475" i="2"/>
  <c r="Q1475" i="2"/>
  <c r="Q1474" i="2"/>
  <c r="R1474" i="2" s="1"/>
  <c r="R1473" i="2"/>
  <c r="Q1473" i="2"/>
  <c r="Q1472" i="2"/>
  <c r="R1472" i="2" s="1"/>
  <c r="R1471" i="2"/>
  <c r="Q1471" i="2"/>
  <c r="Q1470" i="2"/>
  <c r="R1470" i="2" s="1"/>
  <c r="R1469" i="2"/>
  <c r="Q1469" i="2"/>
  <c r="Q1468" i="2"/>
  <c r="R1468" i="2" s="1"/>
  <c r="R1467" i="2"/>
  <c r="Q1467" i="2"/>
  <c r="Q1466" i="2"/>
  <c r="R1466" i="2" s="1"/>
  <c r="R1465" i="2"/>
  <c r="Q1465" i="2"/>
  <c r="Q1464" i="2"/>
  <c r="R1464" i="2" s="1"/>
  <c r="R1463" i="2"/>
  <c r="Q1463" i="2"/>
  <c r="Q1462" i="2"/>
  <c r="R1462" i="2" s="1"/>
  <c r="R1461" i="2"/>
  <c r="Q1461" i="2"/>
  <c r="Q1460" i="2"/>
  <c r="R1460" i="2" s="1"/>
  <c r="R1459" i="2"/>
  <c r="Q1459" i="2"/>
  <c r="Q1458" i="2"/>
  <c r="R1458" i="2" s="1"/>
  <c r="R1457" i="2"/>
  <c r="Q1457" i="2"/>
  <c r="Q1456" i="2"/>
  <c r="R1456" i="2" s="1"/>
  <c r="Q1455" i="2"/>
  <c r="R1455" i="2" s="1"/>
  <c r="Q1454" i="2"/>
  <c r="R1454" i="2" s="1"/>
  <c r="R1453" i="2"/>
  <c r="Q1453" i="2"/>
  <c r="Q1452" i="2"/>
  <c r="R1452" i="2" s="1"/>
  <c r="R1451" i="2"/>
  <c r="Q1451" i="2"/>
  <c r="Q1450" i="2"/>
  <c r="R1450" i="2" s="1"/>
  <c r="R1449" i="2"/>
  <c r="Q1449" i="2"/>
  <c r="Q1448" i="2"/>
  <c r="R1448" i="2" s="1"/>
  <c r="R1447" i="2"/>
  <c r="Q1447" i="2"/>
  <c r="Q1446" i="2"/>
  <c r="R1446" i="2" s="1"/>
  <c r="R1445" i="2"/>
  <c r="Q1445" i="2"/>
  <c r="Q1444" i="2"/>
  <c r="R1444" i="2" s="1"/>
  <c r="R1443" i="2"/>
  <c r="Q1443" i="2"/>
  <c r="Q1442" i="2"/>
  <c r="R1442" i="2" s="1"/>
  <c r="R1441" i="2"/>
  <c r="Q1441" i="2"/>
  <c r="Q1440" i="2"/>
  <c r="R1440" i="2" s="1"/>
  <c r="Q1439" i="2"/>
  <c r="R1439" i="2" s="1"/>
  <c r="Q1438" i="2"/>
  <c r="R1438" i="2" s="1"/>
  <c r="R1437" i="2"/>
  <c r="Q1437" i="2"/>
  <c r="Q1436" i="2"/>
  <c r="R1436" i="2" s="1"/>
  <c r="R1435" i="2"/>
  <c r="Q1435" i="2"/>
  <c r="Q1434" i="2"/>
  <c r="R1434" i="2" s="1"/>
  <c r="R1433" i="2"/>
  <c r="Q1433" i="2"/>
  <c r="Q1432" i="2"/>
  <c r="R1432" i="2" s="1"/>
  <c r="R1431" i="2"/>
  <c r="Q1431" i="2"/>
  <c r="Q1430" i="2"/>
  <c r="R1430" i="2" s="1"/>
  <c r="R1429" i="2"/>
  <c r="Q1429" i="2"/>
  <c r="Q1428" i="2"/>
  <c r="R1428" i="2" s="1"/>
  <c r="R1427" i="2"/>
  <c r="Q1427" i="2"/>
  <c r="Q1426" i="2"/>
  <c r="R1426" i="2" s="1"/>
  <c r="R1425" i="2"/>
  <c r="Q1425" i="2"/>
  <c r="Q1424" i="2"/>
  <c r="R1424" i="2" s="1"/>
  <c r="Q1423" i="2"/>
  <c r="R1423" i="2" s="1"/>
  <c r="Q1422" i="2"/>
  <c r="R1422" i="2" s="1"/>
  <c r="R1421" i="2"/>
  <c r="Q1421" i="2"/>
  <c r="Q1420" i="2"/>
  <c r="R1420" i="2" s="1"/>
  <c r="R1419" i="2"/>
  <c r="Q1419" i="2"/>
  <c r="Q1418" i="2"/>
  <c r="R1418" i="2" s="1"/>
  <c r="R1417" i="2"/>
  <c r="Q1417" i="2"/>
  <c r="Q1416" i="2"/>
  <c r="R1416" i="2" s="1"/>
  <c r="R1415" i="2"/>
  <c r="Q1415" i="2"/>
  <c r="Q1414" i="2"/>
  <c r="R1414" i="2" s="1"/>
  <c r="R1413" i="2"/>
  <c r="Q1413" i="2"/>
  <c r="Q1412" i="2"/>
  <c r="R1412" i="2" s="1"/>
  <c r="R1411" i="2"/>
  <c r="Q1411" i="2"/>
  <c r="Q1410" i="2"/>
  <c r="R1410" i="2" s="1"/>
  <c r="R1409" i="2"/>
  <c r="Q1409" i="2"/>
  <c r="Q1408" i="2"/>
  <c r="R1408" i="2" s="1"/>
  <c r="Q1407" i="2"/>
  <c r="R1407" i="2" s="1"/>
  <c r="Q1406" i="2"/>
  <c r="R1406" i="2" s="1"/>
  <c r="R1405" i="2"/>
  <c r="Q1405" i="2"/>
  <c r="Q1404" i="2"/>
  <c r="R1404" i="2" s="1"/>
  <c r="R1403" i="2"/>
  <c r="Q1403" i="2"/>
  <c r="Q1402" i="2"/>
  <c r="R1402" i="2" s="1"/>
  <c r="R1401" i="2"/>
  <c r="Q1401" i="2"/>
  <c r="Q1400" i="2"/>
  <c r="R1400" i="2" s="1"/>
  <c r="R1399" i="2"/>
  <c r="Q1399" i="2"/>
  <c r="Q1398" i="2"/>
  <c r="R1398" i="2" s="1"/>
  <c r="R1397" i="2"/>
  <c r="Q1397" i="2"/>
  <c r="Q1396" i="2"/>
  <c r="R1396" i="2" s="1"/>
  <c r="R1395" i="2"/>
  <c r="Q1395" i="2"/>
  <c r="Q1394" i="2"/>
  <c r="R1394" i="2" s="1"/>
  <c r="R1393" i="2"/>
  <c r="Q1393" i="2"/>
  <c r="Q1392" i="2"/>
  <c r="R1392" i="2" s="1"/>
  <c r="Q1391" i="2"/>
  <c r="R1391" i="2" s="1"/>
  <c r="Q1390" i="2"/>
  <c r="R1390" i="2" s="1"/>
  <c r="R1389" i="2"/>
  <c r="Q1389" i="2"/>
  <c r="Q1388" i="2"/>
  <c r="R1388" i="2" s="1"/>
  <c r="R1387" i="2"/>
  <c r="Q1387" i="2"/>
  <c r="Q1386" i="2"/>
  <c r="R1386" i="2" s="1"/>
  <c r="R1385" i="2"/>
  <c r="Q1385" i="2"/>
  <c r="Q1384" i="2"/>
  <c r="R1384" i="2" s="1"/>
  <c r="R1383" i="2"/>
  <c r="Q1383" i="2"/>
  <c r="Q1382" i="2"/>
  <c r="R1382" i="2" s="1"/>
  <c r="R1381" i="2"/>
  <c r="Q1381" i="2"/>
  <c r="Q1380" i="2"/>
  <c r="R1380" i="2" s="1"/>
  <c r="R1379" i="2"/>
  <c r="Q1379" i="2"/>
  <c r="Q1378" i="2"/>
  <c r="R1378" i="2" s="1"/>
  <c r="R1377" i="2"/>
  <c r="Q1377" i="2"/>
  <c r="Q1376" i="2"/>
  <c r="R1376" i="2" s="1"/>
  <c r="Q1375" i="2"/>
  <c r="R1375" i="2" s="1"/>
  <c r="Q1374" i="2"/>
  <c r="R1374" i="2" s="1"/>
  <c r="R1373" i="2"/>
  <c r="Q1373" i="2"/>
  <c r="Q1372" i="2"/>
  <c r="R1372" i="2" s="1"/>
  <c r="R1371" i="2"/>
  <c r="Q1371" i="2"/>
  <c r="Q1370" i="2"/>
  <c r="R1370" i="2" s="1"/>
  <c r="R1369" i="2"/>
  <c r="Q1369" i="2"/>
  <c r="Q1368" i="2"/>
  <c r="R1368" i="2" s="1"/>
  <c r="R1367" i="2"/>
  <c r="Q1367" i="2"/>
  <c r="Q1366" i="2"/>
  <c r="R1366" i="2" s="1"/>
  <c r="R1365" i="2"/>
  <c r="Q1365" i="2"/>
  <c r="Q1364" i="2"/>
  <c r="R1364" i="2" s="1"/>
  <c r="R1363" i="2"/>
  <c r="Q1363" i="2"/>
  <c r="Q1362" i="2"/>
  <c r="R1362" i="2" s="1"/>
  <c r="R1361" i="2"/>
  <c r="Q1361" i="2"/>
  <c r="Q1360" i="2"/>
  <c r="R1360" i="2" s="1"/>
  <c r="Q1359" i="2"/>
  <c r="R1359" i="2" s="1"/>
  <c r="Q1358" i="2"/>
  <c r="R1358" i="2" s="1"/>
  <c r="R1357" i="2"/>
  <c r="Q1357" i="2"/>
  <c r="Q1356" i="2"/>
  <c r="R1356" i="2" s="1"/>
  <c r="R1355" i="2"/>
  <c r="Q1355" i="2"/>
  <c r="Q1354" i="2"/>
  <c r="R1354" i="2" s="1"/>
  <c r="R1353" i="2"/>
  <c r="Q1353" i="2"/>
  <c r="Q1352" i="2"/>
  <c r="R1352" i="2" s="1"/>
  <c r="R1351" i="2"/>
  <c r="Q1351" i="2"/>
  <c r="Q1350" i="2"/>
  <c r="R1350" i="2" s="1"/>
  <c r="R1349" i="2"/>
  <c r="Q1349" i="2"/>
  <c r="Q1348" i="2"/>
  <c r="R1348" i="2" s="1"/>
  <c r="R1347" i="2"/>
  <c r="Q1347" i="2"/>
  <c r="Q1346" i="2"/>
  <c r="R1346" i="2" s="1"/>
  <c r="R1345" i="2"/>
  <c r="Q1345" i="2"/>
  <c r="Q1344" i="2"/>
  <c r="R1344" i="2" s="1"/>
  <c r="Q1343" i="2"/>
  <c r="R1343" i="2" s="1"/>
  <c r="Q1342" i="2"/>
  <c r="R1342" i="2" s="1"/>
  <c r="R1341" i="2"/>
  <c r="Q1341" i="2"/>
  <c r="Q1340" i="2"/>
  <c r="R1340" i="2" s="1"/>
  <c r="R1339" i="2"/>
  <c r="Q1339" i="2"/>
  <c r="Q1338" i="2"/>
  <c r="R1338" i="2" s="1"/>
  <c r="R1337" i="2"/>
  <c r="Q1337" i="2"/>
  <c r="Q1336" i="2"/>
  <c r="R1336" i="2" s="1"/>
  <c r="R1335" i="2"/>
  <c r="Q1335" i="2"/>
  <c r="Q1334" i="2"/>
  <c r="R1334" i="2" s="1"/>
  <c r="R1333" i="2"/>
  <c r="Q1333" i="2"/>
  <c r="Q1332" i="2"/>
  <c r="R1332" i="2" s="1"/>
  <c r="R1331" i="2"/>
  <c r="Q1331" i="2"/>
  <c r="Q1330" i="2"/>
  <c r="R1330" i="2" s="1"/>
  <c r="R1329" i="2"/>
  <c r="Q1329" i="2"/>
  <c r="Q1328" i="2"/>
  <c r="R1328" i="2" s="1"/>
  <c r="Q1327" i="2"/>
  <c r="R1327" i="2" s="1"/>
  <c r="Q1326" i="2"/>
  <c r="R1326" i="2" s="1"/>
  <c r="R1325" i="2"/>
  <c r="Q1325" i="2"/>
  <c r="Q1324" i="2"/>
  <c r="R1324" i="2" s="1"/>
  <c r="R1323" i="2"/>
  <c r="Q1323" i="2"/>
  <c r="Q1322" i="2"/>
  <c r="R1322" i="2" s="1"/>
  <c r="R1321" i="2"/>
  <c r="Q1321" i="2"/>
  <c r="Q1320" i="2"/>
  <c r="R1320" i="2" s="1"/>
  <c r="R1319" i="2"/>
  <c r="Q1319" i="2"/>
  <c r="Q1318" i="2"/>
  <c r="R1318" i="2" s="1"/>
  <c r="R1317" i="2"/>
  <c r="Q1317" i="2"/>
  <c r="Q1316" i="2"/>
  <c r="R1316" i="2" s="1"/>
  <c r="R1315" i="2"/>
  <c r="Q1315" i="2"/>
  <c r="Q1314" i="2"/>
  <c r="R1314" i="2" s="1"/>
  <c r="R1313" i="2"/>
  <c r="Q1313" i="2"/>
  <c r="Q1312" i="2"/>
  <c r="R1312" i="2" s="1"/>
  <c r="Q1311" i="2"/>
  <c r="R1311" i="2" s="1"/>
  <c r="Q1310" i="2"/>
  <c r="R1310" i="2" s="1"/>
  <c r="R1309" i="2"/>
  <c r="Q1309" i="2"/>
  <c r="Q1308" i="2"/>
  <c r="R1308" i="2" s="1"/>
  <c r="R1307" i="2"/>
  <c r="Q1307" i="2"/>
  <c r="Q1306" i="2"/>
  <c r="R1306" i="2" s="1"/>
  <c r="R1305" i="2"/>
  <c r="Q1305" i="2"/>
  <c r="Q1304" i="2"/>
  <c r="R1304" i="2" s="1"/>
  <c r="R1303" i="2"/>
  <c r="Q1303" i="2"/>
  <c r="Q1302" i="2"/>
  <c r="R1302" i="2" s="1"/>
  <c r="R1301" i="2"/>
  <c r="Q1301" i="2"/>
  <c r="Q1300" i="2"/>
  <c r="R1300" i="2" s="1"/>
  <c r="R1299" i="2"/>
  <c r="Q1299" i="2"/>
  <c r="Q1298" i="2"/>
  <c r="R1298" i="2" s="1"/>
  <c r="R1297" i="2"/>
  <c r="Q1297" i="2"/>
  <c r="Q1296" i="2"/>
  <c r="R1296" i="2" s="1"/>
  <c r="Q1295" i="2"/>
  <c r="R1295" i="2" s="1"/>
  <c r="Q1294" i="2"/>
  <c r="R1294" i="2" s="1"/>
  <c r="R1293" i="2"/>
  <c r="Q1293" i="2"/>
  <c r="Q1292" i="2"/>
  <c r="R1292" i="2" s="1"/>
  <c r="R1291" i="2"/>
  <c r="Q1291" i="2"/>
  <c r="Q1290" i="2"/>
  <c r="R1290" i="2" s="1"/>
  <c r="R1289" i="2"/>
  <c r="Q1289" i="2"/>
  <c r="Q1288" i="2"/>
  <c r="R1288" i="2" s="1"/>
  <c r="R1287" i="2"/>
  <c r="Q1287" i="2"/>
  <c r="Q1286" i="2"/>
  <c r="R1286" i="2" s="1"/>
  <c r="Q1285" i="2"/>
  <c r="R1285" i="2" s="1"/>
  <c r="Q1284" i="2"/>
  <c r="R1284" i="2" s="1"/>
  <c r="R1283" i="2"/>
  <c r="Q1283" i="2"/>
  <c r="Q1282" i="2"/>
  <c r="R1282" i="2" s="1"/>
  <c r="R1281" i="2"/>
  <c r="Q1281" i="2"/>
  <c r="Q1280" i="2"/>
  <c r="R1280" i="2" s="1"/>
  <c r="Q1279" i="2"/>
  <c r="R1279" i="2" s="1"/>
  <c r="Q1278" i="2"/>
  <c r="R1278" i="2" s="1"/>
  <c r="Q1277" i="2"/>
  <c r="R1277" i="2" s="1"/>
  <c r="Q1276" i="2"/>
  <c r="R1276" i="2" s="1"/>
  <c r="R1275" i="2"/>
  <c r="Q1275" i="2"/>
  <c r="Q1274" i="2"/>
  <c r="R1274" i="2" s="1"/>
  <c r="R1273" i="2"/>
  <c r="Q1273" i="2"/>
  <c r="Q1272" i="2"/>
  <c r="R1272" i="2" s="1"/>
  <c r="R1271" i="2"/>
  <c r="Q1271" i="2"/>
  <c r="Q1270" i="2"/>
  <c r="R1270" i="2" s="1"/>
  <c r="Q1269" i="2"/>
  <c r="R1269" i="2" s="1"/>
  <c r="Q1268" i="2"/>
  <c r="R1268" i="2" s="1"/>
  <c r="R1267" i="2"/>
  <c r="Q1267" i="2"/>
  <c r="Q1266" i="2"/>
  <c r="R1266" i="2" s="1"/>
  <c r="R1265" i="2"/>
  <c r="Q1265" i="2"/>
  <c r="Q1264" i="2"/>
  <c r="R1264" i="2" s="1"/>
  <c r="Q1263" i="2"/>
  <c r="R1263" i="2" s="1"/>
  <c r="Q1262" i="2"/>
  <c r="R1262" i="2" s="1"/>
  <c r="R1261" i="2"/>
  <c r="Q1261" i="2"/>
  <c r="Q1260" i="2"/>
  <c r="R1260" i="2" s="1"/>
  <c r="R1259" i="2"/>
  <c r="Q1259" i="2"/>
  <c r="Q1258" i="2"/>
  <c r="R1258" i="2" s="1"/>
  <c r="R1257" i="2"/>
  <c r="Q1257" i="2"/>
  <c r="Q1256" i="2"/>
  <c r="R1256" i="2" s="1"/>
  <c r="R1255" i="2"/>
  <c r="Q1255" i="2"/>
  <c r="Q1254" i="2"/>
  <c r="R1254" i="2" s="1"/>
  <c r="Q1253" i="2"/>
  <c r="R1253" i="2" s="1"/>
  <c r="Q1252" i="2"/>
  <c r="R1252" i="2" s="1"/>
  <c r="R1251" i="2"/>
  <c r="Q1251" i="2"/>
  <c r="Q1250" i="2"/>
  <c r="R1250" i="2" s="1"/>
  <c r="R1249" i="2"/>
  <c r="Q1249" i="2"/>
  <c r="Q1248" i="2"/>
  <c r="R1248" i="2" s="1"/>
  <c r="Q1247" i="2"/>
  <c r="R1247" i="2" s="1"/>
  <c r="Q1246" i="2"/>
  <c r="R1246" i="2" s="1"/>
  <c r="Q1245" i="2"/>
  <c r="R1245" i="2" s="1"/>
  <c r="Q1244" i="2"/>
  <c r="R1244" i="2" s="1"/>
  <c r="R1243" i="2"/>
  <c r="Q1243" i="2"/>
  <c r="Q1242" i="2"/>
  <c r="R1242" i="2" s="1"/>
  <c r="R1241" i="2"/>
  <c r="Q1241" i="2"/>
  <c r="Q1240" i="2"/>
  <c r="R1240" i="2" s="1"/>
  <c r="R1239" i="2"/>
  <c r="Q1239" i="2"/>
  <c r="Q1238" i="2"/>
  <c r="R1238" i="2" s="1"/>
  <c r="Q1237" i="2"/>
  <c r="R1237" i="2" s="1"/>
  <c r="Q1236" i="2"/>
  <c r="R1236" i="2" s="1"/>
  <c r="R1235" i="2"/>
  <c r="Q1235" i="2"/>
  <c r="Q1234" i="2"/>
  <c r="R1234" i="2" s="1"/>
  <c r="R1233" i="2"/>
  <c r="Q1233" i="2"/>
  <c r="Q1232" i="2"/>
  <c r="R1232" i="2" s="1"/>
  <c r="Q1231" i="2"/>
  <c r="R1231" i="2" s="1"/>
  <c r="Q1230" i="2"/>
  <c r="R1230" i="2" s="1"/>
  <c r="R1229" i="2"/>
  <c r="Q1229" i="2"/>
  <c r="Q1228" i="2"/>
  <c r="R1228" i="2" s="1"/>
  <c r="R1227" i="2"/>
  <c r="Q1227" i="2"/>
  <c r="Q1226" i="2"/>
  <c r="R1226" i="2" s="1"/>
  <c r="R1225" i="2"/>
  <c r="Q1225" i="2"/>
  <c r="Q1224" i="2"/>
  <c r="R1224" i="2" s="1"/>
  <c r="R1223" i="2"/>
  <c r="Q1223" i="2"/>
  <c r="Q1222" i="2"/>
  <c r="R1222" i="2" s="1"/>
  <c r="Q1221" i="2"/>
  <c r="R1221" i="2" s="1"/>
  <c r="Q1220" i="2"/>
  <c r="R1220" i="2" s="1"/>
  <c r="R1219" i="2"/>
  <c r="Q1219" i="2"/>
  <c r="Q1218" i="2"/>
  <c r="R1218" i="2" s="1"/>
  <c r="R1217" i="2"/>
  <c r="Q1217" i="2"/>
  <c r="Q1216" i="2"/>
  <c r="R1216" i="2" s="1"/>
  <c r="Q1215" i="2"/>
  <c r="R1215" i="2" s="1"/>
  <c r="Q1214" i="2"/>
  <c r="R1214" i="2" s="1"/>
  <c r="Q1213" i="2"/>
  <c r="R1213" i="2" s="1"/>
  <c r="Q1212" i="2"/>
  <c r="R1212" i="2" s="1"/>
  <c r="R1211" i="2"/>
  <c r="Q1211" i="2"/>
  <c r="Q1210" i="2"/>
  <c r="R1210" i="2" s="1"/>
  <c r="R1209" i="2"/>
  <c r="Q1209" i="2"/>
  <c r="Q1208" i="2"/>
  <c r="R1208" i="2" s="1"/>
  <c r="R1207" i="2"/>
  <c r="Q1207" i="2"/>
  <c r="Q1206" i="2"/>
  <c r="R1206" i="2" s="1"/>
  <c r="Q1205" i="2"/>
  <c r="R1205" i="2" s="1"/>
  <c r="Q1204" i="2"/>
  <c r="R1204" i="2" s="1"/>
  <c r="R1203" i="2"/>
  <c r="Q1203" i="2"/>
  <c r="Q1202" i="2"/>
  <c r="R1202" i="2" s="1"/>
  <c r="R1201" i="2"/>
  <c r="Q1201" i="2"/>
  <c r="Q1200" i="2"/>
  <c r="R1200" i="2" s="1"/>
  <c r="Q1199" i="2"/>
  <c r="R1199" i="2" s="1"/>
  <c r="Q1198" i="2"/>
  <c r="R1198" i="2" s="1"/>
  <c r="R1197" i="2"/>
  <c r="Q1197" i="2"/>
  <c r="Q1196" i="2"/>
  <c r="R1196" i="2" s="1"/>
  <c r="R1195" i="2"/>
  <c r="Q1195" i="2"/>
  <c r="Q1194" i="2"/>
  <c r="R1194" i="2" s="1"/>
  <c r="R1193" i="2"/>
  <c r="Q1193" i="2"/>
  <c r="Q1192" i="2"/>
  <c r="R1192" i="2" s="1"/>
  <c r="R1191" i="2"/>
  <c r="Q1191" i="2"/>
  <c r="Q1190" i="2"/>
  <c r="R1190" i="2" s="1"/>
  <c r="Q1189" i="2"/>
  <c r="R1189" i="2" s="1"/>
  <c r="Q1188" i="2"/>
  <c r="R1188" i="2" s="1"/>
  <c r="R1187" i="2"/>
  <c r="Q1187" i="2"/>
  <c r="Q1186" i="2"/>
  <c r="R1186" i="2" s="1"/>
  <c r="R1185" i="2"/>
  <c r="Q1185" i="2"/>
  <c r="Q1184" i="2"/>
  <c r="R1184" i="2" s="1"/>
  <c r="Q1183" i="2"/>
  <c r="R1183" i="2" s="1"/>
  <c r="Q1182" i="2"/>
  <c r="R1182" i="2" s="1"/>
  <c r="Q1181" i="2"/>
  <c r="R1181" i="2" s="1"/>
  <c r="Q1180" i="2"/>
  <c r="R1180" i="2" s="1"/>
  <c r="R1179" i="2"/>
  <c r="Q1179" i="2"/>
  <c r="Q1178" i="2"/>
  <c r="R1178" i="2" s="1"/>
  <c r="R1177" i="2"/>
  <c r="Q1177" i="2"/>
  <c r="Q1176" i="2"/>
  <c r="R1176" i="2" s="1"/>
  <c r="R1175" i="2"/>
  <c r="Q1175" i="2"/>
  <c r="Q1174" i="2"/>
  <c r="R1174" i="2" s="1"/>
  <c r="Q1173" i="2"/>
  <c r="R1173" i="2" s="1"/>
  <c r="Q1172" i="2"/>
  <c r="R1172" i="2" s="1"/>
  <c r="R1171" i="2"/>
  <c r="Q1171" i="2"/>
  <c r="Q1170" i="2"/>
  <c r="R1170" i="2" s="1"/>
  <c r="R1169" i="2"/>
  <c r="Q1169" i="2"/>
  <c r="Q1168" i="2"/>
  <c r="R1168" i="2" s="1"/>
  <c r="Q1167" i="2"/>
  <c r="R1167" i="2" s="1"/>
  <c r="Q1166" i="2"/>
  <c r="R1166" i="2" s="1"/>
  <c r="R1165" i="2"/>
  <c r="Q1165" i="2"/>
  <c r="Q1164" i="2"/>
  <c r="R1164" i="2" s="1"/>
  <c r="R1163" i="2"/>
  <c r="Q1163" i="2"/>
  <c r="Q1162" i="2"/>
  <c r="R1162" i="2" s="1"/>
  <c r="R1161" i="2"/>
  <c r="Q1161" i="2"/>
  <c r="Q1160" i="2"/>
  <c r="R1160" i="2" s="1"/>
  <c r="R1159" i="2"/>
  <c r="Q1159" i="2"/>
  <c r="Q1158" i="2"/>
  <c r="R1158" i="2" s="1"/>
  <c r="Q1157" i="2"/>
  <c r="R1157" i="2" s="1"/>
  <c r="Q1156" i="2"/>
  <c r="R1156" i="2" s="1"/>
  <c r="R1155" i="2"/>
  <c r="Q1155" i="2"/>
  <c r="Q1154" i="2"/>
  <c r="R1154" i="2" s="1"/>
  <c r="R1153" i="2"/>
  <c r="Q1153" i="2"/>
  <c r="Q1152" i="2"/>
  <c r="R1152" i="2" s="1"/>
  <c r="Q1151" i="2"/>
  <c r="R1151" i="2" s="1"/>
  <c r="Q1150" i="2"/>
  <c r="R1150" i="2" s="1"/>
  <c r="Q1149" i="2"/>
  <c r="R1149" i="2" s="1"/>
  <c r="Q1148" i="2"/>
  <c r="R1148" i="2" s="1"/>
  <c r="R1147" i="2"/>
  <c r="Q1147" i="2"/>
  <c r="Q1146" i="2"/>
  <c r="R1146" i="2" s="1"/>
  <c r="Q1145" i="2"/>
  <c r="R1145" i="2" s="1"/>
  <c r="Q1144" i="2"/>
  <c r="R1144" i="2" s="1"/>
  <c r="R1143" i="2"/>
  <c r="Q1143" i="2"/>
  <c r="Q1142" i="2"/>
  <c r="R1142" i="2" s="1"/>
  <c r="Q1141" i="2"/>
  <c r="R1141" i="2" s="1"/>
  <c r="Q1140" i="2"/>
  <c r="R1140" i="2" s="1"/>
  <c r="R1139" i="2"/>
  <c r="Q1139" i="2"/>
  <c r="Q1138" i="2"/>
  <c r="R1138" i="2" s="1"/>
  <c r="Q1137" i="2"/>
  <c r="R1137" i="2" s="1"/>
  <c r="Q1136" i="2"/>
  <c r="R1136" i="2" s="1"/>
  <c r="Q1135" i="2"/>
  <c r="R1135" i="2" s="1"/>
  <c r="Q1134" i="2"/>
  <c r="R1134" i="2" s="1"/>
  <c r="R1133" i="2"/>
  <c r="Q1133" i="2"/>
  <c r="Q1132" i="2"/>
  <c r="R1132" i="2" s="1"/>
  <c r="R1131" i="2"/>
  <c r="Q1131" i="2"/>
  <c r="Q1130" i="2"/>
  <c r="R1130" i="2" s="1"/>
  <c r="R1129" i="2"/>
  <c r="Q1129" i="2"/>
  <c r="Q1128" i="2"/>
  <c r="R1128" i="2" s="1"/>
  <c r="R1127" i="2"/>
  <c r="Q1127" i="2"/>
  <c r="Q1126" i="2"/>
  <c r="R1126" i="2" s="1"/>
  <c r="Q1125" i="2"/>
  <c r="R1125" i="2" s="1"/>
  <c r="Q1124" i="2"/>
  <c r="R1124" i="2" s="1"/>
  <c r="R1123" i="2"/>
  <c r="Q1123" i="2"/>
  <c r="Q1122" i="2"/>
  <c r="R1122" i="2" s="1"/>
  <c r="Q1121" i="2"/>
  <c r="R1121" i="2" s="1"/>
  <c r="Q1120" i="2"/>
  <c r="R1120" i="2" s="1"/>
  <c r="Q1119" i="2"/>
  <c r="R1119" i="2" s="1"/>
  <c r="Q1118" i="2"/>
  <c r="R1118" i="2" s="1"/>
  <c r="Q1117" i="2"/>
  <c r="R1117" i="2" s="1"/>
  <c r="Q1116" i="2"/>
  <c r="R1116" i="2" s="1"/>
  <c r="R1115" i="2"/>
  <c r="Q1115" i="2"/>
  <c r="Q1114" i="2"/>
  <c r="R1114" i="2" s="1"/>
  <c r="Q1113" i="2"/>
  <c r="R1113" i="2" s="1"/>
  <c r="Q1112" i="2"/>
  <c r="R1112" i="2" s="1"/>
  <c r="R1111" i="2"/>
  <c r="Q1111" i="2"/>
  <c r="Q1110" i="2"/>
  <c r="R1110" i="2" s="1"/>
  <c r="Q1109" i="2"/>
  <c r="R1109" i="2" s="1"/>
  <c r="Q1108" i="2"/>
  <c r="R1108" i="2" s="1"/>
  <c r="R1107" i="2"/>
  <c r="Q1107" i="2"/>
  <c r="Q1106" i="2"/>
  <c r="R1106" i="2" s="1"/>
  <c r="Q1105" i="2"/>
  <c r="R1105" i="2" s="1"/>
  <c r="Q1104" i="2"/>
  <c r="R1104" i="2" s="1"/>
  <c r="Q1103" i="2"/>
  <c r="R1103" i="2" s="1"/>
  <c r="Q1102" i="2"/>
  <c r="R1102" i="2" s="1"/>
  <c r="R1101" i="2"/>
  <c r="Q1101" i="2"/>
  <c r="Q1100" i="2"/>
  <c r="R1100" i="2" s="1"/>
  <c r="R1099" i="2"/>
  <c r="Q1099" i="2"/>
  <c r="Q1098" i="2"/>
  <c r="R1098" i="2" s="1"/>
  <c r="R1097" i="2"/>
  <c r="Q1097" i="2"/>
  <c r="Q1096" i="2"/>
  <c r="R1096" i="2" s="1"/>
  <c r="R1095" i="2"/>
  <c r="Q1095" i="2"/>
  <c r="Q1094" i="2"/>
  <c r="R1094" i="2" s="1"/>
  <c r="Q1093" i="2"/>
  <c r="R1093" i="2" s="1"/>
  <c r="Q1092" i="2"/>
  <c r="R1092" i="2" s="1"/>
  <c r="R1091" i="2"/>
  <c r="Q1091" i="2"/>
  <c r="Q1090" i="2"/>
  <c r="R1090" i="2" s="1"/>
  <c r="Q1089" i="2"/>
  <c r="R1089" i="2" s="1"/>
  <c r="Q1088" i="2"/>
  <c r="R1088" i="2" s="1"/>
  <c r="Q1087" i="2"/>
  <c r="R1087" i="2" s="1"/>
  <c r="Q1086" i="2"/>
  <c r="R1086" i="2" s="1"/>
  <c r="Q1085" i="2"/>
  <c r="R1085" i="2" s="1"/>
  <c r="Q1084" i="2"/>
  <c r="R1084" i="2" s="1"/>
  <c r="R1083" i="2"/>
  <c r="Q1083" i="2"/>
  <c r="Q1082" i="2"/>
  <c r="R1082" i="2" s="1"/>
  <c r="Q1081" i="2"/>
  <c r="R1081" i="2" s="1"/>
  <c r="Q1080" i="2"/>
  <c r="R1080" i="2" s="1"/>
  <c r="R1079" i="2"/>
  <c r="Q1079" i="2"/>
  <c r="Q1078" i="2"/>
  <c r="R1078" i="2" s="1"/>
  <c r="Q1077" i="2"/>
  <c r="R1077" i="2" s="1"/>
  <c r="Q1076" i="2"/>
  <c r="R1076" i="2" s="1"/>
  <c r="R1075" i="2"/>
  <c r="Q1075" i="2"/>
  <c r="Q1074" i="2"/>
  <c r="R1074" i="2" s="1"/>
  <c r="Q1073" i="2"/>
  <c r="R1073" i="2" s="1"/>
  <c r="Q1072" i="2"/>
  <c r="R1072" i="2" s="1"/>
  <c r="Q1071" i="2"/>
  <c r="R1071" i="2" s="1"/>
  <c r="Q1070" i="2"/>
  <c r="R1070" i="2" s="1"/>
  <c r="R1069" i="2"/>
  <c r="Q1069" i="2"/>
  <c r="Q1068" i="2"/>
  <c r="R1068" i="2" s="1"/>
  <c r="R1067" i="2"/>
  <c r="Q1067" i="2"/>
  <c r="Q1066" i="2"/>
  <c r="R1066" i="2" s="1"/>
  <c r="R1065" i="2"/>
  <c r="Q1065" i="2"/>
  <c r="Q1064" i="2"/>
  <c r="R1064" i="2" s="1"/>
  <c r="R1063" i="2"/>
  <c r="Q1063" i="2"/>
  <c r="Q1062" i="2"/>
  <c r="R1062" i="2" s="1"/>
  <c r="Q1061" i="2"/>
  <c r="R1061" i="2" s="1"/>
  <c r="Q1060" i="2"/>
  <c r="R1060" i="2" s="1"/>
  <c r="R1059" i="2"/>
  <c r="Q1059" i="2"/>
  <c r="Q1058" i="2"/>
  <c r="R1058" i="2" s="1"/>
  <c r="Q1057" i="2"/>
  <c r="R1057" i="2" s="1"/>
  <c r="Q1056" i="2"/>
  <c r="R1056" i="2" s="1"/>
  <c r="Q1055" i="2"/>
  <c r="R1055" i="2" s="1"/>
  <c r="Q1054" i="2"/>
  <c r="R1054" i="2" s="1"/>
  <c r="Q1053" i="2"/>
  <c r="R1053" i="2" s="1"/>
  <c r="Q1052" i="2"/>
  <c r="R1052" i="2" s="1"/>
  <c r="R1051" i="2"/>
  <c r="Q1051" i="2"/>
  <c r="Q1050" i="2"/>
  <c r="R1050" i="2" s="1"/>
  <c r="Q1049" i="2"/>
  <c r="R1049" i="2" s="1"/>
  <c r="Q1048" i="2"/>
  <c r="R1048" i="2" s="1"/>
  <c r="R1047" i="2"/>
  <c r="Q1047" i="2"/>
  <c r="Q1046" i="2"/>
  <c r="R1046" i="2" s="1"/>
  <c r="Q1045" i="2"/>
  <c r="R1045" i="2" s="1"/>
  <c r="Q1044" i="2"/>
  <c r="R1044" i="2" s="1"/>
  <c r="R1043" i="2"/>
  <c r="Q1043" i="2"/>
  <c r="Q1042" i="2"/>
  <c r="R1042" i="2" s="1"/>
  <c r="Q1041" i="2"/>
  <c r="R1041" i="2" s="1"/>
  <c r="Q1040" i="2"/>
  <c r="R1040" i="2" s="1"/>
  <c r="Q1039" i="2"/>
  <c r="R1039" i="2" s="1"/>
  <c r="Q1038" i="2"/>
  <c r="R1038" i="2" s="1"/>
  <c r="R1037" i="2"/>
  <c r="Q1037" i="2"/>
  <c r="Q1036" i="2"/>
  <c r="R1036" i="2" s="1"/>
  <c r="R1035" i="2"/>
  <c r="Q1035" i="2"/>
  <c r="Q1034" i="2"/>
  <c r="R1034" i="2" s="1"/>
  <c r="R1033" i="2"/>
  <c r="Q1033" i="2"/>
  <c r="Q1032" i="2"/>
  <c r="R1032" i="2" s="1"/>
  <c r="R1031" i="2"/>
  <c r="Q1031" i="2"/>
  <c r="Q1030" i="2"/>
  <c r="R1030" i="2" s="1"/>
  <c r="Q1029" i="2"/>
  <c r="R1029" i="2" s="1"/>
  <c r="Q1028" i="2"/>
  <c r="R1028" i="2" s="1"/>
  <c r="R1027" i="2"/>
  <c r="Q1027" i="2"/>
  <c r="Q1026" i="2"/>
  <c r="R1026" i="2" s="1"/>
  <c r="Q1025" i="2"/>
  <c r="R1025" i="2" s="1"/>
  <c r="Q1024" i="2"/>
  <c r="R1024" i="2" s="1"/>
  <c r="Q1023" i="2"/>
  <c r="R1023" i="2" s="1"/>
  <c r="Q1022" i="2"/>
  <c r="R1022" i="2" s="1"/>
  <c r="Q1021" i="2"/>
  <c r="R1021" i="2" s="1"/>
  <c r="Q1020" i="2"/>
  <c r="R1020" i="2" s="1"/>
  <c r="R1019" i="2"/>
  <c r="Q1019" i="2"/>
  <c r="Q1018" i="2"/>
  <c r="R1018" i="2" s="1"/>
  <c r="Q1017" i="2"/>
  <c r="R1017" i="2" s="1"/>
  <c r="Q1016" i="2"/>
  <c r="R1016" i="2" s="1"/>
  <c r="R1015" i="2"/>
  <c r="Q1015" i="2"/>
  <c r="Q1014" i="2"/>
  <c r="R1014" i="2" s="1"/>
  <c r="Q1013" i="2"/>
  <c r="R1013" i="2" s="1"/>
  <c r="Q1012" i="2"/>
  <c r="R1012" i="2" s="1"/>
  <c r="R1011" i="2"/>
  <c r="Q1011" i="2"/>
  <c r="Q1010" i="2"/>
  <c r="R1010" i="2" s="1"/>
  <c r="Q1009" i="2"/>
  <c r="R1009" i="2" s="1"/>
  <c r="Q1008" i="2"/>
  <c r="R1008" i="2" s="1"/>
  <c r="Q1007" i="2"/>
  <c r="R1007" i="2" s="1"/>
  <c r="Q1006" i="2"/>
  <c r="R1006" i="2" s="1"/>
  <c r="R1005" i="2"/>
  <c r="Q1005" i="2"/>
  <c r="Q1004" i="2"/>
  <c r="R1004" i="2" s="1"/>
  <c r="R1003" i="2"/>
  <c r="Q1003" i="2"/>
  <c r="Q1002" i="2"/>
  <c r="R1002" i="2" s="1"/>
  <c r="R1001" i="2"/>
  <c r="Q1001" i="2"/>
  <c r="Q1000" i="2"/>
  <c r="R1000" i="2" s="1"/>
  <c r="R999" i="2"/>
  <c r="Q999" i="2"/>
  <c r="Q998" i="2"/>
  <c r="R998" i="2" s="1"/>
  <c r="Q997" i="2"/>
  <c r="R997" i="2" s="1"/>
  <c r="Q996" i="2"/>
  <c r="R996" i="2" s="1"/>
  <c r="R995" i="2"/>
  <c r="Q995" i="2"/>
  <c r="Q994" i="2"/>
  <c r="R994" i="2" s="1"/>
  <c r="Q993" i="2"/>
  <c r="R993" i="2" s="1"/>
  <c r="Q992" i="2"/>
  <c r="R992" i="2" s="1"/>
  <c r="Q991" i="2"/>
  <c r="R991" i="2" s="1"/>
  <c r="Q990" i="2"/>
  <c r="R990" i="2" s="1"/>
  <c r="Q989" i="2"/>
  <c r="R989" i="2" s="1"/>
  <c r="Q988" i="2"/>
  <c r="R988" i="2" s="1"/>
  <c r="R987" i="2"/>
  <c r="Q987" i="2"/>
  <c r="Q986" i="2"/>
  <c r="R986" i="2" s="1"/>
  <c r="Q985" i="2"/>
  <c r="R985" i="2" s="1"/>
  <c r="Q984" i="2"/>
  <c r="R984" i="2" s="1"/>
  <c r="R983" i="2"/>
  <c r="Q983" i="2"/>
  <c r="Q982" i="2"/>
  <c r="R982" i="2" s="1"/>
  <c r="Q981" i="2"/>
  <c r="R981" i="2" s="1"/>
  <c r="Q980" i="2"/>
  <c r="R980" i="2" s="1"/>
  <c r="R979" i="2"/>
  <c r="Q979" i="2"/>
  <c r="Q978" i="2"/>
  <c r="R978" i="2" s="1"/>
  <c r="Q977" i="2"/>
  <c r="R977" i="2" s="1"/>
  <c r="Q976" i="2"/>
  <c r="R976" i="2" s="1"/>
  <c r="Q975" i="2"/>
  <c r="R975" i="2" s="1"/>
  <c r="Q974" i="2"/>
  <c r="R974" i="2" s="1"/>
  <c r="R973" i="2"/>
  <c r="Q973" i="2"/>
  <c r="Q972" i="2"/>
  <c r="R972" i="2" s="1"/>
  <c r="R971" i="2"/>
  <c r="Q971" i="2"/>
  <c r="Q970" i="2"/>
  <c r="R970" i="2" s="1"/>
  <c r="R969" i="2"/>
  <c r="Q969" i="2"/>
  <c r="Q968" i="2"/>
  <c r="R968" i="2" s="1"/>
  <c r="R967" i="2"/>
  <c r="Q967" i="2"/>
  <c r="Q966" i="2"/>
  <c r="R966" i="2" s="1"/>
  <c r="Q965" i="2"/>
  <c r="R965" i="2" s="1"/>
  <c r="Q964" i="2"/>
  <c r="R964" i="2" s="1"/>
  <c r="R963" i="2"/>
  <c r="Q963" i="2"/>
  <c r="Q962" i="2"/>
  <c r="R962" i="2" s="1"/>
  <c r="Q961" i="2"/>
  <c r="R961" i="2" s="1"/>
  <c r="Q960" i="2"/>
  <c r="R960" i="2" s="1"/>
  <c r="Q959" i="2"/>
  <c r="R959" i="2" s="1"/>
  <c r="Q958" i="2"/>
  <c r="R958" i="2" s="1"/>
  <c r="Q957" i="2"/>
  <c r="R957" i="2" s="1"/>
  <c r="Q956" i="2"/>
  <c r="R956" i="2" s="1"/>
  <c r="R955" i="2"/>
  <c r="Q955" i="2"/>
  <c r="Q954" i="2"/>
  <c r="R954" i="2" s="1"/>
  <c r="Q953" i="2"/>
  <c r="R953" i="2" s="1"/>
  <c r="Q952" i="2"/>
  <c r="R952" i="2" s="1"/>
  <c r="R951" i="2"/>
  <c r="Q951" i="2"/>
  <c r="Q950" i="2"/>
  <c r="R950" i="2" s="1"/>
  <c r="Q949" i="2"/>
  <c r="R949" i="2" s="1"/>
  <c r="Q948" i="2"/>
  <c r="R948" i="2" s="1"/>
  <c r="R947" i="2"/>
  <c r="Q947" i="2"/>
  <c r="Q946" i="2"/>
  <c r="R946" i="2" s="1"/>
  <c r="Q945" i="2"/>
  <c r="R945" i="2" s="1"/>
  <c r="Q944" i="2"/>
  <c r="R944" i="2" s="1"/>
  <c r="Q943" i="2"/>
  <c r="R943" i="2" s="1"/>
  <c r="Q942" i="2"/>
  <c r="R942" i="2" s="1"/>
  <c r="R941" i="2"/>
  <c r="Q941" i="2"/>
  <c r="Q940" i="2"/>
  <c r="R940" i="2" s="1"/>
  <c r="R939" i="2"/>
  <c r="Q939" i="2"/>
  <c r="Q938" i="2"/>
  <c r="R938" i="2" s="1"/>
  <c r="R937" i="2"/>
  <c r="Q937" i="2"/>
  <c r="Q936" i="2"/>
  <c r="R936" i="2" s="1"/>
  <c r="R935" i="2"/>
  <c r="Q935" i="2"/>
  <c r="Q934" i="2"/>
  <c r="R934" i="2" s="1"/>
  <c r="Q933" i="2"/>
  <c r="R933" i="2" s="1"/>
  <c r="Q932" i="2"/>
  <c r="R932" i="2" s="1"/>
  <c r="R931" i="2"/>
  <c r="Q931" i="2"/>
  <c r="Q930" i="2"/>
  <c r="R930" i="2" s="1"/>
  <c r="Q929" i="2"/>
  <c r="R929" i="2" s="1"/>
  <c r="Q928" i="2"/>
  <c r="R928" i="2" s="1"/>
  <c r="Q927" i="2"/>
  <c r="R927" i="2" s="1"/>
  <c r="Q926" i="2"/>
  <c r="R926" i="2" s="1"/>
  <c r="Q925" i="2"/>
  <c r="R925" i="2" s="1"/>
  <c r="Q924" i="2"/>
  <c r="R924" i="2" s="1"/>
  <c r="R923" i="2"/>
  <c r="Q923" i="2"/>
  <c r="Q922" i="2"/>
  <c r="R922" i="2" s="1"/>
  <c r="Q921" i="2"/>
  <c r="R921" i="2" s="1"/>
  <c r="Q920" i="2"/>
  <c r="R920" i="2" s="1"/>
  <c r="R919" i="2"/>
  <c r="Q919" i="2"/>
  <c r="Q918" i="2"/>
  <c r="R918" i="2" s="1"/>
  <c r="Q917" i="2"/>
  <c r="R917" i="2" s="1"/>
  <c r="Q916" i="2"/>
  <c r="R916" i="2" s="1"/>
  <c r="R915" i="2"/>
  <c r="Q915" i="2"/>
  <c r="Q914" i="2"/>
  <c r="R914" i="2" s="1"/>
  <c r="Q913" i="2"/>
  <c r="R913" i="2" s="1"/>
  <c r="Q912" i="2"/>
  <c r="R912" i="2" s="1"/>
  <c r="Q911" i="2"/>
  <c r="R911" i="2" s="1"/>
  <c r="Q910" i="2"/>
  <c r="R910" i="2" s="1"/>
  <c r="R909" i="2"/>
  <c r="Q909" i="2"/>
  <c r="Q908" i="2"/>
  <c r="R908" i="2" s="1"/>
  <c r="R907" i="2"/>
  <c r="Q907" i="2"/>
  <c r="Q906" i="2"/>
  <c r="R906" i="2" s="1"/>
  <c r="R905" i="2"/>
  <c r="Q905" i="2"/>
  <c r="Q904" i="2"/>
  <c r="R904" i="2" s="1"/>
  <c r="R903" i="2"/>
  <c r="Q903" i="2"/>
  <c r="Q902" i="2"/>
  <c r="R902" i="2" s="1"/>
  <c r="Q901" i="2"/>
  <c r="R901" i="2" s="1"/>
  <c r="Q900" i="2"/>
  <c r="R900" i="2" s="1"/>
  <c r="R899" i="2"/>
  <c r="Q899" i="2"/>
  <c r="Q898" i="2"/>
  <c r="R898" i="2" s="1"/>
  <c r="Q897" i="2"/>
  <c r="R897" i="2" s="1"/>
  <c r="Q896" i="2"/>
  <c r="R896" i="2" s="1"/>
  <c r="Q895" i="2"/>
  <c r="R895" i="2" s="1"/>
  <c r="Q894" i="2"/>
  <c r="R894" i="2" s="1"/>
  <c r="Q893" i="2"/>
  <c r="R893" i="2" s="1"/>
  <c r="Q892" i="2"/>
  <c r="R892" i="2" s="1"/>
  <c r="R891" i="2"/>
  <c r="Q891" i="2"/>
  <c r="Q890" i="2"/>
  <c r="R890" i="2" s="1"/>
  <c r="Q889" i="2"/>
  <c r="R889" i="2" s="1"/>
  <c r="Q888" i="2"/>
  <c r="R888" i="2" s="1"/>
  <c r="R887" i="2"/>
  <c r="Q887" i="2"/>
  <c r="Q886" i="2"/>
  <c r="R886" i="2" s="1"/>
  <c r="Q885" i="2"/>
  <c r="R885" i="2" s="1"/>
  <c r="Q884" i="2"/>
  <c r="R884" i="2" s="1"/>
  <c r="R883" i="2"/>
  <c r="Q883" i="2"/>
  <c r="Q882" i="2"/>
  <c r="R882" i="2" s="1"/>
  <c r="Q881" i="2"/>
  <c r="R881" i="2" s="1"/>
  <c r="Q880" i="2"/>
  <c r="R880" i="2" s="1"/>
  <c r="Q879" i="2"/>
  <c r="R879" i="2" s="1"/>
  <c r="Q878" i="2"/>
  <c r="R878" i="2" s="1"/>
  <c r="R877" i="2"/>
  <c r="Q877" i="2"/>
  <c r="Q876" i="2"/>
  <c r="R876" i="2" s="1"/>
  <c r="R875" i="2"/>
  <c r="Q875" i="2"/>
  <c r="Q874" i="2"/>
  <c r="R874" i="2" s="1"/>
  <c r="R873" i="2"/>
  <c r="Q873" i="2"/>
  <c r="Q872" i="2"/>
  <c r="R872" i="2" s="1"/>
  <c r="R871" i="2"/>
  <c r="Q871" i="2"/>
  <c r="Q870" i="2"/>
  <c r="R870" i="2" s="1"/>
  <c r="Q869" i="2"/>
  <c r="R869" i="2" s="1"/>
  <c r="Q868" i="2"/>
  <c r="R868" i="2" s="1"/>
  <c r="R867" i="2"/>
  <c r="Q867" i="2"/>
  <c r="Q866" i="2"/>
  <c r="R866" i="2" s="1"/>
  <c r="Q865" i="2"/>
  <c r="R865" i="2" s="1"/>
  <c r="Q864" i="2"/>
  <c r="R864" i="2" s="1"/>
  <c r="Q863" i="2"/>
  <c r="R863" i="2" s="1"/>
  <c r="R862" i="2"/>
  <c r="Q862" i="2"/>
  <c r="R861" i="2"/>
  <c r="Q861" i="2"/>
  <c r="Q860" i="2"/>
  <c r="R860" i="2" s="1"/>
  <c r="Q859" i="2"/>
  <c r="R859" i="2" s="1"/>
  <c r="Q858" i="2"/>
  <c r="R858" i="2" s="1"/>
  <c r="R857" i="2"/>
  <c r="Q857" i="2"/>
  <c r="Q856" i="2"/>
  <c r="R856" i="2" s="1"/>
  <c r="Q855" i="2"/>
  <c r="R855" i="2" s="1"/>
  <c r="Q854" i="2"/>
  <c r="R854" i="2" s="1"/>
  <c r="R853" i="2"/>
  <c r="Q853" i="2"/>
  <c r="Q852" i="2"/>
  <c r="R852" i="2" s="1"/>
  <c r="R851" i="2"/>
  <c r="Q851" i="2"/>
  <c r="Q850" i="2"/>
  <c r="R850" i="2" s="1"/>
  <c r="Q849" i="2"/>
  <c r="R849" i="2" s="1"/>
  <c r="Q848" i="2"/>
  <c r="R848" i="2" s="1"/>
  <c r="R847" i="2"/>
  <c r="Q847" i="2"/>
  <c r="R846" i="2"/>
  <c r="Q846" i="2"/>
  <c r="R845" i="2"/>
  <c r="Q845" i="2"/>
  <c r="Q844" i="2"/>
  <c r="R844" i="2" s="1"/>
  <c r="R843" i="2"/>
  <c r="Q843" i="2"/>
  <c r="Q842" i="2"/>
  <c r="R842" i="2" s="1"/>
  <c r="R841" i="2"/>
  <c r="Q841" i="2"/>
  <c r="Q840" i="2"/>
  <c r="R840" i="2" s="1"/>
  <c r="Q839" i="2"/>
  <c r="R839" i="2" s="1"/>
  <c r="Q838" i="2"/>
  <c r="R838" i="2" s="1"/>
  <c r="R837" i="2"/>
  <c r="Q837" i="2"/>
  <c r="Q836" i="2"/>
  <c r="R836" i="2" s="1"/>
  <c r="R835" i="2"/>
  <c r="Q835" i="2"/>
  <c r="Q834" i="2"/>
  <c r="R834" i="2" s="1"/>
  <c r="R833" i="2"/>
  <c r="Q833" i="2"/>
  <c r="Q832" i="2"/>
  <c r="R832" i="2" s="1"/>
  <c r="R831" i="2"/>
  <c r="Q831" i="2"/>
  <c r="R830" i="2"/>
  <c r="Q830" i="2"/>
  <c r="Q829" i="2"/>
  <c r="R829" i="2" s="1"/>
  <c r="Q828" i="2"/>
  <c r="R828" i="2" s="1"/>
  <c r="R827" i="2"/>
  <c r="Q827" i="2"/>
  <c r="Q826" i="2"/>
  <c r="R826" i="2" s="1"/>
  <c r="R825" i="2"/>
  <c r="Q825" i="2"/>
  <c r="Q824" i="2"/>
  <c r="R824" i="2" s="1"/>
  <c r="R823" i="2"/>
  <c r="Q823" i="2"/>
  <c r="Q822" i="2"/>
  <c r="R822" i="2" s="1"/>
  <c r="Q821" i="2"/>
  <c r="R821" i="2" s="1"/>
  <c r="Q820" i="2"/>
  <c r="R820" i="2" s="1"/>
  <c r="Q819" i="2"/>
  <c r="R819" i="2" s="1"/>
  <c r="Q818" i="2"/>
  <c r="R818" i="2" s="1"/>
  <c r="R817" i="2"/>
  <c r="Q817" i="2"/>
  <c r="Q816" i="2"/>
  <c r="R816" i="2" s="1"/>
  <c r="R815" i="2"/>
  <c r="Q815" i="2"/>
  <c r="Q814" i="2"/>
  <c r="R814" i="2" s="1"/>
  <c r="R813" i="2"/>
  <c r="Q813" i="2"/>
  <c r="Q812" i="2"/>
  <c r="R812" i="2" s="1"/>
  <c r="Q811" i="2"/>
  <c r="R811" i="2" s="1"/>
  <c r="Q810" i="2"/>
  <c r="R810" i="2" s="1"/>
  <c r="Q809" i="2"/>
  <c r="R809" i="2" s="1"/>
  <c r="Q808" i="2"/>
  <c r="R808" i="2" s="1"/>
  <c r="R807" i="2"/>
  <c r="Q807" i="2"/>
  <c r="Q806" i="2"/>
  <c r="R806" i="2" s="1"/>
  <c r="Q805" i="2"/>
  <c r="R805" i="2" s="1"/>
  <c r="Q804" i="2"/>
  <c r="R804" i="2" s="1"/>
  <c r="R803" i="2"/>
  <c r="Q803" i="2"/>
  <c r="Q802" i="2"/>
  <c r="R802" i="2" s="1"/>
  <c r="Q801" i="2"/>
  <c r="R801" i="2" s="1"/>
  <c r="Q800" i="2"/>
  <c r="R800" i="2" s="1"/>
  <c r="Q799" i="2"/>
  <c r="R799" i="2" s="1"/>
  <c r="R798" i="2"/>
  <c r="Q798" i="2"/>
  <c r="R797" i="2"/>
  <c r="Q797" i="2"/>
  <c r="Q796" i="2"/>
  <c r="R796" i="2" s="1"/>
  <c r="Q795" i="2"/>
  <c r="R795" i="2" s="1"/>
  <c r="Q794" i="2"/>
  <c r="R794" i="2" s="1"/>
  <c r="R793" i="2"/>
  <c r="Q793" i="2"/>
  <c r="Q792" i="2"/>
  <c r="R792" i="2" s="1"/>
  <c r="Q791" i="2"/>
  <c r="R791" i="2" s="1"/>
  <c r="Q790" i="2"/>
  <c r="R790" i="2" s="1"/>
  <c r="Q789" i="2"/>
  <c r="R789" i="2" s="1"/>
  <c r="Q788" i="2"/>
  <c r="R788" i="2" s="1"/>
  <c r="R787" i="2"/>
  <c r="Q787" i="2"/>
  <c r="Q786" i="2"/>
  <c r="R786" i="2" s="1"/>
  <c r="Q785" i="2"/>
  <c r="R785" i="2" s="1"/>
  <c r="Q784" i="2"/>
  <c r="R784" i="2" s="1"/>
  <c r="R783" i="2"/>
  <c r="Q783" i="2"/>
  <c r="R782" i="2"/>
  <c r="Q782" i="2"/>
  <c r="R781" i="2"/>
  <c r="Q781" i="2"/>
  <c r="Q780" i="2"/>
  <c r="R780" i="2" s="1"/>
  <c r="Q779" i="2"/>
  <c r="R779" i="2" s="1"/>
  <c r="Q778" i="2"/>
  <c r="R778" i="2" s="1"/>
  <c r="R777" i="2"/>
  <c r="Q777" i="2"/>
  <c r="Q776" i="2"/>
  <c r="R776" i="2" s="1"/>
  <c r="Q775" i="2"/>
  <c r="R775" i="2" s="1"/>
  <c r="R774" i="2"/>
  <c r="Q774" i="2"/>
  <c r="Q773" i="2"/>
  <c r="R773" i="2" s="1"/>
  <c r="Q772" i="2"/>
  <c r="R772" i="2" s="1"/>
  <c r="R771" i="2"/>
  <c r="Q771" i="2"/>
  <c r="Q770" i="2"/>
  <c r="R770" i="2" s="1"/>
  <c r="Q769" i="2"/>
  <c r="R769" i="2" s="1"/>
  <c r="Q768" i="2"/>
  <c r="R768" i="2" s="1"/>
  <c r="R767" i="2"/>
  <c r="Q767" i="2"/>
  <c r="R766" i="2"/>
  <c r="Q766" i="2"/>
  <c r="Q765" i="2"/>
  <c r="R765" i="2" s="1"/>
  <c r="Q764" i="2"/>
  <c r="R764" i="2" s="1"/>
  <c r="Q763" i="2"/>
  <c r="R763" i="2" s="1"/>
  <c r="Q762" i="2"/>
  <c r="R762" i="2" s="1"/>
  <c r="R761" i="2"/>
  <c r="Q761" i="2"/>
  <c r="Q760" i="2"/>
  <c r="R760" i="2" s="1"/>
  <c r="Q759" i="2"/>
  <c r="R759" i="2" s="1"/>
  <c r="R758" i="2"/>
  <c r="Q758" i="2"/>
  <c r="Q757" i="2"/>
  <c r="R757" i="2" s="1"/>
  <c r="Q756" i="2"/>
  <c r="R756" i="2" s="1"/>
  <c r="Q755" i="2"/>
  <c r="R755" i="2" s="1"/>
  <c r="Q754" i="2"/>
  <c r="R754" i="2" s="1"/>
  <c r="Q753" i="2"/>
  <c r="R753" i="2" s="1"/>
  <c r="Q752" i="2"/>
  <c r="R752" i="2" s="1"/>
  <c r="R751" i="2"/>
  <c r="Q751" i="2"/>
  <c r="Q750" i="2"/>
  <c r="R750" i="2" s="1"/>
  <c r="R749" i="2"/>
  <c r="Q749" i="2"/>
  <c r="Q748" i="2"/>
  <c r="R748" i="2" s="1"/>
  <c r="Q747" i="2"/>
  <c r="R747" i="2" s="1"/>
  <c r="Q746" i="2"/>
  <c r="R746" i="2" s="1"/>
  <c r="Q745" i="2"/>
  <c r="R745" i="2" s="1"/>
  <c r="Q744" i="2"/>
  <c r="R744" i="2" s="1"/>
  <c r="Q743" i="2"/>
  <c r="R743" i="2" s="1"/>
  <c r="Q742" i="2"/>
  <c r="R742" i="2" s="1"/>
  <c r="Q741" i="2"/>
  <c r="R741" i="2" s="1"/>
  <c r="Q740" i="2"/>
  <c r="R740" i="2" s="1"/>
  <c r="R739" i="2"/>
  <c r="Q739" i="2"/>
  <c r="Q738" i="2"/>
  <c r="R738" i="2" s="1"/>
  <c r="Q737" i="2"/>
  <c r="R737" i="2" s="1"/>
  <c r="Q736" i="2"/>
  <c r="R736" i="2" s="1"/>
  <c r="Q735" i="2"/>
  <c r="R735" i="2" s="1"/>
  <c r="R734" i="2"/>
  <c r="Q734" i="2"/>
  <c r="R733" i="2"/>
  <c r="Q733" i="2"/>
  <c r="Q732" i="2"/>
  <c r="R732" i="2" s="1"/>
  <c r="Q731" i="2"/>
  <c r="R731" i="2" s="1"/>
  <c r="Q730" i="2"/>
  <c r="R730" i="2" s="1"/>
  <c r="R729" i="2"/>
  <c r="Q729" i="2"/>
  <c r="Q728" i="2"/>
  <c r="R728" i="2" s="1"/>
  <c r="Q727" i="2"/>
  <c r="R727" i="2" s="1"/>
  <c r="Q726" i="2"/>
  <c r="R726" i="2" s="1"/>
  <c r="R725" i="2"/>
  <c r="Q725" i="2"/>
  <c r="Q724" i="2"/>
  <c r="R724" i="2" s="1"/>
  <c r="R723" i="2"/>
  <c r="Q723" i="2"/>
  <c r="Q722" i="2"/>
  <c r="R722" i="2" s="1"/>
  <c r="Q721" i="2"/>
  <c r="R721" i="2" s="1"/>
  <c r="Q720" i="2"/>
  <c r="R720" i="2" s="1"/>
  <c r="R719" i="2"/>
  <c r="Q719" i="2"/>
  <c r="R718" i="2"/>
  <c r="Q718" i="2"/>
  <c r="R717" i="2"/>
  <c r="Q717" i="2"/>
  <c r="Q716" i="2"/>
  <c r="R716" i="2" s="1"/>
  <c r="R715" i="2"/>
  <c r="Q715" i="2"/>
  <c r="Q714" i="2"/>
  <c r="R714" i="2" s="1"/>
  <c r="R713" i="2"/>
  <c r="Q713" i="2"/>
  <c r="Q712" i="2"/>
  <c r="R712" i="2" s="1"/>
  <c r="Q711" i="2"/>
  <c r="R711" i="2" s="1"/>
  <c r="Q710" i="2"/>
  <c r="R710" i="2" s="1"/>
  <c r="R709" i="2"/>
  <c r="Q709" i="2"/>
  <c r="Q708" i="2"/>
  <c r="R708" i="2" s="1"/>
  <c r="R707" i="2"/>
  <c r="Q707" i="2"/>
  <c r="Q706" i="2"/>
  <c r="R706" i="2" s="1"/>
  <c r="R705" i="2"/>
  <c r="Q705" i="2"/>
  <c r="Q704" i="2"/>
  <c r="R704" i="2" s="1"/>
  <c r="R703" i="2"/>
  <c r="Q703" i="2"/>
  <c r="R702" i="2"/>
  <c r="Q702" i="2"/>
  <c r="Q701" i="2"/>
  <c r="R701" i="2" s="1"/>
  <c r="Q700" i="2"/>
  <c r="R700" i="2" s="1"/>
  <c r="R699" i="2"/>
  <c r="Q699" i="2"/>
  <c r="Q698" i="2"/>
  <c r="R698" i="2" s="1"/>
  <c r="R697" i="2"/>
  <c r="Q697" i="2"/>
  <c r="Q696" i="2"/>
  <c r="R696" i="2" s="1"/>
  <c r="R695" i="2"/>
  <c r="Q695" i="2"/>
  <c r="Q694" i="2"/>
  <c r="R694" i="2" s="1"/>
  <c r="Q693" i="2"/>
  <c r="R693" i="2" s="1"/>
  <c r="Q692" i="2"/>
  <c r="R692" i="2" s="1"/>
  <c r="Q691" i="2"/>
  <c r="R691" i="2" s="1"/>
  <c r="R690" i="2"/>
  <c r="Q690" i="2"/>
  <c r="R689" i="2"/>
  <c r="Q689" i="2"/>
  <c r="Q688" i="2"/>
  <c r="R688" i="2" s="1"/>
  <c r="Q687" i="2"/>
  <c r="R687" i="2" s="1"/>
  <c r="R686" i="2"/>
  <c r="Q686" i="2"/>
  <c r="Q685" i="2"/>
  <c r="R685" i="2" s="1"/>
  <c r="Q684" i="2"/>
  <c r="R684" i="2" s="1"/>
  <c r="R683" i="2"/>
  <c r="Q683" i="2"/>
  <c r="Q682" i="2"/>
  <c r="R682" i="2" s="1"/>
  <c r="R681" i="2"/>
  <c r="Q681" i="2"/>
  <c r="Q680" i="2"/>
  <c r="R680" i="2" s="1"/>
  <c r="Q679" i="2"/>
  <c r="R679" i="2" s="1"/>
  <c r="Q678" i="2"/>
  <c r="R678" i="2" s="1"/>
  <c r="R677" i="2"/>
  <c r="Q677" i="2"/>
  <c r="Q676" i="2"/>
  <c r="R676" i="2" s="1"/>
  <c r="R675" i="2"/>
  <c r="Q675" i="2"/>
  <c r="R674" i="2"/>
  <c r="Q674" i="2"/>
  <c r="Q673" i="2"/>
  <c r="R673" i="2" s="1"/>
  <c r="Q672" i="2"/>
  <c r="R672" i="2" s="1"/>
  <c r="R671" i="2"/>
  <c r="Q671" i="2"/>
  <c r="Q670" i="2"/>
  <c r="R670" i="2" s="1"/>
  <c r="Q669" i="2"/>
  <c r="R669" i="2" s="1"/>
  <c r="Q668" i="2"/>
  <c r="R668" i="2" s="1"/>
  <c r="R667" i="2"/>
  <c r="Q667" i="2"/>
  <c r="R666" i="2"/>
  <c r="Q666" i="2"/>
  <c r="R665" i="2"/>
  <c r="Q665" i="2"/>
  <c r="Q664" i="2"/>
  <c r="R664" i="2" s="1"/>
  <c r="Q663" i="2"/>
  <c r="R663" i="2" s="1"/>
  <c r="R662" i="2"/>
  <c r="Q662" i="2"/>
  <c r="Q661" i="2"/>
  <c r="R661" i="2" s="1"/>
  <c r="Q660" i="2"/>
  <c r="R660" i="2" s="1"/>
  <c r="Q659" i="2"/>
  <c r="R659" i="2" s="1"/>
  <c r="R658" i="2"/>
  <c r="Q658" i="2"/>
  <c r="R657" i="2"/>
  <c r="Q657" i="2"/>
  <c r="Q656" i="2"/>
  <c r="R656" i="2" s="1"/>
  <c r="Q655" i="2"/>
  <c r="R655" i="2" s="1"/>
  <c r="Q654" i="2"/>
  <c r="R654" i="2" s="1"/>
  <c r="R653" i="2"/>
  <c r="Q653" i="2"/>
  <c r="Q652" i="2"/>
  <c r="R652" i="2" s="1"/>
  <c r="R651" i="2"/>
  <c r="Q651" i="2"/>
  <c r="Q650" i="2"/>
  <c r="R650" i="2" s="1"/>
  <c r="R649" i="2"/>
  <c r="Q649" i="2"/>
  <c r="Q648" i="2"/>
  <c r="R648" i="2" s="1"/>
  <c r="Q647" i="2"/>
  <c r="R647" i="2" s="1"/>
  <c r="Q646" i="2"/>
  <c r="R646" i="2" s="1"/>
  <c r="Q645" i="2"/>
  <c r="R645" i="2" s="1"/>
  <c r="Q644" i="2"/>
  <c r="R644" i="2" s="1"/>
  <c r="R643" i="2"/>
  <c r="Q643" i="2"/>
  <c r="R642" i="2"/>
  <c r="Q642" i="2"/>
  <c r="Q641" i="2"/>
  <c r="R641" i="2" s="1"/>
  <c r="Q640" i="2"/>
  <c r="R640" i="2" s="1"/>
  <c r="Q639" i="2"/>
  <c r="R639" i="2" s="1"/>
  <c r="Q638" i="2"/>
  <c r="R638" i="2" s="1"/>
  <c r="Q637" i="2"/>
  <c r="R637" i="2" s="1"/>
  <c r="Q636" i="2"/>
  <c r="R636" i="2" s="1"/>
  <c r="R635" i="2"/>
  <c r="Q635" i="2"/>
  <c r="R634" i="2"/>
  <c r="Q634" i="2"/>
  <c r="R633" i="2"/>
  <c r="Q633" i="2"/>
  <c r="Q632" i="2"/>
  <c r="R632" i="2" s="1"/>
  <c r="R631" i="2"/>
  <c r="Q631" i="2"/>
  <c r="Q630" i="2"/>
  <c r="R630" i="2" s="1"/>
  <c r="Q629" i="2"/>
  <c r="R629" i="2" s="1"/>
  <c r="Q628" i="2"/>
  <c r="R628" i="2" s="1"/>
  <c r="Q627" i="2"/>
  <c r="R627" i="2" s="1"/>
  <c r="R626" i="2"/>
  <c r="Q626" i="2"/>
  <c r="R625" i="2"/>
  <c r="Q625" i="2"/>
  <c r="Q624" i="2"/>
  <c r="R624" i="2" s="1"/>
  <c r="Q623" i="2"/>
  <c r="R623" i="2" s="1"/>
  <c r="R622" i="2"/>
  <c r="Q622" i="2"/>
  <c r="Q621" i="2"/>
  <c r="R621" i="2" s="1"/>
  <c r="Q620" i="2"/>
  <c r="R620" i="2" s="1"/>
  <c r="R619" i="2"/>
  <c r="Q619" i="2"/>
  <c r="Q618" i="2"/>
  <c r="R618" i="2" s="1"/>
  <c r="R617" i="2"/>
  <c r="Q617" i="2"/>
  <c r="Q616" i="2"/>
  <c r="R616" i="2" s="1"/>
  <c r="Q615" i="2"/>
  <c r="R615" i="2" s="1"/>
  <c r="Q614" i="2"/>
  <c r="R614" i="2" s="1"/>
  <c r="R613" i="2"/>
  <c r="Q613" i="2"/>
  <c r="Q612" i="2"/>
  <c r="R612" i="2" s="1"/>
  <c r="R611" i="2"/>
  <c r="Q611" i="2"/>
  <c r="R610" i="2"/>
  <c r="Q610" i="2"/>
  <c r="Q609" i="2"/>
  <c r="R609" i="2" s="1"/>
  <c r="Q608" i="2"/>
  <c r="R608" i="2" s="1"/>
  <c r="R607" i="2"/>
  <c r="Q607" i="2"/>
  <c r="Q606" i="2"/>
  <c r="R606" i="2" s="1"/>
  <c r="Q605" i="2"/>
  <c r="R605" i="2" s="1"/>
  <c r="Q604" i="2"/>
  <c r="R604" i="2" s="1"/>
  <c r="R603" i="2"/>
  <c r="Q603" i="2"/>
  <c r="R602" i="2"/>
  <c r="Q602" i="2"/>
  <c r="R601" i="2"/>
  <c r="Q601" i="2"/>
  <c r="Q600" i="2"/>
  <c r="R600" i="2" s="1"/>
  <c r="Q599" i="2"/>
  <c r="R599" i="2" s="1"/>
  <c r="R598" i="2"/>
  <c r="Q598" i="2"/>
  <c r="Q597" i="2"/>
  <c r="R597" i="2" s="1"/>
  <c r="Q596" i="2"/>
  <c r="R596" i="2" s="1"/>
  <c r="R595" i="2"/>
  <c r="Q595" i="2"/>
  <c r="Q594" i="2"/>
  <c r="R594" i="2" s="1"/>
  <c r="Q593" i="2"/>
  <c r="R593" i="2" s="1"/>
  <c r="Q592" i="2"/>
  <c r="R592" i="2" s="1"/>
  <c r="Q591" i="2"/>
  <c r="R591" i="2" s="1"/>
  <c r="R590" i="2"/>
  <c r="Q590" i="2"/>
  <c r="R589" i="2"/>
  <c r="Q589" i="2"/>
  <c r="R588" i="2"/>
  <c r="Q588" i="2"/>
  <c r="Q587" i="2"/>
  <c r="R587" i="2" s="1"/>
  <c r="R586" i="2"/>
  <c r="Q586" i="2"/>
  <c r="R585" i="2"/>
  <c r="Q585" i="2"/>
  <c r="Q584" i="2"/>
  <c r="R584" i="2" s="1"/>
  <c r="Q583" i="2"/>
  <c r="R583" i="2" s="1"/>
  <c r="Q582" i="2"/>
  <c r="R582" i="2" s="1"/>
  <c r="R581" i="2"/>
  <c r="Q581" i="2"/>
  <c r="Q580" i="2"/>
  <c r="R580" i="2" s="1"/>
  <c r="Q579" i="2"/>
  <c r="R579" i="2" s="1"/>
  <c r="R578" i="2"/>
  <c r="Q578" i="2"/>
  <c r="Q577" i="2"/>
  <c r="R577" i="2" s="1"/>
  <c r="Q576" i="2"/>
  <c r="R576" i="2" s="1"/>
  <c r="R575" i="2"/>
  <c r="Q575" i="2"/>
  <c r="Q574" i="2"/>
  <c r="R574" i="2" s="1"/>
  <c r="R573" i="2"/>
  <c r="Q573" i="2"/>
  <c r="R572" i="2"/>
  <c r="Q572" i="2"/>
  <c r="R571" i="2"/>
  <c r="Q571" i="2"/>
  <c r="Q570" i="2"/>
  <c r="R570" i="2" s="1"/>
  <c r="R569" i="2"/>
  <c r="Q569" i="2"/>
  <c r="Q568" i="2"/>
  <c r="R568" i="2" s="1"/>
  <c r="Q567" i="2"/>
  <c r="R567" i="2" s="1"/>
  <c r="Q566" i="2"/>
  <c r="R566" i="2" s="1"/>
  <c r="Q565" i="2"/>
  <c r="R565" i="2" s="1"/>
  <c r="R564" i="2"/>
  <c r="Q564" i="2"/>
  <c r="Q563" i="2"/>
  <c r="R563" i="2" s="1"/>
  <c r="Q562" i="2"/>
  <c r="R562" i="2" s="1"/>
  <c r="R561" i="2"/>
  <c r="Q561" i="2"/>
  <c r="Q560" i="2"/>
  <c r="R560" i="2" s="1"/>
  <c r="R559" i="2"/>
  <c r="Q559" i="2"/>
  <c r="R558" i="2"/>
  <c r="Q558" i="2"/>
  <c r="Q557" i="2"/>
  <c r="R557" i="2" s="1"/>
  <c r="R556" i="2"/>
  <c r="Q556" i="2"/>
  <c r="R555" i="2"/>
  <c r="Q555" i="2"/>
  <c r="R554" i="2"/>
  <c r="Q554" i="2"/>
  <c r="Q553" i="2"/>
  <c r="R553" i="2" s="1"/>
  <c r="Q552" i="2"/>
  <c r="R552" i="2" s="1"/>
  <c r="Q551" i="2"/>
  <c r="R551" i="2" s="1"/>
  <c r="Q550" i="2"/>
  <c r="R550" i="2" s="1"/>
  <c r="Q549" i="2"/>
  <c r="R549" i="2" s="1"/>
  <c r="Q548" i="2"/>
  <c r="R548" i="2" s="1"/>
  <c r="R547" i="2"/>
  <c r="Q547" i="2"/>
  <c r="Q546" i="2"/>
  <c r="R546" i="2" s="1"/>
  <c r="Q545" i="2"/>
  <c r="R545" i="2" s="1"/>
  <c r="Q544" i="2"/>
  <c r="R544" i="2" s="1"/>
  <c r="R543" i="2"/>
  <c r="Q543" i="2"/>
  <c r="R542" i="2"/>
  <c r="Q542" i="2"/>
  <c r="R541" i="2"/>
  <c r="Q541" i="2"/>
  <c r="Q540" i="2"/>
  <c r="R540" i="2" s="1"/>
  <c r="Q539" i="2"/>
  <c r="R539" i="2" s="1"/>
  <c r="R538" i="2"/>
  <c r="Q538" i="2"/>
  <c r="R537" i="2"/>
  <c r="Q537" i="2"/>
  <c r="Q536" i="2"/>
  <c r="R536" i="2" s="1"/>
  <c r="R535" i="2"/>
  <c r="Q535" i="2"/>
  <c r="Q534" i="2"/>
  <c r="R534" i="2" s="1"/>
  <c r="Q533" i="2"/>
  <c r="R533" i="2" s="1"/>
  <c r="Q532" i="2"/>
  <c r="R532" i="2" s="1"/>
  <c r="Q531" i="2"/>
  <c r="R531" i="2" s="1"/>
  <c r="R530" i="2"/>
  <c r="Q530" i="2"/>
  <c r="Q529" i="2"/>
  <c r="R529" i="2" s="1"/>
  <c r="Q528" i="2"/>
  <c r="R528" i="2" s="1"/>
  <c r="Q527" i="2"/>
  <c r="R527" i="2" s="1"/>
  <c r="R526" i="2"/>
  <c r="Q526" i="2"/>
  <c r="R525" i="2"/>
  <c r="Q525" i="2"/>
  <c r="R524" i="2"/>
  <c r="Q524" i="2"/>
  <c r="Q523" i="2"/>
  <c r="R523" i="2" s="1"/>
  <c r="Q522" i="2"/>
  <c r="R522" i="2" s="1"/>
  <c r="R521" i="2"/>
  <c r="Q521" i="2"/>
  <c r="Q520" i="2"/>
  <c r="R520" i="2" s="1"/>
  <c r="Q519" i="2"/>
  <c r="R519" i="2" s="1"/>
  <c r="R518" i="2"/>
  <c r="Q518" i="2"/>
  <c r="Q517" i="2"/>
  <c r="R517" i="2" s="1"/>
  <c r="Q516" i="2"/>
  <c r="R516" i="2" s="1"/>
  <c r="Q515" i="2"/>
  <c r="R515" i="2" s="1"/>
  <c r="Q514" i="2"/>
  <c r="R514" i="2" s="1"/>
  <c r="R513" i="2"/>
  <c r="Q513" i="2"/>
  <c r="Q512" i="2"/>
  <c r="R512" i="2" s="1"/>
  <c r="Q511" i="2"/>
  <c r="R511" i="2" s="1"/>
  <c r="R510" i="2"/>
  <c r="Q510" i="2"/>
  <c r="Q509" i="2"/>
  <c r="R509" i="2" s="1"/>
  <c r="Q508" i="2"/>
  <c r="R508" i="2" s="1"/>
  <c r="Q507" i="2"/>
  <c r="R507" i="2" s="1"/>
  <c r="Q506" i="2"/>
  <c r="R506" i="2" s="1"/>
  <c r="R505" i="2"/>
  <c r="Q505" i="2"/>
  <c r="Q504" i="2"/>
  <c r="R504" i="2" s="1"/>
  <c r="Q503" i="2"/>
  <c r="R503" i="2" s="1"/>
  <c r="R502" i="2"/>
  <c r="Q502" i="2"/>
  <c r="Q501" i="2"/>
  <c r="R501" i="2" s="1"/>
  <c r="Q500" i="2"/>
  <c r="R500" i="2" s="1"/>
  <c r="Q499" i="2"/>
  <c r="R499" i="2" s="1"/>
  <c r="Q498" i="2"/>
  <c r="R498" i="2" s="1"/>
  <c r="R497" i="2"/>
  <c r="Q497" i="2"/>
  <c r="Q496" i="2"/>
  <c r="R496" i="2" s="1"/>
  <c r="Q495" i="2"/>
  <c r="R495" i="2" s="1"/>
  <c r="R494" i="2"/>
  <c r="Q494" i="2"/>
  <c r="Q493" i="2"/>
  <c r="R493" i="2" s="1"/>
  <c r="Q492" i="2"/>
  <c r="R492" i="2" s="1"/>
  <c r="Q491" i="2"/>
  <c r="R491" i="2" s="1"/>
  <c r="Q490" i="2"/>
  <c r="R490" i="2" s="1"/>
  <c r="R489" i="2"/>
  <c r="Q489" i="2"/>
  <c r="Q488" i="2"/>
  <c r="R488" i="2" s="1"/>
  <c r="Q487" i="2"/>
  <c r="R487" i="2" s="1"/>
  <c r="R486" i="2"/>
  <c r="Q486" i="2"/>
  <c r="Q485" i="2"/>
  <c r="R485" i="2" s="1"/>
  <c r="Q484" i="2"/>
  <c r="R484" i="2" s="1"/>
  <c r="Q483" i="2"/>
  <c r="R483" i="2" s="1"/>
  <c r="Q482" i="2"/>
  <c r="R482" i="2" s="1"/>
  <c r="R481" i="2"/>
  <c r="Q481" i="2"/>
  <c r="Q480" i="2"/>
  <c r="R480" i="2" s="1"/>
  <c r="Q479" i="2"/>
  <c r="R479" i="2" s="1"/>
  <c r="R478" i="2"/>
  <c r="Q478" i="2"/>
  <c r="Q477" i="2"/>
  <c r="R477" i="2" s="1"/>
  <c r="Q476" i="2"/>
  <c r="R476" i="2" s="1"/>
  <c r="Q475" i="2"/>
  <c r="R475" i="2" s="1"/>
  <c r="Q474" i="2"/>
  <c r="R474" i="2" s="1"/>
  <c r="R473" i="2"/>
  <c r="Q473" i="2"/>
  <c r="Q472" i="2"/>
  <c r="R472" i="2" s="1"/>
  <c r="Q471" i="2"/>
  <c r="R471" i="2" s="1"/>
  <c r="R470" i="2"/>
  <c r="Q470" i="2"/>
  <c r="Q469" i="2"/>
  <c r="R469" i="2" s="1"/>
  <c r="Q468" i="2"/>
  <c r="R468" i="2" s="1"/>
  <c r="Q467" i="2"/>
  <c r="R467" i="2" s="1"/>
  <c r="Q466" i="2"/>
  <c r="R466" i="2" s="1"/>
  <c r="R465" i="2"/>
  <c r="Q465" i="2"/>
  <c r="Q464" i="2"/>
  <c r="R464" i="2" s="1"/>
  <c r="Q463" i="2"/>
  <c r="R463" i="2" s="1"/>
  <c r="R462" i="2"/>
  <c r="Q462" i="2"/>
  <c r="Q461" i="2"/>
  <c r="R461" i="2" s="1"/>
  <c r="Q460" i="2"/>
  <c r="R460" i="2" s="1"/>
  <c r="Q459" i="2"/>
  <c r="R459" i="2" s="1"/>
  <c r="Q458" i="2"/>
  <c r="R458" i="2" s="1"/>
  <c r="R457" i="2"/>
  <c r="Q457" i="2"/>
  <c r="Q456" i="2"/>
  <c r="R456" i="2" s="1"/>
  <c r="Q455" i="2"/>
  <c r="R455" i="2" s="1"/>
  <c r="R454" i="2"/>
  <c r="Q454" i="2"/>
  <c r="Q453" i="2"/>
  <c r="R453" i="2" s="1"/>
  <c r="Q452" i="2"/>
  <c r="R452" i="2" s="1"/>
  <c r="Q451" i="2"/>
  <c r="R451" i="2" s="1"/>
  <c r="Q450" i="2"/>
  <c r="R450" i="2" s="1"/>
  <c r="R449" i="2"/>
  <c r="Q449" i="2"/>
  <c r="Q448" i="2"/>
  <c r="R448" i="2" s="1"/>
  <c r="Q447" i="2"/>
  <c r="R447" i="2" s="1"/>
  <c r="R446" i="2"/>
  <c r="Q446" i="2"/>
  <c r="Q445" i="2"/>
  <c r="R445" i="2" s="1"/>
  <c r="Q444" i="2"/>
  <c r="R444" i="2" s="1"/>
  <c r="Q443" i="2"/>
  <c r="R443" i="2" s="1"/>
  <c r="Q442" i="2"/>
  <c r="R442" i="2" s="1"/>
  <c r="R441" i="2"/>
  <c r="Q441" i="2"/>
  <c r="Q440" i="2"/>
  <c r="R440" i="2" s="1"/>
  <c r="Q439" i="2"/>
  <c r="R439" i="2" s="1"/>
  <c r="R438" i="2"/>
  <c r="Q438" i="2"/>
  <c r="Q437" i="2"/>
  <c r="R437" i="2" s="1"/>
  <c r="Q436" i="2"/>
  <c r="R436" i="2" s="1"/>
  <c r="Q435" i="2"/>
  <c r="R435" i="2" s="1"/>
  <c r="Q434" i="2"/>
  <c r="R434" i="2" s="1"/>
  <c r="R433" i="2"/>
  <c r="Q433" i="2"/>
  <c r="Q432" i="2"/>
  <c r="R432" i="2" s="1"/>
  <c r="Q431" i="2"/>
  <c r="R431" i="2" s="1"/>
  <c r="R430" i="2"/>
  <c r="Q430" i="2"/>
  <c r="Q429" i="2"/>
  <c r="R429" i="2" s="1"/>
  <c r="Q428" i="2"/>
  <c r="R428" i="2" s="1"/>
  <c r="Q427" i="2"/>
  <c r="R427" i="2" s="1"/>
  <c r="Q426" i="2"/>
  <c r="R426" i="2" s="1"/>
  <c r="R425" i="2"/>
  <c r="Q425" i="2"/>
  <c r="Q424" i="2"/>
  <c r="R424" i="2" s="1"/>
  <c r="Q423" i="2"/>
  <c r="R423" i="2" s="1"/>
  <c r="R422" i="2"/>
  <c r="Q422" i="2"/>
  <c r="Q421" i="2"/>
  <c r="R421" i="2" s="1"/>
  <c r="Q420" i="2"/>
  <c r="R420" i="2" s="1"/>
  <c r="Q419" i="2"/>
  <c r="R419" i="2" s="1"/>
  <c r="Q418" i="2"/>
  <c r="R418" i="2" s="1"/>
  <c r="R417" i="2"/>
  <c r="Q417" i="2"/>
  <c r="Q416" i="2"/>
  <c r="R416" i="2" s="1"/>
  <c r="Q415" i="2"/>
  <c r="R415" i="2" s="1"/>
  <c r="R414" i="2"/>
  <c r="Q414" i="2"/>
  <c r="Q413" i="2"/>
  <c r="R413" i="2" s="1"/>
  <c r="Q412" i="2"/>
  <c r="R412" i="2" s="1"/>
  <c r="Q411" i="2"/>
  <c r="R411" i="2" s="1"/>
  <c r="Q410" i="2"/>
  <c r="R410" i="2" s="1"/>
  <c r="R409" i="2"/>
  <c r="Q409" i="2"/>
  <c r="Q408" i="2"/>
  <c r="R408" i="2" s="1"/>
  <c r="Q407" i="2"/>
  <c r="R407" i="2" s="1"/>
  <c r="R406" i="2"/>
  <c r="Q406" i="2"/>
  <c r="Q405" i="2"/>
  <c r="R405" i="2" s="1"/>
  <c r="Q404" i="2"/>
  <c r="R404" i="2" s="1"/>
  <c r="Q403" i="2"/>
  <c r="R403" i="2" s="1"/>
  <c r="Q402" i="2"/>
  <c r="R402" i="2" s="1"/>
  <c r="R401" i="2"/>
  <c r="Q401" i="2"/>
  <c r="Q400" i="2"/>
  <c r="R400" i="2" s="1"/>
  <c r="Q399" i="2"/>
  <c r="R399" i="2" s="1"/>
  <c r="R398" i="2"/>
  <c r="Q398" i="2"/>
  <c r="Q397" i="2"/>
  <c r="R397" i="2" s="1"/>
  <c r="Q396" i="2"/>
  <c r="R396" i="2" s="1"/>
  <c r="Q395" i="2"/>
  <c r="R395" i="2" s="1"/>
  <c r="Q394" i="2"/>
  <c r="R394" i="2" s="1"/>
  <c r="R393" i="2"/>
  <c r="Q393" i="2"/>
  <c r="Q392" i="2"/>
  <c r="R392" i="2" s="1"/>
  <c r="Q391" i="2"/>
  <c r="R391" i="2" s="1"/>
  <c r="R390" i="2"/>
  <c r="Q390" i="2"/>
  <c r="Q389" i="2"/>
  <c r="R389" i="2" s="1"/>
  <c r="Q388" i="2"/>
  <c r="R388" i="2" s="1"/>
  <c r="Q387" i="2"/>
  <c r="R387" i="2" s="1"/>
  <c r="Q386" i="2"/>
  <c r="R386" i="2" s="1"/>
  <c r="R385" i="2"/>
  <c r="Q385" i="2"/>
  <c r="Q384" i="2"/>
  <c r="R384" i="2" s="1"/>
  <c r="Q383" i="2"/>
  <c r="R383" i="2" s="1"/>
  <c r="R382" i="2"/>
  <c r="Q382" i="2"/>
  <c r="Q381" i="2"/>
  <c r="R381" i="2" s="1"/>
  <c r="Q380" i="2"/>
  <c r="R380" i="2" s="1"/>
  <c r="Q379" i="2"/>
  <c r="R379" i="2" s="1"/>
  <c r="Q378" i="2"/>
  <c r="R378" i="2" s="1"/>
  <c r="R377" i="2"/>
  <c r="Q377" i="2"/>
  <c r="Q376" i="2"/>
  <c r="R376" i="2" s="1"/>
  <c r="Q375" i="2"/>
  <c r="R375" i="2" s="1"/>
  <c r="R374" i="2"/>
  <c r="Q374" i="2"/>
  <c r="Q373" i="2"/>
  <c r="R373" i="2" s="1"/>
  <c r="Q372" i="2"/>
  <c r="R372" i="2" s="1"/>
  <c r="Q371" i="2"/>
  <c r="R371" i="2" s="1"/>
  <c r="Q370" i="2"/>
  <c r="R370" i="2" s="1"/>
  <c r="R369" i="2"/>
  <c r="Q369" i="2"/>
  <c r="Q368" i="2"/>
  <c r="R368" i="2" s="1"/>
  <c r="Q367" i="2"/>
  <c r="R367" i="2" s="1"/>
  <c r="R366" i="2"/>
  <c r="Q366" i="2"/>
  <c r="Q365" i="2"/>
  <c r="R365" i="2" s="1"/>
  <c r="Q364" i="2"/>
  <c r="R364" i="2" s="1"/>
  <c r="Q363" i="2"/>
  <c r="R363" i="2" s="1"/>
  <c r="Q362" i="2"/>
  <c r="R362" i="2" s="1"/>
  <c r="R361" i="2"/>
  <c r="Q361" i="2"/>
  <c r="Q360" i="2"/>
  <c r="R360" i="2" s="1"/>
  <c r="Q359" i="2"/>
  <c r="R359" i="2" s="1"/>
  <c r="R358" i="2"/>
  <c r="Q358" i="2"/>
  <c r="Q357" i="2"/>
  <c r="R357" i="2" s="1"/>
  <c r="Q356" i="2"/>
  <c r="R356" i="2" s="1"/>
  <c r="Q355" i="2"/>
  <c r="R355" i="2" s="1"/>
  <c r="Q354" i="2"/>
  <c r="R354" i="2" s="1"/>
  <c r="R353" i="2"/>
  <c r="Q353" i="2"/>
  <c r="Q352" i="2"/>
  <c r="R352" i="2" s="1"/>
  <c r="Q351" i="2"/>
  <c r="R351" i="2" s="1"/>
  <c r="R350" i="2"/>
  <c r="Q350" i="2"/>
  <c r="Q349" i="2"/>
  <c r="R349" i="2" s="1"/>
  <c r="Q348" i="2"/>
  <c r="R348" i="2" s="1"/>
  <c r="Q347" i="2"/>
  <c r="R347" i="2" s="1"/>
  <c r="Q346" i="2"/>
  <c r="R346" i="2" s="1"/>
  <c r="R345" i="2"/>
  <c r="Q345" i="2"/>
  <c r="Q344" i="2"/>
  <c r="R344" i="2" s="1"/>
  <c r="Q343" i="2"/>
  <c r="R343" i="2" s="1"/>
  <c r="R342" i="2"/>
  <c r="Q342" i="2"/>
  <c r="Q341" i="2"/>
  <c r="R341" i="2" s="1"/>
  <c r="Q340" i="2"/>
  <c r="R340" i="2" s="1"/>
  <c r="Q339" i="2"/>
  <c r="R339" i="2" s="1"/>
  <c r="Q338" i="2"/>
  <c r="R338" i="2" s="1"/>
  <c r="R337" i="2"/>
  <c r="Q337" i="2"/>
  <c r="Q336" i="2"/>
  <c r="R336" i="2" s="1"/>
  <c r="Q335" i="2"/>
  <c r="R335" i="2" s="1"/>
  <c r="R334" i="2"/>
  <c r="Q334" i="2"/>
  <c r="Q333" i="2"/>
  <c r="R333" i="2" s="1"/>
  <c r="Q332" i="2"/>
  <c r="R332" i="2" s="1"/>
  <c r="Q331" i="2"/>
  <c r="R331" i="2" s="1"/>
  <c r="Q330" i="2"/>
  <c r="R330" i="2" s="1"/>
  <c r="R329" i="2"/>
  <c r="Q329" i="2"/>
  <c r="Q328" i="2"/>
  <c r="R328" i="2" s="1"/>
  <c r="Q327" i="2"/>
  <c r="R327" i="2" s="1"/>
  <c r="R326" i="2"/>
  <c r="Q326" i="2"/>
  <c r="Q325" i="2"/>
  <c r="R325" i="2" s="1"/>
  <c r="Q324" i="2"/>
  <c r="R324" i="2" s="1"/>
  <c r="Q323" i="2"/>
  <c r="R323" i="2" s="1"/>
  <c r="Q322" i="2"/>
  <c r="R322" i="2" s="1"/>
  <c r="R321" i="2"/>
  <c r="Q321" i="2"/>
  <c r="Q320" i="2"/>
  <c r="R320" i="2" s="1"/>
  <c r="Q319" i="2"/>
  <c r="R319" i="2" s="1"/>
  <c r="R318" i="2"/>
  <c r="Q318" i="2"/>
  <c r="Q317" i="2"/>
  <c r="R317" i="2" s="1"/>
  <c r="Q316" i="2"/>
  <c r="R316" i="2" s="1"/>
  <c r="Q315" i="2"/>
  <c r="R315" i="2" s="1"/>
  <c r="Q314" i="2"/>
  <c r="R314" i="2" s="1"/>
  <c r="R313" i="2"/>
  <c r="Q313" i="2"/>
  <c r="Q312" i="2"/>
  <c r="R312" i="2" s="1"/>
  <c r="Q311" i="2"/>
  <c r="R311" i="2" s="1"/>
  <c r="R310" i="2"/>
  <c r="Q310" i="2"/>
  <c r="Q309" i="2"/>
  <c r="R309" i="2" s="1"/>
  <c r="Q308" i="2"/>
  <c r="R308" i="2" s="1"/>
  <c r="Q307" i="2"/>
  <c r="R307" i="2" s="1"/>
  <c r="Q306" i="2"/>
  <c r="R306" i="2" s="1"/>
  <c r="R305" i="2"/>
  <c r="Q305" i="2"/>
  <c r="Q304" i="2"/>
  <c r="R304" i="2" s="1"/>
  <c r="Q303" i="2"/>
  <c r="R303" i="2" s="1"/>
  <c r="R302" i="2"/>
  <c r="Q302" i="2"/>
  <c r="Q301" i="2"/>
  <c r="R301" i="2" s="1"/>
  <c r="Q300" i="2"/>
  <c r="R300" i="2" s="1"/>
  <c r="Q299" i="2"/>
  <c r="R299" i="2" s="1"/>
  <c r="Q298" i="2"/>
  <c r="R298" i="2" s="1"/>
  <c r="R297" i="2"/>
  <c r="Q297" i="2"/>
  <c r="Q296" i="2"/>
  <c r="R296" i="2" s="1"/>
  <c r="Q295" i="2"/>
  <c r="R295" i="2" s="1"/>
  <c r="R294" i="2"/>
  <c r="Q294" i="2"/>
  <c r="Q293" i="2"/>
  <c r="R293" i="2" s="1"/>
  <c r="Q292" i="2"/>
  <c r="R292" i="2" s="1"/>
  <c r="Q291" i="2"/>
  <c r="R291" i="2" s="1"/>
  <c r="Q290" i="2"/>
  <c r="R290" i="2" s="1"/>
  <c r="R289" i="2"/>
  <c r="Q289" i="2"/>
  <c r="Q288" i="2"/>
  <c r="R288" i="2" s="1"/>
  <c r="Q287" i="2"/>
  <c r="R287" i="2" s="1"/>
  <c r="R286" i="2"/>
  <c r="Q286" i="2"/>
  <c r="Q285" i="2"/>
  <c r="R285" i="2" s="1"/>
  <c r="Q284" i="2"/>
  <c r="R284" i="2" s="1"/>
  <c r="Q283" i="2"/>
  <c r="R283" i="2" s="1"/>
  <c r="Q282" i="2"/>
  <c r="R282" i="2" s="1"/>
  <c r="R281" i="2"/>
  <c r="Q281" i="2"/>
  <c r="Q280" i="2"/>
  <c r="R280" i="2" s="1"/>
  <c r="Q279" i="2"/>
  <c r="R279" i="2" s="1"/>
  <c r="R278" i="2"/>
  <c r="Q278" i="2"/>
  <c r="Q277" i="2"/>
  <c r="R277" i="2" s="1"/>
  <c r="Q276" i="2"/>
  <c r="R276" i="2" s="1"/>
  <c r="Q275" i="2"/>
  <c r="R275" i="2" s="1"/>
  <c r="Q274" i="2"/>
  <c r="R274" i="2" s="1"/>
  <c r="R273" i="2"/>
  <c r="Q273" i="2"/>
  <c r="Q272" i="2"/>
  <c r="R272" i="2" s="1"/>
  <c r="Q271" i="2"/>
  <c r="R271" i="2" s="1"/>
  <c r="R270" i="2"/>
  <c r="Q270" i="2"/>
  <c r="Q269" i="2"/>
  <c r="R269" i="2" s="1"/>
  <c r="Q268" i="2"/>
  <c r="R268" i="2" s="1"/>
  <c r="Q267" i="2"/>
  <c r="R267" i="2" s="1"/>
  <c r="Q266" i="2"/>
  <c r="R266" i="2" s="1"/>
  <c r="R265" i="2"/>
  <c r="Q265" i="2"/>
  <c r="Q264" i="2"/>
  <c r="R264" i="2" s="1"/>
  <c r="Q263" i="2"/>
  <c r="R263" i="2" s="1"/>
  <c r="R262" i="2"/>
  <c r="Q262" i="2"/>
  <c r="Q261" i="2"/>
  <c r="R261" i="2" s="1"/>
  <c r="Q260" i="2"/>
  <c r="R260" i="2" s="1"/>
  <c r="Q259" i="2"/>
  <c r="R259" i="2" s="1"/>
  <c r="Q258" i="2"/>
  <c r="R258" i="2" s="1"/>
  <c r="R257" i="2"/>
  <c r="Q257" i="2"/>
  <c r="Q256" i="2"/>
  <c r="R256" i="2" s="1"/>
  <c r="Q255" i="2"/>
  <c r="R255" i="2" s="1"/>
  <c r="R254" i="2"/>
  <c r="Q254" i="2"/>
  <c r="Q253" i="2"/>
  <c r="R253" i="2" s="1"/>
  <c r="Q252" i="2"/>
  <c r="R252" i="2" s="1"/>
  <c r="Q251" i="2"/>
  <c r="R251" i="2" s="1"/>
  <c r="Q250" i="2"/>
  <c r="R250" i="2" s="1"/>
  <c r="R249" i="2"/>
  <c r="Q249" i="2"/>
  <c r="Q248" i="2"/>
  <c r="R248" i="2" s="1"/>
  <c r="Q247" i="2"/>
  <c r="R247" i="2" s="1"/>
  <c r="Q246" i="2"/>
  <c r="R246" i="2" s="1"/>
  <c r="Q245" i="2"/>
  <c r="R245" i="2" s="1"/>
  <c r="Q244" i="2"/>
  <c r="R244" i="2" s="1"/>
  <c r="Q243" i="2"/>
  <c r="R243" i="2" s="1"/>
  <c r="Q242" i="2"/>
  <c r="R242" i="2" s="1"/>
  <c r="R241" i="2"/>
  <c r="Q241" i="2"/>
  <c r="Q240" i="2"/>
  <c r="R240" i="2" s="1"/>
  <c r="Q239" i="2"/>
  <c r="R239" i="2" s="1"/>
  <c r="Q238" i="2"/>
  <c r="R238" i="2" s="1"/>
  <c r="Q237" i="2"/>
  <c r="R237" i="2" s="1"/>
  <c r="Q236" i="2"/>
  <c r="R236" i="2" s="1"/>
  <c r="Q235" i="2"/>
  <c r="R235" i="2" s="1"/>
  <c r="Q234" i="2"/>
  <c r="R234" i="2" s="1"/>
  <c r="R233" i="2"/>
  <c r="Q233" i="2"/>
  <c r="Q232" i="2"/>
  <c r="R232" i="2" s="1"/>
  <c r="Q231" i="2"/>
  <c r="R231" i="2" s="1"/>
  <c r="Q230" i="2"/>
  <c r="R230" i="2" s="1"/>
  <c r="Q229" i="2"/>
  <c r="R229" i="2" s="1"/>
  <c r="Q228" i="2"/>
  <c r="R228" i="2" s="1"/>
  <c r="Q227" i="2"/>
  <c r="R227" i="2" s="1"/>
  <c r="Q226" i="2"/>
  <c r="R226" i="2" s="1"/>
  <c r="R225" i="2"/>
  <c r="Q225" i="2"/>
  <c r="Q224" i="2"/>
  <c r="R224" i="2" s="1"/>
  <c r="Q223" i="2"/>
  <c r="R223" i="2" s="1"/>
  <c r="Q222" i="2"/>
  <c r="R222" i="2" s="1"/>
  <c r="Q221" i="2"/>
  <c r="R221" i="2" s="1"/>
  <c r="Q220" i="2"/>
  <c r="R220" i="2" s="1"/>
  <c r="Q219" i="2"/>
  <c r="R219" i="2" s="1"/>
  <c r="Q218" i="2"/>
  <c r="R218" i="2" s="1"/>
  <c r="R217" i="2"/>
  <c r="Q217" i="2"/>
  <c r="Q216" i="2"/>
  <c r="R216" i="2" s="1"/>
  <c r="Q215" i="2"/>
  <c r="R215" i="2" s="1"/>
  <c r="Q214" i="2"/>
  <c r="R214" i="2" s="1"/>
  <c r="Q213" i="2"/>
  <c r="R213" i="2" s="1"/>
  <c r="Q212" i="2"/>
  <c r="R212" i="2" s="1"/>
  <c r="Q211" i="2"/>
  <c r="R211" i="2" s="1"/>
  <c r="Q210" i="2"/>
  <c r="R210" i="2" s="1"/>
  <c r="R209" i="2"/>
  <c r="Q209" i="2"/>
  <c r="Q208" i="2"/>
  <c r="R208" i="2" s="1"/>
  <c r="Q207" i="2"/>
  <c r="R207" i="2" s="1"/>
  <c r="Q206" i="2"/>
  <c r="R206" i="2" s="1"/>
  <c r="Q205" i="2"/>
  <c r="R205" i="2" s="1"/>
  <c r="Q204" i="2"/>
  <c r="R204" i="2" s="1"/>
  <c r="Q203" i="2"/>
  <c r="R203" i="2" s="1"/>
  <c r="Q202" i="2"/>
  <c r="R202" i="2" s="1"/>
  <c r="R201" i="2"/>
  <c r="Q201" i="2"/>
  <c r="Q200" i="2"/>
  <c r="R200" i="2" s="1"/>
  <c r="Q199" i="2"/>
  <c r="R199" i="2" s="1"/>
  <c r="Q198" i="2"/>
  <c r="R198" i="2" s="1"/>
  <c r="Q197" i="2"/>
  <c r="R197" i="2" s="1"/>
  <c r="Q196" i="2"/>
  <c r="R196" i="2" s="1"/>
  <c r="Q195" i="2"/>
  <c r="R195" i="2" s="1"/>
  <c r="Q194" i="2"/>
  <c r="R194" i="2" s="1"/>
  <c r="R193" i="2"/>
  <c r="Q193" i="2"/>
  <c r="Q192" i="2"/>
  <c r="R192" i="2" s="1"/>
  <c r="Q191" i="2"/>
  <c r="R191" i="2" s="1"/>
  <c r="Q190" i="2"/>
  <c r="R190" i="2" s="1"/>
  <c r="Q189" i="2"/>
  <c r="R189" i="2" s="1"/>
  <c r="Q188" i="2"/>
  <c r="R188" i="2" s="1"/>
  <c r="Q187" i="2"/>
  <c r="R187" i="2" s="1"/>
  <c r="Q186" i="2"/>
  <c r="R186" i="2" s="1"/>
  <c r="R185" i="2"/>
  <c r="Q185" i="2"/>
  <c r="Q184" i="2"/>
  <c r="R184" i="2" s="1"/>
  <c r="Q183" i="2"/>
  <c r="R183" i="2" s="1"/>
  <c r="Q182" i="2"/>
  <c r="R182" i="2" s="1"/>
  <c r="Q181" i="2"/>
  <c r="R181" i="2" s="1"/>
  <c r="Q180" i="2"/>
  <c r="R180" i="2" s="1"/>
  <c r="Q179" i="2"/>
  <c r="R179" i="2" s="1"/>
  <c r="Q178" i="2"/>
  <c r="R178" i="2" s="1"/>
  <c r="R177" i="2"/>
  <c r="Q177" i="2"/>
  <c r="Q176" i="2"/>
  <c r="R176" i="2" s="1"/>
  <c r="Q175" i="2"/>
  <c r="R175" i="2" s="1"/>
  <c r="Q174" i="2"/>
  <c r="R174" i="2" s="1"/>
  <c r="Q173" i="2"/>
  <c r="R173" i="2" s="1"/>
  <c r="Q172" i="2"/>
  <c r="R172" i="2" s="1"/>
  <c r="Q171" i="2"/>
  <c r="R171" i="2" s="1"/>
  <c r="Q170" i="2"/>
  <c r="R170" i="2" s="1"/>
  <c r="R169" i="2"/>
  <c r="Q169" i="2"/>
  <c r="Q168" i="2"/>
  <c r="R168" i="2" s="1"/>
  <c r="Q167" i="2"/>
  <c r="R167" i="2" s="1"/>
  <c r="Q166" i="2"/>
  <c r="R166" i="2" s="1"/>
  <c r="Q165" i="2"/>
  <c r="R165" i="2" s="1"/>
  <c r="Q164" i="2"/>
  <c r="R164" i="2" s="1"/>
  <c r="Q163" i="2"/>
  <c r="R163" i="2" s="1"/>
  <c r="Q162" i="2"/>
  <c r="R162" i="2" s="1"/>
  <c r="R161" i="2"/>
  <c r="Q161" i="2"/>
  <c r="Q160" i="2"/>
  <c r="R160" i="2" s="1"/>
  <c r="Q159" i="2"/>
  <c r="R159" i="2" s="1"/>
  <c r="Q158" i="2"/>
  <c r="R158" i="2" s="1"/>
  <c r="Q157" i="2"/>
  <c r="R157" i="2" s="1"/>
  <c r="Q156" i="2"/>
  <c r="R156" i="2" s="1"/>
  <c r="Q155" i="2"/>
  <c r="R155" i="2" s="1"/>
  <c r="Q154" i="2"/>
  <c r="R154" i="2" s="1"/>
  <c r="R153" i="2"/>
  <c r="Q153" i="2"/>
  <c r="Q152" i="2"/>
  <c r="R152" i="2" s="1"/>
  <c r="Q151" i="2"/>
  <c r="R151" i="2" s="1"/>
  <c r="Q150" i="2"/>
  <c r="R150" i="2" s="1"/>
  <c r="Q149" i="2"/>
  <c r="R149" i="2" s="1"/>
  <c r="Q148" i="2"/>
  <c r="R148" i="2" s="1"/>
  <c r="Q147" i="2"/>
  <c r="R147" i="2" s="1"/>
  <c r="Q146" i="2"/>
  <c r="R146" i="2" s="1"/>
  <c r="R145" i="2"/>
  <c r="Q145" i="2"/>
  <c r="Q144" i="2"/>
  <c r="R144" i="2" s="1"/>
  <c r="Q143" i="2"/>
  <c r="R143" i="2" s="1"/>
  <c r="Q142" i="2"/>
  <c r="R142" i="2" s="1"/>
  <c r="Q141" i="2"/>
  <c r="R141" i="2" s="1"/>
  <c r="Q140" i="2"/>
  <c r="R140" i="2" s="1"/>
  <c r="Q139" i="2"/>
  <c r="R139" i="2" s="1"/>
  <c r="Q138" i="2"/>
  <c r="R138" i="2" s="1"/>
  <c r="R137" i="2"/>
  <c r="Q137" i="2"/>
  <c r="Q136" i="2"/>
  <c r="R136" i="2" s="1"/>
  <c r="Q135" i="2"/>
  <c r="R135" i="2" s="1"/>
  <c r="Q134" i="2"/>
  <c r="R134" i="2" s="1"/>
  <c r="Q133" i="2"/>
  <c r="R133" i="2" s="1"/>
  <c r="Q132" i="2"/>
  <c r="R132" i="2" s="1"/>
  <c r="Q131" i="2"/>
  <c r="R131" i="2" s="1"/>
  <c r="Q130" i="2"/>
  <c r="R130" i="2" s="1"/>
  <c r="R129" i="2"/>
  <c r="Q129" i="2"/>
  <c r="Q128" i="2"/>
  <c r="R128" i="2" s="1"/>
  <c r="Q127" i="2"/>
  <c r="R127" i="2" s="1"/>
  <c r="Q126" i="2"/>
  <c r="R126" i="2" s="1"/>
  <c r="Q125" i="2"/>
  <c r="R125" i="2" s="1"/>
  <c r="Q124" i="2"/>
  <c r="R124" i="2" s="1"/>
  <c r="Q123" i="2"/>
  <c r="R123" i="2" s="1"/>
  <c r="Q122" i="2"/>
  <c r="R122" i="2" s="1"/>
  <c r="R121" i="2"/>
  <c r="Q121" i="2"/>
  <c r="Q120" i="2"/>
  <c r="R120" i="2" s="1"/>
  <c r="Q119" i="2"/>
  <c r="R119" i="2" s="1"/>
  <c r="Q118" i="2"/>
  <c r="R118" i="2" s="1"/>
  <c r="Q117" i="2"/>
  <c r="R117" i="2" s="1"/>
  <c r="Q116" i="2"/>
  <c r="R116" i="2" s="1"/>
  <c r="Q115" i="2"/>
  <c r="R115" i="2" s="1"/>
  <c r="Q114" i="2"/>
  <c r="R114" i="2" s="1"/>
  <c r="R113" i="2"/>
  <c r="Q113" i="2"/>
  <c r="Q112" i="2"/>
  <c r="R112" i="2" s="1"/>
  <c r="Q111" i="2"/>
  <c r="R111" i="2" s="1"/>
  <c r="Q110" i="2"/>
  <c r="R110" i="2" s="1"/>
  <c r="Q109" i="2"/>
  <c r="R109" i="2" s="1"/>
  <c r="Q108" i="2"/>
  <c r="R108" i="2" s="1"/>
  <c r="Q107" i="2"/>
  <c r="R107" i="2" s="1"/>
  <c r="Q106" i="2"/>
  <c r="R106" i="2" s="1"/>
  <c r="R105" i="2"/>
  <c r="Q105" i="2"/>
  <c r="Q104" i="2"/>
  <c r="R104" i="2" s="1"/>
  <c r="Q103" i="2"/>
  <c r="R103" i="2" s="1"/>
  <c r="Q102" i="2"/>
  <c r="R102" i="2" s="1"/>
  <c r="Q101" i="2"/>
  <c r="R101" i="2" s="1"/>
  <c r="Q100" i="2"/>
  <c r="R100" i="2" s="1"/>
  <c r="Q99" i="2"/>
  <c r="R99" i="2" s="1"/>
  <c r="Q98" i="2"/>
  <c r="R98" i="2" s="1"/>
  <c r="R97" i="2"/>
  <c r="Q97" i="2"/>
  <c r="Q96" i="2"/>
  <c r="R96" i="2" s="1"/>
  <c r="Q95" i="2"/>
  <c r="R95" i="2" s="1"/>
  <c r="Q94" i="2"/>
  <c r="R94" i="2" s="1"/>
  <c r="Q93" i="2"/>
  <c r="R93" i="2" s="1"/>
  <c r="Q92" i="2"/>
  <c r="R92" i="2" s="1"/>
  <c r="Q91" i="2"/>
  <c r="R91" i="2" s="1"/>
  <c r="Q90" i="2"/>
  <c r="R90" i="2" s="1"/>
  <c r="R89" i="2"/>
  <c r="Q89" i="2"/>
  <c r="Q88" i="2"/>
  <c r="R88" i="2" s="1"/>
  <c r="Q87" i="2"/>
  <c r="R87" i="2" s="1"/>
  <c r="Q86" i="2"/>
  <c r="R86" i="2" s="1"/>
  <c r="Q85" i="2"/>
  <c r="R85" i="2" s="1"/>
  <c r="Q84" i="2"/>
  <c r="R84" i="2" s="1"/>
  <c r="Q83" i="2"/>
  <c r="R83" i="2" s="1"/>
  <c r="Q82" i="2"/>
  <c r="R82" i="2" s="1"/>
  <c r="R81" i="2"/>
  <c r="Q81" i="2"/>
  <c r="Q80" i="2"/>
  <c r="R80" i="2" s="1"/>
  <c r="Q79" i="2"/>
  <c r="R79" i="2" s="1"/>
  <c r="Q78" i="2"/>
  <c r="R78" i="2" s="1"/>
  <c r="Q77" i="2"/>
  <c r="R77" i="2" s="1"/>
  <c r="Q76" i="2"/>
  <c r="R76" i="2" s="1"/>
  <c r="Q75" i="2"/>
  <c r="R75" i="2" s="1"/>
  <c r="Q74" i="2"/>
  <c r="R74" i="2" s="1"/>
  <c r="R73" i="2"/>
  <c r="Q73" i="2"/>
  <c r="Q72" i="2"/>
  <c r="R72" i="2" s="1"/>
  <c r="Q71" i="2"/>
  <c r="R71" i="2" s="1"/>
  <c r="Q70" i="2"/>
  <c r="R70" i="2" s="1"/>
  <c r="Q69" i="2"/>
  <c r="R69" i="2" s="1"/>
  <c r="Q68" i="2"/>
  <c r="R68" i="2" s="1"/>
  <c r="Q67" i="2"/>
  <c r="R67" i="2" s="1"/>
  <c r="Q66" i="2"/>
  <c r="R66" i="2" s="1"/>
  <c r="R65" i="2"/>
  <c r="Q65" i="2"/>
  <c r="Q64" i="2"/>
  <c r="R64" i="2" s="1"/>
  <c r="Q63" i="2"/>
  <c r="R63" i="2" s="1"/>
  <c r="Q62" i="2"/>
  <c r="R62" i="2" s="1"/>
  <c r="Q61" i="2"/>
  <c r="R61" i="2" s="1"/>
  <c r="Q60" i="2"/>
  <c r="R60" i="2" s="1"/>
  <c r="Q59" i="2"/>
  <c r="R59" i="2" s="1"/>
  <c r="Q58" i="2"/>
  <c r="R58" i="2" s="1"/>
  <c r="R57" i="2"/>
  <c r="Q57" i="2"/>
  <c r="Q56" i="2"/>
  <c r="R56" i="2" s="1"/>
  <c r="Q55" i="2"/>
  <c r="R55" i="2" s="1"/>
  <c r="Q54" i="2"/>
  <c r="R54" i="2" s="1"/>
  <c r="Q53" i="2"/>
  <c r="R53" i="2" s="1"/>
  <c r="Q52" i="2"/>
  <c r="R52" i="2" s="1"/>
  <c r="Q51" i="2"/>
  <c r="R51" i="2" s="1"/>
  <c r="Q50" i="2"/>
  <c r="R50" i="2" s="1"/>
  <c r="R49" i="2"/>
  <c r="Q49" i="2"/>
  <c r="Q48" i="2"/>
  <c r="R48" i="2" s="1"/>
  <c r="Q47" i="2"/>
  <c r="R47" i="2" s="1"/>
  <c r="Q46" i="2"/>
  <c r="R46" i="2" s="1"/>
  <c r="Q45" i="2"/>
  <c r="R45" i="2" s="1"/>
  <c r="Q44" i="2"/>
  <c r="R44" i="2" s="1"/>
  <c r="Q43" i="2"/>
  <c r="R43" i="2" s="1"/>
  <c r="Q42" i="2"/>
  <c r="R42" i="2" s="1"/>
  <c r="R41" i="2"/>
  <c r="Q41" i="2"/>
  <c r="Q40" i="2"/>
  <c r="R40" i="2" s="1"/>
  <c r="Q39" i="2"/>
  <c r="R39" i="2" s="1"/>
  <c r="Q38" i="2"/>
  <c r="R38" i="2" s="1"/>
  <c r="Q37" i="2"/>
  <c r="R37" i="2" s="1"/>
  <c r="Q36" i="2"/>
  <c r="R36" i="2" s="1"/>
  <c r="Q35" i="2"/>
  <c r="R35" i="2" s="1"/>
  <c r="Q34" i="2"/>
  <c r="R34" i="2" s="1"/>
  <c r="R33" i="2"/>
  <c r="Q33" i="2"/>
  <c r="Q32" i="2"/>
  <c r="R32" i="2" s="1"/>
  <c r="Q31" i="2"/>
  <c r="R31" i="2" s="1"/>
  <c r="Q30" i="2"/>
  <c r="R30" i="2" s="1"/>
  <c r="Q29" i="2"/>
  <c r="R29" i="2" s="1"/>
  <c r="Q28" i="2"/>
  <c r="R28" i="2" s="1"/>
  <c r="Q27" i="2"/>
  <c r="R27" i="2" s="1"/>
  <c r="Q26" i="2"/>
  <c r="R26" i="2" s="1"/>
  <c r="R25" i="2"/>
  <c r="Q25" i="2"/>
  <c r="Q24" i="2"/>
  <c r="R24" i="2" s="1"/>
  <c r="Q23" i="2"/>
  <c r="R23" i="2" s="1"/>
  <c r="Q22" i="2"/>
  <c r="R22" i="2" s="1"/>
  <c r="Q21" i="2"/>
  <c r="R21" i="2" s="1"/>
  <c r="Q20" i="2"/>
  <c r="R20" i="2" s="1"/>
  <c r="Q19" i="2"/>
  <c r="R19" i="2" s="1"/>
  <c r="Q18" i="2"/>
  <c r="R18" i="2" s="1"/>
  <c r="R17" i="2"/>
  <c r="Q17" i="2"/>
  <c r="Q16" i="2"/>
  <c r="R16" i="2" s="1"/>
  <c r="Q15" i="2"/>
  <c r="R15" i="2" s="1"/>
  <c r="Q14" i="2"/>
  <c r="R14" i="2" s="1"/>
  <c r="Q13" i="2"/>
  <c r="R13" i="2" s="1"/>
  <c r="Q12" i="2"/>
  <c r="R12" i="2" s="1"/>
  <c r="Q11" i="2"/>
  <c r="R11" i="2" s="1"/>
  <c r="Q10" i="2"/>
  <c r="R10" i="2" s="1"/>
  <c r="R9" i="2"/>
  <c r="Q9" i="2"/>
  <c r="Q8" i="2"/>
  <c r="R8" i="2" s="1"/>
  <c r="Q7" i="2"/>
  <c r="R7" i="2" s="1"/>
  <c r="Q6" i="2"/>
  <c r="R6" i="2" s="1"/>
  <c r="Q5" i="2"/>
  <c r="R5" i="2" s="1"/>
  <c r="Q4" i="2"/>
  <c r="R4" i="2" s="1"/>
  <c r="Q3" i="2"/>
  <c r="R3" i="2" s="1"/>
  <c r="Q2" i="2"/>
  <c r="M27" i="6" l="1"/>
  <c r="M24" i="6"/>
  <c r="M21" i="6"/>
  <c r="M28" i="6"/>
  <c r="M23" i="6"/>
  <c r="M20" i="6"/>
  <c r="M19" i="6"/>
  <c r="M22" i="6"/>
  <c r="M25" i="6"/>
  <c r="M17" i="6"/>
  <c r="M16" i="6"/>
  <c r="M15" i="6"/>
  <c r="R2" i="2"/>
  <c r="A27" i="20"/>
  <c r="A39" i="19"/>
  <c r="A40" i="19"/>
  <c r="A194" i="16"/>
  <c r="A187" i="16"/>
  <c r="A196" i="16"/>
  <c r="A193" i="16"/>
  <c r="A190" i="16"/>
  <c r="A27" i="17"/>
  <c r="A188" i="16"/>
  <c r="A185" i="16"/>
  <c r="A191" i="16"/>
  <c r="A186" i="16"/>
  <c r="A183" i="16"/>
  <c r="A192" i="16"/>
  <c r="A189" i="16"/>
  <c r="A195" i="16"/>
  <c r="A184" i="16"/>
  <c r="A142" i="15"/>
  <c r="A138" i="15"/>
  <c r="A141" i="15"/>
  <c r="A137" i="15"/>
  <c r="A144" i="15"/>
  <c r="A140" i="15"/>
  <c r="A136" i="15"/>
  <c r="A63" i="14"/>
  <c r="A66" i="14"/>
  <c r="A135" i="15"/>
  <c r="A139" i="15"/>
  <c r="A143" i="15"/>
  <c r="A64" i="14"/>
  <c r="A65" i="14"/>
  <c r="A39" i="13"/>
  <c r="A40" i="13"/>
  <c r="A166" i="12"/>
  <c r="A168" i="12"/>
  <c r="A161" i="12"/>
  <c r="A163" i="12"/>
  <c r="A165" i="12"/>
  <c r="A167" i="12"/>
  <c r="A169" i="12"/>
  <c r="A160" i="12"/>
  <c r="A170" i="12"/>
  <c r="A159" i="12"/>
  <c r="A164" i="12"/>
  <c r="A162" i="12"/>
  <c r="A117" i="11"/>
  <c r="A118" i="11"/>
  <c r="A115" i="11"/>
  <c r="A113" i="11"/>
  <c r="A111" i="11"/>
  <c r="A116" i="11"/>
  <c r="A112" i="11"/>
  <c r="A63" i="10"/>
  <c r="A114" i="11"/>
  <c r="A66" i="10"/>
  <c r="A64" i="10"/>
  <c r="A65" i="10"/>
  <c r="A161" i="9"/>
  <c r="A167" i="9"/>
  <c r="A164" i="9"/>
  <c r="A169" i="9"/>
  <c r="A27" i="8"/>
  <c r="A170" i="9"/>
  <c r="A160" i="9"/>
  <c r="A159" i="9"/>
  <c r="A165" i="9"/>
  <c r="A163" i="9"/>
  <c r="A162" i="9"/>
  <c r="A166" i="9"/>
  <c r="A168" i="9"/>
  <c r="A76" i="7"/>
  <c r="A77" i="7"/>
  <c r="A79" i="7"/>
  <c r="A78" i="7"/>
  <c r="A75" i="7"/>
  <c r="A75" i="5"/>
  <c r="A79" i="5"/>
  <c r="A77" i="5"/>
  <c r="A76" i="5"/>
  <c r="A78" i="5"/>
  <c r="A194" i="4"/>
  <c r="A186" i="4"/>
  <c r="A195" i="4"/>
  <c r="A187" i="4"/>
  <c r="A196" i="4"/>
  <c r="A188" i="4"/>
  <c r="A189" i="4"/>
  <c r="A191" i="4"/>
  <c r="A183" i="4"/>
  <c r="A192" i="4"/>
  <c r="A184" i="4"/>
  <c r="A193" i="4"/>
  <c r="A185" i="4"/>
  <c r="A190" i="4"/>
  <c r="D15" i="3"/>
  <c r="D4" i="3"/>
  <c r="A34" i="20"/>
  <c r="A53" i="19"/>
  <c r="A291" i="16"/>
  <c r="A284" i="16"/>
  <c r="A22" i="18"/>
  <c r="A19" i="18"/>
  <c r="A54" i="19"/>
  <c r="A21" i="18"/>
  <c r="A34" i="17"/>
  <c r="A20" i="18"/>
  <c r="A292" i="16"/>
  <c r="A290" i="16"/>
  <c r="A287" i="16"/>
  <c r="A281" i="16"/>
  <c r="A293" i="16"/>
  <c r="A288" i="16"/>
  <c r="A285" i="16"/>
  <c r="A282" i="16"/>
  <c r="A283" i="16"/>
  <c r="A294" i="16"/>
  <c r="A289" i="16"/>
  <c r="A286" i="16"/>
  <c r="A214" i="15"/>
  <c r="A210" i="15"/>
  <c r="A206" i="15"/>
  <c r="A213" i="15"/>
  <c r="A209" i="15"/>
  <c r="A205" i="15"/>
  <c r="A212" i="15"/>
  <c r="A208" i="15"/>
  <c r="A211" i="15"/>
  <c r="A92" i="14"/>
  <c r="A91" i="14"/>
  <c r="A94" i="14"/>
  <c r="A207" i="15"/>
  <c r="A93" i="14"/>
  <c r="A54" i="13"/>
  <c r="A53" i="13"/>
  <c r="A245" i="12"/>
  <c r="A254" i="12"/>
  <c r="A253" i="12"/>
  <c r="A246" i="12"/>
  <c r="A247" i="12"/>
  <c r="A244" i="12"/>
  <c r="A251" i="12"/>
  <c r="A248" i="12"/>
  <c r="A243" i="12"/>
  <c r="A250" i="12"/>
  <c r="A252" i="12"/>
  <c r="A249" i="12"/>
  <c r="A172" i="11"/>
  <c r="A173" i="11"/>
  <c r="A174" i="11"/>
  <c r="A169" i="11"/>
  <c r="A168" i="11"/>
  <c r="A170" i="11"/>
  <c r="A94" i="10"/>
  <c r="A167" i="11"/>
  <c r="A171" i="11"/>
  <c r="A91" i="10"/>
  <c r="A93" i="10"/>
  <c r="A92" i="10"/>
  <c r="A252" i="9"/>
  <c r="A251" i="9"/>
  <c r="A249" i="9"/>
  <c r="A254" i="9"/>
  <c r="A243" i="9"/>
  <c r="A248" i="9"/>
  <c r="A253" i="9"/>
  <c r="A250" i="9"/>
  <c r="A247" i="9"/>
  <c r="A244" i="9"/>
  <c r="A245" i="9"/>
  <c r="A246" i="9"/>
  <c r="A34" i="8"/>
  <c r="A110" i="7"/>
  <c r="A112" i="7"/>
  <c r="A113" i="7"/>
  <c r="A114" i="7"/>
  <c r="A111" i="7"/>
  <c r="A113" i="5"/>
  <c r="A112" i="5"/>
  <c r="A114" i="5"/>
  <c r="A288" i="4"/>
  <c r="A289" i="4"/>
  <c r="A281" i="4"/>
  <c r="A290" i="4"/>
  <c r="A282" i="4"/>
  <c r="A291" i="4"/>
  <c r="A283" i="4"/>
  <c r="A292" i="4"/>
  <c r="A284" i="4"/>
  <c r="A110" i="5"/>
  <c r="A293" i="4"/>
  <c r="A285" i="4"/>
  <c r="A111" i="5"/>
  <c r="A294" i="4"/>
  <c r="A286" i="4"/>
  <c r="A287" i="4"/>
  <c r="AV19" i="4"/>
  <c r="AX19" i="4" s="1"/>
  <c r="AU19" i="4"/>
  <c r="F17" i="14"/>
  <c r="R21" i="4"/>
  <c r="F16" i="14"/>
  <c r="R16" i="4"/>
  <c r="A18" i="19"/>
  <c r="A16" i="20"/>
  <c r="A17" i="19"/>
  <c r="A16" i="17"/>
  <c r="A39" i="16"/>
  <c r="A35" i="16"/>
  <c r="A31" i="16"/>
  <c r="A41" i="16"/>
  <c r="A37" i="16"/>
  <c r="A33" i="16"/>
  <c r="A29" i="16"/>
  <c r="A40" i="16"/>
  <c r="A42" i="16"/>
  <c r="A36" i="16"/>
  <c r="A38" i="16"/>
  <c r="A32" i="16"/>
  <c r="A34" i="15"/>
  <c r="A30" i="15"/>
  <c r="A26" i="15"/>
  <c r="A34" i="16"/>
  <c r="A30" i="16"/>
  <c r="A33" i="15"/>
  <c r="A29" i="15"/>
  <c r="A25" i="15"/>
  <c r="A32" i="15"/>
  <c r="A28" i="15"/>
  <c r="A27" i="15"/>
  <c r="A31" i="15"/>
  <c r="A18" i="13"/>
  <c r="A19" i="14"/>
  <c r="A22" i="14"/>
  <c r="A20" i="14"/>
  <c r="A21" i="14"/>
  <c r="A17" i="13"/>
  <c r="A37" i="12"/>
  <c r="A30" i="12"/>
  <c r="A38" i="12"/>
  <c r="A36" i="12"/>
  <c r="A28" i="12"/>
  <c r="A35" i="12"/>
  <c r="A34" i="12"/>
  <c r="A32" i="12"/>
  <c r="A27" i="12"/>
  <c r="A33" i="12"/>
  <c r="A31" i="12"/>
  <c r="A29" i="12"/>
  <c r="A30" i="11"/>
  <c r="A27" i="11"/>
  <c r="A25" i="11"/>
  <c r="A28" i="11"/>
  <c r="A26" i="11"/>
  <c r="A23" i="11"/>
  <c r="A21" i="10"/>
  <c r="A29" i="11"/>
  <c r="A24" i="11"/>
  <c r="A20" i="10"/>
  <c r="A19" i="10"/>
  <c r="A22" i="10"/>
  <c r="A30" i="9"/>
  <c r="A35" i="9"/>
  <c r="A29" i="9"/>
  <c r="A34" i="9"/>
  <c r="A16" i="8"/>
  <c r="A28" i="9"/>
  <c r="A33" i="9"/>
  <c r="A38" i="9"/>
  <c r="A27" i="9"/>
  <c r="A32" i="9"/>
  <c r="A31" i="9"/>
  <c r="A37" i="9"/>
  <c r="A36" i="9"/>
  <c r="A20" i="7"/>
  <c r="A21" i="7"/>
  <c r="A22" i="7"/>
  <c r="A23" i="7"/>
  <c r="A24" i="7"/>
  <c r="A24" i="5"/>
  <c r="A23" i="5"/>
  <c r="A22" i="5"/>
  <c r="A20" i="5"/>
  <c r="A21" i="5"/>
  <c r="A36" i="4"/>
  <c r="A37" i="4"/>
  <c r="A29" i="4"/>
  <c r="A38" i="4"/>
  <c r="A39" i="4"/>
  <c r="A31" i="4"/>
  <c r="A40" i="4"/>
  <c r="A32" i="4"/>
  <c r="A42" i="4"/>
  <c r="A30" i="4"/>
  <c r="A41" i="4"/>
  <c r="A35" i="4"/>
  <c r="A34" i="4"/>
  <c r="A35" i="20"/>
  <c r="A35" i="17"/>
  <c r="A55" i="19"/>
  <c r="A298" i="16"/>
  <c r="A24" i="18"/>
  <c r="A303" i="16"/>
  <c r="A296" i="16"/>
  <c r="A26" i="18"/>
  <c r="A56" i="19"/>
  <c r="A23" i="18"/>
  <c r="A308" i="16"/>
  <c r="A25" i="18"/>
  <c r="A295" i="16"/>
  <c r="A306" i="16"/>
  <c r="A301" i="16"/>
  <c r="A304" i="16"/>
  <c r="A307" i="16"/>
  <c r="A299" i="16"/>
  <c r="A302" i="16"/>
  <c r="A297" i="16"/>
  <c r="A305" i="16"/>
  <c r="A300" i="16"/>
  <c r="A222" i="15"/>
  <c r="A218" i="15"/>
  <c r="A221" i="15"/>
  <c r="A217" i="15"/>
  <c r="A224" i="15"/>
  <c r="A220" i="15"/>
  <c r="A216" i="15"/>
  <c r="A96" i="14"/>
  <c r="A215" i="15"/>
  <c r="A95" i="14"/>
  <c r="A98" i="14"/>
  <c r="A219" i="15"/>
  <c r="A223" i="15"/>
  <c r="A97" i="14"/>
  <c r="A56" i="13"/>
  <c r="A55" i="13"/>
  <c r="A261" i="12"/>
  <c r="A258" i="12"/>
  <c r="A262" i="12"/>
  <c r="A255" i="12"/>
  <c r="A263" i="12"/>
  <c r="A256" i="12"/>
  <c r="A265" i="12"/>
  <c r="A259" i="12"/>
  <c r="A260" i="12"/>
  <c r="A264" i="12"/>
  <c r="A266" i="12"/>
  <c r="A257" i="12"/>
  <c r="A180" i="11"/>
  <c r="A181" i="11"/>
  <c r="A179" i="11"/>
  <c r="A182" i="11"/>
  <c r="A177" i="11"/>
  <c r="A176" i="11"/>
  <c r="A178" i="11"/>
  <c r="A175" i="11"/>
  <c r="A95" i="10"/>
  <c r="A96" i="10"/>
  <c r="A257" i="9"/>
  <c r="A256" i="9"/>
  <c r="A98" i="10"/>
  <c r="A261" i="9"/>
  <c r="A255" i="9"/>
  <c r="A265" i="9"/>
  <c r="A259" i="9"/>
  <c r="A264" i="9"/>
  <c r="A97" i="10"/>
  <c r="A258" i="9"/>
  <c r="A266" i="9"/>
  <c r="A262" i="9"/>
  <c r="A260" i="9"/>
  <c r="A263" i="9"/>
  <c r="A117" i="7"/>
  <c r="A35" i="8"/>
  <c r="A118" i="7"/>
  <c r="A119" i="7"/>
  <c r="A115" i="7"/>
  <c r="A116" i="7"/>
  <c r="A115" i="5"/>
  <c r="A304" i="4"/>
  <c r="A296" i="4"/>
  <c r="A305" i="4"/>
  <c r="A297" i="4"/>
  <c r="A306" i="4"/>
  <c r="A298" i="4"/>
  <c r="A307" i="4"/>
  <c r="A299" i="4"/>
  <c r="A308" i="4"/>
  <c r="A300" i="4"/>
  <c r="A116" i="5"/>
  <c r="A301" i="4"/>
  <c r="A117" i="5"/>
  <c r="A302" i="4"/>
  <c r="A118" i="5"/>
  <c r="A119" i="5"/>
  <c r="A303" i="4"/>
  <c r="A295" i="4"/>
  <c r="AU26" i="4"/>
  <c r="A26" i="20"/>
  <c r="A38" i="19"/>
  <c r="A26" i="17"/>
  <c r="A37" i="19"/>
  <c r="A182" i="16"/>
  <c r="A178" i="16"/>
  <c r="A175" i="16"/>
  <c r="A172" i="16"/>
  <c r="A179" i="16"/>
  <c r="A176" i="16"/>
  <c r="A173" i="16"/>
  <c r="A180" i="16"/>
  <c r="A177" i="16"/>
  <c r="A170" i="16"/>
  <c r="A174" i="16"/>
  <c r="A181" i="16"/>
  <c r="A169" i="16"/>
  <c r="A171" i="16"/>
  <c r="A134" i="15"/>
  <c r="A130" i="15"/>
  <c r="A126" i="15"/>
  <c r="A133" i="15"/>
  <c r="A129" i="15"/>
  <c r="A125" i="15"/>
  <c r="A132" i="15"/>
  <c r="A128" i="15"/>
  <c r="A127" i="15"/>
  <c r="A131" i="15"/>
  <c r="A60" i="14"/>
  <c r="A59" i="14"/>
  <c r="A62" i="14"/>
  <c r="A61" i="14"/>
  <c r="A38" i="13"/>
  <c r="A37" i="13"/>
  <c r="A157" i="12"/>
  <c r="A150" i="12"/>
  <c r="A152" i="12"/>
  <c r="A149" i="12"/>
  <c r="A158" i="12"/>
  <c r="A151" i="12"/>
  <c r="A155" i="12"/>
  <c r="A156" i="12"/>
  <c r="A154" i="12"/>
  <c r="A147" i="12"/>
  <c r="A148" i="12"/>
  <c r="A153" i="12"/>
  <c r="A109" i="11"/>
  <c r="A110" i="11"/>
  <c r="A104" i="11"/>
  <c r="A107" i="11"/>
  <c r="A105" i="11"/>
  <c r="A103" i="11"/>
  <c r="A108" i="11"/>
  <c r="A106" i="11"/>
  <c r="A60" i="10"/>
  <c r="A59" i="10"/>
  <c r="A61" i="10"/>
  <c r="A62" i="10"/>
  <c r="A155" i="9"/>
  <c r="A154" i="9"/>
  <c r="A153" i="9"/>
  <c r="A150" i="9"/>
  <c r="A149" i="9"/>
  <c r="A148" i="9"/>
  <c r="A147" i="9"/>
  <c r="A151" i="9"/>
  <c r="A152" i="9"/>
  <c r="A26" i="8"/>
  <c r="A156" i="9"/>
  <c r="A158" i="9"/>
  <c r="A157" i="9"/>
  <c r="A74" i="7"/>
  <c r="A73" i="7"/>
  <c r="A70" i="7"/>
  <c r="A72" i="7"/>
  <c r="A71" i="7"/>
  <c r="A73" i="5"/>
  <c r="A72" i="5"/>
  <c r="A74" i="5"/>
  <c r="A71" i="5"/>
  <c r="A70" i="5"/>
  <c r="A178" i="4"/>
  <c r="A170" i="4"/>
  <c r="A179" i="4"/>
  <c r="A171" i="4"/>
  <c r="A180" i="4"/>
  <c r="A172" i="4"/>
  <c r="A181" i="4"/>
  <c r="A173" i="4"/>
  <c r="A175" i="4"/>
  <c r="A176" i="4"/>
  <c r="A174" i="4"/>
  <c r="A169" i="4"/>
  <c r="A182" i="4"/>
  <c r="A177" i="4"/>
  <c r="A36" i="20"/>
  <c r="A57" i="19"/>
  <c r="A58" i="19"/>
  <c r="A310" i="16"/>
  <c r="A312" i="16"/>
  <c r="A313" i="16"/>
  <c r="A320" i="16"/>
  <c r="A36" i="17"/>
  <c r="A322" i="16"/>
  <c r="A311" i="16"/>
  <c r="A318" i="16"/>
  <c r="A316" i="16"/>
  <c r="A309" i="16"/>
  <c r="A314" i="16"/>
  <c r="A321" i="16"/>
  <c r="A319" i="16"/>
  <c r="A317" i="16"/>
  <c r="A315" i="16"/>
  <c r="A234" i="15"/>
  <c r="A230" i="15"/>
  <c r="A226" i="15"/>
  <c r="A233" i="15"/>
  <c r="A229" i="15"/>
  <c r="A225" i="15"/>
  <c r="A232" i="15"/>
  <c r="A228" i="15"/>
  <c r="A231" i="15"/>
  <c r="A99" i="14"/>
  <c r="A102" i="14"/>
  <c r="A101" i="14"/>
  <c r="A100" i="14"/>
  <c r="A227" i="15"/>
  <c r="A58" i="13"/>
  <c r="A57" i="13"/>
  <c r="A277" i="12"/>
  <c r="A270" i="12"/>
  <c r="A272" i="12"/>
  <c r="A274" i="12"/>
  <c r="A269" i="12"/>
  <c r="A278" i="12"/>
  <c r="A271" i="12"/>
  <c r="A273" i="12"/>
  <c r="A267" i="12"/>
  <c r="A276" i="12"/>
  <c r="A275" i="12"/>
  <c r="A268" i="12"/>
  <c r="A188" i="11"/>
  <c r="A100" i="10"/>
  <c r="A189" i="11"/>
  <c r="A187" i="11"/>
  <c r="A190" i="11"/>
  <c r="A101" i="10"/>
  <c r="A185" i="11"/>
  <c r="A184" i="11"/>
  <c r="A186" i="11"/>
  <c r="A99" i="10"/>
  <c r="A183" i="11"/>
  <c r="A102" i="10"/>
  <c r="A268" i="9"/>
  <c r="A273" i="9"/>
  <c r="A267" i="9"/>
  <c r="A272" i="9"/>
  <c r="A278" i="9"/>
  <c r="A271" i="9"/>
  <c r="A277" i="9"/>
  <c r="A270" i="9"/>
  <c r="A276" i="9"/>
  <c r="A275" i="9"/>
  <c r="A269" i="9"/>
  <c r="A274" i="9"/>
  <c r="A122" i="7"/>
  <c r="A123" i="7"/>
  <c r="A36" i="8"/>
  <c r="A120" i="7"/>
  <c r="A124" i="7"/>
  <c r="A121" i="7"/>
  <c r="A121" i="5"/>
  <c r="A120" i="5"/>
  <c r="A122" i="5"/>
  <c r="A123" i="5"/>
  <c r="A318" i="4"/>
  <c r="A310" i="4"/>
  <c r="A315" i="4"/>
  <c r="A311" i="4"/>
  <c r="A319" i="4"/>
  <c r="A124" i="5"/>
  <c r="A320" i="4"/>
  <c r="A313" i="4"/>
  <c r="A321" i="4"/>
  <c r="A317" i="4"/>
  <c r="A309" i="4"/>
  <c r="A314" i="4"/>
  <c r="A322" i="4"/>
  <c r="A316" i="4"/>
  <c r="A312" i="4"/>
  <c r="A37" i="20"/>
  <c r="A335" i="16"/>
  <c r="A328" i="16"/>
  <c r="A334" i="16"/>
  <c r="A60" i="19"/>
  <c r="A325" i="16"/>
  <c r="A329" i="16"/>
  <c r="A59" i="19"/>
  <c r="A37" i="17"/>
  <c r="A336" i="16"/>
  <c r="A330" i="16"/>
  <c r="A327" i="16"/>
  <c r="A333" i="16"/>
  <c r="A331" i="16"/>
  <c r="A323" i="16"/>
  <c r="A332" i="16"/>
  <c r="A326" i="16"/>
  <c r="A324" i="16"/>
  <c r="A242" i="15"/>
  <c r="A238" i="15"/>
  <c r="A241" i="15"/>
  <c r="A237" i="15"/>
  <c r="A244" i="15"/>
  <c r="A240" i="15"/>
  <c r="A236" i="15"/>
  <c r="A105" i="14"/>
  <c r="A235" i="15"/>
  <c r="A239" i="15"/>
  <c r="A104" i="14"/>
  <c r="A243" i="15"/>
  <c r="A103" i="14"/>
  <c r="A106" i="14"/>
  <c r="A59" i="13"/>
  <c r="A60" i="13"/>
  <c r="A284" i="12"/>
  <c r="A286" i="12"/>
  <c r="A288" i="12"/>
  <c r="A281" i="12"/>
  <c r="A290" i="12"/>
  <c r="A283" i="12"/>
  <c r="A285" i="12"/>
  <c r="A287" i="12"/>
  <c r="A289" i="12"/>
  <c r="A279" i="12"/>
  <c r="A282" i="12"/>
  <c r="A280" i="12"/>
  <c r="A196" i="11"/>
  <c r="A191" i="11"/>
  <c r="A194" i="11"/>
  <c r="A195" i="11"/>
  <c r="A198" i="11"/>
  <c r="A193" i="11"/>
  <c r="A197" i="11"/>
  <c r="A192" i="11"/>
  <c r="A104" i="10"/>
  <c r="A103" i="10"/>
  <c r="A105" i="10"/>
  <c r="A106" i="10"/>
  <c r="A280" i="9"/>
  <c r="A282" i="9"/>
  <c r="A281" i="9"/>
  <c r="A279" i="9"/>
  <c r="A290" i="9"/>
  <c r="A289" i="9"/>
  <c r="A288" i="9"/>
  <c r="A287" i="9"/>
  <c r="A286" i="9"/>
  <c r="A285" i="9"/>
  <c r="A284" i="9"/>
  <c r="A283" i="9"/>
  <c r="A37" i="8"/>
  <c r="A125" i="7"/>
  <c r="A126" i="7"/>
  <c r="A128" i="7"/>
  <c r="A129" i="7"/>
  <c r="A127" i="7"/>
  <c r="A129" i="5"/>
  <c r="A128" i="5"/>
  <c r="A125" i="5"/>
  <c r="A334" i="4"/>
  <c r="A326" i="4"/>
  <c r="A126" i="5"/>
  <c r="A323" i="4"/>
  <c r="A331" i="4"/>
  <c r="A327" i="4"/>
  <c r="A335" i="4"/>
  <c r="A336" i="4"/>
  <c r="A324" i="4"/>
  <c r="A332" i="4"/>
  <c r="A329" i="4"/>
  <c r="A325" i="4"/>
  <c r="A127" i="5"/>
  <c r="A333" i="4"/>
  <c r="A330" i="4"/>
  <c r="A328" i="4"/>
  <c r="AE15" i="4"/>
  <c r="AO21" i="4"/>
  <c r="AP21" i="4" s="1"/>
  <c r="AR17" i="4"/>
  <c r="T15" i="20"/>
  <c r="AV22" i="4"/>
  <c r="AX22" i="4" s="1"/>
  <c r="AU22" i="4"/>
  <c r="A33" i="4"/>
  <c r="A18" i="20"/>
  <c r="A21" i="19"/>
  <c r="A22" i="19"/>
  <c r="A18" i="17"/>
  <c r="A67" i="16"/>
  <c r="A63" i="16"/>
  <c r="A59" i="16"/>
  <c r="A69" i="16"/>
  <c r="A65" i="16"/>
  <c r="A61" i="16"/>
  <c r="A57" i="16"/>
  <c r="A70" i="16"/>
  <c r="A66" i="16"/>
  <c r="A62" i="16"/>
  <c r="A58" i="16"/>
  <c r="A64" i="16"/>
  <c r="A54" i="15"/>
  <c r="A50" i="15"/>
  <c r="A46" i="15"/>
  <c r="A68" i="16"/>
  <c r="A53" i="15"/>
  <c r="A49" i="15"/>
  <c r="A45" i="15"/>
  <c r="A60" i="16"/>
  <c r="A52" i="15"/>
  <c r="A48" i="15"/>
  <c r="A47" i="15"/>
  <c r="A51" i="15"/>
  <c r="A30" i="14"/>
  <c r="A22" i="13"/>
  <c r="A29" i="14"/>
  <c r="A28" i="14"/>
  <c r="A27" i="14"/>
  <c r="A21" i="13"/>
  <c r="A58" i="12"/>
  <c r="A53" i="12"/>
  <c r="A62" i="12"/>
  <c r="A57" i="12"/>
  <c r="A59" i="12"/>
  <c r="A61" i="12"/>
  <c r="A52" i="12"/>
  <c r="A56" i="12"/>
  <c r="A51" i="12"/>
  <c r="A55" i="12"/>
  <c r="A54" i="12"/>
  <c r="A60" i="12"/>
  <c r="A46" i="11"/>
  <c r="A45" i="11"/>
  <c r="A43" i="11"/>
  <c r="A41" i="11"/>
  <c r="A39" i="11"/>
  <c r="A44" i="11"/>
  <c r="A29" i="10"/>
  <c r="A27" i="10"/>
  <c r="A40" i="11"/>
  <c r="A42" i="11"/>
  <c r="A30" i="10"/>
  <c r="A28" i="10"/>
  <c r="A58" i="9"/>
  <c r="A62" i="9"/>
  <c r="A54" i="9"/>
  <c r="A61" i="9"/>
  <c r="A53" i="9"/>
  <c r="A60" i="9"/>
  <c r="A52" i="9"/>
  <c r="A59" i="9"/>
  <c r="A51" i="9"/>
  <c r="A57" i="9"/>
  <c r="A18" i="8"/>
  <c r="A56" i="9"/>
  <c r="A55" i="9"/>
  <c r="A30" i="7"/>
  <c r="A31" i="7"/>
  <c r="A32" i="7"/>
  <c r="A33" i="7"/>
  <c r="A34" i="7"/>
  <c r="A33" i="5"/>
  <c r="A32" i="5"/>
  <c r="A34" i="5"/>
  <c r="A30" i="5"/>
  <c r="A31" i="5"/>
  <c r="A68" i="4"/>
  <c r="A60" i="4"/>
  <c r="A69" i="4"/>
  <c r="A61" i="4"/>
  <c r="A70" i="4"/>
  <c r="A62" i="4"/>
  <c r="A63" i="4"/>
  <c r="A64" i="4"/>
  <c r="A65" i="4"/>
  <c r="A57" i="4"/>
  <c r="A66" i="4"/>
  <c r="A58" i="4"/>
  <c r="A67" i="4"/>
  <c r="A59" i="4"/>
  <c r="A28" i="20"/>
  <c r="A41" i="19"/>
  <c r="A42" i="19"/>
  <c r="A207" i="16"/>
  <c r="A200" i="16"/>
  <c r="A28" i="17"/>
  <c r="A210" i="16"/>
  <c r="A199" i="16"/>
  <c r="A205" i="16"/>
  <c r="A202" i="16"/>
  <c r="A208" i="16"/>
  <c r="A206" i="16"/>
  <c r="A203" i="16"/>
  <c r="A209" i="16"/>
  <c r="A198" i="16"/>
  <c r="A204" i="16"/>
  <c r="A201" i="16"/>
  <c r="A197" i="16"/>
  <c r="A154" i="15"/>
  <c r="A150" i="15"/>
  <c r="A146" i="15"/>
  <c r="A153" i="15"/>
  <c r="A149" i="15"/>
  <c r="A145" i="15"/>
  <c r="A152" i="15"/>
  <c r="A148" i="15"/>
  <c r="A147" i="15"/>
  <c r="A67" i="14"/>
  <c r="A70" i="14"/>
  <c r="A151" i="15"/>
  <c r="A68" i="14"/>
  <c r="A69" i="14"/>
  <c r="A42" i="13"/>
  <c r="A41" i="13"/>
  <c r="A181" i="12"/>
  <c r="A173" i="12"/>
  <c r="A182" i="12"/>
  <c r="A175" i="12"/>
  <c r="A177" i="12"/>
  <c r="A180" i="12"/>
  <c r="A174" i="12"/>
  <c r="A176" i="12"/>
  <c r="A179" i="12"/>
  <c r="A172" i="12"/>
  <c r="A171" i="12"/>
  <c r="A178" i="12"/>
  <c r="A125" i="11"/>
  <c r="A126" i="11"/>
  <c r="A121" i="11"/>
  <c r="A124" i="11"/>
  <c r="A120" i="11"/>
  <c r="A122" i="11"/>
  <c r="A119" i="11"/>
  <c r="A123" i="11"/>
  <c r="A68" i="10"/>
  <c r="A70" i="10"/>
  <c r="A67" i="10"/>
  <c r="A69" i="10"/>
  <c r="A172" i="9"/>
  <c r="A177" i="9"/>
  <c r="A174" i="9"/>
  <c r="A182" i="9"/>
  <c r="A181" i="9"/>
  <c r="A180" i="9"/>
  <c r="A179" i="9"/>
  <c r="A28" i="8"/>
  <c r="A175" i="9"/>
  <c r="A171" i="9"/>
  <c r="A176" i="9"/>
  <c r="A173" i="9"/>
  <c r="A178" i="9"/>
  <c r="A84" i="7"/>
  <c r="A81" i="7"/>
  <c r="A80" i="7"/>
  <c r="A82" i="7"/>
  <c r="A83" i="7"/>
  <c r="A81" i="5"/>
  <c r="A80" i="5"/>
  <c r="A82" i="5"/>
  <c r="A84" i="5"/>
  <c r="A83" i="5"/>
  <c r="A210" i="4"/>
  <c r="A202" i="4"/>
  <c r="A203" i="4"/>
  <c r="A204" i="4"/>
  <c r="A205" i="4"/>
  <c r="A197" i="4"/>
  <c r="A207" i="4"/>
  <c r="A199" i="4"/>
  <c r="A208" i="4"/>
  <c r="A200" i="4"/>
  <c r="A209" i="4"/>
  <c r="A198" i="4"/>
  <c r="A206" i="4"/>
  <c r="A201" i="4"/>
  <c r="AV27" i="4"/>
  <c r="AX27" i="4" s="1"/>
  <c r="AU27" i="4"/>
  <c r="A29" i="20"/>
  <c r="A43" i="19"/>
  <c r="A44" i="19"/>
  <c r="A29" i="17"/>
  <c r="A221" i="16"/>
  <c r="A214" i="16"/>
  <c r="A222" i="16"/>
  <c r="A219" i="16"/>
  <c r="A212" i="16"/>
  <c r="A218" i="16"/>
  <c r="A216" i="16"/>
  <c r="A213" i="16"/>
  <c r="A223" i="16"/>
  <c r="A211" i="16"/>
  <c r="A217" i="16"/>
  <c r="A224" i="16"/>
  <c r="A220" i="16"/>
  <c r="A215" i="16"/>
  <c r="A162" i="15"/>
  <c r="A158" i="15"/>
  <c r="A161" i="15"/>
  <c r="A157" i="15"/>
  <c r="A164" i="15"/>
  <c r="A160" i="15"/>
  <c r="A156" i="15"/>
  <c r="A73" i="14"/>
  <c r="A155" i="15"/>
  <c r="A72" i="14"/>
  <c r="A159" i="15"/>
  <c r="A163" i="15"/>
  <c r="A71" i="14"/>
  <c r="A74" i="14"/>
  <c r="A43" i="13"/>
  <c r="A44" i="13"/>
  <c r="A190" i="12"/>
  <c r="A192" i="12"/>
  <c r="A185" i="12"/>
  <c r="A189" i="12"/>
  <c r="A191" i="12"/>
  <c r="A183" i="12"/>
  <c r="A193" i="12"/>
  <c r="A187" i="12"/>
  <c r="A186" i="12"/>
  <c r="A184" i="12"/>
  <c r="A194" i="12"/>
  <c r="A188" i="12"/>
  <c r="A133" i="11"/>
  <c r="A134" i="11"/>
  <c r="A129" i="11"/>
  <c r="A130" i="11"/>
  <c r="A127" i="11"/>
  <c r="A131" i="11"/>
  <c r="A72" i="10"/>
  <c r="A132" i="11"/>
  <c r="A128" i="11"/>
  <c r="A73" i="10"/>
  <c r="A74" i="10"/>
  <c r="A71" i="10"/>
  <c r="A188" i="9"/>
  <c r="A193" i="9"/>
  <c r="A190" i="9"/>
  <c r="A184" i="9"/>
  <c r="A185" i="9"/>
  <c r="A183" i="9"/>
  <c r="A187" i="9"/>
  <c r="A194" i="9"/>
  <c r="A192" i="9"/>
  <c r="A189" i="9"/>
  <c r="A186" i="9"/>
  <c r="A29" i="8"/>
  <c r="A191" i="9"/>
  <c r="A87" i="7"/>
  <c r="A88" i="7"/>
  <c r="A85" i="7"/>
  <c r="A89" i="7"/>
  <c r="A86" i="7"/>
  <c r="A89" i="5"/>
  <c r="A88" i="5"/>
  <c r="A86" i="5"/>
  <c r="A85" i="5"/>
  <c r="A87" i="5"/>
  <c r="A218" i="4"/>
  <c r="A219" i="4"/>
  <c r="A211" i="4"/>
  <c r="A220" i="4"/>
  <c r="A212" i="4"/>
  <c r="A221" i="4"/>
  <c r="A213" i="4"/>
  <c r="A223" i="4"/>
  <c r="A215" i="4"/>
  <c r="A224" i="4"/>
  <c r="A216" i="4"/>
  <c r="A222" i="4"/>
  <c r="A217" i="4"/>
  <c r="A214" i="4"/>
  <c r="A39" i="20"/>
  <c r="A361" i="16"/>
  <c r="A39" i="17"/>
  <c r="A351" i="16"/>
  <c r="A355" i="16"/>
  <c r="A352" i="16"/>
  <c r="A64" i="19"/>
  <c r="A353" i="16"/>
  <c r="A363" i="16"/>
  <c r="A63" i="19"/>
  <c r="A357" i="16"/>
  <c r="A354" i="16"/>
  <c r="A359" i="16"/>
  <c r="A362" i="16"/>
  <c r="A360" i="16"/>
  <c r="A356" i="16"/>
  <c r="A358" i="16"/>
  <c r="A364" i="16"/>
  <c r="A261" i="15"/>
  <c r="A264" i="15"/>
  <c r="A260" i="15"/>
  <c r="A256" i="15"/>
  <c r="A255" i="15"/>
  <c r="A259" i="15"/>
  <c r="A263" i="15"/>
  <c r="A258" i="15"/>
  <c r="A262" i="15"/>
  <c r="A257" i="15"/>
  <c r="A112" i="14"/>
  <c r="A111" i="14"/>
  <c r="A114" i="14"/>
  <c r="A113" i="14"/>
  <c r="A64" i="13"/>
  <c r="A63" i="13"/>
  <c r="A313" i="12"/>
  <c r="A306" i="12"/>
  <c r="A308" i="12"/>
  <c r="A310" i="12"/>
  <c r="A312" i="12"/>
  <c r="A314" i="12"/>
  <c r="A307" i="12"/>
  <c r="A309" i="12"/>
  <c r="A311" i="12"/>
  <c r="A303" i="12"/>
  <c r="A305" i="12"/>
  <c r="A304" i="12"/>
  <c r="A211" i="11"/>
  <c r="A214" i="11"/>
  <c r="A209" i="11"/>
  <c r="A212" i="11"/>
  <c r="A207" i="11"/>
  <c r="A213" i="11"/>
  <c r="A208" i="11"/>
  <c r="A210" i="11"/>
  <c r="A112" i="10"/>
  <c r="A308" i="9"/>
  <c r="A313" i="9"/>
  <c r="A113" i="10"/>
  <c r="A312" i="9"/>
  <c r="A311" i="9"/>
  <c r="A114" i="10"/>
  <c r="A303" i="9"/>
  <c r="A307" i="9"/>
  <c r="A306" i="9"/>
  <c r="A305" i="9"/>
  <c r="A304" i="9"/>
  <c r="A309" i="9"/>
  <c r="A310" i="9"/>
  <c r="A111" i="10"/>
  <c r="A314" i="9"/>
  <c r="A138" i="7"/>
  <c r="A136" i="7"/>
  <c r="A139" i="7"/>
  <c r="A137" i="7"/>
  <c r="A135" i="7"/>
  <c r="A39" i="8"/>
  <c r="A137" i="5"/>
  <c r="A357" i="4"/>
  <c r="A136" i="5"/>
  <c r="A138" i="5"/>
  <c r="A362" i="4"/>
  <c r="A354" i="4"/>
  <c r="A360" i="4"/>
  <c r="A358" i="4"/>
  <c r="A139" i="5"/>
  <c r="A352" i="4"/>
  <c r="A363" i="4"/>
  <c r="A351" i="4"/>
  <c r="A361" i="4"/>
  <c r="A356" i="4"/>
  <c r="A353" i="4"/>
  <c r="A135" i="5"/>
  <c r="A364" i="4"/>
  <c r="A359" i="4"/>
  <c r="A355" i="4"/>
  <c r="AG15" i="4"/>
  <c r="A19" i="20"/>
  <c r="A19" i="17"/>
  <c r="A24" i="19"/>
  <c r="A23" i="19"/>
  <c r="A83" i="16"/>
  <c r="A79" i="16"/>
  <c r="A75" i="16"/>
  <c r="A71" i="16"/>
  <c r="A84" i="16"/>
  <c r="A80" i="16"/>
  <c r="A76" i="16"/>
  <c r="A72" i="16"/>
  <c r="A81" i="16"/>
  <c r="A77" i="16"/>
  <c r="A73" i="16"/>
  <c r="A82" i="16"/>
  <c r="A78" i="16"/>
  <c r="A74" i="16"/>
  <c r="A62" i="15"/>
  <c r="A58" i="15"/>
  <c r="A61" i="15"/>
  <c r="A57" i="15"/>
  <c r="A64" i="15"/>
  <c r="A60" i="15"/>
  <c r="A56" i="15"/>
  <c r="A63" i="15"/>
  <c r="A55" i="15"/>
  <c r="A59" i="15"/>
  <c r="A34" i="14"/>
  <c r="A31" i="14"/>
  <c r="A33" i="14"/>
  <c r="A24" i="13"/>
  <c r="A32" i="14"/>
  <c r="A23" i="13"/>
  <c r="A73" i="12"/>
  <c r="A67" i="12"/>
  <c r="A72" i="12"/>
  <c r="A69" i="12"/>
  <c r="A71" i="12"/>
  <c r="A74" i="12"/>
  <c r="A65" i="12"/>
  <c r="A68" i="12"/>
  <c r="A70" i="12"/>
  <c r="A66" i="12"/>
  <c r="A54" i="11"/>
  <c r="A63" i="12"/>
  <c r="A64" i="12"/>
  <c r="A53" i="11"/>
  <c r="A52" i="11"/>
  <c r="A31" i="10"/>
  <c r="A51" i="11"/>
  <c r="A50" i="11"/>
  <c r="A48" i="11"/>
  <c r="A32" i="10"/>
  <c r="A47" i="11"/>
  <c r="A49" i="11"/>
  <c r="A33" i="10"/>
  <c r="A34" i="10"/>
  <c r="A74" i="9"/>
  <c r="A69" i="9"/>
  <c r="A68" i="9"/>
  <c r="A67" i="9"/>
  <c r="A66" i="9"/>
  <c r="A73" i="9"/>
  <c r="A65" i="9"/>
  <c r="A72" i="9"/>
  <c r="A64" i="9"/>
  <c r="A63" i="9"/>
  <c r="A71" i="9"/>
  <c r="A70" i="9"/>
  <c r="A19" i="8"/>
  <c r="A35" i="7"/>
  <c r="A36" i="7"/>
  <c r="A37" i="7"/>
  <c r="A38" i="7"/>
  <c r="A39" i="7"/>
  <c r="A35" i="5"/>
  <c r="A39" i="5"/>
  <c r="A38" i="5"/>
  <c r="A37" i="5"/>
  <c r="A36" i="5"/>
  <c r="A84" i="4"/>
  <c r="A76" i="4"/>
  <c r="A77" i="4"/>
  <c r="A78" i="4"/>
  <c r="A79" i="4"/>
  <c r="A71" i="4"/>
  <c r="A80" i="4"/>
  <c r="A72" i="4"/>
  <c r="A81" i="4"/>
  <c r="A73" i="4"/>
  <c r="A82" i="4"/>
  <c r="A74" i="4"/>
  <c r="A83" i="4"/>
  <c r="A75" i="4"/>
  <c r="A20" i="20"/>
  <c r="A25" i="19"/>
  <c r="A26" i="19"/>
  <c r="A20" i="17"/>
  <c r="A95" i="16"/>
  <c r="A98" i="16"/>
  <c r="A91" i="16"/>
  <c r="A87" i="16"/>
  <c r="A92" i="16"/>
  <c r="A88" i="16"/>
  <c r="A96" i="16"/>
  <c r="A93" i="16"/>
  <c r="A89" i="16"/>
  <c r="A85" i="16"/>
  <c r="A97" i="16"/>
  <c r="A94" i="16"/>
  <c r="A90" i="16"/>
  <c r="A86" i="16"/>
  <c r="A74" i="15"/>
  <c r="A70" i="15"/>
  <c r="A66" i="15"/>
  <c r="A73" i="15"/>
  <c r="A69" i="15"/>
  <c r="A65" i="15"/>
  <c r="A72" i="15"/>
  <c r="A68" i="15"/>
  <c r="A38" i="14"/>
  <c r="A67" i="15"/>
  <c r="A71" i="15"/>
  <c r="A36" i="14"/>
  <c r="A35" i="14"/>
  <c r="A25" i="13"/>
  <c r="A37" i="14"/>
  <c r="A26" i="13"/>
  <c r="A86" i="12"/>
  <c r="A81" i="12"/>
  <c r="A85" i="12"/>
  <c r="A83" i="12"/>
  <c r="A77" i="12"/>
  <c r="A75" i="12"/>
  <c r="A82" i="12"/>
  <c r="A76" i="12"/>
  <c r="A78" i="12"/>
  <c r="A80" i="12"/>
  <c r="A84" i="12"/>
  <c r="A79" i="12"/>
  <c r="A62" i="11"/>
  <c r="A60" i="11"/>
  <c r="A59" i="11"/>
  <c r="A57" i="11"/>
  <c r="A56" i="11"/>
  <c r="A58" i="11"/>
  <c r="A36" i="10"/>
  <c r="A38" i="10"/>
  <c r="A61" i="11"/>
  <c r="A35" i="10"/>
  <c r="A55" i="11"/>
  <c r="A37" i="10"/>
  <c r="A86" i="9"/>
  <c r="A77" i="9"/>
  <c r="A85" i="9"/>
  <c r="A76" i="9"/>
  <c r="A84" i="9"/>
  <c r="A75" i="9"/>
  <c r="A83" i="9"/>
  <c r="A82" i="9"/>
  <c r="A81" i="9"/>
  <c r="A80" i="9"/>
  <c r="A79" i="9"/>
  <c r="A20" i="8"/>
  <c r="A78" i="9"/>
  <c r="A43" i="7"/>
  <c r="A44" i="7"/>
  <c r="A40" i="7"/>
  <c r="A41" i="7"/>
  <c r="A42" i="7"/>
  <c r="A41" i="5"/>
  <c r="A40" i="5"/>
  <c r="A42" i="5"/>
  <c r="A44" i="5"/>
  <c r="A43" i="5"/>
  <c r="A92" i="4"/>
  <c r="A93" i="4"/>
  <c r="A85" i="4"/>
  <c r="A94" i="4"/>
  <c r="A86" i="4"/>
  <c r="A95" i="4"/>
  <c r="A87" i="4"/>
  <c r="A96" i="4"/>
  <c r="A88" i="4"/>
  <c r="A97" i="4"/>
  <c r="A89" i="4"/>
  <c r="A98" i="4"/>
  <c r="A90" i="4"/>
  <c r="A91" i="4"/>
  <c r="A40" i="20"/>
  <c r="A65" i="19"/>
  <c r="A376" i="16"/>
  <c r="A365" i="16"/>
  <c r="A373" i="16"/>
  <c r="A370" i="16"/>
  <c r="A367" i="16"/>
  <c r="A371" i="16"/>
  <c r="A66" i="19"/>
  <c r="A40" i="17"/>
  <c r="A375" i="16"/>
  <c r="A372" i="16"/>
  <c r="A366" i="16"/>
  <c r="A378" i="16"/>
  <c r="A374" i="16"/>
  <c r="A369" i="16"/>
  <c r="A377" i="16"/>
  <c r="A368" i="16"/>
  <c r="A273" i="15"/>
  <c r="A269" i="15"/>
  <c r="A265" i="15"/>
  <c r="A272" i="15"/>
  <c r="A268" i="15"/>
  <c r="A267" i="15"/>
  <c r="A271" i="15"/>
  <c r="A266" i="15"/>
  <c r="A270" i="15"/>
  <c r="A274" i="15"/>
  <c r="A116" i="14"/>
  <c r="A115" i="14"/>
  <c r="A118" i="14"/>
  <c r="A117" i="14"/>
  <c r="A66" i="13"/>
  <c r="A65" i="13"/>
  <c r="A322" i="12"/>
  <c r="A324" i="12"/>
  <c r="A323" i="12"/>
  <c r="A318" i="12"/>
  <c r="A315" i="12"/>
  <c r="A321" i="12"/>
  <c r="A320" i="12"/>
  <c r="A317" i="12"/>
  <c r="A319" i="12"/>
  <c r="A325" i="12"/>
  <c r="A316" i="12"/>
  <c r="A326" i="12"/>
  <c r="A219" i="11"/>
  <c r="A222" i="11"/>
  <c r="A217" i="11"/>
  <c r="A116" i="10"/>
  <c r="A220" i="11"/>
  <c r="A218" i="11"/>
  <c r="A117" i="10"/>
  <c r="A221" i="11"/>
  <c r="A216" i="11"/>
  <c r="A215" i="11"/>
  <c r="A118" i="10"/>
  <c r="A324" i="9"/>
  <c r="A318" i="9"/>
  <c r="A115" i="10"/>
  <c r="A317" i="9"/>
  <c r="A319" i="9"/>
  <c r="A320" i="9"/>
  <c r="A321" i="9"/>
  <c r="A323" i="9"/>
  <c r="A322" i="9"/>
  <c r="A325" i="9"/>
  <c r="A326" i="9"/>
  <c r="A315" i="9"/>
  <c r="A316" i="9"/>
  <c r="A142" i="7"/>
  <c r="A143" i="7"/>
  <c r="A140" i="7"/>
  <c r="A40" i="8"/>
  <c r="A144" i="7"/>
  <c r="A141" i="7"/>
  <c r="A373" i="4"/>
  <c r="A365" i="4"/>
  <c r="A144" i="5"/>
  <c r="A378" i="4"/>
  <c r="A370" i="4"/>
  <c r="A368" i="4"/>
  <c r="A143" i="5"/>
  <c r="A376" i="4"/>
  <c r="A375" i="4"/>
  <c r="A371" i="4"/>
  <c r="A366" i="4"/>
  <c r="A374" i="4"/>
  <c r="A140" i="5"/>
  <c r="A142" i="5"/>
  <c r="A369" i="4"/>
  <c r="A141" i="5"/>
  <c r="A377" i="4"/>
  <c r="A372" i="4"/>
  <c r="A367" i="4"/>
  <c r="A21" i="20"/>
  <c r="A28" i="19"/>
  <c r="A27" i="19"/>
  <c r="A21" i="17"/>
  <c r="A111" i="16"/>
  <c r="A107" i="16"/>
  <c r="A103" i="16"/>
  <c r="A99" i="16"/>
  <c r="A108" i="16"/>
  <c r="A105" i="16"/>
  <c r="A112" i="16"/>
  <c r="A102" i="16"/>
  <c r="A109" i="16"/>
  <c r="A106" i="16"/>
  <c r="A110" i="16"/>
  <c r="A100" i="16"/>
  <c r="A104" i="16"/>
  <c r="A82" i="15"/>
  <c r="A78" i="15"/>
  <c r="A81" i="15"/>
  <c r="A77" i="15"/>
  <c r="A84" i="15"/>
  <c r="A80" i="15"/>
  <c r="A76" i="15"/>
  <c r="A101" i="16"/>
  <c r="A83" i="15"/>
  <c r="A75" i="15"/>
  <c r="A79" i="15"/>
  <c r="A42" i="14"/>
  <c r="A41" i="14"/>
  <c r="A40" i="14"/>
  <c r="A27" i="13"/>
  <c r="A39" i="14"/>
  <c r="A28" i="13"/>
  <c r="A97" i="12"/>
  <c r="A92" i="12"/>
  <c r="A96" i="12"/>
  <c r="A98" i="12"/>
  <c r="A93" i="12"/>
  <c r="A94" i="12"/>
  <c r="A91" i="12"/>
  <c r="A90" i="12"/>
  <c r="A89" i="12"/>
  <c r="A95" i="12"/>
  <c r="A87" i="12"/>
  <c r="A88" i="12"/>
  <c r="A69" i="11"/>
  <c r="A70" i="11"/>
  <c r="A67" i="11"/>
  <c r="A65" i="11"/>
  <c r="A66" i="11"/>
  <c r="A64" i="11"/>
  <c r="A40" i="10"/>
  <c r="A68" i="11"/>
  <c r="A41" i="10"/>
  <c r="A63" i="11"/>
  <c r="A39" i="10"/>
  <c r="A42" i="10"/>
  <c r="A91" i="9"/>
  <c r="A90" i="9"/>
  <c r="A98" i="9"/>
  <c r="A97" i="9"/>
  <c r="A96" i="9"/>
  <c r="A95" i="9"/>
  <c r="A94" i="9"/>
  <c r="A93" i="9"/>
  <c r="A92" i="9"/>
  <c r="A89" i="9"/>
  <c r="A21" i="8"/>
  <c r="A87" i="9"/>
  <c r="A88" i="9"/>
  <c r="A45" i="7"/>
  <c r="A46" i="7"/>
  <c r="A47" i="7"/>
  <c r="A48" i="7"/>
  <c r="A49" i="7"/>
  <c r="A49" i="5"/>
  <c r="A48" i="5"/>
  <c r="A47" i="5"/>
  <c r="A46" i="5"/>
  <c r="A45" i="5"/>
  <c r="A108" i="4"/>
  <c r="A100" i="4"/>
  <c r="A109" i="4"/>
  <c r="A101" i="4"/>
  <c r="A110" i="4"/>
  <c r="A102" i="4"/>
  <c r="A111" i="4"/>
  <c r="A103" i="4"/>
  <c r="A112" i="4"/>
  <c r="A104" i="4"/>
  <c r="A105" i="4"/>
  <c r="A106" i="4"/>
  <c r="A99" i="4"/>
  <c r="A107" i="4"/>
  <c r="A31" i="20"/>
  <c r="A48" i="19"/>
  <c r="A47" i="19"/>
  <c r="A242" i="16"/>
  <c r="A246" i="16"/>
  <c r="A239" i="16"/>
  <c r="A250" i="16"/>
  <c r="A243" i="16"/>
  <c r="A247" i="16"/>
  <c r="A240" i="16"/>
  <c r="A251" i="16"/>
  <c r="A244" i="16"/>
  <c r="A248" i="16"/>
  <c r="A241" i="16"/>
  <c r="A31" i="17"/>
  <c r="A252" i="16"/>
  <c r="A245" i="16"/>
  <c r="A182" i="15"/>
  <c r="A178" i="15"/>
  <c r="A181" i="15"/>
  <c r="A177" i="15"/>
  <c r="A184" i="15"/>
  <c r="A180" i="15"/>
  <c r="A176" i="15"/>
  <c r="A249" i="16"/>
  <c r="A80" i="14"/>
  <c r="A175" i="15"/>
  <c r="A79" i="14"/>
  <c r="A82" i="14"/>
  <c r="A179" i="15"/>
  <c r="A183" i="15"/>
  <c r="A81" i="14"/>
  <c r="A48" i="13"/>
  <c r="A47" i="13"/>
  <c r="A218" i="12"/>
  <c r="A213" i="12"/>
  <c r="A208" i="12"/>
  <c r="A217" i="12"/>
  <c r="A210" i="12"/>
  <c r="A216" i="12"/>
  <c r="A215" i="12"/>
  <c r="A212" i="12"/>
  <c r="A214" i="12"/>
  <c r="A211" i="12"/>
  <c r="A209" i="12"/>
  <c r="A207" i="12"/>
  <c r="A148" i="11"/>
  <c r="A149" i="11"/>
  <c r="A150" i="11"/>
  <c r="A145" i="11"/>
  <c r="A143" i="11"/>
  <c r="A147" i="11"/>
  <c r="A144" i="11"/>
  <c r="A146" i="11"/>
  <c r="A79" i="10"/>
  <c r="A81" i="10"/>
  <c r="A82" i="10"/>
  <c r="A80" i="10"/>
  <c r="A209" i="9"/>
  <c r="A211" i="9"/>
  <c r="A210" i="9"/>
  <c r="A207" i="9"/>
  <c r="A208" i="9"/>
  <c r="A212" i="9"/>
  <c r="A214" i="9"/>
  <c r="A213" i="9"/>
  <c r="A216" i="9"/>
  <c r="A215" i="9"/>
  <c r="A218" i="9"/>
  <c r="A217" i="9"/>
  <c r="A31" i="8"/>
  <c r="A95" i="7"/>
  <c r="A96" i="7"/>
  <c r="A98" i="7"/>
  <c r="A99" i="7"/>
  <c r="A97" i="7"/>
  <c r="A97" i="5"/>
  <c r="A96" i="5"/>
  <c r="A98" i="5"/>
  <c r="A95" i="5"/>
  <c r="A99" i="5"/>
  <c r="A250" i="4"/>
  <c r="A242" i="4"/>
  <c r="A251" i="4"/>
  <c r="A243" i="4"/>
  <c r="A252" i="4"/>
  <c r="A244" i="4"/>
  <c r="A245" i="4"/>
  <c r="A246" i="4"/>
  <c r="A247" i="4"/>
  <c r="A239" i="4"/>
  <c r="A248" i="4"/>
  <c r="A240" i="4"/>
  <c r="A249" i="4"/>
  <c r="A241" i="4"/>
  <c r="AV24" i="4"/>
  <c r="AX24" i="4" s="1"/>
  <c r="AU24" i="4"/>
  <c r="A32" i="20"/>
  <c r="A18" i="18"/>
  <c r="A15" i="18"/>
  <c r="A16" i="18"/>
  <c r="A32" i="17"/>
  <c r="A17" i="18"/>
  <c r="A50" i="19"/>
  <c r="A260" i="16"/>
  <c r="A253" i="16"/>
  <c r="A264" i="16"/>
  <c r="A257" i="16"/>
  <c r="A261" i="16"/>
  <c r="A254" i="16"/>
  <c r="A265" i="16"/>
  <c r="A258" i="16"/>
  <c r="A262" i="16"/>
  <c r="A255" i="16"/>
  <c r="A49" i="19"/>
  <c r="A263" i="16"/>
  <c r="A259" i="16"/>
  <c r="A256" i="16"/>
  <c r="A266" i="16"/>
  <c r="A194" i="15"/>
  <c r="A190" i="15"/>
  <c r="A186" i="15"/>
  <c r="A193" i="15"/>
  <c r="A189" i="15"/>
  <c r="A185" i="15"/>
  <c r="A192" i="15"/>
  <c r="A188" i="15"/>
  <c r="A191" i="15"/>
  <c r="A83" i="14"/>
  <c r="A86" i="14"/>
  <c r="A85" i="14"/>
  <c r="A84" i="14"/>
  <c r="A187" i="15"/>
  <c r="A50" i="13"/>
  <c r="A49" i="13"/>
  <c r="A221" i="12"/>
  <c r="A225" i="12"/>
  <c r="A222" i="12"/>
  <c r="A219" i="12"/>
  <c r="A229" i="12"/>
  <c r="A227" i="12"/>
  <c r="A224" i="12"/>
  <c r="A223" i="12"/>
  <c r="A230" i="12"/>
  <c r="A220" i="12"/>
  <c r="A228" i="12"/>
  <c r="A226" i="12"/>
  <c r="A156" i="11"/>
  <c r="A84" i="10"/>
  <c r="A157" i="11"/>
  <c r="A158" i="11"/>
  <c r="A85" i="10"/>
  <c r="A153" i="11"/>
  <c r="A155" i="11"/>
  <c r="A152" i="11"/>
  <c r="A154" i="11"/>
  <c r="A151" i="11"/>
  <c r="A83" i="10"/>
  <c r="A86" i="10"/>
  <c r="A220" i="9"/>
  <c r="A225" i="9"/>
  <c r="A222" i="9"/>
  <c r="A227" i="9"/>
  <c r="A226" i="9"/>
  <c r="A228" i="9"/>
  <c r="A230" i="9"/>
  <c r="A229" i="9"/>
  <c r="A219" i="9"/>
  <c r="A221" i="9"/>
  <c r="A223" i="9"/>
  <c r="A224" i="9"/>
  <c r="A32" i="8"/>
  <c r="A103" i="7"/>
  <c r="A104" i="7"/>
  <c r="A100" i="7"/>
  <c r="A101" i="7"/>
  <c r="A102" i="7"/>
  <c r="A104" i="5"/>
  <c r="A103" i="5"/>
  <c r="A101" i="5"/>
  <c r="A265" i="4"/>
  <c r="A102" i="5"/>
  <c r="A266" i="4"/>
  <c r="A259" i="4"/>
  <c r="A260" i="4"/>
  <c r="A261" i="4"/>
  <c r="A100" i="5"/>
  <c r="A262" i="4"/>
  <c r="A264" i="4"/>
  <c r="A258" i="4"/>
  <c r="A255" i="4"/>
  <c r="A257" i="4"/>
  <c r="A253" i="4"/>
  <c r="A256" i="4"/>
  <c r="A254" i="4"/>
  <c r="A263" i="4"/>
  <c r="AV23" i="4"/>
  <c r="AX23" i="4" s="1"/>
  <c r="AU23" i="4"/>
  <c r="R6470" i="2"/>
  <c r="A23" i="20"/>
  <c r="A31" i="19"/>
  <c r="A23" i="17"/>
  <c r="A32" i="19"/>
  <c r="A139" i="16"/>
  <c r="A135" i="16"/>
  <c r="A131" i="16"/>
  <c r="A127" i="16"/>
  <c r="A132" i="16"/>
  <c r="A129" i="16"/>
  <c r="A136" i="16"/>
  <c r="A133" i="16"/>
  <c r="A140" i="16"/>
  <c r="A130" i="16"/>
  <c r="A137" i="16"/>
  <c r="A134" i="16"/>
  <c r="A138" i="16"/>
  <c r="A102" i="15"/>
  <c r="A98" i="15"/>
  <c r="A101" i="15"/>
  <c r="A97" i="15"/>
  <c r="A104" i="15"/>
  <c r="A100" i="15"/>
  <c r="A96" i="15"/>
  <c r="A128" i="16"/>
  <c r="A50" i="14"/>
  <c r="A95" i="15"/>
  <c r="A99" i="15"/>
  <c r="A103" i="15"/>
  <c r="A48" i="14"/>
  <c r="A47" i="14"/>
  <c r="A49" i="14"/>
  <c r="A32" i="13"/>
  <c r="A31" i="13"/>
  <c r="A113" i="12"/>
  <c r="A121" i="12"/>
  <c r="A115" i="12"/>
  <c r="A120" i="12"/>
  <c r="A114" i="12"/>
  <c r="A119" i="12"/>
  <c r="A117" i="12"/>
  <c r="A112" i="12"/>
  <c r="A118" i="12"/>
  <c r="A116" i="12"/>
  <c r="A122" i="12"/>
  <c r="A111" i="12"/>
  <c r="A85" i="11"/>
  <c r="A86" i="11"/>
  <c r="A83" i="11"/>
  <c r="A81" i="11"/>
  <c r="A79" i="11"/>
  <c r="A84" i="11"/>
  <c r="A80" i="11"/>
  <c r="A82" i="11"/>
  <c r="A47" i="10"/>
  <c r="A49" i="10"/>
  <c r="A48" i="10"/>
  <c r="A50" i="10"/>
  <c r="A122" i="9"/>
  <c r="A121" i="9"/>
  <c r="A120" i="9"/>
  <c r="A119" i="9"/>
  <c r="A118" i="9"/>
  <c r="A117" i="9"/>
  <c r="A116" i="9"/>
  <c r="A115" i="9"/>
  <c r="A113" i="9"/>
  <c r="A114" i="9"/>
  <c r="A112" i="9"/>
  <c r="A111" i="9"/>
  <c r="A23" i="8"/>
  <c r="A59" i="7"/>
  <c r="A55" i="7"/>
  <c r="A56" i="7"/>
  <c r="A57" i="7"/>
  <c r="A58" i="7"/>
  <c r="A57" i="5"/>
  <c r="A56" i="5"/>
  <c r="A58" i="5"/>
  <c r="A55" i="5"/>
  <c r="A59" i="5"/>
  <c r="A139" i="4"/>
  <c r="A136" i="4"/>
  <c r="A132" i="4"/>
  <c r="A133" i="4"/>
  <c r="A137" i="4"/>
  <c r="A140" i="4"/>
  <c r="A127" i="4"/>
  <c r="A134" i="4"/>
  <c r="A128" i="4"/>
  <c r="A138" i="4"/>
  <c r="A135" i="4"/>
  <c r="A129" i="4"/>
  <c r="A130" i="4"/>
  <c r="A131" i="4"/>
  <c r="A42" i="20"/>
  <c r="A70" i="19"/>
  <c r="A42" i="17"/>
  <c r="A401" i="16"/>
  <c r="A394" i="16"/>
  <c r="A405" i="16"/>
  <c r="A397" i="16"/>
  <c r="A395" i="16"/>
  <c r="A69" i="19"/>
  <c r="A398" i="16"/>
  <c r="A404" i="16"/>
  <c r="A399" i="16"/>
  <c r="A396" i="16"/>
  <c r="A393" i="16"/>
  <c r="A402" i="16"/>
  <c r="A406" i="16"/>
  <c r="A403" i="16"/>
  <c r="A400" i="16"/>
  <c r="A293" i="15"/>
  <c r="A289" i="15"/>
  <c r="A285" i="15"/>
  <c r="A292" i="15"/>
  <c r="A288" i="15"/>
  <c r="A125" i="14"/>
  <c r="A291" i="15"/>
  <c r="A286" i="15"/>
  <c r="A290" i="15"/>
  <c r="A294" i="15"/>
  <c r="A126" i="14"/>
  <c r="A287" i="15"/>
  <c r="A124" i="14"/>
  <c r="A123" i="14"/>
  <c r="A346" i="12"/>
  <c r="A348" i="12"/>
  <c r="A70" i="13"/>
  <c r="A343" i="12"/>
  <c r="A349" i="12"/>
  <c r="A347" i="12"/>
  <c r="A342" i="12"/>
  <c r="A339" i="12"/>
  <c r="A340" i="12"/>
  <c r="A345" i="12"/>
  <c r="A341" i="12"/>
  <c r="A69" i="13"/>
  <c r="A350" i="12"/>
  <c r="A344" i="12"/>
  <c r="A234" i="11"/>
  <c r="A237" i="11"/>
  <c r="A232" i="11"/>
  <c r="A235" i="11"/>
  <c r="A238" i="11"/>
  <c r="A233" i="11"/>
  <c r="A236" i="11"/>
  <c r="A231" i="11"/>
  <c r="A126" i="10"/>
  <c r="A341" i="9"/>
  <c r="A345" i="9"/>
  <c r="A125" i="10"/>
  <c r="A123" i="10"/>
  <c r="A346" i="9"/>
  <c r="A343" i="9"/>
  <c r="A340" i="9"/>
  <c r="A339" i="9"/>
  <c r="A349" i="9"/>
  <c r="A124" i="10"/>
  <c r="A350" i="9"/>
  <c r="A347" i="9"/>
  <c r="A344" i="9"/>
  <c r="A348" i="9"/>
  <c r="A342" i="9"/>
  <c r="A150" i="7"/>
  <c r="A42" i="8"/>
  <c r="A153" i="7"/>
  <c r="A152" i="7"/>
  <c r="A154" i="7"/>
  <c r="A151" i="7"/>
  <c r="A153" i="5"/>
  <c r="A405" i="4"/>
  <c r="A397" i="4"/>
  <c r="A152" i="5"/>
  <c r="A400" i="4"/>
  <c r="A154" i="5"/>
  <c r="A402" i="4"/>
  <c r="A394" i="4"/>
  <c r="A396" i="4"/>
  <c r="A399" i="4"/>
  <c r="A151" i="5"/>
  <c r="A404" i="4"/>
  <c r="A150" i="5"/>
  <c r="A403" i="4"/>
  <c r="A406" i="4"/>
  <c r="A401" i="4"/>
  <c r="A393" i="4"/>
  <c r="A395" i="4"/>
  <c r="A398" i="4"/>
  <c r="AU17" i="4"/>
  <c r="AO18" i="4"/>
  <c r="AP18" i="4" s="1"/>
  <c r="AV17" i="4"/>
  <c r="AV20" i="4"/>
  <c r="AX20" i="4" s="1"/>
  <c r="AU20" i="4"/>
  <c r="A24" i="20"/>
  <c r="A34" i="19"/>
  <c r="A33" i="19"/>
  <c r="A24" i="17"/>
  <c r="A154" i="16"/>
  <c r="A147" i="16"/>
  <c r="A143" i="16"/>
  <c r="A152" i="16"/>
  <c r="A151" i="16"/>
  <c r="A145" i="16"/>
  <c r="A142" i="16"/>
  <c r="A149" i="16"/>
  <c r="A146" i="16"/>
  <c r="A153" i="16"/>
  <c r="A150" i="16"/>
  <c r="A144" i="16"/>
  <c r="A141" i="16"/>
  <c r="A148" i="16"/>
  <c r="A114" i="15"/>
  <c r="A110" i="15"/>
  <c r="A106" i="15"/>
  <c r="A113" i="15"/>
  <c r="A109" i="15"/>
  <c r="A105" i="15"/>
  <c r="A112" i="15"/>
  <c r="A108" i="15"/>
  <c r="A51" i="14"/>
  <c r="A107" i="15"/>
  <c r="A54" i="14"/>
  <c r="A111" i="15"/>
  <c r="A53" i="14"/>
  <c r="A34" i="13"/>
  <c r="A52" i="14"/>
  <c r="A33" i="13"/>
  <c r="A125" i="12"/>
  <c r="A129" i="12"/>
  <c r="A133" i="12"/>
  <c r="A126" i="12"/>
  <c r="A134" i="12"/>
  <c r="A127" i="12"/>
  <c r="A124" i="12"/>
  <c r="A123" i="12"/>
  <c r="A128" i="12"/>
  <c r="A131" i="12"/>
  <c r="A130" i="12"/>
  <c r="A132" i="12"/>
  <c r="A93" i="11"/>
  <c r="A94" i="11"/>
  <c r="A88" i="11"/>
  <c r="A91" i="11"/>
  <c r="A89" i="11"/>
  <c r="A87" i="11"/>
  <c r="A51" i="10"/>
  <c r="A92" i="11"/>
  <c r="A90" i="11"/>
  <c r="A53" i="10"/>
  <c r="A52" i="10"/>
  <c r="A54" i="10"/>
  <c r="A129" i="9"/>
  <c r="A123" i="9"/>
  <c r="A124" i="9"/>
  <c r="A128" i="9"/>
  <c r="A127" i="9"/>
  <c r="A126" i="9"/>
  <c r="A125" i="9"/>
  <c r="A133" i="9"/>
  <c r="A131" i="9"/>
  <c r="A24" i="8"/>
  <c r="A130" i="9"/>
  <c r="A132" i="9"/>
  <c r="A134" i="9"/>
  <c r="A60" i="7"/>
  <c r="A61" i="7"/>
  <c r="A62" i="7"/>
  <c r="A63" i="7"/>
  <c r="A64" i="7"/>
  <c r="A64" i="5"/>
  <c r="A63" i="5"/>
  <c r="A62" i="5"/>
  <c r="A61" i="5"/>
  <c r="A60" i="5"/>
  <c r="A154" i="4"/>
  <c r="A146" i="4"/>
  <c r="A148" i="4"/>
  <c r="A149" i="4"/>
  <c r="A152" i="4"/>
  <c r="A150" i="4"/>
  <c r="A143" i="4"/>
  <c r="A142" i="4"/>
  <c r="A151" i="4"/>
  <c r="A145" i="4"/>
  <c r="A144" i="4"/>
  <c r="A147" i="4"/>
  <c r="A141" i="4"/>
  <c r="A153" i="4"/>
  <c r="A43" i="20"/>
  <c r="A71" i="19"/>
  <c r="A72" i="19"/>
  <c r="A419" i="16"/>
  <c r="A412" i="16"/>
  <c r="A32" i="18"/>
  <c r="A420" i="16"/>
  <c r="A417" i="16"/>
  <c r="A411" i="16"/>
  <c r="A408" i="16"/>
  <c r="A414" i="16"/>
  <c r="A34" i="18"/>
  <c r="A31" i="18"/>
  <c r="A409" i="16"/>
  <c r="A33" i="18"/>
  <c r="A413" i="16"/>
  <c r="A410" i="16"/>
  <c r="A407" i="16"/>
  <c r="A416" i="16"/>
  <c r="A43" i="17"/>
  <c r="A418" i="16"/>
  <c r="A415" i="16"/>
  <c r="A301" i="15"/>
  <c r="A297" i="15"/>
  <c r="A304" i="15"/>
  <c r="A300" i="15"/>
  <c r="A296" i="15"/>
  <c r="A128" i="14"/>
  <c r="A295" i="15"/>
  <c r="A299" i="15"/>
  <c r="A303" i="15"/>
  <c r="A130" i="14"/>
  <c r="A298" i="15"/>
  <c r="A302" i="15"/>
  <c r="A129" i="14"/>
  <c r="A127" i="14"/>
  <c r="A362" i="12"/>
  <c r="A357" i="12"/>
  <c r="A71" i="13"/>
  <c r="A358" i="12"/>
  <c r="A359" i="12"/>
  <c r="A361" i="12"/>
  <c r="A355" i="12"/>
  <c r="A356" i="12"/>
  <c r="A352" i="12"/>
  <c r="A360" i="12"/>
  <c r="A72" i="13"/>
  <c r="A353" i="12"/>
  <c r="A351" i="12"/>
  <c r="A354" i="12"/>
  <c r="A243" i="11"/>
  <c r="A241" i="11"/>
  <c r="A239" i="11"/>
  <c r="A246" i="11"/>
  <c r="A242" i="11"/>
  <c r="A244" i="11"/>
  <c r="A240" i="11"/>
  <c r="A245" i="11"/>
  <c r="A127" i="10"/>
  <c r="A357" i="9"/>
  <c r="A130" i="10"/>
  <c r="A361" i="9"/>
  <c r="A359" i="9"/>
  <c r="A358" i="9"/>
  <c r="A355" i="9"/>
  <c r="A354" i="9"/>
  <c r="A353" i="9"/>
  <c r="A128" i="10"/>
  <c r="A129" i="10"/>
  <c r="A362" i="9"/>
  <c r="A351" i="9"/>
  <c r="A356" i="9"/>
  <c r="A360" i="9"/>
  <c r="A352" i="9"/>
  <c r="A43" i="8"/>
  <c r="A158" i="7"/>
  <c r="A156" i="7"/>
  <c r="A159" i="7"/>
  <c r="A155" i="7"/>
  <c r="A157" i="7"/>
  <c r="A413" i="4"/>
  <c r="A416" i="4"/>
  <c r="A408" i="4"/>
  <c r="A418" i="4"/>
  <c r="A410" i="4"/>
  <c r="A158" i="5"/>
  <c r="A411" i="4"/>
  <c r="A156" i="5"/>
  <c r="A155" i="5"/>
  <c r="A412" i="4"/>
  <c r="A409" i="4"/>
  <c r="A159" i="5"/>
  <c r="A157" i="5"/>
  <c r="A419" i="4"/>
  <c r="A415" i="4"/>
  <c r="A414" i="4"/>
  <c r="A407" i="4"/>
  <c r="A417" i="4"/>
  <c r="A420" i="4"/>
  <c r="R139" i="4"/>
  <c r="F60" i="14"/>
  <c r="R170" i="4"/>
  <c r="AB15" i="4"/>
  <c r="BH19" i="4"/>
  <c r="R26" i="4"/>
  <c r="AO28" i="4"/>
  <c r="AP28" i="4" s="1"/>
  <c r="R52" i="4"/>
  <c r="AE23" i="4"/>
  <c r="AV25" i="4"/>
  <c r="R31" i="4"/>
  <c r="R34" i="4"/>
  <c r="F21" i="14"/>
  <c r="R35" i="4"/>
  <c r="F17" i="18"/>
  <c r="F34" i="18"/>
  <c r="F29" i="18"/>
  <c r="F33" i="18"/>
  <c r="F18" i="18"/>
  <c r="F25" i="18"/>
  <c r="F22" i="18"/>
  <c r="F21" i="18"/>
  <c r="F26" i="18"/>
  <c r="H68" i="13"/>
  <c r="M68" i="13" s="1"/>
  <c r="H52" i="13"/>
  <c r="M52" i="13" s="1"/>
  <c r="H36" i="13"/>
  <c r="M36" i="13" s="1"/>
  <c r="H20" i="13"/>
  <c r="M20" i="13" s="1"/>
  <c r="H59" i="13"/>
  <c r="M59" i="13" s="1"/>
  <c r="H33" i="13"/>
  <c r="M33" i="13" s="1"/>
  <c r="H25" i="13"/>
  <c r="M25" i="13" s="1"/>
  <c r="H22" i="13"/>
  <c r="M22" i="13" s="1"/>
  <c r="H53" i="13"/>
  <c r="M53" i="13" s="1"/>
  <c r="H70" i="13"/>
  <c r="M70" i="13" s="1"/>
  <c r="H30" i="13"/>
  <c r="M30" i="13" s="1"/>
  <c r="H27" i="13"/>
  <c r="M27" i="13" s="1"/>
  <c r="H16" i="13"/>
  <c r="M16" i="13" s="1"/>
  <c r="H41" i="13"/>
  <c r="M41" i="13" s="1"/>
  <c r="H38" i="13"/>
  <c r="M38" i="13" s="1"/>
  <c r="I15" i="13"/>
  <c r="H69" i="13"/>
  <c r="M69" i="13" s="1"/>
  <c r="H57" i="13"/>
  <c r="M57" i="13" s="1"/>
  <c r="H43" i="13"/>
  <c r="M43" i="13" s="1"/>
  <c r="H23" i="13"/>
  <c r="M23" i="13" s="1"/>
  <c r="H32" i="13"/>
  <c r="M32" i="13" s="1"/>
  <c r="H65" i="13"/>
  <c r="M65" i="13" s="1"/>
  <c r="H54" i="13"/>
  <c r="M54" i="13" s="1"/>
  <c r="G25" i="12"/>
  <c r="AC17" i="10"/>
  <c r="U22" i="9"/>
  <c r="U21" i="9"/>
  <c r="AW15" i="7"/>
  <c r="R20" i="4"/>
  <c r="AZ23" i="4"/>
  <c r="BB23" i="4" s="1"/>
  <c r="BE23" i="4" s="1"/>
  <c r="F22" i="14"/>
  <c r="T24" i="14"/>
  <c r="M24" i="14"/>
  <c r="W24" i="14" s="1"/>
  <c r="Z24" i="14" s="1"/>
  <c r="L24" i="14"/>
  <c r="F38" i="14"/>
  <c r="R108" i="4"/>
  <c r="R124" i="4"/>
  <c r="A22" i="20"/>
  <c r="A22" i="17"/>
  <c r="A29" i="19"/>
  <c r="A30" i="19"/>
  <c r="A123" i="16"/>
  <c r="A119" i="16"/>
  <c r="A115" i="16"/>
  <c r="A118" i="16"/>
  <c r="A125" i="16"/>
  <c r="A122" i="16"/>
  <c r="A126" i="16"/>
  <c r="A116" i="16"/>
  <c r="A113" i="16"/>
  <c r="A120" i="16"/>
  <c r="A117" i="16"/>
  <c r="A124" i="16"/>
  <c r="A114" i="16"/>
  <c r="A121" i="16"/>
  <c r="A94" i="15"/>
  <c r="A90" i="15"/>
  <c r="A86" i="15"/>
  <c r="A93" i="15"/>
  <c r="A89" i="15"/>
  <c r="A85" i="15"/>
  <c r="A92" i="15"/>
  <c r="A88" i="15"/>
  <c r="A87" i="15"/>
  <c r="A91" i="15"/>
  <c r="A46" i="14"/>
  <c r="A29" i="13"/>
  <c r="A45" i="14"/>
  <c r="A44" i="14"/>
  <c r="A43" i="14"/>
  <c r="A30" i="13"/>
  <c r="A102" i="12"/>
  <c r="A108" i="12"/>
  <c r="A101" i="12"/>
  <c r="A103" i="12"/>
  <c r="A110" i="12"/>
  <c r="A104" i="12"/>
  <c r="A109" i="12"/>
  <c r="A106" i="12"/>
  <c r="A99" i="12"/>
  <c r="A100" i="12"/>
  <c r="A105" i="12"/>
  <c r="A107" i="12"/>
  <c r="A77" i="11"/>
  <c r="A78" i="11"/>
  <c r="A72" i="11"/>
  <c r="A75" i="11"/>
  <c r="A73" i="11"/>
  <c r="A71" i="11"/>
  <c r="A76" i="11"/>
  <c r="A74" i="11"/>
  <c r="A44" i="10"/>
  <c r="A43" i="10"/>
  <c r="A45" i="10"/>
  <c r="A46" i="10"/>
  <c r="A107" i="9"/>
  <c r="A106" i="9"/>
  <c r="A105" i="9"/>
  <c r="A110" i="9"/>
  <c r="A109" i="9"/>
  <c r="A108" i="9"/>
  <c r="A104" i="9"/>
  <c r="A103" i="9"/>
  <c r="A102" i="9"/>
  <c r="A101" i="9"/>
  <c r="A22" i="8"/>
  <c r="A100" i="9"/>
  <c r="A99" i="9"/>
  <c r="A51" i="7"/>
  <c r="A52" i="7"/>
  <c r="A53" i="7"/>
  <c r="A54" i="7"/>
  <c r="A50" i="7"/>
  <c r="A50" i="5"/>
  <c r="A52" i="5"/>
  <c r="A51" i="5"/>
  <c r="A54" i="5"/>
  <c r="A53" i="5"/>
  <c r="A124" i="4"/>
  <c r="A116" i="4"/>
  <c r="A125" i="4"/>
  <c r="A117" i="4"/>
  <c r="A126" i="4"/>
  <c r="A118" i="4"/>
  <c r="A119" i="4"/>
  <c r="A120" i="4"/>
  <c r="A121" i="4"/>
  <c r="A113" i="4"/>
  <c r="A122" i="4"/>
  <c r="A114" i="4"/>
  <c r="A30" i="20"/>
  <c r="A45" i="19"/>
  <c r="A46" i="19"/>
  <c r="A30" i="17"/>
  <c r="A232" i="16"/>
  <c r="A236" i="16"/>
  <c r="A233" i="16"/>
  <c r="A226" i="16"/>
  <c r="A230" i="16"/>
  <c r="A227" i="16"/>
  <c r="A238" i="16"/>
  <c r="A234" i="16"/>
  <c r="A225" i="16"/>
  <c r="A228" i="16"/>
  <c r="A237" i="16"/>
  <c r="A235" i="16"/>
  <c r="A231" i="16"/>
  <c r="A229" i="16"/>
  <c r="A174" i="15"/>
  <c r="A170" i="15"/>
  <c r="A166" i="15"/>
  <c r="A173" i="15"/>
  <c r="A169" i="15"/>
  <c r="A165" i="15"/>
  <c r="A172" i="15"/>
  <c r="A168" i="15"/>
  <c r="A171" i="15"/>
  <c r="A76" i="14"/>
  <c r="A75" i="14"/>
  <c r="A78" i="14"/>
  <c r="A167" i="15"/>
  <c r="A77" i="14"/>
  <c r="A45" i="13"/>
  <c r="A46" i="13"/>
  <c r="A197" i="12"/>
  <c r="A206" i="12"/>
  <c r="A199" i="12"/>
  <c r="A201" i="12"/>
  <c r="A205" i="12"/>
  <c r="A198" i="12"/>
  <c r="A200" i="12"/>
  <c r="A202" i="12"/>
  <c r="A196" i="12"/>
  <c r="A204" i="12"/>
  <c r="A195" i="12"/>
  <c r="A203" i="12"/>
  <c r="A140" i="11"/>
  <c r="A141" i="11"/>
  <c r="A142" i="11"/>
  <c r="A137" i="11"/>
  <c r="A135" i="11"/>
  <c r="A136" i="11"/>
  <c r="A138" i="11"/>
  <c r="A139" i="11"/>
  <c r="A77" i="10"/>
  <c r="A78" i="10"/>
  <c r="A204" i="9"/>
  <c r="A76" i="10"/>
  <c r="A206" i="9"/>
  <c r="A195" i="9"/>
  <c r="A75" i="10"/>
  <c r="A201" i="9"/>
  <c r="A199" i="9"/>
  <c r="A197" i="9"/>
  <c r="A205" i="9"/>
  <c r="A198" i="9"/>
  <c r="A196" i="9"/>
  <c r="A200" i="9"/>
  <c r="A202" i="9"/>
  <c r="A30" i="8"/>
  <c r="A203" i="9"/>
  <c r="A92" i="7"/>
  <c r="A93" i="7"/>
  <c r="A91" i="7"/>
  <c r="A90" i="7"/>
  <c r="A94" i="7"/>
  <c r="A90" i="5"/>
  <c r="A93" i="5"/>
  <c r="A92" i="5"/>
  <c r="A94" i="5"/>
  <c r="A91" i="5"/>
  <c r="A234" i="4"/>
  <c r="A226" i="4"/>
  <c r="A235" i="4"/>
  <c r="A227" i="4"/>
  <c r="A236" i="4"/>
  <c r="A228" i="4"/>
  <c r="A237" i="4"/>
  <c r="A229" i="4"/>
  <c r="A238" i="4"/>
  <c r="A231" i="4"/>
  <c r="A232" i="4"/>
  <c r="A233" i="4"/>
  <c r="A225" i="4"/>
  <c r="A230" i="4"/>
  <c r="A38" i="20"/>
  <c r="A38" i="17"/>
  <c r="A62" i="19"/>
  <c r="A346" i="16"/>
  <c r="A341" i="16"/>
  <c r="A348" i="16"/>
  <c r="A339" i="16"/>
  <c r="A61" i="19"/>
  <c r="A350" i="16"/>
  <c r="A344" i="16"/>
  <c r="A337" i="16"/>
  <c r="A338" i="16"/>
  <c r="A349" i="16"/>
  <c r="A345" i="16"/>
  <c r="A347" i="16"/>
  <c r="A343" i="16"/>
  <c r="A342" i="16"/>
  <c r="A340" i="16"/>
  <c r="A252" i="15"/>
  <c r="A250" i="15"/>
  <c r="A246" i="15"/>
  <c r="A254" i="15"/>
  <c r="A249" i="15"/>
  <c r="A245" i="15"/>
  <c r="A253" i="15"/>
  <c r="A248" i="15"/>
  <c r="A251" i="15"/>
  <c r="A108" i="14"/>
  <c r="A107" i="14"/>
  <c r="A110" i="14"/>
  <c r="A247" i="15"/>
  <c r="A109" i="14"/>
  <c r="A61" i="13"/>
  <c r="A62" i="13"/>
  <c r="A297" i="12"/>
  <c r="A293" i="12"/>
  <c r="A295" i="12"/>
  <c r="A300" i="12"/>
  <c r="A299" i="12"/>
  <c r="A302" i="12"/>
  <c r="A294" i="12"/>
  <c r="A296" i="12"/>
  <c r="A301" i="12"/>
  <c r="A298" i="12"/>
  <c r="A292" i="12"/>
  <c r="A291" i="12"/>
  <c r="A206" i="11"/>
  <c r="A201" i="11"/>
  <c r="A204" i="11"/>
  <c r="A199" i="11"/>
  <c r="A205" i="11"/>
  <c r="A200" i="11"/>
  <c r="A203" i="11"/>
  <c r="A202" i="11"/>
  <c r="A109" i="10"/>
  <c r="A108" i="10"/>
  <c r="A110" i="10"/>
  <c r="A297" i="9"/>
  <c r="A296" i="9"/>
  <c r="A295" i="9"/>
  <c r="A302" i="9"/>
  <c r="A301" i="9"/>
  <c r="A107" i="10"/>
  <c r="A300" i="9"/>
  <c r="A294" i="9"/>
  <c r="A293" i="9"/>
  <c r="A292" i="9"/>
  <c r="A291" i="9"/>
  <c r="A298" i="9"/>
  <c r="A299" i="9"/>
  <c r="A38" i="8"/>
  <c r="A130" i="7"/>
  <c r="A131" i="7"/>
  <c r="A133" i="7"/>
  <c r="A134" i="7"/>
  <c r="A132" i="7"/>
  <c r="A130" i="5"/>
  <c r="A134" i="5"/>
  <c r="A350" i="4"/>
  <c r="A342" i="4"/>
  <c r="A346" i="4"/>
  <c r="A338" i="4"/>
  <c r="A339" i="4"/>
  <c r="A347" i="4"/>
  <c r="A343" i="4"/>
  <c r="A131" i="5"/>
  <c r="A344" i="4"/>
  <c r="A132" i="5"/>
  <c r="A340" i="4"/>
  <c r="A348" i="4"/>
  <c r="A345" i="4"/>
  <c r="A337" i="4"/>
  <c r="A133" i="5"/>
  <c r="A341" i="4"/>
  <c r="A349" i="4"/>
  <c r="L15" i="14"/>
  <c r="T15" i="14"/>
  <c r="AZ20" i="4"/>
  <c r="BB20" i="4" s="1"/>
  <c r="BE20" i="4" s="1"/>
  <c r="R23" i="4"/>
  <c r="BH24" i="4"/>
  <c r="G22" i="12" s="1"/>
  <c r="BH26" i="4"/>
  <c r="R36" i="4"/>
  <c r="R42" i="4"/>
  <c r="R44" i="4"/>
  <c r="R92" i="4"/>
  <c r="R76" i="4"/>
  <c r="R136" i="4"/>
  <c r="O4" i="4"/>
  <c r="AZ27" i="4"/>
  <c r="BB27" i="4" s="1"/>
  <c r="R27" i="4"/>
  <c r="AZ19" i="4"/>
  <c r="BB19" i="4" s="1"/>
  <c r="BE19" i="4" s="1"/>
  <c r="AR21" i="4"/>
  <c r="F18" i="14"/>
  <c r="AZ22" i="4"/>
  <c r="BB22" i="4" s="1"/>
  <c r="R22" i="4"/>
  <c r="BH23" i="4"/>
  <c r="R152" i="4"/>
  <c r="A17" i="20"/>
  <c r="A20" i="19"/>
  <c r="A19" i="19"/>
  <c r="A17" i="17"/>
  <c r="A55" i="16"/>
  <c r="A51" i="16"/>
  <c r="A47" i="16"/>
  <c r="A43" i="16"/>
  <c r="A53" i="16"/>
  <c r="A49" i="16"/>
  <c r="A45" i="16"/>
  <c r="A44" i="16"/>
  <c r="A48" i="16"/>
  <c r="A46" i="16"/>
  <c r="A52" i="16"/>
  <c r="A50" i="16"/>
  <c r="A42" i="15"/>
  <c r="A38" i="15"/>
  <c r="A56" i="16"/>
  <c r="A54" i="16"/>
  <c r="A41" i="15"/>
  <c r="A37" i="15"/>
  <c r="A44" i="15"/>
  <c r="A40" i="15"/>
  <c r="A36" i="15"/>
  <c r="A43" i="15"/>
  <c r="A35" i="15"/>
  <c r="A26" i="14"/>
  <c r="A39" i="15"/>
  <c r="A23" i="14"/>
  <c r="A25" i="14"/>
  <c r="A24" i="14"/>
  <c r="A19" i="13"/>
  <c r="A20" i="13"/>
  <c r="A42" i="12"/>
  <c r="A46" i="12"/>
  <c r="A41" i="12"/>
  <c r="A45" i="12"/>
  <c r="A43" i="12"/>
  <c r="A40" i="12"/>
  <c r="A39" i="12"/>
  <c r="A48" i="12"/>
  <c r="A44" i="12"/>
  <c r="A49" i="12"/>
  <c r="A50" i="12"/>
  <c r="A38" i="11"/>
  <c r="A47" i="12"/>
  <c r="A35" i="11"/>
  <c r="A33" i="11"/>
  <c r="A24" i="10"/>
  <c r="A36" i="11"/>
  <c r="A32" i="11"/>
  <c r="A34" i="11"/>
  <c r="A37" i="11"/>
  <c r="A31" i="11"/>
  <c r="A25" i="10"/>
  <c r="A23" i="10"/>
  <c r="A26" i="10"/>
  <c r="A46" i="9"/>
  <c r="A40" i="9"/>
  <c r="A45" i="9"/>
  <c r="A39" i="9"/>
  <c r="A44" i="9"/>
  <c r="A50" i="9"/>
  <c r="A43" i="9"/>
  <c r="A48" i="9"/>
  <c r="A49" i="9"/>
  <c r="A47" i="9"/>
  <c r="A41" i="9"/>
  <c r="A42" i="9"/>
  <c r="A17" i="8"/>
  <c r="A27" i="7"/>
  <c r="A28" i="7"/>
  <c r="A29" i="7"/>
  <c r="A25" i="7"/>
  <c r="A26" i="7"/>
  <c r="A25" i="5"/>
  <c r="A26" i="5"/>
  <c r="A28" i="5"/>
  <c r="A27" i="5"/>
  <c r="A29" i="5"/>
  <c r="A52" i="4"/>
  <c r="A44" i="4"/>
  <c r="A53" i="4"/>
  <c r="A45" i="4"/>
  <c r="A54" i="4"/>
  <c r="A46" i="4"/>
  <c r="A55" i="4"/>
  <c r="A47" i="4"/>
  <c r="A56" i="4"/>
  <c r="A48" i="4"/>
  <c r="A49" i="4"/>
  <c r="A50" i="4"/>
  <c r="A25" i="20"/>
  <c r="A25" i="17"/>
  <c r="A36" i="19"/>
  <c r="A35" i="19"/>
  <c r="A157" i="16"/>
  <c r="A168" i="16"/>
  <c r="A161" i="16"/>
  <c r="A165" i="16"/>
  <c r="A166" i="16"/>
  <c r="A159" i="16"/>
  <c r="A163" i="16"/>
  <c r="A167" i="16"/>
  <c r="A160" i="16"/>
  <c r="A162" i="16"/>
  <c r="A164" i="16"/>
  <c r="A155" i="16"/>
  <c r="A158" i="16"/>
  <c r="A156" i="16"/>
  <c r="A122" i="15"/>
  <c r="A118" i="15"/>
  <c r="A121" i="15"/>
  <c r="A117" i="15"/>
  <c r="A124" i="15"/>
  <c r="A120" i="15"/>
  <c r="A116" i="15"/>
  <c r="A115" i="15"/>
  <c r="A56" i="14"/>
  <c r="A119" i="15"/>
  <c r="A55" i="14"/>
  <c r="A123" i="15"/>
  <c r="A58" i="14"/>
  <c r="A57" i="14"/>
  <c r="A36" i="13"/>
  <c r="A35" i="13"/>
  <c r="A141" i="12"/>
  <c r="A145" i="12"/>
  <c r="A142" i="12"/>
  <c r="A135" i="12"/>
  <c r="A143" i="12"/>
  <c r="A139" i="12"/>
  <c r="A137" i="12"/>
  <c r="A146" i="12"/>
  <c r="A140" i="12"/>
  <c r="A138" i="12"/>
  <c r="A136" i="12"/>
  <c r="A144" i="12"/>
  <c r="A101" i="11"/>
  <c r="A102" i="11"/>
  <c r="A99" i="11"/>
  <c r="A97" i="11"/>
  <c r="A95" i="11"/>
  <c r="A100" i="11"/>
  <c r="A96" i="11"/>
  <c r="A98" i="11"/>
  <c r="A56" i="10"/>
  <c r="A58" i="10"/>
  <c r="A57" i="10"/>
  <c r="A55" i="10"/>
  <c r="A145" i="9"/>
  <c r="A139" i="9"/>
  <c r="A138" i="9"/>
  <c r="A137" i="9"/>
  <c r="A136" i="9"/>
  <c r="A140" i="9"/>
  <c r="A144" i="9"/>
  <c r="A143" i="9"/>
  <c r="A142" i="9"/>
  <c r="A141" i="9"/>
  <c r="A146" i="9"/>
  <c r="A25" i="8"/>
  <c r="A135" i="9"/>
  <c r="A69" i="7"/>
  <c r="A66" i="7"/>
  <c r="A67" i="7"/>
  <c r="A68" i="7"/>
  <c r="A65" i="7"/>
  <c r="A65" i="5"/>
  <c r="A66" i="5"/>
  <c r="A69" i="5"/>
  <c r="A68" i="5"/>
  <c r="A67" i="5"/>
  <c r="A162" i="4"/>
  <c r="A163" i="4"/>
  <c r="A155" i="4"/>
  <c r="A164" i="4"/>
  <c r="A156" i="4"/>
  <c r="A165" i="4"/>
  <c r="A157" i="4"/>
  <c r="A167" i="4"/>
  <c r="A159" i="4"/>
  <c r="A168" i="4"/>
  <c r="A160" i="4"/>
  <c r="A158" i="4"/>
  <c r="A166" i="4"/>
  <c r="A161" i="4"/>
  <c r="A33" i="20"/>
  <c r="A52" i="19"/>
  <c r="A51" i="19"/>
  <c r="A33" i="17"/>
  <c r="A280" i="16"/>
  <c r="A267" i="16"/>
  <c r="A277" i="16"/>
  <c r="A274" i="16"/>
  <c r="A271" i="16"/>
  <c r="A268" i="16"/>
  <c r="A278" i="16"/>
  <c r="A275" i="16"/>
  <c r="A272" i="16"/>
  <c r="A279" i="16"/>
  <c r="A273" i="16"/>
  <c r="A276" i="16"/>
  <c r="A270" i="16"/>
  <c r="A269" i="16"/>
  <c r="A202" i="15"/>
  <c r="A198" i="15"/>
  <c r="A201" i="15"/>
  <c r="A197" i="15"/>
  <c r="A204" i="15"/>
  <c r="A200" i="15"/>
  <c r="A196" i="15"/>
  <c r="A89" i="14"/>
  <c r="A195" i="15"/>
  <c r="A88" i="14"/>
  <c r="A199" i="15"/>
  <c r="A203" i="15"/>
  <c r="A87" i="14"/>
  <c r="A90" i="14"/>
  <c r="A51" i="13"/>
  <c r="A52" i="13"/>
  <c r="A238" i="12"/>
  <c r="A237" i="12"/>
  <c r="A236" i="12"/>
  <c r="A235" i="12"/>
  <c r="A232" i="12"/>
  <c r="A234" i="12"/>
  <c r="A231" i="12"/>
  <c r="A242" i="12"/>
  <c r="A241" i="12"/>
  <c r="A239" i="12"/>
  <c r="A240" i="12"/>
  <c r="A233" i="12"/>
  <c r="A164" i="11"/>
  <c r="A165" i="11"/>
  <c r="A166" i="11"/>
  <c r="A161" i="11"/>
  <c r="A160" i="11"/>
  <c r="A162" i="11"/>
  <c r="A89" i="10"/>
  <c r="A159" i="11"/>
  <c r="A163" i="11"/>
  <c r="A88" i="10"/>
  <c r="A90" i="10"/>
  <c r="A236" i="9"/>
  <c r="A241" i="9"/>
  <c r="A240" i="9"/>
  <c r="A87" i="10"/>
  <c r="A238" i="9"/>
  <c r="A242" i="9"/>
  <c r="A232" i="9"/>
  <c r="A231" i="9"/>
  <c r="A239" i="9"/>
  <c r="A233" i="9"/>
  <c r="A234" i="9"/>
  <c r="A235" i="9"/>
  <c r="A33" i="8"/>
  <c r="A237" i="9"/>
  <c r="A106" i="7"/>
  <c r="A108" i="7"/>
  <c r="A109" i="7"/>
  <c r="A107" i="7"/>
  <c r="A105" i="7"/>
  <c r="A105" i="5"/>
  <c r="A106" i="5"/>
  <c r="A108" i="5"/>
  <c r="A109" i="5"/>
  <c r="A280" i="4"/>
  <c r="A272" i="4"/>
  <c r="A107" i="5"/>
  <c r="A273" i="4"/>
  <c r="A274" i="4"/>
  <c r="A275" i="4"/>
  <c r="A267" i="4"/>
  <c r="A276" i="4"/>
  <c r="A268" i="4"/>
  <c r="A277" i="4"/>
  <c r="A269" i="4"/>
  <c r="A278" i="4"/>
  <c r="A270" i="4"/>
  <c r="A279" i="4"/>
  <c r="A271" i="4"/>
  <c r="A41" i="20"/>
  <c r="A27" i="18"/>
  <c r="A28" i="18"/>
  <c r="A68" i="19"/>
  <c r="A387" i="16"/>
  <c r="A380" i="16"/>
  <c r="A388" i="16"/>
  <c r="A385" i="16"/>
  <c r="A379" i="16"/>
  <c r="A382" i="16"/>
  <c r="A391" i="16"/>
  <c r="A29" i="18"/>
  <c r="A67" i="19"/>
  <c r="A41" i="17"/>
  <c r="A392" i="16"/>
  <c r="A389" i="16"/>
  <c r="A381" i="16"/>
  <c r="A384" i="16"/>
  <c r="A30" i="18"/>
  <c r="A390" i="16"/>
  <c r="A386" i="16"/>
  <c r="A383" i="16"/>
  <c r="A281" i="15"/>
  <c r="A277" i="15"/>
  <c r="A284" i="15"/>
  <c r="A280" i="15"/>
  <c r="A276" i="15"/>
  <c r="A282" i="15"/>
  <c r="A275" i="15"/>
  <c r="A120" i="14"/>
  <c r="A279" i="15"/>
  <c r="A283" i="15"/>
  <c r="A119" i="14"/>
  <c r="A278" i="15"/>
  <c r="A122" i="14"/>
  <c r="A121" i="14"/>
  <c r="A334" i="12"/>
  <c r="A68" i="13"/>
  <c r="A67" i="13"/>
  <c r="A335" i="12"/>
  <c r="A336" i="12"/>
  <c r="A338" i="12"/>
  <c r="A337" i="12"/>
  <c r="A332" i="12"/>
  <c r="A328" i="12"/>
  <c r="A330" i="12"/>
  <c r="A327" i="12"/>
  <c r="A331" i="12"/>
  <c r="A329" i="12"/>
  <c r="A333" i="12"/>
  <c r="A229" i="11"/>
  <c r="A224" i="11"/>
  <c r="A227" i="11"/>
  <c r="A230" i="11"/>
  <c r="A225" i="11"/>
  <c r="A228" i="11"/>
  <c r="A223" i="11"/>
  <c r="A226" i="11"/>
  <c r="A121" i="10"/>
  <c r="A329" i="9"/>
  <c r="A120" i="10"/>
  <c r="A333" i="9"/>
  <c r="A332" i="9"/>
  <c r="A330" i="9"/>
  <c r="A119" i="10"/>
  <c r="A328" i="9"/>
  <c r="A122" i="10"/>
  <c r="A338" i="9"/>
  <c r="A334" i="9"/>
  <c r="A327" i="9"/>
  <c r="A335" i="9"/>
  <c r="A331" i="9"/>
  <c r="A336" i="9"/>
  <c r="A337" i="9"/>
  <c r="A41" i="8"/>
  <c r="A145" i="7"/>
  <c r="A148" i="7"/>
  <c r="A147" i="7"/>
  <c r="A149" i="7"/>
  <c r="A146" i="7"/>
  <c r="A145" i="5"/>
  <c r="A389" i="4"/>
  <c r="A381" i="4"/>
  <c r="A392" i="4"/>
  <c r="A384" i="4"/>
  <c r="A146" i="5"/>
  <c r="A386" i="4"/>
  <c r="A391" i="4"/>
  <c r="A147" i="5"/>
  <c r="A148" i="5"/>
  <c r="A385" i="4"/>
  <c r="A382" i="4"/>
  <c r="A388" i="4"/>
  <c r="A383" i="4"/>
  <c r="A390" i="4"/>
  <c r="A387" i="4"/>
  <c r="A149" i="5"/>
  <c r="A379" i="4"/>
  <c r="A380" i="4"/>
  <c r="AV21" i="4"/>
  <c r="AX21" i="4" s="1"/>
  <c r="AV26" i="4"/>
  <c r="AX26" i="4" s="1"/>
  <c r="BH27" i="4"/>
  <c r="AW19" i="7" s="1"/>
  <c r="L40" i="14"/>
  <c r="M40" i="14" s="1"/>
  <c r="W40" i="14" s="1"/>
  <c r="Z40" i="14" s="1"/>
  <c r="T40" i="14"/>
  <c r="R84" i="4"/>
  <c r="R100" i="4"/>
  <c r="AZ24" i="4"/>
  <c r="BB24" i="4" s="1"/>
  <c r="A115" i="4"/>
  <c r="T23" i="14"/>
  <c r="M23" i="14"/>
  <c r="W23" i="14" s="1"/>
  <c r="Z23" i="14" s="1"/>
  <c r="L23" i="14"/>
  <c r="T37" i="14"/>
  <c r="M37" i="14"/>
  <c r="W37" i="14" s="1"/>
  <c r="Z37" i="14" s="1"/>
  <c r="L37" i="14"/>
  <c r="T39" i="14"/>
  <c r="M39" i="14"/>
  <c r="W39" i="14" s="1"/>
  <c r="Z39" i="14" s="1"/>
  <c r="L39" i="14"/>
  <c r="T51" i="14"/>
  <c r="L51" i="14"/>
  <c r="M51" i="14" s="1"/>
  <c r="W51" i="14" s="1"/>
  <c r="Z51" i="14" s="1"/>
  <c r="R159" i="4"/>
  <c r="R43" i="4"/>
  <c r="R51" i="4"/>
  <c r="R59" i="4"/>
  <c r="R67" i="4"/>
  <c r="R75" i="4"/>
  <c r="R83" i="4"/>
  <c r="R91" i="4"/>
  <c r="R99" i="4"/>
  <c r="R107" i="4"/>
  <c r="R115" i="4"/>
  <c r="R123" i="4"/>
  <c r="R131" i="4"/>
  <c r="R141" i="4"/>
  <c r="R153" i="4"/>
  <c r="T26" i="14"/>
  <c r="M26" i="14"/>
  <c r="W26" i="14" s="1"/>
  <c r="Z26" i="14" s="1"/>
  <c r="L26" i="14"/>
  <c r="L28" i="14"/>
  <c r="M28" i="14" s="1"/>
  <c r="W28" i="14" s="1"/>
  <c r="Z28" i="14" s="1"/>
  <c r="T28" i="14"/>
  <c r="T42" i="14"/>
  <c r="M42" i="14"/>
  <c r="W42" i="14" s="1"/>
  <c r="Z42" i="14" s="1"/>
  <c r="L42" i="14"/>
  <c r="L44" i="14"/>
  <c r="M44" i="14" s="1"/>
  <c r="W44" i="14" s="1"/>
  <c r="Z44" i="14" s="1"/>
  <c r="T44" i="14"/>
  <c r="F61" i="14"/>
  <c r="R175" i="4"/>
  <c r="R199" i="4"/>
  <c r="R210" i="4"/>
  <c r="R50" i="4"/>
  <c r="R58" i="4"/>
  <c r="R66" i="4"/>
  <c r="R74" i="4"/>
  <c r="R82" i="4"/>
  <c r="R90" i="4"/>
  <c r="R98" i="4"/>
  <c r="R106" i="4"/>
  <c r="R114" i="4"/>
  <c r="R122" i="4"/>
  <c r="R130" i="4"/>
  <c r="L25" i="14"/>
  <c r="T25" i="14"/>
  <c r="M25" i="14"/>
  <c r="W25" i="14" s="1"/>
  <c r="Z25" i="14" s="1"/>
  <c r="T27" i="14"/>
  <c r="L27" i="14"/>
  <c r="M27" i="14" s="1"/>
  <c r="W27" i="14" s="1"/>
  <c r="Z27" i="14" s="1"/>
  <c r="T41" i="14"/>
  <c r="M41" i="14"/>
  <c r="W41" i="14" s="1"/>
  <c r="Z41" i="14" s="1"/>
  <c r="L41" i="14"/>
  <c r="M43" i="14"/>
  <c r="W43" i="14" s="1"/>
  <c r="Z43" i="14" s="1"/>
  <c r="T43" i="14"/>
  <c r="L43" i="14"/>
  <c r="R145" i="4"/>
  <c r="R49" i="4"/>
  <c r="R57" i="4"/>
  <c r="R65" i="4"/>
  <c r="R73" i="4"/>
  <c r="R81" i="4"/>
  <c r="R89" i="4"/>
  <c r="R97" i="4"/>
  <c r="R105" i="4"/>
  <c r="R113" i="4"/>
  <c r="R135" i="4"/>
  <c r="R144" i="4"/>
  <c r="R186" i="4"/>
  <c r="T30" i="14"/>
  <c r="L30" i="14"/>
  <c r="M30" i="14"/>
  <c r="W30" i="14" s="1"/>
  <c r="Z30" i="14" s="1"/>
  <c r="T32" i="14"/>
  <c r="L32" i="14"/>
  <c r="M32" i="14" s="1"/>
  <c r="W32" i="14" s="1"/>
  <c r="Z32" i="14" s="1"/>
  <c r="T46" i="14"/>
  <c r="M46" i="14"/>
  <c r="W46" i="14" s="1"/>
  <c r="Z46" i="14" s="1"/>
  <c r="L46" i="14"/>
  <c r="L48" i="14"/>
  <c r="M48" i="14" s="1"/>
  <c r="W48" i="14" s="1"/>
  <c r="Z48" i="14" s="1"/>
  <c r="T48" i="14"/>
  <c r="F58" i="14"/>
  <c r="R191" i="4"/>
  <c r="T50" i="14"/>
  <c r="M50" i="14"/>
  <c r="W50" i="14" s="1"/>
  <c r="Z50" i="14" s="1"/>
  <c r="L50" i="14"/>
  <c r="R151" i="4"/>
  <c r="R162" i="4"/>
  <c r="M29" i="14"/>
  <c r="W29" i="14" s="1"/>
  <c r="Z29" i="14" s="1"/>
  <c r="L29" i="14"/>
  <c r="T29" i="14"/>
  <c r="T31" i="14"/>
  <c r="L31" i="14"/>
  <c r="M31" i="14" s="1"/>
  <c r="W31" i="14" s="1"/>
  <c r="Z31" i="14" s="1"/>
  <c r="T45" i="14"/>
  <c r="M45" i="14"/>
  <c r="W45" i="14" s="1"/>
  <c r="Z45" i="14" s="1"/>
  <c r="L45" i="14"/>
  <c r="T47" i="14"/>
  <c r="L47" i="14"/>
  <c r="M47" i="14" s="1"/>
  <c r="W47" i="14" s="1"/>
  <c r="Z47" i="14" s="1"/>
  <c r="R134" i="4"/>
  <c r="R140" i="4"/>
  <c r="R154" i="4"/>
  <c r="R167" i="4"/>
  <c r="R215" i="4"/>
  <c r="AR28" i="4"/>
  <c r="R39" i="4"/>
  <c r="R47" i="4"/>
  <c r="R55" i="4"/>
  <c r="R63" i="4"/>
  <c r="R71" i="4"/>
  <c r="R79" i="4"/>
  <c r="R87" i="4"/>
  <c r="R95" i="4"/>
  <c r="R103" i="4"/>
  <c r="R111" i="4"/>
  <c r="R119" i="4"/>
  <c r="F52" i="14"/>
  <c r="R142" i="4"/>
  <c r="R178" i="4"/>
  <c r="R202" i="4"/>
  <c r="T20" i="14"/>
  <c r="L20" i="14"/>
  <c r="M20" i="14" s="1"/>
  <c r="W20" i="14" s="1"/>
  <c r="Z20" i="14" s="1"/>
  <c r="L34" i="14"/>
  <c r="M34" i="14"/>
  <c r="W34" i="14" s="1"/>
  <c r="Z34" i="14" s="1"/>
  <c r="T34" i="14"/>
  <c r="T36" i="14"/>
  <c r="M36" i="14"/>
  <c r="W36" i="14" s="1"/>
  <c r="Z36" i="14" s="1"/>
  <c r="L36" i="14"/>
  <c r="F54" i="14"/>
  <c r="R148" i="4"/>
  <c r="F63" i="14"/>
  <c r="R183" i="4"/>
  <c r="AR19" i="4"/>
  <c r="AR27" i="4"/>
  <c r="R30" i="4"/>
  <c r="R38" i="4"/>
  <c r="R46" i="4"/>
  <c r="R54" i="4"/>
  <c r="R62" i="4"/>
  <c r="R70" i="4"/>
  <c r="R78" i="4"/>
  <c r="R126" i="4"/>
  <c r="R207" i="4"/>
  <c r="R223" i="4"/>
  <c r="T19" i="14"/>
  <c r="L19" i="14"/>
  <c r="M19" i="14" s="1"/>
  <c r="W19" i="14" s="1"/>
  <c r="Z19" i="14" s="1"/>
  <c r="T33" i="14"/>
  <c r="M33" i="14"/>
  <c r="W33" i="14" s="1"/>
  <c r="Z33" i="14" s="1"/>
  <c r="L33" i="14"/>
  <c r="T35" i="14"/>
  <c r="M35" i="14"/>
  <c r="W35" i="14" s="1"/>
  <c r="Z35" i="14" s="1"/>
  <c r="L35" i="14"/>
  <c r="T49" i="14"/>
  <c r="M49" i="14"/>
  <c r="W49" i="14" s="1"/>
  <c r="Z49" i="14" s="1"/>
  <c r="L49" i="14"/>
  <c r="F74" i="14"/>
  <c r="R218" i="4"/>
  <c r="R77" i="4"/>
  <c r="R85" i="4"/>
  <c r="T76" i="14"/>
  <c r="L76" i="14"/>
  <c r="M76" i="14" s="1"/>
  <c r="W76" i="14" s="1"/>
  <c r="Z76" i="14" s="1"/>
  <c r="AN41" i="5"/>
  <c r="AL41" i="5"/>
  <c r="AB104" i="5"/>
  <c r="AD104" i="5" s="1"/>
  <c r="AF104" i="5" s="1"/>
  <c r="AT32" i="20" s="1"/>
  <c r="W104" i="5"/>
  <c r="Q104" i="5"/>
  <c r="X104" i="5" s="1"/>
  <c r="Z104" i="5" s="1"/>
  <c r="AK104" i="5" s="1"/>
  <c r="Z105" i="5"/>
  <c r="AK105" i="5" s="1"/>
  <c r="AB105" i="5"/>
  <c r="AD105" i="5" s="1"/>
  <c r="AF105" i="5" s="1"/>
  <c r="AN158" i="5"/>
  <c r="AL158" i="5"/>
  <c r="R242" i="4"/>
  <c r="R250" i="4"/>
  <c r="AN32" i="5"/>
  <c r="AL32" i="5"/>
  <c r="BF18" i="20" s="1"/>
  <c r="AN71" i="5"/>
  <c r="BL26" i="20" s="1"/>
  <c r="AL71" i="5"/>
  <c r="T57" i="14"/>
  <c r="L57" i="14"/>
  <c r="M57" i="14"/>
  <c r="W57" i="14" s="1"/>
  <c r="Z57" i="14" s="1"/>
  <c r="M59" i="14"/>
  <c r="W59" i="14" s="1"/>
  <c r="Z59" i="14" s="1"/>
  <c r="T59" i="14"/>
  <c r="L59" i="14"/>
  <c r="T73" i="14"/>
  <c r="L73" i="14"/>
  <c r="M73" i="14"/>
  <c r="W73" i="14" s="1"/>
  <c r="Z73" i="14" s="1"/>
  <c r="M75" i="14"/>
  <c r="W75" i="14" s="1"/>
  <c r="Z75" i="14" s="1"/>
  <c r="L75" i="14"/>
  <c r="T75" i="14"/>
  <c r="R332" i="4"/>
  <c r="Q82" i="5"/>
  <c r="W82" i="5" s="1"/>
  <c r="AN143" i="5"/>
  <c r="BN40" i="20" s="1"/>
  <c r="AL143" i="5"/>
  <c r="BG40" i="20" s="1"/>
  <c r="R161" i="4"/>
  <c r="R169" i="4"/>
  <c r="R177" i="4"/>
  <c r="R185" i="4"/>
  <c r="R193" i="4"/>
  <c r="R201" i="4"/>
  <c r="R209" i="4"/>
  <c r="R217" i="4"/>
  <c r="R225" i="4"/>
  <c r="R233" i="4"/>
  <c r="R241" i="4"/>
  <c r="R249" i="4"/>
  <c r="R361" i="4"/>
  <c r="AL100" i="5"/>
  <c r="AN100" i="5"/>
  <c r="L62" i="14"/>
  <c r="T62" i="14"/>
  <c r="M62" i="14"/>
  <c r="W62" i="14" s="1"/>
  <c r="Z62" i="14" s="1"/>
  <c r="T64" i="14"/>
  <c r="M64" i="14"/>
  <c r="W64" i="14" s="1"/>
  <c r="Z64" i="14" s="1"/>
  <c r="L64" i="14"/>
  <c r="M78" i="14"/>
  <c r="W78" i="14" s="1"/>
  <c r="Z78" i="14" s="1"/>
  <c r="L78" i="14"/>
  <c r="T78" i="14"/>
  <c r="T80" i="14"/>
  <c r="L80" i="14"/>
  <c r="M80" i="14" s="1"/>
  <c r="W80" i="14" s="1"/>
  <c r="Z80" i="14" s="1"/>
  <c r="R160" i="4"/>
  <c r="R168" i="4"/>
  <c r="R176" i="4"/>
  <c r="R184" i="4"/>
  <c r="R192" i="4"/>
  <c r="R200" i="4"/>
  <c r="R208" i="4"/>
  <c r="R216" i="4"/>
  <c r="R224" i="4"/>
  <c r="R232" i="4"/>
  <c r="R240" i="4"/>
  <c r="R313" i="4"/>
  <c r="R369" i="4"/>
  <c r="AL67" i="5"/>
  <c r="AN67" i="5"/>
  <c r="T77" i="14"/>
  <c r="M77" i="14"/>
  <c r="W77" i="14" s="1"/>
  <c r="Z77" i="14" s="1"/>
  <c r="L77" i="14"/>
  <c r="T79" i="14"/>
  <c r="M79" i="14"/>
  <c r="W79" i="14" s="1"/>
  <c r="Z79" i="14" s="1"/>
  <c r="L79" i="14"/>
  <c r="AN130" i="5"/>
  <c r="BK38" i="20" s="1"/>
  <c r="AL130" i="5"/>
  <c r="BD38" i="20" s="1"/>
  <c r="T83" i="14"/>
  <c r="M83" i="14"/>
  <c r="L83" i="14"/>
  <c r="T66" i="14"/>
  <c r="M66" i="14"/>
  <c r="W66" i="14" s="1"/>
  <c r="Z66" i="14" s="1"/>
  <c r="L66" i="14"/>
  <c r="T68" i="14"/>
  <c r="M68" i="14"/>
  <c r="W68" i="14" s="1"/>
  <c r="Z68" i="14" s="1"/>
  <c r="L68" i="14"/>
  <c r="L82" i="14"/>
  <c r="T82" i="14"/>
  <c r="M82" i="14"/>
  <c r="W82" i="14" s="1"/>
  <c r="Z82" i="14" s="1"/>
  <c r="R253" i="4"/>
  <c r="R265" i="4"/>
  <c r="AB57" i="5"/>
  <c r="AD57" i="5" s="1"/>
  <c r="AN121" i="5"/>
  <c r="BL36" i="20" s="1"/>
  <c r="AL121" i="5"/>
  <c r="BE36" i="20" s="1"/>
  <c r="R190" i="4"/>
  <c r="R340" i="4"/>
  <c r="AN43" i="5"/>
  <c r="AL43" i="5"/>
  <c r="BG20" i="20" s="1"/>
  <c r="AN81" i="5"/>
  <c r="AL81" i="5"/>
  <c r="Z98" i="5"/>
  <c r="AK98" i="5" s="1"/>
  <c r="AZ31" i="20" s="1"/>
  <c r="AB98" i="5"/>
  <c r="AD98" i="5" s="1"/>
  <c r="AF98" i="5" s="1"/>
  <c r="AS31" i="20" s="1"/>
  <c r="M65" i="14"/>
  <c r="W65" i="14" s="1"/>
  <c r="Z65" i="14" s="1"/>
  <c r="L65" i="14"/>
  <c r="T65" i="14"/>
  <c r="T67" i="14"/>
  <c r="M67" i="14"/>
  <c r="W67" i="14" s="1"/>
  <c r="Z67" i="14" s="1"/>
  <c r="L67" i="14"/>
  <c r="T81" i="14"/>
  <c r="M81" i="14"/>
  <c r="W81" i="14" s="1"/>
  <c r="Z81" i="14" s="1"/>
  <c r="L81" i="14"/>
  <c r="R356" i="4"/>
  <c r="AN30" i="5"/>
  <c r="BK18" i="20" s="1"/>
  <c r="AL30" i="5"/>
  <c r="AL76" i="5"/>
  <c r="BE27" i="20" s="1"/>
  <c r="AN76" i="5"/>
  <c r="BL27" i="20" s="1"/>
  <c r="R229" i="4"/>
  <c r="R237" i="4"/>
  <c r="AN113" i="5"/>
  <c r="AL113" i="5"/>
  <c r="L56" i="14"/>
  <c r="M56" i="14" s="1"/>
  <c r="W56" i="14" s="1"/>
  <c r="Z56" i="14" s="1"/>
  <c r="T56" i="14"/>
  <c r="T70" i="14"/>
  <c r="M70" i="14"/>
  <c r="W70" i="14" s="1"/>
  <c r="Z70" i="14" s="1"/>
  <c r="L70" i="14"/>
  <c r="M72" i="14"/>
  <c r="W72" i="14" s="1"/>
  <c r="Z72" i="14" s="1"/>
  <c r="L72" i="14"/>
  <c r="T72" i="14"/>
  <c r="P4" i="5"/>
  <c r="AL34" i="5"/>
  <c r="BH18" i="20" s="1"/>
  <c r="AN34" i="5"/>
  <c r="BO18" i="20" s="1"/>
  <c r="Q116" i="5"/>
  <c r="V35" i="20" s="1"/>
  <c r="Q132" i="5"/>
  <c r="W38" i="20" s="1"/>
  <c r="R156" i="4"/>
  <c r="R164" i="4"/>
  <c r="R172" i="4"/>
  <c r="R180" i="4"/>
  <c r="R188" i="4"/>
  <c r="R196" i="4"/>
  <c r="R204" i="4"/>
  <c r="R212" i="4"/>
  <c r="R220" i="4"/>
  <c r="R228" i="4"/>
  <c r="R236" i="4"/>
  <c r="R244" i="4"/>
  <c r="R252" i="4"/>
  <c r="R257" i="4"/>
  <c r="AL56" i="5"/>
  <c r="AN56" i="5"/>
  <c r="L53" i="14"/>
  <c r="T53" i="14"/>
  <c r="M53" i="14"/>
  <c r="W53" i="14" s="1"/>
  <c r="Z53" i="14" s="1"/>
  <c r="T55" i="14"/>
  <c r="M55" i="14"/>
  <c r="L55" i="14"/>
  <c r="L69" i="14"/>
  <c r="T69" i="14"/>
  <c r="M69" i="14"/>
  <c r="W69" i="14" s="1"/>
  <c r="Z69" i="14" s="1"/>
  <c r="T71" i="14"/>
  <c r="M71" i="14"/>
  <c r="W71" i="14" s="1"/>
  <c r="Z71" i="14" s="1"/>
  <c r="L71" i="14"/>
  <c r="R264" i="4"/>
  <c r="F103" i="14"/>
  <c r="R323" i="4"/>
  <c r="R147" i="4"/>
  <c r="R155" i="4"/>
  <c r="R203" i="4"/>
  <c r="Q28" i="5"/>
  <c r="W28" i="5"/>
  <c r="AB93" i="5"/>
  <c r="AD93" i="5" s="1"/>
  <c r="AF93" i="5" s="1"/>
  <c r="AS30" i="20" s="1"/>
  <c r="AL144" i="5"/>
  <c r="BH40" i="20" s="1"/>
  <c r="AN144" i="5"/>
  <c r="AN145" i="5"/>
  <c r="AL145" i="5"/>
  <c r="BD41" i="20" s="1"/>
  <c r="AK16" i="5"/>
  <c r="AX15" i="20" s="1"/>
  <c r="AN61" i="5"/>
  <c r="AL61" i="5"/>
  <c r="Q107" i="5"/>
  <c r="W107" i="5" s="1"/>
  <c r="AL124" i="5"/>
  <c r="BH36" i="20" s="1"/>
  <c r="AN124" i="5"/>
  <c r="BO36" i="20" s="1"/>
  <c r="AN137" i="5"/>
  <c r="BM39" i="20" s="1"/>
  <c r="AL137" i="5"/>
  <c r="M94" i="14"/>
  <c r="W94" i="14" s="1"/>
  <c r="Z94" i="14" s="1"/>
  <c r="L94" i="14"/>
  <c r="T94" i="14"/>
  <c r="T96" i="14"/>
  <c r="L96" i="14"/>
  <c r="M96" i="14" s="1"/>
  <c r="W96" i="14" s="1"/>
  <c r="Z96" i="14" s="1"/>
  <c r="R334" i="4"/>
  <c r="T108" i="14"/>
  <c r="L108" i="14"/>
  <c r="M108" i="14" s="1"/>
  <c r="W108" i="14" s="1"/>
  <c r="Z108" i="14" s="1"/>
  <c r="R342" i="4"/>
  <c r="F112" i="14"/>
  <c r="R352" i="4"/>
  <c r="F128" i="14"/>
  <c r="R408" i="4"/>
  <c r="AN23" i="5"/>
  <c r="BN16" i="20" s="1"/>
  <c r="AL23" i="5"/>
  <c r="AB26" i="5"/>
  <c r="AD26" i="5" s="1"/>
  <c r="AF26" i="5" s="1"/>
  <c r="AQ17" i="20" s="1"/>
  <c r="AB75" i="5"/>
  <c r="AD75" i="5" s="1"/>
  <c r="AF75" i="5" s="1"/>
  <c r="AP27" i="20" s="1"/>
  <c r="AB130" i="5"/>
  <c r="AD130" i="5" s="1"/>
  <c r="AF130" i="5" s="1"/>
  <c r="AB136" i="5"/>
  <c r="AD136" i="5" s="1"/>
  <c r="AF136" i="5" s="1"/>
  <c r="AQ39" i="20" s="1"/>
  <c r="W136" i="5"/>
  <c r="Q136" i="5"/>
  <c r="X136" i="5" s="1"/>
  <c r="Z136" i="5" s="1"/>
  <c r="AK136" i="5" s="1"/>
  <c r="Q156" i="5"/>
  <c r="X156" i="5" s="1"/>
  <c r="W156" i="5"/>
  <c r="R272" i="4"/>
  <c r="R280" i="4"/>
  <c r="R288" i="4"/>
  <c r="R296" i="4"/>
  <c r="T100" i="14"/>
  <c r="L100" i="14"/>
  <c r="M100" i="14" s="1"/>
  <c r="W100" i="14" s="1"/>
  <c r="Z100" i="14" s="1"/>
  <c r="R326" i="4"/>
  <c r="T106" i="14"/>
  <c r="M106" i="14"/>
  <c r="W106" i="14" s="1"/>
  <c r="Z106" i="14" s="1"/>
  <c r="L106" i="14"/>
  <c r="R338" i="4"/>
  <c r="R346" i="4"/>
  <c r="M118" i="14"/>
  <c r="W118" i="14" s="1"/>
  <c r="Z118" i="14" s="1"/>
  <c r="L118" i="14"/>
  <c r="T118" i="14"/>
  <c r="Q20" i="5"/>
  <c r="W20" i="5" s="1"/>
  <c r="X38" i="5"/>
  <c r="Z38" i="5" s="1"/>
  <c r="AK38" i="5" s="1"/>
  <c r="W41" i="5"/>
  <c r="Q65" i="5"/>
  <c r="X65" i="5" s="1"/>
  <c r="AB69" i="5"/>
  <c r="AD69" i="5" s="1"/>
  <c r="AF69" i="5" s="1"/>
  <c r="AT25" i="20" s="1"/>
  <c r="AN91" i="5"/>
  <c r="W123" i="5"/>
  <c r="T93" i="14"/>
  <c r="M93" i="14"/>
  <c r="W93" i="14" s="1"/>
  <c r="Z93" i="14" s="1"/>
  <c r="L93" i="14"/>
  <c r="T95" i="14"/>
  <c r="L95" i="14"/>
  <c r="M95" i="14" s="1"/>
  <c r="W95" i="14" s="1"/>
  <c r="Z95" i="14" s="1"/>
  <c r="F126" i="14"/>
  <c r="R416" i="4"/>
  <c r="AB59" i="5"/>
  <c r="AD59" i="5" s="1"/>
  <c r="AF59" i="5" s="1"/>
  <c r="AT23" i="20" s="1"/>
  <c r="Q74" i="5"/>
  <c r="W74" i="5"/>
  <c r="AB86" i="5"/>
  <c r="AD86" i="5" s="1"/>
  <c r="AF86" i="5" s="1"/>
  <c r="X101" i="5"/>
  <c r="Z101" i="5" s="1"/>
  <c r="AK101" i="5" s="1"/>
  <c r="AB108" i="5"/>
  <c r="AD108" i="5" s="1"/>
  <c r="AF108" i="5" s="1"/>
  <c r="AB112" i="5"/>
  <c r="AD112" i="5" s="1"/>
  <c r="Q112" i="5"/>
  <c r="X112" i="5" s="1"/>
  <c r="Z112" i="5" s="1"/>
  <c r="AK112" i="5" s="1"/>
  <c r="AY34" i="20" s="1"/>
  <c r="R287" i="4"/>
  <c r="R322" i="4"/>
  <c r="R349" i="4"/>
  <c r="R400" i="4"/>
  <c r="Q50" i="5"/>
  <c r="W52" i="5"/>
  <c r="X55" i="5"/>
  <c r="Z55" i="5" s="1"/>
  <c r="AK55" i="5" s="1"/>
  <c r="AN77" i="5"/>
  <c r="AL77" i="5"/>
  <c r="AN90" i="5"/>
  <c r="AL90" i="5"/>
  <c r="BD30" i="20" s="1"/>
  <c r="Q99" i="5"/>
  <c r="W99" i="5" s="1"/>
  <c r="W137" i="5"/>
  <c r="CW21" i="6"/>
  <c r="CU21" i="6"/>
  <c r="T84" i="14"/>
  <c r="M84" i="14"/>
  <c r="L84" i="14"/>
  <c r="L98" i="14"/>
  <c r="T98" i="14"/>
  <c r="M98" i="14"/>
  <c r="W98" i="14" s="1"/>
  <c r="Z98" i="14" s="1"/>
  <c r="R314" i="4"/>
  <c r="M107" i="14"/>
  <c r="L107" i="14"/>
  <c r="T107" i="14"/>
  <c r="F125" i="14"/>
  <c r="R399" i="4"/>
  <c r="AB22" i="5"/>
  <c r="AD22" i="5" s="1"/>
  <c r="AF22" i="5" s="1"/>
  <c r="AB23" i="5"/>
  <c r="AD23" i="5" s="1"/>
  <c r="AF23" i="5" s="1"/>
  <c r="AS16" i="20" s="1"/>
  <c r="AB41" i="5"/>
  <c r="AD41" i="5" s="1"/>
  <c r="AF41" i="5" s="1"/>
  <c r="AQ20" i="20" s="1"/>
  <c r="X51" i="5"/>
  <c r="Z51" i="5" s="1"/>
  <c r="AK51" i="5" s="1"/>
  <c r="Z53" i="5"/>
  <c r="AK53" i="5" s="1"/>
  <c r="AZ22" i="20" s="1"/>
  <c r="AN73" i="5"/>
  <c r="AL73" i="5"/>
  <c r="BG26" i="20" s="1"/>
  <c r="Q83" i="5"/>
  <c r="X83" i="5" s="1"/>
  <c r="Z83" i="5" s="1"/>
  <c r="AK83" i="5" s="1"/>
  <c r="AB83" i="5"/>
  <c r="AD83" i="5" s="1"/>
  <c r="AF83" i="5" s="1"/>
  <c r="AS28" i="20" s="1"/>
  <c r="AF100" i="5"/>
  <c r="AB101" i="5"/>
  <c r="AD101" i="5" s="1"/>
  <c r="X106" i="5"/>
  <c r="Z106" i="5" s="1"/>
  <c r="AK106" i="5" s="1"/>
  <c r="AX33" i="20" s="1"/>
  <c r="AB123" i="5"/>
  <c r="AD123" i="5" s="1"/>
  <c r="AF123" i="5" s="1"/>
  <c r="Z127" i="5"/>
  <c r="AK127" i="5" s="1"/>
  <c r="X135" i="5"/>
  <c r="Z135" i="5" s="1"/>
  <c r="AK135" i="5" s="1"/>
  <c r="AN159" i="5"/>
  <c r="AL159" i="5"/>
  <c r="DA19" i="6"/>
  <c r="T99" i="14"/>
  <c r="L99" i="14"/>
  <c r="M99" i="14" s="1"/>
  <c r="W99" i="14" s="1"/>
  <c r="Z99" i="14" s="1"/>
  <c r="T105" i="14"/>
  <c r="M105" i="14"/>
  <c r="W105" i="14" s="1"/>
  <c r="Z105" i="14" s="1"/>
  <c r="L105" i="14"/>
  <c r="Q19" i="5"/>
  <c r="AN26" i="5"/>
  <c r="Q33" i="5"/>
  <c r="X33" i="5" s="1"/>
  <c r="Z33" i="5" s="1"/>
  <c r="AK33" i="5" s="1"/>
  <c r="AB33" i="5"/>
  <c r="AD33" i="5" s="1"/>
  <c r="AF33" i="5" s="1"/>
  <c r="AB55" i="5"/>
  <c r="AD55" i="5" s="1"/>
  <c r="AF55" i="5" s="1"/>
  <c r="AP23" i="20" s="1"/>
  <c r="X74" i="5"/>
  <c r="Z74" i="5" s="1"/>
  <c r="AK74" i="5" s="1"/>
  <c r="AN85" i="5"/>
  <c r="BK29" i="20" s="1"/>
  <c r="AL85" i="5"/>
  <c r="X111" i="5"/>
  <c r="AB113" i="5"/>
  <c r="AD113" i="5" s="1"/>
  <c r="AF113" i="5" s="1"/>
  <c r="AB122" i="5"/>
  <c r="AD122" i="5" s="1"/>
  <c r="AF122" i="5" s="1"/>
  <c r="AB137" i="5"/>
  <c r="AD137" i="5" s="1"/>
  <c r="AF137" i="5" s="1"/>
  <c r="W152" i="5"/>
  <c r="T97" i="14"/>
  <c r="M97" i="14"/>
  <c r="W97" i="14" s="1"/>
  <c r="Z97" i="14" s="1"/>
  <c r="L97" i="14"/>
  <c r="R309" i="4"/>
  <c r="R329" i="4"/>
  <c r="F115" i="14"/>
  <c r="R365" i="4"/>
  <c r="R392" i="4"/>
  <c r="AB21" i="5"/>
  <c r="AD21" i="5" s="1"/>
  <c r="AF21" i="5" s="1"/>
  <c r="AL42" i="5"/>
  <c r="Q49" i="5"/>
  <c r="AB51" i="5"/>
  <c r="AD51" i="5" s="1"/>
  <c r="AF51" i="5" s="1"/>
  <c r="Z64" i="5"/>
  <c r="AK64" i="5" s="1"/>
  <c r="Q72" i="5"/>
  <c r="AB77" i="5"/>
  <c r="AD77" i="5" s="1"/>
  <c r="AF77" i="5" s="1"/>
  <c r="AR27" i="20" s="1"/>
  <c r="W89" i="5"/>
  <c r="AB97" i="5"/>
  <c r="AD97" i="5" s="1"/>
  <c r="AF97" i="5" s="1"/>
  <c r="Q97" i="5"/>
  <c r="X97" i="5" s="1"/>
  <c r="Z97" i="5" s="1"/>
  <c r="AK97" i="5" s="1"/>
  <c r="W112" i="5"/>
  <c r="AD146" i="5"/>
  <c r="AF146" i="5" s="1"/>
  <c r="AQ41" i="20" s="1"/>
  <c r="X154" i="5"/>
  <c r="Z154" i="5" s="1"/>
  <c r="AK154" i="5" s="1"/>
  <c r="BA42" i="20" s="1"/>
  <c r="T86" i="14"/>
  <c r="M86" i="14"/>
  <c r="W86" i="14" s="1"/>
  <c r="Z86" i="14" s="1"/>
  <c r="L86" i="14"/>
  <c r="L88" i="14"/>
  <c r="M88" i="14" s="1"/>
  <c r="W88" i="14" s="1"/>
  <c r="Z88" i="14" s="1"/>
  <c r="T88" i="14"/>
  <c r="L104" i="14"/>
  <c r="M104" i="14" s="1"/>
  <c r="W104" i="14" s="1"/>
  <c r="Z104" i="14" s="1"/>
  <c r="T104" i="14"/>
  <c r="T110" i="14"/>
  <c r="M110" i="14"/>
  <c r="W110" i="14" s="1"/>
  <c r="Z110" i="14" s="1"/>
  <c r="L110" i="14"/>
  <c r="L111" i="14"/>
  <c r="M111" i="14"/>
  <c r="W111" i="14" s="1"/>
  <c r="Z111" i="14" s="1"/>
  <c r="T111" i="14"/>
  <c r="R378" i="4"/>
  <c r="F127" i="14"/>
  <c r="R407" i="4"/>
  <c r="W18" i="5"/>
  <c r="X48" i="5"/>
  <c r="Z48" i="5" s="1"/>
  <c r="AK48" i="5" s="1"/>
  <c r="AB53" i="5"/>
  <c r="AD53" i="5" s="1"/>
  <c r="W73" i="5"/>
  <c r="AB74" i="5"/>
  <c r="AD74" i="5" s="1"/>
  <c r="AF74" i="5" s="1"/>
  <c r="Q140" i="5"/>
  <c r="U40" i="20" s="1"/>
  <c r="AB155" i="5"/>
  <c r="AD155" i="5" s="1"/>
  <c r="AF155" i="5" s="1"/>
  <c r="AP43" i="20" s="1"/>
  <c r="T102" i="14"/>
  <c r="M102" i="14"/>
  <c r="W102" i="14" s="1"/>
  <c r="Z102" i="14" s="1"/>
  <c r="L102" i="14"/>
  <c r="T120" i="14"/>
  <c r="M120" i="14"/>
  <c r="L120" i="14"/>
  <c r="R389" i="4"/>
  <c r="W17" i="5"/>
  <c r="AL22" i="5"/>
  <c r="BF16" i="20" s="1"/>
  <c r="W33" i="5"/>
  <c r="AB43" i="5"/>
  <c r="AD43" i="5" s="1"/>
  <c r="AF43" i="5" s="1"/>
  <c r="Q88" i="5"/>
  <c r="Q96" i="5"/>
  <c r="X96" i="5" s="1"/>
  <c r="Z96" i="5" s="1"/>
  <c r="AK96" i="5" s="1"/>
  <c r="Q115" i="5"/>
  <c r="W115" i="5" s="1"/>
  <c r="AB119" i="5"/>
  <c r="AD119" i="5" s="1"/>
  <c r="AF119" i="5" s="1"/>
  <c r="AL122" i="5"/>
  <c r="BF36" i="20" s="1"/>
  <c r="AN126" i="5"/>
  <c r="AL126" i="5"/>
  <c r="AB135" i="5"/>
  <c r="AD135" i="5" s="1"/>
  <c r="AN151" i="5"/>
  <c r="AL151" i="5"/>
  <c r="BE42" i="20" s="1"/>
  <c r="M85" i="14"/>
  <c r="W85" i="14" s="1"/>
  <c r="Z85" i="14" s="1"/>
  <c r="L85" i="14"/>
  <c r="T85" i="14"/>
  <c r="T87" i="14"/>
  <c r="M87" i="14"/>
  <c r="L87" i="14"/>
  <c r="R316" i="4"/>
  <c r="R328" i="4"/>
  <c r="F113" i="14"/>
  <c r="X62" i="5"/>
  <c r="Z62" i="5" s="1"/>
  <c r="AK62" i="5" s="1"/>
  <c r="AY24" i="20" s="1"/>
  <c r="Z80" i="5"/>
  <c r="AK80" i="5" s="1"/>
  <c r="AW28" i="20" s="1"/>
  <c r="X82" i="5"/>
  <c r="Z82" i="5" s="1"/>
  <c r="AK82" i="5" s="1"/>
  <c r="AB90" i="5"/>
  <c r="AD90" i="5" s="1"/>
  <c r="AF90" i="5" s="1"/>
  <c r="AB91" i="5"/>
  <c r="AD91" i="5" s="1"/>
  <c r="AF91" i="5" s="1"/>
  <c r="X116" i="5"/>
  <c r="Z116" i="5" s="1"/>
  <c r="AK116" i="5" s="1"/>
  <c r="Q148" i="5"/>
  <c r="W148" i="5" s="1"/>
  <c r="R259" i="4"/>
  <c r="R267" i="4"/>
  <c r="R320" i="4"/>
  <c r="R357" i="4"/>
  <c r="R362" i="4"/>
  <c r="R370" i="4"/>
  <c r="R381" i="4"/>
  <c r="F122" i="14"/>
  <c r="R386" i="4"/>
  <c r="R397" i="4"/>
  <c r="X18" i="5"/>
  <c r="AN31" i="5"/>
  <c r="BL18" i="20" s="1"/>
  <c r="AL31" i="5"/>
  <c r="AL35" i="5"/>
  <c r="AN37" i="5"/>
  <c r="BM19" i="20" s="1"/>
  <c r="AB42" i="5"/>
  <c r="AD42" i="5" s="1"/>
  <c r="AF42" i="5" s="1"/>
  <c r="W67" i="5"/>
  <c r="AB73" i="5"/>
  <c r="AD73" i="5" s="1"/>
  <c r="AF73" i="5" s="1"/>
  <c r="AS26" i="20" s="1"/>
  <c r="X79" i="5"/>
  <c r="Z79" i="5" s="1"/>
  <c r="AK79" i="5" s="1"/>
  <c r="W79" i="5"/>
  <c r="AB126" i="5"/>
  <c r="AD126" i="5" s="1"/>
  <c r="AF126" i="5" s="1"/>
  <c r="AQ37" i="20" s="1"/>
  <c r="AB138" i="5"/>
  <c r="AD138" i="5" s="1"/>
  <c r="AF138" i="5" s="1"/>
  <c r="AS39" i="20" s="1"/>
  <c r="T90" i="14"/>
  <c r="M90" i="14"/>
  <c r="W90" i="14" s="1"/>
  <c r="Z90" i="14" s="1"/>
  <c r="L90" i="14"/>
  <c r="T92" i="14"/>
  <c r="M92" i="14"/>
  <c r="L92" i="14"/>
  <c r="W24" i="5"/>
  <c r="Z58" i="5"/>
  <c r="AK58" i="5" s="1"/>
  <c r="AZ23" i="20" s="1"/>
  <c r="AL75" i="5"/>
  <c r="Z103" i="5"/>
  <c r="AK103" i="5" s="1"/>
  <c r="W114" i="5"/>
  <c r="Q114" i="5"/>
  <c r="X114" i="5" s="1"/>
  <c r="X131" i="5"/>
  <c r="AL155" i="5"/>
  <c r="Q57" i="5"/>
  <c r="X57" i="5" s="1"/>
  <c r="Z57" i="5" s="1"/>
  <c r="AK57" i="5" s="1"/>
  <c r="W57" i="5"/>
  <c r="Q66" i="5"/>
  <c r="G30" i="6" s="1"/>
  <c r="AN123" i="5"/>
  <c r="BN36" i="20" s="1"/>
  <c r="AL123" i="5"/>
  <c r="BG36" i="20" s="1"/>
  <c r="AL142" i="5"/>
  <c r="AN142" i="5"/>
  <c r="AB143" i="5"/>
  <c r="AD143" i="5" s="1"/>
  <c r="AF143" i="5" s="1"/>
  <c r="T89" i="14"/>
  <c r="M89" i="14"/>
  <c r="W89" i="14" s="1"/>
  <c r="Z89" i="14" s="1"/>
  <c r="L89" i="14"/>
  <c r="M91" i="14"/>
  <c r="L91" i="14"/>
  <c r="T91" i="14"/>
  <c r="M101" i="14"/>
  <c r="W101" i="14" s="1"/>
  <c r="Z101" i="14" s="1"/>
  <c r="L101" i="14"/>
  <c r="T101" i="14"/>
  <c r="X17" i="5"/>
  <c r="Z17" i="5" s="1"/>
  <c r="Z39" i="5"/>
  <c r="AK39" i="5" s="1"/>
  <c r="X40" i="5"/>
  <c r="Z40" i="5" s="1"/>
  <c r="AK40" i="5" s="1"/>
  <c r="W40" i="5"/>
  <c r="AL47" i="5"/>
  <c r="AN47" i="5"/>
  <c r="Z69" i="5"/>
  <c r="AK69" i="5" s="1"/>
  <c r="BA25" i="20" s="1"/>
  <c r="W80" i="5"/>
  <c r="W87" i="5"/>
  <c r="AL92" i="5"/>
  <c r="BF30" i="20" s="1"/>
  <c r="AN92" i="5"/>
  <c r="AN119" i="5"/>
  <c r="BO35" i="20" s="1"/>
  <c r="AB121" i="5"/>
  <c r="AD121" i="5" s="1"/>
  <c r="AF121" i="5" s="1"/>
  <c r="AQ36" i="20" s="1"/>
  <c r="X129" i="5"/>
  <c r="Z129" i="5" s="1"/>
  <c r="AK129" i="5" s="1"/>
  <c r="W129" i="5"/>
  <c r="AB147" i="5"/>
  <c r="AD147" i="5" s="1"/>
  <c r="AF147" i="5" s="1"/>
  <c r="AR41" i="20" s="1"/>
  <c r="Q147" i="5"/>
  <c r="X147" i="5" s="1"/>
  <c r="Z147" i="5" s="1"/>
  <c r="AK147" i="5" s="1"/>
  <c r="X29" i="5"/>
  <c r="AB44" i="5"/>
  <c r="AD44" i="5" s="1"/>
  <c r="AF44" i="5" s="1"/>
  <c r="AB64" i="5"/>
  <c r="AD64" i="5" s="1"/>
  <c r="AF64" i="5" s="1"/>
  <c r="X68" i="5"/>
  <c r="X118" i="5"/>
  <c r="Z118" i="5" s="1"/>
  <c r="AK118" i="5" s="1"/>
  <c r="X157" i="5"/>
  <c r="BG19" i="6"/>
  <c r="DA23" i="6"/>
  <c r="CZ23" i="6"/>
  <c r="BG27" i="6"/>
  <c r="BF27" i="6"/>
  <c r="AB39" i="5"/>
  <c r="AD39" i="5" s="1"/>
  <c r="AF39" i="5" s="1"/>
  <c r="W68" i="5"/>
  <c r="AB89" i="5"/>
  <c r="AD89" i="5" s="1"/>
  <c r="AF89" i="5" s="1"/>
  <c r="AT29" i="20" s="1"/>
  <c r="AB134" i="5"/>
  <c r="AD134" i="5" s="1"/>
  <c r="AF134" i="5" s="1"/>
  <c r="AT38" i="20" s="1"/>
  <c r="W135" i="5"/>
  <c r="T109" i="14"/>
  <c r="M109" i="14"/>
  <c r="W109" i="14" s="1"/>
  <c r="Z109" i="14" s="1"/>
  <c r="L109" i="14"/>
  <c r="T124" i="14"/>
  <c r="L124" i="14"/>
  <c r="M124" i="14" s="1"/>
  <c r="W124" i="14" s="1"/>
  <c r="Z124" i="14" s="1"/>
  <c r="R415" i="4"/>
  <c r="AB34" i="5"/>
  <c r="AD34" i="5" s="1"/>
  <c r="AF34" i="5" s="1"/>
  <c r="W35" i="5"/>
  <c r="X52" i="5"/>
  <c r="AB62" i="5"/>
  <c r="AD62" i="5" s="1"/>
  <c r="AF62" i="5" s="1"/>
  <c r="AB67" i="5"/>
  <c r="AD67" i="5" s="1"/>
  <c r="AF67" i="5" s="1"/>
  <c r="AB95" i="5"/>
  <c r="AD95" i="5" s="1"/>
  <c r="AF95" i="5" s="1"/>
  <c r="X102" i="5"/>
  <c r="Z102" i="5" s="1"/>
  <c r="AK102" i="5" s="1"/>
  <c r="W113" i="5"/>
  <c r="Q120" i="5"/>
  <c r="W124" i="5"/>
  <c r="W130" i="5"/>
  <c r="X141" i="5"/>
  <c r="AB145" i="5"/>
  <c r="AD145" i="5" s="1"/>
  <c r="CX32" i="6"/>
  <c r="CW33" i="6"/>
  <c r="DD32" i="6"/>
  <c r="DC32" i="6"/>
  <c r="AB32" i="5"/>
  <c r="AD32" i="5" s="1"/>
  <c r="AF32" i="5" s="1"/>
  <c r="AR18" i="20" s="1"/>
  <c r="X36" i="5"/>
  <c r="Z36" i="5" s="1"/>
  <c r="AK36" i="5" s="1"/>
  <c r="X86" i="5"/>
  <c r="Z86" i="5" s="1"/>
  <c r="AK86" i="5" s="1"/>
  <c r="X125" i="5"/>
  <c r="Z125" i="5" s="1"/>
  <c r="AK125" i="5" s="1"/>
  <c r="CX21" i="6"/>
  <c r="CV21" i="6"/>
  <c r="CW24" i="6"/>
  <c r="CZ26" i="6"/>
  <c r="DA26" i="6"/>
  <c r="DC31" i="6"/>
  <c r="T32" i="6"/>
  <c r="AB16" i="5"/>
  <c r="AD16" i="5" s="1"/>
  <c r="X20" i="5"/>
  <c r="Z20" i="5" s="1"/>
  <c r="AK20" i="5" s="1"/>
  <c r="Z25" i="5"/>
  <c r="AK25" i="5" s="1"/>
  <c r="AB30" i="5"/>
  <c r="AD30" i="5" s="1"/>
  <c r="AF30" i="5" s="1"/>
  <c r="AB63" i="5"/>
  <c r="AD63" i="5" s="1"/>
  <c r="AF63" i="5" s="1"/>
  <c r="AS24" i="20" s="1"/>
  <c r="X70" i="5"/>
  <c r="Z70" i="5" s="1"/>
  <c r="AK70" i="5" s="1"/>
  <c r="X109" i="5"/>
  <c r="Z109" i="5" s="1"/>
  <c r="AK109" i="5" s="1"/>
  <c r="AB144" i="5"/>
  <c r="AD144" i="5" s="1"/>
  <c r="AF144" i="5" s="1"/>
  <c r="AT40" i="20" s="1"/>
  <c r="X148" i="5"/>
  <c r="Z148" i="5" s="1"/>
  <c r="AK148" i="5" s="1"/>
  <c r="Z153" i="5"/>
  <c r="AK153" i="5" s="1"/>
  <c r="AB158" i="5"/>
  <c r="AD158" i="5" s="1"/>
  <c r="BG22" i="6"/>
  <c r="BF22" i="6"/>
  <c r="T31" i="6"/>
  <c r="F129" i="14"/>
  <c r="W15" i="5"/>
  <c r="AB47" i="5"/>
  <c r="AD47" i="5" s="1"/>
  <c r="AF47" i="5" s="1"/>
  <c r="X54" i="5"/>
  <c r="Z54" i="5" s="1"/>
  <c r="AK54" i="5" s="1"/>
  <c r="X93" i="5"/>
  <c r="Z93" i="5" s="1"/>
  <c r="AK93" i="5" s="1"/>
  <c r="AZ30" i="20" s="1"/>
  <c r="AB128" i="5"/>
  <c r="AD128" i="5" s="1"/>
  <c r="AF128" i="5" s="1"/>
  <c r="AB142" i="5"/>
  <c r="AD142" i="5" s="1"/>
  <c r="AF142" i="5" s="1"/>
  <c r="AR40" i="20" s="1"/>
  <c r="CZ19" i="6"/>
  <c r="R413" i="4"/>
  <c r="X15" i="5"/>
  <c r="AB15" i="5" s="1"/>
  <c r="X21" i="5"/>
  <c r="Z21" i="5" s="1"/>
  <c r="AK21" i="5" s="1"/>
  <c r="W32" i="5"/>
  <c r="W43" i="5"/>
  <c r="AB56" i="5"/>
  <c r="AD56" i="5" s="1"/>
  <c r="AF56" i="5" s="1"/>
  <c r="AQ23" i="20" s="1"/>
  <c r="X60" i="5"/>
  <c r="Z60" i="5" s="1"/>
  <c r="AK60" i="5" s="1"/>
  <c r="Q89" i="5"/>
  <c r="X89" i="5" s="1"/>
  <c r="Z89" i="5" s="1"/>
  <c r="AK89" i="5" s="1"/>
  <c r="BA29" i="20" s="1"/>
  <c r="AB103" i="5"/>
  <c r="AD103" i="5" s="1"/>
  <c r="AF103" i="5" s="1"/>
  <c r="AS32" i="20" s="1"/>
  <c r="Q106" i="5"/>
  <c r="V33" i="20" s="1"/>
  <c r="X110" i="5"/>
  <c r="Z110" i="5" s="1"/>
  <c r="AK110" i="5" s="1"/>
  <c r="W121" i="5"/>
  <c r="Q128" i="5"/>
  <c r="X128" i="5" s="1"/>
  <c r="Z128" i="5" s="1"/>
  <c r="AK128" i="5" s="1"/>
  <c r="W138" i="5"/>
  <c r="Q139" i="5"/>
  <c r="X139" i="5" s="1"/>
  <c r="X149" i="5"/>
  <c r="Z149" i="5" s="1"/>
  <c r="AK149" i="5" s="1"/>
  <c r="BA41" i="20" s="1"/>
  <c r="CX22" i="6"/>
  <c r="CV22" i="6"/>
  <c r="DA22" i="6"/>
  <c r="CZ22" i="6"/>
  <c r="W16" i="5"/>
  <c r="AB40" i="5"/>
  <c r="AD40" i="5" s="1"/>
  <c r="AF40" i="5" s="1"/>
  <c r="AP20" i="20" s="1"/>
  <c r="X44" i="5"/>
  <c r="Z44" i="5" s="1"/>
  <c r="AK44" i="5" s="1"/>
  <c r="AB87" i="5"/>
  <c r="AD87" i="5" s="1"/>
  <c r="AF87" i="5" s="1"/>
  <c r="X94" i="5"/>
  <c r="Z94" i="5" s="1"/>
  <c r="AK94" i="5" s="1"/>
  <c r="X133" i="5"/>
  <c r="W144" i="5"/>
  <c r="CW28" i="6"/>
  <c r="CU28" i="6"/>
  <c r="X28" i="5"/>
  <c r="Z28" i="5" s="1"/>
  <c r="AK28" i="5" s="1"/>
  <c r="AZ17" i="20" s="1"/>
  <c r="AB38" i="5"/>
  <c r="AD38" i="5" s="1"/>
  <c r="AF38" i="5" s="1"/>
  <c r="AB71" i="5"/>
  <c r="AD71" i="5" s="1"/>
  <c r="AF71" i="5" s="1"/>
  <c r="AQ26" i="20" s="1"/>
  <c r="X78" i="5"/>
  <c r="Z78" i="5" s="1"/>
  <c r="AK78" i="5" s="1"/>
  <c r="X117" i="5"/>
  <c r="Z117" i="5" s="1"/>
  <c r="AK117" i="5" s="1"/>
  <c r="W128" i="5"/>
  <c r="Q24" i="5"/>
  <c r="X24" i="5" s="1"/>
  <c r="Z24" i="5" s="1"/>
  <c r="AK24" i="5" s="1"/>
  <c r="X45" i="5"/>
  <c r="W56" i="5"/>
  <c r="AB60" i="5"/>
  <c r="AD60" i="5" s="1"/>
  <c r="AF60" i="5" s="1"/>
  <c r="AP24" i="20" s="1"/>
  <c r="AB80" i="5"/>
  <c r="AD80" i="5" s="1"/>
  <c r="AF80" i="5" s="1"/>
  <c r="X84" i="5"/>
  <c r="AB94" i="5"/>
  <c r="AD94" i="5" s="1"/>
  <c r="AF94" i="5" s="1"/>
  <c r="AB127" i="5"/>
  <c r="AD127" i="5" s="1"/>
  <c r="AF127" i="5" s="1"/>
  <c r="X134" i="5"/>
  <c r="Z134" i="5" s="1"/>
  <c r="AK134" i="5" s="1"/>
  <c r="Q152" i="5"/>
  <c r="X152" i="5" s="1"/>
  <c r="Z152" i="5" s="1"/>
  <c r="AK152" i="5" s="1"/>
  <c r="CW23" i="6"/>
  <c r="CU23" i="6"/>
  <c r="BG30" i="6"/>
  <c r="BF30" i="6"/>
  <c r="BG31" i="6"/>
  <c r="BF31" i="6"/>
  <c r="BG24" i="6"/>
  <c r="BF24" i="6"/>
  <c r="CZ28" i="6"/>
  <c r="DA28" i="6" s="1"/>
  <c r="AD33" i="7"/>
  <c r="AC33" i="7"/>
  <c r="AB33" i="7"/>
  <c r="AJ33" i="7" s="1"/>
  <c r="AL36" i="7"/>
  <c r="AF39" i="7"/>
  <c r="AH39" i="7"/>
  <c r="AG39" i="7"/>
  <c r="AN39" i="7" s="1"/>
  <c r="AA45" i="7"/>
  <c r="BV43" i="20"/>
  <c r="J43" i="20"/>
  <c r="AY42" i="20"/>
  <c r="AI42" i="20"/>
  <c r="AB41" i="20"/>
  <c r="BA40" i="20"/>
  <c r="AK40" i="20"/>
  <c r="AD39" i="20"/>
  <c r="N39" i="20"/>
  <c r="BS38" i="20"/>
  <c r="G38" i="20"/>
  <c r="BL37" i="20"/>
  <c r="AF37" i="20"/>
  <c r="P37" i="20"/>
  <c r="BU36" i="20"/>
  <c r="Y36" i="20"/>
  <c r="I36" i="20"/>
  <c r="AX35" i="20"/>
  <c r="R35" i="20"/>
  <c r="BG34" i="20"/>
  <c r="AZ33" i="20"/>
  <c r="BR31" i="20"/>
  <c r="AL31" i="20"/>
  <c r="F31" i="20"/>
  <c r="BK30" i="20"/>
  <c r="O30" i="20"/>
  <c r="BT29" i="20"/>
  <c r="BD29" i="20"/>
  <c r="BU43" i="20"/>
  <c r="Y43" i="20"/>
  <c r="I43" i="20"/>
  <c r="AX42" i="20"/>
  <c r="R42" i="20"/>
  <c r="AZ40" i="20"/>
  <c r="AC39" i="20"/>
  <c r="BR38" i="20"/>
  <c r="V38" i="20"/>
  <c r="F38" i="20"/>
  <c r="O37" i="20"/>
  <c r="BT36" i="20"/>
  <c r="X36" i="20"/>
  <c r="H36" i="20"/>
  <c r="Q35" i="20"/>
  <c r="BV34" i="20"/>
  <c r="J34" i="20"/>
  <c r="AI33" i="20"/>
  <c r="AB32" i="20"/>
  <c r="U31" i="20"/>
  <c r="BT43" i="20"/>
  <c r="BD43" i="20"/>
  <c r="X43" i="20"/>
  <c r="H43" i="20"/>
  <c r="AW42" i="20"/>
  <c r="Q42" i="20"/>
  <c r="BV41" i="20"/>
  <c r="J41" i="20"/>
  <c r="BO40" i="20"/>
  <c r="AY40" i="20"/>
  <c r="AR39" i="20"/>
  <c r="BA38" i="20"/>
  <c r="U38" i="20"/>
  <c r="AD37" i="20"/>
  <c r="N37" i="20"/>
  <c r="BS36" i="20"/>
  <c r="AM36" i="20"/>
  <c r="W36" i="20"/>
  <c r="G36" i="20"/>
  <c r="AF35" i="20"/>
  <c r="P35" i="20"/>
  <c r="BU34" i="20"/>
  <c r="Y34" i="20"/>
  <c r="I34" i="20"/>
  <c r="BN33" i="20"/>
  <c r="R33" i="20"/>
  <c r="BS43" i="20"/>
  <c r="AM43" i="20"/>
  <c r="W43" i="20"/>
  <c r="G43" i="20"/>
  <c r="BL42" i="20"/>
  <c r="AF42" i="20"/>
  <c r="P42" i="20"/>
  <c r="BU41" i="20"/>
  <c r="BE41" i="20"/>
  <c r="Y41" i="20"/>
  <c r="I41" i="20"/>
  <c r="R40" i="20"/>
  <c r="BG39" i="20"/>
  <c r="AS37" i="20"/>
  <c r="AC37" i="20"/>
  <c r="BR36" i="20"/>
  <c r="AL36" i="20"/>
  <c r="V36" i="20"/>
  <c r="F36" i="20"/>
  <c r="O35" i="20"/>
  <c r="BT34" i="20"/>
  <c r="X34" i="20"/>
  <c r="H34" i="20"/>
  <c r="AW33" i="20"/>
  <c r="Q33" i="20"/>
  <c r="BV32" i="20"/>
  <c r="AP32" i="20"/>
  <c r="J32" i="20"/>
  <c r="AI31" i="20"/>
  <c r="AR30" i="20"/>
  <c r="AB30" i="20"/>
  <c r="U29" i="20"/>
  <c r="AD28" i="20"/>
  <c r="N28" i="20"/>
  <c r="BS27" i="20"/>
  <c r="BR43" i="20"/>
  <c r="V43" i="20"/>
  <c r="F43" i="20"/>
  <c r="BK42" i="20"/>
  <c r="AE42" i="20"/>
  <c r="O42" i="20"/>
  <c r="BT41" i="20"/>
  <c r="X41" i="20"/>
  <c r="H41" i="20"/>
  <c r="BM40" i="20"/>
  <c r="Q40" i="20"/>
  <c r="BV39" i="20"/>
  <c r="BF39" i="20"/>
  <c r="J39" i="20"/>
  <c r="AR37" i="20"/>
  <c r="BA36" i="20"/>
  <c r="AT35" i="20"/>
  <c r="AD35" i="20"/>
  <c r="N35" i="20"/>
  <c r="BS34" i="20"/>
  <c r="G34" i="20"/>
  <c r="AF33" i="20"/>
  <c r="P33" i="20"/>
  <c r="BU32" i="20"/>
  <c r="Y32" i="20"/>
  <c r="I32" i="20"/>
  <c r="R31" i="20"/>
  <c r="AQ30" i="20"/>
  <c r="AJ29" i="20"/>
  <c r="AC28" i="20"/>
  <c r="BR27" i="20"/>
  <c r="BA43" i="20"/>
  <c r="U43" i="20"/>
  <c r="N42" i="20"/>
  <c r="BS41" i="20"/>
  <c r="W41" i="20"/>
  <c r="G41" i="20"/>
  <c r="AF40" i="20"/>
  <c r="P40" i="20"/>
  <c r="BU39" i="20"/>
  <c r="Y39" i="20"/>
  <c r="I39" i="20"/>
  <c r="R38" i="20"/>
  <c r="AZ36" i="20"/>
  <c r="AC35" i="20"/>
  <c r="BR34" i="20"/>
  <c r="V34" i="20"/>
  <c r="F34" i="20"/>
  <c r="AE33" i="20"/>
  <c r="O33" i="20"/>
  <c r="BT32" i="20"/>
  <c r="BD32" i="20"/>
  <c r="X32" i="20"/>
  <c r="H32" i="20"/>
  <c r="AW31" i="20"/>
  <c r="Q31" i="20"/>
  <c r="BV30" i="20"/>
  <c r="AP30" i="20"/>
  <c r="J30" i="20"/>
  <c r="AY29" i="20"/>
  <c r="AI29" i="20"/>
  <c r="AZ43" i="20"/>
  <c r="AS42" i="20"/>
  <c r="AC42" i="20"/>
  <c r="BR41" i="20"/>
  <c r="V41" i="20"/>
  <c r="F41" i="20"/>
  <c r="AE40" i="20"/>
  <c r="O40" i="20"/>
  <c r="BT39" i="20"/>
  <c r="X39" i="20"/>
  <c r="H39" i="20"/>
  <c r="AW38" i="20"/>
  <c r="Q38" i="20"/>
  <c r="BV37" i="20"/>
  <c r="J37" i="20"/>
  <c r="AY36" i="20"/>
  <c r="BH35" i="20"/>
  <c r="U34" i="20"/>
  <c r="N33" i="20"/>
  <c r="BS32" i="20"/>
  <c r="W32" i="20"/>
  <c r="G32" i="20"/>
  <c r="P31" i="20"/>
  <c r="BU30" i="20"/>
  <c r="BE30" i="20"/>
  <c r="Y30" i="20"/>
  <c r="I30" i="20"/>
  <c r="BO43" i="20"/>
  <c r="AB42" i="20"/>
  <c r="U41" i="20"/>
  <c r="AD40" i="20"/>
  <c r="N40" i="20"/>
  <c r="BS39" i="20"/>
  <c r="W39" i="20"/>
  <c r="G39" i="20"/>
  <c r="AF38" i="20"/>
  <c r="P38" i="20"/>
  <c r="BU37" i="20"/>
  <c r="BE37" i="20"/>
  <c r="Y37" i="20"/>
  <c r="I37" i="20"/>
  <c r="AX36" i="20"/>
  <c r="R36" i="20"/>
  <c r="AZ34" i="20"/>
  <c r="AS33" i="20"/>
  <c r="BR32" i="20"/>
  <c r="AL32" i="20"/>
  <c r="V32" i="20"/>
  <c r="F32" i="20"/>
  <c r="BK31" i="20"/>
  <c r="O31" i="20"/>
  <c r="BT30" i="20"/>
  <c r="X30" i="20"/>
  <c r="H30" i="20"/>
  <c r="BM29" i="20"/>
  <c r="AW29" i="20"/>
  <c r="Q29" i="20"/>
  <c r="BV28" i="20"/>
  <c r="AP28" i="20"/>
  <c r="J28" i="20"/>
  <c r="AY27" i="20"/>
  <c r="BN43" i="20"/>
  <c r="R43" i="20"/>
  <c r="AQ42" i="20"/>
  <c r="AJ41" i="20"/>
  <c r="AS40" i="20"/>
  <c r="BR39" i="20"/>
  <c r="AL39" i="20"/>
  <c r="V39" i="20"/>
  <c r="F39" i="20"/>
  <c r="O38" i="20"/>
  <c r="BT37" i="20"/>
  <c r="X37" i="20"/>
  <c r="H37" i="20"/>
  <c r="BM36" i="20"/>
  <c r="Q36" i="20"/>
  <c r="BV35" i="20"/>
  <c r="J35" i="20"/>
  <c r="AB33" i="20"/>
  <c r="BA32" i="20"/>
  <c r="U32" i="20"/>
  <c r="N31" i="20"/>
  <c r="BS30" i="20"/>
  <c r="AW43" i="20"/>
  <c r="Q43" i="20"/>
  <c r="BV42" i="20"/>
  <c r="AP42" i="20"/>
  <c r="J42" i="20"/>
  <c r="AY41" i="20"/>
  <c r="AK39" i="20"/>
  <c r="U39" i="20"/>
  <c r="N38" i="20"/>
  <c r="BS37" i="20"/>
  <c r="W37" i="20"/>
  <c r="G37" i="20"/>
  <c r="AF36" i="20"/>
  <c r="P36" i="20"/>
  <c r="BU35" i="20"/>
  <c r="Y35" i="20"/>
  <c r="I35" i="20"/>
  <c r="BN34" i="20"/>
  <c r="R34" i="20"/>
  <c r="BG33" i="20"/>
  <c r="AZ32" i="20"/>
  <c r="BR30" i="20"/>
  <c r="AL30" i="20"/>
  <c r="V30" i="20"/>
  <c r="F30" i="20"/>
  <c r="O29" i="20"/>
  <c r="BT28" i="20"/>
  <c r="AF43" i="20"/>
  <c r="P43" i="20"/>
  <c r="BU42" i="20"/>
  <c r="Y42" i="20"/>
  <c r="I42" i="20"/>
  <c r="AX41" i="20"/>
  <c r="R41" i="20"/>
  <c r="AZ39" i="20"/>
  <c r="BR37" i="20"/>
  <c r="V37" i="20"/>
  <c r="F37" i="20"/>
  <c r="AE36" i="20"/>
  <c r="O36" i="20"/>
  <c r="BT35" i="20"/>
  <c r="X35" i="20"/>
  <c r="H35" i="20"/>
  <c r="AW34" i="20"/>
  <c r="Q34" i="20"/>
  <c r="BV33" i="20"/>
  <c r="AP33" i="20"/>
  <c r="J33" i="20"/>
  <c r="AY32" i="20"/>
  <c r="AI32" i="20"/>
  <c r="AR31" i="20"/>
  <c r="AB31" i="20"/>
  <c r="BA30" i="20"/>
  <c r="AK30" i="20"/>
  <c r="U30" i="20"/>
  <c r="BK43" i="20"/>
  <c r="AE43" i="20"/>
  <c r="O43" i="20"/>
  <c r="BT42" i="20"/>
  <c r="BD42" i="20"/>
  <c r="X42" i="20"/>
  <c r="H42" i="20"/>
  <c r="AW41" i="20"/>
  <c r="Q41" i="20"/>
  <c r="BV40" i="20"/>
  <c r="BF40" i="20"/>
  <c r="J40" i="20"/>
  <c r="AY39" i="20"/>
  <c r="AB38" i="20"/>
  <c r="BA37" i="20"/>
  <c r="AK37" i="20"/>
  <c r="U37" i="20"/>
  <c r="AT36" i="20"/>
  <c r="AD36" i="20"/>
  <c r="N36" i="20"/>
  <c r="BS35" i="20"/>
  <c r="AM35" i="20"/>
  <c r="W35" i="20"/>
  <c r="G35" i="20"/>
  <c r="P34" i="20"/>
  <c r="BU33" i="20"/>
  <c r="Y33" i="20"/>
  <c r="I33" i="20"/>
  <c r="R32" i="20"/>
  <c r="AC29" i="20"/>
  <c r="BR28" i="20"/>
  <c r="AL28" i="20"/>
  <c r="V28" i="20"/>
  <c r="F28" i="20"/>
  <c r="BK27" i="20"/>
  <c r="AT43" i="20"/>
  <c r="N43" i="20"/>
  <c r="BS42" i="20"/>
  <c r="W42" i="20"/>
  <c r="G42" i="20"/>
  <c r="BL41" i="20"/>
  <c r="P41" i="20"/>
  <c r="BU40" i="20"/>
  <c r="Y40" i="20"/>
  <c r="I40" i="20"/>
  <c r="BN39" i="20"/>
  <c r="AX39" i="20"/>
  <c r="R39" i="20"/>
  <c r="AZ37" i="20"/>
  <c r="AJ37" i="20"/>
  <c r="AS36" i="20"/>
  <c r="AC36" i="20"/>
  <c r="BR35" i="20"/>
  <c r="F35" i="20"/>
  <c r="AE34" i="20"/>
  <c r="O34" i="20"/>
  <c r="BT33" i="20"/>
  <c r="X33" i="20"/>
  <c r="H33" i="20"/>
  <c r="AW32" i="20"/>
  <c r="Q32" i="20"/>
  <c r="BV31" i="20"/>
  <c r="AP31" i="20"/>
  <c r="J31" i="20"/>
  <c r="AY30" i="20"/>
  <c r="AI30" i="20"/>
  <c r="BR42" i="20"/>
  <c r="AL42" i="20"/>
  <c r="V42" i="20"/>
  <c r="F42" i="20"/>
  <c r="BK41" i="20"/>
  <c r="O41" i="20"/>
  <c r="BT40" i="20"/>
  <c r="X40" i="20"/>
  <c r="H40" i="20"/>
  <c r="AW39" i="20"/>
  <c r="Q39" i="20"/>
  <c r="BV38" i="20"/>
  <c r="AP38" i="20"/>
  <c r="J38" i="20"/>
  <c r="AY37" i="20"/>
  <c r="AR36" i="20"/>
  <c r="BA35" i="20"/>
  <c r="AD34" i="20"/>
  <c r="N34" i="20"/>
  <c r="BS33" i="20"/>
  <c r="W33" i="20"/>
  <c r="G33" i="20"/>
  <c r="AF32" i="20"/>
  <c r="P32" i="20"/>
  <c r="BU31" i="20"/>
  <c r="Y31" i="20"/>
  <c r="I31" i="20"/>
  <c r="AX30" i="20"/>
  <c r="R30" i="20"/>
  <c r="AQ29" i="20"/>
  <c r="AZ28" i="20"/>
  <c r="AJ28" i="20"/>
  <c r="AC27" i="20"/>
  <c r="BH43" i="20"/>
  <c r="AB43" i="20"/>
  <c r="U42" i="20"/>
  <c r="N41" i="20"/>
  <c r="BS40" i="20"/>
  <c r="AM40" i="20"/>
  <c r="W40" i="20"/>
  <c r="G40" i="20"/>
  <c r="P39" i="20"/>
  <c r="BU38" i="20"/>
  <c r="Y38" i="20"/>
  <c r="I38" i="20"/>
  <c r="AX37" i="20"/>
  <c r="R37" i="20"/>
  <c r="AS34" i="20"/>
  <c r="BR33" i="20"/>
  <c r="AL33" i="20"/>
  <c r="F33" i="20"/>
  <c r="BK32" i="20"/>
  <c r="AE32" i="20"/>
  <c r="O32" i="20"/>
  <c r="BT31" i="20"/>
  <c r="BD31" i="20"/>
  <c r="X31" i="20"/>
  <c r="H31" i="20"/>
  <c r="BM30" i="20"/>
  <c r="AW30" i="20"/>
  <c r="BG43" i="20"/>
  <c r="AZ42" i="20"/>
  <c r="AJ42" i="20"/>
  <c r="AC41" i="20"/>
  <c r="BR40" i="20"/>
  <c r="AL40" i="20"/>
  <c r="V40" i="20"/>
  <c r="F40" i="20"/>
  <c r="AE39" i="20"/>
  <c r="O39" i="20"/>
  <c r="BT38" i="20"/>
  <c r="X38" i="20"/>
  <c r="H38" i="20"/>
  <c r="AW37" i="20"/>
  <c r="Q37" i="20"/>
  <c r="BV36" i="20"/>
  <c r="J36" i="20"/>
  <c r="AB34" i="20"/>
  <c r="BA33" i="20"/>
  <c r="BV29" i="20"/>
  <c r="AM29" i="20"/>
  <c r="H29" i="20"/>
  <c r="AE28" i="20"/>
  <c r="G28" i="20"/>
  <c r="AJ27" i="20"/>
  <c r="Q27" i="20"/>
  <c r="BT26" i="20"/>
  <c r="U26" i="20"/>
  <c r="J25" i="20"/>
  <c r="BH23" i="20"/>
  <c r="AB23" i="20"/>
  <c r="U22" i="20"/>
  <c r="AD21" i="20"/>
  <c r="N21" i="20"/>
  <c r="BS20" i="20"/>
  <c r="AM20" i="20"/>
  <c r="W20" i="20"/>
  <c r="G20" i="20"/>
  <c r="AF19" i="20"/>
  <c r="P19" i="20"/>
  <c r="BU18" i="20"/>
  <c r="BE18" i="20"/>
  <c r="Y18" i="20"/>
  <c r="I18" i="20"/>
  <c r="AX17" i="20"/>
  <c r="R17" i="20"/>
  <c r="BG16" i="20"/>
  <c r="AQ16" i="20"/>
  <c r="BL30" i="20"/>
  <c r="BU29" i="20"/>
  <c r="G29" i="20"/>
  <c r="BD27" i="20"/>
  <c r="P27" i="20"/>
  <c r="BS26" i="20"/>
  <c r="Y25" i="20"/>
  <c r="I25" i="20"/>
  <c r="BN24" i="20"/>
  <c r="AX24" i="20"/>
  <c r="R24" i="20"/>
  <c r="AC21" i="20"/>
  <c r="U33" i="20"/>
  <c r="BS29" i="20"/>
  <c r="F29" i="20"/>
  <c r="BA27" i="20"/>
  <c r="O27" i="20"/>
  <c r="BR26" i="20"/>
  <c r="AJ26" i="20"/>
  <c r="BF25" i="20"/>
  <c r="X25" i="20"/>
  <c r="H25" i="20"/>
  <c r="Q24" i="20"/>
  <c r="BV23" i="20"/>
  <c r="J23" i="20"/>
  <c r="BR29" i="20"/>
  <c r="AD29" i="20"/>
  <c r="AX28" i="20"/>
  <c r="Y28" i="20"/>
  <c r="AZ27" i="20"/>
  <c r="N27" i="20"/>
  <c r="AZ26" i="20"/>
  <c r="R26" i="20"/>
  <c r="BV25" i="20"/>
  <c r="W25" i="20"/>
  <c r="G25" i="20"/>
  <c r="BL24" i="20"/>
  <c r="AF24" i="20"/>
  <c r="P24" i="20"/>
  <c r="BU23" i="20"/>
  <c r="BE23" i="20"/>
  <c r="Y23" i="20"/>
  <c r="I23" i="20"/>
  <c r="AX22" i="20"/>
  <c r="R22" i="20"/>
  <c r="AQ21" i="20"/>
  <c r="AZ20" i="20"/>
  <c r="AS19" i="20"/>
  <c r="BR18" i="20"/>
  <c r="AT30" i="20"/>
  <c r="AB29" i="20"/>
  <c r="X28" i="20"/>
  <c r="BV27" i="20"/>
  <c r="AX27" i="20"/>
  <c r="AE27" i="20"/>
  <c r="Q26" i="20"/>
  <c r="BU25" i="20"/>
  <c r="V25" i="20"/>
  <c r="F25" i="20"/>
  <c r="AE24" i="20"/>
  <c r="O24" i="20"/>
  <c r="BT23" i="20"/>
  <c r="X23" i="20"/>
  <c r="H23" i="20"/>
  <c r="Q22" i="20"/>
  <c r="BV21" i="20"/>
  <c r="BF21" i="20"/>
  <c r="J21" i="20"/>
  <c r="AY20" i="20"/>
  <c r="AI20" i="20"/>
  <c r="AR19" i="20"/>
  <c r="AB19" i="20"/>
  <c r="BA18" i="20"/>
  <c r="U18" i="20"/>
  <c r="BU28" i="20"/>
  <c r="W28" i="20"/>
  <c r="BU27" i="20"/>
  <c r="AW27" i="20"/>
  <c r="AD27" i="20"/>
  <c r="AX26" i="20"/>
  <c r="P26" i="20"/>
  <c r="BT25" i="20"/>
  <c r="AT24" i="20"/>
  <c r="N24" i="20"/>
  <c r="BS23" i="20"/>
  <c r="W23" i="20"/>
  <c r="G23" i="20"/>
  <c r="AF22" i="20"/>
  <c r="P22" i="20"/>
  <c r="BU21" i="20"/>
  <c r="BE21" i="20"/>
  <c r="Y21" i="20"/>
  <c r="I21" i="20"/>
  <c r="BN20" i="20"/>
  <c r="AX20" i="20"/>
  <c r="R20" i="20"/>
  <c r="AZ18" i="20"/>
  <c r="AJ18" i="20"/>
  <c r="AM30" i="20"/>
  <c r="Y29" i="20"/>
  <c r="BS28" i="20"/>
  <c r="U28" i="20"/>
  <c r="BT27" i="20"/>
  <c r="AB27" i="20"/>
  <c r="J27" i="20"/>
  <c r="BN26" i="20"/>
  <c r="AF26" i="20"/>
  <c r="O26" i="20"/>
  <c r="BS25" i="20"/>
  <c r="AC24" i="20"/>
  <c r="BR23" i="20"/>
  <c r="AL23" i="20"/>
  <c r="V23" i="20"/>
  <c r="F23" i="20"/>
  <c r="O22" i="20"/>
  <c r="BT21" i="20"/>
  <c r="N32" i="20"/>
  <c r="AF30" i="20"/>
  <c r="BF29" i="20"/>
  <c r="X29" i="20"/>
  <c r="I27" i="20"/>
  <c r="AE26" i="20"/>
  <c r="N26" i="20"/>
  <c r="BR25" i="20"/>
  <c r="AR24" i="20"/>
  <c r="AB24" i="20"/>
  <c r="BA23" i="20"/>
  <c r="U23" i="20"/>
  <c r="N22" i="20"/>
  <c r="BS21" i="20"/>
  <c r="W21" i="20"/>
  <c r="G21" i="20"/>
  <c r="BL20" i="20"/>
  <c r="AF20" i="20"/>
  <c r="P20" i="20"/>
  <c r="BU19" i="20"/>
  <c r="Y19" i="20"/>
  <c r="I19" i="20"/>
  <c r="AX18" i="20"/>
  <c r="BS31" i="20"/>
  <c r="AD30" i="20"/>
  <c r="W29" i="20"/>
  <c r="AQ28" i="20"/>
  <c r="R28" i="20"/>
  <c r="H27" i="20"/>
  <c r="AY25" i="20"/>
  <c r="R25" i="20"/>
  <c r="BG24" i="20"/>
  <c r="AQ24" i="20"/>
  <c r="AC30" i="20"/>
  <c r="V29" i="20"/>
  <c r="Q28" i="20"/>
  <c r="AQ27" i="20"/>
  <c r="Y27" i="20"/>
  <c r="G27" i="20"/>
  <c r="AT26" i="20"/>
  <c r="AC26" i="20"/>
  <c r="Q25" i="20"/>
  <c r="BV24" i="20"/>
  <c r="J24" i="20"/>
  <c r="BO23" i="20"/>
  <c r="AY23" i="20"/>
  <c r="AI23" i="20"/>
  <c r="AK21" i="20"/>
  <c r="U21" i="20"/>
  <c r="W30" i="20"/>
  <c r="R29" i="20"/>
  <c r="P28" i="20"/>
  <c r="BM27" i="20"/>
  <c r="X27" i="20"/>
  <c r="F27" i="20"/>
  <c r="J26" i="20"/>
  <c r="AF25" i="20"/>
  <c r="P25" i="20"/>
  <c r="BU24" i="20"/>
  <c r="BE24" i="20"/>
  <c r="Y24" i="20"/>
  <c r="I24" i="20"/>
  <c r="AX23" i="20"/>
  <c r="R23" i="20"/>
  <c r="AQ22" i="20"/>
  <c r="AZ21" i="20"/>
  <c r="AJ21" i="20"/>
  <c r="AS20" i="20"/>
  <c r="AC20" i="20"/>
  <c r="BR19" i="20"/>
  <c r="AL19" i="20"/>
  <c r="V19" i="20"/>
  <c r="F19" i="20"/>
  <c r="AE18" i="20"/>
  <c r="O18" i="20"/>
  <c r="BT17" i="20"/>
  <c r="X17" i="20"/>
  <c r="H17" i="20"/>
  <c r="BM16" i="20"/>
  <c r="Q16" i="20"/>
  <c r="BV15" i="20"/>
  <c r="J15" i="20"/>
  <c r="Q30" i="20"/>
  <c r="P29" i="20"/>
  <c r="BL28" i="20"/>
  <c r="O28" i="20"/>
  <c r="W27" i="20"/>
  <c r="I26" i="20"/>
  <c r="BM25" i="20"/>
  <c r="O25" i="20"/>
  <c r="BT24" i="20"/>
  <c r="X24" i="20"/>
  <c r="H24" i="20"/>
  <c r="Q23" i="20"/>
  <c r="BV22" i="20"/>
  <c r="J22" i="20"/>
  <c r="AY21" i="20"/>
  <c r="AR20" i="20"/>
  <c r="AB20" i="20"/>
  <c r="AK19" i="20"/>
  <c r="U19" i="20"/>
  <c r="AT18" i="20"/>
  <c r="AD18" i="20"/>
  <c r="N18" i="20"/>
  <c r="BS17" i="20"/>
  <c r="W17" i="20"/>
  <c r="G17" i="20"/>
  <c r="AF16" i="20"/>
  <c r="P16" i="20"/>
  <c r="BU15" i="20"/>
  <c r="Y15" i="20"/>
  <c r="I15" i="20"/>
  <c r="P30" i="20"/>
  <c r="N29" i="20"/>
  <c r="AI28" i="20"/>
  <c r="V27" i="20"/>
  <c r="Y26" i="20"/>
  <c r="H26" i="20"/>
  <c r="AD25" i="20"/>
  <c r="N25" i="20"/>
  <c r="BS24" i="20"/>
  <c r="AM24" i="20"/>
  <c r="W24" i="20"/>
  <c r="G24" i="20"/>
  <c r="BL23" i="20"/>
  <c r="AF23" i="20"/>
  <c r="P23" i="20"/>
  <c r="BU22" i="20"/>
  <c r="Y22" i="20"/>
  <c r="I22" i="20"/>
  <c r="AX21" i="20"/>
  <c r="R21" i="20"/>
  <c r="AZ19" i="20"/>
  <c r="AS18" i="20"/>
  <c r="AC18" i="20"/>
  <c r="W31" i="20"/>
  <c r="N30" i="20"/>
  <c r="AR29" i="20"/>
  <c r="U27" i="20"/>
  <c r="X26" i="20"/>
  <c r="G26" i="20"/>
  <c r="BR24" i="20"/>
  <c r="AL24" i="20"/>
  <c r="V24" i="20"/>
  <c r="F24" i="20"/>
  <c r="O23" i="20"/>
  <c r="BT22" i="20"/>
  <c r="X22" i="20"/>
  <c r="H22" i="20"/>
  <c r="BM21" i="20"/>
  <c r="Q21" i="20"/>
  <c r="BV20" i="20"/>
  <c r="BF20" i="20"/>
  <c r="J20" i="20"/>
  <c r="AY19" i="20"/>
  <c r="AI19" i="20"/>
  <c r="AP29" i="20"/>
  <c r="J29" i="20"/>
  <c r="I28" i="20"/>
  <c r="BV26" i="20"/>
  <c r="BE26" i="20"/>
  <c r="W26" i="20"/>
  <c r="F26" i="20"/>
  <c r="BA24" i="20"/>
  <c r="AK24" i="20"/>
  <c r="U24" i="20"/>
  <c r="AD23" i="20"/>
  <c r="N23" i="20"/>
  <c r="BS22" i="20"/>
  <c r="W22" i="20"/>
  <c r="G22" i="20"/>
  <c r="BL21" i="20"/>
  <c r="P21" i="20"/>
  <c r="BU20" i="20"/>
  <c r="BE20" i="20"/>
  <c r="Y20" i="20"/>
  <c r="I20" i="20"/>
  <c r="AX19" i="20"/>
  <c r="R19" i="20"/>
  <c r="AQ18" i="20"/>
  <c r="G31" i="20"/>
  <c r="G30" i="20"/>
  <c r="I29" i="20"/>
  <c r="BE28" i="20"/>
  <c r="H28" i="20"/>
  <c r="BF27" i="20"/>
  <c r="R27" i="20"/>
  <c r="BU26" i="20"/>
  <c r="V26" i="20"/>
  <c r="AR25" i="20"/>
  <c r="AZ24" i="20"/>
  <c r="AJ24" i="20"/>
  <c r="AS23" i="20"/>
  <c r="AC23" i="20"/>
  <c r="BR22" i="20"/>
  <c r="V22" i="20"/>
  <c r="F22" i="20"/>
  <c r="AE21" i="20"/>
  <c r="O21" i="20"/>
  <c r="BT20" i="20"/>
  <c r="X20" i="20"/>
  <c r="H20" i="20"/>
  <c r="AW19" i="20"/>
  <c r="Q19" i="20"/>
  <c r="BV18" i="20"/>
  <c r="AP18" i="20"/>
  <c r="J18" i="20"/>
  <c r="AY17" i="20"/>
  <c r="AI17" i="20"/>
  <c r="AR16" i="20"/>
  <c r="AB16" i="20"/>
  <c r="U15" i="20"/>
  <c r="F21" i="20"/>
  <c r="U20" i="20"/>
  <c r="AP19" i="20"/>
  <c r="AB18" i="20"/>
  <c r="BU17" i="20"/>
  <c r="Y17" i="20"/>
  <c r="BT16" i="20"/>
  <c r="AZ16" i="20"/>
  <c r="AD16" i="20"/>
  <c r="H16" i="20"/>
  <c r="V15" i="20"/>
  <c r="O20" i="20"/>
  <c r="AM19" i="20"/>
  <c r="W18" i="20"/>
  <c r="AC22" i="20"/>
  <c r="BM20" i="20"/>
  <c r="N20" i="20"/>
  <c r="AE19" i="20"/>
  <c r="V18" i="20"/>
  <c r="BM17" i="20"/>
  <c r="Q17" i="20"/>
  <c r="F20" i="20"/>
  <c r="AD19" i="20"/>
  <c r="BD18" i="20"/>
  <c r="BL17" i="20"/>
  <c r="AP17" i="20"/>
  <c r="P17" i="20"/>
  <c r="X16" i="20"/>
  <c r="AJ15" i="20"/>
  <c r="Q15" i="20"/>
  <c r="BR21" i="20"/>
  <c r="BA20" i="20"/>
  <c r="BV19" i="20"/>
  <c r="X19" i="20"/>
  <c r="AY18" i="20"/>
  <c r="Q18" i="20"/>
  <c r="N17" i="20"/>
  <c r="V16" i="20"/>
  <c r="BT19" i="20"/>
  <c r="W19" i="20"/>
  <c r="AW18" i="20"/>
  <c r="P18" i="20"/>
  <c r="AK17" i="20"/>
  <c r="AR21" i="20"/>
  <c r="AT20" i="20"/>
  <c r="BK19" i="20"/>
  <c r="N19" i="20"/>
  <c r="H18" i="20"/>
  <c r="BF17" i="20"/>
  <c r="AL20" i="20"/>
  <c r="J19" i="20"/>
  <c r="AK20" i="20"/>
  <c r="BF19" i="20"/>
  <c r="H19" i="20"/>
  <c r="AM18" i="20"/>
  <c r="F18" i="20"/>
  <c r="AD17" i="20"/>
  <c r="I17" i="20"/>
  <c r="O16" i="20"/>
  <c r="X21" i="20"/>
  <c r="BD19" i="20"/>
  <c r="G19" i="20"/>
  <c r="AL18" i="20"/>
  <c r="AC17" i="20"/>
  <c r="F17" i="20"/>
  <c r="N16" i="20"/>
  <c r="G15" i="20"/>
  <c r="V21" i="20"/>
  <c r="AE20" i="20"/>
  <c r="AD20" i="20"/>
  <c r="H21" i="20"/>
  <c r="V20" i="20"/>
  <c r="AT19" i="20"/>
  <c r="BS18" i="20"/>
  <c r="AF18" i="20"/>
  <c r="BV17" i="20"/>
  <c r="BU16" i="20"/>
  <c r="BA16" i="20"/>
  <c r="AE16" i="20"/>
  <c r="I16" i="20"/>
  <c r="W15" i="20"/>
  <c r="BR20" i="20"/>
  <c r="G18" i="20"/>
  <c r="V17" i="20"/>
  <c r="AX16" i="20"/>
  <c r="R16" i="20"/>
  <c r="Q20" i="20"/>
  <c r="U17" i="20"/>
  <c r="O17" i="20"/>
  <c r="J16" i="20"/>
  <c r="BS19" i="20"/>
  <c r="BR17" i="20"/>
  <c r="P15" i="20"/>
  <c r="O19" i="20"/>
  <c r="BE17" i="20"/>
  <c r="BV16" i="20"/>
  <c r="O15" i="20"/>
  <c r="O4" i="20" s="1"/>
  <c r="BT18" i="20"/>
  <c r="AW17" i="20"/>
  <c r="BS16" i="20"/>
  <c r="BT15" i="20"/>
  <c r="N15" i="20"/>
  <c r="BM18" i="20"/>
  <c r="BR16" i="20"/>
  <c r="BS15" i="20"/>
  <c r="AC16" i="20"/>
  <c r="AR17" i="20"/>
  <c r="AI18" i="20"/>
  <c r="X18" i="20"/>
  <c r="U16" i="20"/>
  <c r="R18" i="20"/>
  <c r="AB17" i="20"/>
  <c r="AY16" i="20"/>
  <c r="J17" i="20"/>
  <c r="AC15" i="20"/>
  <c r="W16" i="20"/>
  <c r="X15" i="20"/>
  <c r="G16" i="20"/>
  <c r="R15" i="20"/>
  <c r="F16" i="20"/>
  <c r="BR15" i="20"/>
  <c r="H15" i="20"/>
  <c r="F15" i="20"/>
  <c r="S4" i="7"/>
  <c r="AD26" i="7"/>
  <c r="AC26" i="7"/>
  <c r="AB26" i="7"/>
  <c r="AF31" i="7"/>
  <c r="AH31" i="7"/>
  <c r="AG31" i="7"/>
  <c r="AN31" i="7" s="1"/>
  <c r="T117" i="14"/>
  <c r="M117" i="14"/>
  <c r="W117" i="14" s="1"/>
  <c r="Z117" i="14" s="1"/>
  <c r="L117" i="14"/>
  <c r="T119" i="14"/>
  <c r="M119" i="14"/>
  <c r="W119" i="14" s="1"/>
  <c r="Z119" i="14" s="1"/>
  <c r="L119" i="14"/>
  <c r="CV23" i="6"/>
  <c r="AH19" i="7"/>
  <c r="AG19" i="7"/>
  <c r="AN19" i="7" s="1"/>
  <c r="AF19" i="7"/>
  <c r="AZ34" i="7"/>
  <c r="AB53" i="7"/>
  <c r="AJ53" i="7" s="1"/>
  <c r="AD53" i="7"/>
  <c r="AC53" i="7"/>
  <c r="AR108" i="7"/>
  <c r="AS108" i="7"/>
  <c r="AT108" i="7"/>
  <c r="EW53" i="6"/>
  <c r="EU53" i="6"/>
  <c r="AH22" i="7"/>
  <c r="AG22" i="7"/>
  <c r="AN22" i="7" s="1"/>
  <c r="AH26" i="7"/>
  <c r="AG26" i="7"/>
  <c r="AN26" i="7" s="1"/>
  <c r="AF26" i="7"/>
  <c r="AH43" i="7"/>
  <c r="AG43" i="7"/>
  <c r="AN43" i="7" s="1"/>
  <c r="AF43" i="7"/>
  <c r="AH51" i="7"/>
  <c r="AG51" i="7"/>
  <c r="AN51" i="7" s="1"/>
  <c r="AF51" i="7"/>
  <c r="AO56" i="7"/>
  <c r="AD58" i="7"/>
  <c r="AC58" i="7"/>
  <c r="AB58" i="7"/>
  <c r="AB61" i="7"/>
  <c r="AJ61" i="7" s="1"/>
  <c r="AD61" i="7"/>
  <c r="AO127" i="12" s="1"/>
  <c r="AC61" i="7"/>
  <c r="AE15" i="7"/>
  <c r="AM22" i="7"/>
  <c r="AL22" i="7"/>
  <c r="AH24" i="7"/>
  <c r="AG24" i="7"/>
  <c r="AN24" i="7" s="1"/>
  <c r="AF24" i="7"/>
  <c r="AD34" i="7"/>
  <c r="AC34" i="7"/>
  <c r="AB34" i="7"/>
  <c r="AH58" i="7"/>
  <c r="AG58" i="7"/>
  <c r="AN58" i="7" s="1"/>
  <c r="AF58" i="7"/>
  <c r="AO64" i="7"/>
  <c r="AG103" i="7"/>
  <c r="AN103" i="7" s="1"/>
  <c r="AF103" i="7"/>
  <c r="AH103" i="7"/>
  <c r="AH34" i="7"/>
  <c r="AG34" i="7"/>
  <c r="AN34" i="7" s="1"/>
  <c r="AF34" i="7"/>
  <c r="AB37" i="7"/>
  <c r="AJ37" i="7" s="1"/>
  <c r="AD37" i="7"/>
  <c r="AC37" i="7"/>
  <c r="AA40" i="7"/>
  <c r="T121" i="14"/>
  <c r="M121" i="14"/>
  <c r="W121" i="14" s="1"/>
  <c r="Z121" i="14" s="1"/>
  <c r="L121" i="14"/>
  <c r="T123" i="14"/>
  <c r="L123" i="14"/>
  <c r="M123" i="14" s="1"/>
  <c r="W123" i="14" s="1"/>
  <c r="Z123" i="14" s="1"/>
  <c r="CU22" i="6"/>
  <c r="AA17" i="7"/>
  <c r="V17" i="7"/>
  <c r="AE17" i="7" s="1"/>
  <c r="AT68" i="7"/>
  <c r="AS68" i="7"/>
  <c r="AR68" i="7"/>
  <c r="AH78" i="7"/>
  <c r="AG78" i="7"/>
  <c r="AN78" i="7" s="1"/>
  <c r="AF78" i="7"/>
  <c r="AK21" i="7"/>
  <c r="AI21" i="7"/>
  <c r="AX21" i="7"/>
  <c r="AO71" i="7"/>
  <c r="CZ25" i="6"/>
  <c r="AA35" i="7"/>
  <c r="AH71" i="7"/>
  <c r="AG71" i="7"/>
  <c r="AN71" i="7" s="1"/>
  <c r="AF71" i="7"/>
  <c r="AD41" i="7"/>
  <c r="AO79" i="12" s="1"/>
  <c r="AC41" i="7"/>
  <c r="AO41" i="7" s="1"/>
  <c r="AB41" i="7"/>
  <c r="AJ41" i="7" s="1"/>
  <c r="AH59" i="7"/>
  <c r="AG59" i="7"/>
  <c r="AN59" i="7" s="1"/>
  <c r="AF59" i="7"/>
  <c r="AD74" i="7"/>
  <c r="AO157" i="12" s="1"/>
  <c r="AC74" i="7"/>
  <c r="AB74" i="7"/>
  <c r="AJ74" i="7" s="1"/>
  <c r="AH87" i="7"/>
  <c r="AG87" i="7"/>
  <c r="AN87" i="7" s="1"/>
  <c r="AF87" i="7"/>
  <c r="AD18" i="7"/>
  <c r="AC18" i="7"/>
  <c r="AB18" i="7"/>
  <c r="AH27" i="7"/>
  <c r="AG27" i="7"/>
  <c r="AN27" i="7" s="1"/>
  <c r="AF27" i="7"/>
  <c r="AB29" i="7"/>
  <c r="AJ29" i="7" s="1"/>
  <c r="AD29" i="7"/>
  <c r="AC29" i="7"/>
  <c r="AD49" i="7"/>
  <c r="AC49" i="7"/>
  <c r="AB49" i="7"/>
  <c r="AJ49" i="7" s="1"/>
  <c r="AH98" i="7"/>
  <c r="AG98" i="7"/>
  <c r="AN98" i="7" s="1"/>
  <c r="AF98" i="7"/>
  <c r="AF23" i="7"/>
  <c r="AH23" i="7"/>
  <c r="AA25" i="7"/>
  <c r="AF47" i="7"/>
  <c r="AH47" i="7"/>
  <c r="AG47" i="7"/>
  <c r="AN47" i="7" s="1"/>
  <c r="AH79" i="7"/>
  <c r="AG79" i="7"/>
  <c r="AN79" i="7" s="1"/>
  <c r="AF79" i="7"/>
  <c r="M114" i="14"/>
  <c r="W114" i="14" s="1"/>
  <c r="Z114" i="14" s="1"/>
  <c r="L114" i="14"/>
  <c r="T114" i="14"/>
  <c r="T116" i="14"/>
  <c r="M116" i="14"/>
  <c r="W116" i="14" s="1"/>
  <c r="Z116" i="14" s="1"/>
  <c r="L116" i="14"/>
  <c r="M130" i="14"/>
  <c r="W130" i="14" s="1"/>
  <c r="Z130" i="14" s="1"/>
  <c r="L130" i="14"/>
  <c r="T130" i="14"/>
  <c r="EZ56" i="6"/>
  <c r="EY56" i="6"/>
  <c r="AZ18" i="7"/>
  <c r="AH18" i="7"/>
  <c r="AG18" i="7"/>
  <c r="AN18" i="7" s="1"/>
  <c r="AF18" i="7"/>
  <c r="AD67" i="7"/>
  <c r="AO141" i="12" s="1"/>
  <c r="AC67" i="7"/>
  <c r="AB67" i="7"/>
  <c r="AH83" i="7"/>
  <c r="AG83" i="7"/>
  <c r="AN83" i="7" s="1"/>
  <c r="AF83" i="7"/>
  <c r="AZ88" i="7"/>
  <c r="AA30" i="7"/>
  <c r="AD42" i="7"/>
  <c r="AC42" i="7"/>
  <c r="AB42" i="7"/>
  <c r="AH67" i="7"/>
  <c r="AG67" i="7"/>
  <c r="AN67" i="7" s="1"/>
  <c r="AF67" i="7"/>
  <c r="AD72" i="7"/>
  <c r="AC72" i="7"/>
  <c r="AB72" i="7"/>
  <c r="AH42" i="7"/>
  <c r="AG42" i="7"/>
  <c r="AN42" i="7" s="1"/>
  <c r="AF42" i="7"/>
  <c r="AA60" i="7"/>
  <c r="AH75" i="7"/>
  <c r="AG75" i="7"/>
  <c r="AN75" i="7" s="1"/>
  <c r="AF75" i="7"/>
  <c r="AH16" i="7"/>
  <c r="AG16" i="7"/>
  <c r="AN16" i="7" s="1"/>
  <c r="AF16" i="7"/>
  <c r="AD57" i="7"/>
  <c r="AC57" i="7"/>
  <c r="AB57" i="7"/>
  <c r="AJ57" i="7" s="1"/>
  <c r="AH73" i="7"/>
  <c r="AG73" i="7"/>
  <c r="AN73" i="7" s="1"/>
  <c r="AF73" i="7"/>
  <c r="AH96" i="7"/>
  <c r="AF96" i="7"/>
  <c r="AA128" i="7"/>
  <c r="V128" i="7"/>
  <c r="AE128" i="7" s="1"/>
  <c r="AB28" i="7"/>
  <c r="AJ28" i="7" s="1"/>
  <c r="AB36" i="7"/>
  <c r="AF38" i="7"/>
  <c r="AB44" i="7"/>
  <c r="AF46" i="7"/>
  <c r="AB52" i="7"/>
  <c r="AF54" i="7"/>
  <c r="AF62" i="7"/>
  <c r="AA94" i="7"/>
  <c r="V94" i="7"/>
  <c r="AE94" i="7" s="1"/>
  <c r="AH106" i="7"/>
  <c r="AG106" i="7"/>
  <c r="AN106" i="7" s="1"/>
  <c r="AF106" i="7"/>
  <c r="AZ118" i="7"/>
  <c r="AK16" i="7"/>
  <c r="AK24" i="7"/>
  <c r="AC28" i="7"/>
  <c r="W47" i="9" s="1"/>
  <c r="AK32" i="7"/>
  <c r="AC36" i="7"/>
  <c r="AG38" i="7"/>
  <c r="AN38" i="7" s="1"/>
  <c r="AC44" i="7"/>
  <c r="AG46" i="7"/>
  <c r="AN46" i="7" s="1"/>
  <c r="AK48" i="7"/>
  <c r="AC52" i="7"/>
  <c r="AG54" i="7"/>
  <c r="AN54" i="7" s="1"/>
  <c r="AK56" i="7"/>
  <c r="AG62" i="7"/>
  <c r="AN62" i="7" s="1"/>
  <c r="AK64" i="7"/>
  <c r="AC66" i="7"/>
  <c r="AO66" i="7" s="1"/>
  <c r="AD71" i="7"/>
  <c r="AC71" i="7"/>
  <c r="AB71" i="7"/>
  <c r="AJ71" i="7" s="1"/>
  <c r="AR76" i="7"/>
  <c r="AG86" i="7"/>
  <c r="AN86" i="7" s="1"/>
  <c r="AD96" i="7"/>
  <c r="AC96" i="7"/>
  <c r="AB96" i="7"/>
  <c r="AA97" i="7"/>
  <c r="V97" i="7"/>
  <c r="AE97" i="7" s="1"/>
  <c r="AC98" i="7"/>
  <c r="H215" i="12" s="1"/>
  <c r="AB98" i="7"/>
  <c r="AH114" i="7"/>
  <c r="AF114" i="7"/>
  <c r="AA125" i="7"/>
  <c r="AB19" i="7"/>
  <c r="AB27" i="7"/>
  <c r="V33" i="7"/>
  <c r="AE33" i="7" s="1"/>
  <c r="V41" i="7"/>
  <c r="AE41" i="7" s="1"/>
  <c r="AB43" i="7"/>
  <c r="V49" i="7"/>
  <c r="AE49" i="7" s="1"/>
  <c r="AB51" i="7"/>
  <c r="V57" i="7"/>
  <c r="AE57" i="7" s="1"/>
  <c r="AB59" i="7"/>
  <c r="AS76" i="7"/>
  <c r="V82" i="7"/>
  <c r="AE82" i="7" s="1"/>
  <c r="AM88" i="7"/>
  <c r="AG96" i="7"/>
  <c r="AN96" i="7" s="1"/>
  <c r="AD107" i="7"/>
  <c r="AC107" i="7"/>
  <c r="AB107" i="7"/>
  <c r="W66" i="9"/>
  <c r="X17" i="7"/>
  <c r="AC19" i="7"/>
  <c r="AZ22" i="7"/>
  <c r="AC27" i="7"/>
  <c r="AO33" i="7"/>
  <c r="AC43" i="7"/>
  <c r="AC51" i="7"/>
  <c r="AO57" i="7"/>
  <c r="AC59" i="7"/>
  <c r="AZ62" i="7"/>
  <c r="AZ71" i="7"/>
  <c r="V72" i="7"/>
  <c r="AE72" i="7" s="1"/>
  <c r="AL86" i="7"/>
  <c r="AF107" i="7"/>
  <c r="AG114" i="7"/>
  <c r="AN114" i="7" s="1"/>
  <c r="AD142" i="7"/>
  <c r="AO321" i="12" s="1"/>
  <c r="AB142" i="7"/>
  <c r="AC142" i="7"/>
  <c r="AK75" i="7"/>
  <c r="AI75" i="7"/>
  <c r="V81" i="7"/>
  <c r="AE81" i="7" s="1"/>
  <c r="AB82" i="7"/>
  <c r="AJ82" i="7" s="1"/>
  <c r="AC83" i="7"/>
  <c r="AB83" i="7"/>
  <c r="AD88" i="7"/>
  <c r="AC88" i="7"/>
  <c r="AC92" i="7"/>
  <c r="AD98" i="7"/>
  <c r="AG107" i="7"/>
  <c r="AN107" i="7" s="1"/>
  <c r="AA119" i="7"/>
  <c r="V119" i="7"/>
  <c r="AE119" i="7" s="1"/>
  <c r="AH121" i="7"/>
  <c r="AF121" i="7"/>
  <c r="AG121" i="7"/>
  <c r="AN121" i="7" s="1"/>
  <c r="AG28" i="7"/>
  <c r="AN28" i="7" s="1"/>
  <c r="AG36" i="7"/>
  <c r="AN36" i="7" s="1"/>
  <c r="AG44" i="7"/>
  <c r="AN44" i="7" s="1"/>
  <c r="AG52" i="7"/>
  <c r="AN52" i="7" s="1"/>
  <c r="AG66" i="7"/>
  <c r="V77" i="7"/>
  <c r="AE77" i="7" s="1"/>
  <c r="AA78" i="7"/>
  <c r="AD79" i="7"/>
  <c r="AC79" i="7"/>
  <c r="AB79" i="7"/>
  <c r="AC82" i="7"/>
  <c r="AZ83" i="7"/>
  <c r="AD83" i="7"/>
  <c r="AO179" i="12" s="1"/>
  <c r="AB84" i="7"/>
  <c r="AB88" i="7"/>
  <c r="AA100" i="7"/>
  <c r="AB111" i="7"/>
  <c r="AJ111" i="7" s="1"/>
  <c r="AD111" i="7"/>
  <c r="AO247" i="12" s="1"/>
  <c r="AC111" i="7"/>
  <c r="AG131" i="7"/>
  <c r="AN131" i="7" s="1"/>
  <c r="AH131" i="7"/>
  <c r="AF131" i="7"/>
  <c r="AJ148" i="7"/>
  <c r="AO148" i="7"/>
  <c r="ET54" i="6"/>
  <c r="T4" i="7"/>
  <c r="H359" i="12"/>
  <c r="H325" i="12"/>
  <c r="AO325" i="12"/>
  <c r="AO337" i="12"/>
  <c r="AO323" i="12"/>
  <c r="H337" i="12"/>
  <c r="AO277" i="12"/>
  <c r="I325" i="12"/>
  <c r="H277" i="12"/>
  <c r="H349" i="12"/>
  <c r="H263" i="12"/>
  <c r="AO271" i="12"/>
  <c r="AO263" i="12"/>
  <c r="H247" i="12"/>
  <c r="H239" i="12"/>
  <c r="H271" i="12"/>
  <c r="H295" i="12"/>
  <c r="H261" i="12"/>
  <c r="AO223" i="12"/>
  <c r="AO239" i="12"/>
  <c r="AO201" i="12"/>
  <c r="AO161" i="12"/>
  <c r="AO177" i="12"/>
  <c r="AO181" i="12"/>
  <c r="H259" i="12"/>
  <c r="H211" i="12"/>
  <c r="H191" i="12"/>
  <c r="AP143" i="12"/>
  <c r="AO117" i="12"/>
  <c r="AO95" i="12"/>
  <c r="H151" i="12"/>
  <c r="AO133" i="12"/>
  <c r="AO151" i="12"/>
  <c r="AO107" i="12"/>
  <c r="AO139" i="12"/>
  <c r="H115" i="12"/>
  <c r="H95" i="12"/>
  <c r="AO109" i="12"/>
  <c r="AO83" i="12"/>
  <c r="H97" i="12"/>
  <c r="H37" i="12"/>
  <c r="AO121" i="12"/>
  <c r="AO93" i="12"/>
  <c r="H31" i="12"/>
  <c r="AO131" i="12"/>
  <c r="AO119" i="12"/>
  <c r="AO25" i="12"/>
  <c r="H79" i="12"/>
  <c r="AO67" i="12"/>
  <c r="AO85" i="12"/>
  <c r="AO55" i="12"/>
  <c r="AO43" i="12"/>
  <c r="AO37" i="12"/>
  <c r="AO35" i="12"/>
  <c r="H43" i="12"/>
  <c r="H23" i="12"/>
  <c r="H19" i="12"/>
  <c r="AO69" i="12"/>
  <c r="AO23" i="12"/>
  <c r="W362" i="9"/>
  <c r="W334" i="9"/>
  <c r="X346" i="9"/>
  <c r="W346" i="9"/>
  <c r="X318" i="9"/>
  <c r="W331" i="9"/>
  <c r="X342" i="9"/>
  <c r="W284" i="9"/>
  <c r="W344" i="9"/>
  <c r="X316" i="9"/>
  <c r="X315" i="9"/>
  <c r="W314" i="9"/>
  <c r="X352" i="9"/>
  <c r="X328" i="9"/>
  <c r="W316" i="9"/>
  <c r="W315" i="9"/>
  <c r="W262" i="9"/>
  <c r="W328" i="9"/>
  <c r="W318" i="9"/>
  <c r="X279" i="9"/>
  <c r="X272" i="9"/>
  <c r="X340" i="9"/>
  <c r="X339" i="9"/>
  <c r="X334" i="9"/>
  <c r="X330" i="9"/>
  <c r="W279" i="9"/>
  <c r="W272" i="9"/>
  <c r="X266" i="9"/>
  <c r="X358" i="9"/>
  <c r="W339" i="9"/>
  <c r="W330" i="9"/>
  <c r="X302" i="9"/>
  <c r="W361" i="9"/>
  <c r="W300" i="9"/>
  <c r="X243" i="9"/>
  <c r="X195" i="9"/>
  <c r="X350" i="9"/>
  <c r="W342" i="9"/>
  <c r="X276" i="9"/>
  <c r="X264" i="9"/>
  <c r="W259" i="9"/>
  <c r="X248" i="9"/>
  <c r="W243" i="9"/>
  <c r="W350" i="9"/>
  <c r="W332" i="9"/>
  <c r="X310" i="9"/>
  <c r="W276" i="9"/>
  <c r="W264" i="9"/>
  <c r="W248" i="9"/>
  <c r="X362" i="9"/>
  <c r="X288" i="9"/>
  <c r="X286" i="9"/>
  <c r="W256" i="9"/>
  <c r="X216" i="9"/>
  <c r="X284" i="9"/>
  <c r="W286" i="9"/>
  <c r="W200" i="9"/>
  <c r="W198" i="9"/>
  <c r="X351" i="9"/>
  <c r="W288" i="9"/>
  <c r="X230" i="9"/>
  <c r="W203" i="9"/>
  <c r="X202" i="9"/>
  <c r="W271" i="9"/>
  <c r="W261" i="9"/>
  <c r="X246" i="9"/>
  <c r="X231" i="9"/>
  <c r="W230" i="9"/>
  <c r="W246" i="9"/>
  <c r="W218" i="9"/>
  <c r="X232" i="9"/>
  <c r="W232" i="9"/>
  <c r="X274" i="9"/>
  <c r="W207" i="9"/>
  <c r="W210" i="9"/>
  <c r="X250" i="9"/>
  <c r="X300" i="9"/>
  <c r="X262" i="9"/>
  <c r="X234" i="9"/>
  <c r="W211" i="9"/>
  <c r="X278" i="9"/>
  <c r="W255" i="9"/>
  <c r="W239" i="9"/>
  <c r="W234" i="9"/>
  <c r="X112" i="9"/>
  <c r="X111" i="9"/>
  <c r="W195" i="9"/>
  <c r="X134" i="9"/>
  <c r="W112" i="9"/>
  <c r="W111" i="9"/>
  <c r="X110" i="9"/>
  <c r="X178" i="9"/>
  <c r="W110" i="9"/>
  <c r="W178" i="9"/>
  <c r="X144" i="9"/>
  <c r="X143" i="9"/>
  <c r="X142" i="9"/>
  <c r="W84" i="9"/>
  <c r="X52" i="9"/>
  <c r="X34" i="9"/>
  <c r="X18" i="9"/>
  <c r="W302" i="9"/>
  <c r="X186" i="9"/>
  <c r="X180" i="9"/>
  <c r="W144" i="9"/>
  <c r="W143" i="9"/>
  <c r="W142" i="9"/>
  <c r="X140" i="9"/>
  <c r="W108" i="9"/>
  <c r="X99" i="9"/>
  <c r="X75" i="9"/>
  <c r="X60" i="9"/>
  <c r="W52" i="9"/>
  <c r="X39" i="9"/>
  <c r="W34" i="9"/>
  <c r="W18" i="9"/>
  <c r="X244" i="9"/>
  <c r="W186" i="9"/>
  <c r="W181" i="9"/>
  <c r="W180" i="9"/>
  <c r="X148" i="9"/>
  <c r="X147" i="9"/>
  <c r="W99" i="9"/>
  <c r="W75" i="9"/>
  <c r="W67" i="9"/>
  <c r="W60" i="9"/>
  <c r="W45" i="9"/>
  <c r="W39" i="9"/>
  <c r="W23" i="9"/>
  <c r="X182" i="9"/>
  <c r="X150" i="9"/>
  <c r="W147" i="9"/>
  <c r="X146" i="9"/>
  <c r="X98" i="9"/>
  <c r="X96" i="9"/>
  <c r="W83" i="9"/>
  <c r="W74" i="9"/>
  <c r="X51" i="9"/>
  <c r="X44" i="9"/>
  <c r="W28" i="9"/>
  <c r="W258" i="9"/>
  <c r="W182" i="9"/>
  <c r="W174" i="9"/>
  <c r="W154" i="9"/>
  <c r="W153" i="9"/>
  <c r="W146" i="9"/>
  <c r="W98" i="9"/>
  <c r="W96" i="9"/>
  <c r="W95" i="9"/>
  <c r="X82" i="9"/>
  <c r="X66" i="9"/>
  <c r="W59" i="9"/>
  <c r="W51" i="9"/>
  <c r="W44" i="9"/>
  <c r="W33" i="9"/>
  <c r="X198" i="9"/>
  <c r="X183" i="9"/>
  <c r="X171" i="9"/>
  <c r="W170" i="9"/>
  <c r="X160" i="9"/>
  <c r="X159" i="9"/>
  <c r="X158" i="9"/>
  <c r="W151" i="9"/>
  <c r="X32" i="9"/>
  <c r="X16" i="9"/>
  <c r="X260" i="9"/>
  <c r="X200" i="9"/>
  <c r="W189" i="9"/>
  <c r="X184" i="9"/>
  <c r="W171" i="9"/>
  <c r="W160" i="9"/>
  <c r="W159" i="9"/>
  <c r="W158" i="9"/>
  <c r="X72" i="9"/>
  <c r="W57" i="9"/>
  <c r="W223" i="9"/>
  <c r="W184" i="9"/>
  <c r="X176" i="9"/>
  <c r="X164" i="9"/>
  <c r="X163" i="9"/>
  <c r="W157" i="9"/>
  <c r="W122" i="9"/>
  <c r="W121" i="9"/>
  <c r="W79" i="9"/>
  <c r="W72" i="9"/>
  <c r="X214" i="9"/>
  <c r="X192" i="9"/>
  <c r="W176" i="9"/>
  <c r="W164" i="9"/>
  <c r="W163" i="9"/>
  <c r="X162" i="9"/>
  <c r="W161" i="9"/>
  <c r="W123" i="9"/>
  <c r="X120" i="9"/>
  <c r="X116" i="9"/>
  <c r="W93" i="9"/>
  <c r="X92" i="9"/>
  <c r="W64" i="9"/>
  <c r="X63" i="9"/>
  <c r="X56" i="9"/>
  <c r="W49" i="9"/>
  <c r="W214" i="9"/>
  <c r="X64" i="9"/>
  <c r="W56" i="9"/>
  <c r="W127" i="9"/>
  <c r="X118" i="9"/>
  <c r="X20" i="9"/>
  <c r="W166" i="9"/>
  <c r="W120" i="9"/>
  <c r="X78" i="9"/>
  <c r="X70" i="9"/>
  <c r="X36" i="9"/>
  <c r="W216" i="9"/>
  <c r="W78" i="9"/>
  <c r="W36" i="9"/>
  <c r="W32" i="9"/>
  <c r="W92" i="9"/>
  <c r="W162" i="9"/>
  <c r="X128" i="9"/>
  <c r="W90" i="9"/>
  <c r="W63" i="9"/>
  <c r="W177" i="9"/>
  <c r="W128" i="9"/>
  <c r="X26" i="9"/>
  <c r="W224" i="9"/>
  <c r="X212" i="9"/>
  <c r="X42" i="9"/>
  <c r="X126" i="9"/>
  <c r="W119" i="9"/>
  <c r="W115" i="9"/>
  <c r="W126" i="9"/>
  <c r="X124" i="9"/>
  <c r="W91" i="9"/>
  <c r="W15" i="9"/>
  <c r="W20" i="9"/>
  <c r="W37" i="9"/>
  <c r="W16" i="9"/>
  <c r="X48" i="9"/>
  <c r="V63" i="7"/>
  <c r="AE63" i="7" s="1"/>
  <c r="AX76" i="7"/>
  <c r="AA77" i="7"/>
  <c r="AC84" i="7"/>
  <c r="H181" i="12" s="1"/>
  <c r="AD87" i="7"/>
  <c r="AC87" i="7"/>
  <c r="AB87" i="7"/>
  <c r="AG88" i="7"/>
  <c r="AX108" i="7"/>
  <c r="AK108" i="7"/>
  <c r="AJ66" i="7"/>
  <c r="AV68" i="7"/>
  <c r="AA81" i="7"/>
  <c r="AH88" i="7"/>
  <c r="AD99" i="7"/>
  <c r="AO217" i="12" s="1"/>
  <c r="AC99" i="7"/>
  <c r="W217" i="9" s="1"/>
  <c r="AB99" i="7"/>
  <c r="AA109" i="7"/>
  <c r="V109" i="7"/>
  <c r="AE109" i="7" s="1"/>
  <c r="AH111" i="7"/>
  <c r="AG111" i="7"/>
  <c r="AN111" i="7" s="1"/>
  <c r="AL124" i="7"/>
  <c r="AM124" i="7"/>
  <c r="AZ153" i="7"/>
  <c r="AB16" i="7"/>
  <c r="AB24" i="7"/>
  <c r="AB32" i="7"/>
  <c r="AJ32" i="7" s="1"/>
  <c r="AB48" i="7"/>
  <c r="AJ48" i="7" s="1"/>
  <c r="AO74" i="7"/>
  <c r="AM84" i="7"/>
  <c r="AL84" i="7"/>
  <c r="AL99" i="7"/>
  <c r="AC101" i="7"/>
  <c r="H223" i="12" s="1"/>
  <c r="AB101" i="7"/>
  <c r="AA102" i="7"/>
  <c r="V102" i="7"/>
  <c r="AE102" i="7" s="1"/>
  <c r="AF111" i="7"/>
  <c r="AV117" i="7"/>
  <c r="AO93" i="7"/>
  <c r="AD103" i="7"/>
  <c r="AO227" i="12" s="1"/>
  <c r="AC103" i="7"/>
  <c r="H227" i="12" s="1"/>
  <c r="AB103" i="7"/>
  <c r="AZ152" i="7"/>
  <c r="AB15" i="7"/>
  <c r="AW17" i="7"/>
  <c r="V21" i="7"/>
  <c r="AE21" i="7" s="1"/>
  <c r="AB23" i="7"/>
  <c r="V29" i="7"/>
  <c r="AE29" i="7" s="1"/>
  <c r="AB31" i="7"/>
  <c r="V37" i="7"/>
  <c r="AE37" i="7" s="1"/>
  <c r="AB39" i="7"/>
  <c r="AB47" i="7"/>
  <c r="V53" i="7"/>
  <c r="AE53" i="7" s="1"/>
  <c r="V61" i="7"/>
  <c r="AE61" i="7" s="1"/>
  <c r="AB63" i="7"/>
  <c r="AJ63" i="7" s="1"/>
  <c r="AZ65" i="7"/>
  <c r="AF68" i="7"/>
  <c r="AF76" i="7"/>
  <c r="AA86" i="7"/>
  <c r="AO92" i="7"/>
  <c r="AM99" i="7"/>
  <c r="AC15" i="7"/>
  <c r="AO21" i="7"/>
  <c r="AC23" i="7"/>
  <c r="H35" i="12" s="1"/>
  <c r="AO29" i="7"/>
  <c r="AC31" i="7"/>
  <c r="AO37" i="7"/>
  <c r="AC39" i="7"/>
  <c r="H73" i="12" s="1"/>
  <c r="AC47" i="7"/>
  <c r="AO53" i="7"/>
  <c r="AO61" i="7"/>
  <c r="AC63" i="7"/>
  <c r="AG68" i="7"/>
  <c r="AN68" i="7" s="1"/>
  <c r="V69" i="7"/>
  <c r="AE69" i="7" s="1"/>
  <c r="V74" i="7"/>
  <c r="AE74" i="7" s="1"/>
  <c r="AG76" i="7"/>
  <c r="AN76" i="7" s="1"/>
  <c r="AD91" i="7"/>
  <c r="AO199" i="12" s="1"/>
  <c r="AC91" i="7"/>
  <c r="H199" i="12" s="1"/>
  <c r="AB91" i="7"/>
  <c r="AA115" i="7"/>
  <c r="AG117" i="7"/>
  <c r="AN117" i="7" s="1"/>
  <c r="AH117" i="7"/>
  <c r="AF117" i="7"/>
  <c r="ET55" i="6"/>
  <c r="AB22" i="7"/>
  <c r="AF32" i="7"/>
  <c r="AB38" i="7"/>
  <c r="AB46" i="7"/>
  <c r="AF48" i="7"/>
  <c r="AB54" i="7"/>
  <c r="AF56" i="7"/>
  <c r="AB62" i="7"/>
  <c r="AF64" i="7"/>
  <c r="AB73" i="7"/>
  <c r="AJ73" i="7" s="1"/>
  <c r="AZ73" i="7"/>
  <c r="AO75" i="7"/>
  <c r="AA89" i="7"/>
  <c r="V89" i="7"/>
  <c r="AE89" i="7" s="1"/>
  <c r="AF91" i="7"/>
  <c r="AI93" i="7"/>
  <c r="AX93" i="7"/>
  <c r="AH104" i="7"/>
  <c r="AF104" i="7"/>
  <c r="AA105" i="7"/>
  <c r="AC106" i="7"/>
  <c r="W235" i="9" s="1"/>
  <c r="AB106" i="7"/>
  <c r="AA120" i="7"/>
  <c r="AC22" i="7"/>
  <c r="AG32" i="7"/>
  <c r="AN32" i="7" s="1"/>
  <c r="AC38" i="7"/>
  <c r="AC46" i="7"/>
  <c r="AG48" i="7"/>
  <c r="AN48" i="7" s="1"/>
  <c r="AC54" i="7"/>
  <c r="AG56" i="7"/>
  <c r="AN56" i="7" s="1"/>
  <c r="AC62" i="7"/>
  <c r="AG64" i="7"/>
  <c r="AN64" i="7" s="1"/>
  <c r="AC73" i="7"/>
  <c r="AI76" i="7"/>
  <c r="AO82" i="7"/>
  <c r="AG91" i="7"/>
  <c r="AN91" i="7" s="1"/>
  <c r="AT117" i="7"/>
  <c r="AS117" i="7"/>
  <c r="AR117" i="7"/>
  <c r="AA122" i="7"/>
  <c r="V122" i="7"/>
  <c r="AE122" i="7" s="1"/>
  <c r="AA69" i="7"/>
  <c r="AD104" i="7"/>
  <c r="AO229" i="12" s="1"/>
  <c r="AC104" i="7"/>
  <c r="AB104" i="7"/>
  <c r="AO116" i="7"/>
  <c r="AD147" i="7"/>
  <c r="AC147" i="7"/>
  <c r="W333" i="9" s="1"/>
  <c r="AA155" i="7"/>
  <c r="AC156" i="7"/>
  <c r="H355" i="12" s="1"/>
  <c r="AB156" i="7"/>
  <c r="AD156" i="7"/>
  <c r="AO355" i="12" s="1"/>
  <c r="AH157" i="7"/>
  <c r="AG157" i="7"/>
  <c r="AN157" i="7" s="1"/>
  <c r="AA133" i="7"/>
  <c r="V133" i="7"/>
  <c r="AE133" i="7" s="1"/>
  <c r="AH141" i="7"/>
  <c r="AG141" i="7"/>
  <c r="AN141" i="7" s="1"/>
  <c r="AG143" i="7"/>
  <c r="AN143" i="7" s="1"/>
  <c r="AF143" i="7"/>
  <c r="V147" i="7"/>
  <c r="AE147" i="7" s="1"/>
  <c r="AF153" i="7"/>
  <c r="AH153" i="7"/>
  <c r="O18" i="9"/>
  <c r="S18" i="9" s="1"/>
  <c r="Q18" i="9"/>
  <c r="P18" i="9"/>
  <c r="V59" i="9"/>
  <c r="T59" i="9"/>
  <c r="R59" i="9"/>
  <c r="AF123" i="7"/>
  <c r="AZ134" i="7"/>
  <c r="AH143" i="7"/>
  <c r="AB147" i="7"/>
  <c r="AJ147" i="7" s="1"/>
  <c r="AG153" i="7"/>
  <c r="AN153" i="7" s="1"/>
  <c r="AB154" i="7"/>
  <c r="AJ154" i="7" s="1"/>
  <c r="AD154" i="7"/>
  <c r="AC154" i="7"/>
  <c r="AD157" i="7"/>
  <c r="AO357" i="12" s="1"/>
  <c r="AC157" i="7"/>
  <c r="AB157" i="7"/>
  <c r="P39" i="9"/>
  <c r="Q39" i="9"/>
  <c r="O39" i="9"/>
  <c r="S39" i="9" s="1"/>
  <c r="Q46" i="9"/>
  <c r="P46" i="9"/>
  <c r="Y54" i="9"/>
  <c r="X54" i="9"/>
  <c r="W54" i="9"/>
  <c r="P67" i="9"/>
  <c r="Q67" i="9"/>
  <c r="O67" i="9"/>
  <c r="S67" i="9" s="1"/>
  <c r="O126" i="9"/>
  <c r="AZ107" i="7"/>
  <c r="AB114" i="7"/>
  <c r="AJ114" i="7" s="1"/>
  <c r="AH123" i="7"/>
  <c r="V126" i="7"/>
  <c r="AE126" i="7" s="1"/>
  <c r="V129" i="7"/>
  <c r="AE129" i="7" s="1"/>
  <c r="AZ138" i="7"/>
  <c r="AA139" i="7"/>
  <c r="V139" i="7"/>
  <c r="AE139" i="7" s="1"/>
  <c r="AC141" i="7"/>
  <c r="AZ143" i="7"/>
  <c r="AM149" i="7"/>
  <c r="AA150" i="7"/>
  <c r="AF157" i="7"/>
  <c r="AX158" i="7"/>
  <c r="AK158" i="7"/>
  <c r="AI158" i="7"/>
  <c r="AB159" i="7"/>
  <c r="AJ159" i="7" s="1"/>
  <c r="AD159" i="7"/>
  <c r="AL92" i="7"/>
  <c r="V93" i="7"/>
  <c r="AE93" i="7" s="1"/>
  <c r="V101" i="7"/>
  <c r="AE101" i="7" s="1"/>
  <c r="AL108" i="7"/>
  <c r="AO112" i="7"/>
  <c r="AC114" i="7"/>
  <c r="AZ114" i="7"/>
  <c r="AO118" i="7"/>
  <c r="AA126" i="7"/>
  <c r="V137" i="7"/>
  <c r="AE137" i="7" s="1"/>
  <c r="AD141" i="7"/>
  <c r="AO319" i="12" s="1"/>
  <c r="AC159" i="7"/>
  <c r="Q19" i="9"/>
  <c r="P19" i="9"/>
  <c r="O19" i="9"/>
  <c r="S19" i="9" s="1"/>
  <c r="X30" i="9"/>
  <c r="W30" i="9"/>
  <c r="Y30" i="9"/>
  <c r="V51" i="9"/>
  <c r="T51" i="9"/>
  <c r="R51" i="9"/>
  <c r="Q80" i="9"/>
  <c r="P80" i="9"/>
  <c r="O80" i="9"/>
  <c r="S80" i="9" s="1"/>
  <c r="O124" i="9"/>
  <c r="S124" i="9" s="1"/>
  <c r="Q124" i="9"/>
  <c r="P124" i="9"/>
  <c r="AO121" i="7"/>
  <c r="AA129" i="7"/>
  <c r="AA137" i="7"/>
  <c r="AF141" i="7"/>
  <c r="AG142" i="7"/>
  <c r="AH142" i="7"/>
  <c r="AR144" i="7"/>
  <c r="AT144" i="7"/>
  <c r="AP325" i="12" s="1"/>
  <c r="AO149" i="7"/>
  <c r="O46" i="9"/>
  <c r="S46" i="9" s="1"/>
  <c r="V112" i="7"/>
  <c r="AE112" i="7" s="1"/>
  <c r="AZ116" i="7"/>
  <c r="AI118" i="7"/>
  <c r="AI148" i="7"/>
  <c r="AK148" i="7"/>
  <c r="AO158" i="7"/>
  <c r="AL159" i="7"/>
  <c r="AM159" i="7"/>
  <c r="R44" i="9"/>
  <c r="V44" i="9"/>
  <c r="X138" i="9"/>
  <c r="Y138" i="9"/>
  <c r="W138" i="9"/>
  <c r="Q167" i="9"/>
  <c r="AQ167" i="12" s="1"/>
  <c r="P167" i="9"/>
  <c r="O167" i="9"/>
  <c r="S167" i="9" s="1"/>
  <c r="AK116" i="7"/>
  <c r="AI116" i="7"/>
  <c r="AK117" i="7"/>
  <c r="AX117" i="7"/>
  <c r="AG144" i="7"/>
  <c r="AN144" i="7" s="1"/>
  <c r="AF144" i="7"/>
  <c r="W31" i="9"/>
  <c r="Y31" i="9"/>
  <c r="T44" i="9"/>
  <c r="AK121" i="7"/>
  <c r="AI121" i="7"/>
  <c r="AO132" i="7"/>
  <c r="AZ156" i="7"/>
  <c r="V17" i="9"/>
  <c r="R17" i="9"/>
  <c r="Q40" i="9"/>
  <c r="P40" i="9"/>
  <c r="O40" i="9"/>
  <c r="S40" i="9" s="1"/>
  <c r="W69" i="9"/>
  <c r="Y69" i="9"/>
  <c r="AX112" i="7"/>
  <c r="AL116" i="7"/>
  <c r="AZ126" i="7"/>
  <c r="AI131" i="7"/>
  <c r="AX131" i="7"/>
  <c r="AK132" i="7"/>
  <c r="AI132" i="7"/>
  <c r="AZ147" i="7"/>
  <c r="Q20" i="9"/>
  <c r="P20" i="9"/>
  <c r="O20" i="9"/>
  <c r="S20" i="9" s="1"/>
  <c r="Q35" i="9"/>
  <c r="P35" i="9"/>
  <c r="O35" i="9"/>
  <c r="S35" i="9" s="1"/>
  <c r="AC134" i="7"/>
  <c r="W301" i="9" s="1"/>
  <c r="AB134" i="7"/>
  <c r="AA136" i="7"/>
  <c r="V136" i="7"/>
  <c r="AE136" i="7" s="1"/>
  <c r="AA138" i="7"/>
  <c r="AA145" i="7"/>
  <c r="AL148" i="7"/>
  <c r="AB151" i="7"/>
  <c r="AJ151" i="7" s="1"/>
  <c r="AA152" i="7"/>
  <c r="V152" i="7"/>
  <c r="AE152" i="7" s="1"/>
  <c r="W25" i="9"/>
  <c r="U25" i="9"/>
  <c r="AZ158" i="7"/>
  <c r="O61" i="9"/>
  <c r="S61" i="9" s="1"/>
  <c r="Q61" i="9"/>
  <c r="P61" i="9"/>
  <c r="Q85" i="9"/>
  <c r="P85" i="9"/>
  <c r="O85" i="9"/>
  <c r="S85" i="9" s="1"/>
  <c r="V113" i="7"/>
  <c r="AE113" i="7" s="1"/>
  <c r="AD131" i="7"/>
  <c r="AD134" i="7"/>
  <c r="AO301" i="12" s="1"/>
  <c r="V138" i="7"/>
  <c r="AE138" i="7" s="1"/>
  <c r="AC151" i="7"/>
  <c r="AO114" i="7"/>
  <c r="AZ121" i="7"/>
  <c r="AO124" i="7"/>
  <c r="AA127" i="7"/>
  <c r="AZ127" i="7"/>
  <c r="AF134" i="7"/>
  <c r="AO146" i="7"/>
  <c r="V146" i="7"/>
  <c r="AE146" i="7" s="1"/>
  <c r="AZ148" i="7"/>
  <c r="Q27" i="9"/>
  <c r="P27" i="9"/>
  <c r="O27" i="9"/>
  <c r="S27" i="9" s="1"/>
  <c r="AA113" i="7"/>
  <c r="AM116" i="7"/>
  <c r="AI117" i="7"/>
  <c r="AL118" i="7"/>
  <c r="AI123" i="7"/>
  <c r="AX123" i="7"/>
  <c r="AK124" i="7"/>
  <c r="AI124" i="7"/>
  <c r="AZ131" i="7"/>
  <c r="AG134" i="7"/>
  <c r="AN134" i="7" s="1"/>
  <c r="Q16" i="9"/>
  <c r="AQ16" i="12" s="1"/>
  <c r="P16" i="9"/>
  <c r="O16" i="9"/>
  <c r="S16" i="9" s="1"/>
  <c r="O45" i="9"/>
  <c r="S45" i="9" s="1"/>
  <c r="P45" i="9"/>
  <c r="Q45" i="9"/>
  <c r="AQ45" i="12" s="1"/>
  <c r="X62" i="9"/>
  <c r="W62" i="9"/>
  <c r="W70" i="9"/>
  <c r="V95" i="9"/>
  <c r="T95" i="9"/>
  <c r="R95" i="9"/>
  <c r="AO111" i="7"/>
  <c r="AB123" i="7"/>
  <c r="AZ128" i="7"/>
  <c r="AJ132" i="7"/>
  <c r="AC143" i="7"/>
  <c r="AU144" i="7"/>
  <c r="AK146" i="7"/>
  <c r="AH156" i="7"/>
  <c r="AF156" i="7"/>
  <c r="AG158" i="7"/>
  <c r="AN158" i="7" s="1"/>
  <c r="AF158" i="7"/>
  <c r="Q53" i="9"/>
  <c r="P53" i="9"/>
  <c r="O53" i="9"/>
  <c r="S53" i="9" s="1"/>
  <c r="Q79" i="9"/>
  <c r="P79" i="9"/>
  <c r="O79" i="9"/>
  <c r="S79" i="9" s="1"/>
  <c r="Q37" i="9"/>
  <c r="P37" i="9"/>
  <c r="O37" i="9"/>
  <c r="S37" i="9" s="1"/>
  <c r="Q60" i="9"/>
  <c r="O60" i="9"/>
  <c r="S60" i="9" s="1"/>
  <c r="Q69" i="9"/>
  <c r="P69" i="9"/>
  <c r="O69" i="9"/>
  <c r="S69" i="9" s="1"/>
  <c r="Y77" i="9"/>
  <c r="V81" i="9"/>
  <c r="T81" i="9"/>
  <c r="R81" i="9"/>
  <c r="Q103" i="9"/>
  <c r="P103" i="9"/>
  <c r="O103" i="9"/>
  <c r="S103" i="9" s="1"/>
  <c r="Q117" i="9"/>
  <c r="P117" i="9"/>
  <c r="O117" i="9"/>
  <c r="S117" i="9" s="1"/>
  <c r="R122" i="9"/>
  <c r="V122" i="9"/>
  <c r="Q158" i="9"/>
  <c r="O158" i="9"/>
  <c r="S158" i="9" s="1"/>
  <c r="P158" i="9"/>
  <c r="O197" i="9"/>
  <c r="V226" i="9"/>
  <c r="R226" i="9"/>
  <c r="T226" i="9"/>
  <c r="O243" i="9"/>
  <c r="S243" i="9" s="1"/>
  <c r="Q243" i="9"/>
  <c r="P243" i="9"/>
  <c r="Q21" i="9"/>
  <c r="P21" i="9"/>
  <c r="O21" i="9"/>
  <c r="S21" i="9" s="1"/>
  <c r="V29" i="9"/>
  <c r="T29" i="9"/>
  <c r="R29" i="9"/>
  <c r="V33" i="9"/>
  <c r="R33" i="9"/>
  <c r="P60" i="9"/>
  <c r="O77" i="9"/>
  <c r="S77" i="9" s="1"/>
  <c r="P77" i="9"/>
  <c r="O108" i="9"/>
  <c r="S108" i="9" s="1"/>
  <c r="Q108" i="9"/>
  <c r="P108" i="9"/>
  <c r="Q111" i="9"/>
  <c r="AQ111" i="12" s="1"/>
  <c r="P111" i="9"/>
  <c r="O111" i="9"/>
  <c r="S111" i="9" s="1"/>
  <c r="P65" i="9"/>
  <c r="O65" i="9"/>
  <c r="V74" i="9"/>
  <c r="T74" i="9"/>
  <c r="R74" i="9"/>
  <c r="P83" i="9"/>
  <c r="Q83" i="9"/>
  <c r="AQ83" i="12" s="1"/>
  <c r="W86" i="9"/>
  <c r="X86" i="9"/>
  <c r="O141" i="9"/>
  <c r="S141" i="9" s="1"/>
  <c r="Q141" i="9"/>
  <c r="P141" i="9"/>
  <c r="P146" i="9"/>
  <c r="Q146" i="9"/>
  <c r="O146" i="9"/>
  <c r="S146" i="9" s="1"/>
  <c r="W168" i="9"/>
  <c r="X168" i="9"/>
  <c r="Q339" i="9"/>
  <c r="P339" i="9"/>
  <c r="O339" i="9"/>
  <c r="S339" i="9" s="1"/>
  <c r="AZ141" i="7"/>
  <c r="AZ151" i="7"/>
  <c r="AD153" i="7"/>
  <c r="AO153" i="7" s="1"/>
  <c r="AC153" i="7"/>
  <c r="H4" i="9"/>
  <c r="G4" i="9" s="1"/>
  <c r="O30" i="9"/>
  <c r="S30" i="9" s="1"/>
  <c r="O41" i="9"/>
  <c r="S41" i="9" s="1"/>
  <c r="W82" i="9"/>
  <c r="O94" i="9"/>
  <c r="S94" i="9" s="1"/>
  <c r="Q94" i="9"/>
  <c r="AQ94" i="12" s="1"/>
  <c r="P94" i="9"/>
  <c r="T122" i="9"/>
  <c r="V154" i="9"/>
  <c r="T154" i="9"/>
  <c r="R154" i="9"/>
  <c r="P162" i="9"/>
  <c r="Q162" i="9"/>
  <c r="O162" i="9"/>
  <c r="S162" i="9" s="1"/>
  <c r="Q25" i="9"/>
  <c r="AQ25" i="12" s="1"/>
  <c r="P25" i="9"/>
  <c r="O25" i="9"/>
  <c r="S25" i="9" s="1"/>
  <c r="Q32" i="9"/>
  <c r="AQ32" i="12" s="1"/>
  <c r="P32" i="9"/>
  <c r="O32" i="9"/>
  <c r="S32" i="9" s="1"/>
  <c r="T33" i="9"/>
  <c r="Q54" i="9"/>
  <c r="P54" i="9"/>
  <c r="O54" i="9"/>
  <c r="S54" i="9" s="1"/>
  <c r="Q86" i="9"/>
  <c r="P86" i="9"/>
  <c r="O86" i="9"/>
  <c r="S86" i="9" s="1"/>
  <c r="Q92" i="9"/>
  <c r="P92" i="9"/>
  <c r="O92" i="9"/>
  <c r="S92" i="9" s="1"/>
  <c r="P98" i="9"/>
  <c r="Q98" i="9"/>
  <c r="AQ98" i="12" s="1"/>
  <c r="V151" i="9"/>
  <c r="T151" i="9"/>
  <c r="R151" i="9"/>
  <c r="O168" i="9"/>
  <c r="S168" i="9" s="1"/>
  <c r="Q168" i="9"/>
  <c r="P168" i="9"/>
  <c r="Q96" i="9"/>
  <c r="P96" i="9"/>
  <c r="O98" i="9"/>
  <c r="S98" i="9" s="1"/>
  <c r="Q104" i="9"/>
  <c r="AQ104" i="12" s="1"/>
  <c r="P104" i="9"/>
  <c r="O104" i="9"/>
  <c r="S104" i="9" s="1"/>
  <c r="W155" i="9"/>
  <c r="V23" i="9"/>
  <c r="T23" i="9"/>
  <c r="V28" i="9"/>
  <c r="T28" i="9"/>
  <c r="P50" i="9"/>
  <c r="Q50" i="9"/>
  <c r="O50" i="9"/>
  <c r="S50" i="9" s="1"/>
  <c r="O101" i="9"/>
  <c r="O109" i="9"/>
  <c r="S109" i="9" s="1"/>
  <c r="Q109" i="9"/>
  <c r="AQ109" i="12" s="1"/>
  <c r="P109" i="9"/>
  <c r="X114" i="9"/>
  <c r="Q123" i="9"/>
  <c r="AQ123" i="12" s="1"/>
  <c r="P123" i="9"/>
  <c r="O123" i="9"/>
  <c r="S123" i="9" s="1"/>
  <c r="Y135" i="9"/>
  <c r="X135" i="9"/>
  <c r="W135" i="9"/>
  <c r="Y139" i="9"/>
  <c r="W139" i="9"/>
  <c r="O149" i="9"/>
  <c r="S149" i="9" s="1"/>
  <c r="X152" i="9"/>
  <c r="Y309" i="9"/>
  <c r="AZ132" i="7"/>
  <c r="O23" i="9"/>
  <c r="S23" i="9" s="1"/>
  <c r="Q36" i="9"/>
  <c r="P36" i="9"/>
  <c r="O36" i="9"/>
  <c r="S36" i="9" s="1"/>
  <c r="Y41" i="9"/>
  <c r="Q43" i="9"/>
  <c r="AQ43" i="12" s="1"/>
  <c r="P43" i="9"/>
  <c r="O43" i="9"/>
  <c r="S43" i="9" s="1"/>
  <c r="W48" i="9"/>
  <c r="T57" i="9"/>
  <c r="O78" i="9"/>
  <c r="W97" i="9"/>
  <c r="P114" i="9"/>
  <c r="Q114" i="9" s="1"/>
  <c r="AQ114" i="12" s="1"/>
  <c r="O114" i="9"/>
  <c r="S114" i="9" s="1"/>
  <c r="Q142" i="9"/>
  <c r="O142" i="9"/>
  <c r="S142" i="9" s="1"/>
  <c r="P142" i="9"/>
  <c r="P166" i="9"/>
  <c r="Q166" i="9"/>
  <c r="O166" i="9"/>
  <c r="S166" i="9" s="1"/>
  <c r="Y295" i="9"/>
  <c r="W295" i="9"/>
  <c r="Y87" i="9"/>
  <c r="X87" i="9"/>
  <c r="W87" i="9"/>
  <c r="V106" i="9"/>
  <c r="T106" i="9"/>
  <c r="R106" i="9"/>
  <c r="Q118" i="9"/>
  <c r="P118" i="9"/>
  <c r="O118" i="9"/>
  <c r="S118" i="9" s="1"/>
  <c r="Q139" i="9"/>
  <c r="AQ139" i="12" s="1"/>
  <c r="P139" i="9"/>
  <c r="O139" i="9"/>
  <c r="S139" i="9" s="1"/>
  <c r="P147" i="9"/>
  <c r="Q147" i="9"/>
  <c r="O147" i="9"/>
  <c r="S147" i="9" s="1"/>
  <c r="Y191" i="9"/>
  <c r="W191" i="9"/>
  <c r="Y196" i="9"/>
  <c r="X196" i="9"/>
  <c r="W196" i="9"/>
  <c r="AV144" i="7"/>
  <c r="AK149" i="7"/>
  <c r="AX149" i="7"/>
  <c r="AJ153" i="7"/>
  <c r="AQ360" i="12"/>
  <c r="AQ355" i="12"/>
  <c r="J355" i="12"/>
  <c r="J358" i="12"/>
  <c r="J345" i="12"/>
  <c r="AQ344" i="12"/>
  <c r="AQ339" i="12"/>
  <c r="J339" i="12"/>
  <c r="J343" i="12"/>
  <c r="AQ322" i="12"/>
  <c r="AQ319" i="12"/>
  <c r="J362" i="12"/>
  <c r="J344" i="12"/>
  <c r="AQ334" i="12"/>
  <c r="AQ337" i="12"/>
  <c r="J335" i="12"/>
  <c r="AQ331" i="12"/>
  <c r="J325" i="12"/>
  <c r="AQ340" i="12"/>
  <c r="J307" i="12"/>
  <c r="AQ307" i="12"/>
  <c r="J330" i="12"/>
  <c r="J287" i="12"/>
  <c r="AQ286" i="12"/>
  <c r="J271" i="12"/>
  <c r="J323" i="12"/>
  <c r="AQ295" i="12"/>
  <c r="AQ263" i="12"/>
  <c r="J328" i="12"/>
  <c r="J310" i="12"/>
  <c r="AQ276" i="12"/>
  <c r="J333" i="12"/>
  <c r="AQ308" i="12"/>
  <c r="AQ310" i="12"/>
  <c r="J295" i="12"/>
  <c r="AQ294" i="12"/>
  <c r="AQ278" i="12"/>
  <c r="J263" i="12"/>
  <c r="J288" i="12"/>
  <c r="AQ271" i="12"/>
  <c r="AQ246" i="12"/>
  <c r="AQ247" i="12"/>
  <c r="AQ240" i="12"/>
  <c r="AQ287" i="12"/>
  <c r="J255" i="12"/>
  <c r="AQ256" i="12"/>
  <c r="J281" i="12"/>
  <c r="J256" i="12"/>
  <c r="J247" i="12"/>
  <c r="J248" i="12"/>
  <c r="AQ229" i="12"/>
  <c r="J224" i="12"/>
  <c r="J205" i="12"/>
  <c r="AQ253" i="12"/>
  <c r="J223" i="12"/>
  <c r="AQ206" i="12"/>
  <c r="AQ232" i="12"/>
  <c r="J225" i="12"/>
  <c r="AQ199" i="12"/>
  <c r="AQ280" i="12"/>
  <c r="J265" i="12"/>
  <c r="AQ213" i="12"/>
  <c r="AQ194" i="12"/>
  <c r="AQ236" i="12"/>
  <c r="J206" i="12"/>
  <c r="AQ205" i="12"/>
  <c r="AQ212" i="12"/>
  <c r="AQ231" i="12"/>
  <c r="J201" i="12"/>
  <c r="J272" i="12"/>
  <c r="J158" i="12"/>
  <c r="J142" i="12"/>
  <c r="AQ185" i="12"/>
  <c r="J192" i="12"/>
  <c r="AQ233" i="12"/>
  <c r="J185" i="12"/>
  <c r="AQ122" i="12"/>
  <c r="AQ192" i="12"/>
  <c r="AQ177" i="12"/>
  <c r="AQ208" i="12"/>
  <c r="J194" i="12"/>
  <c r="AQ172" i="12"/>
  <c r="AQ156" i="12"/>
  <c r="J199" i="12"/>
  <c r="J183" i="12"/>
  <c r="J159" i="12"/>
  <c r="AQ158" i="12"/>
  <c r="AQ161" i="12"/>
  <c r="AQ180" i="12"/>
  <c r="J160" i="12"/>
  <c r="J138" i="12"/>
  <c r="J177" i="12"/>
  <c r="J176" i="12"/>
  <c r="J168" i="12"/>
  <c r="J162" i="12"/>
  <c r="AQ127" i="12"/>
  <c r="J170" i="12"/>
  <c r="AQ160" i="12"/>
  <c r="J154" i="12"/>
  <c r="AQ128" i="12"/>
  <c r="J127" i="12"/>
  <c r="J124" i="12"/>
  <c r="J117" i="12"/>
  <c r="J122" i="12"/>
  <c r="AQ106" i="12"/>
  <c r="AQ90" i="12"/>
  <c r="J181" i="12"/>
  <c r="J161" i="12"/>
  <c r="AQ133" i="12"/>
  <c r="AQ176" i="12"/>
  <c r="AQ175" i="12"/>
  <c r="AQ151" i="12"/>
  <c r="J111" i="12"/>
  <c r="AQ110" i="12"/>
  <c r="AQ159" i="12"/>
  <c r="J145" i="12"/>
  <c r="AQ142" i="12"/>
  <c r="AQ178" i="12"/>
  <c r="J134" i="12"/>
  <c r="J146" i="12"/>
  <c r="J152" i="12"/>
  <c r="AQ112" i="12"/>
  <c r="AQ79" i="12"/>
  <c r="AQ74" i="12"/>
  <c r="J137" i="12"/>
  <c r="AQ144" i="12"/>
  <c r="J95" i="12"/>
  <c r="J105" i="12"/>
  <c r="J88" i="12"/>
  <c r="AQ46" i="12"/>
  <c r="AQ95" i="12"/>
  <c r="AQ135" i="12"/>
  <c r="AQ105" i="12"/>
  <c r="J113" i="12"/>
  <c r="AQ82" i="12"/>
  <c r="J73" i="12"/>
  <c r="J67" i="12"/>
  <c r="J51" i="12"/>
  <c r="AQ50" i="12"/>
  <c r="J129" i="12"/>
  <c r="AQ33" i="12"/>
  <c r="AQ124" i="12"/>
  <c r="AQ93" i="12"/>
  <c r="AQ68" i="12"/>
  <c r="J66" i="12"/>
  <c r="J45" i="12"/>
  <c r="J50" i="12"/>
  <c r="AQ73" i="12"/>
  <c r="AQ54" i="12"/>
  <c r="AQ96" i="12"/>
  <c r="AQ81" i="12"/>
  <c r="AQ39" i="12"/>
  <c r="AQ28" i="12"/>
  <c r="AQ117" i="12"/>
  <c r="J60" i="12"/>
  <c r="J83" i="12"/>
  <c r="J79" i="12"/>
  <c r="J74" i="12"/>
  <c r="AQ60" i="12"/>
  <c r="J110" i="12"/>
  <c r="J106" i="12"/>
  <c r="J130" i="12"/>
  <c r="J44" i="12"/>
  <c r="AQ55" i="12"/>
  <c r="AQ38" i="12"/>
  <c r="AQ27" i="12"/>
  <c r="AQ22" i="12"/>
  <c r="AQ37" i="12"/>
  <c r="AQ36" i="12"/>
  <c r="J18" i="12"/>
  <c r="J23" i="12"/>
  <c r="AQ48" i="12"/>
  <c r="J39" i="12"/>
  <c r="J82" i="12"/>
  <c r="J28" i="12"/>
  <c r="J56" i="12"/>
  <c r="J46" i="12"/>
  <c r="J25" i="12"/>
  <c r="AQ15" i="12"/>
  <c r="AQ61" i="12"/>
  <c r="J37" i="12"/>
  <c r="J35" i="12"/>
  <c r="AQ44" i="12"/>
  <c r="AE123" i="10"/>
  <c r="AE91" i="10"/>
  <c r="AE107" i="10"/>
  <c r="AE38" i="10"/>
  <c r="AE84" i="10"/>
  <c r="AE124" i="10"/>
  <c r="AE109" i="10"/>
  <c r="AE99" i="10"/>
  <c r="AE65" i="10"/>
  <c r="AE55" i="10"/>
  <c r="AE50" i="10"/>
  <c r="AE35" i="10"/>
  <c r="AE21" i="10"/>
  <c r="AE71" i="10"/>
  <c r="AE54" i="10"/>
  <c r="AE89" i="10"/>
  <c r="AE58" i="10"/>
  <c r="AE63" i="10"/>
  <c r="AE69" i="10"/>
  <c r="AE53" i="10"/>
  <c r="AE45" i="10"/>
  <c r="AE78" i="10"/>
  <c r="AE76" i="10"/>
  <c r="AE121" i="10"/>
  <c r="AE34" i="10"/>
  <c r="AE23" i="10"/>
  <c r="AE56" i="10"/>
  <c r="AE24" i="10"/>
  <c r="AE39" i="10"/>
  <c r="AE20" i="10"/>
  <c r="AE83" i="10"/>
  <c r="AE98" i="10"/>
  <c r="AE96" i="10"/>
  <c r="AE46" i="10"/>
  <c r="X15" i="9"/>
  <c r="P38" i="9"/>
  <c r="O38" i="9"/>
  <c r="S38" i="9" s="1"/>
  <c r="W42" i="9"/>
  <c r="P66" i="9"/>
  <c r="O66" i="9"/>
  <c r="Q75" i="9"/>
  <c r="P75" i="9"/>
  <c r="O75" i="9"/>
  <c r="S75" i="9" s="1"/>
  <c r="O157" i="9"/>
  <c r="S157" i="9" s="1"/>
  <c r="Q157" i="9"/>
  <c r="P157" i="9"/>
  <c r="AZ74" i="7" s="1"/>
  <c r="P169" i="9"/>
  <c r="Q169" i="9"/>
  <c r="AQ169" i="12" s="1"/>
  <c r="O169" i="9"/>
  <c r="S169" i="9" s="1"/>
  <c r="AO143" i="7"/>
  <c r="P22" i="9"/>
  <c r="O22" i="9"/>
  <c r="S22" i="9" s="1"/>
  <c r="W26" i="9"/>
  <c r="Q52" i="9"/>
  <c r="AQ52" i="12" s="1"/>
  <c r="O52" i="9"/>
  <c r="S52" i="9" s="1"/>
  <c r="Q62" i="9"/>
  <c r="AQ62" i="12" s="1"/>
  <c r="P62" i="9"/>
  <c r="O62" i="9"/>
  <c r="S62" i="9" s="1"/>
  <c r="Q64" i="9"/>
  <c r="P64" i="9"/>
  <c r="O64" i="9"/>
  <c r="S64" i="9" s="1"/>
  <c r="Q87" i="9"/>
  <c r="P87" i="9"/>
  <c r="O87" i="9"/>
  <c r="S87" i="9" s="1"/>
  <c r="O174" i="9"/>
  <c r="W194" i="9"/>
  <c r="V34" i="9"/>
  <c r="T34" i="9"/>
  <c r="R34" i="9"/>
  <c r="V52" i="9"/>
  <c r="T52" i="9"/>
  <c r="R52" i="9"/>
  <c r="P58" i="9"/>
  <c r="O58" i="9"/>
  <c r="S58" i="9" s="1"/>
  <c r="O93" i="9"/>
  <c r="S93" i="9" s="1"/>
  <c r="Q93" i="9"/>
  <c r="P93" i="9"/>
  <c r="P99" i="9"/>
  <c r="Q99" i="9"/>
  <c r="O99" i="9"/>
  <c r="S99" i="9" s="1"/>
  <c r="Q102" i="9"/>
  <c r="P102" i="9"/>
  <c r="O102" i="9"/>
  <c r="S102" i="9" s="1"/>
  <c r="O110" i="9"/>
  <c r="S110" i="9" s="1"/>
  <c r="Q110" i="9"/>
  <c r="P110" i="9"/>
  <c r="Y136" i="9"/>
  <c r="X136" i="9"/>
  <c r="W136" i="9"/>
  <c r="P161" i="9"/>
  <c r="AZ75" i="7" s="1"/>
  <c r="Q161" i="9"/>
  <c r="O161" i="9"/>
  <c r="S161" i="9" s="1"/>
  <c r="P163" i="9"/>
  <c r="Q163" i="9"/>
  <c r="AQ163" i="12" s="1"/>
  <c r="O163" i="9"/>
  <c r="S163" i="9" s="1"/>
  <c r="AG149" i="7"/>
  <c r="Q47" i="9"/>
  <c r="P47" i="9"/>
  <c r="O47" i="9"/>
  <c r="S47" i="9" s="1"/>
  <c r="P97" i="9"/>
  <c r="Q97" i="9"/>
  <c r="Q107" i="9"/>
  <c r="P107" i="9"/>
  <c r="O107" i="9"/>
  <c r="S107" i="9" s="1"/>
  <c r="Q143" i="9"/>
  <c r="P143" i="9"/>
  <c r="O143" i="9"/>
  <c r="S143" i="9" s="1"/>
  <c r="V152" i="9"/>
  <c r="T152" i="9"/>
  <c r="R155" i="9"/>
  <c r="V155" i="9"/>
  <c r="T155" i="9"/>
  <c r="X170" i="9"/>
  <c r="Q233" i="9"/>
  <c r="P233" i="9"/>
  <c r="O233" i="9"/>
  <c r="S233" i="9" s="1"/>
  <c r="AO151" i="7"/>
  <c r="Q49" i="9"/>
  <c r="AQ49" i="12" s="1"/>
  <c r="P49" i="9"/>
  <c r="O49" i="9"/>
  <c r="S49" i="9" s="1"/>
  <c r="Q68" i="9"/>
  <c r="P68" i="9"/>
  <c r="O68" i="9"/>
  <c r="S68" i="9" s="1"/>
  <c r="Q76" i="9"/>
  <c r="AQ76" i="12" s="1"/>
  <c r="P76" i="9"/>
  <c r="O76" i="9"/>
  <c r="S76" i="9" s="1"/>
  <c r="O97" i="9"/>
  <c r="S97" i="9" s="1"/>
  <c r="O140" i="9"/>
  <c r="S140" i="9" s="1"/>
  <c r="Q140" i="9"/>
  <c r="P140" i="9"/>
  <c r="O150" i="9"/>
  <c r="R152" i="9"/>
  <c r="O207" i="9"/>
  <c r="S207" i="9" s="1"/>
  <c r="Q207" i="9"/>
  <c r="AQ207" i="12" s="1"/>
  <c r="P207" i="9"/>
  <c r="AI144" i="7"/>
  <c r="V151" i="7"/>
  <c r="AE151" i="7" s="1"/>
  <c r="AO154" i="7"/>
  <c r="V154" i="7"/>
  <c r="AE154" i="7" s="1"/>
  <c r="Q24" i="9"/>
  <c r="AQ24" i="12" s="1"/>
  <c r="P24" i="9"/>
  <c r="X88" i="9"/>
  <c r="O148" i="9"/>
  <c r="S148" i="9" s="1"/>
  <c r="Q148" i="9"/>
  <c r="P148" i="9"/>
  <c r="X156" i="9"/>
  <c r="P182" i="9"/>
  <c r="O182" i="9"/>
  <c r="S182" i="9" s="1"/>
  <c r="Q182" i="9"/>
  <c r="AQ182" i="12" s="1"/>
  <c r="V255" i="9"/>
  <c r="T255" i="9"/>
  <c r="R255" i="9"/>
  <c r="Y78" i="9"/>
  <c r="Y115" i="9"/>
  <c r="W132" i="9"/>
  <c r="W133" i="9"/>
  <c r="Y217" i="9"/>
  <c r="Q221" i="9"/>
  <c r="AQ221" i="12" s="1"/>
  <c r="P221" i="9"/>
  <c r="Y229" i="9"/>
  <c r="W229" i="9"/>
  <c r="Q268" i="9"/>
  <c r="O268" i="9"/>
  <c r="S268" i="9" s="1"/>
  <c r="P268" i="9"/>
  <c r="Q331" i="9"/>
  <c r="P331" i="9"/>
  <c r="J331" i="12" s="1"/>
  <c r="O331" i="9"/>
  <c r="S331" i="9" s="1"/>
  <c r="Q334" i="9"/>
  <c r="P334" i="9"/>
  <c r="J334" i="12" s="1"/>
  <c r="O334" i="9"/>
  <c r="S334" i="9" s="1"/>
  <c r="X90" i="9"/>
  <c r="T186" i="9"/>
  <c r="R186" i="9"/>
  <c r="O191" i="9"/>
  <c r="S191" i="9" s="1"/>
  <c r="Q191" i="9"/>
  <c r="P191" i="9"/>
  <c r="O221" i="9"/>
  <c r="S221" i="9" s="1"/>
  <c r="O258" i="9"/>
  <c r="S258" i="9" s="1"/>
  <c r="W50" i="9"/>
  <c r="W80" i="9"/>
  <c r="P84" i="9"/>
  <c r="W94" i="9"/>
  <c r="P100" i="9"/>
  <c r="W116" i="9"/>
  <c r="O144" i="9"/>
  <c r="S144" i="9" s="1"/>
  <c r="Q145" i="9"/>
  <c r="AQ145" i="12" s="1"/>
  <c r="R211" i="9"/>
  <c r="V211" i="9"/>
  <c r="O229" i="9"/>
  <c r="S229" i="9" s="1"/>
  <c r="Q229" i="9"/>
  <c r="P229" i="9"/>
  <c r="Q292" i="9"/>
  <c r="AQ292" i="12" s="1"/>
  <c r="P292" i="9"/>
  <c r="O292" i="9"/>
  <c r="S292" i="9" s="1"/>
  <c r="P329" i="9"/>
  <c r="O329" i="9"/>
  <c r="S329" i="9" s="1"/>
  <c r="N4" i="9"/>
  <c r="U17" i="9"/>
  <c r="W27" i="9"/>
  <c r="W43" i="9"/>
  <c r="X50" i="9"/>
  <c r="X80" i="9"/>
  <c r="W81" i="9"/>
  <c r="X94" i="9"/>
  <c r="O106" i="9"/>
  <c r="S106" i="9" s="1"/>
  <c r="W117" i="9"/>
  <c r="W118" i="9"/>
  <c r="W124" i="9"/>
  <c r="O136" i="9"/>
  <c r="S136" i="9" s="1"/>
  <c r="P144" i="9"/>
  <c r="R145" i="9"/>
  <c r="W152" i="9"/>
  <c r="X166" i="9"/>
  <c r="O173" i="9"/>
  <c r="Q178" i="9"/>
  <c r="O178" i="9"/>
  <c r="S178" i="9" s="1"/>
  <c r="P196" i="9"/>
  <c r="O196" i="9"/>
  <c r="S196" i="9" s="1"/>
  <c r="Q196" i="9"/>
  <c r="W201" i="9"/>
  <c r="Y201" i="9"/>
  <c r="X208" i="9"/>
  <c r="O213" i="9"/>
  <c r="S213" i="9" s="1"/>
  <c r="Q213" i="9"/>
  <c r="P213" i="9"/>
  <c r="J213" i="12" s="1"/>
  <c r="Q215" i="9"/>
  <c r="AQ215" i="12" s="1"/>
  <c r="P215" i="9"/>
  <c r="O215" i="9"/>
  <c r="S215" i="9" s="1"/>
  <c r="P244" i="9"/>
  <c r="O244" i="9"/>
  <c r="S244" i="9" s="1"/>
  <c r="Q244" i="9"/>
  <c r="Q276" i="9"/>
  <c r="P276" i="9"/>
  <c r="O276" i="9"/>
  <c r="S276" i="9" s="1"/>
  <c r="AZ159" i="7"/>
  <c r="W22" i="9"/>
  <c r="X27" i="9"/>
  <c r="W38" i="9"/>
  <c r="W58" i="9"/>
  <c r="W73" i="9"/>
  <c r="X122" i="9"/>
  <c r="X123" i="9"/>
  <c r="O135" i="9"/>
  <c r="S135" i="9" s="1"/>
  <c r="P136" i="9"/>
  <c r="T145" i="9"/>
  <c r="Q185" i="9"/>
  <c r="P185" i="9"/>
  <c r="T253" i="9"/>
  <c r="R253" i="9"/>
  <c r="V253" i="9"/>
  <c r="X22" i="9"/>
  <c r="X38" i="9"/>
  <c r="P135" i="9"/>
  <c r="X190" i="9"/>
  <c r="W190" i="9"/>
  <c r="O193" i="9"/>
  <c r="S193" i="9" s="1"/>
  <c r="Q193" i="9"/>
  <c r="AQ193" i="12" s="1"/>
  <c r="P193" i="9"/>
  <c r="W199" i="9"/>
  <c r="Q201" i="9"/>
  <c r="P201" i="9"/>
  <c r="O201" i="9"/>
  <c r="S201" i="9" s="1"/>
  <c r="Q203" i="9"/>
  <c r="AQ203" i="12" s="1"/>
  <c r="P203" i="9"/>
  <c r="O203" i="9"/>
  <c r="S203" i="9" s="1"/>
  <c r="Q261" i="9"/>
  <c r="P261" i="9"/>
  <c r="O261" i="9"/>
  <c r="S261" i="9" s="1"/>
  <c r="X58" i="9"/>
  <c r="O70" i="9"/>
  <c r="S70" i="9" s="1"/>
  <c r="P89" i="9"/>
  <c r="O112" i="9"/>
  <c r="S112" i="9" s="1"/>
  <c r="O113" i="9"/>
  <c r="S113" i="9" s="1"/>
  <c r="O130" i="9"/>
  <c r="S130" i="9" s="1"/>
  <c r="O131" i="9"/>
  <c r="S131" i="9" s="1"/>
  <c r="P132" i="9"/>
  <c r="O133" i="9"/>
  <c r="S133" i="9" s="1"/>
  <c r="O134" i="9"/>
  <c r="S134" i="9" s="1"/>
  <c r="O177" i="9"/>
  <c r="S177" i="9" s="1"/>
  <c r="P177" i="9"/>
  <c r="P178" i="9"/>
  <c r="V186" i="9"/>
  <c r="X204" i="9"/>
  <c r="W204" i="9"/>
  <c r="Q227" i="9"/>
  <c r="P227" i="9"/>
  <c r="O227" i="9"/>
  <c r="S227" i="9" s="1"/>
  <c r="X242" i="9"/>
  <c r="W242" i="9"/>
  <c r="O15" i="9"/>
  <c r="X28" i="9"/>
  <c r="O31" i="9"/>
  <c r="S31" i="9" s="1"/>
  <c r="O48" i="9"/>
  <c r="S48" i="9" s="1"/>
  <c r="P55" i="9"/>
  <c r="O63" i="9"/>
  <c r="S63" i="9" s="1"/>
  <c r="P70" i="9"/>
  <c r="R88" i="9"/>
  <c r="O90" i="9"/>
  <c r="S90" i="9" s="1"/>
  <c r="T105" i="9"/>
  <c r="P112" i="9"/>
  <c r="Q113" i="9"/>
  <c r="O115" i="9"/>
  <c r="S115" i="9" s="1"/>
  <c r="O129" i="9"/>
  <c r="S129" i="9" s="1"/>
  <c r="Q130" i="9"/>
  <c r="Q131" i="9"/>
  <c r="Q132" i="9"/>
  <c r="AQ132" i="12" s="1"/>
  <c r="P133" i="9"/>
  <c r="P134" i="9"/>
  <c r="R138" i="9"/>
  <c r="W141" i="9"/>
  <c r="W156" i="9"/>
  <c r="P172" i="9"/>
  <c r="J172" i="12" s="1"/>
  <c r="O172" i="9"/>
  <c r="S172" i="9" s="1"/>
  <c r="Q190" i="9"/>
  <c r="AQ190" i="12" s="1"/>
  <c r="P190" i="9"/>
  <c r="O190" i="9"/>
  <c r="S190" i="9" s="1"/>
  <c r="Q199" i="9"/>
  <c r="P199" i="9"/>
  <c r="AZ91" i="7" s="1"/>
  <c r="O199" i="9"/>
  <c r="S199" i="9" s="1"/>
  <c r="X218" i="9"/>
  <c r="O222" i="9"/>
  <c r="S222" i="9" s="1"/>
  <c r="P230" i="9"/>
  <c r="AE86" i="10" s="1"/>
  <c r="O230" i="9"/>
  <c r="S230" i="9" s="1"/>
  <c r="Q230" i="9"/>
  <c r="Q302" i="9"/>
  <c r="P302" i="9"/>
  <c r="O302" i="9"/>
  <c r="S302" i="9" s="1"/>
  <c r="P15" i="9"/>
  <c r="U24" i="9"/>
  <c r="P31" i="9"/>
  <c r="P48" i="9"/>
  <c r="P63" i="9"/>
  <c r="X74" i="9"/>
  <c r="P90" i="9"/>
  <c r="J90" i="12" s="1"/>
  <c r="X102" i="9"/>
  <c r="W104" i="9"/>
  <c r="R113" i="9"/>
  <c r="Q115" i="9"/>
  <c r="O119" i="9"/>
  <c r="S119" i="9" s="1"/>
  <c r="O120" i="9"/>
  <c r="S120" i="9" s="1"/>
  <c r="T125" i="9"/>
  <c r="R125" i="9"/>
  <c r="Q129" i="9"/>
  <c r="R130" i="9"/>
  <c r="X154" i="9"/>
  <c r="W192" i="9"/>
  <c r="Q204" i="9"/>
  <c r="O204" i="9"/>
  <c r="S204" i="9" s="1"/>
  <c r="Q208" i="9"/>
  <c r="P208" i="9"/>
  <c r="Y213" i="9"/>
  <c r="X238" i="9"/>
  <c r="W238" i="9"/>
  <c r="X252" i="9"/>
  <c r="W252" i="9"/>
  <c r="Q350" i="9"/>
  <c r="AQ350" i="12" s="1"/>
  <c r="O350" i="9"/>
  <c r="S350" i="9" s="1"/>
  <c r="P350" i="9"/>
  <c r="J350" i="12" s="1"/>
  <c r="P26" i="9"/>
  <c r="P42" i="9"/>
  <c r="W61" i="9"/>
  <c r="P71" i="9"/>
  <c r="O72" i="9"/>
  <c r="S72" i="9" s="1"/>
  <c r="W76" i="9"/>
  <c r="T88" i="9"/>
  <c r="P91" i="9"/>
  <c r="X100" i="9"/>
  <c r="X104" i="9"/>
  <c r="W107" i="9"/>
  <c r="X108" i="9"/>
  <c r="W109" i="9"/>
  <c r="T113" i="9"/>
  <c r="R115" i="9"/>
  <c r="P116" i="9"/>
  <c r="AE47" i="10" s="1"/>
  <c r="P119" i="9"/>
  <c r="P120" i="9"/>
  <c r="Q125" i="9"/>
  <c r="P128" i="9"/>
  <c r="R129" i="9"/>
  <c r="T130" i="9"/>
  <c r="T131" i="9"/>
  <c r="T138" i="9"/>
  <c r="O165" i="9"/>
  <c r="S165" i="9" s="1"/>
  <c r="Q177" i="9"/>
  <c r="X188" i="9"/>
  <c r="W188" i="9"/>
  <c r="Q195" i="9"/>
  <c r="P195" i="9"/>
  <c r="O195" i="9"/>
  <c r="S195" i="9" s="1"/>
  <c r="W202" i="9"/>
  <c r="O208" i="9"/>
  <c r="S208" i="9" s="1"/>
  <c r="P210" i="9"/>
  <c r="P218" i="9"/>
  <c r="Q218" i="9"/>
  <c r="AQ218" i="12" s="1"/>
  <c r="O218" i="9"/>
  <c r="S218" i="9" s="1"/>
  <c r="Q249" i="9"/>
  <c r="AQ249" i="12" s="1"/>
  <c r="P249" i="9"/>
  <c r="O249" i="9"/>
  <c r="S249" i="9" s="1"/>
  <c r="W24" i="9"/>
  <c r="W40" i="9"/>
  <c r="W46" i="9"/>
  <c r="O57" i="9"/>
  <c r="S57" i="9" s="1"/>
  <c r="W68" i="9"/>
  <c r="P72" i="9"/>
  <c r="X76" i="9"/>
  <c r="X84" i="9"/>
  <c r="W105" i="9"/>
  <c r="W106" i="9"/>
  <c r="O122" i="9"/>
  <c r="S122" i="9" s="1"/>
  <c r="R127" i="9"/>
  <c r="T129" i="9"/>
  <c r="W148" i="9"/>
  <c r="P165" i="9"/>
  <c r="Q171" i="9"/>
  <c r="O171" i="9"/>
  <c r="S171" i="9" s="1"/>
  <c r="Q172" i="9"/>
  <c r="Y199" i="9"/>
  <c r="Q210" i="9"/>
  <c r="AQ210" i="12" s="1"/>
  <c r="X228" i="9"/>
  <c r="W228" i="9"/>
  <c r="Q238" i="9"/>
  <c r="AQ238" i="12" s="1"/>
  <c r="P238" i="9"/>
  <c r="O238" i="9"/>
  <c r="S238" i="9" s="1"/>
  <c r="Q345" i="9"/>
  <c r="AQ345" i="12" s="1"/>
  <c r="O345" i="9"/>
  <c r="S345" i="9" s="1"/>
  <c r="P345" i="9"/>
  <c r="W19" i="9"/>
  <c r="X24" i="9"/>
  <c r="X40" i="9"/>
  <c r="X46" i="9"/>
  <c r="X68" i="9"/>
  <c r="W100" i="9"/>
  <c r="T115" i="9"/>
  <c r="W130" i="9"/>
  <c r="V131" i="9"/>
  <c r="O159" i="9"/>
  <c r="S159" i="9" s="1"/>
  <c r="O175" i="9"/>
  <c r="S175" i="9" s="1"/>
  <c r="Q175" i="9"/>
  <c r="P175" i="9"/>
  <c r="X194" i="9"/>
  <c r="Q202" i="9"/>
  <c r="P202" i="9"/>
  <c r="P204" i="9"/>
  <c r="R206" i="9"/>
  <c r="V206" i="9"/>
  <c r="T206" i="9"/>
  <c r="P214" i="9"/>
  <c r="O214" i="9"/>
  <c r="S214" i="9" s="1"/>
  <c r="Q214" i="9"/>
  <c r="AQ214" i="12" s="1"/>
  <c r="Q216" i="9"/>
  <c r="P216" i="9"/>
  <c r="O216" i="9"/>
  <c r="S216" i="9" s="1"/>
  <c r="Q245" i="9"/>
  <c r="AQ245" i="12" s="1"/>
  <c r="O245" i="9"/>
  <c r="S245" i="9" s="1"/>
  <c r="P245" i="9"/>
  <c r="W88" i="9"/>
  <c r="W102" i="9"/>
  <c r="W114" i="9"/>
  <c r="W129" i="9"/>
  <c r="X130" i="9"/>
  <c r="W169" i="9"/>
  <c r="Q170" i="9"/>
  <c r="AQ170" i="12" s="1"/>
  <c r="P170" i="9"/>
  <c r="Y197" i="9"/>
  <c r="Y205" i="9"/>
  <c r="Y219" i="9"/>
  <c r="X219" i="9"/>
  <c r="W219" i="9"/>
  <c r="W85" i="9"/>
  <c r="X106" i="9"/>
  <c r="Y129" i="9"/>
  <c r="X132" i="9"/>
  <c r="W140" i="9"/>
  <c r="P156" i="9"/>
  <c r="Y167" i="9"/>
  <c r="X174" i="9"/>
  <c r="T189" i="9"/>
  <c r="R189" i="9"/>
  <c r="O209" i="9"/>
  <c r="X224" i="9"/>
  <c r="T232" i="9"/>
  <c r="V232" i="9"/>
  <c r="W240" i="9"/>
  <c r="Q252" i="9"/>
  <c r="AQ252" i="12" s="1"/>
  <c r="O252" i="9"/>
  <c r="S252" i="9" s="1"/>
  <c r="O257" i="9"/>
  <c r="S257" i="9" s="1"/>
  <c r="Q266" i="9"/>
  <c r="P266" i="9"/>
  <c r="V296" i="9"/>
  <c r="T296" i="9"/>
  <c r="R296" i="9"/>
  <c r="X303" i="9"/>
  <c r="O305" i="9"/>
  <c r="P318" i="9"/>
  <c r="O318" i="9"/>
  <c r="S318" i="9" s="1"/>
  <c r="P320" i="9"/>
  <c r="Q320" i="9"/>
  <c r="O320" i="9"/>
  <c r="S320" i="9" s="1"/>
  <c r="Q325" i="9"/>
  <c r="AQ325" i="12" s="1"/>
  <c r="P325" i="9"/>
  <c r="O325" i="9"/>
  <c r="S325" i="9" s="1"/>
  <c r="AE101" i="10"/>
  <c r="O206" i="9"/>
  <c r="S206" i="9" s="1"/>
  <c r="W215" i="9"/>
  <c r="Q219" i="9"/>
  <c r="P219" i="9"/>
  <c r="X226" i="9"/>
  <c r="Q246" i="9"/>
  <c r="P246" i="9"/>
  <c r="O246" i="9"/>
  <c r="S246" i="9" s="1"/>
  <c r="W249" i="9"/>
  <c r="P281" i="9"/>
  <c r="O281" i="9"/>
  <c r="S281" i="9" s="1"/>
  <c r="Q313" i="9"/>
  <c r="P313" i="9"/>
  <c r="O313" i="9"/>
  <c r="S313" i="9" s="1"/>
  <c r="Q315" i="9"/>
  <c r="O315" i="9"/>
  <c r="S315" i="9" s="1"/>
  <c r="P315" i="9"/>
  <c r="P353" i="9"/>
  <c r="O353" i="9"/>
  <c r="S353" i="9" s="1"/>
  <c r="X236" i="9"/>
  <c r="W236" i="9"/>
  <c r="P259" i="9"/>
  <c r="O259" i="9"/>
  <c r="S259" i="9" s="1"/>
  <c r="Q264" i="9"/>
  <c r="AQ264" i="12" s="1"/>
  <c r="P264" i="9"/>
  <c r="J264" i="12" s="1"/>
  <c r="O264" i="9"/>
  <c r="S264" i="9" s="1"/>
  <c r="R283" i="9"/>
  <c r="V283" i="9"/>
  <c r="T283" i="9"/>
  <c r="Q290" i="9"/>
  <c r="P290" i="9"/>
  <c r="O290" i="9"/>
  <c r="S290" i="9" s="1"/>
  <c r="Y293" i="9"/>
  <c r="P303" i="9"/>
  <c r="Q303" i="9"/>
  <c r="AQ303" i="12" s="1"/>
  <c r="P228" i="9"/>
  <c r="O228" i="9"/>
  <c r="S228" i="9" s="1"/>
  <c r="P252" i="9"/>
  <c r="W263" i="9"/>
  <c r="O266" i="9"/>
  <c r="S266" i="9" s="1"/>
  <c r="Y277" i="9"/>
  <c r="W277" i="9"/>
  <c r="T307" i="9"/>
  <c r="V307" i="9"/>
  <c r="R307" i="9"/>
  <c r="Q318" i="9"/>
  <c r="Y335" i="9"/>
  <c r="T341" i="9"/>
  <c r="V341" i="9"/>
  <c r="R341" i="9"/>
  <c r="W351" i="9"/>
  <c r="Q357" i="9"/>
  <c r="AQ357" i="12" s="1"/>
  <c r="P357" i="9"/>
  <c r="O357" i="9"/>
  <c r="S357" i="9" s="1"/>
  <c r="P198" i="9"/>
  <c r="O198" i="9"/>
  <c r="S198" i="9" s="1"/>
  <c r="Q217" i="9"/>
  <c r="AQ217" i="12" s="1"/>
  <c r="P217" i="9"/>
  <c r="Q228" i="9"/>
  <c r="R231" i="9"/>
  <c r="X240" i="9"/>
  <c r="Q254" i="9"/>
  <c r="AQ254" i="12" s="1"/>
  <c r="O254" i="9"/>
  <c r="S254" i="9" s="1"/>
  <c r="O271" i="9"/>
  <c r="S271" i="9" s="1"/>
  <c r="Q271" i="9"/>
  <c r="Q281" i="9"/>
  <c r="AQ281" i="12" s="1"/>
  <c r="Q301" i="9"/>
  <c r="AQ301" i="12" s="1"/>
  <c r="P301" i="9"/>
  <c r="Q321" i="9"/>
  <c r="P321" i="9"/>
  <c r="O321" i="9"/>
  <c r="S321" i="9" s="1"/>
  <c r="Y357" i="9"/>
  <c r="Y352" i="9"/>
  <c r="Y337" i="9"/>
  <c r="Y281" i="9"/>
  <c r="Y329" i="9"/>
  <c r="Y339" i="9"/>
  <c r="Y353" i="9"/>
  <c r="Y303" i="9"/>
  <c r="Y311" i="9"/>
  <c r="Y275" i="9"/>
  <c r="Y343" i="9"/>
  <c r="Y287" i="9"/>
  <c r="X172" i="9"/>
  <c r="W172" i="9"/>
  <c r="Q198" i="9"/>
  <c r="AQ198" i="12" s="1"/>
  <c r="O200" i="9"/>
  <c r="S200" i="9" s="1"/>
  <c r="R205" i="9"/>
  <c r="X207" i="9"/>
  <c r="W208" i="9"/>
  <c r="O217" i="9"/>
  <c r="S217" i="9" s="1"/>
  <c r="T220" i="9"/>
  <c r="P241" i="9"/>
  <c r="O241" i="9"/>
  <c r="S241" i="9" s="1"/>
  <c r="O242" i="9"/>
  <c r="S242" i="9" s="1"/>
  <c r="Q259" i="9"/>
  <c r="X267" i="9"/>
  <c r="W267" i="9"/>
  <c r="Q277" i="9"/>
  <c r="P277" i="9"/>
  <c r="J277" i="12" s="1"/>
  <c r="O277" i="9"/>
  <c r="S277" i="9" s="1"/>
  <c r="Y282" i="9"/>
  <c r="X282" i="9"/>
  <c r="W282" i="9"/>
  <c r="O303" i="9"/>
  <c r="S303" i="9" s="1"/>
  <c r="X306" i="9"/>
  <c r="O348" i="9"/>
  <c r="S348" i="9" s="1"/>
  <c r="Q348" i="9"/>
  <c r="P348" i="9"/>
  <c r="W354" i="9"/>
  <c r="W183" i="9"/>
  <c r="P200" i="9"/>
  <c r="T231" i="9"/>
  <c r="P242" i="9"/>
  <c r="O269" i="9"/>
  <c r="Q273" i="9"/>
  <c r="P273" i="9"/>
  <c r="AZ122" i="7" s="1"/>
  <c r="O273" i="9"/>
  <c r="S273" i="9" s="1"/>
  <c r="Q279" i="9"/>
  <c r="AQ279" i="12" s="1"/>
  <c r="P279" i="9"/>
  <c r="J279" i="12" s="1"/>
  <c r="O279" i="9"/>
  <c r="S279" i="9" s="1"/>
  <c r="W291" i="9"/>
  <c r="Y291" i="9"/>
  <c r="X291" i="9"/>
  <c r="T323" i="9"/>
  <c r="V323" i="9"/>
  <c r="R323" i="9"/>
  <c r="Q342" i="9"/>
  <c r="AQ342" i="12" s="1"/>
  <c r="P342" i="9"/>
  <c r="O342" i="9"/>
  <c r="S342" i="9" s="1"/>
  <c r="Y349" i="9"/>
  <c r="AE29" i="10"/>
  <c r="V205" i="9"/>
  <c r="X210" i="9"/>
  <c r="X222" i="9"/>
  <c r="W222" i="9"/>
  <c r="O223" i="9"/>
  <c r="S223" i="9" s="1"/>
  <c r="Q223" i="9"/>
  <c r="AQ223" i="12" s="1"/>
  <c r="O236" i="9"/>
  <c r="S236" i="9" s="1"/>
  <c r="W244" i="9"/>
  <c r="P254" i="9"/>
  <c r="AE94" i="10" s="1"/>
  <c r="Q265" i="9"/>
  <c r="AQ265" i="12" s="1"/>
  <c r="P265" i="9"/>
  <c r="P271" i="9"/>
  <c r="O282" i="9"/>
  <c r="S282" i="9" s="1"/>
  <c r="P282" i="9"/>
  <c r="J282" i="12" s="1"/>
  <c r="O301" i="9"/>
  <c r="S301" i="9" s="1"/>
  <c r="P306" i="9"/>
  <c r="X338" i="9"/>
  <c r="W338" i="9"/>
  <c r="P192" i="9"/>
  <c r="P225" i="9"/>
  <c r="AZ102" i="7" s="1"/>
  <c r="P234" i="9"/>
  <c r="P236" i="9"/>
  <c r="R237" i="9"/>
  <c r="Q241" i="9"/>
  <c r="V263" i="9"/>
  <c r="T263" i="9"/>
  <c r="R263" i="9"/>
  <c r="Y280" i="9"/>
  <c r="Q291" i="9"/>
  <c r="P291" i="9"/>
  <c r="O291" i="9"/>
  <c r="S291" i="9" s="1"/>
  <c r="Y294" i="9"/>
  <c r="X294" i="9"/>
  <c r="W294" i="9"/>
  <c r="R297" i="9"/>
  <c r="V297" i="9"/>
  <c r="T297" i="9"/>
  <c r="Y321" i="9"/>
  <c r="X324" i="9"/>
  <c r="W324" i="9"/>
  <c r="R194" i="9"/>
  <c r="P212" i="9"/>
  <c r="O212" i="9"/>
  <c r="S212" i="9" s="1"/>
  <c r="Q235" i="9"/>
  <c r="P235" i="9"/>
  <c r="Y249" i="9"/>
  <c r="P304" i="9"/>
  <c r="O304" i="9"/>
  <c r="S304" i="9" s="1"/>
  <c r="X322" i="9"/>
  <c r="Q326" i="9"/>
  <c r="AQ326" i="12" s="1"/>
  <c r="O326" i="9"/>
  <c r="S326" i="9" s="1"/>
  <c r="P326" i="9"/>
  <c r="AE118" i="10" s="1"/>
  <c r="P361" i="9"/>
  <c r="O361" i="9"/>
  <c r="S361" i="9" s="1"/>
  <c r="Q361" i="9"/>
  <c r="O186" i="9"/>
  <c r="S186" i="9" s="1"/>
  <c r="Q187" i="9"/>
  <c r="P187" i="9"/>
  <c r="AZ86" i="7" s="1"/>
  <c r="P223" i="9"/>
  <c r="V237" i="9"/>
  <c r="O239" i="9"/>
  <c r="S239" i="9" s="1"/>
  <c r="Q239" i="9"/>
  <c r="AQ239" i="12" s="1"/>
  <c r="W247" i="9"/>
  <c r="X255" i="9"/>
  <c r="O265" i="9"/>
  <c r="S265" i="9" s="1"/>
  <c r="Q282" i="9"/>
  <c r="P317" i="9"/>
  <c r="J317" i="12" s="1"/>
  <c r="O317" i="9"/>
  <c r="Q324" i="9"/>
  <c r="AQ324" i="12" s="1"/>
  <c r="P324" i="9"/>
  <c r="O324" i="9"/>
  <c r="S324" i="9" s="1"/>
  <c r="Y327" i="9"/>
  <c r="X327" i="9"/>
  <c r="W327" i="9"/>
  <c r="W336" i="9"/>
  <c r="X336" i="9"/>
  <c r="Y347" i="9"/>
  <c r="W347" i="9"/>
  <c r="W134" i="9"/>
  <c r="W150" i="9"/>
  <c r="P180" i="9"/>
  <c r="O180" i="9"/>
  <c r="S180" i="9" s="1"/>
  <c r="O187" i="9"/>
  <c r="S187" i="9" s="1"/>
  <c r="T194" i="9"/>
  <c r="X206" i="9"/>
  <c r="W206" i="9"/>
  <c r="X220" i="9"/>
  <c r="W220" i="9"/>
  <c r="W231" i="9"/>
  <c r="W250" i="9"/>
  <c r="W274" i="9"/>
  <c r="O284" i="9"/>
  <c r="S284" i="9" s="1"/>
  <c r="Q284" i="9"/>
  <c r="P284" i="9"/>
  <c r="Y306" i="9"/>
  <c r="X320" i="9"/>
  <c r="V322" i="9"/>
  <c r="T322" i="9"/>
  <c r="R322" i="9"/>
  <c r="Y355" i="9"/>
  <c r="W359" i="9"/>
  <c r="T248" i="9"/>
  <c r="V248" i="9"/>
  <c r="O255" i="9"/>
  <c r="S255" i="9" s="1"/>
  <c r="Q255" i="9"/>
  <c r="AQ255" i="12" s="1"/>
  <c r="Q262" i="9"/>
  <c r="AQ262" i="12" s="1"/>
  <c r="P262" i="9"/>
  <c r="O262" i="9"/>
  <c r="S262" i="9" s="1"/>
  <c r="O270" i="9"/>
  <c r="V278" i="9"/>
  <c r="T278" i="9"/>
  <c r="R278" i="9"/>
  <c r="P289" i="9"/>
  <c r="AZ129" i="7" s="1"/>
  <c r="Q289" i="9"/>
  <c r="O289" i="9"/>
  <c r="S289" i="9" s="1"/>
  <c r="W292" i="9"/>
  <c r="Y292" i="9"/>
  <c r="X292" i="9"/>
  <c r="Q304" i="9"/>
  <c r="AQ304" i="12" s="1"/>
  <c r="Y315" i="9"/>
  <c r="Q327" i="9"/>
  <c r="AQ327" i="12" s="1"/>
  <c r="P327" i="9"/>
  <c r="O327" i="9"/>
  <c r="S327" i="9" s="1"/>
  <c r="Q347" i="9"/>
  <c r="AQ347" i="12" s="1"/>
  <c r="P347" i="9"/>
  <c r="O347" i="9"/>
  <c r="S347" i="9" s="1"/>
  <c r="W212" i="9"/>
  <c r="W226" i="9"/>
  <c r="P239" i="9"/>
  <c r="O248" i="9"/>
  <c r="S248" i="9" s="1"/>
  <c r="Q250" i="9"/>
  <c r="P250" i="9"/>
  <c r="Y251" i="9"/>
  <c r="P260" i="9"/>
  <c r="O260" i="9"/>
  <c r="S260" i="9" s="1"/>
  <c r="X268" i="9"/>
  <c r="W268" i="9"/>
  <c r="O300" i="9"/>
  <c r="S300" i="9" s="1"/>
  <c r="P300" i="9"/>
  <c r="R359" i="9"/>
  <c r="V359" i="9"/>
  <c r="T359" i="9"/>
  <c r="Y215" i="9"/>
  <c r="Y231" i="9"/>
  <c r="W237" i="9"/>
  <c r="Y247" i="9"/>
  <c r="W253" i="9"/>
  <c r="X258" i="9"/>
  <c r="Y263" i="9"/>
  <c r="W310" i="9"/>
  <c r="T312" i="9"/>
  <c r="Y316" i="9"/>
  <c r="V335" i="9"/>
  <c r="T335" i="9"/>
  <c r="Q341" i="9"/>
  <c r="Y351" i="9"/>
  <c r="T355" i="9"/>
  <c r="AE44" i="10"/>
  <c r="Y258" i="9"/>
  <c r="V311" i="9"/>
  <c r="V312" i="9"/>
  <c r="Q338" i="9"/>
  <c r="AQ338" i="12" s="1"/>
  <c r="P338" i="9"/>
  <c r="AE122" i="10" s="1"/>
  <c r="X348" i="9"/>
  <c r="W348" i="9"/>
  <c r="W357" i="9"/>
  <c r="Y237" i="9"/>
  <c r="O251" i="9"/>
  <c r="S251" i="9" s="1"/>
  <c r="Y253" i="9"/>
  <c r="O267" i="9"/>
  <c r="S267" i="9" s="1"/>
  <c r="Y269" i="9"/>
  <c r="W275" i="9"/>
  <c r="O280" i="9"/>
  <c r="S280" i="9" s="1"/>
  <c r="Y285" i="9"/>
  <c r="W298" i="9"/>
  <c r="W312" i="9"/>
  <c r="P316" i="9"/>
  <c r="O316" i="9"/>
  <c r="S316" i="9" s="1"/>
  <c r="O319" i="9"/>
  <c r="S319" i="9" s="1"/>
  <c r="P330" i="9"/>
  <c r="W335" i="9"/>
  <c r="X344" i="9"/>
  <c r="P346" i="9"/>
  <c r="AE16" i="10"/>
  <c r="Y345" i="9"/>
  <c r="Y342" i="9"/>
  <c r="P251" i="9"/>
  <c r="W254" i="9"/>
  <c r="P267" i="9"/>
  <c r="W270" i="9"/>
  <c r="P280" i="9"/>
  <c r="X290" i="9"/>
  <c r="W297" i="9"/>
  <c r="X298" i="9"/>
  <c r="W304" i="9"/>
  <c r="Q319" i="9"/>
  <c r="Y333" i="9"/>
  <c r="R340" i="9"/>
  <c r="W349" i="9"/>
  <c r="O358" i="9"/>
  <c r="S358" i="9" s="1"/>
  <c r="X360" i="9"/>
  <c r="AC16" i="10"/>
  <c r="AF16" i="10" s="1"/>
  <c r="AE130" i="10"/>
  <c r="X254" i="9"/>
  <c r="X270" i="9"/>
  <c r="W296" i="9"/>
  <c r="X304" i="9"/>
  <c r="R319" i="9"/>
  <c r="W320" i="9"/>
  <c r="W321" i="9"/>
  <c r="X325" i="9"/>
  <c r="O338" i="9"/>
  <c r="S338" i="9" s="1"/>
  <c r="W343" i="9"/>
  <c r="P352" i="9"/>
  <c r="O352" i="9"/>
  <c r="S352" i="9" s="1"/>
  <c r="X356" i="9"/>
  <c r="P358" i="9"/>
  <c r="AE104" i="10"/>
  <c r="W260" i="9"/>
  <c r="W278" i="9"/>
  <c r="W290" i="9"/>
  <c r="X312" i="9"/>
  <c r="Y313" i="9"/>
  <c r="Q316" i="9"/>
  <c r="AQ316" i="12" s="1"/>
  <c r="T319" i="9"/>
  <c r="T340" i="9"/>
  <c r="AE49" i="10"/>
  <c r="W266" i="9"/>
  <c r="X296" i="9"/>
  <c r="X308" i="9"/>
  <c r="W308" i="9"/>
  <c r="X332" i="9"/>
  <c r="P337" i="9"/>
  <c r="O337" i="9"/>
  <c r="S337" i="9" s="1"/>
  <c r="AE17" i="10"/>
  <c r="AE59" i="10"/>
  <c r="AE68" i="10"/>
  <c r="AE74" i="10"/>
  <c r="W306" i="9"/>
  <c r="W322" i="9"/>
  <c r="Y323" i="9"/>
  <c r="V333" i="9"/>
  <c r="T333" i="9"/>
  <c r="T336" i="9"/>
  <c r="R336" i="9"/>
  <c r="Y359" i="9"/>
  <c r="O360" i="9"/>
  <c r="S360" i="9" s="1"/>
  <c r="Q360" i="9"/>
  <c r="AE100" i="10"/>
  <c r="R274" i="9"/>
  <c r="P275" i="9"/>
  <c r="AZ123" i="7" s="1"/>
  <c r="P285" i="9"/>
  <c r="O286" i="9"/>
  <c r="S286" i="9" s="1"/>
  <c r="O287" i="9"/>
  <c r="S287" i="9" s="1"/>
  <c r="O288" i="9"/>
  <c r="S288" i="9" s="1"/>
  <c r="Y301" i="9"/>
  <c r="W303" i="9"/>
  <c r="P314" i="9"/>
  <c r="O333" i="9"/>
  <c r="S333" i="9" s="1"/>
  <c r="Y341" i="9"/>
  <c r="Q344" i="9"/>
  <c r="Y354" i="9"/>
  <c r="X354" i="9"/>
  <c r="P360" i="9"/>
  <c r="AE129" i="10" s="1"/>
  <c r="Q15" i="10"/>
  <c r="AE25" i="10"/>
  <c r="X256" i="9"/>
  <c r="W280" i="9"/>
  <c r="P286" i="9"/>
  <c r="Q287" i="9"/>
  <c r="Q288" i="9"/>
  <c r="O310" i="9"/>
  <c r="S310" i="9" s="1"/>
  <c r="Q314" i="9"/>
  <c r="W326" i="9"/>
  <c r="Y331" i="9"/>
  <c r="Q333" i="9"/>
  <c r="AQ333" i="12" s="1"/>
  <c r="W337" i="9"/>
  <c r="Y340" i="9"/>
  <c r="R344" i="9"/>
  <c r="Q351" i="9"/>
  <c r="P351" i="9"/>
  <c r="O351" i="9"/>
  <c r="S351" i="9" s="1"/>
  <c r="T362" i="9"/>
  <c r="R362" i="9"/>
  <c r="AE36" i="10"/>
  <c r="T274" i="9"/>
  <c r="R287" i="9"/>
  <c r="R288" i="9"/>
  <c r="O293" i="9"/>
  <c r="O294" i="9"/>
  <c r="S294" i="9" s="1"/>
  <c r="O309" i="9"/>
  <c r="S309" i="9" s="1"/>
  <c r="X326" i="9"/>
  <c r="R333" i="9"/>
  <c r="O336" i="9"/>
  <c r="S336" i="9" s="1"/>
  <c r="P354" i="9"/>
  <c r="AE32" i="10"/>
  <c r="X280" i="9"/>
  <c r="T287" i="9"/>
  <c r="T288" i="9"/>
  <c r="P294" i="9"/>
  <c r="P309" i="9"/>
  <c r="W319" i="9"/>
  <c r="Y330" i="9"/>
  <c r="Q336" i="9"/>
  <c r="AQ336" i="12" s="1"/>
  <c r="O278" i="9"/>
  <c r="S278" i="9" s="1"/>
  <c r="O296" i="9"/>
  <c r="S296" i="9" s="1"/>
  <c r="O297" i="9"/>
  <c r="S297" i="9" s="1"/>
  <c r="P298" i="9"/>
  <c r="AE108" i="10" s="1"/>
  <c r="P299" i="9"/>
  <c r="O306" i="9"/>
  <c r="O308" i="9"/>
  <c r="S308" i="9" s="1"/>
  <c r="T310" i="9"/>
  <c r="X314" i="9"/>
  <c r="O322" i="9"/>
  <c r="S322" i="9" s="1"/>
  <c r="W325" i="9"/>
  <c r="Y328" i="9"/>
  <c r="P332" i="9"/>
  <c r="AE119" i="10" s="1"/>
  <c r="Q335" i="9"/>
  <c r="O335" i="9"/>
  <c r="S335" i="9" s="1"/>
  <c r="V336" i="9"/>
  <c r="T343" i="9"/>
  <c r="R356" i="9"/>
  <c r="W358" i="9"/>
  <c r="O359" i="9"/>
  <c r="S359" i="9" s="1"/>
  <c r="Y361" i="9"/>
  <c r="O362" i="9"/>
  <c r="S362" i="9" s="1"/>
  <c r="AE19" i="10"/>
  <c r="AE103" i="10"/>
  <c r="Q298" i="9"/>
  <c r="Q299" i="9"/>
  <c r="AQ299" i="12" s="1"/>
  <c r="P308" i="9"/>
  <c r="Y318" i="9"/>
  <c r="Y325" i="9"/>
  <c r="Q332" i="9"/>
  <c r="P349" i="9"/>
  <c r="O349" i="9"/>
  <c r="S349" i="9" s="1"/>
  <c r="O354" i="9"/>
  <c r="S354" i="9" s="1"/>
  <c r="R355" i="9"/>
  <c r="Q362" i="9"/>
  <c r="AE43" i="10"/>
  <c r="AE67" i="10"/>
  <c r="AE48" i="10"/>
  <c r="AE62" i="10"/>
  <c r="AE75" i="10"/>
  <c r="AE116" i="10"/>
  <c r="H4" i="11"/>
  <c r="E17" i="20"/>
  <c r="Q32" i="11"/>
  <c r="W352" i="9"/>
  <c r="O16" i="10"/>
  <c r="Z17" i="10"/>
  <c r="AE41" i="10"/>
  <c r="I4" i="11"/>
  <c r="W340" i="9"/>
  <c r="K24" i="12"/>
  <c r="AR22" i="12"/>
  <c r="K20" i="12"/>
  <c r="P16" i="10"/>
  <c r="AB17" i="10"/>
  <c r="AE30" i="10"/>
  <c r="AE52" i="10"/>
  <c r="AE57" i="10"/>
  <c r="AE80" i="10"/>
  <c r="E19" i="20"/>
  <c r="Q48" i="11"/>
  <c r="AA15" i="10"/>
  <c r="AE26" i="10"/>
  <c r="AE77" i="10"/>
  <c r="AE106" i="10"/>
  <c r="AE113" i="10"/>
  <c r="W356" i="9"/>
  <c r="AE81" i="10"/>
  <c r="W360" i="9"/>
  <c r="Z18" i="10"/>
  <c r="AE27" i="10"/>
  <c r="AE64" i="10"/>
  <c r="AE72" i="10"/>
  <c r="AE102" i="10"/>
  <c r="AE28" i="10"/>
  <c r="AE60" i="10"/>
  <c r="AE73" i="10"/>
  <c r="AE87" i="10"/>
  <c r="E16" i="20"/>
  <c r="E4" i="20" s="1"/>
  <c r="Q24" i="11"/>
  <c r="Q4" i="11" s="1"/>
  <c r="AE117" i="10"/>
  <c r="M15" i="20"/>
  <c r="L4" i="11"/>
  <c r="AE61" i="10"/>
  <c r="AE85" i="10"/>
  <c r="AS360" i="12"/>
  <c r="AS355" i="12"/>
  <c r="AS350" i="12"/>
  <c r="AS346" i="12"/>
  <c r="AS362" i="12"/>
  <c r="AS357" i="12"/>
  <c r="AS359" i="12"/>
  <c r="AS343" i="12"/>
  <c r="AS319" i="12"/>
  <c r="AS334" i="12"/>
  <c r="AS336" i="12"/>
  <c r="AS335" i="12"/>
  <c r="AS333" i="12"/>
  <c r="AS321" i="12"/>
  <c r="AS338" i="12"/>
  <c r="AS331" i="12"/>
  <c r="AS307" i="12"/>
  <c r="AS325" i="12"/>
  <c r="AS286" i="12"/>
  <c r="AS288" i="12"/>
  <c r="AS265" i="12"/>
  <c r="AS278" i="12"/>
  <c r="AS262" i="12"/>
  <c r="AS310" i="12"/>
  <c r="AS287" i="12"/>
  <c r="AS264" i="12"/>
  <c r="AS247" i="12"/>
  <c r="AS266" i="12"/>
  <c r="AS298" i="12"/>
  <c r="AS283" i="12"/>
  <c r="AS273" i="12"/>
  <c r="AS271" i="12"/>
  <c r="AS289" i="12"/>
  <c r="AS240" i="12"/>
  <c r="AS206" i="12"/>
  <c r="AS190" i="12"/>
  <c r="AS254" i="12"/>
  <c r="AS238" i="12"/>
  <c r="AS201" i="12"/>
  <c r="AS230" i="12"/>
  <c r="AS218" i="12"/>
  <c r="AS205" i="12"/>
  <c r="AS226" i="12"/>
  <c r="AS217" i="12"/>
  <c r="AS212" i="12"/>
  <c r="AS215" i="12"/>
  <c r="AS193" i="12"/>
  <c r="AS223" i="12"/>
  <c r="AS166" i="12"/>
  <c r="AS175" i="12"/>
  <c r="AS156" i="12"/>
  <c r="AS181" i="12"/>
  <c r="AS158" i="12"/>
  <c r="AS142" i="12"/>
  <c r="AS167" i="12"/>
  <c r="AS180" i="12"/>
  <c r="AS122" i="12"/>
  <c r="AS189" i="12"/>
  <c r="AS131" i="12"/>
  <c r="AS129" i="12"/>
  <c r="AS106" i="12"/>
  <c r="AS144" i="12"/>
  <c r="AS151" i="12"/>
  <c r="AS187" i="12"/>
  <c r="AS134" i="12"/>
  <c r="AS169" i="12"/>
  <c r="AS145" i="12"/>
  <c r="AS118" i="12"/>
  <c r="AS105" i="12"/>
  <c r="AS139" i="12"/>
  <c r="AS79" i="12"/>
  <c r="AS74" i="12"/>
  <c r="AS60" i="12"/>
  <c r="AS83" i="12"/>
  <c r="AS73" i="12"/>
  <c r="AS95" i="12"/>
  <c r="AS194" i="12"/>
  <c r="AS82" i="12"/>
  <c r="AS50" i="12"/>
  <c r="AS146" i="12"/>
  <c r="AS127" i="12"/>
  <c r="AS46" i="12"/>
  <c r="AS70" i="12"/>
  <c r="AS25" i="12"/>
  <c r="AS81" i="12"/>
  <c r="AS96" i="12"/>
  <c r="AS97" i="12"/>
  <c r="AS67" i="12"/>
  <c r="AS38" i="12"/>
  <c r="AS55" i="12"/>
  <c r="AS36" i="12"/>
  <c r="AS35" i="12"/>
  <c r="AS22" i="12"/>
  <c r="AS86" i="12"/>
  <c r="AS62" i="12"/>
  <c r="AS80" i="12"/>
  <c r="AS107" i="12"/>
  <c r="AS31" i="12"/>
  <c r="AS24" i="12"/>
  <c r="AS57" i="12"/>
  <c r="AS43" i="12"/>
  <c r="E20" i="20"/>
  <c r="E28" i="20"/>
  <c r="Q120" i="11"/>
  <c r="AS176" i="12" s="1"/>
  <c r="Q56" i="11"/>
  <c r="AE105" i="10"/>
  <c r="AE115" i="10"/>
  <c r="AE95" i="10"/>
  <c r="AE110" i="10"/>
  <c r="AE120" i="10"/>
  <c r="Q64" i="11"/>
  <c r="Q96" i="11"/>
  <c r="AE112" i="10"/>
  <c r="AE127" i="10"/>
  <c r="M28" i="20"/>
  <c r="E34" i="20"/>
  <c r="Q168" i="11"/>
  <c r="AQ29" i="12"/>
  <c r="E35" i="20"/>
  <c r="Q176" i="11"/>
  <c r="AS260" i="12" s="1"/>
  <c r="M26" i="20"/>
  <c r="E22" i="20"/>
  <c r="E24" i="20"/>
  <c r="E26" i="20"/>
  <c r="E29" i="20"/>
  <c r="Q128" i="11"/>
  <c r="Q72" i="11"/>
  <c r="Q88" i="11"/>
  <c r="Q104" i="11"/>
  <c r="M19" i="20"/>
  <c r="AS34" i="12"/>
  <c r="E30" i="20"/>
  <c r="Q136" i="11"/>
  <c r="AS200" i="12" s="1"/>
  <c r="AS32" i="12"/>
  <c r="M25" i="20"/>
  <c r="E27" i="20"/>
  <c r="Q112" i="11"/>
  <c r="E31" i="20"/>
  <c r="Q144" i="11"/>
  <c r="M18" i="20"/>
  <c r="E32" i="20"/>
  <c r="Q152" i="11"/>
  <c r="AS224" i="12" s="1"/>
  <c r="E33" i="20"/>
  <c r="Q160" i="11"/>
  <c r="AX4" i="12"/>
  <c r="L38" i="20"/>
  <c r="K38" i="20"/>
  <c r="K15" i="20"/>
  <c r="L15" i="20"/>
  <c r="K16" i="20"/>
  <c r="L16" i="20"/>
  <c r="K17" i="20"/>
  <c r="L17" i="20"/>
  <c r="K18" i="20"/>
  <c r="L18" i="20"/>
  <c r="L19" i="20"/>
  <c r="K19" i="20"/>
  <c r="L20" i="20"/>
  <c r="K20" i="20"/>
  <c r="K21" i="20"/>
  <c r="L21" i="20"/>
  <c r="L22" i="20"/>
  <c r="K22" i="20"/>
  <c r="L23" i="20"/>
  <c r="K23" i="20"/>
  <c r="L24" i="20"/>
  <c r="K24" i="20"/>
  <c r="L25" i="20"/>
  <c r="K25" i="20"/>
  <c r="L26" i="20"/>
  <c r="K26" i="20"/>
  <c r="L27" i="20"/>
  <c r="K27" i="20"/>
  <c r="L28" i="20"/>
  <c r="K28" i="20"/>
  <c r="K29" i="20"/>
  <c r="L29" i="20"/>
  <c r="L30" i="20"/>
  <c r="K30" i="20"/>
  <c r="L31" i="20"/>
  <c r="K31" i="20"/>
  <c r="L32" i="20"/>
  <c r="K32" i="20"/>
  <c r="L33" i="20"/>
  <c r="K33" i="20"/>
  <c r="K34" i="20"/>
  <c r="L34" i="20"/>
  <c r="L35" i="20"/>
  <c r="K35" i="20"/>
  <c r="L36" i="20"/>
  <c r="K36" i="20"/>
  <c r="L37" i="20"/>
  <c r="K37" i="20"/>
  <c r="J15" i="12"/>
  <c r="AQ47" i="12"/>
  <c r="J47" i="12"/>
  <c r="AS47" i="12"/>
  <c r="H47" i="12"/>
  <c r="C15" i="20"/>
  <c r="D15" i="20"/>
  <c r="D4" i="20" s="1"/>
  <c r="D16" i="20"/>
  <c r="C16" i="20"/>
  <c r="D17" i="20"/>
  <c r="C17" i="20"/>
  <c r="D18" i="20"/>
  <c r="C18" i="20"/>
  <c r="D19" i="20"/>
  <c r="C19" i="20"/>
  <c r="D20" i="20"/>
  <c r="C20" i="20"/>
  <c r="D21" i="20"/>
  <c r="C21" i="20"/>
  <c r="D22" i="20"/>
  <c r="C22" i="20"/>
  <c r="C23" i="20"/>
  <c r="D23" i="20"/>
  <c r="C24" i="20"/>
  <c r="D24" i="20"/>
  <c r="D25" i="20"/>
  <c r="C25" i="20"/>
  <c r="D26" i="20"/>
  <c r="C26" i="20"/>
  <c r="C27" i="20"/>
  <c r="D27" i="20"/>
  <c r="D28" i="20"/>
  <c r="C28" i="20"/>
  <c r="D29" i="20"/>
  <c r="C29" i="20"/>
  <c r="D30" i="20"/>
  <c r="C30" i="20"/>
  <c r="C31" i="20"/>
  <c r="D31" i="20"/>
  <c r="D32" i="20"/>
  <c r="C32" i="20"/>
  <c r="D33" i="20"/>
  <c r="C33" i="20"/>
  <c r="D34" i="20"/>
  <c r="C34" i="20"/>
  <c r="D35" i="20"/>
  <c r="C35" i="20"/>
  <c r="D36" i="20"/>
  <c r="C36" i="20"/>
  <c r="E42" i="20"/>
  <c r="AQ19" i="12"/>
  <c r="J19" i="12"/>
  <c r="AO19" i="12"/>
  <c r="AS23" i="12"/>
  <c r="Q232" i="11"/>
  <c r="AS344" i="12" s="1"/>
  <c r="L43" i="20"/>
  <c r="K43" i="20"/>
  <c r="AS19" i="12"/>
  <c r="J71" i="12"/>
  <c r="AQ71" i="12"/>
  <c r="AO71" i="12"/>
  <c r="AS21" i="12"/>
  <c r="AQ21" i="12"/>
  <c r="J21" i="12"/>
  <c r="J32" i="12"/>
  <c r="H71" i="12"/>
  <c r="Q224" i="11"/>
  <c r="AS332" i="12" s="1"/>
  <c r="AQ34" i="12"/>
  <c r="AQ51" i="12"/>
  <c r="L42" i="20"/>
  <c r="K42" i="20"/>
  <c r="G21" i="12"/>
  <c r="AQ26" i="12"/>
  <c r="AR26" i="12"/>
  <c r="AQ40" i="12"/>
  <c r="J59" i="12"/>
  <c r="AS59" i="12"/>
  <c r="H59" i="12"/>
  <c r="AO59" i="12"/>
  <c r="O4" i="11"/>
  <c r="P4" i="11" s="1"/>
  <c r="E39" i="20"/>
  <c r="Q216" i="11"/>
  <c r="AS26" i="12"/>
  <c r="J29" i="12"/>
  <c r="AO47" i="12"/>
  <c r="AS71" i="12"/>
  <c r="M38" i="20"/>
  <c r="L41" i="20"/>
  <c r="K41" i="20"/>
  <c r="J34" i="12"/>
  <c r="E38" i="20"/>
  <c r="H17" i="12"/>
  <c r="G17" i="12"/>
  <c r="M37" i="20"/>
  <c r="L40" i="20"/>
  <c r="K40" i="20"/>
  <c r="AQ17" i="12"/>
  <c r="J24" i="12"/>
  <c r="J26" i="12"/>
  <c r="E36" i="20"/>
  <c r="E37" i="20"/>
  <c r="Q200" i="11"/>
  <c r="J20" i="12"/>
  <c r="AS20" i="12"/>
  <c r="AR20" i="12"/>
  <c r="AQ20" i="12"/>
  <c r="K22" i="12"/>
  <c r="K26" i="12"/>
  <c r="AQ59" i="12"/>
  <c r="AQ100" i="12"/>
  <c r="L39" i="20"/>
  <c r="K39" i="20"/>
  <c r="J17" i="12"/>
  <c r="AS49" i="12"/>
  <c r="AO49" i="12"/>
  <c r="H49" i="12"/>
  <c r="AO61" i="12"/>
  <c r="H61" i="12"/>
  <c r="J61" i="12"/>
  <c r="AS61" i="12"/>
  <c r="Q184" i="11"/>
  <c r="Q192" i="11"/>
  <c r="J27" i="12"/>
  <c r="AQ42" i="12"/>
  <c r="J43" i="12"/>
  <c r="AS58" i="12"/>
  <c r="AQ58" i="12"/>
  <c r="BP20" i="20"/>
  <c r="AS94" i="12"/>
  <c r="J64" i="12"/>
  <c r="AQ64" i="12"/>
  <c r="AQ67" i="12"/>
  <c r="AS69" i="12"/>
  <c r="AQ69" i="12"/>
  <c r="AQ75" i="12"/>
  <c r="J77" i="12"/>
  <c r="J58" i="12"/>
  <c r="H69" i="12"/>
  <c r="AS84" i="12"/>
  <c r="AQ84" i="12"/>
  <c r="J84" i="12"/>
  <c r="AS93" i="12"/>
  <c r="J93" i="12"/>
  <c r="BP15" i="20"/>
  <c r="AS72" i="12"/>
  <c r="AQ72" i="12"/>
  <c r="J163" i="12"/>
  <c r="I163" i="12"/>
  <c r="AP163" i="12"/>
  <c r="AS163" i="12"/>
  <c r="AO163" i="12"/>
  <c r="H163" i="12"/>
  <c r="M43" i="20"/>
  <c r="J57" i="12"/>
  <c r="H57" i="12"/>
  <c r="AO57" i="12"/>
  <c r="J69" i="12"/>
  <c r="E43" i="20"/>
  <c r="AQ18" i="12"/>
  <c r="G24" i="12"/>
  <c r="AQ31" i="12"/>
  <c r="AS33" i="12"/>
  <c r="AO33" i="12"/>
  <c r="AO45" i="12"/>
  <c r="H45" i="12"/>
  <c r="AQ57" i="12"/>
  <c r="J75" i="12"/>
  <c r="J99" i="12"/>
  <c r="AQ99" i="12"/>
  <c r="AQ113" i="12"/>
  <c r="BP17" i="20"/>
  <c r="J72" i="12"/>
  <c r="AO103" i="12"/>
  <c r="AQ23" i="12"/>
  <c r="AQ53" i="12"/>
  <c r="AQ63" i="12"/>
  <c r="J63" i="12"/>
  <c r="J100" i="12"/>
  <c r="AQ35" i="12"/>
  <c r="AS44" i="12"/>
  <c r="J98" i="12"/>
  <c r="AS98" i="12"/>
  <c r="BQ15" i="20"/>
  <c r="J22" i="12"/>
  <c r="J31" i="12"/>
  <c r="AO31" i="12"/>
  <c r="J33" i="12"/>
  <c r="AS37" i="12"/>
  <c r="J53" i="12"/>
  <c r="AQ56" i="12"/>
  <c r="AQ107" i="12"/>
  <c r="AQ134" i="12"/>
  <c r="D37" i="20"/>
  <c r="C37" i="20"/>
  <c r="D38" i="20"/>
  <c r="C38" i="20"/>
  <c r="D39" i="20"/>
  <c r="C39" i="20"/>
  <c r="D40" i="20"/>
  <c r="C40" i="20"/>
  <c r="D41" i="20"/>
  <c r="C41" i="20"/>
  <c r="C42" i="20"/>
  <c r="D42" i="20"/>
  <c r="D43" i="20"/>
  <c r="C43" i="20"/>
  <c r="AS45" i="12"/>
  <c r="J48" i="12"/>
  <c r="AS48" i="12"/>
  <c r="J52" i="12"/>
  <c r="AS56" i="12"/>
  <c r="AS110" i="12"/>
  <c r="AS68" i="12"/>
  <c r="AQ70" i="12"/>
  <c r="H85" i="12"/>
  <c r="AQ86" i="12"/>
  <c r="AQ196" i="12"/>
  <c r="BQ20" i="20"/>
  <c r="J87" i="12"/>
  <c r="J92" i="12"/>
  <c r="AS92" i="12"/>
  <c r="AQ92" i="12"/>
  <c r="AS103" i="12"/>
  <c r="AQ103" i="12"/>
  <c r="AO105" i="12"/>
  <c r="J108" i="12"/>
  <c r="AO153" i="12"/>
  <c r="J153" i="12"/>
  <c r="H153" i="12"/>
  <c r="AS153" i="12"/>
  <c r="AQ153" i="12"/>
  <c r="BQ23" i="20"/>
  <c r="J148" i="12"/>
  <c r="AQ148" i="12"/>
  <c r="J85" i="12"/>
  <c r="AQ97" i="12"/>
  <c r="AO97" i="12"/>
  <c r="AS120" i="12"/>
  <c r="AQ120" i="12"/>
  <c r="AS121" i="12"/>
  <c r="AQ121" i="12"/>
  <c r="J121" i="12"/>
  <c r="H121" i="12"/>
  <c r="AS132" i="12"/>
  <c r="J132" i="12"/>
  <c r="BQ19" i="20"/>
  <c r="J70" i="12"/>
  <c r="J86" i="12"/>
  <c r="AQ91" i="12"/>
  <c r="J91" i="12"/>
  <c r="J114" i="12"/>
  <c r="J115" i="12"/>
  <c r="AS115" i="12"/>
  <c r="AQ115" i="12"/>
  <c r="AO115" i="12"/>
  <c r="AS116" i="12"/>
  <c r="AQ116" i="12"/>
  <c r="AS119" i="12"/>
  <c r="J125" i="12"/>
  <c r="AQ155" i="12"/>
  <c r="AO155" i="12"/>
  <c r="J155" i="12"/>
  <c r="H155" i="12"/>
  <c r="AS155" i="12"/>
  <c r="J68" i="12"/>
  <c r="J80" i="12"/>
  <c r="AQ87" i="12"/>
  <c r="H91" i="12"/>
  <c r="AO91" i="12"/>
  <c r="J120" i="12"/>
  <c r="AS182" i="12"/>
  <c r="J81" i="12"/>
  <c r="AQ85" i="12"/>
  <c r="AQ88" i="12"/>
  <c r="J97" i="12"/>
  <c r="AS109" i="12"/>
  <c r="H109" i="12"/>
  <c r="AS170" i="12"/>
  <c r="BQ21" i="20"/>
  <c r="AQ102" i="12"/>
  <c r="J102" i="12"/>
  <c r="AS104" i="12"/>
  <c r="J104" i="12"/>
  <c r="BP18" i="20"/>
  <c r="AQ80" i="12"/>
  <c r="AS85" i="12"/>
  <c r="AS91" i="12"/>
  <c r="AO73" i="12"/>
  <c r="AO81" i="12"/>
  <c r="AQ125" i="12"/>
  <c r="AQ184" i="12"/>
  <c r="J184" i="12"/>
  <c r="AQ130" i="12"/>
  <c r="H161" i="12"/>
  <c r="AQ119" i="12"/>
  <c r="H129" i="12"/>
  <c r="AO129" i="12"/>
  <c r="J131" i="12"/>
  <c r="AQ131" i="12"/>
  <c r="J151" i="12"/>
  <c r="AS164" i="12"/>
  <c r="AQ164" i="12"/>
  <c r="J164" i="12"/>
  <c r="H117" i="12"/>
  <c r="H131" i="12"/>
  <c r="AQ141" i="12"/>
  <c r="J141" i="12"/>
  <c r="BP21" i="20"/>
  <c r="H107" i="12"/>
  <c r="AQ108" i="12"/>
  <c r="J123" i="12"/>
  <c r="J147" i="12"/>
  <c r="AQ147" i="12"/>
  <c r="AS154" i="12"/>
  <c r="H105" i="12"/>
  <c r="J107" i="12"/>
  <c r="AS108" i="12"/>
  <c r="AQ118" i="12"/>
  <c r="J128" i="12"/>
  <c r="AQ129" i="12"/>
  <c r="H141" i="12"/>
  <c r="AQ162" i="12"/>
  <c r="J165" i="12"/>
  <c r="AS165" i="12"/>
  <c r="AQ165" i="12"/>
  <c r="AQ166" i="12"/>
  <c r="AS178" i="12"/>
  <c r="AQ138" i="12"/>
  <c r="AS140" i="12"/>
  <c r="AQ140" i="12"/>
  <c r="AS141" i="12"/>
  <c r="AQ146" i="12"/>
  <c r="J167" i="12"/>
  <c r="AS188" i="12"/>
  <c r="AQ188" i="12"/>
  <c r="J188" i="12"/>
  <c r="AS130" i="12"/>
  <c r="AS143" i="12"/>
  <c r="AO143" i="12"/>
  <c r="AS152" i="12"/>
  <c r="AQ152" i="12"/>
  <c r="AQ171" i="12"/>
  <c r="J171" i="12"/>
  <c r="H177" i="12"/>
  <c r="AQ202" i="12"/>
  <c r="J202" i="12"/>
  <c r="AS202" i="12"/>
  <c r="J119" i="12"/>
  <c r="AS128" i="12"/>
  <c r="J135" i="12"/>
  <c r="H143" i="12"/>
  <c r="AQ143" i="12"/>
  <c r="AS157" i="12"/>
  <c r="AQ157" i="12"/>
  <c r="J157" i="12"/>
  <c r="H157" i="12"/>
  <c r="BP23" i="20"/>
  <c r="H119" i="12"/>
  <c r="AQ137" i="12"/>
  <c r="J143" i="12"/>
  <c r="AQ183" i="12"/>
  <c r="AS117" i="12"/>
  <c r="H133" i="12"/>
  <c r="AS133" i="12"/>
  <c r="AQ136" i="12"/>
  <c r="J203" i="12"/>
  <c r="H201" i="12"/>
  <c r="BQ27" i="20"/>
  <c r="AQ186" i="12"/>
  <c r="J187" i="12"/>
  <c r="J200" i="12"/>
  <c r="AQ200" i="12"/>
  <c r="BP25" i="20"/>
  <c r="J221" i="12"/>
  <c r="AQ154" i="12"/>
  <c r="H169" i="12"/>
  <c r="H179" i="12"/>
  <c r="BQ28" i="20"/>
  <c r="AS177" i="12"/>
  <c r="AQ187" i="12"/>
  <c r="AQ195" i="12"/>
  <c r="BP26" i="20"/>
  <c r="AQ168" i="12"/>
  <c r="J169" i="12"/>
  <c r="J179" i="12"/>
  <c r="J186" i="12"/>
  <c r="AQ237" i="12"/>
  <c r="J207" i="12"/>
  <c r="AQ219" i="12"/>
  <c r="J232" i="12"/>
  <c r="J235" i="12"/>
  <c r="H235" i="12"/>
  <c r="AS235" i="12"/>
  <c r="AQ235" i="12"/>
  <c r="AO235" i="12"/>
  <c r="AS168" i="12"/>
  <c r="AQ181" i="12"/>
  <c r="J198" i="12"/>
  <c r="AS213" i="12"/>
  <c r="BQ25" i="20"/>
  <c r="AQ242" i="12"/>
  <c r="AS242" i="12"/>
  <c r="J242" i="12"/>
  <c r="BP27" i="20"/>
  <c r="AQ179" i="12"/>
  <c r="J189" i="12"/>
  <c r="H189" i="12"/>
  <c r="AO189" i="12"/>
  <c r="AO191" i="12"/>
  <c r="J219" i="12"/>
  <c r="AO169" i="12"/>
  <c r="J182" i="12"/>
  <c r="AS179" i="12"/>
  <c r="AQ189" i="12"/>
  <c r="J191" i="12"/>
  <c r="AS191" i="12"/>
  <c r="AQ191" i="12"/>
  <c r="AS204" i="12"/>
  <c r="AS211" i="12"/>
  <c r="BP30" i="20"/>
  <c r="AQ226" i="12"/>
  <c r="AQ216" i="12"/>
  <c r="AS228" i="12"/>
  <c r="J228" i="12"/>
  <c r="AQ250" i="12"/>
  <c r="AS250" i="12"/>
  <c r="AQ228" i="12"/>
  <c r="J233" i="12"/>
  <c r="AQ241" i="12"/>
  <c r="J241" i="12"/>
  <c r="AO203" i="12"/>
  <c r="AO237" i="12"/>
  <c r="AQ230" i="12"/>
  <c r="AS236" i="12"/>
  <c r="J250" i="12"/>
  <c r="J204" i="12"/>
  <c r="AS225" i="12"/>
  <c r="AQ225" i="12"/>
  <c r="J195" i="12"/>
  <c r="J211" i="12"/>
  <c r="J214" i="12"/>
  <c r="J215" i="12"/>
  <c r="J220" i="12"/>
  <c r="BQ30" i="20"/>
  <c r="AQ201" i="12"/>
  <c r="AS203" i="12"/>
  <c r="BQ31" i="20"/>
  <c r="AS216" i="12"/>
  <c r="AS237" i="12"/>
  <c r="J237" i="12"/>
  <c r="AS192" i="12"/>
  <c r="AO211" i="12"/>
  <c r="AQ220" i="12"/>
  <c r="AS199" i="12"/>
  <c r="J212" i="12"/>
  <c r="H229" i="12"/>
  <c r="H237" i="12"/>
  <c r="AS241" i="12"/>
  <c r="AQ297" i="12"/>
  <c r="AO297" i="12"/>
  <c r="AS297" i="12"/>
  <c r="J297" i="12"/>
  <c r="H297" i="12"/>
  <c r="BP29" i="20"/>
  <c r="H203" i="12"/>
  <c r="AQ204" i="12"/>
  <c r="AQ211" i="12"/>
  <c r="AS214" i="12"/>
  <c r="J278" i="12"/>
  <c r="AO215" i="12"/>
  <c r="J216" i="12"/>
  <c r="AQ224" i="12"/>
  <c r="J231" i="12"/>
  <c r="AQ259" i="12"/>
  <c r="J259" i="12"/>
  <c r="AS259" i="12"/>
  <c r="AO259" i="12"/>
  <c r="BQ34" i="20"/>
  <c r="AS253" i="12"/>
  <c r="AQ291" i="12"/>
  <c r="J294" i="12"/>
  <c r="AQ282" i="12"/>
  <c r="J267" i="12"/>
  <c r="J290" i="12"/>
  <c r="H249" i="12"/>
  <c r="AO249" i="12"/>
  <c r="AS252" i="12"/>
  <c r="H253" i="12"/>
  <c r="AQ227" i="12"/>
  <c r="AS229" i="12"/>
  <c r="I239" i="12"/>
  <c r="J240" i="12"/>
  <c r="AQ243" i="12"/>
  <c r="J243" i="12"/>
  <c r="J251" i="12"/>
  <c r="AQ251" i="12"/>
  <c r="J260" i="12"/>
  <c r="AQ260" i="12"/>
  <c r="J262" i="12"/>
  <c r="AS272" i="12"/>
  <c r="AQ272" i="12"/>
  <c r="J244" i="12"/>
  <c r="J253" i="12"/>
  <c r="AO253" i="12"/>
  <c r="J274" i="12"/>
  <c r="AQ309" i="12"/>
  <c r="BQ32" i="20"/>
  <c r="J226" i="12"/>
  <c r="AS227" i="12"/>
  <c r="AP239" i="12"/>
  <c r="J249" i="12"/>
  <c r="AQ273" i="12"/>
  <c r="J273" i="12"/>
  <c r="J283" i="12"/>
  <c r="AS284" i="12"/>
  <c r="AQ284" i="12"/>
  <c r="J285" i="12"/>
  <c r="AS285" i="12"/>
  <c r="AQ285" i="12"/>
  <c r="J268" i="12"/>
  <c r="AQ268" i="12"/>
  <c r="AS275" i="12"/>
  <c r="AQ275" i="12"/>
  <c r="AO275" i="12"/>
  <c r="J275" i="12"/>
  <c r="H275" i="12"/>
  <c r="AS277" i="12"/>
  <c r="AQ289" i="12"/>
  <c r="AS239" i="12"/>
  <c r="AQ248" i="12"/>
  <c r="AS249" i="12"/>
  <c r="BP33" i="20"/>
  <c r="J245" i="12"/>
  <c r="AS248" i="12"/>
  <c r="AS251" i="12"/>
  <c r="AQ266" i="12"/>
  <c r="BQ33" i="20"/>
  <c r="AS261" i="12"/>
  <c r="AQ261" i="12"/>
  <c r="AO261" i="12"/>
  <c r="J261" i="12"/>
  <c r="J312" i="12"/>
  <c r="AQ312" i="12"/>
  <c r="AS312" i="12"/>
  <c r="AQ244" i="12"/>
  <c r="AP261" i="12"/>
  <c r="BQ37" i="20"/>
  <c r="AS326" i="12"/>
  <c r="BP35" i="20"/>
  <c r="AS308" i="12"/>
  <c r="J316" i="12"/>
  <c r="AQ328" i="12"/>
  <c r="AQ267" i="12"/>
  <c r="AQ283" i="12"/>
  <c r="J332" i="12"/>
  <c r="AQ332" i="12"/>
  <c r="AQ274" i="12"/>
  <c r="AS276" i="12"/>
  <c r="AQ290" i="12"/>
  <c r="AQ302" i="12"/>
  <c r="J303" i="12"/>
  <c r="J319" i="12"/>
  <c r="J324" i="12"/>
  <c r="AS324" i="12"/>
  <c r="AS313" i="12"/>
  <c r="AQ313" i="12"/>
  <c r="BP36" i="20"/>
  <c r="AS274" i="12"/>
  <c r="AQ288" i="12"/>
  <c r="J289" i="12"/>
  <c r="AS290" i="12"/>
  <c r="J296" i="12"/>
  <c r="H301" i="12"/>
  <c r="J353" i="12"/>
  <c r="AS299" i="12"/>
  <c r="J300" i="12"/>
  <c r="J304" i="12"/>
  <c r="J314" i="12"/>
  <c r="AS314" i="12"/>
  <c r="AQ314" i="12"/>
  <c r="AS322" i="12"/>
  <c r="AO331" i="12"/>
  <c r="AS309" i="12"/>
  <c r="AQ311" i="12"/>
  <c r="AS311" i="12"/>
  <c r="AS320" i="12"/>
  <c r="BQ35" i="20"/>
  <c r="AS263" i="12"/>
  <c r="AQ277" i="12"/>
  <c r="AS295" i="12"/>
  <c r="J302" i="12"/>
  <c r="BP37" i="20"/>
  <c r="J311" i="12"/>
  <c r="J276" i="12"/>
  <c r="J299" i="12"/>
  <c r="AS302" i="12"/>
  <c r="AQ296" i="12"/>
  <c r="AQ300" i="12"/>
  <c r="J342" i="12"/>
  <c r="AQ298" i="12"/>
  <c r="AQ318" i="12"/>
  <c r="AS296" i="12"/>
  <c r="AS300" i="12"/>
  <c r="AS323" i="12"/>
  <c r="AS348" i="12"/>
  <c r="AQ348" i="12"/>
  <c r="I16" i="13"/>
  <c r="H35" i="13"/>
  <c r="M35" i="13" s="1"/>
  <c r="H21" i="13"/>
  <c r="M21" i="13" s="1"/>
  <c r="H45" i="13"/>
  <c r="M45" i="13" s="1"/>
  <c r="J348" i="12"/>
  <c r="H60" i="13"/>
  <c r="M60" i="13" s="1"/>
  <c r="J320" i="12"/>
  <c r="J326" i="12"/>
  <c r="AQ341" i="12"/>
  <c r="J347" i="12"/>
  <c r="AS347" i="12"/>
  <c r="AO347" i="12"/>
  <c r="H26" i="13"/>
  <c r="M26" i="13" s="1"/>
  <c r="BP41" i="20"/>
  <c r="J341" i="12"/>
  <c r="H347" i="12"/>
  <c r="H51" i="13"/>
  <c r="M51" i="13" s="1"/>
  <c r="J318" i="12"/>
  <c r="AQ321" i="12"/>
  <c r="H66" i="13"/>
  <c r="M66" i="13" s="1"/>
  <c r="J352" i="12"/>
  <c r="AQ352" i="12"/>
  <c r="H37" i="13"/>
  <c r="M37" i="13" s="1"/>
  <c r="AS301" i="12"/>
  <c r="AQ315" i="12"/>
  <c r="J327" i="12"/>
  <c r="H361" i="12"/>
  <c r="AS361" i="12"/>
  <c r="AQ361" i="12"/>
  <c r="J361" i="12"/>
  <c r="AO361" i="12"/>
  <c r="H42" i="13"/>
  <c r="M42" i="13" s="1"/>
  <c r="BQ38" i="20"/>
  <c r="AO333" i="12"/>
  <c r="J340" i="12"/>
  <c r="H343" i="12"/>
  <c r="AQ343" i="12"/>
  <c r="AO343" i="12"/>
  <c r="H28" i="13"/>
  <c r="M28" i="13" s="1"/>
  <c r="AQ320" i="12"/>
  <c r="J321" i="12"/>
  <c r="AQ323" i="12"/>
  <c r="H331" i="12"/>
  <c r="J338" i="12"/>
  <c r="J322" i="12"/>
  <c r="J336" i="12"/>
  <c r="H48" i="13"/>
  <c r="M48" i="13" s="1"/>
  <c r="H63" i="13"/>
  <c r="M63" i="13" s="1"/>
  <c r="AQ335" i="12"/>
  <c r="AO335" i="12"/>
  <c r="H335" i="12"/>
  <c r="AO349" i="12"/>
  <c r="AS349" i="12"/>
  <c r="AQ349" i="12"/>
  <c r="J349" i="12"/>
  <c r="H39" i="13"/>
  <c r="M39" i="13" s="1"/>
  <c r="H31" i="13"/>
  <c r="M31" i="13" s="1"/>
  <c r="H34" i="13"/>
  <c r="M34" i="13" s="1"/>
  <c r="AQ346" i="12"/>
  <c r="H17" i="13"/>
  <c r="M17" i="13" s="1"/>
  <c r="AQ351" i="12"/>
  <c r="H72" i="13"/>
  <c r="M72" i="13" s="1"/>
  <c r="H15" i="13"/>
  <c r="H18" i="13"/>
  <c r="M18" i="13" s="1"/>
  <c r="H29" i="13"/>
  <c r="M29" i="13" s="1"/>
  <c r="H40" i="13"/>
  <c r="M40" i="13" s="1"/>
  <c r="H46" i="13"/>
  <c r="M46" i="13" s="1"/>
  <c r="AQ356" i="12"/>
  <c r="H49" i="13"/>
  <c r="M49" i="13" s="1"/>
  <c r="H55" i="13"/>
  <c r="M55" i="13" s="1"/>
  <c r="H61" i="13"/>
  <c r="M61" i="13" s="1"/>
  <c r="J351" i="12"/>
  <c r="H24" i="13"/>
  <c r="M24" i="13" s="1"/>
  <c r="H58" i="13"/>
  <c r="M58" i="13" s="1"/>
  <c r="H64" i="13"/>
  <c r="M64" i="13" s="1"/>
  <c r="H67" i="13"/>
  <c r="M67" i="13" s="1"/>
  <c r="BP42" i="20"/>
  <c r="AS345" i="12"/>
  <c r="J356" i="12"/>
  <c r="AS356" i="12"/>
  <c r="H47" i="13"/>
  <c r="M47" i="13" s="1"/>
  <c r="H50" i="13"/>
  <c r="M50" i="13" s="1"/>
  <c r="H19" i="13"/>
  <c r="M19" i="13" s="1"/>
  <c r="H44" i="13"/>
  <c r="M44" i="13" s="1"/>
  <c r="BQ42" i="20"/>
  <c r="J359" i="12"/>
  <c r="AO359" i="12"/>
  <c r="H56" i="13"/>
  <c r="M56" i="13" s="1"/>
  <c r="H62" i="13"/>
  <c r="M62" i="13" s="1"/>
  <c r="AS337" i="12"/>
  <c r="AQ358" i="12"/>
  <c r="AS358" i="12"/>
  <c r="AQ359" i="12"/>
  <c r="H71" i="13"/>
  <c r="M71" i="13" s="1"/>
  <c r="BP43" i="20"/>
  <c r="J357" i="12"/>
  <c r="I4" i="16"/>
  <c r="AQ362" i="12"/>
  <c r="T22" i="16"/>
  <c r="Q19" i="16"/>
  <c r="R19" i="16" s="1"/>
  <c r="P19" i="16"/>
  <c r="T28" i="16"/>
  <c r="S28" i="16"/>
  <c r="M36" i="16"/>
  <c r="Q36" i="16" s="1"/>
  <c r="T44" i="16"/>
  <c r="S44" i="16"/>
  <c r="S49" i="16"/>
  <c r="O19" i="16"/>
  <c r="ED42" i="6" s="1"/>
  <c r="R28" i="16"/>
  <c r="T92" i="16"/>
  <c r="S92" i="16"/>
  <c r="H4" i="15"/>
  <c r="G4" i="15" s="1"/>
  <c r="R23" i="16"/>
  <c r="M23" i="16"/>
  <c r="Q23" i="16" s="1"/>
  <c r="O20" i="16"/>
  <c r="Q20" i="16"/>
  <c r="P20" i="16"/>
  <c r="Q37" i="16"/>
  <c r="M71" i="16"/>
  <c r="Q71" i="16" s="1"/>
  <c r="M40" i="16"/>
  <c r="Q40" i="16"/>
  <c r="M21" i="16"/>
  <c r="Q21" i="16" s="1"/>
  <c r="T48" i="16"/>
  <c r="S48" i="16"/>
  <c r="N4" i="16"/>
  <c r="Q78" i="16"/>
  <c r="P78" i="16"/>
  <c r="O78" i="16"/>
  <c r="M115" i="16"/>
  <c r="Q115" i="16" s="1"/>
  <c r="Q135" i="16"/>
  <c r="R144" i="16"/>
  <c r="Q147" i="16"/>
  <c r="P147" i="16"/>
  <c r="O147" i="16"/>
  <c r="S30" i="16"/>
  <c r="R42" i="16"/>
  <c r="T42" i="16" s="1"/>
  <c r="R46" i="16"/>
  <c r="T46" i="16" s="1"/>
  <c r="T52" i="16"/>
  <c r="S54" i="16"/>
  <c r="M59" i="16"/>
  <c r="Q59" i="16" s="1"/>
  <c r="S64" i="16"/>
  <c r="Q87" i="16"/>
  <c r="R87" i="16" s="1"/>
  <c r="M87" i="16"/>
  <c r="T106" i="16"/>
  <c r="R106" i="16"/>
  <c r="S106" i="16" s="1"/>
  <c r="R127" i="16"/>
  <c r="Q138" i="16"/>
  <c r="Q161" i="16"/>
  <c r="P23" i="16"/>
  <c r="EE46" i="6" s="1"/>
  <c r="R25" i="16"/>
  <c r="S34" i="16"/>
  <c r="R57" i="16"/>
  <c r="T57" i="16" s="1"/>
  <c r="T66" i="16"/>
  <c r="S66" i="16"/>
  <c r="Q69" i="16"/>
  <c r="R69" i="16" s="1"/>
  <c r="R75" i="16"/>
  <c r="M75" i="16"/>
  <c r="Q75" i="16" s="1"/>
  <c r="R85" i="16"/>
  <c r="T85" i="16" s="1"/>
  <c r="Q112" i="16"/>
  <c r="R112" i="16" s="1"/>
  <c r="P112" i="16"/>
  <c r="O112" i="16"/>
  <c r="O23" i="16"/>
  <c r="M25" i="16"/>
  <c r="T34" i="16"/>
  <c r="S38" i="16"/>
  <c r="T50" i="16"/>
  <c r="S50" i="16"/>
  <c r="R82" i="16"/>
  <c r="Q82" i="16"/>
  <c r="P82" i="16"/>
  <c r="O82" i="16"/>
  <c r="Q198" i="16"/>
  <c r="P198" i="16"/>
  <c r="O198" i="16"/>
  <c r="Q25" i="16"/>
  <c r="Q27" i="16"/>
  <c r="P27" i="16"/>
  <c r="R53" i="16"/>
  <c r="T53" i="16" s="1"/>
  <c r="R93" i="16"/>
  <c r="T93" i="16" s="1"/>
  <c r="O27" i="16"/>
  <c r="M29" i="16"/>
  <c r="Q29" i="16" s="1"/>
  <c r="R33" i="16"/>
  <c r="M55" i="16"/>
  <c r="Q55" i="16" s="1"/>
  <c r="R62" i="16"/>
  <c r="Q67" i="16"/>
  <c r="M67" i="16"/>
  <c r="M79" i="16"/>
  <c r="Q79" i="16" s="1"/>
  <c r="T104" i="16"/>
  <c r="Q119" i="16"/>
  <c r="P119" i="16"/>
  <c r="P148" i="16"/>
  <c r="R148" i="16"/>
  <c r="Q148" i="16"/>
  <c r="O148" i="16"/>
  <c r="R18" i="16"/>
  <c r="R37" i="16"/>
  <c r="R49" i="16"/>
  <c r="S53" i="16"/>
  <c r="R65" i="16"/>
  <c r="S93" i="16"/>
  <c r="R107" i="16"/>
  <c r="R139" i="16"/>
  <c r="Q139" i="16"/>
  <c r="P139" i="16"/>
  <c r="O139" i="16"/>
  <c r="T151" i="16"/>
  <c r="Q16" i="16"/>
  <c r="O18" i="16"/>
  <c r="ED41" i="6" s="1"/>
  <c r="R31" i="16"/>
  <c r="Q33" i="16"/>
  <c r="M37" i="16"/>
  <c r="T60" i="16"/>
  <c r="S60" i="16"/>
  <c r="S76" i="16"/>
  <c r="T76" i="16" s="1"/>
  <c r="T90" i="16"/>
  <c r="T136" i="16"/>
  <c r="R154" i="16"/>
  <c r="S162" i="16"/>
  <c r="T162" i="16"/>
  <c r="T62" i="16"/>
  <c r="S62" i="16"/>
  <c r="S65" i="16"/>
  <c r="R73" i="16"/>
  <c r="Q73" i="16"/>
  <c r="P73" i="16"/>
  <c r="O73" i="16"/>
  <c r="M83" i="16"/>
  <c r="Q83" i="16" s="1"/>
  <c r="M105" i="16"/>
  <c r="R110" i="16"/>
  <c r="S110" i="16" s="1"/>
  <c r="T116" i="16"/>
  <c r="S116" i="16"/>
  <c r="R116" i="16"/>
  <c r="R122" i="16"/>
  <c r="P157" i="16"/>
  <c r="R157" i="16"/>
  <c r="Q157" i="16"/>
  <c r="O157" i="16"/>
  <c r="Q18" i="16"/>
  <c r="R22" i="16"/>
  <c r="R39" i="16"/>
  <c r="Q41" i="16"/>
  <c r="R41" i="16" s="1"/>
  <c r="Q45" i="16"/>
  <c r="S96" i="16"/>
  <c r="R99" i="16"/>
  <c r="T99" i="16" s="1"/>
  <c r="Q102" i="16"/>
  <c r="P102" i="16"/>
  <c r="O102" i="16"/>
  <c r="O22" i="16"/>
  <c r="T49" i="16"/>
  <c r="T65" i="16"/>
  <c r="T80" i="16"/>
  <c r="S80" i="16"/>
  <c r="R80" i="16"/>
  <c r="M91" i="16"/>
  <c r="Q91" i="16" s="1"/>
  <c r="Q120" i="16"/>
  <c r="P120" i="16"/>
  <c r="O120" i="16"/>
  <c r="R162" i="16"/>
  <c r="P188" i="16"/>
  <c r="Q188" i="16"/>
  <c r="O188" i="16"/>
  <c r="R26" i="16"/>
  <c r="Q63" i="16"/>
  <c r="M63" i="16"/>
  <c r="S68" i="16"/>
  <c r="Q77" i="16"/>
  <c r="P77" i="16"/>
  <c r="O77" i="16"/>
  <c r="R96" i="16"/>
  <c r="T96" i="16" s="1"/>
  <c r="T108" i="16"/>
  <c r="S108" i="16"/>
  <c r="R108" i="16"/>
  <c r="S126" i="16"/>
  <c r="R126" i="16"/>
  <c r="T126" i="16" s="1"/>
  <c r="T131" i="16"/>
  <c r="R134" i="16"/>
  <c r="Q149" i="16"/>
  <c r="P149" i="16"/>
  <c r="O149" i="16"/>
  <c r="Q15" i="16"/>
  <c r="P15" i="16"/>
  <c r="R61" i="16"/>
  <c r="Q129" i="16"/>
  <c r="P129" i="16"/>
  <c r="O129" i="16"/>
  <c r="R143" i="16"/>
  <c r="S143" i="16" s="1"/>
  <c r="T152" i="16"/>
  <c r="S152" i="16"/>
  <c r="R152" i="16"/>
  <c r="O15" i="16"/>
  <c r="Q24" i="16"/>
  <c r="P26" i="16"/>
  <c r="R74" i="16"/>
  <c r="Q74" i="16"/>
  <c r="P74" i="16"/>
  <c r="O74" i="16"/>
  <c r="T84" i="16"/>
  <c r="S84" i="16"/>
  <c r="R84" i="16"/>
  <c r="S89" i="16"/>
  <c r="R89" i="16"/>
  <c r="T89" i="16" s="1"/>
  <c r="Q111" i="16"/>
  <c r="R15" i="16"/>
  <c r="Q17" i="16"/>
  <c r="R24" i="16"/>
  <c r="Q26" i="16"/>
  <c r="R30" i="16"/>
  <c r="T30" i="16" s="1"/>
  <c r="M32" i="16"/>
  <c r="Q32" i="16" s="1"/>
  <c r="R32" i="16" s="1"/>
  <c r="R54" i="16"/>
  <c r="T54" i="16" s="1"/>
  <c r="T58" i="16"/>
  <c r="S58" i="16"/>
  <c r="Q61" i="16"/>
  <c r="Q81" i="16"/>
  <c r="P81" i="16"/>
  <c r="O81" i="16"/>
  <c r="T86" i="16"/>
  <c r="R123" i="16"/>
  <c r="T123" i="16" s="1"/>
  <c r="M181" i="16"/>
  <c r="Q181" i="16" s="1"/>
  <c r="M186" i="16"/>
  <c r="Q186" i="16" s="1"/>
  <c r="R44" i="16"/>
  <c r="R48" i="16"/>
  <c r="R52" i="16"/>
  <c r="S52" i="16" s="1"/>
  <c r="R56" i="16"/>
  <c r="S56" i="16" s="1"/>
  <c r="R60" i="16"/>
  <c r="R64" i="16"/>
  <c r="T64" i="16" s="1"/>
  <c r="R68" i="16"/>
  <c r="T68" i="16" s="1"/>
  <c r="R72" i="16"/>
  <c r="R76" i="16"/>
  <c r="R88" i="16"/>
  <c r="S88" i="16" s="1"/>
  <c r="R92" i="16"/>
  <c r="O95" i="16"/>
  <c r="M98" i="16"/>
  <c r="Q98" i="16" s="1"/>
  <c r="Q105" i="16"/>
  <c r="O122" i="16"/>
  <c r="O132" i="16"/>
  <c r="M135" i="16"/>
  <c r="R136" i="16"/>
  <c r="P95" i="16"/>
  <c r="P122" i="16"/>
  <c r="Q125" i="16"/>
  <c r="P132" i="16"/>
  <c r="S136" i="16"/>
  <c r="O142" i="16"/>
  <c r="R146" i="16"/>
  <c r="T146" i="16" s="1"/>
  <c r="O154" i="16"/>
  <c r="P165" i="16"/>
  <c r="R171" i="16"/>
  <c r="S171" i="16" s="1"/>
  <c r="P31" i="16"/>
  <c r="EE40" i="6" s="1"/>
  <c r="P35" i="16"/>
  <c r="P39" i="16"/>
  <c r="P43" i="16"/>
  <c r="P47" i="16"/>
  <c r="P51" i="16"/>
  <c r="P55" i="16"/>
  <c r="P59" i="16"/>
  <c r="P63" i="16"/>
  <c r="P83" i="16"/>
  <c r="P87" i="16"/>
  <c r="P91" i="16"/>
  <c r="Q95" i="16"/>
  <c r="R95" i="16" s="1"/>
  <c r="O98" i="16"/>
  <c r="P105" i="16"/>
  <c r="O108" i="16"/>
  <c r="P115" i="16"/>
  <c r="Q122" i="16"/>
  <c r="O125" i="16"/>
  <c r="Q132" i="16"/>
  <c r="O135" i="16"/>
  <c r="P142" i="16"/>
  <c r="Q145" i="16"/>
  <c r="S146" i="16"/>
  <c r="P154" i="16"/>
  <c r="M161" i="16"/>
  <c r="O165" i="16"/>
  <c r="T169" i="16"/>
  <c r="R169" i="16"/>
  <c r="S169" i="16" s="1"/>
  <c r="Q31" i="16"/>
  <c r="Q35" i="16"/>
  <c r="Q39" i="16"/>
  <c r="Q43" i="16"/>
  <c r="Q47" i="16"/>
  <c r="Q51" i="16"/>
  <c r="Q101" i="16"/>
  <c r="Q142" i="16"/>
  <c r="Q154" i="16"/>
  <c r="Q165" i="16"/>
  <c r="T174" i="16"/>
  <c r="S174" i="16"/>
  <c r="R176" i="16"/>
  <c r="S176" i="16" s="1"/>
  <c r="O101" i="16"/>
  <c r="O111" i="16"/>
  <c r="P118" i="16"/>
  <c r="Q121" i="16"/>
  <c r="O138" i="16"/>
  <c r="P145" i="16"/>
  <c r="P151" i="16"/>
  <c r="R163" i="16"/>
  <c r="Q163" i="16"/>
  <c r="P163" i="16"/>
  <c r="T167" i="16"/>
  <c r="S167" i="16"/>
  <c r="R174" i="16"/>
  <c r="T176" i="16"/>
  <c r="S194" i="16"/>
  <c r="P256" i="16"/>
  <c r="R256" i="16"/>
  <c r="Q256" i="16"/>
  <c r="O256" i="16"/>
  <c r="Q141" i="16"/>
  <c r="Q213" i="16"/>
  <c r="R213" i="16" s="1"/>
  <c r="M213" i="16"/>
  <c r="S218" i="16"/>
  <c r="P244" i="16"/>
  <c r="Q244" i="16"/>
  <c r="O244" i="16"/>
  <c r="Q253" i="16"/>
  <c r="M253" i="16"/>
  <c r="R263" i="16"/>
  <c r="Q263" i="16"/>
  <c r="P263" i="16"/>
  <c r="O263" i="16"/>
  <c r="Q277" i="16"/>
  <c r="P277" i="16"/>
  <c r="O277" i="16"/>
  <c r="Q97" i="16"/>
  <c r="R101" i="16"/>
  <c r="P104" i="16"/>
  <c r="O114" i="16"/>
  <c r="O124" i="16"/>
  <c r="R128" i="16"/>
  <c r="S128" i="16" s="1"/>
  <c r="O141" i="16"/>
  <c r="M153" i="16"/>
  <c r="P156" i="16"/>
  <c r="R156" i="16"/>
  <c r="Q156" i="16"/>
  <c r="S159" i="16"/>
  <c r="S179" i="16"/>
  <c r="T228" i="16"/>
  <c r="S228" i="16"/>
  <c r="Q117" i="16"/>
  <c r="R117" i="16" s="1"/>
  <c r="Q150" i="16"/>
  <c r="P172" i="16"/>
  <c r="R172" i="16"/>
  <c r="O172" i="16"/>
  <c r="P97" i="16"/>
  <c r="O100" i="16"/>
  <c r="M103" i="16"/>
  <c r="Q103" i="16" s="1"/>
  <c r="P107" i="16"/>
  <c r="Q114" i="16"/>
  <c r="R114" i="16" s="1"/>
  <c r="O117" i="16"/>
  <c r="Q124" i="16"/>
  <c r="O127" i="16"/>
  <c r="M130" i="16"/>
  <c r="Q130" i="16" s="1"/>
  <c r="P134" i="16"/>
  <c r="Q137" i="16"/>
  <c r="R141" i="16"/>
  <c r="P144" i="16"/>
  <c r="O150" i="16"/>
  <c r="M166" i="16"/>
  <c r="Q166" i="16" s="1"/>
  <c r="P168" i="16"/>
  <c r="O168" i="16"/>
  <c r="Q170" i="16"/>
  <c r="P170" i="16"/>
  <c r="Q172" i="16"/>
  <c r="R182" i="16"/>
  <c r="T182" i="16" s="1"/>
  <c r="Q270" i="16"/>
  <c r="P270" i="16"/>
  <c r="O270" i="16"/>
  <c r="O303" i="16"/>
  <c r="Q303" i="16"/>
  <c r="P303" i="16"/>
  <c r="T309" i="16"/>
  <c r="S309" i="16"/>
  <c r="O17" i="16"/>
  <c r="O21" i="16"/>
  <c r="O25" i="16"/>
  <c r="O29" i="16"/>
  <c r="O33" i="16"/>
  <c r="O37" i="16"/>
  <c r="O41" i="16"/>
  <c r="O45" i="16"/>
  <c r="O49" i="16"/>
  <c r="O53" i="16"/>
  <c r="O57" i="16"/>
  <c r="O61" i="16"/>
  <c r="O65" i="16"/>
  <c r="O69" i="16"/>
  <c r="S70" i="16"/>
  <c r="O85" i="16"/>
  <c r="S86" i="16"/>
  <c r="O89" i="16"/>
  <c r="S90" i="16"/>
  <c r="O93" i="16"/>
  <c r="S94" i="16"/>
  <c r="R97" i="16"/>
  <c r="P100" i="16"/>
  <c r="S104" i="16"/>
  <c r="Q107" i="16"/>
  <c r="O110" i="16"/>
  <c r="P117" i="16"/>
  <c r="P127" i="16"/>
  <c r="S131" i="16"/>
  <c r="Q134" i="16"/>
  <c r="O137" i="16"/>
  <c r="Q144" i="16"/>
  <c r="P150" i="16"/>
  <c r="Q168" i="16"/>
  <c r="O170" i="16"/>
  <c r="R177" i="16"/>
  <c r="Q177" i="16"/>
  <c r="P177" i="16"/>
  <c r="O177" i="16"/>
  <c r="T187" i="16"/>
  <c r="Q190" i="16"/>
  <c r="P190" i="16"/>
  <c r="O190" i="16"/>
  <c r="Q100" i="16"/>
  <c r="P110" i="16"/>
  <c r="Q113" i="16"/>
  <c r="Q127" i="16"/>
  <c r="P137" i="16"/>
  <c r="Q153" i="16"/>
  <c r="P164" i="16"/>
  <c r="Q164" i="16"/>
  <c r="R164" i="16" s="1"/>
  <c r="O164" i="16"/>
  <c r="M180" i="16"/>
  <c r="Q180" i="16" s="1"/>
  <c r="T221" i="16"/>
  <c r="S221" i="16"/>
  <c r="O96" i="16"/>
  <c r="P103" i="16"/>
  <c r="O113" i="16"/>
  <c r="O123" i="16"/>
  <c r="Q133" i="16"/>
  <c r="R137" i="16"/>
  <c r="P140" i="16"/>
  <c r="Q158" i="16"/>
  <c r="R158" i="16" s="1"/>
  <c r="Q175" i="16"/>
  <c r="P175" i="16"/>
  <c r="O175" i="16"/>
  <c r="P185" i="16"/>
  <c r="R185" i="16"/>
  <c r="T185" i="16" s="1"/>
  <c r="O185" i="16"/>
  <c r="R195" i="16"/>
  <c r="Q195" i="16"/>
  <c r="P195" i="16"/>
  <c r="O195" i="16"/>
  <c r="Q214" i="16"/>
  <c r="S216" i="16"/>
  <c r="T216" i="16"/>
  <c r="Q140" i="16"/>
  <c r="R140" i="16" s="1"/>
  <c r="R193" i="16"/>
  <c r="T200" i="16"/>
  <c r="S200" i="16"/>
  <c r="R200" i="16"/>
  <c r="S219" i="16"/>
  <c r="R219" i="16"/>
  <c r="T219" i="16" s="1"/>
  <c r="Q109" i="16"/>
  <c r="R113" i="16"/>
  <c r="P133" i="16"/>
  <c r="Q155" i="16"/>
  <c r="Q160" i="16"/>
  <c r="Q178" i="16"/>
  <c r="P178" i="16"/>
  <c r="O178" i="16"/>
  <c r="T203" i="16"/>
  <c r="T211" i="16"/>
  <c r="T197" i="16"/>
  <c r="Q225" i="16"/>
  <c r="R225" i="16" s="1"/>
  <c r="P292" i="16"/>
  <c r="R292" i="16"/>
  <c r="Q292" i="16"/>
  <c r="O292" i="16"/>
  <c r="R191" i="16"/>
  <c r="R197" i="16"/>
  <c r="S197" i="16" s="1"/>
  <c r="R211" i="16"/>
  <c r="S211" i="16" s="1"/>
  <c r="P216" i="16"/>
  <c r="R216" i="16"/>
  <c r="R218" i="16"/>
  <c r="T218" i="16" s="1"/>
  <c r="O225" i="16"/>
  <c r="O236" i="16"/>
  <c r="R253" i="16"/>
  <c r="P253" i="16"/>
  <c r="O253" i="16"/>
  <c r="P225" i="16"/>
  <c r="Q236" i="16"/>
  <c r="Q238" i="16"/>
  <c r="P238" i="16"/>
  <c r="O238" i="16"/>
  <c r="Q251" i="16"/>
  <c r="P251" i="16"/>
  <c r="O251" i="16"/>
  <c r="R266" i="16"/>
  <c r="Q266" i="16"/>
  <c r="P266" i="16"/>
  <c r="O266" i="16"/>
  <c r="R274" i="16"/>
  <c r="Q274" i="16"/>
  <c r="O274" i="16"/>
  <c r="S379" i="16"/>
  <c r="T379" i="16"/>
  <c r="R379" i="16"/>
  <c r="P196" i="16"/>
  <c r="R196" i="16"/>
  <c r="O205" i="16"/>
  <c r="S208" i="16"/>
  <c r="R210" i="16"/>
  <c r="Q210" i="16"/>
  <c r="R236" i="16"/>
  <c r="R238" i="16"/>
  <c r="S240" i="16"/>
  <c r="R249" i="16"/>
  <c r="R251" i="16"/>
  <c r="R258" i="16"/>
  <c r="O261" i="16"/>
  <c r="P274" i="16"/>
  <c r="O278" i="16"/>
  <c r="P278" i="16"/>
  <c r="T290" i="16"/>
  <c r="Q418" i="16"/>
  <c r="P418" i="16"/>
  <c r="O418" i="16"/>
  <c r="R418" i="16"/>
  <c r="O193" i="16"/>
  <c r="O196" i="16"/>
  <c r="Q202" i="16"/>
  <c r="R202" i="16" s="1"/>
  <c r="Q205" i="16"/>
  <c r="Q245" i="16"/>
  <c r="P245" i="16"/>
  <c r="O245" i="16"/>
  <c r="P261" i="16"/>
  <c r="T281" i="16"/>
  <c r="S281" i="16"/>
  <c r="Q295" i="16"/>
  <c r="P295" i="16"/>
  <c r="O295" i="16"/>
  <c r="P310" i="16"/>
  <c r="Q310" i="16"/>
  <c r="O310" i="16"/>
  <c r="O322" i="16"/>
  <c r="Q322" i="16"/>
  <c r="R322" i="16"/>
  <c r="P322" i="16"/>
  <c r="R332" i="16"/>
  <c r="S332" i="16" s="1"/>
  <c r="O171" i="16"/>
  <c r="O181" i="16"/>
  <c r="P193" i="16"/>
  <c r="Q196" i="16"/>
  <c r="Q199" i="16"/>
  <c r="P210" i="16"/>
  <c r="R261" i="16"/>
  <c r="S261" i="16" s="1"/>
  <c r="T261" i="16" s="1"/>
  <c r="R267" i="16"/>
  <c r="Q267" i="16"/>
  <c r="O267" i="16"/>
  <c r="R269" i="16"/>
  <c r="Q275" i="16"/>
  <c r="P275" i="16"/>
  <c r="O275" i="16"/>
  <c r="Q278" i="16"/>
  <c r="P184" i="16"/>
  <c r="R184" i="16"/>
  <c r="T184" i="16" s="1"/>
  <c r="P187" i="16"/>
  <c r="M201" i="16"/>
  <c r="Q220" i="16"/>
  <c r="Q222" i="16"/>
  <c r="T227" i="16"/>
  <c r="S227" i="16"/>
  <c r="O229" i="16"/>
  <c r="T247" i="16"/>
  <c r="P272" i="16"/>
  <c r="Q272" i="16"/>
  <c r="O272" i="16"/>
  <c r="R278" i="16"/>
  <c r="R286" i="16"/>
  <c r="P296" i="16"/>
  <c r="O296" i="16"/>
  <c r="Q296" i="16"/>
  <c r="S369" i="16"/>
  <c r="R400" i="16"/>
  <c r="Q415" i="16"/>
  <c r="P415" i="16"/>
  <c r="O415" i="16"/>
  <c r="T419" i="16"/>
  <c r="S419" i="16"/>
  <c r="Q231" i="16"/>
  <c r="P231" i="16"/>
  <c r="O231" i="16"/>
  <c r="R243" i="16"/>
  <c r="Q259" i="16"/>
  <c r="P259" i="16"/>
  <c r="O259" i="16"/>
  <c r="T314" i="16"/>
  <c r="R314" i="16"/>
  <c r="P212" i="16"/>
  <c r="Q212" i="16"/>
  <c r="O212" i="16"/>
  <c r="P224" i="16"/>
  <c r="Q224" i="16"/>
  <c r="O224" i="16"/>
  <c r="T229" i="16"/>
  <c r="S229" i="16"/>
  <c r="T233" i="16"/>
  <c r="R235" i="16"/>
  <c r="R241" i="16"/>
  <c r="S241" i="16" s="1"/>
  <c r="Q305" i="16"/>
  <c r="R305" i="16" s="1"/>
  <c r="P305" i="16"/>
  <c r="O305" i="16"/>
  <c r="R317" i="16"/>
  <c r="Q317" i="16"/>
  <c r="P317" i="16"/>
  <c r="O317" i="16"/>
  <c r="S187" i="16"/>
  <c r="P192" i="16"/>
  <c r="O192" i="16"/>
  <c r="Q204" i="16"/>
  <c r="Q207" i="16"/>
  <c r="R212" i="16"/>
  <c r="R215" i="16"/>
  <c r="T215" i="16" s="1"/>
  <c r="Q217" i="16"/>
  <c r="P217" i="16"/>
  <c r="P226" i="16"/>
  <c r="O226" i="16"/>
  <c r="R233" i="16"/>
  <c r="Q237" i="16"/>
  <c r="Q239" i="16"/>
  <c r="P239" i="16"/>
  <c r="P243" i="16"/>
  <c r="M252" i="16"/>
  <c r="Q252" i="16" s="1"/>
  <c r="S254" i="16"/>
  <c r="T254" i="16" s="1"/>
  <c r="Q279" i="16"/>
  <c r="P279" i="16"/>
  <c r="O279" i="16"/>
  <c r="P284" i="16"/>
  <c r="Q284" i="16"/>
  <c r="O284" i="16"/>
  <c r="M412" i="16"/>
  <c r="Q412" i="16"/>
  <c r="M173" i="16"/>
  <c r="Q173" i="16" s="1"/>
  <c r="P180" i="16"/>
  <c r="O180" i="16"/>
  <c r="O189" i="16"/>
  <c r="Q192" i="16"/>
  <c r="Q201" i="16"/>
  <c r="R204" i="16"/>
  <c r="R209" i="16"/>
  <c r="M214" i="16"/>
  <c r="S215" i="16"/>
  <c r="O217" i="16"/>
  <c r="Q226" i="16"/>
  <c r="S233" i="16"/>
  <c r="O239" i="16"/>
  <c r="Q243" i="16"/>
  <c r="O250" i="16"/>
  <c r="R262" i="16"/>
  <c r="O311" i="16"/>
  <c r="Q311" i="16"/>
  <c r="P311" i="16"/>
  <c r="Q330" i="16"/>
  <c r="O330" i="16"/>
  <c r="R330" i="16"/>
  <c r="P330" i="16"/>
  <c r="T344" i="16"/>
  <c r="R416" i="16"/>
  <c r="S416" i="16"/>
  <c r="T416" i="16" s="1"/>
  <c r="O152" i="16"/>
  <c r="O183" i="16"/>
  <c r="O186" i="16"/>
  <c r="P189" i="16"/>
  <c r="R192" i="16"/>
  <c r="O209" i="16"/>
  <c r="P219" i="16"/>
  <c r="O219" i="16"/>
  <c r="P250" i="16"/>
  <c r="Q257" i="16"/>
  <c r="P260" i="16"/>
  <c r="R260" i="16"/>
  <c r="O260" i="16"/>
  <c r="P265" i="16"/>
  <c r="O265" i="16"/>
  <c r="R302" i="16"/>
  <c r="S302" i="16" s="1"/>
  <c r="P308" i="16"/>
  <c r="O308" i="16"/>
  <c r="Q308" i="16"/>
  <c r="S333" i="16"/>
  <c r="R401" i="16"/>
  <c r="Q401" i="16"/>
  <c r="O401" i="16"/>
  <c r="P401" i="16"/>
  <c r="Q189" i="16"/>
  <c r="R189" i="16" s="1"/>
  <c r="P209" i="16"/>
  <c r="Q246" i="16"/>
  <c r="P246" i="16"/>
  <c r="Q250" i="16"/>
  <c r="Q273" i="16"/>
  <c r="P273" i="16"/>
  <c r="O273" i="16"/>
  <c r="P276" i="16"/>
  <c r="R276" i="16"/>
  <c r="Q276" i="16"/>
  <c r="O276" i="16"/>
  <c r="S314" i="16"/>
  <c r="T405" i="16"/>
  <c r="S405" i="16"/>
  <c r="O203" i="16"/>
  <c r="P206" i="16"/>
  <c r="Q209" i="16"/>
  <c r="R221" i="16"/>
  <c r="O221" i="16"/>
  <c r="O246" i="16"/>
  <c r="P268" i="16"/>
  <c r="Q268" i="16"/>
  <c r="P280" i="16"/>
  <c r="R280" i="16"/>
  <c r="Q280" i="16"/>
  <c r="O280" i="16"/>
  <c r="R285" i="16"/>
  <c r="T285" i="16" s="1"/>
  <c r="Q327" i="16"/>
  <c r="O327" i="16"/>
  <c r="P327" i="16"/>
  <c r="P334" i="16"/>
  <c r="Q334" i="16"/>
  <c r="O334" i="16"/>
  <c r="R347" i="16"/>
  <c r="S347" i="16" s="1"/>
  <c r="S413" i="16"/>
  <c r="P203" i="16"/>
  <c r="Q206" i="16"/>
  <c r="Q223" i="16"/>
  <c r="R230" i="16"/>
  <c r="Q230" i="16"/>
  <c r="O230" i="16"/>
  <c r="P232" i="16"/>
  <c r="Q232" i="16"/>
  <c r="M234" i="16"/>
  <c r="Q234" i="16" s="1"/>
  <c r="R246" i="16"/>
  <c r="S248" i="16"/>
  <c r="R255" i="16"/>
  <c r="T265" i="16"/>
  <c r="S265" i="16"/>
  <c r="O268" i="16"/>
  <c r="O315" i="16"/>
  <c r="Q315" i="16"/>
  <c r="P315" i="16"/>
  <c r="Q365" i="16"/>
  <c r="P365" i="16"/>
  <c r="O365" i="16"/>
  <c r="T370" i="16"/>
  <c r="T301" i="16"/>
  <c r="S318" i="16"/>
  <c r="S353" i="16"/>
  <c r="T353" i="16"/>
  <c r="P355" i="16"/>
  <c r="O355" i="16"/>
  <c r="Q355" i="16"/>
  <c r="R355" i="16" s="1"/>
  <c r="T372" i="16"/>
  <c r="Q403" i="16"/>
  <c r="P403" i="16"/>
  <c r="O403" i="16"/>
  <c r="P406" i="16"/>
  <c r="O406" i="16"/>
  <c r="Q406" i="16"/>
  <c r="R287" i="16"/>
  <c r="S287" i="16" s="1"/>
  <c r="R290" i="16"/>
  <c r="S290" i="16" s="1"/>
  <c r="S293" i="16"/>
  <c r="S298" i="16"/>
  <c r="R301" i="16"/>
  <c r="S301" i="16" s="1"/>
  <c r="R313" i="16"/>
  <c r="O313" i="16"/>
  <c r="R318" i="16"/>
  <c r="R345" i="16"/>
  <c r="P345" i="16"/>
  <c r="O381" i="16"/>
  <c r="Q381" i="16"/>
  <c r="R381" i="16" s="1"/>
  <c r="F20" i="18"/>
  <c r="Q326" i="16"/>
  <c r="P326" i="16"/>
  <c r="R328" i="16"/>
  <c r="O328" i="16"/>
  <c r="T343" i="16"/>
  <c r="S343" i="16"/>
  <c r="R343" i="16"/>
  <c r="M366" i="16"/>
  <c r="Q366" i="16" s="1"/>
  <c r="R378" i="16"/>
  <c r="Q378" i="16"/>
  <c r="O378" i="16"/>
  <c r="Q264" i="16"/>
  <c r="Q271" i="16"/>
  <c r="R271" i="16" s="1"/>
  <c r="T298" i="16"/>
  <c r="Q313" i="16"/>
  <c r="P336" i="16"/>
  <c r="M340" i="16"/>
  <c r="Q340" i="16" s="1"/>
  <c r="Q345" i="16"/>
  <c r="R351" i="16"/>
  <c r="P378" i="16"/>
  <c r="P381" i="16"/>
  <c r="R419" i="16"/>
  <c r="P419" i="16"/>
  <c r="O419" i="16"/>
  <c r="G4" i="17"/>
  <c r="FA58" i="6" s="1"/>
  <c r="FC58" i="6" s="1"/>
  <c r="R264" i="16"/>
  <c r="P300" i="16"/>
  <c r="R300" i="16"/>
  <c r="O324" i="16"/>
  <c r="T349" i="16"/>
  <c r="R368" i="16"/>
  <c r="T368" i="16" s="1"/>
  <c r="P370" i="16"/>
  <c r="O370" i="16"/>
  <c r="R370" i="16"/>
  <c r="R372" i="16"/>
  <c r="S372" i="16" s="1"/>
  <c r="R384" i="16"/>
  <c r="S384" i="16" s="1"/>
  <c r="Q404" i="16"/>
  <c r="P407" i="16"/>
  <c r="F28" i="18"/>
  <c r="P324" i="16"/>
  <c r="O326" i="16"/>
  <c r="P328" i="16"/>
  <c r="T342" i="16"/>
  <c r="R344" i="16"/>
  <c r="S344" i="16" s="1"/>
  <c r="S390" i="16"/>
  <c r="R395" i="16"/>
  <c r="Q395" i="16"/>
  <c r="P395" i="16"/>
  <c r="S398" i="16"/>
  <c r="Q410" i="16"/>
  <c r="P410" i="16"/>
  <c r="R228" i="16"/>
  <c r="Q235" i="16"/>
  <c r="Q242" i="16"/>
  <c r="P249" i="16"/>
  <c r="P283" i="16"/>
  <c r="Q286" i="16"/>
  <c r="Q289" i="16"/>
  <c r="M294" i="16"/>
  <c r="O297" i="16"/>
  <c r="Q300" i="16"/>
  <c r="R312" i="16"/>
  <c r="R324" i="16"/>
  <c r="S324" i="16" s="1"/>
  <c r="Q328" i="16"/>
  <c r="Q336" i="16"/>
  <c r="M356" i="16"/>
  <c r="Q356" i="16" s="1"/>
  <c r="R360" i="16"/>
  <c r="M360" i="16"/>
  <c r="S370" i="16"/>
  <c r="Q382" i="16"/>
  <c r="P382" i="16"/>
  <c r="O382" i="16"/>
  <c r="R387" i="16"/>
  <c r="S387" i="16" s="1"/>
  <c r="T387" i="16" s="1"/>
  <c r="R398" i="16"/>
  <c r="T398" i="16" s="1"/>
  <c r="O407" i="16"/>
  <c r="Q249" i="16"/>
  <c r="Q283" i="16"/>
  <c r="Q294" i="16"/>
  <c r="P297" i="16"/>
  <c r="Q319" i="16"/>
  <c r="S338" i="16"/>
  <c r="Q354" i="16"/>
  <c r="M362" i="16"/>
  <c r="Q362" i="16"/>
  <c r="M375" i="16"/>
  <c r="Q375" i="16" s="1"/>
  <c r="O395" i="16"/>
  <c r="Q407" i="16"/>
  <c r="O410" i="16"/>
  <c r="Q297" i="16"/>
  <c r="R297" i="16" s="1"/>
  <c r="O312" i="16"/>
  <c r="R342" i="16"/>
  <c r="T346" i="16"/>
  <c r="S346" i="16"/>
  <c r="R390" i="16"/>
  <c r="T414" i="16"/>
  <c r="S414" i="16"/>
  <c r="Q331" i="16"/>
  <c r="S342" i="16"/>
  <c r="Q350" i="16"/>
  <c r="R350" i="16" s="1"/>
  <c r="O350" i="16"/>
  <c r="S358" i="16"/>
  <c r="S364" i="16"/>
  <c r="P373" i="16"/>
  <c r="T390" i="16"/>
  <c r="P393" i="16"/>
  <c r="O393" i="16"/>
  <c r="R417" i="16"/>
  <c r="Q417" i="16"/>
  <c r="P417" i="16"/>
  <c r="O417" i="16"/>
  <c r="E4" i="17"/>
  <c r="F30" i="18"/>
  <c r="O248" i="16"/>
  <c r="O255" i="16"/>
  <c r="O262" i="16"/>
  <c r="O282" i="16"/>
  <c r="O288" i="16"/>
  <c r="R309" i="16"/>
  <c r="R335" i="16"/>
  <c r="T335" i="16" s="1"/>
  <c r="P350" i="16"/>
  <c r="R358" i="16"/>
  <c r="Q360" i="16"/>
  <c r="R364" i="16"/>
  <c r="T364" i="16" s="1"/>
  <c r="M371" i="16"/>
  <c r="R371" i="16"/>
  <c r="Q371" i="16"/>
  <c r="O373" i="16"/>
  <c r="Q393" i="16"/>
  <c r="T408" i="16"/>
  <c r="Q411" i="16"/>
  <c r="R411" i="16" s="1"/>
  <c r="P411" i="16"/>
  <c r="O411" i="16"/>
  <c r="S291" i="16"/>
  <c r="R337" i="16"/>
  <c r="O337" i="16"/>
  <c r="Q341" i="16"/>
  <c r="Q373" i="16"/>
  <c r="P383" i="16"/>
  <c r="O383" i="16"/>
  <c r="Q383" i="16"/>
  <c r="R383" i="16" s="1"/>
  <c r="P399" i="16"/>
  <c r="O399" i="16"/>
  <c r="Q399" i="16"/>
  <c r="K4" i="19"/>
  <c r="H4" i="19" s="1"/>
  <c r="P237" i="16"/>
  <c r="R248" i="16"/>
  <c r="T248" i="16" s="1"/>
  <c r="Q255" i="16"/>
  <c r="O258" i="16"/>
  <c r="Q262" i="16"/>
  <c r="P269" i="16"/>
  <c r="R282" i="16"/>
  <c r="T282" i="16" s="1"/>
  <c r="R288" i="16"/>
  <c r="R299" i="16"/>
  <c r="S299" i="16" s="1"/>
  <c r="O304" i="16"/>
  <c r="R307" i="16"/>
  <c r="T307" i="16" s="1"/>
  <c r="R316" i="16"/>
  <c r="Q323" i="16"/>
  <c r="O323" i="16"/>
  <c r="R325" i="16"/>
  <c r="O325" i="16"/>
  <c r="O331" i="16"/>
  <c r="P337" i="16"/>
  <c r="S339" i="16"/>
  <c r="M341" i="16"/>
  <c r="S408" i="16"/>
  <c r="P258" i="16"/>
  <c r="T291" i="16"/>
  <c r="R293" i="16"/>
  <c r="T293" i="16" s="1"/>
  <c r="Q304" i="16"/>
  <c r="O309" i="16"/>
  <c r="Q320" i="16"/>
  <c r="Q329" i="16"/>
  <c r="P331" i="16"/>
  <c r="O335" i="16"/>
  <c r="Q337" i="16"/>
  <c r="S377" i="16"/>
  <c r="O380" i="16"/>
  <c r="R380" i="16"/>
  <c r="Q380" i="16"/>
  <c r="P380" i="16"/>
  <c r="P386" i="16"/>
  <c r="O386" i="16"/>
  <c r="R386" i="16"/>
  <c r="Q386" i="16"/>
  <c r="R402" i="16"/>
  <c r="F32" i="18"/>
  <c r="S325" i="16"/>
  <c r="R333" i="16"/>
  <c r="T333" i="16" s="1"/>
  <c r="P333" i="16"/>
  <c r="O333" i="16"/>
  <c r="Q363" i="16"/>
  <c r="P363" i="16"/>
  <c r="T376" i="16"/>
  <c r="P389" i="16"/>
  <c r="O389" i="16"/>
  <c r="Q389" i="16"/>
  <c r="Q348" i="16"/>
  <c r="R397" i="16"/>
  <c r="R361" i="16"/>
  <c r="T361" i="16" s="1"/>
  <c r="O397" i="16"/>
  <c r="O394" i="16"/>
  <c r="P397" i="16"/>
  <c r="P400" i="16"/>
  <c r="S409" i="16"/>
  <c r="P420" i="16"/>
  <c r="R341" i="16"/>
  <c r="P361" i="16"/>
  <c r="R367" i="16"/>
  <c r="P388" i="16"/>
  <c r="O391" i="16"/>
  <c r="Q397" i="16"/>
  <c r="O408" i="16"/>
  <c r="O414" i="16"/>
  <c r="Q420" i="16"/>
  <c r="Q385" i="16"/>
  <c r="P385" i="16"/>
  <c r="R396" i="16"/>
  <c r="R405" i="16"/>
  <c r="R321" i="16"/>
  <c r="P405" i="16"/>
  <c r="R413" i="16"/>
  <c r="T413" i="16" s="1"/>
  <c r="O413" i="16"/>
  <c r="J4" i="19"/>
  <c r="F16" i="18"/>
  <c r="Q321" i="16"/>
  <c r="Q357" i="16"/>
  <c r="R369" i="16"/>
  <c r="T369" i="16" s="1"/>
  <c r="O387" i="16"/>
  <c r="Q396" i="16"/>
  <c r="O404" i="16"/>
  <c r="P413" i="16"/>
  <c r="R329" i="16"/>
  <c r="R353" i="16"/>
  <c r="Q392" i="16"/>
  <c r="P392" i="16"/>
  <c r="F24" i="18"/>
  <c r="P339" i="16"/>
  <c r="P346" i="16"/>
  <c r="R349" i="16"/>
  <c r="S349" i="16" s="1"/>
  <c r="P353" i="16"/>
  <c r="Q359" i="16"/>
  <c r="P359" i="16"/>
  <c r="P398" i="16"/>
  <c r="R409" i="16"/>
  <c r="T409" i="16" s="1"/>
  <c r="P329" i="16"/>
  <c r="P349" i="16"/>
  <c r="M352" i="16"/>
  <c r="Q352" i="16" s="1"/>
  <c r="Q374" i="16"/>
  <c r="P374" i="16"/>
  <c r="R377" i="16"/>
  <c r="T377" i="16" s="1"/>
  <c r="O409" i="16"/>
  <c r="R252" i="16" l="1"/>
  <c r="T252" i="16" s="1"/>
  <c r="S55" i="16"/>
  <c r="R55" i="16"/>
  <c r="T55" i="16" s="1"/>
  <c r="T71" i="16"/>
  <c r="S71" i="16"/>
  <c r="R71" i="16"/>
  <c r="AT153" i="7"/>
  <c r="AP347" i="12" s="1"/>
  <c r="AS153" i="7"/>
  <c r="AR153" i="7"/>
  <c r="R130" i="16"/>
  <c r="T130" i="16" s="1"/>
  <c r="R29" i="16"/>
  <c r="S29" i="16" s="1"/>
  <c r="S83" i="16"/>
  <c r="R83" i="16"/>
  <c r="T83" i="16" s="1"/>
  <c r="T402" i="16"/>
  <c r="R115" i="16"/>
  <c r="T115" i="16" s="1"/>
  <c r="R366" i="16"/>
  <c r="T366" i="16" s="1"/>
  <c r="T103" i="16"/>
  <c r="R103" i="16"/>
  <c r="S103" i="16" s="1"/>
  <c r="R186" i="16"/>
  <c r="T186" i="16" s="1"/>
  <c r="T352" i="16"/>
  <c r="S352" i="16"/>
  <c r="R352" i="16"/>
  <c r="R91" i="16"/>
  <c r="T91" i="16" s="1"/>
  <c r="T180" i="16"/>
  <c r="R180" i="16"/>
  <c r="S180" i="16" s="1"/>
  <c r="R181" i="16"/>
  <c r="T181" i="16" s="1"/>
  <c r="T375" i="16"/>
  <c r="S375" i="16"/>
  <c r="R375" i="16"/>
  <c r="R59" i="16"/>
  <c r="T59" i="16" s="1"/>
  <c r="T166" i="16"/>
  <c r="R166" i="16"/>
  <c r="S166" i="16" s="1"/>
  <c r="R79" i="16"/>
  <c r="T356" i="16"/>
  <c r="R356" i="16"/>
  <c r="S356" i="16" s="1"/>
  <c r="EF44" i="6"/>
  <c r="R21" i="16"/>
  <c r="T340" i="16"/>
  <c r="R340" i="16"/>
  <c r="S340" i="16" s="1"/>
  <c r="T98" i="16"/>
  <c r="S98" i="16"/>
  <c r="EF51" i="6"/>
  <c r="R98" i="16"/>
  <c r="T309" i="9"/>
  <c r="R309" i="9"/>
  <c r="V309" i="9"/>
  <c r="J309" i="12"/>
  <c r="AZ137" i="7"/>
  <c r="T235" i="9"/>
  <c r="R235" i="9"/>
  <c r="V235" i="9"/>
  <c r="AZ106" i="7"/>
  <c r="T291" i="9"/>
  <c r="V291" i="9"/>
  <c r="R291" i="9"/>
  <c r="J291" i="12"/>
  <c r="R192" i="9"/>
  <c r="T192" i="9"/>
  <c r="V192" i="9"/>
  <c r="V303" i="9"/>
  <c r="T303" i="9"/>
  <c r="R303" i="9"/>
  <c r="AH154" i="7"/>
  <c r="AF154" i="7"/>
  <c r="AG154" i="7"/>
  <c r="AN154" i="7" s="1"/>
  <c r="R21" i="9"/>
  <c r="V21" i="9"/>
  <c r="T21" i="9"/>
  <c r="AZ17" i="7"/>
  <c r="T117" i="9"/>
  <c r="R117" i="9"/>
  <c r="V117" i="9"/>
  <c r="AZ57" i="7"/>
  <c r="AH93" i="7"/>
  <c r="AG93" i="7"/>
  <c r="AN93" i="7" s="1"/>
  <c r="AF93" i="7"/>
  <c r="V67" i="9"/>
  <c r="T67" i="9"/>
  <c r="R67" i="9"/>
  <c r="AZ36" i="7"/>
  <c r="V18" i="9"/>
  <c r="T18" i="9"/>
  <c r="R18" i="9"/>
  <c r="AK54" i="7"/>
  <c r="AI54" i="7"/>
  <c r="AX54" i="7"/>
  <c r="AM64" i="7"/>
  <c r="AL64" i="7"/>
  <c r="AK15" i="7"/>
  <c r="AI15" i="7"/>
  <c r="AX15" i="7"/>
  <c r="W17" i="9"/>
  <c r="AR66" i="7"/>
  <c r="AT66" i="7"/>
  <c r="AP139" i="12" s="1"/>
  <c r="AS66" i="7"/>
  <c r="Z111" i="5"/>
  <c r="AB111" i="5"/>
  <c r="AD111" i="5" s="1"/>
  <c r="R4" i="4"/>
  <c r="ED46" i="6"/>
  <c r="V354" i="9"/>
  <c r="T354" i="9"/>
  <c r="R354" i="9"/>
  <c r="V233" i="9"/>
  <c r="T233" i="9"/>
  <c r="R233" i="9"/>
  <c r="AZ105" i="7"/>
  <c r="R268" i="16"/>
  <c r="S330" i="16"/>
  <c r="T330" i="16"/>
  <c r="T222" i="16"/>
  <c r="S222" i="16"/>
  <c r="R222" i="16"/>
  <c r="T193" i="16"/>
  <c r="S193" i="16"/>
  <c r="T172" i="16"/>
  <c r="S172" i="16"/>
  <c r="S182" i="16"/>
  <c r="EE48" i="6"/>
  <c r="T420" i="16"/>
  <c r="S420" i="16"/>
  <c r="R420" i="16"/>
  <c r="T288" i="16"/>
  <c r="S288" i="16"/>
  <c r="S234" i="16"/>
  <c r="R234" i="16"/>
  <c r="T234" i="16" s="1"/>
  <c r="S273" i="16"/>
  <c r="R121" i="16"/>
  <c r="T121" i="16" s="1"/>
  <c r="R35" i="16"/>
  <c r="S35" i="16" s="1"/>
  <c r="T35" i="16" s="1"/>
  <c r="T198" i="16"/>
  <c r="R198" i="16"/>
  <c r="S198" i="16" s="1"/>
  <c r="EE41" i="6"/>
  <c r="S123" i="16"/>
  <c r="S185" i="16"/>
  <c r="EG45" i="6"/>
  <c r="S22" i="16"/>
  <c r="S85" i="16"/>
  <c r="S184" i="16"/>
  <c r="EF43" i="6"/>
  <c r="AS4" i="12"/>
  <c r="R294" i="9"/>
  <c r="V294" i="9"/>
  <c r="T294" i="9"/>
  <c r="T70" i="9"/>
  <c r="V70" i="9"/>
  <c r="R70" i="9"/>
  <c r="V89" i="9"/>
  <c r="T89" i="9"/>
  <c r="R89" i="9"/>
  <c r="J89" i="12"/>
  <c r="AZ45" i="7"/>
  <c r="AS154" i="7"/>
  <c r="AT154" i="7"/>
  <c r="AP349" i="12" s="1"/>
  <c r="AR154" i="7"/>
  <c r="V75" i="9"/>
  <c r="T75" i="9"/>
  <c r="R75" i="9"/>
  <c r="R139" i="9"/>
  <c r="V139" i="9"/>
  <c r="T139" i="9"/>
  <c r="J139" i="12"/>
  <c r="AZ66" i="7"/>
  <c r="P149" i="9"/>
  <c r="AR149" i="7"/>
  <c r="AT149" i="7"/>
  <c r="AP337" i="12" s="1"/>
  <c r="AS149" i="7"/>
  <c r="AD122" i="7"/>
  <c r="AO273" i="12" s="1"/>
  <c r="AC122" i="7"/>
  <c r="AB122" i="7"/>
  <c r="AK63" i="7"/>
  <c r="AI63" i="7"/>
  <c r="AX63" i="7"/>
  <c r="W131" i="9"/>
  <c r="AM51" i="7"/>
  <c r="AL51" i="7"/>
  <c r="EI40" i="6"/>
  <c r="EM40" i="6"/>
  <c r="S232" i="16"/>
  <c r="R273" i="16"/>
  <c r="T273" i="16" s="1"/>
  <c r="T192" i="16"/>
  <c r="S192" i="16"/>
  <c r="R199" i="16"/>
  <c r="S199" i="16" s="1"/>
  <c r="T196" i="16"/>
  <c r="S196" i="16"/>
  <c r="ED47" i="6"/>
  <c r="S361" i="16"/>
  <c r="R232" i="16"/>
  <c r="T232" i="16" s="1"/>
  <c r="T302" i="16"/>
  <c r="R296" i="16"/>
  <c r="T214" i="16"/>
  <c r="R214" i="16"/>
  <c r="S214" i="16" s="1"/>
  <c r="S133" i="16"/>
  <c r="R133" i="16"/>
  <c r="T133" i="16" s="1"/>
  <c r="ED44" i="6"/>
  <c r="T263" i="16"/>
  <c r="S263" i="16"/>
  <c r="T256" i="16"/>
  <c r="S256" i="16"/>
  <c r="T241" i="16"/>
  <c r="S74" i="16"/>
  <c r="T74" i="16" s="1"/>
  <c r="S18" i="16"/>
  <c r="T18" i="16"/>
  <c r="EF41" i="6"/>
  <c r="S72" i="16"/>
  <c r="T72" i="16" s="1"/>
  <c r="R20" i="16"/>
  <c r="EG43" i="6" s="1"/>
  <c r="S306" i="9"/>
  <c r="Q306" i="9"/>
  <c r="AQ306" i="12" s="1"/>
  <c r="V267" i="9"/>
  <c r="T267" i="9"/>
  <c r="R267" i="9"/>
  <c r="V246" i="9"/>
  <c r="T246" i="9"/>
  <c r="R246" i="9"/>
  <c r="J246" i="12"/>
  <c r="P257" i="9"/>
  <c r="V245" i="9"/>
  <c r="T245" i="9"/>
  <c r="R245" i="9"/>
  <c r="AZ110" i="7"/>
  <c r="V128" i="9"/>
  <c r="T128" i="9"/>
  <c r="R128" i="9"/>
  <c r="AE51" i="10"/>
  <c r="AH151" i="7"/>
  <c r="AG151" i="7"/>
  <c r="AN151" i="7" s="1"/>
  <c r="AF151" i="7"/>
  <c r="T166" i="9"/>
  <c r="R166" i="9"/>
  <c r="V166" i="9"/>
  <c r="J166" i="12"/>
  <c r="Q149" i="9"/>
  <c r="AQ149" i="12" s="1"/>
  <c r="S101" i="9"/>
  <c r="Q101" i="9"/>
  <c r="AQ101" i="12" s="1"/>
  <c r="P101" i="9"/>
  <c r="R243" i="9"/>
  <c r="V243" i="9"/>
  <c r="T243" i="9"/>
  <c r="V20" i="9"/>
  <c r="T20" i="9"/>
  <c r="R20" i="9"/>
  <c r="AE15" i="10"/>
  <c r="AO47" i="7"/>
  <c r="AJ47" i="7"/>
  <c r="P30" i="6"/>
  <c r="R30" i="6" s="1"/>
  <c r="S392" i="16"/>
  <c r="T226" i="16"/>
  <c r="S258" i="16"/>
  <c r="T258" i="16" s="1"/>
  <c r="S150" i="16"/>
  <c r="S142" i="16"/>
  <c r="S63" i="16"/>
  <c r="T337" i="9"/>
  <c r="R337" i="9"/>
  <c r="V337" i="9"/>
  <c r="AZ149" i="7"/>
  <c r="J337" i="12"/>
  <c r="T239" i="9"/>
  <c r="V239" i="9"/>
  <c r="R239" i="9"/>
  <c r="AZ108" i="7"/>
  <c r="V242" i="9"/>
  <c r="R242" i="9"/>
  <c r="T242" i="9"/>
  <c r="T252" i="9"/>
  <c r="V252" i="9"/>
  <c r="R252" i="9"/>
  <c r="J252" i="12"/>
  <c r="Z24" i="9"/>
  <c r="R190" i="9"/>
  <c r="V190" i="9"/>
  <c r="T190" i="9"/>
  <c r="V112" i="9"/>
  <c r="T112" i="9"/>
  <c r="R112" i="9"/>
  <c r="R213" i="9"/>
  <c r="T213" i="9"/>
  <c r="V213" i="9"/>
  <c r="AZ97" i="7"/>
  <c r="V331" i="9"/>
  <c r="R331" i="9"/>
  <c r="T331" i="9"/>
  <c r="AZ146" i="7"/>
  <c r="T406" i="16"/>
  <c r="S406" i="16"/>
  <c r="T308" i="16"/>
  <c r="R308" i="16"/>
  <c r="S308" i="16" s="1"/>
  <c r="S307" i="16"/>
  <c r="R175" i="16"/>
  <c r="S175" i="16" s="1"/>
  <c r="T125" i="16"/>
  <c r="R125" i="16"/>
  <c r="S125" i="16" s="1"/>
  <c r="S81" i="16"/>
  <c r="T81" i="16"/>
  <c r="R81" i="16"/>
  <c r="ED45" i="6"/>
  <c r="T88" i="16"/>
  <c r="T112" i="16"/>
  <c r="S112" i="16"/>
  <c r="T56" i="16"/>
  <c r="ED43" i="6"/>
  <c r="X21" i="12"/>
  <c r="V21" i="12"/>
  <c r="P21" i="12"/>
  <c r="O21" i="12"/>
  <c r="AL21" i="12"/>
  <c r="AJ21" i="12"/>
  <c r="AA21" i="12"/>
  <c r="AG21" i="12"/>
  <c r="AD21" i="12"/>
  <c r="R299" i="9"/>
  <c r="V299" i="9"/>
  <c r="T299" i="9"/>
  <c r="AZ133" i="7"/>
  <c r="S270" i="9"/>
  <c r="P270" i="9"/>
  <c r="V324" i="9"/>
  <c r="T324" i="9"/>
  <c r="R324" i="9"/>
  <c r="V212" i="9"/>
  <c r="R212" i="9"/>
  <c r="T212" i="9"/>
  <c r="AE79" i="10"/>
  <c r="V348" i="9"/>
  <c r="T348" i="9"/>
  <c r="R348" i="9"/>
  <c r="AE125" i="10"/>
  <c r="T175" i="9"/>
  <c r="R175" i="9"/>
  <c r="V175" i="9"/>
  <c r="AZ81" i="7"/>
  <c r="J175" i="12"/>
  <c r="T218" i="9"/>
  <c r="V218" i="9"/>
  <c r="R218" i="9"/>
  <c r="AE82" i="10"/>
  <c r="J218" i="12"/>
  <c r="R208" i="9"/>
  <c r="V208" i="9"/>
  <c r="T208" i="9"/>
  <c r="J208" i="12"/>
  <c r="V329" i="9"/>
  <c r="T329" i="9"/>
  <c r="R329" i="9"/>
  <c r="J329" i="12"/>
  <c r="Q329" i="9"/>
  <c r="AQ329" i="12" s="1"/>
  <c r="AZ145" i="7"/>
  <c r="AN149" i="7"/>
  <c r="AL149" i="7"/>
  <c r="T86" i="9"/>
  <c r="V86" i="9"/>
  <c r="R86" i="9"/>
  <c r="V77" i="9"/>
  <c r="T77" i="9"/>
  <c r="R77" i="9"/>
  <c r="AZ40" i="7"/>
  <c r="Q77" i="9"/>
  <c r="AQ77" i="12" s="1"/>
  <c r="T103" i="9"/>
  <c r="V103" i="9"/>
  <c r="R103" i="9"/>
  <c r="AZ51" i="7"/>
  <c r="J103" i="12"/>
  <c r="AI143" i="7"/>
  <c r="AK143" i="7"/>
  <c r="AX143" i="7"/>
  <c r="H323" i="12"/>
  <c r="W323" i="9"/>
  <c r="AR114" i="7"/>
  <c r="AS114" i="7"/>
  <c r="AT114" i="7"/>
  <c r="AP253" i="12" s="1"/>
  <c r="AY117" i="7"/>
  <c r="AU117" i="7"/>
  <c r="X261" i="9"/>
  <c r="I261" i="12"/>
  <c r="AK38" i="7"/>
  <c r="AI38" i="7"/>
  <c r="AX38" i="7"/>
  <c r="W71" i="9"/>
  <c r="AL91" i="7"/>
  <c r="AM91" i="7"/>
  <c r="AT92" i="7"/>
  <c r="AP201" i="12" s="1"/>
  <c r="AS92" i="7"/>
  <c r="AR92" i="7"/>
  <c r="Z156" i="5"/>
  <c r="AB156" i="5"/>
  <c r="AD156" i="5" s="1"/>
  <c r="S410" i="16"/>
  <c r="T410" i="16" s="1"/>
  <c r="S284" i="16"/>
  <c r="EE43" i="6"/>
  <c r="T36" i="16"/>
  <c r="EF45" i="6"/>
  <c r="S348" i="16"/>
  <c r="T348" i="16"/>
  <c r="R348" i="16"/>
  <c r="R354" i="16"/>
  <c r="S354" i="16" s="1"/>
  <c r="S334" i="16"/>
  <c r="T334" i="16"/>
  <c r="R311" i="16"/>
  <c r="T207" i="16"/>
  <c r="R259" i="16"/>
  <c r="T127" i="16"/>
  <c r="S127" i="16"/>
  <c r="ED48" i="6"/>
  <c r="R170" i="16"/>
  <c r="T170" i="16" s="1"/>
  <c r="T31" i="16"/>
  <c r="S31" i="16"/>
  <c r="T171" i="16"/>
  <c r="T389" i="16"/>
  <c r="S389" i="16"/>
  <c r="R389" i="16"/>
  <c r="T289" i="16"/>
  <c r="S289" i="16"/>
  <c r="R334" i="16"/>
  <c r="S250" i="16"/>
  <c r="T204" i="16"/>
  <c r="S204" i="16"/>
  <c r="T178" i="16"/>
  <c r="T359" i="16"/>
  <c r="S359" i="16"/>
  <c r="R359" i="16"/>
  <c r="T321" i="16"/>
  <c r="S321" i="16"/>
  <c r="T397" i="16"/>
  <c r="S397" i="16"/>
  <c r="S262" i="16"/>
  <c r="T262" i="16"/>
  <c r="T360" i="16"/>
  <c r="S360" i="16"/>
  <c r="S402" i="16"/>
  <c r="R382" i="16"/>
  <c r="S286" i="16"/>
  <c r="T286" i="16"/>
  <c r="S368" i="16"/>
  <c r="S351" i="16"/>
  <c r="T351" i="16"/>
  <c r="T365" i="16"/>
  <c r="T209" i="16"/>
  <c r="S209" i="16"/>
  <c r="T418" i="16"/>
  <c r="S418" i="16"/>
  <c r="T251" i="16"/>
  <c r="S251" i="16"/>
  <c r="R178" i="16"/>
  <c r="S178" i="16" s="1"/>
  <c r="R168" i="16"/>
  <c r="S168" i="16" s="1"/>
  <c r="ED51" i="6"/>
  <c r="R207" i="16"/>
  <c r="S207" i="16" s="1"/>
  <c r="T32" i="16"/>
  <c r="S32" i="16"/>
  <c r="T110" i="16"/>
  <c r="ED49" i="6"/>
  <c r="R132" i="16"/>
  <c r="T132" i="16" s="1"/>
  <c r="T341" i="16"/>
  <c r="S341" i="16"/>
  <c r="T358" i="16"/>
  <c r="T318" i="16"/>
  <c r="R403" i="16"/>
  <c r="T403" i="16" s="1"/>
  <c r="R365" i="16"/>
  <c r="S365" i="16" s="1"/>
  <c r="T246" i="16"/>
  <c r="S246" i="16"/>
  <c r="R284" i="16"/>
  <c r="T284" i="16" s="1"/>
  <c r="R250" i="16"/>
  <c r="T250" i="16" s="1"/>
  <c r="R295" i="16"/>
  <c r="S295" i="16" s="1"/>
  <c r="T295" i="16" s="1"/>
  <c r="T191" i="16"/>
  <c r="S191" i="16"/>
  <c r="R160" i="16"/>
  <c r="T160" i="16" s="1"/>
  <c r="T144" i="16"/>
  <c r="S144" i="16"/>
  <c r="T95" i="16"/>
  <c r="S95" i="16"/>
  <c r="R201" i="16"/>
  <c r="T201" i="16" s="1"/>
  <c r="EE49" i="6"/>
  <c r="T157" i="16"/>
  <c r="S157" i="16"/>
  <c r="S73" i="16"/>
  <c r="T73" i="16" s="1"/>
  <c r="S33" i="16"/>
  <c r="T33" i="16"/>
  <c r="S57" i="16"/>
  <c r="S75" i="16"/>
  <c r="T75" i="16" s="1"/>
  <c r="R147" i="16"/>
  <c r="S147" i="16" s="1"/>
  <c r="T23" i="16"/>
  <c r="S23" i="16"/>
  <c r="EF46" i="6"/>
  <c r="EE42" i="6"/>
  <c r="R298" i="9"/>
  <c r="V298" i="9"/>
  <c r="T298" i="9"/>
  <c r="J298" i="12"/>
  <c r="V286" i="9"/>
  <c r="T286" i="9"/>
  <c r="R286" i="9"/>
  <c r="T251" i="9"/>
  <c r="R251" i="9"/>
  <c r="V251" i="9"/>
  <c r="AZ113" i="7"/>
  <c r="V180" i="9"/>
  <c r="R180" i="9"/>
  <c r="T180" i="9"/>
  <c r="J180" i="12"/>
  <c r="T170" i="9"/>
  <c r="V170" i="9"/>
  <c r="R170" i="9"/>
  <c r="AE66" i="10"/>
  <c r="R72" i="9"/>
  <c r="V72" i="9"/>
  <c r="T72" i="9"/>
  <c r="AE33" i="10"/>
  <c r="V210" i="9"/>
  <c r="R210" i="9"/>
  <c r="T210" i="9"/>
  <c r="J210" i="12"/>
  <c r="T71" i="9"/>
  <c r="R71" i="9"/>
  <c r="V71" i="9"/>
  <c r="AZ38" i="7"/>
  <c r="T134" i="9"/>
  <c r="V134" i="9"/>
  <c r="R134" i="9"/>
  <c r="V55" i="9"/>
  <c r="T55" i="9"/>
  <c r="R55" i="9"/>
  <c r="AZ31" i="7"/>
  <c r="J55" i="12"/>
  <c r="T193" i="9"/>
  <c r="R193" i="9"/>
  <c r="V193" i="9"/>
  <c r="AZ89" i="7"/>
  <c r="T221" i="9"/>
  <c r="V221" i="9"/>
  <c r="R221" i="9"/>
  <c r="AZ100" i="7"/>
  <c r="V182" i="9"/>
  <c r="T182" i="9"/>
  <c r="R182" i="9"/>
  <c r="T102" i="9"/>
  <c r="V102" i="9"/>
  <c r="R102" i="9"/>
  <c r="V66" i="9"/>
  <c r="R66" i="9"/>
  <c r="T66" i="9"/>
  <c r="J239" i="12"/>
  <c r="J254" i="12"/>
  <c r="T118" i="9"/>
  <c r="R118" i="9"/>
  <c r="V118" i="9"/>
  <c r="J118" i="12"/>
  <c r="V96" i="9"/>
  <c r="T96" i="9"/>
  <c r="R96" i="9"/>
  <c r="J96" i="12"/>
  <c r="AC126" i="7"/>
  <c r="AB126" i="7"/>
  <c r="AD126" i="7"/>
  <c r="AO283" i="12" s="1"/>
  <c r="AO159" i="7"/>
  <c r="AF53" i="5"/>
  <c r="AS22" i="20" s="1"/>
  <c r="AL22" i="20"/>
  <c r="R393" i="16"/>
  <c r="S393" i="16" s="1"/>
  <c r="T350" i="16"/>
  <c r="S350" i="16"/>
  <c r="T384" i="16"/>
  <c r="T305" i="16"/>
  <c r="S305" i="16"/>
  <c r="S202" i="16"/>
  <c r="T202" i="16"/>
  <c r="R47" i="16"/>
  <c r="EG42" i="6" s="1"/>
  <c r="R304" i="16"/>
  <c r="S304" i="16" s="1"/>
  <c r="S381" i="16"/>
  <c r="T381" i="16" s="1"/>
  <c r="R406" i="16"/>
  <c r="T347" i="16"/>
  <c r="R217" i="16"/>
  <c r="T217" i="16" s="1"/>
  <c r="S400" i="16"/>
  <c r="T400" i="16" s="1"/>
  <c r="R153" i="16"/>
  <c r="T153" i="16" s="1"/>
  <c r="T43" i="16"/>
  <c r="EE47" i="6"/>
  <c r="S61" i="16"/>
  <c r="T61" i="16"/>
  <c r="S45" i="16"/>
  <c r="T45" i="16"/>
  <c r="R45" i="16"/>
  <c r="ED50" i="6"/>
  <c r="S161" i="16"/>
  <c r="S255" i="16"/>
  <c r="T255" i="16" s="1"/>
  <c r="T324" i="16"/>
  <c r="S316" i="16"/>
  <c r="T316" i="16" s="1"/>
  <c r="T230" i="16"/>
  <c r="S230" i="16"/>
  <c r="S173" i="16"/>
  <c r="R173" i="16"/>
  <c r="T173" i="16" s="1"/>
  <c r="R224" i="16"/>
  <c r="T224" i="16" s="1"/>
  <c r="S278" i="16"/>
  <c r="T278" i="16"/>
  <c r="S335" i="16"/>
  <c r="R283" i="16"/>
  <c r="T283" i="16" s="1"/>
  <c r="S195" i="16"/>
  <c r="T195" i="16"/>
  <c r="S253" i="16"/>
  <c r="T253" i="16" s="1"/>
  <c r="S26" i="16"/>
  <c r="T26" i="16"/>
  <c r="EF49" i="6"/>
  <c r="T24" i="16"/>
  <c r="S24" i="16"/>
  <c r="EF47" i="6"/>
  <c r="R63" i="16"/>
  <c r="T63" i="16" s="1"/>
  <c r="T87" i="16"/>
  <c r="S87" i="16"/>
  <c r="T19" i="16"/>
  <c r="S19" i="16"/>
  <c r="EF42" i="6"/>
  <c r="BP4" i="20"/>
  <c r="K4" i="20"/>
  <c r="S293" i="9"/>
  <c r="P293" i="9"/>
  <c r="R327" i="9"/>
  <c r="V327" i="9"/>
  <c r="T327" i="9"/>
  <c r="V284" i="9"/>
  <c r="T284" i="9"/>
  <c r="R284" i="9"/>
  <c r="J284" i="12"/>
  <c r="V279" i="9"/>
  <c r="T279" i="9"/>
  <c r="R279" i="9"/>
  <c r="V217" i="9"/>
  <c r="T217" i="9"/>
  <c r="R217" i="9"/>
  <c r="AZ99" i="7"/>
  <c r="J217" i="12"/>
  <c r="T353" i="9"/>
  <c r="R353" i="9"/>
  <c r="V353" i="9"/>
  <c r="AZ155" i="7"/>
  <c r="T119" i="9"/>
  <c r="V119" i="9"/>
  <c r="R119" i="9"/>
  <c r="AZ58" i="7"/>
  <c r="T90" i="9"/>
  <c r="R90" i="9"/>
  <c r="V90" i="9"/>
  <c r="T133" i="9"/>
  <c r="V133" i="9"/>
  <c r="R133" i="9"/>
  <c r="AZ64" i="7"/>
  <c r="J133" i="12"/>
  <c r="V261" i="9"/>
  <c r="T261" i="9"/>
  <c r="R261" i="9"/>
  <c r="AZ117" i="7"/>
  <c r="V136" i="9"/>
  <c r="T136" i="9"/>
  <c r="R136" i="9"/>
  <c r="T292" i="9"/>
  <c r="R292" i="9"/>
  <c r="V292" i="9"/>
  <c r="J292" i="12"/>
  <c r="V143" i="9"/>
  <c r="T143" i="9"/>
  <c r="R143" i="9"/>
  <c r="AZ68" i="7"/>
  <c r="R60" i="9"/>
  <c r="V60" i="9"/>
  <c r="T60" i="9"/>
  <c r="AN142" i="7"/>
  <c r="AL142" i="7"/>
  <c r="V46" i="9"/>
  <c r="T46" i="9"/>
  <c r="R46" i="9"/>
  <c r="AK22" i="7"/>
  <c r="AI22" i="7"/>
  <c r="AX22" i="7"/>
  <c r="H33" i="12"/>
  <c r="AH89" i="7"/>
  <c r="AG89" i="7"/>
  <c r="AN89" i="7" s="1"/>
  <c r="AF89" i="7"/>
  <c r="AS53" i="7"/>
  <c r="AV53" i="7" s="1"/>
  <c r="AR53" i="7"/>
  <c r="AT53" i="7"/>
  <c r="AP107" i="12" s="1"/>
  <c r="AB86" i="7"/>
  <c r="AD86" i="7"/>
  <c r="AO187" i="12" s="1"/>
  <c r="AC86" i="7"/>
  <c r="AJ72" i="7"/>
  <c r="AO72" i="7"/>
  <c r="AF158" i="5"/>
  <c r="AS43" i="20" s="1"/>
  <c r="AL43" i="20"/>
  <c r="R315" i="9"/>
  <c r="V315" i="9"/>
  <c r="T315" i="9"/>
  <c r="T320" i="9"/>
  <c r="R320" i="9"/>
  <c r="V320" i="9"/>
  <c r="T116" i="9"/>
  <c r="R116" i="9"/>
  <c r="V116" i="9"/>
  <c r="J116" i="12"/>
  <c r="T42" i="9"/>
  <c r="R42" i="9"/>
  <c r="V42" i="9"/>
  <c r="V196" i="9"/>
  <c r="T196" i="9"/>
  <c r="R196" i="9"/>
  <c r="J196" i="12"/>
  <c r="V84" i="9"/>
  <c r="T84" i="9"/>
  <c r="R84" i="9"/>
  <c r="T49" i="9"/>
  <c r="R49" i="9"/>
  <c r="V49" i="9"/>
  <c r="AZ29" i="7"/>
  <c r="J49" i="12"/>
  <c r="S174" i="9"/>
  <c r="P174" i="9"/>
  <c r="J190" i="12"/>
  <c r="J286" i="12"/>
  <c r="R50" i="9"/>
  <c r="V50" i="9"/>
  <c r="T50" i="9"/>
  <c r="T54" i="9"/>
  <c r="V54" i="9"/>
  <c r="R54" i="9"/>
  <c r="J54" i="12"/>
  <c r="P30" i="9"/>
  <c r="AL141" i="7"/>
  <c r="AM141" i="7"/>
  <c r="AT74" i="7"/>
  <c r="AP157" i="12" s="1"/>
  <c r="AS74" i="7"/>
  <c r="AR74" i="7"/>
  <c r="AG109" i="7"/>
  <c r="AN109" i="7" s="1"/>
  <c r="AH109" i="7"/>
  <c r="AF109" i="7"/>
  <c r="AK51" i="7"/>
  <c r="AI51" i="7"/>
  <c r="AX51" i="7"/>
  <c r="H103" i="12"/>
  <c r="W103" i="9"/>
  <c r="AL34" i="7"/>
  <c r="AM34" i="7"/>
  <c r="AF101" i="5"/>
  <c r="AQ32" i="20" s="1"/>
  <c r="AJ32" i="20"/>
  <c r="T54" i="14"/>
  <c r="M54" i="14"/>
  <c r="W54" i="14" s="1"/>
  <c r="Z54" i="14" s="1"/>
  <c r="L54" i="14"/>
  <c r="EL42" i="6"/>
  <c r="EH42" i="6"/>
  <c r="T320" i="16"/>
  <c r="R320" i="16"/>
  <c r="S320" i="16" s="1"/>
  <c r="S383" i="16"/>
  <c r="T383" i="16" s="1"/>
  <c r="R326" i="16"/>
  <c r="T264" i="16"/>
  <c r="S264" i="16"/>
  <c r="R226" i="16"/>
  <c r="S226" i="16" s="1"/>
  <c r="T415" i="16"/>
  <c r="S415" i="16"/>
  <c r="T225" i="16"/>
  <c r="S225" i="16"/>
  <c r="T164" i="16"/>
  <c r="S164" i="16"/>
  <c r="R270" i="16"/>
  <c r="T213" i="16"/>
  <c r="S213" i="16"/>
  <c r="T51" i="16"/>
  <c r="S51" i="16"/>
  <c r="R51" i="16"/>
  <c r="T143" i="16"/>
  <c r="S149" i="16"/>
  <c r="R149" i="16"/>
  <c r="T149" i="16" s="1"/>
  <c r="R142" i="16"/>
  <c r="T142" i="16" s="1"/>
  <c r="EF50" i="6"/>
  <c r="R27" i="16"/>
  <c r="EG50" i="6" s="1"/>
  <c r="EM46" i="6"/>
  <c r="EI46" i="6"/>
  <c r="T367" i="16"/>
  <c r="S367" i="16"/>
  <c r="T319" i="16"/>
  <c r="S319" i="16"/>
  <c r="R319" i="16"/>
  <c r="S315" i="16"/>
  <c r="R327" i="16"/>
  <c r="S327" i="16" s="1"/>
  <c r="T327" i="16" s="1"/>
  <c r="T189" i="16"/>
  <c r="S189" i="16"/>
  <c r="S412" i="16"/>
  <c r="R412" i="16"/>
  <c r="T412" i="16" s="1"/>
  <c r="R231" i="16"/>
  <c r="S231" i="16" s="1"/>
  <c r="S260" i="16"/>
  <c r="T260" i="16" s="1"/>
  <c r="T134" i="16"/>
  <c r="S134" i="16"/>
  <c r="T105" i="16"/>
  <c r="O4" i="16"/>
  <c r="J4" i="16" s="1"/>
  <c r="ED38" i="6"/>
  <c r="S102" i="16"/>
  <c r="M15" i="13"/>
  <c r="H4" i="13"/>
  <c r="S46" i="16"/>
  <c r="M4" i="20"/>
  <c r="AE93" i="10"/>
  <c r="V351" i="9"/>
  <c r="T351" i="9"/>
  <c r="R351" i="9"/>
  <c r="V241" i="9"/>
  <c r="T241" i="9"/>
  <c r="R241" i="9"/>
  <c r="AZ109" i="7"/>
  <c r="V321" i="9"/>
  <c r="T321" i="9"/>
  <c r="R321" i="9"/>
  <c r="AZ142" i="7"/>
  <c r="T26" i="9"/>
  <c r="R26" i="9"/>
  <c r="V26" i="9"/>
  <c r="AE18" i="10"/>
  <c r="T63" i="9"/>
  <c r="R63" i="9"/>
  <c r="V63" i="9"/>
  <c r="AS143" i="7"/>
  <c r="AV143" i="7" s="1"/>
  <c r="AR143" i="7"/>
  <c r="AT143" i="7"/>
  <c r="AP323" i="12" s="1"/>
  <c r="V38" i="9"/>
  <c r="R38" i="9"/>
  <c r="T38" i="9"/>
  <c r="AE22" i="10"/>
  <c r="J136" i="12"/>
  <c r="J315" i="12"/>
  <c r="R79" i="9"/>
  <c r="V79" i="9"/>
  <c r="T79" i="9"/>
  <c r="AZ41" i="7"/>
  <c r="AI151" i="7"/>
  <c r="AK151" i="7"/>
  <c r="AX151" i="7"/>
  <c r="AR82" i="7"/>
  <c r="AT82" i="7"/>
  <c r="AP177" i="12" s="1"/>
  <c r="AS82" i="7"/>
  <c r="AJ106" i="7"/>
  <c r="AO106" i="7"/>
  <c r="AD109" i="7"/>
  <c r="AO241" i="12" s="1"/>
  <c r="AB109" i="7"/>
  <c r="AC109" i="7"/>
  <c r="AD15" i="5"/>
  <c r="AL22" i="12"/>
  <c r="L22" i="12"/>
  <c r="AJ22" i="12"/>
  <c r="AG22" i="12"/>
  <c r="AA22" i="12"/>
  <c r="AD22" i="12"/>
  <c r="X22" i="12"/>
  <c r="V22" i="12"/>
  <c r="P22" i="12"/>
  <c r="O22" i="12"/>
  <c r="N22" i="12"/>
  <c r="M22" i="12"/>
  <c r="EH41" i="6"/>
  <c r="EL41" i="6"/>
  <c r="S69" i="16"/>
  <c r="T69" i="16"/>
  <c r="V317" i="9"/>
  <c r="T317" i="9"/>
  <c r="R317" i="9"/>
  <c r="AZ140" i="7"/>
  <c r="V306" i="9"/>
  <c r="T306" i="9"/>
  <c r="R306" i="9"/>
  <c r="T363" i="16"/>
  <c r="S363" i="16"/>
  <c r="S312" i="16"/>
  <c r="T312" i="16" s="1"/>
  <c r="S235" i="16"/>
  <c r="T235" i="16"/>
  <c r="T355" i="16"/>
  <c r="S355" i="16"/>
  <c r="R315" i="16"/>
  <c r="T315" i="16" s="1"/>
  <c r="T223" i="16"/>
  <c r="S223" i="16"/>
  <c r="T287" i="16"/>
  <c r="T239" i="16"/>
  <c r="S239" i="16"/>
  <c r="T236" i="16"/>
  <c r="S236" i="16"/>
  <c r="T244" i="16"/>
  <c r="S244" i="16"/>
  <c r="T165" i="16"/>
  <c r="S165" i="16"/>
  <c r="R165" i="16"/>
  <c r="R120" i="16"/>
  <c r="S120" i="16" s="1"/>
  <c r="T120" i="16" s="1"/>
  <c r="R102" i="16"/>
  <c r="EG41" i="6" s="1"/>
  <c r="T128" i="16"/>
  <c r="T67" i="16"/>
  <c r="R135" i="16"/>
  <c r="T135" i="16" s="1"/>
  <c r="R392" i="16"/>
  <c r="T392" i="16" s="1"/>
  <c r="S297" i="16"/>
  <c r="T297" i="16" s="1"/>
  <c r="R223" i="16"/>
  <c r="T237" i="16"/>
  <c r="R237" i="16"/>
  <c r="S237" i="16" s="1"/>
  <c r="S275" i="16"/>
  <c r="T275" i="16" s="1"/>
  <c r="R275" i="16"/>
  <c r="R244" i="16"/>
  <c r="V314" i="9"/>
  <c r="T314" i="9"/>
  <c r="R314" i="9"/>
  <c r="AE114" i="10"/>
  <c r="AE90" i="10"/>
  <c r="R282" i="9"/>
  <c r="V282" i="9"/>
  <c r="T282" i="9"/>
  <c r="V198" i="9"/>
  <c r="T198" i="9"/>
  <c r="R198" i="9"/>
  <c r="V318" i="9"/>
  <c r="T318" i="9"/>
  <c r="R318" i="9"/>
  <c r="R195" i="9"/>
  <c r="V195" i="9"/>
  <c r="T195" i="9"/>
  <c r="R350" i="9"/>
  <c r="V350" i="9"/>
  <c r="T350" i="9"/>
  <c r="S15" i="9"/>
  <c r="O4" i="9"/>
  <c r="R229" i="9"/>
  <c r="V229" i="9"/>
  <c r="T229" i="9"/>
  <c r="AZ104" i="7"/>
  <c r="AS151" i="7"/>
  <c r="AR151" i="7"/>
  <c r="AT151" i="7"/>
  <c r="AP343" i="12" s="1"/>
  <c r="R107" i="9"/>
  <c r="V107" i="9"/>
  <c r="T107" i="9"/>
  <c r="AZ53" i="7"/>
  <c r="AE126" i="10"/>
  <c r="V114" i="9"/>
  <c r="T114" i="9"/>
  <c r="R114" i="9"/>
  <c r="S197" i="9"/>
  <c r="Q197" i="9"/>
  <c r="AQ197" i="12" s="1"/>
  <c r="AJ123" i="7"/>
  <c r="AO123" i="7"/>
  <c r="AM143" i="7"/>
  <c r="AL143" i="7"/>
  <c r="AI106" i="7"/>
  <c r="AX106" i="7"/>
  <c r="AK106" i="7"/>
  <c r="AO38" i="7"/>
  <c r="AJ38" i="7"/>
  <c r="AH29" i="7"/>
  <c r="AG29" i="7"/>
  <c r="AN29" i="7" s="1"/>
  <c r="AF29" i="7"/>
  <c r="AN88" i="7"/>
  <c r="AL88" i="7"/>
  <c r="AT41" i="7"/>
  <c r="AP79" i="12" s="1"/>
  <c r="AS41" i="7"/>
  <c r="AR41" i="7"/>
  <c r="Z114" i="5"/>
  <c r="AB114" i="5"/>
  <c r="AD114" i="5" s="1"/>
  <c r="R363" i="16"/>
  <c r="S337" i="16"/>
  <c r="T337" i="16"/>
  <c r="T294" i="16"/>
  <c r="S294" i="16"/>
  <c r="R294" i="16"/>
  <c r="R336" i="16"/>
  <c r="T336" i="16" s="1"/>
  <c r="S257" i="16"/>
  <c r="T257" i="16" s="1"/>
  <c r="T212" i="16"/>
  <c r="S212" i="16"/>
  <c r="R272" i="16"/>
  <c r="T332" i="16"/>
  <c r="R109" i="16"/>
  <c r="T109" i="16" s="1"/>
  <c r="R303" i="16"/>
  <c r="S303" i="16" s="1"/>
  <c r="T303" i="16" s="1"/>
  <c r="R161" i="16"/>
  <c r="T161" i="16" s="1"/>
  <c r="Q4" i="16"/>
  <c r="T15" i="16"/>
  <c r="S15" i="16"/>
  <c r="EF38" i="6"/>
  <c r="S77" i="16"/>
  <c r="R67" i="16"/>
  <c r="EG48" i="6" s="1"/>
  <c r="T40" i="16"/>
  <c r="S40" i="16"/>
  <c r="R357" i="16"/>
  <c r="T325" i="16"/>
  <c r="T399" i="16"/>
  <c r="S399" i="16"/>
  <c r="R399" i="16"/>
  <c r="R373" i="16"/>
  <c r="T373" i="16" s="1"/>
  <c r="R289" i="16"/>
  <c r="R407" i="16"/>
  <c r="S313" i="16"/>
  <c r="T313" i="16" s="1"/>
  <c r="T206" i="16"/>
  <c r="S206" i="16"/>
  <c r="R206" i="16"/>
  <c r="S285" i="16"/>
  <c r="S282" i="16"/>
  <c r="T401" i="16"/>
  <c r="S401" i="16"/>
  <c r="R257" i="16"/>
  <c r="T317" i="16"/>
  <c r="S317" i="16"/>
  <c r="R415" i="16"/>
  <c r="S269" i="16"/>
  <c r="T269" i="16" s="1"/>
  <c r="T137" i="16"/>
  <c r="S137" i="16"/>
  <c r="R111" i="16"/>
  <c r="T111" i="16" s="1"/>
  <c r="R77" i="16"/>
  <c r="T77" i="16" s="1"/>
  <c r="S99" i="16"/>
  <c r="T148" i="16"/>
  <c r="S148" i="16"/>
  <c r="S42" i="16"/>
  <c r="R40" i="16"/>
  <c r="V349" i="9"/>
  <c r="T349" i="9"/>
  <c r="R349" i="9"/>
  <c r="AZ154" i="7"/>
  <c r="V332" i="9"/>
  <c r="T332" i="9"/>
  <c r="R332" i="9"/>
  <c r="V330" i="9"/>
  <c r="R330" i="9"/>
  <c r="T330" i="9"/>
  <c r="Q330" i="9"/>
  <c r="AQ330" i="12" s="1"/>
  <c r="T250" i="9"/>
  <c r="R250" i="9"/>
  <c r="V250" i="9"/>
  <c r="AE92" i="10"/>
  <c r="R326" i="9"/>
  <c r="V326" i="9"/>
  <c r="T326" i="9"/>
  <c r="S305" i="9"/>
  <c r="Q305" i="9"/>
  <c r="AQ305" i="12" s="1"/>
  <c r="P305" i="9"/>
  <c r="S173" i="9"/>
  <c r="Q173" i="9"/>
  <c r="AQ173" i="12" s="1"/>
  <c r="V334" i="9"/>
  <c r="T334" i="9"/>
  <c r="R334" i="9"/>
  <c r="S150" i="9"/>
  <c r="P150" i="9"/>
  <c r="R93" i="9"/>
  <c r="T93" i="9"/>
  <c r="V93" i="9"/>
  <c r="AZ47" i="7"/>
  <c r="P197" i="9"/>
  <c r="AR116" i="7"/>
  <c r="AT116" i="7"/>
  <c r="AP259" i="12" s="1"/>
  <c r="AS116" i="7"/>
  <c r="AM111" i="7"/>
  <c r="AL111" i="7"/>
  <c r="AJ87" i="7"/>
  <c r="AO87" i="7"/>
  <c r="AJ51" i="7"/>
  <c r="AO51" i="7"/>
  <c r="S269" i="9"/>
  <c r="P269" i="9"/>
  <c r="R313" i="9"/>
  <c r="V313" i="9"/>
  <c r="T313" i="9"/>
  <c r="AZ139" i="7"/>
  <c r="J313" i="12"/>
  <c r="R238" i="9"/>
  <c r="V238" i="9"/>
  <c r="T238" i="9"/>
  <c r="AE88" i="10"/>
  <c r="J238" i="12"/>
  <c r="V48" i="9"/>
  <c r="T48" i="9"/>
  <c r="R48" i="9"/>
  <c r="V215" i="9"/>
  <c r="R215" i="9"/>
  <c r="T215" i="9"/>
  <c r="AZ98" i="7"/>
  <c r="P173" i="9"/>
  <c r="P258" i="9"/>
  <c r="V24" i="9"/>
  <c r="T24" i="9"/>
  <c r="R24" i="9"/>
  <c r="R140" i="9"/>
  <c r="V140" i="9"/>
  <c r="T140" i="9"/>
  <c r="J140" i="12"/>
  <c r="R169" i="9"/>
  <c r="V169" i="9"/>
  <c r="T169" i="9"/>
  <c r="AZ79" i="7"/>
  <c r="AE37" i="10"/>
  <c r="J42" i="12"/>
  <c r="J193" i="12"/>
  <c r="J112" i="12"/>
  <c r="S78" i="9"/>
  <c r="Q78" i="9"/>
  <c r="AQ78" i="12" s="1"/>
  <c r="P78" i="9"/>
  <c r="S65" i="9"/>
  <c r="Q65" i="9"/>
  <c r="AQ65" i="12" s="1"/>
  <c r="V53" i="9"/>
  <c r="T53" i="9"/>
  <c r="R53" i="9"/>
  <c r="AZ30" i="7"/>
  <c r="R16" i="9"/>
  <c r="V16" i="9"/>
  <c r="T16" i="9"/>
  <c r="J16" i="12"/>
  <c r="AM123" i="7"/>
  <c r="AL123" i="7"/>
  <c r="AX73" i="7"/>
  <c r="AK73" i="7"/>
  <c r="AI73" i="7"/>
  <c r="AK31" i="7"/>
  <c r="AI31" i="7"/>
  <c r="AX31" i="7"/>
  <c r="H55" i="12"/>
  <c r="W55" i="9"/>
  <c r="AO23" i="7"/>
  <c r="AJ23" i="7"/>
  <c r="AJ24" i="7"/>
  <c r="AO24" i="7"/>
  <c r="Z139" i="5"/>
  <c r="AB139" i="5"/>
  <c r="AD139" i="5" s="1"/>
  <c r="AF57" i="5"/>
  <c r="AR23" i="20" s="1"/>
  <c r="AK23" i="20"/>
  <c r="T404" i="16"/>
  <c r="S404" i="16"/>
  <c r="T145" i="16"/>
  <c r="S145" i="16"/>
  <c r="R145" i="16"/>
  <c r="R352" i="9"/>
  <c r="V352" i="9"/>
  <c r="T352" i="9"/>
  <c r="T374" i="16"/>
  <c r="S374" i="16"/>
  <c r="R374" i="16"/>
  <c r="S329" i="16"/>
  <c r="T329" i="16"/>
  <c r="S323" i="16"/>
  <c r="R323" i="16"/>
  <c r="T323" i="16" s="1"/>
  <c r="T411" i="16"/>
  <c r="S411" i="16"/>
  <c r="R404" i="16"/>
  <c r="T249" i="16"/>
  <c r="S249" i="16"/>
  <c r="T328" i="16"/>
  <c r="S328" i="16"/>
  <c r="R410" i="16"/>
  <c r="S271" i="16"/>
  <c r="T271" i="16" s="1"/>
  <c r="T280" i="16"/>
  <c r="S280" i="16"/>
  <c r="S276" i="16"/>
  <c r="T276" i="16" s="1"/>
  <c r="R239" i="16"/>
  <c r="S267" i="16"/>
  <c r="T267" i="16" s="1"/>
  <c r="T322" i="16"/>
  <c r="S322" i="16"/>
  <c r="R245" i="16"/>
  <c r="S274" i="16"/>
  <c r="T274" i="16" s="1"/>
  <c r="R242" i="16"/>
  <c r="T242" i="16" s="1"/>
  <c r="R190" i="16"/>
  <c r="S190" i="16" s="1"/>
  <c r="T107" i="16"/>
  <c r="S107" i="16"/>
  <c r="T117" i="16"/>
  <c r="S117" i="16"/>
  <c r="T163" i="16"/>
  <c r="S163" i="16"/>
  <c r="T101" i="16"/>
  <c r="S101" i="16"/>
  <c r="T139" i="16"/>
  <c r="S139" i="16"/>
  <c r="EE50" i="6"/>
  <c r="R100" i="16"/>
  <c r="T100" i="16" s="1"/>
  <c r="J354" i="12"/>
  <c r="AD15" i="10"/>
  <c r="AR24" i="12"/>
  <c r="R342" i="9"/>
  <c r="V342" i="9"/>
  <c r="T342" i="9"/>
  <c r="T264" i="9"/>
  <c r="V264" i="9"/>
  <c r="R264" i="9"/>
  <c r="AE97" i="10"/>
  <c r="S209" i="9"/>
  <c r="Q209" i="9"/>
  <c r="AQ209" i="12" s="1"/>
  <c r="P209" i="9"/>
  <c r="T31" i="9"/>
  <c r="R31" i="9"/>
  <c r="V31" i="9"/>
  <c r="AZ21" i="7"/>
  <c r="V97" i="9"/>
  <c r="T97" i="9"/>
  <c r="R97" i="9"/>
  <c r="AZ49" i="7"/>
  <c r="V65" i="9"/>
  <c r="T65" i="9"/>
  <c r="R65" i="9"/>
  <c r="AZ35" i="7"/>
  <c r="J65" i="12"/>
  <c r="V69" i="9"/>
  <c r="T69" i="9"/>
  <c r="R69" i="9"/>
  <c r="AZ37" i="7"/>
  <c r="AO131" i="7"/>
  <c r="AO295" i="12"/>
  <c r="AD136" i="7"/>
  <c r="AO307" i="12" s="1"/>
  <c r="AC136" i="7"/>
  <c r="AB136" i="7"/>
  <c r="AT121" i="7"/>
  <c r="AP271" i="12" s="1"/>
  <c r="AS121" i="7"/>
  <c r="AR121" i="7"/>
  <c r="AR112" i="7"/>
  <c r="AS112" i="7"/>
  <c r="AT112" i="7"/>
  <c r="AP249" i="12" s="1"/>
  <c r="AJ157" i="7"/>
  <c r="AO157" i="7"/>
  <c r="AJ16" i="7"/>
  <c r="AO16" i="7"/>
  <c r="AD17" i="7"/>
  <c r="AO21" i="12" s="1"/>
  <c r="AC17" i="7"/>
  <c r="AB17" i="7"/>
  <c r="AA4" i="7"/>
  <c r="M15" i="14"/>
  <c r="V64" i="9"/>
  <c r="R64" i="9"/>
  <c r="T64" i="9"/>
  <c r="R123" i="9"/>
  <c r="V123" i="9"/>
  <c r="T123" i="9"/>
  <c r="AJ134" i="7"/>
  <c r="AO134" i="7"/>
  <c r="V40" i="9"/>
  <c r="T40" i="9"/>
  <c r="R40" i="9"/>
  <c r="J40" i="12"/>
  <c r="AK157" i="7"/>
  <c r="AI157" i="7"/>
  <c r="AX157" i="7"/>
  <c r="H357" i="12"/>
  <c r="AS29" i="7"/>
  <c r="AR29" i="7"/>
  <c r="AT29" i="7"/>
  <c r="AP49" i="12" s="1"/>
  <c r="AJ101" i="7"/>
  <c r="AO101" i="7"/>
  <c r="Q354" i="9"/>
  <c r="AQ354" i="12" s="1"/>
  <c r="R338" i="9"/>
  <c r="V338" i="9"/>
  <c r="T338" i="9"/>
  <c r="T234" i="9"/>
  <c r="R234" i="9"/>
  <c r="V234" i="9"/>
  <c r="J234" i="12"/>
  <c r="Q234" i="9"/>
  <c r="AQ234" i="12" s="1"/>
  <c r="R254" i="9"/>
  <c r="V254" i="9"/>
  <c r="T254" i="9"/>
  <c r="R277" i="9"/>
  <c r="V277" i="9"/>
  <c r="T277" i="9"/>
  <c r="AZ124" i="7"/>
  <c r="T15" i="9"/>
  <c r="R15" i="9"/>
  <c r="V15" i="9"/>
  <c r="R227" i="9"/>
  <c r="V227" i="9"/>
  <c r="T227" i="9"/>
  <c r="J227" i="12"/>
  <c r="V47" i="9"/>
  <c r="T47" i="9"/>
  <c r="R47" i="9"/>
  <c r="AZ28" i="7"/>
  <c r="J38" i="12"/>
  <c r="J229" i="12"/>
  <c r="V25" i="9"/>
  <c r="T25" i="9"/>
  <c r="R25" i="9"/>
  <c r="AZ19" i="7"/>
  <c r="V111" i="9"/>
  <c r="T111" i="9"/>
  <c r="R111" i="9"/>
  <c r="AM158" i="7"/>
  <c r="AL158" i="7"/>
  <c r="AC113" i="7"/>
  <c r="AB113" i="7"/>
  <c r="AD113" i="7"/>
  <c r="AO251" i="12" s="1"/>
  <c r="AH152" i="7"/>
  <c r="AF152" i="7"/>
  <c r="AG152" i="7"/>
  <c r="AN152" i="7" s="1"/>
  <c r="AI134" i="7"/>
  <c r="AK134" i="7"/>
  <c r="AX134" i="7"/>
  <c r="AK141" i="7"/>
  <c r="AX141" i="7"/>
  <c r="AI141" i="7"/>
  <c r="H319" i="12"/>
  <c r="AO141" i="7"/>
  <c r="S126" i="9"/>
  <c r="P126" i="9"/>
  <c r="AH69" i="7"/>
  <c r="AG69" i="7"/>
  <c r="AN69" i="7" s="1"/>
  <c r="AF69" i="7"/>
  <c r="AJ15" i="7"/>
  <c r="AD15" i="7"/>
  <c r="AD77" i="7"/>
  <c r="AO165" i="12" s="1"/>
  <c r="AC77" i="7"/>
  <c r="AB77" i="7"/>
  <c r="AF135" i="5"/>
  <c r="AP39" i="20" s="1"/>
  <c r="AI39" i="20"/>
  <c r="AF112" i="5"/>
  <c r="AR34" i="20" s="1"/>
  <c r="AK34" i="20"/>
  <c r="C4" i="20"/>
  <c r="V316" i="9"/>
  <c r="T316" i="9"/>
  <c r="R316" i="9"/>
  <c r="V204" i="9"/>
  <c r="T204" i="9"/>
  <c r="R204" i="9"/>
  <c r="Y20" i="9"/>
  <c r="V58" i="9"/>
  <c r="R58" i="9"/>
  <c r="T58" i="9"/>
  <c r="AE70" i="10"/>
  <c r="J306" i="12"/>
  <c r="T43" i="9"/>
  <c r="V43" i="9"/>
  <c r="R43" i="9"/>
  <c r="AZ26" i="7"/>
  <c r="V98" i="9"/>
  <c r="T98" i="9"/>
  <c r="R98" i="9"/>
  <c r="AE42" i="10"/>
  <c r="R94" i="9"/>
  <c r="V94" i="9"/>
  <c r="T94" i="9"/>
  <c r="AE40" i="10"/>
  <c r="J94" i="12"/>
  <c r="T141" i="9"/>
  <c r="R141" i="9"/>
  <c r="V141" i="9"/>
  <c r="AZ67" i="7"/>
  <c r="R124" i="9"/>
  <c r="V124" i="9"/>
  <c r="T124" i="9"/>
  <c r="AM117" i="7"/>
  <c r="AL117" i="7"/>
  <c r="AS21" i="7"/>
  <c r="AR21" i="7"/>
  <c r="AT21" i="7"/>
  <c r="AP31" i="12" s="1"/>
  <c r="AH61" i="7"/>
  <c r="AG61" i="7"/>
  <c r="AN61" i="7" s="1"/>
  <c r="AF61" i="7"/>
  <c r="AT148" i="7"/>
  <c r="AP335" i="12" s="1"/>
  <c r="AR148" i="7"/>
  <c r="AS148" i="7"/>
  <c r="AZ103" i="7"/>
  <c r="M22" i="14"/>
  <c r="W22" i="14" s="1"/>
  <c r="Z22" i="14" s="1"/>
  <c r="L22" i="14"/>
  <c r="T22" i="14"/>
  <c r="S25" i="16"/>
  <c r="T25" i="16"/>
  <c r="EF48" i="6"/>
  <c r="R124" i="16"/>
  <c r="EG49" i="6" s="1"/>
  <c r="R78" i="16"/>
  <c r="O17" i="12"/>
  <c r="AL17" i="12"/>
  <c r="AG17" i="12"/>
  <c r="AJ17" i="12"/>
  <c r="AD17" i="12"/>
  <c r="AA17" i="12"/>
  <c r="X17" i="12"/>
  <c r="P17" i="12"/>
  <c r="M17" i="12"/>
  <c r="S396" i="16"/>
  <c r="T396" i="16" s="1"/>
  <c r="R385" i="16"/>
  <c r="S385" i="16" s="1"/>
  <c r="T386" i="16"/>
  <c r="S386" i="16"/>
  <c r="T299" i="16"/>
  <c r="T371" i="16"/>
  <c r="S371" i="16"/>
  <c r="R331" i="16"/>
  <c r="R362" i="16"/>
  <c r="T362" i="16" s="1"/>
  <c r="T378" i="16"/>
  <c r="S378" i="16"/>
  <c r="R279" i="16"/>
  <c r="T279" i="16" s="1"/>
  <c r="T220" i="16"/>
  <c r="S220" i="16"/>
  <c r="R220" i="16"/>
  <c r="R205" i="16"/>
  <c r="T205" i="16" s="1"/>
  <c r="R310" i="16"/>
  <c r="T266" i="16"/>
  <c r="S266" i="16"/>
  <c r="T140" i="16"/>
  <c r="S140" i="16"/>
  <c r="S158" i="16"/>
  <c r="T158" i="16"/>
  <c r="R150" i="16"/>
  <c r="EG47" i="6" s="1"/>
  <c r="T177" i="16"/>
  <c r="S177" i="16"/>
  <c r="T114" i="16"/>
  <c r="S114" i="16"/>
  <c r="R277" i="16"/>
  <c r="T277" i="16" s="1"/>
  <c r="R129" i="16"/>
  <c r="T129" i="16" s="1"/>
  <c r="R188" i="16"/>
  <c r="T188" i="16" s="1"/>
  <c r="R43" i="16"/>
  <c r="S43" i="16" s="1"/>
  <c r="S41" i="16"/>
  <c r="T41" i="16"/>
  <c r="R105" i="16"/>
  <c r="S105" i="16" s="1"/>
  <c r="R119" i="16"/>
  <c r="R138" i="16"/>
  <c r="T138" i="16" s="1"/>
  <c r="S37" i="16"/>
  <c r="T37" i="16"/>
  <c r="R36" i="16"/>
  <c r="S36" i="16" s="1"/>
  <c r="T308" i="9"/>
  <c r="V308" i="9"/>
  <c r="R308" i="9"/>
  <c r="AE111" i="10"/>
  <c r="V360" i="9"/>
  <c r="T360" i="9"/>
  <c r="R360" i="9"/>
  <c r="J360" i="12"/>
  <c r="T275" i="9"/>
  <c r="R275" i="9"/>
  <c r="V275" i="9"/>
  <c r="V280" i="9"/>
  <c r="T280" i="9"/>
  <c r="R280" i="9"/>
  <c r="J280" i="12"/>
  <c r="V249" i="9"/>
  <c r="T249" i="9"/>
  <c r="R249" i="9"/>
  <c r="AZ112" i="7"/>
  <c r="T91" i="9"/>
  <c r="R91" i="9"/>
  <c r="V91" i="9"/>
  <c r="AZ46" i="7"/>
  <c r="V302" i="9"/>
  <c r="T302" i="9"/>
  <c r="R302" i="9"/>
  <c r="R172" i="9"/>
  <c r="T172" i="9"/>
  <c r="V172" i="9"/>
  <c r="V144" i="9"/>
  <c r="T144" i="9"/>
  <c r="R144" i="9"/>
  <c r="J144" i="12"/>
  <c r="Q89" i="9"/>
  <c r="AQ89" i="12" s="1"/>
  <c r="J308" i="12"/>
  <c r="R109" i="9"/>
  <c r="V109" i="9"/>
  <c r="T109" i="9"/>
  <c r="AZ54" i="7"/>
  <c r="J109" i="12"/>
  <c r="AL156" i="7"/>
  <c r="AM156" i="7"/>
  <c r="AJ103" i="7"/>
  <c r="AO103" i="7"/>
  <c r="AU108" i="7"/>
  <c r="AY108" i="7"/>
  <c r="X239" i="9"/>
  <c r="AV108" i="7"/>
  <c r="Z133" i="5"/>
  <c r="AB133" i="5"/>
  <c r="AD133" i="5" s="1"/>
  <c r="AF145" i="5"/>
  <c r="AP41" i="20" s="1"/>
  <c r="AI41" i="20"/>
  <c r="Z18" i="5"/>
  <c r="AB18" i="5"/>
  <c r="AD18" i="5" s="1"/>
  <c r="V35" i="9"/>
  <c r="T35" i="9"/>
  <c r="R35" i="9"/>
  <c r="AZ23" i="7"/>
  <c r="V80" i="9"/>
  <c r="T80" i="9"/>
  <c r="R80" i="9"/>
  <c r="AL157" i="7"/>
  <c r="AM157" i="7"/>
  <c r="V39" i="9"/>
  <c r="T39" i="9"/>
  <c r="R39" i="9"/>
  <c r="AH133" i="7"/>
  <c r="AG133" i="7"/>
  <c r="AN133" i="7" s="1"/>
  <c r="AF133" i="7"/>
  <c r="AD89" i="7"/>
  <c r="AO193" i="12" s="1"/>
  <c r="AB89" i="7"/>
  <c r="AC89" i="7"/>
  <c r="AK47" i="7"/>
  <c r="AI47" i="7"/>
  <c r="AX47" i="7"/>
  <c r="AO39" i="7"/>
  <c r="AJ39" i="7"/>
  <c r="AH102" i="7"/>
  <c r="AG102" i="7"/>
  <c r="AN102" i="7" s="1"/>
  <c r="AF102" i="7"/>
  <c r="H93" i="12"/>
  <c r="AK19" i="7"/>
  <c r="AI19" i="7"/>
  <c r="AX19" i="7"/>
  <c r="AK52" i="7"/>
  <c r="AI52" i="7"/>
  <c r="AX52" i="7"/>
  <c r="AI49" i="7"/>
  <c r="AX49" i="7"/>
  <c r="AK49" i="7"/>
  <c r="AM78" i="7"/>
  <c r="AL78" i="7"/>
  <c r="AO73" i="7"/>
  <c r="AL16" i="20"/>
  <c r="AM23" i="20"/>
  <c r="AJ22" i="20"/>
  <c r="U35" i="20"/>
  <c r="AF41" i="20"/>
  <c r="AJ30" i="20"/>
  <c r="AC31" i="20"/>
  <c r="AK36" i="20"/>
  <c r="AL148" i="5"/>
  <c r="BG41" i="20" s="1"/>
  <c r="AN148" i="5"/>
  <c r="BN41" i="20" s="1"/>
  <c r="AL147" i="5"/>
  <c r="BF41" i="20" s="1"/>
  <c r="AN147" i="5"/>
  <c r="BM41" i="20" s="1"/>
  <c r="Z131" i="5"/>
  <c r="AB131" i="5"/>
  <c r="AD131" i="5" s="1"/>
  <c r="AN97" i="5"/>
  <c r="BM31" i="20" s="1"/>
  <c r="AL97" i="5"/>
  <c r="BF31" i="20" s="1"/>
  <c r="W107" i="14"/>
  <c r="Z107" i="14" s="1"/>
  <c r="X107" i="5"/>
  <c r="L21" i="14"/>
  <c r="T21" i="14"/>
  <c r="M21" i="14"/>
  <c r="W21" i="14" s="1"/>
  <c r="Z21" i="14" s="1"/>
  <c r="T358" i="9"/>
  <c r="R358" i="9"/>
  <c r="V358" i="9"/>
  <c r="V260" i="9"/>
  <c r="T260" i="9"/>
  <c r="R260" i="9"/>
  <c r="T223" i="9"/>
  <c r="V223" i="9"/>
  <c r="R223" i="9"/>
  <c r="AZ101" i="7"/>
  <c r="T304" i="9"/>
  <c r="V304" i="9"/>
  <c r="R304" i="9"/>
  <c r="V271" i="9"/>
  <c r="T271" i="9"/>
  <c r="R271" i="9"/>
  <c r="Q353" i="9"/>
  <c r="AQ353" i="12" s="1"/>
  <c r="T266" i="9"/>
  <c r="R266" i="9"/>
  <c r="V266" i="9"/>
  <c r="T216" i="9"/>
  <c r="V216" i="9"/>
  <c r="R216" i="9"/>
  <c r="W35" i="9"/>
  <c r="V132" i="9"/>
  <c r="T132" i="9"/>
  <c r="R132" i="9"/>
  <c r="T276" i="9"/>
  <c r="R276" i="9"/>
  <c r="V276" i="9"/>
  <c r="V148" i="9"/>
  <c r="T148" i="9"/>
  <c r="R148" i="9"/>
  <c r="R163" i="9"/>
  <c r="T163" i="9"/>
  <c r="V163" i="9"/>
  <c r="AZ76" i="7"/>
  <c r="V22" i="9"/>
  <c r="T22" i="9"/>
  <c r="R22" i="9"/>
  <c r="V142" i="9"/>
  <c r="T142" i="9"/>
  <c r="R142" i="9"/>
  <c r="T168" i="9"/>
  <c r="R168" i="9"/>
  <c r="V168" i="9"/>
  <c r="AS111" i="7"/>
  <c r="AT111" i="7"/>
  <c r="AP247" i="12" s="1"/>
  <c r="AR111" i="7"/>
  <c r="AF146" i="7"/>
  <c r="AH146" i="7"/>
  <c r="AG146" i="7"/>
  <c r="AN146" i="7" s="1"/>
  <c r="AF113" i="7"/>
  <c r="AH113" i="7"/>
  <c r="AG113" i="7"/>
  <c r="AN113" i="7" s="1"/>
  <c r="AM144" i="7"/>
  <c r="AL144" i="7"/>
  <c r="AC129" i="7"/>
  <c r="AB129" i="7"/>
  <c r="AD129" i="7"/>
  <c r="AO289" i="12" s="1"/>
  <c r="AH129" i="7"/>
  <c r="AF129" i="7"/>
  <c r="AG129" i="7"/>
  <c r="AN129" i="7" s="1"/>
  <c r="AC133" i="7"/>
  <c r="AD133" i="7"/>
  <c r="AO299" i="12" s="1"/>
  <c r="AB133" i="7"/>
  <c r="AK62" i="7"/>
  <c r="AI62" i="7"/>
  <c r="AX62" i="7"/>
  <c r="AM104" i="7"/>
  <c r="AL104" i="7"/>
  <c r="AM56" i="7"/>
  <c r="AL56" i="7"/>
  <c r="AH74" i="7"/>
  <c r="AG74" i="7"/>
  <c r="AN74" i="7" s="1"/>
  <c r="AF74" i="7"/>
  <c r="AT93" i="7"/>
  <c r="AP203" i="12" s="1"/>
  <c r="AS93" i="7"/>
  <c r="AR93" i="7"/>
  <c r="AO99" i="7"/>
  <c r="AJ99" i="7"/>
  <c r="W227" i="9"/>
  <c r="AM131" i="7"/>
  <c r="AL131" i="7"/>
  <c r="AX92" i="7"/>
  <c r="AV92" i="7"/>
  <c r="AK92" i="7"/>
  <c r="AI92" i="7"/>
  <c r="AO49" i="7"/>
  <c r="AH49" i="7"/>
  <c r="AG49" i="7"/>
  <c r="AN49" i="7" s="1"/>
  <c r="AF49" i="7"/>
  <c r="AM114" i="7"/>
  <c r="AL114" i="7"/>
  <c r="AM62" i="7"/>
  <c r="AL62" i="7"/>
  <c r="AI57" i="7"/>
  <c r="AX57" i="7"/>
  <c r="AK57" i="7"/>
  <c r="AM67" i="7"/>
  <c r="AL67" i="7"/>
  <c r="AI74" i="7"/>
  <c r="AX74" i="7"/>
  <c r="AV74" i="7"/>
  <c r="AK74" i="7"/>
  <c r="AL28" i="7"/>
  <c r="AM43" i="7"/>
  <c r="AL43" i="7"/>
  <c r="AJ17" i="20"/>
  <c r="AF27" i="20"/>
  <c r="AD41" i="20"/>
  <c r="AB26" i="20"/>
  <c r="AK41" i="20"/>
  <c r="AB54" i="5"/>
  <c r="AD54" i="5" s="1"/>
  <c r="AN110" i="5"/>
  <c r="BK34" i="20" s="1"/>
  <c r="AL110" i="5"/>
  <c r="BD34" i="20" s="1"/>
  <c r="X132" i="5"/>
  <c r="W147" i="5"/>
  <c r="AN40" i="5"/>
  <c r="BK20" i="20" s="1"/>
  <c r="AL40" i="5"/>
  <c r="BD20" i="20" s="1"/>
  <c r="X115" i="5"/>
  <c r="X140" i="5"/>
  <c r="T113" i="14"/>
  <c r="M113" i="14"/>
  <c r="W113" i="14" s="1"/>
  <c r="Z113" i="14" s="1"/>
  <c r="L113" i="14"/>
  <c r="G32" i="6"/>
  <c r="W97" i="5"/>
  <c r="AN83" i="5"/>
  <c r="BN28" i="20" s="1"/>
  <c r="AL83" i="5"/>
  <c r="BG28" i="20" s="1"/>
  <c r="AB102" i="5"/>
  <c r="AD102" i="5" s="1"/>
  <c r="W132" i="5"/>
  <c r="S15" i="20"/>
  <c r="AU21" i="4"/>
  <c r="V262" i="9"/>
  <c r="T262" i="9"/>
  <c r="R262" i="9"/>
  <c r="T236" i="9"/>
  <c r="V236" i="9"/>
  <c r="R236" i="9"/>
  <c r="V265" i="9"/>
  <c r="T265" i="9"/>
  <c r="R265" i="9"/>
  <c r="AZ119" i="7"/>
  <c r="V273" i="9"/>
  <c r="T273" i="9"/>
  <c r="R273" i="9"/>
  <c r="V301" i="9"/>
  <c r="T301" i="9"/>
  <c r="R301" i="9"/>
  <c r="R290" i="9"/>
  <c r="V290" i="9"/>
  <c r="T290" i="9"/>
  <c r="T325" i="9"/>
  <c r="V325" i="9"/>
  <c r="R325" i="9"/>
  <c r="R156" i="9"/>
  <c r="V156" i="9"/>
  <c r="T156" i="9"/>
  <c r="V203" i="9"/>
  <c r="T203" i="9"/>
  <c r="R203" i="9"/>
  <c r="AZ93" i="7"/>
  <c r="R76" i="9"/>
  <c r="V76" i="9"/>
  <c r="T76" i="9"/>
  <c r="V99" i="9"/>
  <c r="T99" i="9"/>
  <c r="R99" i="9"/>
  <c r="S66" i="9"/>
  <c r="Q66" i="9"/>
  <c r="AQ66" i="12" s="1"/>
  <c r="AK153" i="7"/>
  <c r="AX153" i="7"/>
  <c r="AI153" i="7"/>
  <c r="AV153" i="7"/>
  <c r="V146" i="9"/>
  <c r="T146" i="9"/>
  <c r="R146" i="9"/>
  <c r="R158" i="9"/>
  <c r="V158" i="9"/>
  <c r="T158" i="9"/>
  <c r="AT146" i="7"/>
  <c r="AP331" i="12" s="1"/>
  <c r="AS146" i="7"/>
  <c r="AR146" i="7"/>
  <c r="AZ144" i="7"/>
  <c r="AH126" i="7"/>
  <c r="AF126" i="7"/>
  <c r="AG126" i="7"/>
  <c r="AN126" i="7" s="1"/>
  <c r="AO54" i="7"/>
  <c r="AJ54" i="7"/>
  <c r="AK39" i="7"/>
  <c r="AI39" i="7"/>
  <c r="AX39" i="7"/>
  <c r="AM68" i="7"/>
  <c r="AL68" i="7"/>
  <c r="AH37" i="7"/>
  <c r="AG37" i="7"/>
  <c r="AN37" i="7" s="1"/>
  <c r="AF37" i="7"/>
  <c r="AD102" i="7"/>
  <c r="AO225" i="12" s="1"/>
  <c r="AB102" i="7"/>
  <c r="AC102" i="7"/>
  <c r="AK99" i="7"/>
  <c r="AI99" i="7"/>
  <c r="AX99" i="7"/>
  <c r="AF63" i="7"/>
  <c r="AH63" i="7"/>
  <c r="AG63" i="7"/>
  <c r="AN63" i="7" s="1"/>
  <c r="AI82" i="7"/>
  <c r="AX82" i="7"/>
  <c r="AK82" i="7"/>
  <c r="AH82" i="7"/>
  <c r="AG82" i="7"/>
  <c r="AN82" i="7" s="1"/>
  <c r="AF82" i="7"/>
  <c r="AJ43" i="7"/>
  <c r="AO43" i="7"/>
  <c r="AM54" i="7"/>
  <c r="AL54" i="7"/>
  <c r="AJ67" i="7"/>
  <c r="AO67" i="7"/>
  <c r="AM47" i="7"/>
  <c r="AL47" i="7"/>
  <c r="AK53" i="7"/>
  <c r="AI53" i="7"/>
  <c r="AX53" i="7"/>
  <c r="AJ23" i="20"/>
  <c r="AD42" i="20"/>
  <c r="AB37" i="20"/>
  <c r="V31" i="20"/>
  <c r="AB152" i="5"/>
  <c r="AD152" i="5" s="1"/>
  <c r="AL44" i="5"/>
  <c r="BH20" i="20" s="1"/>
  <c r="AN44" i="5"/>
  <c r="BO20" i="20" s="1"/>
  <c r="AN109" i="5"/>
  <c r="BO33" i="20" s="1"/>
  <c r="AL109" i="5"/>
  <c r="BH33" i="20" s="1"/>
  <c r="W120" i="5"/>
  <c r="X120" i="5"/>
  <c r="AN39" i="5"/>
  <c r="BO19" i="20" s="1"/>
  <c r="AL39" i="5"/>
  <c r="BH19" i="20" s="1"/>
  <c r="W139" i="5"/>
  <c r="AB117" i="5"/>
  <c r="AD117" i="5" s="1"/>
  <c r="W120" i="14"/>
  <c r="Z120" i="14" s="1"/>
  <c r="L115" i="14"/>
  <c r="M115" i="14" s="1"/>
  <c r="W115" i="14" s="1"/>
  <c r="Z115" i="14" s="1"/>
  <c r="T115" i="14"/>
  <c r="AN74" i="5"/>
  <c r="BO26" i="20" s="1"/>
  <c r="AL74" i="5"/>
  <c r="BH26" i="20" s="1"/>
  <c r="AN55" i="5"/>
  <c r="BK23" i="20" s="1"/>
  <c r="AL55" i="5"/>
  <c r="BD23" i="20" s="1"/>
  <c r="AN101" i="5"/>
  <c r="BL32" i="20" s="1"/>
  <c r="AL101" i="5"/>
  <c r="BE32" i="20" s="1"/>
  <c r="L128" i="14"/>
  <c r="M128" i="14" s="1"/>
  <c r="W128" i="14" s="1"/>
  <c r="Z128" i="14" s="1"/>
  <c r="T128" i="14"/>
  <c r="W83" i="14"/>
  <c r="Z83" i="14" s="1"/>
  <c r="T60" i="14"/>
  <c r="M60" i="14"/>
  <c r="W60" i="14" s="1"/>
  <c r="Z60" i="14" s="1"/>
  <c r="L60" i="14"/>
  <c r="AV18" i="4"/>
  <c r="AU18" i="4"/>
  <c r="AZ21" i="4"/>
  <c r="BB21" i="4" s="1"/>
  <c r="AJ79" i="7"/>
  <c r="AO79" i="7"/>
  <c r="AK43" i="7"/>
  <c r="AI43" i="7"/>
  <c r="AX43" i="7"/>
  <c r="AJ98" i="7"/>
  <c r="AO98" i="7"/>
  <c r="AO52" i="7"/>
  <c r="AJ52" i="7"/>
  <c r="AK67" i="7"/>
  <c r="AI67" i="7"/>
  <c r="AX67" i="7"/>
  <c r="AK29" i="7"/>
  <c r="AI29" i="7"/>
  <c r="AX29" i="7"/>
  <c r="AV29" i="7"/>
  <c r="AM59" i="7"/>
  <c r="AL59" i="7"/>
  <c r="AM103" i="7"/>
  <c r="AL103" i="7"/>
  <c r="AD24" i="20"/>
  <c r="AK18" i="20"/>
  <c r="AE31" i="20"/>
  <c r="AE35" i="20"/>
  <c r="AB39" i="20"/>
  <c r="AM39" i="7"/>
  <c r="AL39" i="7"/>
  <c r="AN93" i="5"/>
  <c r="BN30" i="20" s="1"/>
  <c r="AL93" i="5"/>
  <c r="BG30" i="20" s="1"/>
  <c r="AN70" i="5"/>
  <c r="BK26" i="20" s="1"/>
  <c r="AL70" i="5"/>
  <c r="BD26" i="20" s="1"/>
  <c r="AL125" i="5"/>
  <c r="BD37" i="20" s="1"/>
  <c r="AN125" i="5"/>
  <c r="BK37" i="20" s="1"/>
  <c r="AK17" i="5"/>
  <c r="AL116" i="5"/>
  <c r="BE35" i="20" s="1"/>
  <c r="AN116" i="5"/>
  <c r="BL35" i="20" s="1"/>
  <c r="AB118" i="5"/>
  <c r="AD118" i="5" s="1"/>
  <c r="G17" i="14"/>
  <c r="BH21" i="4"/>
  <c r="M38" i="14"/>
  <c r="W38" i="14" s="1"/>
  <c r="Z38" i="14" s="1"/>
  <c r="L38" i="14"/>
  <c r="T38" i="14"/>
  <c r="H139" i="12"/>
  <c r="AI79" i="7"/>
  <c r="AX79" i="7"/>
  <c r="AK79" i="7"/>
  <c r="AK88" i="7"/>
  <c r="AI88" i="7"/>
  <c r="AX88" i="7"/>
  <c r="AO107" i="7"/>
  <c r="AJ107" i="7"/>
  <c r="AU76" i="7"/>
  <c r="AY76" i="7"/>
  <c r="AI98" i="7"/>
  <c r="AX98" i="7"/>
  <c r="AK98" i="7"/>
  <c r="AK71" i="7"/>
  <c r="AI71" i="7"/>
  <c r="AX71" i="7"/>
  <c r="AK44" i="7"/>
  <c r="AI44" i="7"/>
  <c r="AX44" i="7"/>
  <c r="AM46" i="7"/>
  <c r="AL46" i="7"/>
  <c r="AY68" i="7"/>
  <c r="AU68" i="7"/>
  <c r="P4" i="20"/>
  <c r="AK16" i="20"/>
  <c r="AE23" i="20"/>
  <c r="AI27" i="20"/>
  <c r="AM32" i="20"/>
  <c r="AN152" i="5"/>
  <c r="BM42" i="20" s="1"/>
  <c r="AL152" i="5"/>
  <c r="BF42" i="20" s="1"/>
  <c r="AN117" i="5"/>
  <c r="BM35" i="20" s="1"/>
  <c r="AL117" i="5"/>
  <c r="BF35" i="20" s="1"/>
  <c r="AN89" i="5"/>
  <c r="BO29" i="20" s="1"/>
  <c r="AL89" i="5"/>
  <c r="BH29" i="20" s="1"/>
  <c r="AL54" i="5"/>
  <c r="BH22" i="20" s="1"/>
  <c r="AN54" i="5"/>
  <c r="BO22" i="20" s="1"/>
  <c r="AL86" i="5"/>
  <c r="BE29" i="20" s="1"/>
  <c r="AN86" i="5"/>
  <c r="BL29" i="20" s="1"/>
  <c r="AN102" i="5"/>
  <c r="BM32" i="20" s="1"/>
  <c r="AL102" i="5"/>
  <c r="BF32" i="20" s="1"/>
  <c r="L122" i="14"/>
  <c r="T122" i="14"/>
  <c r="M122" i="14"/>
  <c r="W122" i="14" s="1"/>
  <c r="Z122" i="14" s="1"/>
  <c r="AN53" i="5"/>
  <c r="BN22" i="20" s="1"/>
  <c r="AL53" i="5"/>
  <c r="BG22" i="20" s="1"/>
  <c r="AB149" i="5"/>
  <c r="AD149" i="5" s="1"/>
  <c r="AB116" i="5"/>
  <c r="AD116" i="5" s="1"/>
  <c r="AN105" i="5"/>
  <c r="BK33" i="20" s="1"/>
  <c r="AL105" i="5"/>
  <c r="BD33" i="20" s="1"/>
  <c r="BE27" i="4"/>
  <c r="V230" i="9"/>
  <c r="T230" i="9"/>
  <c r="R230" i="9"/>
  <c r="V135" i="9"/>
  <c r="T135" i="9"/>
  <c r="R135" i="9"/>
  <c r="V100" i="9"/>
  <c r="T100" i="9"/>
  <c r="R100" i="9"/>
  <c r="T191" i="9"/>
  <c r="V191" i="9"/>
  <c r="R191" i="9"/>
  <c r="V161" i="9"/>
  <c r="R161" i="9"/>
  <c r="T161" i="9"/>
  <c r="T87" i="9"/>
  <c r="V87" i="9"/>
  <c r="R87" i="9"/>
  <c r="J230" i="12"/>
  <c r="V36" i="9"/>
  <c r="T36" i="9"/>
  <c r="R36" i="9"/>
  <c r="AM134" i="7"/>
  <c r="AL134" i="7"/>
  <c r="AB138" i="7"/>
  <c r="AC138" i="7"/>
  <c r="AD138" i="7"/>
  <c r="AO311" i="12" s="1"/>
  <c r="AH137" i="7"/>
  <c r="AF137" i="7"/>
  <c r="AG137" i="7"/>
  <c r="AN137" i="7" s="1"/>
  <c r="AH101" i="7"/>
  <c r="AG101" i="7"/>
  <c r="AN101" i="7" s="1"/>
  <c r="AF101" i="7"/>
  <c r="AO104" i="7"/>
  <c r="AJ104" i="7"/>
  <c r="AM48" i="7"/>
  <c r="AL48" i="7"/>
  <c r="AJ91" i="7"/>
  <c r="AO91" i="7"/>
  <c r="AS37" i="7"/>
  <c r="AR37" i="7"/>
  <c r="AT37" i="7"/>
  <c r="AP69" i="12" s="1"/>
  <c r="AO31" i="7"/>
  <c r="AJ31" i="7"/>
  <c r="AI101" i="7"/>
  <c r="AX101" i="7"/>
  <c r="AK101" i="7"/>
  <c r="S380" i="16"/>
  <c r="T380" i="16" s="1"/>
  <c r="T417" i="16"/>
  <c r="S417" i="16"/>
  <c r="S300" i="16"/>
  <c r="T300" i="16" s="1"/>
  <c r="S395" i="16"/>
  <c r="T395" i="16" s="1"/>
  <c r="S243" i="16"/>
  <c r="T243" i="16"/>
  <c r="T210" i="16"/>
  <c r="S210" i="16"/>
  <c r="EE39" i="6"/>
  <c r="T97" i="16"/>
  <c r="S97" i="16"/>
  <c r="S154" i="16"/>
  <c r="T154" i="16"/>
  <c r="R17" i="16"/>
  <c r="EG40" i="6" s="1"/>
  <c r="EF40" i="6"/>
  <c r="P4" i="16"/>
  <c r="K4" i="16" s="1"/>
  <c r="EE38" i="6"/>
  <c r="EE51" i="6"/>
  <c r="EE45" i="6"/>
  <c r="J36" i="12"/>
  <c r="L4" i="20"/>
  <c r="AE128" i="10"/>
  <c r="R15" i="10"/>
  <c r="V285" i="9"/>
  <c r="T285" i="9"/>
  <c r="R285" i="9"/>
  <c r="S317" i="9"/>
  <c r="Q317" i="9"/>
  <c r="AQ317" i="12" s="1"/>
  <c r="V187" i="9"/>
  <c r="T187" i="9"/>
  <c r="R187" i="9"/>
  <c r="R225" i="9"/>
  <c r="V225" i="9"/>
  <c r="T225" i="9"/>
  <c r="T357" i="9"/>
  <c r="V357" i="9"/>
  <c r="R357" i="9"/>
  <c r="AZ157" i="7"/>
  <c r="V219" i="9"/>
  <c r="T219" i="9"/>
  <c r="R219" i="9"/>
  <c r="V214" i="9"/>
  <c r="T214" i="9"/>
  <c r="R214" i="9"/>
  <c r="V345" i="9"/>
  <c r="T345" i="9"/>
  <c r="R345" i="9"/>
  <c r="T165" i="9"/>
  <c r="R165" i="9"/>
  <c r="V165" i="9"/>
  <c r="AZ77" i="7"/>
  <c r="V201" i="9"/>
  <c r="T201" i="9"/>
  <c r="R201" i="9"/>
  <c r="AZ92" i="7"/>
  <c r="V244" i="9"/>
  <c r="T244" i="9"/>
  <c r="R244" i="9"/>
  <c r="T268" i="9"/>
  <c r="R268" i="9"/>
  <c r="V268" i="9"/>
  <c r="T207" i="9"/>
  <c r="V207" i="9"/>
  <c r="R207" i="9"/>
  <c r="V68" i="9"/>
  <c r="T68" i="9"/>
  <c r="R68" i="9"/>
  <c r="J266" i="12"/>
  <c r="R32" i="9"/>
  <c r="V32" i="9"/>
  <c r="T32" i="9"/>
  <c r="T162" i="9"/>
  <c r="R162" i="9"/>
  <c r="V162" i="9"/>
  <c r="P41" i="9"/>
  <c r="R108" i="9"/>
  <c r="V108" i="9"/>
  <c r="T108" i="9"/>
  <c r="AR132" i="7"/>
  <c r="AT132" i="7"/>
  <c r="AP297" i="12" s="1"/>
  <c r="AS132" i="7"/>
  <c r="AI104" i="7"/>
  <c r="AX104" i="7"/>
  <c r="AK104" i="7"/>
  <c r="AK46" i="7"/>
  <c r="AI46" i="7"/>
  <c r="AX46" i="7"/>
  <c r="AO46" i="7"/>
  <c r="AJ46" i="7"/>
  <c r="AK91" i="7"/>
  <c r="AI91" i="7"/>
  <c r="AX91" i="7"/>
  <c r="I143" i="12"/>
  <c r="AK111" i="7"/>
  <c r="AX111" i="7"/>
  <c r="AV111" i="7"/>
  <c r="AI111" i="7"/>
  <c r="AF72" i="7"/>
  <c r="AH72" i="7"/>
  <c r="AG72" i="7"/>
  <c r="AN72" i="7" s="1"/>
  <c r="AK107" i="7"/>
  <c r="AI107" i="7"/>
  <c r="AX107" i="7"/>
  <c r="AH41" i="7"/>
  <c r="AG41" i="7"/>
  <c r="AN41" i="7" s="1"/>
  <c r="AF41" i="7"/>
  <c r="AH97" i="7"/>
  <c r="AG97" i="7"/>
  <c r="AN97" i="7" s="1"/>
  <c r="AF97" i="7"/>
  <c r="AO44" i="7"/>
  <c r="AJ44" i="7"/>
  <c r="AL52" i="7"/>
  <c r="AT64" i="7"/>
  <c r="AP133" i="12" s="1"/>
  <c r="AS64" i="7"/>
  <c r="AR64" i="7"/>
  <c r="AL26" i="7"/>
  <c r="AM26" i="7"/>
  <c r="F4" i="20"/>
  <c r="BS4" i="20"/>
  <c r="G4" i="20"/>
  <c r="AM26" i="20"/>
  <c r="AW23" i="20"/>
  <c r="AW26" i="20"/>
  <c r="U25" i="20"/>
  <c r="U4" i="20" s="1"/>
  <c r="BA26" i="20"/>
  <c r="AY35" i="20"/>
  <c r="AE41" i="20"/>
  <c r="AX32" i="20"/>
  <c r="AL37" i="20"/>
  <c r="AI38" i="20"/>
  <c r="AY31" i="20"/>
  <c r="AK31" i="20"/>
  <c r="AC32" i="20"/>
  <c r="AN134" i="5"/>
  <c r="BO38" i="20" s="1"/>
  <c r="AL134" i="5"/>
  <c r="BH38" i="20" s="1"/>
  <c r="AN78" i="5"/>
  <c r="BN27" i="20" s="1"/>
  <c r="AL78" i="5"/>
  <c r="BG27" i="20" s="1"/>
  <c r="AB70" i="5"/>
  <c r="AD70" i="5" s="1"/>
  <c r="AB79" i="5"/>
  <c r="AD79" i="5" s="1"/>
  <c r="AN129" i="5"/>
  <c r="BO37" i="20" s="1"/>
  <c r="AL129" i="5"/>
  <c r="BH37" i="20" s="1"/>
  <c r="AB110" i="5"/>
  <c r="AD110" i="5" s="1"/>
  <c r="AN103" i="5"/>
  <c r="BN32" i="20" s="1"/>
  <c r="AL103" i="5"/>
  <c r="BG32" i="20" s="1"/>
  <c r="X72" i="5"/>
  <c r="W72" i="5"/>
  <c r="AN33" i="5"/>
  <c r="BN18" i="20" s="1"/>
  <c r="AL33" i="5"/>
  <c r="BG18" i="20" s="1"/>
  <c r="AN51" i="5"/>
  <c r="BL22" i="20" s="1"/>
  <c r="AL51" i="5"/>
  <c r="BE22" i="20" s="1"/>
  <c r="X50" i="5"/>
  <c r="W50" i="5"/>
  <c r="W106" i="5"/>
  <c r="AL136" i="5"/>
  <c r="BE39" i="20" s="1"/>
  <c r="AN136" i="5"/>
  <c r="BL39" i="20" s="1"/>
  <c r="W116" i="5"/>
  <c r="AN104" i="5"/>
  <c r="BO32" i="20" s="1"/>
  <c r="AL104" i="5"/>
  <c r="BH32" i="20" s="1"/>
  <c r="AJ83" i="7"/>
  <c r="AO83" i="7"/>
  <c r="AX142" i="7"/>
  <c r="AK142" i="7"/>
  <c r="AI142" i="7"/>
  <c r="AM106" i="7"/>
  <c r="AL106" i="7"/>
  <c r="AM38" i="7"/>
  <c r="AL38" i="7"/>
  <c r="AM27" i="7"/>
  <c r="AL27" i="7"/>
  <c r="AL58" i="7"/>
  <c r="AM58" i="7"/>
  <c r="AF15" i="7"/>
  <c r="AH15" i="7"/>
  <c r="AG15" i="7"/>
  <c r="V4" i="20"/>
  <c r="AL26" i="20"/>
  <c r="AI43" i="20"/>
  <c r="AI33" i="7"/>
  <c r="AX33" i="7"/>
  <c r="AK33" i="7"/>
  <c r="AL60" i="5"/>
  <c r="BD24" i="20" s="1"/>
  <c r="AN60" i="5"/>
  <c r="BK24" i="20" s="1"/>
  <c r="AN25" i="5"/>
  <c r="BK17" i="20" s="1"/>
  <c r="AL25" i="5"/>
  <c r="BD17" i="20" s="1"/>
  <c r="AL36" i="5"/>
  <c r="BE19" i="20" s="1"/>
  <c r="AN36" i="5"/>
  <c r="BL19" i="20" s="1"/>
  <c r="AB157" i="5"/>
  <c r="AD157" i="5" s="1"/>
  <c r="Z157" i="5"/>
  <c r="AB125" i="5"/>
  <c r="AD125" i="5" s="1"/>
  <c r="AL79" i="5"/>
  <c r="BH27" i="20" s="1"/>
  <c r="AN79" i="5"/>
  <c r="BO27" i="20" s="1"/>
  <c r="AN82" i="5"/>
  <c r="BM28" i="20" s="1"/>
  <c r="AL82" i="5"/>
  <c r="BF28" i="20" s="1"/>
  <c r="W87" i="14"/>
  <c r="Z87" i="14" s="1"/>
  <c r="W96" i="5"/>
  <c r="L127" i="14"/>
  <c r="M127" i="14" s="1"/>
  <c r="W127" i="14" s="1"/>
  <c r="Z127" i="14" s="1"/>
  <c r="T127" i="14"/>
  <c r="W84" i="14"/>
  <c r="Z84" i="14" s="1"/>
  <c r="W66" i="5"/>
  <c r="A15" i="20"/>
  <c r="A15" i="19"/>
  <c r="A16" i="19"/>
  <c r="A15" i="17"/>
  <c r="A27" i="16"/>
  <c r="A23" i="16"/>
  <c r="A19" i="16"/>
  <c r="A15" i="16"/>
  <c r="A25" i="16"/>
  <c r="A21" i="16"/>
  <c r="A17" i="16"/>
  <c r="A22" i="15"/>
  <c r="A18" i="15"/>
  <c r="A28" i="16"/>
  <c r="A26" i="16"/>
  <c r="A24" i="16"/>
  <c r="A21" i="15"/>
  <c r="A17" i="15"/>
  <c r="A22" i="16"/>
  <c r="A20" i="16"/>
  <c r="A24" i="15"/>
  <c r="A20" i="15"/>
  <c r="A16" i="15"/>
  <c r="A18" i="16"/>
  <c r="A16" i="16"/>
  <c r="A19" i="15"/>
  <c r="A23" i="15"/>
  <c r="A15" i="15"/>
  <c r="A17" i="14"/>
  <c r="A16" i="13"/>
  <c r="A15" i="14"/>
  <c r="A16" i="14"/>
  <c r="A15" i="13"/>
  <c r="A18" i="14"/>
  <c r="A23" i="12"/>
  <c r="A25" i="12"/>
  <c r="A18" i="12"/>
  <c r="A22" i="12"/>
  <c r="A20" i="12"/>
  <c r="A16" i="12"/>
  <c r="A24" i="12"/>
  <c r="A17" i="12"/>
  <c r="A26" i="12"/>
  <c r="A21" i="12"/>
  <c r="A19" i="12"/>
  <c r="A22" i="11"/>
  <c r="A15" i="12"/>
  <c r="A20" i="11"/>
  <c r="A21" i="11"/>
  <c r="A15" i="10"/>
  <c r="A18" i="11"/>
  <c r="A16" i="10"/>
  <c r="A16" i="11"/>
  <c r="A18" i="10"/>
  <c r="A17" i="11"/>
  <c r="A15" i="11"/>
  <c r="A19" i="11"/>
  <c r="A17" i="10"/>
  <c r="A19" i="9"/>
  <c r="A24" i="9"/>
  <c r="A18" i="9"/>
  <c r="A23" i="9"/>
  <c r="A17" i="9"/>
  <c r="A22" i="9"/>
  <c r="A16" i="9"/>
  <c r="A15" i="9"/>
  <c r="A26" i="9"/>
  <c r="A25" i="9"/>
  <c r="A21" i="9"/>
  <c r="A15" i="8"/>
  <c r="A19" i="7"/>
  <c r="A20" i="9"/>
  <c r="A15" i="7"/>
  <c r="A16" i="7"/>
  <c r="A17" i="7"/>
  <c r="A17" i="5"/>
  <c r="A18" i="7"/>
  <c r="A16" i="5"/>
  <c r="A18" i="5"/>
  <c r="A19" i="5"/>
  <c r="A15" i="5"/>
  <c r="A28" i="4"/>
  <c r="A21" i="4"/>
  <c r="A24" i="4"/>
  <c r="A18" i="4"/>
  <c r="A22" i="4"/>
  <c r="A19" i="4"/>
  <c r="A27" i="4"/>
  <c r="A25" i="4"/>
  <c r="A15" i="4"/>
  <c r="A23" i="4"/>
  <c r="A20" i="4"/>
  <c r="A16" i="4"/>
  <c r="A26" i="4"/>
  <c r="A17" i="4"/>
  <c r="AB78" i="7"/>
  <c r="AD78" i="7"/>
  <c r="AO167" i="12" s="1"/>
  <c r="AC78" i="7"/>
  <c r="AK83" i="7"/>
  <c r="AI83" i="7"/>
  <c r="AX83" i="7"/>
  <c r="AO142" i="7"/>
  <c r="AJ142" i="7"/>
  <c r="AD97" i="7"/>
  <c r="AO213" i="12" s="1"/>
  <c r="AC97" i="7"/>
  <c r="AB97" i="7"/>
  <c r="AK36" i="7"/>
  <c r="AI36" i="7"/>
  <c r="AX36" i="7"/>
  <c r="AO36" i="7"/>
  <c r="AJ36" i="7"/>
  <c r="AM16" i="7"/>
  <c r="AL16" i="7"/>
  <c r="AJ42" i="7"/>
  <c r="AO42" i="7"/>
  <c r="AL44" i="7"/>
  <c r="AM23" i="7"/>
  <c r="AL23" i="7"/>
  <c r="AI41" i="7"/>
  <c r="AX41" i="7"/>
  <c r="AV41" i="7"/>
  <c r="AK41" i="7"/>
  <c r="AT71" i="7"/>
  <c r="AP151" i="12" s="1"/>
  <c r="AS71" i="7"/>
  <c r="AV71" i="7" s="1"/>
  <c r="AR71" i="7"/>
  <c r="AK61" i="7"/>
  <c r="AI61" i="7"/>
  <c r="AX61" i="7"/>
  <c r="H4" i="20"/>
  <c r="AM38" i="20"/>
  <c r="AL20" i="5"/>
  <c r="BD16" i="20" s="1"/>
  <c r="AN20" i="5"/>
  <c r="BK16" i="20" s="1"/>
  <c r="AN118" i="5"/>
  <c r="BN35" i="20" s="1"/>
  <c r="AL118" i="5"/>
  <c r="BG35" i="20" s="1"/>
  <c r="AL58" i="5"/>
  <c r="BG23" i="20" s="1"/>
  <c r="AN58" i="5"/>
  <c r="BN23" i="20" s="1"/>
  <c r="AL80" i="5"/>
  <c r="BD28" i="20" s="1"/>
  <c r="AN80" i="5"/>
  <c r="BK28" i="20" s="1"/>
  <c r="AN96" i="5"/>
  <c r="BL31" i="20" s="1"/>
  <c r="AL96" i="5"/>
  <c r="BE31" i="20" s="1"/>
  <c r="AN64" i="5"/>
  <c r="BO24" i="20" s="1"/>
  <c r="AL64" i="5"/>
  <c r="BH24" i="20" s="1"/>
  <c r="G33" i="6"/>
  <c r="X19" i="5"/>
  <c r="T112" i="14"/>
  <c r="L112" i="14"/>
  <c r="M112" i="14" s="1"/>
  <c r="W112" i="14" s="1"/>
  <c r="Z112" i="14" s="1"/>
  <c r="AN98" i="5"/>
  <c r="BN31" i="20" s="1"/>
  <c r="AL98" i="5"/>
  <c r="BG31" i="20" s="1"/>
  <c r="L58" i="14"/>
  <c r="T58" i="14"/>
  <c r="M58" i="14"/>
  <c r="W58" i="14" s="1"/>
  <c r="Z58" i="14" s="1"/>
  <c r="BE22" i="4"/>
  <c r="AD25" i="12"/>
  <c r="AA25" i="12"/>
  <c r="P25" i="12"/>
  <c r="O25" i="12"/>
  <c r="AL25" i="12"/>
  <c r="AJ25" i="12"/>
  <c r="AG25" i="12"/>
  <c r="X25" i="12"/>
  <c r="V25" i="12"/>
  <c r="AV28" i="4"/>
  <c r="AU28" i="4"/>
  <c r="AF77" i="7"/>
  <c r="AH77" i="7"/>
  <c r="AG77" i="7"/>
  <c r="AN77" i="7" s="1"/>
  <c r="AM121" i="7"/>
  <c r="AL121" i="7"/>
  <c r="AH33" i="7"/>
  <c r="AG33" i="7"/>
  <c r="AN33" i="7" s="1"/>
  <c r="AF33" i="7"/>
  <c r="AO96" i="7"/>
  <c r="AJ96" i="7"/>
  <c r="AK66" i="7"/>
  <c r="AI66" i="7"/>
  <c r="AX66" i="7"/>
  <c r="AV66" i="7"/>
  <c r="AL42" i="7"/>
  <c r="AM42" i="7"/>
  <c r="AK42" i="7"/>
  <c r="AI42" i="7"/>
  <c r="AX42" i="7"/>
  <c r="AM19" i="7"/>
  <c r="AL19" i="7"/>
  <c r="AM31" i="7"/>
  <c r="AL31" i="7"/>
  <c r="BR4" i="20"/>
  <c r="N4" i="20"/>
  <c r="J4" i="20"/>
  <c r="Z84" i="5"/>
  <c r="AB84" i="5"/>
  <c r="AD84" i="5" s="1"/>
  <c r="AL28" i="5"/>
  <c r="BG17" i="20" s="1"/>
  <c r="AN28" i="5"/>
  <c r="BN17" i="20" s="1"/>
  <c r="T129" i="14"/>
  <c r="M129" i="14"/>
  <c r="W129" i="14" s="1"/>
  <c r="Z129" i="14" s="1"/>
  <c r="L129" i="14"/>
  <c r="AF16" i="5"/>
  <c r="Z52" i="5"/>
  <c r="AB52" i="5"/>
  <c r="AD52" i="5" s="1"/>
  <c r="AL62" i="5"/>
  <c r="BF24" i="20" s="1"/>
  <c r="AN62" i="5"/>
  <c r="BM24" i="20" s="1"/>
  <c r="AB96" i="5"/>
  <c r="AD96" i="5" s="1"/>
  <c r="W140" i="5"/>
  <c r="W19" i="5"/>
  <c r="W4" i="5" s="1"/>
  <c r="Z65" i="5"/>
  <c r="AB65" i="5"/>
  <c r="AD65" i="5" s="1"/>
  <c r="BE24" i="4"/>
  <c r="M18" i="14"/>
  <c r="W18" i="14" s="1"/>
  <c r="Z18" i="14" s="1"/>
  <c r="T18" i="14"/>
  <c r="L18" i="14"/>
  <c r="T16" i="14"/>
  <c r="M16" i="14"/>
  <c r="W16" i="14" s="1"/>
  <c r="Z16" i="14" s="1"/>
  <c r="L16" i="14"/>
  <c r="N124" i="10"/>
  <c r="M117" i="10"/>
  <c r="N108" i="10"/>
  <c r="M101" i="10"/>
  <c r="M85" i="10"/>
  <c r="N125" i="10"/>
  <c r="M118" i="10"/>
  <c r="M102" i="10"/>
  <c r="M86" i="10"/>
  <c r="N130" i="10"/>
  <c r="M108" i="10"/>
  <c r="M81" i="10"/>
  <c r="N81" i="10" s="1"/>
  <c r="M79" i="10"/>
  <c r="N79" i="10" s="1"/>
  <c r="M130" i="10"/>
  <c r="M103" i="10"/>
  <c r="N103" i="10" s="1"/>
  <c r="M98" i="10"/>
  <c r="N98" i="10" s="1"/>
  <c r="M73" i="10"/>
  <c r="M57" i="10"/>
  <c r="M41" i="10"/>
  <c r="N32" i="10"/>
  <c r="M25" i="10"/>
  <c r="M125" i="10"/>
  <c r="M120" i="10"/>
  <c r="N120" i="10" s="1"/>
  <c r="N115" i="10"/>
  <c r="M93" i="10"/>
  <c r="N93" i="10" s="1"/>
  <c r="M88" i="10"/>
  <c r="N88" i="10" s="1"/>
  <c r="M64" i="10"/>
  <c r="N64" i="10" s="1"/>
  <c r="N55" i="10"/>
  <c r="M48" i="10"/>
  <c r="N48" i="10" s="1"/>
  <c r="N39" i="10"/>
  <c r="M32" i="10"/>
  <c r="M126" i="10"/>
  <c r="M87" i="10"/>
  <c r="M75" i="10"/>
  <c r="N75" i="10" s="1"/>
  <c r="M121" i="10"/>
  <c r="N121" i="10" s="1"/>
  <c r="M111" i="10"/>
  <c r="N111" i="10" s="1"/>
  <c r="N91" i="10"/>
  <c r="N116" i="10"/>
  <c r="N110" i="10"/>
  <c r="M116" i="10"/>
  <c r="M115" i="10"/>
  <c r="M110" i="10"/>
  <c r="M106" i="10"/>
  <c r="N106" i="10" s="1"/>
  <c r="M105" i="10"/>
  <c r="N105" i="10" s="1"/>
  <c r="M95" i="10"/>
  <c r="N95" i="10" s="1"/>
  <c r="N86" i="10"/>
  <c r="N67" i="10"/>
  <c r="M50" i="10"/>
  <c r="N35" i="10"/>
  <c r="M23" i="10"/>
  <c r="N23" i="10" s="1"/>
  <c r="M21" i="10"/>
  <c r="M129" i="10"/>
  <c r="M124" i="10"/>
  <c r="N114" i="10"/>
  <c r="M109" i="10"/>
  <c r="N109" i="10" s="1"/>
  <c r="M104" i="10"/>
  <c r="M99" i="10"/>
  <c r="M94" i="10"/>
  <c r="N80" i="10"/>
  <c r="M74" i="10"/>
  <c r="M69" i="10"/>
  <c r="N69" i="10" s="1"/>
  <c r="N59" i="10"/>
  <c r="M47" i="10"/>
  <c r="M42" i="10"/>
  <c r="N42" i="10" s="1"/>
  <c r="M37" i="10"/>
  <c r="N37" i="10" s="1"/>
  <c r="M114" i="10"/>
  <c r="M89" i="10"/>
  <c r="N89" i="10" s="1"/>
  <c r="M80" i="10"/>
  <c r="M59" i="10"/>
  <c r="N54" i="10"/>
  <c r="N117" i="10"/>
  <c r="N87" i="10"/>
  <c r="N72" i="10"/>
  <c r="N46" i="10"/>
  <c r="M35" i="10"/>
  <c r="N118" i="10"/>
  <c r="N102" i="10"/>
  <c r="M91" i="10"/>
  <c r="N104" i="10"/>
  <c r="N38" i="10"/>
  <c r="M31" i="10"/>
  <c r="M92" i="10"/>
  <c r="N92" i="10" s="1"/>
  <c r="M70" i="10"/>
  <c r="N70" i="10" s="1"/>
  <c r="N58" i="10"/>
  <c r="N53" i="10"/>
  <c r="M49" i="10"/>
  <c r="M34" i="10"/>
  <c r="N20" i="10"/>
  <c r="N127" i="10"/>
  <c r="N126" i="10"/>
  <c r="M113" i="10"/>
  <c r="N113" i="10" s="1"/>
  <c r="N94" i="10"/>
  <c r="N76" i="10"/>
  <c r="N63" i="10"/>
  <c r="M58" i="10"/>
  <c r="M53" i="10"/>
  <c r="M45" i="10"/>
  <c r="N45" i="10" s="1"/>
  <c r="M30" i="10"/>
  <c r="N30" i="10" s="1"/>
  <c r="M20" i="10"/>
  <c r="M127" i="10"/>
  <c r="M83" i="10"/>
  <c r="N83" i="10" s="1"/>
  <c r="M78" i="10"/>
  <c r="N78" i="10" s="1"/>
  <c r="M76" i="10"/>
  <c r="M63" i="10"/>
  <c r="N41" i="10"/>
  <c r="N82" i="10"/>
  <c r="M77" i="10"/>
  <c r="N77" i="10" s="1"/>
  <c r="N122" i="10"/>
  <c r="M96" i="10"/>
  <c r="N96" i="10" s="1"/>
  <c r="N84" i="10"/>
  <c r="M82" i="10"/>
  <c r="M62" i="10"/>
  <c r="N62" i="10" s="1"/>
  <c r="M52" i="10"/>
  <c r="N52" i="10" s="1"/>
  <c r="M44" i="10"/>
  <c r="N44" i="10" s="1"/>
  <c r="M122" i="10"/>
  <c r="M84" i="10"/>
  <c r="N68" i="10"/>
  <c r="N51" i="10"/>
  <c r="M128" i="10"/>
  <c r="N128" i="10" s="1"/>
  <c r="N123" i="10"/>
  <c r="N107" i="10"/>
  <c r="M97" i="10"/>
  <c r="N97" i="10" s="1"/>
  <c r="M68" i="10"/>
  <c r="M67" i="10"/>
  <c r="N61" i="10"/>
  <c r="N56" i="10"/>
  <c r="M51" i="10"/>
  <c r="M29" i="10"/>
  <c r="N25" i="10"/>
  <c r="M22" i="10"/>
  <c r="M19" i="10"/>
  <c r="N129" i="10"/>
  <c r="M123" i="10"/>
  <c r="M107" i="10"/>
  <c r="N99" i="10"/>
  <c r="N85" i="10"/>
  <c r="N74" i="10"/>
  <c r="M61" i="10"/>
  <c r="M56" i="10"/>
  <c r="N47" i="10"/>
  <c r="M40" i="10"/>
  <c r="N40" i="10" s="1"/>
  <c r="M100" i="10"/>
  <c r="N100" i="10" s="1"/>
  <c r="M66" i="10"/>
  <c r="N66" i="10" s="1"/>
  <c r="M36" i="10"/>
  <c r="N36" i="10" s="1"/>
  <c r="N28" i="10"/>
  <c r="M65" i="10"/>
  <c r="N65" i="10" s="1"/>
  <c r="M39" i="10"/>
  <c r="M119" i="10"/>
  <c r="N119" i="10" s="1"/>
  <c r="M112" i="10"/>
  <c r="N112" i="10" s="1"/>
  <c r="M54" i="10"/>
  <c r="N29" i="10"/>
  <c r="N57" i="10"/>
  <c r="M33" i="10"/>
  <c r="N33" i="10" s="1"/>
  <c r="N21" i="10"/>
  <c r="N43" i="10"/>
  <c r="N49" i="10"/>
  <c r="M46" i="10"/>
  <c r="M43" i="10"/>
  <c r="M26" i="10"/>
  <c r="N26" i="10" s="1"/>
  <c r="N22" i="10"/>
  <c r="M55" i="10"/>
  <c r="N34" i="10"/>
  <c r="M90" i="10"/>
  <c r="N90" i="10" s="1"/>
  <c r="M60" i="10"/>
  <c r="N60" i="10" s="1"/>
  <c r="N50" i="10"/>
  <c r="M27" i="10"/>
  <c r="N27" i="10" s="1"/>
  <c r="N31" i="10"/>
  <c r="N101" i="10"/>
  <c r="N73" i="10"/>
  <c r="M38" i="10"/>
  <c r="M28" i="10"/>
  <c r="N19" i="10"/>
  <c r="M72" i="10"/>
  <c r="M24" i="10"/>
  <c r="N24" i="10" s="1"/>
  <c r="M71" i="10"/>
  <c r="N71" i="10" s="1"/>
  <c r="Q155" i="7"/>
  <c r="O154" i="7"/>
  <c r="M153" i="7"/>
  <c r="Q156" i="7"/>
  <c r="O155" i="7"/>
  <c r="M154" i="7"/>
  <c r="K153" i="7"/>
  <c r="Q148" i="7"/>
  <c r="O147" i="7"/>
  <c r="M146" i="7"/>
  <c r="P156" i="7"/>
  <c r="N155" i="7"/>
  <c r="L154" i="7"/>
  <c r="P148" i="7"/>
  <c r="N147" i="7"/>
  <c r="L146" i="7"/>
  <c r="P140" i="7"/>
  <c r="N139" i="7"/>
  <c r="Q157" i="7"/>
  <c r="O156" i="7"/>
  <c r="Q158" i="7"/>
  <c r="O157" i="7"/>
  <c r="M156" i="7"/>
  <c r="K155" i="7"/>
  <c r="P159" i="7"/>
  <c r="N158" i="7"/>
  <c r="L157" i="7"/>
  <c r="P151" i="7"/>
  <c r="N150" i="7"/>
  <c r="L149" i="7"/>
  <c r="P143" i="7"/>
  <c r="N142" i="7"/>
  <c r="L141" i="7"/>
  <c r="O159" i="7"/>
  <c r="M158" i="7"/>
  <c r="K157" i="7"/>
  <c r="Q152" i="7"/>
  <c r="O151" i="7"/>
  <c r="P158" i="7"/>
  <c r="M157" i="7"/>
  <c r="P149" i="7"/>
  <c r="Q146" i="7"/>
  <c r="O144" i="7"/>
  <c r="P142" i="7"/>
  <c r="P136" i="7"/>
  <c r="N135" i="7"/>
  <c r="L134" i="7"/>
  <c r="P128" i="7"/>
  <c r="N127" i="7"/>
  <c r="L126" i="7"/>
  <c r="P120" i="7"/>
  <c r="N119" i="7"/>
  <c r="L118" i="7"/>
  <c r="L158" i="7"/>
  <c r="Q154" i="7"/>
  <c r="P153" i="7"/>
  <c r="O152" i="7"/>
  <c r="N149" i="7"/>
  <c r="O146" i="7"/>
  <c r="M144" i="7"/>
  <c r="M142" i="7"/>
  <c r="O140" i="7"/>
  <c r="P137" i="7"/>
  <c r="N136" i="7"/>
  <c r="L135" i="7"/>
  <c r="P129" i="7"/>
  <c r="N128" i="7"/>
  <c r="L127" i="7"/>
  <c r="P121" i="7"/>
  <c r="N120" i="7"/>
  <c r="L119" i="7"/>
  <c r="Q159" i="7"/>
  <c r="K158" i="7"/>
  <c r="P154" i="7"/>
  <c r="O153" i="7"/>
  <c r="N152" i="7"/>
  <c r="M149" i="7"/>
  <c r="N146" i="7"/>
  <c r="L144" i="7"/>
  <c r="L142" i="7"/>
  <c r="N140" i="7"/>
  <c r="Q138" i="7"/>
  <c r="O137" i="7"/>
  <c r="M136" i="7"/>
  <c r="K135" i="7"/>
  <c r="Q130" i="7"/>
  <c r="O129" i="7"/>
  <c r="M128" i="7"/>
  <c r="K127" i="7"/>
  <c r="Q122" i="7"/>
  <c r="O121" i="7"/>
  <c r="M120" i="7"/>
  <c r="K119" i="7"/>
  <c r="M159" i="7"/>
  <c r="K154" i="7"/>
  <c r="L153" i="7"/>
  <c r="L152" i="7"/>
  <c r="N151" i="7"/>
  <c r="Q145" i="7"/>
  <c r="L140" i="7"/>
  <c r="O138" i="7"/>
  <c r="M137" i="7"/>
  <c r="K136" i="7"/>
  <c r="Q131" i="7"/>
  <c r="O130" i="7"/>
  <c r="M129" i="7"/>
  <c r="K128" i="7"/>
  <c r="Q123" i="7"/>
  <c r="O122" i="7"/>
  <c r="M121" i="7"/>
  <c r="K120" i="7"/>
  <c r="Q115" i="7"/>
  <c r="O114" i="7"/>
  <c r="M113" i="7"/>
  <c r="K112" i="7"/>
  <c r="L159" i="7"/>
  <c r="P155" i="7"/>
  <c r="K152" i="7"/>
  <c r="M151" i="7"/>
  <c r="O148" i="7"/>
  <c r="P145" i="7"/>
  <c r="K140" i="7"/>
  <c r="N138" i="7"/>
  <c r="L137" i="7"/>
  <c r="P131" i="7"/>
  <c r="N130" i="7"/>
  <c r="L129" i="7"/>
  <c r="P123" i="7"/>
  <c r="N122" i="7"/>
  <c r="L121" i="7"/>
  <c r="P115" i="7"/>
  <c r="L155" i="7"/>
  <c r="K151" i="7"/>
  <c r="P150" i="7"/>
  <c r="M148" i="7"/>
  <c r="N145" i="7"/>
  <c r="O143" i="7"/>
  <c r="Q141" i="7"/>
  <c r="L138" i="7"/>
  <c r="P132" i="7"/>
  <c r="N131" i="7"/>
  <c r="L130" i="7"/>
  <c r="P124" i="7"/>
  <c r="N123" i="7"/>
  <c r="L122" i="7"/>
  <c r="P116" i="7"/>
  <c r="N115" i="7"/>
  <c r="L114" i="7"/>
  <c r="N156" i="7"/>
  <c r="L150" i="7"/>
  <c r="Q147" i="7"/>
  <c r="K145" i="7"/>
  <c r="L143" i="7"/>
  <c r="N141" i="7"/>
  <c r="O139" i="7"/>
  <c r="Q134" i="7"/>
  <c r="O133" i="7"/>
  <c r="L156" i="7"/>
  <c r="K150" i="7"/>
  <c r="P147" i="7"/>
  <c r="K143" i="7"/>
  <c r="M141" i="7"/>
  <c r="M139" i="7"/>
  <c r="P134" i="7"/>
  <c r="N133" i="7"/>
  <c r="L132" i="7"/>
  <c r="P126" i="7"/>
  <c r="N125" i="7"/>
  <c r="L124" i="7"/>
  <c r="P118" i="7"/>
  <c r="N117" i="7"/>
  <c r="L116" i="7"/>
  <c r="P110" i="7"/>
  <c r="N109" i="7"/>
  <c r="N159" i="7"/>
  <c r="P144" i="7"/>
  <c r="L139" i="7"/>
  <c r="N137" i="7"/>
  <c r="P135" i="7"/>
  <c r="Q133" i="7"/>
  <c r="M132" i="7"/>
  <c r="Q129" i="7"/>
  <c r="O126" i="7"/>
  <c r="Q119" i="7"/>
  <c r="M118" i="7"/>
  <c r="L117" i="7"/>
  <c r="Q116" i="7"/>
  <c r="M112" i="7"/>
  <c r="N108" i="7"/>
  <c r="L107" i="7"/>
  <c r="P101" i="7"/>
  <c r="N100" i="7"/>
  <c r="L99" i="7"/>
  <c r="P93" i="7"/>
  <c r="N92" i="7"/>
  <c r="L91" i="7"/>
  <c r="P85" i="7"/>
  <c r="K159" i="7"/>
  <c r="M155" i="7"/>
  <c r="M147" i="7"/>
  <c r="N144" i="7"/>
  <c r="P141" i="7"/>
  <c r="K139" i="7"/>
  <c r="K137" i="7"/>
  <c r="O135" i="7"/>
  <c r="P133" i="7"/>
  <c r="K132" i="7"/>
  <c r="N129" i="7"/>
  <c r="N126" i="7"/>
  <c r="P122" i="7"/>
  <c r="P119" i="7"/>
  <c r="K118" i="7"/>
  <c r="K117" i="7"/>
  <c r="O116" i="7"/>
  <c r="O115" i="7"/>
  <c r="L112" i="7"/>
  <c r="Q109" i="7"/>
  <c r="M108" i="7"/>
  <c r="K107" i="7"/>
  <c r="Q102" i="7"/>
  <c r="O101" i="7"/>
  <c r="M100" i="7"/>
  <c r="K99" i="7"/>
  <c r="Q94" i="7"/>
  <c r="O93" i="7"/>
  <c r="M92" i="7"/>
  <c r="K91" i="7"/>
  <c r="O158" i="7"/>
  <c r="P157" i="7"/>
  <c r="N154" i="7"/>
  <c r="L147" i="7"/>
  <c r="K144" i="7"/>
  <c r="O141" i="7"/>
  <c r="M135" i="7"/>
  <c r="M133" i="7"/>
  <c r="K129" i="7"/>
  <c r="M126" i="7"/>
  <c r="M122" i="7"/>
  <c r="O119" i="7"/>
  <c r="N116" i="7"/>
  <c r="M115" i="7"/>
  <c r="Q114" i="7"/>
  <c r="Q111" i="7"/>
  <c r="P109" i="7"/>
  <c r="L108" i="7"/>
  <c r="P102" i="7"/>
  <c r="N101" i="7"/>
  <c r="L100" i="7"/>
  <c r="P94" i="7"/>
  <c r="N93" i="7"/>
  <c r="L92" i="7"/>
  <c r="P86" i="7"/>
  <c r="N85" i="7"/>
  <c r="L84" i="7"/>
  <c r="N157" i="7"/>
  <c r="K156" i="7"/>
  <c r="K147" i="7"/>
  <c r="K141" i="7"/>
  <c r="L133" i="7"/>
  <c r="K126" i="7"/>
  <c r="K122" i="7"/>
  <c r="M119" i="7"/>
  <c r="M116" i="7"/>
  <c r="L115" i="7"/>
  <c r="P114" i="7"/>
  <c r="P111" i="7"/>
  <c r="O109" i="7"/>
  <c r="K108" i="7"/>
  <c r="Q103" i="7"/>
  <c r="O102" i="7"/>
  <c r="M101" i="7"/>
  <c r="K100" i="7"/>
  <c r="Q95" i="7"/>
  <c r="O94" i="7"/>
  <c r="M93" i="7"/>
  <c r="K92" i="7"/>
  <c r="Q87" i="7"/>
  <c r="O86" i="7"/>
  <c r="M85" i="7"/>
  <c r="K84" i="7"/>
  <c r="Q79" i="7"/>
  <c r="O78" i="7"/>
  <c r="M77" i="7"/>
  <c r="K76" i="7"/>
  <c r="P146" i="7"/>
  <c r="K133" i="7"/>
  <c r="Q153" i="7"/>
  <c r="K146" i="7"/>
  <c r="P130" i="7"/>
  <c r="P127" i="7"/>
  <c r="M114" i="7"/>
  <c r="N153" i="7"/>
  <c r="P152" i="7"/>
  <c r="Q143" i="7"/>
  <c r="P138" i="7"/>
  <c r="Q136" i="7"/>
  <c r="M130" i="7"/>
  <c r="O127" i="7"/>
  <c r="O123" i="7"/>
  <c r="Q120" i="7"/>
  <c r="K114" i="7"/>
  <c r="M111" i="7"/>
  <c r="K109" i="7"/>
  <c r="P104" i="7"/>
  <c r="N103" i="7"/>
  <c r="L102" i="7"/>
  <c r="M152" i="7"/>
  <c r="O145" i="7"/>
  <c r="N143" i="7"/>
  <c r="M138" i="7"/>
  <c r="O136" i="7"/>
  <c r="K130" i="7"/>
  <c r="M127" i="7"/>
  <c r="M123" i="7"/>
  <c r="O120" i="7"/>
  <c r="Q113" i="7"/>
  <c r="L111" i="7"/>
  <c r="Q105" i="7"/>
  <c r="O104" i="7"/>
  <c r="M103" i="7"/>
  <c r="K102" i="7"/>
  <c r="Q97" i="7"/>
  <c r="O96" i="7"/>
  <c r="Q151" i="7"/>
  <c r="O149" i="7"/>
  <c r="L145" i="7"/>
  <c r="M140" i="7"/>
  <c r="N134" i="7"/>
  <c r="Q124" i="7"/>
  <c r="K123" i="7"/>
  <c r="O113" i="7"/>
  <c r="Q110" i="7"/>
  <c r="Q106" i="7"/>
  <c r="O105" i="7"/>
  <c r="M104" i="7"/>
  <c r="K103" i="7"/>
  <c r="Q98" i="7"/>
  <c r="O97" i="7"/>
  <c r="M96" i="7"/>
  <c r="K95" i="7"/>
  <c r="Q90" i="7"/>
  <c r="O89" i="7"/>
  <c r="M88" i="7"/>
  <c r="K87" i="7"/>
  <c r="Q82" i="7"/>
  <c r="O81" i="7"/>
  <c r="M80" i="7"/>
  <c r="K79" i="7"/>
  <c r="Q74" i="7"/>
  <c r="O73" i="7"/>
  <c r="M72" i="7"/>
  <c r="L151" i="7"/>
  <c r="K149" i="7"/>
  <c r="M134" i="7"/>
  <c r="O131" i="7"/>
  <c r="Q128" i="7"/>
  <c r="Q125" i="7"/>
  <c r="O124" i="7"/>
  <c r="N113" i="7"/>
  <c r="O110" i="7"/>
  <c r="P106" i="7"/>
  <c r="N105" i="7"/>
  <c r="L104" i="7"/>
  <c r="P98" i="7"/>
  <c r="N97" i="7"/>
  <c r="L96" i="7"/>
  <c r="P90" i="7"/>
  <c r="N89" i="7"/>
  <c r="L88" i="7"/>
  <c r="P82" i="7"/>
  <c r="N81" i="7"/>
  <c r="L80" i="7"/>
  <c r="P74" i="7"/>
  <c r="N73" i="7"/>
  <c r="L72" i="7"/>
  <c r="K134" i="7"/>
  <c r="M131" i="7"/>
  <c r="O128" i="7"/>
  <c r="P125" i="7"/>
  <c r="N124" i="7"/>
  <c r="L113" i="7"/>
  <c r="N110" i="7"/>
  <c r="Q107" i="7"/>
  <c r="O106" i="7"/>
  <c r="M105" i="7"/>
  <c r="K104" i="7"/>
  <c r="Q99" i="7"/>
  <c r="O98" i="7"/>
  <c r="M97" i="7"/>
  <c r="K96" i="7"/>
  <c r="Q91" i="7"/>
  <c r="O90" i="7"/>
  <c r="M89" i="7"/>
  <c r="K88" i="7"/>
  <c r="Q83" i="7"/>
  <c r="O82" i="7"/>
  <c r="M81" i="7"/>
  <c r="K80" i="7"/>
  <c r="Q75" i="7"/>
  <c r="O74" i="7"/>
  <c r="M73" i="7"/>
  <c r="K72" i="7"/>
  <c r="Q67" i="7"/>
  <c r="O66" i="7"/>
  <c r="M65" i="7"/>
  <c r="Q142" i="7"/>
  <c r="L131" i="7"/>
  <c r="L128" i="7"/>
  <c r="O125" i="7"/>
  <c r="M124" i="7"/>
  <c r="Q121" i="7"/>
  <c r="Q117" i="7"/>
  <c r="K113" i="7"/>
  <c r="Q112" i="7"/>
  <c r="M110" i="7"/>
  <c r="P107" i="7"/>
  <c r="N106" i="7"/>
  <c r="L105" i="7"/>
  <c r="P99" i="7"/>
  <c r="N98" i="7"/>
  <c r="L97" i="7"/>
  <c r="P91" i="7"/>
  <c r="N90" i="7"/>
  <c r="L89" i="7"/>
  <c r="P83" i="7"/>
  <c r="N82" i="7"/>
  <c r="L81" i="7"/>
  <c r="P75" i="7"/>
  <c r="N74" i="7"/>
  <c r="Q150" i="7"/>
  <c r="N148" i="7"/>
  <c r="O142" i="7"/>
  <c r="Q132" i="7"/>
  <c r="K131" i="7"/>
  <c r="M125" i="7"/>
  <c r="K124" i="7"/>
  <c r="N121" i="7"/>
  <c r="Q118" i="7"/>
  <c r="P117" i="7"/>
  <c r="P112" i="7"/>
  <c r="L110" i="7"/>
  <c r="Q108" i="7"/>
  <c r="O107" i="7"/>
  <c r="M106" i="7"/>
  <c r="K105" i="7"/>
  <c r="Q100" i="7"/>
  <c r="O99" i="7"/>
  <c r="M98" i="7"/>
  <c r="K97" i="7"/>
  <c r="Q92" i="7"/>
  <c r="O91" i="7"/>
  <c r="M90" i="7"/>
  <c r="O150" i="7"/>
  <c r="L148" i="7"/>
  <c r="K142" i="7"/>
  <c r="Q139" i="7"/>
  <c r="O132" i="7"/>
  <c r="L125" i="7"/>
  <c r="K121" i="7"/>
  <c r="M150" i="7"/>
  <c r="K148" i="7"/>
  <c r="Q144" i="7"/>
  <c r="P139" i="7"/>
  <c r="Q137" i="7"/>
  <c r="Q135" i="7"/>
  <c r="M145" i="7"/>
  <c r="L136" i="7"/>
  <c r="N114" i="7"/>
  <c r="O108" i="7"/>
  <c r="K98" i="7"/>
  <c r="N94" i="7"/>
  <c r="L90" i="7"/>
  <c r="P88" i="7"/>
  <c r="Q84" i="7"/>
  <c r="M82" i="7"/>
  <c r="K78" i="7"/>
  <c r="K77" i="7"/>
  <c r="O76" i="7"/>
  <c r="P72" i="7"/>
  <c r="N70" i="7"/>
  <c r="P68" i="7"/>
  <c r="K67" i="7"/>
  <c r="O64" i="7"/>
  <c r="M63" i="7"/>
  <c r="K62" i="7"/>
  <c r="Q57" i="7"/>
  <c r="O56" i="7"/>
  <c r="M55" i="7"/>
  <c r="K54" i="7"/>
  <c r="Q49" i="7"/>
  <c r="O48" i="7"/>
  <c r="M47" i="7"/>
  <c r="K46" i="7"/>
  <c r="Q41" i="7"/>
  <c r="O40" i="7"/>
  <c r="M39" i="7"/>
  <c r="K38" i="7"/>
  <c r="Q33" i="7"/>
  <c r="O32" i="7"/>
  <c r="M31" i="7"/>
  <c r="K30" i="7"/>
  <c r="Q25" i="7"/>
  <c r="O24" i="7"/>
  <c r="M23" i="7"/>
  <c r="K22" i="7"/>
  <c r="M94" i="7"/>
  <c r="K90" i="7"/>
  <c r="O88" i="7"/>
  <c r="Q85" i="7"/>
  <c r="P84" i="7"/>
  <c r="O83" i="7"/>
  <c r="L82" i="7"/>
  <c r="N76" i="7"/>
  <c r="O72" i="7"/>
  <c r="M70" i="7"/>
  <c r="O68" i="7"/>
  <c r="Q65" i="7"/>
  <c r="N64" i="7"/>
  <c r="L63" i="7"/>
  <c r="P57" i="7"/>
  <c r="N56" i="7"/>
  <c r="L55" i="7"/>
  <c r="P49" i="7"/>
  <c r="N48" i="7"/>
  <c r="L47" i="7"/>
  <c r="P41" i="7"/>
  <c r="N40" i="7"/>
  <c r="L39" i="7"/>
  <c r="P33" i="7"/>
  <c r="N32" i="7"/>
  <c r="L31" i="7"/>
  <c r="P25" i="7"/>
  <c r="N24" i="7"/>
  <c r="L23" i="7"/>
  <c r="Q149" i="7"/>
  <c r="N132" i="7"/>
  <c r="N107" i="7"/>
  <c r="Q96" i="7"/>
  <c r="L94" i="7"/>
  <c r="P92" i="7"/>
  <c r="N88" i="7"/>
  <c r="O85" i="7"/>
  <c r="O84" i="7"/>
  <c r="N83" i="7"/>
  <c r="K82" i="7"/>
  <c r="M76" i="7"/>
  <c r="N72" i="7"/>
  <c r="L70" i="7"/>
  <c r="N68" i="7"/>
  <c r="P65" i="7"/>
  <c r="M64" i="7"/>
  <c r="K63" i="7"/>
  <c r="Q58" i="7"/>
  <c r="O57" i="7"/>
  <c r="M56" i="7"/>
  <c r="K55" i="7"/>
  <c r="Q50" i="7"/>
  <c r="O49" i="7"/>
  <c r="M48" i="7"/>
  <c r="K47" i="7"/>
  <c r="Q42" i="7"/>
  <c r="O41" i="7"/>
  <c r="M40" i="7"/>
  <c r="K39" i="7"/>
  <c r="Q34" i="7"/>
  <c r="O33" i="7"/>
  <c r="M32" i="7"/>
  <c r="K31" i="7"/>
  <c r="Q26" i="7"/>
  <c r="O25" i="7"/>
  <c r="M24" i="7"/>
  <c r="K23" i="7"/>
  <c r="M107" i="7"/>
  <c r="P96" i="7"/>
  <c r="K94" i="7"/>
  <c r="O92" i="7"/>
  <c r="L85" i="7"/>
  <c r="N84" i="7"/>
  <c r="M83" i="7"/>
  <c r="L76" i="7"/>
  <c r="O75" i="7"/>
  <c r="K70" i="7"/>
  <c r="M68" i="7"/>
  <c r="O65" i="7"/>
  <c r="L64" i="7"/>
  <c r="P58" i="7"/>
  <c r="N57" i="7"/>
  <c r="L56" i="7"/>
  <c r="P50" i="7"/>
  <c r="N49" i="7"/>
  <c r="L48" i="7"/>
  <c r="P42" i="7"/>
  <c r="N41" i="7"/>
  <c r="L40" i="7"/>
  <c r="P34" i="7"/>
  <c r="N33" i="7"/>
  <c r="L32" i="7"/>
  <c r="P26" i="7"/>
  <c r="N25" i="7"/>
  <c r="L24" i="7"/>
  <c r="L120" i="7"/>
  <c r="L106" i="7"/>
  <c r="P105" i="7"/>
  <c r="N96" i="7"/>
  <c r="Q89" i="7"/>
  <c r="K85" i="7"/>
  <c r="M84" i="7"/>
  <c r="L83" i="7"/>
  <c r="N75" i="7"/>
  <c r="Q71" i="7"/>
  <c r="L68" i="7"/>
  <c r="N65" i="7"/>
  <c r="K64" i="7"/>
  <c r="Q59" i="7"/>
  <c r="O58" i="7"/>
  <c r="M57" i="7"/>
  <c r="K56" i="7"/>
  <c r="Q51" i="7"/>
  <c r="O50" i="7"/>
  <c r="M49" i="7"/>
  <c r="K48" i="7"/>
  <c r="Q43" i="7"/>
  <c r="O42" i="7"/>
  <c r="M41" i="7"/>
  <c r="K40" i="7"/>
  <c r="Q35" i="7"/>
  <c r="O34" i="7"/>
  <c r="M33" i="7"/>
  <c r="K32" i="7"/>
  <c r="Q27" i="7"/>
  <c r="O26" i="7"/>
  <c r="M25" i="7"/>
  <c r="K24" i="7"/>
  <c r="K138" i="7"/>
  <c r="K115" i="7"/>
  <c r="K106" i="7"/>
  <c r="Q104" i="7"/>
  <c r="P89" i="7"/>
  <c r="K83" i="7"/>
  <c r="M75" i="7"/>
  <c r="P71" i="7"/>
  <c r="Q69" i="7"/>
  <c r="K68" i="7"/>
  <c r="L65" i="7"/>
  <c r="P59" i="7"/>
  <c r="N58" i="7"/>
  <c r="L57" i="7"/>
  <c r="P51" i="7"/>
  <c r="N50" i="7"/>
  <c r="L49" i="7"/>
  <c r="P43" i="7"/>
  <c r="N42" i="7"/>
  <c r="L41" i="7"/>
  <c r="P35" i="7"/>
  <c r="N34" i="7"/>
  <c r="L33" i="7"/>
  <c r="P27" i="7"/>
  <c r="N26" i="7"/>
  <c r="L25" i="7"/>
  <c r="Q126" i="7"/>
  <c r="N104" i="7"/>
  <c r="K89" i="7"/>
  <c r="Q86" i="7"/>
  <c r="L75" i="7"/>
  <c r="O71" i="7"/>
  <c r="P69" i="7"/>
  <c r="Q66" i="7"/>
  <c r="K65" i="7"/>
  <c r="Q60" i="7"/>
  <c r="O59" i="7"/>
  <c r="M58" i="7"/>
  <c r="K57" i="7"/>
  <c r="Q52" i="7"/>
  <c r="O51" i="7"/>
  <c r="M50" i="7"/>
  <c r="K49" i="7"/>
  <c r="Q44" i="7"/>
  <c r="O43" i="7"/>
  <c r="M42" i="7"/>
  <c r="K41" i="7"/>
  <c r="Q36" i="7"/>
  <c r="O35" i="7"/>
  <c r="M34" i="7"/>
  <c r="K33" i="7"/>
  <c r="Q28" i="7"/>
  <c r="O27" i="7"/>
  <c r="M26" i="7"/>
  <c r="K25" i="7"/>
  <c r="Q20" i="7"/>
  <c r="M143" i="7"/>
  <c r="P103" i="7"/>
  <c r="Q93" i="7"/>
  <c r="N86" i="7"/>
  <c r="K75" i="7"/>
  <c r="M74" i="7"/>
  <c r="N71" i="7"/>
  <c r="O69" i="7"/>
  <c r="P66" i="7"/>
  <c r="P60" i="7"/>
  <c r="N59" i="7"/>
  <c r="L58" i="7"/>
  <c r="P52" i="7"/>
  <c r="N51" i="7"/>
  <c r="L50" i="7"/>
  <c r="P44" i="7"/>
  <c r="N43" i="7"/>
  <c r="L42" i="7"/>
  <c r="P36" i="7"/>
  <c r="N35" i="7"/>
  <c r="L34" i="7"/>
  <c r="P28" i="7"/>
  <c r="N27" i="7"/>
  <c r="L26" i="7"/>
  <c r="P20" i="7"/>
  <c r="O103" i="7"/>
  <c r="N102" i="7"/>
  <c r="L93" i="7"/>
  <c r="M86" i="7"/>
  <c r="L74" i="7"/>
  <c r="M71" i="7"/>
  <c r="N69" i="7"/>
  <c r="N66" i="7"/>
  <c r="Q61" i="7"/>
  <c r="O60" i="7"/>
  <c r="M59" i="7"/>
  <c r="K58" i="7"/>
  <c r="Q53" i="7"/>
  <c r="O52" i="7"/>
  <c r="M51" i="7"/>
  <c r="K50" i="7"/>
  <c r="Q45" i="7"/>
  <c r="O44" i="7"/>
  <c r="M43" i="7"/>
  <c r="K42" i="7"/>
  <c r="Q37" i="7"/>
  <c r="O36" i="7"/>
  <c r="M35" i="7"/>
  <c r="K34" i="7"/>
  <c r="Q29" i="7"/>
  <c r="O28" i="7"/>
  <c r="M27" i="7"/>
  <c r="K26" i="7"/>
  <c r="Q21" i="7"/>
  <c r="O20" i="7"/>
  <c r="M109" i="7"/>
  <c r="L103" i="7"/>
  <c r="M102" i="7"/>
  <c r="Q101" i="7"/>
  <c r="P95" i="7"/>
  <c r="K93" i="7"/>
  <c r="L86" i="7"/>
  <c r="K74" i="7"/>
  <c r="L71" i="7"/>
  <c r="M69" i="7"/>
  <c r="M66" i="7"/>
  <c r="P61" i="7"/>
  <c r="N60" i="7"/>
  <c r="L59" i="7"/>
  <c r="P53" i="7"/>
  <c r="N52" i="7"/>
  <c r="L51" i="7"/>
  <c r="P45" i="7"/>
  <c r="N44" i="7"/>
  <c r="L43" i="7"/>
  <c r="P37" i="7"/>
  <c r="N36" i="7"/>
  <c r="L35" i="7"/>
  <c r="P29" i="7"/>
  <c r="N28" i="7"/>
  <c r="L27" i="7"/>
  <c r="P21" i="7"/>
  <c r="N20" i="7"/>
  <c r="Q140" i="7"/>
  <c r="O117" i="7"/>
  <c r="K116" i="7"/>
  <c r="K110" i="7"/>
  <c r="L109" i="7"/>
  <c r="L101" i="7"/>
  <c r="P100" i="7"/>
  <c r="O95" i="7"/>
  <c r="N91" i="7"/>
  <c r="P87" i="7"/>
  <c r="K86" i="7"/>
  <c r="Q73" i="7"/>
  <c r="K71" i="7"/>
  <c r="L69" i="7"/>
  <c r="L66" i="7"/>
  <c r="Q62" i="7"/>
  <c r="O61" i="7"/>
  <c r="M60" i="7"/>
  <c r="K59" i="7"/>
  <c r="Q54" i="7"/>
  <c r="O53" i="7"/>
  <c r="M52" i="7"/>
  <c r="K51" i="7"/>
  <c r="Q46" i="7"/>
  <c r="O45" i="7"/>
  <c r="M44" i="7"/>
  <c r="K43" i="7"/>
  <c r="Q38" i="7"/>
  <c r="O37" i="7"/>
  <c r="M36" i="7"/>
  <c r="K35" i="7"/>
  <c r="Q30" i="7"/>
  <c r="O29" i="7"/>
  <c r="M28" i="7"/>
  <c r="K27" i="7"/>
  <c r="Q22" i="7"/>
  <c r="O21" i="7"/>
  <c r="M20" i="7"/>
  <c r="L123" i="7"/>
  <c r="M117" i="7"/>
  <c r="O111" i="7"/>
  <c r="K101" i="7"/>
  <c r="O100" i="7"/>
  <c r="N95" i="7"/>
  <c r="M91" i="7"/>
  <c r="O87" i="7"/>
  <c r="Q80" i="7"/>
  <c r="P79" i="7"/>
  <c r="Q78" i="7"/>
  <c r="Q77" i="7"/>
  <c r="P73" i="7"/>
  <c r="K69" i="7"/>
  <c r="P67" i="7"/>
  <c r="K66" i="7"/>
  <c r="P62" i="7"/>
  <c r="N61" i="7"/>
  <c r="L60" i="7"/>
  <c r="P54" i="7"/>
  <c r="N53" i="7"/>
  <c r="L52" i="7"/>
  <c r="P46" i="7"/>
  <c r="N45" i="7"/>
  <c r="L44" i="7"/>
  <c r="P38" i="7"/>
  <c r="N37" i="7"/>
  <c r="L36" i="7"/>
  <c r="P30" i="7"/>
  <c r="N29" i="7"/>
  <c r="L28" i="7"/>
  <c r="P22" i="7"/>
  <c r="N21" i="7"/>
  <c r="L20" i="7"/>
  <c r="O118" i="7"/>
  <c r="O112" i="7"/>
  <c r="N111" i="7"/>
  <c r="M95" i="7"/>
  <c r="N87" i="7"/>
  <c r="Q81" i="7"/>
  <c r="P80" i="7"/>
  <c r="O79" i="7"/>
  <c r="P78" i="7"/>
  <c r="P77" i="7"/>
  <c r="L73" i="7"/>
  <c r="O67" i="7"/>
  <c r="Q63" i="7"/>
  <c r="O62" i="7"/>
  <c r="M61" i="7"/>
  <c r="K60" i="7"/>
  <c r="Q55" i="7"/>
  <c r="O54" i="7"/>
  <c r="M53" i="7"/>
  <c r="K52" i="7"/>
  <c r="Q47" i="7"/>
  <c r="O46" i="7"/>
  <c r="M45" i="7"/>
  <c r="K44" i="7"/>
  <c r="Q39" i="7"/>
  <c r="O38" i="7"/>
  <c r="M37" i="7"/>
  <c r="K36" i="7"/>
  <c r="Q31" i="7"/>
  <c r="O30" i="7"/>
  <c r="M29" i="7"/>
  <c r="K28" i="7"/>
  <c r="Q23" i="7"/>
  <c r="O22" i="7"/>
  <c r="M21" i="7"/>
  <c r="K20" i="7"/>
  <c r="O134" i="7"/>
  <c r="Q127" i="7"/>
  <c r="N118" i="7"/>
  <c r="P113" i="7"/>
  <c r="N112" i="7"/>
  <c r="K111" i="7"/>
  <c r="N99" i="7"/>
  <c r="L95" i="7"/>
  <c r="M87" i="7"/>
  <c r="P81" i="7"/>
  <c r="O80" i="7"/>
  <c r="N79" i="7"/>
  <c r="N78" i="7"/>
  <c r="O77" i="7"/>
  <c r="K73" i="7"/>
  <c r="Q70" i="7"/>
  <c r="N67" i="7"/>
  <c r="P63" i="7"/>
  <c r="N62" i="7"/>
  <c r="L61" i="7"/>
  <c r="P55" i="7"/>
  <c r="N54" i="7"/>
  <c r="L53" i="7"/>
  <c r="P47" i="7"/>
  <c r="N46" i="7"/>
  <c r="L45" i="7"/>
  <c r="P39" i="7"/>
  <c r="N38" i="7"/>
  <c r="L37" i="7"/>
  <c r="P31" i="7"/>
  <c r="N30" i="7"/>
  <c r="L29" i="7"/>
  <c r="P23" i="7"/>
  <c r="N22" i="7"/>
  <c r="L21" i="7"/>
  <c r="M99" i="7"/>
  <c r="L87" i="7"/>
  <c r="K81" i="7"/>
  <c r="N80" i="7"/>
  <c r="M79" i="7"/>
  <c r="M78" i="7"/>
  <c r="N77" i="7"/>
  <c r="Q76" i="7"/>
  <c r="P70" i="7"/>
  <c r="M67" i="7"/>
  <c r="Q64" i="7"/>
  <c r="O63" i="7"/>
  <c r="M62" i="7"/>
  <c r="K61" i="7"/>
  <c r="Q56" i="7"/>
  <c r="O55" i="7"/>
  <c r="M54" i="7"/>
  <c r="K53" i="7"/>
  <c r="Q48" i="7"/>
  <c r="O47" i="7"/>
  <c r="M46" i="7"/>
  <c r="K45" i="7"/>
  <c r="Q40" i="7"/>
  <c r="O39" i="7"/>
  <c r="M38" i="7"/>
  <c r="K37" i="7"/>
  <c r="Q32" i="7"/>
  <c r="O31" i="7"/>
  <c r="M30" i="7"/>
  <c r="K29" i="7"/>
  <c r="Q24" i="7"/>
  <c r="O23" i="7"/>
  <c r="K125" i="7"/>
  <c r="P108" i="7"/>
  <c r="L98" i="7"/>
  <c r="P97" i="7"/>
  <c r="Q88" i="7"/>
  <c r="L79" i="7"/>
  <c r="L78" i="7"/>
  <c r="L77" i="7"/>
  <c r="P76" i="7"/>
  <c r="Q72" i="7"/>
  <c r="O70" i="7"/>
  <c r="Q68" i="7"/>
  <c r="L67" i="7"/>
  <c r="P64" i="7"/>
  <c r="N63" i="7"/>
  <c r="L62" i="7"/>
  <c r="P56" i="7"/>
  <c r="N55" i="7"/>
  <c r="L54" i="7"/>
  <c r="P48" i="7"/>
  <c r="N47" i="7"/>
  <c r="L46" i="7"/>
  <c r="P40" i="7"/>
  <c r="N39" i="7"/>
  <c r="L38" i="7"/>
  <c r="P32" i="7"/>
  <c r="N31" i="7"/>
  <c r="L30" i="7"/>
  <c r="M22" i="7"/>
  <c r="L22" i="7"/>
  <c r="AC420" i="4"/>
  <c r="AA419" i="4"/>
  <c r="W417" i="4"/>
  <c r="H158" i="7" s="1"/>
  <c r="AK416" i="4"/>
  <c r="U416" i="4"/>
  <c r="AJ416" i="4" s="1"/>
  <c r="AI415" i="4"/>
  <c r="S415" i="4"/>
  <c r="AC412" i="4"/>
  <c r="AA411" i="4"/>
  <c r="W409" i="4"/>
  <c r="AK408" i="4"/>
  <c r="U408" i="4"/>
  <c r="Y408" i="4" s="1"/>
  <c r="AI407" i="4"/>
  <c r="S407" i="4"/>
  <c r="AC404" i="4"/>
  <c r="AA403" i="4"/>
  <c r="W401" i="4"/>
  <c r="H152" i="7" s="1"/>
  <c r="AK400" i="4"/>
  <c r="U400" i="4"/>
  <c r="AJ400" i="4" s="1"/>
  <c r="AI399" i="4"/>
  <c r="S399" i="4"/>
  <c r="AC396" i="4"/>
  <c r="AA395" i="4"/>
  <c r="W393" i="4"/>
  <c r="AK392" i="4"/>
  <c r="U392" i="4"/>
  <c r="AI391" i="4"/>
  <c r="S391" i="4"/>
  <c r="AC388" i="4"/>
  <c r="AA387" i="4"/>
  <c r="W385" i="4"/>
  <c r="H146" i="7" s="1"/>
  <c r="AK384" i="4"/>
  <c r="U384" i="4"/>
  <c r="Y384" i="4" s="1"/>
  <c r="AI383" i="4"/>
  <c r="AJ383" i="4" s="1"/>
  <c r="S383" i="4"/>
  <c r="AC380" i="4"/>
  <c r="AA379" i="4"/>
  <c r="W377" i="4"/>
  <c r="H144" i="7" s="1"/>
  <c r="AK376" i="4"/>
  <c r="U376" i="4"/>
  <c r="AI375" i="4"/>
  <c r="S375" i="4"/>
  <c r="AC372" i="4"/>
  <c r="AA371" i="4"/>
  <c r="W369" i="4"/>
  <c r="H140" i="7" s="1"/>
  <c r="AK368" i="4"/>
  <c r="U368" i="4"/>
  <c r="Y368" i="4" s="1"/>
  <c r="AI367" i="4"/>
  <c r="S367" i="4"/>
  <c r="AC364" i="4"/>
  <c r="AA363" i="4"/>
  <c r="W361" i="4"/>
  <c r="H138" i="7" s="1"/>
  <c r="AK360" i="4"/>
  <c r="U360" i="4"/>
  <c r="AJ360" i="4" s="1"/>
  <c r="AI359" i="4"/>
  <c r="AJ359" i="4" s="1"/>
  <c r="S359" i="4"/>
  <c r="AC356" i="4"/>
  <c r="AA355" i="4"/>
  <c r="N23" i="7"/>
  <c r="W420" i="4"/>
  <c r="H130" i="10" s="1"/>
  <c r="AK419" i="4"/>
  <c r="U419" i="4"/>
  <c r="AI418" i="4"/>
  <c r="S418" i="4"/>
  <c r="AC415" i="4"/>
  <c r="AA414" i="4"/>
  <c r="W412" i="4"/>
  <c r="AK411" i="4"/>
  <c r="U411" i="4"/>
  <c r="AI410" i="4"/>
  <c r="AJ410" i="4" s="1"/>
  <c r="S410" i="4"/>
  <c r="AC407" i="4"/>
  <c r="AA406" i="4"/>
  <c r="W404" i="4"/>
  <c r="H125" i="10" s="1"/>
  <c r="AK403" i="4"/>
  <c r="U403" i="4"/>
  <c r="AI402" i="4"/>
  <c r="S402" i="4"/>
  <c r="AC399" i="4"/>
  <c r="AA398" i="4"/>
  <c r="W396" i="4"/>
  <c r="AK395" i="4"/>
  <c r="U395" i="4"/>
  <c r="Y395" i="4" s="1"/>
  <c r="AI394" i="4"/>
  <c r="S394" i="4"/>
  <c r="AC391" i="4"/>
  <c r="AA390" i="4"/>
  <c r="W388" i="4"/>
  <c r="H120" i="10" s="1"/>
  <c r="AK387" i="4"/>
  <c r="U387" i="4"/>
  <c r="AI386" i="4"/>
  <c r="S386" i="4"/>
  <c r="AC383" i="4"/>
  <c r="K21" i="7"/>
  <c r="AI420" i="4"/>
  <c r="S420" i="4"/>
  <c r="AC417" i="4"/>
  <c r="AA416" i="4"/>
  <c r="W414" i="4"/>
  <c r="H127" i="10" s="1"/>
  <c r="AK413" i="4"/>
  <c r="U413" i="4"/>
  <c r="AI412" i="4"/>
  <c r="AJ412" i="4" s="1"/>
  <c r="S412" i="4"/>
  <c r="AC409" i="4"/>
  <c r="AA408" i="4"/>
  <c r="W406" i="4"/>
  <c r="H126" i="10" s="1"/>
  <c r="AK405" i="4"/>
  <c r="U405" i="4"/>
  <c r="AI404" i="4"/>
  <c r="S404" i="4"/>
  <c r="AC401" i="4"/>
  <c r="AA400" i="4"/>
  <c r="W398" i="4"/>
  <c r="AK397" i="4"/>
  <c r="U397" i="4"/>
  <c r="AI396" i="4"/>
  <c r="S396" i="4"/>
  <c r="AC393" i="4"/>
  <c r="AA392" i="4"/>
  <c r="W390" i="4"/>
  <c r="H121" i="10" s="1"/>
  <c r="AK389" i="4"/>
  <c r="U389" i="4"/>
  <c r="AI388" i="4"/>
  <c r="S388" i="4"/>
  <c r="AC385" i="4"/>
  <c r="AA384" i="4"/>
  <c r="W382" i="4"/>
  <c r="AK381" i="4"/>
  <c r="U381" i="4"/>
  <c r="Y381" i="4" s="1"/>
  <c r="AI380" i="4"/>
  <c r="S380" i="4"/>
  <c r="AC377" i="4"/>
  <c r="AA376" i="4"/>
  <c r="W374" i="4"/>
  <c r="H116" i="10" s="1"/>
  <c r="AK373" i="4"/>
  <c r="U373" i="4"/>
  <c r="AI372" i="4"/>
  <c r="S372" i="4"/>
  <c r="AC369" i="4"/>
  <c r="AA368" i="4"/>
  <c r="W366" i="4"/>
  <c r="AK365" i="4"/>
  <c r="U365" i="4"/>
  <c r="Y365" i="4" s="1"/>
  <c r="AI364" i="4"/>
  <c r="S364" i="4"/>
  <c r="AC361" i="4"/>
  <c r="AA360" i="4"/>
  <c r="W358" i="4"/>
  <c r="H111" i="10" s="1"/>
  <c r="AK357" i="4"/>
  <c r="U357" i="4"/>
  <c r="AI356" i="4"/>
  <c r="AJ356" i="4" s="1"/>
  <c r="S356" i="4"/>
  <c r="AC353" i="4"/>
  <c r="AA352" i="4"/>
  <c r="W350" i="4"/>
  <c r="H110" i="10" s="1"/>
  <c r="P24" i="7"/>
  <c r="AH420" i="4"/>
  <c r="AF419" i="4"/>
  <c r="AD418" i="4"/>
  <c r="AG418" i="4" s="1"/>
  <c r="Z416" i="4"/>
  <c r="X415" i="4"/>
  <c r="AB415" i="4" s="1"/>
  <c r="V414" i="4"/>
  <c r="T413" i="4"/>
  <c r="F156" i="7" s="1"/>
  <c r="AH412" i="4"/>
  <c r="AF411" i="4"/>
  <c r="AD410" i="4"/>
  <c r="AG410" i="4" s="1"/>
  <c r="Z408" i="4"/>
  <c r="AE408" i="4" s="1"/>
  <c r="X407" i="4"/>
  <c r="V406" i="4"/>
  <c r="T405" i="4"/>
  <c r="F154" i="7" s="1"/>
  <c r="AH404" i="4"/>
  <c r="AF403" i="4"/>
  <c r="AD402" i="4"/>
  <c r="AG402" i="4" s="1"/>
  <c r="Z400" i="4"/>
  <c r="X399" i="4"/>
  <c r="AB399" i="4" s="1"/>
  <c r="V398" i="4"/>
  <c r="AJ397" i="4"/>
  <c r="T397" i="4"/>
  <c r="F150" i="7" s="1"/>
  <c r="AH396" i="4"/>
  <c r="AF395" i="4"/>
  <c r="AD394" i="4"/>
  <c r="AG394" i="4" s="1"/>
  <c r="Z392" i="4"/>
  <c r="AH418" i="4"/>
  <c r="S417" i="4"/>
  <c r="AH415" i="4"/>
  <c r="S414" i="4"/>
  <c r="Z413" i="4"/>
  <c r="Z410" i="4"/>
  <c r="AF409" i="4"/>
  <c r="S408" i="4"/>
  <c r="AA407" i="4"/>
  <c r="AF406" i="4"/>
  <c r="X404" i="4"/>
  <c r="AB404" i="4" s="1"/>
  <c r="AD403" i="4"/>
  <c r="AG403" i="4" s="1"/>
  <c r="X401" i="4"/>
  <c r="AB401" i="4" s="1"/>
  <c r="AF400" i="4"/>
  <c r="AD397" i="4"/>
  <c r="AG397" i="4" s="1"/>
  <c r="AK396" i="4"/>
  <c r="W395" i="4"/>
  <c r="S393" i="4"/>
  <c r="AH391" i="4"/>
  <c r="X390" i="4"/>
  <c r="V388" i="4"/>
  <c r="AF387" i="4"/>
  <c r="V386" i="4"/>
  <c r="V384" i="4"/>
  <c r="V382" i="4"/>
  <c r="AH381" i="4"/>
  <c r="AA380" i="4"/>
  <c r="U379" i="4"/>
  <c r="Y379" i="4" s="1"/>
  <c r="AF378" i="4"/>
  <c r="X377" i="4"/>
  <c r="AB377" i="4" s="1"/>
  <c r="AI376" i="4"/>
  <c r="AJ376" i="4" s="1"/>
  <c r="T374" i="4"/>
  <c r="F116" i="10" s="1"/>
  <c r="AF373" i="4"/>
  <c r="AK371" i="4"/>
  <c r="S371" i="4"/>
  <c r="AC370" i="4"/>
  <c r="U369" i="4"/>
  <c r="AJ369" i="4" s="1"/>
  <c r="Z367" i="4"/>
  <c r="AK366" i="4"/>
  <c r="S366" i="4"/>
  <c r="AF365" i="4"/>
  <c r="AK363" i="4"/>
  <c r="S363" i="4"/>
  <c r="AC362" i="4"/>
  <c r="U361" i="4"/>
  <c r="Z359" i="4"/>
  <c r="AJ358" i="4"/>
  <c r="AC357" i="4"/>
  <c r="W356" i="4"/>
  <c r="AI355" i="4"/>
  <c r="AC354" i="4"/>
  <c r="U352" i="4"/>
  <c r="Y352" i="4" s="1"/>
  <c r="X419" i="4"/>
  <c r="AB419" i="4" s="1"/>
  <c r="X416" i="4"/>
  <c r="AB416" i="4" s="1"/>
  <c r="X413" i="4"/>
  <c r="AD412" i="4"/>
  <c r="AG412" i="4" s="1"/>
  <c r="X410" i="4"/>
  <c r="AB410" i="4" s="1"/>
  <c r="Z407" i="4"/>
  <c r="V404" i="4"/>
  <c r="AC403" i="4"/>
  <c r="AJ420" i="4"/>
  <c r="V419" i="4"/>
  <c r="AC418" i="4"/>
  <c r="V416" i="4"/>
  <c r="V413" i="4"/>
  <c r="AA412" i="4"/>
  <c r="AI411" i="4"/>
  <c r="V410" i="4"/>
  <c r="AA409" i="4"/>
  <c r="V407" i="4"/>
  <c r="AC406" i="4"/>
  <c r="AH405" i="4"/>
  <c r="T404" i="4"/>
  <c r="F125" i="10" s="1"/>
  <c r="Z403" i="4"/>
  <c r="AJ402" i="4"/>
  <c r="T401" i="4"/>
  <c r="F152" i="7" s="1"/>
  <c r="T398" i="4"/>
  <c r="AA397" i="4"/>
  <c r="AF396" i="4"/>
  <c r="S395" i="4"/>
  <c r="V392" i="4"/>
  <c r="T390" i="4"/>
  <c r="F121" i="10" s="1"/>
  <c r="AC389" i="4"/>
  <c r="AC387" i="4"/>
  <c r="AA385" i="4"/>
  <c r="AA383" i="4"/>
  <c r="AK382" i="4"/>
  <c r="S382" i="4"/>
  <c r="AD381" i="4"/>
  <c r="AG381" i="4" s="1"/>
  <c r="X380" i="4"/>
  <c r="T377" i="4"/>
  <c r="F144" i="7" s="1"/>
  <c r="AF376" i="4"/>
  <c r="X375" i="4"/>
  <c r="AI374" i="4"/>
  <c r="V372" i="4"/>
  <c r="AH371" i="4"/>
  <c r="Z370" i="4"/>
  <c r="AD368" i="4"/>
  <c r="AG368" i="4" s="1"/>
  <c r="V367" i="4"/>
  <c r="AH366" i="4"/>
  <c r="V364" i="4"/>
  <c r="AH363" i="4"/>
  <c r="Z362" i="4"/>
  <c r="AJ361" i="4"/>
  <c r="AD360" i="4"/>
  <c r="AG360" i="4" s="1"/>
  <c r="V359" i="4"/>
  <c r="AF358" i="4"/>
  <c r="Z357" i="4"/>
  <c r="T356" i="4"/>
  <c r="Z354" i="4"/>
  <c r="V353" i="4"/>
  <c r="AI352" i="4"/>
  <c r="AF420" i="4"/>
  <c r="S419" i="4"/>
  <c r="AA418" i="4"/>
  <c r="AH417" i="4"/>
  <c r="S416" i="4"/>
  <c r="AH414" i="4"/>
  <c r="T410" i="4"/>
  <c r="AH408" i="4"/>
  <c r="T407" i="4"/>
  <c r="Z406" i="4"/>
  <c r="AF405" i="4"/>
  <c r="X403" i="4"/>
  <c r="X400" i="4"/>
  <c r="X397" i="4"/>
  <c r="AB397" i="4" s="1"/>
  <c r="AD396" i="4"/>
  <c r="AG396" i="4" s="1"/>
  <c r="Z394" i="4"/>
  <c r="AH393" i="4"/>
  <c r="S392" i="4"/>
  <c r="AK390" i="4"/>
  <c r="AA389" i="4"/>
  <c r="AJ388" i="4"/>
  <c r="Z387" i="4"/>
  <c r="AJ386" i="4"/>
  <c r="AI384" i="4"/>
  <c r="X383" i="4"/>
  <c r="AI382" i="4"/>
  <c r="V380" i="4"/>
  <c r="AH379" i="4"/>
  <c r="Z378" i="4"/>
  <c r="Z418" i="4"/>
  <c r="AF417" i="4"/>
  <c r="AA415" i="4"/>
  <c r="AF414" i="4"/>
  <c r="X412" i="4"/>
  <c r="AB412" i="4" s="1"/>
  <c r="AD411" i="4"/>
  <c r="AG411" i="4" s="1"/>
  <c r="X409" i="4"/>
  <c r="AD405" i="4"/>
  <c r="AG405" i="4" s="1"/>
  <c r="AK404" i="4"/>
  <c r="W403" i="4"/>
  <c r="H153" i="7" s="1"/>
  <c r="AF402" i="4"/>
  <c r="AK401" i="4"/>
  <c r="W418" i="4"/>
  <c r="H129" i="10" s="1"/>
  <c r="AD417" i="4"/>
  <c r="AG417" i="4" s="1"/>
  <c r="W415" i="4"/>
  <c r="H157" i="7" s="1"/>
  <c r="AD414" i="4"/>
  <c r="AG414" i="4" s="1"/>
  <c r="AI413" i="4"/>
  <c r="Z420" i="4"/>
  <c r="AH419" i="4"/>
  <c r="U418" i="4"/>
  <c r="AJ418" i="4" s="1"/>
  <c r="Z417" i="4"/>
  <c r="AH416" i="4"/>
  <c r="U415" i="4"/>
  <c r="AH410" i="4"/>
  <c r="S409" i="4"/>
  <c r="AH407" i="4"/>
  <c r="S406" i="4"/>
  <c r="Z405" i="4"/>
  <c r="X420" i="4"/>
  <c r="AD419" i="4"/>
  <c r="AG419" i="4" s="1"/>
  <c r="X417" i="4"/>
  <c r="AF416" i="4"/>
  <c r="AD413" i="4"/>
  <c r="AG413" i="4" s="1"/>
  <c r="AK412" i="4"/>
  <c r="W411" i="4"/>
  <c r="H155" i="7" s="1"/>
  <c r="AF410" i="4"/>
  <c r="AK409" i="4"/>
  <c r="X408" i="4"/>
  <c r="AB408" i="4" s="1"/>
  <c r="AF407" i="4"/>
  <c r="AK406" i="4"/>
  <c r="W405" i="4"/>
  <c r="H154" i="7" s="1"/>
  <c r="W402" i="4"/>
  <c r="H124" i="10" s="1"/>
  <c r="AD401" i="4"/>
  <c r="AG401" i="4" s="1"/>
  <c r="W399" i="4"/>
  <c r="H151" i="7" s="1"/>
  <c r="AD398" i="4"/>
  <c r="AG398" i="4" s="1"/>
  <c r="AI397" i="4"/>
  <c r="U396" i="4"/>
  <c r="Y396" i="4" s="1"/>
  <c r="X393" i="4"/>
  <c r="AB393" i="4" s="1"/>
  <c r="AF392" i="4"/>
  <c r="T391" i="4"/>
  <c r="F149" i="7" s="1"/>
  <c r="AC390" i="4"/>
  <c r="AA388" i="4"/>
  <c r="AA386" i="4"/>
  <c r="AJ385" i="4"/>
  <c r="Z384" i="4"/>
  <c r="AA382" i="4"/>
  <c r="T381" i="4"/>
  <c r="AF380" i="4"/>
  <c r="V376" i="4"/>
  <c r="AF375" i="4"/>
  <c r="AJ373" i="4"/>
  <c r="AD372" i="4"/>
  <c r="AG372" i="4" s="1"/>
  <c r="W371" i="4"/>
  <c r="H141" i="7" s="1"/>
  <c r="AH370" i="4"/>
  <c r="Z369" i="4"/>
  <c r="S368" i="4"/>
  <c r="AD367" i="4"/>
  <c r="AG367" i="4" s="1"/>
  <c r="X366" i="4"/>
  <c r="AB366" i="4" s="1"/>
  <c r="AD364" i="4"/>
  <c r="AG364" i="4" s="1"/>
  <c r="W363" i="4"/>
  <c r="H139" i="7" s="1"/>
  <c r="AH362" i="4"/>
  <c r="Z361" i="4"/>
  <c r="S360" i="4"/>
  <c r="AD359" i="4"/>
  <c r="AG359" i="4" s="1"/>
  <c r="V358" i="4"/>
  <c r="AH357" i="4"/>
  <c r="AA356" i="4"/>
  <c r="U355" i="4"/>
  <c r="AJ355" i="4" s="1"/>
  <c r="AH354" i="4"/>
  <c r="AD353" i="4"/>
  <c r="AG353" i="4" s="1"/>
  <c r="AK351" i="4"/>
  <c r="T351" i="4"/>
  <c r="AF350" i="4"/>
  <c r="AC349" i="4"/>
  <c r="AA348" i="4"/>
  <c r="W346" i="4"/>
  <c r="H108" i="10" s="1"/>
  <c r="AK345" i="4"/>
  <c r="U345" i="4"/>
  <c r="AI344" i="4"/>
  <c r="S344" i="4"/>
  <c r="AC341" i="4"/>
  <c r="AA340" i="4"/>
  <c r="W338" i="4"/>
  <c r="AK337" i="4"/>
  <c r="U337" i="4"/>
  <c r="Y337" i="4" s="1"/>
  <c r="AI336" i="4"/>
  <c r="S336" i="4"/>
  <c r="AC333" i="4"/>
  <c r="AA332" i="4"/>
  <c r="W330" i="4"/>
  <c r="H103" i="10" s="1"/>
  <c r="AK329" i="4"/>
  <c r="U329" i="4"/>
  <c r="AJ329" i="4" s="1"/>
  <c r="AI328" i="4"/>
  <c r="S328" i="4"/>
  <c r="AC325" i="4"/>
  <c r="AA324" i="4"/>
  <c r="W322" i="4"/>
  <c r="H102" i="10" s="1"/>
  <c r="AK321" i="4"/>
  <c r="U321" i="4"/>
  <c r="AI320" i="4"/>
  <c r="AJ320" i="4" s="1"/>
  <c r="S320" i="4"/>
  <c r="AC317" i="4"/>
  <c r="AA316" i="4"/>
  <c r="W314" i="4"/>
  <c r="AK313" i="4"/>
  <c r="U313" i="4"/>
  <c r="AI312" i="4"/>
  <c r="S312" i="4"/>
  <c r="AC309" i="4"/>
  <c r="V420" i="4"/>
  <c r="AC419" i="4"/>
  <c r="V417" i="4"/>
  <c r="AD416" i="4"/>
  <c r="AG416" i="4" s="1"/>
  <c r="X414" i="4"/>
  <c r="AC413" i="4"/>
  <c r="V411" i="4"/>
  <c r="AC410" i="4"/>
  <c r="AJ409" i="4"/>
  <c r="W408" i="4"/>
  <c r="V405" i="4"/>
  <c r="AA404" i="4"/>
  <c r="AI403" i="4"/>
  <c r="AJ403" i="4" s="1"/>
  <c r="V402" i="4"/>
  <c r="AA401" i="4"/>
  <c r="U420" i="4"/>
  <c r="AK418" i="4"/>
  <c r="U417" i="4"/>
  <c r="AC416" i="4"/>
  <c r="AK415" i="4"/>
  <c r="U414" i="4"/>
  <c r="T411" i="4"/>
  <c r="AI409" i="4"/>
  <c r="V408" i="4"/>
  <c r="AD407" i="4"/>
  <c r="AG407" i="4" s="1"/>
  <c r="AI406" i="4"/>
  <c r="AJ406" i="4" s="1"/>
  <c r="S405" i="4"/>
  <c r="Z404" i="4"/>
  <c r="AH403" i="4"/>
  <c r="U402" i="4"/>
  <c r="Z401" i="4"/>
  <c r="AH400" i="4"/>
  <c r="U399" i="4"/>
  <c r="U393" i="4"/>
  <c r="Y393" i="4" s="1"/>
  <c r="AC392" i="4"/>
  <c r="AK391" i="4"/>
  <c r="Z390" i="4"/>
  <c r="AI389" i="4"/>
  <c r="AI387" i="4"/>
  <c r="AJ387" i="4" s="1"/>
  <c r="X386" i="4"/>
  <c r="AB386" i="4" s="1"/>
  <c r="AH385" i="4"/>
  <c r="X384" i="4"/>
  <c r="AB384" i="4" s="1"/>
  <c r="AD380" i="4"/>
  <c r="AG380" i="4" s="1"/>
  <c r="W379" i="4"/>
  <c r="AH378" i="4"/>
  <c r="T415" i="4"/>
  <c r="F157" i="7" s="1"/>
  <c r="AI414" i="4"/>
  <c r="U412" i="4"/>
  <c r="Y412" i="4" s="1"/>
  <c r="AK407" i="4"/>
  <c r="AA402" i="4"/>
  <c r="AK399" i="4"/>
  <c r="W397" i="4"/>
  <c r="H150" i="7" s="1"/>
  <c r="AI392" i="4"/>
  <c r="AJ392" i="4" s="1"/>
  <c r="AA391" i="4"/>
  <c r="X389" i="4"/>
  <c r="Z388" i="4"/>
  <c r="X387" i="4"/>
  <c r="W386" i="4"/>
  <c r="H119" i="10" s="1"/>
  <c r="V385" i="4"/>
  <c r="W384" i="4"/>
  <c r="V383" i="4"/>
  <c r="T382" i="4"/>
  <c r="W381" i="4"/>
  <c r="X378" i="4"/>
  <c r="AB378" i="4" s="1"/>
  <c r="V374" i="4"/>
  <c r="AA373" i="4"/>
  <c r="U370" i="4"/>
  <c r="Y370" i="4" s="1"/>
  <c r="AF368" i="4"/>
  <c r="AA365" i="4"/>
  <c r="AJ364" i="4"/>
  <c r="U362" i="4"/>
  <c r="AF360" i="4"/>
  <c r="V357" i="4"/>
  <c r="AH355" i="4"/>
  <c r="U354" i="4"/>
  <c r="Y354" i="4" s="1"/>
  <c r="AJ352" i="4"/>
  <c r="AR352" i="4" s="1"/>
  <c r="X351" i="4"/>
  <c r="AI350" i="4"/>
  <c r="AD349" i="4"/>
  <c r="AG349" i="4" s="1"/>
  <c r="AK347" i="4"/>
  <c r="T347" i="4"/>
  <c r="F133" i="7" s="1"/>
  <c r="AF346" i="4"/>
  <c r="X344" i="4"/>
  <c r="AK343" i="4"/>
  <c r="T343" i="4"/>
  <c r="F131" i="7" s="1"/>
  <c r="X340" i="4"/>
  <c r="S339" i="4"/>
  <c r="AF338" i="4"/>
  <c r="X336" i="4"/>
  <c r="AK335" i="4"/>
  <c r="T335" i="4"/>
  <c r="F129" i="7" s="1"/>
  <c r="X332" i="4"/>
  <c r="AB332" i="4" s="1"/>
  <c r="AJ331" i="4"/>
  <c r="S331" i="4"/>
  <c r="AA329" i="4"/>
  <c r="W328" i="4"/>
  <c r="AJ327" i="4"/>
  <c r="S327" i="4"/>
  <c r="AF326" i="4"/>
  <c r="AA325" i="4"/>
  <c r="W324" i="4"/>
  <c r="AI323" i="4"/>
  <c r="AD322" i="4"/>
  <c r="AG322" i="4" s="1"/>
  <c r="Z321" i="4"/>
  <c r="V320" i="4"/>
  <c r="AI319" i="4"/>
  <c r="AJ319" i="4" s="1"/>
  <c r="AD318" i="4"/>
  <c r="AG318" i="4" s="1"/>
  <c r="Z317" i="4"/>
  <c r="V316" i="4"/>
  <c r="AH315" i="4"/>
  <c r="AC314" i="4"/>
  <c r="U312" i="4"/>
  <c r="Y312" i="4" s="1"/>
  <c r="AH311" i="4"/>
  <c r="AD310" i="4"/>
  <c r="AG310" i="4" s="1"/>
  <c r="Z309" i="4"/>
  <c r="W308" i="4"/>
  <c r="H98" i="10" s="1"/>
  <c r="AK307" i="4"/>
  <c r="U307" i="4"/>
  <c r="AI306" i="4"/>
  <c r="S306" i="4"/>
  <c r="AC303" i="4"/>
  <c r="AA302" i="4"/>
  <c r="W300" i="4"/>
  <c r="AK299" i="4"/>
  <c r="U299" i="4"/>
  <c r="AI298" i="4"/>
  <c r="S298" i="4"/>
  <c r="AC295" i="4"/>
  <c r="AA294" i="4"/>
  <c r="W292" i="4"/>
  <c r="H93" i="10" s="1"/>
  <c r="AK291" i="4"/>
  <c r="U291" i="4"/>
  <c r="AI290" i="4"/>
  <c r="S290" i="4"/>
  <c r="AC287" i="4"/>
  <c r="AA286" i="4"/>
  <c r="W284" i="4"/>
  <c r="AK283" i="4"/>
  <c r="U283" i="4"/>
  <c r="Y283" i="4" s="1"/>
  <c r="AI282" i="4"/>
  <c r="S282" i="4"/>
  <c r="AC279" i="4"/>
  <c r="AA278" i="4"/>
  <c r="W276" i="4"/>
  <c r="H88" i="10" s="1"/>
  <c r="AK275" i="4"/>
  <c r="U275" i="4"/>
  <c r="AI274" i="4"/>
  <c r="S274" i="4"/>
  <c r="AC271" i="4"/>
  <c r="AA270" i="4"/>
  <c r="X418" i="4"/>
  <c r="AK417" i="4"/>
  <c r="T412" i="4"/>
  <c r="AH411" i="4"/>
  <c r="AH409" i="4"/>
  <c r="AJ407" i="4"/>
  <c r="AR407" i="4" s="1"/>
  <c r="Z402" i="4"/>
  <c r="AH399" i="4"/>
  <c r="AC398" i="4"/>
  <c r="V397" i="4"/>
  <c r="AH392" i="4"/>
  <c r="Z391" i="4"/>
  <c r="W389" i="4"/>
  <c r="H148" i="7" s="1"/>
  <c r="X388" i="4"/>
  <c r="AB388" i="4" s="1"/>
  <c r="W387" i="4"/>
  <c r="H147" i="7" s="1"/>
  <c r="U386" i="4"/>
  <c r="U385" i="4"/>
  <c r="T384" i="4"/>
  <c r="U383" i="4"/>
  <c r="V381" i="4"/>
  <c r="W380" i="4"/>
  <c r="Z379" i="4"/>
  <c r="AE379" i="4" s="1"/>
  <c r="W378" i="4"/>
  <c r="H118" i="10" s="1"/>
  <c r="AD377" i="4"/>
  <c r="AG377" i="4" s="1"/>
  <c r="AH376" i="4"/>
  <c r="U374" i="4"/>
  <c r="Z373" i="4"/>
  <c r="AH372" i="4"/>
  <c r="T370" i="4"/>
  <c r="AA369" i="4"/>
  <c r="AH367" i="4"/>
  <c r="Z365" i="4"/>
  <c r="AH364" i="4"/>
  <c r="T362" i="4"/>
  <c r="F113" i="10" s="1"/>
  <c r="AA361" i="4"/>
  <c r="AH359" i="4"/>
  <c r="T357" i="4"/>
  <c r="F136" i="7" s="1"/>
  <c r="Z356" i="4"/>
  <c r="AE356" i="4" s="1"/>
  <c r="AF355" i="4"/>
  <c r="T354" i="4"/>
  <c r="AA353" i="4"/>
  <c r="AH352" i="4"/>
  <c r="W351" i="4"/>
  <c r="AH350" i="4"/>
  <c r="X348" i="4"/>
  <c r="S347" i="4"/>
  <c r="AA345" i="4"/>
  <c r="W344" i="4"/>
  <c r="H107" i="10" s="1"/>
  <c r="V418" i="4"/>
  <c r="AI417" i="4"/>
  <c r="AJ417" i="4" s="1"/>
  <c r="AC414" i="4"/>
  <c r="AC411" i="4"/>
  <c r="AD409" i="4"/>
  <c r="AG409" i="4" s="1"/>
  <c r="AF404" i="4"/>
  <c r="X402" i="4"/>
  <c r="AB402" i="4" s="1"/>
  <c r="AI400" i="4"/>
  <c r="AF399" i="4"/>
  <c r="Z398" i="4"/>
  <c r="S397" i="4"/>
  <c r="X391" i="4"/>
  <c r="AB391" i="4" s="1"/>
  <c r="V390" i="4"/>
  <c r="V389" i="4"/>
  <c r="U388" i="4"/>
  <c r="V387" i="4"/>
  <c r="T386" i="4"/>
  <c r="F119" i="10" s="1"/>
  <c r="T385" i="4"/>
  <c r="F146" i="7" s="1"/>
  <c r="S384" i="4"/>
  <c r="T383" i="4"/>
  <c r="S381" i="4"/>
  <c r="U380" i="4"/>
  <c r="Y380" i="4" s="1"/>
  <c r="X379" i="4"/>
  <c r="AB379" i="4" s="1"/>
  <c r="V378" i="4"/>
  <c r="AA377" i="4"/>
  <c r="S374" i="4"/>
  <c r="S370" i="4"/>
  <c r="AC368" i="4"/>
  <c r="S362" i="4"/>
  <c r="AC360" i="4"/>
  <c r="AK358" i="4"/>
  <c r="S357" i="4"/>
  <c r="AD355" i="4"/>
  <c r="AG355" i="4" s="1"/>
  <c r="S354" i="4"/>
  <c r="Z353" i="4"/>
  <c r="AE353" i="4" s="1"/>
  <c r="V351" i="4"/>
  <c r="AA349" i="4"/>
  <c r="W348" i="4"/>
  <c r="H109" i="10" s="1"/>
  <c r="AI347" i="4"/>
  <c r="AD346" i="4"/>
  <c r="AG346" i="4" s="1"/>
  <c r="Z345" i="4"/>
  <c r="V344" i="4"/>
  <c r="AI343" i="4"/>
  <c r="AD342" i="4"/>
  <c r="AG342" i="4" s="1"/>
  <c r="Z341" i="4"/>
  <c r="V340" i="4"/>
  <c r="AH339" i="4"/>
  <c r="AD338" i="4"/>
  <c r="AG338" i="4" s="1"/>
  <c r="Z337" i="4"/>
  <c r="V336" i="4"/>
  <c r="AI335" i="4"/>
  <c r="AD334" i="4"/>
  <c r="AG334" i="4" s="1"/>
  <c r="Z333" i="4"/>
  <c r="V332" i="4"/>
  <c r="AH331" i="4"/>
  <c r="AC330" i="4"/>
  <c r="U328" i="4"/>
  <c r="Y328" i="4" s="1"/>
  <c r="AH327" i="4"/>
  <c r="AC326" i="4"/>
  <c r="U324" i="4"/>
  <c r="Y324" i="4" s="1"/>
  <c r="X321" i="4"/>
  <c r="AK320" i="4"/>
  <c r="T320" i="4"/>
  <c r="F101" i="10" s="1"/>
  <c r="AF319" i="4"/>
  <c r="X317" i="4"/>
  <c r="AK316" i="4"/>
  <c r="T316" i="4"/>
  <c r="F99" i="10" s="1"/>
  <c r="AF315" i="4"/>
  <c r="AA314" i="4"/>
  <c r="W313" i="4"/>
  <c r="H120" i="7" s="1"/>
  <c r="X309" i="4"/>
  <c r="AB309" i="4" s="1"/>
  <c r="AK308" i="4"/>
  <c r="U308" i="4"/>
  <c r="AI307" i="4"/>
  <c r="S307" i="4"/>
  <c r="AC304" i="4"/>
  <c r="AA303" i="4"/>
  <c r="W301" i="4"/>
  <c r="H116" i="7" s="1"/>
  <c r="AK300" i="4"/>
  <c r="U300" i="4"/>
  <c r="Y300" i="4" s="1"/>
  <c r="AI299" i="4"/>
  <c r="S299" i="4"/>
  <c r="AC296" i="4"/>
  <c r="AA295" i="4"/>
  <c r="W293" i="4"/>
  <c r="H114" i="7" s="1"/>
  <c r="AK292" i="4"/>
  <c r="U292" i="4"/>
  <c r="AJ292" i="4" s="1"/>
  <c r="AI291" i="4"/>
  <c r="S291" i="4"/>
  <c r="AC288" i="4"/>
  <c r="AA287" i="4"/>
  <c r="W285" i="4"/>
  <c r="H110" i="7" s="1"/>
  <c r="AK284" i="4"/>
  <c r="U284" i="4"/>
  <c r="Y284" i="4" s="1"/>
  <c r="AI283" i="4"/>
  <c r="S283" i="4"/>
  <c r="AC280" i="4"/>
  <c r="AA279" i="4"/>
  <c r="W277" i="4"/>
  <c r="H108" i="7" s="1"/>
  <c r="AK276" i="4"/>
  <c r="U276" i="4"/>
  <c r="AI275" i="4"/>
  <c r="S275" i="4"/>
  <c r="AC272" i="4"/>
  <c r="AA271" i="4"/>
  <c r="W269" i="4"/>
  <c r="AK268" i="4"/>
  <c r="U268" i="4"/>
  <c r="Y268" i="4" s="1"/>
  <c r="AI267" i="4"/>
  <c r="S267" i="4"/>
  <c r="AC264" i="4"/>
  <c r="T418" i="4"/>
  <c r="F129" i="10" s="1"/>
  <c r="Z414" i="4"/>
  <c r="Z409" i="4"/>
  <c r="AD404" i="4"/>
  <c r="AG404" i="4" s="1"/>
  <c r="T402" i="4"/>
  <c r="F124" i="10" s="1"/>
  <c r="X398" i="4"/>
  <c r="AB398" i="4" s="1"/>
  <c r="AK393" i="4"/>
  <c r="AD392" i="4"/>
  <c r="AG392" i="4" s="1"/>
  <c r="W391" i="4"/>
  <c r="H149" i="7" s="1"/>
  <c r="U390" i="4"/>
  <c r="T389" i="4"/>
  <c r="F148" i="7" s="1"/>
  <c r="T388" i="4"/>
  <c r="F120" i="10" s="1"/>
  <c r="T387" i="4"/>
  <c r="F147" i="7" s="1"/>
  <c r="S385" i="4"/>
  <c r="T380" i="4"/>
  <c r="V379" i="4"/>
  <c r="U378" i="4"/>
  <c r="Z377" i="4"/>
  <c r="AK375" i="4"/>
  <c r="X373" i="4"/>
  <c r="AF372" i="4"/>
  <c r="X369" i="4"/>
  <c r="AB369" i="4" s="1"/>
  <c r="AF367" i="4"/>
  <c r="X365" i="4"/>
  <c r="AB365" i="4" s="1"/>
  <c r="AF364" i="4"/>
  <c r="X361" i="4"/>
  <c r="AB361" i="4" s="1"/>
  <c r="AF359" i="4"/>
  <c r="AI358" i="4"/>
  <c r="X356" i="4"/>
  <c r="AC355" i="4"/>
  <c r="X353" i="4"/>
  <c r="AF352" i="4"/>
  <c r="U351" i="4"/>
  <c r="Y351" i="4" s="1"/>
  <c r="Z349" i="4"/>
  <c r="V348" i="4"/>
  <c r="AH347" i="4"/>
  <c r="AC346" i="4"/>
  <c r="U344" i="4"/>
  <c r="AJ344" i="4" s="1"/>
  <c r="AH343" i="4"/>
  <c r="AC342" i="4"/>
  <c r="U340" i="4"/>
  <c r="Y340" i="4" s="1"/>
  <c r="AC338" i="4"/>
  <c r="U336" i="4"/>
  <c r="AH335" i="4"/>
  <c r="AC334" i="4"/>
  <c r="U332" i="4"/>
  <c r="X329" i="4"/>
  <c r="AB329" i="4" s="1"/>
  <c r="AK328" i="4"/>
  <c r="T328" i="4"/>
  <c r="AF327" i="4"/>
  <c r="X325" i="4"/>
  <c r="AK324" i="4"/>
  <c r="T324" i="4"/>
  <c r="AF323" i="4"/>
  <c r="AA322" i="4"/>
  <c r="W321" i="4"/>
  <c r="H124" i="7" s="1"/>
  <c r="AA318" i="4"/>
  <c r="W317" i="4"/>
  <c r="H122" i="7" s="1"/>
  <c r="AJ316" i="4"/>
  <c r="S316" i="4"/>
  <c r="Z314" i="4"/>
  <c r="V313" i="4"/>
  <c r="AH312" i="4"/>
  <c r="AD311" i="4"/>
  <c r="AG311" i="4" s="1"/>
  <c r="AA310" i="4"/>
  <c r="W309" i="4"/>
  <c r="T308" i="4"/>
  <c r="F98" i="10" s="1"/>
  <c r="AH307" i="4"/>
  <c r="AF306" i="4"/>
  <c r="AD305" i="4"/>
  <c r="AG305" i="4" s="1"/>
  <c r="Z303" i="4"/>
  <c r="X302" i="4"/>
  <c r="V301" i="4"/>
  <c r="T300" i="4"/>
  <c r="AH299" i="4"/>
  <c r="AF298" i="4"/>
  <c r="AD297" i="4"/>
  <c r="AG297" i="4" s="1"/>
  <c r="Z295" i="4"/>
  <c r="X294" i="4"/>
  <c r="AB294" i="4" s="1"/>
  <c r="V293" i="4"/>
  <c r="T292" i="4"/>
  <c r="F93" i="10" s="1"/>
  <c r="AH291" i="4"/>
  <c r="AF290" i="4"/>
  <c r="AD289" i="4"/>
  <c r="AG289" i="4" s="1"/>
  <c r="Z287" i="4"/>
  <c r="X286" i="4"/>
  <c r="V285" i="4"/>
  <c r="AJ284" i="4"/>
  <c r="T284" i="4"/>
  <c r="AH283" i="4"/>
  <c r="AF282" i="4"/>
  <c r="AD281" i="4"/>
  <c r="AG281" i="4" s="1"/>
  <c r="Z279" i="4"/>
  <c r="X278" i="4"/>
  <c r="V277" i="4"/>
  <c r="AJ276" i="4"/>
  <c r="T276" i="4"/>
  <c r="F88" i="10" s="1"/>
  <c r="AH275" i="4"/>
  <c r="AF274" i="4"/>
  <c r="AD273" i="4"/>
  <c r="AG273" i="4" s="1"/>
  <c r="Z271" i="4"/>
  <c r="X270" i="4"/>
  <c r="AB270" i="4" s="1"/>
  <c r="V269" i="4"/>
  <c r="AJ268" i="4"/>
  <c r="AR268" i="4" s="1"/>
  <c r="T268" i="4"/>
  <c r="AH267" i="4"/>
  <c r="AF266" i="4"/>
  <c r="AD265" i="4"/>
  <c r="AG265" i="4" s="1"/>
  <c r="Z263" i="4"/>
  <c r="X262" i="4"/>
  <c r="AB262" i="4" s="1"/>
  <c r="V261" i="4"/>
  <c r="AJ260" i="4"/>
  <c r="T260" i="4"/>
  <c r="F83" i="10" s="1"/>
  <c r="AH259" i="4"/>
  <c r="AF258" i="4"/>
  <c r="AD257" i="4"/>
  <c r="AG257" i="4" s="1"/>
  <c r="Z255" i="4"/>
  <c r="X254" i="4"/>
  <c r="V253" i="4"/>
  <c r="T252" i="4"/>
  <c r="F82" i="10" s="1"/>
  <c r="AK420" i="4"/>
  <c r="AA417" i="4"/>
  <c r="T414" i="4"/>
  <c r="F127" i="10" s="1"/>
  <c r="Z411" i="4"/>
  <c r="V409" i="4"/>
  <c r="W407" i="4"/>
  <c r="AD400" i="4"/>
  <c r="AG400" i="4" s="1"/>
  <c r="AD399" i="4"/>
  <c r="AG399" i="4" s="1"/>
  <c r="U398" i="4"/>
  <c r="Y398" i="4" s="1"/>
  <c r="AI393" i="4"/>
  <c r="AJ393" i="4" s="1"/>
  <c r="AR393" i="4" s="1"/>
  <c r="V391" i="4"/>
  <c r="S390" i="4"/>
  <c r="S389" i="4"/>
  <c r="S387" i="4"/>
  <c r="T379" i="4"/>
  <c r="T378" i="4"/>
  <c r="F118" i="10" s="1"/>
  <c r="AD376" i="4"/>
  <c r="AG376" i="4" s="1"/>
  <c r="AJ375" i="4"/>
  <c r="W373" i="4"/>
  <c r="H142" i="7" s="1"/>
  <c r="AI371" i="4"/>
  <c r="AJ371" i="4" s="1"/>
  <c r="V369" i="4"/>
  <c r="Z368" i="4"/>
  <c r="AE368" i="4" s="1"/>
  <c r="AI366" i="4"/>
  <c r="AJ366" i="4" s="1"/>
  <c r="AR366" i="4" s="1"/>
  <c r="W365" i="4"/>
  <c r="AI363" i="4"/>
  <c r="V361" i="4"/>
  <c r="Z360" i="4"/>
  <c r="AH358" i="4"/>
  <c r="V356" i="4"/>
  <c r="AK354" i="4"/>
  <c r="W353" i="4"/>
  <c r="S351" i="4"/>
  <c r="AD350" i="4"/>
  <c r="AG350" i="4" s="1"/>
  <c r="U348" i="4"/>
  <c r="X345" i="4"/>
  <c r="AK344" i="4"/>
  <c r="T344" i="4"/>
  <c r="F107" i="10" s="1"/>
  <c r="AF343" i="4"/>
  <c r="X341" i="4"/>
  <c r="AB341" i="4" s="1"/>
  <c r="AK340" i="4"/>
  <c r="T340" i="4"/>
  <c r="AF339" i="4"/>
  <c r="X337" i="4"/>
  <c r="AB337" i="4" s="1"/>
  <c r="AK336" i="4"/>
  <c r="T336" i="4"/>
  <c r="F106" i="10" s="1"/>
  <c r="AF335" i="4"/>
  <c r="X333" i="4"/>
  <c r="AK332" i="4"/>
  <c r="T332" i="4"/>
  <c r="F104" i="10" s="1"/>
  <c r="AF331" i="4"/>
  <c r="AA330" i="4"/>
  <c r="W329" i="4"/>
  <c r="H126" i="7" s="1"/>
  <c r="AA326" i="4"/>
  <c r="W325" i="4"/>
  <c r="S324" i="4"/>
  <c r="Z322" i="4"/>
  <c r="V321" i="4"/>
  <c r="AH320" i="4"/>
  <c r="AD319" i="4"/>
  <c r="AG319" i="4" s="1"/>
  <c r="Z318" i="4"/>
  <c r="V317" i="4"/>
  <c r="AI316" i="4"/>
  <c r="AD315" i="4"/>
  <c r="AG315" i="4" s="1"/>
  <c r="T313" i="4"/>
  <c r="F120" i="7" s="1"/>
  <c r="AC311" i="4"/>
  <c r="Z310" i="4"/>
  <c r="AE310" i="4" s="1"/>
  <c r="V309" i="4"/>
  <c r="AI308" i="4"/>
  <c r="AJ308" i="4" s="1"/>
  <c r="S308" i="4"/>
  <c r="AC305" i="4"/>
  <c r="AA304" i="4"/>
  <c r="W302" i="4"/>
  <c r="H95" i="10" s="1"/>
  <c r="AK301" i="4"/>
  <c r="U301" i="4"/>
  <c r="AI300" i="4"/>
  <c r="AJ300" i="4" s="1"/>
  <c r="S300" i="4"/>
  <c r="AC297" i="4"/>
  <c r="AA296" i="4"/>
  <c r="W294" i="4"/>
  <c r="H94" i="10" s="1"/>
  <c r="AK293" i="4"/>
  <c r="U293" i="4"/>
  <c r="AI292" i="4"/>
  <c r="S292" i="4"/>
  <c r="AC289" i="4"/>
  <c r="AA288" i="4"/>
  <c r="W286" i="4"/>
  <c r="AK285" i="4"/>
  <c r="U285" i="4"/>
  <c r="AI284" i="4"/>
  <c r="S284" i="4"/>
  <c r="AC281" i="4"/>
  <c r="AA280" i="4"/>
  <c r="W278" i="4"/>
  <c r="H89" i="10" s="1"/>
  <c r="AK277" i="4"/>
  <c r="U277" i="4"/>
  <c r="AI276" i="4"/>
  <c r="S276" i="4"/>
  <c r="AC273" i="4"/>
  <c r="AA272" i="4"/>
  <c r="W270" i="4"/>
  <c r="AK269" i="4"/>
  <c r="U269" i="4"/>
  <c r="Y269" i="4" s="1"/>
  <c r="AI268" i="4"/>
  <c r="S268" i="4"/>
  <c r="AC265" i="4"/>
  <c r="AA264" i="4"/>
  <c r="W262" i="4"/>
  <c r="H84" i="10" s="1"/>
  <c r="AK261" i="4"/>
  <c r="U261" i="4"/>
  <c r="AI260" i="4"/>
  <c r="S260" i="4"/>
  <c r="X411" i="4"/>
  <c r="AB411" i="4" s="1"/>
  <c r="U409" i="4"/>
  <c r="Y409" i="4" s="1"/>
  <c r="U407" i="4"/>
  <c r="Y407" i="4" s="1"/>
  <c r="AH406" i="4"/>
  <c r="U404" i="4"/>
  <c r="AI401" i="4"/>
  <c r="AC400" i="4"/>
  <c r="S398" i="4"/>
  <c r="AI395" i="4"/>
  <c r="AK394" i="4"/>
  <c r="AF393" i="4"/>
  <c r="X392" i="4"/>
  <c r="AB392" i="4" s="1"/>
  <c r="U391" i="4"/>
  <c r="S379" i="4"/>
  <c r="S378" i="4"/>
  <c r="V377" i="4"/>
  <c r="AC376" i="4"/>
  <c r="AH375" i="4"/>
  <c r="AK374" i="4"/>
  <c r="V373" i="4"/>
  <c r="AF371" i="4"/>
  <c r="AK370" i="4"/>
  <c r="T369" i="4"/>
  <c r="F140" i="7" s="1"/>
  <c r="AC367" i="4"/>
  <c r="AF366" i="4"/>
  <c r="V365" i="4"/>
  <c r="AF363" i="4"/>
  <c r="AK362" i="4"/>
  <c r="T361" i="4"/>
  <c r="F138" i="7" s="1"/>
  <c r="AC359" i="4"/>
  <c r="U356" i="4"/>
  <c r="Y356" i="4" s="1"/>
  <c r="Z355" i="4"/>
  <c r="AJ354" i="4"/>
  <c r="U353" i="4"/>
  <c r="Y353" i="4" s="1"/>
  <c r="AD352" i="4"/>
  <c r="AG352" i="4" s="1"/>
  <c r="AJ351" i="4"/>
  <c r="AR351" i="4" s="1"/>
  <c r="AC350" i="4"/>
  <c r="X349" i="4"/>
  <c r="AB349" i="4" s="1"/>
  <c r="AK348" i="4"/>
  <c r="T348" i="4"/>
  <c r="F109" i="10" s="1"/>
  <c r="AF347" i="4"/>
  <c r="AA346" i="4"/>
  <c r="W345" i="4"/>
  <c r="H132" i="7" s="1"/>
  <c r="AA342" i="4"/>
  <c r="W341" i="4"/>
  <c r="H130" i="7" s="1"/>
  <c r="S340" i="4"/>
  <c r="AA338" i="4"/>
  <c r="W337" i="4"/>
  <c r="AJ336" i="4"/>
  <c r="AA334" i="4"/>
  <c r="W333" i="4"/>
  <c r="H128" i="7" s="1"/>
  <c r="AJ332" i="4"/>
  <c r="S332" i="4"/>
  <c r="Z330" i="4"/>
  <c r="V329" i="4"/>
  <c r="AH328" i="4"/>
  <c r="AD327" i="4"/>
  <c r="AG327" i="4" s="1"/>
  <c r="Z326" i="4"/>
  <c r="V325" i="4"/>
  <c r="AI324" i="4"/>
  <c r="AD323" i="4"/>
  <c r="AG323" i="4" s="1"/>
  <c r="T321" i="4"/>
  <c r="F124" i="7" s="1"/>
  <c r="AC319" i="4"/>
  <c r="U317" i="4"/>
  <c r="AH316" i="4"/>
  <c r="AD420" i="4"/>
  <c r="AG420" i="4" s="1"/>
  <c r="T417" i="4"/>
  <c r="F158" i="7" s="1"/>
  <c r="S411" i="4"/>
  <c r="T409" i="4"/>
  <c r="AD406" i="4"/>
  <c r="AG406" i="4" s="1"/>
  <c r="AH401" i="4"/>
  <c r="AA399" i="4"/>
  <c r="AH395" i="4"/>
  <c r="AH394" i="4"/>
  <c r="W392" i="4"/>
  <c r="H122" i="10" s="1"/>
  <c r="U377" i="4"/>
  <c r="AJ377" i="4" s="1"/>
  <c r="T373" i="4"/>
  <c r="F142" i="7" s="1"/>
  <c r="AA372" i="4"/>
  <c r="S369" i="4"/>
  <c r="X368" i="4"/>
  <c r="AB368" i="4" s="1"/>
  <c r="T365" i="4"/>
  <c r="AA364" i="4"/>
  <c r="AJ362" i="4"/>
  <c r="S361" i="4"/>
  <c r="X360" i="4"/>
  <c r="AD358" i="4"/>
  <c r="AG358" i="4" s="1"/>
  <c r="AI354" i="4"/>
  <c r="T353" i="4"/>
  <c r="AC352" i="4"/>
  <c r="AI351" i="4"/>
  <c r="W349" i="4"/>
  <c r="H134" i="7" s="1"/>
  <c r="S348" i="4"/>
  <c r="Z346" i="4"/>
  <c r="V345" i="4"/>
  <c r="AH344" i="4"/>
  <c r="AD343" i="4"/>
  <c r="AG343" i="4" s="1"/>
  <c r="Z342" i="4"/>
  <c r="AE342" i="4" s="1"/>
  <c r="V341" i="4"/>
  <c r="AI340" i="4"/>
  <c r="AD339" i="4"/>
  <c r="AG339" i="4" s="1"/>
  <c r="Z338" i="4"/>
  <c r="AE338" i="4" s="1"/>
  <c r="V337" i="4"/>
  <c r="AH336" i="4"/>
  <c r="AD335" i="4"/>
  <c r="AG335" i="4" s="1"/>
  <c r="Z334" i="4"/>
  <c r="V333" i="4"/>
  <c r="AI332" i="4"/>
  <c r="AD331" i="4"/>
  <c r="AG331" i="4" s="1"/>
  <c r="T329" i="4"/>
  <c r="F126" i="7" s="1"/>
  <c r="AC327" i="4"/>
  <c r="U325" i="4"/>
  <c r="Y325" i="4" s="1"/>
  <c r="AH324" i="4"/>
  <c r="AC323" i="4"/>
  <c r="X322" i="4"/>
  <c r="S321" i="4"/>
  <c r="AF320" i="4"/>
  <c r="X318" i="4"/>
  <c r="AK317" i="4"/>
  <c r="T317" i="4"/>
  <c r="F122" i="7" s="1"/>
  <c r="V314" i="4"/>
  <c r="AI313" i="4"/>
  <c r="AJ313" i="4" s="1"/>
  <c r="AA311" i="4"/>
  <c r="X310" i="4"/>
  <c r="AB310" i="4" s="1"/>
  <c r="AK309" i="4"/>
  <c r="T309" i="4"/>
  <c r="AC306" i="4"/>
  <c r="AA305" i="4"/>
  <c r="W303" i="4"/>
  <c r="H117" i="7" s="1"/>
  <c r="AK302" i="4"/>
  <c r="U302" i="4"/>
  <c r="AI301" i="4"/>
  <c r="S301" i="4"/>
  <c r="AC298" i="4"/>
  <c r="AA297" i="4"/>
  <c r="W295" i="4"/>
  <c r="AK294" i="4"/>
  <c r="U294" i="4"/>
  <c r="AI293" i="4"/>
  <c r="S293" i="4"/>
  <c r="AC290" i="4"/>
  <c r="AA289" i="4"/>
  <c r="W287" i="4"/>
  <c r="H111" i="7" s="1"/>
  <c r="AK286" i="4"/>
  <c r="U286" i="4"/>
  <c r="Y286" i="4" s="1"/>
  <c r="AI285" i="4"/>
  <c r="S285" i="4"/>
  <c r="AC282" i="4"/>
  <c r="AA281" i="4"/>
  <c r="W279" i="4"/>
  <c r="H109" i="7" s="1"/>
  <c r="AK278" i="4"/>
  <c r="U278" i="4"/>
  <c r="AI277" i="4"/>
  <c r="S277" i="4"/>
  <c r="AC274" i="4"/>
  <c r="AA273" i="4"/>
  <c r="W271" i="4"/>
  <c r="H105" i="7" s="1"/>
  <c r="AK270" i="4"/>
  <c r="U270" i="4"/>
  <c r="Y270" i="4" s="1"/>
  <c r="AI269" i="4"/>
  <c r="S269" i="4"/>
  <c r="AC266" i="4"/>
  <c r="AA265" i="4"/>
  <c r="W263" i="4"/>
  <c r="H103" i="7" s="1"/>
  <c r="AK262" i="4"/>
  <c r="U262" i="4"/>
  <c r="AI261" i="4"/>
  <c r="AJ261" i="4" s="1"/>
  <c r="S261" i="4"/>
  <c r="AC258" i="4"/>
  <c r="AA257" i="4"/>
  <c r="AF413" i="4"/>
  <c r="AI408" i="4"/>
  <c r="AJ408" i="4" s="1"/>
  <c r="AR408" i="4" s="1"/>
  <c r="X406" i="4"/>
  <c r="AB406" i="4" s="1"/>
  <c r="V400" i="4"/>
  <c r="V399" i="4"/>
  <c r="AD395" i="4"/>
  <c r="AG395" i="4" s="1"/>
  <c r="AC394" i="4"/>
  <c r="AA393" i="4"/>
  <c r="AK386" i="4"/>
  <c r="AF382" i="4"/>
  <c r="AI381" i="4"/>
  <c r="AD375" i="4"/>
  <c r="AG375" i="4" s="1"/>
  <c r="AF374" i="4"/>
  <c r="X372" i="4"/>
  <c r="AC371" i="4"/>
  <c r="V368" i="4"/>
  <c r="X367" i="4"/>
  <c r="AB367" i="4" s="1"/>
  <c r="AC366" i="4"/>
  <c r="X364" i="4"/>
  <c r="AB364" i="4" s="1"/>
  <c r="AC363" i="4"/>
  <c r="V360" i="4"/>
  <c r="X359" i="4"/>
  <c r="W355" i="4"/>
  <c r="H135" i="7" s="1"/>
  <c r="AF354" i="4"/>
  <c r="Z352" i="4"/>
  <c r="Z350" i="4"/>
  <c r="U349" i="4"/>
  <c r="AH348" i="4"/>
  <c r="AC347" i="4"/>
  <c r="X346" i="4"/>
  <c r="AJ345" i="4"/>
  <c r="S345" i="4"/>
  <c r="AF344" i="4"/>
  <c r="X342" i="4"/>
  <c r="AB342" i="4" s="1"/>
  <c r="AK341" i="4"/>
  <c r="T341" i="4"/>
  <c r="F130" i="7" s="1"/>
  <c r="X338" i="4"/>
  <c r="S337" i="4"/>
  <c r="AF336" i="4"/>
  <c r="X334" i="4"/>
  <c r="AK333" i="4"/>
  <c r="T333" i="4"/>
  <c r="F128" i="7" s="1"/>
  <c r="V330" i="4"/>
  <c r="AI329" i="4"/>
  <c r="AA327" i="4"/>
  <c r="W326" i="4"/>
  <c r="AJ325" i="4"/>
  <c r="S325" i="4"/>
  <c r="AF324" i="4"/>
  <c r="AA323" i="4"/>
  <c r="U322" i="4"/>
  <c r="AH321" i="4"/>
  <c r="AD320" i="4"/>
  <c r="AG320" i="4" s="1"/>
  <c r="Z319" i="4"/>
  <c r="V318" i="4"/>
  <c r="AI317" i="4"/>
  <c r="Z315" i="4"/>
  <c r="AK314" i="4"/>
  <c r="T314" i="4"/>
  <c r="AC312" i="4"/>
  <c r="V310" i="4"/>
  <c r="AI309" i="4"/>
  <c r="AJ309" i="4" s="1"/>
  <c r="AR309" i="4" s="1"/>
  <c r="AC307" i="4"/>
  <c r="AA306" i="4"/>
  <c r="W304" i="4"/>
  <c r="H96" i="10" s="1"/>
  <c r="AK303" i="4"/>
  <c r="U303" i="4"/>
  <c r="AJ303" i="4" s="1"/>
  <c r="AI302" i="4"/>
  <c r="S302" i="4"/>
  <c r="AC299" i="4"/>
  <c r="AA298" i="4"/>
  <c r="W296" i="4"/>
  <c r="AK295" i="4"/>
  <c r="U295" i="4"/>
  <c r="Y295" i="4" s="1"/>
  <c r="AI294" i="4"/>
  <c r="S294" i="4"/>
  <c r="AC291" i="4"/>
  <c r="AA290" i="4"/>
  <c r="W288" i="4"/>
  <c r="H91" i="10" s="1"/>
  <c r="AK287" i="4"/>
  <c r="U287" i="4"/>
  <c r="AJ287" i="4" s="1"/>
  <c r="AI286" i="4"/>
  <c r="AJ286" i="4" s="1"/>
  <c r="S286" i="4"/>
  <c r="AC283" i="4"/>
  <c r="AA282" i="4"/>
  <c r="W280" i="4"/>
  <c r="H90" i="10" s="1"/>
  <c r="AK279" i="4"/>
  <c r="U279" i="4"/>
  <c r="AI278" i="4"/>
  <c r="S278" i="4"/>
  <c r="AC275" i="4"/>
  <c r="AA274" i="4"/>
  <c r="W272" i="4"/>
  <c r="AK271" i="4"/>
  <c r="U271" i="4"/>
  <c r="AJ271" i="4" s="1"/>
  <c r="AI270" i="4"/>
  <c r="S270" i="4"/>
  <c r="AC267" i="4"/>
  <c r="AA266" i="4"/>
  <c r="W264" i="4"/>
  <c r="H85" i="10" s="1"/>
  <c r="AK263" i="4"/>
  <c r="U263" i="4"/>
  <c r="AJ263" i="4" s="1"/>
  <c r="AI262" i="4"/>
  <c r="S262" i="4"/>
  <c r="AC259" i="4"/>
  <c r="AA258" i="4"/>
  <c r="W256" i="4"/>
  <c r="AK255" i="4"/>
  <c r="T420" i="4"/>
  <c r="F130" i="10" s="1"/>
  <c r="AA413" i="4"/>
  <c r="AF408" i="4"/>
  <c r="U406" i="4"/>
  <c r="T400" i="4"/>
  <c r="F123" i="10" s="1"/>
  <c r="T399" i="4"/>
  <c r="F151" i="7" s="1"/>
  <c r="AC395" i="4"/>
  <c r="AA394" i="4"/>
  <c r="Z393" i="4"/>
  <c r="AK388" i="4"/>
  <c r="AH386" i="4"/>
  <c r="AK385" i="4"/>
  <c r="AH384" i="4"/>
  <c r="AK383" i="4"/>
  <c r="AK380" i="4"/>
  <c r="X376" i="4"/>
  <c r="AB376" i="4" s="1"/>
  <c r="AC375" i="4"/>
  <c r="W372" i="4"/>
  <c r="H115" i="10" s="1"/>
  <c r="AF370" i="4"/>
  <c r="AK369" i="4"/>
  <c r="T368" i="4"/>
  <c r="W367" i="4"/>
  <c r="W364" i="4"/>
  <c r="H114" i="10" s="1"/>
  <c r="AF362" i="4"/>
  <c r="AK361" i="4"/>
  <c r="T360" i="4"/>
  <c r="F112" i="10" s="1"/>
  <c r="W359" i="4"/>
  <c r="H137" i="7" s="1"/>
  <c r="AA358" i="4"/>
  <c r="AF357" i="4"/>
  <c r="AK356" i="4"/>
  <c r="V355" i="4"/>
  <c r="AD354" i="4"/>
  <c r="AG354" i="4" s="1"/>
  <c r="AK353" i="4"/>
  <c r="X352" i="4"/>
  <c r="AB352" i="4" s="1"/>
  <c r="AF351" i="4"/>
  <c r="AK349" i="4"/>
  <c r="T349" i="4"/>
  <c r="F134" i="7" s="1"/>
  <c r="V346" i="4"/>
  <c r="AI345" i="4"/>
  <c r="AA343" i="4"/>
  <c r="W342" i="4"/>
  <c r="S341" i="4"/>
  <c r="AF340" i="4"/>
  <c r="AA339" i="4"/>
  <c r="V338" i="4"/>
  <c r="AI337" i="4"/>
  <c r="AA335" i="4"/>
  <c r="W334" i="4"/>
  <c r="H105" i="10" s="1"/>
  <c r="S333" i="4"/>
  <c r="AF332" i="4"/>
  <c r="AA331" i="4"/>
  <c r="U330" i="4"/>
  <c r="AJ330" i="4" s="1"/>
  <c r="AH329" i="4"/>
  <c r="AD328" i="4"/>
  <c r="AG328" i="4" s="1"/>
  <c r="Z327" i="4"/>
  <c r="V326" i="4"/>
  <c r="AI325" i="4"/>
  <c r="Z323" i="4"/>
  <c r="AE323" i="4" s="1"/>
  <c r="AK322" i="4"/>
  <c r="T322" i="4"/>
  <c r="F102" i="10" s="1"/>
  <c r="AC320" i="4"/>
  <c r="U318" i="4"/>
  <c r="AH317" i="4"/>
  <c r="AD316" i="4"/>
  <c r="AG316" i="4" s="1"/>
  <c r="X315" i="4"/>
  <c r="AB315" i="4" s="1"/>
  <c r="AJ314" i="4"/>
  <c r="S314" i="4"/>
  <c r="AF313" i="4"/>
  <c r="X311" i="4"/>
  <c r="U310" i="4"/>
  <c r="Y310" i="4" s="1"/>
  <c r="AH309" i="4"/>
  <c r="AD308" i="4"/>
  <c r="AG308" i="4" s="1"/>
  <c r="Z306" i="4"/>
  <c r="X305" i="4"/>
  <c r="V304" i="4"/>
  <c r="T303" i="4"/>
  <c r="F117" i="7" s="1"/>
  <c r="AH302" i="4"/>
  <c r="AF301" i="4"/>
  <c r="AD300" i="4"/>
  <c r="AG300" i="4" s="1"/>
  <c r="Z298" i="4"/>
  <c r="AE298" i="4" s="1"/>
  <c r="X297" i="4"/>
  <c r="AB297" i="4" s="1"/>
  <c r="V296" i="4"/>
  <c r="AJ295" i="4"/>
  <c r="AR295" i="4" s="1"/>
  <c r="T295" i="4"/>
  <c r="AH294" i="4"/>
  <c r="AF293" i="4"/>
  <c r="AD292" i="4"/>
  <c r="AG292" i="4" s="1"/>
  <c r="Z290" i="4"/>
  <c r="X289" i="4"/>
  <c r="V288" i="4"/>
  <c r="T287" i="4"/>
  <c r="F111" i="7" s="1"/>
  <c r="AH286" i="4"/>
  <c r="AF285" i="4"/>
  <c r="AD284" i="4"/>
  <c r="AG284" i="4" s="1"/>
  <c r="Z282" i="4"/>
  <c r="X281" i="4"/>
  <c r="V280" i="4"/>
  <c r="T279" i="4"/>
  <c r="F109" i="7" s="1"/>
  <c r="AH278" i="4"/>
  <c r="AF277" i="4"/>
  <c r="AD276" i="4"/>
  <c r="AG276" i="4" s="1"/>
  <c r="W416" i="4"/>
  <c r="H128" i="10" s="1"/>
  <c r="W413" i="4"/>
  <c r="H156" i="7" s="1"/>
  <c r="AK410" i="4"/>
  <c r="AD408" i="4"/>
  <c r="AG408" i="4" s="1"/>
  <c r="T406" i="4"/>
  <c r="F126" i="10" s="1"/>
  <c r="AI405" i="4"/>
  <c r="AJ405" i="4" s="1"/>
  <c r="V401" i="4"/>
  <c r="S400" i="4"/>
  <c r="AA396" i="4"/>
  <c r="Z395" i="4"/>
  <c r="AE395" i="4" s="1"/>
  <c r="X394" i="4"/>
  <c r="AB394" i="4" s="1"/>
  <c r="AJ390" i="4"/>
  <c r="AH388" i="4"/>
  <c r="AI385" i="4"/>
  <c r="AH383" i="4"/>
  <c r="AD382" i="4"/>
  <c r="AG382" i="4" s="1"/>
  <c r="AF381" i="4"/>
  <c r="AK379" i="4"/>
  <c r="AK378" i="4"/>
  <c r="W376" i="4"/>
  <c r="H117" i="10" s="1"/>
  <c r="AA375" i="4"/>
  <c r="AD374" i="4"/>
  <c r="AG374" i="4" s="1"/>
  <c r="U372" i="4"/>
  <c r="AJ372" i="4" s="1"/>
  <c r="Z371" i="4"/>
  <c r="AD370" i="4"/>
  <c r="AG370" i="4" s="1"/>
  <c r="AI369" i="4"/>
  <c r="U367" i="4"/>
  <c r="Y367" i="4" s="1"/>
  <c r="AA366" i="4"/>
  <c r="U364" i="4"/>
  <c r="Z363" i="4"/>
  <c r="AD362" i="4"/>
  <c r="AG362" i="4" s="1"/>
  <c r="AI361" i="4"/>
  <c r="U359" i="4"/>
  <c r="Z358" i="4"/>
  <c r="AD357" i="4"/>
  <c r="AG357" i="4" s="1"/>
  <c r="T355" i="4"/>
  <c r="F135" i="7" s="1"/>
  <c r="W352" i="4"/>
  <c r="X350" i="4"/>
  <c r="AB350" i="4" s="1"/>
  <c r="AJ349" i="4"/>
  <c r="S349" i="4"/>
  <c r="AF348" i="4"/>
  <c r="AA347" i="4"/>
  <c r="U346" i="4"/>
  <c r="AH345" i="4"/>
  <c r="AD344" i="4"/>
  <c r="AG344" i="4" s="1"/>
  <c r="Z343" i="4"/>
  <c r="V342" i="4"/>
  <c r="AI341" i="4"/>
  <c r="Z339" i="4"/>
  <c r="AE339" i="4" s="1"/>
  <c r="U338" i="4"/>
  <c r="Y338" i="4" s="1"/>
  <c r="AH337" i="4"/>
  <c r="AD336" i="4"/>
  <c r="AG336" i="4" s="1"/>
  <c r="Z335" i="4"/>
  <c r="V334" i="4"/>
  <c r="AI333" i="4"/>
  <c r="AJ333" i="4" s="1"/>
  <c r="Z331" i="4"/>
  <c r="AK330" i="4"/>
  <c r="T330" i="4"/>
  <c r="F103" i="10" s="1"/>
  <c r="AC328" i="4"/>
  <c r="U326" i="4"/>
  <c r="Y326" i="4" s="1"/>
  <c r="AH325" i="4"/>
  <c r="AD324" i="4"/>
  <c r="AG324" i="4" s="1"/>
  <c r="X323" i="4"/>
  <c r="S322" i="4"/>
  <c r="AF321" i="4"/>
  <c r="X319" i="4"/>
  <c r="AB319" i="4" s="1"/>
  <c r="AK318" i="4"/>
  <c r="T318" i="4"/>
  <c r="F100" i="10" s="1"/>
  <c r="AC316" i="4"/>
  <c r="W315" i="4"/>
  <c r="H121" i="7" s="1"/>
  <c r="AI314" i="4"/>
  <c r="AA312" i="4"/>
  <c r="W311" i="4"/>
  <c r="AK310" i="4"/>
  <c r="T310" i="4"/>
  <c r="AC308" i="4"/>
  <c r="AA307" i="4"/>
  <c r="W305" i="4"/>
  <c r="H118" i="7" s="1"/>
  <c r="AK304" i="4"/>
  <c r="U304" i="4"/>
  <c r="AI303" i="4"/>
  <c r="S303" i="4"/>
  <c r="AC300" i="4"/>
  <c r="AA299" i="4"/>
  <c r="W297" i="4"/>
  <c r="AK296" i="4"/>
  <c r="U296" i="4"/>
  <c r="Y296" i="4" s="1"/>
  <c r="AI295" i="4"/>
  <c r="S295" i="4"/>
  <c r="AC292" i="4"/>
  <c r="AA291" i="4"/>
  <c r="W289" i="4"/>
  <c r="H112" i="7" s="1"/>
  <c r="AK288" i="4"/>
  <c r="U288" i="4"/>
  <c r="AI287" i="4"/>
  <c r="S287" i="4"/>
  <c r="AC284" i="4"/>
  <c r="AA283" i="4"/>
  <c r="W281" i="4"/>
  <c r="AK280" i="4"/>
  <c r="U280" i="4"/>
  <c r="AJ280" i="4" s="1"/>
  <c r="AI279" i="4"/>
  <c r="AJ279" i="4" s="1"/>
  <c r="S279" i="4"/>
  <c r="AC276" i="4"/>
  <c r="AA275" i="4"/>
  <c r="W273" i="4"/>
  <c r="H106" i="7" s="1"/>
  <c r="AK272" i="4"/>
  <c r="U272" i="4"/>
  <c r="Y272" i="4" s="1"/>
  <c r="AI271" i="4"/>
  <c r="S271" i="4"/>
  <c r="AC268" i="4"/>
  <c r="AA267" i="4"/>
  <c r="W265" i="4"/>
  <c r="H104" i="7" s="1"/>
  <c r="AK264" i="4"/>
  <c r="U264" i="4"/>
  <c r="AJ264" i="4" s="1"/>
  <c r="AI263" i="4"/>
  <c r="S263" i="4"/>
  <c r="AC260" i="4"/>
  <c r="AA259" i="4"/>
  <c r="W257" i="4"/>
  <c r="H100" i="7" s="1"/>
  <c r="AK256" i="4"/>
  <c r="U256" i="4"/>
  <c r="Y256" i="4" s="1"/>
  <c r="AI255" i="4"/>
  <c r="S255" i="4"/>
  <c r="AI419" i="4"/>
  <c r="T416" i="4"/>
  <c r="F128" i="10" s="1"/>
  <c r="S413" i="4"/>
  <c r="AC408" i="4"/>
  <c r="V403" i="4"/>
  <c r="U401" i="4"/>
  <c r="AJ401" i="4" s="1"/>
  <c r="AK398" i="4"/>
  <c r="AH397" i="4"/>
  <c r="Z396" i="4"/>
  <c r="X395" i="4"/>
  <c r="W394" i="4"/>
  <c r="V393" i="4"/>
  <c r="AI390" i="4"/>
  <c r="AH389" i="4"/>
  <c r="AH387" i="4"/>
  <c r="AF386" i="4"/>
  <c r="AF385" i="4"/>
  <c r="AF384" i="4"/>
  <c r="AF383" i="4"/>
  <c r="AC382" i="4"/>
  <c r="AC381" i="4"/>
  <c r="AH380" i="4"/>
  <c r="AI379" i="4"/>
  <c r="AI378" i="4"/>
  <c r="AJ378" i="4" s="1"/>
  <c r="AK377" i="4"/>
  <c r="T376" i="4"/>
  <c r="F117" i="10" s="1"/>
  <c r="Z375" i="4"/>
  <c r="AC374" i="4"/>
  <c r="AI373" i="4"/>
  <c r="T372" i="4"/>
  <c r="F115" i="10" s="1"/>
  <c r="AH369" i="4"/>
  <c r="T367" i="4"/>
  <c r="Z366" i="4"/>
  <c r="AE366" i="4" s="1"/>
  <c r="AI365" i="4"/>
  <c r="AJ365" i="4" s="1"/>
  <c r="AR365" i="4" s="1"/>
  <c r="T364" i="4"/>
  <c r="F114" i="10" s="1"/>
  <c r="AH361" i="4"/>
  <c r="T359" i="4"/>
  <c r="F137" i="7" s="1"/>
  <c r="AH356" i="4"/>
  <c r="S355" i="4"/>
  <c r="AA354" i="4"/>
  <c r="AI353" i="4"/>
  <c r="V352" i="4"/>
  <c r="AD351" i="4"/>
  <c r="AG351" i="4" s="1"/>
  <c r="V350" i="4"/>
  <c r="AI349" i="4"/>
  <c r="Z347" i="4"/>
  <c r="AK346" i="4"/>
  <c r="T346" i="4"/>
  <c r="F108" i="10" s="1"/>
  <c r="AC344" i="4"/>
  <c r="U342" i="4"/>
  <c r="Y342" i="4" s="1"/>
  <c r="AH341" i="4"/>
  <c r="AD340" i="4"/>
  <c r="AG340" i="4" s="1"/>
  <c r="X339" i="4"/>
  <c r="AK338" i="4"/>
  <c r="T338" i="4"/>
  <c r="AC336" i="4"/>
  <c r="U334" i="4"/>
  <c r="AJ334" i="4" s="1"/>
  <c r="AH333" i="4"/>
  <c r="AD332" i="4"/>
  <c r="AG332" i="4" s="1"/>
  <c r="X331" i="4"/>
  <c r="AB331" i="4" s="1"/>
  <c r="S330" i="4"/>
  <c r="AF329" i="4"/>
  <c r="X327" i="4"/>
  <c r="AK326" i="4"/>
  <c r="T326" i="4"/>
  <c r="AC324" i="4"/>
  <c r="W323" i="4"/>
  <c r="AI322" i="4"/>
  <c r="AJ322" i="4" s="1"/>
  <c r="AA320" i="4"/>
  <c r="W319" i="4"/>
  <c r="H123" i="7" s="1"/>
  <c r="AJ318" i="4"/>
  <c r="S318" i="4"/>
  <c r="AF317" i="4"/>
  <c r="V315" i="4"/>
  <c r="AH314" i="4"/>
  <c r="AD313" i="4"/>
  <c r="AG313" i="4" s="1"/>
  <c r="Z312" i="4"/>
  <c r="V311" i="4"/>
  <c r="S310" i="4"/>
  <c r="AF309" i="4"/>
  <c r="Z307" i="4"/>
  <c r="X306" i="4"/>
  <c r="AB306" i="4" s="1"/>
  <c r="V305" i="4"/>
  <c r="AJ304" i="4"/>
  <c r="T304" i="4"/>
  <c r="F96" i="10" s="1"/>
  <c r="AH303" i="4"/>
  <c r="AF302" i="4"/>
  <c r="AD301" i="4"/>
  <c r="AG301" i="4" s="1"/>
  <c r="Z299" i="4"/>
  <c r="X298" i="4"/>
  <c r="V297" i="4"/>
  <c r="T296" i="4"/>
  <c r="AH295" i="4"/>
  <c r="AF294" i="4"/>
  <c r="AD293" i="4"/>
  <c r="AG293" i="4" s="1"/>
  <c r="Z291" i="4"/>
  <c r="X290" i="4"/>
  <c r="AB290" i="4" s="1"/>
  <c r="V289" i="4"/>
  <c r="AJ288" i="4"/>
  <c r="T288" i="4"/>
  <c r="F91" i="10" s="1"/>
  <c r="AH287" i="4"/>
  <c r="AF286" i="4"/>
  <c r="AD285" i="4"/>
  <c r="AG285" i="4" s="1"/>
  <c r="Z283" i="4"/>
  <c r="X282" i="4"/>
  <c r="V281" i="4"/>
  <c r="T280" i="4"/>
  <c r="F90" i="10" s="1"/>
  <c r="AH279" i="4"/>
  <c r="AF278" i="4"/>
  <c r="AD277" i="4"/>
  <c r="AG277" i="4" s="1"/>
  <c r="Z275" i="4"/>
  <c r="X274" i="4"/>
  <c r="V273" i="4"/>
  <c r="AJ272" i="4"/>
  <c r="T272" i="4"/>
  <c r="AH271" i="4"/>
  <c r="AF270" i="4"/>
  <c r="AD269" i="4"/>
  <c r="AG269" i="4" s="1"/>
  <c r="Z267" i="4"/>
  <c r="AE267" i="4" s="1"/>
  <c r="X266" i="4"/>
  <c r="V265" i="4"/>
  <c r="T264" i="4"/>
  <c r="F85" i="10" s="1"/>
  <c r="AH263" i="4"/>
  <c r="AF262" i="4"/>
  <c r="AD261" i="4"/>
  <c r="AG261" i="4" s="1"/>
  <c r="AF415" i="4"/>
  <c r="AF412" i="4"/>
  <c r="AC405" i="4"/>
  <c r="T403" i="4"/>
  <c r="F153" i="7" s="1"/>
  <c r="AK402" i="4"/>
  <c r="S401" i="4"/>
  <c r="AF397" i="4"/>
  <c r="V395" i="4"/>
  <c r="V394" i="4"/>
  <c r="T393" i="4"/>
  <c r="AH390" i="4"/>
  <c r="AF389" i="4"/>
  <c r="AF388" i="4"/>
  <c r="AD386" i="4"/>
  <c r="AG386" i="4" s="1"/>
  <c r="AD385" i="4"/>
  <c r="AG385" i="4" s="1"/>
  <c r="AD384" i="4"/>
  <c r="AG384" i="4" s="1"/>
  <c r="AD383" i="4"/>
  <c r="AG383" i="4" s="1"/>
  <c r="AA381" i="4"/>
  <c r="AF379" i="4"/>
  <c r="AI377" i="4"/>
  <c r="S376" i="4"/>
  <c r="W375" i="4"/>
  <c r="H143" i="7" s="1"/>
  <c r="AH373" i="4"/>
  <c r="X371" i="4"/>
  <c r="AA370" i="4"/>
  <c r="AH365" i="4"/>
  <c r="X363" i="4"/>
  <c r="AB363" i="4" s="1"/>
  <c r="AA362" i="4"/>
  <c r="X358" i="4"/>
  <c r="AB358" i="4" s="1"/>
  <c r="AA357" i="4"/>
  <c r="AH353" i="4"/>
  <c r="T352" i="4"/>
  <c r="AC351" i="4"/>
  <c r="U350" i="4"/>
  <c r="AH349" i="4"/>
  <c r="AD348" i="4"/>
  <c r="AG348" i="4" s="1"/>
  <c r="X347" i="4"/>
  <c r="S346" i="4"/>
  <c r="AF345" i="4"/>
  <c r="X343" i="4"/>
  <c r="AK342" i="4"/>
  <c r="T342" i="4"/>
  <c r="AC340" i="4"/>
  <c r="W339" i="4"/>
  <c r="S338" i="4"/>
  <c r="AF337" i="4"/>
  <c r="X335" i="4"/>
  <c r="AK334" i="4"/>
  <c r="T334" i="4"/>
  <c r="F105" i="10" s="1"/>
  <c r="AC332" i="4"/>
  <c r="W331" i="4"/>
  <c r="H127" i="7" s="1"/>
  <c r="AI330" i="4"/>
  <c r="AA328" i="4"/>
  <c r="W327" i="4"/>
  <c r="H125" i="7" s="1"/>
  <c r="S326" i="4"/>
  <c r="AF325" i="4"/>
  <c r="V323" i="4"/>
  <c r="AH322" i="4"/>
  <c r="AD321" i="4"/>
  <c r="AG321" i="4" s="1"/>
  <c r="Z320" i="4"/>
  <c r="V319" i="4"/>
  <c r="AI318" i="4"/>
  <c r="Z316" i="4"/>
  <c r="U315" i="4"/>
  <c r="AC313" i="4"/>
  <c r="U311" i="4"/>
  <c r="Y311" i="4" s="1"/>
  <c r="AI310" i="4"/>
  <c r="AA308" i="4"/>
  <c r="W306" i="4"/>
  <c r="H97" i="10" s="1"/>
  <c r="AK305" i="4"/>
  <c r="U305" i="4"/>
  <c r="AI304" i="4"/>
  <c r="S304" i="4"/>
  <c r="AC301" i="4"/>
  <c r="AA300" i="4"/>
  <c r="W298" i="4"/>
  <c r="AK297" i="4"/>
  <c r="U297" i="4"/>
  <c r="Y297" i="4" s="1"/>
  <c r="AI296" i="4"/>
  <c r="AJ296" i="4" s="1"/>
  <c r="AR296" i="4" s="1"/>
  <c r="S296" i="4"/>
  <c r="AC293" i="4"/>
  <c r="AA292" i="4"/>
  <c r="W290" i="4"/>
  <c r="H92" i="10" s="1"/>
  <c r="AK289" i="4"/>
  <c r="U289" i="4"/>
  <c r="AI288" i="4"/>
  <c r="S288" i="4"/>
  <c r="AC285" i="4"/>
  <c r="AA284" i="4"/>
  <c r="W282" i="4"/>
  <c r="AK281" i="4"/>
  <c r="U281" i="4"/>
  <c r="Y281" i="4" s="1"/>
  <c r="AI280" i="4"/>
  <c r="S280" i="4"/>
  <c r="AC277" i="4"/>
  <c r="AA276" i="4"/>
  <c r="W274" i="4"/>
  <c r="H87" i="10" s="1"/>
  <c r="AK273" i="4"/>
  <c r="U273" i="4"/>
  <c r="AI272" i="4"/>
  <c r="S272" i="4"/>
  <c r="AC269" i="4"/>
  <c r="AA268" i="4"/>
  <c r="W266" i="4"/>
  <c r="H86" i="10" s="1"/>
  <c r="Z419" i="4"/>
  <c r="AD415" i="4"/>
  <c r="AG415" i="4" s="1"/>
  <c r="AA410" i="4"/>
  <c r="T408" i="4"/>
  <c r="S403" i="4"/>
  <c r="AH402" i="4"/>
  <c r="AI398" i="4"/>
  <c r="AJ398" i="4" s="1"/>
  <c r="AC397" i="4"/>
  <c r="X396" i="4"/>
  <c r="AB396" i="4" s="1"/>
  <c r="T395" i="4"/>
  <c r="U394" i="4"/>
  <c r="Y394" i="4" s="1"/>
  <c r="AF390" i="4"/>
  <c r="AD389" i="4"/>
  <c r="AG389" i="4" s="1"/>
  <c r="AD387" i="4"/>
  <c r="AG387" i="4" s="1"/>
  <c r="AC386" i="4"/>
  <c r="AC384" i="4"/>
  <c r="Z382" i="4"/>
  <c r="Z381" i="4"/>
  <c r="AD378" i="4"/>
  <c r="AG378" i="4" s="1"/>
  <c r="AH377" i="4"/>
  <c r="V375" i="4"/>
  <c r="AA374" i="4"/>
  <c r="V371" i="4"/>
  <c r="X370" i="4"/>
  <c r="AB370" i="4" s="1"/>
  <c r="AF369" i="4"/>
  <c r="V366" i="4"/>
  <c r="V363" i="4"/>
  <c r="X362" i="4"/>
  <c r="AF361" i="4"/>
  <c r="U358" i="4"/>
  <c r="AF356" i="4"/>
  <c r="X354" i="4"/>
  <c r="AB354" i="4" s="1"/>
  <c r="S352" i="4"/>
  <c r="T350" i="4"/>
  <c r="F110" i="10" s="1"/>
  <c r="AC348" i="4"/>
  <c r="W347" i="4"/>
  <c r="H133" i="7" s="1"/>
  <c r="AI346" i="4"/>
  <c r="AA344" i="4"/>
  <c r="W343" i="4"/>
  <c r="H131" i="7" s="1"/>
  <c r="S342" i="4"/>
  <c r="AF341" i="4"/>
  <c r="V339" i="4"/>
  <c r="AI338" i="4"/>
  <c r="AA336" i="4"/>
  <c r="W335" i="4"/>
  <c r="H129" i="7" s="1"/>
  <c r="S334" i="4"/>
  <c r="AF333" i="4"/>
  <c r="V331" i="4"/>
  <c r="AH330" i="4"/>
  <c r="AD329" i="4"/>
  <c r="AG329" i="4" s="1"/>
  <c r="Z328" i="4"/>
  <c r="AE328" i="4" s="1"/>
  <c r="V327" i="4"/>
  <c r="AI326" i="4"/>
  <c r="AJ326" i="4" s="1"/>
  <c r="Z324" i="4"/>
  <c r="U323" i="4"/>
  <c r="Y323" i="4" s="1"/>
  <c r="AC321" i="4"/>
  <c r="U319" i="4"/>
  <c r="AH318" i="4"/>
  <c r="AD317" i="4"/>
  <c r="AG317" i="4" s="1"/>
  <c r="AK315" i="4"/>
  <c r="T315" i="4"/>
  <c r="F121" i="7" s="1"/>
  <c r="AF314" i="4"/>
  <c r="X312" i="4"/>
  <c r="AB312" i="4" s="1"/>
  <c r="AK311" i="4"/>
  <c r="T311" i="4"/>
  <c r="AH310" i="4"/>
  <c r="AD309" i="4"/>
  <c r="AG309" i="4" s="1"/>
  <c r="Z308" i="4"/>
  <c r="X307" i="4"/>
  <c r="AB307" i="4" s="1"/>
  <c r="V306" i="4"/>
  <c r="T305" i="4"/>
  <c r="F118" i="7" s="1"/>
  <c r="AH304" i="4"/>
  <c r="AF303" i="4"/>
  <c r="AD302" i="4"/>
  <c r="AG302" i="4" s="1"/>
  <c r="Z300" i="4"/>
  <c r="X299" i="4"/>
  <c r="V298" i="4"/>
  <c r="AJ297" i="4"/>
  <c r="T297" i="4"/>
  <c r="AH296" i="4"/>
  <c r="AF295" i="4"/>
  <c r="AD294" i="4"/>
  <c r="AG294" i="4" s="1"/>
  <c r="Z292" i="4"/>
  <c r="X291" i="4"/>
  <c r="AB291" i="4" s="1"/>
  <c r="V290" i="4"/>
  <c r="T289" i="4"/>
  <c r="F112" i="7" s="1"/>
  <c r="AH288" i="4"/>
  <c r="AF287" i="4"/>
  <c r="AD286" i="4"/>
  <c r="AG286" i="4" s="1"/>
  <c r="Z284" i="4"/>
  <c r="X283" i="4"/>
  <c r="V282" i="4"/>
  <c r="T281" i="4"/>
  <c r="AH280" i="4"/>
  <c r="AF279" i="4"/>
  <c r="AD278" i="4"/>
  <c r="AG278" i="4" s="1"/>
  <c r="Z276" i="4"/>
  <c r="X275" i="4"/>
  <c r="AB275" i="4" s="1"/>
  <c r="V274" i="4"/>
  <c r="AJ273" i="4"/>
  <c r="T273" i="4"/>
  <c r="F106" i="7" s="1"/>
  <c r="AH272" i="4"/>
  <c r="AF271" i="4"/>
  <c r="AD270" i="4"/>
  <c r="AG270" i="4" s="1"/>
  <c r="Z268" i="4"/>
  <c r="AE268" i="4" s="1"/>
  <c r="X267" i="4"/>
  <c r="V266" i="4"/>
  <c r="T265" i="4"/>
  <c r="F104" i="7" s="1"/>
  <c r="AH264" i="4"/>
  <c r="AF263" i="4"/>
  <c r="AD262" i="4"/>
  <c r="AG262" i="4" s="1"/>
  <c r="Z260" i="4"/>
  <c r="X259" i="4"/>
  <c r="AB259" i="4" s="1"/>
  <c r="V258" i="4"/>
  <c r="T257" i="4"/>
  <c r="W419" i="4"/>
  <c r="H159" i="7" s="1"/>
  <c r="Z415" i="4"/>
  <c r="Z412" i="4"/>
  <c r="AE412" i="4" s="1"/>
  <c r="W410" i="4"/>
  <c r="AA405" i="4"/>
  <c r="AC402" i="4"/>
  <c r="AH398" i="4"/>
  <c r="V396" i="4"/>
  <c r="T394" i="4"/>
  <c r="AF391" i="4"/>
  <c r="AD388" i="4"/>
  <c r="AG388" i="4" s="1"/>
  <c r="Z385" i="4"/>
  <c r="Z383" i="4"/>
  <c r="X382" i="4"/>
  <c r="AB382" i="4" s="1"/>
  <c r="AD379" i="4"/>
  <c r="AG379" i="4" s="1"/>
  <c r="AC378" i="4"/>
  <c r="U375" i="4"/>
  <c r="Z374" i="4"/>
  <c r="AD373" i="4"/>
  <c r="AG373" i="4" s="1"/>
  <c r="U371" i="4"/>
  <c r="W370" i="4"/>
  <c r="AI368" i="4"/>
  <c r="AJ368" i="4" s="1"/>
  <c r="U366" i="4"/>
  <c r="Y366" i="4" s="1"/>
  <c r="AD365" i="4"/>
  <c r="AG365" i="4" s="1"/>
  <c r="U363" i="4"/>
  <c r="AJ363" i="4" s="1"/>
  <c r="W362" i="4"/>
  <c r="H113" i="10" s="1"/>
  <c r="AI360" i="4"/>
  <c r="T358" i="4"/>
  <c r="F111" i="10" s="1"/>
  <c r="X357" i="4"/>
  <c r="AB357" i="4" s="1"/>
  <c r="AK355" i="4"/>
  <c r="W354" i="4"/>
  <c r="AF353" i="4"/>
  <c r="AA351" i="4"/>
  <c r="AK350" i="4"/>
  <c r="S350" i="4"/>
  <c r="AF349" i="4"/>
  <c r="V347" i="4"/>
  <c r="AH346" i="4"/>
  <c r="AD345" i="4"/>
  <c r="AG345" i="4" s="1"/>
  <c r="Z344" i="4"/>
  <c r="V343" i="4"/>
  <c r="AI342" i="4"/>
  <c r="Z340" i="4"/>
  <c r="AE340" i="4" s="1"/>
  <c r="U339" i="4"/>
  <c r="Y339" i="4" s="1"/>
  <c r="AH338" i="4"/>
  <c r="AD337" i="4"/>
  <c r="AG337" i="4" s="1"/>
  <c r="Z336" i="4"/>
  <c r="V335" i="4"/>
  <c r="AI334" i="4"/>
  <c r="Z332" i="4"/>
  <c r="U331" i="4"/>
  <c r="AC329" i="4"/>
  <c r="U327" i="4"/>
  <c r="AH326" i="4"/>
  <c r="AD325" i="4"/>
  <c r="AG325" i="4" s="1"/>
  <c r="AK323" i="4"/>
  <c r="T323" i="4"/>
  <c r="AF322" i="4"/>
  <c r="X320" i="4"/>
  <c r="AB320" i="4" s="1"/>
  <c r="AK319" i="4"/>
  <c r="T319" i="4"/>
  <c r="F123" i="7" s="1"/>
  <c r="X316" i="4"/>
  <c r="S315" i="4"/>
  <c r="AA313" i="4"/>
  <c r="W312" i="4"/>
  <c r="S311" i="4"/>
  <c r="W307" i="4"/>
  <c r="H119" i="7" s="1"/>
  <c r="AK306" i="4"/>
  <c r="U306" i="4"/>
  <c r="AI305" i="4"/>
  <c r="S305" i="4"/>
  <c r="AC302" i="4"/>
  <c r="AA301" i="4"/>
  <c r="W299" i="4"/>
  <c r="H115" i="7" s="1"/>
  <c r="AK298" i="4"/>
  <c r="U298" i="4"/>
  <c r="Y298" i="4" s="1"/>
  <c r="AI297" i="4"/>
  <c r="S297" i="4"/>
  <c r="AC294" i="4"/>
  <c r="AA293" i="4"/>
  <c r="W291" i="4"/>
  <c r="H113" i="7" s="1"/>
  <c r="AK290" i="4"/>
  <c r="U290" i="4"/>
  <c r="AI289" i="4"/>
  <c r="S289" i="4"/>
  <c r="AC286" i="4"/>
  <c r="AA285" i="4"/>
  <c r="W283" i="4"/>
  <c r="AK282" i="4"/>
  <c r="U282" i="4"/>
  <c r="Y282" i="4" s="1"/>
  <c r="AI281" i="4"/>
  <c r="S281" i="4"/>
  <c r="AC278" i="4"/>
  <c r="AA277" i="4"/>
  <c r="W275" i="4"/>
  <c r="H107" i="7" s="1"/>
  <c r="AK274" i="4"/>
  <c r="U274" i="4"/>
  <c r="AJ274" i="4" s="1"/>
  <c r="AI273" i="4"/>
  <c r="S273" i="4"/>
  <c r="AC270" i="4"/>
  <c r="AA269" i="4"/>
  <c r="W267" i="4"/>
  <c r="T419" i="4"/>
  <c r="F159" i="7" s="1"/>
  <c r="AF418" i="4"/>
  <c r="V415" i="4"/>
  <c r="AK414" i="4"/>
  <c r="V412" i="4"/>
  <c r="U410" i="4"/>
  <c r="Y410" i="4" s="1"/>
  <c r="X405" i="4"/>
  <c r="AB405" i="4" s="1"/>
  <c r="AF398" i="4"/>
  <c r="Z397" i="4"/>
  <c r="T396" i="4"/>
  <c r="AD391" i="4"/>
  <c r="AG391" i="4" s="1"/>
  <c r="AD390" i="4"/>
  <c r="AG390" i="4" s="1"/>
  <c r="Z389" i="4"/>
  <c r="Z386" i="4"/>
  <c r="X385" i="4"/>
  <c r="W383" i="4"/>
  <c r="H145" i="7" s="1"/>
  <c r="U382" i="4"/>
  <c r="Y382" i="4" s="1"/>
  <c r="X381" i="4"/>
  <c r="AB381" i="4" s="1"/>
  <c r="Z380" i="4"/>
  <c r="AE380" i="4" s="1"/>
  <c r="AC379" i="4"/>
  <c r="AA378" i="4"/>
  <c r="AF377" i="4"/>
  <c r="T375" i="4"/>
  <c r="F143" i="7" s="1"/>
  <c r="X374" i="4"/>
  <c r="AC373" i="4"/>
  <c r="AK372" i="4"/>
  <c r="T371" i="4"/>
  <c r="F141" i="7" s="1"/>
  <c r="V370" i="4"/>
  <c r="AD369" i="4"/>
  <c r="AG369" i="4" s="1"/>
  <c r="AH368" i="4"/>
  <c r="AK367" i="4"/>
  <c r="T366" i="4"/>
  <c r="AC365" i="4"/>
  <c r="AK364" i="4"/>
  <c r="T363" i="4"/>
  <c r="F139" i="7" s="1"/>
  <c r="V362" i="4"/>
  <c r="AD361" i="4"/>
  <c r="AG361" i="4" s="1"/>
  <c r="AH360" i="4"/>
  <c r="AK359" i="4"/>
  <c r="S358" i="4"/>
  <c r="W357" i="4"/>
  <c r="H136" i="7" s="1"/>
  <c r="AD356" i="4"/>
  <c r="AG356" i="4" s="1"/>
  <c r="V354" i="4"/>
  <c r="AK352" i="4"/>
  <c r="Z351" i="4"/>
  <c r="AE351" i="4" s="1"/>
  <c r="Z348" i="4"/>
  <c r="U347" i="4"/>
  <c r="AC345" i="4"/>
  <c r="U343" i="4"/>
  <c r="AJ343" i="4" s="1"/>
  <c r="AH342" i="4"/>
  <c r="AD341" i="4"/>
  <c r="AG341" i="4" s="1"/>
  <c r="AK339" i="4"/>
  <c r="T339" i="4"/>
  <c r="AC337" i="4"/>
  <c r="U335" i="4"/>
  <c r="AH334" i="4"/>
  <c r="AD333" i="4"/>
  <c r="AG333" i="4" s="1"/>
  <c r="AK331" i="4"/>
  <c r="T331" i="4"/>
  <c r="F127" i="7" s="1"/>
  <c r="AF330" i="4"/>
  <c r="X328" i="4"/>
  <c r="AK327" i="4"/>
  <c r="T327" i="4"/>
  <c r="F125" i="7" s="1"/>
  <c r="X324" i="4"/>
  <c r="AB324" i="4" s="1"/>
  <c r="AJ323" i="4"/>
  <c r="AR323" i="4" s="1"/>
  <c r="S323" i="4"/>
  <c r="AA321" i="4"/>
  <c r="W320" i="4"/>
  <c r="H101" i="10" s="1"/>
  <c r="S319" i="4"/>
  <c r="AF318" i="4"/>
  <c r="AA317" i="4"/>
  <c r="W316" i="4"/>
  <c r="H99" i="10" s="1"/>
  <c r="AI315" i="4"/>
  <c r="AD314" i="4"/>
  <c r="AG314" i="4" s="1"/>
  <c r="Z313" i="4"/>
  <c r="V312" i="4"/>
  <c r="AI311" i="4"/>
  <c r="AJ311" i="4" s="1"/>
  <c r="AF310" i="4"/>
  <c r="AA309" i="4"/>
  <c r="X308" i="4"/>
  <c r="AB308" i="4" s="1"/>
  <c r="V307" i="4"/>
  <c r="T306" i="4"/>
  <c r="F97" i="10" s="1"/>
  <c r="AH305" i="4"/>
  <c r="AF304" i="4"/>
  <c r="AD303" i="4"/>
  <c r="AG303" i="4" s="1"/>
  <c r="Z301" i="4"/>
  <c r="X300" i="4"/>
  <c r="V299" i="4"/>
  <c r="AJ298" i="4"/>
  <c r="T298" i="4"/>
  <c r="AH297" i="4"/>
  <c r="AF296" i="4"/>
  <c r="AD295" i="4"/>
  <c r="AG295" i="4" s="1"/>
  <c r="Z293" i="4"/>
  <c r="X292" i="4"/>
  <c r="AB292" i="4" s="1"/>
  <c r="V291" i="4"/>
  <c r="T290" i="4"/>
  <c r="F92" i="10" s="1"/>
  <c r="AH289" i="4"/>
  <c r="AF288" i="4"/>
  <c r="AD287" i="4"/>
  <c r="AG287" i="4" s="1"/>
  <c r="Z285" i="4"/>
  <c r="X284" i="4"/>
  <c r="AA367" i="4"/>
  <c r="T345" i="4"/>
  <c r="F132" i="7" s="1"/>
  <c r="AC335" i="4"/>
  <c r="Z325" i="4"/>
  <c r="AE325" i="4" s="1"/>
  <c r="S309" i="4"/>
  <c r="T307" i="4"/>
  <c r="F119" i="7" s="1"/>
  <c r="AD296" i="4"/>
  <c r="AG296" i="4" s="1"/>
  <c r="Z289" i="4"/>
  <c r="X288" i="4"/>
  <c r="X287" i="4"/>
  <c r="T278" i="4"/>
  <c r="F89" i="10" s="1"/>
  <c r="U267" i="4"/>
  <c r="Y267" i="4" s="1"/>
  <c r="S264" i="4"/>
  <c r="U257" i="4"/>
  <c r="AJ257" i="4" s="1"/>
  <c r="AC256" i="4"/>
  <c r="AD254" i="4"/>
  <c r="AG254" i="4" s="1"/>
  <c r="Z253" i="4"/>
  <c r="AE253" i="4" s="1"/>
  <c r="U252" i="4"/>
  <c r="AJ252" i="4" s="1"/>
  <c r="AH251" i="4"/>
  <c r="AF250" i="4"/>
  <c r="AD249" i="4"/>
  <c r="AG249" i="4" s="1"/>
  <c r="Z247" i="4"/>
  <c r="X246" i="4"/>
  <c r="V245" i="4"/>
  <c r="T244" i="4"/>
  <c r="AH243" i="4"/>
  <c r="AF242" i="4"/>
  <c r="AD241" i="4"/>
  <c r="AG241" i="4" s="1"/>
  <c r="Z239" i="4"/>
  <c r="AE239" i="4" s="1"/>
  <c r="X238" i="4"/>
  <c r="V237" i="4"/>
  <c r="AJ236" i="4"/>
  <c r="T236" i="4"/>
  <c r="F77" i="10" s="1"/>
  <c r="AH235" i="4"/>
  <c r="AF234" i="4"/>
  <c r="AD233" i="4"/>
  <c r="AG233" i="4" s="1"/>
  <c r="Z231" i="4"/>
  <c r="X230" i="4"/>
  <c r="V229" i="4"/>
  <c r="T228" i="4"/>
  <c r="AH227" i="4"/>
  <c r="AF226" i="4"/>
  <c r="AD225" i="4"/>
  <c r="AG225" i="4" s="1"/>
  <c r="Z223" i="4"/>
  <c r="X222" i="4"/>
  <c r="V221" i="4"/>
  <c r="AJ220" i="4"/>
  <c r="T220" i="4"/>
  <c r="F72" i="10" s="1"/>
  <c r="AH219" i="4"/>
  <c r="AF218" i="4"/>
  <c r="AD217" i="4"/>
  <c r="AG217" i="4" s="1"/>
  <c r="Z215" i="4"/>
  <c r="X214" i="4"/>
  <c r="AB214" i="4" s="1"/>
  <c r="V213" i="4"/>
  <c r="T212" i="4"/>
  <c r="AH211" i="4"/>
  <c r="AF210" i="4"/>
  <c r="AD209" i="4"/>
  <c r="AG209" i="4" s="1"/>
  <c r="Z207" i="4"/>
  <c r="X206" i="4"/>
  <c r="V205" i="4"/>
  <c r="T204" i="4"/>
  <c r="F67" i="10" s="1"/>
  <c r="AH203" i="4"/>
  <c r="AF202" i="4"/>
  <c r="AD201" i="4"/>
  <c r="AG201" i="4" s="1"/>
  <c r="Z199" i="4"/>
  <c r="AE199" i="4" s="1"/>
  <c r="X198" i="4"/>
  <c r="AB198" i="4" s="1"/>
  <c r="V197" i="4"/>
  <c r="T196" i="4"/>
  <c r="F66" i="10" s="1"/>
  <c r="AH195" i="4"/>
  <c r="AF194" i="4"/>
  <c r="AD193" i="4"/>
  <c r="AG193" i="4" s="1"/>
  <c r="Z191" i="4"/>
  <c r="X190" i="4"/>
  <c r="V189" i="4"/>
  <c r="T188" i="4"/>
  <c r="AH187" i="4"/>
  <c r="AF186" i="4"/>
  <c r="AD185" i="4"/>
  <c r="AG185" i="4" s="1"/>
  <c r="Z183" i="4"/>
  <c r="AE183" i="4" s="1"/>
  <c r="X182" i="4"/>
  <c r="AB182" i="4" s="1"/>
  <c r="V181" i="4"/>
  <c r="T180" i="4"/>
  <c r="F61" i="10" s="1"/>
  <c r="AH179" i="4"/>
  <c r="AF178" i="4"/>
  <c r="AD177" i="4"/>
  <c r="AG177" i="4" s="1"/>
  <c r="Z175" i="4"/>
  <c r="X174" i="4"/>
  <c r="V173" i="4"/>
  <c r="T172" i="4"/>
  <c r="AH171" i="4"/>
  <c r="AF170" i="4"/>
  <c r="AD169" i="4"/>
  <c r="AG169" i="4" s="1"/>
  <c r="Z167" i="4"/>
  <c r="X166" i="4"/>
  <c r="AB166" i="4" s="1"/>
  <c r="V165" i="4"/>
  <c r="T164" i="4"/>
  <c r="F56" i="10" s="1"/>
  <c r="AH163" i="4"/>
  <c r="AF162" i="4"/>
  <c r="AD161" i="4"/>
  <c r="AG161" i="4" s="1"/>
  <c r="Z159" i="4"/>
  <c r="X158" i="4"/>
  <c r="V157" i="4"/>
  <c r="T156" i="4"/>
  <c r="AH155" i="4"/>
  <c r="AF154" i="4"/>
  <c r="AD153" i="4"/>
  <c r="AG153" i="4" s="1"/>
  <c r="Z151" i="4"/>
  <c r="X150" i="4"/>
  <c r="AB150" i="4" s="1"/>
  <c r="V149" i="4"/>
  <c r="T148" i="4"/>
  <c r="F51" i="10" s="1"/>
  <c r="AH147" i="4"/>
  <c r="AF146" i="4"/>
  <c r="AD145" i="4"/>
  <c r="AG145" i="4" s="1"/>
  <c r="Z143" i="4"/>
  <c r="AE143" i="4" s="1"/>
  <c r="X142" i="4"/>
  <c r="V141" i="4"/>
  <c r="AJ140" i="4"/>
  <c r="T140" i="4"/>
  <c r="F50" i="10" s="1"/>
  <c r="AH139" i="4"/>
  <c r="AF138" i="4"/>
  <c r="AD137" i="4"/>
  <c r="AG137" i="4" s="1"/>
  <c r="Z135" i="4"/>
  <c r="X134" i="4"/>
  <c r="AB134" i="4" s="1"/>
  <c r="V133" i="4"/>
  <c r="AA420" i="4"/>
  <c r="W400" i="4"/>
  <c r="H123" i="10" s="1"/>
  <c r="AI362" i="4"/>
  <c r="AI339" i="4"/>
  <c r="S335" i="4"/>
  <c r="T325" i="4"/>
  <c r="V324" i="4"/>
  <c r="AF305" i="4"/>
  <c r="AD304" i="4"/>
  <c r="AG304" i="4" s="1"/>
  <c r="Z296" i="4"/>
  <c r="V287" i="4"/>
  <c r="AH277" i="4"/>
  <c r="AH273" i="4"/>
  <c r="T267" i="4"/>
  <c r="AF265" i="4"/>
  <c r="S257" i="4"/>
  <c r="AA256" i="4"/>
  <c r="AJ255" i="4"/>
  <c r="AC254" i="4"/>
  <c r="AK252" i="4"/>
  <c r="S252" i="4"/>
  <c r="AC249" i="4"/>
  <c r="AA248" i="4"/>
  <c r="W246" i="4"/>
  <c r="H79" i="10" s="1"/>
  <c r="AK245" i="4"/>
  <c r="U245" i="4"/>
  <c r="AI244" i="4"/>
  <c r="S244" i="4"/>
  <c r="AC241" i="4"/>
  <c r="AA240" i="4"/>
  <c r="W238" i="4"/>
  <c r="H78" i="10" s="1"/>
  <c r="AK237" i="4"/>
  <c r="U237" i="4"/>
  <c r="AJ237" i="4" s="1"/>
  <c r="AI236" i="4"/>
  <c r="S236" i="4"/>
  <c r="AC233" i="4"/>
  <c r="AA232" i="4"/>
  <c r="W230" i="4"/>
  <c r="AK229" i="4"/>
  <c r="U229" i="4"/>
  <c r="AI228" i="4"/>
  <c r="S228" i="4"/>
  <c r="AC225" i="4"/>
  <c r="AA224" i="4"/>
  <c r="W222" i="4"/>
  <c r="H73" i="10" s="1"/>
  <c r="AK221" i="4"/>
  <c r="U221" i="4"/>
  <c r="AI220" i="4"/>
  <c r="S220" i="4"/>
  <c r="AC217" i="4"/>
  <c r="AA216" i="4"/>
  <c r="W214" i="4"/>
  <c r="AK213" i="4"/>
  <c r="U213" i="4"/>
  <c r="Y213" i="4" s="1"/>
  <c r="AI212" i="4"/>
  <c r="S212" i="4"/>
  <c r="AC209" i="4"/>
  <c r="AA208" i="4"/>
  <c r="W206" i="4"/>
  <c r="H68" i="10" s="1"/>
  <c r="AK205" i="4"/>
  <c r="U205" i="4"/>
  <c r="AI204" i="4"/>
  <c r="S204" i="4"/>
  <c r="AC201" i="4"/>
  <c r="AA200" i="4"/>
  <c r="W198" i="4"/>
  <c r="AK197" i="4"/>
  <c r="U197" i="4"/>
  <c r="Y197" i="4" s="1"/>
  <c r="AI196" i="4"/>
  <c r="S196" i="4"/>
  <c r="AC193" i="4"/>
  <c r="AA192" i="4"/>
  <c r="W190" i="4"/>
  <c r="H63" i="10" s="1"/>
  <c r="AK189" i="4"/>
  <c r="U189" i="4"/>
  <c r="AJ189" i="4" s="1"/>
  <c r="AI188" i="4"/>
  <c r="AJ188" i="4" s="1"/>
  <c r="S188" i="4"/>
  <c r="AC185" i="4"/>
  <c r="AA184" i="4"/>
  <c r="W182" i="4"/>
  <c r="H62" i="10" s="1"/>
  <c r="AK181" i="4"/>
  <c r="U181" i="4"/>
  <c r="AI180" i="4"/>
  <c r="S180" i="4"/>
  <c r="AC177" i="4"/>
  <c r="AA176" i="4"/>
  <c r="W174" i="4"/>
  <c r="AK173" i="4"/>
  <c r="U173" i="4"/>
  <c r="AI172" i="4"/>
  <c r="AJ172" i="4" s="1"/>
  <c r="S172" i="4"/>
  <c r="AC169" i="4"/>
  <c r="AA168" i="4"/>
  <c r="W166" i="4"/>
  <c r="H57" i="10" s="1"/>
  <c r="AK165" i="4"/>
  <c r="U165" i="4"/>
  <c r="AI164" i="4"/>
  <c r="S164" i="4"/>
  <c r="AC161" i="4"/>
  <c r="AA160" i="4"/>
  <c r="W158" i="4"/>
  <c r="AK157" i="4"/>
  <c r="U157" i="4"/>
  <c r="Y157" i="4" s="1"/>
  <c r="AI156" i="4"/>
  <c r="AJ156" i="4" s="1"/>
  <c r="AR156" i="4" s="1"/>
  <c r="S156" i="4"/>
  <c r="AC153" i="4"/>
  <c r="AA152" i="4"/>
  <c r="W150" i="4"/>
  <c r="H52" i="10" s="1"/>
  <c r="AK149" i="4"/>
  <c r="U149" i="4"/>
  <c r="AI148" i="4"/>
  <c r="S148" i="4"/>
  <c r="AA359" i="4"/>
  <c r="AC339" i="4"/>
  <c r="W336" i="4"/>
  <c r="H106" i="10" s="1"/>
  <c r="AI327" i="4"/>
  <c r="AD326" i="4"/>
  <c r="AG326" i="4" s="1"/>
  <c r="Z304" i="4"/>
  <c r="X296" i="4"/>
  <c r="Z286" i="4"/>
  <c r="AE286" i="4" s="1"/>
  <c r="AJ285" i="4"/>
  <c r="Z277" i="4"/>
  <c r="AF273" i="4"/>
  <c r="AJ270" i="4"/>
  <c r="AH268" i="4"/>
  <c r="AK266" i="4"/>
  <c r="AK260" i="4"/>
  <c r="AK258" i="4"/>
  <c r="Z256" i="4"/>
  <c r="AH255" i="4"/>
  <c r="X253" i="4"/>
  <c r="AI252" i="4"/>
  <c r="AF251" i="4"/>
  <c r="AD250" i="4"/>
  <c r="AG250" i="4" s="1"/>
  <c r="Z248" i="4"/>
  <c r="X247" i="4"/>
  <c r="V246" i="4"/>
  <c r="AJ245" i="4"/>
  <c r="T245" i="4"/>
  <c r="F96" i="7" s="1"/>
  <c r="AH244" i="4"/>
  <c r="AF243" i="4"/>
  <c r="AD242" i="4"/>
  <c r="AG242" i="4" s="1"/>
  <c r="Z240" i="4"/>
  <c r="X239" i="4"/>
  <c r="V238" i="4"/>
  <c r="T237" i="4"/>
  <c r="F94" i="7" s="1"/>
  <c r="AH236" i="4"/>
  <c r="AF235" i="4"/>
  <c r="AD234" i="4"/>
  <c r="AG234" i="4" s="1"/>
  <c r="Z232" i="4"/>
  <c r="X231" i="4"/>
  <c r="V230" i="4"/>
  <c r="AJ229" i="4"/>
  <c r="T229" i="4"/>
  <c r="F90" i="7" s="1"/>
  <c r="AH228" i="4"/>
  <c r="AF227" i="4"/>
  <c r="AD226" i="4"/>
  <c r="AG226" i="4" s="1"/>
  <c r="Z224" i="4"/>
  <c r="X223" i="4"/>
  <c r="V222" i="4"/>
  <c r="T221" i="4"/>
  <c r="F88" i="7" s="1"/>
  <c r="AH220" i="4"/>
  <c r="AF219" i="4"/>
  <c r="AD218" i="4"/>
  <c r="AG218" i="4" s="1"/>
  <c r="Z216" i="4"/>
  <c r="X215" i="4"/>
  <c r="V214" i="4"/>
  <c r="T213" i="4"/>
  <c r="AH212" i="4"/>
  <c r="AF211" i="4"/>
  <c r="AD210" i="4"/>
  <c r="AG210" i="4" s="1"/>
  <c r="Z208" i="4"/>
  <c r="X207" i="4"/>
  <c r="V206" i="4"/>
  <c r="T205" i="4"/>
  <c r="F82" i="7" s="1"/>
  <c r="AH204" i="4"/>
  <c r="AF203" i="4"/>
  <c r="AD202" i="4"/>
  <c r="AG202" i="4" s="1"/>
  <c r="Z200" i="4"/>
  <c r="AE200" i="4" s="1"/>
  <c r="X199" i="4"/>
  <c r="V198" i="4"/>
  <c r="T197" i="4"/>
  <c r="AH196" i="4"/>
  <c r="AF195" i="4"/>
  <c r="AD194" i="4"/>
  <c r="AG194" i="4" s="1"/>
  <c r="Z192" i="4"/>
  <c r="X191" i="4"/>
  <c r="V190" i="4"/>
  <c r="T189" i="4"/>
  <c r="F76" i="7" s="1"/>
  <c r="AH188" i="4"/>
  <c r="AF187" i="4"/>
  <c r="AD186" i="4"/>
  <c r="AG186" i="4" s="1"/>
  <c r="Z184" i="4"/>
  <c r="X183" i="4"/>
  <c r="V182" i="4"/>
  <c r="T181" i="4"/>
  <c r="F74" i="7" s="1"/>
  <c r="AH180" i="4"/>
  <c r="AF179" i="4"/>
  <c r="AD178" i="4"/>
  <c r="AG178" i="4" s="1"/>
  <c r="Z176" i="4"/>
  <c r="X175" i="4"/>
  <c r="V174" i="4"/>
  <c r="T173" i="4"/>
  <c r="F70" i="7" s="1"/>
  <c r="AH172" i="4"/>
  <c r="AF171" i="4"/>
  <c r="AD170" i="4"/>
  <c r="AG170" i="4" s="1"/>
  <c r="Z168" i="4"/>
  <c r="X167" i="4"/>
  <c r="V166" i="4"/>
  <c r="AJ165" i="4"/>
  <c r="T165" i="4"/>
  <c r="F68" i="7" s="1"/>
  <c r="AH164" i="4"/>
  <c r="AF163" i="4"/>
  <c r="AD162" i="4"/>
  <c r="AG162" i="4" s="1"/>
  <c r="Z160" i="4"/>
  <c r="X159" i="4"/>
  <c r="V158" i="4"/>
  <c r="T157" i="4"/>
  <c r="AH156" i="4"/>
  <c r="AF155" i="4"/>
  <c r="AD154" i="4"/>
  <c r="AG154" i="4" s="1"/>
  <c r="Z152" i="4"/>
  <c r="X151" i="4"/>
  <c r="V150" i="4"/>
  <c r="T149" i="4"/>
  <c r="F62" i="7" s="1"/>
  <c r="AH148" i="4"/>
  <c r="AF147" i="4"/>
  <c r="AD146" i="4"/>
  <c r="AG146" i="4" s="1"/>
  <c r="Z144" i="4"/>
  <c r="X143" i="4"/>
  <c r="V142" i="4"/>
  <c r="T141" i="4"/>
  <c r="AH140" i="4"/>
  <c r="AF139" i="4"/>
  <c r="AD138" i="4"/>
  <c r="AG138" i="4" s="1"/>
  <c r="AD371" i="4"/>
  <c r="AG371" i="4" s="1"/>
  <c r="AH351" i="4"/>
  <c r="AA337" i="4"/>
  <c r="X326" i="4"/>
  <c r="AB326" i="4" s="1"/>
  <c r="Z305" i="4"/>
  <c r="X304" i="4"/>
  <c r="AB304" i="4" s="1"/>
  <c r="X303" i="4"/>
  <c r="AB303" i="4" s="1"/>
  <c r="V286" i="4"/>
  <c r="AH285" i="4"/>
  <c r="AH281" i="4"/>
  <c r="X277" i="4"/>
  <c r="AH270" i="4"/>
  <c r="AF268" i="4"/>
  <c r="Z265" i="4"/>
  <c r="AH260" i="4"/>
  <c r="AK259" i="4"/>
  <c r="AA254" i="4"/>
  <c r="W253" i="4"/>
  <c r="AH252" i="4"/>
  <c r="AC250" i="4"/>
  <c r="AA249" i="4"/>
  <c r="W247" i="4"/>
  <c r="H97" i="7" s="1"/>
  <c r="AK246" i="4"/>
  <c r="U246" i="4"/>
  <c r="AJ246" i="4" s="1"/>
  <c r="AI245" i="4"/>
  <c r="S245" i="4"/>
  <c r="AC242" i="4"/>
  <c r="AA241" i="4"/>
  <c r="W239" i="4"/>
  <c r="AK238" i="4"/>
  <c r="U238" i="4"/>
  <c r="AI237" i="4"/>
  <c r="S237" i="4"/>
  <c r="AC234" i="4"/>
  <c r="AA233" i="4"/>
  <c r="W231" i="4"/>
  <c r="H91" i="7" s="1"/>
  <c r="AK230" i="4"/>
  <c r="U230" i="4"/>
  <c r="Y230" i="4" s="1"/>
  <c r="AI229" i="4"/>
  <c r="S229" i="4"/>
  <c r="AC226" i="4"/>
  <c r="AA225" i="4"/>
  <c r="W223" i="4"/>
  <c r="H89" i="7" s="1"/>
  <c r="AK222" i="4"/>
  <c r="U222" i="4"/>
  <c r="AI221" i="4"/>
  <c r="AJ221" i="4" s="1"/>
  <c r="S221" i="4"/>
  <c r="AC218" i="4"/>
  <c r="AA217" i="4"/>
  <c r="W215" i="4"/>
  <c r="H85" i="7" s="1"/>
  <c r="AK214" i="4"/>
  <c r="U214" i="4"/>
  <c r="Y214" i="4" s="1"/>
  <c r="AI213" i="4"/>
  <c r="AJ213" i="4" s="1"/>
  <c r="S213" i="4"/>
  <c r="AC210" i="4"/>
  <c r="AA209" i="4"/>
  <c r="W207" i="4"/>
  <c r="H83" i="7" s="1"/>
  <c r="AK206" i="4"/>
  <c r="U206" i="4"/>
  <c r="AI205" i="4"/>
  <c r="S205" i="4"/>
  <c r="AC202" i="4"/>
  <c r="AA201" i="4"/>
  <c r="W199" i="4"/>
  <c r="AK198" i="4"/>
  <c r="U198" i="4"/>
  <c r="Y198" i="4" s="1"/>
  <c r="AI197" i="4"/>
  <c r="AJ197" i="4" s="1"/>
  <c r="AR197" i="4" s="1"/>
  <c r="S197" i="4"/>
  <c r="AC194" i="4"/>
  <c r="AA193" i="4"/>
  <c r="W191" i="4"/>
  <c r="H77" i="7" s="1"/>
  <c r="AK190" i="4"/>
  <c r="U190" i="4"/>
  <c r="AI189" i="4"/>
  <c r="S189" i="4"/>
  <c r="AC186" i="4"/>
  <c r="AA185" i="4"/>
  <c r="W183" i="4"/>
  <c r="AK182" i="4"/>
  <c r="U182" i="4"/>
  <c r="AI181" i="4"/>
  <c r="AJ181" i="4" s="1"/>
  <c r="S181" i="4"/>
  <c r="AC178" i="4"/>
  <c r="AA177" i="4"/>
  <c r="W175" i="4"/>
  <c r="H71" i="7" s="1"/>
  <c r="AK174" i="4"/>
  <c r="U174" i="4"/>
  <c r="Y174" i="4" s="1"/>
  <c r="AI173" i="4"/>
  <c r="S173" i="4"/>
  <c r="AC170" i="4"/>
  <c r="AA169" i="4"/>
  <c r="W167" i="4"/>
  <c r="H69" i="7" s="1"/>
  <c r="AK166" i="4"/>
  <c r="U166" i="4"/>
  <c r="AI165" i="4"/>
  <c r="S165" i="4"/>
  <c r="AC162" i="4"/>
  <c r="AA161" i="4"/>
  <c r="W159" i="4"/>
  <c r="H65" i="7" s="1"/>
  <c r="AK158" i="4"/>
  <c r="U158" i="4"/>
  <c r="Y158" i="4" s="1"/>
  <c r="AI157" i="4"/>
  <c r="S157" i="4"/>
  <c r="AC154" i="4"/>
  <c r="AA153" i="4"/>
  <c r="W151" i="4"/>
  <c r="H63" i="7" s="1"/>
  <c r="AK150" i="4"/>
  <c r="U150" i="4"/>
  <c r="T392" i="4"/>
  <c r="F122" i="10" s="1"/>
  <c r="W368" i="4"/>
  <c r="AH340" i="4"/>
  <c r="T337" i="4"/>
  <c r="V303" i="4"/>
  <c r="X295" i="4"/>
  <c r="T286" i="4"/>
  <c r="X285" i="4"/>
  <c r="AB285" i="4" s="1"/>
  <c r="AF281" i="4"/>
  <c r="T277" i="4"/>
  <c r="F108" i="7" s="1"/>
  <c r="AH276" i="4"/>
  <c r="Z273" i="4"/>
  <c r="AD268" i="4"/>
  <c r="AG268" i="4" s="1"/>
  <c r="AI266" i="4"/>
  <c r="X265" i="4"/>
  <c r="AJ262" i="4"/>
  <c r="AF260" i="4"/>
  <c r="AI258" i="4"/>
  <c r="AJ258" i="4" s="1"/>
  <c r="X256" i="4"/>
  <c r="AB256" i="4" s="1"/>
  <c r="AF255" i="4"/>
  <c r="Z254" i="4"/>
  <c r="AE254" i="4" s="1"/>
  <c r="U253" i="4"/>
  <c r="Y253" i="4" s="1"/>
  <c r="AD251" i="4"/>
  <c r="AG251" i="4" s="1"/>
  <c r="Z249" i="4"/>
  <c r="X248" i="4"/>
  <c r="V247" i="4"/>
  <c r="T246" i="4"/>
  <c r="F79" i="10" s="1"/>
  <c r="AH245" i="4"/>
  <c r="AF244" i="4"/>
  <c r="AD243" i="4"/>
  <c r="AG243" i="4" s="1"/>
  <c r="Z241" i="4"/>
  <c r="X240" i="4"/>
  <c r="AB240" i="4" s="1"/>
  <c r="V239" i="4"/>
  <c r="AJ238" i="4"/>
  <c r="T238" i="4"/>
  <c r="F78" i="10" s="1"/>
  <c r="AH237" i="4"/>
  <c r="AF236" i="4"/>
  <c r="AD235" i="4"/>
  <c r="AG235" i="4" s="1"/>
  <c r="Z233" i="4"/>
  <c r="X232" i="4"/>
  <c r="V231" i="4"/>
  <c r="T230" i="4"/>
  <c r="AH229" i="4"/>
  <c r="AF228" i="4"/>
  <c r="AD227" i="4"/>
  <c r="AG227" i="4" s="1"/>
  <c r="Z225" i="4"/>
  <c r="X224" i="4"/>
  <c r="AB224" i="4" s="1"/>
  <c r="V223" i="4"/>
  <c r="AF401" i="4"/>
  <c r="AD363" i="4"/>
  <c r="AG363" i="4" s="1"/>
  <c r="W340" i="4"/>
  <c r="AF328" i="4"/>
  <c r="AK312" i="4"/>
  <c r="AJ302" i="4"/>
  <c r="V295" i="4"/>
  <c r="T285" i="4"/>
  <c r="AH284" i="4"/>
  <c r="AF280" i="4"/>
  <c r="AF276" i="4"/>
  <c r="X273" i="4"/>
  <c r="AB273" i="4" s="1"/>
  <c r="Z270" i="4"/>
  <c r="X268" i="4"/>
  <c r="AH266" i="4"/>
  <c r="U265" i="4"/>
  <c r="AJ265" i="4" s="1"/>
  <c r="AH262" i="4"/>
  <c r="AH261" i="4"/>
  <c r="AD260" i="4"/>
  <c r="AG260" i="4" s="1"/>
  <c r="AI259" i="4"/>
  <c r="AJ259" i="4" s="1"/>
  <c r="AH258" i="4"/>
  <c r="AK257" i="4"/>
  <c r="V256" i="4"/>
  <c r="AK253" i="4"/>
  <c r="T253" i="4"/>
  <c r="AF252" i="4"/>
  <c r="AC251" i="4"/>
  <c r="AA250" i="4"/>
  <c r="W248" i="4"/>
  <c r="H80" i="10" s="1"/>
  <c r="AK247" i="4"/>
  <c r="U247" i="4"/>
  <c r="AI246" i="4"/>
  <c r="S246" i="4"/>
  <c r="AC243" i="4"/>
  <c r="AA242" i="4"/>
  <c r="W240" i="4"/>
  <c r="AK239" i="4"/>
  <c r="U239" i="4"/>
  <c r="Y239" i="4" s="1"/>
  <c r="AI238" i="4"/>
  <c r="S238" i="4"/>
  <c r="AC235" i="4"/>
  <c r="AA234" i="4"/>
  <c r="W232" i="4"/>
  <c r="H75" i="10" s="1"/>
  <c r="AK231" i="4"/>
  <c r="U231" i="4"/>
  <c r="AI230" i="4"/>
  <c r="AJ230" i="4" s="1"/>
  <c r="S230" i="4"/>
  <c r="AC227" i="4"/>
  <c r="AA226" i="4"/>
  <c r="W224" i="4"/>
  <c r="H74" i="10" s="1"/>
  <c r="AK223" i="4"/>
  <c r="U223" i="4"/>
  <c r="AI222" i="4"/>
  <c r="AJ222" i="4" s="1"/>
  <c r="S222" i="4"/>
  <c r="AC219" i="4"/>
  <c r="AA218" i="4"/>
  <c r="W216" i="4"/>
  <c r="AK215" i="4"/>
  <c r="U215" i="4"/>
  <c r="AI214" i="4"/>
  <c r="S214" i="4"/>
  <c r="AC211" i="4"/>
  <c r="AA210" i="4"/>
  <c r="W208" i="4"/>
  <c r="H69" i="10" s="1"/>
  <c r="AK207" i="4"/>
  <c r="U207" i="4"/>
  <c r="AI206" i="4"/>
  <c r="AJ206" i="4" s="1"/>
  <c r="S206" i="4"/>
  <c r="AC203" i="4"/>
  <c r="AA202" i="4"/>
  <c r="W200" i="4"/>
  <c r="AK199" i="4"/>
  <c r="U199" i="4"/>
  <c r="Y199" i="4" s="1"/>
  <c r="AI198" i="4"/>
  <c r="S198" i="4"/>
  <c r="AC195" i="4"/>
  <c r="AA194" i="4"/>
  <c r="W192" i="4"/>
  <c r="H64" i="10" s="1"/>
  <c r="AK191" i="4"/>
  <c r="U191" i="4"/>
  <c r="AI190" i="4"/>
  <c r="AJ190" i="4" s="1"/>
  <c r="S190" i="4"/>
  <c r="AC187" i="4"/>
  <c r="AA186" i="4"/>
  <c r="W184" i="4"/>
  <c r="AK183" i="4"/>
  <c r="U183" i="4"/>
  <c r="Y183" i="4" s="1"/>
  <c r="AI182" i="4"/>
  <c r="S182" i="4"/>
  <c r="AC179" i="4"/>
  <c r="AA178" i="4"/>
  <c r="W176" i="4"/>
  <c r="H59" i="10" s="1"/>
  <c r="AK175" i="4"/>
  <c r="U175" i="4"/>
  <c r="AI174" i="4"/>
  <c r="AJ174" i="4" s="1"/>
  <c r="S174" i="4"/>
  <c r="AC171" i="4"/>
  <c r="AA170" i="4"/>
  <c r="W168" i="4"/>
  <c r="H58" i="10" s="1"/>
  <c r="AK167" i="4"/>
  <c r="U167" i="4"/>
  <c r="AJ167" i="4" s="1"/>
  <c r="AI166" i="4"/>
  <c r="S166" i="4"/>
  <c r="AC163" i="4"/>
  <c r="AA162" i="4"/>
  <c r="W160" i="4"/>
  <c r="AK159" i="4"/>
  <c r="U159" i="4"/>
  <c r="AI158" i="4"/>
  <c r="S158" i="4"/>
  <c r="AC155" i="4"/>
  <c r="AA154" i="4"/>
  <c r="W152" i="4"/>
  <c r="H53" i="10" s="1"/>
  <c r="AK151" i="4"/>
  <c r="U151" i="4"/>
  <c r="AI150" i="4"/>
  <c r="AJ150" i="4" s="1"/>
  <c r="S150" i="4"/>
  <c r="AC147" i="4"/>
  <c r="Z376" i="4"/>
  <c r="W360" i="4"/>
  <c r="H112" i="10" s="1"/>
  <c r="AD347" i="4"/>
  <c r="AG347" i="4" s="1"/>
  <c r="V328" i="4"/>
  <c r="AF312" i="4"/>
  <c r="AF311" i="4"/>
  <c r="Z302" i="4"/>
  <c r="AJ301" i="4"/>
  <c r="AJ294" i="4"/>
  <c r="AF284" i="4"/>
  <c r="AJ283" i="4"/>
  <c r="Z281" i="4"/>
  <c r="AE281" i="4" s="1"/>
  <c r="AD280" i="4"/>
  <c r="AG280" i="4" s="1"/>
  <c r="X276" i="4"/>
  <c r="AF272" i="4"/>
  <c r="V270" i="4"/>
  <c r="W268" i="4"/>
  <c r="AD266" i="4"/>
  <c r="AG266" i="4" s="1"/>
  <c r="S265" i="4"/>
  <c r="AD263" i="4"/>
  <c r="AG263" i="4" s="1"/>
  <c r="AF261" i="4"/>
  <c r="AA260" i="4"/>
  <c r="AF259" i="4"/>
  <c r="AI257" i="4"/>
  <c r="T256" i="4"/>
  <c r="AD255" i="4"/>
  <c r="AG255" i="4" s="1"/>
  <c r="W254" i="4"/>
  <c r="AJ253" i="4"/>
  <c r="AR253" i="4" s="1"/>
  <c r="S253" i="4"/>
  <c r="Z250" i="4"/>
  <c r="X249" i="4"/>
  <c r="V248" i="4"/>
  <c r="T247" i="4"/>
  <c r="F97" i="7" s="1"/>
  <c r="AH246" i="4"/>
  <c r="AF245" i="4"/>
  <c r="AD244" i="4"/>
  <c r="AG244" i="4" s="1"/>
  <c r="Z242" i="4"/>
  <c r="X241" i="4"/>
  <c r="AB241" i="4" s="1"/>
  <c r="V240" i="4"/>
  <c r="AJ239" i="4"/>
  <c r="AR239" i="4" s="1"/>
  <c r="T239" i="4"/>
  <c r="AH238" i="4"/>
  <c r="AF237" i="4"/>
  <c r="AD236" i="4"/>
  <c r="AG236" i="4" s="1"/>
  <c r="Z234" i="4"/>
  <c r="X233" i="4"/>
  <c r="V232" i="4"/>
  <c r="T231" i="4"/>
  <c r="F91" i="7" s="1"/>
  <c r="AH230" i="4"/>
  <c r="AF229" i="4"/>
  <c r="AD228" i="4"/>
  <c r="AG228" i="4" s="1"/>
  <c r="Z226" i="4"/>
  <c r="X225" i="4"/>
  <c r="AB225" i="4" s="1"/>
  <c r="V224" i="4"/>
  <c r="T223" i="4"/>
  <c r="F89" i="7" s="1"/>
  <c r="AH222" i="4"/>
  <c r="AF221" i="4"/>
  <c r="AD220" i="4"/>
  <c r="AG220" i="4" s="1"/>
  <c r="Z218" i="4"/>
  <c r="X217" i="4"/>
  <c r="V216" i="4"/>
  <c r="T215" i="4"/>
  <c r="F85" i="7" s="1"/>
  <c r="AH214" i="4"/>
  <c r="AF213" i="4"/>
  <c r="AD212" i="4"/>
  <c r="AG212" i="4" s="1"/>
  <c r="Z210" i="4"/>
  <c r="X209" i="4"/>
  <c r="AB209" i="4" s="1"/>
  <c r="V208" i="4"/>
  <c r="AJ207" i="4"/>
  <c r="T207" i="4"/>
  <c r="F83" i="7" s="1"/>
  <c r="AH206" i="4"/>
  <c r="AF205" i="4"/>
  <c r="AD204" i="4"/>
  <c r="AG204" i="4" s="1"/>
  <c r="Z202" i="4"/>
  <c r="AE202" i="4" s="1"/>
  <c r="X201" i="4"/>
  <c r="AB201" i="4" s="1"/>
  <c r="V200" i="4"/>
  <c r="T199" i="4"/>
  <c r="AH198" i="4"/>
  <c r="AF197" i="4"/>
  <c r="AD196" i="4"/>
  <c r="AG196" i="4" s="1"/>
  <c r="Z194" i="4"/>
  <c r="X193" i="4"/>
  <c r="AB193" i="4" s="1"/>
  <c r="V192" i="4"/>
  <c r="AJ191" i="4"/>
  <c r="T191" i="4"/>
  <c r="F77" i="7" s="1"/>
  <c r="AH190" i="4"/>
  <c r="AF189" i="4"/>
  <c r="AD188" i="4"/>
  <c r="AG188" i="4" s="1"/>
  <c r="Z186" i="4"/>
  <c r="AE186" i="4" s="1"/>
  <c r="X185" i="4"/>
  <c r="V184" i="4"/>
  <c r="T183" i="4"/>
  <c r="AH182" i="4"/>
  <c r="AF181" i="4"/>
  <c r="AD180" i="4"/>
  <c r="AG180" i="4" s="1"/>
  <c r="Z178" i="4"/>
  <c r="X177" i="4"/>
  <c r="V176" i="4"/>
  <c r="AJ175" i="4"/>
  <c r="T175" i="4"/>
  <c r="F71" i="7" s="1"/>
  <c r="AH174" i="4"/>
  <c r="AF173" i="4"/>
  <c r="AD172" i="4"/>
  <c r="AG172" i="4" s="1"/>
  <c r="Z170" i="4"/>
  <c r="AE170" i="4" s="1"/>
  <c r="X169" i="4"/>
  <c r="V168" i="4"/>
  <c r="T167" i="4"/>
  <c r="F69" i="7" s="1"/>
  <c r="AH166" i="4"/>
  <c r="AF165" i="4"/>
  <c r="AD164" i="4"/>
  <c r="AG164" i="4" s="1"/>
  <c r="Z162" i="4"/>
  <c r="X161" i="4"/>
  <c r="AB161" i="4" s="1"/>
  <c r="V160" i="4"/>
  <c r="T159" i="4"/>
  <c r="F65" i="7" s="1"/>
  <c r="AH158" i="4"/>
  <c r="AF157" i="4"/>
  <c r="AD156" i="4"/>
  <c r="AG156" i="4" s="1"/>
  <c r="Z154" i="4"/>
  <c r="X153" i="4"/>
  <c r="V152" i="4"/>
  <c r="T151" i="4"/>
  <c r="F63" i="7" s="1"/>
  <c r="AH150" i="4"/>
  <c r="AF149" i="4"/>
  <c r="AD148" i="4"/>
  <c r="AG148" i="4" s="1"/>
  <c r="Z146" i="4"/>
  <c r="X145" i="4"/>
  <c r="AB145" i="4" s="1"/>
  <c r="V144" i="4"/>
  <c r="AJ143" i="4"/>
  <c r="T143" i="4"/>
  <c r="AH142" i="4"/>
  <c r="Z372" i="4"/>
  <c r="AF342" i="4"/>
  <c r="AA341" i="4"/>
  <c r="Z329" i="4"/>
  <c r="AF316" i="4"/>
  <c r="AC315" i="4"/>
  <c r="AH313" i="4"/>
  <c r="AD312" i="4"/>
  <c r="AG312" i="4" s="1"/>
  <c r="V302" i="4"/>
  <c r="AH301" i="4"/>
  <c r="Z294" i="4"/>
  <c r="V284" i="4"/>
  <c r="AF283" i="4"/>
  <c r="Z280" i="4"/>
  <c r="AD279" i="4"/>
  <c r="AG279" i="4" s="1"/>
  <c r="V276" i="4"/>
  <c r="AJ275" i="4"/>
  <c r="AD272" i="4"/>
  <c r="AG272" i="4" s="1"/>
  <c r="T270" i="4"/>
  <c r="V268" i="4"/>
  <c r="AC263" i="4"/>
  <c r="AC262" i="4"/>
  <c r="AC261" i="4"/>
  <c r="AD259" i="4"/>
  <c r="AG259" i="4" s="1"/>
  <c r="AH257" i="4"/>
  <c r="S256" i="4"/>
  <c r="AC255" i="4"/>
  <c r="V254" i="4"/>
  <c r="AI253" i="4"/>
  <c r="AD252" i="4"/>
  <c r="AG252" i="4" s="1"/>
  <c r="AA251" i="4"/>
  <c r="W249" i="4"/>
  <c r="H98" i="7" s="1"/>
  <c r="AK248" i="4"/>
  <c r="U248" i="4"/>
  <c r="AI247" i="4"/>
  <c r="S247" i="4"/>
  <c r="AC244" i="4"/>
  <c r="AA243" i="4"/>
  <c r="W241" i="4"/>
  <c r="AK240" i="4"/>
  <c r="U240" i="4"/>
  <c r="Y240" i="4" s="1"/>
  <c r="AI239" i="4"/>
  <c r="S239" i="4"/>
  <c r="AC236" i="4"/>
  <c r="AA235" i="4"/>
  <c r="W233" i="4"/>
  <c r="H92" i="7" s="1"/>
  <c r="AK232" i="4"/>
  <c r="U232" i="4"/>
  <c r="AJ232" i="4" s="1"/>
  <c r="AI231" i="4"/>
  <c r="AJ231" i="4" s="1"/>
  <c r="S231" i="4"/>
  <c r="AC228" i="4"/>
  <c r="AA227" i="4"/>
  <c r="W225" i="4"/>
  <c r="AK224" i="4"/>
  <c r="U224" i="4"/>
  <c r="AI223" i="4"/>
  <c r="S223" i="4"/>
  <c r="AC220" i="4"/>
  <c r="AA219" i="4"/>
  <c r="W217" i="4"/>
  <c r="H86" i="7" s="1"/>
  <c r="AK216" i="4"/>
  <c r="U216" i="4"/>
  <c r="Y216" i="4" s="1"/>
  <c r="AI215" i="4"/>
  <c r="S215" i="4"/>
  <c r="AC212" i="4"/>
  <c r="AA211" i="4"/>
  <c r="W209" i="4"/>
  <c r="H84" i="7" s="1"/>
  <c r="AK208" i="4"/>
  <c r="U208" i="4"/>
  <c r="AI207" i="4"/>
  <c r="S207" i="4"/>
  <c r="AC204" i="4"/>
  <c r="AA203" i="4"/>
  <c r="W201" i="4"/>
  <c r="H80" i="7" s="1"/>
  <c r="AK200" i="4"/>
  <c r="U200" i="4"/>
  <c r="Y200" i="4" s="1"/>
  <c r="AI199" i="4"/>
  <c r="AJ199" i="4" s="1"/>
  <c r="S199" i="4"/>
  <c r="AC196" i="4"/>
  <c r="AA195" i="4"/>
  <c r="W193" i="4"/>
  <c r="H78" i="7" s="1"/>
  <c r="AK192" i="4"/>
  <c r="U192" i="4"/>
  <c r="AI191" i="4"/>
  <c r="S191" i="4"/>
  <c r="AC188" i="4"/>
  <c r="AA187" i="4"/>
  <c r="W185" i="4"/>
  <c r="AK184" i="4"/>
  <c r="U184" i="4"/>
  <c r="Y184" i="4" s="1"/>
  <c r="AI183" i="4"/>
  <c r="AJ183" i="4" s="1"/>
  <c r="AR183" i="4" s="1"/>
  <c r="S183" i="4"/>
  <c r="AC180" i="4"/>
  <c r="AA179" i="4"/>
  <c r="W177" i="4"/>
  <c r="H72" i="7" s="1"/>
  <c r="AK176" i="4"/>
  <c r="U176" i="4"/>
  <c r="AI175" i="4"/>
  <c r="S175" i="4"/>
  <c r="AC172" i="4"/>
  <c r="AA171" i="4"/>
  <c r="W169" i="4"/>
  <c r="AK168" i="4"/>
  <c r="U168" i="4"/>
  <c r="AI167" i="4"/>
  <c r="S167" i="4"/>
  <c r="AC164" i="4"/>
  <c r="AA163" i="4"/>
  <c r="W161" i="4"/>
  <c r="H66" i="7" s="1"/>
  <c r="AK160" i="4"/>
  <c r="U160" i="4"/>
  <c r="Y160" i="4" s="1"/>
  <c r="AI159" i="4"/>
  <c r="AJ159" i="4" s="1"/>
  <c r="S159" i="4"/>
  <c r="AC156" i="4"/>
  <c r="AA155" i="4"/>
  <c r="W153" i="4"/>
  <c r="H64" i="7" s="1"/>
  <c r="AK152" i="4"/>
  <c r="U152" i="4"/>
  <c r="AI151" i="4"/>
  <c r="S151" i="4"/>
  <c r="AC148" i="4"/>
  <c r="AA147" i="4"/>
  <c r="AD393" i="4"/>
  <c r="AG393" i="4" s="1"/>
  <c r="S353" i="4"/>
  <c r="U341" i="4"/>
  <c r="AI331" i="4"/>
  <c r="AD330" i="4"/>
  <c r="AG330" i="4" s="1"/>
  <c r="S329" i="4"/>
  <c r="AC318" i="4"/>
  <c r="U316" i="4"/>
  <c r="AA315" i="4"/>
  <c r="X314" i="4"/>
  <c r="AB314" i="4" s="1"/>
  <c r="X313" i="4"/>
  <c r="T312" i="4"/>
  <c r="Z311" i="4"/>
  <c r="T302" i="4"/>
  <c r="F95" i="10" s="1"/>
  <c r="X301" i="4"/>
  <c r="V294" i="4"/>
  <c r="AH293" i="4"/>
  <c r="AD283" i="4"/>
  <c r="AG283" i="4" s="1"/>
  <c r="X280" i="4"/>
  <c r="AB280" i="4" s="1"/>
  <c r="AF275" i="4"/>
  <c r="Z272" i="4"/>
  <c r="AE272" i="4" s="1"/>
  <c r="Z266" i="4"/>
  <c r="AI264" i="4"/>
  <c r="AA261" i="4"/>
  <c r="X260" i="4"/>
  <c r="AD258" i="4"/>
  <c r="AG258" i="4" s="1"/>
  <c r="U254" i="4"/>
  <c r="Y254" i="4" s="1"/>
  <c r="AH253" i="4"/>
  <c r="AC252" i="4"/>
  <c r="Z251" i="4"/>
  <c r="X250" i="4"/>
  <c r="AB250" i="4" s="1"/>
  <c r="V249" i="4"/>
  <c r="AJ248" i="4"/>
  <c r="T248" i="4"/>
  <c r="F80" i="10" s="1"/>
  <c r="AH247" i="4"/>
  <c r="AF246" i="4"/>
  <c r="AD245" i="4"/>
  <c r="AG245" i="4" s="1"/>
  <c r="Z243" i="4"/>
  <c r="X242" i="4"/>
  <c r="V241" i="4"/>
  <c r="T240" i="4"/>
  <c r="AH239" i="4"/>
  <c r="AF238" i="4"/>
  <c r="AD237" i="4"/>
  <c r="AG237" i="4" s="1"/>
  <c r="Z235" i="4"/>
  <c r="X234" i="4"/>
  <c r="AB234" i="4" s="1"/>
  <c r="V233" i="4"/>
  <c r="T232" i="4"/>
  <c r="F75" i="10" s="1"/>
  <c r="AH231" i="4"/>
  <c r="AF230" i="4"/>
  <c r="AD229" i="4"/>
  <c r="AG229" i="4" s="1"/>
  <c r="Z227" i="4"/>
  <c r="AE227" i="4" s="1"/>
  <c r="X226" i="4"/>
  <c r="V225" i="4"/>
  <c r="T224" i="4"/>
  <c r="F74" i="10" s="1"/>
  <c r="AH223" i="4"/>
  <c r="AF222" i="4"/>
  <c r="AD221" i="4"/>
  <c r="AG221" i="4" s="1"/>
  <c r="Z219" i="4"/>
  <c r="X218" i="4"/>
  <c r="AB218" i="4" s="1"/>
  <c r="V217" i="4"/>
  <c r="AJ216" i="4"/>
  <c r="T216" i="4"/>
  <c r="AH215" i="4"/>
  <c r="AF214" i="4"/>
  <c r="AD213" i="4"/>
  <c r="AG213" i="4" s="1"/>
  <c r="Z211" i="4"/>
  <c r="AE211" i="4" s="1"/>
  <c r="X210" i="4"/>
  <c r="V209" i="4"/>
  <c r="T208" i="4"/>
  <c r="F69" i="10" s="1"/>
  <c r="AH207" i="4"/>
  <c r="AF206" i="4"/>
  <c r="AD205" i="4"/>
  <c r="AG205" i="4" s="1"/>
  <c r="Z203" i="4"/>
  <c r="X202" i="4"/>
  <c r="AB202" i="4" s="1"/>
  <c r="V201" i="4"/>
  <c r="T200" i="4"/>
  <c r="AH199" i="4"/>
  <c r="AF198" i="4"/>
  <c r="AD197" i="4"/>
  <c r="AG197" i="4" s="1"/>
  <c r="Z195" i="4"/>
  <c r="X194" i="4"/>
  <c r="V193" i="4"/>
  <c r="T192" i="4"/>
  <c r="F64" i="10" s="1"/>
  <c r="AH191" i="4"/>
  <c r="AF190" i="4"/>
  <c r="AD189" i="4"/>
  <c r="AG189" i="4" s="1"/>
  <c r="Z187" i="4"/>
  <c r="X186" i="4"/>
  <c r="AB186" i="4" s="1"/>
  <c r="V185" i="4"/>
  <c r="T184" i="4"/>
  <c r="AH183" i="4"/>
  <c r="AF182" i="4"/>
  <c r="AD181" i="4"/>
  <c r="AG181" i="4" s="1"/>
  <c r="Z179" i="4"/>
  <c r="X178" i="4"/>
  <c r="V177" i="4"/>
  <c r="T176" i="4"/>
  <c r="F59" i="10" s="1"/>
  <c r="AH175" i="4"/>
  <c r="AF174" i="4"/>
  <c r="AD173" i="4"/>
  <c r="AG173" i="4" s="1"/>
  <c r="Z171" i="4"/>
  <c r="X170" i="4"/>
  <c r="AB170" i="4" s="1"/>
  <c r="V169" i="4"/>
  <c r="AJ168" i="4"/>
  <c r="T168" i="4"/>
  <c r="F58" i="10" s="1"/>
  <c r="AH167" i="4"/>
  <c r="AF166" i="4"/>
  <c r="AD165" i="4"/>
  <c r="AG165" i="4" s="1"/>
  <c r="Z163" i="4"/>
  <c r="X162" i="4"/>
  <c r="V161" i="4"/>
  <c r="T160" i="4"/>
  <c r="AH159" i="4"/>
  <c r="AF158" i="4"/>
  <c r="AD157" i="4"/>
  <c r="AG157" i="4" s="1"/>
  <c r="Z155" i="4"/>
  <c r="X154" i="4"/>
  <c r="AB154" i="4" s="1"/>
  <c r="V153" i="4"/>
  <c r="AJ152" i="4"/>
  <c r="T152" i="4"/>
  <c r="F53" i="10" s="1"/>
  <c r="AH151" i="4"/>
  <c r="AF150" i="4"/>
  <c r="AD149" i="4"/>
  <c r="AG149" i="4" s="1"/>
  <c r="Z147" i="4"/>
  <c r="X146" i="4"/>
  <c r="V145" i="4"/>
  <c r="T144" i="4"/>
  <c r="AF394" i="4"/>
  <c r="Z364" i="4"/>
  <c r="AI348" i="4"/>
  <c r="AC343" i="4"/>
  <c r="AC331" i="4"/>
  <c r="X330" i="4"/>
  <c r="AB330" i="4" s="1"/>
  <c r="W318" i="4"/>
  <c r="H100" i="10" s="1"/>
  <c r="U314" i="4"/>
  <c r="Y314" i="4" s="1"/>
  <c r="S313" i="4"/>
  <c r="AC310" i="4"/>
  <c r="T301" i="4"/>
  <c r="F116" i="7" s="1"/>
  <c r="AH300" i="4"/>
  <c r="T294" i="4"/>
  <c r="F94" i="10" s="1"/>
  <c r="X293" i="4"/>
  <c r="V283" i="4"/>
  <c r="X279" i="4"/>
  <c r="AD275" i="4"/>
  <c r="AG275" i="4" s="1"/>
  <c r="X272" i="4"/>
  <c r="U266" i="4"/>
  <c r="AA263" i="4"/>
  <c r="AA262" i="4"/>
  <c r="Z261" i="4"/>
  <c r="W260" i="4"/>
  <c r="H83" i="10" s="1"/>
  <c r="Z259" i="4"/>
  <c r="AF257" i="4"/>
  <c r="AA255" i="4"/>
  <c r="T254" i="4"/>
  <c r="W250" i="4"/>
  <c r="H81" i="10" s="1"/>
  <c r="AK249" i="4"/>
  <c r="U249" i="4"/>
  <c r="AI248" i="4"/>
  <c r="S248" i="4"/>
  <c r="AC245" i="4"/>
  <c r="AA244" i="4"/>
  <c r="W242" i="4"/>
  <c r="AK241" i="4"/>
  <c r="U241" i="4"/>
  <c r="Y241" i="4" s="1"/>
  <c r="AI240" i="4"/>
  <c r="AJ240" i="4" s="1"/>
  <c r="AR240" i="4" s="1"/>
  <c r="S240" i="4"/>
  <c r="AC237" i="4"/>
  <c r="AA236" i="4"/>
  <c r="W234" i="4"/>
  <c r="H76" i="10" s="1"/>
  <c r="AK233" i="4"/>
  <c r="U233" i="4"/>
  <c r="AI232" i="4"/>
  <c r="S232" i="4"/>
  <c r="AH382" i="4"/>
  <c r="S377" i="4"/>
  <c r="AI357" i="4"/>
  <c r="S343" i="4"/>
  <c r="AH319" i="4"/>
  <c r="S317" i="4"/>
  <c r="AF300" i="4"/>
  <c r="AF299" i="4"/>
  <c r="AH298" i="4"/>
  <c r="T293" i="4"/>
  <c r="F114" i="7" s="1"/>
  <c r="AH292" i="4"/>
  <c r="T283" i="4"/>
  <c r="V279" i="4"/>
  <c r="V275" i="4"/>
  <c r="V272" i="4"/>
  <c r="AH269" i="4"/>
  <c r="AK267" i="4"/>
  <c r="T266" i="4"/>
  <c r="F86" i="10" s="1"/>
  <c r="AF264" i="4"/>
  <c r="X263" i="4"/>
  <c r="AB263" i="4" s="1"/>
  <c r="Z262" i="4"/>
  <c r="V260" i="4"/>
  <c r="Z258" i="4"/>
  <c r="AE258" i="4" s="1"/>
  <c r="AI256" i="4"/>
  <c r="AJ256" i="4" s="1"/>
  <c r="AK254" i="4"/>
  <c r="S254" i="4"/>
  <c r="AF253" i="4"/>
  <c r="AA252" i="4"/>
  <c r="X251" i="4"/>
  <c r="AB251" i="4" s="1"/>
  <c r="V250" i="4"/>
  <c r="T249" i="4"/>
  <c r="F98" i="7" s="1"/>
  <c r="AH248" i="4"/>
  <c r="AF247" i="4"/>
  <c r="AD246" i="4"/>
  <c r="AG246" i="4" s="1"/>
  <c r="Z244" i="4"/>
  <c r="AE244" i="4" s="1"/>
  <c r="X243" i="4"/>
  <c r="V242" i="4"/>
  <c r="AJ241" i="4"/>
  <c r="T241" i="4"/>
  <c r="AH240" i="4"/>
  <c r="AF239" i="4"/>
  <c r="AD238" i="4"/>
  <c r="AG238" i="4" s="1"/>
  <c r="Z236" i="4"/>
  <c r="X235" i="4"/>
  <c r="AB235" i="4" s="1"/>
  <c r="V234" i="4"/>
  <c r="T233" i="4"/>
  <c r="F92" i="7" s="1"/>
  <c r="AH232" i="4"/>
  <c r="AF231" i="4"/>
  <c r="AD230" i="4"/>
  <c r="AG230" i="4" s="1"/>
  <c r="Z228" i="4"/>
  <c r="AE228" i="4" s="1"/>
  <c r="X227" i="4"/>
  <c r="V226" i="4"/>
  <c r="AJ225" i="4"/>
  <c r="AR225" i="4" s="1"/>
  <c r="T225" i="4"/>
  <c r="AH224" i="4"/>
  <c r="AF223" i="4"/>
  <c r="AD222" i="4"/>
  <c r="AG222" i="4" s="1"/>
  <c r="Z220" i="4"/>
  <c r="X219" i="4"/>
  <c r="AB219" i="4" s="1"/>
  <c r="V218" i="4"/>
  <c r="T217" i="4"/>
  <c r="F86" i="7" s="1"/>
  <c r="AH216" i="4"/>
  <c r="AF215" i="4"/>
  <c r="AD214" i="4"/>
  <c r="AG214" i="4" s="1"/>
  <c r="Z212" i="4"/>
  <c r="AE212" i="4" s="1"/>
  <c r="X211" i="4"/>
  <c r="V210" i="4"/>
  <c r="AJ209" i="4"/>
  <c r="T209" i="4"/>
  <c r="F84" i="7" s="1"/>
  <c r="AH208" i="4"/>
  <c r="AF207" i="4"/>
  <c r="AD206" i="4"/>
  <c r="AG206" i="4" s="1"/>
  <c r="Z204" i="4"/>
  <c r="X203" i="4"/>
  <c r="AB203" i="4" s="1"/>
  <c r="V202" i="4"/>
  <c r="AJ201" i="4"/>
  <c r="T201" i="4"/>
  <c r="F80" i="7" s="1"/>
  <c r="AH200" i="4"/>
  <c r="AF199" i="4"/>
  <c r="AD198" i="4"/>
  <c r="AG198" i="4" s="1"/>
  <c r="Z196" i="4"/>
  <c r="X195" i="4"/>
  <c r="V194" i="4"/>
  <c r="T193" i="4"/>
  <c r="F78" i="7" s="1"/>
  <c r="AH192" i="4"/>
  <c r="AF191" i="4"/>
  <c r="AD190" i="4"/>
  <c r="AG190" i="4" s="1"/>
  <c r="Z188" i="4"/>
  <c r="X187" i="4"/>
  <c r="AB187" i="4" s="1"/>
  <c r="V186" i="4"/>
  <c r="T185" i="4"/>
  <c r="AH184" i="4"/>
  <c r="AF183" i="4"/>
  <c r="AD182" i="4"/>
  <c r="AG182" i="4" s="1"/>
  <c r="Z180" i="4"/>
  <c r="X179" i="4"/>
  <c r="V178" i="4"/>
  <c r="T177" i="4"/>
  <c r="F72" i="7" s="1"/>
  <c r="AH176" i="4"/>
  <c r="AF175" i="4"/>
  <c r="AD174" i="4"/>
  <c r="AG174" i="4" s="1"/>
  <c r="Z172" i="4"/>
  <c r="X171" i="4"/>
  <c r="AB171" i="4" s="1"/>
  <c r="V170" i="4"/>
  <c r="T169" i="4"/>
  <c r="AH168" i="4"/>
  <c r="AF167" i="4"/>
  <c r="AD166" i="4"/>
  <c r="AG166" i="4" s="1"/>
  <c r="Z164" i="4"/>
  <c r="X163" i="4"/>
  <c r="V162" i="4"/>
  <c r="AJ161" i="4"/>
  <c r="T161" i="4"/>
  <c r="F66" i="7" s="1"/>
  <c r="AH160" i="4"/>
  <c r="AF159" i="4"/>
  <c r="AD158" i="4"/>
  <c r="AG158" i="4" s="1"/>
  <c r="Z156" i="4"/>
  <c r="X155" i="4"/>
  <c r="AB155" i="4" s="1"/>
  <c r="V154" i="4"/>
  <c r="T153" i="4"/>
  <c r="F64" i="7" s="1"/>
  <c r="AH152" i="4"/>
  <c r="AF151" i="4"/>
  <c r="AD150" i="4"/>
  <c r="AG150" i="4" s="1"/>
  <c r="Z148" i="4"/>
  <c r="X147" i="4"/>
  <c r="V146" i="4"/>
  <c r="AJ145" i="4"/>
  <c r="T145" i="4"/>
  <c r="F60" i="7" s="1"/>
  <c r="AH332" i="4"/>
  <c r="AI321" i="4"/>
  <c r="AA319" i="4"/>
  <c r="W310" i="4"/>
  <c r="V300" i="4"/>
  <c r="AD299" i="4"/>
  <c r="AG299" i="4" s="1"/>
  <c r="AD298" i="4"/>
  <c r="AG298" i="4" s="1"/>
  <c r="AF292" i="4"/>
  <c r="AF291" i="4"/>
  <c r="AH290" i="4"/>
  <c r="T275" i="4"/>
  <c r="F107" i="7" s="1"/>
  <c r="AH274" i="4"/>
  <c r="AD271" i="4"/>
  <c r="AG271" i="4" s="1"/>
  <c r="AF269" i="4"/>
  <c r="AJ267" i="4"/>
  <c r="AR267" i="4" s="1"/>
  <c r="S266" i="4"/>
  <c r="V263" i="4"/>
  <c r="X261" i="4"/>
  <c r="U260" i="4"/>
  <c r="W259" i="4"/>
  <c r="H101" i="7" s="1"/>
  <c r="X258" i="4"/>
  <c r="AC257" i="4"/>
  <c r="AH256" i="4"/>
  <c r="X255" i="4"/>
  <c r="AB255" i="4" s="1"/>
  <c r="AJ254" i="4"/>
  <c r="AR254" i="4" s="1"/>
  <c r="Z252" i="4"/>
  <c r="W251" i="4"/>
  <c r="H99" i="7" s="1"/>
  <c r="AK250" i="4"/>
  <c r="U250" i="4"/>
  <c r="AI249" i="4"/>
  <c r="AJ249" i="4" s="1"/>
  <c r="S249" i="4"/>
  <c r="AC246" i="4"/>
  <c r="AA245" i="4"/>
  <c r="W243" i="4"/>
  <c r="H95" i="7" s="1"/>
  <c r="AK242" i="4"/>
  <c r="U242" i="4"/>
  <c r="Y242" i="4" s="1"/>
  <c r="AI241" i="4"/>
  <c r="S241" i="4"/>
  <c r="AC238" i="4"/>
  <c r="AA237" i="4"/>
  <c r="W235" i="4"/>
  <c r="H93" i="7" s="1"/>
  <c r="AK234" i="4"/>
  <c r="U234" i="4"/>
  <c r="AJ234" i="4" s="1"/>
  <c r="AI233" i="4"/>
  <c r="AJ233" i="4" s="1"/>
  <c r="S233" i="4"/>
  <c r="AC230" i="4"/>
  <c r="AA229" i="4"/>
  <c r="W227" i="4"/>
  <c r="AK226" i="4"/>
  <c r="U226" i="4"/>
  <c r="Y226" i="4" s="1"/>
  <c r="AI225" i="4"/>
  <c r="S225" i="4"/>
  <c r="AC222" i="4"/>
  <c r="AA221" i="4"/>
  <c r="W219" i="4"/>
  <c r="H87" i="7" s="1"/>
  <c r="AK218" i="4"/>
  <c r="U218" i="4"/>
  <c r="AJ218" i="4" s="1"/>
  <c r="AI217" i="4"/>
  <c r="AJ217" i="4" s="1"/>
  <c r="S217" i="4"/>
  <c r="AC214" i="4"/>
  <c r="AA213" i="4"/>
  <c r="W211" i="4"/>
  <c r="AK210" i="4"/>
  <c r="U210" i="4"/>
  <c r="AI209" i="4"/>
  <c r="S209" i="4"/>
  <c r="AC206" i="4"/>
  <c r="AA205" i="4"/>
  <c r="W203" i="4"/>
  <c r="H81" i="7" s="1"/>
  <c r="AK202" i="4"/>
  <c r="U202" i="4"/>
  <c r="Y202" i="4" s="1"/>
  <c r="AI201" i="4"/>
  <c r="S201" i="4"/>
  <c r="AC198" i="4"/>
  <c r="AA197" i="4"/>
  <c r="W195" i="4"/>
  <c r="H79" i="7" s="1"/>
  <c r="AK194" i="4"/>
  <c r="U194" i="4"/>
  <c r="AI193" i="4"/>
  <c r="S193" i="4"/>
  <c r="AC190" i="4"/>
  <c r="AA189" i="4"/>
  <c r="W187" i="4"/>
  <c r="H75" i="7" s="1"/>
  <c r="AK186" i="4"/>
  <c r="U186" i="4"/>
  <c r="Y186" i="4" s="1"/>
  <c r="AI185" i="4"/>
  <c r="S185" i="4"/>
  <c r="AC182" i="4"/>
  <c r="AA181" i="4"/>
  <c r="W179" i="4"/>
  <c r="H73" i="7" s="1"/>
  <c r="AK178" i="4"/>
  <c r="U178" i="4"/>
  <c r="AJ178" i="4" s="1"/>
  <c r="AI177" i="4"/>
  <c r="S177" i="4"/>
  <c r="AC174" i="4"/>
  <c r="AA173" i="4"/>
  <c r="W171" i="4"/>
  <c r="AK170" i="4"/>
  <c r="U170" i="4"/>
  <c r="Y170" i="4" s="1"/>
  <c r="AI169" i="4"/>
  <c r="S169" i="4"/>
  <c r="AC166" i="4"/>
  <c r="AA165" i="4"/>
  <c r="W163" i="4"/>
  <c r="H67" i="7" s="1"/>
  <c r="AK162" i="4"/>
  <c r="U162" i="4"/>
  <c r="AI161" i="4"/>
  <c r="S161" i="4"/>
  <c r="AC158" i="4"/>
  <c r="AA157" i="4"/>
  <c r="W155" i="4"/>
  <c r="AK154" i="4"/>
  <c r="S373" i="4"/>
  <c r="W332" i="4"/>
  <c r="H104" i="10" s="1"/>
  <c r="AC322" i="4"/>
  <c r="U320" i="4"/>
  <c r="T299" i="4"/>
  <c r="V292" i="4"/>
  <c r="AD291" i="4"/>
  <c r="AG291" i="4" s="1"/>
  <c r="AD290" i="4"/>
  <c r="AG290" i="4" s="1"/>
  <c r="AH282" i="4"/>
  <c r="AJ278" i="4"/>
  <c r="AD274" i="4"/>
  <c r="AG274" i="4" s="1"/>
  <c r="Z269" i="4"/>
  <c r="AE269" i="4" s="1"/>
  <c r="AF267" i="4"/>
  <c r="AD264" i="4"/>
  <c r="AG264" i="4" s="1"/>
  <c r="T263" i="4"/>
  <c r="F103" i="7" s="1"/>
  <c r="V262" i="4"/>
  <c r="W261" i="4"/>
  <c r="H102" i="7" s="1"/>
  <c r="V259" i="4"/>
  <c r="W258" i="4"/>
  <c r="W255" i="4"/>
  <c r="AI254" i="4"/>
  <c r="AD253" i="4"/>
  <c r="AG253" i="4" s="1"/>
  <c r="V251" i="4"/>
  <c r="T250" i="4"/>
  <c r="F81" i="10" s="1"/>
  <c r="AH249" i="4"/>
  <c r="AF248" i="4"/>
  <c r="AD247" i="4"/>
  <c r="AG247" i="4" s="1"/>
  <c r="Z245" i="4"/>
  <c r="X244" i="4"/>
  <c r="AB244" i="4" s="1"/>
  <c r="V243" i="4"/>
  <c r="AJ242" i="4"/>
  <c r="T242" i="4"/>
  <c r="AH241" i="4"/>
  <c r="AF240" i="4"/>
  <c r="AD239" i="4"/>
  <c r="AG239" i="4" s="1"/>
  <c r="Z237" i="4"/>
  <c r="X236" i="4"/>
  <c r="AB236" i="4" s="1"/>
  <c r="V235" i="4"/>
  <c r="T234" i="4"/>
  <c r="F76" i="10" s="1"/>
  <c r="AH233" i="4"/>
  <c r="AF232" i="4"/>
  <c r="AD231" i="4"/>
  <c r="AG231" i="4" s="1"/>
  <c r="Z229" i="4"/>
  <c r="X228" i="4"/>
  <c r="AB228" i="4" s="1"/>
  <c r="V227" i="4"/>
  <c r="T226" i="4"/>
  <c r="AH225" i="4"/>
  <c r="AF224" i="4"/>
  <c r="AD223" i="4"/>
  <c r="AG223" i="4" s="1"/>
  <c r="Z221" i="4"/>
  <c r="X220" i="4"/>
  <c r="AB220" i="4" s="1"/>
  <c r="V219" i="4"/>
  <c r="T218" i="4"/>
  <c r="F71" i="10" s="1"/>
  <c r="AH217" i="4"/>
  <c r="AF216" i="4"/>
  <c r="AD215" i="4"/>
  <c r="AG215" i="4" s="1"/>
  <c r="Z213" i="4"/>
  <c r="X212" i="4"/>
  <c r="AB212" i="4" s="1"/>
  <c r="V211" i="4"/>
  <c r="T210" i="4"/>
  <c r="F70" i="10" s="1"/>
  <c r="AH209" i="4"/>
  <c r="AF208" i="4"/>
  <c r="AD207" i="4"/>
  <c r="AG207" i="4" s="1"/>
  <c r="Z205" i="4"/>
  <c r="X204" i="4"/>
  <c r="AB204" i="4" s="1"/>
  <c r="V203" i="4"/>
  <c r="T202" i="4"/>
  <c r="AH201" i="4"/>
  <c r="AF200" i="4"/>
  <c r="AD199" i="4"/>
  <c r="AG199" i="4" s="1"/>
  <c r="Z197" i="4"/>
  <c r="X196" i="4"/>
  <c r="AB196" i="4" s="1"/>
  <c r="V195" i="4"/>
  <c r="T194" i="4"/>
  <c r="F65" i="10" s="1"/>
  <c r="AH193" i="4"/>
  <c r="AF192" i="4"/>
  <c r="AD191" i="4"/>
  <c r="AG191" i="4" s="1"/>
  <c r="Z189" i="4"/>
  <c r="X188" i="4"/>
  <c r="AB188" i="4" s="1"/>
  <c r="V187" i="4"/>
  <c r="T186" i="4"/>
  <c r="AH185" i="4"/>
  <c r="AF184" i="4"/>
  <c r="AD183" i="4"/>
  <c r="AG183" i="4" s="1"/>
  <c r="Z181" i="4"/>
  <c r="X180" i="4"/>
  <c r="AB180" i="4" s="1"/>
  <c r="V179" i="4"/>
  <c r="T178" i="4"/>
  <c r="F60" i="10" s="1"/>
  <c r="AH177" i="4"/>
  <c r="AF176" i="4"/>
  <c r="AD175" i="4"/>
  <c r="AG175" i="4" s="1"/>
  <c r="Z173" i="4"/>
  <c r="X172" i="4"/>
  <c r="AB172" i="4" s="1"/>
  <c r="V171" i="4"/>
  <c r="T170" i="4"/>
  <c r="AH169" i="4"/>
  <c r="AF168" i="4"/>
  <c r="AD167" i="4"/>
  <c r="AG167" i="4" s="1"/>
  <c r="Z165" i="4"/>
  <c r="X164" i="4"/>
  <c r="AB164" i="4" s="1"/>
  <c r="V163" i="4"/>
  <c r="T162" i="4"/>
  <c r="F55" i="10" s="1"/>
  <c r="AH161" i="4"/>
  <c r="AF160" i="4"/>
  <c r="AD159" i="4"/>
  <c r="AG159" i="4" s="1"/>
  <c r="Z157" i="4"/>
  <c r="X156" i="4"/>
  <c r="AB156" i="4" s="1"/>
  <c r="V155" i="4"/>
  <c r="T154" i="4"/>
  <c r="F54" i="10" s="1"/>
  <c r="AH153" i="4"/>
  <c r="AF152" i="4"/>
  <c r="AD151" i="4"/>
  <c r="AG151" i="4" s="1"/>
  <c r="Z149" i="4"/>
  <c r="X148" i="4"/>
  <c r="AB148" i="4" s="1"/>
  <c r="V147" i="4"/>
  <c r="T146" i="4"/>
  <c r="AH145" i="4"/>
  <c r="AF144" i="4"/>
  <c r="AD143" i="4"/>
  <c r="AG143" i="4" s="1"/>
  <c r="AI416" i="4"/>
  <c r="AH413" i="4"/>
  <c r="Z399" i="4"/>
  <c r="V349" i="4"/>
  <c r="V322" i="4"/>
  <c r="AH308" i="4"/>
  <c r="AJ307" i="4"/>
  <c r="AF297" i="4"/>
  <c r="T291" i="4"/>
  <c r="F113" i="7" s="1"/>
  <c r="AD282" i="4"/>
  <c r="AG282" i="4" s="1"/>
  <c r="X271" i="4"/>
  <c r="AD267" i="4"/>
  <c r="AG267" i="4" s="1"/>
  <c r="AK265" i="4"/>
  <c r="Z264" i="4"/>
  <c r="T262" i="4"/>
  <c r="F84" i="10" s="1"/>
  <c r="T261" i="4"/>
  <c r="F102" i="7" s="1"/>
  <c r="U259" i="4"/>
  <c r="U258" i="4"/>
  <c r="Y258" i="4" s="1"/>
  <c r="Z257" i="4"/>
  <c r="AF256" i="4"/>
  <c r="V255" i="4"/>
  <c r="AH254" i="4"/>
  <c r="AC253" i="4"/>
  <c r="X252" i="4"/>
  <c r="AB252" i="4" s="1"/>
  <c r="AK251" i="4"/>
  <c r="U251" i="4"/>
  <c r="AI250" i="4"/>
  <c r="S250" i="4"/>
  <c r="AC247" i="4"/>
  <c r="AA246" i="4"/>
  <c r="W244" i="4"/>
  <c r="AK243" i="4"/>
  <c r="U243" i="4"/>
  <c r="AI242" i="4"/>
  <c r="S242" i="4"/>
  <c r="AC239" i="4"/>
  <c r="AA238" i="4"/>
  <c r="W236" i="4"/>
  <c r="H77" i="10" s="1"/>
  <c r="AK235" i="4"/>
  <c r="U235" i="4"/>
  <c r="AI234" i="4"/>
  <c r="S234" i="4"/>
  <c r="AC231" i="4"/>
  <c r="AA230" i="4"/>
  <c r="W228" i="4"/>
  <c r="AK227" i="4"/>
  <c r="U227" i="4"/>
  <c r="Y227" i="4" s="1"/>
  <c r="AI226" i="4"/>
  <c r="S226" i="4"/>
  <c r="AC223" i="4"/>
  <c r="AA222" i="4"/>
  <c r="W220" i="4"/>
  <c r="H72" i="10" s="1"/>
  <c r="AK219" i="4"/>
  <c r="U219" i="4"/>
  <c r="AI218" i="4"/>
  <c r="S218" i="4"/>
  <c r="AC215" i="4"/>
  <c r="AA214" i="4"/>
  <c r="W212" i="4"/>
  <c r="AK211" i="4"/>
  <c r="U211" i="4"/>
  <c r="Y211" i="4" s="1"/>
  <c r="AI210" i="4"/>
  <c r="AJ210" i="4" s="1"/>
  <c r="S210" i="4"/>
  <c r="AC207" i="4"/>
  <c r="AA206" i="4"/>
  <c r="W204" i="4"/>
  <c r="H67" i="10" s="1"/>
  <c r="AK203" i="4"/>
  <c r="U203" i="4"/>
  <c r="AI202" i="4"/>
  <c r="AJ202" i="4" s="1"/>
  <c r="S202" i="4"/>
  <c r="AC199" i="4"/>
  <c r="AA198" i="4"/>
  <c r="W196" i="4"/>
  <c r="H66" i="10" s="1"/>
  <c r="AK195" i="4"/>
  <c r="U195" i="4"/>
  <c r="AI194" i="4"/>
  <c r="S194" i="4"/>
  <c r="AC191" i="4"/>
  <c r="AA190" i="4"/>
  <c r="W188" i="4"/>
  <c r="AK187" i="4"/>
  <c r="U187" i="4"/>
  <c r="AI186" i="4"/>
  <c r="S186" i="4"/>
  <c r="AC183" i="4"/>
  <c r="AA182" i="4"/>
  <c r="W180" i="4"/>
  <c r="H61" i="10" s="1"/>
  <c r="AK179" i="4"/>
  <c r="U179" i="4"/>
  <c r="AI178" i="4"/>
  <c r="S178" i="4"/>
  <c r="AC175" i="4"/>
  <c r="AA174" i="4"/>
  <c r="W172" i="4"/>
  <c r="AK171" i="4"/>
  <c r="U171" i="4"/>
  <c r="Y171" i="4" s="1"/>
  <c r="AI170" i="4"/>
  <c r="AJ170" i="4" s="1"/>
  <c r="AR170" i="4" s="1"/>
  <c r="S170" i="4"/>
  <c r="AC167" i="4"/>
  <c r="AA166" i="4"/>
  <c r="W164" i="4"/>
  <c r="H56" i="10" s="1"/>
  <c r="AK163" i="4"/>
  <c r="U163" i="4"/>
  <c r="AJ163" i="4" s="1"/>
  <c r="AI162" i="4"/>
  <c r="S162" i="4"/>
  <c r="AC159" i="4"/>
  <c r="AA158" i="4"/>
  <c r="W156" i="4"/>
  <c r="AK155" i="4"/>
  <c r="AH374" i="4"/>
  <c r="AD366" i="4"/>
  <c r="AG366" i="4" s="1"/>
  <c r="S365" i="4"/>
  <c r="AC358" i="4"/>
  <c r="AF334" i="4"/>
  <c r="AA333" i="4"/>
  <c r="AF308" i="4"/>
  <c r="AF307" i="4"/>
  <c r="AH306" i="4"/>
  <c r="AF289" i="4"/>
  <c r="AD288" i="4"/>
  <c r="AG288" i="4" s="1"/>
  <c r="Z278" i="4"/>
  <c r="Z274" i="4"/>
  <c r="V271" i="4"/>
  <c r="X269" i="4"/>
  <c r="AI265" i="4"/>
  <c r="X264" i="4"/>
  <c r="AB264" i="4" s="1"/>
  <c r="T259" i="4"/>
  <c r="F101" i="7" s="1"/>
  <c r="T258" i="4"/>
  <c r="X257" i="4"/>
  <c r="AB257" i="4" s="1"/>
  <c r="U255" i="4"/>
  <c r="Y255" i="4" s="1"/>
  <c r="AF254" i="4"/>
  <c r="W252" i="4"/>
  <c r="H82" i="10" s="1"/>
  <c r="T251" i="4"/>
  <c r="F99" i="7" s="1"/>
  <c r="AH250" i="4"/>
  <c r="AF249" i="4"/>
  <c r="AD248" i="4"/>
  <c r="AG248" i="4" s="1"/>
  <c r="Z246" i="4"/>
  <c r="X245" i="4"/>
  <c r="V244" i="4"/>
  <c r="T243" i="4"/>
  <c r="F95" i="7" s="1"/>
  <c r="AH242" i="4"/>
  <c r="AF241" i="4"/>
  <c r="AD240" i="4"/>
  <c r="AG240" i="4" s="1"/>
  <c r="Z238" i="4"/>
  <c r="X237" i="4"/>
  <c r="AB237" i="4" s="1"/>
  <c r="V236" i="4"/>
  <c r="T235" i="4"/>
  <c r="F93" i="7" s="1"/>
  <c r="AH234" i="4"/>
  <c r="AF233" i="4"/>
  <c r="AD232" i="4"/>
  <c r="AG232" i="4" s="1"/>
  <c r="Z230" i="4"/>
  <c r="AE230" i="4" s="1"/>
  <c r="X229" i="4"/>
  <c r="V228" i="4"/>
  <c r="T227" i="4"/>
  <c r="AH226" i="4"/>
  <c r="AF225" i="4"/>
  <c r="AD224" i="4"/>
  <c r="AG224" i="4" s="1"/>
  <c r="Z222" i="4"/>
  <c r="X221" i="4"/>
  <c r="AB221" i="4" s="1"/>
  <c r="V220" i="4"/>
  <c r="T219" i="4"/>
  <c r="F87" i="7" s="1"/>
  <c r="AH218" i="4"/>
  <c r="AF217" i="4"/>
  <c r="AI370" i="4"/>
  <c r="X355" i="4"/>
  <c r="AB355" i="4" s="1"/>
  <c r="AA350" i="4"/>
  <c r="U333" i="4"/>
  <c r="AK325" i="4"/>
  <c r="AH323" i="4"/>
  <c r="U309" i="4"/>
  <c r="Y309" i="4" s="1"/>
  <c r="V308" i="4"/>
  <c r="AD307" i="4"/>
  <c r="AG307" i="4" s="1"/>
  <c r="AD306" i="4"/>
  <c r="AG306" i="4" s="1"/>
  <c r="Z297" i="4"/>
  <c r="AE297" i="4" s="1"/>
  <c r="Z288" i="4"/>
  <c r="T282" i="4"/>
  <c r="V278" i="4"/>
  <c r="T274" i="4"/>
  <c r="F87" i="10" s="1"/>
  <c r="T271" i="4"/>
  <c r="F105" i="7" s="1"/>
  <c r="T269" i="4"/>
  <c r="V267" i="4"/>
  <c r="AH265" i="4"/>
  <c r="V264" i="4"/>
  <c r="S259" i="4"/>
  <c r="S258" i="4"/>
  <c r="V257" i="4"/>
  <c r="AD256" i="4"/>
  <c r="AG256" i="4" s="1"/>
  <c r="T255" i="4"/>
  <c r="AA253" i="4"/>
  <c r="V252" i="4"/>
  <c r="AI251" i="4"/>
  <c r="S251" i="4"/>
  <c r="AC248" i="4"/>
  <c r="AA247" i="4"/>
  <c r="W245" i="4"/>
  <c r="H96" i="7" s="1"/>
  <c r="AK244" i="4"/>
  <c r="U244" i="4"/>
  <c r="Y244" i="4" s="1"/>
  <c r="AI243" i="4"/>
  <c r="S243" i="4"/>
  <c r="AC240" i="4"/>
  <c r="AA239" i="4"/>
  <c r="W237" i="4"/>
  <c r="H94" i="7" s="1"/>
  <c r="AK236" i="4"/>
  <c r="U236" i="4"/>
  <c r="AI235" i="4"/>
  <c r="S235" i="4"/>
  <c r="AC232" i="4"/>
  <c r="AA231" i="4"/>
  <c r="W229" i="4"/>
  <c r="H90" i="7" s="1"/>
  <c r="AK228" i="4"/>
  <c r="U228" i="4"/>
  <c r="Y228" i="4" s="1"/>
  <c r="AI227" i="4"/>
  <c r="AJ227" i="4" s="1"/>
  <c r="S227" i="4"/>
  <c r="AC224" i="4"/>
  <c r="AA223" i="4"/>
  <c r="W221" i="4"/>
  <c r="H88" i="7" s="1"/>
  <c r="AK220" i="4"/>
  <c r="U220" i="4"/>
  <c r="T222" i="4"/>
  <c r="F73" i="10" s="1"/>
  <c r="W218" i="4"/>
  <c r="H71" i="10" s="1"/>
  <c r="Z217" i="4"/>
  <c r="X216" i="4"/>
  <c r="AB216" i="4" s="1"/>
  <c r="V212" i="4"/>
  <c r="AA207" i="4"/>
  <c r="S203" i="4"/>
  <c r="AH202" i="4"/>
  <c r="T198" i="4"/>
  <c r="AF193" i="4"/>
  <c r="AD192" i="4"/>
  <c r="AG192" i="4" s="1"/>
  <c r="V188" i="4"/>
  <c r="AI187" i="4"/>
  <c r="S179" i="4"/>
  <c r="AH178" i="4"/>
  <c r="X173" i="4"/>
  <c r="AB173" i="4" s="1"/>
  <c r="Z169" i="4"/>
  <c r="X168" i="4"/>
  <c r="AH157" i="4"/>
  <c r="AI149" i="4"/>
  <c r="W148" i="4"/>
  <c r="H51" i="10" s="1"/>
  <c r="AH146" i="4"/>
  <c r="AF145" i="4"/>
  <c r="AD144" i="4"/>
  <c r="AG144" i="4" s="1"/>
  <c r="AK143" i="4"/>
  <c r="W142" i="4"/>
  <c r="AF141" i="4"/>
  <c r="X140" i="4"/>
  <c r="Z138" i="4"/>
  <c r="T137" i="4"/>
  <c r="F58" i="7" s="1"/>
  <c r="AF136" i="4"/>
  <c r="AA135" i="4"/>
  <c r="W134" i="4"/>
  <c r="H47" i="10" s="1"/>
  <c r="AI133" i="4"/>
  <c r="AF132" i="4"/>
  <c r="AD131" i="4"/>
  <c r="AG131" i="4" s="1"/>
  <c r="Z129" i="4"/>
  <c r="AE129" i="4" s="1"/>
  <c r="X128" i="4"/>
  <c r="AB128" i="4" s="1"/>
  <c r="V127" i="4"/>
  <c r="T126" i="4"/>
  <c r="F46" i="10" s="1"/>
  <c r="AH125" i="4"/>
  <c r="AF124" i="4"/>
  <c r="AD123" i="4"/>
  <c r="AG123" i="4" s="1"/>
  <c r="Z121" i="4"/>
  <c r="X120" i="4"/>
  <c r="V119" i="4"/>
  <c r="T118" i="4"/>
  <c r="AH117" i="4"/>
  <c r="AF116" i="4"/>
  <c r="AD115" i="4"/>
  <c r="AG115" i="4" s="1"/>
  <c r="Z113" i="4"/>
  <c r="AE113" i="4" s="1"/>
  <c r="X112" i="4"/>
  <c r="AB112" i="4" s="1"/>
  <c r="V111" i="4"/>
  <c r="T110" i="4"/>
  <c r="F41" i="10" s="1"/>
  <c r="AH109" i="4"/>
  <c r="AF108" i="4"/>
  <c r="AD107" i="4"/>
  <c r="AG107" i="4" s="1"/>
  <c r="Z105" i="4"/>
  <c r="X104" i="4"/>
  <c r="V103" i="4"/>
  <c r="T102" i="4"/>
  <c r="AH101" i="4"/>
  <c r="AF100" i="4"/>
  <c r="AD99" i="4"/>
  <c r="AG99" i="4" s="1"/>
  <c r="Z97" i="4"/>
  <c r="X96" i="4"/>
  <c r="AB96" i="4" s="1"/>
  <c r="V95" i="4"/>
  <c r="AJ94" i="4"/>
  <c r="T94" i="4"/>
  <c r="F36" i="10" s="1"/>
  <c r="AH93" i="4"/>
  <c r="AF92" i="4"/>
  <c r="AD91" i="4"/>
  <c r="AG91" i="4" s="1"/>
  <c r="Z89" i="4"/>
  <c r="X88" i="4"/>
  <c r="V87" i="4"/>
  <c r="T86" i="4"/>
  <c r="AH85" i="4"/>
  <c r="AF84" i="4"/>
  <c r="AD83" i="4"/>
  <c r="AG83" i="4" s="1"/>
  <c r="Z81" i="4"/>
  <c r="X80" i="4"/>
  <c r="AB80" i="4" s="1"/>
  <c r="V79" i="4"/>
  <c r="AJ78" i="4"/>
  <c r="T78" i="4"/>
  <c r="F31" i="10" s="1"/>
  <c r="AH77" i="4"/>
  <c r="AF76" i="4"/>
  <c r="AD75" i="4"/>
  <c r="AG75" i="4" s="1"/>
  <c r="Z73" i="4"/>
  <c r="X72" i="4"/>
  <c r="V71" i="4"/>
  <c r="T70" i="4"/>
  <c r="F30" i="10" s="1"/>
  <c r="AH69" i="4"/>
  <c r="AF68" i="4"/>
  <c r="AD67" i="4"/>
  <c r="AG67" i="4" s="1"/>
  <c r="Z65" i="4"/>
  <c r="X64" i="4"/>
  <c r="AB64" i="4" s="1"/>
  <c r="V63" i="4"/>
  <c r="AJ62" i="4"/>
  <c r="T62" i="4"/>
  <c r="AH61" i="4"/>
  <c r="AF60" i="4"/>
  <c r="AD59" i="4"/>
  <c r="AG59" i="4" s="1"/>
  <c r="Z57" i="4"/>
  <c r="X56" i="4"/>
  <c r="AB56" i="4" s="1"/>
  <c r="V55" i="4"/>
  <c r="T54" i="4"/>
  <c r="F25" i="10" s="1"/>
  <c r="AH53" i="4"/>
  <c r="AF52" i="4"/>
  <c r="AD51" i="4"/>
  <c r="AG51" i="4" s="1"/>
  <c r="Z49" i="4"/>
  <c r="X48" i="4"/>
  <c r="V47" i="4"/>
  <c r="T46" i="4"/>
  <c r="AH45" i="4"/>
  <c r="AF44" i="4"/>
  <c r="AD43" i="4"/>
  <c r="AG43" i="4" s="1"/>
  <c r="Z41" i="4"/>
  <c r="X40" i="4"/>
  <c r="V39" i="4"/>
  <c r="T38" i="4"/>
  <c r="F20" i="10" s="1"/>
  <c r="AH37" i="4"/>
  <c r="AF36" i="4"/>
  <c r="AD35" i="4"/>
  <c r="AG35" i="4" s="1"/>
  <c r="Z33" i="4"/>
  <c r="X32" i="4"/>
  <c r="AB32" i="4" s="1"/>
  <c r="V31" i="4"/>
  <c r="AJ30" i="4"/>
  <c r="T30" i="4"/>
  <c r="AH29" i="4"/>
  <c r="U217" i="4"/>
  <c r="S216" i="4"/>
  <c r="U212" i="4"/>
  <c r="Y212" i="4" s="1"/>
  <c r="V207" i="4"/>
  <c r="AC192" i="4"/>
  <c r="U188" i="4"/>
  <c r="Y188" i="4" s="1"/>
  <c r="AD187" i="4"/>
  <c r="AG187" i="4" s="1"/>
  <c r="AA183" i="4"/>
  <c r="W173" i="4"/>
  <c r="H70" i="7" s="1"/>
  <c r="AK172" i="4"/>
  <c r="U169" i="4"/>
  <c r="Y169" i="4" s="1"/>
  <c r="S168" i="4"/>
  <c r="T163" i="4"/>
  <c r="F67" i="7" s="1"/>
  <c r="T158" i="4"/>
  <c r="AC157" i="4"/>
  <c r="AH149" i="4"/>
  <c r="V148" i="4"/>
  <c r="AC144" i="4"/>
  <c r="AI143" i="4"/>
  <c r="U142" i="4"/>
  <c r="Y142" i="4" s="1"/>
  <c r="W140" i="4"/>
  <c r="H50" i="10" s="1"/>
  <c r="AK137" i="4"/>
  <c r="S137" i="4"/>
  <c r="V134" i="4"/>
  <c r="AH133" i="4"/>
  <c r="AC131" i="4"/>
  <c r="AA130" i="4"/>
  <c r="W128" i="4"/>
  <c r="AK127" i="4"/>
  <c r="U127" i="4"/>
  <c r="Y127" i="4" s="1"/>
  <c r="AI126" i="4"/>
  <c r="S126" i="4"/>
  <c r="AC123" i="4"/>
  <c r="AA122" i="4"/>
  <c r="W120" i="4"/>
  <c r="H43" i="10" s="1"/>
  <c r="AK119" i="4"/>
  <c r="U119" i="4"/>
  <c r="AI118" i="4"/>
  <c r="S118" i="4"/>
  <c r="AC115" i="4"/>
  <c r="AA114" i="4"/>
  <c r="W112" i="4"/>
  <c r="H42" i="10" s="1"/>
  <c r="AK111" i="4"/>
  <c r="U111" i="4"/>
  <c r="AJ111" i="4" s="1"/>
  <c r="AI110" i="4"/>
  <c r="AJ110" i="4" s="1"/>
  <c r="S110" i="4"/>
  <c r="AC107" i="4"/>
  <c r="AA106" i="4"/>
  <c r="W104" i="4"/>
  <c r="AK103" i="4"/>
  <c r="U103" i="4"/>
  <c r="AI102" i="4"/>
  <c r="S102" i="4"/>
  <c r="AC99" i="4"/>
  <c r="AA98" i="4"/>
  <c r="W96" i="4"/>
  <c r="H37" i="10" s="1"/>
  <c r="AK95" i="4"/>
  <c r="U95" i="4"/>
  <c r="AI94" i="4"/>
  <c r="S94" i="4"/>
  <c r="AC91" i="4"/>
  <c r="AA90" i="4"/>
  <c r="W88" i="4"/>
  <c r="AK87" i="4"/>
  <c r="U87" i="4"/>
  <c r="Y87" i="4" s="1"/>
  <c r="AI86" i="4"/>
  <c r="S86" i="4"/>
  <c r="AC83" i="4"/>
  <c r="AA82" i="4"/>
  <c r="W80" i="4"/>
  <c r="H32" i="10" s="1"/>
  <c r="AK79" i="4"/>
  <c r="U79" i="4"/>
  <c r="AI78" i="4"/>
  <c r="S78" i="4"/>
  <c r="AC75" i="4"/>
  <c r="AA74" i="4"/>
  <c r="W72" i="4"/>
  <c r="AK71" i="4"/>
  <c r="U71" i="4"/>
  <c r="Y71" i="4" s="1"/>
  <c r="AI70" i="4"/>
  <c r="S70" i="4"/>
  <c r="AC67" i="4"/>
  <c r="AA66" i="4"/>
  <c r="W64" i="4"/>
  <c r="H27" i="10" s="1"/>
  <c r="AK63" i="4"/>
  <c r="U63" i="4"/>
  <c r="AJ63" i="4" s="1"/>
  <c r="AI62" i="4"/>
  <c r="S62" i="4"/>
  <c r="AC59" i="4"/>
  <c r="AA58" i="4"/>
  <c r="W56" i="4"/>
  <c r="H26" i="10" s="1"/>
  <c r="AK55" i="4"/>
  <c r="U55" i="4"/>
  <c r="AI54" i="4"/>
  <c r="S54" i="4"/>
  <c r="AC51" i="4"/>
  <c r="AA50" i="4"/>
  <c r="W48" i="4"/>
  <c r="AK47" i="4"/>
  <c r="U47" i="4"/>
  <c r="AI46" i="4"/>
  <c r="S46" i="4"/>
  <c r="AC43" i="4"/>
  <c r="AA42" i="4"/>
  <c r="W40" i="4"/>
  <c r="H21" i="10" s="1"/>
  <c r="AK39" i="4"/>
  <c r="U39" i="4"/>
  <c r="AI38" i="4"/>
  <c r="S38" i="4"/>
  <c r="AC35" i="4"/>
  <c r="AA34" i="4"/>
  <c r="W32" i="4"/>
  <c r="AK31" i="4"/>
  <c r="U31" i="4"/>
  <c r="Y31" i="4" s="1"/>
  <c r="AI30" i="4"/>
  <c r="S30" i="4"/>
  <c r="AI211" i="4"/>
  <c r="AH197" i="4"/>
  <c r="Z193" i="4"/>
  <c r="X192" i="4"/>
  <c r="AB192" i="4" s="1"/>
  <c r="V183" i="4"/>
  <c r="AF172" i="4"/>
  <c r="S163" i="4"/>
  <c r="AH162" i="4"/>
  <c r="X157" i="4"/>
  <c r="AB157" i="4" s="1"/>
  <c r="W154" i="4"/>
  <c r="H54" i="10" s="1"/>
  <c r="AC151" i="4"/>
  <c r="AC149" i="4"/>
  <c r="U148" i="4"/>
  <c r="AJ148" i="4" s="1"/>
  <c r="AC146" i="4"/>
  <c r="AC145" i="4"/>
  <c r="AA144" i="4"/>
  <c r="AH143" i="4"/>
  <c r="T142" i="4"/>
  <c r="AD141" i="4"/>
  <c r="AG141" i="4" s="1"/>
  <c r="V140" i="4"/>
  <c r="AD139" i="4"/>
  <c r="AG139" i="4" s="1"/>
  <c r="X138" i="4"/>
  <c r="AB138" i="4" s="1"/>
  <c r="AD136" i="4"/>
  <c r="AG136" i="4" s="1"/>
  <c r="X135" i="4"/>
  <c r="AB135" i="4" s="1"/>
  <c r="U134" i="4"/>
  <c r="AD132" i="4"/>
  <c r="AG132" i="4" s="1"/>
  <c r="Z130" i="4"/>
  <c r="X129" i="4"/>
  <c r="V128" i="4"/>
  <c r="T127" i="4"/>
  <c r="AH126" i="4"/>
  <c r="AF125" i="4"/>
  <c r="AD124" i="4"/>
  <c r="AG124" i="4" s="1"/>
  <c r="Z122" i="4"/>
  <c r="X121" i="4"/>
  <c r="AB121" i="4" s="1"/>
  <c r="V120" i="4"/>
  <c r="AJ119" i="4"/>
  <c r="T119" i="4"/>
  <c r="F51" i="7" s="1"/>
  <c r="AH118" i="4"/>
  <c r="AF117" i="4"/>
  <c r="AD116" i="4"/>
  <c r="AG116" i="4" s="1"/>
  <c r="Z114" i="4"/>
  <c r="X113" i="4"/>
  <c r="V112" i="4"/>
  <c r="T111" i="4"/>
  <c r="F49" i="7" s="1"/>
  <c r="AH110" i="4"/>
  <c r="AF109" i="4"/>
  <c r="AD108" i="4"/>
  <c r="AG108" i="4" s="1"/>
  <c r="Z106" i="4"/>
  <c r="X105" i="4"/>
  <c r="AB105" i="4" s="1"/>
  <c r="V104" i="4"/>
  <c r="AJ103" i="4"/>
  <c r="T103" i="4"/>
  <c r="F45" i="7" s="1"/>
  <c r="AH102" i="4"/>
  <c r="AF101" i="4"/>
  <c r="AD100" i="4"/>
  <c r="AG100" i="4" s="1"/>
  <c r="Z98" i="4"/>
  <c r="X97" i="4"/>
  <c r="V96" i="4"/>
  <c r="T95" i="4"/>
  <c r="F43" i="7" s="1"/>
  <c r="AH94" i="4"/>
  <c r="AF93" i="4"/>
  <c r="AD92" i="4"/>
  <c r="AG92" i="4" s="1"/>
  <c r="Z90" i="4"/>
  <c r="AE90" i="4" s="1"/>
  <c r="X89" i="4"/>
  <c r="AB89" i="4" s="1"/>
  <c r="V88" i="4"/>
  <c r="AJ87" i="4"/>
  <c r="T87" i="4"/>
  <c r="AH86" i="4"/>
  <c r="AF85" i="4"/>
  <c r="AD84" i="4"/>
  <c r="AG84" i="4" s="1"/>
  <c r="Z82" i="4"/>
  <c r="X81" i="4"/>
  <c r="V80" i="4"/>
  <c r="T79" i="4"/>
  <c r="F37" i="7" s="1"/>
  <c r="AH78" i="4"/>
  <c r="AF77" i="4"/>
  <c r="AD76" i="4"/>
  <c r="AG76" i="4" s="1"/>
  <c r="Z74" i="4"/>
  <c r="AE74" i="4" s="1"/>
  <c r="X73" i="4"/>
  <c r="AB73" i="4" s="1"/>
  <c r="V72" i="4"/>
  <c r="T71" i="4"/>
  <c r="AH70" i="4"/>
  <c r="AF69" i="4"/>
  <c r="AD68" i="4"/>
  <c r="AG68" i="4" s="1"/>
  <c r="Z66" i="4"/>
  <c r="X65" i="4"/>
  <c r="V64" i="4"/>
  <c r="T63" i="4"/>
  <c r="F31" i="7" s="1"/>
  <c r="AH62" i="4"/>
  <c r="AF61" i="4"/>
  <c r="AD60" i="4"/>
  <c r="AG60" i="4" s="1"/>
  <c r="Z58" i="4"/>
  <c r="X57" i="4"/>
  <c r="AB57" i="4" s="1"/>
  <c r="V56" i="4"/>
  <c r="T55" i="4"/>
  <c r="F29" i="7" s="1"/>
  <c r="AH54" i="4"/>
  <c r="AF53" i="4"/>
  <c r="AD52" i="4"/>
  <c r="AG52" i="4" s="1"/>
  <c r="Z50" i="4"/>
  <c r="X49" i="4"/>
  <c r="V48" i="4"/>
  <c r="T47" i="4"/>
  <c r="F25" i="7" s="1"/>
  <c r="AH46" i="4"/>
  <c r="AF45" i="4"/>
  <c r="AD44" i="4"/>
  <c r="AG44" i="4" s="1"/>
  <c r="Z42" i="4"/>
  <c r="X41" i="4"/>
  <c r="AB41" i="4" s="1"/>
  <c r="V40" i="4"/>
  <c r="T39" i="4"/>
  <c r="F23" i="7" s="1"/>
  <c r="AH38" i="4"/>
  <c r="AF37" i="4"/>
  <c r="AD36" i="4"/>
  <c r="AG36" i="4" s="1"/>
  <c r="Z34" i="4"/>
  <c r="X33" i="4"/>
  <c r="V32" i="4"/>
  <c r="T31" i="4"/>
  <c r="AH30" i="4"/>
  <c r="AF29" i="4"/>
  <c r="AC229" i="4"/>
  <c r="AA215" i="4"/>
  <c r="AD211" i="4"/>
  <c r="AG211" i="4" s="1"/>
  <c r="W202" i="4"/>
  <c r="AK201" i="4"/>
  <c r="AI200" i="4"/>
  <c r="AJ200" i="4" s="1"/>
  <c r="AC197" i="4"/>
  <c r="U193" i="4"/>
  <c r="AJ193" i="4" s="1"/>
  <c r="S192" i="4"/>
  <c r="T187" i="4"/>
  <c r="F75" i="7" s="1"/>
  <c r="W178" i="4"/>
  <c r="H60" i="10" s="1"/>
  <c r="AK177" i="4"/>
  <c r="AI176" i="4"/>
  <c r="AA172" i="4"/>
  <c r="AA167" i="4"/>
  <c r="W157" i="4"/>
  <c r="U154" i="4"/>
  <c r="AJ154" i="4" s="1"/>
  <c r="AA149" i="4"/>
  <c r="AK147" i="4"/>
  <c r="AA145" i="4"/>
  <c r="S142" i="4"/>
  <c r="AC141" i="4"/>
  <c r="U140" i="4"/>
  <c r="AC139" i="4"/>
  <c r="W138" i="4"/>
  <c r="H49" i="10" s="1"/>
  <c r="AI137" i="4"/>
  <c r="AC136" i="4"/>
  <c r="W135" i="4"/>
  <c r="H57" i="7" s="1"/>
  <c r="AK134" i="4"/>
  <c r="T134" i="4"/>
  <c r="F47" i="10" s="1"/>
  <c r="AF133" i="4"/>
  <c r="AC132" i="4"/>
  <c r="AA131" i="4"/>
  <c r="W129" i="4"/>
  <c r="AK128" i="4"/>
  <c r="U128" i="4"/>
  <c r="Y128" i="4" s="1"/>
  <c r="AI127" i="4"/>
  <c r="S127" i="4"/>
  <c r="AC124" i="4"/>
  <c r="AA123" i="4"/>
  <c r="W121" i="4"/>
  <c r="H52" i="7" s="1"/>
  <c r="AK120" i="4"/>
  <c r="U120" i="4"/>
  <c r="AI119" i="4"/>
  <c r="S119" i="4"/>
  <c r="AC116" i="4"/>
  <c r="AA115" i="4"/>
  <c r="W113" i="4"/>
  <c r="AK112" i="4"/>
  <c r="U112" i="4"/>
  <c r="AI111" i="4"/>
  <c r="S111" i="4"/>
  <c r="AC108" i="4"/>
  <c r="AA107" i="4"/>
  <c r="W105" i="4"/>
  <c r="H46" i="7" s="1"/>
  <c r="AK104" i="4"/>
  <c r="U104" i="4"/>
  <c r="Y104" i="4" s="1"/>
  <c r="AI103" i="4"/>
  <c r="S103" i="4"/>
  <c r="AC100" i="4"/>
  <c r="AA99" i="4"/>
  <c r="W97" i="4"/>
  <c r="H44" i="7" s="1"/>
  <c r="AK96" i="4"/>
  <c r="U96" i="4"/>
  <c r="AJ96" i="4" s="1"/>
  <c r="AI95" i="4"/>
  <c r="S95" i="4"/>
  <c r="AC92" i="4"/>
  <c r="AA91" i="4"/>
  <c r="W89" i="4"/>
  <c r="H40" i="7" s="1"/>
  <c r="AK88" i="4"/>
  <c r="U88" i="4"/>
  <c r="Y88" i="4" s="1"/>
  <c r="AI87" i="4"/>
  <c r="S87" i="4"/>
  <c r="AC84" i="4"/>
  <c r="AA83" i="4"/>
  <c r="W81" i="4"/>
  <c r="H38" i="7" s="1"/>
  <c r="AK80" i="4"/>
  <c r="U80" i="4"/>
  <c r="AI79" i="4"/>
  <c r="S79" i="4"/>
  <c r="AC76" i="4"/>
  <c r="AA75" i="4"/>
  <c r="W73" i="4"/>
  <c r="AK72" i="4"/>
  <c r="U72" i="4"/>
  <c r="Y72" i="4" s="1"/>
  <c r="AI71" i="4"/>
  <c r="S71" i="4"/>
  <c r="AC68" i="4"/>
  <c r="AA67" i="4"/>
  <c r="W65" i="4"/>
  <c r="H32" i="7" s="1"/>
  <c r="AK64" i="4"/>
  <c r="U64" i="4"/>
  <c r="AI63" i="4"/>
  <c r="S63" i="4"/>
  <c r="AC60" i="4"/>
  <c r="AA59" i="4"/>
  <c r="W57" i="4"/>
  <c r="AK56" i="4"/>
  <c r="U56" i="4"/>
  <c r="AI55" i="4"/>
  <c r="S55" i="4"/>
  <c r="AC52" i="4"/>
  <c r="AA51" i="4"/>
  <c r="W49" i="4"/>
  <c r="H26" i="7" s="1"/>
  <c r="AK48" i="4"/>
  <c r="U48" i="4"/>
  <c r="Y48" i="4" s="1"/>
  <c r="AI47" i="4"/>
  <c r="AJ47" i="4" s="1"/>
  <c r="S47" i="4"/>
  <c r="AC44" i="4"/>
  <c r="AA43" i="4"/>
  <c r="W41" i="4"/>
  <c r="H24" i="7" s="1"/>
  <c r="AK40" i="4"/>
  <c r="U40" i="4"/>
  <c r="AI39" i="4"/>
  <c r="S39" i="4"/>
  <c r="AC36" i="4"/>
  <c r="AA35" i="4"/>
  <c r="W33" i="4"/>
  <c r="H20" i="7" s="1"/>
  <c r="AK32" i="4"/>
  <c r="U32" i="4"/>
  <c r="Y32" i="4" s="1"/>
  <c r="AI31" i="4"/>
  <c r="S31" i="4"/>
  <c r="V215" i="4"/>
  <c r="Z206" i="4"/>
  <c r="AF201" i="4"/>
  <c r="AD200" i="4"/>
  <c r="AG200" i="4" s="1"/>
  <c r="X197" i="4"/>
  <c r="S187" i="4"/>
  <c r="AH186" i="4"/>
  <c r="AF177" i="4"/>
  <c r="AD176" i="4"/>
  <c r="AG176" i="4" s="1"/>
  <c r="V172" i="4"/>
  <c r="AI171" i="4"/>
  <c r="V167" i="4"/>
  <c r="AK156" i="4"/>
  <c r="S154" i="4"/>
  <c r="AK153" i="4"/>
  <c r="AA151" i="4"/>
  <c r="AA146" i="4"/>
  <c r="Z145" i="4"/>
  <c r="X144" i="4"/>
  <c r="AF143" i="4"/>
  <c r="AK142" i="4"/>
  <c r="S140" i="4"/>
  <c r="V138" i="4"/>
  <c r="AH137" i="4"/>
  <c r="AA136" i="4"/>
  <c r="V135" i="4"/>
  <c r="AJ134" i="4"/>
  <c r="S134" i="4"/>
  <c r="Z131" i="4"/>
  <c r="X130" i="4"/>
  <c r="AB130" i="4" s="1"/>
  <c r="V129" i="4"/>
  <c r="T128" i="4"/>
  <c r="AH127" i="4"/>
  <c r="AF126" i="4"/>
  <c r="AD125" i="4"/>
  <c r="AG125" i="4" s="1"/>
  <c r="Z123" i="4"/>
  <c r="X122" i="4"/>
  <c r="AB122" i="4" s="1"/>
  <c r="V121" i="4"/>
  <c r="AJ120" i="4"/>
  <c r="T120" i="4"/>
  <c r="F43" i="10" s="1"/>
  <c r="AH119" i="4"/>
  <c r="AF118" i="4"/>
  <c r="AD117" i="4"/>
  <c r="AG117" i="4" s="1"/>
  <c r="Z115" i="4"/>
  <c r="X114" i="4"/>
  <c r="AB114" i="4" s="1"/>
  <c r="V113" i="4"/>
  <c r="T112" i="4"/>
  <c r="F42" i="10" s="1"/>
  <c r="AH111" i="4"/>
  <c r="AF110" i="4"/>
  <c r="AD109" i="4"/>
  <c r="AG109" i="4" s="1"/>
  <c r="Z107" i="4"/>
  <c r="X106" i="4"/>
  <c r="AB106" i="4" s="1"/>
  <c r="V105" i="4"/>
  <c r="AJ104" i="4"/>
  <c r="T104" i="4"/>
  <c r="AH103" i="4"/>
  <c r="AF102" i="4"/>
  <c r="AD101" i="4"/>
  <c r="AG101" i="4" s="1"/>
  <c r="Z99" i="4"/>
  <c r="X98" i="4"/>
  <c r="AB98" i="4" s="1"/>
  <c r="V97" i="4"/>
  <c r="T96" i="4"/>
  <c r="F37" i="10" s="1"/>
  <c r="AH95" i="4"/>
  <c r="AF94" i="4"/>
  <c r="AD93" i="4"/>
  <c r="AG93" i="4" s="1"/>
  <c r="Z91" i="4"/>
  <c r="X90" i="4"/>
  <c r="AB90" i="4" s="1"/>
  <c r="V89" i="4"/>
  <c r="T88" i="4"/>
  <c r="AH87" i="4"/>
  <c r="AF86" i="4"/>
  <c r="AD85" i="4"/>
  <c r="AG85" i="4" s="1"/>
  <c r="Z83" i="4"/>
  <c r="X82" i="4"/>
  <c r="AB82" i="4" s="1"/>
  <c r="V81" i="4"/>
  <c r="T80" i="4"/>
  <c r="F32" i="10" s="1"/>
  <c r="AH79" i="4"/>
  <c r="AF78" i="4"/>
  <c r="AD77" i="4"/>
  <c r="AG77" i="4" s="1"/>
  <c r="Z75" i="4"/>
  <c r="X74" i="4"/>
  <c r="AB74" i="4" s="1"/>
  <c r="V73" i="4"/>
  <c r="T72" i="4"/>
  <c r="AH71" i="4"/>
  <c r="AF70" i="4"/>
  <c r="AD69" i="4"/>
  <c r="AG69" i="4" s="1"/>
  <c r="Z67" i="4"/>
  <c r="X66" i="4"/>
  <c r="AB66" i="4" s="1"/>
  <c r="V65" i="4"/>
  <c r="T64" i="4"/>
  <c r="F27" i="10" s="1"/>
  <c r="AH63" i="4"/>
  <c r="AF62" i="4"/>
  <c r="AD61" i="4"/>
  <c r="AG61" i="4" s="1"/>
  <c r="Z59" i="4"/>
  <c r="AE59" i="4" s="1"/>
  <c r="X58" i="4"/>
  <c r="AB58" i="4" s="1"/>
  <c r="V57" i="4"/>
  <c r="T56" i="4"/>
  <c r="F26" i="10" s="1"/>
  <c r="AH55" i="4"/>
  <c r="AF54" i="4"/>
  <c r="AD53" i="4"/>
  <c r="AG53" i="4" s="1"/>
  <c r="Z51" i="4"/>
  <c r="X50" i="4"/>
  <c r="AB50" i="4" s="1"/>
  <c r="V49" i="4"/>
  <c r="T48" i="4"/>
  <c r="AH47" i="4"/>
  <c r="AF46" i="4"/>
  <c r="AD45" i="4"/>
  <c r="AG45" i="4" s="1"/>
  <c r="Z43" i="4"/>
  <c r="AE43" i="4" s="1"/>
  <c r="X42" i="4"/>
  <c r="AB42" i="4" s="1"/>
  <c r="V41" i="4"/>
  <c r="T40" i="4"/>
  <c r="F21" i="10" s="1"/>
  <c r="AH39" i="4"/>
  <c r="AF38" i="4"/>
  <c r="AD37" i="4"/>
  <c r="AG37" i="4" s="1"/>
  <c r="Z35" i="4"/>
  <c r="X34" i="4"/>
  <c r="AB34" i="4" s="1"/>
  <c r="V33" i="4"/>
  <c r="T32" i="4"/>
  <c r="AH31" i="4"/>
  <c r="AF30" i="4"/>
  <c r="AD29" i="4"/>
  <c r="AI224" i="4"/>
  <c r="AJ224" i="4" s="1"/>
  <c r="T211" i="4"/>
  <c r="AC200" i="4"/>
  <c r="W197" i="4"/>
  <c r="AK196" i="4"/>
  <c r="AA191" i="4"/>
  <c r="Z182" i="4"/>
  <c r="AC176" i="4"/>
  <c r="U172" i="4"/>
  <c r="Y172" i="4" s="1"/>
  <c r="AD171" i="4"/>
  <c r="AG171" i="4" s="1"/>
  <c r="W162" i="4"/>
  <c r="H55" i="10" s="1"/>
  <c r="AK161" i="4"/>
  <c r="AI160" i="4"/>
  <c r="AF156" i="4"/>
  <c r="AI153" i="4"/>
  <c r="AJ153" i="4" s="1"/>
  <c r="V151" i="4"/>
  <c r="X149" i="4"/>
  <c r="AI147" i="4"/>
  <c r="W144" i="4"/>
  <c r="AJ142" i="4"/>
  <c r="AR142" i="4" s="1"/>
  <c r="AA141" i="4"/>
  <c r="AK140" i="4"/>
  <c r="AA139" i="4"/>
  <c r="U138" i="4"/>
  <c r="Z136" i="4"/>
  <c r="U135" i="4"/>
  <c r="AI134" i="4"/>
  <c r="AD133" i="4"/>
  <c r="AG133" i="4" s="1"/>
  <c r="AA132" i="4"/>
  <c r="W130" i="4"/>
  <c r="AK129" i="4"/>
  <c r="U129" i="4"/>
  <c r="Y129" i="4" s="1"/>
  <c r="AI128" i="4"/>
  <c r="S128" i="4"/>
  <c r="AC125" i="4"/>
  <c r="AA124" i="4"/>
  <c r="W122" i="4"/>
  <c r="H44" i="10" s="1"/>
  <c r="AK121" i="4"/>
  <c r="U121" i="4"/>
  <c r="AI120" i="4"/>
  <c r="S120" i="4"/>
  <c r="AC117" i="4"/>
  <c r="AA116" i="4"/>
  <c r="W114" i="4"/>
  <c r="AK113" i="4"/>
  <c r="U113" i="4"/>
  <c r="Y113" i="4" s="1"/>
  <c r="AI112" i="4"/>
  <c r="S112" i="4"/>
  <c r="AC109" i="4"/>
  <c r="AA108" i="4"/>
  <c r="W106" i="4"/>
  <c r="H39" i="10" s="1"/>
  <c r="AK105" i="4"/>
  <c r="U105" i="4"/>
  <c r="AJ105" i="4" s="1"/>
  <c r="AI104" i="4"/>
  <c r="S104" i="4"/>
  <c r="AC101" i="4"/>
  <c r="AA100" i="4"/>
  <c r="W98" i="4"/>
  <c r="H38" i="10" s="1"/>
  <c r="AK97" i="4"/>
  <c r="U97" i="4"/>
  <c r="AI96" i="4"/>
  <c r="S96" i="4"/>
  <c r="AC93" i="4"/>
  <c r="AA92" i="4"/>
  <c r="W90" i="4"/>
  <c r="AK89" i="4"/>
  <c r="U89" i="4"/>
  <c r="AJ89" i="4" s="1"/>
  <c r="AI88" i="4"/>
  <c r="AJ88" i="4" s="1"/>
  <c r="S88" i="4"/>
  <c r="AC85" i="4"/>
  <c r="AA84" i="4"/>
  <c r="W82" i="4"/>
  <c r="H33" i="10" s="1"/>
  <c r="AK81" i="4"/>
  <c r="U81" i="4"/>
  <c r="AI80" i="4"/>
  <c r="AJ80" i="4" s="1"/>
  <c r="S80" i="4"/>
  <c r="AC77" i="4"/>
  <c r="AA76" i="4"/>
  <c r="W74" i="4"/>
  <c r="AK73" i="4"/>
  <c r="U73" i="4"/>
  <c r="Y73" i="4" s="1"/>
  <c r="AI72" i="4"/>
  <c r="S72" i="4"/>
  <c r="AC69" i="4"/>
  <c r="AA68" i="4"/>
  <c r="W66" i="4"/>
  <c r="H28" i="10" s="1"/>
  <c r="AK65" i="4"/>
  <c r="U65" i="4"/>
  <c r="AI64" i="4"/>
  <c r="S64" i="4"/>
  <c r="AC61" i="4"/>
  <c r="AA60" i="4"/>
  <c r="W58" i="4"/>
  <c r="AK57" i="4"/>
  <c r="U57" i="4"/>
  <c r="Y57" i="4" s="1"/>
  <c r="AI56" i="4"/>
  <c r="AJ56" i="4" s="1"/>
  <c r="S56" i="4"/>
  <c r="AC53" i="4"/>
  <c r="AA52" i="4"/>
  <c r="W50" i="4"/>
  <c r="H23" i="10" s="1"/>
  <c r="AK49" i="4"/>
  <c r="U49" i="4"/>
  <c r="AI48" i="4"/>
  <c r="S48" i="4"/>
  <c r="AC45" i="4"/>
  <c r="AA44" i="4"/>
  <c r="W42" i="4"/>
  <c r="H22" i="10" s="1"/>
  <c r="AK41" i="4"/>
  <c r="U41" i="4"/>
  <c r="AI40" i="4"/>
  <c r="S40" i="4"/>
  <c r="AC37" i="4"/>
  <c r="AA36" i="4"/>
  <c r="W34" i="4"/>
  <c r="AK33" i="4"/>
  <c r="U33" i="4"/>
  <c r="AJ33" i="4" s="1"/>
  <c r="AI32" i="4"/>
  <c r="S224" i="4"/>
  <c r="S211" i="4"/>
  <c r="T206" i="4"/>
  <c r="F68" i="10" s="1"/>
  <c r="AH205" i="4"/>
  <c r="Z201" i="4"/>
  <c r="X200" i="4"/>
  <c r="AB200" i="4" s="1"/>
  <c r="AF196" i="4"/>
  <c r="V191" i="4"/>
  <c r="AH181" i="4"/>
  <c r="Z177" i="4"/>
  <c r="X176" i="4"/>
  <c r="AB176" i="4" s="1"/>
  <c r="AF161" i="4"/>
  <c r="AD160" i="4"/>
  <c r="AG160" i="4" s="1"/>
  <c r="AA156" i="4"/>
  <c r="W149" i="4"/>
  <c r="H62" i="7" s="1"/>
  <c r="W146" i="4"/>
  <c r="W145" i="4"/>
  <c r="H60" i="7" s="1"/>
  <c r="U144" i="4"/>
  <c r="Y144" i="4" s="1"/>
  <c r="AC143" i="4"/>
  <c r="AI142" i="4"/>
  <c r="Z141" i="4"/>
  <c r="AI140" i="4"/>
  <c r="Z139" i="4"/>
  <c r="T138" i="4"/>
  <c r="F49" i="10" s="1"/>
  <c r="AF137" i="4"/>
  <c r="AK135" i="4"/>
  <c r="T135" i="4"/>
  <c r="F57" i="7" s="1"/>
  <c r="AH134" i="4"/>
  <c r="AC133" i="4"/>
  <c r="Z132" i="4"/>
  <c r="AE132" i="4" s="1"/>
  <c r="X131" i="4"/>
  <c r="AB131" i="4" s="1"/>
  <c r="V130" i="4"/>
  <c r="T129" i="4"/>
  <c r="AH128" i="4"/>
  <c r="AF127" i="4"/>
  <c r="AD126" i="4"/>
  <c r="AG126" i="4" s="1"/>
  <c r="Z124" i="4"/>
  <c r="X123" i="4"/>
  <c r="V122" i="4"/>
  <c r="T121" i="4"/>
  <c r="F52" i="7" s="1"/>
  <c r="AH120" i="4"/>
  <c r="AF119" i="4"/>
  <c r="AD118" i="4"/>
  <c r="AG118" i="4" s="1"/>
  <c r="Z116" i="4"/>
  <c r="AE116" i="4" s="1"/>
  <c r="X115" i="4"/>
  <c r="AB115" i="4" s="1"/>
  <c r="V114" i="4"/>
  <c r="T113" i="4"/>
  <c r="AH112" i="4"/>
  <c r="AF111" i="4"/>
  <c r="AD110" i="4"/>
  <c r="AG110" i="4" s="1"/>
  <c r="Z108" i="4"/>
  <c r="X107" i="4"/>
  <c r="V106" i="4"/>
  <c r="T105" i="4"/>
  <c r="F46" i="7" s="1"/>
  <c r="AH104" i="4"/>
  <c r="AF103" i="4"/>
  <c r="AD102" i="4"/>
  <c r="AG102" i="4" s="1"/>
  <c r="Z100" i="4"/>
  <c r="AE100" i="4" s="1"/>
  <c r="X99" i="4"/>
  <c r="AB99" i="4" s="1"/>
  <c r="V98" i="4"/>
  <c r="T97" i="4"/>
  <c r="F44" i="7" s="1"/>
  <c r="AH96" i="4"/>
  <c r="AF95" i="4"/>
  <c r="AD94" i="4"/>
  <c r="AG94" i="4" s="1"/>
  <c r="Z92" i="4"/>
  <c r="X91" i="4"/>
  <c r="V90" i="4"/>
  <c r="T89" i="4"/>
  <c r="F40" i="7" s="1"/>
  <c r="AH88" i="4"/>
  <c r="AF87" i="4"/>
  <c r="AD86" i="4"/>
  <c r="AG86" i="4" s="1"/>
  <c r="Z84" i="4"/>
  <c r="X83" i="4"/>
  <c r="AB83" i="4" s="1"/>
  <c r="V82" i="4"/>
  <c r="T81" i="4"/>
  <c r="F38" i="7" s="1"/>
  <c r="AH80" i="4"/>
  <c r="AF79" i="4"/>
  <c r="AD78" i="4"/>
  <c r="AG78" i="4" s="1"/>
  <c r="Z76" i="4"/>
  <c r="AE76" i="4" s="1"/>
  <c r="X75" i="4"/>
  <c r="V74" i="4"/>
  <c r="T73" i="4"/>
  <c r="AH72" i="4"/>
  <c r="AF71" i="4"/>
  <c r="AD70" i="4"/>
  <c r="AG70" i="4" s="1"/>
  <c r="Z68" i="4"/>
  <c r="X67" i="4"/>
  <c r="AB67" i="4" s="1"/>
  <c r="V66" i="4"/>
  <c r="T65" i="4"/>
  <c r="F32" i="7" s="1"/>
  <c r="AH64" i="4"/>
  <c r="AF63" i="4"/>
  <c r="AD62" i="4"/>
  <c r="AG62" i="4" s="1"/>
  <c r="Z60" i="4"/>
  <c r="AE60" i="4" s="1"/>
  <c r="X59" i="4"/>
  <c r="V58" i="4"/>
  <c r="T57" i="4"/>
  <c r="AH56" i="4"/>
  <c r="AF55" i="4"/>
  <c r="AD54" i="4"/>
  <c r="AG54" i="4" s="1"/>
  <c r="Z52" i="4"/>
  <c r="X51" i="4"/>
  <c r="AB51" i="4" s="1"/>
  <c r="V50" i="4"/>
  <c r="T49" i="4"/>
  <c r="F26" i="7" s="1"/>
  <c r="AH48" i="4"/>
  <c r="AF47" i="4"/>
  <c r="AD46" i="4"/>
  <c r="AG46" i="4" s="1"/>
  <c r="Z44" i="4"/>
  <c r="AE44" i="4" s="1"/>
  <c r="X43" i="4"/>
  <c r="V42" i="4"/>
  <c r="T41" i="4"/>
  <c r="F24" i="7" s="1"/>
  <c r="AH40" i="4"/>
  <c r="AF39" i="4"/>
  <c r="AD38" i="4"/>
  <c r="AG38" i="4" s="1"/>
  <c r="Z36" i="4"/>
  <c r="X35" i="4"/>
  <c r="AB35" i="4" s="1"/>
  <c r="V34" i="4"/>
  <c r="T33" i="4"/>
  <c r="F20" i="7" s="1"/>
  <c r="Z214" i="4"/>
  <c r="AH210" i="4"/>
  <c r="AC205" i="4"/>
  <c r="U201" i="4"/>
  <c r="S200" i="4"/>
  <c r="AA196" i="4"/>
  <c r="W186" i="4"/>
  <c r="AK185" i="4"/>
  <c r="T182" i="4"/>
  <c r="F62" i="10" s="1"/>
  <c r="AC181" i="4"/>
  <c r="U177" i="4"/>
  <c r="AJ177" i="4" s="1"/>
  <c r="S176" i="4"/>
  <c r="T171" i="4"/>
  <c r="Z166" i="4"/>
  <c r="AC160" i="4"/>
  <c r="V156" i="4"/>
  <c r="AF153" i="4"/>
  <c r="S149" i="4"/>
  <c r="AD147" i="4"/>
  <c r="AG147" i="4" s="1"/>
  <c r="U146" i="4"/>
  <c r="Y146" i="4" s="1"/>
  <c r="U145" i="4"/>
  <c r="S144" i="4"/>
  <c r="AK138" i="4"/>
  <c r="S138" i="4"/>
  <c r="X136" i="4"/>
  <c r="AB136" i="4" s="1"/>
  <c r="AJ135" i="4"/>
  <c r="S135" i="4"/>
  <c r="W131" i="4"/>
  <c r="H55" i="7" s="1"/>
  <c r="AK130" i="4"/>
  <c r="U130" i="4"/>
  <c r="Y130" i="4" s="1"/>
  <c r="AI129" i="4"/>
  <c r="S129" i="4"/>
  <c r="AC126" i="4"/>
  <c r="AA125" i="4"/>
  <c r="W123" i="4"/>
  <c r="H53" i="7" s="1"/>
  <c r="AK122" i="4"/>
  <c r="U122" i="4"/>
  <c r="AI121" i="4"/>
  <c r="AJ121" i="4" s="1"/>
  <c r="S121" i="4"/>
  <c r="AC118" i="4"/>
  <c r="AA117" i="4"/>
  <c r="W115" i="4"/>
  <c r="AK114" i="4"/>
  <c r="U114" i="4"/>
  <c r="Y114" i="4" s="1"/>
  <c r="AI113" i="4"/>
  <c r="S113" i="4"/>
  <c r="AC110" i="4"/>
  <c r="AA109" i="4"/>
  <c r="W107" i="4"/>
  <c r="H47" i="7" s="1"/>
  <c r="AK106" i="4"/>
  <c r="U106" i="4"/>
  <c r="AI105" i="4"/>
  <c r="S105" i="4"/>
  <c r="AC102" i="4"/>
  <c r="AA101" i="4"/>
  <c r="W99" i="4"/>
  <c r="AK98" i="4"/>
  <c r="U98" i="4"/>
  <c r="AJ98" i="4" s="1"/>
  <c r="AI97" i="4"/>
  <c r="S97" i="4"/>
  <c r="AC94" i="4"/>
  <c r="AA93" i="4"/>
  <c r="W91" i="4"/>
  <c r="H41" i="7" s="1"/>
  <c r="AK90" i="4"/>
  <c r="U90" i="4"/>
  <c r="Y90" i="4" s="1"/>
  <c r="AI89" i="4"/>
  <c r="S89" i="4"/>
  <c r="AC86" i="4"/>
  <c r="AA85" i="4"/>
  <c r="W83" i="4"/>
  <c r="H39" i="7" s="1"/>
  <c r="AK82" i="4"/>
  <c r="U82" i="4"/>
  <c r="AJ82" i="4" s="1"/>
  <c r="AI81" i="4"/>
  <c r="AJ81" i="4" s="1"/>
  <c r="S81" i="4"/>
  <c r="AC78" i="4"/>
  <c r="AA77" i="4"/>
  <c r="W75" i="4"/>
  <c r="H35" i="7" s="1"/>
  <c r="AK74" i="4"/>
  <c r="U74" i="4"/>
  <c r="Y74" i="4" s="1"/>
  <c r="AI73" i="4"/>
  <c r="S73" i="4"/>
  <c r="AC70" i="4"/>
  <c r="AA69" i="4"/>
  <c r="W67" i="4"/>
  <c r="H33" i="7" s="1"/>
  <c r="AK66" i="4"/>
  <c r="U66" i="4"/>
  <c r="AI65" i="4"/>
  <c r="S65" i="4"/>
  <c r="AC62" i="4"/>
  <c r="AA61" i="4"/>
  <c r="W59" i="4"/>
  <c r="AK58" i="4"/>
  <c r="U58" i="4"/>
  <c r="Y58" i="4" s="1"/>
  <c r="AI57" i="4"/>
  <c r="S57" i="4"/>
  <c r="AC54" i="4"/>
  <c r="AA53" i="4"/>
  <c r="W51" i="4"/>
  <c r="H27" i="7" s="1"/>
  <c r="AK50" i="4"/>
  <c r="U50" i="4"/>
  <c r="AI49" i="4"/>
  <c r="AJ49" i="4" s="1"/>
  <c r="S49" i="4"/>
  <c r="AC46" i="4"/>
  <c r="AA45" i="4"/>
  <c r="W43" i="4"/>
  <c r="AK42" i="4"/>
  <c r="U42" i="4"/>
  <c r="AI41" i="4"/>
  <c r="AJ41" i="4" s="1"/>
  <c r="S41" i="4"/>
  <c r="AC38" i="4"/>
  <c r="AA37" i="4"/>
  <c r="W35" i="4"/>
  <c r="H21" i="7" s="1"/>
  <c r="AK34" i="4"/>
  <c r="U34" i="4"/>
  <c r="Y34" i="4" s="1"/>
  <c r="AI33" i="4"/>
  <c r="S33" i="4"/>
  <c r="AC30" i="4"/>
  <c r="AA29" i="4"/>
  <c r="X205" i="4"/>
  <c r="AB205" i="4" s="1"/>
  <c r="V196" i="4"/>
  <c r="AI195" i="4"/>
  <c r="AJ195" i="4" s="1"/>
  <c r="AF185" i="4"/>
  <c r="X181" i="4"/>
  <c r="AB181" i="4" s="1"/>
  <c r="S171" i="4"/>
  <c r="AH165" i="4"/>
  <c r="Z161" i="4"/>
  <c r="X160" i="4"/>
  <c r="AB160" i="4" s="1"/>
  <c r="U156" i="4"/>
  <c r="Y156" i="4" s="1"/>
  <c r="AI152" i="4"/>
  <c r="S146" i="4"/>
  <c r="S145" i="4"/>
  <c r="AA143" i="4"/>
  <c r="AF142" i="4"/>
  <c r="X141" i="4"/>
  <c r="AB141" i="4" s="1"/>
  <c r="AF140" i="4"/>
  <c r="X139" i="4"/>
  <c r="AB139" i="4" s="1"/>
  <c r="AJ138" i="4"/>
  <c r="AC137" i="4"/>
  <c r="W136" i="4"/>
  <c r="H48" i="10" s="1"/>
  <c r="AI135" i="4"/>
  <c r="AF134" i="4"/>
  <c r="AA133" i="4"/>
  <c r="X132" i="4"/>
  <c r="V131" i="4"/>
  <c r="T130" i="4"/>
  <c r="AH129" i="4"/>
  <c r="AF128" i="4"/>
  <c r="AD127" i="4"/>
  <c r="AG127" i="4" s="1"/>
  <c r="Z125" i="4"/>
  <c r="X124" i="4"/>
  <c r="AB124" i="4" s="1"/>
  <c r="V123" i="4"/>
  <c r="AJ122" i="4"/>
  <c r="T122" i="4"/>
  <c r="F44" i="10" s="1"/>
  <c r="AH121" i="4"/>
  <c r="AF120" i="4"/>
  <c r="AD119" i="4"/>
  <c r="AG119" i="4" s="1"/>
  <c r="Z117" i="4"/>
  <c r="X116" i="4"/>
  <c r="V115" i="4"/>
  <c r="T114" i="4"/>
  <c r="AH113" i="4"/>
  <c r="AF112" i="4"/>
  <c r="AD111" i="4"/>
  <c r="AG111" i="4" s="1"/>
  <c r="Z109" i="4"/>
  <c r="X108" i="4"/>
  <c r="AB108" i="4" s="1"/>
  <c r="V107" i="4"/>
  <c r="T106" i="4"/>
  <c r="F39" i="10" s="1"/>
  <c r="AH105" i="4"/>
  <c r="AF104" i="4"/>
  <c r="AD103" i="4"/>
  <c r="AG103" i="4" s="1"/>
  <c r="Z101" i="4"/>
  <c r="AE101" i="4" s="1"/>
  <c r="X100" i="4"/>
  <c r="V99" i="4"/>
  <c r="T98" i="4"/>
  <c r="F38" i="10" s="1"/>
  <c r="AH97" i="4"/>
  <c r="AF96" i="4"/>
  <c r="AD95" i="4"/>
  <c r="AG95" i="4" s="1"/>
  <c r="Z93" i="4"/>
  <c r="X92" i="4"/>
  <c r="AB92" i="4" s="1"/>
  <c r="V91" i="4"/>
  <c r="AJ90" i="4"/>
  <c r="T90" i="4"/>
  <c r="AH89" i="4"/>
  <c r="AF88" i="4"/>
  <c r="AD87" i="4"/>
  <c r="AG87" i="4" s="1"/>
  <c r="Z85" i="4"/>
  <c r="AE85" i="4" s="1"/>
  <c r="X84" i="4"/>
  <c r="V83" i="4"/>
  <c r="T82" i="4"/>
  <c r="F33" i="10" s="1"/>
  <c r="AH81" i="4"/>
  <c r="AF80" i="4"/>
  <c r="AD79" i="4"/>
  <c r="AG79" i="4" s="1"/>
  <c r="Z77" i="4"/>
  <c r="X76" i="4"/>
  <c r="AB76" i="4" s="1"/>
  <c r="V75" i="4"/>
  <c r="AJ74" i="4"/>
  <c r="T74" i="4"/>
  <c r="AH73" i="4"/>
  <c r="AF72" i="4"/>
  <c r="AD71" i="4"/>
  <c r="AG71" i="4" s="1"/>
  <c r="Z69" i="4"/>
  <c r="X68" i="4"/>
  <c r="V67" i="4"/>
  <c r="T66" i="4"/>
  <c r="F28" i="10" s="1"/>
  <c r="AH65" i="4"/>
  <c r="AF64" i="4"/>
  <c r="AD63" i="4"/>
  <c r="AG63" i="4" s="1"/>
  <c r="Z61" i="4"/>
  <c r="X60" i="4"/>
  <c r="AB60" i="4" s="1"/>
  <c r="V59" i="4"/>
  <c r="AJ58" i="4"/>
  <c r="AR58" i="4" s="1"/>
  <c r="T58" i="4"/>
  <c r="AH57" i="4"/>
  <c r="AF56" i="4"/>
  <c r="AD55" i="4"/>
  <c r="AG55" i="4" s="1"/>
  <c r="Z53" i="4"/>
  <c r="X52" i="4"/>
  <c r="V51" i="4"/>
  <c r="AJ50" i="4"/>
  <c r="T50" i="4"/>
  <c r="F23" i="10" s="1"/>
  <c r="AH49" i="4"/>
  <c r="AF48" i="4"/>
  <c r="AD47" i="4"/>
  <c r="AG47" i="4" s="1"/>
  <c r="Z45" i="4"/>
  <c r="AE45" i="4" s="1"/>
  <c r="X44" i="4"/>
  <c r="AB44" i="4" s="1"/>
  <c r="V43" i="4"/>
  <c r="AJ42" i="4"/>
  <c r="T42" i="4"/>
  <c r="F22" i="10" s="1"/>
  <c r="AH41" i="4"/>
  <c r="AF40" i="4"/>
  <c r="AD39" i="4"/>
  <c r="AG39" i="4" s="1"/>
  <c r="Z37" i="4"/>
  <c r="X36" i="4"/>
  <c r="V35" i="4"/>
  <c r="T34" i="4"/>
  <c r="AH33" i="4"/>
  <c r="AF32" i="4"/>
  <c r="AD31" i="4"/>
  <c r="AG31" i="4" s="1"/>
  <c r="Z29" i="4"/>
  <c r="AK225" i="4"/>
  <c r="T214" i="4"/>
  <c r="AH213" i="4"/>
  <c r="W205" i="4"/>
  <c r="H82" i="7" s="1"/>
  <c r="AK204" i="4"/>
  <c r="AA199" i="4"/>
  <c r="U196" i="4"/>
  <c r="AJ196" i="4" s="1"/>
  <c r="AD195" i="4"/>
  <c r="AG195" i="4" s="1"/>
  <c r="Z190" i="4"/>
  <c r="W181" i="4"/>
  <c r="H74" i="7" s="1"/>
  <c r="AK180" i="4"/>
  <c r="AA175" i="4"/>
  <c r="AH170" i="4"/>
  <c r="T166" i="4"/>
  <c r="F57" i="10" s="1"/>
  <c r="AC165" i="4"/>
  <c r="U161" i="4"/>
  <c r="S160" i="4"/>
  <c r="AI155" i="4"/>
  <c r="Z153" i="4"/>
  <c r="W147" i="4"/>
  <c r="H61" i="7" s="1"/>
  <c r="W141" i="4"/>
  <c r="W139" i="4"/>
  <c r="H59" i="7" s="1"/>
  <c r="AI138" i="4"/>
  <c r="AA137" i="4"/>
  <c r="V136" i="4"/>
  <c r="AH135" i="4"/>
  <c r="Z133" i="4"/>
  <c r="W132" i="4"/>
  <c r="AK131" i="4"/>
  <c r="U131" i="4"/>
  <c r="AI130" i="4"/>
  <c r="AJ130" i="4" s="1"/>
  <c r="S130" i="4"/>
  <c r="AC127" i="4"/>
  <c r="AA126" i="4"/>
  <c r="W124" i="4"/>
  <c r="H45" i="10" s="1"/>
  <c r="AK123" i="4"/>
  <c r="U123" i="4"/>
  <c r="AI122" i="4"/>
  <c r="S122" i="4"/>
  <c r="AC119" i="4"/>
  <c r="AA118" i="4"/>
  <c r="W116" i="4"/>
  <c r="AK115" i="4"/>
  <c r="U115" i="4"/>
  <c r="Y115" i="4" s="1"/>
  <c r="AI114" i="4"/>
  <c r="S114" i="4"/>
  <c r="AC111" i="4"/>
  <c r="AA110" i="4"/>
  <c r="W108" i="4"/>
  <c r="H40" i="10" s="1"/>
  <c r="AK107" i="4"/>
  <c r="U107" i="4"/>
  <c r="AJ107" i="4" s="1"/>
  <c r="AI106" i="4"/>
  <c r="AJ106" i="4" s="1"/>
  <c r="S106" i="4"/>
  <c r="AC103" i="4"/>
  <c r="AA102" i="4"/>
  <c r="W100" i="4"/>
  <c r="AK99" i="4"/>
  <c r="U99" i="4"/>
  <c r="Y99" i="4" s="1"/>
  <c r="AI98" i="4"/>
  <c r="S98" i="4"/>
  <c r="AC95" i="4"/>
  <c r="AA94" i="4"/>
  <c r="W92" i="4"/>
  <c r="H35" i="10" s="1"/>
  <c r="AK91" i="4"/>
  <c r="U91" i="4"/>
  <c r="AJ91" i="4" s="1"/>
  <c r="AI90" i="4"/>
  <c r="S90" i="4"/>
  <c r="AC87" i="4"/>
  <c r="AA86" i="4"/>
  <c r="W84" i="4"/>
  <c r="H34" i="10" s="1"/>
  <c r="AK83" i="4"/>
  <c r="U83" i="4"/>
  <c r="AI82" i="4"/>
  <c r="S82" i="4"/>
  <c r="AC79" i="4"/>
  <c r="AA78" i="4"/>
  <c r="W76" i="4"/>
  <c r="AK75" i="4"/>
  <c r="U75" i="4"/>
  <c r="AJ75" i="4" s="1"/>
  <c r="AI74" i="4"/>
  <c r="S74" i="4"/>
  <c r="AC71" i="4"/>
  <c r="AA70" i="4"/>
  <c r="W68" i="4"/>
  <c r="H29" i="10" s="1"/>
  <c r="AK67" i="4"/>
  <c r="U67" i="4"/>
  <c r="AI66" i="4"/>
  <c r="S66" i="4"/>
  <c r="AC63" i="4"/>
  <c r="AA62" i="4"/>
  <c r="W60" i="4"/>
  <c r="AK59" i="4"/>
  <c r="U59" i="4"/>
  <c r="Y59" i="4" s="1"/>
  <c r="AI58" i="4"/>
  <c r="S58" i="4"/>
  <c r="AC55" i="4"/>
  <c r="AA54" i="4"/>
  <c r="W52" i="4"/>
  <c r="H24" i="10" s="1"/>
  <c r="AK51" i="4"/>
  <c r="U51" i="4"/>
  <c r="AI50" i="4"/>
  <c r="S50" i="4"/>
  <c r="AC47" i="4"/>
  <c r="AA46" i="4"/>
  <c r="W44" i="4"/>
  <c r="AK43" i="4"/>
  <c r="U43" i="4"/>
  <c r="Y43" i="4" s="1"/>
  <c r="AI42" i="4"/>
  <c r="S42" i="4"/>
  <c r="AC39" i="4"/>
  <c r="AA38" i="4"/>
  <c r="W36" i="4"/>
  <c r="H19" i="10" s="1"/>
  <c r="AK35" i="4"/>
  <c r="U35" i="4"/>
  <c r="AI34" i="4"/>
  <c r="AJ34" i="4" s="1"/>
  <c r="S34" i="4"/>
  <c r="AC31" i="4"/>
  <c r="AA30" i="4"/>
  <c r="U225" i="4"/>
  <c r="Y225" i="4" s="1"/>
  <c r="AC213" i="4"/>
  <c r="W210" i="4"/>
  <c r="H70" i="10" s="1"/>
  <c r="AK209" i="4"/>
  <c r="AI208" i="4"/>
  <c r="AJ208" i="4" s="1"/>
  <c r="AF204" i="4"/>
  <c r="V199" i="4"/>
  <c r="AH189" i="4"/>
  <c r="Z185" i="4"/>
  <c r="AI184" i="4"/>
  <c r="AJ184" i="4" s="1"/>
  <c r="AR184" i="4" s="1"/>
  <c r="AF180" i="4"/>
  <c r="V175" i="4"/>
  <c r="X165" i="4"/>
  <c r="AB165" i="4" s="1"/>
  <c r="AD155" i="4"/>
  <c r="AG155" i="4" s="1"/>
  <c r="U153" i="4"/>
  <c r="AC150" i="4"/>
  <c r="U147" i="4"/>
  <c r="AJ147" i="4" s="1"/>
  <c r="W143" i="4"/>
  <c r="AD142" i="4"/>
  <c r="AG142" i="4" s="1"/>
  <c r="U141" i="4"/>
  <c r="Y141" i="4" s="1"/>
  <c r="AD140" i="4"/>
  <c r="AG140" i="4" s="1"/>
  <c r="V139" i="4"/>
  <c r="AH138" i="4"/>
  <c r="Z137" i="4"/>
  <c r="U136" i="4"/>
  <c r="AD134" i="4"/>
  <c r="AG134" i="4" s="1"/>
  <c r="V132" i="4"/>
  <c r="AJ131" i="4"/>
  <c r="T131" i="4"/>
  <c r="F55" i="7" s="1"/>
  <c r="AH130" i="4"/>
  <c r="AF129" i="4"/>
  <c r="AD128" i="4"/>
  <c r="AG128" i="4" s="1"/>
  <c r="Z126" i="4"/>
  <c r="X125" i="4"/>
  <c r="V124" i="4"/>
  <c r="T123" i="4"/>
  <c r="F53" i="7" s="1"/>
  <c r="AH122" i="4"/>
  <c r="AF121" i="4"/>
  <c r="AD120" i="4"/>
  <c r="AG120" i="4" s="1"/>
  <c r="Z118" i="4"/>
  <c r="AE118" i="4" s="1"/>
  <c r="X117" i="4"/>
  <c r="AB117" i="4" s="1"/>
  <c r="V116" i="4"/>
  <c r="AJ115" i="4"/>
  <c r="T115" i="4"/>
  <c r="AH114" i="4"/>
  <c r="AF113" i="4"/>
  <c r="AD112" i="4"/>
  <c r="AG112" i="4" s="1"/>
  <c r="Z110" i="4"/>
  <c r="X109" i="4"/>
  <c r="V108" i="4"/>
  <c r="T107" i="4"/>
  <c r="F47" i="7" s="1"/>
  <c r="AH106" i="4"/>
  <c r="AF105" i="4"/>
  <c r="AD104" i="4"/>
  <c r="AG104" i="4" s="1"/>
  <c r="Z102" i="4"/>
  <c r="AE102" i="4" s="1"/>
  <c r="X101" i="4"/>
  <c r="AB101" i="4" s="1"/>
  <c r="V100" i="4"/>
  <c r="AJ99" i="4"/>
  <c r="AR99" i="4" s="1"/>
  <c r="T99" i="4"/>
  <c r="AH98" i="4"/>
  <c r="AF97" i="4"/>
  <c r="AD96" i="4"/>
  <c r="AG96" i="4" s="1"/>
  <c r="Z94" i="4"/>
  <c r="X93" i="4"/>
  <c r="V92" i="4"/>
  <c r="T91" i="4"/>
  <c r="F41" i="7" s="1"/>
  <c r="AH90" i="4"/>
  <c r="AF89" i="4"/>
  <c r="AD88" i="4"/>
  <c r="AG88" i="4" s="1"/>
  <c r="Z86" i="4"/>
  <c r="AE86" i="4" s="1"/>
  <c r="X85" i="4"/>
  <c r="AB85" i="4" s="1"/>
  <c r="V84" i="4"/>
  <c r="AJ83" i="4"/>
  <c r="T83" i="4"/>
  <c r="F39" i="7" s="1"/>
  <c r="AH82" i="4"/>
  <c r="AF81" i="4"/>
  <c r="AD80" i="4"/>
  <c r="AG80" i="4" s="1"/>
  <c r="Z78" i="4"/>
  <c r="X77" i="4"/>
  <c r="V76" i="4"/>
  <c r="T75" i="4"/>
  <c r="F35" i="7" s="1"/>
  <c r="AH74" i="4"/>
  <c r="AF73" i="4"/>
  <c r="AD72" i="4"/>
  <c r="AG72" i="4" s="1"/>
  <c r="Z70" i="4"/>
  <c r="X69" i="4"/>
  <c r="AB69" i="4" s="1"/>
  <c r="V68" i="4"/>
  <c r="AJ67" i="4"/>
  <c r="T67" i="4"/>
  <c r="F33" i="7" s="1"/>
  <c r="AH66" i="4"/>
  <c r="AF65" i="4"/>
  <c r="AD64" i="4"/>
  <c r="AG64" i="4" s="1"/>
  <c r="Z62" i="4"/>
  <c r="AE62" i="4" s="1"/>
  <c r="X61" i="4"/>
  <c r="V60" i="4"/>
  <c r="T59" i="4"/>
  <c r="AH58" i="4"/>
  <c r="AF57" i="4"/>
  <c r="AD56" i="4"/>
  <c r="AG56" i="4" s="1"/>
  <c r="Z54" i="4"/>
  <c r="X53" i="4"/>
  <c r="AB53" i="4" s="1"/>
  <c r="V52" i="4"/>
  <c r="T51" i="4"/>
  <c r="F27" i="7" s="1"/>
  <c r="AH50" i="4"/>
  <c r="AF49" i="4"/>
  <c r="AD48" i="4"/>
  <c r="AG48" i="4" s="1"/>
  <c r="Z46" i="4"/>
  <c r="AE46" i="4" s="1"/>
  <c r="X45" i="4"/>
  <c r="V44" i="4"/>
  <c r="T43" i="4"/>
  <c r="AH42" i="4"/>
  <c r="AF41" i="4"/>
  <c r="AD40" i="4"/>
  <c r="AG40" i="4" s="1"/>
  <c r="Z38" i="4"/>
  <c r="X37" i="4"/>
  <c r="AB37" i="4" s="1"/>
  <c r="V36" i="4"/>
  <c r="AJ35" i="4"/>
  <c r="T35" i="4"/>
  <c r="F21" i="7" s="1"/>
  <c r="AH34" i="4"/>
  <c r="AF33" i="4"/>
  <c r="AD32" i="4"/>
  <c r="AG32" i="4" s="1"/>
  <c r="Z30" i="4"/>
  <c r="AE30" i="4" s="1"/>
  <c r="X29" i="4"/>
  <c r="W226" i="4"/>
  <c r="AI219" i="4"/>
  <c r="X213" i="4"/>
  <c r="AF209" i="4"/>
  <c r="AD208" i="4"/>
  <c r="AG208" i="4" s="1"/>
  <c r="AA204" i="4"/>
  <c r="AJ203" i="4"/>
  <c r="T195" i="4"/>
  <c r="F79" i="7" s="1"/>
  <c r="T190" i="4"/>
  <c r="F63" i="10" s="1"/>
  <c r="AC189" i="4"/>
  <c r="U185" i="4"/>
  <c r="Y185" i="4" s="1"/>
  <c r="AD184" i="4"/>
  <c r="AG184" i="4" s="1"/>
  <c r="AA180" i="4"/>
  <c r="W165" i="4"/>
  <c r="H68" i="7" s="1"/>
  <c r="AK164" i="4"/>
  <c r="AA159" i="4"/>
  <c r="S153" i="4"/>
  <c r="AD152" i="4"/>
  <c r="AG152" i="4" s="1"/>
  <c r="AA150" i="4"/>
  <c r="AK148" i="4"/>
  <c r="T147" i="4"/>
  <c r="F61" i="7" s="1"/>
  <c r="AK144" i="4"/>
  <c r="V143" i="4"/>
  <c r="AC142" i="4"/>
  <c r="S141" i="4"/>
  <c r="AC140" i="4"/>
  <c r="U139" i="4"/>
  <c r="AK136" i="4"/>
  <c r="T136" i="4"/>
  <c r="F48" i="10" s="1"/>
  <c r="AF135" i="4"/>
  <c r="AC134" i="4"/>
  <c r="X133" i="4"/>
  <c r="AK132" i="4"/>
  <c r="U132" i="4"/>
  <c r="Y132" i="4" s="1"/>
  <c r="AI131" i="4"/>
  <c r="S131" i="4"/>
  <c r="AC128" i="4"/>
  <c r="AA127" i="4"/>
  <c r="W125" i="4"/>
  <c r="H54" i="7" s="1"/>
  <c r="AK124" i="4"/>
  <c r="U124" i="4"/>
  <c r="AI123" i="4"/>
  <c r="AJ123" i="4" s="1"/>
  <c r="S123" i="4"/>
  <c r="AC120" i="4"/>
  <c r="AA119" i="4"/>
  <c r="W117" i="4"/>
  <c r="H50" i="7" s="1"/>
  <c r="AK116" i="4"/>
  <c r="U116" i="4"/>
  <c r="Y116" i="4" s="1"/>
  <c r="AI115" i="4"/>
  <c r="S115" i="4"/>
  <c r="AC112" i="4"/>
  <c r="AA111" i="4"/>
  <c r="W109" i="4"/>
  <c r="H48" i="7" s="1"/>
  <c r="AK108" i="4"/>
  <c r="U108" i="4"/>
  <c r="AJ108" i="4" s="1"/>
  <c r="AI107" i="4"/>
  <c r="S107" i="4"/>
  <c r="AC104" i="4"/>
  <c r="AA103" i="4"/>
  <c r="W101" i="4"/>
  <c r="AK100" i="4"/>
  <c r="U100" i="4"/>
  <c r="Y100" i="4" s="1"/>
  <c r="AI99" i="4"/>
  <c r="S99" i="4"/>
  <c r="AC96" i="4"/>
  <c r="AA95" i="4"/>
  <c r="W93" i="4"/>
  <c r="H42" i="7" s="1"/>
  <c r="AK92" i="4"/>
  <c r="U92" i="4"/>
  <c r="AI91" i="4"/>
  <c r="S91" i="4"/>
  <c r="AC88" i="4"/>
  <c r="AA87" i="4"/>
  <c r="W85" i="4"/>
  <c r="AK84" i="4"/>
  <c r="U84" i="4"/>
  <c r="AI83" i="4"/>
  <c r="S83" i="4"/>
  <c r="AC80" i="4"/>
  <c r="AA79" i="4"/>
  <c r="W77" i="4"/>
  <c r="H36" i="7" s="1"/>
  <c r="AK76" i="4"/>
  <c r="U76" i="4"/>
  <c r="Y76" i="4" s="1"/>
  <c r="AI75" i="4"/>
  <c r="S75" i="4"/>
  <c r="AC72" i="4"/>
  <c r="AA71" i="4"/>
  <c r="W69" i="4"/>
  <c r="H34" i="7" s="1"/>
  <c r="AK68" i="4"/>
  <c r="U68" i="4"/>
  <c r="AI67" i="4"/>
  <c r="S67" i="4"/>
  <c r="AC64" i="4"/>
  <c r="AA63" i="4"/>
  <c r="W61" i="4"/>
  <c r="H30" i="7" s="1"/>
  <c r="AK60" i="4"/>
  <c r="U60" i="4"/>
  <c r="Y60" i="4" s="1"/>
  <c r="AI59" i="4"/>
  <c r="S59" i="4"/>
  <c r="AC56" i="4"/>
  <c r="AA55" i="4"/>
  <c r="W53" i="4"/>
  <c r="H28" i="7" s="1"/>
  <c r="AK52" i="4"/>
  <c r="U52" i="4"/>
  <c r="AI51" i="4"/>
  <c r="S51" i="4"/>
  <c r="AC48" i="4"/>
  <c r="AA47" i="4"/>
  <c r="AD219" i="4"/>
  <c r="AG219" i="4" s="1"/>
  <c r="W213" i="4"/>
  <c r="AC208" i="4"/>
  <c r="V204" i="4"/>
  <c r="AI203" i="4"/>
  <c r="S195" i="4"/>
  <c r="AH194" i="4"/>
  <c r="X189" i="4"/>
  <c r="AB189" i="4" s="1"/>
  <c r="AC184" i="4"/>
  <c r="V180" i="4"/>
  <c r="AI179" i="4"/>
  <c r="W170" i="4"/>
  <c r="AF164" i="4"/>
  <c r="V159" i="4"/>
  <c r="U155" i="4"/>
  <c r="Y155" i="4" s="1"/>
  <c r="AC152" i="4"/>
  <c r="Z150" i="4"/>
  <c r="S147" i="4"/>
  <c r="AI144" i="4"/>
  <c r="AJ144" i="4" s="1"/>
  <c r="U143" i="4"/>
  <c r="Y143" i="4" s="1"/>
  <c r="AK141" i="4"/>
  <c r="T139" i="4"/>
  <c r="F59" i="7" s="1"/>
  <c r="X137" i="4"/>
  <c r="AB137" i="4" s="1"/>
  <c r="AJ136" i="4"/>
  <c r="S136" i="4"/>
  <c r="W133" i="4"/>
  <c r="H56" i="7" s="1"/>
  <c r="AJ132" i="4"/>
  <c r="T132" i="4"/>
  <c r="AH131" i="4"/>
  <c r="AF130" i="4"/>
  <c r="AD129" i="4"/>
  <c r="AG129" i="4" s="1"/>
  <c r="Z127" i="4"/>
  <c r="X126" i="4"/>
  <c r="V125" i="4"/>
  <c r="T124" i="4"/>
  <c r="F45" i="10" s="1"/>
  <c r="AH123" i="4"/>
  <c r="AF122" i="4"/>
  <c r="AD121" i="4"/>
  <c r="AG121" i="4" s="1"/>
  <c r="Z119" i="4"/>
  <c r="X118" i="4"/>
  <c r="AB118" i="4" s="1"/>
  <c r="V117" i="4"/>
  <c r="AJ116" i="4"/>
  <c r="T116" i="4"/>
  <c r="AH115" i="4"/>
  <c r="AF114" i="4"/>
  <c r="AD113" i="4"/>
  <c r="AG113" i="4" s="1"/>
  <c r="Z111" i="4"/>
  <c r="X110" i="4"/>
  <c r="V109" i="4"/>
  <c r="T108" i="4"/>
  <c r="F40" i="10" s="1"/>
  <c r="AH107" i="4"/>
  <c r="AF106" i="4"/>
  <c r="AD105" i="4"/>
  <c r="AG105" i="4" s="1"/>
  <c r="Z103" i="4"/>
  <c r="X102" i="4"/>
  <c r="AB102" i="4" s="1"/>
  <c r="V101" i="4"/>
  <c r="AJ100" i="4"/>
  <c r="AR100" i="4" s="1"/>
  <c r="T100" i="4"/>
  <c r="AH99" i="4"/>
  <c r="AF98" i="4"/>
  <c r="AD97" i="4"/>
  <c r="AG97" i="4" s="1"/>
  <c r="Z95" i="4"/>
  <c r="X94" i="4"/>
  <c r="V93" i="4"/>
  <c r="T92" i="4"/>
  <c r="F35" i="10" s="1"/>
  <c r="AH91" i="4"/>
  <c r="AF90" i="4"/>
  <c r="AD89" i="4"/>
  <c r="AG89" i="4" s="1"/>
  <c r="Z87" i="4"/>
  <c r="AE87" i="4" s="1"/>
  <c r="X86" i="4"/>
  <c r="AB86" i="4" s="1"/>
  <c r="V85" i="4"/>
  <c r="AJ84" i="4"/>
  <c r="T84" i="4"/>
  <c r="F34" i="10" s="1"/>
  <c r="AH83" i="4"/>
  <c r="AF82" i="4"/>
  <c r="AD81" i="4"/>
  <c r="AG81" i="4" s="1"/>
  <c r="Z79" i="4"/>
  <c r="X78" i="4"/>
  <c r="V77" i="4"/>
  <c r="T76" i="4"/>
  <c r="AH75" i="4"/>
  <c r="AF74" i="4"/>
  <c r="AD73" i="4"/>
  <c r="AG73" i="4" s="1"/>
  <c r="Z71" i="4"/>
  <c r="AE71" i="4" s="1"/>
  <c r="X70" i="4"/>
  <c r="AB70" i="4" s="1"/>
  <c r="V69" i="4"/>
  <c r="T68" i="4"/>
  <c r="F29" i="10" s="1"/>
  <c r="AH67" i="4"/>
  <c r="AF66" i="4"/>
  <c r="AD65" i="4"/>
  <c r="AG65" i="4" s="1"/>
  <c r="Z63" i="4"/>
  <c r="X62" i="4"/>
  <c r="V61" i="4"/>
  <c r="T60" i="4"/>
  <c r="AH59" i="4"/>
  <c r="AF58" i="4"/>
  <c r="AD57" i="4"/>
  <c r="AG57" i="4" s="1"/>
  <c r="Z55" i="4"/>
  <c r="X54" i="4"/>
  <c r="AB54" i="4" s="1"/>
  <c r="V53" i="4"/>
  <c r="T52" i="4"/>
  <c r="F24" i="10" s="1"/>
  <c r="AH51" i="4"/>
  <c r="AF50" i="4"/>
  <c r="AD49" i="4"/>
  <c r="AG49" i="4" s="1"/>
  <c r="Z47" i="4"/>
  <c r="X46" i="4"/>
  <c r="V45" i="4"/>
  <c r="T44" i="4"/>
  <c r="AH43" i="4"/>
  <c r="AF42" i="4"/>
  <c r="AD41" i="4"/>
  <c r="AG41" i="4" s="1"/>
  <c r="Z39" i="4"/>
  <c r="X38" i="4"/>
  <c r="AB38" i="4" s="1"/>
  <c r="V37" i="4"/>
  <c r="AJ36" i="4"/>
  <c r="T36" i="4"/>
  <c r="F19" i="10" s="1"/>
  <c r="AH35" i="4"/>
  <c r="AF34" i="4"/>
  <c r="AD33" i="4"/>
  <c r="AG33" i="4" s="1"/>
  <c r="Z31" i="4"/>
  <c r="X30" i="4"/>
  <c r="V29" i="4"/>
  <c r="AF220" i="4"/>
  <c r="AI216" i="4"/>
  <c r="AK212" i="4"/>
  <c r="Z209" i="4"/>
  <c r="X208" i="4"/>
  <c r="AB208" i="4" s="1"/>
  <c r="U204" i="4"/>
  <c r="AD203" i="4"/>
  <c r="AG203" i="4" s="1"/>
  <c r="W189" i="4"/>
  <c r="H76" i="7" s="1"/>
  <c r="AK188" i="4"/>
  <c r="X184" i="4"/>
  <c r="AB184" i="4" s="1"/>
  <c r="U180" i="4"/>
  <c r="AJ180" i="4" s="1"/>
  <c r="AD179" i="4"/>
  <c r="AG179" i="4" s="1"/>
  <c r="Z174" i="4"/>
  <c r="AK169" i="4"/>
  <c r="AI168" i="4"/>
  <c r="AA164" i="4"/>
  <c r="T155" i="4"/>
  <c r="X152" i="4"/>
  <c r="AB152" i="4" s="1"/>
  <c r="AF148" i="4"/>
  <c r="AK145" i="4"/>
  <c r="AH144" i="4"/>
  <c r="S143" i="4"/>
  <c r="AA142" i="4"/>
  <c r="AI141" i="4"/>
  <c r="AA140" i="4"/>
  <c r="AK139" i="4"/>
  <c r="S139" i="4"/>
  <c r="AC138" i="4"/>
  <c r="W137" i="4"/>
  <c r="H58" i="7" s="1"/>
  <c r="AI136" i="4"/>
  <c r="AD135" i="4"/>
  <c r="AG135" i="4" s="1"/>
  <c r="AA134" i="4"/>
  <c r="U133" i="4"/>
  <c r="AI132" i="4"/>
  <c r="S132" i="4"/>
  <c r="AC129" i="4"/>
  <c r="AA128" i="4"/>
  <c r="W126" i="4"/>
  <c r="H46" i="10" s="1"/>
  <c r="AK125" i="4"/>
  <c r="U125" i="4"/>
  <c r="AI124" i="4"/>
  <c r="S124" i="4"/>
  <c r="AC121" i="4"/>
  <c r="AA120" i="4"/>
  <c r="W118" i="4"/>
  <c r="AK117" i="4"/>
  <c r="U117" i="4"/>
  <c r="AI116" i="4"/>
  <c r="S116" i="4"/>
  <c r="AC113" i="4"/>
  <c r="AA112" i="4"/>
  <c r="W110" i="4"/>
  <c r="H41" i="10" s="1"/>
  <c r="AK109" i="4"/>
  <c r="U109" i="4"/>
  <c r="AI108" i="4"/>
  <c r="S108" i="4"/>
  <c r="AC105" i="4"/>
  <c r="AA104" i="4"/>
  <c r="W102" i="4"/>
  <c r="AK101" i="4"/>
  <c r="U101" i="4"/>
  <c r="Y101" i="4" s="1"/>
  <c r="AI100" i="4"/>
  <c r="S100" i="4"/>
  <c r="AC97" i="4"/>
  <c r="AA96" i="4"/>
  <c r="W94" i="4"/>
  <c r="H36" i="10" s="1"/>
  <c r="AK93" i="4"/>
  <c r="U93" i="4"/>
  <c r="AI92" i="4"/>
  <c r="S92" i="4"/>
  <c r="AC89" i="4"/>
  <c r="AA88" i="4"/>
  <c r="W86" i="4"/>
  <c r="AK85" i="4"/>
  <c r="U85" i="4"/>
  <c r="Y85" i="4" s="1"/>
  <c r="AI84" i="4"/>
  <c r="S84" i="4"/>
  <c r="AC81" i="4"/>
  <c r="AA80" i="4"/>
  <c r="W78" i="4"/>
  <c r="H31" i="10" s="1"/>
  <c r="AK77" i="4"/>
  <c r="U77" i="4"/>
  <c r="AI76" i="4"/>
  <c r="S76" i="4"/>
  <c r="AC73" i="4"/>
  <c r="AA72" i="4"/>
  <c r="W70" i="4"/>
  <c r="H30" i="10" s="1"/>
  <c r="AK69" i="4"/>
  <c r="U69" i="4"/>
  <c r="AJ69" i="4" s="1"/>
  <c r="AI68" i="4"/>
  <c r="S68" i="4"/>
  <c r="AC65" i="4"/>
  <c r="AA64" i="4"/>
  <c r="W62" i="4"/>
  <c r="AK61" i="4"/>
  <c r="U61" i="4"/>
  <c r="AJ61" i="4" s="1"/>
  <c r="AI60" i="4"/>
  <c r="S60" i="4"/>
  <c r="AC57" i="4"/>
  <c r="AA56" i="4"/>
  <c r="W54" i="4"/>
  <c r="H25" i="10" s="1"/>
  <c r="AK53" i="4"/>
  <c r="U53" i="4"/>
  <c r="AJ53" i="4" s="1"/>
  <c r="AI52" i="4"/>
  <c r="AJ52" i="4" s="1"/>
  <c r="S52" i="4"/>
  <c r="AC49" i="4"/>
  <c r="AA48" i="4"/>
  <c r="W46" i="4"/>
  <c r="AK45" i="4"/>
  <c r="U45" i="4"/>
  <c r="Y45" i="4" s="1"/>
  <c r="AI44" i="4"/>
  <c r="AJ44" i="4" s="1"/>
  <c r="AR44" i="4" s="1"/>
  <c r="S44" i="4"/>
  <c r="AC41" i="4"/>
  <c r="AA40" i="4"/>
  <c r="T203" i="4"/>
  <c r="F81" i="7" s="1"/>
  <c r="AA188" i="4"/>
  <c r="AI163" i="4"/>
  <c r="AH141" i="4"/>
  <c r="AC135" i="4"/>
  <c r="Z134" i="4"/>
  <c r="S133" i="4"/>
  <c r="V118" i="4"/>
  <c r="T117" i="4"/>
  <c r="F50" i="7" s="1"/>
  <c r="V102" i="4"/>
  <c r="T101" i="4"/>
  <c r="X87" i="4"/>
  <c r="V86" i="4"/>
  <c r="AD74" i="4"/>
  <c r="AG74" i="4" s="1"/>
  <c r="AA73" i="4"/>
  <c r="AK70" i="4"/>
  <c r="T69" i="4"/>
  <c r="F34" i="7" s="1"/>
  <c r="AD58" i="4"/>
  <c r="AG58" i="4" s="1"/>
  <c r="X55" i="4"/>
  <c r="AB55" i="4" s="1"/>
  <c r="U54" i="4"/>
  <c r="AJ54" i="4" s="1"/>
  <c r="V38" i="4"/>
  <c r="AJ37" i="4"/>
  <c r="AA32" i="4"/>
  <c r="V30" i="4"/>
  <c r="AD163" i="4"/>
  <c r="AG163" i="4" s="1"/>
  <c r="Z142" i="4"/>
  <c r="AE142" i="4" s="1"/>
  <c r="X119" i="4"/>
  <c r="U118" i="4"/>
  <c r="Y118" i="4" s="1"/>
  <c r="S117" i="4"/>
  <c r="X103" i="4"/>
  <c r="U102" i="4"/>
  <c r="Y102" i="4" s="1"/>
  <c r="S101" i="4"/>
  <c r="Z88" i="4"/>
  <c r="AE88" i="4" s="1"/>
  <c r="W87" i="4"/>
  <c r="U86" i="4"/>
  <c r="Y86" i="4" s="1"/>
  <c r="AI85" i="4"/>
  <c r="AJ85" i="4" s="1"/>
  <c r="AR85" i="4" s="1"/>
  <c r="AC74" i="4"/>
  <c r="Z72" i="4"/>
  <c r="AE72" i="4" s="1"/>
  <c r="V70" i="4"/>
  <c r="S69" i="4"/>
  <c r="AF59" i="4"/>
  <c r="AC58" i="4"/>
  <c r="Z56" i="4"/>
  <c r="W55" i="4"/>
  <c r="H29" i="7" s="1"/>
  <c r="U38" i="4"/>
  <c r="AJ38" i="4" s="1"/>
  <c r="AI37" i="4"/>
  <c r="Z32" i="4"/>
  <c r="AE32" i="4" s="1"/>
  <c r="U30" i="4"/>
  <c r="Y30" i="4" s="1"/>
  <c r="S219" i="4"/>
  <c r="AI192" i="4"/>
  <c r="AJ192" i="4" s="1"/>
  <c r="S152" i="4"/>
  <c r="AA148" i="4"/>
  <c r="Z120" i="4"/>
  <c r="W119" i="4"/>
  <c r="H51" i="7" s="1"/>
  <c r="Z104" i="4"/>
  <c r="W103" i="4"/>
  <c r="H45" i="7" s="1"/>
  <c r="AD90" i="4"/>
  <c r="AG90" i="4" s="1"/>
  <c r="AA89" i="4"/>
  <c r="T85" i="4"/>
  <c r="X71" i="4"/>
  <c r="U70" i="4"/>
  <c r="AH60" i="4"/>
  <c r="AA57" i="4"/>
  <c r="AJ45" i="4"/>
  <c r="W37" i="4"/>
  <c r="H22" i="7" s="1"/>
  <c r="AK36" i="4"/>
  <c r="AD122" i="4"/>
  <c r="AG122" i="4" s="1"/>
  <c r="AA121" i="4"/>
  <c r="AD106" i="4"/>
  <c r="AG106" i="4" s="1"/>
  <c r="AA105" i="4"/>
  <c r="AC90" i="4"/>
  <c r="S85" i="4"/>
  <c r="AF75" i="4"/>
  <c r="W71" i="4"/>
  <c r="AK46" i="4"/>
  <c r="AI45" i="4"/>
  <c r="U37" i="4"/>
  <c r="AI36" i="4"/>
  <c r="S32" i="4"/>
  <c r="AK29" i="4"/>
  <c r="V164" i="4"/>
  <c r="AH136" i="4"/>
  <c r="AC122" i="4"/>
  <c r="AC106" i="4"/>
  <c r="AH76" i="4"/>
  <c r="AI61" i="4"/>
  <c r="V46" i="4"/>
  <c r="W45" i="4"/>
  <c r="AK44" i="4"/>
  <c r="T37" i="4"/>
  <c r="F22" i="7" s="1"/>
  <c r="AH36" i="4"/>
  <c r="AJ29" i="4"/>
  <c r="U164" i="4"/>
  <c r="AF91" i="4"/>
  <c r="AK62" i="4"/>
  <c r="T61" i="4"/>
  <c r="F30" i="7" s="1"/>
  <c r="X47" i="4"/>
  <c r="AB47" i="4" s="1"/>
  <c r="U46" i="4"/>
  <c r="Y46" i="4" s="1"/>
  <c r="T45" i="4"/>
  <c r="AH44" i="4"/>
  <c r="S37" i="4"/>
  <c r="AI35" i="4"/>
  <c r="AI29" i="4"/>
  <c r="AD216" i="4"/>
  <c r="AG216" i="4" s="1"/>
  <c r="AF212" i="4"/>
  <c r="S208" i="4"/>
  <c r="T179" i="4"/>
  <c r="F73" i="7" s="1"/>
  <c r="AD168" i="4"/>
  <c r="AG168" i="4" s="1"/>
  <c r="V137" i="4"/>
  <c r="AF123" i="4"/>
  <c r="AF107" i="4"/>
  <c r="AH92" i="4"/>
  <c r="AI77" i="4"/>
  <c r="AJ77" i="4" s="1"/>
  <c r="V62" i="4"/>
  <c r="S61" i="4"/>
  <c r="Z48" i="4"/>
  <c r="AE48" i="4" s="1"/>
  <c r="W47" i="4"/>
  <c r="H25" i="7" s="1"/>
  <c r="S45" i="4"/>
  <c r="AI43" i="4"/>
  <c r="AD42" i="4"/>
  <c r="AG42" i="4" s="1"/>
  <c r="U36" i="4"/>
  <c r="AF31" i="4"/>
  <c r="AC29" i="4"/>
  <c r="AA220" i="4"/>
  <c r="AC216" i="4"/>
  <c r="AA212" i="4"/>
  <c r="AK193" i="4"/>
  <c r="AC168" i="4"/>
  <c r="AI145" i="4"/>
  <c r="U137" i="4"/>
  <c r="AH124" i="4"/>
  <c r="AH108" i="4"/>
  <c r="AK78" i="4"/>
  <c r="T77" i="4"/>
  <c r="F36" i="7" s="1"/>
  <c r="X63" i="4"/>
  <c r="U62" i="4"/>
  <c r="Y62" i="4" s="1"/>
  <c r="AD50" i="4"/>
  <c r="AG50" i="4" s="1"/>
  <c r="AA49" i="4"/>
  <c r="U44" i="4"/>
  <c r="Y44" i="4" s="1"/>
  <c r="AF43" i="4"/>
  <c r="AC42" i="4"/>
  <c r="S36" i="4"/>
  <c r="AF35" i="4"/>
  <c r="AA31" i="4"/>
  <c r="Z158" i="4"/>
  <c r="AE158" i="4" s="1"/>
  <c r="AJ125" i="4"/>
  <c r="AJ109" i="4"/>
  <c r="AK94" i="4"/>
  <c r="AI93" i="4"/>
  <c r="V78" i="4"/>
  <c r="S77" i="4"/>
  <c r="Z64" i="4"/>
  <c r="W63" i="4"/>
  <c r="H31" i="7" s="1"/>
  <c r="AC50" i="4"/>
  <c r="AA41" i="4"/>
  <c r="AC40" i="4"/>
  <c r="AD34" i="4"/>
  <c r="AG34" i="4" s="1"/>
  <c r="Z198" i="4"/>
  <c r="AE198" i="4" s="1"/>
  <c r="AH173" i="4"/>
  <c r="AI154" i="4"/>
  <c r="T150" i="4"/>
  <c r="F52" i="10" s="1"/>
  <c r="AK146" i="4"/>
  <c r="AA138" i="4"/>
  <c r="AD130" i="4"/>
  <c r="AG130" i="4" s="1"/>
  <c r="AA129" i="4"/>
  <c r="AI125" i="4"/>
  <c r="AK110" i="4"/>
  <c r="AI109" i="4"/>
  <c r="V94" i="4"/>
  <c r="T93" i="4"/>
  <c r="F42" i="7" s="1"/>
  <c r="X79" i="4"/>
  <c r="U78" i="4"/>
  <c r="AD66" i="4"/>
  <c r="AG66" i="4" s="1"/>
  <c r="AA65" i="4"/>
  <c r="S43" i="4"/>
  <c r="Z40" i="4"/>
  <c r="AA39" i="4"/>
  <c r="S35" i="4"/>
  <c r="AC34" i="4"/>
  <c r="X31" i="4"/>
  <c r="W29" i="4"/>
  <c r="AA228" i="4"/>
  <c r="AH221" i="4"/>
  <c r="AK217" i="4"/>
  <c r="AC173" i="4"/>
  <c r="AF169" i="4"/>
  <c r="AH154" i="4"/>
  <c r="AI146" i="4"/>
  <c r="AJ146" i="4" s="1"/>
  <c r="AC130" i="4"/>
  <c r="Z128" i="4"/>
  <c r="AE128" i="4" s="1"/>
  <c r="AK126" i="4"/>
  <c r="T125" i="4"/>
  <c r="F54" i="7" s="1"/>
  <c r="V110" i="4"/>
  <c r="T109" i="4"/>
  <c r="F48" i="7" s="1"/>
  <c r="X95" i="4"/>
  <c r="AB95" i="4" s="1"/>
  <c r="U94" i="4"/>
  <c r="S93" i="4"/>
  <c r="Z80" i="4"/>
  <c r="W79" i="4"/>
  <c r="H37" i="7" s="1"/>
  <c r="AC66" i="4"/>
  <c r="AF51" i="4"/>
  <c r="AC33" i="4"/>
  <c r="W31" i="4"/>
  <c r="U29" i="4"/>
  <c r="AC221" i="4"/>
  <c r="U209" i="4"/>
  <c r="W194" i="4"/>
  <c r="H65" i="10" s="1"/>
  <c r="AJ187" i="4"/>
  <c r="X127" i="4"/>
  <c r="AB127" i="4" s="1"/>
  <c r="V126" i="4"/>
  <c r="S125" i="4"/>
  <c r="AD114" i="4"/>
  <c r="AG114" i="4" s="1"/>
  <c r="X111" i="4"/>
  <c r="U110" i="4"/>
  <c r="S109" i="4"/>
  <c r="Z96" i="4"/>
  <c r="W95" i="4"/>
  <c r="H43" i="7" s="1"/>
  <c r="AD82" i="4"/>
  <c r="AG82" i="4" s="1"/>
  <c r="AA81" i="4"/>
  <c r="AH52" i="4"/>
  <c r="X39" i="4"/>
  <c r="AK30" i="4"/>
  <c r="T29" i="4"/>
  <c r="AF131" i="4"/>
  <c r="W127" i="4"/>
  <c r="U126" i="4"/>
  <c r="AF115" i="4"/>
  <c r="AC114" i="4"/>
  <c r="Z112" i="4"/>
  <c r="W111" i="4"/>
  <c r="H49" i="7" s="1"/>
  <c r="AD98" i="4"/>
  <c r="AG98" i="4" s="1"/>
  <c r="AA97" i="4"/>
  <c r="AC82" i="4"/>
  <c r="AF67" i="4"/>
  <c r="W39" i="4"/>
  <c r="H23" i="7" s="1"/>
  <c r="AA33" i="4"/>
  <c r="S29" i="4"/>
  <c r="S184" i="4"/>
  <c r="AI139" i="4"/>
  <c r="AJ139" i="4" s="1"/>
  <c r="AK133" i="4"/>
  <c r="AH132" i="4"/>
  <c r="AH116" i="4"/>
  <c r="AA113" i="4"/>
  <c r="AC98" i="4"/>
  <c r="AH68" i="4"/>
  <c r="AI53" i="4"/>
  <c r="AK38" i="4"/>
  <c r="AD30" i="4"/>
  <c r="AG30" i="4" s="1"/>
  <c r="T174" i="4"/>
  <c r="S155" i="4"/>
  <c r="AJ133" i="4"/>
  <c r="AJ117" i="4"/>
  <c r="AJ101" i="4"/>
  <c r="AF83" i="4"/>
  <c r="AK54" i="4"/>
  <c r="T53" i="4"/>
  <c r="F28" i="7" s="1"/>
  <c r="AF188" i="4"/>
  <c r="Z140" i="4"/>
  <c r="T133" i="4"/>
  <c r="F56" i="7" s="1"/>
  <c r="AK118" i="4"/>
  <c r="AI117" i="4"/>
  <c r="AK102" i="4"/>
  <c r="AI101" i="4"/>
  <c r="AH100" i="4"/>
  <c r="AF99" i="4"/>
  <c r="AK86" i="4"/>
  <c r="AH84" i="4"/>
  <c r="AI69" i="4"/>
  <c r="S53" i="4"/>
  <c r="W38" i="4"/>
  <c r="H20" i="10" s="1"/>
  <c r="AH32" i="4"/>
  <c r="AC32" i="4"/>
  <c r="V54" i="4"/>
  <c r="AK37" i="4"/>
  <c r="W30" i="4"/>
  <c r="T27" i="9"/>
  <c r="V27" i="9"/>
  <c r="R27" i="9"/>
  <c r="AD127" i="7"/>
  <c r="AO285" i="12" s="1"/>
  <c r="AB127" i="7"/>
  <c r="AC127" i="7"/>
  <c r="V85" i="9"/>
  <c r="T85" i="9"/>
  <c r="R85" i="9"/>
  <c r="AZ44" i="7"/>
  <c r="AB152" i="7"/>
  <c r="AC152" i="7"/>
  <c r="AD152" i="7"/>
  <c r="AO345" i="12" s="1"/>
  <c r="AH112" i="7"/>
  <c r="AG112" i="7"/>
  <c r="AN112" i="7" s="1"/>
  <c r="AF112" i="7"/>
  <c r="AT118" i="7"/>
  <c r="AP263" i="12" s="1"/>
  <c r="AS118" i="7"/>
  <c r="AR118" i="7"/>
  <c r="AV154" i="7"/>
  <c r="AX154" i="7"/>
  <c r="AK154" i="7"/>
  <c r="AI154" i="7"/>
  <c r="AM153" i="7"/>
  <c r="AL153" i="7"/>
  <c r="AJ156" i="7"/>
  <c r="AO156" i="7"/>
  <c r="AD69" i="7"/>
  <c r="AO145" i="12" s="1"/>
  <c r="AC69" i="7"/>
  <c r="AB69" i="7"/>
  <c r="AS75" i="7"/>
  <c r="AR75" i="7"/>
  <c r="AT75" i="7"/>
  <c r="AP161" i="12" s="1"/>
  <c r="AM32" i="7"/>
  <c r="AL32" i="7"/>
  <c r="AD81" i="7"/>
  <c r="AO175" i="12" s="1"/>
  <c r="AC81" i="7"/>
  <c r="AB81" i="7"/>
  <c r="AK87" i="7"/>
  <c r="AI87" i="7"/>
  <c r="AX87" i="7"/>
  <c r="W179" i="9"/>
  <c r="H83" i="12"/>
  <c r="H321" i="12"/>
  <c r="AH81" i="7"/>
  <c r="AG81" i="7"/>
  <c r="AN81" i="7" s="1"/>
  <c r="AF81" i="7"/>
  <c r="AK59" i="7"/>
  <c r="AI59" i="7"/>
  <c r="AX59" i="7"/>
  <c r="AJ27" i="7"/>
  <c r="AO27" i="7"/>
  <c r="AX96" i="7"/>
  <c r="AK96" i="7"/>
  <c r="AI96" i="7"/>
  <c r="AH94" i="7"/>
  <c r="AG94" i="7"/>
  <c r="AN94" i="7" s="1"/>
  <c r="AF94" i="7"/>
  <c r="AM73" i="7"/>
  <c r="AL73" i="7"/>
  <c r="AO28" i="7"/>
  <c r="AE17" i="20"/>
  <c r="BT4" i="20"/>
  <c r="AJ16" i="20"/>
  <c r="AK27" i="20"/>
  <c r="I4" i="20"/>
  <c r="BA19" i="20"/>
  <c r="AE22" i="20"/>
  <c r="AC19" i="20"/>
  <c r="AY28" i="20"/>
  <c r="AJ39" i="20"/>
  <c r="AD31" i="20"/>
  <c r="AZ41" i="20"/>
  <c r="AC33" i="20"/>
  <c r="AX29" i="20"/>
  <c r="W34" i="20"/>
  <c r="W4" i="20" s="1"/>
  <c r="AE37" i="20"/>
  <c r="AB24" i="5"/>
  <c r="AD24" i="5" s="1"/>
  <c r="AB36" i="5"/>
  <c r="AD36" i="5" s="1"/>
  <c r="AB48" i="5"/>
  <c r="AD48" i="5" s="1"/>
  <c r="AB78" i="5"/>
  <c r="AD78" i="5" s="1"/>
  <c r="AN57" i="5"/>
  <c r="BM23" i="20" s="1"/>
  <c r="AL57" i="5"/>
  <c r="BF23" i="20" s="1"/>
  <c r="G31" i="6"/>
  <c r="X88" i="5"/>
  <c r="W88" i="5"/>
  <c r="X49" i="5"/>
  <c r="W49" i="5"/>
  <c r="W65" i="5"/>
  <c r="AB109" i="5"/>
  <c r="AD109" i="5" s="1"/>
  <c r="AB28" i="5"/>
  <c r="AD28" i="5" s="1"/>
  <c r="T63" i="14"/>
  <c r="M63" i="14"/>
  <c r="W63" i="14" s="1"/>
  <c r="Z63" i="14" s="1"/>
  <c r="L63" i="14"/>
  <c r="DP34" i="6" s="1"/>
  <c r="T61" i="14"/>
  <c r="M61" i="14"/>
  <c r="W61" i="14" s="1"/>
  <c r="Z61" i="14" s="1"/>
  <c r="L61" i="14"/>
  <c r="AZ26" i="4"/>
  <c r="BB26" i="4" s="1"/>
  <c r="AG119" i="7"/>
  <c r="AN119" i="7" s="1"/>
  <c r="AF119" i="7"/>
  <c r="AH119" i="7"/>
  <c r="AL107" i="7"/>
  <c r="AM107" i="7"/>
  <c r="AT33" i="7"/>
  <c r="AP59" i="12" s="1"/>
  <c r="AS33" i="7"/>
  <c r="AV33" i="7" s="1"/>
  <c r="AR33" i="7"/>
  <c r="AJ59" i="7"/>
  <c r="AO59" i="7"/>
  <c r="AK28" i="7"/>
  <c r="AI28" i="7"/>
  <c r="AX28" i="7"/>
  <c r="AG128" i="7"/>
  <c r="AN128" i="7" s="1"/>
  <c r="AF128" i="7"/>
  <c r="AH128" i="7"/>
  <c r="AJ18" i="7"/>
  <c r="AO18" i="7"/>
  <c r="AM71" i="7"/>
  <c r="AL71" i="7"/>
  <c r="AO32" i="7"/>
  <c r="AJ58" i="7"/>
  <c r="AO58" i="7"/>
  <c r="AJ26" i="7"/>
  <c r="AO26" i="7"/>
  <c r="R4" i="20"/>
  <c r="AB68" i="5"/>
  <c r="AD68" i="5" s="1"/>
  <c r="Z68" i="5"/>
  <c r="AN135" i="5"/>
  <c r="BK39" i="20" s="1"/>
  <c r="AL135" i="5"/>
  <c r="BD39" i="20" s="1"/>
  <c r="T52" i="14"/>
  <c r="L52" i="14"/>
  <c r="M52" i="14"/>
  <c r="W52" i="14" s="1"/>
  <c r="Z52" i="14" s="1"/>
  <c r="Z22" i="9"/>
  <c r="AF17" i="10"/>
  <c r="AZ25" i="4"/>
  <c r="BB25" i="4" s="1"/>
  <c r="AX25" i="4"/>
  <c r="J236" i="12"/>
  <c r="BQ4" i="20"/>
  <c r="T346" i="9"/>
  <c r="R346" i="9"/>
  <c r="V346" i="9"/>
  <c r="V300" i="9"/>
  <c r="T300" i="9"/>
  <c r="R300" i="9"/>
  <c r="T289" i="9"/>
  <c r="R289" i="9"/>
  <c r="V289" i="9"/>
  <c r="V228" i="9"/>
  <c r="R228" i="9"/>
  <c r="T228" i="9"/>
  <c r="T202" i="9"/>
  <c r="V202" i="9"/>
  <c r="R202" i="9"/>
  <c r="V199" i="9"/>
  <c r="T199" i="9"/>
  <c r="R199" i="9"/>
  <c r="V178" i="9"/>
  <c r="T178" i="9"/>
  <c r="R178" i="9"/>
  <c r="V110" i="9"/>
  <c r="T110" i="9"/>
  <c r="R110" i="9"/>
  <c r="T157" i="9"/>
  <c r="R157" i="9"/>
  <c r="V157" i="9"/>
  <c r="J346" i="12"/>
  <c r="R147" i="9"/>
  <c r="V147" i="9"/>
  <c r="T147" i="9"/>
  <c r="R92" i="9"/>
  <c r="T92" i="9"/>
  <c r="V92" i="9"/>
  <c r="T339" i="9"/>
  <c r="R339" i="9"/>
  <c r="V339" i="9"/>
  <c r="AR124" i="7"/>
  <c r="AS124" i="7"/>
  <c r="AT124" i="7"/>
  <c r="AP277" i="12" s="1"/>
  <c r="AH138" i="7"/>
  <c r="AG138" i="7"/>
  <c r="AN138" i="7" s="1"/>
  <c r="AF138" i="7"/>
  <c r="AG139" i="7"/>
  <c r="AN139" i="7" s="1"/>
  <c r="AH139" i="7"/>
  <c r="AF139" i="7"/>
  <c r="AI156" i="7"/>
  <c r="AK156" i="7"/>
  <c r="AX156" i="7"/>
  <c r="AS61" i="7"/>
  <c r="AR61" i="7"/>
  <c r="AT61" i="7"/>
  <c r="AP127" i="12" s="1"/>
  <c r="AK23" i="7"/>
  <c r="AI23" i="7"/>
  <c r="AX23" i="7"/>
  <c r="AH21" i="7"/>
  <c r="AG21" i="7"/>
  <c r="AN21" i="7" s="1"/>
  <c r="AF21" i="7"/>
  <c r="T345" i="16"/>
  <c r="S345" i="16"/>
  <c r="S238" i="16"/>
  <c r="T238" i="16"/>
  <c r="T292" i="16"/>
  <c r="S292" i="16"/>
  <c r="R155" i="16"/>
  <c r="T155" i="16" s="1"/>
  <c r="T113" i="16"/>
  <c r="S113" i="16"/>
  <c r="ED40" i="6"/>
  <c r="ED39" i="6"/>
  <c r="T156" i="16"/>
  <c r="S156" i="16"/>
  <c r="T141" i="16"/>
  <c r="S141" i="16"/>
  <c r="T39" i="16"/>
  <c r="S39" i="16"/>
  <c r="T122" i="16"/>
  <c r="S122" i="16"/>
  <c r="EE44" i="6"/>
  <c r="R16" i="16"/>
  <c r="EG39" i="6" s="1"/>
  <c r="EF39" i="6"/>
  <c r="T82" i="16"/>
  <c r="S82" i="16"/>
  <c r="J178" i="12"/>
  <c r="J76" i="12"/>
  <c r="N24" i="12"/>
  <c r="M24" i="12"/>
  <c r="AL24" i="12"/>
  <c r="L24" i="12"/>
  <c r="AJ24" i="12"/>
  <c r="AD24" i="12"/>
  <c r="AG24" i="12"/>
  <c r="AA24" i="12"/>
  <c r="X24" i="12"/>
  <c r="V24" i="12"/>
  <c r="P24" i="12"/>
  <c r="O24" i="12"/>
  <c r="V347" i="9"/>
  <c r="R347" i="9"/>
  <c r="T347" i="9"/>
  <c r="W355" i="9"/>
  <c r="V361" i="9"/>
  <c r="T361" i="9"/>
  <c r="R361" i="9"/>
  <c r="T200" i="9"/>
  <c r="V200" i="9"/>
  <c r="R200" i="9"/>
  <c r="R259" i="9"/>
  <c r="V259" i="9"/>
  <c r="T259" i="9"/>
  <c r="R281" i="9"/>
  <c r="V281" i="9"/>
  <c r="T281" i="9"/>
  <c r="AZ125" i="7"/>
  <c r="T120" i="9"/>
  <c r="R120" i="9"/>
  <c r="V120" i="9"/>
  <c r="P222" i="9"/>
  <c r="R177" i="9"/>
  <c r="V177" i="9"/>
  <c r="T177" i="9"/>
  <c r="V185" i="9"/>
  <c r="R185" i="9"/>
  <c r="T185" i="9"/>
  <c r="AZ85" i="7"/>
  <c r="V62" i="9"/>
  <c r="T62" i="9"/>
  <c r="R62" i="9"/>
  <c r="AE31" i="10"/>
  <c r="J62" i="12"/>
  <c r="J156" i="12"/>
  <c r="J301" i="12"/>
  <c r="V104" i="9"/>
  <c r="T104" i="9"/>
  <c r="R104" i="9"/>
  <c r="V83" i="9"/>
  <c r="T83" i="9"/>
  <c r="R83" i="9"/>
  <c r="AZ43" i="7"/>
  <c r="R37" i="9"/>
  <c r="V37" i="9"/>
  <c r="T37" i="9"/>
  <c r="AZ24" i="7"/>
  <c r="V45" i="9"/>
  <c r="T45" i="9"/>
  <c r="R45" i="9"/>
  <c r="AZ27" i="7"/>
  <c r="V61" i="9"/>
  <c r="T61" i="9"/>
  <c r="R61" i="9"/>
  <c r="AG136" i="7"/>
  <c r="AN136" i="7" s="1"/>
  <c r="AF136" i="7"/>
  <c r="AH136" i="7"/>
  <c r="AO147" i="7"/>
  <c r="R167" i="9"/>
  <c r="V167" i="9"/>
  <c r="T167" i="9"/>
  <c r="AZ78" i="7"/>
  <c r="AT158" i="7"/>
  <c r="AP359" i="12" s="1"/>
  <c r="AR158" i="7"/>
  <c r="AS158" i="7"/>
  <c r="V19" i="9"/>
  <c r="T19" i="9"/>
  <c r="R19" i="9"/>
  <c r="AZ16" i="7"/>
  <c r="AV114" i="7"/>
  <c r="AK114" i="7"/>
  <c r="AI114" i="7"/>
  <c r="AX114" i="7"/>
  <c r="AD139" i="7"/>
  <c r="AO313" i="12" s="1"/>
  <c r="AB139" i="7"/>
  <c r="AC139" i="7"/>
  <c r="AH147" i="7"/>
  <c r="AG147" i="7"/>
  <c r="AN147" i="7" s="1"/>
  <c r="AF147" i="7"/>
  <c r="AH122" i="7"/>
  <c r="AG122" i="7"/>
  <c r="AN122" i="7" s="1"/>
  <c r="AF122" i="7"/>
  <c r="AO22" i="7"/>
  <c r="AJ22" i="7"/>
  <c r="AH53" i="7"/>
  <c r="AG53" i="7"/>
  <c r="AN53" i="7" s="1"/>
  <c r="AF53" i="7"/>
  <c r="AZ82" i="7"/>
  <c r="AX84" i="7"/>
  <c r="AK84" i="7"/>
  <c r="AI84" i="7"/>
  <c r="AV76" i="7"/>
  <c r="AB94" i="7"/>
  <c r="AD94" i="7"/>
  <c r="AO205" i="12" s="1"/>
  <c r="AC94" i="7"/>
  <c r="AD128" i="7"/>
  <c r="AO287" i="12" s="1"/>
  <c r="AC128" i="7"/>
  <c r="AB128" i="7"/>
  <c r="AM98" i="7"/>
  <c r="AL98" i="7"/>
  <c r="AK18" i="7"/>
  <c r="AI18" i="7"/>
  <c r="AX18" i="7"/>
  <c r="AK37" i="7"/>
  <c r="AI37" i="7"/>
  <c r="AX37" i="7"/>
  <c r="AV37" i="7"/>
  <c r="AJ34" i="7"/>
  <c r="AO34" i="7"/>
  <c r="AK58" i="7"/>
  <c r="AI58" i="7"/>
  <c r="AX58" i="7"/>
  <c r="AK26" i="7"/>
  <c r="AI26" i="7"/>
  <c r="AX26" i="7"/>
  <c r="BV4" i="20"/>
  <c r="AM25" i="20"/>
  <c r="AJ20" i="20"/>
  <c r="AF29" i="20"/>
  <c r="BA22" i="20"/>
  <c r="AL34" i="20"/>
  <c r="AN21" i="5"/>
  <c r="BL16" i="20" s="1"/>
  <c r="AL21" i="5"/>
  <c r="BE16" i="20" s="1"/>
  <c r="AB154" i="5"/>
  <c r="AD154" i="5" s="1"/>
  <c r="W83" i="5"/>
  <c r="AN127" i="5"/>
  <c r="BM37" i="20" s="1"/>
  <c r="AL127" i="5"/>
  <c r="BF37" i="20" s="1"/>
  <c r="AB129" i="5"/>
  <c r="AD129" i="5" s="1"/>
  <c r="AN38" i="5"/>
  <c r="BN19" i="20" s="1"/>
  <c r="AL38" i="5"/>
  <c r="BG19" i="20" s="1"/>
  <c r="X66" i="5"/>
  <c r="G18" i="14"/>
  <c r="BH22" i="4"/>
  <c r="AO88" i="7"/>
  <c r="AJ88" i="7"/>
  <c r="AD119" i="7"/>
  <c r="AO265" i="12" s="1"/>
  <c r="AB119" i="7"/>
  <c r="AC119" i="7"/>
  <c r="AT57" i="7"/>
  <c r="AP117" i="12" s="1"/>
  <c r="AS57" i="7"/>
  <c r="AR57" i="7"/>
  <c r="AK27" i="7"/>
  <c r="AI27" i="7"/>
  <c r="AX27" i="7"/>
  <c r="AJ19" i="7"/>
  <c r="AO19" i="7"/>
  <c r="AM96" i="7"/>
  <c r="AL96" i="7"/>
  <c r="AL75" i="7"/>
  <c r="AM75" i="7"/>
  <c r="AL18" i="7"/>
  <c r="AM18" i="7"/>
  <c r="AH17" i="7"/>
  <c r="AG17" i="7"/>
  <c r="AN17" i="7" s="1"/>
  <c r="AF17" i="7"/>
  <c r="AK34" i="7"/>
  <c r="AI34" i="7"/>
  <c r="AX34" i="7"/>
  <c r="X4" i="20"/>
  <c r="Y16" i="20"/>
  <c r="Y4" i="20" s="1"/>
  <c r="Q4" i="20"/>
  <c r="BU4" i="20"/>
  <c r="AO48" i="7"/>
  <c r="Z45" i="5"/>
  <c r="AB45" i="5"/>
  <c r="AD45" i="5" s="1"/>
  <c r="AN149" i="5"/>
  <c r="BO41" i="20" s="1"/>
  <c r="AL149" i="5"/>
  <c r="BH41" i="20" s="1"/>
  <c r="Z15" i="5"/>
  <c r="AB17" i="5"/>
  <c r="AD17" i="5" s="1"/>
  <c r="AB106" i="5"/>
  <c r="AD106" i="5" s="1"/>
  <c r="W91" i="14"/>
  <c r="Z91" i="14" s="1"/>
  <c r="W92" i="14"/>
  <c r="Z92" i="14" s="1"/>
  <c r="AL154" i="5"/>
  <c r="BH42" i="20" s="1"/>
  <c r="AN154" i="5"/>
  <c r="BO42" i="20" s="1"/>
  <c r="T126" i="14"/>
  <c r="M126" i="14"/>
  <c r="W126" i="14" s="1"/>
  <c r="Z126" i="14" s="1"/>
  <c r="L126" i="14"/>
  <c r="AB20" i="5"/>
  <c r="AD20" i="5" s="1"/>
  <c r="W55" i="14"/>
  <c r="Z55" i="14" s="1"/>
  <c r="F4" i="14"/>
  <c r="H67" i="12"/>
  <c r="H217" i="12"/>
  <c r="AO84" i="7"/>
  <c r="AJ84" i="7"/>
  <c r="AN66" i="7"/>
  <c r="AL66" i="7"/>
  <c r="AH57" i="7"/>
  <c r="AG57" i="7"/>
  <c r="AN57" i="7" s="1"/>
  <c r="AF57" i="7"/>
  <c r="AM79" i="7"/>
  <c r="AL79" i="7"/>
  <c r="AM87" i="7"/>
  <c r="AL87" i="7"/>
  <c r="AT56" i="7"/>
  <c r="AP115" i="12" s="1"/>
  <c r="AS56" i="7"/>
  <c r="AR56" i="7"/>
  <c r="AW16" i="20"/>
  <c r="AN24" i="5"/>
  <c r="BO16" i="20" s="1"/>
  <c r="AL24" i="5"/>
  <c r="BH16" i="20" s="1"/>
  <c r="G29" i="6"/>
  <c r="AB29" i="5"/>
  <c r="AD29" i="5" s="1"/>
  <c r="Z29" i="5"/>
  <c r="AL69" i="5"/>
  <c r="BH25" i="20" s="1"/>
  <c r="AN69" i="5"/>
  <c r="BO25" i="20" s="1"/>
  <c r="AN106" i="5"/>
  <c r="BL33" i="20" s="1"/>
  <c r="AL106" i="5"/>
  <c r="BE33" i="20" s="1"/>
  <c r="M125" i="14"/>
  <c r="W125" i="14" s="1"/>
  <c r="Z125" i="14" s="1"/>
  <c r="T125" i="14"/>
  <c r="L125" i="14"/>
  <c r="AN112" i="5"/>
  <c r="BM34" i="20" s="1"/>
  <c r="AL112" i="5"/>
  <c r="BF34" i="20" s="1"/>
  <c r="AL16" i="5"/>
  <c r="BE15" i="20" s="1"/>
  <c r="AN16" i="5"/>
  <c r="T103" i="14"/>
  <c r="L103" i="14"/>
  <c r="M103" i="14" s="1"/>
  <c r="W103" i="14" s="1"/>
  <c r="Z103" i="14" s="1"/>
  <c r="T74" i="14"/>
  <c r="L74" i="14"/>
  <c r="M74" i="14"/>
  <c r="W74" i="14" s="1"/>
  <c r="Z74" i="14" s="1"/>
  <c r="BH20" i="4"/>
  <c r="DE25" i="6"/>
  <c r="DF25" i="6" s="1"/>
  <c r="T17" i="14"/>
  <c r="M17" i="14"/>
  <c r="W17" i="14" s="1"/>
  <c r="Z17" i="14" s="1"/>
  <c r="L17" i="14"/>
  <c r="AC137" i="7"/>
  <c r="AB137" i="7"/>
  <c r="AD137" i="7"/>
  <c r="AO309" i="12" s="1"/>
  <c r="AI159" i="7"/>
  <c r="AX159" i="7"/>
  <c r="AK159" i="7"/>
  <c r="AX147" i="7"/>
  <c r="AK147" i="7"/>
  <c r="AI147" i="7"/>
  <c r="AO62" i="7"/>
  <c r="AJ62" i="7"/>
  <c r="AM76" i="7"/>
  <c r="AL76" i="7"/>
  <c r="AK103" i="7"/>
  <c r="AX103" i="7"/>
  <c r="AI103" i="7"/>
  <c r="H25" i="12"/>
  <c r="H81" i="12"/>
  <c r="H127" i="12"/>
  <c r="H333" i="12"/>
  <c r="AO63" i="7"/>
  <c r="AK72" i="7"/>
  <c r="AI72" i="7"/>
  <c r="AX72" i="7"/>
  <c r="AL83" i="7"/>
  <c r="AM83" i="7"/>
  <c r="AM24" i="7"/>
  <c r="AL24" i="7"/>
  <c r="AD15" i="20"/>
  <c r="AW20" i="20"/>
  <c r="AD32" i="20"/>
  <c r="AW24" i="20"/>
  <c r="AB28" i="20"/>
  <c r="AI24" i="20"/>
  <c r="AZ35" i="20"/>
  <c r="AK25" i="20"/>
  <c r="AJ36" i="20"/>
  <c r="AX31" i="20"/>
  <c r="U36" i="20"/>
  <c r="AK29" i="20"/>
  <c r="AE30" i="20"/>
  <c r="AN94" i="5"/>
  <c r="BO30" i="20" s="1"/>
  <c r="AL94" i="5"/>
  <c r="BH30" i="20" s="1"/>
  <c r="AN128" i="5"/>
  <c r="BN37" i="20" s="1"/>
  <c r="AL128" i="5"/>
  <c r="BG37" i="20" s="1"/>
  <c r="AN153" i="5"/>
  <c r="BN42" i="20" s="1"/>
  <c r="AL153" i="5"/>
  <c r="BG42" i="20" s="1"/>
  <c r="AB141" i="5"/>
  <c r="AD141" i="5" s="1"/>
  <c r="Z141" i="5"/>
  <c r="AB148" i="5"/>
  <c r="AD148" i="5" s="1"/>
  <c r="AL48" i="5"/>
  <c r="BG21" i="20" s="1"/>
  <c r="AN48" i="5"/>
  <c r="BN21" i="20" s="1"/>
  <c r="X99" i="5"/>
  <c r="Q4" i="5"/>
  <c r="AB82" i="5"/>
  <c r="AD82" i="5" s="1"/>
  <c r="AX17" i="4"/>
  <c r="AZ17" i="4"/>
  <c r="BB17" i="4" s="1"/>
  <c r="AR178" i="4" l="1"/>
  <c r="AR139" i="4"/>
  <c r="AR108" i="4"/>
  <c r="AR224" i="4"/>
  <c r="AR190" i="4"/>
  <c r="AR274" i="4"/>
  <c r="AR334" i="4"/>
  <c r="AR280" i="4"/>
  <c r="AR263" i="4"/>
  <c r="AR344" i="4"/>
  <c r="AR376" i="4"/>
  <c r="AR416" i="4"/>
  <c r="EK47" i="6"/>
  <c r="EO47" i="6" s="1"/>
  <c r="EK42" i="6"/>
  <c r="EO42" i="6" s="1"/>
  <c r="AR61" i="4"/>
  <c r="AR265" i="4"/>
  <c r="AR406" i="4"/>
  <c r="AR49" i="4"/>
  <c r="AR153" i="4"/>
  <c r="AR110" i="4"/>
  <c r="AR174" i="4"/>
  <c r="AR264" i="4"/>
  <c r="AR400" i="4"/>
  <c r="EK49" i="6"/>
  <c r="EO49" i="6" s="1"/>
  <c r="AR196" i="4"/>
  <c r="AR378" i="4"/>
  <c r="AR38" i="4"/>
  <c r="AR154" i="4"/>
  <c r="AR111" i="4"/>
  <c r="AR249" i="4"/>
  <c r="AR230" i="4"/>
  <c r="AR252" i="4"/>
  <c r="AR401" i="4"/>
  <c r="AR303" i="4"/>
  <c r="AR377" i="4"/>
  <c r="AR300" i="4"/>
  <c r="AR417" i="4"/>
  <c r="AR383" i="4"/>
  <c r="AR56" i="4"/>
  <c r="AR319" i="4"/>
  <c r="AR146" i="4"/>
  <c r="AR163" i="4"/>
  <c r="AR106" i="4"/>
  <c r="AR96" i="4"/>
  <c r="AR286" i="4"/>
  <c r="AR387" i="4"/>
  <c r="AR320" i="4"/>
  <c r="AR355" i="4"/>
  <c r="EK41" i="6"/>
  <c r="EO41" i="6" s="1"/>
  <c r="AR233" i="4"/>
  <c r="AR180" i="4"/>
  <c r="AR80" i="4"/>
  <c r="AR227" i="4"/>
  <c r="AR234" i="4"/>
  <c r="AR330" i="4"/>
  <c r="AR313" i="4"/>
  <c r="AR392" i="4"/>
  <c r="AR322" i="4"/>
  <c r="AR91" i="4"/>
  <c r="AR217" i="4"/>
  <c r="AR237" i="4"/>
  <c r="AR257" i="4"/>
  <c r="AR271" i="4"/>
  <c r="AR147" i="4"/>
  <c r="AR34" i="4"/>
  <c r="AR246" i="4"/>
  <c r="AR144" i="4"/>
  <c r="AR218" i="4"/>
  <c r="AR231" i="4"/>
  <c r="AR213" i="4"/>
  <c r="AR363" i="4"/>
  <c r="AR107" i="4"/>
  <c r="AR75" i="4"/>
  <c r="AR130" i="4"/>
  <c r="AR47" i="4"/>
  <c r="AR63" i="4"/>
  <c r="AR256" i="4"/>
  <c r="AR159" i="4"/>
  <c r="AR232" i="4"/>
  <c r="AR261" i="4"/>
  <c r="AR202" i="4"/>
  <c r="AR287" i="4"/>
  <c r="AR69" i="4"/>
  <c r="AR52" i="4"/>
  <c r="AR53" i="4"/>
  <c r="AR343" i="4"/>
  <c r="AR308" i="4"/>
  <c r="AR371" i="4"/>
  <c r="AR369" i="4"/>
  <c r="AR54" i="4"/>
  <c r="AR41" i="4"/>
  <c r="AR368" i="4"/>
  <c r="EK48" i="6"/>
  <c r="EO48" i="6" s="1"/>
  <c r="AR177" i="4"/>
  <c r="AR105" i="4"/>
  <c r="AR193" i="4"/>
  <c r="AR210" i="4"/>
  <c r="AR199" i="4"/>
  <c r="AR167" i="4"/>
  <c r="AR222" i="4"/>
  <c r="AR181" i="4"/>
  <c r="AR188" i="4"/>
  <c r="AR329" i="4"/>
  <c r="AR192" i="4"/>
  <c r="AR123" i="4"/>
  <c r="AR208" i="4"/>
  <c r="AR98" i="4"/>
  <c r="AR33" i="4"/>
  <c r="J19" i="6"/>
  <c r="AR88" i="4"/>
  <c r="AR150" i="4"/>
  <c r="AR259" i="4"/>
  <c r="AR189" i="4"/>
  <c r="AR398" i="4"/>
  <c r="AR77" i="4"/>
  <c r="AR89" i="4"/>
  <c r="AR172" i="4"/>
  <c r="AR311" i="4"/>
  <c r="AR333" i="4"/>
  <c r="AR372" i="4"/>
  <c r="AR292" i="4"/>
  <c r="AR403" i="4"/>
  <c r="AR418" i="4"/>
  <c r="AR356" i="4"/>
  <c r="AR359" i="4"/>
  <c r="AM359" i="4"/>
  <c r="AO359" i="4" s="1"/>
  <c r="AP359" i="4" s="1"/>
  <c r="AR121" i="4"/>
  <c r="AR195" i="4"/>
  <c r="AR81" i="4"/>
  <c r="AR200" i="4"/>
  <c r="AR148" i="4"/>
  <c r="AR206" i="4"/>
  <c r="AR82" i="4"/>
  <c r="AR258" i="4"/>
  <c r="AR221" i="4"/>
  <c r="AR326" i="4"/>
  <c r="AR279" i="4"/>
  <c r="AR405" i="4"/>
  <c r="AR412" i="4"/>
  <c r="AR410" i="4"/>
  <c r="AR360" i="4"/>
  <c r="AM360" i="4"/>
  <c r="AO360" i="4" s="1"/>
  <c r="AP360" i="4" s="1"/>
  <c r="AF96" i="5"/>
  <c r="AQ31" i="20" s="1"/>
  <c r="AJ31" i="20"/>
  <c r="AT96" i="7"/>
  <c r="AP211" i="12" s="1"/>
  <c r="AS96" i="7"/>
  <c r="AR96" i="7"/>
  <c r="AK97" i="7"/>
  <c r="AX97" i="7"/>
  <c r="AI97" i="7"/>
  <c r="W213" i="9"/>
  <c r="H213" i="12"/>
  <c r="AF70" i="5"/>
  <c r="AP26" i="20" s="1"/>
  <c r="AI26" i="20"/>
  <c r="T17" i="16"/>
  <c r="AK133" i="5"/>
  <c r="AE38" i="20"/>
  <c r="S331" i="16"/>
  <c r="T331" i="16" s="1"/>
  <c r="Y17" i="12"/>
  <c r="AT16" i="7"/>
  <c r="AP19" i="12" s="1"/>
  <c r="AS16" i="7"/>
  <c r="AR16" i="7"/>
  <c r="V209" i="9"/>
  <c r="R209" i="9"/>
  <c r="T209" i="9"/>
  <c r="J209" i="12"/>
  <c r="AZ95" i="7"/>
  <c r="T269" i="9"/>
  <c r="R269" i="9"/>
  <c r="V269" i="9"/>
  <c r="Q269" i="9"/>
  <c r="AQ269" i="12" s="1"/>
  <c r="J269" i="12"/>
  <c r="AZ120" i="7"/>
  <c r="EG38" i="6"/>
  <c r="S4" i="9"/>
  <c r="T102" i="16"/>
  <c r="S270" i="16"/>
  <c r="T270" i="16" s="1"/>
  <c r="T304" i="16"/>
  <c r="EJ46" i="6"/>
  <c r="AK156" i="5"/>
  <c r="AC43" i="20"/>
  <c r="S132" i="16"/>
  <c r="T101" i="9"/>
  <c r="V101" i="9"/>
  <c r="R101" i="9"/>
  <c r="AZ50" i="7"/>
  <c r="J101" i="12"/>
  <c r="AJ122" i="7"/>
  <c r="AO122" i="7"/>
  <c r="T199" i="16"/>
  <c r="S279" i="16"/>
  <c r="AM33" i="7"/>
  <c r="AL33" i="7"/>
  <c r="Y25" i="12"/>
  <c r="AT44" i="7"/>
  <c r="AP85" i="12" s="1"/>
  <c r="AS44" i="7"/>
  <c r="AR44" i="7"/>
  <c r="S17" i="16"/>
  <c r="AT104" i="7"/>
  <c r="AP229" i="12" s="1"/>
  <c r="AS104" i="7"/>
  <c r="AR104" i="7"/>
  <c r="Z107" i="5"/>
  <c r="AB107" i="5"/>
  <c r="AD107" i="5" s="1"/>
  <c r="AB17" i="12"/>
  <c r="AM69" i="7"/>
  <c r="AL69" i="7"/>
  <c r="AT101" i="7"/>
  <c r="AP223" i="12" s="1"/>
  <c r="AS101" i="7"/>
  <c r="AR101" i="7"/>
  <c r="T150" i="9"/>
  <c r="V150" i="9"/>
  <c r="R150" i="9"/>
  <c r="J150" i="12"/>
  <c r="R4" i="16"/>
  <c r="L4" i="16" s="1"/>
  <c r="AT38" i="7"/>
  <c r="AP71" i="12" s="1"/>
  <c r="AS38" i="7"/>
  <c r="AR38" i="7"/>
  <c r="AK109" i="7"/>
  <c r="AX109" i="7"/>
  <c r="AI109" i="7"/>
  <c r="W241" i="9"/>
  <c r="H241" i="12"/>
  <c r="EO50" i="6"/>
  <c r="EK50" i="6"/>
  <c r="AM109" i="7"/>
  <c r="AL109" i="7"/>
  <c r="AS159" i="7"/>
  <c r="AT159" i="7"/>
  <c r="AP361" i="12" s="1"/>
  <c r="AR159" i="7"/>
  <c r="EJ45" i="6"/>
  <c r="AY114" i="7"/>
  <c r="AU114" i="7"/>
  <c r="X253" i="9"/>
  <c r="I253" i="12"/>
  <c r="EL43" i="6"/>
  <c r="EH43" i="6"/>
  <c r="W30" i="6"/>
  <c r="S30" i="6"/>
  <c r="EJ41" i="6"/>
  <c r="EN41" i="6"/>
  <c r="AK122" i="7"/>
  <c r="AX122" i="7"/>
  <c r="AI122" i="7"/>
  <c r="W273" i="9"/>
  <c r="H273" i="12"/>
  <c r="S78" i="16"/>
  <c r="T78" i="16" s="1"/>
  <c r="S115" i="16"/>
  <c r="AL140" i="4"/>
  <c r="AM140" i="4" s="1"/>
  <c r="AO140" i="4" s="1"/>
  <c r="AP140" i="4" s="1"/>
  <c r="F122" i="12"/>
  <c r="J50" i="10"/>
  <c r="Y68" i="4"/>
  <c r="G29" i="10"/>
  <c r="F44" i="11"/>
  <c r="Y51" i="4"/>
  <c r="G27" i="7"/>
  <c r="F33" i="11"/>
  <c r="AE274" i="4"/>
  <c r="I87" i="10"/>
  <c r="AE147" i="4"/>
  <c r="I61" i="7"/>
  <c r="AR275" i="4"/>
  <c r="AE385" i="4"/>
  <c r="I146" i="7"/>
  <c r="AR318" i="4"/>
  <c r="AL288" i="4"/>
  <c r="J91" i="10"/>
  <c r="F248" i="12"/>
  <c r="AL332" i="4"/>
  <c r="F286" i="12"/>
  <c r="J104" i="10"/>
  <c r="AB380" i="4"/>
  <c r="O4" i="7"/>
  <c r="Z63" i="7"/>
  <c r="X63" i="7"/>
  <c r="U63" i="7"/>
  <c r="S155" i="16"/>
  <c r="Z49" i="5"/>
  <c r="AB49" i="5"/>
  <c r="AD49" i="5" s="1"/>
  <c r="Y124" i="4"/>
  <c r="F76" i="11"/>
  <c r="G45" i="10"/>
  <c r="AL124" i="4"/>
  <c r="J45" i="10"/>
  <c r="F108" i="12"/>
  <c r="AL90" i="4"/>
  <c r="F78" i="12"/>
  <c r="P31" i="10"/>
  <c r="Q31" i="10" s="1"/>
  <c r="R31" i="10" s="1"/>
  <c r="Y31" i="10" s="1"/>
  <c r="O31" i="10"/>
  <c r="Y223" i="4"/>
  <c r="F133" i="11"/>
  <c r="G89" i="7"/>
  <c r="AL168" i="4"/>
  <c r="F146" i="12"/>
  <c r="J58" i="10"/>
  <c r="AE293" i="4"/>
  <c r="I114" i="7"/>
  <c r="AL301" i="4"/>
  <c r="J116" i="7"/>
  <c r="F259" i="12"/>
  <c r="AE260" i="4"/>
  <c r="I83" i="10"/>
  <c r="AE308" i="4"/>
  <c r="I98" i="10"/>
  <c r="AL276" i="4"/>
  <c r="F238" i="12"/>
  <c r="J88" i="10"/>
  <c r="Y315" i="4"/>
  <c r="G121" i="7"/>
  <c r="F183" i="11"/>
  <c r="P123" i="10"/>
  <c r="Q123" i="10" s="1"/>
  <c r="R123" i="10" s="1"/>
  <c r="Y123" i="10" s="1"/>
  <c r="O123" i="10"/>
  <c r="O88" i="10"/>
  <c r="P88" i="10" s="1"/>
  <c r="Q88" i="10" s="1"/>
  <c r="R88" i="10" s="1"/>
  <c r="Y88" i="10" s="1"/>
  <c r="Y415" i="4"/>
  <c r="F241" i="11"/>
  <c r="G157" i="7"/>
  <c r="Y357" i="4"/>
  <c r="G136" i="7"/>
  <c r="F207" i="11"/>
  <c r="U27" i="7"/>
  <c r="Z27" i="7"/>
  <c r="X27" i="7"/>
  <c r="AR115" i="4"/>
  <c r="AM115" i="4"/>
  <c r="AO115" i="4" s="1"/>
  <c r="AP115" i="4" s="1"/>
  <c r="AR135" i="4"/>
  <c r="AL52" i="4"/>
  <c r="AM52" i="4" s="1"/>
  <c r="AO52" i="4" s="1"/>
  <c r="AP52" i="4" s="1"/>
  <c r="F46" i="12"/>
  <c r="J24" i="10"/>
  <c r="O21" i="10"/>
  <c r="P21" i="10" s="1"/>
  <c r="Q21" i="10" s="1"/>
  <c r="R21" i="10" s="1"/>
  <c r="Y21" i="10" s="1"/>
  <c r="AR62" i="4"/>
  <c r="AE149" i="4"/>
  <c r="I62" i="7"/>
  <c r="Y250" i="4"/>
  <c r="G81" i="10"/>
  <c r="F148" i="11"/>
  <c r="AR270" i="4"/>
  <c r="AL224" i="4"/>
  <c r="AM224" i="4" s="1"/>
  <c r="AO224" i="4" s="1"/>
  <c r="AP224" i="4" s="1"/>
  <c r="J74" i="10"/>
  <c r="F194" i="12"/>
  <c r="AE316" i="4"/>
  <c r="I99" i="10"/>
  <c r="AR288" i="4"/>
  <c r="AM288" i="4"/>
  <c r="AO288" i="4" s="1"/>
  <c r="AP288" i="4" s="1"/>
  <c r="O100" i="10"/>
  <c r="P100" i="10" s="1"/>
  <c r="Q100" i="10" s="1"/>
  <c r="R100" i="10" s="1"/>
  <c r="Y100" i="10" s="1"/>
  <c r="AB281" i="4"/>
  <c r="AL334" i="4"/>
  <c r="AM334" i="4" s="1"/>
  <c r="AO334" i="4" s="1"/>
  <c r="AP334" i="4" s="1"/>
  <c r="J105" i="10"/>
  <c r="F288" i="12"/>
  <c r="AL278" i="4"/>
  <c r="J89" i="10"/>
  <c r="F240" i="12"/>
  <c r="AL316" i="4"/>
  <c r="J99" i="10"/>
  <c r="F272" i="12"/>
  <c r="AE403" i="4"/>
  <c r="I153" i="7"/>
  <c r="AL376" i="4"/>
  <c r="AM376" i="4" s="1"/>
  <c r="AO376" i="4" s="1"/>
  <c r="AP376" i="4" s="1"/>
  <c r="J117" i="10"/>
  <c r="F324" i="12"/>
  <c r="Y411" i="4"/>
  <c r="G155" i="7"/>
  <c r="AJ94" i="7"/>
  <c r="AO94" i="7"/>
  <c r="AM136" i="7"/>
  <c r="AL136" i="7"/>
  <c r="AE24" i="12"/>
  <c r="AT19" i="7"/>
  <c r="AP25" i="12" s="1"/>
  <c r="AS19" i="7"/>
  <c r="AR19" i="7"/>
  <c r="P31" i="6"/>
  <c r="R31" i="6" s="1"/>
  <c r="AE109" i="4"/>
  <c r="I48" i="7"/>
  <c r="AB149" i="4"/>
  <c r="AL231" i="4"/>
  <c r="AM231" i="4" s="1"/>
  <c r="AO231" i="4" s="1"/>
  <c r="AP231" i="4" s="1"/>
  <c r="J91" i="7"/>
  <c r="F199" i="12"/>
  <c r="Y219" i="4"/>
  <c r="G87" i="7"/>
  <c r="F129" i="11"/>
  <c r="AE148" i="4"/>
  <c r="I51" i="10"/>
  <c r="AE261" i="4"/>
  <c r="I102" i="7"/>
  <c r="AR207" i="4"/>
  <c r="AM294" i="4"/>
  <c r="AO294" i="4" s="1"/>
  <c r="AP294" i="4" s="1"/>
  <c r="AR294" i="4"/>
  <c r="AL375" i="4"/>
  <c r="F323" i="12"/>
  <c r="J143" i="7"/>
  <c r="AL330" i="4"/>
  <c r="AM330" i="4" s="1"/>
  <c r="AO330" i="4" s="1"/>
  <c r="AP330" i="4" s="1"/>
  <c r="F284" i="12"/>
  <c r="J103" i="10"/>
  <c r="AE333" i="4"/>
  <c r="I128" i="7"/>
  <c r="AE402" i="4"/>
  <c r="I124" i="10"/>
  <c r="AL360" i="4"/>
  <c r="J112" i="10"/>
  <c r="F310" i="12"/>
  <c r="U95" i="7"/>
  <c r="V95" i="7" s="1"/>
  <c r="AE95" i="7" s="1"/>
  <c r="Z95" i="7"/>
  <c r="X95" i="7"/>
  <c r="AB95" i="7" s="1"/>
  <c r="Y209" i="4"/>
  <c r="G84" i="7"/>
  <c r="F125" i="11"/>
  <c r="Y93" i="4"/>
  <c r="F57" i="11"/>
  <c r="G42" i="7"/>
  <c r="AE39" i="4"/>
  <c r="I23" i="7"/>
  <c r="Y92" i="4"/>
  <c r="F56" i="11"/>
  <c r="G35" i="10"/>
  <c r="AE38" i="4"/>
  <c r="I20" i="10"/>
  <c r="AL101" i="4"/>
  <c r="F87" i="12"/>
  <c r="AL92" i="4"/>
  <c r="F80" i="12"/>
  <c r="J35" i="10"/>
  <c r="Y95" i="4"/>
  <c r="G43" i="7"/>
  <c r="F59" i="11"/>
  <c r="AE33" i="4"/>
  <c r="I20" i="7"/>
  <c r="AE288" i="4"/>
  <c r="I91" i="10"/>
  <c r="AM278" i="4"/>
  <c r="AO278" i="4" s="1"/>
  <c r="AP278" i="4" s="1"/>
  <c r="AR278" i="4"/>
  <c r="AL262" i="4"/>
  <c r="F226" i="12"/>
  <c r="J84" i="10"/>
  <c r="AR216" i="4"/>
  <c r="Q67" i="10"/>
  <c r="R67" i="10" s="1"/>
  <c r="Y67" i="10" s="1"/>
  <c r="P67" i="10"/>
  <c r="O67" i="10"/>
  <c r="AE386" i="4"/>
  <c r="I119" i="10"/>
  <c r="P114" i="10"/>
  <c r="Q114" i="10" s="1"/>
  <c r="R114" i="10" s="1"/>
  <c r="Y114" i="10" s="1"/>
  <c r="O114" i="10"/>
  <c r="AB346" i="4"/>
  <c r="AE295" i="4"/>
  <c r="AE317" i="4"/>
  <c r="I122" i="7"/>
  <c r="AE407" i="4"/>
  <c r="AL419" i="4"/>
  <c r="J159" i="7"/>
  <c r="F361" i="12"/>
  <c r="U35" i="7"/>
  <c r="V35" i="7" s="1"/>
  <c r="AE35" i="7" s="1"/>
  <c r="Z35" i="7"/>
  <c r="X35" i="7"/>
  <c r="AB35" i="7" s="1"/>
  <c r="O18" i="14"/>
  <c r="X18" i="14" s="1"/>
  <c r="AA18" i="14" s="1"/>
  <c r="AC18" i="14" s="1"/>
  <c r="N18" i="14"/>
  <c r="AL111" i="4"/>
  <c r="AM111" i="4" s="1"/>
  <c r="AO111" i="4" s="1"/>
  <c r="AP111" i="4" s="1"/>
  <c r="J49" i="7"/>
  <c r="F97" i="12"/>
  <c r="AE91" i="4"/>
  <c r="I41" i="7"/>
  <c r="AE58" i="4"/>
  <c r="AL166" i="4"/>
  <c r="F144" i="12"/>
  <c r="J57" i="10"/>
  <c r="O54" i="10"/>
  <c r="P54" i="10" s="1"/>
  <c r="Q54" i="10" s="1"/>
  <c r="R54" i="10" s="1"/>
  <c r="Y54" i="10" s="1"/>
  <c r="P81" i="10"/>
  <c r="O81" i="10"/>
  <c r="Q81" i="10"/>
  <c r="R81" i="10" s="1"/>
  <c r="Y81" i="10" s="1"/>
  <c r="AL219" i="4"/>
  <c r="F189" i="12"/>
  <c r="J87" i="7"/>
  <c r="Y247" i="4"/>
  <c r="G97" i="7"/>
  <c r="F145" i="11"/>
  <c r="Y238" i="4"/>
  <c r="G78" i="10"/>
  <c r="F142" i="11"/>
  <c r="AB151" i="4"/>
  <c r="AB183" i="4"/>
  <c r="AB215" i="4"/>
  <c r="AJ338" i="4"/>
  <c r="AR338" i="4" s="1"/>
  <c r="AE355" i="4"/>
  <c r="I135" i="7"/>
  <c r="O104" i="10"/>
  <c r="P104" i="10" s="1"/>
  <c r="Q104" i="10" s="1"/>
  <c r="R104" i="10" s="1"/>
  <c r="Y104" i="10" s="1"/>
  <c r="Q127" i="10"/>
  <c r="R127" i="10" s="1"/>
  <c r="Y127" i="10" s="1"/>
  <c r="P127" i="10"/>
  <c r="O127" i="10"/>
  <c r="AE409" i="4"/>
  <c r="AL279" i="4"/>
  <c r="AM279" i="4" s="1"/>
  <c r="AO279" i="4" s="1"/>
  <c r="AP279" i="4" s="1"/>
  <c r="J109" i="7"/>
  <c r="F241" i="12"/>
  <c r="O99" i="10"/>
  <c r="Q99" i="10"/>
  <c r="R99" i="10" s="1"/>
  <c r="Y99" i="10" s="1"/>
  <c r="P99" i="10"/>
  <c r="Y321" i="4"/>
  <c r="F189" i="11"/>
  <c r="G124" i="7"/>
  <c r="AL356" i="4"/>
  <c r="AM356" i="4" s="1"/>
  <c r="AO356" i="4" s="1"/>
  <c r="AP356" i="4" s="1"/>
  <c r="F306" i="12"/>
  <c r="AE420" i="4"/>
  <c r="I130" i="10"/>
  <c r="Z34" i="7"/>
  <c r="X34" i="7"/>
  <c r="U34" i="7"/>
  <c r="Z67" i="7"/>
  <c r="X67" i="7"/>
  <c r="U67" i="7"/>
  <c r="X131" i="7"/>
  <c r="U131" i="7"/>
  <c r="Z131" i="7"/>
  <c r="Z72" i="7"/>
  <c r="X72" i="7"/>
  <c r="U72" i="7"/>
  <c r="X104" i="7"/>
  <c r="U104" i="7"/>
  <c r="Z104" i="7"/>
  <c r="Z141" i="7"/>
  <c r="X141" i="7"/>
  <c r="U141" i="7"/>
  <c r="AF106" i="5"/>
  <c r="AQ33" i="20" s="1"/>
  <c r="AJ33" i="20"/>
  <c r="AM139" i="7"/>
  <c r="AL139" i="7"/>
  <c r="AF78" i="5"/>
  <c r="AS27" i="20" s="1"/>
  <c r="AL27" i="20"/>
  <c r="AX81" i="7"/>
  <c r="AK81" i="7"/>
  <c r="AI81" i="7"/>
  <c r="H175" i="12"/>
  <c r="W175" i="9"/>
  <c r="AJ127" i="7"/>
  <c r="AO127" i="7"/>
  <c r="Y29" i="4"/>
  <c r="U4" i="4"/>
  <c r="Y78" i="4"/>
  <c r="G31" i="10"/>
  <c r="F48" i="11"/>
  <c r="AL73" i="4"/>
  <c r="F63" i="12"/>
  <c r="AL40" i="4"/>
  <c r="J21" i="10"/>
  <c r="F36" i="12"/>
  <c r="Y77" i="4"/>
  <c r="F47" i="11"/>
  <c r="G36" i="7"/>
  <c r="AE209" i="4"/>
  <c r="I84" i="7"/>
  <c r="AL150" i="4"/>
  <c r="AM150" i="4" s="1"/>
  <c r="AO150" i="4" s="1"/>
  <c r="AP150" i="4" s="1"/>
  <c r="F130" i="12"/>
  <c r="J52" i="10"/>
  <c r="Y122" i="4"/>
  <c r="F74" i="11"/>
  <c r="G44" i="10"/>
  <c r="Y145" i="4"/>
  <c r="G60" i="7"/>
  <c r="AJ57" i="4"/>
  <c r="AR57" i="4" s="1"/>
  <c r="AJ73" i="4"/>
  <c r="AL76" i="4"/>
  <c r="F66" i="12"/>
  <c r="AG29" i="4"/>
  <c r="AD4" i="4"/>
  <c r="AG4" i="4" s="1"/>
  <c r="AB197" i="4"/>
  <c r="AL115" i="4"/>
  <c r="F99" i="12"/>
  <c r="AL167" i="4"/>
  <c r="AM167" i="4" s="1"/>
  <c r="AO167" i="4" s="1"/>
  <c r="AP167" i="4" s="1"/>
  <c r="F145" i="12"/>
  <c r="J69" i="7"/>
  <c r="AE193" i="4"/>
  <c r="I78" i="7"/>
  <c r="AL42" i="4"/>
  <c r="J22" i="10"/>
  <c r="F38" i="12"/>
  <c r="Y79" i="4"/>
  <c r="G37" i="7"/>
  <c r="F49" i="11"/>
  <c r="AE217" i="4"/>
  <c r="I86" i="7"/>
  <c r="AL333" i="4"/>
  <c r="AM333" i="4" s="1"/>
  <c r="AO333" i="4" s="1"/>
  <c r="AP333" i="4" s="1"/>
  <c r="J128" i="7"/>
  <c r="F287" i="12"/>
  <c r="AL222" i="4"/>
  <c r="AM222" i="4" s="1"/>
  <c r="AO222" i="4" s="1"/>
  <c r="AP222" i="4" s="1"/>
  <c r="J73" i="10"/>
  <c r="F192" i="12"/>
  <c r="AE257" i="4"/>
  <c r="I100" i="7"/>
  <c r="AJ186" i="4"/>
  <c r="AJ250" i="4"/>
  <c r="AL237" i="4"/>
  <c r="AM237" i="4" s="1"/>
  <c r="AO237" i="4" s="1"/>
  <c r="AP237" i="4" s="1"/>
  <c r="F205" i="12"/>
  <c r="J94" i="7"/>
  <c r="AL244" i="4"/>
  <c r="F210" i="12"/>
  <c r="Y266" i="4"/>
  <c r="F158" i="11"/>
  <c r="G86" i="10"/>
  <c r="AB301" i="4"/>
  <c r="AL147" i="4"/>
  <c r="AM147" i="4" s="1"/>
  <c r="AO147" i="4" s="1"/>
  <c r="AP147" i="4" s="1"/>
  <c r="J61" i="7"/>
  <c r="F127" i="12"/>
  <c r="AE294" i="4"/>
  <c r="I94" i="10"/>
  <c r="AE146" i="4"/>
  <c r="AE162" i="4"/>
  <c r="I55" i="10"/>
  <c r="AE178" i="4"/>
  <c r="I60" i="10"/>
  <c r="AE194" i="4"/>
  <c r="I65" i="10"/>
  <c r="AE210" i="4"/>
  <c r="I70" i="10"/>
  <c r="AE226" i="4"/>
  <c r="AE242" i="4"/>
  <c r="AL260" i="4"/>
  <c r="J83" i="10"/>
  <c r="F224" i="12"/>
  <c r="Y175" i="4"/>
  <c r="G71" i="7"/>
  <c r="F103" i="11"/>
  <c r="AB268" i="4"/>
  <c r="AE225" i="4"/>
  <c r="AE241" i="4"/>
  <c r="Y166" i="4"/>
  <c r="G57" i="10"/>
  <c r="F100" i="11"/>
  <c r="AE152" i="4"/>
  <c r="I53" i="10"/>
  <c r="AE168" i="4"/>
  <c r="I58" i="10"/>
  <c r="AE184" i="4"/>
  <c r="AE216" i="4"/>
  <c r="AE232" i="4"/>
  <c r="I75" i="10"/>
  <c r="AE248" i="4"/>
  <c r="I80" i="10"/>
  <c r="AB296" i="4"/>
  <c r="AL248" i="4"/>
  <c r="AM248" i="4" s="1"/>
  <c r="AO248" i="4" s="1"/>
  <c r="AP248" i="4" s="1"/>
  <c r="F214" i="12"/>
  <c r="J80" i="10"/>
  <c r="AL367" i="4"/>
  <c r="F315" i="12"/>
  <c r="Y290" i="4"/>
  <c r="G92" i="10"/>
  <c r="F170" i="11"/>
  <c r="Y327" i="4"/>
  <c r="G125" i="7"/>
  <c r="AL405" i="4"/>
  <c r="AM405" i="4" s="1"/>
  <c r="AO405" i="4" s="1"/>
  <c r="AP405" i="4" s="1"/>
  <c r="J154" i="7"/>
  <c r="F349" i="12"/>
  <c r="AE381" i="4"/>
  <c r="AJ415" i="4"/>
  <c r="AE358" i="4"/>
  <c r="I111" i="10"/>
  <c r="O126" i="10"/>
  <c r="P126" i="10" s="1"/>
  <c r="Q126" i="10" s="1"/>
  <c r="R126" i="10" s="1"/>
  <c r="Y126" i="10" s="1"/>
  <c r="AL297" i="4"/>
  <c r="F255" i="12"/>
  <c r="AJ382" i="4"/>
  <c r="AJ340" i="4"/>
  <c r="P118" i="10"/>
  <c r="Q118" i="10" s="1"/>
  <c r="R118" i="10" s="1"/>
  <c r="Y118" i="10" s="1"/>
  <c r="O118" i="10"/>
  <c r="AL417" i="4"/>
  <c r="AM417" i="4" s="1"/>
  <c r="AO417" i="4" s="1"/>
  <c r="AP417" i="4" s="1"/>
  <c r="F359" i="12"/>
  <c r="J158" i="7"/>
  <c r="AB353" i="4"/>
  <c r="AE377" i="4"/>
  <c r="I144" i="7"/>
  <c r="AE414" i="4"/>
  <c r="I127" i="10"/>
  <c r="AL302" i="4"/>
  <c r="F260" i="12"/>
  <c r="J95" i="10"/>
  <c r="AJ411" i="4"/>
  <c r="AB414" i="4"/>
  <c r="AL340" i="4"/>
  <c r="F292" i="12"/>
  <c r="AR373" i="4"/>
  <c r="AL415" i="4"/>
  <c r="F357" i="12"/>
  <c r="J157" i="7"/>
  <c r="AE400" i="4"/>
  <c r="I123" i="10"/>
  <c r="AE416" i="4"/>
  <c r="I128" i="10"/>
  <c r="AL400" i="4"/>
  <c r="AM400" i="4" s="1"/>
  <c r="AO400" i="4" s="1"/>
  <c r="AP400" i="4" s="1"/>
  <c r="F344" i="12"/>
  <c r="J123" i="10"/>
  <c r="AL398" i="4"/>
  <c r="AM398" i="4" s="1"/>
  <c r="AO398" i="4" s="1"/>
  <c r="AP398" i="4" s="1"/>
  <c r="F342" i="12"/>
  <c r="AL403" i="4"/>
  <c r="AM403" i="4" s="1"/>
  <c r="AO403" i="4" s="1"/>
  <c r="AP403" i="4" s="1"/>
  <c r="F347" i="12"/>
  <c r="J153" i="7"/>
  <c r="Z29" i="7"/>
  <c r="X29" i="7"/>
  <c r="U29" i="7"/>
  <c r="Z61" i="7"/>
  <c r="X61" i="7"/>
  <c r="U61" i="7"/>
  <c r="U71" i="7"/>
  <c r="Z71" i="7"/>
  <c r="X71" i="7"/>
  <c r="Q4" i="7"/>
  <c r="Z40" i="7"/>
  <c r="X40" i="7"/>
  <c r="AB40" i="7" s="1"/>
  <c r="U40" i="7"/>
  <c r="V40" i="7" s="1"/>
  <c r="AE40" i="7" s="1"/>
  <c r="Z82" i="7"/>
  <c r="X82" i="7"/>
  <c r="U82" i="7"/>
  <c r="Z38" i="7"/>
  <c r="X38" i="7"/>
  <c r="U38" i="7"/>
  <c r="Z97" i="7"/>
  <c r="X97" i="7"/>
  <c r="U97" i="7"/>
  <c r="U149" i="7"/>
  <c r="Z149" i="7"/>
  <c r="X149" i="7"/>
  <c r="Z102" i="7"/>
  <c r="X102" i="7"/>
  <c r="U102" i="7"/>
  <c r="Z147" i="7"/>
  <c r="X147" i="7"/>
  <c r="U147" i="7"/>
  <c r="X143" i="7"/>
  <c r="Z143" i="7"/>
  <c r="U143" i="7"/>
  <c r="AF82" i="5"/>
  <c r="AR28" i="20" s="1"/>
  <c r="AK28" i="20"/>
  <c r="AJ137" i="7"/>
  <c r="AO137" i="7"/>
  <c r="BL15" i="20"/>
  <c r="AT84" i="7"/>
  <c r="AP181" i="12" s="1"/>
  <c r="AS84" i="7"/>
  <c r="AR84" i="7"/>
  <c r="AF17" i="5"/>
  <c r="AK15" i="20"/>
  <c r="AM17" i="7"/>
  <c r="AL17" i="7"/>
  <c r="Z66" i="5"/>
  <c r="AB66" i="5"/>
  <c r="AD66" i="5" s="1"/>
  <c r="AM122" i="7"/>
  <c r="AL122" i="7"/>
  <c r="R222" i="9"/>
  <c r="T222" i="9"/>
  <c r="V222" i="9"/>
  <c r="J222" i="12"/>
  <c r="Q222" i="9"/>
  <c r="AQ222" i="12" s="1"/>
  <c r="AF48" i="5"/>
  <c r="AS21" i="20" s="1"/>
  <c r="AL21" i="20"/>
  <c r="AL81" i="4"/>
  <c r="AM81" i="4" s="1"/>
  <c r="AO81" i="4" s="1"/>
  <c r="AP81" i="4" s="1"/>
  <c r="F71" i="12"/>
  <c r="J38" i="7"/>
  <c r="AB79" i="4"/>
  <c r="AL41" i="4"/>
  <c r="AM41" i="4" s="1"/>
  <c r="AO41" i="4" s="1"/>
  <c r="AP41" i="4" s="1"/>
  <c r="J24" i="7"/>
  <c r="F37" i="12"/>
  <c r="AL220" i="4"/>
  <c r="F190" i="12"/>
  <c r="J72" i="10"/>
  <c r="Y164" i="4"/>
  <c r="G56" i="10"/>
  <c r="F98" i="11"/>
  <c r="Y37" i="4"/>
  <c r="G22" i="7"/>
  <c r="F25" i="11"/>
  <c r="AB103" i="4"/>
  <c r="AL96" i="4"/>
  <c r="AM96" i="4" s="1"/>
  <c r="AO96" i="4" s="1"/>
  <c r="AP96" i="4" s="1"/>
  <c r="J37" i="10"/>
  <c r="F84" i="12"/>
  <c r="Y133" i="4"/>
  <c r="G56" i="7"/>
  <c r="F79" i="11"/>
  <c r="AJ198" i="4"/>
  <c r="AR198" i="4" s="1"/>
  <c r="AL95" i="4"/>
  <c r="J43" i="7"/>
  <c r="F83" i="12"/>
  <c r="AL78" i="4"/>
  <c r="AM78" i="4" s="1"/>
  <c r="AO78" i="4" s="1"/>
  <c r="AP78" i="4" s="1"/>
  <c r="F68" i="12"/>
  <c r="J31" i="10"/>
  <c r="AL175" i="4"/>
  <c r="J71" i="7"/>
  <c r="F151" i="12"/>
  <c r="Q23" i="10"/>
  <c r="R23" i="10" s="1"/>
  <c r="Y23" i="10" s="1"/>
  <c r="O23" i="10"/>
  <c r="P23" i="10"/>
  <c r="O28" i="10"/>
  <c r="P28" i="10" s="1"/>
  <c r="Q28" i="10" s="1"/>
  <c r="R28" i="10" s="1"/>
  <c r="Y28" i="10" s="1"/>
  <c r="O33" i="10"/>
  <c r="P33" i="10" s="1"/>
  <c r="Q33" i="10" s="1"/>
  <c r="R33" i="10" s="1"/>
  <c r="Y33" i="10" s="1"/>
  <c r="P38" i="10"/>
  <c r="Q38" i="10" s="1"/>
  <c r="R38" i="10" s="1"/>
  <c r="Y38" i="10" s="1"/>
  <c r="O38" i="10"/>
  <c r="Y50" i="4"/>
  <c r="F32" i="11"/>
  <c r="G23" i="10"/>
  <c r="AL196" i="4"/>
  <c r="AM196" i="4" s="1"/>
  <c r="AO196" i="4" s="1"/>
  <c r="AP196" i="4" s="1"/>
  <c r="F170" i="12"/>
  <c r="J66" i="10"/>
  <c r="O49" i="10"/>
  <c r="P49" i="10" s="1"/>
  <c r="Q49" i="10" s="1"/>
  <c r="R49" i="10" s="1"/>
  <c r="Y49" i="10" s="1"/>
  <c r="Y41" i="4"/>
  <c r="F29" i="11"/>
  <c r="G24" i="7"/>
  <c r="AL132" i="4"/>
  <c r="F114" i="12"/>
  <c r="AB144" i="4"/>
  <c r="Y80" i="4"/>
  <c r="G32" i="10"/>
  <c r="F50" i="11"/>
  <c r="O47" i="10"/>
  <c r="P47" i="10" s="1"/>
  <c r="Q47" i="10" s="1"/>
  <c r="R47" i="10" s="1"/>
  <c r="Y47" i="10" s="1"/>
  <c r="AJ171" i="4"/>
  <c r="AF4" i="4"/>
  <c r="AL98" i="4"/>
  <c r="AM98" i="4" s="1"/>
  <c r="AO98" i="4" s="1"/>
  <c r="AP98" i="4" s="1"/>
  <c r="J38" i="10"/>
  <c r="F86" i="12"/>
  <c r="AB168" i="4"/>
  <c r="Y236" i="4"/>
  <c r="F140" i="11"/>
  <c r="G77" i="10"/>
  <c r="AE222" i="4"/>
  <c r="I73" i="10"/>
  <c r="AE238" i="4"/>
  <c r="I78" i="10"/>
  <c r="Y187" i="4"/>
  <c r="G75" i="7"/>
  <c r="AE399" i="4"/>
  <c r="I151" i="7"/>
  <c r="AL165" i="4"/>
  <c r="J68" i="7"/>
  <c r="F143" i="12"/>
  <c r="AJ269" i="4"/>
  <c r="AE155" i="4"/>
  <c r="AE171" i="4"/>
  <c r="AE187" i="4"/>
  <c r="I75" i="7"/>
  <c r="AE203" i="4"/>
  <c r="I81" i="7"/>
  <c r="AE219" i="4"/>
  <c r="I87" i="7"/>
  <c r="AE235" i="4"/>
  <c r="I93" i="7"/>
  <c r="AE251" i="4"/>
  <c r="I99" i="7"/>
  <c r="Q95" i="10"/>
  <c r="R95" i="10" s="1"/>
  <c r="Y95" i="10" s="1"/>
  <c r="P95" i="10"/>
  <c r="O95" i="10"/>
  <c r="AL203" i="4"/>
  <c r="F175" i="12"/>
  <c r="J81" i="7"/>
  <c r="AL194" i="4"/>
  <c r="F168" i="12"/>
  <c r="J65" i="10"/>
  <c r="Y231" i="4"/>
  <c r="G91" i="7"/>
  <c r="F135" i="11"/>
  <c r="AE270" i="4"/>
  <c r="O122" i="10"/>
  <c r="P122" i="10" s="1"/>
  <c r="Q122" i="10" s="1"/>
  <c r="R122" i="10" s="1"/>
  <c r="Y122" i="10" s="1"/>
  <c r="AL185" i="4"/>
  <c r="F159" i="12"/>
  <c r="Y222" i="4"/>
  <c r="F132" i="11"/>
  <c r="G73" i="10"/>
  <c r="AE304" i="4"/>
  <c r="I96" i="10"/>
  <c r="AL176" i="4"/>
  <c r="F152" i="12"/>
  <c r="J59" i="10"/>
  <c r="AB142" i="4"/>
  <c r="AB158" i="4"/>
  <c r="AB174" i="4"/>
  <c r="AB190" i="4"/>
  <c r="AB206" i="4"/>
  <c r="AB222" i="4"/>
  <c r="AB238" i="4"/>
  <c r="AB284" i="4"/>
  <c r="AB300" i="4"/>
  <c r="Y371" i="4"/>
  <c r="G141" i="7"/>
  <c r="F215" i="11"/>
  <c r="AB267" i="4"/>
  <c r="AB283" i="4"/>
  <c r="AB299" i="4"/>
  <c r="AE382" i="4"/>
  <c r="AE419" i="4"/>
  <c r="I159" i="7"/>
  <c r="AL284" i="4"/>
  <c r="F244" i="12"/>
  <c r="AL362" i="4"/>
  <c r="F312" i="12"/>
  <c r="J113" i="10"/>
  <c r="AJ310" i="4"/>
  <c r="AR310" i="4" s="1"/>
  <c r="AB327" i="4"/>
  <c r="Q108" i="10"/>
  <c r="R108" i="10" s="1"/>
  <c r="Y108" i="10" s="1"/>
  <c r="P108" i="10"/>
  <c r="O108" i="10"/>
  <c r="O128" i="10"/>
  <c r="P128" i="10" s="1"/>
  <c r="Q128" i="10" s="1"/>
  <c r="R128" i="10" s="1"/>
  <c r="Y128" i="10" s="1"/>
  <c r="Y288" i="4"/>
  <c r="G91" i="10"/>
  <c r="F168" i="11"/>
  <c r="AB323" i="4"/>
  <c r="Y359" i="4"/>
  <c r="F209" i="11"/>
  <c r="G137" i="7"/>
  <c r="AJ380" i="4"/>
  <c r="AR380" i="4" s="1"/>
  <c r="O102" i="10"/>
  <c r="P102" i="10" s="1"/>
  <c r="Q102" i="10" s="1"/>
  <c r="R102" i="10" s="1"/>
  <c r="Y102" i="10" s="1"/>
  <c r="AL258" i="4"/>
  <c r="AM258" i="4" s="1"/>
  <c r="AO258" i="4" s="1"/>
  <c r="AP258" i="4" s="1"/>
  <c r="F222" i="12"/>
  <c r="Y349" i="4"/>
  <c r="G134" i="7"/>
  <c r="F205" i="11"/>
  <c r="Y262" i="4"/>
  <c r="G84" i="10"/>
  <c r="F154" i="11"/>
  <c r="AB318" i="4"/>
  <c r="Y261" i="4"/>
  <c r="F153" i="11"/>
  <c r="G102" i="7"/>
  <c r="AB333" i="4"/>
  <c r="AE314" i="4"/>
  <c r="Y332" i="4"/>
  <c r="F194" i="11"/>
  <c r="G104" i="10"/>
  <c r="Y378" i="4"/>
  <c r="G118" i="10"/>
  <c r="F222" i="11"/>
  <c r="Q129" i="10"/>
  <c r="R129" i="10" s="1"/>
  <c r="Y129" i="10" s="1"/>
  <c r="O129" i="10"/>
  <c r="P129" i="10"/>
  <c r="AB317" i="4"/>
  <c r="AE337" i="4"/>
  <c r="O119" i="10"/>
  <c r="Q119" i="10"/>
  <c r="R119" i="10" s="1"/>
  <c r="Y119" i="10" s="1"/>
  <c r="P119" i="10"/>
  <c r="AL361" i="4"/>
  <c r="J138" i="7"/>
  <c r="F311" i="12"/>
  <c r="Y383" i="4"/>
  <c r="G145" i="7"/>
  <c r="AB336" i="4"/>
  <c r="AJ394" i="4"/>
  <c r="AR394" i="4" s="1"/>
  <c r="Y417" i="4"/>
  <c r="G158" i="7"/>
  <c r="F243" i="11"/>
  <c r="AE394" i="4"/>
  <c r="AE370" i="4"/>
  <c r="P121" i="10"/>
  <c r="O121" i="10"/>
  <c r="Q121" i="10"/>
  <c r="R121" i="10" s="1"/>
  <c r="Y121" i="10" s="1"/>
  <c r="AL409" i="4"/>
  <c r="F351" i="12"/>
  <c r="AB413" i="4"/>
  <c r="Z20" i="7"/>
  <c r="X20" i="7"/>
  <c r="AB20" i="7" s="1"/>
  <c r="U20" i="7"/>
  <c r="V20" i="7" s="1"/>
  <c r="K4" i="7"/>
  <c r="Z52" i="7"/>
  <c r="X52" i="7"/>
  <c r="U52" i="7"/>
  <c r="Z74" i="7"/>
  <c r="X74" i="7"/>
  <c r="U74" i="7"/>
  <c r="Z25" i="7"/>
  <c r="X25" i="7"/>
  <c r="AB25" i="7" s="1"/>
  <c r="U25" i="7"/>
  <c r="V25" i="7" s="1"/>
  <c r="AE25" i="7" s="1"/>
  <c r="Z57" i="7"/>
  <c r="X57" i="7"/>
  <c r="U57" i="7"/>
  <c r="Z47" i="7"/>
  <c r="X47" i="7"/>
  <c r="U47" i="7"/>
  <c r="U103" i="7"/>
  <c r="Z103" i="7"/>
  <c r="X103" i="7"/>
  <c r="X146" i="7"/>
  <c r="Z146" i="7"/>
  <c r="U146" i="7"/>
  <c r="Z100" i="7"/>
  <c r="U100" i="7"/>
  <c r="V100" i="7" s="1"/>
  <c r="AE100" i="7" s="1"/>
  <c r="X100" i="7"/>
  <c r="AB100" i="7" s="1"/>
  <c r="Z156" i="7"/>
  <c r="X156" i="7"/>
  <c r="U156" i="7"/>
  <c r="DP35" i="6"/>
  <c r="DL35" i="6"/>
  <c r="AH25" i="12"/>
  <c r="AM97" i="7"/>
  <c r="AL97" i="7"/>
  <c r="AM101" i="7"/>
  <c r="AL101" i="7"/>
  <c r="S138" i="16"/>
  <c r="AE17" i="12"/>
  <c r="AM152" i="7"/>
  <c r="AL152" i="7"/>
  <c r="AT157" i="7"/>
  <c r="AP357" i="12" s="1"/>
  <c r="AR157" i="7"/>
  <c r="AS157" i="7"/>
  <c r="EI50" i="6"/>
  <c r="EM50" i="6"/>
  <c r="AT23" i="7"/>
  <c r="AP35" i="12" s="1"/>
  <c r="AS23" i="7"/>
  <c r="AR23" i="7"/>
  <c r="Q150" i="9"/>
  <c r="AQ150" i="12" s="1"/>
  <c r="AJ109" i="7"/>
  <c r="AO109" i="7"/>
  <c r="EN50" i="6"/>
  <c r="EJ50" i="6"/>
  <c r="AT72" i="7"/>
  <c r="AP153" i="12" s="1"/>
  <c r="AS72" i="7"/>
  <c r="AR72" i="7"/>
  <c r="S277" i="16"/>
  <c r="S124" i="16"/>
  <c r="AU92" i="7"/>
  <c r="AY92" i="7"/>
  <c r="I201" i="12"/>
  <c r="X201" i="9"/>
  <c r="AB21" i="12"/>
  <c r="S47" i="16"/>
  <c r="S259" i="16"/>
  <c r="T259" i="16" s="1"/>
  <c r="S119" i="16"/>
  <c r="T119" i="16" s="1"/>
  <c r="AU153" i="7"/>
  <c r="AY153" i="7"/>
  <c r="I347" i="12"/>
  <c r="X347" i="9"/>
  <c r="AF52" i="5"/>
  <c r="AR22" i="20" s="1"/>
  <c r="AK22" i="20"/>
  <c r="AK25" i="12"/>
  <c r="AR142" i="7"/>
  <c r="AS142" i="7"/>
  <c r="AT142" i="7"/>
  <c r="AP321" i="12" s="1"/>
  <c r="Z50" i="5"/>
  <c r="AB50" i="5"/>
  <c r="AD50" i="5" s="1"/>
  <c r="AT43" i="7"/>
  <c r="AP83" i="12" s="1"/>
  <c r="AS43" i="7"/>
  <c r="AR43" i="7"/>
  <c r="AK102" i="7"/>
  <c r="AI102" i="7"/>
  <c r="AX102" i="7"/>
  <c r="W225" i="9"/>
  <c r="H225" i="12"/>
  <c r="AT54" i="7"/>
  <c r="AP109" i="12" s="1"/>
  <c r="AS54" i="7"/>
  <c r="AR54" i="7"/>
  <c r="P32" i="6"/>
  <c r="R32" i="6" s="1"/>
  <c r="AJ133" i="7"/>
  <c r="AO133" i="7"/>
  <c r="AM113" i="7"/>
  <c r="AL113" i="7"/>
  <c r="AT73" i="7"/>
  <c r="AP155" i="12" s="1"/>
  <c r="AS73" i="7"/>
  <c r="AR73" i="7"/>
  <c r="AK17" i="12"/>
  <c r="AT51" i="7"/>
  <c r="AP103" i="12" s="1"/>
  <c r="AS51" i="7"/>
  <c r="AR51" i="7"/>
  <c r="EL38" i="6"/>
  <c r="EH38" i="6"/>
  <c r="T27" i="16"/>
  <c r="S100" i="16"/>
  <c r="T124" i="16"/>
  <c r="AJ126" i="7"/>
  <c r="AO126" i="7"/>
  <c r="AK21" i="12"/>
  <c r="T47" i="16"/>
  <c r="S382" i="16"/>
  <c r="T382" i="16" s="1"/>
  <c r="AY149" i="7"/>
  <c r="AU149" i="7"/>
  <c r="I337" i="12"/>
  <c r="X337" i="9"/>
  <c r="AV149" i="7"/>
  <c r="AY154" i="7"/>
  <c r="AU154" i="7"/>
  <c r="X349" i="9"/>
  <c r="I349" i="12"/>
  <c r="EJ43" i="6"/>
  <c r="EL46" i="6"/>
  <c r="EH46" i="6"/>
  <c r="AK52" i="5"/>
  <c r="AD22" i="20"/>
  <c r="AT107" i="7"/>
  <c r="AP237" i="12" s="1"/>
  <c r="AS107" i="7"/>
  <c r="AR107" i="7"/>
  <c r="AW16" i="7"/>
  <c r="U19" i="9"/>
  <c r="G19" i="12"/>
  <c r="AG15" i="20"/>
  <c r="BE21" i="4"/>
  <c r="AF152" i="5"/>
  <c r="AR42" i="20" s="1"/>
  <c r="AK42" i="20"/>
  <c r="AJ102" i="7"/>
  <c r="AO102" i="7"/>
  <c r="AT99" i="7"/>
  <c r="AP217" i="12" s="1"/>
  <c r="AS99" i="7"/>
  <c r="AR99" i="7"/>
  <c r="AX89" i="7"/>
  <c r="AK89" i="7"/>
  <c r="AI89" i="7"/>
  <c r="H193" i="12"/>
  <c r="W193" i="9"/>
  <c r="AH17" i="12"/>
  <c r="V126" i="9"/>
  <c r="T126" i="9"/>
  <c r="R126" i="9"/>
  <c r="J126" i="12"/>
  <c r="S27" i="16"/>
  <c r="R174" i="9"/>
  <c r="T174" i="9"/>
  <c r="V174" i="9"/>
  <c r="J174" i="12"/>
  <c r="EJ42" i="6"/>
  <c r="EN42" i="6"/>
  <c r="AI126" i="7"/>
  <c r="AK126" i="7"/>
  <c r="AX126" i="7"/>
  <c r="H283" i="12"/>
  <c r="W283" i="9"/>
  <c r="S160" i="16"/>
  <c r="T147" i="16"/>
  <c r="EM43" i="6"/>
  <c r="EI43" i="6"/>
  <c r="T150" i="16"/>
  <c r="AT47" i="7"/>
  <c r="AP93" i="12" s="1"/>
  <c r="AS47" i="7"/>
  <c r="AR47" i="7"/>
  <c r="V257" i="9"/>
  <c r="R257" i="9"/>
  <c r="T257" i="9"/>
  <c r="Q257" i="9"/>
  <c r="AQ257" i="12" s="1"/>
  <c r="J257" i="12"/>
  <c r="AZ115" i="7"/>
  <c r="S20" i="16"/>
  <c r="S188" i="16"/>
  <c r="S201" i="16"/>
  <c r="EI48" i="6"/>
  <c r="EM48" i="6"/>
  <c r="S268" i="16"/>
  <c r="T268" i="16" s="1"/>
  <c r="T175" i="16"/>
  <c r="AM154" i="7"/>
  <c r="AL154" i="7"/>
  <c r="S79" i="16"/>
  <c r="T79" i="16" s="1"/>
  <c r="S181" i="16"/>
  <c r="S186" i="16"/>
  <c r="EK39" i="6"/>
  <c r="EO39" i="6" s="1"/>
  <c r="AT32" i="7"/>
  <c r="AP57" i="12" s="1"/>
  <c r="AS32" i="7"/>
  <c r="AR32" i="7"/>
  <c r="Y69" i="4"/>
  <c r="G34" i="7"/>
  <c r="F45" i="11"/>
  <c r="O44" i="10"/>
  <c r="P44" i="10" s="1"/>
  <c r="Q44" i="10" s="1"/>
  <c r="R44" i="10" s="1"/>
  <c r="Y44" i="10" s="1"/>
  <c r="AL191" i="4"/>
  <c r="AM191" i="4" s="1"/>
  <c r="AO191" i="4" s="1"/>
  <c r="AP191" i="4" s="1"/>
  <c r="J77" i="7"/>
  <c r="F165" i="12"/>
  <c r="Y251" i="4"/>
  <c r="G99" i="7"/>
  <c r="F149" i="11"/>
  <c r="AR385" i="4"/>
  <c r="AM361" i="4"/>
  <c r="AO361" i="4" s="1"/>
  <c r="AP361" i="4" s="1"/>
  <c r="AR361" i="4"/>
  <c r="AR147" i="7"/>
  <c r="AT147" i="7"/>
  <c r="AP333" i="12" s="1"/>
  <c r="AS147" i="7"/>
  <c r="AB24" i="12"/>
  <c r="AR125" i="4"/>
  <c r="AM125" i="4"/>
  <c r="AO125" i="4" s="1"/>
  <c r="AP125" i="4" s="1"/>
  <c r="AE120" i="4"/>
  <c r="I43" i="10"/>
  <c r="AL88" i="4"/>
  <c r="AM88" i="4" s="1"/>
  <c r="AO88" i="4" s="1"/>
  <c r="AP88" i="4" s="1"/>
  <c r="F76" i="12"/>
  <c r="P24" i="10"/>
  <c r="Q24" i="10" s="1"/>
  <c r="R24" i="10" s="1"/>
  <c r="Y24" i="10" s="1"/>
  <c r="O24" i="10"/>
  <c r="AE153" i="4"/>
  <c r="I64" i="7"/>
  <c r="AE278" i="4"/>
  <c r="I89" i="10"/>
  <c r="AL157" i="4"/>
  <c r="F135" i="12"/>
  <c r="AE372" i="4"/>
  <c r="I115" i="10"/>
  <c r="Y205" i="4"/>
  <c r="F121" i="11"/>
  <c r="G82" i="7"/>
  <c r="AE151" i="4"/>
  <c r="I63" i="7"/>
  <c r="AE247" i="4"/>
  <c r="I97" i="7"/>
  <c r="O105" i="10"/>
  <c r="P105" i="10" s="1"/>
  <c r="Q105" i="10" s="1"/>
  <c r="R105" i="10" s="1"/>
  <c r="Y105" i="10" s="1"/>
  <c r="Y404" i="4"/>
  <c r="G125" i="10"/>
  <c r="F236" i="11"/>
  <c r="O93" i="10"/>
  <c r="P93" i="10" s="1"/>
  <c r="Q93" i="10" s="1"/>
  <c r="R93" i="10" s="1"/>
  <c r="Y93" i="10" s="1"/>
  <c r="Y374" i="4"/>
  <c r="F218" i="11"/>
  <c r="G116" i="10"/>
  <c r="AM402" i="4"/>
  <c r="AO402" i="4" s="1"/>
  <c r="AP402" i="4" s="1"/>
  <c r="AR402" i="4"/>
  <c r="U59" i="7"/>
  <c r="Z59" i="7"/>
  <c r="X59" i="7"/>
  <c r="AY61" i="7"/>
  <c r="AU61" i="7"/>
  <c r="X127" i="9"/>
  <c r="I127" i="12"/>
  <c r="O52" i="10"/>
  <c r="P52" i="10" s="1"/>
  <c r="Q52" i="10" s="1"/>
  <c r="R52" i="10" s="1"/>
  <c r="Y52" i="10" s="1"/>
  <c r="AL148" i="4"/>
  <c r="AM148" i="4" s="1"/>
  <c r="AO148" i="4" s="1"/>
  <c r="AP148" i="4" s="1"/>
  <c r="F128" i="12"/>
  <c r="J51" i="10"/>
  <c r="Y53" i="4"/>
  <c r="G28" i="7"/>
  <c r="F35" i="11"/>
  <c r="AR116" i="4"/>
  <c r="AM116" i="4"/>
  <c r="AO116" i="4" s="1"/>
  <c r="AP116" i="4" s="1"/>
  <c r="AJ51" i="4"/>
  <c r="AL126" i="4"/>
  <c r="F110" i="12"/>
  <c r="J46" i="10"/>
  <c r="AE84" i="4"/>
  <c r="I34" i="10"/>
  <c r="P43" i="10"/>
  <c r="Q43" i="10" s="1"/>
  <c r="R43" i="10" s="1"/>
  <c r="Y43" i="10" s="1"/>
  <c r="O43" i="10"/>
  <c r="AL145" i="4"/>
  <c r="AM145" i="4" s="1"/>
  <c r="AO145" i="4" s="1"/>
  <c r="AP145" i="4" s="1"/>
  <c r="J60" i="7"/>
  <c r="F125" i="12"/>
  <c r="Y55" i="4"/>
  <c r="F37" i="11"/>
  <c r="G29" i="7"/>
  <c r="AR78" i="4"/>
  <c r="Y235" i="4"/>
  <c r="F139" i="11"/>
  <c r="G93" i="7"/>
  <c r="AE181" i="4"/>
  <c r="I74" i="7"/>
  <c r="AE229" i="4"/>
  <c r="I90" i="7"/>
  <c r="Y347" i="4"/>
  <c r="F203" i="11"/>
  <c r="G133" i="7"/>
  <c r="AL381" i="4"/>
  <c r="F327" i="12"/>
  <c r="AL306" i="4"/>
  <c r="J97" i="10"/>
  <c r="F264" i="12"/>
  <c r="AL273" i="4"/>
  <c r="F235" i="12"/>
  <c r="J106" i="7"/>
  <c r="AJ370" i="4"/>
  <c r="AJ328" i="4"/>
  <c r="AR260" i="4"/>
  <c r="AM260" i="4"/>
  <c r="AO260" i="4" s="1"/>
  <c r="AP260" i="4" s="1"/>
  <c r="AL388" i="4"/>
  <c r="AM388" i="4" s="1"/>
  <c r="AO388" i="4" s="1"/>
  <c r="AP388" i="4" s="1"/>
  <c r="F334" i="12"/>
  <c r="J120" i="10"/>
  <c r="Y361" i="4"/>
  <c r="F211" i="11"/>
  <c r="G138" i="7"/>
  <c r="Y413" i="4"/>
  <c r="G156" i="7"/>
  <c r="F239" i="11"/>
  <c r="X111" i="7"/>
  <c r="Z111" i="7"/>
  <c r="U111" i="7"/>
  <c r="AE93" i="4"/>
  <c r="I42" i="7"/>
  <c r="AL45" i="4"/>
  <c r="F39" i="12"/>
  <c r="Y112" i="4"/>
  <c r="F70" i="11"/>
  <c r="G42" i="10"/>
  <c r="Y39" i="4"/>
  <c r="G23" i="7"/>
  <c r="F27" i="11"/>
  <c r="AB48" i="4"/>
  <c r="AE164" i="4"/>
  <c r="I56" i="10"/>
  <c r="O80" i="10"/>
  <c r="P80" i="10"/>
  <c r="Q80" i="10" s="1"/>
  <c r="R80" i="10" s="1"/>
  <c r="Y80" i="10" s="1"/>
  <c r="AB328" i="4"/>
  <c r="AB274" i="4"/>
  <c r="AL283" i="4"/>
  <c r="F243" i="12"/>
  <c r="AL290" i="4"/>
  <c r="J92" i="10"/>
  <c r="F250" i="12"/>
  <c r="AL314" i="4"/>
  <c r="F270" i="12"/>
  <c r="F31" i="18"/>
  <c r="F155" i="7"/>
  <c r="AL389" i="4"/>
  <c r="F335" i="12"/>
  <c r="J148" i="7"/>
  <c r="Z49" i="7"/>
  <c r="X49" i="7"/>
  <c r="U49" i="7"/>
  <c r="AK68" i="5"/>
  <c r="AE25" i="20"/>
  <c r="AL188" i="4"/>
  <c r="AM188" i="4" s="1"/>
  <c r="AO188" i="4" s="1"/>
  <c r="AP188" i="4" s="1"/>
  <c r="F162" i="12"/>
  <c r="AE103" i="4"/>
  <c r="I45" i="7"/>
  <c r="AE70" i="4"/>
  <c r="I30" i="10"/>
  <c r="AE185" i="4"/>
  <c r="Y154" i="4"/>
  <c r="G54" i="10"/>
  <c r="F94" i="11"/>
  <c r="AE97" i="4"/>
  <c r="I44" i="7"/>
  <c r="AR152" i="4"/>
  <c r="AR248" i="4"/>
  <c r="AL163" i="4"/>
  <c r="AM163" i="4" s="1"/>
  <c r="AO163" i="4" s="1"/>
  <c r="AP163" i="4" s="1"/>
  <c r="J67" i="7"/>
  <c r="F141" i="12"/>
  <c r="AL154" i="4"/>
  <c r="AM154" i="4" s="1"/>
  <c r="AO154" i="4" s="1"/>
  <c r="AP154" i="4" s="1"/>
  <c r="F134" i="12"/>
  <c r="J54" i="10"/>
  <c r="Y191" i="4"/>
  <c r="G77" i="7"/>
  <c r="F113" i="11"/>
  <c r="O77" i="10"/>
  <c r="P77" i="10" s="1"/>
  <c r="Q77" i="10" s="1"/>
  <c r="R77" i="10" s="1"/>
  <c r="Y77" i="10" s="1"/>
  <c r="Y306" i="4"/>
  <c r="F180" i="11"/>
  <c r="G97" i="10"/>
  <c r="O110" i="10"/>
  <c r="P110" i="10" s="1"/>
  <c r="Q110" i="10" s="1"/>
  <c r="R110" i="10" s="1"/>
  <c r="Y110" i="10" s="1"/>
  <c r="AL327" i="4"/>
  <c r="J125" i="7"/>
  <c r="F281" i="12"/>
  <c r="AM375" i="4"/>
  <c r="AO375" i="4" s="1"/>
  <c r="AP375" i="4" s="1"/>
  <c r="AR375" i="4"/>
  <c r="AE279" i="4"/>
  <c r="I109" i="7"/>
  <c r="F145" i="7"/>
  <c r="F27" i="18"/>
  <c r="AJ404" i="4"/>
  <c r="Y355" i="4"/>
  <c r="G135" i="7"/>
  <c r="AL204" i="4"/>
  <c r="F176" i="12"/>
  <c r="J67" i="10"/>
  <c r="Y131" i="4"/>
  <c r="G55" i="7"/>
  <c r="Y66" i="4"/>
  <c r="G28" i="10"/>
  <c r="F42" i="11"/>
  <c r="AE42" i="4"/>
  <c r="I22" i="10"/>
  <c r="AE106" i="4"/>
  <c r="I39" i="10"/>
  <c r="AB167" i="4"/>
  <c r="AB231" i="4"/>
  <c r="AL192" i="4"/>
  <c r="AM192" i="4" s="1"/>
  <c r="AO192" i="4" s="1"/>
  <c r="AP192" i="4" s="1"/>
  <c r="F166" i="12"/>
  <c r="J64" i="10"/>
  <c r="AR140" i="4"/>
  <c r="AR220" i="4"/>
  <c r="AM220" i="4"/>
  <c r="AO220" i="4" s="1"/>
  <c r="AP220" i="4" s="1"/>
  <c r="AR298" i="4"/>
  <c r="AJ281" i="4"/>
  <c r="AR281" i="4" s="1"/>
  <c r="AL357" i="4"/>
  <c r="F307" i="12"/>
  <c r="J136" i="7"/>
  <c r="Y278" i="4"/>
  <c r="F164" i="11"/>
  <c r="G89" i="10"/>
  <c r="AM21" i="7"/>
  <c r="AL21" i="7"/>
  <c r="AL49" i="4"/>
  <c r="AM49" i="4" s="1"/>
  <c r="AO49" i="4" s="1"/>
  <c r="AP49" i="4" s="1"/>
  <c r="J26" i="7"/>
  <c r="F43" i="12"/>
  <c r="Y70" i="4"/>
  <c r="F46" i="11"/>
  <c r="G30" i="10"/>
  <c r="O40" i="10"/>
  <c r="Q40" i="10"/>
  <c r="R40" i="10" s="1"/>
  <c r="Y40" i="10" s="1"/>
  <c r="P40" i="10"/>
  <c r="AB59" i="4"/>
  <c r="AB91" i="4"/>
  <c r="AB123" i="4"/>
  <c r="Y97" i="4"/>
  <c r="F61" i="11"/>
  <c r="G44" i="7"/>
  <c r="AE145" i="4"/>
  <c r="I60" i="7"/>
  <c r="AL172" i="4"/>
  <c r="AM172" i="4" s="1"/>
  <c r="AO172" i="4" s="1"/>
  <c r="AP172" i="4" s="1"/>
  <c r="F148" i="12"/>
  <c r="O30" i="10"/>
  <c r="P30" i="10" s="1"/>
  <c r="Q30" i="10" s="1"/>
  <c r="R30" i="10" s="1"/>
  <c r="Y30" i="10" s="1"/>
  <c r="P73" i="10"/>
  <c r="Q73" i="10" s="1"/>
  <c r="R73" i="10" s="1"/>
  <c r="Y73" i="10" s="1"/>
  <c r="O73" i="10"/>
  <c r="Y243" i="4"/>
  <c r="G95" i="7"/>
  <c r="AR201" i="4"/>
  <c r="AB272" i="4"/>
  <c r="O90" i="10"/>
  <c r="P90" i="10" s="1"/>
  <c r="Q90" i="10" s="1"/>
  <c r="R90" i="10" s="1"/>
  <c r="Y90" i="10" s="1"/>
  <c r="AL307" i="4"/>
  <c r="AM307" i="4" s="1"/>
  <c r="AO307" i="4" s="1"/>
  <c r="AP307" i="4" s="1"/>
  <c r="F265" i="12"/>
  <c r="J119" i="7"/>
  <c r="AL339" i="4"/>
  <c r="F291" i="12"/>
  <c r="AE315" i="4"/>
  <c r="I121" i="7"/>
  <c r="AE350" i="4"/>
  <c r="I110" i="10"/>
  <c r="AL342" i="4"/>
  <c r="F294" i="12"/>
  <c r="Y391" i="4"/>
  <c r="F229" i="11"/>
  <c r="G149" i="7"/>
  <c r="AL280" i="4"/>
  <c r="AM280" i="4" s="1"/>
  <c r="AO280" i="4" s="1"/>
  <c r="AP280" i="4" s="1"/>
  <c r="J90" i="10"/>
  <c r="F242" i="12"/>
  <c r="O82" i="10"/>
  <c r="P82" i="10" s="1"/>
  <c r="Q82" i="10" s="1"/>
  <c r="R82" i="10" s="1"/>
  <c r="Y82" i="10" s="1"/>
  <c r="O113" i="10"/>
  <c r="P113" i="10" s="1"/>
  <c r="Q113" i="10" s="1"/>
  <c r="R113" i="10" s="1"/>
  <c r="Y113" i="10" s="1"/>
  <c r="Y399" i="4"/>
  <c r="F231" i="11"/>
  <c r="G151" i="7"/>
  <c r="Z73" i="7"/>
  <c r="X73" i="7"/>
  <c r="U73" i="7"/>
  <c r="U43" i="7"/>
  <c r="Z43" i="7"/>
  <c r="X43" i="7"/>
  <c r="Z83" i="7"/>
  <c r="X83" i="7"/>
  <c r="U83" i="7"/>
  <c r="Z94" i="7"/>
  <c r="X94" i="7"/>
  <c r="U94" i="7"/>
  <c r="X99" i="7"/>
  <c r="Z99" i="7"/>
  <c r="U99" i="7"/>
  <c r="U150" i="7"/>
  <c r="V150" i="7" s="1"/>
  <c r="AE150" i="7" s="1"/>
  <c r="Z150" i="7"/>
  <c r="X150" i="7"/>
  <c r="AB150" i="7" s="1"/>
  <c r="X154" i="7"/>
  <c r="Z154" i="7"/>
  <c r="U154" i="7"/>
  <c r="Z99" i="5"/>
  <c r="AB99" i="5"/>
  <c r="AD99" i="5" s="1"/>
  <c r="AK15" i="5"/>
  <c r="AB15" i="20"/>
  <c r="AM138" i="7"/>
  <c r="AL138" i="7"/>
  <c r="AF24" i="5"/>
  <c r="AT16" i="20" s="1"/>
  <c r="AM16" i="20"/>
  <c r="AL97" i="4"/>
  <c r="J44" i="7"/>
  <c r="F85" i="12"/>
  <c r="AB71" i="4"/>
  <c r="AL80" i="4"/>
  <c r="AM80" i="4" s="1"/>
  <c r="AO80" i="4" s="1"/>
  <c r="AP80" i="4" s="1"/>
  <c r="F70" i="12"/>
  <c r="J32" i="10"/>
  <c r="Y117" i="4"/>
  <c r="G50" i="7"/>
  <c r="AJ76" i="4"/>
  <c r="AB133" i="4"/>
  <c r="AJ59" i="4"/>
  <c r="AL62" i="4"/>
  <c r="AM62" i="4" s="1"/>
  <c r="AO62" i="4" s="1"/>
  <c r="AP62" i="4" s="1"/>
  <c r="F54" i="12"/>
  <c r="AE92" i="4"/>
  <c r="I35" i="10"/>
  <c r="AL116" i="4"/>
  <c r="F100" i="12"/>
  <c r="O32" i="10"/>
  <c r="P32" i="10"/>
  <c r="Q32" i="10" s="1"/>
  <c r="R32" i="10" s="1"/>
  <c r="Y32" i="10" s="1"/>
  <c r="P42" i="10"/>
  <c r="Q42" i="10" s="1"/>
  <c r="R42" i="10" s="1"/>
  <c r="Y42" i="10" s="1"/>
  <c r="O42" i="10"/>
  <c r="AL146" i="4"/>
  <c r="AM146" i="4" s="1"/>
  <c r="AO146" i="4" s="1"/>
  <c r="AP146" i="4" s="1"/>
  <c r="F126" i="12"/>
  <c r="Y64" i="4"/>
  <c r="F40" i="11"/>
  <c r="G27" i="10"/>
  <c r="AJ86" i="4"/>
  <c r="AR86" i="4" s="1"/>
  <c r="AJ118" i="4"/>
  <c r="AE173" i="4"/>
  <c r="I70" i="7"/>
  <c r="AE205" i="4"/>
  <c r="I82" i="7"/>
  <c r="AE364" i="4"/>
  <c r="I114" i="10"/>
  <c r="AL178" i="4"/>
  <c r="AM178" i="4" s="1"/>
  <c r="AO178" i="4" s="1"/>
  <c r="AP178" i="4" s="1"/>
  <c r="J60" i="10"/>
  <c r="F154" i="12"/>
  <c r="Y215" i="4"/>
  <c r="G85" i="7"/>
  <c r="AB265" i="4"/>
  <c r="Y206" i="4"/>
  <c r="G68" i="10"/>
  <c r="F122" i="11"/>
  <c r="AJ266" i="4"/>
  <c r="AL160" i="4"/>
  <c r="F138" i="12"/>
  <c r="Y335" i="4"/>
  <c r="G129" i="7"/>
  <c r="F197" i="11"/>
  <c r="AL293" i="4"/>
  <c r="J114" i="7"/>
  <c r="F253" i="12"/>
  <c r="AE332" i="4"/>
  <c r="I104" i="10"/>
  <c r="AE374" i="4"/>
  <c r="I116" i="10"/>
  <c r="AE415" i="4"/>
  <c r="I157" i="7"/>
  <c r="AL336" i="4"/>
  <c r="F290" i="12"/>
  <c r="J106" i="10"/>
  <c r="Y305" i="4"/>
  <c r="G118" i="7"/>
  <c r="F179" i="11"/>
  <c r="AJ391" i="4"/>
  <c r="AE312" i="4"/>
  <c r="AE347" i="4"/>
  <c r="I133" i="7"/>
  <c r="O115" i="10"/>
  <c r="P115" i="10"/>
  <c r="Q115" i="10" s="1"/>
  <c r="R115" i="10" s="1"/>
  <c r="Y115" i="10" s="1"/>
  <c r="AB289" i="4"/>
  <c r="AB305" i="4"/>
  <c r="AL358" i="4"/>
  <c r="AM358" i="4" s="1"/>
  <c r="AO358" i="4" s="1"/>
  <c r="AP358" i="4" s="1"/>
  <c r="J111" i="10"/>
  <c r="F308" i="12"/>
  <c r="Y279" i="4"/>
  <c r="F165" i="11"/>
  <c r="G109" i="7"/>
  <c r="AB334" i="4"/>
  <c r="AE352" i="4"/>
  <c r="AJ384" i="4"/>
  <c r="AE326" i="4"/>
  <c r="P106" i="10"/>
  <c r="Q106" i="10" s="1"/>
  <c r="R106" i="10" s="1"/>
  <c r="Y106" i="10" s="1"/>
  <c r="O106" i="10"/>
  <c r="AM284" i="4"/>
  <c r="AO284" i="4" s="1"/>
  <c r="AP284" i="4" s="1"/>
  <c r="AR284" i="4"/>
  <c r="AM316" i="4"/>
  <c r="AO316" i="4" s="1"/>
  <c r="AP316" i="4" s="1"/>
  <c r="AR316" i="4"/>
  <c r="O101" i="10"/>
  <c r="P101" i="10" s="1"/>
  <c r="Q101" i="10" s="1"/>
  <c r="R101" i="10" s="1"/>
  <c r="Y101" i="10" s="1"/>
  <c r="Y388" i="4"/>
  <c r="G120" i="10"/>
  <c r="F226" i="11"/>
  <c r="Y385" i="4"/>
  <c r="F223" i="11"/>
  <c r="G146" i="7"/>
  <c r="AB418" i="4"/>
  <c r="Y420" i="4"/>
  <c r="F246" i="11"/>
  <c r="G130" i="10"/>
  <c r="AE354" i="4"/>
  <c r="Y369" i="4"/>
  <c r="G140" i="7"/>
  <c r="AE413" i="4"/>
  <c r="I156" i="7"/>
  <c r="Z101" i="7"/>
  <c r="X101" i="7"/>
  <c r="U101" i="7"/>
  <c r="Z93" i="7"/>
  <c r="X93" i="7"/>
  <c r="U93" i="7"/>
  <c r="Z42" i="7"/>
  <c r="X42" i="7"/>
  <c r="U42" i="7"/>
  <c r="Z85" i="7"/>
  <c r="X85" i="7"/>
  <c r="AB85" i="7" s="1"/>
  <c r="U85" i="7"/>
  <c r="V85" i="7" s="1"/>
  <c r="AE85" i="7" s="1"/>
  <c r="Z80" i="7"/>
  <c r="X80" i="7"/>
  <c r="AB80" i="7" s="1"/>
  <c r="U80" i="7"/>
  <c r="V80" i="7" s="1"/>
  <c r="AE80" i="7" s="1"/>
  <c r="Z133" i="7"/>
  <c r="U133" i="7"/>
  <c r="X133" i="7"/>
  <c r="AY57" i="7"/>
  <c r="AU57" i="7"/>
  <c r="X117" i="9"/>
  <c r="I117" i="12"/>
  <c r="AF129" i="5"/>
  <c r="AT37" i="20" s="1"/>
  <c r="AM37" i="20"/>
  <c r="AM147" i="7"/>
  <c r="AL147" i="7"/>
  <c r="BH25" i="4"/>
  <c r="AT58" i="7"/>
  <c r="AP119" i="12" s="1"/>
  <c r="AS58" i="7"/>
  <c r="AR58" i="7"/>
  <c r="AT28" i="7"/>
  <c r="AP47" i="12" s="1"/>
  <c r="AS28" i="7"/>
  <c r="AR28" i="7"/>
  <c r="AL81" i="7"/>
  <c r="AM81" i="7"/>
  <c r="AE96" i="4"/>
  <c r="I37" i="10"/>
  <c r="AE64" i="4"/>
  <c r="I27" i="10"/>
  <c r="Y36" i="4"/>
  <c r="G19" i="10"/>
  <c r="F24" i="11"/>
  <c r="AE56" i="4"/>
  <c r="I26" i="10"/>
  <c r="AB119" i="4"/>
  <c r="AB87" i="4"/>
  <c r="AL164" i="4"/>
  <c r="F142" i="12"/>
  <c r="J56" i="10"/>
  <c r="V4" i="4"/>
  <c r="AL118" i="4"/>
  <c r="F102" i="12"/>
  <c r="AE190" i="4"/>
  <c r="I63" i="10"/>
  <c r="AB36" i="4"/>
  <c r="AB52" i="4"/>
  <c r="AB68" i="4"/>
  <c r="AB84" i="4"/>
  <c r="AB100" i="4"/>
  <c r="AB116" i="4"/>
  <c r="AB132" i="4"/>
  <c r="AJ155" i="4"/>
  <c r="AR155" i="4" s="1"/>
  <c r="AL53" i="4"/>
  <c r="AM53" i="4" s="1"/>
  <c r="AO53" i="4" s="1"/>
  <c r="AP53" i="4" s="1"/>
  <c r="J28" i="7"/>
  <c r="F47" i="12"/>
  <c r="AE141" i="4"/>
  <c r="AE201" i="4"/>
  <c r="I80" i="7"/>
  <c r="Y81" i="4"/>
  <c r="G38" i="7"/>
  <c r="F51" i="11"/>
  <c r="Y135" i="4"/>
  <c r="G57" i="7"/>
  <c r="F81" i="11"/>
  <c r="AJ166" i="4"/>
  <c r="AJ32" i="4"/>
  <c r="AJ48" i="4"/>
  <c r="AJ64" i="4"/>
  <c r="AJ112" i="4"/>
  <c r="AJ128" i="4"/>
  <c r="AR128" i="4" s="1"/>
  <c r="AL83" i="4"/>
  <c r="J39" i="7"/>
  <c r="F73" i="12"/>
  <c r="Y120" i="4"/>
  <c r="G43" i="10"/>
  <c r="F72" i="11"/>
  <c r="AJ31" i="4"/>
  <c r="AJ79" i="4"/>
  <c r="AJ95" i="4"/>
  <c r="AJ127" i="4"/>
  <c r="AR127" i="4" s="1"/>
  <c r="Y47" i="4"/>
  <c r="G25" i="7"/>
  <c r="AL190" i="4"/>
  <c r="AM190" i="4" s="1"/>
  <c r="AO190" i="4" s="1"/>
  <c r="AP190" i="4" s="1"/>
  <c r="J63" i="10"/>
  <c r="F164" i="12"/>
  <c r="O84" i="10"/>
  <c r="P84" i="10"/>
  <c r="Q84" i="10" s="1"/>
  <c r="R84" i="10" s="1"/>
  <c r="Y84" i="10" s="1"/>
  <c r="Y320" i="4"/>
  <c r="F188" i="11"/>
  <c r="G101" i="10"/>
  <c r="AL205" i="4"/>
  <c r="J82" i="7"/>
  <c r="F177" i="12"/>
  <c r="Y249" i="4"/>
  <c r="F147" i="11"/>
  <c r="G98" i="7"/>
  <c r="AB279" i="4"/>
  <c r="AB313" i="4"/>
  <c r="Y152" i="4"/>
  <c r="F92" i="11"/>
  <c r="G53" i="10"/>
  <c r="AL243" i="4"/>
  <c r="F209" i="12"/>
  <c r="J95" i="7"/>
  <c r="AL234" i="4"/>
  <c r="AM234" i="4" s="1"/>
  <c r="AO234" i="4" s="1"/>
  <c r="AP234" i="4" s="1"/>
  <c r="J76" i="10"/>
  <c r="F202" i="12"/>
  <c r="O79" i="10"/>
  <c r="P79" i="10" s="1"/>
  <c r="Q79" i="10" s="1"/>
  <c r="R79" i="10" s="1"/>
  <c r="Y79" i="10" s="1"/>
  <c r="AB253" i="4"/>
  <c r="AL216" i="4"/>
  <c r="AM216" i="4" s="1"/>
  <c r="AO216" i="4" s="1"/>
  <c r="AP216" i="4" s="1"/>
  <c r="F186" i="12"/>
  <c r="AB374" i="4"/>
  <c r="AE397" i="4"/>
  <c r="I150" i="7"/>
  <c r="AL313" i="4"/>
  <c r="AM313" i="4" s="1"/>
  <c r="AO313" i="4" s="1"/>
  <c r="AP313" i="4" s="1"/>
  <c r="F269" i="12"/>
  <c r="J120" i="7"/>
  <c r="Y375" i="4"/>
  <c r="G143" i="7"/>
  <c r="F219" i="11"/>
  <c r="AB343" i="4"/>
  <c r="AL370" i="4"/>
  <c r="F318" i="12"/>
  <c r="AL291" i="4"/>
  <c r="F251" i="12"/>
  <c r="J113" i="7"/>
  <c r="AE363" i="4"/>
  <c r="I139" i="7"/>
  <c r="AE290" i="4"/>
  <c r="I92" i="10"/>
  <c r="AE306" i="4"/>
  <c r="I97" i="10"/>
  <c r="AL298" i="4"/>
  <c r="AM298" i="4" s="1"/>
  <c r="AO298" i="4" s="1"/>
  <c r="AP298" i="4" s="1"/>
  <c r="F256" i="12"/>
  <c r="AL265" i="4"/>
  <c r="AM265" i="4" s="1"/>
  <c r="AO265" i="4" s="1"/>
  <c r="AP265" i="4" s="1"/>
  <c r="F229" i="12"/>
  <c r="J104" i="7"/>
  <c r="Y302" i="4"/>
  <c r="G95" i="10"/>
  <c r="F176" i="11"/>
  <c r="AJ321" i="4"/>
  <c r="AB360" i="4"/>
  <c r="AJ396" i="4"/>
  <c r="AL264" i="4"/>
  <c r="AM264" i="4" s="1"/>
  <c r="AO264" i="4" s="1"/>
  <c r="AP264" i="4" s="1"/>
  <c r="F228" i="12"/>
  <c r="J85" i="10"/>
  <c r="Y301" i="4"/>
  <c r="G116" i="7"/>
  <c r="F175" i="11"/>
  <c r="Y336" i="4"/>
  <c r="F198" i="11"/>
  <c r="G106" i="10"/>
  <c r="AL303" i="4"/>
  <c r="AM303" i="4" s="1"/>
  <c r="AO303" i="4" s="1"/>
  <c r="AP303" i="4" s="1"/>
  <c r="J117" i="7"/>
  <c r="F261" i="12"/>
  <c r="AL345" i="4"/>
  <c r="J132" i="7"/>
  <c r="F297" i="12"/>
  <c r="AE365" i="4"/>
  <c r="Y386" i="4"/>
  <c r="G119" i="10"/>
  <c r="F224" i="11"/>
  <c r="AL270" i="4"/>
  <c r="AM270" i="4" s="1"/>
  <c r="AO270" i="4" s="1"/>
  <c r="AP270" i="4" s="1"/>
  <c r="F232" i="12"/>
  <c r="Y307" i="4"/>
  <c r="G119" i="7"/>
  <c r="F181" i="11"/>
  <c r="AJ339" i="4"/>
  <c r="AE401" i="4"/>
  <c r="I152" i="7"/>
  <c r="AL401" i="4"/>
  <c r="AM401" i="4" s="1"/>
  <c r="AO401" i="4" s="1"/>
  <c r="AP401" i="4" s="1"/>
  <c r="F345" i="12"/>
  <c r="J152" i="7"/>
  <c r="Y345" i="4"/>
  <c r="F201" i="11"/>
  <c r="G132" i="7"/>
  <c r="AE361" i="4"/>
  <c r="I138" i="7"/>
  <c r="AB420" i="4"/>
  <c r="AE378" i="4"/>
  <c r="I118" i="10"/>
  <c r="AB400" i="4"/>
  <c r="AL412" i="4"/>
  <c r="AM412" i="4" s="1"/>
  <c r="AO412" i="4" s="1"/>
  <c r="AP412" i="4" s="1"/>
  <c r="F354" i="12"/>
  <c r="AB390" i="4"/>
  <c r="AL368" i="4"/>
  <c r="AM368" i="4" s="1"/>
  <c r="AO368" i="4" s="1"/>
  <c r="AP368" i="4" s="1"/>
  <c r="F316" i="12"/>
  <c r="Y405" i="4"/>
  <c r="G154" i="7"/>
  <c r="F237" i="11"/>
  <c r="Y403" i="4"/>
  <c r="F235" i="11"/>
  <c r="G153" i="7"/>
  <c r="AL371" i="4"/>
  <c r="AM371" i="4" s="1"/>
  <c r="AO371" i="4" s="1"/>
  <c r="AP371" i="4" s="1"/>
  <c r="J141" i="7"/>
  <c r="F319" i="12"/>
  <c r="Z37" i="7"/>
  <c r="X37" i="7"/>
  <c r="U37" i="7"/>
  <c r="Z48" i="7"/>
  <c r="X48" i="7"/>
  <c r="U48" i="7"/>
  <c r="Z46" i="7"/>
  <c r="X46" i="7"/>
  <c r="U46" i="7"/>
  <c r="Z77" i="7"/>
  <c r="X77" i="7"/>
  <c r="U77" i="7"/>
  <c r="Z148" i="7"/>
  <c r="U148" i="7"/>
  <c r="X148" i="7"/>
  <c r="Z105" i="7"/>
  <c r="X105" i="7"/>
  <c r="AB105" i="7" s="1"/>
  <c r="U105" i="7"/>
  <c r="V105" i="7" s="1"/>
  <c r="AE105" i="7" s="1"/>
  <c r="X113" i="7"/>
  <c r="Z113" i="7"/>
  <c r="U113" i="7"/>
  <c r="U114" i="7"/>
  <c r="Z114" i="7"/>
  <c r="X114" i="7"/>
  <c r="X119" i="7"/>
  <c r="Z119" i="7"/>
  <c r="U119" i="7"/>
  <c r="M4" i="10"/>
  <c r="AT42" i="7"/>
  <c r="AP81" i="12" s="1"/>
  <c r="AS42" i="7"/>
  <c r="AR42" i="7"/>
  <c r="AM41" i="7"/>
  <c r="AL41" i="7"/>
  <c r="AY132" i="7"/>
  <c r="AU132" i="7"/>
  <c r="AV132" i="7"/>
  <c r="I297" i="12"/>
  <c r="X297" i="9"/>
  <c r="AM82" i="7"/>
  <c r="AL82" i="7"/>
  <c r="AM126" i="7"/>
  <c r="AL126" i="7"/>
  <c r="AK133" i="7"/>
  <c r="AX133" i="7"/>
  <c r="AI133" i="7"/>
  <c r="W299" i="9"/>
  <c r="H299" i="12"/>
  <c r="AF131" i="5"/>
  <c r="AQ38" i="20" s="1"/>
  <c r="AJ38" i="20"/>
  <c r="AJ89" i="7"/>
  <c r="AO89" i="7"/>
  <c r="AT103" i="7"/>
  <c r="AP227" i="12" s="1"/>
  <c r="AS103" i="7"/>
  <c r="AR103" i="7"/>
  <c r="Q126" i="9"/>
  <c r="AQ126" i="12" s="1"/>
  <c r="AJ113" i="7"/>
  <c r="AO113" i="7"/>
  <c r="AY29" i="7"/>
  <c r="AU29" i="7"/>
  <c r="X49" i="9"/>
  <c r="I49" i="12"/>
  <c r="AU112" i="7"/>
  <c r="AY112" i="7"/>
  <c r="AV112" i="7"/>
  <c r="I249" i="12"/>
  <c r="X249" i="9"/>
  <c r="S245" i="16"/>
  <c r="T245" i="16" s="1"/>
  <c r="AT87" i="7"/>
  <c r="AP189" i="12" s="1"/>
  <c r="AS87" i="7"/>
  <c r="AR87" i="7"/>
  <c r="S109" i="16"/>
  <c r="S67" i="16"/>
  <c r="AT106" i="7"/>
  <c r="AP235" i="12" s="1"/>
  <c r="AS106" i="7"/>
  <c r="AR106" i="7"/>
  <c r="AY74" i="7"/>
  <c r="AU74" i="7"/>
  <c r="I157" i="12"/>
  <c r="X157" i="9"/>
  <c r="Q174" i="9"/>
  <c r="AQ174" i="12" s="1"/>
  <c r="AK86" i="7"/>
  <c r="AI86" i="7"/>
  <c r="AX86" i="7"/>
  <c r="H187" i="12"/>
  <c r="W187" i="9"/>
  <c r="S153" i="16"/>
  <c r="T190" i="16"/>
  <c r="AE4" i="10"/>
  <c r="S296" i="16"/>
  <c r="T296" i="16" s="1"/>
  <c r="S373" i="16"/>
  <c r="T20" i="16"/>
  <c r="AM93" i="7"/>
  <c r="AL93" i="7"/>
  <c r="AM53" i="7"/>
  <c r="AL53" i="7"/>
  <c r="AL138" i="4"/>
  <c r="J49" i="10"/>
  <c r="F120" i="12"/>
  <c r="AL105" i="4"/>
  <c r="AM105" i="4" s="1"/>
  <c r="AO105" i="4" s="1"/>
  <c r="AP105" i="4" s="1"/>
  <c r="F91" i="12"/>
  <c r="J46" i="7"/>
  <c r="O22" i="10"/>
  <c r="P22" i="10" s="1"/>
  <c r="Q22" i="10" s="1"/>
  <c r="R22" i="10" s="1"/>
  <c r="Y22" i="10" s="1"/>
  <c r="AL107" i="4"/>
  <c r="AM107" i="4" s="1"/>
  <c r="AO107" i="4" s="1"/>
  <c r="AP107" i="4" s="1"/>
  <c r="J47" i="7"/>
  <c r="F93" i="12"/>
  <c r="AL34" i="4"/>
  <c r="AM34" i="4" s="1"/>
  <c r="AO34" i="4" s="1"/>
  <c r="AP34" i="4" s="1"/>
  <c r="F30" i="12"/>
  <c r="AL236" i="4"/>
  <c r="J77" i="10"/>
  <c r="F204" i="12"/>
  <c r="AE179" i="4"/>
  <c r="I73" i="7"/>
  <c r="Y176" i="4"/>
  <c r="G59" i="10"/>
  <c r="F104" i="11"/>
  <c r="Y330" i="4"/>
  <c r="F192" i="11"/>
  <c r="G103" i="10"/>
  <c r="Y344" i="4"/>
  <c r="G107" i="10"/>
  <c r="F200" i="11"/>
  <c r="AE345" i="4"/>
  <c r="I132" i="7"/>
  <c r="AR327" i="4"/>
  <c r="AM327" i="4"/>
  <c r="AO327" i="4" s="1"/>
  <c r="AP327" i="4" s="1"/>
  <c r="AR358" i="4"/>
  <c r="U87" i="7"/>
  <c r="Z87" i="7"/>
  <c r="X87" i="7"/>
  <c r="AT63" i="7"/>
  <c r="AP131" i="12" s="1"/>
  <c r="AS63" i="7"/>
  <c r="AR63" i="7"/>
  <c r="AK94" i="7"/>
  <c r="AI94" i="7"/>
  <c r="AX94" i="7"/>
  <c r="H205" i="12"/>
  <c r="W205" i="9"/>
  <c r="S16" i="16"/>
  <c r="AE134" i="4"/>
  <c r="I47" i="10"/>
  <c r="O19" i="10"/>
  <c r="P19" i="10" s="1"/>
  <c r="Q19" i="10" s="1"/>
  <c r="F4" i="10"/>
  <c r="AR90" i="4"/>
  <c r="AM90" i="4"/>
  <c r="AO90" i="4" s="1"/>
  <c r="AP90" i="4" s="1"/>
  <c r="P46" i="10"/>
  <c r="Q46" i="10" s="1"/>
  <c r="R46" i="10" s="1"/>
  <c r="Y46" i="10" s="1"/>
  <c r="O46" i="10"/>
  <c r="AL195" i="4"/>
  <c r="AM195" i="4" s="1"/>
  <c r="AO195" i="4" s="1"/>
  <c r="AP195" i="4" s="1"/>
  <c r="J79" i="7"/>
  <c r="F169" i="12"/>
  <c r="U136" i="7"/>
  <c r="Z136" i="7"/>
  <c r="X136" i="7"/>
  <c r="T16" i="16"/>
  <c r="AL39" i="4"/>
  <c r="F35" i="12"/>
  <c r="J23" i="7"/>
  <c r="AR84" i="4"/>
  <c r="AM84" i="4"/>
  <c r="AO84" i="4" s="1"/>
  <c r="AP84" i="4" s="1"/>
  <c r="AR67" i="4"/>
  <c r="AR131" i="4"/>
  <c r="AE36" i="4"/>
  <c r="I19" i="10"/>
  <c r="AE68" i="4"/>
  <c r="I29" i="10"/>
  <c r="AR94" i="4"/>
  <c r="AM94" i="4"/>
  <c r="AO94" i="4" s="1"/>
  <c r="AP94" i="4" s="1"/>
  <c r="O87" i="10"/>
  <c r="P87" i="10" s="1"/>
  <c r="Q87" i="10" s="1"/>
  <c r="R87" i="10" s="1"/>
  <c r="Y87" i="10" s="1"/>
  <c r="AE197" i="4"/>
  <c r="AE245" i="4"/>
  <c r="I96" i="7"/>
  <c r="Y151" i="4"/>
  <c r="F91" i="11"/>
  <c r="G63" i="7"/>
  <c r="Y350" i="4"/>
  <c r="F206" i="11"/>
  <c r="G110" i="10"/>
  <c r="AR272" i="4"/>
  <c r="AM314" i="4"/>
  <c r="AO314" i="4" s="1"/>
  <c r="AP314" i="4" s="1"/>
  <c r="AR314" i="4"/>
  <c r="AL272" i="4"/>
  <c r="AM272" i="4" s="1"/>
  <c r="AO272" i="4" s="1"/>
  <c r="AP272" i="4" s="1"/>
  <c r="F234" i="12"/>
  <c r="AJ312" i="4"/>
  <c r="AL329" i="4"/>
  <c r="AM329" i="4" s="1"/>
  <c r="AO329" i="4" s="1"/>
  <c r="AP329" i="4" s="1"/>
  <c r="J126" i="7"/>
  <c r="F283" i="12"/>
  <c r="AE387" i="4"/>
  <c r="I147" i="7"/>
  <c r="Y416" i="4"/>
  <c r="F242" i="11"/>
  <c r="G128" i="10"/>
  <c r="X81" i="7"/>
  <c r="Z81" i="7"/>
  <c r="U81" i="7"/>
  <c r="Z26" i="7"/>
  <c r="X26" i="7"/>
  <c r="U26" i="7"/>
  <c r="U75" i="7"/>
  <c r="Z75" i="7"/>
  <c r="X75" i="7"/>
  <c r="Z70" i="7"/>
  <c r="X70" i="7"/>
  <c r="AB70" i="7" s="1"/>
  <c r="U70" i="7"/>
  <c r="V70" i="7" s="1"/>
  <c r="AE70" i="7" s="1"/>
  <c r="Z98" i="7"/>
  <c r="U98" i="7"/>
  <c r="X98" i="7"/>
  <c r="Z152" i="7"/>
  <c r="X152" i="7"/>
  <c r="U152" i="7"/>
  <c r="AC15" i="10"/>
  <c r="U20" i="9"/>
  <c r="Z20" i="9" s="1"/>
  <c r="G20" i="12"/>
  <c r="AT22" i="7"/>
  <c r="AP33" i="12" s="1"/>
  <c r="AS22" i="7"/>
  <c r="AR22" i="7"/>
  <c r="AL119" i="7"/>
  <c r="AM119" i="7"/>
  <c r="AR117" i="4"/>
  <c r="Y161" i="4"/>
  <c r="G66" i="7"/>
  <c r="F95" i="11"/>
  <c r="AE77" i="4"/>
  <c r="I36" i="7"/>
  <c r="AL36" i="4"/>
  <c r="AM36" i="4" s="1"/>
  <c r="AO36" i="4" s="1"/>
  <c r="AP36" i="4" s="1"/>
  <c r="J19" i="10"/>
  <c r="F32" i="12"/>
  <c r="AL149" i="4"/>
  <c r="J62" i="7"/>
  <c r="F129" i="12"/>
  <c r="AL207" i="4"/>
  <c r="AM207" i="4" s="1"/>
  <c r="AO207" i="4" s="1"/>
  <c r="AP207" i="4" s="1"/>
  <c r="J83" i="7"/>
  <c r="F179" i="12"/>
  <c r="AL182" i="4"/>
  <c r="J62" i="10"/>
  <c r="F158" i="12"/>
  <c r="Y234" i="4"/>
  <c r="F138" i="11"/>
  <c r="G76" i="10"/>
  <c r="AE180" i="4"/>
  <c r="I61" i="10"/>
  <c r="AE196" i="4"/>
  <c r="I66" i="10"/>
  <c r="O58" i="10"/>
  <c r="P58" i="10" s="1"/>
  <c r="Q58" i="10" s="1"/>
  <c r="R58" i="10" s="1"/>
  <c r="Y58" i="10" s="1"/>
  <c r="Y341" i="4"/>
  <c r="G130" i="7"/>
  <c r="AM175" i="4"/>
  <c r="AO175" i="4" s="1"/>
  <c r="AP175" i="4" s="1"/>
  <c r="AR175" i="4"/>
  <c r="AR238" i="4"/>
  <c r="AL217" i="4"/>
  <c r="AM217" i="4" s="1"/>
  <c r="AO217" i="4" s="1"/>
  <c r="AP217" i="4" s="1"/>
  <c r="J86" i="7"/>
  <c r="F187" i="12"/>
  <c r="AR165" i="4"/>
  <c r="AM165" i="4"/>
  <c r="AO165" i="4" s="1"/>
  <c r="AP165" i="4" s="1"/>
  <c r="AE277" i="4"/>
  <c r="I108" i="7"/>
  <c r="Y245" i="4"/>
  <c r="G96" i="7"/>
  <c r="F143" i="11"/>
  <c r="AB385" i="4"/>
  <c r="Y294" i="4"/>
  <c r="G94" i="10"/>
  <c r="F174" i="11"/>
  <c r="Y317" i="4"/>
  <c r="F185" i="11"/>
  <c r="G122" i="7"/>
  <c r="AB345" i="4"/>
  <c r="AE349" i="4"/>
  <c r="I134" i="7"/>
  <c r="AL349" i="4"/>
  <c r="AM349" i="4" s="1"/>
  <c r="AO349" i="4" s="1"/>
  <c r="AP349" i="4" s="1"/>
  <c r="J134" i="7"/>
  <c r="F301" i="12"/>
  <c r="AR331" i="4"/>
  <c r="AE390" i="4"/>
  <c r="I121" i="10"/>
  <c r="AL383" i="4"/>
  <c r="AM383" i="4" s="1"/>
  <c r="AO383" i="4" s="1"/>
  <c r="AP383" i="4" s="1"/>
  <c r="F329" i="12"/>
  <c r="J145" i="7"/>
  <c r="AJ413" i="4"/>
  <c r="Y400" i="4"/>
  <c r="G123" i="10"/>
  <c r="F232" i="11"/>
  <c r="N4" i="7"/>
  <c r="Z39" i="7"/>
  <c r="X39" i="7"/>
  <c r="U39" i="7"/>
  <c r="U92" i="7"/>
  <c r="Z92" i="7"/>
  <c r="X92" i="7"/>
  <c r="Z118" i="7"/>
  <c r="X118" i="7"/>
  <c r="U118" i="7"/>
  <c r="AL33" i="4"/>
  <c r="AM33" i="4" s="1"/>
  <c r="AO33" i="4" s="1"/>
  <c r="AP33" i="4" s="1"/>
  <c r="J20" i="7"/>
  <c r="F29" i="12"/>
  <c r="AL65" i="4"/>
  <c r="J32" i="7"/>
  <c r="F57" i="12"/>
  <c r="AE55" i="4"/>
  <c r="I29" i="7"/>
  <c r="AR136" i="4"/>
  <c r="AE54" i="4"/>
  <c r="I25" i="10"/>
  <c r="AE65" i="4"/>
  <c r="I32" i="7"/>
  <c r="AJ251" i="4"/>
  <c r="AE252" i="4"/>
  <c r="I82" i="10"/>
  <c r="Y173" i="4"/>
  <c r="G70" i="7"/>
  <c r="O50" i="10"/>
  <c r="P50" i="10" s="1"/>
  <c r="Q50" i="10" s="1"/>
  <c r="R50" i="10" s="1"/>
  <c r="Y50" i="10" s="1"/>
  <c r="Y252" i="4"/>
  <c r="F150" i="11"/>
  <c r="G82" i="10"/>
  <c r="AL269" i="4"/>
  <c r="F231" i="12"/>
  <c r="AE307" i="4"/>
  <c r="I119" i="7"/>
  <c r="AJ374" i="4"/>
  <c r="AB351" i="4"/>
  <c r="Y414" i="4"/>
  <c r="G127" i="10"/>
  <c r="F240" i="11"/>
  <c r="U112" i="7"/>
  <c r="Z112" i="7"/>
  <c r="X112" i="7"/>
  <c r="BH17" i="4"/>
  <c r="AZ4" i="7"/>
  <c r="AF68" i="5"/>
  <c r="AS25" i="20" s="1"/>
  <c r="AL25" i="20"/>
  <c r="P57" i="10"/>
  <c r="Q57" i="10" s="1"/>
  <c r="R57" i="10" s="1"/>
  <c r="Y57" i="10" s="1"/>
  <c r="O57" i="10"/>
  <c r="AL143" i="4"/>
  <c r="F123" i="12"/>
  <c r="AE75" i="4"/>
  <c r="I35" i="7"/>
  <c r="AE123" i="4"/>
  <c r="I53" i="7"/>
  <c r="AL59" i="4"/>
  <c r="F51" i="12"/>
  <c r="Y96" i="4"/>
  <c r="F60" i="11"/>
  <c r="G37" i="10"/>
  <c r="AL215" i="4"/>
  <c r="J85" i="7"/>
  <c r="F185" i="12"/>
  <c r="Y203" i="4"/>
  <c r="G81" i="7"/>
  <c r="F119" i="11"/>
  <c r="O71" i="10"/>
  <c r="P71" i="10"/>
  <c r="Q71" i="10" s="1"/>
  <c r="R71" i="10" s="1"/>
  <c r="Y71" i="10" s="1"/>
  <c r="Y218" i="4"/>
  <c r="G71" i="10"/>
  <c r="F128" i="11"/>
  <c r="P86" i="10"/>
  <c r="Q86" i="10" s="1"/>
  <c r="R86" i="10" s="1"/>
  <c r="Y86" i="10" s="1"/>
  <c r="O86" i="10"/>
  <c r="AL263" i="4"/>
  <c r="AM263" i="4" s="1"/>
  <c r="AO263" i="4" s="1"/>
  <c r="AP263" i="4" s="1"/>
  <c r="J103" i="7"/>
  <c r="F227" i="12"/>
  <c r="AE302" i="4"/>
  <c r="I95" i="10"/>
  <c r="AL210" i="4"/>
  <c r="AM210" i="4" s="1"/>
  <c r="AO210" i="4" s="1"/>
  <c r="AP210" i="4" s="1"/>
  <c r="J70" i="10"/>
  <c r="F182" i="12"/>
  <c r="Y304" i="4"/>
  <c r="F178" i="11"/>
  <c r="G96" i="10"/>
  <c r="Y318" i="4"/>
  <c r="G100" i="10"/>
  <c r="F186" i="11"/>
  <c r="AL274" i="4"/>
  <c r="AM274" i="4" s="1"/>
  <c r="AO274" i="4" s="1"/>
  <c r="AP274" i="4" s="1"/>
  <c r="F236" i="12"/>
  <c r="J87" i="10"/>
  <c r="Y377" i="4"/>
  <c r="G144" i="7"/>
  <c r="F221" i="11"/>
  <c r="Y277" i="4"/>
  <c r="F163" i="11"/>
  <c r="G108" i="7"/>
  <c r="AK137" i="7"/>
  <c r="AI137" i="7"/>
  <c r="AX137" i="7"/>
  <c r="H309" i="12"/>
  <c r="W309" i="9"/>
  <c r="AT26" i="7"/>
  <c r="AP43" i="12" s="1"/>
  <c r="AS26" i="7"/>
  <c r="AR26" i="7"/>
  <c r="AF36" i="5"/>
  <c r="AQ19" i="20" s="1"/>
  <c r="AJ19" i="20"/>
  <c r="AL134" i="4"/>
  <c r="F116" i="12"/>
  <c r="J47" i="10"/>
  <c r="Q45" i="10"/>
  <c r="R45" i="10" s="1"/>
  <c r="Y45" i="10" s="1"/>
  <c r="O45" i="10"/>
  <c r="P45" i="10"/>
  <c r="AE133" i="4"/>
  <c r="I56" i="7"/>
  <c r="AR50" i="4"/>
  <c r="AL69" i="4"/>
  <c r="AM69" i="4" s="1"/>
  <c r="AO69" i="4" s="1"/>
  <c r="AP69" i="4" s="1"/>
  <c r="J34" i="7"/>
  <c r="F61" i="12"/>
  <c r="Y106" i="4"/>
  <c r="F64" i="11"/>
  <c r="G39" i="10"/>
  <c r="AB75" i="4"/>
  <c r="AE139" i="4"/>
  <c r="I59" i="7"/>
  <c r="AL60" i="4"/>
  <c r="F52" i="12"/>
  <c r="Y63" i="4"/>
  <c r="G31" i="7"/>
  <c r="F39" i="11"/>
  <c r="Q20" i="10"/>
  <c r="R20" i="10" s="1"/>
  <c r="Y20" i="10" s="1"/>
  <c r="P20" i="10"/>
  <c r="O20" i="10"/>
  <c r="AL221" i="4"/>
  <c r="AM221" i="4" s="1"/>
  <c r="AO221" i="4" s="1"/>
  <c r="AP221" i="4" s="1"/>
  <c r="J88" i="7"/>
  <c r="F191" i="12"/>
  <c r="AJ185" i="4"/>
  <c r="Y168" i="4"/>
  <c r="F102" i="11"/>
  <c r="G58" i="10"/>
  <c r="Y159" i="4"/>
  <c r="G65" i="7"/>
  <c r="AL241" i="4"/>
  <c r="F207" i="12"/>
  <c r="AE175" i="4"/>
  <c r="I71" i="7"/>
  <c r="AE207" i="4"/>
  <c r="I83" i="7"/>
  <c r="AE285" i="4"/>
  <c r="I110" i="7"/>
  <c r="AE301" i="4"/>
  <c r="I116" i="7"/>
  <c r="Y274" i="4"/>
  <c r="F160" i="11"/>
  <c r="G87" i="10"/>
  <c r="AE300" i="4"/>
  <c r="P85" i="10"/>
  <c r="Q85" i="10" s="1"/>
  <c r="R85" i="10" s="1"/>
  <c r="Y85" i="10" s="1"/>
  <c r="O85" i="10"/>
  <c r="AE343" i="4"/>
  <c r="I131" i="7"/>
  <c r="AJ357" i="4"/>
  <c r="AE318" i="4"/>
  <c r="I100" i="10"/>
  <c r="AB356" i="4"/>
  <c r="AL286" i="4"/>
  <c r="AM286" i="4" s="1"/>
  <c r="AO286" i="4" s="1"/>
  <c r="AP286" i="4" s="1"/>
  <c r="F246" i="12"/>
  <c r="AE321" i="4"/>
  <c r="I124" i="7"/>
  <c r="AB417" i="4"/>
  <c r="AE418" i="4"/>
  <c r="I129" i="10"/>
  <c r="AE367" i="4"/>
  <c r="AE410" i="4"/>
  <c r="AL384" i="4"/>
  <c r="F330" i="12"/>
  <c r="Z21" i="7"/>
  <c r="X21" i="7"/>
  <c r="U21" i="7"/>
  <c r="Y419" i="4"/>
  <c r="G159" i="7"/>
  <c r="F245" i="11"/>
  <c r="AL387" i="4"/>
  <c r="AM387" i="4" s="1"/>
  <c r="AO387" i="4" s="1"/>
  <c r="AP387" i="4" s="1"/>
  <c r="F333" i="12"/>
  <c r="J147" i="7"/>
  <c r="Z86" i="7"/>
  <c r="X86" i="7"/>
  <c r="U86" i="7"/>
  <c r="Z109" i="7"/>
  <c r="X109" i="7"/>
  <c r="U109" i="7"/>
  <c r="X132" i="7"/>
  <c r="U132" i="7"/>
  <c r="Z132" i="7"/>
  <c r="U120" i="7"/>
  <c r="V120" i="7" s="1"/>
  <c r="AE120" i="7" s="1"/>
  <c r="Z120" i="7"/>
  <c r="X120" i="7"/>
  <c r="AB120" i="7" s="1"/>
  <c r="DP36" i="6"/>
  <c r="DL36" i="6"/>
  <c r="AY158" i="7"/>
  <c r="AV158" i="7"/>
  <c r="AU158" i="7"/>
  <c r="I359" i="12"/>
  <c r="X359" i="9"/>
  <c r="AY118" i="7"/>
  <c r="AU118" i="7"/>
  <c r="I263" i="12"/>
  <c r="X263" i="9"/>
  <c r="AV118" i="7"/>
  <c r="AJ60" i="4"/>
  <c r="AJ92" i="4"/>
  <c r="AJ124" i="4"/>
  <c r="AL79" i="4"/>
  <c r="J37" i="7"/>
  <c r="F69" i="12"/>
  <c r="AL159" i="4"/>
  <c r="AM159" i="4" s="1"/>
  <c r="AO159" i="4" s="1"/>
  <c r="AP159" i="4" s="1"/>
  <c r="J65" i="7"/>
  <c r="F137" i="12"/>
  <c r="AJ43" i="4"/>
  <c r="AR43" i="4" s="1"/>
  <c r="AL125" i="4"/>
  <c r="J54" i="7"/>
  <c r="F109" i="12"/>
  <c r="Y201" i="4"/>
  <c r="G80" i="7"/>
  <c r="AE108" i="4"/>
  <c r="I40" i="10"/>
  <c r="AE124" i="4"/>
  <c r="I45" i="10"/>
  <c r="O27" i="10"/>
  <c r="P27" i="10" s="1"/>
  <c r="Q27" i="10" s="1"/>
  <c r="R27" i="10" s="1"/>
  <c r="Y27" i="10" s="1"/>
  <c r="O37" i="10"/>
  <c r="P37" i="10" s="1"/>
  <c r="Q37" i="10" s="1"/>
  <c r="R37" i="10" s="1"/>
  <c r="Y37" i="10" s="1"/>
  <c r="AE206" i="4"/>
  <c r="I68" i="10"/>
  <c r="AL144" i="4"/>
  <c r="AM144" i="4" s="1"/>
  <c r="AO144" i="4" s="1"/>
  <c r="AP144" i="4" s="1"/>
  <c r="F124" i="12"/>
  <c r="AL82" i="4"/>
  <c r="AM82" i="4" s="1"/>
  <c r="AO82" i="4" s="1"/>
  <c r="AP82" i="4" s="1"/>
  <c r="F72" i="12"/>
  <c r="J33" i="10"/>
  <c r="Y119" i="4"/>
  <c r="G51" i="7"/>
  <c r="F71" i="11"/>
  <c r="AJ70" i="4"/>
  <c r="AJ102" i="4"/>
  <c r="AL135" i="4"/>
  <c r="AM135" i="4" s="1"/>
  <c r="AO135" i="4" s="1"/>
  <c r="AP135" i="4" s="1"/>
  <c r="J57" i="7"/>
  <c r="F117" i="12"/>
  <c r="Y220" i="4"/>
  <c r="G72" i="10"/>
  <c r="F130" i="11"/>
  <c r="AE157" i="4"/>
  <c r="AE189" i="4"/>
  <c r="I76" i="7"/>
  <c r="AE221" i="4"/>
  <c r="I88" i="7"/>
  <c r="AE237" i="4"/>
  <c r="I94" i="7"/>
  <c r="F23" i="18"/>
  <c r="F115" i="7"/>
  <c r="AB258" i="4"/>
  <c r="AL187" i="4"/>
  <c r="F161" i="12"/>
  <c r="J75" i="7"/>
  <c r="Y224" i="4"/>
  <c r="F134" i="11"/>
  <c r="G74" i="10"/>
  <c r="AY56" i="7"/>
  <c r="AU56" i="7"/>
  <c r="AV56" i="7"/>
  <c r="X115" i="9"/>
  <c r="I115" i="12"/>
  <c r="EH39" i="6"/>
  <c r="EL39" i="6"/>
  <c r="BE25" i="4"/>
  <c r="AT59" i="7"/>
  <c r="AP121" i="12" s="1"/>
  <c r="AS59" i="7"/>
  <c r="AR59" i="7"/>
  <c r="AM112" i="7"/>
  <c r="AL112" i="7"/>
  <c r="AB63" i="4"/>
  <c r="AL89" i="4"/>
  <c r="AM89" i="4" s="1"/>
  <c r="AO89" i="4" s="1"/>
  <c r="AP89" i="4" s="1"/>
  <c r="J40" i="7"/>
  <c r="F77" i="12"/>
  <c r="AL64" i="4"/>
  <c r="J27" i="10"/>
  <c r="F56" i="12"/>
  <c r="AB30" i="4"/>
  <c r="AB46" i="4"/>
  <c r="AB62" i="4"/>
  <c r="AB78" i="4"/>
  <c r="AB94" i="4"/>
  <c r="AB110" i="4"/>
  <c r="AB126" i="4"/>
  <c r="AE150" i="4"/>
  <c r="I52" i="10"/>
  <c r="AL63" i="4"/>
  <c r="AM63" i="4" s="1"/>
  <c r="AO63" i="4" s="1"/>
  <c r="AP63" i="4" s="1"/>
  <c r="F55" i="12"/>
  <c r="J31" i="7"/>
  <c r="AB29" i="4"/>
  <c r="X4" i="4"/>
  <c r="AB4" i="4" s="1"/>
  <c r="AB45" i="4"/>
  <c r="AB61" i="4"/>
  <c r="AB77" i="4"/>
  <c r="AB93" i="4"/>
  <c r="AB109" i="4"/>
  <c r="AB125" i="4"/>
  <c r="AL46" i="4"/>
  <c r="F40" i="12"/>
  <c r="Y83" i="4"/>
  <c r="G39" i="7"/>
  <c r="F53" i="11"/>
  <c r="AL137" i="4"/>
  <c r="J58" i="7"/>
  <c r="F119" i="12"/>
  <c r="AE37" i="4"/>
  <c r="I22" i="7"/>
  <c r="AE53" i="4"/>
  <c r="I28" i="7"/>
  <c r="AE69" i="4"/>
  <c r="I34" i="7"/>
  <c r="AE117" i="4"/>
  <c r="I50" i="7"/>
  <c r="AL133" i="4"/>
  <c r="J56" i="7"/>
  <c r="F115" i="12"/>
  <c r="AL109" i="4"/>
  <c r="J48" i="7"/>
  <c r="F95" i="12"/>
  <c r="AE136" i="4"/>
  <c r="I48" i="10"/>
  <c r="AL151" i="4"/>
  <c r="J63" i="7"/>
  <c r="F131" i="12"/>
  <c r="AL66" i="4"/>
  <c r="F58" i="12"/>
  <c r="J28" i="10"/>
  <c r="Y103" i="4"/>
  <c r="G45" i="7"/>
  <c r="AJ211" i="4"/>
  <c r="AR211" i="4" s="1"/>
  <c r="AB40" i="4"/>
  <c r="AB72" i="4"/>
  <c r="AB88" i="4"/>
  <c r="AB104" i="4"/>
  <c r="AB120" i="4"/>
  <c r="AL246" i="4"/>
  <c r="AM246" i="4" s="1"/>
  <c r="AO246" i="4" s="1"/>
  <c r="AP246" i="4" s="1"/>
  <c r="J79" i="10"/>
  <c r="F212" i="12"/>
  <c r="AE264" i="4"/>
  <c r="I85" i="10"/>
  <c r="Y260" i="4"/>
  <c r="G83" i="10"/>
  <c r="F152" i="11"/>
  <c r="AE156" i="4"/>
  <c r="AE172" i="4"/>
  <c r="AE188" i="4"/>
  <c r="AE204" i="4"/>
  <c r="I67" i="10"/>
  <c r="AE220" i="4"/>
  <c r="I72" i="10"/>
  <c r="AE236" i="4"/>
  <c r="I77" i="10"/>
  <c r="AL252" i="4"/>
  <c r="AM252" i="4" s="1"/>
  <c r="AO252" i="4" s="1"/>
  <c r="AP252" i="4" s="1"/>
  <c r="J82" i="10"/>
  <c r="F218" i="12"/>
  <c r="O59" i="10"/>
  <c r="P59" i="10" s="1"/>
  <c r="Q59" i="10" s="1"/>
  <c r="R59" i="10" s="1"/>
  <c r="Y59" i="10" s="1"/>
  <c r="O64" i="10"/>
  <c r="Q64" i="10"/>
  <c r="R64" i="10" s="1"/>
  <c r="Y64" i="10" s="1"/>
  <c r="P64" i="10"/>
  <c r="O69" i="10"/>
  <c r="P69" i="10" s="1"/>
  <c r="Q69" i="10" s="1"/>
  <c r="R69" i="10" s="1"/>
  <c r="Y69" i="10" s="1"/>
  <c r="O74" i="10"/>
  <c r="P74" i="10" s="1"/>
  <c r="Q74" i="10" s="1"/>
  <c r="R74" i="10" s="1"/>
  <c r="Y74" i="10" s="1"/>
  <c r="AL171" i="4"/>
  <c r="F147" i="12"/>
  <c r="Y208" i="4"/>
  <c r="G69" i="10"/>
  <c r="F124" i="11"/>
  <c r="AJ151" i="4"/>
  <c r="AJ215" i="4"/>
  <c r="AJ247" i="4"/>
  <c r="AL162" i="4"/>
  <c r="F140" i="12"/>
  <c r="J55" i="10"/>
  <c r="AL153" i="4"/>
  <c r="AM153" i="4" s="1"/>
  <c r="AO153" i="4" s="1"/>
  <c r="AP153" i="4" s="1"/>
  <c r="F133" i="12"/>
  <c r="J64" i="7"/>
  <c r="Y190" i="4"/>
  <c r="F112" i="11"/>
  <c r="G63" i="10"/>
  <c r="AJ141" i="4"/>
  <c r="AR141" i="4" s="1"/>
  <c r="AJ157" i="4"/>
  <c r="AJ173" i="4"/>
  <c r="AJ205" i="4"/>
  <c r="Y181" i="4"/>
  <c r="F109" i="11"/>
  <c r="G74" i="7"/>
  <c r="AR255" i="4"/>
  <c r="AJ277" i="4"/>
  <c r="AL277" i="4"/>
  <c r="F239" i="12"/>
  <c r="J108" i="7"/>
  <c r="Y319" i="4"/>
  <c r="G123" i="7"/>
  <c r="F187" i="11"/>
  <c r="AB362" i="4"/>
  <c r="Y289" i="4"/>
  <c r="G112" i="7"/>
  <c r="F169" i="11"/>
  <c r="AB371" i="4"/>
  <c r="AB266" i="4"/>
  <c r="AB282" i="4"/>
  <c r="AB298" i="4"/>
  <c r="Y346" i="4"/>
  <c r="G108" i="10"/>
  <c r="F202" i="11"/>
  <c r="Y364" i="4"/>
  <c r="G114" i="10"/>
  <c r="F214" i="11"/>
  <c r="AJ341" i="4"/>
  <c r="Q112" i="10"/>
  <c r="R112" i="10" s="1"/>
  <c r="Y112" i="10" s="1"/>
  <c r="O112" i="10"/>
  <c r="P112" i="10"/>
  <c r="Y263" i="4"/>
  <c r="G103" i="7"/>
  <c r="F155" i="11"/>
  <c r="AE319" i="4"/>
  <c r="I123" i="7"/>
  <c r="AB322" i="4"/>
  <c r="AL399" i="4"/>
  <c r="J151" i="7"/>
  <c r="F343" i="12"/>
  <c r="AL346" i="4"/>
  <c r="F298" i="12"/>
  <c r="J108" i="10"/>
  <c r="AE360" i="4"/>
  <c r="I112" i="10"/>
  <c r="AB254" i="4"/>
  <c r="AB286" i="4"/>
  <c r="AB302" i="4"/>
  <c r="AL318" i="4"/>
  <c r="AM318" i="4" s="1"/>
  <c r="AO318" i="4" s="1"/>
  <c r="AP318" i="4" s="1"/>
  <c r="J100" i="10"/>
  <c r="F274" i="12"/>
  <c r="AB321" i="4"/>
  <c r="AE341" i="4"/>
  <c r="I130" i="7"/>
  <c r="AB340" i="4"/>
  <c r="Y362" i="4"/>
  <c r="G113" i="10"/>
  <c r="F212" i="11"/>
  <c r="Y402" i="4"/>
  <c r="G124" i="10"/>
  <c r="F234" i="11"/>
  <c r="AE405" i="4"/>
  <c r="I154" i="7"/>
  <c r="AB403" i="4"/>
  <c r="AE357" i="4"/>
  <c r="I136" i="7"/>
  <c r="AB375" i="4"/>
  <c r="Z28" i="7"/>
  <c r="X28" i="7"/>
  <c r="U28" i="7"/>
  <c r="Z60" i="7"/>
  <c r="X60" i="7"/>
  <c r="AB60" i="7" s="1"/>
  <c r="U60" i="7"/>
  <c r="V60" i="7" s="1"/>
  <c r="AE60" i="7" s="1"/>
  <c r="L4" i="7"/>
  <c r="Z33" i="7"/>
  <c r="X33" i="7"/>
  <c r="U33" i="7"/>
  <c r="Z65" i="7"/>
  <c r="X65" i="7"/>
  <c r="AB65" i="7" s="1"/>
  <c r="U65" i="7"/>
  <c r="V65" i="7" s="1"/>
  <c r="AE65" i="7" s="1"/>
  <c r="Z106" i="7"/>
  <c r="U106" i="7"/>
  <c r="X106" i="7"/>
  <c r="Z23" i="7"/>
  <c r="X23" i="7"/>
  <c r="U23" i="7"/>
  <c r="Z55" i="7"/>
  <c r="X55" i="7"/>
  <c r="AB55" i="7" s="1"/>
  <c r="U55" i="7"/>
  <c r="V55" i="7" s="1"/>
  <c r="AE55" i="7" s="1"/>
  <c r="Z78" i="7"/>
  <c r="X78" i="7"/>
  <c r="U78" i="7"/>
  <c r="Z79" i="7"/>
  <c r="X79" i="7"/>
  <c r="U79" i="7"/>
  <c r="U76" i="7"/>
  <c r="Z76" i="7"/>
  <c r="X76" i="7"/>
  <c r="Z108" i="7"/>
  <c r="U108" i="7"/>
  <c r="X108" i="7"/>
  <c r="X129" i="7"/>
  <c r="Z129" i="7"/>
  <c r="U129" i="7"/>
  <c r="Z137" i="7"/>
  <c r="X137" i="7"/>
  <c r="U137" i="7"/>
  <c r="N4" i="10"/>
  <c r="AQ15" i="20"/>
  <c r="AF125" i="5"/>
  <c r="AP37" i="20" s="1"/>
  <c r="AI37" i="20"/>
  <c r="EM39" i="6"/>
  <c r="EI39" i="6"/>
  <c r="AM137" i="7"/>
  <c r="AL137" i="7"/>
  <c r="O17" i="14"/>
  <c r="X17" i="14" s="1"/>
  <c r="AA17" i="14" s="1"/>
  <c r="AC17" i="14" s="1"/>
  <c r="N17" i="14"/>
  <c r="AZ18" i="4"/>
  <c r="BB18" i="4" s="1"/>
  <c r="AX18" i="4"/>
  <c r="AM37" i="7"/>
  <c r="AL37" i="7"/>
  <c r="AM49" i="7"/>
  <c r="AL49" i="7"/>
  <c r="AY93" i="7"/>
  <c r="AU93" i="7"/>
  <c r="AV93" i="7"/>
  <c r="I203" i="12"/>
  <c r="X203" i="9"/>
  <c r="AM146" i="7"/>
  <c r="AL146" i="7"/>
  <c r="AK131" i="5"/>
  <c r="AC38" i="20"/>
  <c r="AU148" i="7"/>
  <c r="AY148" i="7"/>
  <c r="AV148" i="7"/>
  <c r="I335" i="12"/>
  <c r="X335" i="9"/>
  <c r="AX113" i="7"/>
  <c r="AK113" i="7"/>
  <c r="AI113" i="7"/>
  <c r="H251" i="12"/>
  <c r="W251" i="9"/>
  <c r="AF114" i="5"/>
  <c r="AT34" i="20" s="1"/>
  <c r="AM34" i="20"/>
  <c r="EL49" i="6"/>
  <c r="EH49" i="6"/>
  <c r="S217" i="16"/>
  <c r="T149" i="9"/>
  <c r="V149" i="9"/>
  <c r="R149" i="9"/>
  <c r="AZ70" i="7"/>
  <c r="J149" i="12"/>
  <c r="S129" i="16"/>
  <c r="S311" i="16"/>
  <c r="T311" i="16" s="1"/>
  <c r="S362" i="16"/>
  <c r="S205" i="16"/>
  <c r="DP37" i="6"/>
  <c r="DL37" i="6"/>
  <c r="Z19" i="5"/>
  <c r="AB19" i="5"/>
  <c r="AD19" i="5" s="1"/>
  <c r="AD4" i="5" s="1"/>
  <c r="AV61" i="7"/>
  <c r="AK157" i="5"/>
  <c r="AD43" i="20"/>
  <c r="AT83" i="7"/>
  <c r="AP179" i="12" s="1"/>
  <c r="AS83" i="7"/>
  <c r="AR83" i="7"/>
  <c r="Z15" i="20"/>
  <c r="AT52" i="7"/>
  <c r="AP105" i="12" s="1"/>
  <c r="AS52" i="7"/>
  <c r="AR52" i="7"/>
  <c r="Z140" i="5"/>
  <c r="AB140" i="5"/>
  <c r="AD140" i="5" s="1"/>
  <c r="AM129" i="7"/>
  <c r="AL129" i="7"/>
  <c r="AS141" i="7"/>
  <c r="AR141" i="7"/>
  <c r="AT141" i="7"/>
  <c r="AP319" i="12" s="1"/>
  <c r="M4" i="14"/>
  <c r="W15" i="14"/>
  <c r="AK114" i="5"/>
  <c r="AF34" i="20"/>
  <c r="Y22" i="12"/>
  <c r="AY82" i="7"/>
  <c r="AU82" i="7"/>
  <c r="I177" i="12"/>
  <c r="X177" i="9"/>
  <c r="AJ86" i="7"/>
  <c r="AO86" i="7"/>
  <c r="EG46" i="6"/>
  <c r="EL45" i="6"/>
  <c r="EH45" i="6"/>
  <c r="AK152" i="7"/>
  <c r="AI152" i="7"/>
  <c r="AX152" i="7"/>
  <c r="W345" i="9"/>
  <c r="H345" i="12"/>
  <c r="AL77" i="4"/>
  <c r="AM77" i="4" s="1"/>
  <c r="AO77" i="4" s="1"/>
  <c r="AP77" i="4" s="1"/>
  <c r="F67" i="12"/>
  <c r="J36" i="7"/>
  <c r="Y105" i="4"/>
  <c r="F63" i="11"/>
  <c r="G46" i="7"/>
  <c r="Y134" i="4"/>
  <c r="G47" i="10"/>
  <c r="F80" i="11"/>
  <c r="AL214" i="4"/>
  <c r="F184" i="12"/>
  <c r="AE163" i="4"/>
  <c r="I67" i="7"/>
  <c r="AE266" i="4"/>
  <c r="I86" i="10"/>
  <c r="AB230" i="4"/>
  <c r="Y343" i="4"/>
  <c r="G131" i="7"/>
  <c r="F199" i="11"/>
  <c r="Z41" i="7"/>
  <c r="X41" i="7"/>
  <c r="U41" i="7"/>
  <c r="U84" i="7"/>
  <c r="Z84" i="7"/>
  <c r="X84" i="7"/>
  <c r="AT34" i="7"/>
  <c r="AP61" i="12" s="1"/>
  <c r="AS34" i="7"/>
  <c r="AR34" i="7"/>
  <c r="AJ152" i="7"/>
  <c r="AO152" i="7"/>
  <c r="AL87" i="4"/>
  <c r="F75" i="12"/>
  <c r="Y107" i="4"/>
  <c r="F65" i="11"/>
  <c r="G47" i="7"/>
  <c r="AR74" i="4"/>
  <c r="Y42" i="4"/>
  <c r="G22" i="10"/>
  <c r="F30" i="11"/>
  <c r="Y177" i="4"/>
  <c r="G72" i="7"/>
  <c r="F105" i="11"/>
  <c r="P41" i="10"/>
  <c r="Q41" i="10" s="1"/>
  <c r="R41" i="10" s="1"/>
  <c r="Y41" i="10" s="1"/>
  <c r="O41" i="10"/>
  <c r="Y179" i="4"/>
  <c r="G73" i="7"/>
  <c r="F107" i="11"/>
  <c r="AR209" i="4"/>
  <c r="AM209" i="4"/>
  <c r="AO209" i="4" s="1"/>
  <c r="AP209" i="4" s="1"/>
  <c r="AL186" i="4"/>
  <c r="F160" i="12"/>
  <c r="AL177" i="4"/>
  <c r="AM177" i="4" s="1"/>
  <c r="AO177" i="4" s="1"/>
  <c r="AP177" i="4" s="1"/>
  <c r="J72" i="7"/>
  <c r="F153" i="12"/>
  <c r="AE135" i="4"/>
  <c r="I57" i="7"/>
  <c r="AE215" i="4"/>
  <c r="I85" i="7"/>
  <c r="AE276" i="4"/>
  <c r="I88" i="10"/>
  <c r="O98" i="10"/>
  <c r="P98" i="10" s="1"/>
  <c r="Q98" i="10" s="1"/>
  <c r="R98" i="10" s="1"/>
  <c r="Y98" i="10" s="1"/>
  <c r="AL386" i="4"/>
  <c r="AM386" i="4" s="1"/>
  <c r="AO386" i="4" s="1"/>
  <c r="AP386" i="4" s="1"/>
  <c r="J119" i="10"/>
  <c r="F332" i="12"/>
  <c r="AE362" i="4"/>
  <c r="I113" i="10"/>
  <c r="Y360" i="4"/>
  <c r="G112" i="10"/>
  <c r="F210" i="11"/>
  <c r="AM57" i="7"/>
  <c r="AL57" i="7"/>
  <c r="AR36" i="4"/>
  <c r="AM420" i="4"/>
  <c r="AO420" i="4" s="1"/>
  <c r="AP420" i="4" s="1"/>
  <c r="AR420" i="4"/>
  <c r="Z58" i="7"/>
  <c r="X58" i="7"/>
  <c r="U58" i="7"/>
  <c r="Z89" i="7"/>
  <c r="X89" i="7"/>
  <c r="U89" i="7"/>
  <c r="X96" i="7"/>
  <c r="U96" i="7"/>
  <c r="Z96" i="7"/>
  <c r="Z159" i="7"/>
  <c r="X159" i="7"/>
  <c r="U159" i="7"/>
  <c r="AK29" i="5"/>
  <c r="AF17" i="20"/>
  <c r="AK24" i="12"/>
  <c r="S4" i="4"/>
  <c r="AE29" i="4"/>
  <c r="Z4" i="4"/>
  <c r="AE4" i="4" s="1"/>
  <c r="AL75" i="4"/>
  <c r="AM75" i="4" s="1"/>
  <c r="AO75" i="4" s="1"/>
  <c r="AP75" i="4" s="1"/>
  <c r="F65" i="12"/>
  <c r="J35" i="7"/>
  <c r="P53" i="10"/>
  <c r="Q53" i="10" s="1"/>
  <c r="R53" i="10" s="1"/>
  <c r="Y53" i="10" s="1"/>
  <c r="O53" i="10"/>
  <c r="P75" i="10"/>
  <c r="Q75" i="10"/>
  <c r="R75" i="10" s="1"/>
  <c r="Y75" i="10" s="1"/>
  <c r="O75" i="10"/>
  <c r="AR143" i="4"/>
  <c r="AM143" i="4"/>
  <c r="AO143" i="4" s="1"/>
  <c r="AP143" i="4" s="1"/>
  <c r="AJ223" i="4"/>
  <c r="AR229" i="4"/>
  <c r="AJ350" i="4"/>
  <c r="AL413" i="4"/>
  <c r="F355" i="12"/>
  <c r="J156" i="7"/>
  <c r="AR345" i="4"/>
  <c r="AM345" i="4"/>
  <c r="AO345" i="4" s="1"/>
  <c r="AP345" i="4" s="1"/>
  <c r="AB278" i="4"/>
  <c r="AL402" i="4"/>
  <c r="F346" i="12"/>
  <c r="J124" i="10"/>
  <c r="Y418" i="4"/>
  <c r="G129" i="10"/>
  <c r="F244" i="11"/>
  <c r="AR397" i="4"/>
  <c r="AM397" i="4"/>
  <c r="AO397" i="4" s="1"/>
  <c r="AP397" i="4" s="1"/>
  <c r="Z157" i="7"/>
  <c r="U157" i="7"/>
  <c r="X157" i="7"/>
  <c r="BE17" i="4"/>
  <c r="AR133" i="4"/>
  <c r="AM133" i="4"/>
  <c r="AO133" i="4" s="1"/>
  <c r="AP133" i="4" s="1"/>
  <c r="AL55" i="4"/>
  <c r="J29" i="7"/>
  <c r="F49" i="12"/>
  <c r="AL38" i="4"/>
  <c r="AM38" i="4" s="1"/>
  <c r="AO38" i="4" s="1"/>
  <c r="AP38" i="4" s="1"/>
  <c r="F34" i="12"/>
  <c r="J20" i="10"/>
  <c r="AL131" i="4"/>
  <c r="AM131" i="4" s="1"/>
  <c r="AO131" i="4" s="1"/>
  <c r="AP131" i="4" s="1"/>
  <c r="F113" i="12"/>
  <c r="J55" i="7"/>
  <c r="AE49" i="4"/>
  <c r="I26" i="7"/>
  <c r="AJ219" i="4"/>
  <c r="AR168" i="4"/>
  <c r="AM168" i="4"/>
  <c r="AO168" i="4" s="1"/>
  <c r="AP168" i="4" s="1"/>
  <c r="Y265" i="4"/>
  <c r="F157" i="11"/>
  <c r="G104" i="7"/>
  <c r="Y182" i="4"/>
  <c r="F110" i="11"/>
  <c r="G62" i="10"/>
  <c r="AR285" i="4"/>
  <c r="O72" i="10"/>
  <c r="P72" i="10"/>
  <c r="Q72" i="10" s="1"/>
  <c r="R72" i="10" s="1"/>
  <c r="Y72" i="10" s="1"/>
  <c r="AE313" i="4"/>
  <c r="I120" i="7"/>
  <c r="AE291" i="4"/>
  <c r="I113" i="7"/>
  <c r="AE334" i="4"/>
  <c r="I105" i="10"/>
  <c r="AM354" i="4"/>
  <c r="AO354" i="4" s="1"/>
  <c r="AP354" i="4" s="1"/>
  <c r="AR354" i="4"/>
  <c r="Y348" i="4"/>
  <c r="G109" i="10"/>
  <c r="F204" i="11"/>
  <c r="AE411" i="4"/>
  <c r="I155" i="7"/>
  <c r="AL418" i="4"/>
  <c r="AM418" i="4" s="1"/>
  <c r="AO418" i="4" s="1"/>
  <c r="AP418" i="4" s="1"/>
  <c r="J129" i="10"/>
  <c r="F360" i="12"/>
  <c r="AL414" i="4"/>
  <c r="F356" i="12"/>
  <c r="J127" i="10"/>
  <c r="U68" i="7"/>
  <c r="Z68" i="7"/>
  <c r="X68" i="7"/>
  <c r="BE26" i="4"/>
  <c r="AE137" i="4"/>
  <c r="I58" i="7"/>
  <c r="AL94" i="4"/>
  <c r="J36" i="10"/>
  <c r="F82" i="12"/>
  <c r="EH40" i="6"/>
  <c r="EL40" i="6"/>
  <c r="AF28" i="5"/>
  <c r="AS17" i="20" s="1"/>
  <c r="AL17" i="20"/>
  <c r="AY75" i="7"/>
  <c r="AU75" i="7"/>
  <c r="AV75" i="7"/>
  <c r="I161" i="12"/>
  <c r="X161" i="9"/>
  <c r="AE140" i="4"/>
  <c r="I50" i="10"/>
  <c r="AE112" i="4"/>
  <c r="I42" i="10"/>
  <c r="Y110" i="4"/>
  <c r="G41" i="10"/>
  <c r="F68" i="11"/>
  <c r="AE80" i="4"/>
  <c r="I32" i="10"/>
  <c r="AL120" i="4"/>
  <c r="AM120" i="4" s="1"/>
  <c r="AO120" i="4" s="1"/>
  <c r="AP120" i="4" s="1"/>
  <c r="J43" i="10"/>
  <c r="F104" i="12"/>
  <c r="AE47" i="4"/>
  <c r="I25" i="7"/>
  <c r="AE79" i="4"/>
  <c r="I37" i="7"/>
  <c r="AE111" i="4"/>
  <c r="I49" i="7"/>
  <c r="AL37" i="4"/>
  <c r="J22" i="7"/>
  <c r="F33" i="12"/>
  <c r="AE214" i="4"/>
  <c r="AB33" i="4"/>
  <c r="AB65" i="4"/>
  <c r="AB97" i="4"/>
  <c r="AB129" i="4"/>
  <c r="AL122" i="4"/>
  <c r="AM122" i="4" s="1"/>
  <c r="AO122" i="4" s="1"/>
  <c r="AP122" i="4" s="1"/>
  <c r="F106" i="12"/>
  <c r="J44" i="10"/>
  <c r="AE57" i="4"/>
  <c r="AE89" i="4"/>
  <c r="I40" i="7"/>
  <c r="AE138" i="4"/>
  <c r="I49" i="10"/>
  <c r="AL223" i="4"/>
  <c r="F193" i="12"/>
  <c r="J89" i="7"/>
  <c r="AJ243" i="4"/>
  <c r="AL189" i="4"/>
  <c r="AM189" i="4" s="1"/>
  <c r="AO189" i="4" s="1"/>
  <c r="AP189" i="4" s="1"/>
  <c r="J76" i="7"/>
  <c r="F163" i="12"/>
  <c r="AL319" i="4"/>
  <c r="AM319" i="4" s="1"/>
  <c r="AO319" i="4" s="1"/>
  <c r="AP319" i="4" s="1"/>
  <c r="J123" i="7"/>
  <c r="F275" i="12"/>
  <c r="AJ176" i="4"/>
  <c r="AL209" i="4"/>
  <c r="J84" i="7"/>
  <c r="F181" i="12"/>
  <c r="AB277" i="4"/>
  <c r="AE256" i="4"/>
  <c r="AL200" i="4"/>
  <c r="AM200" i="4" s="1"/>
  <c r="AO200" i="4" s="1"/>
  <c r="AP200" i="4" s="1"/>
  <c r="F172" i="12"/>
  <c r="Y237" i="4"/>
  <c r="F141" i="11"/>
  <c r="G94" i="7"/>
  <c r="O51" i="10"/>
  <c r="P51" i="10"/>
  <c r="Q51" i="10" s="1"/>
  <c r="R51" i="10" s="1"/>
  <c r="Y51" i="10" s="1"/>
  <c r="P61" i="10"/>
  <c r="Q61" i="10" s="1"/>
  <c r="R61" i="10" s="1"/>
  <c r="Y61" i="10" s="1"/>
  <c r="O61" i="10"/>
  <c r="P92" i="10"/>
  <c r="Q92" i="10" s="1"/>
  <c r="R92" i="10" s="1"/>
  <c r="Y92" i="10" s="1"/>
  <c r="O92" i="10"/>
  <c r="AJ315" i="4"/>
  <c r="F15" i="18"/>
  <c r="F4" i="18" s="1"/>
  <c r="F100" i="7"/>
  <c r="AL308" i="4"/>
  <c r="AM308" i="4" s="1"/>
  <c r="AO308" i="4" s="1"/>
  <c r="AP308" i="4" s="1"/>
  <c r="F266" i="12"/>
  <c r="J98" i="10"/>
  <c r="AE283" i="4"/>
  <c r="AL275" i="4"/>
  <c r="AM275" i="4" s="1"/>
  <c r="AO275" i="4" s="1"/>
  <c r="AP275" i="4" s="1"/>
  <c r="J107" i="7"/>
  <c r="F237" i="12"/>
  <c r="AL347" i="4"/>
  <c r="J133" i="7"/>
  <c r="F299" i="12"/>
  <c r="AE327" i="4"/>
  <c r="I125" i="7"/>
  <c r="AE393" i="4"/>
  <c r="AJ337" i="4"/>
  <c r="AR337" i="4" s="1"/>
  <c r="AR362" i="4"/>
  <c r="AM362" i="4"/>
  <c r="AO362" i="4" s="1"/>
  <c r="AP362" i="4" s="1"/>
  <c r="Y285" i="4"/>
  <c r="G110" i="7"/>
  <c r="AE322" i="4"/>
  <c r="I102" i="10"/>
  <c r="AE255" i="4"/>
  <c r="AE287" i="4"/>
  <c r="I111" i="7"/>
  <c r="O120" i="10"/>
  <c r="P120" i="10" s="1"/>
  <c r="Q120" i="10" s="1"/>
  <c r="R120" i="10" s="1"/>
  <c r="Y120" i="10" s="1"/>
  <c r="AL287" i="4"/>
  <c r="AM287" i="4" s="1"/>
  <c r="AO287" i="4" s="1"/>
  <c r="AP287" i="4" s="1"/>
  <c r="J111" i="7"/>
  <c r="F247" i="12"/>
  <c r="AJ347" i="4"/>
  <c r="Y291" i="4"/>
  <c r="F171" i="11"/>
  <c r="G113" i="7"/>
  <c r="AR364" i="4"/>
  <c r="Y329" i="4"/>
  <c r="F191" i="11"/>
  <c r="G126" i="7"/>
  <c r="AL382" i="4"/>
  <c r="F328" i="12"/>
  <c r="AJ419" i="4"/>
  <c r="AL397" i="4"/>
  <c r="J150" i="7"/>
  <c r="F341" i="12"/>
  <c r="AJ414" i="4"/>
  <c r="Y389" i="4"/>
  <c r="F227" i="11"/>
  <c r="G148" i="7"/>
  <c r="Y387" i="4"/>
  <c r="F225" i="11"/>
  <c r="G147" i="7"/>
  <c r="AL355" i="4"/>
  <c r="AM355" i="4" s="1"/>
  <c r="AO355" i="4" s="1"/>
  <c r="AP355" i="4" s="1"/>
  <c r="F305" i="12"/>
  <c r="J135" i="7"/>
  <c r="Y392" i="4"/>
  <c r="F230" i="11"/>
  <c r="G122" i="10"/>
  <c r="U51" i="7"/>
  <c r="Z51" i="7"/>
  <c r="X51" i="7"/>
  <c r="X115" i="7"/>
  <c r="AB115" i="7" s="1"/>
  <c r="Z115" i="7"/>
  <c r="U115" i="7"/>
  <c r="V115" i="7" s="1"/>
  <c r="AE115" i="7" s="1"/>
  <c r="Z90" i="7"/>
  <c r="X90" i="7"/>
  <c r="AB90" i="7" s="1"/>
  <c r="U90" i="7"/>
  <c r="V90" i="7" s="1"/>
  <c r="AE90" i="7" s="1"/>
  <c r="X121" i="7"/>
  <c r="Z121" i="7"/>
  <c r="U121" i="7"/>
  <c r="X107" i="7"/>
  <c r="Z107" i="7"/>
  <c r="U107" i="7"/>
  <c r="Z139" i="7"/>
  <c r="U139" i="7"/>
  <c r="X139" i="7"/>
  <c r="U128" i="7"/>
  <c r="Z128" i="7"/>
  <c r="X128" i="7"/>
  <c r="AK141" i="5"/>
  <c r="AC40" i="20"/>
  <c r="AT62" i="7"/>
  <c r="AP129" i="12" s="1"/>
  <c r="AS62" i="7"/>
  <c r="AR62" i="7"/>
  <c r="AK45" i="5"/>
  <c r="AB21" i="20"/>
  <c r="AJ119" i="7"/>
  <c r="AO119" i="7"/>
  <c r="AJ128" i="7"/>
  <c r="AO128" i="7"/>
  <c r="AX139" i="7"/>
  <c r="AI139" i="7"/>
  <c r="AK139" i="7"/>
  <c r="W313" i="9"/>
  <c r="H313" i="12"/>
  <c r="AU124" i="7"/>
  <c r="AY124" i="7"/>
  <c r="I277" i="12"/>
  <c r="X277" i="9"/>
  <c r="AV124" i="7"/>
  <c r="AF109" i="5"/>
  <c r="AT33" i="20" s="1"/>
  <c r="AM33" i="20"/>
  <c r="AM94" i="7"/>
  <c r="AL94" i="7"/>
  <c r="AJ69" i="7"/>
  <c r="AO69" i="7"/>
  <c r="AB111" i="4"/>
  <c r="AL129" i="4"/>
  <c r="F111" i="12"/>
  <c r="AL48" i="4"/>
  <c r="F42" i="12"/>
  <c r="AE174" i="4"/>
  <c r="AL47" i="4"/>
  <c r="AM47" i="4" s="1"/>
  <c r="AO47" i="4" s="1"/>
  <c r="AP47" i="4" s="1"/>
  <c r="F41" i="12"/>
  <c r="J25" i="7"/>
  <c r="Y84" i="4"/>
  <c r="G34" i="10"/>
  <c r="F54" i="11"/>
  <c r="AJ179" i="4"/>
  <c r="Y67" i="4"/>
  <c r="G33" i="7"/>
  <c r="F43" i="11"/>
  <c r="AL199" i="4"/>
  <c r="AM199" i="4" s="1"/>
  <c r="AO199" i="4" s="1"/>
  <c r="AP199" i="4" s="1"/>
  <c r="F171" i="12"/>
  <c r="AE161" i="4"/>
  <c r="I66" i="7"/>
  <c r="AL93" i="4"/>
  <c r="J42" i="7"/>
  <c r="F81" i="12"/>
  <c r="AE166" i="4"/>
  <c r="I57" i="10"/>
  <c r="AL84" i="4"/>
  <c r="F74" i="12"/>
  <c r="J34" i="10"/>
  <c r="Y121" i="4"/>
  <c r="G52" i="7"/>
  <c r="F73" i="11"/>
  <c r="AL139" i="4"/>
  <c r="AM139" i="4" s="1"/>
  <c r="AO139" i="4" s="1"/>
  <c r="AP139" i="4" s="1"/>
  <c r="J59" i="7"/>
  <c r="F121" i="12"/>
  <c r="AE35" i="4"/>
  <c r="I21" i="7"/>
  <c r="AE51" i="4"/>
  <c r="I27" i="7"/>
  <c r="AE67" i="4"/>
  <c r="I33" i="7"/>
  <c r="AE83" i="4"/>
  <c r="I39" i="7"/>
  <c r="AE99" i="4"/>
  <c r="AE115" i="4"/>
  <c r="AE131" i="4"/>
  <c r="I55" i="7"/>
  <c r="AL123" i="4"/>
  <c r="AM123" i="4" s="1"/>
  <c r="AO123" i="4" s="1"/>
  <c r="AP123" i="4" s="1"/>
  <c r="J53" i="7"/>
  <c r="F107" i="12"/>
  <c r="AE34" i="4"/>
  <c r="AE50" i="4"/>
  <c r="I23" i="10"/>
  <c r="AE66" i="4"/>
  <c r="I28" i="10"/>
  <c r="AE82" i="4"/>
  <c r="I33" i="10"/>
  <c r="AE98" i="4"/>
  <c r="I38" i="10"/>
  <c r="AE114" i="4"/>
  <c r="AE130" i="4"/>
  <c r="AL50" i="4"/>
  <c r="AM50" i="4" s="1"/>
  <c r="AO50" i="4" s="1"/>
  <c r="AP50" i="4" s="1"/>
  <c r="F44" i="12"/>
  <c r="J23" i="10"/>
  <c r="AB140" i="4"/>
  <c r="AJ335" i="4"/>
  <c r="AB269" i="4"/>
  <c r="AL230" i="4"/>
  <c r="AM230" i="4" s="1"/>
  <c r="AO230" i="4" s="1"/>
  <c r="AP230" i="4" s="1"/>
  <c r="F198" i="12"/>
  <c r="O55" i="10"/>
  <c r="P55" i="10" s="1"/>
  <c r="Q55" i="10" s="1"/>
  <c r="R55" i="10" s="1"/>
  <c r="Y55" i="10" s="1"/>
  <c r="O60" i="10"/>
  <c r="P60" i="10" s="1"/>
  <c r="Q60" i="10" s="1"/>
  <c r="R60" i="10" s="1"/>
  <c r="Y60" i="10" s="1"/>
  <c r="O65" i="10"/>
  <c r="P65" i="10"/>
  <c r="Q65" i="10" s="1"/>
  <c r="R65" i="10" s="1"/>
  <c r="Y65" i="10" s="1"/>
  <c r="O70" i="10"/>
  <c r="P70" i="10" s="1"/>
  <c r="Q70" i="10" s="1"/>
  <c r="R70" i="10" s="1"/>
  <c r="Y70" i="10" s="1"/>
  <c r="AL245" i="4"/>
  <c r="F211" i="12"/>
  <c r="J96" i="7"/>
  <c r="O94" i="10"/>
  <c r="P94" i="10" s="1"/>
  <c r="Q94" i="10" s="1"/>
  <c r="R94" i="10" s="1"/>
  <c r="Y94" i="10" s="1"/>
  <c r="AL261" i="4"/>
  <c r="AM261" i="4" s="1"/>
  <c r="AO261" i="4" s="1"/>
  <c r="AP261" i="4" s="1"/>
  <c r="J102" i="7"/>
  <c r="F225" i="12"/>
  <c r="Y316" i="4"/>
  <c r="G99" i="10"/>
  <c r="F184" i="11"/>
  <c r="Y192" i="4"/>
  <c r="G64" i="10"/>
  <c r="F114" i="11"/>
  <c r="AE329" i="4"/>
  <c r="I126" i="7"/>
  <c r="AB153" i="4"/>
  <c r="AB169" i="4"/>
  <c r="AB185" i="4"/>
  <c r="AB217" i="4"/>
  <c r="AB233" i="4"/>
  <c r="AB249" i="4"/>
  <c r="AE376" i="4"/>
  <c r="I117" i="10"/>
  <c r="AB232" i="4"/>
  <c r="AB248" i="4"/>
  <c r="AB143" i="4"/>
  <c r="AB159" i="4"/>
  <c r="AB175" i="4"/>
  <c r="AB191" i="4"/>
  <c r="AB207" i="4"/>
  <c r="AB223" i="4"/>
  <c r="AB239" i="4"/>
  <c r="Y165" i="4"/>
  <c r="G68" i="7"/>
  <c r="F99" i="11"/>
  <c r="AL420" i="4"/>
  <c r="F362" i="12"/>
  <c r="J130" i="10"/>
  <c r="AJ164" i="4"/>
  <c r="AJ212" i="4"/>
  <c r="AR212" i="4" s="1"/>
  <c r="AJ228" i="4"/>
  <c r="AJ244" i="4"/>
  <c r="AB287" i="4"/>
  <c r="AJ290" i="4"/>
  <c r="AJ306" i="4"/>
  <c r="AL321" i="4"/>
  <c r="F277" i="12"/>
  <c r="J124" i="7"/>
  <c r="AL378" i="4"/>
  <c r="AM378" i="4" s="1"/>
  <c r="AO378" i="4" s="1"/>
  <c r="AP378" i="4" s="1"/>
  <c r="F326" i="12"/>
  <c r="J118" i="10"/>
  <c r="AB316" i="4"/>
  <c r="AM273" i="4"/>
  <c r="AO273" i="4" s="1"/>
  <c r="AP273" i="4" s="1"/>
  <c r="AR273" i="4"/>
  <c r="AJ289" i="4"/>
  <c r="AJ305" i="4"/>
  <c r="Y273" i="4"/>
  <c r="G106" i="7"/>
  <c r="F159" i="11"/>
  <c r="AJ346" i="4"/>
  <c r="P117" i="10"/>
  <c r="Q117" i="10" s="1"/>
  <c r="R117" i="10" s="1"/>
  <c r="Y117" i="10" s="1"/>
  <c r="O117" i="10"/>
  <c r="AB395" i="4"/>
  <c r="AL312" i="4"/>
  <c r="F268" i="12"/>
  <c r="AL343" i="4"/>
  <c r="AM343" i="4" s="1"/>
  <c r="AO343" i="4" s="1"/>
  <c r="AP343" i="4" s="1"/>
  <c r="J131" i="7"/>
  <c r="F295" i="12"/>
  <c r="AB338" i="4"/>
  <c r="AL305" i="4"/>
  <c r="J118" i="7"/>
  <c r="F263" i="12"/>
  <c r="AL364" i="4"/>
  <c r="AM364" i="4" s="1"/>
  <c r="AO364" i="4" s="1"/>
  <c r="AP364" i="4" s="1"/>
  <c r="J114" i="10"/>
  <c r="F314" i="12"/>
  <c r="AE330" i="4"/>
  <c r="I103" i="10"/>
  <c r="P109" i="10"/>
  <c r="Q109" i="10" s="1"/>
  <c r="R109" i="10" s="1"/>
  <c r="Y109" i="10" s="1"/>
  <c r="O109" i="10"/>
  <c r="AL304" i="4"/>
  <c r="F262" i="12"/>
  <c r="J96" i="10"/>
  <c r="AJ395" i="4"/>
  <c r="AB348" i="4"/>
  <c r="AE309" i="4"/>
  <c r="AE388" i="4"/>
  <c r="I120" i="10"/>
  <c r="AJ381" i="4"/>
  <c r="AE404" i="4"/>
  <c r="I125" i="10"/>
  <c r="AL404" i="4"/>
  <c r="J125" i="10"/>
  <c r="F348" i="12"/>
  <c r="AL348" i="4"/>
  <c r="J109" i="10"/>
  <c r="F300" i="12"/>
  <c r="AE406" i="4"/>
  <c r="I126" i="10"/>
  <c r="AB407" i="4"/>
  <c r="AL406" i="4"/>
  <c r="AM406" i="4" s="1"/>
  <c r="AO406" i="4" s="1"/>
  <c r="AP406" i="4" s="1"/>
  <c r="J126" i="10"/>
  <c r="F350" i="12"/>
  <c r="AL411" i="4"/>
  <c r="J155" i="7"/>
  <c r="F353" i="12"/>
  <c r="Z66" i="7"/>
  <c r="X66" i="7"/>
  <c r="U66" i="7"/>
  <c r="M4" i="7"/>
  <c r="Z50" i="7"/>
  <c r="X50" i="7"/>
  <c r="AB50" i="7" s="1"/>
  <c r="U50" i="7"/>
  <c r="V50" i="7" s="1"/>
  <c r="AE50" i="7" s="1"/>
  <c r="P4" i="7"/>
  <c r="U138" i="7"/>
  <c r="Z138" i="7"/>
  <c r="X138" i="7"/>
  <c r="X88" i="7"/>
  <c r="U88" i="7"/>
  <c r="Z88" i="7"/>
  <c r="X123" i="7"/>
  <c r="U123" i="7"/>
  <c r="Z123" i="7"/>
  <c r="Z140" i="7"/>
  <c r="X140" i="7"/>
  <c r="AB140" i="7" s="1"/>
  <c r="U140" i="7"/>
  <c r="V140" i="7" s="1"/>
  <c r="AE140" i="7" s="1"/>
  <c r="AM77" i="7"/>
  <c r="AL77" i="7"/>
  <c r="AB25" i="12"/>
  <c r="P33" i="6"/>
  <c r="R33" i="6" s="1"/>
  <c r="AI78" i="7"/>
  <c r="AX78" i="7"/>
  <c r="AK78" i="7"/>
  <c r="W167" i="9"/>
  <c r="H167" i="12"/>
  <c r="AF157" i="5"/>
  <c r="AR43" i="20" s="1"/>
  <c r="AK43" i="20"/>
  <c r="AN15" i="7"/>
  <c r="AT31" i="7"/>
  <c r="AP55" i="12" s="1"/>
  <c r="AS31" i="7"/>
  <c r="AR31" i="7"/>
  <c r="AF116" i="5"/>
  <c r="AQ35" i="20" s="1"/>
  <c r="AJ35" i="20"/>
  <c r="AF118" i="5"/>
  <c r="AS35" i="20" s="1"/>
  <c r="AL35" i="20"/>
  <c r="AT98" i="7"/>
  <c r="AP215" i="12" s="1"/>
  <c r="AS98" i="7"/>
  <c r="AR98" i="7"/>
  <c r="AV82" i="7"/>
  <c r="Z115" i="5"/>
  <c r="AB115" i="5"/>
  <c r="AD115" i="5" s="1"/>
  <c r="AM74" i="7"/>
  <c r="AL74" i="7"/>
  <c r="AM22" i="12"/>
  <c r="AJ77" i="7"/>
  <c r="AO77" i="7"/>
  <c r="DL34" i="6"/>
  <c r="AY121" i="7"/>
  <c r="AU121" i="7"/>
  <c r="I271" i="12"/>
  <c r="AV121" i="7"/>
  <c r="X271" i="9"/>
  <c r="AT123" i="7"/>
  <c r="AP275" i="12" s="1"/>
  <c r="AS123" i="7"/>
  <c r="AR123" i="7"/>
  <c r="AE22" i="12"/>
  <c r="S242" i="16"/>
  <c r="S403" i="16"/>
  <c r="S357" i="16"/>
  <c r="T357" i="16" s="1"/>
  <c r="T354" i="16"/>
  <c r="R270" i="9"/>
  <c r="V270" i="9"/>
  <c r="T270" i="9"/>
  <c r="J270" i="12"/>
  <c r="Q270" i="9"/>
  <c r="AQ270" i="12" s="1"/>
  <c r="T385" i="16"/>
  <c r="Y24" i="12"/>
  <c r="AM24" i="12"/>
  <c r="Y126" i="4"/>
  <c r="G46" i="10"/>
  <c r="F78" i="11"/>
  <c r="O39" i="10"/>
  <c r="P39" i="10" s="1"/>
  <c r="Q39" i="10" s="1"/>
  <c r="R39" i="10" s="1"/>
  <c r="Y39" i="10" s="1"/>
  <c r="AM134" i="4"/>
  <c r="AO134" i="4" s="1"/>
  <c r="AP134" i="4" s="1"/>
  <c r="AR134" i="4"/>
  <c r="Y193" i="4"/>
  <c r="G78" i="7"/>
  <c r="F115" i="11"/>
  <c r="Y167" i="4"/>
  <c r="F101" i="11"/>
  <c r="G69" i="7"/>
  <c r="Y149" i="4"/>
  <c r="F89" i="11"/>
  <c r="G62" i="7"/>
  <c r="AB246" i="4"/>
  <c r="AR390" i="4"/>
  <c r="AM332" i="4"/>
  <c r="AO332" i="4" s="1"/>
  <c r="AP332" i="4" s="1"/>
  <c r="AR332" i="4"/>
  <c r="AE373" i="4"/>
  <c r="I142" i="7"/>
  <c r="AL392" i="4"/>
  <c r="AM392" i="4" s="1"/>
  <c r="AO392" i="4" s="1"/>
  <c r="AP392" i="4" s="1"/>
  <c r="J122" i="10"/>
  <c r="F338" i="12"/>
  <c r="X69" i="7"/>
  <c r="Z69" i="7"/>
  <c r="U69" i="7"/>
  <c r="AT156" i="7"/>
  <c r="AP355" i="12" s="1"/>
  <c r="AS156" i="7"/>
  <c r="AR156" i="7"/>
  <c r="O29" i="10"/>
  <c r="P29" i="10"/>
  <c r="Q29" i="10" s="1"/>
  <c r="R29" i="10" s="1"/>
  <c r="Y29" i="10" s="1"/>
  <c r="AL70" i="4"/>
  <c r="F62" i="12"/>
  <c r="J30" i="10"/>
  <c r="AR42" i="4"/>
  <c r="AM42" i="4"/>
  <c r="AO42" i="4" s="1"/>
  <c r="AP42" i="4" s="1"/>
  <c r="AR138" i="4"/>
  <c r="AM138" i="4"/>
  <c r="AO138" i="4" s="1"/>
  <c r="AP138" i="4" s="1"/>
  <c r="AL35" i="4"/>
  <c r="AM35" i="4" s="1"/>
  <c r="AO35" i="4" s="1"/>
  <c r="AP35" i="4" s="1"/>
  <c r="F31" i="12"/>
  <c r="J21" i="7"/>
  <c r="O36" i="10"/>
  <c r="P36" i="10"/>
  <c r="Q36" i="10" s="1"/>
  <c r="R36" i="10" s="1"/>
  <c r="Y36" i="10" s="1"/>
  <c r="Y194" i="4"/>
  <c r="G65" i="10"/>
  <c r="F116" i="11"/>
  <c r="AR161" i="4"/>
  <c r="AM161" i="4"/>
  <c r="AO161" i="4" s="1"/>
  <c r="AP161" i="4" s="1"/>
  <c r="AR241" i="4"/>
  <c r="AM241" i="4"/>
  <c r="AO241" i="4" s="1"/>
  <c r="AP241" i="4" s="1"/>
  <c r="AE167" i="4"/>
  <c r="I69" i="7"/>
  <c r="AE231" i="4"/>
  <c r="I91" i="7"/>
  <c r="AL344" i="4"/>
  <c r="AM344" i="4" s="1"/>
  <c r="AO344" i="4" s="1"/>
  <c r="AP344" i="4" s="1"/>
  <c r="J107" i="10"/>
  <c r="F296" i="12"/>
  <c r="O96" i="10"/>
  <c r="Q96" i="10"/>
  <c r="R96" i="10" s="1"/>
  <c r="Y96" i="10" s="1"/>
  <c r="P96" i="10"/>
  <c r="Y280" i="4"/>
  <c r="G90" i="10"/>
  <c r="F166" i="11"/>
  <c r="AE371" i="4"/>
  <c r="I141" i="7"/>
  <c r="AL331" i="4"/>
  <c r="AM331" i="4" s="1"/>
  <c r="AO331" i="4" s="1"/>
  <c r="AP331" i="4" s="1"/>
  <c r="J127" i="7"/>
  <c r="F285" i="12"/>
  <c r="Y287" i="4"/>
  <c r="G111" i="7"/>
  <c r="F167" i="11"/>
  <c r="AE346" i="4"/>
  <c r="I108" i="10"/>
  <c r="AL326" i="4"/>
  <c r="AM326" i="4" s="1"/>
  <c r="AO326" i="4" s="1"/>
  <c r="AP326" i="4" s="1"/>
  <c r="F280" i="12"/>
  <c r="Y292" i="4"/>
  <c r="F172" i="11"/>
  <c r="G93" i="10"/>
  <c r="Z116" i="7"/>
  <c r="X116" i="7"/>
  <c r="U116" i="7"/>
  <c r="U142" i="7"/>
  <c r="X142" i="7"/>
  <c r="Z142" i="7"/>
  <c r="Y54" i="4"/>
  <c r="G25" i="10"/>
  <c r="F36" i="11"/>
  <c r="Y52" i="4"/>
  <c r="F34" i="11"/>
  <c r="G24" i="10"/>
  <c r="AR35" i="4"/>
  <c r="J21" i="6"/>
  <c r="Y35" i="4"/>
  <c r="F23" i="11"/>
  <c r="G21" i="7"/>
  <c r="Y98" i="4"/>
  <c r="F62" i="11"/>
  <c r="G38" i="10"/>
  <c r="AE52" i="4"/>
  <c r="I24" i="10"/>
  <c r="AR30" i="4"/>
  <c r="AE165" i="4"/>
  <c r="I68" i="7"/>
  <c r="AL213" i="4"/>
  <c r="AM213" i="4" s="1"/>
  <c r="AO213" i="4" s="1"/>
  <c r="AP213" i="4" s="1"/>
  <c r="F183" i="12"/>
  <c r="AL251" i="4"/>
  <c r="F217" i="12"/>
  <c r="J99" i="7"/>
  <c r="AR283" i="4"/>
  <c r="AM283" i="4"/>
  <c r="AO283" i="4" s="1"/>
  <c r="AP283" i="4" s="1"/>
  <c r="AL320" i="4"/>
  <c r="AM320" i="4" s="1"/>
  <c r="AO320" i="4" s="1"/>
  <c r="AP320" i="4" s="1"/>
  <c r="F276" i="12"/>
  <c r="J101" i="10"/>
  <c r="Y401" i="4"/>
  <c r="F233" i="11"/>
  <c r="G152" i="7"/>
  <c r="AE335" i="4"/>
  <c r="I129" i="7"/>
  <c r="Y406" i="4"/>
  <c r="F238" i="11"/>
  <c r="G126" i="10"/>
  <c r="P107" i="10"/>
  <c r="Q107" i="10"/>
  <c r="R107" i="10" s="1"/>
  <c r="Y107" i="10" s="1"/>
  <c r="O107" i="10"/>
  <c r="AM276" i="4"/>
  <c r="AO276" i="4" s="1"/>
  <c r="AP276" i="4" s="1"/>
  <c r="AR276" i="4"/>
  <c r="AL353" i="4"/>
  <c r="F303" i="12"/>
  <c r="AM409" i="4"/>
  <c r="AO409" i="4" s="1"/>
  <c r="AP409" i="4" s="1"/>
  <c r="AR409" i="4"/>
  <c r="T4" i="4"/>
  <c r="AL110" i="4"/>
  <c r="AM110" i="4" s="1"/>
  <c r="AO110" i="4" s="1"/>
  <c r="AP110" i="4" s="1"/>
  <c r="F96" i="12"/>
  <c r="J41" i="10"/>
  <c r="AE61" i="4"/>
  <c r="I30" i="7"/>
  <c r="AE125" i="4"/>
  <c r="I54" i="7"/>
  <c r="Y82" i="4"/>
  <c r="F52" i="11"/>
  <c r="G33" i="10"/>
  <c r="AL130" i="4"/>
  <c r="AM130" i="4" s="1"/>
  <c r="AO130" i="4" s="1"/>
  <c r="AP130" i="4" s="1"/>
  <c r="F112" i="12"/>
  <c r="AL235" i="4"/>
  <c r="J93" i="7"/>
  <c r="F203" i="12"/>
  <c r="AR191" i="4"/>
  <c r="AJ149" i="4"/>
  <c r="AR245" i="4"/>
  <c r="AM245" i="4"/>
  <c r="AO245" i="4" s="1"/>
  <c r="AP245" i="4" s="1"/>
  <c r="AL208" i="4"/>
  <c r="AM208" i="4" s="1"/>
  <c r="AO208" i="4" s="1"/>
  <c r="AP208" i="4" s="1"/>
  <c r="F180" i="12"/>
  <c r="J69" i="10"/>
  <c r="AE344" i="4"/>
  <c r="I107" i="10"/>
  <c r="AL257" i="4"/>
  <c r="AM257" i="4" s="1"/>
  <c r="AO257" i="4" s="1"/>
  <c r="AP257" i="4" s="1"/>
  <c r="J100" i="7"/>
  <c r="F221" i="12"/>
  <c r="Y293" i="4"/>
  <c r="G114" i="7"/>
  <c r="F173" i="11"/>
  <c r="P124" i="10"/>
  <c r="Q124" i="10"/>
  <c r="R124" i="10" s="1"/>
  <c r="Y124" i="10" s="1"/>
  <c r="O124" i="10"/>
  <c r="Y299" i="4"/>
  <c r="G115" i="7"/>
  <c r="Y397" i="4"/>
  <c r="G150" i="7"/>
  <c r="AL363" i="4"/>
  <c r="AM363" i="4" s="1"/>
  <c r="AO363" i="4" s="1"/>
  <c r="AP363" i="4" s="1"/>
  <c r="J139" i="7"/>
  <c r="F313" i="12"/>
  <c r="Z125" i="7"/>
  <c r="U125" i="7"/>
  <c r="V125" i="7" s="1"/>
  <c r="AE125" i="7" s="1"/>
  <c r="X125" i="7"/>
  <c r="AB125" i="7" s="1"/>
  <c r="Z44" i="7"/>
  <c r="X44" i="7"/>
  <c r="U44" i="7"/>
  <c r="X124" i="7"/>
  <c r="U124" i="7"/>
  <c r="Z124" i="7"/>
  <c r="Z126" i="7"/>
  <c r="X126" i="7"/>
  <c r="U126" i="7"/>
  <c r="AF29" i="5"/>
  <c r="AT17" i="20" s="1"/>
  <c r="AM17" i="20"/>
  <c r="AT27" i="7"/>
  <c r="AP45" i="12" s="1"/>
  <c r="AS27" i="7"/>
  <c r="AR27" i="7"/>
  <c r="AL56" i="4"/>
  <c r="AM56" i="4" s="1"/>
  <c r="AO56" i="4" s="1"/>
  <c r="AP56" i="4" s="1"/>
  <c r="F50" i="12"/>
  <c r="J26" i="10"/>
  <c r="Y204" i="4"/>
  <c r="G67" i="10"/>
  <c r="F120" i="11"/>
  <c r="AE119" i="4"/>
  <c r="I51" i="7"/>
  <c r="AR203" i="4"/>
  <c r="AM203" i="4"/>
  <c r="AO203" i="4" s="1"/>
  <c r="AP203" i="4" s="1"/>
  <c r="Y136" i="4"/>
  <c r="F82" i="11"/>
  <c r="G48" i="10"/>
  <c r="Y75" i="4"/>
  <c r="G35" i="7"/>
  <c r="AJ214" i="4"/>
  <c r="Y40" i="4"/>
  <c r="G21" i="10"/>
  <c r="F28" i="11"/>
  <c r="AE81" i="4"/>
  <c r="I38" i="7"/>
  <c r="AJ235" i="4"/>
  <c r="AL238" i="4"/>
  <c r="AM238" i="4" s="1"/>
  <c r="AO238" i="4" s="1"/>
  <c r="AP238" i="4" s="1"/>
  <c r="F206" i="12"/>
  <c r="J78" i="10"/>
  <c r="Y162" i="4"/>
  <c r="G55" i="10"/>
  <c r="F96" i="11"/>
  <c r="AJ282" i="4"/>
  <c r="AR282" i="4" s="1"/>
  <c r="AM301" i="4"/>
  <c r="AO301" i="4" s="1"/>
  <c r="AP301" i="4" s="1"/>
  <c r="AR301" i="4"/>
  <c r="AE296" i="4"/>
  <c r="AE320" i="4"/>
  <c r="I101" i="10"/>
  <c r="AE275" i="4"/>
  <c r="I107" i="7"/>
  <c r="O130" i="10"/>
  <c r="P130" i="10" s="1"/>
  <c r="Q130" i="10" s="1"/>
  <c r="R130" i="10" s="1"/>
  <c r="Y130" i="10" s="1"/>
  <c r="AB372" i="4"/>
  <c r="AE263" i="4"/>
  <c r="I103" i="7"/>
  <c r="AB373" i="4"/>
  <c r="AL385" i="4"/>
  <c r="AM385" i="4" s="1"/>
  <c r="AO385" i="4" s="1"/>
  <c r="AP385" i="4" s="1"/>
  <c r="F331" i="12"/>
  <c r="J146" i="7"/>
  <c r="AL416" i="4"/>
  <c r="AM416" i="4" s="1"/>
  <c r="AO416" i="4" s="1"/>
  <c r="AP416" i="4" s="1"/>
  <c r="F358" i="12"/>
  <c r="J128" i="10"/>
  <c r="Z91" i="7"/>
  <c r="X91" i="7"/>
  <c r="U91" i="7"/>
  <c r="P29" i="6"/>
  <c r="R29" i="6" s="1"/>
  <c r="AM128" i="7"/>
  <c r="AL128" i="7"/>
  <c r="AJ81" i="7"/>
  <c r="AO81" i="7"/>
  <c r="AX127" i="7"/>
  <c r="AK127" i="7"/>
  <c r="AI127" i="7"/>
  <c r="H285" i="12"/>
  <c r="W285" i="9"/>
  <c r="AB39" i="4"/>
  <c r="AR45" i="4"/>
  <c r="AM45" i="4"/>
  <c r="AO45" i="4" s="1"/>
  <c r="AP45" i="4" s="1"/>
  <c r="AL112" i="4"/>
  <c r="J42" i="10"/>
  <c r="F98" i="12"/>
  <c r="AE177" i="4"/>
  <c r="I72" i="7"/>
  <c r="AE107" i="4"/>
  <c r="I47" i="7"/>
  <c r="AE122" i="4"/>
  <c r="I44" i="10"/>
  <c r="O76" i="10"/>
  <c r="P76" i="10" s="1"/>
  <c r="Q76" i="10" s="1"/>
  <c r="R76" i="10" s="1"/>
  <c r="Y76" i="10" s="1"/>
  <c r="AL181" i="4"/>
  <c r="AM181" i="4" s="1"/>
  <c r="AO181" i="4" s="1"/>
  <c r="AP181" i="4" s="1"/>
  <c r="J74" i="7"/>
  <c r="F157" i="12"/>
  <c r="AJ293" i="4"/>
  <c r="AB177" i="4"/>
  <c r="AL201" i="4"/>
  <c r="AM201" i="4" s="1"/>
  <c r="AO201" i="4" s="1"/>
  <c r="AP201" i="4" s="1"/>
  <c r="J80" i="7"/>
  <c r="F173" i="12"/>
  <c r="AB199" i="4"/>
  <c r="AB247" i="4"/>
  <c r="Y229" i="4"/>
  <c r="G90" i="7"/>
  <c r="AJ204" i="4"/>
  <c r="AR236" i="4"/>
  <c r="AM236" i="4"/>
  <c r="AO236" i="4" s="1"/>
  <c r="AP236" i="4" s="1"/>
  <c r="AE389" i="4"/>
  <c r="I148" i="7"/>
  <c r="AM297" i="4"/>
  <c r="AO297" i="4" s="1"/>
  <c r="AP297" i="4" s="1"/>
  <c r="AR297" i="4"/>
  <c r="AL410" i="4"/>
  <c r="AM410" i="4" s="1"/>
  <c r="AO410" i="4" s="1"/>
  <c r="AP410" i="4" s="1"/>
  <c r="F352" i="12"/>
  <c r="AL300" i="4"/>
  <c r="AM300" i="4" s="1"/>
  <c r="AO300" i="4" s="1"/>
  <c r="AP300" i="4" s="1"/>
  <c r="F258" i="12"/>
  <c r="AL335" i="4"/>
  <c r="F289" i="12"/>
  <c r="J129" i="7"/>
  <c r="X4" i="5"/>
  <c r="AC4" i="4"/>
  <c r="AR29" i="4"/>
  <c r="J15" i="6"/>
  <c r="Y38" i="4"/>
  <c r="F26" i="11"/>
  <c r="G20" i="10"/>
  <c r="Y61" i="4"/>
  <c r="G30" i="7"/>
  <c r="AJ158" i="4"/>
  <c r="O35" i="10"/>
  <c r="P35" i="10" s="1"/>
  <c r="Q35" i="10" s="1"/>
  <c r="R35" i="10" s="1"/>
  <c r="Y35" i="10" s="1"/>
  <c r="AB213" i="4"/>
  <c r="AJ66" i="4"/>
  <c r="J24" i="6" s="1"/>
  <c r="AJ114" i="4"/>
  <c r="AR114" i="4" s="1"/>
  <c r="AB43" i="4"/>
  <c r="AB107" i="4"/>
  <c r="P25" i="10"/>
  <c r="Q25" i="10"/>
  <c r="R25" i="10" s="1"/>
  <c r="Y25" i="10" s="1"/>
  <c r="O25" i="10"/>
  <c r="AE169" i="4"/>
  <c r="AL206" i="4"/>
  <c r="AM206" i="4" s="1"/>
  <c r="AO206" i="4" s="1"/>
  <c r="AP206" i="4" s="1"/>
  <c r="F178" i="12"/>
  <c r="J68" i="10"/>
  <c r="Y259" i="4"/>
  <c r="G101" i="7"/>
  <c r="F151" i="11"/>
  <c r="AJ169" i="4"/>
  <c r="AR169" i="4" s="1"/>
  <c r="AE311" i="4"/>
  <c r="AL250" i="4"/>
  <c r="F216" i="12"/>
  <c r="J81" i="10"/>
  <c r="AM262" i="4"/>
  <c r="AO262" i="4" s="1"/>
  <c r="AP262" i="4" s="1"/>
  <c r="AR262" i="4"/>
  <c r="Y150" i="4"/>
  <c r="F90" i="11"/>
  <c r="G52" i="10"/>
  <c r="AE265" i="4"/>
  <c r="I104" i="7"/>
  <c r="AL232" i="4"/>
  <c r="AM232" i="4" s="1"/>
  <c r="AO232" i="4" s="1"/>
  <c r="AP232" i="4" s="1"/>
  <c r="F200" i="12"/>
  <c r="J75" i="10"/>
  <c r="AE159" i="4"/>
  <c r="I65" i="7"/>
  <c r="AE191" i="4"/>
  <c r="I77" i="7"/>
  <c r="AE223" i="4"/>
  <c r="I89" i="7"/>
  <c r="Y257" i="4"/>
  <c r="G100" i="7"/>
  <c r="AL317" i="4"/>
  <c r="J122" i="7"/>
  <c r="F273" i="12"/>
  <c r="Y331" i="4"/>
  <c r="F193" i="11"/>
  <c r="G127" i="7"/>
  <c r="AE284" i="4"/>
  <c r="Y358" i="4"/>
  <c r="F208" i="11"/>
  <c r="G111" i="10"/>
  <c r="AF148" i="5"/>
  <c r="AS41" i="20" s="1"/>
  <c r="AL41" i="20"/>
  <c r="T4" i="14"/>
  <c r="AF45" i="5"/>
  <c r="AP21" i="20" s="1"/>
  <c r="AI21" i="20"/>
  <c r="AX119" i="7"/>
  <c r="AK119" i="7"/>
  <c r="AI119" i="7"/>
  <c r="W265" i="9"/>
  <c r="H265" i="12"/>
  <c r="AL228" i="4"/>
  <c r="F196" i="12"/>
  <c r="AI4" i="4"/>
  <c r="AE31" i="4"/>
  <c r="AE63" i="4"/>
  <c r="I31" i="7"/>
  <c r="AE95" i="4"/>
  <c r="I43" i="7"/>
  <c r="AE127" i="4"/>
  <c r="AL119" i="4"/>
  <c r="J51" i="7"/>
  <c r="F103" i="12"/>
  <c r="P48" i="10"/>
  <c r="Q48" i="10" s="1"/>
  <c r="R48" i="10" s="1"/>
  <c r="Y48" i="10" s="1"/>
  <c r="O48" i="10"/>
  <c r="AE78" i="4"/>
  <c r="I31" i="10"/>
  <c r="AE94" i="4"/>
  <c r="I36" i="10"/>
  <c r="AE110" i="4"/>
  <c r="I41" i="10"/>
  <c r="AE126" i="4"/>
  <c r="I46" i="10"/>
  <c r="Y147" i="4"/>
  <c r="F87" i="11"/>
  <c r="G61" i="7"/>
  <c r="AL102" i="4"/>
  <c r="F88" i="12"/>
  <c r="Y196" i="4"/>
  <c r="G66" i="10"/>
  <c r="F118" i="11"/>
  <c r="P68" i="10"/>
  <c r="Q68" i="10" s="1"/>
  <c r="R68" i="10" s="1"/>
  <c r="Y68" i="10" s="1"/>
  <c r="O68" i="10"/>
  <c r="Y65" i="4"/>
  <c r="G32" i="7"/>
  <c r="F41" i="11"/>
  <c r="Y138" i="4"/>
  <c r="F84" i="11"/>
  <c r="G49" i="10"/>
  <c r="AL67" i="4"/>
  <c r="AM67" i="4" s="1"/>
  <c r="AO67" i="4" s="1"/>
  <c r="AP67" i="4" s="1"/>
  <c r="J33" i="7"/>
  <c r="F59" i="12"/>
  <c r="AJ182" i="4"/>
  <c r="AB49" i="4"/>
  <c r="AB81" i="4"/>
  <c r="AB113" i="4"/>
  <c r="Y148" i="4"/>
  <c r="G51" i="10"/>
  <c r="F88" i="11"/>
  <c r="AE41" i="4"/>
  <c r="I24" i="7"/>
  <c r="AE73" i="4"/>
  <c r="AE105" i="4"/>
  <c r="I46" i="7"/>
  <c r="AE121" i="4"/>
  <c r="I52" i="7"/>
  <c r="Y333" i="4"/>
  <c r="G128" i="7"/>
  <c r="F195" i="11"/>
  <c r="AL174" i="4"/>
  <c r="AM174" i="4" s="1"/>
  <c r="AO174" i="4" s="1"/>
  <c r="AP174" i="4" s="1"/>
  <c r="F150" i="12"/>
  <c r="AB261" i="4"/>
  <c r="Y233" i="4"/>
  <c r="G92" i="7"/>
  <c r="F137" i="11"/>
  <c r="AB293" i="4"/>
  <c r="AJ160" i="4"/>
  <c r="AB260" i="4"/>
  <c r="AL315" i="4"/>
  <c r="F271" i="12"/>
  <c r="J121" i="7"/>
  <c r="AL227" i="4"/>
  <c r="AM227" i="4" s="1"/>
  <c r="AO227" i="4" s="1"/>
  <c r="AP227" i="4" s="1"/>
  <c r="F195" i="12"/>
  <c r="AL218" i="4"/>
  <c r="AM218" i="4" s="1"/>
  <c r="AO218" i="4" s="1"/>
  <c r="AP218" i="4" s="1"/>
  <c r="F188" i="12"/>
  <c r="J71" i="10"/>
  <c r="F110" i="7"/>
  <c r="F4" i="7" s="1"/>
  <c r="F19" i="18"/>
  <c r="AE273" i="4"/>
  <c r="I106" i="7"/>
  <c r="Y246" i="4"/>
  <c r="G79" i="10"/>
  <c r="F144" i="11"/>
  <c r="AL359" i="4"/>
  <c r="F309" i="12"/>
  <c r="J137" i="7"/>
  <c r="AL256" i="4"/>
  <c r="AM256" i="4" s="1"/>
  <c r="AO256" i="4" s="1"/>
  <c r="AP256" i="4" s="1"/>
  <c r="F220" i="12"/>
  <c r="O56" i="10"/>
  <c r="P56" i="10" s="1"/>
  <c r="Q56" i="10" s="1"/>
  <c r="R56" i="10" s="1"/>
  <c r="Y56" i="10" s="1"/>
  <c r="P66" i="10"/>
  <c r="Q66" i="10" s="1"/>
  <c r="R66" i="10" s="1"/>
  <c r="Y66" i="10" s="1"/>
  <c r="O66" i="10"/>
  <c r="O89" i="10"/>
  <c r="Q89" i="10"/>
  <c r="R89" i="10" s="1"/>
  <c r="Y89" i="10" s="1"/>
  <c r="P89" i="10"/>
  <c r="P97" i="10"/>
  <c r="Q97" i="10" s="1"/>
  <c r="R97" i="10" s="1"/>
  <c r="Y97" i="10" s="1"/>
  <c r="O97" i="10"/>
  <c r="AE336" i="4"/>
  <c r="I106" i="10"/>
  <c r="AL328" i="4"/>
  <c r="F282" i="12"/>
  <c r="AE299" i="4"/>
  <c r="I115" i="7"/>
  <c r="AE375" i="4"/>
  <c r="I143" i="7"/>
  <c r="O103" i="10"/>
  <c r="P103" i="10" s="1"/>
  <c r="Q103" i="10" s="1"/>
  <c r="R103" i="10" s="1"/>
  <c r="Y103" i="10" s="1"/>
  <c r="AB359" i="4"/>
  <c r="AE271" i="4"/>
  <c r="I105" i="7"/>
  <c r="AE303" i="4"/>
  <c r="I117" i="7"/>
  <c r="AL369" i="4"/>
  <c r="AM369" i="4" s="1"/>
  <c r="AO369" i="4" s="1"/>
  <c r="AP369" i="4" s="1"/>
  <c r="F317" i="12"/>
  <c r="J140" i="7"/>
  <c r="AL325" i="4"/>
  <c r="AM325" i="4" s="1"/>
  <c r="AO325" i="4" s="1"/>
  <c r="AP325" i="4" s="1"/>
  <c r="F279" i="12"/>
  <c r="AB387" i="4"/>
  <c r="AF141" i="5"/>
  <c r="AQ40" i="20" s="1"/>
  <c r="AJ40" i="20"/>
  <c r="U18" i="9"/>
  <c r="Z18" i="9" s="1"/>
  <c r="G18" i="12"/>
  <c r="AF20" i="5"/>
  <c r="AP16" i="20" s="1"/>
  <c r="AI16" i="20"/>
  <c r="AT48" i="7"/>
  <c r="AP95" i="12" s="1"/>
  <c r="AS48" i="7"/>
  <c r="AR48" i="7"/>
  <c r="AF154" i="5"/>
  <c r="AT42" i="20" s="1"/>
  <c r="AM42" i="20"/>
  <c r="AI128" i="7"/>
  <c r="AX128" i="7"/>
  <c r="AK128" i="7"/>
  <c r="W287" i="9"/>
  <c r="H287" i="12"/>
  <c r="AJ139" i="7"/>
  <c r="AO139" i="7"/>
  <c r="EJ39" i="6"/>
  <c r="AY33" i="7"/>
  <c r="AU33" i="7"/>
  <c r="I59" i="12"/>
  <c r="X59" i="9"/>
  <c r="AK69" i="7"/>
  <c r="AI69" i="7"/>
  <c r="AX69" i="7"/>
  <c r="W145" i="9"/>
  <c r="H145" i="12"/>
  <c r="Y94" i="4"/>
  <c r="F58" i="11"/>
  <c r="G36" i="10"/>
  <c r="AB31" i="4"/>
  <c r="AJ93" i="4"/>
  <c r="AE104" i="4"/>
  <c r="AL32" i="4"/>
  <c r="F28" i="12"/>
  <c r="AL104" i="4"/>
  <c r="AM104" i="4" s="1"/>
  <c r="AO104" i="4" s="1"/>
  <c r="AP104" i="4" s="1"/>
  <c r="F90" i="12"/>
  <c r="AL103" i="4"/>
  <c r="J45" i="7"/>
  <c r="F89" i="12"/>
  <c r="Y139" i="4"/>
  <c r="F85" i="11"/>
  <c r="G59" i="7"/>
  <c r="AL180" i="4"/>
  <c r="AM180" i="4" s="1"/>
  <c r="AO180" i="4" s="1"/>
  <c r="AP180" i="4" s="1"/>
  <c r="F156" i="12"/>
  <c r="J61" i="10"/>
  <c r="Y153" i="4"/>
  <c r="F93" i="11"/>
  <c r="G64" i="7"/>
  <c r="Y123" i="4"/>
  <c r="G53" i="7"/>
  <c r="F75" i="11"/>
  <c r="AJ65" i="4"/>
  <c r="AJ97" i="4"/>
  <c r="AJ113" i="4"/>
  <c r="AR113" i="4" s="1"/>
  <c r="AJ129" i="4"/>
  <c r="Y49" i="4"/>
  <c r="G26" i="7"/>
  <c r="F31" i="11"/>
  <c r="AE182" i="4"/>
  <c r="I62" i="10"/>
  <c r="AL51" i="4"/>
  <c r="J27" i="7"/>
  <c r="F45" i="12"/>
  <c r="Y140" i="4"/>
  <c r="F86" i="11"/>
  <c r="G50" i="10"/>
  <c r="AL106" i="4"/>
  <c r="AM106" i="4" s="1"/>
  <c r="AO106" i="4" s="1"/>
  <c r="AP106" i="4" s="1"/>
  <c r="J39" i="10"/>
  <c r="F92" i="12"/>
  <c r="Y217" i="4"/>
  <c r="G86" i="7"/>
  <c r="F127" i="11"/>
  <c r="AL350" i="4"/>
  <c r="F302" i="12"/>
  <c r="J110" i="10"/>
  <c r="AB229" i="4"/>
  <c r="AB245" i="4"/>
  <c r="AL158" i="4"/>
  <c r="F136" i="12"/>
  <c r="Y195" i="4"/>
  <c r="G79" i="7"/>
  <c r="F117" i="11"/>
  <c r="AB271" i="4"/>
  <c r="AJ162" i="4"/>
  <c r="AJ194" i="4"/>
  <c r="AJ226" i="4"/>
  <c r="AR226" i="4" s="1"/>
  <c r="AR242" i="4"/>
  <c r="AL173" i="4"/>
  <c r="J70" i="7"/>
  <c r="F149" i="12"/>
  <c r="Y210" i="4"/>
  <c r="G70" i="10"/>
  <c r="F126" i="11"/>
  <c r="AJ291" i="4"/>
  <c r="AL255" i="4"/>
  <c r="AM255" i="4" s="1"/>
  <c r="AO255" i="4" s="1"/>
  <c r="AP255" i="4" s="1"/>
  <c r="F219" i="12"/>
  <c r="AJ299" i="4"/>
  <c r="AB146" i="4"/>
  <c r="AB162" i="4"/>
  <c r="AB178" i="4"/>
  <c r="AB194" i="4"/>
  <c r="AB210" i="4"/>
  <c r="AB226" i="4"/>
  <c r="AB242" i="4"/>
  <c r="AJ317" i="4"/>
  <c r="Y248" i="4"/>
  <c r="F146" i="11"/>
  <c r="G80" i="10"/>
  <c r="AL341" i="4"/>
  <c r="F293" i="12"/>
  <c r="J130" i="7"/>
  <c r="AE154" i="4"/>
  <c r="I54" i="10"/>
  <c r="AE218" i="4"/>
  <c r="I71" i="10"/>
  <c r="AE234" i="4"/>
  <c r="I76" i="10"/>
  <c r="AE250" i="4"/>
  <c r="I81" i="10"/>
  <c r="AB276" i="4"/>
  <c r="AL202" i="4"/>
  <c r="AM202" i="4" s="1"/>
  <c r="AO202" i="4" s="1"/>
  <c r="AP202" i="4" s="1"/>
  <c r="F174" i="12"/>
  <c r="AM302" i="4"/>
  <c r="AO302" i="4" s="1"/>
  <c r="AP302" i="4" s="1"/>
  <c r="AR302" i="4"/>
  <c r="AE233" i="4"/>
  <c r="I92" i="7"/>
  <c r="AE249" i="4"/>
  <c r="I98" i="7"/>
  <c r="AL193" i="4"/>
  <c r="AM193" i="4" s="1"/>
  <c r="AO193" i="4" s="1"/>
  <c r="AP193" i="4" s="1"/>
  <c r="J78" i="7"/>
  <c r="F167" i="12"/>
  <c r="AE144" i="4"/>
  <c r="AE160" i="4"/>
  <c r="AE176" i="4"/>
  <c r="I59" i="10"/>
  <c r="AE192" i="4"/>
  <c r="I64" i="10"/>
  <c r="AE208" i="4"/>
  <c r="I69" i="10"/>
  <c r="AE224" i="4"/>
  <c r="I74" i="10"/>
  <c r="AE240" i="4"/>
  <c r="Y221" i="4"/>
  <c r="G88" i="7"/>
  <c r="F131" i="11"/>
  <c r="AB288" i="4"/>
  <c r="AE383" i="4"/>
  <c r="I145" i="7"/>
  <c r="AE324" i="4"/>
  <c r="AJ342" i="4"/>
  <c r="AL292" i="4"/>
  <c r="AM292" i="4" s="1"/>
  <c r="AO292" i="4" s="1"/>
  <c r="AP292" i="4" s="1"/>
  <c r="F252" i="12"/>
  <c r="J93" i="10"/>
  <c r="AB347" i="4"/>
  <c r="Y334" i="4"/>
  <c r="F196" i="11"/>
  <c r="G105" i="10"/>
  <c r="AE396" i="4"/>
  <c r="AL259" i="4"/>
  <c r="AM259" i="4" s="1"/>
  <c r="AO259" i="4" s="1"/>
  <c r="AP259" i="4" s="1"/>
  <c r="J101" i="7"/>
  <c r="F223" i="12"/>
  <c r="AE331" i="4"/>
  <c r="I127" i="7"/>
  <c r="AJ389" i="4"/>
  <c r="AB311" i="4"/>
  <c r="AL266" i="4"/>
  <c r="F230" i="12"/>
  <c r="J86" i="10"/>
  <c r="Y303" i="4"/>
  <c r="F177" i="11"/>
  <c r="G117" i="7"/>
  <c r="Y322" i="4"/>
  <c r="F190" i="11"/>
  <c r="G102" i="10"/>
  <c r="AJ324" i="4"/>
  <c r="AR324" i="4" s="1"/>
  <c r="AL322" i="4"/>
  <c r="AM322" i="4" s="1"/>
  <c r="AO322" i="4" s="1"/>
  <c r="AP322" i="4" s="1"/>
  <c r="F278" i="12"/>
  <c r="J102" i="10"/>
  <c r="Y390" i="4"/>
  <c r="F228" i="11"/>
  <c r="G121" i="10"/>
  <c r="AL271" i="4"/>
  <c r="AM271" i="4" s="1"/>
  <c r="AO271" i="4" s="1"/>
  <c r="AP271" i="4" s="1"/>
  <c r="J105" i="7"/>
  <c r="F233" i="12"/>
  <c r="Y308" i="4"/>
  <c r="F182" i="11"/>
  <c r="G98" i="10"/>
  <c r="AE398" i="4"/>
  <c r="AE391" i="4"/>
  <c r="I149" i="7"/>
  <c r="Y275" i="4"/>
  <c r="G107" i="7"/>
  <c r="F161" i="11"/>
  <c r="AB344" i="4"/>
  <c r="AJ367" i="4"/>
  <c r="AB389" i="4"/>
  <c r="Y313" i="4"/>
  <c r="G120" i="7"/>
  <c r="AE384" i="4"/>
  <c r="AB383" i="4"/>
  <c r="AJ379" i="4"/>
  <c r="AR379" i="4" s="1"/>
  <c r="AJ399" i="4"/>
  <c r="O116" i="10"/>
  <c r="P116" i="10"/>
  <c r="Q116" i="10" s="1"/>
  <c r="R116" i="10" s="1"/>
  <c r="Y116" i="10" s="1"/>
  <c r="AE392" i="4"/>
  <c r="I122" i="10"/>
  <c r="Y373" i="4"/>
  <c r="G142" i="7"/>
  <c r="F217" i="11"/>
  <c r="Y376" i="4"/>
  <c r="F220" i="11"/>
  <c r="G117" i="10"/>
  <c r="Z45" i="7"/>
  <c r="X45" i="7"/>
  <c r="AB45" i="7" s="1"/>
  <c r="U45" i="7"/>
  <c r="V45" i="7" s="1"/>
  <c r="AE45" i="7" s="1"/>
  <c r="Z24" i="7"/>
  <c r="X24" i="7"/>
  <c r="U24" i="7"/>
  <c r="Z56" i="7"/>
  <c r="X56" i="7"/>
  <c r="U56" i="7"/>
  <c r="Z22" i="7"/>
  <c r="X22" i="7"/>
  <c r="U22" i="7"/>
  <c r="Z54" i="7"/>
  <c r="X54" i="7"/>
  <c r="U54" i="7"/>
  <c r="X127" i="7"/>
  <c r="U127" i="7"/>
  <c r="Z127" i="7"/>
  <c r="Z158" i="7"/>
  <c r="U158" i="7"/>
  <c r="X158" i="7"/>
  <c r="AE25" i="12"/>
  <c r="Z72" i="5"/>
  <c r="AB72" i="5"/>
  <c r="AD72" i="5" s="1"/>
  <c r="H31" i="6" s="1"/>
  <c r="EG51" i="6"/>
  <c r="AK138" i="7"/>
  <c r="AX138" i="7"/>
  <c r="AI138" i="7"/>
  <c r="W311" i="9"/>
  <c r="H311" i="12"/>
  <c r="AF149" i="5"/>
  <c r="AT41" i="20" s="1"/>
  <c r="AM41" i="20"/>
  <c r="AT49" i="7"/>
  <c r="AP97" i="12" s="1"/>
  <c r="AS49" i="7"/>
  <c r="AR49" i="7"/>
  <c r="AY111" i="7"/>
  <c r="AU111" i="7"/>
  <c r="I247" i="12"/>
  <c r="X247" i="9"/>
  <c r="AM61" i="7"/>
  <c r="AL61" i="7"/>
  <c r="AI77" i="7"/>
  <c r="AX77" i="7"/>
  <c r="AK77" i="7"/>
  <c r="W165" i="9"/>
  <c r="H165" i="12"/>
  <c r="AU116" i="7"/>
  <c r="AY116" i="7"/>
  <c r="X259" i="9"/>
  <c r="I259" i="12"/>
  <c r="AV116" i="7"/>
  <c r="V305" i="9"/>
  <c r="T305" i="9"/>
  <c r="R305" i="9"/>
  <c r="AZ135" i="7"/>
  <c r="J305" i="12"/>
  <c r="S272" i="16"/>
  <c r="T272" i="16" s="1"/>
  <c r="AY41" i="7"/>
  <c r="AU41" i="7"/>
  <c r="X79" i="9"/>
  <c r="I79" i="12"/>
  <c r="AB22" i="12"/>
  <c r="V30" i="9"/>
  <c r="V4" i="9" s="1"/>
  <c r="T30" i="9"/>
  <c r="R30" i="9"/>
  <c r="Q30" i="9"/>
  <c r="J30" i="12"/>
  <c r="J4" i="12" s="1"/>
  <c r="EL50" i="6"/>
  <c r="EH50" i="6"/>
  <c r="S326" i="16"/>
  <c r="T326" i="16" s="1"/>
  <c r="Y21" i="12"/>
  <c r="AL151" i="7"/>
  <c r="AM151" i="7"/>
  <c r="T29" i="16"/>
  <c r="AR109" i="4"/>
  <c r="AM109" i="4"/>
  <c r="AO109" i="4" s="1"/>
  <c r="AP109" i="4" s="1"/>
  <c r="AR37" i="4"/>
  <c r="AM37" i="4"/>
  <c r="AO37" i="4" s="1"/>
  <c r="AP37" i="4" s="1"/>
  <c r="Y180" i="4"/>
  <c r="F108" i="11"/>
  <c r="G61" i="10"/>
  <c r="AL68" i="4"/>
  <c r="J29" i="10"/>
  <c r="F60" i="12"/>
  <c r="AE246" i="4"/>
  <c r="I79" i="10"/>
  <c r="AE195" i="4"/>
  <c r="I79" i="7"/>
  <c r="AL249" i="4"/>
  <c r="AM249" i="4" s="1"/>
  <c r="AO249" i="4" s="1"/>
  <c r="AP249" i="4" s="1"/>
  <c r="F215" i="12"/>
  <c r="J98" i="7"/>
  <c r="O111" i="10"/>
  <c r="P111" i="10"/>
  <c r="Q111" i="10" s="1"/>
  <c r="R111" i="10" s="1"/>
  <c r="Y111" i="10" s="1"/>
  <c r="AL289" i="4"/>
  <c r="J112" i="7"/>
  <c r="F249" i="12"/>
  <c r="AL294" i="4"/>
  <c r="F254" i="12"/>
  <c r="J94" i="10"/>
  <c r="AL391" i="4"/>
  <c r="J149" i="7"/>
  <c r="F337" i="12"/>
  <c r="AL395" i="4"/>
  <c r="F339" i="12"/>
  <c r="Z110" i="7"/>
  <c r="U110" i="7"/>
  <c r="V110" i="7" s="1"/>
  <c r="AE110" i="7" s="1"/>
  <c r="X110" i="7"/>
  <c r="AB110" i="7" s="1"/>
  <c r="Z31" i="7"/>
  <c r="X31" i="7"/>
  <c r="U31" i="7"/>
  <c r="Z134" i="7"/>
  <c r="X134" i="7"/>
  <c r="U134" i="7"/>
  <c r="Z144" i="7"/>
  <c r="U144" i="7"/>
  <c r="X144" i="7"/>
  <c r="U145" i="7"/>
  <c r="V145" i="7" s="1"/>
  <c r="AE145" i="7" s="1"/>
  <c r="Z145" i="7"/>
  <c r="X145" i="7"/>
  <c r="AB145" i="7" s="1"/>
  <c r="Z155" i="7"/>
  <c r="U155" i="7"/>
  <c r="V155" i="7" s="1"/>
  <c r="AE155" i="7" s="1"/>
  <c r="X155" i="7"/>
  <c r="AB155" i="7" s="1"/>
  <c r="AT36" i="7"/>
  <c r="AP67" i="12" s="1"/>
  <c r="AS36" i="7"/>
  <c r="AR36" i="7"/>
  <c r="AJ78" i="7"/>
  <c r="AO78" i="7"/>
  <c r="AM15" i="7"/>
  <c r="AL15" i="7"/>
  <c r="AY64" i="7"/>
  <c r="AU64" i="7"/>
  <c r="I133" i="12"/>
  <c r="X133" i="9"/>
  <c r="AV64" i="7"/>
  <c r="EM45" i="6"/>
  <c r="EI45" i="6"/>
  <c r="AJ138" i="7"/>
  <c r="AO138" i="7"/>
  <c r="AF117" i="5"/>
  <c r="AR35" i="20" s="1"/>
  <c r="AK35" i="20"/>
  <c r="AY146" i="7"/>
  <c r="AU146" i="7"/>
  <c r="X331" i="9"/>
  <c r="AV146" i="7"/>
  <c r="I331" i="12"/>
  <c r="AM133" i="7"/>
  <c r="AL133" i="7"/>
  <c r="L4" i="14"/>
  <c r="J4" i="14" s="1"/>
  <c r="AJ136" i="7"/>
  <c r="AO136" i="7"/>
  <c r="V78" i="9"/>
  <c r="T78" i="9"/>
  <c r="R78" i="9"/>
  <c r="J78" i="12"/>
  <c r="AY151" i="7"/>
  <c r="AU151" i="7"/>
  <c r="X343" i="9"/>
  <c r="I343" i="12"/>
  <c r="AH22" i="12"/>
  <c r="AV151" i="7"/>
  <c r="AY53" i="7"/>
  <c r="AU53" i="7"/>
  <c r="I107" i="12"/>
  <c r="X107" i="9"/>
  <c r="EH47" i="6"/>
  <c r="EL47" i="6"/>
  <c r="S310" i="16"/>
  <c r="T310" i="16" s="1"/>
  <c r="AF111" i="5"/>
  <c r="AQ34" i="20" s="1"/>
  <c r="AJ34" i="20"/>
  <c r="EG44" i="6"/>
  <c r="Z153" i="7"/>
  <c r="U153" i="7"/>
  <c r="X153" i="7"/>
  <c r="V41" i="9"/>
  <c r="T41" i="9"/>
  <c r="R41" i="9"/>
  <c r="AZ25" i="7"/>
  <c r="Q41" i="9"/>
  <c r="AQ41" i="12" s="1"/>
  <c r="J41" i="12"/>
  <c r="EM51" i="6"/>
  <c r="EI51" i="6"/>
  <c r="AY37" i="7"/>
  <c r="AU37" i="7"/>
  <c r="X69" i="9"/>
  <c r="I69" i="12"/>
  <c r="AN17" i="5"/>
  <c r="AL17" i="5"/>
  <c r="BF15" i="20" s="1"/>
  <c r="AY15" i="20"/>
  <c r="AM102" i="7"/>
  <c r="AL102" i="7"/>
  <c r="AF18" i="5"/>
  <c r="AL15" i="20"/>
  <c r="AI136" i="7"/>
  <c r="AX136" i="7"/>
  <c r="AK136" i="7"/>
  <c r="H307" i="12"/>
  <c r="W307" i="9"/>
  <c r="AF139" i="5"/>
  <c r="AT39" i="20" s="1"/>
  <c r="AM39" i="20"/>
  <c r="AK22" i="12"/>
  <c r="AU143" i="7"/>
  <c r="AY143" i="7"/>
  <c r="X323" i="9"/>
  <c r="I323" i="12"/>
  <c r="AM89" i="7"/>
  <c r="AL89" i="7"/>
  <c r="EJ47" i="6"/>
  <c r="EN47" i="6" s="1"/>
  <c r="EL51" i="6"/>
  <c r="EH51" i="6"/>
  <c r="S336" i="16"/>
  <c r="EL44" i="6"/>
  <c r="EH44" i="6"/>
  <c r="AK111" i="5"/>
  <c r="AC34" i="20"/>
  <c r="EJ44" i="6"/>
  <c r="EN44" i="6" s="1"/>
  <c r="S59" i="16"/>
  <c r="AF65" i="5"/>
  <c r="AP25" i="20" s="1"/>
  <c r="AI25" i="20"/>
  <c r="AF84" i="5"/>
  <c r="AT28" i="20" s="1"/>
  <c r="AM28" i="20"/>
  <c r="AX28" i="4"/>
  <c r="AZ28" i="4"/>
  <c r="BB28" i="4" s="1"/>
  <c r="AU71" i="7"/>
  <c r="AY71" i="7"/>
  <c r="I151" i="12"/>
  <c r="X151" i="9"/>
  <c r="AF110" i="5"/>
  <c r="AP34" i="20" s="1"/>
  <c r="AI34" i="20"/>
  <c r="AT46" i="7"/>
  <c r="AP91" i="12" s="1"/>
  <c r="AS46" i="7"/>
  <c r="AR46" i="7"/>
  <c r="EM38" i="6"/>
  <c r="EI38" i="6"/>
  <c r="AT91" i="7"/>
  <c r="AP199" i="12" s="1"/>
  <c r="AS91" i="7"/>
  <c r="AR91" i="7"/>
  <c r="Z132" i="5"/>
  <c r="AB132" i="5"/>
  <c r="AD132" i="5" s="1"/>
  <c r="K4" i="9"/>
  <c r="AK18" i="5"/>
  <c r="AE15" i="20"/>
  <c r="EJ48" i="6"/>
  <c r="EN48" i="6" s="1"/>
  <c r="AO17" i="12"/>
  <c r="AJ17" i="7"/>
  <c r="AO17" i="7"/>
  <c r="AK139" i="5"/>
  <c r="AF39" i="20"/>
  <c r="R197" i="9"/>
  <c r="V197" i="9"/>
  <c r="T197" i="9"/>
  <c r="AZ90" i="7"/>
  <c r="J197" i="12"/>
  <c r="S111" i="16"/>
  <c r="EN38" i="6"/>
  <c r="EJ38" i="6"/>
  <c r="S135" i="16"/>
  <c r="T231" i="16"/>
  <c r="S224" i="16"/>
  <c r="T393" i="16"/>
  <c r="T168" i="16"/>
  <c r="EK45" i="6"/>
  <c r="EO45" i="6"/>
  <c r="S121" i="16"/>
  <c r="AY66" i="7"/>
  <c r="AU66" i="7"/>
  <c r="I139" i="12"/>
  <c r="X139" i="9"/>
  <c r="T21" i="16"/>
  <c r="S366" i="16"/>
  <c r="S130" i="16"/>
  <c r="S252" i="16"/>
  <c r="AL229" i="4"/>
  <c r="AM229" i="4" s="1"/>
  <c r="AO229" i="4" s="1"/>
  <c r="AP229" i="4" s="1"/>
  <c r="J90" i="7"/>
  <c r="F197" i="12"/>
  <c r="AE243" i="4"/>
  <c r="I95" i="7"/>
  <c r="AE289" i="4"/>
  <c r="I112" i="7"/>
  <c r="AL354" i="4"/>
  <c r="F304" i="12"/>
  <c r="AR349" i="4"/>
  <c r="AL377" i="4"/>
  <c r="AM377" i="4" s="1"/>
  <c r="AO377" i="4" s="1"/>
  <c r="AP377" i="4" s="1"/>
  <c r="F325" i="12"/>
  <c r="J144" i="7"/>
  <c r="AL390" i="4"/>
  <c r="AM390" i="4" s="1"/>
  <c r="AO390" i="4" s="1"/>
  <c r="AP390" i="4" s="1"/>
  <c r="J121" i="10"/>
  <c r="F336" i="12"/>
  <c r="Z36" i="7"/>
  <c r="X36" i="7"/>
  <c r="U36" i="7"/>
  <c r="U130" i="7"/>
  <c r="V130" i="7" s="1"/>
  <c r="AE130" i="7" s="1"/>
  <c r="Z130" i="7"/>
  <c r="X130" i="7"/>
  <c r="AB130" i="7" s="1"/>
  <c r="AT88" i="7"/>
  <c r="AP191" i="12" s="1"/>
  <c r="AS88" i="7"/>
  <c r="AR88" i="7"/>
  <c r="Y125" i="4"/>
  <c r="G54" i="7"/>
  <c r="F77" i="11"/>
  <c r="O34" i="10"/>
  <c r="P34" i="10" s="1"/>
  <c r="Q34" i="10" s="1"/>
  <c r="R34" i="10" s="1"/>
  <c r="Y34" i="10" s="1"/>
  <c r="AR122" i="4"/>
  <c r="Y33" i="4"/>
  <c r="G20" i="7"/>
  <c r="AR145" i="4"/>
  <c r="Y232" i="4"/>
  <c r="G75" i="10"/>
  <c r="F136" i="11"/>
  <c r="AE292" i="4"/>
  <c r="I93" i="10"/>
  <c r="O91" i="10"/>
  <c r="P91" i="10" s="1"/>
  <c r="Q91" i="10" s="1"/>
  <c r="R91" i="10" s="1"/>
  <c r="Y91" i="10" s="1"/>
  <c r="O83" i="10"/>
  <c r="P83" i="10"/>
  <c r="Q83" i="10" s="1"/>
  <c r="R83" i="10" s="1"/>
  <c r="Y83" i="10" s="1"/>
  <c r="AR386" i="4"/>
  <c r="AE359" i="4"/>
  <c r="I137" i="7"/>
  <c r="AH24" i="12"/>
  <c r="Y137" i="4"/>
  <c r="G58" i="7"/>
  <c r="F83" i="11"/>
  <c r="AL121" i="4"/>
  <c r="AM121" i="4" s="1"/>
  <c r="AO121" i="4" s="1"/>
  <c r="AP121" i="4" s="1"/>
  <c r="J52" i="7"/>
  <c r="F105" i="12"/>
  <c r="AJ68" i="4"/>
  <c r="AR132" i="4"/>
  <c r="AM132" i="4"/>
  <c r="AO132" i="4" s="1"/>
  <c r="AP132" i="4" s="1"/>
  <c r="AR83" i="4"/>
  <c r="AM83" i="4"/>
  <c r="AO83" i="4" s="1"/>
  <c r="AP83" i="4" s="1"/>
  <c r="AL61" i="4"/>
  <c r="AM61" i="4" s="1"/>
  <c r="AO61" i="4" s="1"/>
  <c r="AP61" i="4" s="1"/>
  <c r="J30" i="7"/>
  <c r="F53" i="12"/>
  <c r="Y89" i="4"/>
  <c r="G40" i="7"/>
  <c r="O26" i="10"/>
  <c r="P26" i="10" s="1"/>
  <c r="Q26" i="10" s="1"/>
  <c r="R26" i="10" s="1"/>
  <c r="Y26" i="10" s="1"/>
  <c r="AL136" i="4"/>
  <c r="AM136" i="4" s="1"/>
  <c r="AO136" i="4" s="1"/>
  <c r="AP136" i="4" s="1"/>
  <c r="F118" i="12"/>
  <c r="J48" i="10"/>
  <c r="AL91" i="4"/>
  <c r="AM91" i="4" s="1"/>
  <c r="AO91" i="4" s="1"/>
  <c r="AP91" i="4" s="1"/>
  <c r="F79" i="12"/>
  <c r="J41" i="7"/>
  <c r="AJ46" i="4"/>
  <c r="AJ126" i="4"/>
  <c r="AL247" i="4"/>
  <c r="F213" i="12"/>
  <c r="J97" i="7"/>
  <c r="AE213" i="4"/>
  <c r="AE259" i="4"/>
  <c r="I101" i="7"/>
  <c r="AL242" i="4"/>
  <c r="AM242" i="4" s="1"/>
  <c r="AO242" i="4" s="1"/>
  <c r="AP242" i="4" s="1"/>
  <c r="F208" i="12"/>
  <c r="AL233" i="4"/>
  <c r="AM233" i="4" s="1"/>
  <c r="AO233" i="4" s="1"/>
  <c r="AP233" i="4" s="1"/>
  <c r="J92" i="7"/>
  <c r="F201" i="12"/>
  <c r="AR304" i="4"/>
  <c r="AM304" i="4"/>
  <c r="AO304" i="4" s="1"/>
  <c r="AP304" i="4" s="1"/>
  <c r="AL299" i="4"/>
  <c r="J115" i="7"/>
  <c r="F257" i="12"/>
  <c r="Y372" i="4"/>
  <c r="F216" i="11"/>
  <c r="G115" i="10"/>
  <c r="EI44" i="6"/>
  <c r="EM44" i="6"/>
  <c r="AT18" i="7"/>
  <c r="AP23" i="12" s="1"/>
  <c r="AS18" i="7"/>
  <c r="AR18" i="7"/>
  <c r="Z88" i="5"/>
  <c r="AB88" i="5"/>
  <c r="AD88" i="5" s="1"/>
  <c r="H32" i="6" s="1"/>
  <c r="AR101" i="4"/>
  <c r="AM101" i="4"/>
  <c r="AO101" i="4" s="1"/>
  <c r="AP101" i="4" s="1"/>
  <c r="AR187" i="4"/>
  <c r="AM187" i="4"/>
  <c r="AO187" i="4" s="1"/>
  <c r="AP187" i="4" s="1"/>
  <c r="AE40" i="4"/>
  <c r="I21" i="10"/>
  <c r="AL31" i="4"/>
  <c r="F27" i="12"/>
  <c r="Y109" i="4"/>
  <c r="F67" i="11"/>
  <c r="G48" i="7"/>
  <c r="Y108" i="4"/>
  <c r="F66" i="11"/>
  <c r="G40" i="10"/>
  <c r="O63" i="10"/>
  <c r="P63" i="10" s="1"/>
  <c r="Q63" i="10" s="1"/>
  <c r="R63" i="10" s="1"/>
  <c r="Y63" i="10" s="1"/>
  <c r="AL54" i="4"/>
  <c r="AM54" i="4" s="1"/>
  <c r="AO54" i="4" s="1"/>
  <c r="AP54" i="4" s="1"/>
  <c r="F48" i="12"/>
  <c r="J25" i="10"/>
  <c r="Y91" i="4"/>
  <c r="G41" i="7"/>
  <c r="F55" i="11"/>
  <c r="AL117" i="4"/>
  <c r="AM117" i="4" s="1"/>
  <c r="AO117" i="4" s="1"/>
  <c r="AP117" i="4" s="1"/>
  <c r="J50" i="7"/>
  <c r="F101" i="12"/>
  <c r="O62" i="10"/>
  <c r="P62" i="10" s="1"/>
  <c r="Q62" i="10" s="1"/>
  <c r="R62" i="10" s="1"/>
  <c r="Y62" i="10" s="1"/>
  <c r="AL108" i="4"/>
  <c r="AM108" i="4" s="1"/>
  <c r="AO108" i="4" s="1"/>
  <c r="AP108" i="4" s="1"/>
  <c r="F94" i="12"/>
  <c r="J40" i="10"/>
  <c r="AJ40" i="4"/>
  <c r="AJ72" i="4"/>
  <c r="AR72" i="4" s="1"/>
  <c r="AR104" i="4"/>
  <c r="AR120" i="4"/>
  <c r="Y56" i="4"/>
  <c r="F38" i="11"/>
  <c r="G26" i="10"/>
  <c r="AJ39" i="4"/>
  <c r="AJ55" i="4"/>
  <c r="J27" i="6" s="1"/>
  <c r="AJ71" i="4"/>
  <c r="AR71" i="4" s="1"/>
  <c r="AR87" i="4"/>
  <c r="AM87" i="4"/>
  <c r="AO87" i="4" s="1"/>
  <c r="AP87" i="4" s="1"/>
  <c r="AR103" i="4"/>
  <c r="AM103" i="4"/>
  <c r="AO103" i="4" s="1"/>
  <c r="AP103" i="4" s="1"/>
  <c r="AR119" i="4"/>
  <c r="AM119" i="4"/>
  <c r="AO119" i="4" s="1"/>
  <c r="AP119" i="4" s="1"/>
  <c r="AJ137" i="4"/>
  <c r="AL74" i="4"/>
  <c r="AM74" i="4" s="1"/>
  <c r="AO74" i="4" s="1"/>
  <c r="AP74" i="4" s="1"/>
  <c r="F64" i="12"/>
  <c r="Y111" i="4"/>
  <c r="G49" i="7"/>
  <c r="F69" i="11"/>
  <c r="Y163" i="4"/>
  <c r="F97" i="11"/>
  <c r="G67" i="7"/>
  <c r="AR307" i="4"/>
  <c r="Y178" i="4"/>
  <c r="F106" i="11"/>
  <c r="G60" i="10"/>
  <c r="AB147" i="4"/>
  <c r="AB163" i="4"/>
  <c r="AB179" i="4"/>
  <c r="AB195" i="4"/>
  <c r="AB211" i="4"/>
  <c r="AB227" i="4"/>
  <c r="AB243" i="4"/>
  <c r="AE262" i="4"/>
  <c r="I84" i="10"/>
  <c r="AL179" i="4"/>
  <c r="F155" i="12"/>
  <c r="J73" i="7"/>
  <c r="AE280" i="4"/>
  <c r="I90" i="10"/>
  <c r="Y207" i="4"/>
  <c r="G83" i="7"/>
  <c r="F123" i="11"/>
  <c r="O78" i="10"/>
  <c r="P78" i="10" s="1"/>
  <c r="Q78" i="10" s="1"/>
  <c r="R78" i="10" s="1"/>
  <c r="Y78" i="10" s="1"/>
  <c r="AB295" i="4"/>
  <c r="AL161" i="4"/>
  <c r="J66" i="7"/>
  <c r="F139" i="12"/>
  <c r="AE305" i="4"/>
  <c r="I118" i="7"/>
  <c r="AL152" i="4"/>
  <c r="AM152" i="4" s="1"/>
  <c r="AO152" i="4" s="1"/>
  <c r="AP152" i="4" s="1"/>
  <c r="F132" i="12"/>
  <c r="J53" i="10"/>
  <c r="Y189" i="4"/>
  <c r="G76" i="7"/>
  <c r="F111" i="11"/>
  <c r="AE348" i="4"/>
  <c r="I109" i="10"/>
  <c r="AL285" i="4"/>
  <c r="AM285" i="4" s="1"/>
  <c r="AO285" i="4" s="1"/>
  <c r="AP285" i="4" s="1"/>
  <c r="F245" i="12"/>
  <c r="J110" i="7"/>
  <c r="Y363" i="4"/>
  <c r="F213" i="11"/>
  <c r="G139" i="7"/>
  <c r="AL374" i="4"/>
  <c r="J116" i="10"/>
  <c r="F322" i="12"/>
  <c r="AB335" i="4"/>
  <c r="AB339" i="4"/>
  <c r="Y264" i="4"/>
  <c r="G85" i="10"/>
  <c r="F156" i="11"/>
  <c r="AJ353" i="4"/>
  <c r="AL396" i="4"/>
  <c r="F340" i="12"/>
  <c r="AE282" i="4"/>
  <c r="Y271" i="4"/>
  <c r="G105" i="7"/>
  <c r="AR325" i="4"/>
  <c r="AL311" i="4"/>
  <c r="AM311" i="4" s="1"/>
  <c r="AO311" i="4" s="1"/>
  <c r="AP311" i="4" s="1"/>
  <c r="F267" i="12"/>
  <c r="AJ348" i="4"/>
  <c r="AL372" i="4"/>
  <c r="AM372" i="4" s="1"/>
  <c r="AO372" i="4" s="1"/>
  <c r="AP372" i="4" s="1"/>
  <c r="F320" i="12"/>
  <c r="J115" i="10"/>
  <c r="AM336" i="4"/>
  <c r="AO336" i="4" s="1"/>
  <c r="AP336" i="4" s="1"/>
  <c r="AR336" i="4"/>
  <c r="AB325" i="4"/>
  <c r="Y276" i="4"/>
  <c r="G88" i="10"/>
  <c r="F162" i="11"/>
  <c r="AL373" i="4"/>
  <c r="AM373" i="4" s="1"/>
  <c r="AO373" i="4" s="1"/>
  <c r="AP373" i="4" s="1"/>
  <c r="F321" i="12"/>
  <c r="J142" i="7"/>
  <c r="AE369" i="4"/>
  <c r="I140" i="7"/>
  <c r="AE417" i="4"/>
  <c r="I158" i="7"/>
  <c r="AB409" i="4"/>
  <c r="AR388" i="4"/>
  <c r="O125" i="10"/>
  <c r="P125" i="10" s="1"/>
  <c r="Q125" i="10" s="1"/>
  <c r="R125" i="10" s="1"/>
  <c r="Y125" i="10" s="1"/>
  <c r="Z53" i="7"/>
  <c r="X53" i="7"/>
  <c r="U53" i="7"/>
  <c r="Z32" i="7"/>
  <c r="X32" i="7"/>
  <c r="U32" i="7"/>
  <c r="Z64" i="7"/>
  <c r="X64" i="7"/>
  <c r="U64" i="7"/>
  <c r="Z30" i="7"/>
  <c r="X30" i="7"/>
  <c r="AB30" i="7" s="1"/>
  <c r="U30" i="7"/>
  <c r="V30" i="7" s="1"/>
  <c r="AE30" i="7" s="1"/>
  <c r="Z62" i="7"/>
  <c r="X62" i="7"/>
  <c r="U62" i="7"/>
  <c r="U122" i="7"/>
  <c r="Z122" i="7"/>
  <c r="X122" i="7"/>
  <c r="U117" i="7"/>
  <c r="X117" i="7"/>
  <c r="Z117" i="7"/>
  <c r="Z151" i="7"/>
  <c r="X151" i="7"/>
  <c r="U151" i="7"/>
  <c r="X135" i="7"/>
  <c r="AB135" i="7" s="1"/>
  <c r="Z135" i="7"/>
  <c r="U135" i="7"/>
  <c r="V135" i="7" s="1"/>
  <c r="AE135" i="7" s="1"/>
  <c r="AK65" i="5"/>
  <c r="AB25" i="20"/>
  <c r="AK84" i="5"/>
  <c r="AF28" i="20"/>
  <c r="AJ129" i="7"/>
  <c r="AO129" i="7"/>
  <c r="P4" i="9"/>
  <c r="R4" i="9" s="1"/>
  <c r="AI17" i="7"/>
  <c r="AX17" i="7"/>
  <c r="AK17" i="7"/>
  <c r="W21" i="9"/>
  <c r="H21" i="12"/>
  <c r="V258" i="9"/>
  <c r="R258" i="9"/>
  <c r="T258" i="9"/>
  <c r="Q258" i="9"/>
  <c r="AQ258" i="12" s="1"/>
  <c r="J258" i="12"/>
  <c r="AM29" i="7"/>
  <c r="AL29" i="7"/>
  <c r="T293" i="9"/>
  <c r="R293" i="9"/>
  <c r="V293" i="9"/>
  <c r="AZ130" i="7"/>
  <c r="J293" i="12"/>
  <c r="Q293" i="9"/>
  <c r="AQ293" i="12" s="1"/>
  <c r="EM49" i="6"/>
  <c r="EI49" i="6"/>
  <c r="S283" i="16"/>
  <c r="S407" i="16"/>
  <c r="T407" i="16" s="1"/>
  <c r="EN51" i="6"/>
  <c r="EJ51" i="6"/>
  <c r="S21" i="16"/>
  <c r="S91" i="16"/>
  <c r="AH15" i="20"/>
  <c r="AL72" i="7"/>
  <c r="AM72" i="7"/>
  <c r="EJ40" i="6"/>
  <c r="EN40" i="6"/>
  <c r="AT79" i="7"/>
  <c r="AP169" i="12" s="1"/>
  <c r="AS79" i="7"/>
  <c r="AR79" i="7"/>
  <c r="Z120" i="5"/>
  <c r="AB120" i="5"/>
  <c r="AD120" i="5" s="1"/>
  <c r="H29" i="6" s="1"/>
  <c r="AM63" i="7"/>
  <c r="AL63" i="7"/>
  <c r="AK129" i="7"/>
  <c r="AI129" i="7"/>
  <c r="AX129" i="7"/>
  <c r="W289" i="9"/>
  <c r="H289" i="12"/>
  <c r="AY21" i="7"/>
  <c r="AU21" i="7"/>
  <c r="AV21" i="7"/>
  <c r="I31" i="12"/>
  <c r="X31" i="9"/>
  <c r="AO15" i="7"/>
  <c r="AT131" i="7"/>
  <c r="AP295" i="12" s="1"/>
  <c r="AS131" i="7"/>
  <c r="AR131" i="7"/>
  <c r="AT24" i="7"/>
  <c r="AP37" i="12" s="1"/>
  <c r="AS24" i="7"/>
  <c r="AR24" i="7"/>
  <c r="T173" i="9"/>
  <c r="R173" i="9"/>
  <c r="V173" i="9"/>
  <c r="AZ80" i="7"/>
  <c r="J173" i="12"/>
  <c r="M4" i="13"/>
  <c r="DE23" i="6"/>
  <c r="DF23" i="6" s="1"/>
  <c r="EJ49" i="6"/>
  <c r="EN49" i="6" s="1"/>
  <c r="EH48" i="6"/>
  <c r="EL48" i="6"/>
  <c r="AE21" i="12"/>
  <c r="S170" i="16"/>
  <c r="M25" i="12"/>
  <c r="AJ97" i="7"/>
  <c r="AO97" i="7"/>
  <c r="AF79" i="5"/>
  <c r="AT27" i="20" s="1"/>
  <c r="AM27" i="20"/>
  <c r="EK40" i="6"/>
  <c r="EO40" i="6"/>
  <c r="AT67" i="7"/>
  <c r="AP141" i="12" s="1"/>
  <c r="AS67" i="7"/>
  <c r="AR67" i="7"/>
  <c r="AF102" i="5"/>
  <c r="AR32" i="20" s="1"/>
  <c r="AK32" i="20"/>
  <c r="AF54" i="5"/>
  <c r="AT22" i="20" s="1"/>
  <c r="AM22" i="20"/>
  <c r="AV57" i="7"/>
  <c r="AT39" i="7"/>
  <c r="AP73" i="12" s="1"/>
  <c r="AS39" i="7"/>
  <c r="AR39" i="7"/>
  <c r="AF133" i="5"/>
  <c r="AS38" i="20" s="1"/>
  <c r="AL38" i="20"/>
  <c r="T4" i="9"/>
  <c r="AT134" i="7"/>
  <c r="AP301" i="12" s="1"/>
  <c r="AS134" i="7"/>
  <c r="AR134" i="7"/>
  <c r="M4" i="16"/>
  <c r="AF15" i="5"/>
  <c r="AI15" i="20"/>
  <c r="EM47" i="6"/>
  <c r="EI47" i="6"/>
  <c r="EM42" i="6"/>
  <c r="EI42" i="6"/>
  <c r="AF156" i="5"/>
  <c r="AQ43" i="20" s="1"/>
  <c r="AJ43" i="20"/>
  <c r="AH21" i="12"/>
  <c r="EO43" i="6"/>
  <c r="EK43" i="6"/>
  <c r="EI41" i="6"/>
  <c r="EM41" i="6"/>
  <c r="Z51" i="10" l="1"/>
  <c r="AB51" i="10"/>
  <c r="AR128" i="12" s="1"/>
  <c r="AA51" i="10"/>
  <c r="AU418" i="4"/>
  <c r="AV418" i="4"/>
  <c r="AQ418" i="4"/>
  <c r="AA122" i="10"/>
  <c r="Z122" i="10"/>
  <c r="AB122" i="10"/>
  <c r="AR338" i="12" s="1"/>
  <c r="Z78" i="10"/>
  <c r="AB78" i="10"/>
  <c r="AR206" i="12" s="1"/>
  <c r="AA78" i="10"/>
  <c r="AV344" i="4"/>
  <c r="AU344" i="4"/>
  <c r="AQ344" i="4"/>
  <c r="AQ364" i="4"/>
  <c r="AU364" i="4"/>
  <c r="AV364" i="4"/>
  <c r="AU252" i="4"/>
  <c r="AQ252" i="4"/>
  <c r="AV252" i="4"/>
  <c r="AV159" i="4"/>
  <c r="AU159" i="4"/>
  <c r="AQ159" i="4"/>
  <c r="AV36" i="4"/>
  <c r="AU36" i="4"/>
  <c r="AQ36" i="4"/>
  <c r="AQ270" i="4"/>
  <c r="AV270" i="4"/>
  <c r="AU270" i="4"/>
  <c r="AU313" i="4"/>
  <c r="AQ313" i="4"/>
  <c r="AV313" i="4"/>
  <c r="AQ190" i="4"/>
  <c r="AU190" i="4"/>
  <c r="AV190" i="4"/>
  <c r="AB30" i="10"/>
  <c r="AR62" i="12" s="1"/>
  <c r="AA30" i="10"/>
  <c r="Z30" i="10"/>
  <c r="Z38" i="10"/>
  <c r="AA38" i="10"/>
  <c r="AB38" i="10"/>
  <c r="AR86" i="12" s="1"/>
  <c r="AB118" i="10"/>
  <c r="AR326" i="12" s="1"/>
  <c r="AA118" i="10"/>
  <c r="Z118" i="10"/>
  <c r="AQ333" i="4"/>
  <c r="AU333" i="4"/>
  <c r="AV333" i="4"/>
  <c r="AU356" i="4"/>
  <c r="AQ356" i="4"/>
  <c r="AV356" i="4"/>
  <c r="AB31" i="10"/>
  <c r="AR68" i="12" s="1"/>
  <c r="Z31" i="10"/>
  <c r="AA31" i="10"/>
  <c r="AV285" i="4"/>
  <c r="AU285" i="4"/>
  <c r="AQ285" i="4"/>
  <c r="AU108" i="4"/>
  <c r="AQ108" i="4"/>
  <c r="AV108" i="4"/>
  <c r="AQ249" i="4"/>
  <c r="AV249" i="4"/>
  <c r="AU249" i="4"/>
  <c r="T30" i="20"/>
  <c r="AQ232" i="4"/>
  <c r="AU232" i="4"/>
  <c r="AV232" i="4"/>
  <c r="AU181" i="4"/>
  <c r="AQ181" i="4"/>
  <c r="AV181" i="4"/>
  <c r="AV385" i="4"/>
  <c r="AU385" i="4"/>
  <c r="AQ385" i="4"/>
  <c r="AV199" i="4"/>
  <c r="AU199" i="4"/>
  <c r="AQ199" i="4"/>
  <c r="S27" i="20"/>
  <c r="AU189" i="4"/>
  <c r="AQ189" i="4"/>
  <c r="AV189" i="4"/>
  <c r="AB53" i="10"/>
  <c r="AR132" i="12" s="1"/>
  <c r="AA53" i="10"/>
  <c r="Z53" i="10"/>
  <c r="AV246" i="4"/>
  <c r="AU246" i="4"/>
  <c r="AQ246" i="4"/>
  <c r="AU89" i="4"/>
  <c r="AQ89" i="4"/>
  <c r="AV89" i="4"/>
  <c r="AQ387" i="4"/>
  <c r="AU387" i="4"/>
  <c r="AV387" i="4"/>
  <c r="AU221" i="4"/>
  <c r="AQ221" i="4"/>
  <c r="AV221" i="4"/>
  <c r="S40" i="20"/>
  <c r="AQ371" i="4"/>
  <c r="AU371" i="4"/>
  <c r="AV371" i="4"/>
  <c r="AB42" i="10"/>
  <c r="AR98" i="12" s="1"/>
  <c r="Z42" i="10"/>
  <c r="AA42" i="10"/>
  <c r="AU80" i="4"/>
  <c r="AQ80" i="4"/>
  <c r="AV80" i="4"/>
  <c r="Z33" i="10"/>
  <c r="AB33" i="10"/>
  <c r="AR72" i="12" s="1"/>
  <c r="AA33" i="10"/>
  <c r="Z54" i="10"/>
  <c r="AB54" i="10"/>
  <c r="AR134" i="12" s="1"/>
  <c r="AA54" i="10"/>
  <c r="AA102" i="10"/>
  <c r="AB102" i="10"/>
  <c r="AR278" i="12" s="1"/>
  <c r="Z102" i="10"/>
  <c r="AU373" i="4"/>
  <c r="AV373" i="4"/>
  <c r="AQ373" i="4"/>
  <c r="AU38" i="4"/>
  <c r="AQ38" i="4"/>
  <c r="AV38" i="4"/>
  <c r="AA76" i="10"/>
  <c r="Z76" i="10"/>
  <c r="AB76" i="10"/>
  <c r="AR202" i="12" s="1"/>
  <c r="AU392" i="4"/>
  <c r="AQ392" i="4"/>
  <c r="AV392" i="4"/>
  <c r="AU139" i="4"/>
  <c r="AQ139" i="4"/>
  <c r="AV139" i="4"/>
  <c r="S18" i="20"/>
  <c r="AV63" i="4"/>
  <c r="AU63" i="4"/>
  <c r="AQ63" i="4"/>
  <c r="AB37" i="10"/>
  <c r="AR84" i="12" s="1"/>
  <c r="AA37" i="10"/>
  <c r="Z37" i="10"/>
  <c r="AQ286" i="4"/>
  <c r="AV286" i="4"/>
  <c r="AU286" i="4"/>
  <c r="AU69" i="4"/>
  <c r="AQ69" i="4"/>
  <c r="AV69" i="4"/>
  <c r="AA71" i="10"/>
  <c r="AB71" i="10"/>
  <c r="AR188" i="12" s="1"/>
  <c r="Z71" i="10"/>
  <c r="R19" i="10"/>
  <c r="Q4" i="10"/>
  <c r="AA106" i="10"/>
  <c r="AB106" i="10"/>
  <c r="AR290" i="12" s="1"/>
  <c r="Z106" i="10"/>
  <c r="AU178" i="4"/>
  <c r="AQ178" i="4"/>
  <c r="AV178" i="4"/>
  <c r="AA32" i="10"/>
  <c r="AB32" i="10"/>
  <c r="AR70" i="12" s="1"/>
  <c r="Z32" i="10"/>
  <c r="AU172" i="4"/>
  <c r="AV172" i="4"/>
  <c r="AQ172" i="4"/>
  <c r="AB77" i="10"/>
  <c r="AR204" i="12" s="1"/>
  <c r="AA77" i="10"/>
  <c r="Z77" i="10"/>
  <c r="AA93" i="10"/>
  <c r="Z93" i="10"/>
  <c r="AB93" i="10"/>
  <c r="AR252" i="12" s="1"/>
  <c r="AA28" i="10"/>
  <c r="Z28" i="10"/>
  <c r="AB28" i="10"/>
  <c r="AR58" i="12" s="1"/>
  <c r="AU41" i="4"/>
  <c r="AQ41" i="4"/>
  <c r="AV41" i="4"/>
  <c r="AQ403" i="4"/>
  <c r="AU403" i="4"/>
  <c r="AV403" i="4"/>
  <c r="S32" i="20"/>
  <c r="AU259" i="4"/>
  <c r="AQ259" i="4"/>
  <c r="AV259" i="4"/>
  <c r="AU213" i="4"/>
  <c r="AQ213" i="4"/>
  <c r="AV213" i="4"/>
  <c r="AV377" i="4"/>
  <c r="AU377" i="4"/>
  <c r="AQ377" i="4"/>
  <c r="AU77" i="4"/>
  <c r="AQ77" i="4"/>
  <c r="AV77" i="4"/>
  <c r="AA62" i="10"/>
  <c r="AB62" i="10"/>
  <c r="AR158" i="12" s="1"/>
  <c r="Z62" i="10"/>
  <c r="Z83" i="10"/>
  <c r="AA83" i="10"/>
  <c r="AB83" i="10"/>
  <c r="AR224" i="12" s="1"/>
  <c r="AV325" i="4"/>
  <c r="AU325" i="4"/>
  <c r="AQ325" i="4"/>
  <c r="AU180" i="4"/>
  <c r="AV180" i="4"/>
  <c r="AQ180" i="4"/>
  <c r="AV206" i="4"/>
  <c r="AQ206" i="4"/>
  <c r="AU206" i="4"/>
  <c r="AU110" i="4"/>
  <c r="AQ110" i="4"/>
  <c r="AV110" i="4"/>
  <c r="AQ123" i="4"/>
  <c r="AV123" i="4"/>
  <c r="AU123" i="4"/>
  <c r="AU275" i="4"/>
  <c r="AQ275" i="4"/>
  <c r="AV275" i="4"/>
  <c r="T41" i="20"/>
  <c r="AU386" i="4"/>
  <c r="AV386" i="4"/>
  <c r="AQ386" i="4"/>
  <c r="AB27" i="10"/>
  <c r="AR56" i="12" s="1"/>
  <c r="Z27" i="10"/>
  <c r="AA27" i="10"/>
  <c r="AQ349" i="4"/>
  <c r="AV349" i="4"/>
  <c r="AU349" i="4"/>
  <c r="AQ264" i="4"/>
  <c r="AU264" i="4"/>
  <c r="AV264" i="4"/>
  <c r="AU49" i="4"/>
  <c r="AQ49" i="4"/>
  <c r="AV49" i="4"/>
  <c r="AQ192" i="4"/>
  <c r="AU192" i="4"/>
  <c r="AV192" i="4"/>
  <c r="AU146" i="4"/>
  <c r="AQ146" i="4"/>
  <c r="AV146" i="4"/>
  <c r="AQ208" i="4"/>
  <c r="AU208" i="4"/>
  <c r="AV208" i="4"/>
  <c r="AU61" i="4"/>
  <c r="AQ61" i="4"/>
  <c r="AV61" i="4"/>
  <c r="AB116" i="10"/>
  <c r="AR322" i="12" s="1"/>
  <c r="AA116" i="10"/>
  <c r="Z116" i="10"/>
  <c r="AB91" i="10"/>
  <c r="AR248" i="12" s="1"/>
  <c r="AA91" i="10"/>
  <c r="Z91" i="10"/>
  <c r="AB68" i="10"/>
  <c r="AR178" i="12" s="1"/>
  <c r="AA68" i="10"/>
  <c r="Z68" i="10"/>
  <c r="AV238" i="4"/>
  <c r="AU238" i="4"/>
  <c r="AQ238" i="4"/>
  <c r="AB39" i="10"/>
  <c r="AR92" i="12" s="1"/>
  <c r="AA39" i="10"/>
  <c r="Z39" i="10"/>
  <c r="AU261" i="4"/>
  <c r="AV261" i="4"/>
  <c r="AQ261" i="4"/>
  <c r="AQ75" i="4"/>
  <c r="AV75" i="4"/>
  <c r="AU75" i="4"/>
  <c r="Z98" i="10"/>
  <c r="AB98" i="10"/>
  <c r="AR266" i="12" s="1"/>
  <c r="AA98" i="10"/>
  <c r="AU318" i="4"/>
  <c r="AQ318" i="4"/>
  <c r="AV318" i="4"/>
  <c r="AV145" i="4"/>
  <c r="AU145" i="4"/>
  <c r="AQ145" i="4"/>
  <c r="T24" i="20"/>
  <c r="AU148" i="4"/>
  <c r="AV148" i="4"/>
  <c r="AQ148" i="4"/>
  <c r="AQ398" i="4"/>
  <c r="AV398" i="4"/>
  <c r="AU398" i="4"/>
  <c r="Z115" i="10"/>
  <c r="AB115" i="10"/>
  <c r="AR320" i="12" s="1"/>
  <c r="AA115" i="10"/>
  <c r="AQ35" i="4"/>
  <c r="AV35" i="4"/>
  <c r="AU35" i="4"/>
  <c r="AU117" i="4"/>
  <c r="AQ117" i="4"/>
  <c r="AV117" i="4"/>
  <c r="AU202" i="4"/>
  <c r="AQ202" i="4"/>
  <c r="AV202" i="4"/>
  <c r="AU369" i="4"/>
  <c r="AQ369" i="4"/>
  <c r="AV369" i="4"/>
  <c r="AB97" i="10"/>
  <c r="AR264" i="12" s="1"/>
  <c r="AA97" i="10"/>
  <c r="Z97" i="10"/>
  <c r="AU331" i="4"/>
  <c r="AQ331" i="4"/>
  <c r="AV331" i="4"/>
  <c r="AQ406" i="4"/>
  <c r="AU406" i="4"/>
  <c r="AV406" i="4"/>
  <c r="AA94" i="10"/>
  <c r="Z94" i="10"/>
  <c r="AB94" i="10"/>
  <c r="AR254" i="12" s="1"/>
  <c r="T17" i="20"/>
  <c r="AQ50" i="4"/>
  <c r="AU50" i="4"/>
  <c r="AV50" i="4"/>
  <c r="AQ200" i="4"/>
  <c r="AU200" i="4"/>
  <c r="AV200" i="4"/>
  <c r="AQ135" i="4"/>
  <c r="AU135" i="4"/>
  <c r="AV135" i="4"/>
  <c r="AQ34" i="4"/>
  <c r="AU34" i="4"/>
  <c r="AV34" i="4"/>
  <c r="AQ216" i="4"/>
  <c r="AU216" i="4"/>
  <c r="AV216" i="4"/>
  <c r="AB52" i="10"/>
  <c r="AR130" i="12" s="1"/>
  <c r="AA52" i="10"/>
  <c r="Z52" i="10"/>
  <c r="AU96" i="4"/>
  <c r="AQ96" i="4"/>
  <c r="AV96" i="4"/>
  <c r="AA126" i="10"/>
  <c r="Z126" i="10"/>
  <c r="AB126" i="10"/>
  <c r="AR350" i="12" s="1"/>
  <c r="AV230" i="4"/>
  <c r="AQ230" i="4"/>
  <c r="AU230" i="4"/>
  <c r="AB120" i="10"/>
  <c r="AR334" i="12" s="1"/>
  <c r="AA120" i="10"/>
  <c r="Z120" i="10"/>
  <c r="L27" i="6"/>
  <c r="O27" i="6" s="1"/>
  <c r="N27" i="6"/>
  <c r="Z48" i="10"/>
  <c r="AB48" i="10"/>
  <c r="AR118" i="12" s="1"/>
  <c r="AA48" i="10"/>
  <c r="Z130" i="10"/>
  <c r="AB130" i="10"/>
  <c r="AR362" i="12" s="1"/>
  <c r="AA130" i="10"/>
  <c r="Z41" i="10"/>
  <c r="AB41" i="10"/>
  <c r="AR96" i="12" s="1"/>
  <c r="AA41" i="10"/>
  <c r="AB57" i="10"/>
  <c r="AR144" i="12" s="1"/>
  <c r="Z57" i="10"/>
  <c r="AA57" i="10"/>
  <c r="AB113" i="10"/>
  <c r="AR312" i="12" s="1"/>
  <c r="AA113" i="10"/>
  <c r="Z113" i="10"/>
  <c r="AB43" i="10"/>
  <c r="AR104" i="12" s="1"/>
  <c r="AA43" i="10"/>
  <c r="Z43" i="10"/>
  <c r="AA105" i="10"/>
  <c r="AB105" i="10"/>
  <c r="AR288" i="12" s="1"/>
  <c r="Z105" i="10"/>
  <c r="AU81" i="4"/>
  <c r="AQ81" i="4"/>
  <c r="AV81" i="4"/>
  <c r="AQ248" i="4"/>
  <c r="AU248" i="4"/>
  <c r="AV248" i="4"/>
  <c r="AU237" i="4"/>
  <c r="AQ237" i="4"/>
  <c r="AV237" i="4"/>
  <c r="AU334" i="4"/>
  <c r="AV334" i="4"/>
  <c r="AQ334" i="4"/>
  <c r="Z73" i="10"/>
  <c r="AA73" i="10"/>
  <c r="AB73" i="10"/>
  <c r="AR192" i="12" s="1"/>
  <c r="AU343" i="4"/>
  <c r="AQ343" i="4"/>
  <c r="AV343" i="4"/>
  <c r="AQ355" i="4"/>
  <c r="AU355" i="4"/>
  <c r="AV355" i="4"/>
  <c r="AQ308" i="4"/>
  <c r="AV308" i="4"/>
  <c r="AU308" i="4"/>
  <c r="AU210" i="4"/>
  <c r="AQ210" i="4"/>
  <c r="AV210" i="4"/>
  <c r="AQ217" i="4"/>
  <c r="AV217" i="4"/>
  <c r="AU217" i="4"/>
  <c r="AB79" i="10"/>
  <c r="AR212" i="12" s="1"/>
  <c r="AA79" i="10"/>
  <c r="Z79" i="10"/>
  <c r="Z82" i="10"/>
  <c r="AA82" i="10"/>
  <c r="AB82" i="10"/>
  <c r="AR218" i="12" s="1"/>
  <c r="AV388" i="4"/>
  <c r="AU388" i="4"/>
  <c r="AQ388" i="4"/>
  <c r="AB24" i="10"/>
  <c r="AR46" i="12" s="1"/>
  <c r="AA24" i="10"/>
  <c r="Z24" i="10"/>
  <c r="AU400" i="4"/>
  <c r="AQ400" i="4"/>
  <c r="AV400" i="4"/>
  <c r="AB21" i="10"/>
  <c r="AR36" i="12" s="1"/>
  <c r="AA21" i="10"/>
  <c r="Z21" i="10"/>
  <c r="AB88" i="10"/>
  <c r="AR238" i="12" s="1"/>
  <c r="AA88" i="10"/>
  <c r="Z88" i="10"/>
  <c r="AU140" i="4"/>
  <c r="AQ140" i="4"/>
  <c r="AV140" i="4"/>
  <c r="AQ287" i="4"/>
  <c r="AU287" i="4"/>
  <c r="AV287" i="4"/>
  <c r="AQ224" i="4"/>
  <c r="AU224" i="4"/>
  <c r="AV224" i="4"/>
  <c r="AU292" i="4"/>
  <c r="AQ292" i="4"/>
  <c r="AV292" i="4"/>
  <c r="AQ271" i="4"/>
  <c r="AU271" i="4"/>
  <c r="AV271" i="4"/>
  <c r="AQ174" i="4"/>
  <c r="AU174" i="4"/>
  <c r="AV174" i="4"/>
  <c r="AU320" i="4"/>
  <c r="AQ320" i="4"/>
  <c r="AV320" i="4"/>
  <c r="AA29" i="10"/>
  <c r="Z29" i="10"/>
  <c r="AB29" i="10"/>
  <c r="AR60" i="12" s="1"/>
  <c r="AU378" i="4"/>
  <c r="AV378" i="4"/>
  <c r="AQ378" i="4"/>
  <c r="AA74" i="10"/>
  <c r="Z74" i="10"/>
  <c r="AB74" i="10"/>
  <c r="AR194" i="12" s="1"/>
  <c r="AV329" i="4"/>
  <c r="AU329" i="4"/>
  <c r="AQ329" i="4"/>
  <c r="AB87" i="10"/>
  <c r="AR236" i="12" s="1"/>
  <c r="AA87" i="10"/>
  <c r="Z87" i="10"/>
  <c r="AQ107" i="4"/>
  <c r="AV107" i="4"/>
  <c r="AU107" i="4"/>
  <c r="AU401" i="4"/>
  <c r="AQ401" i="4"/>
  <c r="AV401" i="4"/>
  <c r="AU307" i="4"/>
  <c r="AQ307" i="4"/>
  <c r="AV307" i="4"/>
  <c r="AU154" i="4"/>
  <c r="AQ154" i="4"/>
  <c r="AV154" i="4"/>
  <c r="AB128" i="10"/>
  <c r="AR358" i="12" s="1"/>
  <c r="AA128" i="10"/>
  <c r="Z128" i="10"/>
  <c r="AB49" i="10"/>
  <c r="AR120" i="12" s="1"/>
  <c r="AA49" i="10"/>
  <c r="Z49" i="10"/>
  <c r="AA100" i="10"/>
  <c r="Z100" i="10"/>
  <c r="AB100" i="10"/>
  <c r="AR274" i="12" s="1"/>
  <c r="AU144" i="4"/>
  <c r="AQ144" i="4"/>
  <c r="AV144" i="4"/>
  <c r="AB125" i="10"/>
  <c r="AR348" i="12" s="1"/>
  <c r="AA125" i="10"/>
  <c r="Z125" i="10"/>
  <c r="AQ372" i="4"/>
  <c r="AU372" i="4"/>
  <c r="AV372" i="4"/>
  <c r="AQ152" i="4"/>
  <c r="AU152" i="4"/>
  <c r="AV152" i="4"/>
  <c r="AQ91" i="4"/>
  <c r="AV91" i="4"/>
  <c r="AU91" i="4"/>
  <c r="AQ130" i="4"/>
  <c r="AU130" i="4"/>
  <c r="AV130" i="4"/>
  <c r="Z70" i="10"/>
  <c r="AA70" i="10"/>
  <c r="AB70" i="10"/>
  <c r="AR182" i="12" s="1"/>
  <c r="AB69" i="10"/>
  <c r="AR180" i="12" s="1"/>
  <c r="AA69" i="10"/>
  <c r="Z69" i="10"/>
  <c r="AA22" i="10"/>
  <c r="Z22" i="10"/>
  <c r="AB22" i="10"/>
  <c r="AR38" i="12" s="1"/>
  <c r="AQ368" i="4"/>
  <c r="AU368" i="4"/>
  <c r="AV368" i="4"/>
  <c r="AU62" i="4"/>
  <c r="AQ62" i="4"/>
  <c r="AV62" i="4"/>
  <c r="AA90" i="10"/>
  <c r="AB90" i="10"/>
  <c r="AR242" i="12" s="1"/>
  <c r="Z90" i="10"/>
  <c r="AU188" i="4"/>
  <c r="AV188" i="4"/>
  <c r="AQ188" i="4"/>
  <c r="AU88" i="4"/>
  <c r="AQ88" i="4"/>
  <c r="AV88" i="4"/>
  <c r="AQ279" i="4"/>
  <c r="AU279" i="4"/>
  <c r="AV279" i="4"/>
  <c r="Z114" i="10"/>
  <c r="AB114" i="10"/>
  <c r="AR314" i="12" s="1"/>
  <c r="AA114" i="10"/>
  <c r="AB123" i="10"/>
  <c r="AR344" i="12" s="1"/>
  <c r="AA123" i="10"/>
  <c r="Z123" i="10"/>
  <c r="AU121" i="4"/>
  <c r="AQ121" i="4"/>
  <c r="AV121" i="4"/>
  <c r="Z66" i="10"/>
  <c r="AB66" i="10"/>
  <c r="AR170" i="12" s="1"/>
  <c r="AA66" i="10"/>
  <c r="AB85" i="10"/>
  <c r="AR228" i="12" s="1"/>
  <c r="AA85" i="10"/>
  <c r="Z85" i="10"/>
  <c r="AV207" i="4"/>
  <c r="AU207" i="4"/>
  <c r="AQ207" i="4"/>
  <c r="AU280" i="4"/>
  <c r="AQ280" i="4"/>
  <c r="AV280" i="4"/>
  <c r="T37" i="20"/>
  <c r="AQ330" i="4"/>
  <c r="AU330" i="4"/>
  <c r="AV330" i="4"/>
  <c r="AQ106" i="4"/>
  <c r="AU106" i="4"/>
  <c r="AV106" i="4"/>
  <c r="AU104" i="4"/>
  <c r="AQ104" i="4"/>
  <c r="AV104" i="4"/>
  <c r="Z103" i="10"/>
  <c r="AB103" i="10"/>
  <c r="AR284" i="12" s="1"/>
  <c r="AA103" i="10"/>
  <c r="AA56" i="10"/>
  <c r="Z56" i="10"/>
  <c r="AB56" i="10"/>
  <c r="AR142" i="12" s="1"/>
  <c r="L24" i="6"/>
  <c r="O24" i="6" s="1"/>
  <c r="N24" i="6"/>
  <c r="AQ257" i="4"/>
  <c r="AV257" i="4"/>
  <c r="AU257" i="4"/>
  <c r="Z109" i="10"/>
  <c r="AB109" i="10"/>
  <c r="AR300" i="12" s="1"/>
  <c r="AA109" i="10"/>
  <c r="AV47" i="4"/>
  <c r="AU47" i="4"/>
  <c r="AQ47" i="4"/>
  <c r="AU272" i="4"/>
  <c r="AQ272" i="4"/>
  <c r="AV272" i="4"/>
  <c r="AU163" i="4"/>
  <c r="AQ163" i="4"/>
  <c r="AV163" i="4"/>
  <c r="AA44" i="10"/>
  <c r="AB44" i="10"/>
  <c r="AR106" i="12" s="1"/>
  <c r="Z44" i="10"/>
  <c r="AQ98" i="4"/>
  <c r="AU98" i="4"/>
  <c r="AV98" i="4"/>
  <c r="AU196" i="4"/>
  <c r="AQ196" i="4"/>
  <c r="AV196" i="4"/>
  <c r="T19" i="20"/>
  <c r="AU78" i="4"/>
  <c r="AQ78" i="4"/>
  <c r="AV78" i="4"/>
  <c r="AQ376" i="4"/>
  <c r="AU376" i="4"/>
  <c r="AV376" i="4"/>
  <c r="AU255" i="4"/>
  <c r="AQ255" i="4"/>
  <c r="AV255" i="4"/>
  <c r="AU56" i="4"/>
  <c r="AQ56" i="4"/>
  <c r="AV56" i="4"/>
  <c r="AA50" i="10"/>
  <c r="Z50" i="10"/>
  <c r="AB50" i="10"/>
  <c r="AR122" i="12" s="1"/>
  <c r="AQ303" i="4"/>
  <c r="AU303" i="4"/>
  <c r="AV303" i="4"/>
  <c r="AV311" i="4"/>
  <c r="AU311" i="4"/>
  <c r="AQ311" i="4"/>
  <c r="AB63" i="10"/>
  <c r="AR164" i="12" s="1"/>
  <c r="AA63" i="10"/>
  <c r="Z63" i="10"/>
  <c r="AQ233" i="4"/>
  <c r="AV233" i="4"/>
  <c r="AU233" i="4"/>
  <c r="AU136" i="4"/>
  <c r="AQ136" i="4"/>
  <c r="AV136" i="4"/>
  <c r="AU227" i="4"/>
  <c r="AQ227" i="4"/>
  <c r="AV227" i="4"/>
  <c r="AQ67" i="4"/>
  <c r="AV67" i="4"/>
  <c r="AU67" i="4"/>
  <c r="AU300" i="4"/>
  <c r="AQ300" i="4"/>
  <c r="AV300" i="4"/>
  <c r="AQ201" i="4"/>
  <c r="AV201" i="4"/>
  <c r="AU201" i="4"/>
  <c r="AB36" i="10"/>
  <c r="AR82" i="12" s="1"/>
  <c r="AA36" i="10"/>
  <c r="Z36" i="10"/>
  <c r="AB117" i="10"/>
  <c r="AR324" i="12" s="1"/>
  <c r="AA117" i="10"/>
  <c r="Z117" i="10"/>
  <c r="AA60" i="10"/>
  <c r="Z60" i="10"/>
  <c r="AB60" i="10"/>
  <c r="AR154" i="12" s="1"/>
  <c r="AB92" i="10"/>
  <c r="AR250" i="12" s="1"/>
  <c r="AA92" i="10"/>
  <c r="Z92" i="10"/>
  <c r="AQ153" i="4"/>
  <c r="AV153" i="4"/>
  <c r="AU153" i="4"/>
  <c r="AQ263" i="4"/>
  <c r="AU263" i="4"/>
  <c r="AV263" i="4"/>
  <c r="AU33" i="4"/>
  <c r="AQ33" i="4"/>
  <c r="AV33" i="4"/>
  <c r="G19" i="6"/>
  <c r="AU195" i="4"/>
  <c r="AQ195" i="4"/>
  <c r="AV195" i="4"/>
  <c r="S21" i="20"/>
  <c r="AU105" i="4"/>
  <c r="AQ105" i="4"/>
  <c r="AV105" i="4"/>
  <c r="AU412" i="4"/>
  <c r="AV412" i="4"/>
  <c r="AQ412" i="4"/>
  <c r="AU265" i="4"/>
  <c r="AQ265" i="4"/>
  <c r="AV265" i="4"/>
  <c r="AB84" i="10"/>
  <c r="AR226" i="12" s="1"/>
  <c r="AA84" i="10"/>
  <c r="Z84" i="10"/>
  <c r="AB101" i="10"/>
  <c r="AR276" i="12" s="1"/>
  <c r="AA101" i="10"/>
  <c r="Z101" i="10"/>
  <c r="T39" i="20"/>
  <c r="AV358" i="4"/>
  <c r="AU358" i="4"/>
  <c r="AQ358" i="4"/>
  <c r="AU405" i="4"/>
  <c r="AQ405" i="4"/>
  <c r="AV405" i="4"/>
  <c r="AU229" i="4"/>
  <c r="AQ229" i="4"/>
  <c r="AV229" i="4"/>
  <c r="Z65" i="10"/>
  <c r="AB65" i="10"/>
  <c r="AR168" i="12" s="1"/>
  <c r="AA65" i="10"/>
  <c r="AU234" i="4"/>
  <c r="AQ234" i="4"/>
  <c r="AV234" i="4"/>
  <c r="AV191" i="4"/>
  <c r="AU191" i="4"/>
  <c r="AQ191" i="4"/>
  <c r="AV111" i="4"/>
  <c r="AU111" i="4"/>
  <c r="AQ111" i="4"/>
  <c r="S30" i="20"/>
  <c r="AV231" i="4"/>
  <c r="AU231" i="4"/>
  <c r="AQ231" i="4"/>
  <c r="AV52" i="4"/>
  <c r="AU52" i="4"/>
  <c r="AQ52" i="4"/>
  <c r="AU54" i="4"/>
  <c r="AQ54" i="4"/>
  <c r="AV54" i="4"/>
  <c r="AQ74" i="4"/>
  <c r="AU74" i="4"/>
  <c r="AV74" i="4"/>
  <c r="AA26" i="10"/>
  <c r="AB26" i="10"/>
  <c r="AR50" i="12" s="1"/>
  <c r="Z26" i="10"/>
  <c r="AQ390" i="4"/>
  <c r="AU390" i="4"/>
  <c r="AV390" i="4"/>
  <c r="AB111" i="10"/>
  <c r="AR308" i="12" s="1"/>
  <c r="AA111" i="10"/>
  <c r="Z111" i="10"/>
  <c r="AQ193" i="4"/>
  <c r="AV193" i="4"/>
  <c r="AU193" i="4"/>
  <c r="AU256" i="4"/>
  <c r="AQ256" i="4"/>
  <c r="AV256" i="4"/>
  <c r="AB35" i="10"/>
  <c r="AR80" i="12" s="1"/>
  <c r="AA35" i="10"/>
  <c r="Z35" i="10"/>
  <c r="AU326" i="4"/>
  <c r="AQ326" i="4"/>
  <c r="AV326" i="4"/>
  <c r="AB55" i="10"/>
  <c r="AR140" i="12" s="1"/>
  <c r="AA55" i="10"/>
  <c r="Z55" i="10"/>
  <c r="AQ122" i="4"/>
  <c r="AU122" i="4"/>
  <c r="AV122" i="4"/>
  <c r="AB72" i="10"/>
  <c r="AR190" i="12" s="1"/>
  <c r="AA72" i="10"/>
  <c r="Z72" i="10"/>
  <c r="AQ131" i="4"/>
  <c r="AV131" i="4"/>
  <c r="AU131" i="4"/>
  <c r="AQ177" i="4"/>
  <c r="AV177" i="4"/>
  <c r="AU177" i="4"/>
  <c r="AB59" i="10"/>
  <c r="AR152" i="12" s="1"/>
  <c r="AA59" i="10"/>
  <c r="Z59" i="10"/>
  <c r="AQ82" i="4"/>
  <c r="AU82" i="4"/>
  <c r="AV82" i="4"/>
  <c r="AV383" i="4"/>
  <c r="AU383" i="4"/>
  <c r="AQ383" i="4"/>
  <c r="AA58" i="10"/>
  <c r="AB58" i="10"/>
  <c r="AR146" i="12" s="1"/>
  <c r="Z58" i="10"/>
  <c r="AB80" i="10"/>
  <c r="AR214" i="12" s="1"/>
  <c r="AA80" i="10"/>
  <c r="Z80" i="10"/>
  <c r="S24" i="20"/>
  <c r="AQ147" i="4"/>
  <c r="AU147" i="4"/>
  <c r="AV147" i="4"/>
  <c r="AV222" i="4"/>
  <c r="AQ222" i="4"/>
  <c r="AU222" i="4"/>
  <c r="AV167" i="4"/>
  <c r="AU167" i="4"/>
  <c r="AQ167" i="4"/>
  <c r="T29" i="20"/>
  <c r="AU218" i="4"/>
  <c r="AQ218" i="4"/>
  <c r="AV218" i="4"/>
  <c r="AU242" i="4"/>
  <c r="AQ242" i="4"/>
  <c r="AV242" i="4"/>
  <c r="AB34" i="10"/>
  <c r="AR74" i="12" s="1"/>
  <c r="Z34" i="10"/>
  <c r="AA34" i="10"/>
  <c r="T4" i="16"/>
  <c r="S4" i="16" s="1"/>
  <c r="AU322" i="4"/>
  <c r="AQ322" i="4"/>
  <c r="AV322" i="4"/>
  <c r="AU410" i="4"/>
  <c r="AQ410" i="4"/>
  <c r="AV410" i="4"/>
  <c r="AU416" i="4"/>
  <c r="AQ416" i="4"/>
  <c r="AV416" i="4"/>
  <c r="AQ363" i="4"/>
  <c r="AU363" i="4"/>
  <c r="AV363" i="4"/>
  <c r="AA61" i="10"/>
  <c r="Z61" i="10"/>
  <c r="AB61" i="10"/>
  <c r="AR156" i="12" s="1"/>
  <c r="AU319" i="4"/>
  <c r="AQ319" i="4"/>
  <c r="AV319" i="4"/>
  <c r="T22" i="20"/>
  <c r="AU120" i="4"/>
  <c r="AQ120" i="4"/>
  <c r="AV120" i="4"/>
  <c r="T33" i="20"/>
  <c r="AU274" i="4"/>
  <c r="AQ274" i="4"/>
  <c r="AV274" i="4"/>
  <c r="AB86" i="10"/>
  <c r="AR230" i="12" s="1"/>
  <c r="AA86" i="10"/>
  <c r="Z86" i="10"/>
  <c r="AA46" i="10"/>
  <c r="AB46" i="10"/>
  <c r="AR110" i="12" s="1"/>
  <c r="Z46" i="10"/>
  <c r="AU298" i="4"/>
  <c r="AQ298" i="4"/>
  <c r="AV298" i="4"/>
  <c r="AU53" i="4"/>
  <c r="AQ53" i="4"/>
  <c r="AV53" i="4"/>
  <c r="AB110" i="10"/>
  <c r="AR302" i="12" s="1"/>
  <c r="AA110" i="10"/>
  <c r="Z110" i="10"/>
  <c r="AU258" i="4"/>
  <c r="AQ258" i="4"/>
  <c r="AV258" i="4"/>
  <c r="AA47" i="10"/>
  <c r="AB47" i="10"/>
  <c r="AR116" i="12" s="1"/>
  <c r="Z47" i="10"/>
  <c r="AU417" i="4"/>
  <c r="AQ417" i="4"/>
  <c r="AV417" i="4"/>
  <c r="AU150" i="4"/>
  <c r="AQ150" i="4"/>
  <c r="AV150" i="4"/>
  <c r="Z104" i="10"/>
  <c r="AB104" i="10"/>
  <c r="AR286" i="12" s="1"/>
  <c r="AA104" i="10"/>
  <c r="AJ105" i="7"/>
  <c r="AD105" i="7"/>
  <c r="AO233" i="12" s="1"/>
  <c r="AC105" i="7"/>
  <c r="AG145" i="7"/>
  <c r="AN145" i="7" s="1"/>
  <c r="AF145" i="7"/>
  <c r="AM419" i="4"/>
  <c r="AO419" i="4" s="1"/>
  <c r="AP419" i="4" s="1"/>
  <c r="AR419" i="4"/>
  <c r="AK140" i="5"/>
  <c r="AB40" i="20"/>
  <c r="AM151" i="4"/>
  <c r="AO151" i="4" s="1"/>
  <c r="AP151" i="4" s="1"/>
  <c r="AR151" i="4"/>
  <c r="AR60" i="4"/>
  <c r="AM60" i="4"/>
  <c r="AO60" i="4" s="1"/>
  <c r="AP60" i="4" s="1"/>
  <c r="AF120" i="7"/>
  <c r="AG120" i="7" s="1"/>
  <c r="AA20" i="10"/>
  <c r="AB20" i="10"/>
  <c r="AR34" i="12" s="1"/>
  <c r="Z20" i="10"/>
  <c r="AY106" i="7"/>
  <c r="AU106" i="7"/>
  <c r="I235" i="12"/>
  <c r="X235" i="9"/>
  <c r="AV106" i="7"/>
  <c r="AY42" i="7"/>
  <c r="AU42" i="7"/>
  <c r="X81" i="9"/>
  <c r="I81" i="12"/>
  <c r="AV42" i="7"/>
  <c r="AM112" i="4"/>
  <c r="AO112" i="4" s="1"/>
  <c r="AP112" i="4" s="1"/>
  <c r="AR112" i="4"/>
  <c r="AJ150" i="7"/>
  <c r="AC150" i="7"/>
  <c r="AD150" i="7"/>
  <c r="AO341" i="12" s="1"/>
  <c r="AL68" i="5"/>
  <c r="BG25" i="20" s="1"/>
  <c r="AN68" i="5"/>
  <c r="BN25" i="20" s="1"/>
  <c r="AZ25" i="20"/>
  <c r="AR328" i="4"/>
  <c r="AM328" i="4"/>
  <c r="AO328" i="4" s="1"/>
  <c r="AP328" i="4" s="1"/>
  <c r="AJ20" i="7"/>
  <c r="AD20" i="7"/>
  <c r="AC20" i="7"/>
  <c r="AO20" i="7"/>
  <c r="AB4" i="7"/>
  <c r="X4" i="7" s="1"/>
  <c r="AB108" i="10"/>
  <c r="AR298" i="12" s="1"/>
  <c r="AA108" i="10"/>
  <c r="Z108" i="10"/>
  <c r="AM269" i="4"/>
  <c r="AO269" i="4" s="1"/>
  <c r="AP269" i="4" s="1"/>
  <c r="AR269" i="4"/>
  <c r="AY19" i="7"/>
  <c r="BA19" i="7" s="1"/>
  <c r="AU19" i="7"/>
  <c r="I25" i="12"/>
  <c r="X25" i="9"/>
  <c r="Z25" i="9" s="1"/>
  <c r="AV19" i="7"/>
  <c r="AL156" i="5"/>
  <c r="BE43" i="20" s="1"/>
  <c r="AN156" i="5"/>
  <c r="BL43" i="20" s="1"/>
  <c r="AX43" i="20"/>
  <c r="AU187" i="4"/>
  <c r="AQ187" i="4"/>
  <c r="AV187" i="4"/>
  <c r="L15" i="6"/>
  <c r="O15" i="6" s="1"/>
  <c r="N15" i="6"/>
  <c r="AA107" i="10"/>
  <c r="Z107" i="10"/>
  <c r="AB107" i="10"/>
  <c r="AR296" i="12" s="1"/>
  <c r="S22" i="20"/>
  <c r="AV119" i="4"/>
  <c r="AU119" i="4"/>
  <c r="AQ119" i="4"/>
  <c r="AY134" i="7"/>
  <c r="AU134" i="7"/>
  <c r="X301" i="9"/>
  <c r="I301" i="12"/>
  <c r="AV134" i="7"/>
  <c r="AL84" i="5"/>
  <c r="BH28" i="20" s="1"/>
  <c r="AN84" i="5"/>
  <c r="BO28" i="20" s="1"/>
  <c r="BA28" i="20"/>
  <c r="AK115" i="5"/>
  <c r="E29" i="6" s="1"/>
  <c r="AB35" i="20"/>
  <c r="AT128" i="7"/>
  <c r="AP287" i="12" s="1"/>
  <c r="AR128" i="7"/>
  <c r="AS128" i="7"/>
  <c r="AV87" i="4"/>
  <c r="AU87" i="4"/>
  <c r="AQ87" i="4"/>
  <c r="AT21" i="12"/>
  <c r="AR389" i="4"/>
  <c r="AM389" i="4"/>
  <c r="AO389" i="4" s="1"/>
  <c r="AP389" i="4" s="1"/>
  <c r="AR194" i="4"/>
  <c r="AM194" i="4"/>
  <c r="AO194" i="4" s="1"/>
  <c r="AP194" i="4" s="1"/>
  <c r="T27" i="20" s="1"/>
  <c r="AM97" i="4"/>
  <c r="AO97" i="4" s="1"/>
  <c r="AP97" i="4" s="1"/>
  <c r="AR97" i="4"/>
  <c r="AR149" i="4"/>
  <c r="AM149" i="4"/>
  <c r="AO149" i="4" s="1"/>
  <c r="AP149" i="4" s="1"/>
  <c r="J16" i="6"/>
  <c r="AT24" i="12"/>
  <c r="AM381" i="4"/>
  <c r="AO381" i="4" s="1"/>
  <c r="AP381" i="4" s="1"/>
  <c r="AR381" i="4"/>
  <c r="AR244" i="4"/>
  <c r="AM244" i="4"/>
  <c r="AO244" i="4" s="1"/>
  <c r="AP244" i="4" s="1"/>
  <c r="AR179" i="4"/>
  <c r="AM179" i="4"/>
  <c r="AO179" i="4" s="1"/>
  <c r="AP179" i="4" s="1"/>
  <c r="AM350" i="4"/>
  <c r="AO350" i="4" s="1"/>
  <c r="AP350" i="4" s="1"/>
  <c r="AR350" i="4"/>
  <c r="AQ209" i="4"/>
  <c r="AV209" i="4"/>
  <c r="AU209" i="4"/>
  <c r="AR205" i="4"/>
  <c r="AM205" i="4"/>
  <c r="AO205" i="4" s="1"/>
  <c r="AP205" i="4" s="1"/>
  <c r="AR357" i="4"/>
  <c r="AM357" i="4"/>
  <c r="AO357" i="4" s="1"/>
  <c r="AP357" i="4" s="1"/>
  <c r="AM413" i="4"/>
  <c r="AO413" i="4" s="1"/>
  <c r="AP413" i="4" s="1"/>
  <c r="AR413" i="4"/>
  <c r="AG70" i="7"/>
  <c r="AN70" i="7" s="1"/>
  <c r="AF70" i="7"/>
  <c r="AQ90" i="4"/>
  <c r="AU90" i="4"/>
  <c r="AV90" i="4"/>
  <c r="AU63" i="7"/>
  <c r="AY63" i="7"/>
  <c r="X131" i="9"/>
  <c r="I131" i="12"/>
  <c r="AV63" i="7"/>
  <c r="AM64" i="4"/>
  <c r="AO64" i="4" s="1"/>
  <c r="AP64" i="4" s="1"/>
  <c r="G22" i="6" s="1"/>
  <c r="AR64" i="4"/>
  <c r="AR370" i="4"/>
  <c r="AM370" i="4"/>
  <c r="AO370" i="4" s="1"/>
  <c r="AP370" i="4" s="1"/>
  <c r="AU99" i="7"/>
  <c r="AY99" i="7"/>
  <c r="I217" i="12"/>
  <c r="X217" i="9"/>
  <c r="AV99" i="7"/>
  <c r="AY157" i="7"/>
  <c r="AU157" i="7"/>
  <c r="I357" i="12"/>
  <c r="X357" i="9"/>
  <c r="AV157" i="7"/>
  <c r="AF66" i="5"/>
  <c r="AJ25" i="20"/>
  <c r="Y30" i="6"/>
  <c r="AG30" i="6" s="1"/>
  <c r="AA30" i="6"/>
  <c r="AC30" i="6" s="1"/>
  <c r="AE30" i="6" s="1"/>
  <c r="AY101" i="7"/>
  <c r="AU101" i="7"/>
  <c r="I223" i="12"/>
  <c r="X223" i="9"/>
  <c r="AV101" i="7"/>
  <c r="AU133" i="4"/>
  <c r="AQ133" i="4"/>
  <c r="AV133" i="4"/>
  <c r="AR68" i="4"/>
  <c r="AM68" i="4"/>
  <c r="AO68" i="4" s="1"/>
  <c r="AP68" i="4" s="1"/>
  <c r="AK88" i="5"/>
  <c r="AE29" i="20"/>
  <c r="AE4" i="20" s="1"/>
  <c r="AM162" i="4"/>
  <c r="AO162" i="4" s="1"/>
  <c r="AP162" i="4" s="1"/>
  <c r="AR162" i="4"/>
  <c r="AC70" i="7"/>
  <c r="AJ70" i="7"/>
  <c r="AU84" i="4"/>
  <c r="AQ84" i="4"/>
  <c r="AV84" i="4"/>
  <c r="AT113" i="7"/>
  <c r="AP251" i="12" s="1"/>
  <c r="AS113" i="7"/>
  <c r="AR113" i="7"/>
  <c r="AM48" i="4"/>
  <c r="AO48" i="4" s="1"/>
  <c r="AP48" i="4" s="1"/>
  <c r="G20" i="6" s="1"/>
  <c r="AR48" i="4"/>
  <c r="AY58" i="7"/>
  <c r="AU58" i="7"/>
  <c r="X119" i="9"/>
  <c r="I119" i="12"/>
  <c r="AV58" i="7"/>
  <c r="AF150" i="7"/>
  <c r="AL52" i="5"/>
  <c r="BF22" i="20" s="1"/>
  <c r="AN52" i="5"/>
  <c r="BM22" i="20" s="1"/>
  <c r="AY22" i="20"/>
  <c r="AK66" i="5"/>
  <c r="AC25" i="20"/>
  <c r="AC4" i="20" s="1"/>
  <c r="F30" i="6"/>
  <c r="AQ278" i="4"/>
  <c r="AV278" i="4"/>
  <c r="AU278" i="4"/>
  <c r="AT25" i="12"/>
  <c r="EN46" i="6"/>
  <c r="AG110" i="7"/>
  <c r="AN110" i="7" s="1"/>
  <c r="AF110" i="7"/>
  <c r="S35" i="20"/>
  <c r="AV301" i="4"/>
  <c r="AU301" i="4"/>
  <c r="AQ301" i="4"/>
  <c r="AU101" i="4"/>
  <c r="AQ101" i="4"/>
  <c r="AV101" i="4"/>
  <c r="AF45" i="7"/>
  <c r="AR204" i="4"/>
  <c r="AM204" i="4"/>
  <c r="AO204" i="4" s="1"/>
  <c r="AP204" i="4" s="1"/>
  <c r="AR367" i="4"/>
  <c r="AM367" i="4"/>
  <c r="AO367" i="4" s="1"/>
  <c r="AP367" i="4" s="1"/>
  <c r="AR160" i="4"/>
  <c r="AM160" i="4"/>
  <c r="AO160" i="4" s="1"/>
  <c r="AP160" i="4" s="1"/>
  <c r="AB124" i="10"/>
  <c r="AR346" i="12" s="1"/>
  <c r="AA124" i="10"/>
  <c r="Z124" i="10"/>
  <c r="M21" i="12"/>
  <c r="AY48" i="7"/>
  <c r="AU48" i="7"/>
  <c r="X95" i="9"/>
  <c r="AV48" i="7"/>
  <c r="I95" i="12"/>
  <c r="W29" i="6"/>
  <c r="S29" i="6"/>
  <c r="AR235" i="4"/>
  <c r="AM235" i="4"/>
  <c r="AO235" i="4" s="1"/>
  <c r="AP235" i="4" s="1"/>
  <c r="AH4" i="4"/>
  <c r="W4" i="4"/>
  <c r="AQ138" i="4"/>
  <c r="AU138" i="4"/>
  <c r="AV138" i="4"/>
  <c r="AY98" i="7"/>
  <c r="AU98" i="7"/>
  <c r="X215" i="9"/>
  <c r="I215" i="12"/>
  <c r="AV98" i="7"/>
  <c r="AM305" i="4"/>
  <c r="AO305" i="4" s="1"/>
  <c r="AP305" i="4" s="1"/>
  <c r="AR305" i="4"/>
  <c r="AU397" i="4"/>
  <c r="AQ397" i="4"/>
  <c r="AV397" i="4"/>
  <c r="AJ65" i="7"/>
  <c r="AC65" i="7"/>
  <c r="AD65" i="7" s="1"/>
  <c r="AO137" i="12" s="1"/>
  <c r="AR157" i="4"/>
  <c r="AM157" i="4"/>
  <c r="AO157" i="4" s="1"/>
  <c r="AP157" i="4" s="1"/>
  <c r="S26" i="20"/>
  <c r="AV175" i="4"/>
  <c r="AU175" i="4"/>
  <c r="AQ175" i="4"/>
  <c r="P4" i="10"/>
  <c r="O4" i="10"/>
  <c r="AM396" i="4"/>
  <c r="AO396" i="4" s="1"/>
  <c r="AP396" i="4" s="1"/>
  <c r="AR396" i="4"/>
  <c r="AM32" i="4"/>
  <c r="AO32" i="4" s="1"/>
  <c r="AP32" i="4" s="1"/>
  <c r="AR32" i="4"/>
  <c r="J18" i="6"/>
  <c r="AM266" i="4"/>
  <c r="AO266" i="4" s="1"/>
  <c r="AP266" i="4" s="1"/>
  <c r="AR266" i="4"/>
  <c r="AR118" i="4"/>
  <c r="AM118" i="4"/>
  <c r="AO118" i="4" s="1"/>
  <c r="AP118" i="4" s="1"/>
  <c r="AM404" i="4"/>
  <c r="AO404" i="4" s="1"/>
  <c r="AP404" i="4" s="1"/>
  <c r="AR404" i="4"/>
  <c r="AU361" i="4"/>
  <c r="AQ361" i="4"/>
  <c r="AV361" i="4"/>
  <c r="AY32" i="7"/>
  <c r="AU32" i="7"/>
  <c r="X57" i="9"/>
  <c r="I57" i="12"/>
  <c r="AV32" i="7"/>
  <c r="AS102" i="7"/>
  <c r="AR102" i="7"/>
  <c r="AT102" i="7"/>
  <c r="AP225" i="12" s="1"/>
  <c r="AU72" i="7"/>
  <c r="AY72" i="7"/>
  <c r="I153" i="12"/>
  <c r="X153" i="9"/>
  <c r="AV72" i="7"/>
  <c r="AB95" i="10"/>
  <c r="AR260" i="12" s="1"/>
  <c r="AA95" i="10"/>
  <c r="Z95" i="10"/>
  <c r="AA4" i="4"/>
  <c r="Y4" i="4"/>
  <c r="EK46" i="6"/>
  <c r="EP46" i="6" s="1"/>
  <c r="EQ46" i="6" s="1"/>
  <c r="AR70" i="4"/>
  <c r="AM70" i="4"/>
  <c r="AO70" i="4" s="1"/>
  <c r="AP70" i="4" s="1"/>
  <c r="AV103" i="4"/>
  <c r="AU103" i="4"/>
  <c r="AQ103" i="4"/>
  <c r="AG30" i="7"/>
  <c r="AN30" i="7" s="1"/>
  <c r="AF30" i="7"/>
  <c r="AR55" i="4"/>
  <c r="AM55" i="4"/>
  <c r="AO55" i="4" s="1"/>
  <c r="AP55" i="4" s="1"/>
  <c r="EO51" i="6"/>
  <c r="EK51" i="6"/>
  <c r="AR299" i="4"/>
  <c r="AM299" i="4"/>
  <c r="AO299" i="4" s="1"/>
  <c r="AP299" i="4" s="1"/>
  <c r="AM289" i="4"/>
  <c r="AO289" i="4" s="1"/>
  <c r="AP289" i="4" s="1"/>
  <c r="AR289" i="4"/>
  <c r="AR164" i="4"/>
  <c r="AM164" i="4"/>
  <c r="AO164" i="4" s="1"/>
  <c r="AP164" i="4" s="1"/>
  <c r="AM223" i="4"/>
  <c r="AO223" i="4" s="1"/>
  <c r="AP223" i="4" s="1"/>
  <c r="AR223" i="4"/>
  <c r="AR251" i="4"/>
  <c r="AM251" i="4"/>
  <c r="AO251" i="4" s="1"/>
  <c r="AP251" i="4" s="1"/>
  <c r="AM166" i="4"/>
  <c r="AO166" i="4" s="1"/>
  <c r="AP166" i="4" s="1"/>
  <c r="AR166" i="4"/>
  <c r="AW18" i="7"/>
  <c r="G23" i="12"/>
  <c r="U23" i="9"/>
  <c r="Z23" i="9" s="1"/>
  <c r="AF80" i="7"/>
  <c r="AR51" i="4"/>
  <c r="AM51" i="4"/>
  <c r="AO51" i="4" s="1"/>
  <c r="AP51" i="4" s="1"/>
  <c r="AY73" i="7"/>
  <c r="AU73" i="7"/>
  <c r="X155" i="9"/>
  <c r="I155" i="12"/>
  <c r="AV73" i="7"/>
  <c r="AR171" i="4"/>
  <c r="AM171" i="4"/>
  <c r="AO171" i="4" s="1"/>
  <c r="AP171" i="4" s="1"/>
  <c r="AQ115" i="4"/>
  <c r="AV115" i="4"/>
  <c r="AU115" i="4"/>
  <c r="AJ155" i="7"/>
  <c r="AC155" i="7"/>
  <c r="AU79" i="7"/>
  <c r="AY79" i="7"/>
  <c r="I169" i="12"/>
  <c r="X169" i="9"/>
  <c r="AV79" i="7"/>
  <c r="AF88" i="5"/>
  <c r="AS29" i="20" s="1"/>
  <c r="AL29" i="20"/>
  <c r="AL4" i="20" s="1"/>
  <c r="AY18" i="7"/>
  <c r="AU18" i="7"/>
  <c r="X23" i="9"/>
  <c r="I23" i="12"/>
  <c r="AV18" i="7"/>
  <c r="AR228" i="4"/>
  <c r="AM228" i="4"/>
  <c r="AO228" i="4" s="1"/>
  <c r="AP228" i="4" s="1"/>
  <c r="AS119" i="7"/>
  <c r="AR119" i="7"/>
  <c r="AT119" i="7"/>
  <c r="AP265" i="12" s="1"/>
  <c r="AR173" i="4"/>
  <c r="AM173" i="4"/>
  <c r="AO173" i="4" s="1"/>
  <c r="AP173" i="4" s="1"/>
  <c r="AR39" i="4"/>
  <c r="AM39" i="4"/>
  <c r="AO39" i="4" s="1"/>
  <c r="AP39" i="4" s="1"/>
  <c r="J25" i="6"/>
  <c r="AM158" i="4"/>
  <c r="AO158" i="4" s="1"/>
  <c r="AP158" i="4" s="1"/>
  <c r="AR158" i="4"/>
  <c r="AU409" i="4"/>
  <c r="AQ409" i="4"/>
  <c r="AV409" i="4"/>
  <c r="J28" i="6"/>
  <c r="AL45" i="5"/>
  <c r="BD21" i="20" s="1"/>
  <c r="AN45" i="5"/>
  <c r="BK21" i="20" s="1"/>
  <c r="AW21" i="20"/>
  <c r="AV143" i="4"/>
  <c r="AU143" i="4"/>
  <c r="AQ143" i="4"/>
  <c r="AV420" i="4"/>
  <c r="AQ420" i="4"/>
  <c r="AU420" i="4"/>
  <c r="AT22" i="12"/>
  <c r="AB112" i="10"/>
  <c r="AR310" i="12" s="1"/>
  <c r="AA112" i="10"/>
  <c r="Z112" i="10"/>
  <c r="AA45" i="10"/>
  <c r="Z45" i="10"/>
  <c r="AB45" i="10"/>
  <c r="AR108" i="12" s="1"/>
  <c r="AM374" i="4"/>
  <c r="AO374" i="4" s="1"/>
  <c r="AP374" i="4" s="1"/>
  <c r="T40" i="20" s="1"/>
  <c r="AR374" i="4"/>
  <c r="AR312" i="4"/>
  <c r="AM312" i="4"/>
  <c r="AO312" i="4" s="1"/>
  <c r="AP312" i="4" s="1"/>
  <c r="AU87" i="7"/>
  <c r="AY87" i="7"/>
  <c r="I189" i="12"/>
  <c r="X189" i="9"/>
  <c r="AV87" i="7"/>
  <c r="AM321" i="4"/>
  <c r="AO321" i="4" s="1"/>
  <c r="AP321" i="4" s="1"/>
  <c r="AR321" i="4"/>
  <c r="AJ80" i="7"/>
  <c r="AC80" i="7"/>
  <c r="AD80" i="7"/>
  <c r="AO173" i="12" s="1"/>
  <c r="AB40" i="10"/>
  <c r="AR94" i="12" s="1"/>
  <c r="Z40" i="10"/>
  <c r="AA40" i="10"/>
  <c r="AU116" i="4"/>
  <c r="AQ116" i="4"/>
  <c r="AV116" i="4"/>
  <c r="EQ43" i="6"/>
  <c r="EP43" i="6"/>
  <c r="AT126" i="7"/>
  <c r="AP283" i="12" s="1"/>
  <c r="AS126" i="7"/>
  <c r="AR126" i="7"/>
  <c r="AF25" i="7"/>
  <c r="AA121" i="10"/>
  <c r="AB121" i="10"/>
  <c r="AR336" i="12" s="1"/>
  <c r="Z121" i="10"/>
  <c r="AB119" i="10"/>
  <c r="AR332" i="12" s="1"/>
  <c r="AA119" i="10"/>
  <c r="Z119" i="10"/>
  <c r="AB23" i="10"/>
  <c r="AR44" i="12" s="1"/>
  <c r="AA23" i="10"/>
  <c r="Z23" i="10"/>
  <c r="AS127" i="7"/>
  <c r="AR127" i="7"/>
  <c r="AT127" i="7"/>
  <c r="AP285" i="12" s="1"/>
  <c r="AB127" i="10"/>
  <c r="AR356" i="12" s="1"/>
  <c r="AA127" i="10"/>
  <c r="Z127" i="10"/>
  <c r="I4" i="7"/>
  <c r="AF49" i="5"/>
  <c r="AT21" i="20" s="1"/>
  <c r="AM21" i="20"/>
  <c r="AN65" i="5"/>
  <c r="BK25" i="20" s="1"/>
  <c r="AL65" i="5"/>
  <c r="BD25" i="20" s="1"/>
  <c r="AW25" i="20"/>
  <c r="AM65" i="4"/>
  <c r="AO65" i="4" s="1"/>
  <c r="AP65" i="4" s="1"/>
  <c r="AR65" i="4"/>
  <c r="AJ30" i="7"/>
  <c r="AC30" i="7"/>
  <c r="AM348" i="4"/>
  <c r="AO348" i="4" s="1"/>
  <c r="AP348" i="4" s="1"/>
  <c r="AR348" i="4"/>
  <c r="AR97" i="7"/>
  <c r="AT97" i="7"/>
  <c r="AP213" i="12" s="1"/>
  <c r="AS97" i="7"/>
  <c r="AK132" i="5"/>
  <c r="AD38" i="20"/>
  <c r="AK72" i="5"/>
  <c r="AD26" i="20"/>
  <c r="EP39" i="6"/>
  <c r="EQ39" i="6" s="1"/>
  <c r="AM293" i="4"/>
  <c r="AO293" i="4" s="1"/>
  <c r="AP293" i="4" s="1"/>
  <c r="AR293" i="4"/>
  <c r="AU45" i="4"/>
  <c r="AQ45" i="4"/>
  <c r="AV45" i="4"/>
  <c r="AQ241" i="4"/>
  <c r="AV241" i="4"/>
  <c r="AU241" i="4"/>
  <c r="AQ42" i="4"/>
  <c r="AU42" i="4"/>
  <c r="AV42" i="4"/>
  <c r="S33" i="6"/>
  <c r="W33" i="6"/>
  <c r="AR395" i="4"/>
  <c r="AM395" i="4"/>
  <c r="AO395" i="4" s="1"/>
  <c r="AP395" i="4" s="1"/>
  <c r="AU273" i="4"/>
  <c r="AQ273" i="4"/>
  <c r="AV273" i="4"/>
  <c r="AR243" i="4"/>
  <c r="AM243" i="4"/>
  <c r="AO243" i="4" s="1"/>
  <c r="AP243" i="4" s="1"/>
  <c r="AN29" i="5"/>
  <c r="BO17" i="20" s="1"/>
  <c r="AL29" i="5"/>
  <c r="BH17" i="20" s="1"/>
  <c r="BA17" i="20"/>
  <c r="J22" i="6"/>
  <c r="AS152" i="7"/>
  <c r="AR152" i="7"/>
  <c r="AT152" i="7"/>
  <c r="AP345" i="12" s="1"/>
  <c r="AY83" i="7"/>
  <c r="AU83" i="7"/>
  <c r="X179" i="9"/>
  <c r="I179" i="12"/>
  <c r="AV83" i="7"/>
  <c r="AM341" i="4"/>
  <c r="AO341" i="4" s="1"/>
  <c r="AP341" i="4" s="1"/>
  <c r="AR341" i="4"/>
  <c r="AU22" i="7"/>
  <c r="AY22" i="7"/>
  <c r="I33" i="12"/>
  <c r="X33" i="9"/>
  <c r="AV22" i="7"/>
  <c r="AR95" i="4"/>
  <c r="AM95" i="4"/>
  <c r="AO95" i="4" s="1"/>
  <c r="AP95" i="4" s="1"/>
  <c r="G4" i="10"/>
  <c r="J4" i="10" s="1"/>
  <c r="T36" i="20"/>
  <c r="AQ316" i="4"/>
  <c r="AV316" i="4"/>
  <c r="AU316" i="4"/>
  <c r="AR59" i="4"/>
  <c r="AM59" i="4"/>
  <c r="AO59" i="4" s="1"/>
  <c r="AP59" i="4" s="1"/>
  <c r="EN43" i="6"/>
  <c r="AY43" i="7"/>
  <c r="AU43" i="7"/>
  <c r="I83" i="12"/>
  <c r="X83" i="9"/>
  <c r="AV43" i="7"/>
  <c r="AJ100" i="7"/>
  <c r="AD100" i="7"/>
  <c r="AO221" i="12" s="1"/>
  <c r="AC100" i="7"/>
  <c r="AJ25" i="7"/>
  <c r="AC25" i="7"/>
  <c r="AG40" i="7"/>
  <c r="AN40" i="7" s="1"/>
  <c r="AF40" i="7"/>
  <c r="AM340" i="4"/>
  <c r="AO340" i="4" s="1"/>
  <c r="AP340" i="4" s="1"/>
  <c r="AR340" i="4"/>
  <c r="AS94" i="7"/>
  <c r="AR94" i="7"/>
  <c r="AT94" i="7"/>
  <c r="AP205" i="12" s="1"/>
  <c r="AK49" i="5"/>
  <c r="AF21" i="20"/>
  <c r="AB4" i="5"/>
  <c r="AC4" i="5" s="1"/>
  <c r="AY16" i="7"/>
  <c r="AU16" i="7"/>
  <c r="AV16" i="7"/>
  <c r="X19" i="9"/>
  <c r="Z19" i="9" s="1"/>
  <c r="I19" i="12"/>
  <c r="M4" i="9"/>
  <c r="EK44" i="6"/>
  <c r="EO44" i="6" s="1"/>
  <c r="AG130" i="7"/>
  <c r="AN130" i="7" s="1"/>
  <c r="AF130" i="7"/>
  <c r="AN139" i="5"/>
  <c r="BO39" i="20" s="1"/>
  <c r="AL139" i="5"/>
  <c r="BH39" i="20" s="1"/>
  <c r="BA39" i="20"/>
  <c r="F31" i="6"/>
  <c r="AR291" i="4"/>
  <c r="AM291" i="4"/>
  <c r="AO291" i="4" s="1"/>
  <c r="AP291" i="4" s="1"/>
  <c r="AR93" i="4"/>
  <c r="AM93" i="4"/>
  <c r="AO93" i="4" s="1"/>
  <c r="AP93" i="4" s="1"/>
  <c r="EN39" i="6"/>
  <c r="AG18" i="12"/>
  <c r="AA18" i="12"/>
  <c r="V18" i="12"/>
  <c r="P18" i="12"/>
  <c r="O18" i="12"/>
  <c r="N18" i="12"/>
  <c r="M18" i="12"/>
  <c r="L18" i="12"/>
  <c r="AL18" i="12"/>
  <c r="AJ18" i="12"/>
  <c r="AD18" i="12"/>
  <c r="X18" i="12"/>
  <c r="AJ125" i="7"/>
  <c r="AC125" i="7"/>
  <c r="AU62" i="7"/>
  <c r="AY62" i="7"/>
  <c r="I129" i="12"/>
  <c r="X129" i="9"/>
  <c r="AV62" i="7"/>
  <c r="AG90" i="7"/>
  <c r="AN90" i="7" s="1"/>
  <c r="AF90" i="7"/>
  <c r="AL114" i="5"/>
  <c r="BH34" i="20" s="1"/>
  <c r="AN114" i="5"/>
  <c r="BO34" i="20" s="1"/>
  <c r="BA34" i="20"/>
  <c r="AR79" i="4"/>
  <c r="AM79" i="4"/>
  <c r="AO79" i="4" s="1"/>
  <c r="AP79" i="4" s="1"/>
  <c r="AG85" i="7"/>
  <c r="AN85" i="7" s="1"/>
  <c r="AF85" i="7"/>
  <c r="AN15" i="20"/>
  <c r="AF100" i="7"/>
  <c r="AR15" i="20"/>
  <c r="AJ40" i="7"/>
  <c r="AC40" i="7"/>
  <c r="AD40" i="7" s="1"/>
  <c r="AO77" i="12" s="1"/>
  <c r="AM411" i="4"/>
  <c r="AO411" i="4" s="1"/>
  <c r="AP411" i="4" s="1"/>
  <c r="AR411" i="4"/>
  <c r="AM382" i="4"/>
  <c r="AO382" i="4" s="1"/>
  <c r="AP382" i="4" s="1"/>
  <c r="AR382" i="4"/>
  <c r="AF107" i="5"/>
  <c r="AR33" i="20" s="1"/>
  <c r="AK33" i="20"/>
  <c r="AR122" i="7"/>
  <c r="AT122" i="7"/>
  <c r="AP273" i="12" s="1"/>
  <c r="AS122" i="7"/>
  <c r="AY96" i="7"/>
  <c r="AU96" i="7"/>
  <c r="I211" i="12"/>
  <c r="X211" i="9"/>
  <c r="AV96" i="7"/>
  <c r="AM315" i="4"/>
  <c r="AO315" i="4" s="1"/>
  <c r="AP315" i="4" s="1"/>
  <c r="AR315" i="4"/>
  <c r="AV336" i="4"/>
  <c r="AU336" i="4"/>
  <c r="AQ336" i="4"/>
  <c r="AF65" i="7"/>
  <c r="AF135" i="7"/>
  <c r="F32" i="6"/>
  <c r="AJ130" i="7"/>
  <c r="AC130" i="7"/>
  <c r="AD130" i="7" s="1"/>
  <c r="AS78" i="7"/>
  <c r="AR78" i="7"/>
  <c r="AT78" i="7"/>
  <c r="AP167" i="12" s="1"/>
  <c r="AI4" i="20"/>
  <c r="AU39" i="7"/>
  <c r="AY39" i="7"/>
  <c r="X73" i="9"/>
  <c r="I73" i="12"/>
  <c r="AV39" i="7"/>
  <c r="G4" i="7"/>
  <c r="J4" i="7" s="1"/>
  <c r="J23" i="6"/>
  <c r="AQ30" i="12"/>
  <c r="AQ4" i="12" s="1"/>
  <c r="Q4" i="9"/>
  <c r="AU297" i="4"/>
  <c r="AQ297" i="4"/>
  <c r="AV297" i="4"/>
  <c r="AB75" i="10"/>
  <c r="AR200" i="12" s="1"/>
  <c r="Z75" i="10"/>
  <c r="AA75" i="10"/>
  <c r="W4" i="14"/>
  <c r="U4" i="14" s="1"/>
  <c r="Z15" i="14"/>
  <c r="AJ20" i="12"/>
  <c r="AD20" i="12"/>
  <c r="X20" i="12"/>
  <c r="V20" i="12"/>
  <c r="AL20" i="12"/>
  <c r="AG20" i="12"/>
  <c r="AA20" i="12"/>
  <c r="P20" i="12"/>
  <c r="O20" i="12"/>
  <c r="N20" i="12"/>
  <c r="M20" i="12"/>
  <c r="L20" i="12"/>
  <c r="AU94" i="4"/>
  <c r="AQ94" i="4"/>
  <c r="AV94" i="4"/>
  <c r="AV327" i="4"/>
  <c r="AU327" i="4"/>
  <c r="AQ327" i="4"/>
  <c r="AU103" i="7"/>
  <c r="AY103" i="7"/>
  <c r="I227" i="12"/>
  <c r="X227" i="9"/>
  <c r="AV103" i="7"/>
  <c r="AR31" i="4"/>
  <c r="AM31" i="4"/>
  <c r="J17" i="6"/>
  <c r="AJ85" i="7"/>
  <c r="AC85" i="7"/>
  <c r="AU284" i="4"/>
  <c r="AQ284" i="4"/>
  <c r="AV284" i="4"/>
  <c r="AR76" i="4"/>
  <c r="AM76" i="4"/>
  <c r="AO76" i="4" s="1"/>
  <c r="AP76" i="4" s="1"/>
  <c r="Z4" i="5"/>
  <c r="Y4" i="5" s="1"/>
  <c r="AU402" i="4"/>
  <c r="AQ402" i="4"/>
  <c r="AV402" i="4"/>
  <c r="AT133" i="7"/>
  <c r="AP299" i="12" s="1"/>
  <c r="AR133" i="7"/>
  <c r="AS133" i="7"/>
  <c r="AF50" i="5"/>
  <c r="AP22" i="20" s="1"/>
  <c r="AI22" i="20"/>
  <c r="AB81" i="10"/>
  <c r="AR216" i="12" s="1"/>
  <c r="AA81" i="10"/>
  <c r="Z81" i="10"/>
  <c r="EQ45" i="6"/>
  <c r="EP45" i="6"/>
  <c r="AK107" i="5"/>
  <c r="AD33" i="20"/>
  <c r="EK38" i="6"/>
  <c r="EO38" i="6" s="1"/>
  <c r="H30" i="6"/>
  <c r="L21" i="6"/>
  <c r="O21" i="6" s="1"/>
  <c r="N21" i="6"/>
  <c r="AR347" i="4"/>
  <c r="AM347" i="4"/>
  <c r="AO347" i="4" s="1"/>
  <c r="AP347" i="4" s="1"/>
  <c r="AB96" i="10"/>
  <c r="AR262" i="12" s="1"/>
  <c r="AA96" i="10"/>
  <c r="Z96" i="10"/>
  <c r="AJ140" i="7"/>
  <c r="AC140" i="7"/>
  <c r="AN131" i="5"/>
  <c r="BL38" i="20" s="1"/>
  <c r="AL131" i="5"/>
  <c r="BE38" i="20" s="1"/>
  <c r="AX38" i="20"/>
  <c r="AN111" i="5"/>
  <c r="BL34" i="20" s="1"/>
  <c r="AL111" i="5"/>
  <c r="BE34" i="20" s="1"/>
  <c r="AX34" i="20"/>
  <c r="AF132" i="5"/>
  <c r="AR38" i="20" s="1"/>
  <c r="AK38" i="20"/>
  <c r="BM15" i="20"/>
  <c r="AA89" i="10"/>
  <c r="AB89" i="10"/>
  <c r="AR240" i="12" s="1"/>
  <c r="Z89" i="10"/>
  <c r="AP15" i="20"/>
  <c r="AY36" i="7"/>
  <c r="AU36" i="7"/>
  <c r="I67" i="12"/>
  <c r="X67" i="9"/>
  <c r="AV36" i="7"/>
  <c r="AU283" i="4"/>
  <c r="AQ283" i="4"/>
  <c r="AV283" i="4"/>
  <c r="AY24" i="7"/>
  <c r="AU24" i="7"/>
  <c r="I37" i="12"/>
  <c r="X37" i="9"/>
  <c r="AV24" i="7"/>
  <c r="AR126" i="4"/>
  <c r="AM126" i="4"/>
  <c r="AO126" i="4" s="1"/>
  <c r="AP126" i="4" s="1"/>
  <c r="AQ83" i="4"/>
  <c r="AV83" i="4"/>
  <c r="AU83" i="4"/>
  <c r="AU91" i="7"/>
  <c r="AY91" i="7"/>
  <c r="I199" i="12"/>
  <c r="X199" i="9"/>
  <c r="AV91" i="7"/>
  <c r="BH28" i="4"/>
  <c r="AA15" i="20"/>
  <c r="AT138" i="7"/>
  <c r="AP311" i="12" s="1"/>
  <c r="AS138" i="7"/>
  <c r="AR138" i="7"/>
  <c r="AU37" i="4"/>
  <c r="AQ37" i="4"/>
  <c r="AV37" i="4"/>
  <c r="AM214" i="4"/>
  <c r="AO214" i="4" s="1"/>
  <c r="AP214" i="4" s="1"/>
  <c r="AR214" i="4"/>
  <c r="AU276" i="4"/>
  <c r="AQ276" i="4"/>
  <c r="AV276" i="4"/>
  <c r="F4" i="11"/>
  <c r="AT77" i="7"/>
  <c r="AP165" i="12" s="1"/>
  <c r="AS77" i="7"/>
  <c r="AR77" i="7"/>
  <c r="AF50" i="7"/>
  <c r="AG50" i="7" s="1"/>
  <c r="AU362" i="4"/>
  <c r="AQ362" i="4"/>
  <c r="AV362" i="4"/>
  <c r="AY34" i="7"/>
  <c r="AU34" i="7"/>
  <c r="I61" i="12"/>
  <c r="X61" i="9"/>
  <c r="AV34" i="7"/>
  <c r="AN157" i="5"/>
  <c r="BM43" i="20" s="1"/>
  <c r="AL157" i="5"/>
  <c r="BF43" i="20" s="1"/>
  <c r="AY43" i="20"/>
  <c r="BH18" i="4"/>
  <c r="AF55" i="7"/>
  <c r="AG55" i="7"/>
  <c r="AN55" i="7" s="1"/>
  <c r="AF60" i="7"/>
  <c r="AJ4" i="20"/>
  <c r="AQ314" i="4"/>
  <c r="AV314" i="4"/>
  <c r="AU314" i="4"/>
  <c r="F29" i="6"/>
  <c r="AQ375" i="4"/>
  <c r="AV375" i="4"/>
  <c r="AU375" i="4"/>
  <c r="AK50" i="5"/>
  <c r="AB22" i="20"/>
  <c r="AB4" i="20" s="1"/>
  <c r="AT109" i="7"/>
  <c r="AP241" i="12" s="1"/>
  <c r="AS109" i="7"/>
  <c r="AR109" i="7"/>
  <c r="AU84" i="7"/>
  <c r="AY84" i="7"/>
  <c r="X181" i="9"/>
  <c r="I181" i="12"/>
  <c r="AV84" i="7"/>
  <c r="AJ35" i="7"/>
  <c r="AC35" i="7"/>
  <c r="AD35" i="7"/>
  <c r="AO65" i="12" s="1"/>
  <c r="EN45" i="6"/>
  <c r="AU38" i="7"/>
  <c r="AY38" i="7"/>
  <c r="X71" i="9"/>
  <c r="I71" i="12"/>
  <c r="AV38" i="7"/>
  <c r="AR66" i="4"/>
  <c r="AM66" i="4"/>
  <c r="AO66" i="4" s="1"/>
  <c r="AP66" i="4" s="1"/>
  <c r="G24" i="6" s="1"/>
  <c r="AN18" i="5"/>
  <c r="AL18" i="5"/>
  <c r="BG15" i="20" s="1"/>
  <c r="AZ15" i="20"/>
  <c r="AY52" i="7"/>
  <c r="AU52" i="7"/>
  <c r="I105" i="12"/>
  <c r="X105" i="9"/>
  <c r="AV52" i="7"/>
  <c r="EP40" i="6"/>
  <c r="EQ40" i="6" s="1"/>
  <c r="AU88" i="7"/>
  <c r="AY88" i="7"/>
  <c r="I191" i="12"/>
  <c r="X191" i="9"/>
  <c r="AV88" i="7"/>
  <c r="AJ135" i="7"/>
  <c r="AC135" i="7"/>
  <c r="AF72" i="5"/>
  <c r="AR26" i="20" s="1"/>
  <c r="AK26" i="20"/>
  <c r="AK4" i="20" s="1"/>
  <c r="AT17" i="7"/>
  <c r="AP21" i="12" s="1"/>
  <c r="AS17" i="7"/>
  <c r="AR17" i="7"/>
  <c r="BE28" i="4"/>
  <c r="EQ47" i="6"/>
  <c r="EP47" i="6"/>
  <c r="AR139" i="7"/>
  <c r="AT139" i="7"/>
  <c r="AP313" i="12" s="1"/>
  <c r="AS139" i="7"/>
  <c r="AF125" i="7"/>
  <c r="S25" i="20"/>
  <c r="AQ161" i="4"/>
  <c r="AU161" i="4"/>
  <c r="AV161" i="4"/>
  <c r="T23" i="20"/>
  <c r="AU134" i="4"/>
  <c r="AQ134" i="4"/>
  <c r="AV134" i="4"/>
  <c r="AJ90" i="7"/>
  <c r="AC90" i="7"/>
  <c r="AD90" i="7"/>
  <c r="AO197" i="12" s="1"/>
  <c r="AR46" i="4"/>
  <c r="AM46" i="4"/>
  <c r="AO46" i="4" s="1"/>
  <c r="AP46" i="4" s="1"/>
  <c r="AJ110" i="7"/>
  <c r="AC110" i="7"/>
  <c r="AD110" i="7"/>
  <c r="AO245" i="12" s="1"/>
  <c r="AY49" i="7"/>
  <c r="AU49" i="7"/>
  <c r="X97" i="9"/>
  <c r="I97" i="12"/>
  <c r="AV49" i="7"/>
  <c r="T35" i="20"/>
  <c r="AQ302" i="4"/>
  <c r="AV302" i="4"/>
  <c r="AU302" i="4"/>
  <c r="AM182" i="4"/>
  <c r="AO182" i="4" s="1"/>
  <c r="AP182" i="4" s="1"/>
  <c r="G28" i="6" s="1"/>
  <c r="AR182" i="4"/>
  <c r="AY27" i="7"/>
  <c r="AU27" i="7"/>
  <c r="I45" i="12"/>
  <c r="X45" i="9"/>
  <c r="AV27" i="7"/>
  <c r="AQ332" i="4"/>
  <c r="AU332" i="4"/>
  <c r="AV332" i="4"/>
  <c r="AU31" i="7"/>
  <c r="AY31" i="7"/>
  <c r="X55" i="9"/>
  <c r="I55" i="12"/>
  <c r="AV31" i="7"/>
  <c r="AJ50" i="7"/>
  <c r="AC50" i="7"/>
  <c r="AD50" i="7" s="1"/>
  <c r="AO101" i="12" s="1"/>
  <c r="AN141" i="5"/>
  <c r="BL40" i="20" s="1"/>
  <c r="AL141" i="5"/>
  <c r="BE40" i="20" s="1"/>
  <c r="AX40" i="20"/>
  <c r="AF115" i="7"/>
  <c r="BE18" i="4"/>
  <c r="AO55" i="7"/>
  <c r="AJ55" i="7"/>
  <c r="AD55" i="7"/>
  <c r="AO113" i="12" s="1"/>
  <c r="AC55" i="7"/>
  <c r="AJ60" i="7"/>
  <c r="AC60" i="7"/>
  <c r="AD60" i="7" s="1"/>
  <c r="AO125" i="12" s="1"/>
  <c r="AY59" i="7"/>
  <c r="AU59" i="7"/>
  <c r="X121" i="9"/>
  <c r="I121" i="12"/>
  <c r="AV59" i="7"/>
  <c r="AR185" i="4"/>
  <c r="AM185" i="4"/>
  <c r="AO185" i="4" s="1"/>
  <c r="AP185" i="4" s="1"/>
  <c r="AF15" i="10"/>
  <c r="AR89" i="7"/>
  <c r="AT89" i="7"/>
  <c r="AP193" i="12" s="1"/>
  <c r="AS89" i="7"/>
  <c r="AR339" i="4"/>
  <c r="AM339" i="4"/>
  <c r="AO339" i="4" s="1"/>
  <c r="AP339" i="4" s="1"/>
  <c r="AN15" i="5"/>
  <c r="AL15" i="5"/>
  <c r="AW15" i="20"/>
  <c r="V19" i="12"/>
  <c r="P19" i="12"/>
  <c r="N19" i="12"/>
  <c r="M19" i="12"/>
  <c r="AJ19" i="12"/>
  <c r="AD19" i="12"/>
  <c r="AA19" i="12"/>
  <c r="X19" i="12"/>
  <c r="O19" i="12"/>
  <c r="L19" i="12"/>
  <c r="AL19" i="12"/>
  <c r="AG19" i="12"/>
  <c r="S32" i="6"/>
  <c r="W32" i="6"/>
  <c r="AU165" i="4"/>
  <c r="AQ165" i="4"/>
  <c r="AV165" i="4"/>
  <c r="AB129" i="10"/>
  <c r="AR360" i="12" s="1"/>
  <c r="Z129" i="10"/>
  <c r="AA129" i="10"/>
  <c r="AF35" i="7"/>
  <c r="AG35" i="7" s="1"/>
  <c r="AN35" i="7" s="1"/>
  <c r="AB67" i="10"/>
  <c r="AR176" i="12" s="1"/>
  <c r="AA67" i="10"/>
  <c r="Z67" i="10"/>
  <c r="AY104" i="7"/>
  <c r="AU104" i="7"/>
  <c r="X229" i="9"/>
  <c r="I229" i="12"/>
  <c r="AV104" i="7"/>
  <c r="AU109" i="4"/>
  <c r="AQ109" i="4"/>
  <c r="AV109" i="4"/>
  <c r="AU236" i="4"/>
  <c r="AQ236" i="4"/>
  <c r="AV236" i="4"/>
  <c r="AU354" i="4"/>
  <c r="AQ354" i="4"/>
  <c r="AV354" i="4"/>
  <c r="H33" i="6"/>
  <c r="AF19" i="5"/>
  <c r="AM15" i="20"/>
  <c r="AM277" i="4"/>
  <c r="AO277" i="4" s="1"/>
  <c r="AP277" i="4" s="1"/>
  <c r="AR277" i="4"/>
  <c r="AF99" i="5"/>
  <c r="AT31" i="20" s="1"/>
  <c r="AM31" i="20"/>
  <c r="AU220" i="4"/>
  <c r="AV220" i="4"/>
  <c r="AQ220" i="4"/>
  <c r="AU125" i="4"/>
  <c r="AQ125" i="4"/>
  <c r="AV125" i="4"/>
  <c r="AY142" i="7"/>
  <c r="AU142" i="7"/>
  <c r="X321" i="9"/>
  <c r="I321" i="12"/>
  <c r="AV142" i="7"/>
  <c r="AY131" i="7"/>
  <c r="AU131" i="7"/>
  <c r="I295" i="12"/>
  <c r="AV131" i="7"/>
  <c r="X295" i="9"/>
  <c r="AF120" i="5"/>
  <c r="AP36" i="20" s="1"/>
  <c r="AI36" i="20"/>
  <c r="AT129" i="7"/>
  <c r="AP289" i="12" s="1"/>
  <c r="AS129" i="7"/>
  <c r="AR129" i="7"/>
  <c r="AR137" i="4"/>
  <c r="AM137" i="4"/>
  <c r="AO137" i="4" s="1"/>
  <c r="AP137" i="4" s="1"/>
  <c r="AU304" i="4"/>
  <c r="AQ304" i="4"/>
  <c r="AV304" i="4"/>
  <c r="AT136" i="7"/>
  <c r="AP307" i="12" s="1"/>
  <c r="AR136" i="7"/>
  <c r="AS136" i="7"/>
  <c r="AG155" i="7"/>
  <c r="AF155" i="7"/>
  <c r="AM317" i="4"/>
  <c r="AO317" i="4" s="1"/>
  <c r="AP317" i="4" s="1"/>
  <c r="AR317" i="4"/>
  <c r="AJ4" i="4"/>
  <c r="BA22" i="12"/>
  <c r="AN22" i="12"/>
  <c r="AF140" i="7"/>
  <c r="AG140" i="7" s="1"/>
  <c r="AR335" i="4"/>
  <c r="AM335" i="4"/>
  <c r="AO335" i="4" s="1"/>
  <c r="AP335" i="4" s="1"/>
  <c r="S37" i="20" s="1"/>
  <c r="AJ115" i="7"/>
  <c r="AC115" i="7"/>
  <c r="AD115" i="7" s="1"/>
  <c r="AM414" i="4"/>
  <c r="AO414" i="4" s="1"/>
  <c r="AP414" i="4" s="1"/>
  <c r="AR414" i="4"/>
  <c r="AQ345" i="4"/>
  <c r="AU345" i="4"/>
  <c r="AV345" i="4"/>
  <c r="AU141" i="7"/>
  <c r="AY141" i="7"/>
  <c r="I319" i="12"/>
  <c r="X319" i="9"/>
  <c r="AV141" i="7"/>
  <c r="F33" i="6"/>
  <c r="AK19" i="5"/>
  <c r="AF15" i="20"/>
  <c r="AR102" i="4"/>
  <c r="AM102" i="4"/>
  <c r="AO102" i="4" s="1"/>
  <c r="AP102" i="4" s="1"/>
  <c r="AY26" i="7"/>
  <c r="AU26" i="7"/>
  <c r="I43" i="12"/>
  <c r="X43" i="9"/>
  <c r="AV26" i="7"/>
  <c r="U15" i="9"/>
  <c r="G15" i="12"/>
  <c r="I4" i="10"/>
  <c r="AF105" i="7"/>
  <c r="AG105" i="7" s="1"/>
  <c r="AK99" i="5"/>
  <c r="AF31" i="20"/>
  <c r="AU47" i="7"/>
  <c r="AY47" i="7"/>
  <c r="I93" i="12"/>
  <c r="X93" i="9"/>
  <c r="AV47" i="7"/>
  <c r="EP42" i="6"/>
  <c r="EQ42" i="6" s="1"/>
  <c r="BA16" i="7"/>
  <c r="AM73" i="4"/>
  <c r="AO73" i="4" s="1"/>
  <c r="AP73" i="4" s="1"/>
  <c r="AR73" i="4"/>
  <c r="AJ95" i="7"/>
  <c r="AD95" i="7"/>
  <c r="AO209" i="12" s="1"/>
  <c r="AC95" i="7"/>
  <c r="T34" i="20"/>
  <c r="AU288" i="4"/>
  <c r="AQ288" i="4"/>
  <c r="AV288" i="4"/>
  <c r="AY159" i="7"/>
  <c r="AU159" i="7"/>
  <c r="I361" i="12"/>
  <c r="X361" i="9"/>
  <c r="AV159" i="7"/>
  <c r="AN133" i="5"/>
  <c r="BN38" i="20" s="1"/>
  <c r="AL133" i="5"/>
  <c r="BG38" i="20" s="1"/>
  <c r="AZ38" i="20"/>
  <c r="AQ360" i="4"/>
  <c r="AU360" i="4"/>
  <c r="AV360" i="4"/>
  <c r="J20" i="6"/>
  <c r="L19" i="6"/>
  <c r="O19" i="6" s="1"/>
  <c r="N19" i="6"/>
  <c r="AU132" i="4"/>
  <c r="AQ132" i="4"/>
  <c r="AV132" i="4"/>
  <c r="AM399" i="4"/>
  <c r="AO399" i="4" s="1"/>
  <c r="AP399" i="4" s="1"/>
  <c r="AR399" i="4"/>
  <c r="AB25" i="10"/>
  <c r="AR48" i="12" s="1"/>
  <c r="AA25" i="10"/>
  <c r="Z25" i="10"/>
  <c r="AK120" i="5"/>
  <c r="AB36" i="20"/>
  <c r="AV262" i="4"/>
  <c r="AU262" i="4"/>
  <c r="AQ262" i="4"/>
  <c r="AQ168" i="4"/>
  <c r="AU168" i="4"/>
  <c r="AV168" i="4"/>
  <c r="AB64" i="10"/>
  <c r="AR166" i="12" s="1"/>
  <c r="AA64" i="10"/>
  <c r="Z64" i="10"/>
  <c r="AR384" i="4"/>
  <c r="AM384" i="4"/>
  <c r="AO384" i="4" s="1"/>
  <c r="AP384" i="4" s="1"/>
  <c r="AU54" i="7"/>
  <c r="AY54" i="7"/>
  <c r="I109" i="12"/>
  <c r="X109" i="9"/>
  <c r="AV54" i="7"/>
  <c r="AU23" i="7"/>
  <c r="AY23" i="7"/>
  <c r="X35" i="9"/>
  <c r="I35" i="12"/>
  <c r="AV23" i="7"/>
  <c r="AT137" i="7"/>
  <c r="AP309" i="12" s="1"/>
  <c r="AS137" i="7"/>
  <c r="AR137" i="7"/>
  <c r="Z99" i="10"/>
  <c r="AB99" i="10"/>
  <c r="AR272" i="12" s="1"/>
  <c r="AA99" i="10"/>
  <c r="AQ294" i="4"/>
  <c r="AV294" i="4"/>
  <c r="AU294" i="4"/>
  <c r="W31" i="6"/>
  <c r="S31" i="6"/>
  <c r="AQ359" i="4"/>
  <c r="AU359" i="4"/>
  <c r="AV359" i="4"/>
  <c r="AU67" i="7"/>
  <c r="AY67" i="7"/>
  <c r="X141" i="9"/>
  <c r="I141" i="12"/>
  <c r="AV67" i="7"/>
  <c r="AS15" i="7"/>
  <c r="AR15" i="7"/>
  <c r="AM353" i="4"/>
  <c r="AO353" i="4" s="1"/>
  <c r="AP353" i="4" s="1"/>
  <c r="AR353" i="4"/>
  <c r="AM40" i="4"/>
  <c r="AO40" i="4" s="1"/>
  <c r="AP40" i="4" s="1"/>
  <c r="T16" i="20" s="1"/>
  <c r="AR40" i="4"/>
  <c r="J26" i="6"/>
  <c r="AU46" i="7"/>
  <c r="AY46" i="7"/>
  <c r="I91" i="12"/>
  <c r="X91" i="9"/>
  <c r="AV46" i="7"/>
  <c r="I32" i="6"/>
  <c r="AS15" i="20"/>
  <c r="AS4" i="20" s="1"/>
  <c r="AJ145" i="7"/>
  <c r="AD145" i="7"/>
  <c r="AO329" i="12" s="1"/>
  <c r="AC145" i="7"/>
  <c r="AJ45" i="7"/>
  <c r="AC45" i="7"/>
  <c r="AD45" i="7"/>
  <c r="AO89" i="12" s="1"/>
  <c r="H4" i="14"/>
  <c r="AM306" i="4"/>
  <c r="AO306" i="4" s="1"/>
  <c r="AP306" i="4" s="1"/>
  <c r="AR306" i="4"/>
  <c r="AT69" i="7"/>
  <c r="AP145" i="12" s="1"/>
  <c r="AS69" i="7"/>
  <c r="AR69" i="7"/>
  <c r="AS86" i="7"/>
  <c r="AR86" i="7"/>
  <c r="AT86" i="7"/>
  <c r="AP187" i="12" s="1"/>
  <c r="AM247" i="4"/>
  <c r="AO247" i="4" s="1"/>
  <c r="AP247" i="4" s="1"/>
  <c r="AR247" i="4"/>
  <c r="AR124" i="4"/>
  <c r="AM124" i="4"/>
  <c r="AO124" i="4" s="1"/>
  <c r="AP124" i="4" s="1"/>
  <c r="AJ120" i="7"/>
  <c r="AC120" i="7"/>
  <c r="AO120" i="7" s="1"/>
  <c r="AD120" i="7"/>
  <c r="AO269" i="12" s="1"/>
  <c r="AM391" i="4"/>
  <c r="AO391" i="4" s="1"/>
  <c r="AP391" i="4" s="1"/>
  <c r="AR391" i="4"/>
  <c r="T32" i="20"/>
  <c r="AU260" i="4"/>
  <c r="AQ260" i="4"/>
  <c r="AV260" i="4"/>
  <c r="AU107" i="7"/>
  <c r="AY107" i="7"/>
  <c r="X237" i="9"/>
  <c r="I237" i="12"/>
  <c r="AV107" i="7"/>
  <c r="AY51" i="7"/>
  <c r="AU51" i="7"/>
  <c r="X103" i="9"/>
  <c r="I103" i="12"/>
  <c r="AV51" i="7"/>
  <c r="AR250" i="4"/>
  <c r="AM250" i="4"/>
  <c r="AO250" i="4" s="1"/>
  <c r="AP250" i="4" s="1"/>
  <c r="AG95" i="7"/>
  <c r="AN95" i="7" s="1"/>
  <c r="AF95" i="7"/>
  <c r="AR342" i="4"/>
  <c r="AM342" i="4"/>
  <c r="AO342" i="4" s="1"/>
  <c r="AP342" i="4" s="1"/>
  <c r="AM129" i="4"/>
  <c r="AO129" i="4" s="1"/>
  <c r="AP129" i="4" s="1"/>
  <c r="AR129" i="4"/>
  <c r="AA4" i="5"/>
  <c r="AT81" i="7"/>
  <c r="AP175" i="12" s="1"/>
  <c r="AS81" i="7"/>
  <c r="AR81" i="7"/>
  <c r="S28" i="20"/>
  <c r="AU203" i="4"/>
  <c r="AQ203" i="4"/>
  <c r="AV203" i="4"/>
  <c r="S31" i="20"/>
  <c r="AU245" i="4"/>
  <c r="AQ245" i="4"/>
  <c r="AV245" i="4"/>
  <c r="AY156" i="7"/>
  <c r="AU156" i="7"/>
  <c r="X355" i="9"/>
  <c r="I355" i="12"/>
  <c r="AV156" i="7"/>
  <c r="AN24" i="12"/>
  <c r="BA24" i="12"/>
  <c r="AY123" i="7"/>
  <c r="AU123" i="7"/>
  <c r="X275" i="9"/>
  <c r="I275" i="12"/>
  <c r="AV123" i="7"/>
  <c r="AF115" i="5"/>
  <c r="AP35" i="20" s="1"/>
  <c r="AI35" i="20"/>
  <c r="AM346" i="4"/>
  <c r="AO346" i="4" s="1"/>
  <c r="AP346" i="4" s="1"/>
  <c r="T38" i="20" s="1"/>
  <c r="AR346" i="4"/>
  <c r="AM290" i="4"/>
  <c r="AO290" i="4" s="1"/>
  <c r="AP290" i="4" s="1"/>
  <c r="AR290" i="4"/>
  <c r="AR176" i="4"/>
  <c r="AM176" i="4"/>
  <c r="AO176" i="4" s="1"/>
  <c r="AP176" i="4" s="1"/>
  <c r="AR219" i="4"/>
  <c r="AM219" i="4"/>
  <c r="AO219" i="4" s="1"/>
  <c r="AP219" i="4" s="1"/>
  <c r="S29" i="20" s="1"/>
  <c r="AF140" i="5"/>
  <c r="AP40" i="20" s="1"/>
  <c r="AI40" i="20"/>
  <c r="AM215" i="4"/>
  <c r="AO215" i="4" s="1"/>
  <c r="AP215" i="4" s="1"/>
  <c r="AR215" i="4"/>
  <c r="AR92" i="4"/>
  <c r="AM92" i="4"/>
  <c r="AO92" i="4" s="1"/>
  <c r="AP92" i="4" s="1"/>
  <c r="AY28" i="7"/>
  <c r="AU28" i="7"/>
  <c r="X47" i="9"/>
  <c r="I47" i="12"/>
  <c r="AV28" i="7"/>
  <c r="AY147" i="7"/>
  <c r="AU147" i="7"/>
  <c r="X333" i="9"/>
  <c r="I333" i="12"/>
  <c r="AV147" i="7"/>
  <c r="AE20" i="7"/>
  <c r="V4" i="7"/>
  <c r="U4" i="7" s="1"/>
  <c r="AR415" i="4"/>
  <c r="AM415" i="4"/>
  <c r="AO415" i="4" s="1"/>
  <c r="AP415" i="4" s="1"/>
  <c r="AR186" i="4"/>
  <c r="AM186" i="4"/>
  <c r="AO186" i="4" s="1"/>
  <c r="AP186" i="4" s="1"/>
  <c r="EP41" i="6"/>
  <c r="EQ41" i="6" s="1"/>
  <c r="AY44" i="7"/>
  <c r="AU44" i="7"/>
  <c r="I85" i="12"/>
  <c r="X85" i="9"/>
  <c r="AV44" i="7"/>
  <c r="AO257" i="12" l="1"/>
  <c r="AO115" i="7"/>
  <c r="AN50" i="7"/>
  <c r="AH50" i="7"/>
  <c r="AR120" i="7"/>
  <c r="AS120" i="7"/>
  <c r="AN140" i="7"/>
  <c r="AH140" i="7"/>
  <c r="AH120" i="7"/>
  <c r="AO293" i="12"/>
  <c r="AO130" i="7"/>
  <c r="AU250" i="4"/>
  <c r="AQ250" i="4"/>
  <c r="AV250" i="4"/>
  <c r="AU15" i="7"/>
  <c r="AY15" i="7"/>
  <c r="X17" i="9"/>
  <c r="I17" i="12"/>
  <c r="AV15" i="7"/>
  <c r="AM80" i="7"/>
  <c r="AX103" i="4"/>
  <c r="BH103" i="4" s="1"/>
  <c r="AZ103" i="4"/>
  <c r="BB103" i="4" s="1"/>
  <c r="AU113" i="7"/>
  <c r="AY113" i="7"/>
  <c r="X251" i="9"/>
  <c r="I251" i="12"/>
  <c r="AV113" i="7"/>
  <c r="AZ133" i="4"/>
  <c r="BB133" i="4" s="1"/>
  <c r="AX133" i="4"/>
  <c r="AD47" i="10"/>
  <c r="Y116" i="9"/>
  <c r="K116" i="12"/>
  <c r="AD61" i="10"/>
  <c r="Y156" i="9"/>
  <c r="K156" i="12"/>
  <c r="AD59" i="10"/>
  <c r="Y152" i="9"/>
  <c r="K152" i="12"/>
  <c r="AX390" i="4"/>
  <c r="BH390" i="4" s="1"/>
  <c r="AZ390" i="4"/>
  <c r="BB390" i="4" s="1"/>
  <c r="AX263" i="4"/>
  <c r="BH263" i="4" s="1"/>
  <c r="AZ263" i="4"/>
  <c r="BB263" i="4" s="1"/>
  <c r="I50" i="13"/>
  <c r="AX106" i="4"/>
  <c r="AZ106" i="4"/>
  <c r="BB106" i="4" s="1"/>
  <c r="AX88" i="4"/>
  <c r="BH88" i="4" s="1"/>
  <c r="AZ88" i="4"/>
  <c r="BB88" i="4" s="1"/>
  <c r="AD49" i="10"/>
  <c r="Y120" i="9"/>
  <c r="K120" i="12"/>
  <c r="AD29" i="10"/>
  <c r="Y60" i="9"/>
  <c r="K60" i="12"/>
  <c r="AU384" i="4"/>
  <c r="AQ384" i="4"/>
  <c r="AV384" i="4"/>
  <c r="AV79" i="4"/>
  <c r="AU79" i="4"/>
  <c r="AQ79" i="4"/>
  <c r="AD25" i="7"/>
  <c r="AO41" i="12" s="1"/>
  <c r="AQ395" i="4"/>
  <c r="AU395" i="4"/>
  <c r="AV395" i="4"/>
  <c r="AQ321" i="4"/>
  <c r="AV321" i="4"/>
  <c r="AU321" i="4"/>
  <c r="AU126" i="4"/>
  <c r="AQ126" i="4"/>
  <c r="AV126" i="4"/>
  <c r="AF4" i="5"/>
  <c r="AE4" i="5" s="1"/>
  <c r="AX402" i="4"/>
  <c r="BH402" i="4" s="1"/>
  <c r="AZ402" i="4"/>
  <c r="BB402" i="4" s="1"/>
  <c r="AB20" i="12"/>
  <c r="AU291" i="4"/>
  <c r="AQ291" i="4"/>
  <c r="AV291" i="4"/>
  <c r="AX316" i="4"/>
  <c r="AZ316" i="4"/>
  <c r="BB316" i="4" s="1"/>
  <c r="AD30" i="7"/>
  <c r="AO53" i="12" s="1"/>
  <c r="AU126" i="7"/>
  <c r="AY126" i="7"/>
  <c r="X283" i="9"/>
  <c r="I283" i="12"/>
  <c r="AV126" i="7"/>
  <c r="AU22" i="12"/>
  <c r="AV22" i="12" s="1"/>
  <c r="G18" i="11"/>
  <c r="AA23" i="12"/>
  <c r="X23" i="12"/>
  <c r="V23" i="12"/>
  <c r="N23" i="12"/>
  <c r="M23" i="12"/>
  <c r="AL23" i="12"/>
  <c r="L23" i="12"/>
  <c r="AG23" i="12"/>
  <c r="AD23" i="12"/>
  <c r="P23" i="12"/>
  <c r="O23" i="12"/>
  <c r="AJ23" i="12"/>
  <c r="AY102" i="7"/>
  <c r="AU102" i="7"/>
  <c r="I225" i="12"/>
  <c r="X225" i="9"/>
  <c r="AV102" i="7"/>
  <c r="AU97" i="4"/>
  <c r="AQ97" i="4"/>
  <c r="AV97" i="4"/>
  <c r="AX187" i="4"/>
  <c r="BH187" i="4" s="1"/>
  <c r="AZ187" i="4"/>
  <c r="BB187" i="4" s="1"/>
  <c r="AD108" i="10"/>
  <c r="K298" i="12"/>
  <c r="Y298" i="9"/>
  <c r="AU306" i="4"/>
  <c r="AQ306" i="4"/>
  <c r="AV306" i="4"/>
  <c r="AH55" i="7"/>
  <c r="Y18" i="12"/>
  <c r="AM18" i="12"/>
  <c r="Y33" i="6"/>
  <c r="AG33" i="6" s="1"/>
  <c r="AA33" i="6"/>
  <c r="AC33" i="6" s="1"/>
  <c r="AE33" i="6" s="1"/>
  <c r="AU127" i="7"/>
  <c r="AY127" i="7"/>
  <c r="X285" i="9"/>
  <c r="I285" i="12"/>
  <c r="AV127" i="7"/>
  <c r="AV39" i="4"/>
  <c r="AU39" i="4"/>
  <c r="AQ39" i="4"/>
  <c r="G25" i="6"/>
  <c r="EP44" i="6"/>
  <c r="BA18" i="7"/>
  <c r="AV32" i="4"/>
  <c r="AU32" i="4"/>
  <c r="AQ32" i="4"/>
  <c r="K18" i="6" s="1"/>
  <c r="G18" i="6"/>
  <c r="AD64" i="10"/>
  <c r="Y166" i="9"/>
  <c r="K166" i="12"/>
  <c r="S42" i="20"/>
  <c r="AU399" i="4"/>
  <c r="AQ399" i="4"/>
  <c r="AV399" i="4"/>
  <c r="I33" i="6"/>
  <c r="AT15" i="20"/>
  <c r="AT4" i="20" s="1"/>
  <c r="BD15" i="20"/>
  <c r="AN50" i="5"/>
  <c r="BK22" i="20" s="1"/>
  <c r="AL50" i="5"/>
  <c r="BD22" i="20" s="1"/>
  <c r="AW22" i="20"/>
  <c r="AM55" i="7"/>
  <c r="AL55" i="7"/>
  <c r="AE18" i="12"/>
  <c r="AX100" i="7"/>
  <c r="AI100" i="7"/>
  <c r="AK100" i="7" s="1"/>
  <c r="W221" i="9"/>
  <c r="H221" i="12"/>
  <c r="AD4" i="20"/>
  <c r="EQ44" i="6"/>
  <c r="AU171" i="4"/>
  <c r="AQ171" i="4"/>
  <c r="AV171" i="4"/>
  <c r="EO46" i="6"/>
  <c r="AX397" i="4"/>
  <c r="BH397" i="4" s="1"/>
  <c r="AZ397" i="4"/>
  <c r="BB397" i="4" s="1"/>
  <c r="AU235" i="4"/>
  <c r="AQ235" i="4"/>
  <c r="AV235" i="4"/>
  <c r="AD124" i="10"/>
  <c r="Y346" i="9"/>
  <c r="K346" i="12"/>
  <c r="AX301" i="4"/>
  <c r="AZ301" i="4"/>
  <c r="BB301" i="4" s="1"/>
  <c r="AX416" i="4"/>
  <c r="BH416" i="4" s="1"/>
  <c r="AZ416" i="4"/>
  <c r="BB416" i="4" s="1"/>
  <c r="AD80" i="10"/>
  <c r="K214" i="12"/>
  <c r="Y214" i="9"/>
  <c r="AX153" i="4"/>
  <c r="BH153" i="4" s="1"/>
  <c r="AZ153" i="4"/>
  <c r="BB153" i="4" s="1"/>
  <c r="AZ330" i="4"/>
  <c r="BB330" i="4" s="1"/>
  <c r="AX330" i="4"/>
  <c r="AZ121" i="4"/>
  <c r="BB121" i="4" s="1"/>
  <c r="AX121" i="4"/>
  <c r="BH121" i="4" s="1"/>
  <c r="I29" i="13"/>
  <c r="AX188" i="4"/>
  <c r="BH188" i="4" s="1"/>
  <c r="AZ188" i="4"/>
  <c r="BB188" i="4" s="1"/>
  <c r="AX174" i="4"/>
  <c r="BH174" i="4" s="1"/>
  <c r="AZ174" i="4"/>
  <c r="BB174" i="4" s="1"/>
  <c r="AX140" i="4"/>
  <c r="BH140" i="4" s="1"/>
  <c r="AZ140" i="4"/>
  <c r="BB140" i="4" s="1"/>
  <c r="AX334" i="4"/>
  <c r="BH334" i="4" s="1"/>
  <c r="AZ334" i="4"/>
  <c r="BB334" i="4" s="1"/>
  <c r="AD43" i="10"/>
  <c r="Y104" i="9"/>
  <c r="K104" i="12"/>
  <c r="AD52" i="10"/>
  <c r="K130" i="12"/>
  <c r="Y130" i="9"/>
  <c r="AX50" i="4"/>
  <c r="AZ50" i="4"/>
  <c r="BB50" i="4" s="1"/>
  <c r="AX369" i="4"/>
  <c r="BH369" i="4" s="1"/>
  <c r="AZ369" i="4"/>
  <c r="BB369" i="4" s="1"/>
  <c r="AX386" i="4"/>
  <c r="AZ386" i="4"/>
  <c r="BB386" i="4" s="1"/>
  <c r="AX180" i="4"/>
  <c r="BH180" i="4" s="1"/>
  <c r="AZ180" i="4"/>
  <c r="BB180" i="4" s="1"/>
  <c r="AX178" i="4"/>
  <c r="BH178" i="4" s="1"/>
  <c r="AZ178" i="4"/>
  <c r="BB178" i="4" s="1"/>
  <c r="AD76" i="10"/>
  <c r="Y202" i="9"/>
  <c r="K202" i="12"/>
  <c r="AX108" i="4"/>
  <c r="BH108" i="4" s="1"/>
  <c r="AZ108" i="4"/>
  <c r="BB108" i="4" s="1"/>
  <c r="AD118" i="10"/>
  <c r="Y326" i="9"/>
  <c r="K326" i="12"/>
  <c r="AZ270" i="4"/>
  <c r="BB270" i="4" s="1"/>
  <c r="AX270" i="4"/>
  <c r="BH270" i="4" s="1"/>
  <c r="AM45" i="7"/>
  <c r="AU381" i="4"/>
  <c r="AQ381" i="4"/>
  <c r="AV381" i="4"/>
  <c r="AU128" i="7"/>
  <c r="AY128" i="7"/>
  <c r="X287" i="9"/>
  <c r="I287" i="12"/>
  <c r="AV128" i="7"/>
  <c r="AH105" i="7"/>
  <c r="AX134" i="4"/>
  <c r="AZ134" i="4"/>
  <c r="BB134" i="4" s="1"/>
  <c r="AM60" i="7"/>
  <c r="AY133" i="7"/>
  <c r="AU133" i="7"/>
  <c r="X299" i="9"/>
  <c r="I299" i="12"/>
  <c r="AV133" i="7"/>
  <c r="AV277" i="4"/>
  <c r="AU277" i="4"/>
  <c r="AQ277" i="4"/>
  <c r="AO15" i="20"/>
  <c r="AX37" i="4"/>
  <c r="AZ37" i="4"/>
  <c r="BB37" i="4" s="1"/>
  <c r="I17" i="13"/>
  <c r="AO31" i="4"/>
  <c r="AP31" i="4" s="1"/>
  <c r="AM4" i="4"/>
  <c r="S36" i="20"/>
  <c r="AU315" i="4"/>
  <c r="AQ315" i="4"/>
  <c r="AV315" i="4"/>
  <c r="AX154" i="4"/>
  <c r="BH154" i="4" s="1"/>
  <c r="AZ154" i="4"/>
  <c r="BB154" i="4" s="1"/>
  <c r="AZ308" i="4"/>
  <c r="BB308" i="4" s="1"/>
  <c r="AX308" i="4"/>
  <c r="BH308" i="4" s="1"/>
  <c r="T27" i="6"/>
  <c r="AD91" i="10"/>
  <c r="Y248" i="9"/>
  <c r="K248" i="12"/>
  <c r="AX80" i="4"/>
  <c r="BH80" i="4" s="1"/>
  <c r="AZ80" i="4"/>
  <c r="BB80" i="4" s="1"/>
  <c r="AX89" i="4"/>
  <c r="BH89" i="4" s="1"/>
  <c r="AZ89" i="4"/>
  <c r="BB89" i="4" s="1"/>
  <c r="AX199" i="4"/>
  <c r="BH199" i="4" s="1"/>
  <c r="AZ199" i="4"/>
  <c r="BB199" i="4" s="1"/>
  <c r="AX260" i="4"/>
  <c r="AZ260" i="4"/>
  <c r="BB260" i="4" s="1"/>
  <c r="AU415" i="4"/>
  <c r="AV415" i="4"/>
  <c r="AQ415" i="4"/>
  <c r="AK19" i="12"/>
  <c r="AT55" i="7"/>
  <c r="AP113" i="12" s="1"/>
  <c r="AS55" i="7"/>
  <c r="AR55" i="7"/>
  <c r="AQ51" i="4"/>
  <c r="AV51" i="4"/>
  <c r="AU51" i="4"/>
  <c r="AN88" i="5"/>
  <c r="BN29" i="20" s="1"/>
  <c r="AL88" i="5"/>
  <c r="BG29" i="20" s="1"/>
  <c r="AZ29" i="20"/>
  <c r="AQ185" i="4"/>
  <c r="AV185" i="4"/>
  <c r="AU185" i="4"/>
  <c r="AF20" i="7"/>
  <c r="AE4" i="7"/>
  <c r="AX332" i="4"/>
  <c r="BH332" i="4" s="1"/>
  <c r="AZ332" i="4"/>
  <c r="BB332" i="4" s="1"/>
  <c r="AR4" i="4"/>
  <c r="AL4" i="4"/>
  <c r="L23" i="6"/>
  <c r="O23" i="6" s="1"/>
  <c r="N23" i="6"/>
  <c r="AM135" i="7"/>
  <c r="AM150" i="7"/>
  <c r="AL150" i="7"/>
  <c r="AU389" i="4"/>
  <c r="AV389" i="4"/>
  <c r="AQ389" i="4"/>
  <c r="AT20" i="7"/>
  <c r="AP29" i="12" s="1"/>
  <c r="AR20" i="7"/>
  <c r="AS20" i="7"/>
  <c r="AV60" i="4"/>
  <c r="AU60" i="4"/>
  <c r="AQ60" i="4"/>
  <c r="AD104" i="10"/>
  <c r="Y286" i="9"/>
  <c r="K286" i="12"/>
  <c r="AD110" i="10"/>
  <c r="K302" i="12"/>
  <c r="Y302" i="9"/>
  <c r="AX218" i="4"/>
  <c r="AZ218" i="4"/>
  <c r="BB218" i="4" s="1"/>
  <c r="AD35" i="10"/>
  <c r="Y80" i="9"/>
  <c r="K80" i="12"/>
  <c r="AD26" i="10"/>
  <c r="Y50" i="9"/>
  <c r="K50" i="12"/>
  <c r="AX111" i="4"/>
  <c r="BH111" i="4" s="1"/>
  <c r="AZ111" i="4"/>
  <c r="BB111" i="4" s="1"/>
  <c r="AZ105" i="4"/>
  <c r="BB105" i="4" s="1"/>
  <c r="AX105" i="4"/>
  <c r="AX300" i="4"/>
  <c r="BH300" i="4" s="1"/>
  <c r="AZ300" i="4"/>
  <c r="BB300" i="4" s="1"/>
  <c r="AD63" i="10"/>
  <c r="Y164" i="9"/>
  <c r="K164" i="12"/>
  <c r="AD44" i="10"/>
  <c r="K106" i="12"/>
  <c r="Y106" i="9"/>
  <c r="T24" i="6"/>
  <c r="P24" i="6"/>
  <c r="AU290" i="4"/>
  <c r="AQ290" i="4"/>
  <c r="AV290" i="4"/>
  <c r="AU124" i="4"/>
  <c r="AQ124" i="4"/>
  <c r="AV124" i="4"/>
  <c r="AK45" i="7"/>
  <c r="AI45" i="7"/>
  <c r="AX45" i="7"/>
  <c r="W89" i="9"/>
  <c r="H89" i="12"/>
  <c r="EP38" i="6"/>
  <c r="EQ38" i="6" s="1"/>
  <c r="AX359" i="4"/>
  <c r="BH359" i="4" s="1"/>
  <c r="I63" i="13"/>
  <c r="AZ359" i="4"/>
  <c r="BB359" i="4" s="1"/>
  <c r="AX168" i="4"/>
  <c r="BH168" i="4" s="1"/>
  <c r="AZ168" i="4"/>
  <c r="BB168" i="4" s="1"/>
  <c r="AX125" i="4"/>
  <c r="BH125" i="4" s="1"/>
  <c r="AZ125" i="4"/>
  <c r="BB125" i="4" s="1"/>
  <c r="AX354" i="4"/>
  <c r="BH354" i="4" s="1"/>
  <c r="AZ354" i="4"/>
  <c r="BB354" i="4" s="1"/>
  <c r="AU339" i="4"/>
  <c r="AQ339" i="4"/>
  <c r="AV339" i="4"/>
  <c r="AI110" i="7"/>
  <c r="AX110" i="7"/>
  <c r="AK110" i="7"/>
  <c r="H245" i="12"/>
  <c r="W245" i="9"/>
  <c r="AD89" i="10"/>
  <c r="Y240" i="9"/>
  <c r="K240" i="12"/>
  <c r="AD140" i="7"/>
  <c r="AO317" i="12" s="1"/>
  <c r="AU76" i="4"/>
  <c r="AQ76" i="4"/>
  <c r="AV76" i="4"/>
  <c r="Y20" i="12"/>
  <c r="AT20" i="12" s="1"/>
  <c r="AM20" i="12"/>
  <c r="AY122" i="7"/>
  <c r="AU122" i="7"/>
  <c r="X273" i="9"/>
  <c r="I273" i="12"/>
  <c r="AV122" i="7"/>
  <c r="I31" i="6"/>
  <c r="AM90" i="7"/>
  <c r="AL90" i="7"/>
  <c r="AO100" i="7"/>
  <c r="AV95" i="4"/>
  <c r="AU95" i="4"/>
  <c r="AQ95" i="4"/>
  <c r="AY152" i="7"/>
  <c r="AU152" i="7"/>
  <c r="I345" i="12"/>
  <c r="X345" i="9"/>
  <c r="AV152" i="7"/>
  <c r="AX42" i="4"/>
  <c r="AZ42" i="4"/>
  <c r="BB42" i="4" s="1"/>
  <c r="AU65" i="4"/>
  <c r="AQ65" i="4"/>
  <c r="AV65" i="4"/>
  <c r="AD23" i="10"/>
  <c r="Y44" i="9"/>
  <c r="K44" i="12"/>
  <c r="AX116" i="4"/>
  <c r="BH116" i="4" s="1"/>
  <c r="AZ116" i="4"/>
  <c r="BB116" i="4" s="1"/>
  <c r="AU173" i="4"/>
  <c r="AQ173" i="4"/>
  <c r="AV173" i="4"/>
  <c r="AU251" i="4"/>
  <c r="AQ251" i="4"/>
  <c r="AV251" i="4"/>
  <c r="H4" i="10"/>
  <c r="AQ160" i="4"/>
  <c r="AU160" i="4"/>
  <c r="AV160" i="4"/>
  <c r="AM110" i="7"/>
  <c r="AL110" i="7"/>
  <c r="AH150" i="7"/>
  <c r="AM70" i="7"/>
  <c r="AL70" i="7"/>
  <c r="AV350" i="4"/>
  <c r="AU350" i="4"/>
  <c r="AQ350" i="4"/>
  <c r="AK20" i="7"/>
  <c r="AI20" i="7"/>
  <c r="AX20" i="7"/>
  <c r="AV20" i="7"/>
  <c r="C16" i="8" s="1"/>
  <c r="W29" i="9"/>
  <c r="H29" i="12"/>
  <c r="AC4" i="7"/>
  <c r="AX131" i="4"/>
  <c r="BH131" i="4" s="1"/>
  <c r="AZ131" i="4"/>
  <c r="BB131" i="4" s="1"/>
  <c r="AX74" i="4"/>
  <c r="BH74" i="4" s="1"/>
  <c r="AZ74" i="4"/>
  <c r="BB74" i="4" s="1"/>
  <c r="AX376" i="4"/>
  <c r="BH376" i="4" s="1"/>
  <c r="AZ376" i="4"/>
  <c r="BB376" i="4" s="1"/>
  <c r="AX163" i="4"/>
  <c r="BH163" i="4" s="1"/>
  <c r="AZ163" i="4"/>
  <c r="BB163" i="4" s="1"/>
  <c r="I35" i="13"/>
  <c r="AD70" i="10"/>
  <c r="Y182" i="9"/>
  <c r="K182" i="12"/>
  <c r="AX329" i="4"/>
  <c r="AZ329" i="4"/>
  <c r="BB329" i="4" s="1"/>
  <c r="AX388" i="4"/>
  <c r="BH388" i="4" s="1"/>
  <c r="AZ388" i="4"/>
  <c r="BB388" i="4" s="1"/>
  <c r="AX237" i="4"/>
  <c r="BH237" i="4" s="1"/>
  <c r="AZ237" i="4"/>
  <c r="BB237" i="4" s="1"/>
  <c r="AX216" i="4"/>
  <c r="BH216" i="4" s="1"/>
  <c r="AZ216" i="4"/>
  <c r="BB216" i="4" s="1"/>
  <c r="AX398" i="4"/>
  <c r="BH398" i="4" s="1"/>
  <c r="AZ398" i="4"/>
  <c r="BB398" i="4" s="1"/>
  <c r="AX75" i="4"/>
  <c r="BH75" i="4" s="1"/>
  <c r="AZ75" i="4"/>
  <c r="BB75" i="4" s="1"/>
  <c r="AZ49" i="4"/>
  <c r="BB49" i="4" s="1"/>
  <c r="AX49" i="4"/>
  <c r="AX377" i="4"/>
  <c r="BH377" i="4" s="1"/>
  <c r="AZ377" i="4"/>
  <c r="BB377" i="4" s="1"/>
  <c r="AD37" i="10"/>
  <c r="K84" i="12"/>
  <c r="Y84" i="9"/>
  <c r="AX38" i="4"/>
  <c r="AZ38" i="4"/>
  <c r="BB38" i="4" s="1"/>
  <c r="AZ344" i="4"/>
  <c r="BB344" i="4" s="1"/>
  <c r="AX344" i="4"/>
  <c r="AM115" i="7"/>
  <c r="AG60" i="7"/>
  <c r="AN60" i="7" s="1"/>
  <c r="AX297" i="4"/>
  <c r="BH297" i="4" s="1"/>
  <c r="AZ297" i="4"/>
  <c r="BB297" i="4" s="1"/>
  <c r="AQ411" i="4"/>
  <c r="AU411" i="4"/>
  <c r="AV411" i="4"/>
  <c r="AX125" i="7"/>
  <c r="AI125" i="7"/>
  <c r="AK125" i="7" s="1"/>
  <c r="W281" i="9"/>
  <c r="H281" i="12"/>
  <c r="AU93" i="4"/>
  <c r="AQ93" i="4"/>
  <c r="AV93" i="4"/>
  <c r="AI25" i="7"/>
  <c r="AX25" i="7"/>
  <c r="AK25" i="7"/>
  <c r="W41" i="9"/>
  <c r="H41" i="12"/>
  <c r="AV293" i="4"/>
  <c r="AU293" i="4"/>
  <c r="AQ293" i="4"/>
  <c r="AD112" i="10"/>
  <c r="Y310" i="9"/>
  <c r="K310" i="12"/>
  <c r="AK65" i="7"/>
  <c r="AI65" i="7"/>
  <c r="AX65" i="7"/>
  <c r="W137" i="9"/>
  <c r="H137" i="12"/>
  <c r="AX132" i="4"/>
  <c r="BH132" i="4" s="1"/>
  <c r="AZ132" i="4"/>
  <c r="BB132" i="4" s="1"/>
  <c r="AY129" i="7"/>
  <c r="AU129" i="7"/>
  <c r="I289" i="12"/>
  <c r="X289" i="9"/>
  <c r="AV129" i="7"/>
  <c r="U16" i="9"/>
  <c r="Z16" i="9" s="1"/>
  <c r="G16" i="12"/>
  <c r="AY138" i="7"/>
  <c r="AU138" i="7"/>
  <c r="I311" i="12"/>
  <c r="X311" i="9"/>
  <c r="AV138" i="7"/>
  <c r="AN107" i="5"/>
  <c r="BM33" i="20" s="1"/>
  <c r="AL107" i="5"/>
  <c r="BF33" i="20" s="1"/>
  <c r="AY33" i="20"/>
  <c r="AN72" i="5"/>
  <c r="BM26" i="20" s="1"/>
  <c r="AL72" i="5"/>
  <c r="BF26" i="20" s="1"/>
  <c r="BF4" i="20" s="1"/>
  <c r="AY26" i="20"/>
  <c r="E31" i="6"/>
  <c r="AX420" i="4"/>
  <c r="BH420" i="4" s="1"/>
  <c r="AZ420" i="4"/>
  <c r="BB420" i="4" s="1"/>
  <c r="AE20" i="12"/>
  <c r="AG135" i="7"/>
  <c r="AN135" i="7" s="1"/>
  <c r="AN49" i="5"/>
  <c r="BO21" i="20" s="1"/>
  <c r="AL49" i="5"/>
  <c r="BH21" i="20" s="1"/>
  <c r="BA21" i="20"/>
  <c r="AI70" i="7"/>
  <c r="AX70" i="7"/>
  <c r="AK70" i="7"/>
  <c r="W149" i="9"/>
  <c r="H149" i="12"/>
  <c r="G17" i="11"/>
  <c r="AO29" i="12"/>
  <c r="AX53" i="4"/>
  <c r="BH53" i="4" s="1"/>
  <c r="AZ53" i="4"/>
  <c r="BB53" i="4" s="1"/>
  <c r="I20" i="13"/>
  <c r="AX120" i="4"/>
  <c r="AZ120" i="4"/>
  <c r="BB120" i="4" s="1"/>
  <c r="AX410" i="4"/>
  <c r="BH410" i="4" s="1"/>
  <c r="AZ410" i="4"/>
  <c r="BB410" i="4" s="1"/>
  <c r="AX256" i="4"/>
  <c r="BH256" i="4" s="1"/>
  <c r="AZ256" i="4"/>
  <c r="BB256" i="4" s="1"/>
  <c r="AX358" i="4"/>
  <c r="AZ358" i="4"/>
  <c r="BB358" i="4" s="1"/>
  <c r="AD92" i="10"/>
  <c r="Y250" i="9"/>
  <c r="K250" i="12"/>
  <c r="AD125" i="10"/>
  <c r="K348" i="12"/>
  <c r="Y348" i="9"/>
  <c r="AX271" i="4"/>
  <c r="BH271" i="4" s="1"/>
  <c r="AZ271" i="4"/>
  <c r="BB271" i="4" s="1"/>
  <c r="AZ355" i="4"/>
  <c r="BB355" i="4" s="1"/>
  <c r="AX355" i="4"/>
  <c r="BH355" i="4" s="1"/>
  <c r="AD113" i="10"/>
  <c r="K312" i="12"/>
  <c r="Y312" i="9"/>
  <c r="AX202" i="4"/>
  <c r="BH202" i="4" s="1"/>
  <c r="AZ202" i="4"/>
  <c r="BB202" i="4" s="1"/>
  <c r="AX275" i="4"/>
  <c r="BH275" i="4" s="1"/>
  <c r="AZ275" i="4"/>
  <c r="BB275" i="4" s="1"/>
  <c r="I51" i="13"/>
  <c r="AX213" i="4"/>
  <c r="BH213" i="4" s="1"/>
  <c r="AZ213" i="4"/>
  <c r="BB213" i="4" s="1"/>
  <c r="AD28" i="10"/>
  <c r="Y58" i="9"/>
  <c r="K58" i="12"/>
  <c r="AD38" i="10"/>
  <c r="K86" i="12"/>
  <c r="Y86" i="9"/>
  <c r="AU73" i="4"/>
  <c r="AQ73" i="4"/>
  <c r="AV73" i="4"/>
  <c r="AX362" i="4"/>
  <c r="BH362" i="4" s="1"/>
  <c r="AZ362" i="4"/>
  <c r="BB362" i="4" s="1"/>
  <c r="AX83" i="4"/>
  <c r="BH83" i="4" s="1"/>
  <c r="AZ83" i="4"/>
  <c r="BB83" i="4" s="1"/>
  <c r="L22" i="6"/>
  <c r="O22" i="6" s="1"/>
  <c r="N22" i="6"/>
  <c r="Y29" i="6"/>
  <c r="AG29" i="6" s="1"/>
  <c r="AA29" i="6"/>
  <c r="AC29" i="6" s="1"/>
  <c r="AE29" i="6" s="1"/>
  <c r="AG150" i="7"/>
  <c r="AN150" i="7" s="1"/>
  <c r="AU179" i="4"/>
  <c r="AQ179" i="4"/>
  <c r="AV179" i="4"/>
  <c r="AV346" i="4"/>
  <c r="AU346" i="4"/>
  <c r="AQ346" i="4"/>
  <c r="AU342" i="4"/>
  <c r="AV342" i="4"/>
  <c r="AQ342" i="4"/>
  <c r="T19" i="6"/>
  <c r="P19" i="6"/>
  <c r="AU102" i="4"/>
  <c r="AQ102" i="4"/>
  <c r="AV102" i="4"/>
  <c r="AQ317" i="4"/>
  <c r="AV317" i="4"/>
  <c r="AU317" i="4"/>
  <c r="AY89" i="7"/>
  <c r="AU89" i="7"/>
  <c r="X193" i="9"/>
  <c r="I193" i="12"/>
  <c r="AV89" i="7"/>
  <c r="AK35" i="7"/>
  <c r="AI35" i="7"/>
  <c r="AX35" i="7"/>
  <c r="W65" i="9"/>
  <c r="H65" i="12"/>
  <c r="U26" i="9"/>
  <c r="Z26" i="9" s="1"/>
  <c r="AC18" i="10"/>
  <c r="G26" i="12"/>
  <c r="AX284" i="4"/>
  <c r="BH284" i="4" s="1"/>
  <c r="AZ284" i="4"/>
  <c r="BB284" i="4" s="1"/>
  <c r="AK20" i="12"/>
  <c r="AG65" i="7"/>
  <c r="AN65" i="7" s="1"/>
  <c r="AM100" i="7"/>
  <c r="AH90" i="7"/>
  <c r="AV312" i="4"/>
  <c r="AQ312" i="4"/>
  <c r="AU312" i="4"/>
  <c r="AX143" i="4"/>
  <c r="BH143" i="4" s="1"/>
  <c r="AZ143" i="4"/>
  <c r="BB143" i="4" s="1"/>
  <c r="AV55" i="4"/>
  <c r="AU55" i="4"/>
  <c r="AQ55" i="4"/>
  <c r="AD95" i="10"/>
  <c r="K260" i="12"/>
  <c r="Y260" i="9"/>
  <c r="AX361" i="4"/>
  <c r="BH361" i="4" s="1"/>
  <c r="AZ361" i="4"/>
  <c r="BB361" i="4" s="1"/>
  <c r="I64" i="13"/>
  <c r="AU305" i="4"/>
  <c r="AQ305" i="4"/>
  <c r="AV305" i="4"/>
  <c r="AQ367" i="4"/>
  <c r="AU367" i="4"/>
  <c r="AV367" i="4"/>
  <c r="AH110" i="7"/>
  <c r="AD70" i="7"/>
  <c r="AH70" i="7"/>
  <c r="AJ4" i="7"/>
  <c r="AV151" i="4"/>
  <c r="AU151" i="4"/>
  <c r="AQ151" i="4"/>
  <c r="AX150" i="4"/>
  <c r="BH150" i="4" s="1"/>
  <c r="AZ150" i="4"/>
  <c r="BB150" i="4" s="1"/>
  <c r="AD58" i="10"/>
  <c r="Y146" i="9"/>
  <c r="K146" i="12"/>
  <c r="AX191" i="4"/>
  <c r="BH191" i="4" s="1"/>
  <c r="I39" i="13"/>
  <c r="AZ191" i="4"/>
  <c r="BB191" i="4" s="1"/>
  <c r="AX280" i="4"/>
  <c r="BH280" i="4" s="1"/>
  <c r="AZ280" i="4"/>
  <c r="BB280" i="4" s="1"/>
  <c r="AD123" i="10"/>
  <c r="Y344" i="9"/>
  <c r="K344" i="12"/>
  <c r="AD90" i="10"/>
  <c r="K242" i="12"/>
  <c r="Y242" i="9"/>
  <c r="AX130" i="4"/>
  <c r="BH130" i="4" s="1"/>
  <c r="AZ130" i="4"/>
  <c r="BB130" i="4" s="1"/>
  <c r="AX307" i="4"/>
  <c r="BH307" i="4" s="1"/>
  <c r="AZ307" i="4"/>
  <c r="BB307" i="4" s="1"/>
  <c r="AD88" i="10"/>
  <c r="Y238" i="9"/>
  <c r="K238" i="12"/>
  <c r="AD82" i="10"/>
  <c r="Y218" i="9"/>
  <c r="K218" i="12"/>
  <c r="AD120" i="10"/>
  <c r="Y334" i="9"/>
  <c r="K334" i="12"/>
  <c r="AD116" i="10"/>
  <c r="Y322" i="9"/>
  <c r="K322" i="12"/>
  <c r="AD42" i="10"/>
  <c r="Y98" i="9"/>
  <c r="K98" i="12"/>
  <c r="AZ385" i="4"/>
  <c r="BB385" i="4" s="1"/>
  <c r="AX385" i="4"/>
  <c r="AD78" i="10"/>
  <c r="Y206" i="9"/>
  <c r="K206" i="12"/>
  <c r="AQ419" i="4"/>
  <c r="AU419" i="4"/>
  <c r="AV419" i="4"/>
  <c r="AX82" i="4"/>
  <c r="BH82" i="4" s="1"/>
  <c r="AZ82" i="4"/>
  <c r="BB82" i="4" s="1"/>
  <c r="AD65" i="10"/>
  <c r="Y168" i="9"/>
  <c r="K168" i="12"/>
  <c r="AX203" i="4"/>
  <c r="AZ203" i="4"/>
  <c r="BB203" i="4" s="1"/>
  <c r="AH95" i="7"/>
  <c r="AV215" i="4"/>
  <c r="AU215" i="4"/>
  <c r="AQ215" i="4"/>
  <c r="AD99" i="10"/>
  <c r="Y272" i="9"/>
  <c r="K272" i="12"/>
  <c r="AU391" i="4"/>
  <c r="AV391" i="4"/>
  <c r="AQ391" i="4"/>
  <c r="AN120" i="5"/>
  <c r="BK36" i="20" s="1"/>
  <c r="AL120" i="5"/>
  <c r="BD36" i="20" s="1"/>
  <c r="AW36" i="20"/>
  <c r="AW4" i="20" s="1"/>
  <c r="AM140" i="7"/>
  <c r="AL140" i="7"/>
  <c r="AZ304" i="4"/>
  <c r="BB304" i="4" s="1"/>
  <c r="AX304" i="4"/>
  <c r="BH304" i="4" s="1"/>
  <c r="AX165" i="4"/>
  <c r="BH165" i="4" s="1"/>
  <c r="I36" i="13"/>
  <c r="AZ165" i="4"/>
  <c r="BB165" i="4" s="1"/>
  <c r="T15" i="6"/>
  <c r="AD67" i="10"/>
  <c r="Y176" i="9"/>
  <c r="K176" i="12"/>
  <c r="AH19" i="12"/>
  <c r="BK15" i="20"/>
  <c r="AK60" i="7"/>
  <c r="AI60" i="7"/>
  <c r="AX60" i="7"/>
  <c r="H125" i="12"/>
  <c r="W125" i="9"/>
  <c r="AR4" i="20"/>
  <c r="AK18" i="12"/>
  <c r="AQ166" i="4"/>
  <c r="AU166" i="4"/>
  <c r="AV166" i="4"/>
  <c r="AQ396" i="4"/>
  <c r="AU396" i="4"/>
  <c r="AV396" i="4"/>
  <c r="AU129" i="4"/>
  <c r="AQ129" i="4"/>
  <c r="AV129" i="4"/>
  <c r="AO45" i="7"/>
  <c r="AX288" i="4"/>
  <c r="AZ288" i="4"/>
  <c r="BB288" i="4" s="1"/>
  <c r="T43" i="20"/>
  <c r="AQ414" i="4"/>
  <c r="AV414" i="4"/>
  <c r="AU414" i="4"/>
  <c r="AM35" i="7"/>
  <c r="AL35" i="7"/>
  <c r="AO60" i="7"/>
  <c r="AK50" i="7"/>
  <c r="AI50" i="7"/>
  <c r="AX50" i="7"/>
  <c r="H101" i="12"/>
  <c r="W101" i="9"/>
  <c r="AO110" i="7"/>
  <c r="AM125" i="7"/>
  <c r="AL125" i="7"/>
  <c r="AX375" i="4"/>
  <c r="BH375" i="4" s="1"/>
  <c r="AZ375" i="4"/>
  <c r="BB375" i="4" s="1"/>
  <c r="I66" i="13"/>
  <c r="AY77" i="7"/>
  <c r="AU77" i="7"/>
  <c r="X165" i="9"/>
  <c r="I165" i="12"/>
  <c r="AV77" i="7"/>
  <c r="BM4" i="20"/>
  <c r="AI140" i="7"/>
  <c r="AK140" i="7"/>
  <c r="AX140" i="7"/>
  <c r="H317" i="12"/>
  <c r="W317" i="9"/>
  <c r="L26" i="6"/>
  <c r="O26" i="6" s="1"/>
  <c r="N26" i="6"/>
  <c r="AX245" i="4"/>
  <c r="AZ245" i="4"/>
  <c r="BB245" i="4" s="1"/>
  <c r="AV247" i="4"/>
  <c r="AU247" i="4"/>
  <c r="AQ247" i="4"/>
  <c r="AI115" i="7"/>
  <c r="AX115" i="7"/>
  <c r="AK115" i="7"/>
  <c r="W257" i="9"/>
  <c r="H257" i="12"/>
  <c r="AL155" i="7"/>
  <c r="AM155" i="7"/>
  <c r="AX236" i="4"/>
  <c r="BH236" i="4" s="1"/>
  <c r="AZ236" i="4"/>
  <c r="BB236" i="4" s="1"/>
  <c r="AH35" i="7"/>
  <c r="Y19" i="12"/>
  <c r="AV55" i="7"/>
  <c r="C23" i="8" s="1"/>
  <c r="AK55" i="7"/>
  <c r="AI55" i="7"/>
  <c r="AX55" i="7"/>
  <c r="W113" i="9"/>
  <c r="H113" i="12"/>
  <c r="AO50" i="7"/>
  <c r="AU46" i="4"/>
  <c r="AQ46" i="4"/>
  <c r="AV46" i="4"/>
  <c r="AG125" i="7"/>
  <c r="AH125" i="7" s="1"/>
  <c r="AO35" i="7"/>
  <c r="AX283" i="4"/>
  <c r="BH283" i="4" s="1"/>
  <c r="AZ283" i="4"/>
  <c r="BB283" i="4" s="1"/>
  <c r="AZ327" i="4"/>
  <c r="BB327" i="4" s="1"/>
  <c r="AX327" i="4"/>
  <c r="BH327" i="4" s="1"/>
  <c r="AG100" i="7"/>
  <c r="AL100" i="7" s="1"/>
  <c r="AM130" i="7"/>
  <c r="AL130" i="7"/>
  <c r="AL132" i="5"/>
  <c r="BF38" i="20" s="1"/>
  <c r="AN132" i="5"/>
  <c r="BM38" i="20" s="1"/>
  <c r="AY38" i="20"/>
  <c r="AD119" i="10"/>
  <c r="Y332" i="9"/>
  <c r="K332" i="12"/>
  <c r="AD40" i="10"/>
  <c r="K94" i="12"/>
  <c r="Y94" i="9"/>
  <c r="AU244" i="4"/>
  <c r="AQ244" i="4"/>
  <c r="AV244" i="4"/>
  <c r="AU328" i="4"/>
  <c r="AQ328" i="4"/>
  <c r="AV328" i="4"/>
  <c r="AD72" i="10"/>
  <c r="Y190" i="9"/>
  <c r="K190" i="12"/>
  <c r="AX54" i="4"/>
  <c r="BH54" i="4" s="1"/>
  <c r="AZ54" i="4"/>
  <c r="BB54" i="4" s="1"/>
  <c r="AX234" i="4"/>
  <c r="BH234" i="4" s="1"/>
  <c r="AZ234" i="4"/>
  <c r="BB234" i="4" s="1"/>
  <c r="AX195" i="4"/>
  <c r="BH195" i="4" s="1"/>
  <c r="AZ195" i="4"/>
  <c r="BB195" i="4" s="1"/>
  <c r="AX67" i="4"/>
  <c r="BH67" i="4" s="1"/>
  <c r="AZ67" i="4"/>
  <c r="BB67" i="4" s="1"/>
  <c r="I22" i="13"/>
  <c r="AX311" i="4"/>
  <c r="BH311" i="4" s="1"/>
  <c r="AZ311" i="4"/>
  <c r="BB311" i="4" s="1"/>
  <c r="AX78" i="4"/>
  <c r="AZ78" i="4"/>
  <c r="BB78" i="4" s="1"/>
  <c r="AX272" i="4"/>
  <c r="BH272" i="4" s="1"/>
  <c r="AZ272" i="4"/>
  <c r="BB272" i="4" s="1"/>
  <c r="AD56" i="10"/>
  <c r="Y142" i="9"/>
  <c r="K142" i="12"/>
  <c r="AX62" i="4"/>
  <c r="BH62" i="4" s="1"/>
  <c r="AZ62" i="4"/>
  <c r="BB62" i="4" s="1"/>
  <c r="AX144" i="4"/>
  <c r="BH144" i="4" s="1"/>
  <c r="AZ144" i="4"/>
  <c r="BB144" i="4" s="1"/>
  <c r="AZ248" i="4"/>
  <c r="BB248" i="4" s="1"/>
  <c r="AX248" i="4"/>
  <c r="BH248" i="4" s="1"/>
  <c r="AD57" i="10"/>
  <c r="Y144" i="9"/>
  <c r="K144" i="12"/>
  <c r="AX34" i="4"/>
  <c r="AZ34" i="4"/>
  <c r="BB34" i="4" s="1"/>
  <c r="AX148" i="4"/>
  <c r="AZ148" i="4"/>
  <c r="BB148" i="4" s="1"/>
  <c r="AZ261" i="4"/>
  <c r="BB261" i="4" s="1"/>
  <c r="AX261" i="4"/>
  <c r="BH261" i="4" s="1"/>
  <c r="I49" i="13"/>
  <c r="S17" i="20"/>
  <c r="AX325" i="4"/>
  <c r="BH325" i="4" s="1"/>
  <c r="AZ325" i="4"/>
  <c r="BB325" i="4" s="1"/>
  <c r="AD106" i="10"/>
  <c r="Y290" i="9"/>
  <c r="K290" i="12"/>
  <c r="S41" i="20"/>
  <c r="AZ285" i="4"/>
  <c r="BB285" i="4" s="1"/>
  <c r="AX285" i="4"/>
  <c r="BH285" i="4" s="1"/>
  <c r="AX36" i="4"/>
  <c r="AZ36" i="4"/>
  <c r="BB36" i="4" s="1"/>
  <c r="L20" i="6"/>
  <c r="O20" i="6" s="1"/>
  <c r="N20" i="6"/>
  <c r="AX220" i="4"/>
  <c r="BH220" i="4" s="1"/>
  <c r="AZ220" i="4"/>
  <c r="BB220" i="4" s="1"/>
  <c r="AZ4" i="20"/>
  <c r="AX276" i="4"/>
  <c r="BH276" i="4" s="1"/>
  <c r="AZ276" i="4"/>
  <c r="BB276" i="4" s="1"/>
  <c r="AY94" i="7"/>
  <c r="AU94" i="7"/>
  <c r="I205" i="12"/>
  <c r="X205" i="9"/>
  <c r="AV94" i="7"/>
  <c r="AU119" i="7"/>
  <c r="AY119" i="7"/>
  <c r="I265" i="12"/>
  <c r="X265" i="9"/>
  <c r="AV119" i="7"/>
  <c r="T28" i="20"/>
  <c r="AU204" i="4"/>
  <c r="AV204" i="4"/>
  <c r="AQ204" i="4"/>
  <c r="AU25" i="12"/>
  <c r="G21" i="11"/>
  <c r="T25" i="20"/>
  <c r="AU162" i="4"/>
  <c r="AQ162" i="4"/>
  <c r="AV162" i="4"/>
  <c r="AU370" i="4"/>
  <c r="AQ370" i="4"/>
  <c r="AV370" i="4"/>
  <c r="S43" i="20"/>
  <c r="AU413" i="4"/>
  <c r="AQ413" i="4"/>
  <c r="AV413" i="4"/>
  <c r="AL140" i="5"/>
  <c r="BD40" i="20" s="1"/>
  <c r="AN140" i="5"/>
  <c r="BK40" i="20" s="1"/>
  <c r="AW40" i="20"/>
  <c r="AZ298" i="4"/>
  <c r="BB298" i="4" s="1"/>
  <c r="AX298" i="4"/>
  <c r="BH298" i="4" s="1"/>
  <c r="AX322" i="4"/>
  <c r="BH322" i="4" s="1"/>
  <c r="AZ322" i="4"/>
  <c r="BB322" i="4" s="1"/>
  <c r="AD101" i="10"/>
  <c r="K276" i="12"/>
  <c r="Y276" i="9"/>
  <c r="AZ303" i="4"/>
  <c r="BB303" i="4" s="1"/>
  <c r="AX303" i="4"/>
  <c r="BH303" i="4" s="1"/>
  <c r="I55" i="13"/>
  <c r="AD103" i="10"/>
  <c r="Y284" i="9"/>
  <c r="K284" i="12"/>
  <c r="AD114" i="10"/>
  <c r="Y314" i="9"/>
  <c r="K314" i="12"/>
  <c r="AD74" i="10"/>
  <c r="Y194" i="9"/>
  <c r="K194" i="12"/>
  <c r="AX292" i="4"/>
  <c r="BH292" i="4" s="1"/>
  <c r="AZ292" i="4"/>
  <c r="BB292" i="4" s="1"/>
  <c r="AZ343" i="4"/>
  <c r="BB343" i="4" s="1"/>
  <c r="AX343" i="4"/>
  <c r="AD94" i="10"/>
  <c r="Y254" i="9"/>
  <c r="K254" i="12"/>
  <c r="AX117" i="4"/>
  <c r="BH117" i="4" s="1"/>
  <c r="AZ117" i="4"/>
  <c r="BB117" i="4" s="1"/>
  <c r="AX61" i="4"/>
  <c r="BH61" i="4" s="1"/>
  <c r="AZ61" i="4"/>
  <c r="BB61" i="4" s="1"/>
  <c r="AX264" i="4"/>
  <c r="BH264" i="4" s="1"/>
  <c r="AZ264" i="4"/>
  <c r="BB264" i="4" s="1"/>
  <c r="AX259" i="4"/>
  <c r="AZ259" i="4"/>
  <c r="BB259" i="4" s="1"/>
  <c r="AD93" i="10"/>
  <c r="K252" i="12"/>
  <c r="Y252" i="9"/>
  <c r="AX63" i="4"/>
  <c r="AZ63" i="4"/>
  <c r="BB63" i="4" s="1"/>
  <c r="AX373" i="4"/>
  <c r="BH373" i="4" s="1"/>
  <c r="AZ373" i="4"/>
  <c r="BB373" i="4" s="1"/>
  <c r="I65" i="13"/>
  <c r="AX246" i="4"/>
  <c r="AZ246" i="4"/>
  <c r="BB246" i="4" s="1"/>
  <c r="AX181" i="4"/>
  <c r="BH181" i="4" s="1"/>
  <c r="AZ181" i="4"/>
  <c r="BB181" i="4" s="1"/>
  <c r="AD31" i="10"/>
  <c r="Y68" i="9"/>
  <c r="K68" i="12"/>
  <c r="AD30" i="10"/>
  <c r="Y62" i="9"/>
  <c r="K62" i="12"/>
  <c r="AB19" i="12"/>
  <c r="AQ182" i="4"/>
  <c r="AU182" i="4"/>
  <c r="AV182" i="4"/>
  <c r="AU139" i="7"/>
  <c r="AY139" i="7"/>
  <c r="I313" i="12"/>
  <c r="X313" i="9"/>
  <c r="AV139" i="7"/>
  <c r="AX135" i="7"/>
  <c r="AK135" i="7"/>
  <c r="AI135" i="7"/>
  <c r="H305" i="12"/>
  <c r="W305" i="9"/>
  <c r="AD81" i="10"/>
  <c r="Y216" i="9"/>
  <c r="K216" i="12"/>
  <c r="AZ94" i="4"/>
  <c r="BB94" i="4" s="1"/>
  <c r="AX94" i="4"/>
  <c r="BH94" i="4" s="1"/>
  <c r="AL65" i="7"/>
  <c r="AM65" i="7"/>
  <c r="AX241" i="4"/>
  <c r="BH241" i="4" s="1"/>
  <c r="AZ241" i="4"/>
  <c r="BB241" i="4" s="1"/>
  <c r="T20" i="20"/>
  <c r="AU92" i="4"/>
  <c r="AQ92" i="4"/>
  <c r="AV92" i="4"/>
  <c r="AM95" i="7"/>
  <c r="AL95" i="7"/>
  <c r="AI145" i="7"/>
  <c r="AX145" i="7"/>
  <c r="AK145" i="7"/>
  <c r="W329" i="9"/>
  <c r="H329" i="12"/>
  <c r="AZ262" i="4"/>
  <c r="BB262" i="4" s="1"/>
  <c r="AX262" i="4"/>
  <c r="BH262" i="4" s="1"/>
  <c r="AZ360" i="4"/>
  <c r="BB360" i="4" s="1"/>
  <c r="AX360" i="4"/>
  <c r="BH360" i="4" s="1"/>
  <c r="AK95" i="7"/>
  <c r="AI95" i="7"/>
  <c r="AX95" i="7"/>
  <c r="W209" i="9"/>
  <c r="H209" i="12"/>
  <c r="AN99" i="5"/>
  <c r="BO31" i="20" s="1"/>
  <c r="AL99" i="5"/>
  <c r="BH31" i="20" s="1"/>
  <c r="BA31" i="20"/>
  <c r="AF4" i="20"/>
  <c r="AH155" i="7"/>
  <c r="AD129" i="10"/>
  <c r="K360" i="12"/>
  <c r="Y360" i="9"/>
  <c r="AE19" i="12"/>
  <c r="AO90" i="7"/>
  <c r="AD135" i="7"/>
  <c r="AO305" i="12" s="1"/>
  <c r="BG4" i="20"/>
  <c r="AD96" i="10"/>
  <c r="Y262" i="9"/>
  <c r="K262" i="12"/>
  <c r="AI85" i="7"/>
  <c r="AX85" i="7"/>
  <c r="AK85" i="7"/>
  <c r="H185" i="12"/>
  <c r="W185" i="9"/>
  <c r="Z4" i="14"/>
  <c r="AH130" i="7"/>
  <c r="AU243" i="4"/>
  <c r="AQ243" i="4"/>
  <c r="AV243" i="4"/>
  <c r="AY97" i="7"/>
  <c r="AU97" i="7"/>
  <c r="I213" i="12"/>
  <c r="X213" i="9"/>
  <c r="AV97" i="7"/>
  <c r="AQ374" i="4"/>
  <c r="AU374" i="4"/>
  <c r="AV374" i="4"/>
  <c r="AU228" i="4"/>
  <c r="AQ228" i="4"/>
  <c r="AV228" i="4"/>
  <c r="AM30" i="7"/>
  <c r="AL30" i="7"/>
  <c r="AX175" i="4"/>
  <c r="AZ175" i="4"/>
  <c r="BB175" i="4" s="1"/>
  <c r="S39" i="20"/>
  <c r="AU357" i="4"/>
  <c r="AQ357" i="4"/>
  <c r="K21" i="6" s="1"/>
  <c r="Q21" i="6" s="1"/>
  <c r="AV357" i="4"/>
  <c r="AX87" i="4"/>
  <c r="BH87" i="4" s="1"/>
  <c r="AZ87" i="4"/>
  <c r="BB87" i="4" s="1"/>
  <c r="AX119" i="4"/>
  <c r="AZ119" i="4"/>
  <c r="BB119" i="4" s="1"/>
  <c r="N25" i="12"/>
  <c r="L25" i="12"/>
  <c r="AM25" i="12"/>
  <c r="AZ417" i="4"/>
  <c r="BB417" i="4" s="1"/>
  <c r="AX417" i="4"/>
  <c r="BH417" i="4" s="1"/>
  <c r="I72" i="13"/>
  <c r="AZ319" i="4"/>
  <c r="BB319" i="4" s="1"/>
  <c r="AX319" i="4"/>
  <c r="BH319" i="4" s="1"/>
  <c r="I58" i="13"/>
  <c r="AX167" i="4"/>
  <c r="BH167" i="4" s="1"/>
  <c r="AZ167" i="4"/>
  <c r="BB167" i="4" s="1"/>
  <c r="AZ383" i="4"/>
  <c r="BB383" i="4" s="1"/>
  <c r="AX383" i="4"/>
  <c r="BH383" i="4" s="1"/>
  <c r="AX122" i="4"/>
  <c r="BH122" i="4" s="1"/>
  <c r="AZ122" i="4"/>
  <c r="BB122" i="4" s="1"/>
  <c r="AX193" i="4"/>
  <c r="BH193" i="4" s="1"/>
  <c r="I40" i="13"/>
  <c r="AZ193" i="4"/>
  <c r="BB193" i="4" s="1"/>
  <c r="AD60" i="10"/>
  <c r="Y154" i="9"/>
  <c r="K154" i="12"/>
  <c r="AX227" i="4"/>
  <c r="BH227" i="4" s="1"/>
  <c r="AZ227" i="4"/>
  <c r="BB227" i="4" s="1"/>
  <c r="AZ401" i="4"/>
  <c r="BB401" i="4" s="1"/>
  <c r="AX401" i="4"/>
  <c r="BH401" i="4" s="1"/>
  <c r="I69" i="13"/>
  <c r="AD21" i="10"/>
  <c r="K36" i="12"/>
  <c r="Y36" i="9"/>
  <c r="AD79" i="10"/>
  <c r="Y212" i="9"/>
  <c r="K212" i="12"/>
  <c r="AZ406" i="4"/>
  <c r="BB406" i="4" s="1"/>
  <c r="AX406" i="4"/>
  <c r="BH406" i="4" s="1"/>
  <c r="AX123" i="4"/>
  <c r="BH123" i="4" s="1"/>
  <c r="AZ123" i="4"/>
  <c r="BB123" i="4" s="1"/>
  <c r="I30" i="13"/>
  <c r="AD83" i="10"/>
  <c r="Y224" i="9"/>
  <c r="K224" i="12"/>
  <c r="Y19" i="10"/>
  <c r="R4" i="10"/>
  <c r="AZ371" i="4"/>
  <c r="BB371" i="4" s="1"/>
  <c r="AX371" i="4"/>
  <c r="T31" i="20"/>
  <c r="AZ368" i="4"/>
  <c r="BB368" i="4" s="1"/>
  <c r="AX368" i="4"/>
  <c r="BH368" i="4" s="1"/>
  <c r="AX91" i="4"/>
  <c r="AZ91" i="4"/>
  <c r="BB91" i="4" s="1"/>
  <c r="AX378" i="4"/>
  <c r="BH378" i="4" s="1"/>
  <c r="AZ378" i="4"/>
  <c r="BB378" i="4" s="1"/>
  <c r="AX81" i="4"/>
  <c r="BH81" i="4" s="1"/>
  <c r="AZ81" i="4"/>
  <c r="BB81" i="4" s="1"/>
  <c r="I24" i="13"/>
  <c r="AD41" i="10"/>
  <c r="Y96" i="9"/>
  <c r="K96" i="12"/>
  <c r="AX230" i="4"/>
  <c r="BH230" i="4" s="1"/>
  <c r="AZ230" i="4"/>
  <c r="BB230" i="4" s="1"/>
  <c r="K20" i="6"/>
  <c r="Q20" i="6" s="1"/>
  <c r="AD39" i="10"/>
  <c r="Y92" i="9"/>
  <c r="K92" i="12"/>
  <c r="AD77" i="10"/>
  <c r="Y204" i="9"/>
  <c r="K204" i="12"/>
  <c r="AX139" i="4"/>
  <c r="BH139" i="4" s="1"/>
  <c r="AZ139" i="4"/>
  <c r="BB139" i="4" s="1"/>
  <c r="AX190" i="4"/>
  <c r="AZ190" i="4"/>
  <c r="BB190" i="4" s="1"/>
  <c r="AO145" i="7"/>
  <c r="AO95" i="7"/>
  <c r="AX302" i="4"/>
  <c r="AZ302" i="4"/>
  <c r="BB302" i="4" s="1"/>
  <c r="AI90" i="7"/>
  <c r="AX90" i="7"/>
  <c r="AK90" i="7"/>
  <c r="W197" i="9"/>
  <c r="H197" i="12"/>
  <c r="E32" i="6"/>
  <c r="BB32" i="6" s="1"/>
  <c r="BC32" i="6" s="1"/>
  <c r="AQ347" i="4"/>
  <c r="AU347" i="4"/>
  <c r="AV347" i="4"/>
  <c r="AD85" i="7"/>
  <c r="AD75" i="10"/>
  <c r="K200" i="12"/>
  <c r="Y200" i="9"/>
  <c r="AZ336" i="4"/>
  <c r="BB336" i="4" s="1"/>
  <c r="AX336" i="4"/>
  <c r="BH336" i="4" s="1"/>
  <c r="AB18" i="12"/>
  <c r="AM40" i="7"/>
  <c r="AL40" i="7"/>
  <c r="AX273" i="4"/>
  <c r="AZ273" i="4"/>
  <c r="BB273" i="4" s="1"/>
  <c r="AD121" i="10"/>
  <c r="Y336" i="9"/>
  <c r="K336" i="12"/>
  <c r="AI80" i="7"/>
  <c r="AX80" i="7"/>
  <c r="AK80" i="7"/>
  <c r="W173" i="9"/>
  <c r="H173" i="12"/>
  <c r="AX409" i="4"/>
  <c r="BH409" i="4" s="1"/>
  <c r="AZ409" i="4"/>
  <c r="BB409" i="4" s="1"/>
  <c r="AD155" i="7"/>
  <c r="AO353" i="12" s="1"/>
  <c r="AU164" i="4"/>
  <c r="AV164" i="4"/>
  <c r="AQ164" i="4"/>
  <c r="AH30" i="7"/>
  <c r="AU118" i="4"/>
  <c r="AQ118" i="4"/>
  <c r="AV118" i="4"/>
  <c r="AG45" i="7"/>
  <c r="AN45" i="7" s="1"/>
  <c r="AX278" i="4"/>
  <c r="BH278" i="4" s="1"/>
  <c r="AZ278" i="4"/>
  <c r="BB278" i="4" s="1"/>
  <c r="T18" i="20"/>
  <c r="T4" i="20" s="1"/>
  <c r="AU64" i="4"/>
  <c r="AQ64" i="4"/>
  <c r="AV64" i="4"/>
  <c r="AU24" i="12"/>
  <c r="AV24" i="12" s="1"/>
  <c r="G20" i="11"/>
  <c r="AD84" i="10"/>
  <c r="Y226" i="9"/>
  <c r="K226" i="12"/>
  <c r="AZ33" i="4"/>
  <c r="BB33" i="4" s="1"/>
  <c r="AX33" i="4"/>
  <c r="AD117" i="10"/>
  <c r="Y324" i="9"/>
  <c r="K324" i="12"/>
  <c r="AX196" i="4"/>
  <c r="BH196" i="4" s="1"/>
  <c r="AZ196" i="4"/>
  <c r="BB196" i="4" s="1"/>
  <c r="AX104" i="4"/>
  <c r="BH104" i="4" s="1"/>
  <c r="AZ104" i="4"/>
  <c r="BB104" i="4" s="1"/>
  <c r="AX207" i="4"/>
  <c r="BH207" i="4" s="1"/>
  <c r="AZ207" i="4"/>
  <c r="BB207" i="4" s="1"/>
  <c r="I42" i="13"/>
  <c r="AZ279" i="4"/>
  <c r="BB279" i="4" s="1"/>
  <c r="AX279" i="4"/>
  <c r="BH279" i="4" s="1"/>
  <c r="AX224" i="4"/>
  <c r="BH224" i="4" s="1"/>
  <c r="AZ224" i="4"/>
  <c r="BB224" i="4" s="1"/>
  <c r="AX400" i="4"/>
  <c r="AZ400" i="4"/>
  <c r="BB400" i="4" s="1"/>
  <c r="S38" i="20"/>
  <c r="AX135" i="4"/>
  <c r="BH135" i="4" s="1"/>
  <c r="I31" i="13"/>
  <c r="AZ135" i="4"/>
  <c r="BB135" i="4" s="1"/>
  <c r="G21" i="6"/>
  <c r="AX208" i="4"/>
  <c r="BH208" i="4" s="1"/>
  <c r="AZ208" i="4"/>
  <c r="BB208" i="4" s="1"/>
  <c r="AX110" i="4"/>
  <c r="BH110" i="4" s="1"/>
  <c r="AZ110" i="4"/>
  <c r="BB110" i="4" s="1"/>
  <c r="AD53" i="10"/>
  <c r="Y132" i="9"/>
  <c r="K132" i="12"/>
  <c r="AX232" i="4"/>
  <c r="AZ232" i="4"/>
  <c r="BB232" i="4" s="1"/>
  <c r="AX356" i="4"/>
  <c r="BH356" i="4" s="1"/>
  <c r="AZ356" i="4"/>
  <c r="BB356" i="4" s="1"/>
  <c r="AX159" i="4"/>
  <c r="BH159" i="4" s="1"/>
  <c r="AZ159" i="4"/>
  <c r="BB159" i="4" s="1"/>
  <c r="AD122" i="10"/>
  <c r="Y338" i="9"/>
  <c r="K338" i="12"/>
  <c r="AQ66" i="4"/>
  <c r="K24" i="6" s="1"/>
  <c r="Q24" i="6" s="1"/>
  <c r="AU66" i="4"/>
  <c r="AV66" i="4"/>
  <c r="AV214" i="4"/>
  <c r="AQ214" i="4"/>
  <c r="AU214" i="4"/>
  <c r="AQ382" i="4"/>
  <c r="AV382" i="4"/>
  <c r="AU382" i="4"/>
  <c r="AH85" i="7"/>
  <c r="AH18" i="12"/>
  <c r="AQ341" i="4"/>
  <c r="AU341" i="4"/>
  <c r="AV341" i="4"/>
  <c r="AM25" i="7"/>
  <c r="AL25" i="7"/>
  <c r="AO80" i="7"/>
  <c r="AD45" i="10"/>
  <c r="Y108" i="9"/>
  <c r="K108" i="12"/>
  <c r="AM23" i="12"/>
  <c r="AG80" i="7"/>
  <c r="AN80" i="7" s="1"/>
  <c r="AU157" i="4"/>
  <c r="AQ157" i="4"/>
  <c r="AV157" i="4"/>
  <c r="AH45" i="7"/>
  <c r="AV48" i="4"/>
  <c r="AU48" i="4"/>
  <c r="AQ48" i="4"/>
  <c r="AU68" i="4"/>
  <c r="AQ68" i="4"/>
  <c r="AV68" i="4"/>
  <c r="AU205" i="4"/>
  <c r="AQ205" i="4"/>
  <c r="AV205" i="4"/>
  <c r="L16" i="6"/>
  <c r="O16" i="6" s="1"/>
  <c r="N16" i="6"/>
  <c r="AH145" i="7"/>
  <c r="AX222" i="4"/>
  <c r="BH222" i="4" s="1"/>
  <c r="AZ222" i="4"/>
  <c r="BB222" i="4" s="1"/>
  <c r="AD111" i="10"/>
  <c r="Y308" i="9"/>
  <c r="K308" i="12"/>
  <c r="AX52" i="4"/>
  <c r="BH52" i="4" s="1"/>
  <c r="AZ52" i="4"/>
  <c r="BB52" i="4" s="1"/>
  <c r="K19" i="6"/>
  <c r="Q19" i="6" s="1"/>
  <c r="AX136" i="4"/>
  <c r="BH136" i="4" s="1"/>
  <c r="AZ136" i="4"/>
  <c r="BB136" i="4" s="1"/>
  <c r="AX47" i="4"/>
  <c r="BH47" i="4" s="1"/>
  <c r="AZ47" i="4"/>
  <c r="BB47" i="4" s="1"/>
  <c r="S20" i="20"/>
  <c r="AD100" i="10"/>
  <c r="K274" i="12"/>
  <c r="Y274" i="9"/>
  <c r="AX217" i="4"/>
  <c r="AZ217" i="4"/>
  <c r="BB217" i="4" s="1"/>
  <c r="H4" i="7"/>
  <c r="AX331" i="4"/>
  <c r="BH331" i="4" s="1"/>
  <c r="AZ331" i="4"/>
  <c r="BB331" i="4" s="1"/>
  <c r="I59" i="13"/>
  <c r="AX145" i="4"/>
  <c r="BH145" i="4" s="1"/>
  <c r="AZ145" i="4"/>
  <c r="BB145" i="4" s="1"/>
  <c r="AX349" i="4"/>
  <c r="BH349" i="4" s="1"/>
  <c r="AZ349" i="4"/>
  <c r="BB349" i="4" s="1"/>
  <c r="AX403" i="4"/>
  <c r="BH403" i="4" s="1"/>
  <c r="AZ403" i="4"/>
  <c r="BB403" i="4" s="1"/>
  <c r="I70" i="13"/>
  <c r="AD71" i="10"/>
  <c r="Y188" i="9"/>
  <c r="K188" i="12"/>
  <c r="AD102" i="10"/>
  <c r="Y278" i="9"/>
  <c r="K278" i="12"/>
  <c r="AX252" i="4"/>
  <c r="BH252" i="4" s="1"/>
  <c r="AZ252" i="4"/>
  <c r="BB252" i="4" s="1"/>
  <c r="L17" i="6"/>
  <c r="O17" i="6" s="1"/>
  <c r="N17" i="6"/>
  <c r="AY78" i="7"/>
  <c r="AU78" i="7"/>
  <c r="X167" i="9"/>
  <c r="I167" i="12"/>
  <c r="AV78" i="7"/>
  <c r="AM85" i="7"/>
  <c r="AL85" i="7"/>
  <c r="AD125" i="7"/>
  <c r="AO281" i="12" s="1"/>
  <c r="AM19" i="12"/>
  <c r="AH40" i="7"/>
  <c r="AQ59" i="4"/>
  <c r="AV59" i="4"/>
  <c r="AU59" i="4"/>
  <c r="AQ348" i="4"/>
  <c r="AV348" i="4"/>
  <c r="AU348" i="4"/>
  <c r="AD127" i="10"/>
  <c r="Y356" i="9"/>
  <c r="K356" i="12"/>
  <c r="AG25" i="7"/>
  <c r="AH80" i="7"/>
  <c r="AX138" i="4"/>
  <c r="BH138" i="4" s="1"/>
  <c r="AZ138" i="4"/>
  <c r="BB138" i="4" s="1"/>
  <c r="AX101" i="4"/>
  <c r="BH101" i="4" s="1"/>
  <c r="AZ101" i="4"/>
  <c r="BB101" i="4" s="1"/>
  <c r="AQ25" i="20"/>
  <c r="AQ4" i="20" s="1"/>
  <c r="I30" i="6"/>
  <c r="AU149" i="4"/>
  <c r="AQ149" i="4"/>
  <c r="K23" i="6" s="1"/>
  <c r="Q23" i="6" s="1"/>
  <c r="AV149" i="4"/>
  <c r="AD107" i="10"/>
  <c r="Y296" i="9"/>
  <c r="K296" i="12"/>
  <c r="AX150" i="7"/>
  <c r="AI150" i="7"/>
  <c r="AK150" i="7"/>
  <c r="H341" i="12"/>
  <c r="W341" i="9"/>
  <c r="AM145" i="7"/>
  <c r="AL145" i="7"/>
  <c r="AD46" i="10"/>
  <c r="Y110" i="9"/>
  <c r="K110" i="12"/>
  <c r="AD34" i="10"/>
  <c r="Y74" i="9"/>
  <c r="K74" i="12"/>
  <c r="AX147" i="4"/>
  <c r="AZ147" i="4"/>
  <c r="BB147" i="4" s="1"/>
  <c r="AD55" i="10"/>
  <c r="Y140" i="9"/>
  <c r="K140" i="12"/>
  <c r="AX229" i="4"/>
  <c r="BH229" i="4" s="1"/>
  <c r="AZ229" i="4"/>
  <c r="BB229" i="4" s="1"/>
  <c r="AX265" i="4"/>
  <c r="BH265" i="4" s="1"/>
  <c r="AZ265" i="4"/>
  <c r="BB265" i="4" s="1"/>
  <c r="AD50" i="10"/>
  <c r="Y122" i="9"/>
  <c r="K122" i="12"/>
  <c r="AD109" i="10"/>
  <c r="Y300" i="9"/>
  <c r="K300" i="12"/>
  <c r="AD85" i="10"/>
  <c r="Y228" i="9"/>
  <c r="K228" i="12"/>
  <c r="AX152" i="4"/>
  <c r="BH152" i="4" s="1"/>
  <c r="AZ152" i="4"/>
  <c r="BB152" i="4" s="1"/>
  <c r="AX107" i="4"/>
  <c r="BH107" i="4" s="1"/>
  <c r="AZ107" i="4"/>
  <c r="BB107" i="4" s="1"/>
  <c r="I27" i="13"/>
  <c r="AD130" i="10"/>
  <c r="Y362" i="9"/>
  <c r="K362" i="12"/>
  <c r="AD126" i="10"/>
  <c r="K350" i="12"/>
  <c r="Y350" i="9"/>
  <c r="AX35" i="4"/>
  <c r="AZ35" i="4"/>
  <c r="BB35" i="4" s="1"/>
  <c r="AZ318" i="4"/>
  <c r="BB318" i="4" s="1"/>
  <c r="AX318" i="4"/>
  <c r="BH318" i="4" s="1"/>
  <c r="AD62" i="10"/>
  <c r="K158" i="12"/>
  <c r="Y158" i="9"/>
  <c r="AX172" i="4"/>
  <c r="BH172" i="4" s="1"/>
  <c r="AZ172" i="4"/>
  <c r="BB172" i="4" s="1"/>
  <c r="AX69" i="4"/>
  <c r="BH69" i="4" s="1"/>
  <c r="AZ69" i="4"/>
  <c r="BB69" i="4" s="1"/>
  <c r="AX392" i="4"/>
  <c r="BH392" i="4" s="1"/>
  <c r="AZ392" i="4"/>
  <c r="BB392" i="4" s="1"/>
  <c r="AD54" i="10"/>
  <c r="Y134" i="9"/>
  <c r="K134" i="12"/>
  <c r="AX221" i="4"/>
  <c r="BH221" i="4" s="1"/>
  <c r="AZ221" i="4"/>
  <c r="BB221" i="4" s="1"/>
  <c r="I44" i="13"/>
  <c r="AX189" i="4"/>
  <c r="AZ189" i="4"/>
  <c r="BB189" i="4" s="1"/>
  <c r="AZ418" i="4"/>
  <c r="BB418" i="4" s="1"/>
  <c r="AX418" i="4"/>
  <c r="BH418" i="4" s="1"/>
  <c r="AU186" i="4"/>
  <c r="AQ186" i="4"/>
  <c r="AV186" i="4"/>
  <c r="Y31" i="6"/>
  <c r="AG31" i="6" s="1"/>
  <c r="AA31" i="6"/>
  <c r="AC31" i="6" s="1"/>
  <c r="AE31" i="6" s="1"/>
  <c r="AY86" i="7"/>
  <c r="AU86" i="7"/>
  <c r="X187" i="9"/>
  <c r="I187" i="12"/>
  <c r="AV86" i="7"/>
  <c r="AM105" i="7"/>
  <c r="AL105" i="7"/>
  <c r="E33" i="6"/>
  <c r="BB33" i="6" s="1"/>
  <c r="BC33" i="6" s="1"/>
  <c r="AL19" i="5"/>
  <c r="BH15" i="20" s="1"/>
  <c r="BH4" i="20" s="1"/>
  <c r="AN19" i="5"/>
  <c r="BA15" i="20"/>
  <c r="BA4" i="20" s="1"/>
  <c r="AX109" i="4"/>
  <c r="BH109" i="4" s="1"/>
  <c r="AZ109" i="4"/>
  <c r="BB109" i="4" s="1"/>
  <c r="I28" i="13"/>
  <c r="L28" i="6"/>
  <c r="O28" i="6" s="1"/>
  <c r="N28" i="6"/>
  <c r="AX155" i="7"/>
  <c r="AI155" i="7"/>
  <c r="AN155" i="7" s="1"/>
  <c r="W353" i="9"/>
  <c r="H353" i="12"/>
  <c r="AV223" i="4"/>
  <c r="AU223" i="4"/>
  <c r="AQ223" i="4"/>
  <c r="K27" i="6" s="1"/>
  <c r="Q27" i="6" s="1"/>
  <c r="AQ404" i="4"/>
  <c r="AU404" i="4"/>
  <c r="AV404" i="4"/>
  <c r="T42" i="20"/>
  <c r="AX96" i="4"/>
  <c r="BH96" i="4" s="1"/>
  <c r="AZ96" i="4"/>
  <c r="BB96" i="4" s="1"/>
  <c r="AX238" i="4"/>
  <c r="BH238" i="4" s="1"/>
  <c r="AZ238" i="4"/>
  <c r="BB238" i="4" s="1"/>
  <c r="AX146" i="4"/>
  <c r="BH146" i="4" s="1"/>
  <c r="AZ146" i="4"/>
  <c r="BB146" i="4" s="1"/>
  <c r="AD27" i="10"/>
  <c r="Y56" i="9"/>
  <c r="K56" i="12"/>
  <c r="AX77" i="4"/>
  <c r="AZ77" i="4"/>
  <c r="BB77" i="4" s="1"/>
  <c r="AZ333" i="4"/>
  <c r="BB333" i="4" s="1"/>
  <c r="AX333" i="4"/>
  <c r="BH333" i="4" s="1"/>
  <c r="I60" i="13"/>
  <c r="AX313" i="4"/>
  <c r="BH313" i="4" s="1"/>
  <c r="AZ313" i="4"/>
  <c r="BB313" i="4" s="1"/>
  <c r="L18" i="6"/>
  <c r="O18" i="6" s="1"/>
  <c r="N18" i="6"/>
  <c r="AO65" i="7"/>
  <c r="AN66" i="5"/>
  <c r="AL66" i="5"/>
  <c r="BE25" i="20" s="1"/>
  <c r="BE4" i="20" s="1"/>
  <c r="AX25" i="20"/>
  <c r="AX4" i="20" s="1"/>
  <c r="E30" i="6"/>
  <c r="AO150" i="7"/>
  <c r="AD20" i="10"/>
  <c r="Y34" i="9"/>
  <c r="K34" i="12"/>
  <c r="AK105" i="7"/>
  <c r="AX105" i="7"/>
  <c r="AI105" i="7"/>
  <c r="AN105" i="7" s="1"/>
  <c r="W233" i="9"/>
  <c r="H233" i="12"/>
  <c r="AZ258" i="4"/>
  <c r="BB258" i="4" s="1"/>
  <c r="AX258" i="4"/>
  <c r="BH258" i="4" s="1"/>
  <c r="AD86" i="10"/>
  <c r="K230" i="12"/>
  <c r="Y230" i="9"/>
  <c r="AZ363" i="4"/>
  <c r="BB363" i="4" s="1"/>
  <c r="AX363" i="4"/>
  <c r="BH363" i="4" s="1"/>
  <c r="AX326" i="4"/>
  <c r="BH326" i="4" s="1"/>
  <c r="AZ326" i="4"/>
  <c r="BB326" i="4" s="1"/>
  <c r="AX231" i="4"/>
  <c r="AZ231" i="4"/>
  <c r="BB231" i="4" s="1"/>
  <c r="AD66" i="10"/>
  <c r="Y170" i="9"/>
  <c r="K170" i="12"/>
  <c r="AD22" i="10"/>
  <c r="Y38" i="9"/>
  <c r="K38" i="12"/>
  <c r="AX320" i="4"/>
  <c r="BH320" i="4" s="1"/>
  <c r="AZ320" i="4"/>
  <c r="BB320" i="4" s="1"/>
  <c r="AX210" i="4"/>
  <c r="BH210" i="4" s="1"/>
  <c r="AZ210" i="4"/>
  <c r="BB210" i="4" s="1"/>
  <c r="AD73" i="10"/>
  <c r="Y192" i="9"/>
  <c r="K192" i="12"/>
  <c r="AD105" i="10"/>
  <c r="K288" i="12"/>
  <c r="Y288" i="9"/>
  <c r="AX200" i="4"/>
  <c r="BH200" i="4" s="1"/>
  <c r="AZ200" i="4"/>
  <c r="BB200" i="4" s="1"/>
  <c r="S16" i="20"/>
  <c r="G27" i="6"/>
  <c r="P27" i="6" s="1"/>
  <c r="R27" i="6" s="1"/>
  <c r="AZ364" i="4"/>
  <c r="BB364" i="4" s="1"/>
  <c r="AX364" i="4"/>
  <c r="BH364" i="4" s="1"/>
  <c r="AD51" i="10"/>
  <c r="K128" i="12"/>
  <c r="Y128" i="9"/>
  <c r="AV353" i="4"/>
  <c r="AU353" i="4"/>
  <c r="AQ353" i="4"/>
  <c r="AX294" i="4"/>
  <c r="BH294" i="4" s="1"/>
  <c r="AZ294" i="4"/>
  <c r="BB294" i="4" s="1"/>
  <c r="AU335" i="4"/>
  <c r="AQ335" i="4"/>
  <c r="AV335" i="4"/>
  <c r="AU136" i="7"/>
  <c r="AY136" i="7"/>
  <c r="X307" i="9"/>
  <c r="I307" i="12"/>
  <c r="AV136" i="7"/>
  <c r="BA32" i="6"/>
  <c r="BN15" i="20"/>
  <c r="BN4" i="20" s="1"/>
  <c r="AY109" i="7"/>
  <c r="AU109" i="7"/>
  <c r="X241" i="9"/>
  <c r="I241" i="12"/>
  <c r="AV109" i="7"/>
  <c r="AP4" i="20"/>
  <c r="AK130" i="7"/>
  <c r="AX130" i="7"/>
  <c r="AI130" i="7"/>
  <c r="H293" i="12"/>
  <c r="W293" i="9"/>
  <c r="AO125" i="7"/>
  <c r="AK30" i="7"/>
  <c r="AI30" i="7"/>
  <c r="AX30" i="7"/>
  <c r="W53" i="9"/>
  <c r="H53" i="12"/>
  <c r="AV137" i="4"/>
  <c r="AU137" i="4"/>
  <c r="AQ137" i="4"/>
  <c r="AX405" i="4"/>
  <c r="BH405" i="4" s="1"/>
  <c r="AZ405" i="4"/>
  <c r="BB405" i="4" s="1"/>
  <c r="AX233" i="4"/>
  <c r="BH233" i="4" s="1"/>
  <c r="AZ233" i="4"/>
  <c r="BB233" i="4" s="1"/>
  <c r="I45" i="13"/>
  <c r="AZ372" i="4"/>
  <c r="BB372" i="4" s="1"/>
  <c r="AX372" i="4"/>
  <c r="AD87" i="10"/>
  <c r="Y236" i="9"/>
  <c r="K236" i="12"/>
  <c r="AD24" i="10"/>
  <c r="K46" i="12"/>
  <c r="Y46" i="9"/>
  <c r="AD48" i="10"/>
  <c r="Y118" i="9"/>
  <c r="K118" i="12"/>
  <c r="AD97" i="10"/>
  <c r="K264" i="12"/>
  <c r="Y264" i="9"/>
  <c r="AD115" i="10"/>
  <c r="Y320" i="9"/>
  <c r="K320" i="12"/>
  <c r="AD98" i="10"/>
  <c r="K266" i="12"/>
  <c r="Y266" i="9"/>
  <c r="AD68" i="10"/>
  <c r="Y178" i="9"/>
  <c r="K178" i="12"/>
  <c r="AX206" i="4"/>
  <c r="BH206" i="4" s="1"/>
  <c r="AZ206" i="4"/>
  <c r="BB206" i="4" s="1"/>
  <c r="AZ41" i="4"/>
  <c r="BB41" i="4" s="1"/>
  <c r="AX41" i="4"/>
  <c r="AD33" i="10"/>
  <c r="Y72" i="9"/>
  <c r="K72" i="12"/>
  <c r="AX387" i="4"/>
  <c r="BH387" i="4" s="1"/>
  <c r="AZ387" i="4"/>
  <c r="BB387" i="4" s="1"/>
  <c r="I67" i="13"/>
  <c r="AX249" i="4"/>
  <c r="BH249" i="4" s="1"/>
  <c r="AZ249" i="4"/>
  <c r="BB249" i="4" s="1"/>
  <c r="I48" i="13"/>
  <c r="AV40" i="4"/>
  <c r="AU40" i="4"/>
  <c r="AQ40" i="4"/>
  <c r="K26" i="6" s="1"/>
  <c r="G26" i="6"/>
  <c r="AX314" i="4"/>
  <c r="BH314" i="4" s="1"/>
  <c r="AZ314" i="4"/>
  <c r="BB314" i="4" s="1"/>
  <c r="AQ340" i="4"/>
  <c r="AU340" i="4"/>
  <c r="AV340" i="4"/>
  <c r="AX45" i="4"/>
  <c r="BH45" i="4" s="1"/>
  <c r="AZ45" i="4"/>
  <c r="BB45" i="4" s="1"/>
  <c r="P21" i="6"/>
  <c r="T21" i="6"/>
  <c r="AY69" i="7"/>
  <c r="AU69" i="7"/>
  <c r="X145" i="9"/>
  <c r="I145" i="12"/>
  <c r="AV69" i="7"/>
  <c r="AT15" i="7"/>
  <c r="S33" i="20"/>
  <c r="AU289" i="4"/>
  <c r="AQ289" i="4"/>
  <c r="AV289" i="4"/>
  <c r="AU266" i="4"/>
  <c r="AQ266" i="4"/>
  <c r="AV266" i="4"/>
  <c r="AN115" i="5"/>
  <c r="BK35" i="20" s="1"/>
  <c r="AL115" i="5"/>
  <c r="BD35" i="20" s="1"/>
  <c r="AW35" i="20"/>
  <c r="AU269" i="4"/>
  <c r="AQ269" i="4"/>
  <c r="AV269" i="4"/>
  <c r="AD36" i="10"/>
  <c r="Y82" i="9"/>
  <c r="K82" i="12"/>
  <c r="AX56" i="4"/>
  <c r="BH56" i="4" s="1"/>
  <c r="AZ56" i="4"/>
  <c r="BB56" i="4" s="1"/>
  <c r="AX98" i="4"/>
  <c r="BH98" i="4" s="1"/>
  <c r="AZ98" i="4"/>
  <c r="BB98" i="4" s="1"/>
  <c r="AZ287" i="4"/>
  <c r="BB287" i="4" s="1"/>
  <c r="AX287" i="4"/>
  <c r="AU219" i="4"/>
  <c r="AQ219" i="4"/>
  <c r="AV219" i="4"/>
  <c r="AD25" i="10"/>
  <c r="K48" i="12"/>
  <c r="Y48" i="9"/>
  <c r="M15" i="12"/>
  <c r="AL15" i="12"/>
  <c r="L15" i="12"/>
  <c r="AJ15" i="12"/>
  <c r="AD15" i="12"/>
  <c r="AA15" i="12"/>
  <c r="X15" i="12"/>
  <c r="V15" i="12"/>
  <c r="P15" i="12"/>
  <c r="O15" i="12"/>
  <c r="N15" i="12"/>
  <c r="AG15" i="12"/>
  <c r="AH115" i="7"/>
  <c r="G23" i="6"/>
  <c r="AX40" i="7"/>
  <c r="AK40" i="7"/>
  <c r="AI40" i="7"/>
  <c r="W77" i="9"/>
  <c r="H77" i="12"/>
  <c r="AQ158" i="4"/>
  <c r="AU158" i="4"/>
  <c r="AV158" i="4"/>
  <c r="AU70" i="4"/>
  <c r="AQ70" i="4"/>
  <c r="K28" i="6" s="1"/>
  <c r="Q28" i="6" s="1"/>
  <c r="AV70" i="4"/>
  <c r="AY81" i="7"/>
  <c r="AU81" i="7"/>
  <c r="I175" i="12"/>
  <c r="X175" i="9"/>
  <c r="AV81" i="7"/>
  <c r="AY137" i="7"/>
  <c r="AU137" i="7"/>
  <c r="X309" i="9"/>
  <c r="I309" i="12"/>
  <c r="AV137" i="7"/>
  <c r="Z15" i="9"/>
  <c r="AK4" i="5"/>
  <c r="AG115" i="7"/>
  <c r="AN115" i="7" s="1"/>
  <c r="L25" i="6"/>
  <c r="O25" i="6" s="1"/>
  <c r="N25" i="6"/>
  <c r="AX115" i="4"/>
  <c r="BH115" i="4" s="1"/>
  <c r="AZ115" i="4"/>
  <c r="BB115" i="4" s="1"/>
  <c r="AU299" i="4"/>
  <c r="AQ299" i="4"/>
  <c r="AV299" i="4"/>
  <c r="AX84" i="4"/>
  <c r="BH84" i="4" s="1"/>
  <c r="AZ84" i="4"/>
  <c r="BB84" i="4" s="1"/>
  <c r="AX242" i="4"/>
  <c r="BH242" i="4" s="1"/>
  <c r="AZ242" i="4"/>
  <c r="BB242" i="4" s="1"/>
  <c r="T26" i="20"/>
  <c r="AQ176" i="4"/>
  <c r="K22" i="6" s="1"/>
  <c r="Q22" i="6" s="1"/>
  <c r="AU176" i="4"/>
  <c r="AV176" i="4"/>
  <c r="AI120" i="7"/>
  <c r="AN120" i="7" s="1"/>
  <c r="AX120" i="7"/>
  <c r="AV120" i="7"/>
  <c r="C36" i="8" s="1"/>
  <c r="AK120" i="7"/>
  <c r="W269" i="9"/>
  <c r="H269" i="12"/>
  <c r="AZ345" i="4"/>
  <c r="BB345" i="4" s="1"/>
  <c r="AX345" i="4"/>
  <c r="BH345" i="4" s="1"/>
  <c r="I61" i="13"/>
  <c r="AM4" i="20"/>
  <c r="Y32" i="6"/>
  <c r="AG32" i="6" s="1"/>
  <c r="BD32" i="6" s="1"/>
  <c r="AA32" i="6"/>
  <c r="AC32" i="6" s="1"/>
  <c r="AE32" i="6" s="1"/>
  <c r="AX161" i="4"/>
  <c r="AZ161" i="4"/>
  <c r="BB161" i="4" s="1"/>
  <c r="AY17" i="7"/>
  <c r="BA17" i="7" s="1"/>
  <c r="AU17" i="7"/>
  <c r="I21" i="12"/>
  <c r="X21" i="9"/>
  <c r="Z21" i="9" s="1"/>
  <c r="AV17" i="7"/>
  <c r="AL50" i="7"/>
  <c r="AM50" i="7"/>
  <c r="I29" i="6"/>
  <c r="AH20" i="12"/>
  <c r="AO40" i="7"/>
  <c r="S23" i="20"/>
  <c r="AX90" i="4"/>
  <c r="BH90" i="4" s="1"/>
  <c r="AZ90" i="4"/>
  <c r="BB90" i="4" s="1"/>
  <c r="AX209" i="4"/>
  <c r="BH209" i="4" s="1"/>
  <c r="AZ209" i="4"/>
  <c r="BB209" i="4" s="1"/>
  <c r="AU194" i="4"/>
  <c r="AQ194" i="4"/>
  <c r="AV194" i="4"/>
  <c r="AU112" i="4"/>
  <c r="AQ112" i="4"/>
  <c r="AV112" i="4"/>
  <c r="AM120" i="7"/>
  <c r="AL120" i="7"/>
  <c r="AO105" i="7"/>
  <c r="AZ274" i="4"/>
  <c r="BB274" i="4" s="1"/>
  <c r="AX274" i="4"/>
  <c r="AX177" i="4"/>
  <c r="BH177" i="4" s="1"/>
  <c r="AZ177" i="4"/>
  <c r="BB177" i="4" s="1"/>
  <c r="I37" i="13"/>
  <c r="AX412" i="4"/>
  <c r="BH412" i="4" s="1"/>
  <c r="AZ412" i="4"/>
  <c r="BB412" i="4" s="1"/>
  <c r="AX201" i="4"/>
  <c r="BH201" i="4" s="1"/>
  <c r="AZ201" i="4"/>
  <c r="BB201" i="4" s="1"/>
  <c r="AZ255" i="4"/>
  <c r="BB255" i="4" s="1"/>
  <c r="AX255" i="4"/>
  <c r="BH255" i="4" s="1"/>
  <c r="AX257" i="4"/>
  <c r="BH257" i="4" s="1"/>
  <c r="AZ257" i="4"/>
  <c r="BB257" i="4" s="1"/>
  <c r="T21" i="20"/>
  <c r="AD69" i="10"/>
  <c r="Y180" i="9"/>
  <c r="K180" i="12"/>
  <c r="AD128" i="10"/>
  <c r="K358" i="12"/>
  <c r="Y358" i="9"/>
  <c r="S34" i="20"/>
  <c r="AX192" i="4"/>
  <c r="BH192" i="4" s="1"/>
  <c r="AZ192" i="4"/>
  <c r="BB192" i="4" s="1"/>
  <c r="S19" i="20"/>
  <c r="AD32" i="10"/>
  <c r="Y70" i="9"/>
  <c r="K70" i="12"/>
  <c r="AX286" i="4"/>
  <c r="BH286" i="4" s="1"/>
  <c r="AZ286" i="4"/>
  <c r="BB286" i="4" s="1"/>
  <c r="S27" i="6" l="1"/>
  <c r="W27" i="6"/>
  <c r="Y27" i="6" s="1"/>
  <c r="AG27" i="6" s="1"/>
  <c r="G316" i="12"/>
  <c r="U316" i="9"/>
  <c r="Z316" i="9" s="1"/>
  <c r="AW100" i="7"/>
  <c r="G221" i="12"/>
  <c r="U221" i="9"/>
  <c r="BE41" i="4"/>
  <c r="BC41" i="4"/>
  <c r="G95" i="12"/>
  <c r="U95" i="9"/>
  <c r="Z95" i="9" s="1"/>
  <c r="AW48" i="7"/>
  <c r="BA48" i="7" s="1"/>
  <c r="BC403" i="4"/>
  <c r="BE403" i="4"/>
  <c r="BF403" i="4" s="1"/>
  <c r="AX214" i="4"/>
  <c r="BH214" i="4" s="1"/>
  <c r="AZ214" i="4"/>
  <c r="BB214" i="4" s="1"/>
  <c r="AX64" i="4"/>
  <c r="AZ64" i="4"/>
  <c r="BB64" i="4" s="1"/>
  <c r="BC368" i="4"/>
  <c r="BE368" i="4"/>
  <c r="BF368" i="4" s="1"/>
  <c r="G82" i="12"/>
  <c r="U82" i="9"/>
  <c r="Z82" i="9" s="1"/>
  <c r="AC36" i="10"/>
  <c r="AF36" i="10" s="1"/>
  <c r="BC373" i="4"/>
  <c r="BE373" i="4"/>
  <c r="BF373" i="4" s="1"/>
  <c r="AW117" i="7"/>
  <c r="BA117" i="7" s="1"/>
  <c r="U261" i="9"/>
  <c r="Z261" i="9" s="1"/>
  <c r="G261" i="12"/>
  <c r="AX370" i="4"/>
  <c r="BH370" i="4" s="1"/>
  <c r="AZ370" i="4"/>
  <c r="BB370" i="4" s="1"/>
  <c r="AA24" i="20"/>
  <c r="G54" i="14"/>
  <c r="BH148" i="4"/>
  <c r="U234" i="9"/>
  <c r="Z234" i="9" s="1"/>
  <c r="G234" i="12"/>
  <c r="BC304" i="4"/>
  <c r="BE304" i="4"/>
  <c r="BF304" i="4" s="1"/>
  <c r="BC203" i="4"/>
  <c r="BE203" i="4"/>
  <c r="BC130" i="4"/>
  <c r="BE130" i="4"/>
  <c r="BF130" i="4" s="1"/>
  <c r="BC150" i="4"/>
  <c r="BE150" i="4"/>
  <c r="BF150" i="4" s="1"/>
  <c r="AX342" i="4"/>
  <c r="BH342" i="4" s="1"/>
  <c r="AZ342" i="4"/>
  <c r="BB342" i="4" s="1"/>
  <c r="BC362" i="4"/>
  <c r="BE362" i="4"/>
  <c r="BF362" i="4" s="1"/>
  <c r="AC130" i="10"/>
  <c r="AF130" i="10" s="1"/>
  <c r="G362" i="12"/>
  <c r="U362" i="9"/>
  <c r="Z362" i="9" s="1"/>
  <c r="BC344" i="4"/>
  <c r="BE344" i="4"/>
  <c r="BC237" i="4"/>
  <c r="BE237" i="4"/>
  <c r="BF237" i="4" s="1"/>
  <c r="BC131" i="4"/>
  <c r="BE131" i="4"/>
  <c r="BF131" i="4" s="1"/>
  <c r="BC168" i="4"/>
  <c r="BE168" i="4"/>
  <c r="BF168" i="4" s="1"/>
  <c r="AZ290" i="4"/>
  <c r="BB290" i="4" s="1"/>
  <c r="AX290" i="4"/>
  <c r="BH290" i="4" s="1"/>
  <c r="U97" i="9"/>
  <c r="Z97" i="9" s="1"/>
  <c r="G97" i="12"/>
  <c r="AW49" i="7"/>
  <c r="BA49" i="7" s="1"/>
  <c r="AX51" i="4"/>
  <c r="BH51" i="4" s="1"/>
  <c r="AZ51" i="4"/>
  <c r="BB51" i="4" s="1"/>
  <c r="I19" i="13"/>
  <c r="AW40" i="7"/>
  <c r="G77" i="12"/>
  <c r="U77" i="9"/>
  <c r="AL60" i="7"/>
  <c r="BE270" i="4"/>
  <c r="BF270" i="4" s="1"/>
  <c r="BC270" i="4"/>
  <c r="G317" i="12"/>
  <c r="U317" i="9"/>
  <c r="AW140" i="7"/>
  <c r="G162" i="12"/>
  <c r="U162" i="9"/>
  <c r="Z162" i="9" s="1"/>
  <c r="DI25" i="6"/>
  <c r="DJ25" i="6" s="1"/>
  <c r="AK23" i="12"/>
  <c r="BC103" i="4"/>
  <c r="BE103" i="4"/>
  <c r="BF103" i="4" s="1"/>
  <c r="T25" i="6"/>
  <c r="P25" i="6"/>
  <c r="G280" i="12"/>
  <c r="U280" i="9"/>
  <c r="Z280" i="9" s="1"/>
  <c r="AX205" i="4"/>
  <c r="BH205" i="4" s="1"/>
  <c r="AZ205" i="4"/>
  <c r="BB205" i="4" s="1"/>
  <c r="I41" i="13"/>
  <c r="BC231" i="4"/>
  <c r="BE231" i="4"/>
  <c r="AW128" i="7"/>
  <c r="BA128" i="7" s="1"/>
  <c r="G287" i="12"/>
  <c r="U287" i="9"/>
  <c r="Z287" i="9" s="1"/>
  <c r="U148" i="9"/>
  <c r="Z148" i="9" s="1"/>
  <c r="G148" i="12"/>
  <c r="U93" i="9"/>
  <c r="Z93" i="9" s="1"/>
  <c r="G93" i="12"/>
  <c r="AW47" i="7"/>
  <c r="BA47" i="7" s="1"/>
  <c r="BC47" i="4"/>
  <c r="BE47" i="4"/>
  <c r="BF47" i="4" s="1"/>
  <c r="BE110" i="4"/>
  <c r="BF110" i="4" s="1"/>
  <c r="BC110" i="4"/>
  <c r="BE207" i="4"/>
  <c r="BF207" i="4" s="1"/>
  <c r="BC207" i="4"/>
  <c r="BC409" i="4"/>
  <c r="BE409" i="4"/>
  <c r="BF409" i="4" s="1"/>
  <c r="G167" i="12"/>
  <c r="AW78" i="7"/>
  <c r="BA78" i="7" s="1"/>
  <c r="U167" i="9"/>
  <c r="Z167" i="9" s="1"/>
  <c r="AZ374" i="4"/>
  <c r="BB374" i="4" s="1"/>
  <c r="AX374" i="4"/>
  <c r="BH374" i="4" s="1"/>
  <c r="AX182" i="4"/>
  <c r="BH182" i="4" s="1"/>
  <c r="AZ182" i="4"/>
  <c r="BB182" i="4" s="1"/>
  <c r="U219" i="9"/>
  <c r="Z219" i="9" s="1"/>
  <c r="G219" i="12"/>
  <c r="BE115" i="4"/>
  <c r="BF115" i="4" s="1"/>
  <c r="BC115" i="4"/>
  <c r="AX269" i="4"/>
  <c r="BH269" i="4" s="1"/>
  <c r="AZ269" i="4"/>
  <c r="BB269" i="4" s="1"/>
  <c r="BC206" i="4"/>
  <c r="BE206" i="4"/>
  <c r="BF206" i="4" s="1"/>
  <c r="BE294" i="4"/>
  <c r="BF294" i="4" s="1"/>
  <c r="BC294" i="4"/>
  <c r="G77" i="14"/>
  <c r="BH231" i="4"/>
  <c r="BC333" i="4"/>
  <c r="BE333" i="4"/>
  <c r="BF333" i="4" s="1"/>
  <c r="G360" i="12"/>
  <c r="U360" i="9"/>
  <c r="Z360" i="9" s="1"/>
  <c r="AC129" i="10"/>
  <c r="AF129" i="10" s="1"/>
  <c r="BC152" i="4"/>
  <c r="BE152" i="4"/>
  <c r="BF152" i="4" s="1"/>
  <c r="AN25" i="7"/>
  <c r="AH25" i="7"/>
  <c r="AW153" i="7"/>
  <c r="BA153" i="7" s="1"/>
  <c r="G347" i="12"/>
  <c r="U347" i="9"/>
  <c r="Z347" i="9" s="1"/>
  <c r="AW25" i="7"/>
  <c r="U41" i="9"/>
  <c r="G41" i="12"/>
  <c r="AS80" i="7"/>
  <c r="AR80" i="7"/>
  <c r="AX66" i="4"/>
  <c r="BH66" i="4" s="1"/>
  <c r="AZ66" i="4"/>
  <c r="BB66" i="4" s="1"/>
  <c r="U96" i="9"/>
  <c r="Z96" i="9" s="1"/>
  <c r="G96" i="12"/>
  <c r="AC41" i="10"/>
  <c r="AF41" i="10" s="1"/>
  <c r="U179" i="9"/>
  <c r="Z179" i="9" s="1"/>
  <c r="AW83" i="7"/>
  <c r="BA83" i="7" s="1"/>
  <c r="G179" i="12"/>
  <c r="G351" i="12"/>
  <c r="U351" i="9"/>
  <c r="Z351" i="9" s="1"/>
  <c r="U290" i="9"/>
  <c r="Z290" i="9" s="1"/>
  <c r="AC106" i="10"/>
  <c r="AF106" i="10" s="1"/>
  <c r="G290" i="12"/>
  <c r="BC122" i="4"/>
  <c r="BE122" i="4"/>
  <c r="BF122" i="4" s="1"/>
  <c r="AG22" i="20"/>
  <c r="BC119" i="4"/>
  <c r="BE119" i="4"/>
  <c r="BE94" i="4"/>
  <c r="BF94" i="4" s="1"/>
  <c r="BC94" i="4"/>
  <c r="AW142" i="7"/>
  <c r="BA142" i="7" s="1"/>
  <c r="U321" i="9"/>
  <c r="Z321" i="9" s="1"/>
  <c r="G321" i="12"/>
  <c r="BC303" i="4"/>
  <c r="BE303" i="4"/>
  <c r="BF303" i="4" s="1"/>
  <c r="BE36" i="4"/>
  <c r="BC36" i="4"/>
  <c r="BE34" i="4"/>
  <c r="BC34" i="4"/>
  <c r="H20" i="6"/>
  <c r="AH19" i="20"/>
  <c r="BE78" i="4"/>
  <c r="BC78" i="4"/>
  <c r="AX328" i="4"/>
  <c r="BH328" i="4" s="1"/>
  <c r="AZ328" i="4"/>
  <c r="BB328" i="4" s="1"/>
  <c r="C27" i="8"/>
  <c r="BK4" i="20"/>
  <c r="Z28" i="20"/>
  <c r="G69" i="14"/>
  <c r="BH203" i="4"/>
  <c r="G112" i="12"/>
  <c r="U112" i="9"/>
  <c r="Z112" i="9" s="1"/>
  <c r="AC52" i="10"/>
  <c r="AF52" i="10" s="1"/>
  <c r="U130" i="9"/>
  <c r="Z130" i="9" s="1"/>
  <c r="G130" i="12"/>
  <c r="BC361" i="4"/>
  <c r="BE361" i="4"/>
  <c r="BF361" i="4" s="1"/>
  <c r="U312" i="9"/>
  <c r="Z312" i="9" s="1"/>
  <c r="AC113" i="10"/>
  <c r="AF113" i="10" s="1"/>
  <c r="G312" i="12"/>
  <c r="BE275" i="4"/>
  <c r="BF275" i="4" s="1"/>
  <c r="BC275" i="4"/>
  <c r="BE38" i="4"/>
  <c r="BC38" i="4"/>
  <c r="G205" i="12"/>
  <c r="AW94" i="7"/>
  <c r="BA94" i="7" s="1"/>
  <c r="U205" i="9"/>
  <c r="Z205" i="9" s="1"/>
  <c r="AW55" i="7"/>
  <c r="U113" i="9"/>
  <c r="G113" i="12"/>
  <c r="AX65" i="4"/>
  <c r="BH65" i="4" s="1"/>
  <c r="AZ65" i="4"/>
  <c r="BB65" i="4" s="1"/>
  <c r="I21" i="13"/>
  <c r="AC58" i="10"/>
  <c r="AF58" i="10" s="1"/>
  <c r="U146" i="9"/>
  <c r="Z146" i="9" s="1"/>
  <c r="G146" i="12"/>
  <c r="AX60" i="4"/>
  <c r="BH60" i="4" s="1"/>
  <c r="AZ60" i="4"/>
  <c r="BB60" i="4" s="1"/>
  <c r="BC80" i="4"/>
  <c r="BE80" i="4"/>
  <c r="BF80" i="4" s="1"/>
  <c r="AU31" i="4"/>
  <c r="AU4" i="4" s="1"/>
  <c r="AQ31" i="4"/>
  <c r="K17" i="6" s="1"/>
  <c r="Q17" i="6" s="1"/>
  <c r="AV31" i="4"/>
  <c r="G17" i="6"/>
  <c r="P17" i="6" s="1"/>
  <c r="R17" i="6" s="1"/>
  <c r="AH17" i="20"/>
  <c r="BE50" i="4"/>
  <c r="BC50" i="4"/>
  <c r="K25" i="6"/>
  <c r="Q25" i="6" s="1"/>
  <c r="AW45" i="7"/>
  <c r="U89" i="9"/>
  <c r="G89" i="12"/>
  <c r="G106" i="12"/>
  <c r="AC44" i="10"/>
  <c r="AF44" i="10" s="1"/>
  <c r="U106" i="9"/>
  <c r="Z106" i="9" s="1"/>
  <c r="Z22" i="20"/>
  <c r="G45" i="14"/>
  <c r="BH119" i="4"/>
  <c r="AG18" i="20"/>
  <c r="BC63" i="4"/>
  <c r="BE63" i="4"/>
  <c r="G109" i="14"/>
  <c r="BH343" i="4"/>
  <c r="G22" i="14"/>
  <c r="BH36" i="4"/>
  <c r="BH34" i="4"/>
  <c r="AA19" i="20"/>
  <c r="G34" i="14"/>
  <c r="BH78" i="4"/>
  <c r="AX396" i="4"/>
  <c r="BH396" i="4" s="1"/>
  <c r="AZ396" i="4"/>
  <c r="BB396" i="4" s="1"/>
  <c r="BA29" i="6"/>
  <c r="BB29" i="6" s="1"/>
  <c r="BC29" i="6" s="1"/>
  <c r="AW138" i="7"/>
  <c r="BA138" i="7" s="1"/>
  <c r="U311" i="9"/>
  <c r="Z311" i="9" s="1"/>
  <c r="G311" i="12"/>
  <c r="AW107" i="7"/>
  <c r="BA107" i="7" s="1"/>
  <c r="G237" i="12"/>
  <c r="U237" i="9"/>
  <c r="Z237" i="9" s="1"/>
  <c r="AH39" i="20"/>
  <c r="BC358" i="4"/>
  <c r="BE358" i="4"/>
  <c r="AY4" i="20"/>
  <c r="BH38" i="4"/>
  <c r="BC388" i="4"/>
  <c r="BE388" i="4"/>
  <c r="BF388" i="4" s="1"/>
  <c r="Z4" i="7"/>
  <c r="AX160" i="4"/>
  <c r="BH160" i="4" s="1"/>
  <c r="AZ160" i="4"/>
  <c r="BB160" i="4" s="1"/>
  <c r="BC359" i="4"/>
  <c r="BE359" i="4"/>
  <c r="BF359" i="4" s="1"/>
  <c r="BC332" i="4"/>
  <c r="BE332" i="4"/>
  <c r="BF332" i="4" s="1"/>
  <c r="AC32" i="10"/>
  <c r="AF32" i="10" s="1"/>
  <c r="G70" i="12"/>
  <c r="U70" i="9"/>
  <c r="Z70" i="9" s="1"/>
  <c r="AH23" i="20"/>
  <c r="BC134" i="4"/>
  <c r="BE134" i="4"/>
  <c r="AA17" i="20"/>
  <c r="G26" i="14"/>
  <c r="BH50" i="4"/>
  <c r="G105" i="12"/>
  <c r="AW52" i="7"/>
  <c r="BA52" i="7" s="1"/>
  <c r="U105" i="9"/>
  <c r="Z105" i="9" s="1"/>
  <c r="AX235" i="4"/>
  <c r="BH235" i="4" s="1"/>
  <c r="AZ235" i="4"/>
  <c r="BB235" i="4" s="1"/>
  <c r="AG30" i="20" s="1"/>
  <c r="I46" i="13"/>
  <c r="AX321" i="4"/>
  <c r="BH321" i="4" s="1"/>
  <c r="AZ321" i="4"/>
  <c r="BB321" i="4" s="1"/>
  <c r="AO25" i="7"/>
  <c r="AO30" i="7"/>
  <c r="R24" i="6"/>
  <c r="AY20" i="7"/>
  <c r="AU20" i="7"/>
  <c r="X29" i="9"/>
  <c r="I29" i="12"/>
  <c r="G286" i="12"/>
  <c r="U286" i="9"/>
  <c r="Z286" i="9" s="1"/>
  <c r="AC104" i="10"/>
  <c r="AF104" i="10" s="1"/>
  <c r="AU55" i="7"/>
  <c r="AY55" i="7"/>
  <c r="I113" i="12"/>
  <c r="X113" i="9"/>
  <c r="BE37" i="4"/>
  <c r="BC37" i="4"/>
  <c r="AA23" i="20"/>
  <c r="G50" i="14"/>
  <c r="BH134" i="4"/>
  <c r="BE121" i="4"/>
  <c r="BF121" i="4" s="1"/>
  <c r="BC121" i="4"/>
  <c r="AZ399" i="4"/>
  <c r="BB399" i="4" s="1"/>
  <c r="AX399" i="4"/>
  <c r="AX39" i="4"/>
  <c r="Z16" i="20" s="1"/>
  <c r="AZ39" i="4"/>
  <c r="BB39" i="4" s="1"/>
  <c r="I18" i="13"/>
  <c r="AE23" i="12"/>
  <c r="AL80" i="7"/>
  <c r="AH65" i="7"/>
  <c r="AH60" i="7"/>
  <c r="AZ341" i="4"/>
  <c r="BB341" i="4" s="1"/>
  <c r="AX341" i="4"/>
  <c r="BH341" i="4" s="1"/>
  <c r="BE196" i="4"/>
  <c r="BF196" i="4" s="1"/>
  <c r="BC196" i="4"/>
  <c r="U198" i="9"/>
  <c r="Z198" i="9" s="1"/>
  <c r="G198" i="12"/>
  <c r="AG40" i="20"/>
  <c r="BE371" i="4"/>
  <c r="BC371" i="4"/>
  <c r="BC383" i="4"/>
  <c r="BE383" i="4"/>
  <c r="BF383" i="4" s="1"/>
  <c r="U75" i="9"/>
  <c r="Z75" i="9" s="1"/>
  <c r="G75" i="12"/>
  <c r="BC292" i="4"/>
  <c r="BE292" i="4"/>
  <c r="BF292" i="4" s="1"/>
  <c r="BC285" i="4"/>
  <c r="BE285" i="4"/>
  <c r="BF285" i="4" s="1"/>
  <c r="G267" i="12"/>
  <c r="U267" i="9"/>
  <c r="Z267" i="9" s="1"/>
  <c r="AX244" i="4"/>
  <c r="BH244" i="4" s="1"/>
  <c r="AZ244" i="4"/>
  <c r="BB244" i="4" s="1"/>
  <c r="AX151" i="4"/>
  <c r="BH151" i="4" s="1"/>
  <c r="AZ151" i="4"/>
  <c r="BB151" i="4" s="1"/>
  <c r="I34" i="13"/>
  <c r="I4" i="13" s="1"/>
  <c r="AX346" i="4"/>
  <c r="BH346" i="4" s="1"/>
  <c r="AZ346" i="4"/>
  <c r="BB346" i="4" s="1"/>
  <c r="U174" i="9"/>
  <c r="Z174" i="9" s="1"/>
  <c r="G174" i="12"/>
  <c r="BC256" i="4"/>
  <c r="BE256" i="4"/>
  <c r="BF256" i="4" s="1"/>
  <c r="BC329" i="4"/>
  <c r="BE329" i="4"/>
  <c r="H4" i="12"/>
  <c r="BE42" i="4"/>
  <c r="BC42" i="4"/>
  <c r="H28" i="6"/>
  <c r="AW137" i="7"/>
  <c r="BA137" i="7" s="1"/>
  <c r="U309" i="9"/>
  <c r="Z309" i="9" s="1"/>
  <c r="G309" i="12"/>
  <c r="BH37" i="4"/>
  <c r="BE108" i="4"/>
  <c r="BF108" i="4" s="1"/>
  <c r="BC108" i="4"/>
  <c r="AA37" i="20"/>
  <c r="G106" i="14"/>
  <c r="BH330" i="4"/>
  <c r="AH23" i="12"/>
  <c r="AH36" i="20"/>
  <c r="BE316" i="4"/>
  <c r="BC316" i="4"/>
  <c r="AZ395" i="4"/>
  <c r="BB395" i="4" s="1"/>
  <c r="AX395" i="4"/>
  <c r="BH395" i="4" s="1"/>
  <c r="C15" i="8"/>
  <c r="U178" i="9"/>
  <c r="Z178" i="9" s="1"/>
  <c r="AC68" i="10"/>
  <c r="AF68" i="10" s="1"/>
  <c r="G178" i="12"/>
  <c r="G254" i="12"/>
  <c r="AC94" i="10"/>
  <c r="AF94" i="10" s="1"/>
  <c r="U254" i="9"/>
  <c r="Z254" i="9" s="1"/>
  <c r="AG19" i="20"/>
  <c r="BE77" i="4"/>
  <c r="BC77" i="4"/>
  <c r="BA33" i="6"/>
  <c r="BO15" i="20"/>
  <c r="BO4" i="20" s="1"/>
  <c r="AC53" i="10"/>
  <c r="AF53" i="10" s="1"/>
  <c r="G132" i="12"/>
  <c r="U132" i="9"/>
  <c r="Z132" i="9" s="1"/>
  <c r="BC201" i="4"/>
  <c r="BE201" i="4"/>
  <c r="BF201" i="4" s="1"/>
  <c r="U118" i="9"/>
  <c r="Z118" i="9" s="1"/>
  <c r="AC48" i="10"/>
  <c r="AF48" i="10" s="1"/>
  <c r="G118" i="12"/>
  <c r="U180" i="9"/>
  <c r="Z180" i="9" s="1"/>
  <c r="G180" i="12"/>
  <c r="AC69" i="10"/>
  <c r="AF69" i="10" s="1"/>
  <c r="BC230" i="4"/>
  <c r="BE230" i="4"/>
  <c r="BF230" i="4" s="1"/>
  <c r="U329" i="9"/>
  <c r="AW145" i="7"/>
  <c r="G329" i="12"/>
  <c r="AC120" i="10"/>
  <c r="AF120" i="10" s="1"/>
  <c r="U334" i="9"/>
  <c r="Z334" i="9" s="1"/>
  <c r="G334" i="12"/>
  <c r="AW80" i="7"/>
  <c r="U173" i="9"/>
  <c r="G173" i="12"/>
  <c r="BC210" i="4"/>
  <c r="BE210" i="4"/>
  <c r="BF210" i="4" s="1"/>
  <c r="T17" i="6"/>
  <c r="U125" i="9"/>
  <c r="AW60" i="7"/>
  <c r="G125" i="12"/>
  <c r="BE52" i="4"/>
  <c r="BF52" i="4" s="1"/>
  <c r="BC52" i="4"/>
  <c r="BC135" i="4"/>
  <c r="BE135" i="4"/>
  <c r="BF135" i="4" s="1"/>
  <c r="G170" i="12"/>
  <c r="U170" i="9"/>
  <c r="Z170" i="9" s="1"/>
  <c r="AC66" i="10"/>
  <c r="AF66" i="10" s="1"/>
  <c r="BE278" i="4"/>
  <c r="BF278" i="4" s="1"/>
  <c r="BC278" i="4"/>
  <c r="BE167" i="4"/>
  <c r="BF167" i="4" s="1"/>
  <c r="BC167" i="4"/>
  <c r="AX357" i="4"/>
  <c r="AZ357" i="4"/>
  <c r="BB357" i="4" s="1"/>
  <c r="U252" i="9"/>
  <c r="Z252" i="9" s="1"/>
  <c r="AC93" i="10"/>
  <c r="AF93" i="10" s="1"/>
  <c r="G252" i="12"/>
  <c r="BC322" i="4"/>
  <c r="BE322" i="4"/>
  <c r="BF322" i="4" s="1"/>
  <c r="AN100" i="7"/>
  <c r="AH100" i="7"/>
  <c r="F23" i="8"/>
  <c r="G23" i="8"/>
  <c r="K23" i="8" s="1"/>
  <c r="AZ247" i="4"/>
  <c r="BB247" i="4" s="1"/>
  <c r="AX247" i="4"/>
  <c r="BH247" i="4" s="1"/>
  <c r="I47" i="13"/>
  <c r="AX166" i="4"/>
  <c r="BH166" i="4" s="1"/>
  <c r="AZ166" i="4"/>
  <c r="BB166" i="4" s="1"/>
  <c r="BE82" i="4"/>
  <c r="BF82" i="4" s="1"/>
  <c r="BC82" i="4"/>
  <c r="AX179" i="4"/>
  <c r="BH179" i="4" s="1"/>
  <c r="AZ179" i="4"/>
  <c r="BB179" i="4" s="1"/>
  <c r="AG26" i="20" s="1"/>
  <c r="I38" i="13"/>
  <c r="G220" i="12"/>
  <c r="U220" i="9"/>
  <c r="Z220" i="9" s="1"/>
  <c r="AZ293" i="4"/>
  <c r="BB293" i="4" s="1"/>
  <c r="AX293" i="4"/>
  <c r="BH293" i="4" s="1"/>
  <c r="G105" i="14"/>
  <c r="BH329" i="4"/>
  <c r="W4" i="9"/>
  <c r="BH42" i="4"/>
  <c r="G94" i="12"/>
  <c r="U94" i="9"/>
  <c r="Z94" i="9" s="1"/>
  <c r="AC40" i="10"/>
  <c r="AF40" i="10" s="1"/>
  <c r="AH37" i="20"/>
  <c r="BC330" i="4"/>
  <c r="BE330" i="4"/>
  <c r="BC397" i="4"/>
  <c r="BE397" i="4"/>
  <c r="BF397" i="4" s="1"/>
  <c r="BC187" i="4"/>
  <c r="BE187" i="4"/>
  <c r="BF187" i="4" s="1"/>
  <c r="AA36" i="20"/>
  <c r="G102" i="14"/>
  <c r="BH316" i="4"/>
  <c r="AM17" i="12"/>
  <c r="N17" i="12"/>
  <c r="V17" i="12" s="1"/>
  <c r="L17" i="12"/>
  <c r="BC245" i="4"/>
  <c r="BE245" i="4"/>
  <c r="AC33" i="10"/>
  <c r="AF33" i="10" s="1"/>
  <c r="U72" i="9"/>
  <c r="Z72" i="9" s="1"/>
  <c r="G72" i="12"/>
  <c r="BC284" i="4"/>
  <c r="BE284" i="4"/>
  <c r="BF284" i="4" s="1"/>
  <c r="BC410" i="4"/>
  <c r="BE410" i="4"/>
  <c r="BF410" i="4" s="1"/>
  <c r="BE132" i="4"/>
  <c r="BF132" i="4" s="1"/>
  <c r="BC132" i="4"/>
  <c r="AZ411" i="4"/>
  <c r="BB411" i="4" s="1"/>
  <c r="AX411" i="4"/>
  <c r="BH411" i="4" s="1"/>
  <c r="BC377" i="4"/>
  <c r="BE377" i="4"/>
  <c r="BF377" i="4" s="1"/>
  <c r="F16" i="8"/>
  <c r="AX251" i="4"/>
  <c r="BH251" i="4" s="1"/>
  <c r="AZ251" i="4"/>
  <c r="BB251" i="4" s="1"/>
  <c r="AG31" i="20" s="1"/>
  <c r="AM20" i="7"/>
  <c r="AM4" i="7" s="1"/>
  <c r="AL20" i="7"/>
  <c r="AF4" i="7"/>
  <c r="BE153" i="4"/>
  <c r="BF153" i="4" s="1"/>
  <c r="BC153" i="4"/>
  <c r="AW150" i="7"/>
  <c r="U341" i="9"/>
  <c r="G341" i="12"/>
  <c r="AW75" i="7"/>
  <c r="BA75" i="7" s="1"/>
  <c r="U161" i="9"/>
  <c r="Z161" i="9" s="1"/>
  <c r="G161" i="12"/>
  <c r="AX291" i="4"/>
  <c r="BH291" i="4" s="1"/>
  <c r="AZ291" i="4"/>
  <c r="BB291" i="4" s="1"/>
  <c r="I54" i="13"/>
  <c r="Z17" i="9"/>
  <c r="AU120" i="7"/>
  <c r="AY120" i="7"/>
  <c r="I269" i="12"/>
  <c r="X269" i="9"/>
  <c r="DI23" i="6"/>
  <c r="DJ23" i="6" s="1"/>
  <c r="BC326" i="4"/>
  <c r="BE326" i="4"/>
  <c r="BF326" i="4" s="1"/>
  <c r="BC418" i="4"/>
  <c r="BE418" i="4"/>
  <c r="BF418" i="4" s="1"/>
  <c r="BC136" i="4"/>
  <c r="BE136" i="4"/>
  <c r="BF136" i="4" s="1"/>
  <c r="AX68" i="4"/>
  <c r="BH68" i="4" s="1"/>
  <c r="AZ68" i="4"/>
  <c r="BB68" i="4" s="1"/>
  <c r="BC208" i="4"/>
  <c r="BE208" i="4"/>
  <c r="BF208" i="4" s="1"/>
  <c r="BC104" i="4"/>
  <c r="BE104" i="4"/>
  <c r="BF104" i="4" s="1"/>
  <c r="BE302" i="4"/>
  <c r="BC302" i="4"/>
  <c r="N21" i="12"/>
  <c r="AM21" i="12"/>
  <c r="L21" i="12"/>
  <c r="G301" i="12"/>
  <c r="U301" i="9"/>
  <c r="Z301" i="9" s="1"/>
  <c r="AW134" i="7"/>
  <c r="BA134" i="7" s="1"/>
  <c r="BE343" i="4"/>
  <c r="BC343" i="4"/>
  <c r="AN4" i="5"/>
  <c r="AX219" i="4"/>
  <c r="BH219" i="4" s="1"/>
  <c r="AZ219" i="4"/>
  <c r="BB219" i="4" s="1"/>
  <c r="I43" i="13"/>
  <c r="R21" i="6"/>
  <c r="AX353" i="4"/>
  <c r="BH353" i="4" s="1"/>
  <c r="AZ353" i="4"/>
  <c r="BB353" i="4" s="1"/>
  <c r="BC318" i="4"/>
  <c r="BE318" i="4"/>
  <c r="BF318" i="4" s="1"/>
  <c r="AX348" i="4"/>
  <c r="BH348" i="4" s="1"/>
  <c r="AZ348" i="4"/>
  <c r="BB348" i="4" s="1"/>
  <c r="U240" i="9"/>
  <c r="Z240" i="9" s="1"/>
  <c r="AC89" i="10"/>
  <c r="AF89" i="10" s="1"/>
  <c r="G240" i="12"/>
  <c r="AZ266" i="4"/>
  <c r="BB266" i="4" s="1"/>
  <c r="AX266" i="4"/>
  <c r="BH266" i="4" s="1"/>
  <c r="BC320" i="4"/>
  <c r="BE320" i="4"/>
  <c r="BF320" i="4" s="1"/>
  <c r="BE146" i="4"/>
  <c r="BF146" i="4" s="1"/>
  <c r="BC146" i="4"/>
  <c r="G191" i="12"/>
  <c r="U191" i="9"/>
  <c r="Z191" i="9" s="1"/>
  <c r="AW88" i="7"/>
  <c r="BA88" i="7" s="1"/>
  <c r="G21" i="14"/>
  <c r="BH35" i="4"/>
  <c r="BC252" i="4"/>
  <c r="BE252" i="4"/>
  <c r="BF252" i="4" s="1"/>
  <c r="BC331" i="4"/>
  <c r="BE331" i="4"/>
  <c r="BF331" i="4" s="1"/>
  <c r="AX48" i="4"/>
  <c r="BH48" i="4" s="1"/>
  <c r="AZ48" i="4"/>
  <c r="BB48" i="4" s="1"/>
  <c r="BE159" i="4"/>
  <c r="BF159" i="4" s="1"/>
  <c r="BC159" i="4"/>
  <c r="G117" i="12"/>
  <c r="U117" i="9"/>
  <c r="Z117" i="9" s="1"/>
  <c r="AW57" i="7"/>
  <c r="BA57" i="7" s="1"/>
  <c r="AZ347" i="4"/>
  <c r="BB347" i="4" s="1"/>
  <c r="AG38" i="20" s="1"/>
  <c r="AX347" i="4"/>
  <c r="BH347" i="4" s="1"/>
  <c r="I62" i="13"/>
  <c r="AR145" i="7"/>
  <c r="AS145" i="7"/>
  <c r="U345" i="9"/>
  <c r="Z345" i="9" s="1"/>
  <c r="AW152" i="7"/>
  <c r="BA152" i="7" s="1"/>
  <c r="G345" i="12"/>
  <c r="AX92" i="4"/>
  <c r="AZ92" i="4"/>
  <c r="BB92" i="4" s="1"/>
  <c r="H22" i="6" s="1"/>
  <c r="AG32" i="20"/>
  <c r="BE259" i="4"/>
  <c r="BC259" i="4"/>
  <c r="U256" i="9"/>
  <c r="Z256" i="9" s="1"/>
  <c r="G256" i="12"/>
  <c r="BE248" i="4"/>
  <c r="BF248" i="4" s="1"/>
  <c r="BC248" i="4"/>
  <c r="U59" i="9"/>
  <c r="Z59" i="9" s="1"/>
  <c r="G59" i="12"/>
  <c r="AW33" i="7"/>
  <c r="BA33" i="7" s="1"/>
  <c r="BC327" i="4"/>
  <c r="BE327" i="4"/>
  <c r="BF327" i="4" s="1"/>
  <c r="AT19" i="12"/>
  <c r="Z31" i="20"/>
  <c r="G81" i="14"/>
  <c r="BH245" i="4"/>
  <c r="BC375" i="4"/>
  <c r="BE375" i="4"/>
  <c r="BF375" i="4" s="1"/>
  <c r="AZ414" i="4"/>
  <c r="BB414" i="4" s="1"/>
  <c r="AX414" i="4"/>
  <c r="AX391" i="4"/>
  <c r="BH391" i="4" s="1"/>
  <c r="AZ391" i="4"/>
  <c r="BB391" i="4" s="1"/>
  <c r="AX419" i="4"/>
  <c r="BH419" i="4" s="1"/>
  <c r="AZ419" i="4"/>
  <c r="BB419" i="4" s="1"/>
  <c r="AO149" i="12"/>
  <c r="AO70" i="7"/>
  <c r="G244" i="12"/>
  <c r="U244" i="9"/>
  <c r="Z244" i="9" s="1"/>
  <c r="U352" i="9"/>
  <c r="Z352" i="9" s="1"/>
  <c r="G352" i="12"/>
  <c r="G114" i="12"/>
  <c r="U114" i="9"/>
  <c r="Z114" i="9" s="1"/>
  <c r="G325" i="12"/>
  <c r="AW144" i="7"/>
  <c r="BA144" i="7" s="1"/>
  <c r="U325" i="9"/>
  <c r="Z325" i="9" s="1"/>
  <c r="AX4" i="7"/>
  <c r="AH135" i="7"/>
  <c r="AH29" i="20"/>
  <c r="BC218" i="4"/>
  <c r="BE218" i="4"/>
  <c r="AG20" i="7"/>
  <c r="G133" i="12"/>
  <c r="AW64" i="7"/>
  <c r="BA64" i="7" s="1"/>
  <c r="U133" i="9"/>
  <c r="Z133" i="9" s="1"/>
  <c r="AX97" i="4"/>
  <c r="BH97" i="4" s="1"/>
  <c r="AZ97" i="4"/>
  <c r="BB97" i="4" s="1"/>
  <c r="BC88" i="4"/>
  <c r="BE88" i="4"/>
  <c r="BF88" i="4" s="1"/>
  <c r="BC209" i="4"/>
  <c r="BE209" i="4"/>
  <c r="BF209" i="4" s="1"/>
  <c r="BE363" i="4"/>
  <c r="BF363" i="4" s="1"/>
  <c r="BC363" i="4"/>
  <c r="AX176" i="4"/>
  <c r="AZ176" i="4"/>
  <c r="BB176" i="4" s="1"/>
  <c r="AO185" i="12"/>
  <c r="AO85" i="7"/>
  <c r="G78" i="12"/>
  <c r="U78" i="9"/>
  <c r="Z78" i="9" s="1"/>
  <c r="AX118" i="4"/>
  <c r="BH118" i="4" s="1"/>
  <c r="AZ118" i="4"/>
  <c r="BB118" i="4" s="1"/>
  <c r="BC190" i="4"/>
  <c r="BE190" i="4"/>
  <c r="BC401" i="4"/>
  <c r="BE401" i="4"/>
  <c r="BF401" i="4" s="1"/>
  <c r="U275" i="9"/>
  <c r="Z275" i="9" s="1"/>
  <c r="AW123" i="7"/>
  <c r="BA123" i="7" s="1"/>
  <c r="G275" i="12"/>
  <c r="BC280" i="4"/>
  <c r="BE280" i="4"/>
  <c r="BF280" i="4" s="1"/>
  <c r="AX55" i="4"/>
  <c r="BH55" i="4" s="1"/>
  <c r="AZ55" i="4"/>
  <c r="BB55" i="4" s="1"/>
  <c r="BA31" i="6"/>
  <c r="BB31" i="6" s="1"/>
  <c r="BC31" i="6" s="1"/>
  <c r="BD31" i="6" s="1"/>
  <c r="AX317" i="4"/>
  <c r="BH317" i="4" s="1"/>
  <c r="AZ317" i="4"/>
  <c r="BB317" i="4" s="1"/>
  <c r="I57" i="13"/>
  <c r="AW135" i="7"/>
  <c r="G305" i="12"/>
  <c r="U305" i="9"/>
  <c r="BC120" i="4"/>
  <c r="BE120" i="4"/>
  <c r="Z17" i="20"/>
  <c r="G25" i="14"/>
  <c r="BH49" i="4"/>
  <c r="BA20" i="12"/>
  <c r="AN20" i="12"/>
  <c r="AA29" i="20"/>
  <c r="G74" i="14"/>
  <c r="BH218" i="4"/>
  <c r="AX389" i="4"/>
  <c r="BH389" i="4" s="1"/>
  <c r="I68" i="13"/>
  <c r="AZ389" i="4"/>
  <c r="BB389" i="4" s="1"/>
  <c r="AH20" i="7"/>
  <c r="U266" i="9"/>
  <c r="Z266" i="9" s="1"/>
  <c r="AC98" i="10"/>
  <c r="AF98" i="10" s="1"/>
  <c r="G266" i="12"/>
  <c r="G76" i="12"/>
  <c r="U76" i="9"/>
  <c r="Z76" i="9" s="1"/>
  <c r="BA15" i="7"/>
  <c r="AT120" i="7"/>
  <c r="AP269" i="12" s="1"/>
  <c r="BC255" i="4"/>
  <c r="BE255" i="4"/>
  <c r="BF255" i="4" s="1"/>
  <c r="Q26" i="6"/>
  <c r="AG27" i="20"/>
  <c r="BC189" i="4"/>
  <c r="BE189" i="4"/>
  <c r="BE147" i="4"/>
  <c r="BC147" i="4"/>
  <c r="G90" i="12"/>
  <c r="U90" i="9"/>
  <c r="Z90" i="9" s="1"/>
  <c r="G98" i="14"/>
  <c r="BH302" i="4"/>
  <c r="Z40" i="20"/>
  <c r="G117" i="14"/>
  <c r="BH371" i="4"/>
  <c r="BC87" i="4"/>
  <c r="BE87" i="4"/>
  <c r="BF87" i="4" s="1"/>
  <c r="AX162" i="4"/>
  <c r="AZ162" i="4"/>
  <c r="BB162" i="4" s="1"/>
  <c r="BC202" i="4"/>
  <c r="BE202" i="4"/>
  <c r="BF202" i="4" s="1"/>
  <c r="AA39" i="20"/>
  <c r="G114" i="14"/>
  <c r="BH358" i="4"/>
  <c r="AX223" i="4"/>
  <c r="BH223" i="4" s="1"/>
  <c r="AZ223" i="4"/>
  <c r="BB223" i="4" s="1"/>
  <c r="U274" i="9"/>
  <c r="Z274" i="9" s="1"/>
  <c r="G274" i="12"/>
  <c r="AC100" i="10"/>
  <c r="AF100" i="10" s="1"/>
  <c r="BC145" i="4"/>
  <c r="BE145" i="4"/>
  <c r="BF145" i="4" s="1"/>
  <c r="BC412" i="4"/>
  <c r="BE412" i="4"/>
  <c r="BF412" i="4" s="1"/>
  <c r="AH15" i="12"/>
  <c r="AX40" i="4"/>
  <c r="AA16" i="20" s="1"/>
  <c r="AZ40" i="4"/>
  <c r="BB40" i="4" s="1"/>
  <c r="U181" i="9"/>
  <c r="Z181" i="9" s="1"/>
  <c r="AW84" i="7"/>
  <c r="BA84" i="7" s="1"/>
  <c r="G181" i="12"/>
  <c r="AX70" i="4"/>
  <c r="BH70" i="4" s="1"/>
  <c r="AZ70" i="4"/>
  <c r="BB70" i="4" s="1"/>
  <c r="U182" i="9"/>
  <c r="Z182" i="9" s="1"/>
  <c r="AC70" i="10"/>
  <c r="AF70" i="10" s="1"/>
  <c r="G182" i="12"/>
  <c r="BC221" i="4"/>
  <c r="BE221" i="4"/>
  <c r="BF221" i="4" s="1"/>
  <c r="U46" i="9"/>
  <c r="Z46" i="9" s="1"/>
  <c r="AC24" i="10"/>
  <c r="AF24" i="10" s="1"/>
  <c r="G46" i="12"/>
  <c r="G145" i="12"/>
  <c r="U145" i="9"/>
  <c r="Z145" i="9" s="1"/>
  <c r="AW69" i="7"/>
  <c r="BA69" i="7" s="1"/>
  <c r="G278" i="12"/>
  <c r="AC102" i="10"/>
  <c r="AF102" i="10" s="1"/>
  <c r="U278" i="9"/>
  <c r="Z278" i="9" s="1"/>
  <c r="U214" i="9"/>
  <c r="Z214" i="9" s="1"/>
  <c r="AC80" i="10"/>
  <c r="AF80" i="10" s="1"/>
  <c r="G214" i="12"/>
  <c r="BE67" i="4"/>
  <c r="BF67" i="4" s="1"/>
  <c r="BC67" i="4"/>
  <c r="AG25" i="20"/>
  <c r="BE161" i="4"/>
  <c r="BC161" i="4"/>
  <c r="BE177" i="4"/>
  <c r="BF177" i="4" s="1"/>
  <c r="BC177" i="4"/>
  <c r="Z25" i="20"/>
  <c r="G57" i="14"/>
  <c r="BH161" i="4"/>
  <c r="AA40" i="20"/>
  <c r="G118" i="14"/>
  <c r="BH372" i="4"/>
  <c r="AW65" i="7"/>
  <c r="U137" i="9"/>
  <c r="G137" i="12"/>
  <c r="AX243" i="4"/>
  <c r="BH243" i="4" s="1"/>
  <c r="AZ243" i="4"/>
  <c r="BB243" i="4" s="1"/>
  <c r="Z32" i="20"/>
  <c r="G85" i="14"/>
  <c r="BH259" i="4"/>
  <c r="BC298" i="4"/>
  <c r="BE298" i="4"/>
  <c r="BF298" i="4" s="1"/>
  <c r="BC144" i="4"/>
  <c r="BE144" i="4"/>
  <c r="BF144" i="4" s="1"/>
  <c r="BC195" i="4"/>
  <c r="BE195" i="4"/>
  <c r="BF195" i="4" s="1"/>
  <c r="BE283" i="4"/>
  <c r="BF283" i="4" s="1"/>
  <c r="BC283" i="4"/>
  <c r="T26" i="6"/>
  <c r="P26" i="6"/>
  <c r="R26" i="6" s="1"/>
  <c r="U323" i="9"/>
  <c r="Z323" i="9" s="1"/>
  <c r="AW143" i="7"/>
  <c r="BA143" i="7" s="1"/>
  <c r="G323" i="12"/>
  <c r="AW72" i="7"/>
  <c r="BA72" i="7" s="1"/>
  <c r="U153" i="9"/>
  <c r="Z153" i="9" s="1"/>
  <c r="G153" i="12"/>
  <c r="AX158" i="4"/>
  <c r="BH158" i="4" s="1"/>
  <c r="AZ158" i="4"/>
  <c r="BB158" i="4" s="1"/>
  <c r="BC287" i="4"/>
  <c r="BE287" i="4"/>
  <c r="AX340" i="4"/>
  <c r="BH340" i="4" s="1"/>
  <c r="AZ340" i="4"/>
  <c r="BB340" i="4" s="1"/>
  <c r="AH40" i="20"/>
  <c r="BE372" i="4"/>
  <c r="BC372" i="4"/>
  <c r="G314" i="12"/>
  <c r="AC114" i="10"/>
  <c r="AF114" i="10" s="1"/>
  <c r="U314" i="9"/>
  <c r="Z314" i="9" s="1"/>
  <c r="U222" i="9"/>
  <c r="Z222" i="9" s="1"/>
  <c r="G222" i="12"/>
  <c r="BL25" i="20"/>
  <c r="BL4" i="20" s="1"/>
  <c r="BA30" i="6"/>
  <c r="BB30" i="6" s="1"/>
  <c r="BC30" i="6" s="1"/>
  <c r="BD30" i="6" s="1"/>
  <c r="BC238" i="4"/>
  <c r="BE238" i="4"/>
  <c r="BF238" i="4" s="1"/>
  <c r="AK155" i="7"/>
  <c r="AX59" i="4"/>
  <c r="BH59" i="4" s="1"/>
  <c r="AZ59" i="4"/>
  <c r="BB59" i="4" s="1"/>
  <c r="AX157" i="4"/>
  <c r="BH157" i="4" s="1"/>
  <c r="AZ157" i="4"/>
  <c r="BB157" i="4" s="1"/>
  <c r="BC356" i="4"/>
  <c r="BE356" i="4"/>
  <c r="BF356" i="4" s="1"/>
  <c r="AH42" i="20"/>
  <c r="BE400" i="4"/>
  <c r="BC400" i="4"/>
  <c r="BH33" i="4"/>
  <c r="F19" i="6"/>
  <c r="G66" i="14"/>
  <c r="BH190" i="4"/>
  <c r="BE81" i="4"/>
  <c r="BF81" i="4" s="1"/>
  <c r="BC81" i="4"/>
  <c r="BC227" i="4"/>
  <c r="BE227" i="4"/>
  <c r="BF227" i="4" s="1"/>
  <c r="BC319" i="4"/>
  <c r="BE319" i="4"/>
  <c r="BF319" i="4" s="1"/>
  <c r="BE175" i="4"/>
  <c r="BC175" i="4"/>
  <c r="BC264" i="4"/>
  <c r="BE264" i="4"/>
  <c r="BF264" i="4" s="1"/>
  <c r="BC276" i="4"/>
  <c r="BE276" i="4"/>
  <c r="BF276" i="4" s="1"/>
  <c r="BC325" i="4"/>
  <c r="BE325" i="4"/>
  <c r="BF325" i="4" s="1"/>
  <c r="G124" i="12"/>
  <c r="U124" i="9"/>
  <c r="Z124" i="9" s="1"/>
  <c r="AW79" i="7"/>
  <c r="BA79" i="7" s="1"/>
  <c r="G169" i="12"/>
  <c r="U169" i="9"/>
  <c r="Z169" i="9" s="1"/>
  <c r="U243" i="9"/>
  <c r="Z243" i="9" s="1"/>
  <c r="G243" i="12"/>
  <c r="BE236" i="4"/>
  <c r="BF236" i="4" s="1"/>
  <c r="BC236" i="4"/>
  <c r="U242" i="9"/>
  <c r="Z242" i="9" s="1"/>
  <c r="G242" i="12"/>
  <c r="AC90" i="10"/>
  <c r="AF90" i="10" s="1"/>
  <c r="AX367" i="4"/>
  <c r="BH367" i="4" s="1"/>
  <c r="AZ367" i="4"/>
  <c r="BB367" i="4" s="1"/>
  <c r="BC143" i="4"/>
  <c r="BE143" i="4"/>
  <c r="BF143" i="4" s="1"/>
  <c r="AA26" i="12"/>
  <c r="P26" i="12"/>
  <c r="O26" i="12"/>
  <c r="N26" i="12"/>
  <c r="M26" i="12"/>
  <c r="L26" i="12"/>
  <c r="AJ26" i="12"/>
  <c r="AG26" i="12"/>
  <c r="X26" i="12"/>
  <c r="V26" i="12"/>
  <c r="AL26" i="12"/>
  <c r="AD26" i="12"/>
  <c r="BE355" i="4"/>
  <c r="BF355" i="4" s="1"/>
  <c r="BC355" i="4"/>
  <c r="G46" i="14"/>
  <c r="BH120" i="4"/>
  <c r="BC297" i="4"/>
  <c r="BE297" i="4"/>
  <c r="BF297" i="4" s="1"/>
  <c r="BE49" i="4"/>
  <c r="BC49" i="4"/>
  <c r="AK4" i="7"/>
  <c r="AI4" i="7" s="1"/>
  <c r="AX173" i="4"/>
  <c r="BH173" i="4" s="1"/>
  <c r="AZ173" i="4"/>
  <c r="BB173" i="4" s="1"/>
  <c r="AX339" i="4"/>
  <c r="BH339" i="4" s="1"/>
  <c r="AZ339" i="4"/>
  <c r="BB339" i="4" s="1"/>
  <c r="AX415" i="4"/>
  <c r="BH415" i="4" s="1"/>
  <c r="AZ415" i="4"/>
  <c r="BB415" i="4" s="1"/>
  <c r="I71" i="13"/>
  <c r="BE308" i="4"/>
  <c r="BF308" i="4" s="1"/>
  <c r="BC308" i="4"/>
  <c r="AZ277" i="4"/>
  <c r="BB277" i="4" s="1"/>
  <c r="AX277" i="4"/>
  <c r="BH277" i="4" s="1"/>
  <c r="I52" i="13"/>
  <c r="BE178" i="4"/>
  <c r="BF178" i="4" s="1"/>
  <c r="BC178" i="4"/>
  <c r="BE334" i="4"/>
  <c r="BF334" i="4" s="1"/>
  <c r="BC334" i="4"/>
  <c r="AX171" i="4"/>
  <c r="BH171" i="4" s="1"/>
  <c r="AZ171" i="4"/>
  <c r="BB171" i="4" s="1"/>
  <c r="BC106" i="4"/>
  <c r="BE106" i="4"/>
  <c r="G49" i="14"/>
  <c r="BH133" i="4"/>
  <c r="AO155" i="7"/>
  <c r="BD33" i="6"/>
  <c r="Y23" i="12"/>
  <c r="AT23" i="12" s="1"/>
  <c r="AX79" i="4"/>
  <c r="BH79" i="4" s="1"/>
  <c r="AZ79" i="4"/>
  <c r="BB79" i="4" s="1"/>
  <c r="I23" i="13"/>
  <c r="G42" i="14"/>
  <c r="BH106" i="4"/>
  <c r="BC133" i="4"/>
  <c r="BE133" i="4"/>
  <c r="AO140" i="7"/>
  <c r="Q18" i="6"/>
  <c r="AN18" i="12"/>
  <c r="BA18" i="12"/>
  <c r="AB23" i="12"/>
  <c r="BC402" i="4"/>
  <c r="BE402" i="4"/>
  <c r="BF402" i="4" s="1"/>
  <c r="AX250" i="4"/>
  <c r="BH250" i="4" s="1"/>
  <c r="AZ250" i="4"/>
  <c r="BB250" i="4" s="1"/>
  <c r="U99" i="9"/>
  <c r="Z99" i="9" s="1"/>
  <c r="G99" i="12"/>
  <c r="AX137" i="4"/>
  <c r="BH137" i="4" s="1"/>
  <c r="AZ137" i="4"/>
  <c r="BB137" i="4" s="1"/>
  <c r="AG23" i="20" s="1"/>
  <c r="I32" i="13"/>
  <c r="AX73" i="4"/>
  <c r="BH73" i="4" s="1"/>
  <c r="AZ73" i="4"/>
  <c r="BB73" i="4" s="1"/>
  <c r="Z27" i="20"/>
  <c r="G65" i="14"/>
  <c r="BH189" i="4"/>
  <c r="Z24" i="20"/>
  <c r="G53" i="14"/>
  <c r="BH147" i="4"/>
  <c r="BC192" i="4"/>
  <c r="BE192" i="4"/>
  <c r="BF192" i="4" s="1"/>
  <c r="G166" i="12"/>
  <c r="U166" i="9"/>
  <c r="Z166" i="9" s="1"/>
  <c r="AC64" i="10"/>
  <c r="AF64" i="10" s="1"/>
  <c r="AG16" i="20"/>
  <c r="BC35" i="4"/>
  <c r="BE35" i="4"/>
  <c r="AT95" i="7"/>
  <c r="AP209" i="12" s="1"/>
  <c r="AS95" i="7"/>
  <c r="AR95" i="7"/>
  <c r="AA19" i="10"/>
  <c r="AB19" i="10"/>
  <c r="Z19" i="10"/>
  <c r="Z4" i="10" s="1"/>
  <c r="Y4" i="10"/>
  <c r="S4" i="10" s="1"/>
  <c r="U281" i="9"/>
  <c r="AW125" i="7"/>
  <c r="G281" i="12"/>
  <c r="AM4" i="5"/>
  <c r="AJ4" i="5"/>
  <c r="AI4" i="5"/>
  <c r="AW127" i="7"/>
  <c r="BA127" i="7" s="1"/>
  <c r="G285" i="12"/>
  <c r="U285" i="9"/>
  <c r="Z285" i="9" s="1"/>
  <c r="AS40" i="7"/>
  <c r="AR40" i="7"/>
  <c r="BC98" i="4"/>
  <c r="BE98" i="4"/>
  <c r="BF98" i="4" s="1"/>
  <c r="BC387" i="4"/>
  <c r="BE387" i="4"/>
  <c r="BF387" i="4" s="1"/>
  <c r="BC258" i="4"/>
  <c r="BE258" i="4"/>
  <c r="BF258" i="4" s="1"/>
  <c r="G206" i="12"/>
  <c r="U206" i="9"/>
  <c r="Z206" i="9" s="1"/>
  <c r="AC78" i="10"/>
  <c r="AF78" i="10" s="1"/>
  <c r="BC222" i="4"/>
  <c r="BE222" i="4"/>
  <c r="BF222" i="4" s="1"/>
  <c r="G71" i="12"/>
  <c r="AW38" i="7"/>
  <c r="BA38" i="7" s="1"/>
  <c r="U71" i="9"/>
  <c r="Z71" i="9" s="1"/>
  <c r="T18" i="6"/>
  <c r="P18" i="6"/>
  <c r="U233" i="9"/>
  <c r="AW105" i="7"/>
  <c r="G233" i="12"/>
  <c r="S4" i="20"/>
  <c r="BC96" i="4"/>
  <c r="BE96" i="4"/>
  <c r="BF96" i="4" s="1"/>
  <c r="G338" i="12"/>
  <c r="AC122" i="10"/>
  <c r="AF122" i="10" s="1"/>
  <c r="U338" i="9"/>
  <c r="Z338" i="9" s="1"/>
  <c r="BC265" i="4"/>
  <c r="BE265" i="4"/>
  <c r="BF265" i="4" s="1"/>
  <c r="AA30" i="20"/>
  <c r="G78" i="14"/>
  <c r="BH232" i="4"/>
  <c r="G89" i="14"/>
  <c r="BH273" i="4"/>
  <c r="G326" i="12"/>
  <c r="U326" i="9"/>
  <c r="Z326" i="9" s="1"/>
  <c r="AC118" i="10"/>
  <c r="AF118" i="10" s="1"/>
  <c r="AW53" i="7"/>
  <c r="BA53" i="7" s="1"/>
  <c r="U107" i="9"/>
  <c r="Z107" i="9" s="1"/>
  <c r="G107" i="12"/>
  <c r="BC417" i="4"/>
  <c r="BE417" i="4"/>
  <c r="BF417" i="4" s="1"/>
  <c r="BC360" i="4"/>
  <c r="BE360" i="4"/>
  <c r="BF360" i="4" s="1"/>
  <c r="G207" i="12"/>
  <c r="U207" i="9"/>
  <c r="Z207" i="9" s="1"/>
  <c r="U157" i="9"/>
  <c r="Z157" i="9" s="1"/>
  <c r="G157" i="12"/>
  <c r="AW74" i="7"/>
  <c r="BA74" i="7" s="1"/>
  <c r="AW30" i="7"/>
  <c r="G53" i="12"/>
  <c r="U53" i="9"/>
  <c r="AX413" i="4"/>
  <c r="AZ413" i="4"/>
  <c r="BB413" i="4" s="1"/>
  <c r="BE54" i="4"/>
  <c r="BF54" i="4" s="1"/>
  <c r="BC54" i="4"/>
  <c r="AA34" i="20"/>
  <c r="G94" i="14"/>
  <c r="BH288" i="4"/>
  <c r="BC165" i="4"/>
  <c r="BE165" i="4"/>
  <c r="BF165" i="4" s="1"/>
  <c r="G165" i="12"/>
  <c r="U165" i="9"/>
  <c r="Z165" i="9" s="1"/>
  <c r="AW77" i="7"/>
  <c r="BA77" i="7" s="1"/>
  <c r="P22" i="6"/>
  <c r="R22" i="6" s="1"/>
  <c r="T22" i="6"/>
  <c r="AW28" i="7"/>
  <c r="BA28" i="7" s="1"/>
  <c r="U47" i="9"/>
  <c r="Z47" i="9" s="1"/>
  <c r="G47" i="12"/>
  <c r="AL115" i="7"/>
  <c r="BC398" i="4"/>
  <c r="BE398" i="4"/>
  <c r="BF398" i="4" s="1"/>
  <c r="BC376" i="4"/>
  <c r="BE376" i="4"/>
  <c r="BF376" i="4" s="1"/>
  <c r="AX350" i="4"/>
  <c r="BH350" i="4" s="1"/>
  <c r="AZ350" i="4"/>
  <c r="BB350" i="4" s="1"/>
  <c r="BE116" i="4"/>
  <c r="BF116" i="4" s="1"/>
  <c r="BC116" i="4"/>
  <c r="BE354" i="4"/>
  <c r="BF354" i="4" s="1"/>
  <c r="BC354" i="4"/>
  <c r="AX124" i="4"/>
  <c r="BH124" i="4" s="1"/>
  <c r="AZ124" i="4"/>
  <c r="BB124" i="4" s="1"/>
  <c r="AH22" i="20" s="1"/>
  <c r="U258" i="9"/>
  <c r="Z258" i="9" s="1"/>
  <c r="G258" i="12"/>
  <c r="AA32" i="20"/>
  <c r="G86" i="14"/>
  <c r="BH260" i="4"/>
  <c r="AZ315" i="4"/>
  <c r="BB315" i="4" s="1"/>
  <c r="AX315" i="4"/>
  <c r="AC61" i="10"/>
  <c r="AF61" i="10" s="1"/>
  <c r="U156" i="9"/>
  <c r="Z156" i="9" s="1"/>
  <c r="G156" i="12"/>
  <c r="G122" i="12"/>
  <c r="AC50" i="10"/>
  <c r="AF50" i="10" s="1"/>
  <c r="U122" i="9"/>
  <c r="Z122" i="9" s="1"/>
  <c r="G358" i="12"/>
  <c r="AC128" i="10"/>
  <c r="AF128" i="10" s="1"/>
  <c r="U358" i="9"/>
  <c r="Z358" i="9" s="1"/>
  <c r="G346" i="12"/>
  <c r="AC124" i="10"/>
  <c r="AF124" i="10" s="1"/>
  <c r="U346" i="9"/>
  <c r="Z346" i="9" s="1"/>
  <c r="BC263" i="4"/>
  <c r="BE263" i="4"/>
  <c r="BF263" i="4" s="1"/>
  <c r="BE349" i="4"/>
  <c r="BF349" i="4" s="1"/>
  <c r="BC349" i="4"/>
  <c r="BC336" i="4"/>
  <c r="BE336" i="4"/>
  <c r="BF336" i="4" s="1"/>
  <c r="F36" i="8"/>
  <c r="Z19" i="20"/>
  <c r="G33" i="14"/>
  <c r="BH77" i="4"/>
  <c r="Z18" i="20"/>
  <c r="G29" i="14"/>
  <c r="BH63" i="4"/>
  <c r="U245" i="9"/>
  <c r="AW110" i="7"/>
  <c r="G245" i="12"/>
  <c r="AS60" i="7"/>
  <c r="AT60" i="7" s="1"/>
  <c r="AP125" i="12" s="1"/>
  <c r="AR60" i="7"/>
  <c r="G313" i="12"/>
  <c r="U313" i="9"/>
  <c r="Z313" i="9" s="1"/>
  <c r="AW139" i="7"/>
  <c r="BA139" i="7" s="1"/>
  <c r="AT150" i="7"/>
  <c r="AP341" i="12" s="1"/>
  <c r="AR150" i="7"/>
  <c r="AS150" i="7"/>
  <c r="U354" i="9"/>
  <c r="Z354" i="9" s="1"/>
  <c r="G354" i="12"/>
  <c r="AX149" i="4"/>
  <c r="BH149" i="4" s="1"/>
  <c r="AZ149" i="4"/>
  <c r="BB149" i="4" s="1"/>
  <c r="I33" i="13"/>
  <c r="U218" i="9"/>
  <c r="Z218" i="9" s="1"/>
  <c r="G218" i="12"/>
  <c r="AC82" i="10"/>
  <c r="AF82" i="10" s="1"/>
  <c r="Y15" i="12"/>
  <c r="AM15" i="12"/>
  <c r="BE364" i="4"/>
  <c r="BF364" i="4" s="1"/>
  <c r="BC364" i="4"/>
  <c r="BE191" i="4"/>
  <c r="BF191" i="4" s="1"/>
  <c r="BC191" i="4"/>
  <c r="G123" i="12"/>
  <c r="U123" i="9"/>
  <c r="Z123" i="9" s="1"/>
  <c r="AX102" i="4"/>
  <c r="BH102" i="4" s="1"/>
  <c r="AZ102" i="4"/>
  <c r="BB102" i="4" s="1"/>
  <c r="AX381" i="4"/>
  <c r="BH381" i="4" s="1"/>
  <c r="AZ381" i="4"/>
  <c r="BB381" i="4" s="1"/>
  <c r="T28" i="6"/>
  <c r="P28" i="6"/>
  <c r="R28" i="6" s="1"/>
  <c r="BE392" i="4"/>
  <c r="BF392" i="4" s="1"/>
  <c r="BC392" i="4"/>
  <c r="G73" i="14"/>
  <c r="BH217" i="4"/>
  <c r="AZ382" i="4"/>
  <c r="BB382" i="4" s="1"/>
  <c r="AX382" i="4"/>
  <c r="BH382" i="4" s="1"/>
  <c r="AH30" i="20"/>
  <c r="BE232" i="4"/>
  <c r="BC232" i="4"/>
  <c r="AG33" i="20"/>
  <c r="BC273" i="4"/>
  <c r="BE273" i="4"/>
  <c r="BE241" i="4"/>
  <c r="BF241" i="4" s="1"/>
  <c r="BC241" i="4"/>
  <c r="BC181" i="4"/>
  <c r="BE181" i="4"/>
  <c r="BF181" i="4" s="1"/>
  <c r="BE61" i="4"/>
  <c r="BF61" i="4" s="1"/>
  <c r="BC61" i="4"/>
  <c r="BE53" i="4"/>
  <c r="BF53" i="4" s="1"/>
  <c r="BC53" i="4"/>
  <c r="AW35" i="7"/>
  <c r="U65" i="9"/>
  <c r="G65" i="12"/>
  <c r="G141" i="12"/>
  <c r="U141" i="9"/>
  <c r="Z141" i="9" s="1"/>
  <c r="AW67" i="7"/>
  <c r="BA67" i="7" s="1"/>
  <c r="AX76" i="4"/>
  <c r="BH76" i="4" s="1"/>
  <c r="AZ76" i="4"/>
  <c r="BB76" i="4" s="1"/>
  <c r="BC300" i="4"/>
  <c r="BE300" i="4"/>
  <c r="BF300" i="4" s="1"/>
  <c r="AH32" i="20"/>
  <c r="BC260" i="4"/>
  <c r="BE260" i="4"/>
  <c r="AC54" i="10"/>
  <c r="AF54" i="10" s="1"/>
  <c r="G134" i="12"/>
  <c r="U134" i="9"/>
  <c r="Z134" i="9" s="1"/>
  <c r="BE180" i="4"/>
  <c r="BF180" i="4" s="1"/>
  <c r="BC180" i="4"/>
  <c r="BC140" i="4"/>
  <c r="BE140" i="4"/>
  <c r="BF140" i="4" s="1"/>
  <c r="BE416" i="4"/>
  <c r="BF416" i="4" s="1"/>
  <c r="BC416" i="4"/>
  <c r="AR105" i="7"/>
  <c r="AT105" i="7"/>
  <c r="AP233" i="12" s="1"/>
  <c r="AS105" i="7"/>
  <c r="BE84" i="4"/>
  <c r="BF84" i="4" s="1"/>
  <c r="BC84" i="4"/>
  <c r="BC56" i="4"/>
  <c r="BE56" i="4"/>
  <c r="BF56" i="4" s="1"/>
  <c r="BC314" i="4"/>
  <c r="BE314" i="4"/>
  <c r="BF314" i="4" s="1"/>
  <c r="G201" i="12"/>
  <c r="AW92" i="7"/>
  <c r="BA92" i="7" s="1"/>
  <c r="U201" i="9"/>
  <c r="Z201" i="9" s="1"/>
  <c r="BE101" i="4"/>
  <c r="BF101" i="4" s="1"/>
  <c r="BC101" i="4"/>
  <c r="AU15" i="20"/>
  <c r="AN19" i="12"/>
  <c r="BA19" i="12"/>
  <c r="G194" i="12"/>
  <c r="AC74" i="10"/>
  <c r="AF74" i="10" s="1"/>
  <c r="U194" i="9"/>
  <c r="Z194" i="9" s="1"/>
  <c r="G270" i="12"/>
  <c r="U270" i="9"/>
  <c r="Z270" i="9" s="1"/>
  <c r="BC405" i="4"/>
  <c r="BE405" i="4"/>
  <c r="BF405" i="4" s="1"/>
  <c r="BC200" i="4"/>
  <c r="BE200" i="4"/>
  <c r="BF200" i="4" s="1"/>
  <c r="BC313" i="4"/>
  <c r="BE313" i="4"/>
  <c r="BF313" i="4" s="1"/>
  <c r="U84" i="9"/>
  <c r="Z84" i="9" s="1"/>
  <c r="G84" i="12"/>
  <c r="AC37" i="10"/>
  <c r="AF37" i="10" s="1"/>
  <c r="BE69" i="4"/>
  <c r="BF69" i="4" s="1"/>
  <c r="BC69" i="4"/>
  <c r="G229" i="12"/>
  <c r="AW104" i="7"/>
  <c r="BA104" i="7" s="1"/>
  <c r="U229" i="9"/>
  <c r="Z229" i="9" s="1"/>
  <c r="G87" i="12"/>
  <c r="U87" i="9"/>
  <c r="Z87" i="9" s="1"/>
  <c r="T16" i="6"/>
  <c r="AN23" i="12"/>
  <c r="BA23" i="12"/>
  <c r="G241" i="12"/>
  <c r="U241" i="9"/>
  <c r="Z241" i="9" s="1"/>
  <c r="AW109" i="7"/>
  <c r="BA109" i="7" s="1"/>
  <c r="AX164" i="4"/>
  <c r="BH164" i="4" s="1"/>
  <c r="AZ164" i="4"/>
  <c r="BB164" i="4" s="1"/>
  <c r="BE91" i="4"/>
  <c r="BC91" i="4"/>
  <c r="U350" i="9"/>
  <c r="Z350" i="9" s="1"/>
  <c r="AC126" i="10"/>
  <c r="AF126" i="10" s="1"/>
  <c r="G350" i="12"/>
  <c r="AX228" i="4"/>
  <c r="BH228" i="4" s="1"/>
  <c r="AZ228" i="4"/>
  <c r="BB228" i="4" s="1"/>
  <c r="G226" i="12"/>
  <c r="U226" i="9"/>
  <c r="Z226" i="9" s="1"/>
  <c r="AC84" i="10"/>
  <c r="AF84" i="10" s="1"/>
  <c r="AH31" i="20"/>
  <c r="BC246" i="4"/>
  <c r="BE246" i="4"/>
  <c r="BC117" i="4"/>
  <c r="BE117" i="4"/>
  <c r="BF117" i="4" s="1"/>
  <c r="G190" i="12"/>
  <c r="AC72" i="10"/>
  <c r="AF72" i="10" s="1"/>
  <c r="U190" i="9"/>
  <c r="Z190" i="9" s="1"/>
  <c r="U225" i="9"/>
  <c r="Z225" i="9" s="1"/>
  <c r="AW102" i="7"/>
  <c r="BA102" i="7" s="1"/>
  <c r="G225" i="12"/>
  <c r="AC25" i="10"/>
  <c r="AF25" i="10" s="1"/>
  <c r="G48" i="12"/>
  <c r="U48" i="9"/>
  <c r="Z48" i="9" s="1"/>
  <c r="AS45" i="7"/>
  <c r="AT45" i="7" s="1"/>
  <c r="AP89" i="12" s="1"/>
  <c r="AR45" i="7"/>
  <c r="Z41" i="20"/>
  <c r="G121" i="14"/>
  <c r="BH385" i="4"/>
  <c r="AX305" i="4"/>
  <c r="BH305" i="4" s="1"/>
  <c r="AZ305" i="4"/>
  <c r="BB305" i="4" s="1"/>
  <c r="I56" i="13"/>
  <c r="AZ312" i="4"/>
  <c r="BB312" i="4" s="1"/>
  <c r="AX312" i="4"/>
  <c r="BH312" i="4" s="1"/>
  <c r="R19" i="6"/>
  <c r="AD4" i="7"/>
  <c r="AD16" i="12"/>
  <c r="X16" i="12"/>
  <c r="O16" i="12"/>
  <c r="N16" i="12"/>
  <c r="AL16" i="12"/>
  <c r="AJ16" i="12"/>
  <c r="AG16" i="12"/>
  <c r="AA16" i="12"/>
  <c r="V16" i="12"/>
  <c r="P16" i="12"/>
  <c r="M16" i="12"/>
  <c r="L16" i="12"/>
  <c r="AX93" i="4"/>
  <c r="BH93" i="4" s="1"/>
  <c r="AZ93" i="4"/>
  <c r="BB93" i="4" s="1"/>
  <c r="I25" i="13"/>
  <c r="G342" i="12"/>
  <c r="U342" i="9"/>
  <c r="Z342" i="9" s="1"/>
  <c r="AC117" i="10"/>
  <c r="AF117" i="10" s="1"/>
  <c r="G324" i="12"/>
  <c r="U324" i="9"/>
  <c r="Z324" i="9" s="1"/>
  <c r="U100" i="9"/>
  <c r="Z100" i="9" s="1"/>
  <c r="G100" i="12"/>
  <c r="AX95" i="4"/>
  <c r="BH95" i="4" s="1"/>
  <c r="I26" i="13"/>
  <c r="AZ95" i="4"/>
  <c r="BB95" i="4" s="1"/>
  <c r="G304" i="12"/>
  <c r="U304" i="9"/>
  <c r="Z304" i="9" s="1"/>
  <c r="Z21" i="20"/>
  <c r="G41" i="14"/>
  <c r="BH105" i="4"/>
  <c r="AL135" i="7"/>
  <c r="BE199" i="4"/>
  <c r="BF199" i="4" s="1"/>
  <c r="BC199" i="4"/>
  <c r="AL45" i="7"/>
  <c r="AH41" i="20"/>
  <c r="BC386" i="4"/>
  <c r="BE386" i="4"/>
  <c r="BC174" i="4"/>
  <c r="BE174" i="4"/>
  <c r="BF174" i="4" s="1"/>
  <c r="AG35" i="20"/>
  <c r="BC301" i="4"/>
  <c r="BE301" i="4"/>
  <c r="BD4" i="20"/>
  <c r="AX32" i="4"/>
  <c r="AZ32" i="4"/>
  <c r="BB32" i="4" s="1"/>
  <c r="AT18" i="12"/>
  <c r="AU18" i="12" s="1"/>
  <c r="AV18" i="12" s="1"/>
  <c r="AX384" i="4"/>
  <c r="BH384" i="4" s="1"/>
  <c r="AZ384" i="4"/>
  <c r="BB384" i="4" s="1"/>
  <c r="AW103" i="7"/>
  <c r="BA103" i="7" s="1"/>
  <c r="G227" i="12"/>
  <c r="U227" i="9"/>
  <c r="Z227" i="9" s="1"/>
  <c r="BC90" i="4"/>
  <c r="BE90" i="4"/>
  <c r="BF90" i="4" s="1"/>
  <c r="BE45" i="4"/>
  <c r="BF45" i="4" s="1"/>
  <c r="BC45" i="4"/>
  <c r="BC249" i="4"/>
  <c r="BE249" i="4"/>
  <c r="BF249" i="4" s="1"/>
  <c r="G93" i="14"/>
  <c r="BH287" i="4"/>
  <c r="G39" i="12"/>
  <c r="U39" i="9"/>
  <c r="Z39" i="9" s="1"/>
  <c r="U215" i="9"/>
  <c r="Z215" i="9" s="1"/>
  <c r="AW98" i="7"/>
  <c r="BA98" i="7" s="1"/>
  <c r="G215" i="12"/>
  <c r="U276" i="9"/>
  <c r="Z276" i="9" s="1"/>
  <c r="G276" i="12"/>
  <c r="AC101" i="10"/>
  <c r="AF101" i="10" s="1"/>
  <c r="G126" i="12"/>
  <c r="U126" i="9"/>
  <c r="Z126" i="9" s="1"/>
  <c r="AA33" i="20"/>
  <c r="G90" i="14"/>
  <c r="BH274" i="4"/>
  <c r="BC242" i="4"/>
  <c r="BE242" i="4"/>
  <c r="BF242" i="4" s="1"/>
  <c r="AX289" i="4"/>
  <c r="BH289" i="4" s="1"/>
  <c r="AZ289" i="4"/>
  <c r="BB289" i="4" s="1"/>
  <c r="I53" i="13"/>
  <c r="AT125" i="7"/>
  <c r="AP281" i="12" s="1"/>
  <c r="AR125" i="7"/>
  <c r="AS125" i="7"/>
  <c r="AS65" i="7"/>
  <c r="AT65" i="7" s="1"/>
  <c r="AP137" i="12" s="1"/>
  <c r="AR65" i="7"/>
  <c r="AG29" i="20"/>
  <c r="BC217" i="4"/>
  <c r="BE217" i="4"/>
  <c r="G306" i="12"/>
  <c r="U306" i="9"/>
  <c r="Z306" i="9" s="1"/>
  <c r="AA42" i="20"/>
  <c r="G126" i="14"/>
  <c r="BH400" i="4"/>
  <c r="BE33" i="4"/>
  <c r="BC33" i="4"/>
  <c r="H19" i="6"/>
  <c r="BC139" i="4"/>
  <c r="BE139" i="4"/>
  <c r="BF139" i="4" s="1"/>
  <c r="G195" i="12"/>
  <c r="U195" i="9"/>
  <c r="Z195" i="9" s="1"/>
  <c r="Z26" i="20"/>
  <c r="G61" i="14"/>
  <c r="BH175" i="4"/>
  <c r="AT90" i="7"/>
  <c r="AP197" i="12" s="1"/>
  <c r="AS90" i="7"/>
  <c r="AR90" i="7"/>
  <c r="AC85" i="10"/>
  <c r="AF85" i="10" s="1"/>
  <c r="U228" i="9"/>
  <c r="Z228" i="9" s="1"/>
  <c r="G228" i="12"/>
  <c r="AX204" i="4"/>
  <c r="AZ204" i="4"/>
  <c r="BB204" i="4" s="1"/>
  <c r="U279" i="9"/>
  <c r="Z279" i="9" s="1"/>
  <c r="G279" i="12"/>
  <c r="AS35" i="7"/>
  <c r="AT35" i="7" s="1"/>
  <c r="AP65" i="12" s="1"/>
  <c r="AR35" i="7"/>
  <c r="AF18" i="10"/>
  <c r="BD29" i="6"/>
  <c r="BC75" i="4"/>
  <c r="BE75" i="4"/>
  <c r="BF75" i="4" s="1"/>
  <c r="AX185" i="4"/>
  <c r="BH185" i="4" s="1"/>
  <c r="AZ185" i="4"/>
  <c r="BB185" i="4" s="1"/>
  <c r="BE154" i="4"/>
  <c r="BF154" i="4" s="1"/>
  <c r="BC154" i="4"/>
  <c r="AC60" i="10"/>
  <c r="AF60" i="10" s="1"/>
  <c r="G154" i="12"/>
  <c r="U154" i="9"/>
  <c r="Z154" i="9" s="1"/>
  <c r="U208" i="9"/>
  <c r="Z208" i="9" s="1"/>
  <c r="G208" i="12"/>
  <c r="AB15" i="12"/>
  <c r="G333" i="12"/>
  <c r="U333" i="9"/>
  <c r="Z333" i="9" s="1"/>
  <c r="AW147" i="7"/>
  <c r="BA147" i="7" s="1"/>
  <c r="BE233" i="4"/>
  <c r="BF233" i="4" s="1"/>
  <c r="BC233" i="4"/>
  <c r="AA27" i="6"/>
  <c r="AC27" i="6" s="1"/>
  <c r="AE27" i="6" s="1"/>
  <c r="U192" i="9"/>
  <c r="Z192" i="9" s="1"/>
  <c r="AC73" i="10"/>
  <c r="AF73" i="10" s="1"/>
  <c r="G192" i="12"/>
  <c r="BC224" i="4"/>
  <c r="BE224" i="4"/>
  <c r="BF224" i="4" s="1"/>
  <c r="G121" i="12"/>
  <c r="U121" i="9"/>
  <c r="Z121" i="9" s="1"/>
  <c r="AW59" i="7"/>
  <c r="BA59" i="7" s="1"/>
  <c r="BC378" i="4"/>
  <c r="BE378" i="4"/>
  <c r="BF378" i="4" s="1"/>
  <c r="BC123" i="4"/>
  <c r="BE123" i="4"/>
  <c r="BF123" i="4" s="1"/>
  <c r="AW158" i="7"/>
  <c r="BA158" i="7" s="1"/>
  <c r="U359" i="9"/>
  <c r="Z359" i="9" s="1"/>
  <c r="G359" i="12"/>
  <c r="G310" i="12"/>
  <c r="U310" i="9"/>
  <c r="Z310" i="9" s="1"/>
  <c r="AC112" i="10"/>
  <c r="AF112" i="10" s="1"/>
  <c r="G54" i="12"/>
  <c r="U54" i="9"/>
  <c r="Z54" i="9" s="1"/>
  <c r="U202" i="9"/>
  <c r="Z202" i="9" s="1"/>
  <c r="AC76" i="10"/>
  <c r="AF76" i="10" s="1"/>
  <c r="G202" i="12"/>
  <c r="AN125" i="7"/>
  <c r="AH34" i="20"/>
  <c r="BC288" i="4"/>
  <c r="BE288" i="4"/>
  <c r="BE220" i="4"/>
  <c r="BF220" i="4" s="1"/>
  <c r="BC220" i="4"/>
  <c r="AX46" i="4"/>
  <c r="BH46" i="4" s="1"/>
  <c r="AZ46" i="4"/>
  <c r="BB46" i="4" s="1"/>
  <c r="AR110" i="7"/>
  <c r="AS110" i="7"/>
  <c r="AT110" i="7" s="1"/>
  <c r="AP245" i="12" s="1"/>
  <c r="U297" i="9"/>
  <c r="Z297" i="9" s="1"/>
  <c r="AW132" i="7"/>
  <c r="BA132" i="7" s="1"/>
  <c r="G297" i="12"/>
  <c r="U74" i="9"/>
  <c r="Z74" i="9" s="1"/>
  <c r="G74" i="12"/>
  <c r="AC34" i="10"/>
  <c r="AF34" i="10" s="1"/>
  <c r="AE15" i="12"/>
  <c r="G50" i="12"/>
  <c r="U50" i="9"/>
  <c r="Z50" i="9" s="1"/>
  <c r="AC26" i="10"/>
  <c r="AF26" i="10" s="1"/>
  <c r="BE286" i="4"/>
  <c r="BF286" i="4" s="1"/>
  <c r="BC286" i="4"/>
  <c r="BC345" i="4"/>
  <c r="BE345" i="4"/>
  <c r="BF345" i="4" s="1"/>
  <c r="AX299" i="4"/>
  <c r="BH299" i="4" s="1"/>
  <c r="AZ299" i="4"/>
  <c r="BB299" i="4" s="1"/>
  <c r="AK15" i="12"/>
  <c r="AP17" i="12"/>
  <c r="U349" i="9"/>
  <c r="Z349" i="9" s="1"/>
  <c r="AW154" i="7"/>
  <c r="BA154" i="7" s="1"/>
  <c r="G349" i="12"/>
  <c r="AX335" i="4"/>
  <c r="BH335" i="4" s="1"/>
  <c r="AZ335" i="4"/>
  <c r="BB335" i="4" s="1"/>
  <c r="G172" i="12"/>
  <c r="U172" i="9"/>
  <c r="Z172" i="9" s="1"/>
  <c r="U269" i="9"/>
  <c r="Z269" i="9" s="1"/>
  <c r="G269" i="12"/>
  <c r="AW120" i="7"/>
  <c r="BA120" i="7" s="1"/>
  <c r="AX186" i="4"/>
  <c r="BH186" i="4" s="1"/>
  <c r="AZ186" i="4"/>
  <c r="BB186" i="4" s="1"/>
  <c r="AW34" i="7"/>
  <c r="BA34" i="7" s="1"/>
  <c r="G61" i="12"/>
  <c r="U61" i="9"/>
  <c r="Z61" i="9" s="1"/>
  <c r="BC229" i="4"/>
  <c r="BE229" i="4"/>
  <c r="BF229" i="4" s="1"/>
  <c r="BC138" i="4"/>
  <c r="BE138" i="4"/>
  <c r="BF138" i="4" s="1"/>
  <c r="BC279" i="4"/>
  <c r="BE279" i="4"/>
  <c r="BF279" i="4" s="1"/>
  <c r="G37" i="14"/>
  <c r="BH91" i="4"/>
  <c r="BC406" i="4"/>
  <c r="BE406" i="4"/>
  <c r="BF406" i="4" s="1"/>
  <c r="BE193" i="4"/>
  <c r="BF193" i="4" s="1"/>
  <c r="BC193" i="4"/>
  <c r="AV25" i="12"/>
  <c r="AN25" i="12"/>
  <c r="BA25" i="12"/>
  <c r="BC262" i="4"/>
  <c r="BE262" i="4"/>
  <c r="BF262" i="4" s="1"/>
  <c r="AA31" i="20"/>
  <c r="G82" i="14"/>
  <c r="BH246" i="4"/>
  <c r="G101" i="12"/>
  <c r="U101" i="9"/>
  <c r="AW50" i="7"/>
  <c r="BC261" i="4"/>
  <c r="BE261" i="4"/>
  <c r="BF261" i="4" s="1"/>
  <c r="AZ129" i="4"/>
  <c r="BB129" i="4" s="1"/>
  <c r="AX129" i="4"/>
  <c r="BH129" i="4" s="1"/>
  <c r="U143" i="9"/>
  <c r="Z143" i="9" s="1"/>
  <c r="AW68" i="7"/>
  <c r="BA68" i="7" s="1"/>
  <c r="G143" i="12"/>
  <c r="AX215" i="4"/>
  <c r="BH215" i="4" s="1"/>
  <c r="AZ215" i="4"/>
  <c r="BB215" i="4" s="1"/>
  <c r="AG41" i="20"/>
  <c r="BC385" i="4"/>
  <c r="BE385" i="4"/>
  <c r="BE307" i="4"/>
  <c r="BF307" i="4" s="1"/>
  <c r="BC307" i="4"/>
  <c r="BE83" i="4"/>
  <c r="BF83" i="4" s="1"/>
  <c r="BC83" i="4"/>
  <c r="BC213" i="4"/>
  <c r="BE213" i="4"/>
  <c r="BF213" i="4" s="1"/>
  <c r="AO4" i="12"/>
  <c r="BC216" i="4"/>
  <c r="BE216" i="4"/>
  <c r="BF216" i="4" s="1"/>
  <c r="BE74" i="4"/>
  <c r="BF74" i="4" s="1"/>
  <c r="BC74" i="4"/>
  <c r="AR100" i="7"/>
  <c r="AS100" i="7"/>
  <c r="AT100" i="7" s="1"/>
  <c r="AP221" i="12" s="1"/>
  <c r="BE125" i="4"/>
  <c r="BF125" i="4" s="1"/>
  <c r="BC125" i="4"/>
  <c r="AG21" i="20"/>
  <c r="BE105" i="4"/>
  <c r="BC105" i="4"/>
  <c r="T23" i="6"/>
  <c r="P23" i="6"/>
  <c r="R23" i="6" s="1"/>
  <c r="U171" i="9"/>
  <c r="Z171" i="9" s="1"/>
  <c r="G171" i="12"/>
  <c r="AA41" i="20"/>
  <c r="G122" i="14"/>
  <c r="BH386" i="4"/>
  <c r="G150" i="12"/>
  <c r="U150" i="9"/>
  <c r="Z150" i="9" s="1"/>
  <c r="G97" i="14"/>
  <c r="BH301" i="4"/>
  <c r="AL4" i="5"/>
  <c r="AX126" i="4"/>
  <c r="BH126" i="4" s="1"/>
  <c r="AZ126" i="4"/>
  <c r="BB126" i="4" s="1"/>
  <c r="BC390" i="4"/>
  <c r="BE390" i="4"/>
  <c r="BF390" i="4" s="1"/>
  <c r="AR115" i="7"/>
  <c r="AS115" i="7"/>
  <c r="AX194" i="4"/>
  <c r="BH194" i="4" s="1"/>
  <c r="AZ194" i="4"/>
  <c r="BB194" i="4" s="1"/>
  <c r="BE311" i="4"/>
  <c r="BF311" i="4" s="1"/>
  <c r="BC311" i="4"/>
  <c r="G238" i="12"/>
  <c r="U238" i="9"/>
  <c r="Z238" i="9" s="1"/>
  <c r="AC88" i="10"/>
  <c r="AF88" i="10" s="1"/>
  <c r="BE62" i="4"/>
  <c r="BF62" i="4" s="1"/>
  <c r="BC62" i="4"/>
  <c r="BC234" i="4"/>
  <c r="BE234" i="4"/>
  <c r="BF234" i="4" s="1"/>
  <c r="G204" i="12"/>
  <c r="U204" i="9"/>
  <c r="Z204" i="9" s="1"/>
  <c r="AC77" i="10"/>
  <c r="AF77" i="10" s="1"/>
  <c r="BC271" i="4"/>
  <c r="BE271" i="4"/>
  <c r="BF271" i="4" s="1"/>
  <c r="U255" i="9"/>
  <c r="Z255" i="9" s="1"/>
  <c r="G255" i="12"/>
  <c r="BC163" i="4"/>
  <c r="BE163" i="4"/>
  <c r="BF163" i="4" s="1"/>
  <c r="AU20" i="12"/>
  <c r="AV20" i="12" s="1"/>
  <c r="G16" i="11"/>
  <c r="AC105" i="10"/>
  <c r="AF105" i="10" s="1"/>
  <c r="G288" i="12"/>
  <c r="U288" i="9"/>
  <c r="Z288" i="9" s="1"/>
  <c r="AH33" i="20"/>
  <c r="BC274" i="4"/>
  <c r="BE274" i="4"/>
  <c r="G86" i="12"/>
  <c r="AC38" i="10"/>
  <c r="AF38" i="10" s="1"/>
  <c r="U86" i="9"/>
  <c r="Z86" i="9" s="1"/>
  <c r="G246" i="12"/>
  <c r="U246" i="9"/>
  <c r="Z246" i="9" s="1"/>
  <c r="BC257" i="4"/>
  <c r="BE257" i="4"/>
  <c r="BF257" i="4" s="1"/>
  <c r="AX112" i="4"/>
  <c r="BH112" i="4" s="1"/>
  <c r="AZ112" i="4"/>
  <c r="BB112" i="4" s="1"/>
  <c r="BH41" i="4"/>
  <c r="AX404" i="4"/>
  <c r="BH404" i="4" s="1"/>
  <c r="AZ404" i="4"/>
  <c r="BB404" i="4" s="1"/>
  <c r="BE109" i="4"/>
  <c r="BF109" i="4" s="1"/>
  <c r="BC109" i="4"/>
  <c r="BE172" i="4"/>
  <c r="BF172" i="4" s="1"/>
  <c r="BC172" i="4"/>
  <c r="BE107" i="4"/>
  <c r="BF107" i="4" s="1"/>
  <c r="BC107" i="4"/>
  <c r="U197" i="9"/>
  <c r="G197" i="12"/>
  <c r="AW90" i="7"/>
  <c r="AC49" i="10"/>
  <c r="AF49" i="10" s="1"/>
  <c r="G120" i="12"/>
  <c r="U120" i="9"/>
  <c r="Z120" i="9" s="1"/>
  <c r="P20" i="6"/>
  <c r="R20" i="6" s="1"/>
  <c r="T20" i="6"/>
  <c r="AH24" i="20"/>
  <c r="BE148" i="4"/>
  <c r="BC148" i="4"/>
  <c r="BC272" i="4"/>
  <c r="BE272" i="4"/>
  <c r="BF272" i="4" s="1"/>
  <c r="AT50" i="7"/>
  <c r="AP101" i="12" s="1"/>
  <c r="AS50" i="7"/>
  <c r="AR50" i="7"/>
  <c r="G262" i="12"/>
  <c r="U262" i="9"/>
  <c r="Z262" i="9" s="1"/>
  <c r="AC96" i="10"/>
  <c r="AF96" i="10" s="1"/>
  <c r="G265" i="12"/>
  <c r="AW119" i="7"/>
  <c r="BA119" i="7" s="1"/>
  <c r="U265" i="9"/>
  <c r="Z265" i="9" s="1"/>
  <c r="U73" i="9"/>
  <c r="Z73" i="9" s="1"/>
  <c r="G73" i="12"/>
  <c r="AW39" i="7"/>
  <c r="BA39" i="7" s="1"/>
  <c r="U183" i="9"/>
  <c r="Z183" i="9" s="1"/>
  <c r="G183" i="12"/>
  <c r="BC420" i="4"/>
  <c r="BE420" i="4"/>
  <c r="BF420" i="4" s="1"/>
  <c r="G110" i="14"/>
  <c r="BH344" i="4"/>
  <c r="G186" i="12"/>
  <c r="U186" i="9"/>
  <c r="Z186" i="9" s="1"/>
  <c r="U64" i="9"/>
  <c r="Z64" i="9" s="1"/>
  <c r="G64" i="12"/>
  <c r="AW54" i="7"/>
  <c r="BA54" i="7" s="1"/>
  <c r="U109" i="9"/>
  <c r="Z109" i="9" s="1"/>
  <c r="G109" i="12"/>
  <c r="BC111" i="4"/>
  <c r="BE111" i="4"/>
  <c r="BF111" i="4" s="1"/>
  <c r="BE89" i="4"/>
  <c r="BF89" i="4" s="1"/>
  <c r="BC89" i="4"/>
  <c r="U232" i="9"/>
  <c r="Z232" i="9" s="1"/>
  <c r="G232" i="12"/>
  <c r="BC369" i="4"/>
  <c r="BE369" i="4"/>
  <c r="BF369" i="4" s="1"/>
  <c r="BE188" i="4"/>
  <c r="BF188" i="4" s="1"/>
  <c r="BC188" i="4"/>
  <c r="AZ306" i="4"/>
  <c r="BB306" i="4" s="1"/>
  <c r="AX306" i="4"/>
  <c r="BH306" i="4" s="1"/>
  <c r="AC121" i="10"/>
  <c r="AF121" i="10" s="1"/>
  <c r="G336" i="12"/>
  <c r="U336" i="9"/>
  <c r="Z336" i="9" s="1"/>
  <c r="AR130" i="7"/>
  <c r="AT130" i="7"/>
  <c r="AP293" i="12" s="1"/>
  <c r="AS130" i="7"/>
  <c r="AO135" i="7"/>
  <c r="W17" i="6" l="1"/>
  <c r="S17" i="6"/>
  <c r="O93" i="14"/>
  <c r="X93" i="14" s="1"/>
  <c r="AA93" i="14" s="1"/>
  <c r="AC93" i="14" s="1"/>
  <c r="N93" i="14"/>
  <c r="BC32" i="4"/>
  <c r="BE32" i="4"/>
  <c r="H18" i="6"/>
  <c r="G268" i="12"/>
  <c r="U268" i="9"/>
  <c r="Z268" i="9" s="1"/>
  <c r="AD72" i="12"/>
  <c r="AE72" i="12" s="1"/>
  <c r="AJ72" i="12"/>
  <c r="AK72" i="12" s="1"/>
  <c r="X72" i="12"/>
  <c r="V72" i="12"/>
  <c r="O72" i="12"/>
  <c r="M72" i="12"/>
  <c r="AG72" i="12"/>
  <c r="AH72" i="12" s="1"/>
  <c r="AA72" i="12"/>
  <c r="AB72" i="12" s="1"/>
  <c r="P72" i="12"/>
  <c r="N72" i="12"/>
  <c r="L72" i="12"/>
  <c r="AL72" i="12"/>
  <c r="G253" i="12"/>
  <c r="AW114" i="7"/>
  <c r="BA114" i="7" s="1"/>
  <c r="U253" i="9"/>
  <c r="Z253" i="9" s="1"/>
  <c r="AT30" i="7"/>
  <c r="AP53" i="12" s="1"/>
  <c r="AS30" i="7"/>
  <c r="AR30" i="7"/>
  <c r="X204" i="12"/>
  <c r="V204" i="12"/>
  <c r="P204" i="12"/>
  <c r="O204" i="12"/>
  <c r="N204" i="12"/>
  <c r="AL204" i="12"/>
  <c r="L204" i="12"/>
  <c r="AJ204" i="12"/>
  <c r="AK204" i="12" s="1"/>
  <c r="AG204" i="12"/>
  <c r="AH204" i="12" s="1"/>
  <c r="AD204" i="12"/>
  <c r="AE204" i="12" s="1"/>
  <c r="AA204" i="12"/>
  <c r="AB204" i="12" s="1"/>
  <c r="M204" i="12"/>
  <c r="G236" i="12"/>
  <c r="AC87" i="10"/>
  <c r="AF87" i="10" s="1"/>
  <c r="U236" i="9"/>
  <c r="Z236" i="9" s="1"/>
  <c r="U160" i="9"/>
  <c r="Z160" i="9" s="1"/>
  <c r="G160" i="12"/>
  <c r="AA297" i="12"/>
  <c r="AB297" i="12" s="1"/>
  <c r="V297" i="12"/>
  <c r="O297" i="12"/>
  <c r="N297" i="12"/>
  <c r="M297" i="12"/>
  <c r="L297" i="12"/>
  <c r="AL297" i="12"/>
  <c r="AJ297" i="12"/>
  <c r="AK297" i="12" s="1"/>
  <c r="AD297" i="12"/>
  <c r="AE297" i="12" s="1"/>
  <c r="X297" i="12"/>
  <c r="P297" i="12"/>
  <c r="AG297" i="12"/>
  <c r="AH297" i="12" s="1"/>
  <c r="BF273" i="4"/>
  <c r="BF49" i="4"/>
  <c r="BC157" i="4"/>
  <c r="BE157" i="4"/>
  <c r="BF157" i="4" s="1"/>
  <c r="BC40" i="4"/>
  <c r="BE40" i="4"/>
  <c r="H26" i="6"/>
  <c r="AC111" i="10"/>
  <c r="AF111" i="10" s="1"/>
  <c r="U308" i="9"/>
  <c r="Z308" i="9" s="1"/>
  <c r="G308" i="12"/>
  <c r="BC55" i="4"/>
  <c r="BE55" i="4"/>
  <c r="BF55" i="4" s="1"/>
  <c r="X341" i="12"/>
  <c r="Y341" i="12" s="1"/>
  <c r="O341" i="12"/>
  <c r="AA341" i="12"/>
  <c r="AB341" i="12" s="1"/>
  <c r="AD341" i="12"/>
  <c r="AE341" i="12" s="1"/>
  <c r="M341" i="12"/>
  <c r="AL341" i="12"/>
  <c r="AJ341" i="12"/>
  <c r="AK341" i="12" s="1"/>
  <c r="AG341" i="12"/>
  <c r="AH341" i="12" s="1"/>
  <c r="P341" i="12"/>
  <c r="V118" i="12"/>
  <c r="L118" i="12"/>
  <c r="AJ118" i="12"/>
  <c r="AK118" i="12" s="1"/>
  <c r="AG118" i="12"/>
  <c r="AH118" i="12" s="1"/>
  <c r="AA118" i="12"/>
  <c r="AB118" i="12" s="1"/>
  <c r="X118" i="12"/>
  <c r="P118" i="12"/>
  <c r="N118" i="12"/>
  <c r="M118" i="12"/>
  <c r="O118" i="12"/>
  <c r="AL118" i="12"/>
  <c r="AD118" i="12"/>
  <c r="AE118" i="12" s="1"/>
  <c r="U284" i="9"/>
  <c r="Z284" i="9" s="1"/>
  <c r="AC103" i="10"/>
  <c r="AF103" i="10" s="1"/>
  <c r="G284" i="12"/>
  <c r="BE381" i="4"/>
  <c r="BF381" i="4" s="1"/>
  <c r="BC381" i="4"/>
  <c r="AA166" i="12"/>
  <c r="AB166" i="12" s="1"/>
  <c r="X166" i="12"/>
  <c r="V166" i="12"/>
  <c r="O166" i="12"/>
  <c r="M166" i="12"/>
  <c r="AL166" i="12"/>
  <c r="L166" i="12"/>
  <c r="AJ166" i="12"/>
  <c r="AK166" i="12" s="1"/>
  <c r="AD166" i="12"/>
  <c r="AE166" i="12" s="1"/>
  <c r="P166" i="12"/>
  <c r="N166" i="12"/>
  <c r="AG166" i="12"/>
  <c r="AH166" i="12" s="1"/>
  <c r="O37" i="14"/>
  <c r="X37" i="14" s="1"/>
  <c r="AA37" i="14" s="1"/>
  <c r="AC37" i="14" s="1"/>
  <c r="N37" i="14"/>
  <c r="AA141" i="12"/>
  <c r="AB141" i="12" s="1"/>
  <c r="V141" i="12"/>
  <c r="P141" i="12"/>
  <c r="AL141" i="12"/>
  <c r="L141" i="12"/>
  <c r="AJ141" i="12"/>
  <c r="AK141" i="12" s="1"/>
  <c r="X141" i="12"/>
  <c r="N141" i="12"/>
  <c r="M141" i="12"/>
  <c r="AG141" i="12"/>
  <c r="AH141" i="12" s="1"/>
  <c r="AD141" i="12"/>
  <c r="AE141" i="12" s="1"/>
  <c r="O141" i="12"/>
  <c r="U327" i="9"/>
  <c r="Z327" i="9" s="1"/>
  <c r="G327" i="12"/>
  <c r="X323" i="12"/>
  <c r="V323" i="12"/>
  <c r="P323" i="12"/>
  <c r="O323" i="12"/>
  <c r="M323" i="12"/>
  <c r="AL323" i="12"/>
  <c r="AJ323" i="12"/>
  <c r="AK323" i="12" s="1"/>
  <c r="AG323" i="12"/>
  <c r="AH323" i="12" s="1"/>
  <c r="AD323" i="12"/>
  <c r="AE323" i="12" s="1"/>
  <c r="AA323" i="12"/>
  <c r="AB323" i="12" s="1"/>
  <c r="N323" i="12"/>
  <c r="L323" i="12"/>
  <c r="Z35" i="20"/>
  <c r="O82" i="14"/>
  <c r="X82" i="14" s="1"/>
  <c r="AA82" i="14" s="1"/>
  <c r="AC82" i="14" s="1"/>
  <c r="N82" i="14"/>
  <c r="X100" i="12"/>
  <c r="O100" i="12"/>
  <c r="AL100" i="12"/>
  <c r="L100" i="12"/>
  <c r="AG100" i="12"/>
  <c r="AH100" i="12" s="1"/>
  <c r="AD100" i="12"/>
  <c r="AE100" i="12" s="1"/>
  <c r="P100" i="12"/>
  <c r="N100" i="12"/>
  <c r="M100" i="12"/>
  <c r="AJ100" i="12"/>
  <c r="AK100" i="12" s="1"/>
  <c r="V100" i="12"/>
  <c r="AA100" i="12"/>
  <c r="AB100" i="12" s="1"/>
  <c r="AK16" i="12"/>
  <c r="O121" i="14"/>
  <c r="X121" i="14" s="1"/>
  <c r="AA121" i="14" s="1"/>
  <c r="AC121" i="14" s="1"/>
  <c r="N121" i="14"/>
  <c r="AA238" i="12"/>
  <c r="AB238" i="12" s="1"/>
  <c r="M238" i="12"/>
  <c r="X238" i="12"/>
  <c r="V238" i="12"/>
  <c r="O238" i="12"/>
  <c r="N238" i="12"/>
  <c r="AL238" i="12"/>
  <c r="AJ238" i="12"/>
  <c r="AK238" i="12" s="1"/>
  <c r="AG238" i="12"/>
  <c r="AH238" i="12" s="1"/>
  <c r="AD238" i="12"/>
  <c r="AE238" i="12" s="1"/>
  <c r="P238" i="12"/>
  <c r="L238" i="12"/>
  <c r="AO30" i="20"/>
  <c r="BF232" i="4"/>
  <c r="BC149" i="4"/>
  <c r="BE149" i="4"/>
  <c r="BF149" i="4" s="1"/>
  <c r="U302" i="9"/>
  <c r="Z302" i="9" s="1"/>
  <c r="AC110" i="10"/>
  <c r="AF110" i="10" s="1"/>
  <c r="G302" i="12"/>
  <c r="N207" i="12"/>
  <c r="M207" i="12"/>
  <c r="AL207" i="12"/>
  <c r="L207" i="12"/>
  <c r="AJ207" i="12"/>
  <c r="AK207" i="12" s="1"/>
  <c r="AD207" i="12"/>
  <c r="AE207" i="12" s="1"/>
  <c r="V207" i="12"/>
  <c r="P207" i="12"/>
  <c r="X207" i="12"/>
  <c r="O207" i="12"/>
  <c r="AG207" i="12"/>
  <c r="AH207" i="12" s="1"/>
  <c r="AA207" i="12"/>
  <c r="AB207" i="12" s="1"/>
  <c r="U200" i="9"/>
  <c r="Z200" i="9" s="1"/>
  <c r="AC75" i="10"/>
  <c r="AF75" i="10" s="1"/>
  <c r="G200" i="12"/>
  <c r="R18" i="6"/>
  <c r="AR32" i="12"/>
  <c r="AR4" i="12" s="1"/>
  <c r="AB4" i="10"/>
  <c r="U127" i="9"/>
  <c r="Z127" i="9" s="1"/>
  <c r="G127" i="12"/>
  <c r="AW61" i="7"/>
  <c r="BA61" i="7" s="1"/>
  <c r="AA38" i="20"/>
  <c r="AA150" i="12"/>
  <c r="AB150" i="12" s="1"/>
  <c r="X150" i="12"/>
  <c r="M150" i="12"/>
  <c r="AL150" i="12"/>
  <c r="L150" i="12"/>
  <c r="AJ150" i="12"/>
  <c r="AK150" i="12" s="1"/>
  <c r="AG150" i="12"/>
  <c r="AH150" i="12" s="1"/>
  <c r="AD150" i="12"/>
  <c r="AE150" i="12" s="1"/>
  <c r="P150" i="12"/>
  <c r="O150" i="12"/>
  <c r="V150" i="12" s="1"/>
  <c r="N150" i="12"/>
  <c r="G185" i="12"/>
  <c r="U185" i="9"/>
  <c r="AW85" i="7"/>
  <c r="BE335" i="4"/>
  <c r="BF335" i="4" s="1"/>
  <c r="BC335" i="4"/>
  <c r="AD192" i="12"/>
  <c r="AE192" i="12" s="1"/>
  <c r="AA192" i="12"/>
  <c r="AB192" i="12" s="1"/>
  <c r="O192" i="12"/>
  <c r="N192" i="12"/>
  <c r="AL192" i="12"/>
  <c r="L192" i="12"/>
  <c r="AG192" i="12"/>
  <c r="AH192" i="12" s="1"/>
  <c r="X192" i="12"/>
  <c r="V192" i="12"/>
  <c r="P192" i="12"/>
  <c r="M192" i="12"/>
  <c r="AJ192" i="12"/>
  <c r="AK192" i="12" s="1"/>
  <c r="AU125" i="7"/>
  <c r="AY125" i="7"/>
  <c r="BA125" i="7" s="1"/>
  <c r="I281" i="12"/>
  <c r="X281" i="9"/>
  <c r="AV125" i="7"/>
  <c r="C37" i="8" s="1"/>
  <c r="AO31" i="20"/>
  <c r="BF246" i="4"/>
  <c r="G142" i="12"/>
  <c r="U142" i="9"/>
  <c r="Z142" i="9" s="1"/>
  <c r="AC56" i="10"/>
  <c r="AF56" i="10" s="1"/>
  <c r="AL229" i="12"/>
  <c r="L229" i="12"/>
  <c r="AG229" i="12"/>
  <c r="AH229" i="12" s="1"/>
  <c r="X229" i="12"/>
  <c r="P229" i="12"/>
  <c r="AJ229" i="12"/>
  <c r="AK229" i="12" s="1"/>
  <c r="AD229" i="12"/>
  <c r="AE229" i="12" s="1"/>
  <c r="AA229" i="12"/>
  <c r="AB229" i="12" s="1"/>
  <c r="V229" i="12"/>
  <c r="O229" i="12"/>
  <c r="N229" i="12"/>
  <c r="M229" i="12"/>
  <c r="AA270" i="12"/>
  <c r="AB270" i="12" s="1"/>
  <c r="X270" i="12"/>
  <c r="P270" i="12"/>
  <c r="M270" i="12"/>
  <c r="AL270" i="12"/>
  <c r="L270" i="12"/>
  <c r="AJ270" i="12"/>
  <c r="AK270" i="12" s="1"/>
  <c r="AG270" i="12"/>
  <c r="AH270" i="12" s="1"/>
  <c r="AD270" i="12"/>
  <c r="AE270" i="12" s="1"/>
  <c r="O270" i="12"/>
  <c r="V270" i="12" s="1"/>
  <c r="N270" i="12"/>
  <c r="X123" i="12"/>
  <c r="N123" i="12"/>
  <c r="AJ123" i="12"/>
  <c r="AK123" i="12" s="1"/>
  <c r="P123" i="12"/>
  <c r="O123" i="12"/>
  <c r="L123" i="12"/>
  <c r="AL123" i="12"/>
  <c r="AG123" i="12"/>
  <c r="AH123" i="12" s="1"/>
  <c r="AD123" i="12"/>
  <c r="AE123" i="12" s="1"/>
  <c r="AA123" i="12"/>
  <c r="AB123" i="12" s="1"/>
  <c r="V123" i="12"/>
  <c r="M123" i="12"/>
  <c r="AW62" i="7"/>
  <c r="BA62" i="7" s="1"/>
  <c r="U129" i="9"/>
  <c r="Z129" i="9" s="1"/>
  <c r="G129" i="12"/>
  <c r="AW31" i="7"/>
  <c r="BA31" i="7" s="1"/>
  <c r="G55" i="12"/>
  <c r="U55" i="9"/>
  <c r="Z55" i="9" s="1"/>
  <c r="Z36" i="20"/>
  <c r="G101" i="14"/>
  <c r="BH315" i="4"/>
  <c r="AC91" i="10"/>
  <c r="AF91" i="10" s="1"/>
  <c r="U248" i="9"/>
  <c r="Z248" i="9" s="1"/>
  <c r="G248" i="12"/>
  <c r="O78" i="14"/>
  <c r="X78" i="14" s="1"/>
  <c r="AA78" i="14" s="1"/>
  <c r="AC78" i="14" s="1"/>
  <c r="N78" i="14"/>
  <c r="AD19" i="10"/>
  <c r="AD4" i="10" s="1"/>
  <c r="K32" i="12"/>
  <c r="Y32" i="9"/>
  <c r="Y4" i="9" s="1"/>
  <c r="AA4" i="10"/>
  <c r="O53" i="14"/>
  <c r="X53" i="14" s="1"/>
  <c r="AA53" i="14" s="1"/>
  <c r="AC53" i="14" s="1"/>
  <c r="N53" i="14"/>
  <c r="BC250" i="4"/>
  <c r="BE250" i="4"/>
  <c r="BF250" i="4" s="1"/>
  <c r="AC39" i="10"/>
  <c r="AF39" i="10" s="1"/>
  <c r="G92" i="12"/>
  <c r="U92" i="9"/>
  <c r="Z92" i="9" s="1"/>
  <c r="O49" i="14"/>
  <c r="X49" i="14" s="1"/>
  <c r="AA49" i="14" s="1"/>
  <c r="AC49" i="14" s="1"/>
  <c r="N49" i="14"/>
  <c r="AA22" i="20"/>
  <c r="AC63" i="10"/>
  <c r="AF63" i="10" s="1"/>
  <c r="U164" i="9"/>
  <c r="Z164" i="9" s="1"/>
  <c r="G164" i="12"/>
  <c r="BC340" i="4"/>
  <c r="BE340" i="4"/>
  <c r="BF340" i="4" s="1"/>
  <c r="AA25" i="20"/>
  <c r="G58" i="14"/>
  <c r="BH162" i="4"/>
  <c r="AH26" i="20"/>
  <c r="BC176" i="4"/>
  <c r="BE176" i="4"/>
  <c r="AN20" i="7"/>
  <c r="AN4" i="7" s="1"/>
  <c r="AG4" i="7"/>
  <c r="AR70" i="7"/>
  <c r="AT70" i="7"/>
  <c r="AP149" i="12" s="1"/>
  <c r="AS70" i="7"/>
  <c r="AU145" i="7"/>
  <c r="AY145" i="7"/>
  <c r="BA145" i="7" s="1"/>
  <c r="X329" i="9"/>
  <c r="I329" i="12"/>
  <c r="AV145" i="7"/>
  <c r="C41" i="8" s="1"/>
  <c r="BC266" i="4"/>
  <c r="BE266" i="4"/>
  <c r="BF266" i="4" s="1"/>
  <c r="AN17" i="12"/>
  <c r="BA17" i="12"/>
  <c r="AV17" i="12"/>
  <c r="F23" i="6"/>
  <c r="AG42" i="20"/>
  <c r="BC399" i="4"/>
  <c r="BE399" i="4"/>
  <c r="AD286" i="12"/>
  <c r="AE286" i="12" s="1"/>
  <c r="AA286" i="12"/>
  <c r="AB286" i="12" s="1"/>
  <c r="X286" i="12"/>
  <c r="V286" i="12"/>
  <c r="P286" i="12"/>
  <c r="O286" i="12"/>
  <c r="M286" i="12"/>
  <c r="AL286" i="12"/>
  <c r="L286" i="12"/>
  <c r="AJ286" i="12"/>
  <c r="AK286" i="12" s="1"/>
  <c r="AG286" i="12"/>
  <c r="AH286" i="12" s="1"/>
  <c r="N286" i="12"/>
  <c r="O105" i="12"/>
  <c r="AL105" i="12"/>
  <c r="L105" i="12"/>
  <c r="AG105" i="12"/>
  <c r="AH105" i="12" s="1"/>
  <c r="AD105" i="12"/>
  <c r="AE105" i="12" s="1"/>
  <c r="AA105" i="12"/>
  <c r="AB105" i="12" s="1"/>
  <c r="X105" i="12"/>
  <c r="V105" i="12"/>
  <c r="P105" i="12"/>
  <c r="N105" i="12"/>
  <c r="M105" i="12"/>
  <c r="AJ105" i="12"/>
  <c r="AK105" i="12" s="1"/>
  <c r="G138" i="12"/>
  <c r="U138" i="9"/>
  <c r="Z138" i="9" s="1"/>
  <c r="X311" i="12"/>
  <c r="V311" i="12"/>
  <c r="O311" i="12"/>
  <c r="M311" i="12"/>
  <c r="AG311" i="12"/>
  <c r="AH311" i="12" s="1"/>
  <c r="AD311" i="12"/>
  <c r="AE311" i="12" s="1"/>
  <c r="P311" i="12"/>
  <c r="N311" i="12"/>
  <c r="L311" i="12"/>
  <c r="AL311" i="12"/>
  <c r="AJ311" i="12"/>
  <c r="AK311" i="12" s="1"/>
  <c r="AA311" i="12"/>
  <c r="AB311" i="12" s="1"/>
  <c r="N22" i="14"/>
  <c r="O22" i="14"/>
  <c r="X22" i="14" s="1"/>
  <c r="AA22" i="14" s="1"/>
  <c r="AL321" i="12"/>
  <c r="L321" i="12"/>
  <c r="AJ321" i="12"/>
  <c r="AK321" i="12" s="1"/>
  <c r="X321" i="12"/>
  <c r="V321" i="12"/>
  <c r="P321" i="12"/>
  <c r="O321" i="12"/>
  <c r="N321" i="12"/>
  <c r="AA321" i="12"/>
  <c r="AB321" i="12" s="1"/>
  <c r="M321" i="12"/>
  <c r="AG321" i="12"/>
  <c r="AH321" i="12" s="1"/>
  <c r="AD321" i="12"/>
  <c r="AE321" i="12" s="1"/>
  <c r="AW27" i="7"/>
  <c r="BA27" i="7" s="1"/>
  <c r="G45" i="12"/>
  <c r="U45" i="9"/>
  <c r="Z45" i="9" s="1"/>
  <c r="H27" i="6"/>
  <c r="AN40" i="20"/>
  <c r="BF371" i="4"/>
  <c r="U340" i="9"/>
  <c r="Z340" i="9" s="1"/>
  <c r="G340" i="12"/>
  <c r="AG113" i="12"/>
  <c r="AH113" i="12" s="1"/>
  <c r="AA113" i="12"/>
  <c r="AB113" i="12" s="1"/>
  <c r="AJ113" i="12"/>
  <c r="AK113" i="12" s="1"/>
  <c r="AD113" i="12"/>
  <c r="AE113" i="12" s="1"/>
  <c r="X113" i="12"/>
  <c r="Y113" i="12" s="1"/>
  <c r="V113" i="12"/>
  <c r="P113" i="12"/>
  <c r="O113" i="12"/>
  <c r="AL113" i="12"/>
  <c r="N113" i="12"/>
  <c r="L113" i="12"/>
  <c r="M113" i="12"/>
  <c r="U264" i="9"/>
  <c r="Z264" i="9" s="1"/>
  <c r="AC97" i="10"/>
  <c r="AF97" i="10" s="1"/>
  <c r="G264" i="12"/>
  <c r="BF217" i="4"/>
  <c r="J36" i="8"/>
  <c r="L36" i="8" s="1"/>
  <c r="BE244" i="4"/>
  <c r="BF244" i="4" s="1"/>
  <c r="BC244" i="4"/>
  <c r="AW124" i="7"/>
  <c r="BA124" i="7" s="1"/>
  <c r="G277" i="12"/>
  <c r="U277" i="9"/>
  <c r="Z277" i="9" s="1"/>
  <c r="AO39" i="20"/>
  <c r="BF358" i="4"/>
  <c r="AJ120" i="12"/>
  <c r="AK120" i="12" s="1"/>
  <c r="AD120" i="12"/>
  <c r="AE120" i="12" s="1"/>
  <c r="AA120" i="12"/>
  <c r="AB120" i="12" s="1"/>
  <c r="X120" i="12"/>
  <c r="V120" i="12"/>
  <c r="O120" i="12"/>
  <c r="N120" i="12"/>
  <c r="M120" i="12"/>
  <c r="L120" i="12"/>
  <c r="AG120" i="12"/>
  <c r="AH120" i="12" s="1"/>
  <c r="P120" i="12"/>
  <c r="AL120" i="12"/>
  <c r="V202" i="12"/>
  <c r="P202" i="12"/>
  <c r="O202" i="12"/>
  <c r="N202" i="12"/>
  <c r="M202" i="12"/>
  <c r="AL202" i="12"/>
  <c r="L202" i="12"/>
  <c r="AJ202" i="12"/>
  <c r="AK202" i="12" s="1"/>
  <c r="AG202" i="12"/>
  <c r="AH202" i="12" s="1"/>
  <c r="AD202" i="12"/>
  <c r="AE202" i="12" s="1"/>
  <c r="AA202" i="12"/>
  <c r="AB202" i="12" s="1"/>
  <c r="X202" i="12"/>
  <c r="G151" i="12"/>
  <c r="U151" i="9"/>
  <c r="Z151" i="9" s="1"/>
  <c r="AW71" i="7"/>
  <c r="BA71" i="7" s="1"/>
  <c r="AY60" i="7"/>
  <c r="BA60" i="7" s="1"/>
  <c r="AU60" i="7"/>
  <c r="X125" i="9"/>
  <c r="I125" i="12"/>
  <c r="N125" i="12" s="1"/>
  <c r="V125" i="12" s="1"/>
  <c r="AV60" i="7"/>
  <c r="C24" i="8" s="1"/>
  <c r="AW116" i="7"/>
  <c r="BA116" i="7" s="1"/>
  <c r="U259" i="9"/>
  <c r="Z259" i="9" s="1"/>
  <c r="G259" i="12"/>
  <c r="AN41" i="20"/>
  <c r="BF385" i="4"/>
  <c r="AL269" i="12"/>
  <c r="L269" i="12"/>
  <c r="AG269" i="12"/>
  <c r="AH269" i="12" s="1"/>
  <c r="AA269" i="12"/>
  <c r="AB269" i="12" s="1"/>
  <c r="X269" i="12"/>
  <c r="Y269" i="12" s="1"/>
  <c r="P269" i="12"/>
  <c r="AJ269" i="12"/>
  <c r="AK269" i="12" s="1"/>
  <c r="N269" i="12"/>
  <c r="M269" i="12"/>
  <c r="V269" i="12" s="1"/>
  <c r="AD269" i="12"/>
  <c r="AE269" i="12" s="1"/>
  <c r="O269" i="12"/>
  <c r="U257" i="9"/>
  <c r="G257" i="12"/>
  <c r="AW115" i="7"/>
  <c r="O61" i="14"/>
  <c r="X61" i="14" s="1"/>
  <c r="AA61" i="14" s="1"/>
  <c r="AC61" i="14" s="1"/>
  <c r="N61" i="14"/>
  <c r="AJ172" i="12"/>
  <c r="AK172" i="12" s="1"/>
  <c r="AG172" i="12"/>
  <c r="AH172" i="12" s="1"/>
  <c r="X172" i="12"/>
  <c r="V172" i="12"/>
  <c r="P172" i="12"/>
  <c r="O172" i="12"/>
  <c r="AL172" i="12"/>
  <c r="AA172" i="12"/>
  <c r="AB172" i="12" s="1"/>
  <c r="N172" i="12"/>
  <c r="M172" i="12"/>
  <c r="L172" i="12"/>
  <c r="AD172" i="12"/>
  <c r="AE172" i="12" s="1"/>
  <c r="P54" i="12"/>
  <c r="M54" i="12"/>
  <c r="V54" i="12" s="1"/>
  <c r="AL54" i="12"/>
  <c r="L54" i="12"/>
  <c r="X54" i="12"/>
  <c r="O54" i="12"/>
  <c r="N54" i="12"/>
  <c r="AA54" i="12"/>
  <c r="AB54" i="12" s="1"/>
  <c r="AJ54" i="12"/>
  <c r="AK54" i="12" s="1"/>
  <c r="AG54" i="12"/>
  <c r="AH54" i="12" s="1"/>
  <c r="AD54" i="12"/>
  <c r="AE54" i="12" s="1"/>
  <c r="AY35" i="7"/>
  <c r="BA35" i="7" s="1"/>
  <c r="AU35" i="7"/>
  <c r="I65" i="12"/>
  <c r="X65" i="9"/>
  <c r="AV35" i="7"/>
  <c r="C19" i="8" s="1"/>
  <c r="X195" i="12"/>
  <c r="V195" i="12"/>
  <c r="P195" i="12"/>
  <c r="O195" i="12"/>
  <c r="N195" i="12"/>
  <c r="AJ195" i="12"/>
  <c r="AK195" i="12" s="1"/>
  <c r="M195" i="12"/>
  <c r="L195" i="12"/>
  <c r="AL195" i="12"/>
  <c r="AG195" i="12"/>
  <c r="AH195" i="12" s="1"/>
  <c r="AD195" i="12"/>
  <c r="AE195" i="12" s="1"/>
  <c r="AA195" i="12"/>
  <c r="AB195" i="12" s="1"/>
  <c r="AL276" i="12"/>
  <c r="L276" i="12"/>
  <c r="AJ276" i="12"/>
  <c r="AK276" i="12" s="1"/>
  <c r="AG276" i="12"/>
  <c r="AH276" i="12" s="1"/>
  <c r="AD276" i="12"/>
  <c r="AE276" i="12" s="1"/>
  <c r="X276" i="12"/>
  <c r="V276" i="12"/>
  <c r="O276" i="12"/>
  <c r="AA276" i="12"/>
  <c r="AB276" i="12" s="1"/>
  <c r="P276" i="12"/>
  <c r="N276" i="12"/>
  <c r="M276" i="12"/>
  <c r="AO41" i="20"/>
  <c r="BF386" i="4"/>
  <c r="BE164" i="4"/>
  <c r="BF164" i="4" s="1"/>
  <c r="BC164" i="4"/>
  <c r="U115" i="9"/>
  <c r="Z115" i="9" s="1"/>
  <c r="G115" i="12"/>
  <c r="AW56" i="7"/>
  <c r="BA56" i="7" s="1"/>
  <c r="O46" i="14"/>
  <c r="X46" i="14" s="1"/>
  <c r="AA46" i="14" s="1"/>
  <c r="AC46" i="14" s="1"/>
  <c r="N46" i="14"/>
  <c r="X124" i="12"/>
  <c r="O124" i="12"/>
  <c r="N124" i="12"/>
  <c r="L124" i="12"/>
  <c r="AL124" i="12"/>
  <c r="AG124" i="12"/>
  <c r="AH124" i="12" s="1"/>
  <c r="AD124" i="12"/>
  <c r="AE124" i="12" s="1"/>
  <c r="AA124" i="12"/>
  <c r="AB124" i="12" s="1"/>
  <c r="AJ124" i="12"/>
  <c r="AK124" i="12" s="1"/>
  <c r="V124" i="12"/>
  <c r="P124" i="12"/>
  <c r="M124" i="12"/>
  <c r="S26" i="6"/>
  <c r="W26" i="6"/>
  <c r="P137" i="12"/>
  <c r="AL137" i="12"/>
  <c r="AG137" i="12"/>
  <c r="AH137" i="12" s="1"/>
  <c r="M137" i="12"/>
  <c r="AJ137" i="12"/>
  <c r="AK137" i="12" s="1"/>
  <c r="AA137" i="12"/>
  <c r="AB137" i="12" s="1"/>
  <c r="X137" i="12"/>
  <c r="Y137" i="12" s="1"/>
  <c r="AD137" i="12"/>
  <c r="AE137" i="12" s="1"/>
  <c r="O137" i="12"/>
  <c r="AH25" i="20"/>
  <c r="BE162" i="4"/>
  <c r="BC162" i="4"/>
  <c r="BC389" i="4"/>
  <c r="BE389" i="4"/>
  <c r="BF389" i="4" s="1"/>
  <c r="BF120" i="4"/>
  <c r="X275" i="12"/>
  <c r="V275" i="12"/>
  <c r="O275" i="12"/>
  <c r="N275" i="12"/>
  <c r="M275" i="12"/>
  <c r="AL275" i="12"/>
  <c r="L275" i="12"/>
  <c r="AJ275" i="12"/>
  <c r="AK275" i="12" s="1"/>
  <c r="AG275" i="12"/>
  <c r="AH275" i="12" s="1"/>
  <c r="AD275" i="12"/>
  <c r="AE275" i="12" s="1"/>
  <c r="AA275" i="12"/>
  <c r="AB275" i="12" s="1"/>
  <c r="P275" i="12"/>
  <c r="AL133" i="12"/>
  <c r="L133" i="12"/>
  <c r="AG133" i="12"/>
  <c r="AH133" i="12" s="1"/>
  <c r="AA133" i="12"/>
  <c r="AB133" i="12" s="1"/>
  <c r="AJ133" i="12"/>
  <c r="AK133" i="12" s="1"/>
  <c r="AD133" i="12"/>
  <c r="AE133" i="12" s="1"/>
  <c r="X133" i="12"/>
  <c r="V133" i="12"/>
  <c r="P133" i="12"/>
  <c r="N133" i="12"/>
  <c r="M133" i="12"/>
  <c r="O133" i="12"/>
  <c r="AJ244" i="12"/>
  <c r="AK244" i="12" s="1"/>
  <c r="N244" i="12"/>
  <c r="M244" i="12"/>
  <c r="L244" i="12"/>
  <c r="AL244" i="12"/>
  <c r="AG244" i="12"/>
  <c r="AH244" i="12" s="1"/>
  <c r="AD244" i="12"/>
  <c r="AE244" i="12" s="1"/>
  <c r="X244" i="12"/>
  <c r="AA244" i="12"/>
  <c r="AB244" i="12" s="1"/>
  <c r="V244" i="12"/>
  <c r="P244" i="12"/>
  <c r="O244" i="12"/>
  <c r="G230" i="12"/>
  <c r="U230" i="9"/>
  <c r="Z230" i="9" s="1"/>
  <c r="AC86" i="10"/>
  <c r="AF86" i="10" s="1"/>
  <c r="BC411" i="4"/>
  <c r="BE411" i="4"/>
  <c r="BF411" i="4" s="1"/>
  <c r="AL94" i="12"/>
  <c r="L94" i="12"/>
  <c r="AD94" i="12"/>
  <c r="AE94" i="12" s="1"/>
  <c r="X94" i="12"/>
  <c r="AJ94" i="12"/>
  <c r="AK94" i="12" s="1"/>
  <c r="AA94" i="12"/>
  <c r="AB94" i="12" s="1"/>
  <c r="V94" i="12"/>
  <c r="AG94" i="12"/>
  <c r="AH94" i="12" s="1"/>
  <c r="P94" i="12"/>
  <c r="O94" i="12"/>
  <c r="N94" i="12"/>
  <c r="M94" i="12"/>
  <c r="AG170" i="12"/>
  <c r="AH170" i="12" s="1"/>
  <c r="AD170" i="12"/>
  <c r="AE170" i="12" s="1"/>
  <c r="V170" i="12"/>
  <c r="P170" i="12"/>
  <c r="O170" i="12"/>
  <c r="N170" i="12"/>
  <c r="M170" i="12"/>
  <c r="AJ170" i="12"/>
  <c r="AK170" i="12" s="1"/>
  <c r="AA170" i="12"/>
  <c r="AB170" i="12" s="1"/>
  <c r="X170" i="12"/>
  <c r="L170" i="12"/>
  <c r="AL170" i="12"/>
  <c r="AS135" i="7"/>
  <c r="AT135" i="7" s="1"/>
  <c r="AP305" i="12" s="1"/>
  <c r="AR135" i="7"/>
  <c r="O232" i="12"/>
  <c r="AA232" i="12"/>
  <c r="AB232" i="12" s="1"/>
  <c r="X232" i="12"/>
  <c r="P232" i="12"/>
  <c r="N232" i="12"/>
  <c r="L232" i="12"/>
  <c r="V232" i="12"/>
  <c r="M232" i="12"/>
  <c r="AL232" i="12"/>
  <c r="AJ232" i="12"/>
  <c r="AK232" i="12" s="1"/>
  <c r="AG232" i="12"/>
  <c r="AH232" i="12" s="1"/>
  <c r="AD232" i="12"/>
  <c r="AE232" i="12" s="1"/>
  <c r="AY130" i="7"/>
  <c r="AU130" i="7"/>
  <c r="I293" i="12"/>
  <c r="X293" i="9"/>
  <c r="AV130" i="7"/>
  <c r="C38" i="8" s="1"/>
  <c r="AY50" i="7"/>
  <c r="BA50" i="7" s="1"/>
  <c r="AU50" i="7"/>
  <c r="X101" i="9"/>
  <c r="I101" i="12"/>
  <c r="AV50" i="7"/>
  <c r="C22" i="8" s="1"/>
  <c r="M246" i="12"/>
  <c r="AL246" i="12"/>
  <c r="L246" i="12"/>
  <c r="AA246" i="12"/>
  <c r="AB246" i="12" s="1"/>
  <c r="AJ246" i="12"/>
  <c r="AK246" i="12" s="1"/>
  <c r="AG246" i="12"/>
  <c r="AH246" i="12" s="1"/>
  <c r="AD246" i="12"/>
  <c r="AE246" i="12" s="1"/>
  <c r="V246" i="12"/>
  <c r="O246" i="12"/>
  <c r="N246" i="12"/>
  <c r="X246" i="12"/>
  <c r="P246" i="12"/>
  <c r="N255" i="12"/>
  <c r="M255" i="12"/>
  <c r="AD255" i="12"/>
  <c r="AE255" i="12" s="1"/>
  <c r="AJ255" i="12"/>
  <c r="AK255" i="12" s="1"/>
  <c r="AG255" i="12"/>
  <c r="AH255" i="12" s="1"/>
  <c r="X255" i="12"/>
  <c r="P255" i="12"/>
  <c r="O255" i="12"/>
  <c r="L255" i="12"/>
  <c r="AL255" i="12"/>
  <c r="AA255" i="12"/>
  <c r="AB255" i="12" s="1"/>
  <c r="V255" i="12"/>
  <c r="U332" i="9"/>
  <c r="Z332" i="9" s="1"/>
  <c r="G332" i="12"/>
  <c r="AC119" i="10"/>
  <c r="AF119" i="10" s="1"/>
  <c r="AD143" i="12"/>
  <c r="AE143" i="12" s="1"/>
  <c r="X143" i="12"/>
  <c r="N143" i="12"/>
  <c r="M143" i="12"/>
  <c r="AL143" i="12"/>
  <c r="L143" i="12"/>
  <c r="AJ143" i="12"/>
  <c r="AK143" i="12" s="1"/>
  <c r="AG143" i="12"/>
  <c r="AH143" i="12" s="1"/>
  <c r="AA143" i="12"/>
  <c r="AB143" i="12" s="1"/>
  <c r="V143" i="12"/>
  <c r="P143" i="12"/>
  <c r="O143" i="12"/>
  <c r="U289" i="9"/>
  <c r="Z289" i="9" s="1"/>
  <c r="AW129" i="7"/>
  <c r="BA129" i="7" s="1"/>
  <c r="G289" i="12"/>
  <c r="BE46" i="4"/>
  <c r="BF46" i="4" s="1"/>
  <c r="BC46" i="4"/>
  <c r="AG154" i="12"/>
  <c r="AH154" i="12" s="1"/>
  <c r="AD154" i="12"/>
  <c r="AE154" i="12" s="1"/>
  <c r="V154" i="12"/>
  <c r="P154" i="12"/>
  <c r="O154" i="12"/>
  <c r="X154" i="12"/>
  <c r="N154" i="12"/>
  <c r="M154" i="12"/>
  <c r="L154" i="12"/>
  <c r="AL154" i="12"/>
  <c r="AJ154" i="12"/>
  <c r="AK154" i="12" s="1"/>
  <c r="AA154" i="12"/>
  <c r="AB154" i="12" s="1"/>
  <c r="AD279" i="12"/>
  <c r="AE279" i="12" s="1"/>
  <c r="X279" i="12"/>
  <c r="V279" i="12"/>
  <c r="P279" i="12"/>
  <c r="N279" i="12"/>
  <c r="M279" i="12"/>
  <c r="AL279" i="12"/>
  <c r="L279" i="12"/>
  <c r="AJ279" i="12"/>
  <c r="AK279" i="12" s="1"/>
  <c r="AA279" i="12"/>
  <c r="AB279" i="12" s="1"/>
  <c r="O279" i="12"/>
  <c r="AG279" i="12"/>
  <c r="AH279" i="12" s="1"/>
  <c r="AJ215" i="12"/>
  <c r="AK215" i="12" s="1"/>
  <c r="N215" i="12"/>
  <c r="M215" i="12"/>
  <c r="L215" i="12"/>
  <c r="AL215" i="12"/>
  <c r="AG215" i="12"/>
  <c r="AH215" i="12" s="1"/>
  <c r="AD215" i="12"/>
  <c r="AE215" i="12" s="1"/>
  <c r="X215" i="12"/>
  <c r="V215" i="12"/>
  <c r="P215" i="12"/>
  <c r="AA215" i="12"/>
  <c r="AB215" i="12" s="1"/>
  <c r="O215" i="12"/>
  <c r="AJ227" i="12"/>
  <c r="AK227" i="12" s="1"/>
  <c r="AD227" i="12"/>
  <c r="AE227" i="12" s="1"/>
  <c r="V227" i="12"/>
  <c r="P227" i="12"/>
  <c r="N227" i="12"/>
  <c r="AL227" i="12"/>
  <c r="AG227" i="12"/>
  <c r="AH227" i="12" s="1"/>
  <c r="AA227" i="12"/>
  <c r="AB227" i="12" s="1"/>
  <c r="X227" i="12"/>
  <c r="O227" i="12"/>
  <c r="M227" i="12"/>
  <c r="L227" i="12"/>
  <c r="AL324" i="12"/>
  <c r="L324" i="12"/>
  <c r="N324" i="12"/>
  <c r="M324" i="12"/>
  <c r="AA324" i="12"/>
  <c r="AB324" i="12" s="1"/>
  <c r="X324" i="12"/>
  <c r="V324" i="12"/>
  <c r="P324" i="12"/>
  <c r="AJ324" i="12"/>
  <c r="AK324" i="12" s="1"/>
  <c r="AG324" i="12"/>
  <c r="AH324" i="12" s="1"/>
  <c r="AD324" i="12"/>
  <c r="AE324" i="12" s="1"/>
  <c r="O324" i="12"/>
  <c r="V134" i="12"/>
  <c r="M134" i="12"/>
  <c r="AL134" i="12"/>
  <c r="L134" i="12"/>
  <c r="AJ134" i="12"/>
  <c r="AK134" i="12" s="1"/>
  <c r="AG134" i="12"/>
  <c r="AH134" i="12" s="1"/>
  <c r="AD134" i="12"/>
  <c r="AE134" i="12" s="1"/>
  <c r="AA134" i="12"/>
  <c r="AB134" i="12" s="1"/>
  <c r="P134" i="12"/>
  <c r="O134" i="12"/>
  <c r="N134" i="12"/>
  <c r="X134" i="12"/>
  <c r="G328" i="12"/>
  <c r="U328" i="9"/>
  <c r="Z328" i="9" s="1"/>
  <c r="O29" i="14"/>
  <c r="X29" i="14" s="1"/>
  <c r="AA29" i="14" s="1"/>
  <c r="AC29" i="14" s="1"/>
  <c r="N29" i="14"/>
  <c r="AG36" i="20"/>
  <c r="BC315" i="4"/>
  <c r="BE315" i="4"/>
  <c r="O94" i="14"/>
  <c r="X94" i="14" s="1"/>
  <c r="AA94" i="14" s="1"/>
  <c r="AC94" i="14" s="1"/>
  <c r="N94" i="14"/>
  <c r="AY40" i="7"/>
  <c r="AU40" i="7"/>
  <c r="X77" i="9"/>
  <c r="Z77" i="9" s="1"/>
  <c r="I77" i="12"/>
  <c r="AV40" i="7"/>
  <c r="C20" i="8" s="1"/>
  <c r="AC81" i="10"/>
  <c r="AF81" i="10" s="1"/>
  <c r="U216" i="9"/>
  <c r="Z216" i="9" s="1"/>
  <c r="G216" i="12"/>
  <c r="N42" i="14"/>
  <c r="O42" i="14"/>
  <c r="X42" i="14" s="1"/>
  <c r="AA42" i="14" s="1"/>
  <c r="AC42" i="14" s="1"/>
  <c r="Z23" i="20"/>
  <c r="BC367" i="4"/>
  <c r="BE367" i="4"/>
  <c r="BF367" i="4" s="1"/>
  <c r="O66" i="14"/>
  <c r="X66" i="14" s="1"/>
  <c r="AA66" i="14" s="1"/>
  <c r="AC66" i="14" s="1"/>
  <c r="N66" i="14"/>
  <c r="G292" i="12"/>
  <c r="U292" i="9"/>
  <c r="Z292" i="9" s="1"/>
  <c r="V214" i="12"/>
  <c r="X214" i="12"/>
  <c r="P214" i="12"/>
  <c r="O214" i="12"/>
  <c r="N214" i="12"/>
  <c r="M214" i="12"/>
  <c r="L214" i="12"/>
  <c r="AL214" i="12"/>
  <c r="AJ214" i="12"/>
  <c r="AK214" i="12" s="1"/>
  <c r="AG214" i="12"/>
  <c r="AH214" i="12" s="1"/>
  <c r="AD214" i="12"/>
  <c r="AE214" i="12" s="1"/>
  <c r="AA214" i="12"/>
  <c r="AB214" i="12" s="1"/>
  <c r="M182" i="12"/>
  <c r="AJ182" i="12"/>
  <c r="AK182" i="12" s="1"/>
  <c r="AG182" i="12"/>
  <c r="AH182" i="12" s="1"/>
  <c r="AD182" i="12"/>
  <c r="AE182" i="12" s="1"/>
  <c r="AA182" i="12"/>
  <c r="AB182" i="12" s="1"/>
  <c r="X182" i="12"/>
  <c r="V182" i="12"/>
  <c r="P182" i="12"/>
  <c r="O182" i="12"/>
  <c r="N182" i="12"/>
  <c r="L182" i="12"/>
  <c r="AL182" i="12"/>
  <c r="G335" i="12"/>
  <c r="AW148" i="7"/>
  <c r="BA148" i="7" s="1"/>
  <c r="U335" i="9"/>
  <c r="Z335" i="9" s="1"/>
  <c r="AA26" i="20"/>
  <c r="G62" i="14"/>
  <c r="BH176" i="4"/>
  <c r="AO29" i="20"/>
  <c r="BF218" i="4"/>
  <c r="M59" i="12"/>
  <c r="AL59" i="12"/>
  <c r="L59" i="12"/>
  <c r="AJ59" i="12"/>
  <c r="AK59" i="12" s="1"/>
  <c r="AD59" i="12"/>
  <c r="AE59" i="12" s="1"/>
  <c r="AA59" i="12"/>
  <c r="AB59" i="12" s="1"/>
  <c r="X59" i="12"/>
  <c r="O59" i="12"/>
  <c r="N59" i="12"/>
  <c r="AG59" i="12"/>
  <c r="AH59" i="12" s="1"/>
  <c r="P59" i="12"/>
  <c r="V59" i="12"/>
  <c r="AD240" i="12"/>
  <c r="AE240" i="12" s="1"/>
  <c r="O240" i="12"/>
  <c r="AA240" i="12"/>
  <c r="AB240" i="12" s="1"/>
  <c r="X240" i="12"/>
  <c r="P240" i="12"/>
  <c r="N240" i="12"/>
  <c r="L240" i="12"/>
  <c r="AL240" i="12"/>
  <c r="AJ240" i="12"/>
  <c r="AK240" i="12" s="1"/>
  <c r="AG240" i="12"/>
  <c r="AH240" i="12" s="1"/>
  <c r="V240" i="12"/>
  <c r="M240" i="12"/>
  <c r="AN38" i="20"/>
  <c r="BF343" i="4"/>
  <c r="F28" i="6"/>
  <c r="F15" i="8"/>
  <c r="G15" i="8"/>
  <c r="G33" i="12"/>
  <c r="AW22" i="7"/>
  <c r="BA22" i="7" s="1"/>
  <c r="U33" i="9"/>
  <c r="Z33" i="9" s="1"/>
  <c r="G44" i="12"/>
  <c r="AC23" i="10"/>
  <c r="AF23" i="10" s="1"/>
  <c r="U44" i="9"/>
  <c r="Z44" i="9" s="1"/>
  <c r="BA45" i="7"/>
  <c r="V146" i="12"/>
  <c r="N146" i="12"/>
  <c r="M146" i="12"/>
  <c r="AG146" i="12"/>
  <c r="AH146" i="12" s="1"/>
  <c r="L146" i="12"/>
  <c r="AL146" i="12"/>
  <c r="AD146" i="12"/>
  <c r="AE146" i="12" s="1"/>
  <c r="AA146" i="12"/>
  <c r="AB146" i="12" s="1"/>
  <c r="X146" i="12"/>
  <c r="AJ146" i="12"/>
  <c r="AK146" i="12" s="1"/>
  <c r="P146" i="12"/>
  <c r="O146" i="12"/>
  <c r="F27" i="8"/>
  <c r="P82" i="12"/>
  <c r="M82" i="12"/>
  <c r="AJ82" i="12"/>
  <c r="AK82" i="12" s="1"/>
  <c r="AG82" i="12"/>
  <c r="AH82" i="12" s="1"/>
  <c r="AA82" i="12"/>
  <c r="AB82" i="12" s="1"/>
  <c r="X82" i="12"/>
  <c r="V82" i="12"/>
  <c r="O82" i="12"/>
  <c r="AL82" i="12"/>
  <c r="AD82" i="12"/>
  <c r="AE82" i="12" s="1"/>
  <c r="N82" i="12"/>
  <c r="L82" i="12"/>
  <c r="Y16" i="12"/>
  <c r="AM16" i="12"/>
  <c r="AY45" i="7"/>
  <c r="AU45" i="7"/>
  <c r="I89" i="12"/>
  <c r="X89" i="9"/>
  <c r="Z89" i="9" s="1"/>
  <c r="AV45" i="7"/>
  <c r="C21" i="8" s="1"/>
  <c r="BC382" i="4"/>
  <c r="BE382" i="4"/>
  <c r="BF382" i="4" s="1"/>
  <c r="M354" i="12"/>
  <c r="V354" i="12" s="1"/>
  <c r="AL354" i="12"/>
  <c r="L354" i="12"/>
  <c r="AJ354" i="12"/>
  <c r="AK354" i="12" s="1"/>
  <c r="O354" i="12"/>
  <c r="N354" i="12"/>
  <c r="AG354" i="12"/>
  <c r="AH354" i="12" s="1"/>
  <c r="AA354" i="12"/>
  <c r="AB354" i="12" s="1"/>
  <c r="X354" i="12"/>
  <c r="AD354" i="12"/>
  <c r="AE354" i="12" s="1"/>
  <c r="P354" i="12"/>
  <c r="U224" i="9"/>
  <c r="Z224" i="9" s="1"/>
  <c r="G224" i="12"/>
  <c r="AC83" i="10"/>
  <c r="AF83" i="10" s="1"/>
  <c r="AT40" i="7"/>
  <c r="AP77" i="12" s="1"/>
  <c r="AU95" i="7"/>
  <c r="AY95" i="7"/>
  <c r="X209" i="9"/>
  <c r="I209" i="12"/>
  <c r="AV95" i="7"/>
  <c r="C31" i="8" s="1"/>
  <c r="AW76" i="7"/>
  <c r="BA76" i="7" s="1"/>
  <c r="U163" i="9"/>
  <c r="Z163" i="9" s="1"/>
  <c r="G163" i="12"/>
  <c r="AA21" i="20"/>
  <c r="AO21" i="20"/>
  <c r="BF106" i="4"/>
  <c r="BC415" i="4"/>
  <c r="BE415" i="4"/>
  <c r="BF415" i="4" s="1"/>
  <c r="G315" i="12"/>
  <c r="U315" i="9"/>
  <c r="Z315" i="9" s="1"/>
  <c r="AA27" i="20"/>
  <c r="BF287" i="4"/>
  <c r="G188" i="12"/>
  <c r="AC71" i="10"/>
  <c r="AF71" i="10" s="1"/>
  <c r="U188" i="9"/>
  <c r="Z188" i="9" s="1"/>
  <c r="BC419" i="4"/>
  <c r="BE419" i="4"/>
  <c r="BF419" i="4" s="1"/>
  <c r="AT145" i="7"/>
  <c r="AP329" i="12" s="1"/>
  <c r="F21" i="6"/>
  <c r="BE68" i="4"/>
  <c r="BF68" i="4" s="1"/>
  <c r="BC68" i="4"/>
  <c r="U272" i="9"/>
  <c r="Z272" i="9" s="1"/>
  <c r="AC99" i="10"/>
  <c r="AF99" i="10" s="1"/>
  <c r="G272" i="12"/>
  <c r="G38" i="12"/>
  <c r="U38" i="9"/>
  <c r="Z38" i="9" s="1"/>
  <c r="AC22" i="10"/>
  <c r="AF22" i="10" s="1"/>
  <c r="BC166" i="4"/>
  <c r="BE166" i="4"/>
  <c r="BF166" i="4" s="1"/>
  <c r="AA329" i="12"/>
  <c r="AB329" i="12" s="1"/>
  <c r="X329" i="12"/>
  <c r="Y329" i="12" s="1"/>
  <c r="O329" i="12"/>
  <c r="M329" i="12"/>
  <c r="V329" i="12" s="1"/>
  <c r="AL329" i="12"/>
  <c r="AJ329" i="12"/>
  <c r="AK329" i="12" s="1"/>
  <c r="AG329" i="12"/>
  <c r="AH329" i="12" s="1"/>
  <c r="AD329" i="12"/>
  <c r="AE329" i="12" s="1"/>
  <c r="P329" i="12"/>
  <c r="N329" i="12"/>
  <c r="L329" i="12"/>
  <c r="O132" i="12"/>
  <c r="AJ132" i="12"/>
  <c r="AK132" i="12" s="1"/>
  <c r="AD132" i="12"/>
  <c r="AE132" i="12" s="1"/>
  <c r="AA132" i="12"/>
  <c r="AB132" i="12" s="1"/>
  <c r="X132" i="12"/>
  <c r="V132" i="12"/>
  <c r="P132" i="12"/>
  <c r="N132" i="12"/>
  <c r="L132" i="12"/>
  <c r="AL132" i="12"/>
  <c r="AG132" i="12"/>
  <c r="AH132" i="12" s="1"/>
  <c r="M132" i="12"/>
  <c r="M174" i="12"/>
  <c r="V174" i="12" s="1"/>
  <c r="AL174" i="12"/>
  <c r="L174" i="12"/>
  <c r="AJ174" i="12"/>
  <c r="AK174" i="12" s="1"/>
  <c r="AA174" i="12"/>
  <c r="AB174" i="12" s="1"/>
  <c r="X174" i="12"/>
  <c r="AG174" i="12"/>
  <c r="AH174" i="12" s="1"/>
  <c r="AD174" i="12"/>
  <c r="AE174" i="12" s="1"/>
  <c r="P174" i="12"/>
  <c r="O174" i="12"/>
  <c r="N174" i="12"/>
  <c r="V75" i="12"/>
  <c r="N75" i="12"/>
  <c r="P75" i="12"/>
  <c r="O75" i="12"/>
  <c r="L75" i="12"/>
  <c r="AJ75" i="12"/>
  <c r="AK75" i="12" s="1"/>
  <c r="AG75" i="12"/>
  <c r="AH75" i="12" s="1"/>
  <c r="AD75" i="12"/>
  <c r="AE75" i="12" s="1"/>
  <c r="AA75" i="12"/>
  <c r="AB75" i="12" s="1"/>
  <c r="X75" i="12"/>
  <c r="M75" i="12"/>
  <c r="AL75" i="12"/>
  <c r="O26" i="14"/>
  <c r="X26" i="14" s="1"/>
  <c r="AA26" i="14" s="1"/>
  <c r="AC26" i="14" s="1"/>
  <c r="N26" i="14"/>
  <c r="AW131" i="7"/>
  <c r="BA131" i="7" s="1"/>
  <c r="U295" i="9"/>
  <c r="Z295" i="9" s="1"/>
  <c r="G295" i="12"/>
  <c r="BE328" i="4"/>
  <c r="BF328" i="4" s="1"/>
  <c r="BC328" i="4"/>
  <c r="BC269" i="4"/>
  <c r="BE269" i="4"/>
  <c r="BF269" i="4" s="1"/>
  <c r="AA97" i="12"/>
  <c r="AB97" i="12" s="1"/>
  <c r="V97" i="12"/>
  <c r="P97" i="12"/>
  <c r="N97" i="12"/>
  <c r="M97" i="12"/>
  <c r="O97" i="12"/>
  <c r="L97" i="12"/>
  <c r="AJ97" i="12"/>
  <c r="AK97" i="12" s="1"/>
  <c r="AG97" i="12"/>
  <c r="AH97" i="12" s="1"/>
  <c r="AL97" i="12"/>
  <c r="AD97" i="12"/>
  <c r="AE97" i="12" s="1"/>
  <c r="X97" i="12"/>
  <c r="AA362" i="12"/>
  <c r="AB362" i="12" s="1"/>
  <c r="X362" i="12"/>
  <c r="V362" i="12"/>
  <c r="AD362" i="12"/>
  <c r="AE362" i="12" s="1"/>
  <c r="P362" i="12"/>
  <c r="O362" i="12"/>
  <c r="N362" i="12"/>
  <c r="M362" i="12"/>
  <c r="L362" i="12"/>
  <c r="AL362" i="12"/>
  <c r="AJ362" i="12"/>
  <c r="AK362" i="12" s="1"/>
  <c r="AG362" i="12"/>
  <c r="AH362" i="12" s="1"/>
  <c r="M234" i="12"/>
  <c r="AJ234" i="12"/>
  <c r="AK234" i="12" s="1"/>
  <c r="AA234" i="12"/>
  <c r="AB234" i="12" s="1"/>
  <c r="X234" i="12"/>
  <c r="N234" i="12"/>
  <c r="L234" i="12"/>
  <c r="AL234" i="12"/>
  <c r="AG234" i="12"/>
  <c r="AH234" i="12" s="1"/>
  <c r="AD234" i="12"/>
  <c r="AE234" i="12" s="1"/>
  <c r="P234" i="12"/>
  <c r="O234" i="12"/>
  <c r="V234" i="12" s="1"/>
  <c r="BF41" i="4"/>
  <c r="AG90" i="12"/>
  <c r="AH90" i="12" s="1"/>
  <c r="V90" i="12"/>
  <c r="M90" i="12"/>
  <c r="L90" i="12"/>
  <c r="AL90" i="12"/>
  <c r="AJ90" i="12"/>
  <c r="AK90" i="12" s="1"/>
  <c r="AD90" i="12"/>
  <c r="AE90" i="12" s="1"/>
  <c r="AA90" i="12"/>
  <c r="AB90" i="12" s="1"/>
  <c r="X90" i="12"/>
  <c r="P90" i="12"/>
  <c r="O90" i="12"/>
  <c r="N90" i="12"/>
  <c r="BE97" i="4"/>
  <c r="BF97" i="4" s="1"/>
  <c r="BC97" i="4"/>
  <c r="W21" i="6"/>
  <c r="S21" i="6"/>
  <c r="X220" i="12"/>
  <c r="V220" i="12"/>
  <c r="P220" i="12"/>
  <c r="O220" i="12"/>
  <c r="N220" i="12"/>
  <c r="M220" i="12"/>
  <c r="L220" i="12"/>
  <c r="AL220" i="12"/>
  <c r="AG220" i="12"/>
  <c r="AH220" i="12" s="1"/>
  <c r="AD220" i="12"/>
  <c r="AE220" i="12" s="1"/>
  <c r="AJ220" i="12"/>
  <c r="AK220" i="12" s="1"/>
  <c r="AA220" i="12"/>
  <c r="AB220" i="12" s="1"/>
  <c r="O45" i="14"/>
  <c r="X45" i="14" s="1"/>
  <c r="AA45" i="14" s="1"/>
  <c r="AC45" i="14" s="1"/>
  <c r="N45" i="14"/>
  <c r="P218" i="12"/>
  <c r="AJ218" i="12"/>
  <c r="AK218" i="12" s="1"/>
  <c r="AG218" i="12"/>
  <c r="AH218" i="12" s="1"/>
  <c r="AD218" i="12"/>
  <c r="AE218" i="12" s="1"/>
  <c r="AA218" i="12"/>
  <c r="AB218" i="12" s="1"/>
  <c r="X218" i="12"/>
  <c r="V218" i="12"/>
  <c r="O218" i="12"/>
  <c r="N218" i="12"/>
  <c r="L218" i="12"/>
  <c r="AL218" i="12"/>
  <c r="M218" i="12"/>
  <c r="Z281" i="9"/>
  <c r="AB16" i="12"/>
  <c r="O65" i="14"/>
  <c r="X65" i="14" s="1"/>
  <c r="AA65" i="14" s="1"/>
  <c r="AC65" i="14" s="1"/>
  <c r="N65" i="14"/>
  <c r="AW157" i="7"/>
  <c r="BA157" i="7" s="1"/>
  <c r="U357" i="9"/>
  <c r="Z357" i="9" s="1"/>
  <c r="G357" i="12"/>
  <c r="AE26" i="12"/>
  <c r="AW141" i="7"/>
  <c r="BA141" i="7" s="1"/>
  <c r="G319" i="12"/>
  <c r="U319" i="9"/>
  <c r="Z319" i="9" s="1"/>
  <c r="AL305" i="12"/>
  <c r="AA305" i="12"/>
  <c r="AB305" i="12" s="1"/>
  <c r="X305" i="12"/>
  <c r="Y305" i="12" s="1"/>
  <c r="P305" i="12"/>
  <c r="O305" i="12"/>
  <c r="M305" i="12"/>
  <c r="AJ305" i="12"/>
  <c r="AK305" i="12" s="1"/>
  <c r="AG305" i="12"/>
  <c r="AH305" i="12" s="1"/>
  <c r="AD305" i="12"/>
  <c r="AE305" i="12" s="1"/>
  <c r="U361" i="9"/>
  <c r="Z361" i="9" s="1"/>
  <c r="AW159" i="7"/>
  <c r="BA159" i="7" s="1"/>
  <c r="G361" i="12"/>
  <c r="AW21" i="7"/>
  <c r="BA21" i="7" s="1"/>
  <c r="G31" i="12"/>
  <c r="U31" i="9"/>
  <c r="Z31" i="9" s="1"/>
  <c r="U60" i="9"/>
  <c r="Z60" i="9" s="1"/>
  <c r="G60" i="12"/>
  <c r="AC29" i="10"/>
  <c r="AF29" i="10" s="1"/>
  <c r="AL4" i="7"/>
  <c r="O102" i="14"/>
  <c r="X102" i="14" s="1"/>
  <c r="AA102" i="14" s="1"/>
  <c r="AC102" i="14" s="1"/>
  <c r="N102" i="14"/>
  <c r="U144" i="9"/>
  <c r="Z144" i="9" s="1"/>
  <c r="G144" i="12"/>
  <c r="AC57" i="10"/>
  <c r="AF57" i="10" s="1"/>
  <c r="U339" i="9"/>
  <c r="Z339" i="9" s="1"/>
  <c r="G339" i="12"/>
  <c r="P309" i="12"/>
  <c r="O309" i="12"/>
  <c r="M309" i="12"/>
  <c r="AD309" i="12"/>
  <c r="AE309" i="12" s="1"/>
  <c r="AA309" i="12"/>
  <c r="AB309" i="12" s="1"/>
  <c r="V309" i="12"/>
  <c r="N309" i="12"/>
  <c r="L309" i="12"/>
  <c r="AL309" i="12"/>
  <c r="AJ309" i="12"/>
  <c r="AK309" i="12" s="1"/>
  <c r="AG309" i="12"/>
  <c r="AH309" i="12" s="1"/>
  <c r="X309" i="12"/>
  <c r="G293" i="12"/>
  <c r="U293" i="9"/>
  <c r="Z293" i="9" s="1"/>
  <c r="AW130" i="7"/>
  <c r="BA130" i="7" s="1"/>
  <c r="AC47" i="10"/>
  <c r="AF47" i="10" s="1"/>
  <c r="U116" i="9"/>
  <c r="Z116" i="9" s="1"/>
  <c r="G116" i="12"/>
  <c r="O109" i="14"/>
  <c r="X109" i="14" s="1"/>
  <c r="AA109" i="14" s="1"/>
  <c r="AC109" i="14" s="1"/>
  <c r="N109" i="14"/>
  <c r="AJ312" i="12"/>
  <c r="AK312" i="12" s="1"/>
  <c r="AG312" i="12"/>
  <c r="AH312" i="12" s="1"/>
  <c r="AD312" i="12"/>
  <c r="AE312" i="12" s="1"/>
  <c r="AA312" i="12"/>
  <c r="AB312" i="12" s="1"/>
  <c r="X312" i="12"/>
  <c r="V312" i="12"/>
  <c r="O312" i="12"/>
  <c r="AL312" i="12"/>
  <c r="P312" i="12"/>
  <c r="N312" i="12"/>
  <c r="M312" i="12"/>
  <c r="L312" i="12"/>
  <c r="G282" i="12"/>
  <c r="U282" i="9"/>
  <c r="Z282" i="9" s="1"/>
  <c r="N96" i="12"/>
  <c r="AG96" i="12"/>
  <c r="AH96" i="12" s="1"/>
  <c r="AA96" i="12"/>
  <c r="AB96" i="12" s="1"/>
  <c r="X96" i="12"/>
  <c r="AL96" i="12"/>
  <c r="AJ96" i="12"/>
  <c r="AK96" i="12" s="1"/>
  <c r="V96" i="12"/>
  <c r="O96" i="12"/>
  <c r="M96" i="12"/>
  <c r="L96" i="12"/>
  <c r="AD96" i="12"/>
  <c r="AE96" i="12" s="1"/>
  <c r="P96" i="12"/>
  <c r="U231" i="9"/>
  <c r="Z231" i="9" s="1"/>
  <c r="G231" i="12"/>
  <c r="AC115" i="10"/>
  <c r="AF115" i="10" s="1"/>
  <c r="U320" i="9"/>
  <c r="Z320" i="9" s="1"/>
  <c r="G320" i="12"/>
  <c r="AA28" i="20"/>
  <c r="G70" i="14"/>
  <c r="BH204" i="4"/>
  <c r="BF33" i="4"/>
  <c r="I19" i="6"/>
  <c r="BC289" i="4"/>
  <c r="BE289" i="4"/>
  <c r="BF289" i="4" s="1"/>
  <c r="U330" i="9"/>
  <c r="Z330" i="9" s="1"/>
  <c r="G330" i="12"/>
  <c r="P342" i="12"/>
  <c r="L342" i="12"/>
  <c r="AJ342" i="12"/>
  <c r="AK342" i="12" s="1"/>
  <c r="N342" i="12"/>
  <c r="V342" i="12" s="1"/>
  <c r="AG342" i="12"/>
  <c r="AH342" i="12" s="1"/>
  <c r="AD342" i="12"/>
  <c r="AE342" i="12" s="1"/>
  <c r="AA342" i="12"/>
  <c r="AB342" i="12" s="1"/>
  <c r="X342" i="12"/>
  <c r="O342" i="12"/>
  <c r="M342" i="12"/>
  <c r="AL342" i="12"/>
  <c r="O73" i="14"/>
  <c r="X73" i="14" s="1"/>
  <c r="AA73" i="14" s="1"/>
  <c r="AC73" i="14" s="1"/>
  <c r="N73" i="14"/>
  <c r="AY150" i="7"/>
  <c r="AU150" i="7"/>
  <c r="X341" i="9"/>
  <c r="Z341" i="9" s="1"/>
  <c r="I341" i="12"/>
  <c r="AM341" i="12" s="1"/>
  <c r="AV150" i="7"/>
  <c r="C42" i="8" s="1"/>
  <c r="V107" i="12"/>
  <c r="N107" i="12"/>
  <c r="AL107" i="12"/>
  <c r="L107" i="12"/>
  <c r="AJ107" i="12"/>
  <c r="AK107" i="12" s="1"/>
  <c r="AG107" i="12"/>
  <c r="AH107" i="12" s="1"/>
  <c r="AD107" i="12"/>
  <c r="AE107" i="12" s="1"/>
  <c r="AA107" i="12"/>
  <c r="AB107" i="12" s="1"/>
  <c r="X107" i="12"/>
  <c r="P107" i="12"/>
  <c r="M107" i="12"/>
  <c r="O107" i="12"/>
  <c r="M285" i="12"/>
  <c r="AL285" i="12"/>
  <c r="L285" i="12"/>
  <c r="AJ285" i="12"/>
  <c r="AK285" i="12" s="1"/>
  <c r="AG285" i="12"/>
  <c r="AH285" i="12" s="1"/>
  <c r="AD285" i="12"/>
  <c r="AE285" i="12" s="1"/>
  <c r="AA285" i="12"/>
  <c r="AB285" i="12" s="1"/>
  <c r="X285" i="12"/>
  <c r="V285" i="12"/>
  <c r="P285" i="12"/>
  <c r="O285" i="12"/>
  <c r="N285" i="12"/>
  <c r="AG34" i="20"/>
  <c r="O118" i="14"/>
  <c r="X118" i="14" s="1"/>
  <c r="AA118" i="14" s="1"/>
  <c r="AC118" i="14" s="1"/>
  <c r="N118" i="14"/>
  <c r="BE70" i="4"/>
  <c r="BF70" i="4" s="1"/>
  <c r="BC70" i="4"/>
  <c r="AJ274" i="12"/>
  <c r="AK274" i="12" s="1"/>
  <c r="AG274" i="12"/>
  <c r="AH274" i="12" s="1"/>
  <c r="AD274" i="12"/>
  <c r="AE274" i="12" s="1"/>
  <c r="AA274" i="12"/>
  <c r="AB274" i="12" s="1"/>
  <c r="V274" i="12"/>
  <c r="P274" i="12"/>
  <c r="O274" i="12"/>
  <c r="M274" i="12"/>
  <c r="X274" i="12"/>
  <c r="N274" i="12"/>
  <c r="AL274" i="12"/>
  <c r="L274" i="12"/>
  <c r="N117" i="14"/>
  <c r="O117" i="14"/>
  <c r="X117" i="14" s="1"/>
  <c r="AA117" i="14" s="1"/>
  <c r="AC117" i="14" s="1"/>
  <c r="BF190" i="4"/>
  <c r="BC391" i="4"/>
  <c r="BE391" i="4"/>
  <c r="BF391" i="4" s="1"/>
  <c r="G299" i="12"/>
  <c r="AW133" i="7"/>
  <c r="BA133" i="7" s="1"/>
  <c r="U299" i="9"/>
  <c r="Z299" i="9" s="1"/>
  <c r="O21" i="14"/>
  <c r="X21" i="14" s="1"/>
  <c r="AA21" i="14" s="1"/>
  <c r="N21" i="14"/>
  <c r="BE348" i="4"/>
  <c r="BF348" i="4" s="1"/>
  <c r="BC348" i="4"/>
  <c r="U283" i="9"/>
  <c r="Z283" i="9" s="1"/>
  <c r="AW126" i="7"/>
  <c r="BA126" i="7" s="1"/>
  <c r="G283" i="12"/>
  <c r="AA125" i="12"/>
  <c r="AB125" i="12" s="1"/>
  <c r="P125" i="12"/>
  <c r="AL125" i="12"/>
  <c r="L125" i="12"/>
  <c r="M125" i="12"/>
  <c r="AJ125" i="12"/>
  <c r="AK125" i="12" s="1"/>
  <c r="AD125" i="12"/>
  <c r="AE125" i="12" s="1"/>
  <c r="X125" i="12"/>
  <c r="Y125" i="12" s="1"/>
  <c r="AG125" i="12"/>
  <c r="AH125" i="12" s="1"/>
  <c r="O125" i="12"/>
  <c r="Z329" i="9"/>
  <c r="BE395" i="4"/>
  <c r="BF395" i="4" s="1"/>
  <c r="BC395" i="4"/>
  <c r="BC346" i="4"/>
  <c r="BE346" i="4"/>
  <c r="BF346" i="4" s="1"/>
  <c r="BC341" i="4"/>
  <c r="BE341" i="4"/>
  <c r="BF341" i="4" s="1"/>
  <c r="O50" i="14"/>
  <c r="X50" i="14" s="1"/>
  <c r="AA50" i="14" s="1"/>
  <c r="AC50" i="14" s="1"/>
  <c r="N50" i="14"/>
  <c r="AO23" i="20"/>
  <c r="BF134" i="4"/>
  <c r="Z38" i="20"/>
  <c r="P162" i="12"/>
  <c r="N162" i="12"/>
  <c r="M162" i="12"/>
  <c r="V162" i="12" s="1"/>
  <c r="AG162" i="12"/>
  <c r="AH162" i="12" s="1"/>
  <c r="O162" i="12"/>
  <c r="L162" i="12"/>
  <c r="AL162" i="12"/>
  <c r="AJ162" i="12"/>
  <c r="AK162" i="12" s="1"/>
  <c r="AD162" i="12"/>
  <c r="AE162" i="12" s="1"/>
  <c r="AA162" i="12"/>
  <c r="AB162" i="12" s="1"/>
  <c r="X162" i="12"/>
  <c r="U250" i="9"/>
  <c r="Z250" i="9" s="1"/>
  <c r="G250" i="12"/>
  <c r="AC92" i="10"/>
  <c r="AF92" i="10" s="1"/>
  <c r="AC51" i="10"/>
  <c r="AF51" i="10" s="1"/>
  <c r="U128" i="9"/>
  <c r="Z128" i="9" s="1"/>
  <c r="G128" i="12"/>
  <c r="AY105" i="7"/>
  <c r="BA105" i="7" s="1"/>
  <c r="AU105" i="7"/>
  <c r="X233" i="9"/>
  <c r="I233" i="12"/>
  <c r="N233" i="12" s="1"/>
  <c r="V233" i="12" s="1"/>
  <c r="AV105" i="7"/>
  <c r="C33" i="8" s="1"/>
  <c r="U211" i="9"/>
  <c r="Z211" i="9" s="1"/>
  <c r="G211" i="12"/>
  <c r="AW96" i="7"/>
  <c r="BA96" i="7" s="1"/>
  <c r="J16" i="8"/>
  <c r="L16" i="8" s="1"/>
  <c r="AO37" i="20"/>
  <c r="BF330" i="4"/>
  <c r="N34" i="14"/>
  <c r="O34" i="14"/>
  <c r="X34" i="14" s="1"/>
  <c r="AA34" i="14" s="1"/>
  <c r="AC34" i="14" s="1"/>
  <c r="AG265" i="12"/>
  <c r="AH265" i="12" s="1"/>
  <c r="AA265" i="12"/>
  <c r="AB265" i="12" s="1"/>
  <c r="P265" i="12"/>
  <c r="O265" i="12"/>
  <c r="N265" i="12"/>
  <c r="AL265" i="12"/>
  <c r="L265" i="12"/>
  <c r="X265" i="12"/>
  <c r="V265" i="12"/>
  <c r="M265" i="12"/>
  <c r="AJ265" i="12"/>
  <c r="AK265" i="12" s="1"/>
  <c r="AD265" i="12"/>
  <c r="AE265" i="12" s="1"/>
  <c r="Z101" i="9"/>
  <c r="AW41" i="7"/>
  <c r="BA41" i="7" s="1"/>
  <c r="G79" i="12"/>
  <c r="U79" i="9"/>
  <c r="Z79" i="9" s="1"/>
  <c r="BE299" i="4"/>
  <c r="BF299" i="4" s="1"/>
  <c r="BC299" i="4"/>
  <c r="BC95" i="4"/>
  <c r="BE95" i="4"/>
  <c r="BF95" i="4" s="1"/>
  <c r="AW118" i="7"/>
  <c r="BA118" i="7" s="1"/>
  <c r="U263" i="9"/>
  <c r="Z263" i="9" s="1"/>
  <c r="G263" i="12"/>
  <c r="V122" i="12"/>
  <c r="P122" i="12"/>
  <c r="N122" i="12"/>
  <c r="M122" i="12"/>
  <c r="L122" i="12"/>
  <c r="AL122" i="12"/>
  <c r="AJ122" i="12"/>
  <c r="AK122" i="12" s="1"/>
  <c r="AG122" i="12"/>
  <c r="AH122" i="12" s="1"/>
  <c r="AD122" i="12"/>
  <c r="AE122" i="12" s="1"/>
  <c r="AA122" i="12"/>
  <c r="AB122" i="12" s="1"/>
  <c r="X122" i="12"/>
  <c r="O122" i="12"/>
  <c r="AG233" i="12"/>
  <c r="AH233" i="12" s="1"/>
  <c r="O233" i="12"/>
  <c r="AJ233" i="12"/>
  <c r="AK233" i="12" s="1"/>
  <c r="AL233" i="12"/>
  <c r="AD233" i="12"/>
  <c r="AE233" i="12" s="1"/>
  <c r="AA233" i="12"/>
  <c r="AB233" i="12" s="1"/>
  <c r="X233" i="12"/>
  <c r="Y233" i="12" s="1"/>
  <c r="P233" i="12"/>
  <c r="M233" i="12"/>
  <c r="AS140" i="7"/>
  <c r="AR140" i="7"/>
  <c r="BC112" i="4"/>
  <c r="BE112" i="4"/>
  <c r="BF112" i="4" s="1"/>
  <c r="AG101" i="12"/>
  <c r="AH101" i="12" s="1"/>
  <c r="AA101" i="12"/>
  <c r="AB101" i="12" s="1"/>
  <c r="X101" i="12"/>
  <c r="Y101" i="12" s="1"/>
  <c r="O101" i="12"/>
  <c r="AD101" i="12"/>
  <c r="AE101" i="12" s="1"/>
  <c r="P101" i="12"/>
  <c r="N101" i="12"/>
  <c r="L101" i="12"/>
  <c r="AL101" i="12"/>
  <c r="M101" i="12"/>
  <c r="V101" i="12" s="1"/>
  <c r="AJ101" i="12"/>
  <c r="AK101" i="12" s="1"/>
  <c r="AJ156" i="12"/>
  <c r="AK156" i="12" s="1"/>
  <c r="AG156" i="12"/>
  <c r="AH156" i="12" s="1"/>
  <c r="X156" i="12"/>
  <c r="V156" i="12"/>
  <c r="P156" i="12"/>
  <c r="O156" i="12"/>
  <c r="N156" i="12"/>
  <c r="M156" i="12"/>
  <c r="L156" i="12"/>
  <c r="AL156" i="12"/>
  <c r="AD156" i="12"/>
  <c r="AE156" i="12" s="1"/>
  <c r="AA156" i="12"/>
  <c r="AB156" i="12" s="1"/>
  <c r="AL165" i="12"/>
  <c r="L165" i="12"/>
  <c r="AJ165" i="12"/>
  <c r="AK165" i="12" s="1"/>
  <c r="AG165" i="12"/>
  <c r="AH165" i="12" s="1"/>
  <c r="AD165" i="12"/>
  <c r="AE165" i="12" s="1"/>
  <c r="AA165" i="12"/>
  <c r="AB165" i="12" s="1"/>
  <c r="X165" i="12"/>
  <c r="V165" i="12"/>
  <c r="P165" i="12"/>
  <c r="O165" i="12"/>
  <c r="N165" i="12"/>
  <c r="M165" i="12"/>
  <c r="BC137" i="4"/>
  <c r="BE137" i="4"/>
  <c r="BF137" i="4" s="1"/>
  <c r="AG46" i="12"/>
  <c r="AH46" i="12" s="1"/>
  <c r="AA46" i="12"/>
  <c r="AB46" i="12" s="1"/>
  <c r="V46" i="12"/>
  <c r="M46" i="12"/>
  <c r="P46" i="12"/>
  <c r="O46" i="12"/>
  <c r="N46" i="12"/>
  <c r="L46" i="12"/>
  <c r="AL46" i="12"/>
  <c r="AJ46" i="12"/>
  <c r="AK46" i="12" s="1"/>
  <c r="X46" i="12"/>
  <c r="AD46" i="12"/>
  <c r="AE46" i="12" s="1"/>
  <c r="P186" i="12"/>
  <c r="N186" i="12"/>
  <c r="V186" i="12" s="1"/>
  <c r="M186" i="12"/>
  <c r="AA186" i="12"/>
  <c r="AB186" i="12" s="1"/>
  <c r="X186" i="12"/>
  <c r="O186" i="12"/>
  <c r="L186" i="12"/>
  <c r="AL186" i="12"/>
  <c r="AJ186" i="12"/>
  <c r="AK186" i="12" s="1"/>
  <c r="AG186" i="12"/>
  <c r="AH186" i="12" s="1"/>
  <c r="AD186" i="12"/>
  <c r="AE186" i="12" s="1"/>
  <c r="U98" i="9"/>
  <c r="Z98" i="9" s="1"/>
  <c r="AC42" i="10"/>
  <c r="AF42" i="10" s="1"/>
  <c r="G98" i="12"/>
  <c r="AU100" i="7"/>
  <c r="AY100" i="7"/>
  <c r="X221" i="9"/>
  <c r="Z221" i="9" s="1"/>
  <c r="I221" i="12"/>
  <c r="AV100" i="7"/>
  <c r="C32" i="8" s="1"/>
  <c r="G212" i="12"/>
  <c r="U212" i="9"/>
  <c r="Z212" i="9" s="1"/>
  <c r="AC79" i="10"/>
  <c r="AF79" i="10" s="1"/>
  <c r="AA197" i="12"/>
  <c r="AB197" i="12" s="1"/>
  <c r="X197" i="12"/>
  <c r="Y197" i="12" s="1"/>
  <c r="AT197" i="12" s="1"/>
  <c r="P197" i="12"/>
  <c r="O197" i="12"/>
  <c r="AL197" i="12"/>
  <c r="AG197" i="12"/>
  <c r="AH197" i="12" s="1"/>
  <c r="AD197" i="12"/>
  <c r="AE197" i="12" s="1"/>
  <c r="M197" i="12"/>
  <c r="AJ197" i="12"/>
  <c r="AK197" i="12" s="1"/>
  <c r="BE194" i="4"/>
  <c r="BF194" i="4" s="1"/>
  <c r="BC194" i="4"/>
  <c r="O122" i="14"/>
  <c r="X122" i="14" s="1"/>
  <c r="AA122" i="14" s="1"/>
  <c r="AC122" i="14" s="1"/>
  <c r="N122" i="14"/>
  <c r="O349" i="12"/>
  <c r="M349" i="12"/>
  <c r="AL349" i="12"/>
  <c r="L349" i="12"/>
  <c r="AA349" i="12"/>
  <c r="AB349" i="12" s="1"/>
  <c r="X349" i="12"/>
  <c r="V349" i="12"/>
  <c r="P349" i="12"/>
  <c r="N349" i="12"/>
  <c r="AJ349" i="12"/>
  <c r="AK349" i="12" s="1"/>
  <c r="AD349" i="12"/>
  <c r="AE349" i="12" s="1"/>
  <c r="AG349" i="12"/>
  <c r="AH349" i="12" s="1"/>
  <c r="U40" i="9"/>
  <c r="Z40" i="9" s="1"/>
  <c r="G40" i="12"/>
  <c r="AG310" i="12"/>
  <c r="AH310" i="12" s="1"/>
  <c r="AD310" i="12"/>
  <c r="AE310" i="12" s="1"/>
  <c r="AA310" i="12"/>
  <c r="AB310" i="12" s="1"/>
  <c r="X310" i="12"/>
  <c r="P310" i="12"/>
  <c r="O310" i="12"/>
  <c r="M310" i="12"/>
  <c r="AL310" i="12"/>
  <c r="AJ310" i="12"/>
  <c r="AK310" i="12" s="1"/>
  <c r="V310" i="12"/>
  <c r="N310" i="12"/>
  <c r="L310" i="12"/>
  <c r="G168" i="12"/>
  <c r="AC65" i="10"/>
  <c r="AF65" i="10" s="1"/>
  <c r="U168" i="9"/>
  <c r="Z168" i="9" s="1"/>
  <c r="AL50" i="12"/>
  <c r="L50" i="12"/>
  <c r="AG50" i="12"/>
  <c r="AH50" i="12" s="1"/>
  <c r="V50" i="12"/>
  <c r="O50" i="12"/>
  <c r="N50" i="12"/>
  <c r="M50" i="12"/>
  <c r="AJ50" i="12"/>
  <c r="AK50" i="12" s="1"/>
  <c r="P50" i="12"/>
  <c r="AA50" i="12"/>
  <c r="AB50" i="12" s="1"/>
  <c r="X50" i="12"/>
  <c r="AD50" i="12"/>
  <c r="AE50" i="12" s="1"/>
  <c r="AH28" i="20"/>
  <c r="BE204" i="4"/>
  <c r="BC204" i="4"/>
  <c r="BE384" i="4"/>
  <c r="BF384" i="4" s="1"/>
  <c r="BC384" i="4"/>
  <c r="AE16" i="12"/>
  <c r="BC79" i="4"/>
  <c r="BE79" i="4"/>
  <c r="BF79" i="4" s="1"/>
  <c r="AH21" i="20"/>
  <c r="BC339" i="4"/>
  <c r="BE339" i="4"/>
  <c r="BF339" i="4" s="1"/>
  <c r="AG242" i="12"/>
  <c r="AH242" i="12" s="1"/>
  <c r="V242" i="12"/>
  <c r="P242" i="12"/>
  <c r="O242" i="12"/>
  <c r="N242" i="12"/>
  <c r="L242" i="12"/>
  <c r="AL242" i="12"/>
  <c r="AJ242" i="12"/>
  <c r="AK242" i="12" s="1"/>
  <c r="AD242" i="12"/>
  <c r="AE242" i="12" s="1"/>
  <c r="AA242" i="12"/>
  <c r="AB242" i="12" s="1"/>
  <c r="X242" i="12"/>
  <c r="M242" i="12"/>
  <c r="U29" i="9"/>
  <c r="Z29" i="9" s="1"/>
  <c r="AW20" i="7"/>
  <c r="G29" i="12"/>
  <c r="AJ336" i="12"/>
  <c r="AK336" i="12" s="1"/>
  <c r="AA336" i="12"/>
  <c r="AB336" i="12" s="1"/>
  <c r="AL336" i="12"/>
  <c r="AG336" i="12"/>
  <c r="AH336" i="12" s="1"/>
  <c r="AD336" i="12"/>
  <c r="AE336" i="12" s="1"/>
  <c r="X336" i="12"/>
  <c r="V336" i="12"/>
  <c r="P336" i="12"/>
  <c r="O336" i="12"/>
  <c r="N336" i="12"/>
  <c r="M336" i="12"/>
  <c r="L336" i="12"/>
  <c r="BE129" i="4"/>
  <c r="BF129" i="4" s="1"/>
  <c r="BC129" i="4"/>
  <c r="AT17" i="12"/>
  <c r="AU17" i="12" s="1"/>
  <c r="BE185" i="4"/>
  <c r="BF185" i="4" s="1"/>
  <c r="BC185" i="4"/>
  <c r="O228" i="12"/>
  <c r="N228" i="12"/>
  <c r="AL228" i="12"/>
  <c r="L228" i="12"/>
  <c r="AJ228" i="12"/>
  <c r="AK228" i="12" s="1"/>
  <c r="AG228" i="12"/>
  <c r="AH228" i="12" s="1"/>
  <c r="AD228" i="12"/>
  <c r="AE228" i="12" s="1"/>
  <c r="AA228" i="12"/>
  <c r="AB228" i="12" s="1"/>
  <c r="X228" i="12"/>
  <c r="V228" i="12"/>
  <c r="P228" i="12"/>
  <c r="M228" i="12"/>
  <c r="G344" i="12"/>
  <c r="AC123" i="10"/>
  <c r="AF123" i="10" s="1"/>
  <c r="U344" i="9"/>
  <c r="Z344" i="9" s="1"/>
  <c r="AW112" i="7"/>
  <c r="BA112" i="7" s="1"/>
  <c r="U249" i="9"/>
  <c r="Z249" i="9" s="1"/>
  <c r="G249" i="12"/>
  <c r="AD39" i="12"/>
  <c r="AE39" i="12" s="1"/>
  <c r="X39" i="12"/>
  <c r="AG39" i="12"/>
  <c r="AH39" i="12" s="1"/>
  <c r="AA39" i="12"/>
  <c r="AB39" i="12" s="1"/>
  <c r="V39" i="12"/>
  <c r="N39" i="12"/>
  <c r="M39" i="12"/>
  <c r="L39" i="12"/>
  <c r="AJ39" i="12"/>
  <c r="AK39" i="12" s="1"/>
  <c r="AL39" i="12"/>
  <c r="P39" i="12"/>
  <c r="O39" i="12"/>
  <c r="X84" i="12"/>
  <c r="O84" i="12"/>
  <c r="AA84" i="12"/>
  <c r="AB84" i="12" s="1"/>
  <c r="V84" i="12"/>
  <c r="P84" i="12"/>
  <c r="M84" i="12"/>
  <c r="L84" i="12"/>
  <c r="AL84" i="12"/>
  <c r="AJ84" i="12"/>
  <c r="AK84" i="12" s="1"/>
  <c r="AG84" i="12"/>
  <c r="AH84" i="12" s="1"/>
  <c r="AD84" i="12"/>
  <c r="AE84" i="12" s="1"/>
  <c r="N84" i="12"/>
  <c r="Z29" i="20"/>
  <c r="G67" i="12"/>
  <c r="AW36" i="7"/>
  <c r="BA36" i="7" s="1"/>
  <c r="U67" i="9"/>
  <c r="Z67" i="9" s="1"/>
  <c r="AA346" i="12"/>
  <c r="AB346" i="12" s="1"/>
  <c r="X346" i="12"/>
  <c r="V346" i="12"/>
  <c r="P346" i="12"/>
  <c r="O346" i="12"/>
  <c r="M346" i="12"/>
  <c r="L346" i="12"/>
  <c r="AJ346" i="12"/>
  <c r="AK346" i="12" s="1"/>
  <c r="AG346" i="12"/>
  <c r="AH346" i="12" s="1"/>
  <c r="AL346" i="12"/>
  <c r="AD346" i="12"/>
  <c r="AE346" i="12" s="1"/>
  <c r="N346" i="12"/>
  <c r="V47" i="12"/>
  <c r="N47" i="12"/>
  <c r="M47" i="12"/>
  <c r="AJ47" i="12"/>
  <c r="AK47" i="12" s="1"/>
  <c r="AD47" i="12"/>
  <c r="AE47" i="12" s="1"/>
  <c r="AA47" i="12"/>
  <c r="AB47" i="12" s="1"/>
  <c r="X47" i="12"/>
  <c r="O47" i="12"/>
  <c r="L47" i="12"/>
  <c r="AG47" i="12"/>
  <c r="AH47" i="12" s="1"/>
  <c r="AL47" i="12"/>
  <c r="P47" i="12"/>
  <c r="AG43" i="20"/>
  <c r="BC413" i="4"/>
  <c r="BE413" i="4"/>
  <c r="H21" i="6"/>
  <c r="BE73" i="4"/>
  <c r="BF73" i="4" s="1"/>
  <c r="BC73" i="4"/>
  <c r="AW37" i="7"/>
  <c r="BA37" i="7" s="1"/>
  <c r="G69" i="12"/>
  <c r="U69" i="9"/>
  <c r="Z69" i="9" s="1"/>
  <c r="BC171" i="4"/>
  <c r="BE171" i="4"/>
  <c r="BF171" i="4" s="1"/>
  <c r="U291" i="9"/>
  <c r="Z291" i="9" s="1"/>
  <c r="G291" i="12"/>
  <c r="BC158" i="4"/>
  <c r="BE158" i="4"/>
  <c r="BF158" i="4" s="1"/>
  <c r="G62" i="12"/>
  <c r="U62" i="9"/>
  <c r="Z62" i="9" s="1"/>
  <c r="AC30" i="10"/>
  <c r="AF30" i="10" s="1"/>
  <c r="G337" i="12"/>
  <c r="AW149" i="7"/>
  <c r="BA149" i="7" s="1"/>
  <c r="U337" i="9"/>
  <c r="Z337" i="9" s="1"/>
  <c r="AD256" i="12"/>
  <c r="AE256" i="12" s="1"/>
  <c r="O256" i="12"/>
  <c r="N256" i="12"/>
  <c r="AL256" i="12"/>
  <c r="AJ256" i="12"/>
  <c r="AK256" i="12" s="1"/>
  <c r="AG256" i="12"/>
  <c r="AH256" i="12" s="1"/>
  <c r="X256" i="12"/>
  <c r="V256" i="12"/>
  <c r="P256" i="12"/>
  <c r="M256" i="12"/>
  <c r="L256" i="12"/>
  <c r="AA256" i="12"/>
  <c r="AB256" i="12" s="1"/>
  <c r="BC347" i="4"/>
  <c r="BE347" i="4"/>
  <c r="BF347" i="4" s="1"/>
  <c r="U300" i="9"/>
  <c r="Z300" i="9" s="1"/>
  <c r="AC109" i="10"/>
  <c r="AF109" i="10" s="1"/>
  <c r="G300" i="12"/>
  <c r="AG301" i="12"/>
  <c r="AH301" i="12" s="1"/>
  <c r="O301" i="12"/>
  <c r="N301" i="12"/>
  <c r="M301" i="12"/>
  <c r="L301" i="12"/>
  <c r="AL301" i="12"/>
  <c r="AD301" i="12"/>
  <c r="AE301" i="12" s="1"/>
  <c r="AA301" i="12"/>
  <c r="AB301" i="12" s="1"/>
  <c r="X301" i="12"/>
  <c r="V301" i="12"/>
  <c r="AJ301" i="12"/>
  <c r="AK301" i="12" s="1"/>
  <c r="P301" i="12"/>
  <c r="BE291" i="4"/>
  <c r="BF291" i="4" s="1"/>
  <c r="BC291" i="4"/>
  <c r="O105" i="14"/>
  <c r="X105" i="14" s="1"/>
  <c r="AA105" i="14" s="1"/>
  <c r="AC105" i="14" s="1"/>
  <c r="N105" i="14"/>
  <c r="AW97" i="7"/>
  <c r="BA97" i="7" s="1"/>
  <c r="U213" i="9"/>
  <c r="Z213" i="9" s="1"/>
  <c r="G213" i="12"/>
  <c r="AG39" i="20"/>
  <c r="BC357" i="4"/>
  <c r="BE357" i="4"/>
  <c r="G298" i="12"/>
  <c r="AC108" i="10"/>
  <c r="AF108" i="10" s="1"/>
  <c r="U298" i="9"/>
  <c r="Z298" i="9" s="1"/>
  <c r="W24" i="6"/>
  <c r="S24" i="6"/>
  <c r="F24" i="6"/>
  <c r="AN18" i="20"/>
  <c r="BF63" i="4"/>
  <c r="AO17" i="20"/>
  <c r="BF50" i="4"/>
  <c r="BE65" i="4"/>
  <c r="BF65" i="4" s="1"/>
  <c r="BC65" i="4"/>
  <c r="AO19" i="20"/>
  <c r="BF78" i="4"/>
  <c r="AN22" i="20"/>
  <c r="BF119" i="4"/>
  <c r="BE66" i="4"/>
  <c r="BF66" i="4" s="1"/>
  <c r="BC66" i="4"/>
  <c r="BC290" i="4"/>
  <c r="BE290" i="4"/>
  <c r="BF290" i="4" s="1"/>
  <c r="O54" i="14"/>
  <c r="X54" i="14" s="1"/>
  <c r="AA54" i="14" s="1"/>
  <c r="AC54" i="14" s="1"/>
  <c r="N54" i="14"/>
  <c r="AH18" i="20"/>
  <c r="BC64" i="4"/>
  <c r="BE64" i="4"/>
  <c r="P169" i="12"/>
  <c r="O169" i="12"/>
  <c r="N169" i="12"/>
  <c r="M169" i="12"/>
  <c r="AL169" i="12"/>
  <c r="L169" i="12"/>
  <c r="AJ169" i="12"/>
  <c r="AK169" i="12" s="1"/>
  <c r="AG169" i="12"/>
  <c r="AH169" i="12" s="1"/>
  <c r="AD169" i="12"/>
  <c r="AE169" i="12" s="1"/>
  <c r="AA169" i="12"/>
  <c r="AB169" i="12" s="1"/>
  <c r="X169" i="12"/>
  <c r="V169" i="12"/>
  <c r="AJ359" i="12"/>
  <c r="AK359" i="12" s="1"/>
  <c r="AD359" i="12"/>
  <c r="AE359" i="12" s="1"/>
  <c r="AL359" i="12"/>
  <c r="L359" i="12"/>
  <c r="AG359" i="12"/>
  <c r="AH359" i="12" s="1"/>
  <c r="X359" i="12"/>
  <c r="V359" i="12"/>
  <c r="O359" i="12"/>
  <c r="N359" i="12"/>
  <c r="AA359" i="12"/>
  <c r="AB359" i="12" s="1"/>
  <c r="P359" i="12"/>
  <c r="M359" i="12"/>
  <c r="P241" i="12"/>
  <c r="O241" i="12"/>
  <c r="AG241" i="12"/>
  <c r="AH241" i="12" s="1"/>
  <c r="X241" i="12"/>
  <c r="V241" i="12"/>
  <c r="M241" i="12"/>
  <c r="L241" i="12"/>
  <c r="AL241" i="12"/>
  <c r="AJ241" i="12"/>
  <c r="AK241" i="12" s="1"/>
  <c r="AD241" i="12"/>
  <c r="AE241" i="12" s="1"/>
  <c r="AA241" i="12"/>
  <c r="AB241" i="12" s="1"/>
  <c r="N241" i="12"/>
  <c r="AG194" i="12"/>
  <c r="AH194" i="12" s="1"/>
  <c r="AD194" i="12"/>
  <c r="AE194" i="12" s="1"/>
  <c r="V194" i="12"/>
  <c r="P194" i="12"/>
  <c r="N194" i="12"/>
  <c r="AL194" i="12"/>
  <c r="L194" i="12"/>
  <c r="AJ194" i="12"/>
  <c r="AK194" i="12" s="1"/>
  <c r="AA194" i="12"/>
  <c r="AB194" i="12" s="1"/>
  <c r="X194" i="12"/>
  <c r="O194" i="12"/>
  <c r="M194" i="12"/>
  <c r="AO32" i="20"/>
  <c r="BF260" i="4"/>
  <c r="AW86" i="7"/>
  <c r="BA86" i="7" s="1"/>
  <c r="U187" i="9"/>
  <c r="Z187" i="9" s="1"/>
  <c r="G187" i="12"/>
  <c r="O86" i="14"/>
  <c r="X86" i="14" s="1"/>
  <c r="AA86" i="14" s="1"/>
  <c r="AC86" i="14" s="1"/>
  <c r="N86" i="14"/>
  <c r="AJ71" i="12"/>
  <c r="AK71" i="12" s="1"/>
  <c r="AL71" i="12"/>
  <c r="AG71" i="12"/>
  <c r="AH71" i="12" s="1"/>
  <c r="AA71" i="12"/>
  <c r="AB71" i="12" s="1"/>
  <c r="X71" i="12"/>
  <c r="P71" i="12"/>
  <c r="AD71" i="12"/>
  <c r="AE71" i="12" s="1"/>
  <c r="V71" i="12"/>
  <c r="O71" i="12"/>
  <c r="N71" i="12"/>
  <c r="M71" i="12"/>
  <c r="L71" i="12"/>
  <c r="O74" i="14"/>
  <c r="X74" i="14" s="1"/>
  <c r="AA74" i="14" s="1"/>
  <c r="AC74" i="14" s="1"/>
  <c r="N74" i="14"/>
  <c r="AD183" i="12"/>
  <c r="AE183" i="12" s="1"/>
  <c r="X183" i="12"/>
  <c r="AG183" i="12"/>
  <c r="AH183" i="12" s="1"/>
  <c r="AA183" i="12"/>
  <c r="AB183" i="12" s="1"/>
  <c r="P183" i="12"/>
  <c r="O183" i="12"/>
  <c r="N183" i="12"/>
  <c r="M183" i="12"/>
  <c r="L183" i="12"/>
  <c r="AL183" i="12"/>
  <c r="AJ183" i="12"/>
  <c r="AK183" i="12" s="1"/>
  <c r="V183" i="12"/>
  <c r="AA86" i="12"/>
  <c r="AB86" i="12" s="1"/>
  <c r="V86" i="12"/>
  <c r="M86" i="12"/>
  <c r="X86" i="12"/>
  <c r="P86" i="12"/>
  <c r="N86" i="12"/>
  <c r="L86" i="12"/>
  <c r="AL86" i="12"/>
  <c r="AJ86" i="12"/>
  <c r="AK86" i="12" s="1"/>
  <c r="AG86" i="12"/>
  <c r="AH86" i="12" s="1"/>
  <c r="O86" i="12"/>
  <c r="AD86" i="12"/>
  <c r="AE86" i="12" s="1"/>
  <c r="AY115" i="7"/>
  <c r="AU115" i="7"/>
  <c r="I257" i="12"/>
  <c r="X257" i="9"/>
  <c r="AV115" i="7"/>
  <c r="C35" i="8" s="1"/>
  <c r="X171" i="12"/>
  <c r="V171" i="12"/>
  <c r="P171" i="12"/>
  <c r="O171" i="12"/>
  <c r="N171" i="12"/>
  <c r="AL171" i="12"/>
  <c r="L171" i="12"/>
  <c r="AJ171" i="12"/>
  <c r="AK171" i="12" s="1"/>
  <c r="AG171" i="12"/>
  <c r="AH171" i="12" s="1"/>
  <c r="AD171" i="12"/>
  <c r="AE171" i="12" s="1"/>
  <c r="M171" i="12"/>
  <c r="AA171" i="12"/>
  <c r="AB171" i="12" s="1"/>
  <c r="U111" i="9"/>
  <c r="Z111" i="9" s="1"/>
  <c r="G111" i="12"/>
  <c r="P109" i="12"/>
  <c r="N109" i="12"/>
  <c r="M109" i="12"/>
  <c r="AL109" i="12"/>
  <c r="L109" i="12"/>
  <c r="AJ109" i="12"/>
  <c r="AK109" i="12" s="1"/>
  <c r="AG109" i="12"/>
  <c r="AH109" i="12" s="1"/>
  <c r="O109" i="12"/>
  <c r="AD109" i="12"/>
  <c r="AE109" i="12" s="1"/>
  <c r="AA109" i="12"/>
  <c r="AB109" i="12" s="1"/>
  <c r="X109" i="12"/>
  <c r="V109" i="12"/>
  <c r="AO24" i="20"/>
  <c r="BF148" i="4"/>
  <c r="BC404" i="4"/>
  <c r="BE404" i="4"/>
  <c r="BF404" i="4" s="1"/>
  <c r="AO33" i="20"/>
  <c r="BF274" i="4"/>
  <c r="AT115" i="7"/>
  <c r="AP257" i="12" s="1"/>
  <c r="S23" i="6"/>
  <c r="W23" i="6"/>
  <c r="U159" i="9"/>
  <c r="Z159" i="9" s="1"/>
  <c r="G159" i="12"/>
  <c r="N126" i="14"/>
  <c r="O126" i="14"/>
  <c r="X126" i="14" s="1"/>
  <c r="AA126" i="14" s="1"/>
  <c r="AC126" i="14" s="1"/>
  <c r="G247" i="12"/>
  <c r="AW111" i="7"/>
  <c r="BA111" i="7" s="1"/>
  <c r="U247" i="9"/>
  <c r="Z247" i="9" s="1"/>
  <c r="AW46" i="7"/>
  <c r="BA46" i="7" s="1"/>
  <c r="U91" i="9"/>
  <c r="Z91" i="9" s="1"/>
  <c r="G91" i="12"/>
  <c r="BE93" i="4"/>
  <c r="BF93" i="4" s="1"/>
  <c r="BC93" i="4"/>
  <c r="W19" i="6"/>
  <c r="S19" i="6"/>
  <c r="AJ48" i="12"/>
  <c r="AK48" i="12" s="1"/>
  <c r="AD48" i="12"/>
  <c r="AE48" i="12" s="1"/>
  <c r="O48" i="12"/>
  <c r="AL48" i="12"/>
  <c r="AA48" i="12"/>
  <c r="AB48" i="12" s="1"/>
  <c r="X48" i="12"/>
  <c r="V48" i="12"/>
  <c r="P48" i="12"/>
  <c r="AG48" i="12"/>
  <c r="AH48" i="12" s="1"/>
  <c r="N48" i="12"/>
  <c r="M48" i="12"/>
  <c r="L48" i="12"/>
  <c r="V226" i="12"/>
  <c r="M226" i="12"/>
  <c r="AL226" i="12"/>
  <c r="L226" i="12"/>
  <c r="AJ226" i="12"/>
  <c r="AK226" i="12" s="1"/>
  <c r="AG226" i="12"/>
  <c r="AH226" i="12" s="1"/>
  <c r="AD226" i="12"/>
  <c r="AE226" i="12" s="1"/>
  <c r="AA226" i="12"/>
  <c r="AB226" i="12" s="1"/>
  <c r="X226" i="12"/>
  <c r="P226" i="12"/>
  <c r="O226" i="12"/>
  <c r="N226" i="12"/>
  <c r="BA15" i="12"/>
  <c r="AN15" i="12"/>
  <c r="O33" i="14"/>
  <c r="X33" i="14" s="1"/>
  <c r="AA33" i="14" s="1"/>
  <c r="AC33" i="14" s="1"/>
  <c r="N33" i="14"/>
  <c r="AG258" i="12"/>
  <c r="AH258" i="12" s="1"/>
  <c r="AA258" i="12"/>
  <c r="AB258" i="12" s="1"/>
  <c r="V258" i="12"/>
  <c r="P258" i="12"/>
  <c r="L258" i="12"/>
  <c r="AL258" i="12"/>
  <c r="AD258" i="12"/>
  <c r="AE258" i="12" s="1"/>
  <c r="X258" i="12"/>
  <c r="O258" i="12"/>
  <c r="N258" i="12"/>
  <c r="M258" i="12"/>
  <c r="AJ258" i="12"/>
  <c r="AK258" i="12" s="1"/>
  <c r="Z43" i="20"/>
  <c r="G129" i="14"/>
  <c r="BH413" i="4"/>
  <c r="AN16" i="20"/>
  <c r="BF35" i="4"/>
  <c r="I21" i="6"/>
  <c r="G63" i="12"/>
  <c r="U63" i="9"/>
  <c r="Z63" i="9" s="1"/>
  <c r="G147" i="12"/>
  <c r="U147" i="9"/>
  <c r="Z147" i="9" s="1"/>
  <c r="BC173" i="4"/>
  <c r="BE173" i="4"/>
  <c r="BF173" i="4" s="1"/>
  <c r="Y26" i="12"/>
  <c r="AM26" i="12"/>
  <c r="BF400" i="4"/>
  <c r="M222" i="12"/>
  <c r="AA222" i="12"/>
  <c r="AB222" i="12" s="1"/>
  <c r="O222" i="12"/>
  <c r="V222" i="12" s="1"/>
  <c r="N222" i="12"/>
  <c r="L222" i="12"/>
  <c r="AL222" i="12"/>
  <c r="AJ222" i="12"/>
  <c r="AK222" i="12" s="1"/>
  <c r="AG222" i="12"/>
  <c r="AH222" i="12" s="1"/>
  <c r="X222" i="12"/>
  <c r="AD222" i="12"/>
  <c r="AE222" i="12" s="1"/>
  <c r="P222" i="12"/>
  <c r="G136" i="12"/>
  <c r="U136" i="9"/>
  <c r="Z136" i="9" s="1"/>
  <c r="G139" i="12"/>
  <c r="AW66" i="7"/>
  <c r="BA66" i="7" s="1"/>
  <c r="U139" i="9"/>
  <c r="Z139" i="9" s="1"/>
  <c r="AA181" i="12"/>
  <c r="AB181" i="12" s="1"/>
  <c r="V181" i="12"/>
  <c r="AJ181" i="12"/>
  <c r="AK181" i="12" s="1"/>
  <c r="AG181" i="12"/>
  <c r="AH181" i="12" s="1"/>
  <c r="X181" i="12"/>
  <c r="P181" i="12"/>
  <c r="O181" i="12"/>
  <c r="N181" i="12"/>
  <c r="M181" i="12"/>
  <c r="AL181" i="12"/>
  <c r="AD181" i="12"/>
  <c r="AE181" i="12" s="1"/>
  <c r="L181" i="12"/>
  <c r="BC223" i="4"/>
  <c r="BE223" i="4"/>
  <c r="BF223" i="4" s="1"/>
  <c r="G260" i="12"/>
  <c r="U260" i="9"/>
  <c r="Z260" i="9" s="1"/>
  <c r="AC95" i="10"/>
  <c r="AF95" i="10" s="1"/>
  <c r="AH27" i="20"/>
  <c r="AA43" i="20"/>
  <c r="G130" i="14"/>
  <c r="BH414" i="4"/>
  <c r="AW113" i="7"/>
  <c r="BA113" i="7" s="1"/>
  <c r="U251" i="9"/>
  <c r="Z251" i="9" s="1"/>
  <c r="G251" i="12"/>
  <c r="Z37" i="20"/>
  <c r="BC247" i="4"/>
  <c r="BE247" i="4"/>
  <c r="BF247" i="4" s="1"/>
  <c r="Z39" i="20"/>
  <c r="G113" i="14"/>
  <c r="BH357" i="4"/>
  <c r="Z125" i="9"/>
  <c r="AO36" i="20"/>
  <c r="BF316" i="4"/>
  <c r="H23" i="6"/>
  <c r="AC20" i="10"/>
  <c r="AF20" i="10" s="1"/>
  <c r="U34" i="9"/>
  <c r="Z34" i="9" s="1"/>
  <c r="G34" i="12"/>
  <c r="BC396" i="4"/>
  <c r="BE396" i="4"/>
  <c r="BF396" i="4" s="1"/>
  <c r="U57" i="9"/>
  <c r="Z57" i="9" s="1"/>
  <c r="AW32" i="7"/>
  <c r="BA32" i="7" s="1"/>
  <c r="G57" i="12"/>
  <c r="AC28" i="10"/>
  <c r="AF28" i="10" s="1"/>
  <c r="G58" i="12"/>
  <c r="U58" i="9"/>
  <c r="Z58" i="9" s="1"/>
  <c r="X219" i="12"/>
  <c r="N219" i="12"/>
  <c r="AD219" i="12"/>
  <c r="AE219" i="12" s="1"/>
  <c r="AA219" i="12"/>
  <c r="AB219" i="12" s="1"/>
  <c r="V219" i="12"/>
  <c r="P219" i="12"/>
  <c r="O219" i="12"/>
  <c r="M219" i="12"/>
  <c r="L219" i="12"/>
  <c r="AL219" i="12"/>
  <c r="AJ219" i="12"/>
  <c r="AK219" i="12" s="1"/>
  <c r="AG219" i="12"/>
  <c r="AH219" i="12" s="1"/>
  <c r="BC205" i="4"/>
  <c r="BE205" i="4"/>
  <c r="BF205" i="4" s="1"/>
  <c r="BE342" i="4"/>
  <c r="BF342" i="4" s="1"/>
  <c r="BC342" i="4"/>
  <c r="AA18" i="20"/>
  <c r="AA4" i="20" s="1"/>
  <c r="G30" i="14"/>
  <c r="BH64" i="4"/>
  <c r="AA221" i="12"/>
  <c r="AB221" i="12" s="1"/>
  <c r="P221" i="12"/>
  <c r="O221" i="12"/>
  <c r="N221" i="12"/>
  <c r="V221" i="12" s="1"/>
  <c r="M221" i="12"/>
  <c r="L221" i="12"/>
  <c r="AL221" i="12"/>
  <c r="AJ221" i="12"/>
  <c r="AK221" i="12" s="1"/>
  <c r="AG221" i="12"/>
  <c r="AH221" i="12" s="1"/>
  <c r="AD221" i="12"/>
  <c r="AE221" i="12" s="1"/>
  <c r="X221" i="12"/>
  <c r="Y221" i="12" s="1"/>
  <c r="X360" i="12"/>
  <c r="P360" i="12"/>
  <c r="O360" i="12"/>
  <c r="L360" i="12"/>
  <c r="AL360" i="12"/>
  <c r="AJ360" i="12"/>
  <c r="AK360" i="12" s="1"/>
  <c r="AG360" i="12"/>
  <c r="AH360" i="12" s="1"/>
  <c r="AD360" i="12"/>
  <c r="AE360" i="12" s="1"/>
  <c r="V360" i="12"/>
  <c r="N360" i="12"/>
  <c r="AA360" i="12"/>
  <c r="AB360" i="12" s="1"/>
  <c r="M360" i="12"/>
  <c r="U177" i="9"/>
  <c r="Z177" i="9" s="1"/>
  <c r="AW82" i="7"/>
  <c r="BA82" i="7" s="1"/>
  <c r="G177" i="12"/>
  <c r="AG317" i="12"/>
  <c r="AH317" i="12" s="1"/>
  <c r="O317" i="12"/>
  <c r="AL317" i="12"/>
  <c r="AJ317" i="12"/>
  <c r="AK317" i="12" s="1"/>
  <c r="X317" i="12"/>
  <c r="Y317" i="12" s="1"/>
  <c r="P317" i="12"/>
  <c r="M317" i="12"/>
  <c r="AD317" i="12"/>
  <c r="AE317" i="12" s="1"/>
  <c r="AA317" i="12"/>
  <c r="AB317" i="12" s="1"/>
  <c r="G294" i="12"/>
  <c r="U294" i="9"/>
  <c r="Z294" i="9" s="1"/>
  <c r="BC214" i="4"/>
  <c r="BE214" i="4"/>
  <c r="BF214" i="4" s="1"/>
  <c r="BA100" i="7"/>
  <c r="AA17" i="6"/>
  <c r="AC17" i="6" s="1"/>
  <c r="AE17" i="6" s="1"/>
  <c r="Z113" i="9"/>
  <c r="V130" i="12"/>
  <c r="M130" i="12"/>
  <c r="AG130" i="12"/>
  <c r="AH130" i="12" s="1"/>
  <c r="AA130" i="12"/>
  <c r="AB130" i="12" s="1"/>
  <c r="P130" i="12"/>
  <c r="O130" i="12"/>
  <c r="N130" i="12"/>
  <c r="L130" i="12"/>
  <c r="AL130" i="12"/>
  <c r="AJ130" i="12"/>
  <c r="AK130" i="12" s="1"/>
  <c r="AD130" i="12"/>
  <c r="AE130" i="12" s="1"/>
  <c r="X130" i="12"/>
  <c r="AU80" i="7"/>
  <c r="AY80" i="7"/>
  <c r="BA80" i="7" s="1"/>
  <c r="I173" i="12"/>
  <c r="X173" i="9"/>
  <c r="AV80" i="7"/>
  <c r="C28" i="8" s="1"/>
  <c r="BC182" i="4"/>
  <c r="BE182" i="4"/>
  <c r="BF182" i="4" s="1"/>
  <c r="P93" i="12"/>
  <c r="M93" i="12"/>
  <c r="AL93" i="12"/>
  <c r="L93" i="12"/>
  <c r="AJ93" i="12"/>
  <c r="AK93" i="12" s="1"/>
  <c r="AG93" i="12"/>
  <c r="AH93" i="12" s="1"/>
  <c r="AD93" i="12"/>
  <c r="AE93" i="12" s="1"/>
  <c r="AA93" i="12"/>
  <c r="AB93" i="12" s="1"/>
  <c r="X93" i="12"/>
  <c r="O93" i="12"/>
  <c r="N93" i="12"/>
  <c r="V93" i="12"/>
  <c r="BC370" i="4"/>
  <c r="BE370" i="4"/>
  <c r="BF370" i="4" s="1"/>
  <c r="U184" i="9"/>
  <c r="Z184" i="9" s="1"/>
  <c r="G184" i="12"/>
  <c r="AG74" i="12"/>
  <c r="AH74" i="12" s="1"/>
  <c r="X74" i="12"/>
  <c r="V74" i="12"/>
  <c r="O74" i="12"/>
  <c r="N74" i="12"/>
  <c r="L74" i="12"/>
  <c r="AL74" i="12"/>
  <c r="AJ74" i="12"/>
  <c r="AK74" i="12" s="1"/>
  <c r="AD74" i="12"/>
  <c r="AE74" i="12" s="1"/>
  <c r="AA74" i="12"/>
  <c r="AB74" i="12" s="1"/>
  <c r="P74" i="12"/>
  <c r="M74" i="12"/>
  <c r="BC312" i="4"/>
  <c r="BE312" i="4"/>
  <c r="BF312" i="4" s="1"/>
  <c r="AG225" i="12"/>
  <c r="AH225" i="12" s="1"/>
  <c r="AA225" i="12"/>
  <c r="AB225" i="12" s="1"/>
  <c r="V225" i="12"/>
  <c r="O225" i="12"/>
  <c r="AL225" i="12"/>
  <c r="L225" i="12"/>
  <c r="X225" i="12"/>
  <c r="P225" i="12"/>
  <c r="N225" i="12"/>
  <c r="M225" i="12"/>
  <c r="AJ225" i="12"/>
  <c r="AK225" i="12" s="1"/>
  <c r="AD225" i="12"/>
  <c r="AE225" i="12" s="1"/>
  <c r="U196" i="9"/>
  <c r="Z196" i="9" s="1"/>
  <c r="G196" i="12"/>
  <c r="BE76" i="4"/>
  <c r="BF76" i="4" s="1"/>
  <c r="BC76" i="4"/>
  <c r="AT15" i="12"/>
  <c r="V358" i="12"/>
  <c r="P358" i="12"/>
  <c r="N358" i="12"/>
  <c r="M358" i="12"/>
  <c r="AJ358" i="12"/>
  <c r="AK358" i="12" s="1"/>
  <c r="AG358" i="12"/>
  <c r="AH358" i="12" s="1"/>
  <c r="AD358" i="12"/>
  <c r="AE358" i="12" s="1"/>
  <c r="AA358" i="12"/>
  <c r="AB358" i="12" s="1"/>
  <c r="X358" i="12"/>
  <c r="L358" i="12"/>
  <c r="AL358" i="12"/>
  <c r="O358" i="12"/>
  <c r="BE124" i="4"/>
  <c r="BF124" i="4" s="1"/>
  <c r="BC124" i="4"/>
  <c r="AA206" i="12"/>
  <c r="AB206" i="12" s="1"/>
  <c r="X206" i="12"/>
  <c r="V206" i="12"/>
  <c r="P206" i="12"/>
  <c r="N206" i="12"/>
  <c r="M206" i="12"/>
  <c r="AL206" i="12"/>
  <c r="L206" i="12"/>
  <c r="AJ206" i="12"/>
  <c r="AK206" i="12" s="1"/>
  <c r="AG206" i="12"/>
  <c r="AH206" i="12" s="1"/>
  <c r="AD206" i="12"/>
  <c r="AE206" i="12" s="1"/>
  <c r="O206" i="12"/>
  <c r="AK26" i="12"/>
  <c r="BF175" i="4"/>
  <c r="P153" i="12"/>
  <c r="O153" i="12"/>
  <c r="M153" i="12"/>
  <c r="AL153" i="12"/>
  <c r="L153" i="12"/>
  <c r="AJ153" i="12"/>
  <c r="AK153" i="12" s="1"/>
  <c r="AG153" i="12"/>
  <c r="AH153" i="12" s="1"/>
  <c r="AD153" i="12"/>
  <c r="AE153" i="12" s="1"/>
  <c r="AA153" i="12"/>
  <c r="AB153" i="12" s="1"/>
  <c r="X153" i="12"/>
  <c r="V153" i="12"/>
  <c r="N153" i="12"/>
  <c r="AA35" i="20"/>
  <c r="AW122" i="7"/>
  <c r="BA122" i="7" s="1"/>
  <c r="U273" i="9"/>
  <c r="Z273" i="9" s="1"/>
  <c r="G273" i="12"/>
  <c r="BC118" i="4"/>
  <c r="BE118" i="4"/>
  <c r="BF118" i="4" s="1"/>
  <c r="AG325" i="12"/>
  <c r="AH325" i="12" s="1"/>
  <c r="AD325" i="12"/>
  <c r="AE325" i="12" s="1"/>
  <c r="V325" i="12"/>
  <c r="O325" i="12"/>
  <c r="N325" i="12"/>
  <c r="M325" i="12"/>
  <c r="L325" i="12"/>
  <c r="AL325" i="12"/>
  <c r="AJ325" i="12"/>
  <c r="AK325" i="12" s="1"/>
  <c r="AA325" i="12"/>
  <c r="AB325" i="12" s="1"/>
  <c r="X325" i="12"/>
  <c r="P325" i="12"/>
  <c r="AN32" i="20"/>
  <c r="BF259" i="4"/>
  <c r="AL117" i="12"/>
  <c r="L117" i="12"/>
  <c r="AG117" i="12"/>
  <c r="AH117" i="12" s="1"/>
  <c r="V117" i="12"/>
  <c r="P117" i="12"/>
  <c r="N117" i="12"/>
  <c r="M117" i="12"/>
  <c r="AD117" i="12"/>
  <c r="AE117" i="12" s="1"/>
  <c r="AA117" i="12"/>
  <c r="AB117" i="12" s="1"/>
  <c r="X117" i="12"/>
  <c r="O117" i="12"/>
  <c r="AJ117" i="12"/>
  <c r="AK117" i="12" s="1"/>
  <c r="N191" i="12"/>
  <c r="M191" i="12"/>
  <c r="AL191" i="12"/>
  <c r="L191" i="12"/>
  <c r="AJ191" i="12"/>
  <c r="AK191" i="12" s="1"/>
  <c r="AD191" i="12"/>
  <c r="AE191" i="12" s="1"/>
  <c r="AG191" i="12"/>
  <c r="AH191" i="12" s="1"/>
  <c r="AA191" i="12"/>
  <c r="AB191" i="12" s="1"/>
  <c r="X191" i="12"/>
  <c r="V191" i="12"/>
  <c r="P191" i="12"/>
  <c r="O191" i="12"/>
  <c r="BC353" i="4"/>
  <c r="BE353" i="4"/>
  <c r="BF353" i="4" s="1"/>
  <c r="AW99" i="7"/>
  <c r="BA99" i="7" s="1"/>
  <c r="U217" i="9"/>
  <c r="Z217" i="9" s="1"/>
  <c r="G217" i="12"/>
  <c r="BC293" i="4"/>
  <c r="BE293" i="4"/>
  <c r="BF293" i="4" s="1"/>
  <c r="J23" i="8"/>
  <c r="L23" i="8" s="1"/>
  <c r="AG180" i="12"/>
  <c r="AH180" i="12" s="1"/>
  <c r="M180" i="12"/>
  <c r="L180" i="12"/>
  <c r="AL180" i="12"/>
  <c r="AJ180" i="12"/>
  <c r="AK180" i="12" s="1"/>
  <c r="AD180" i="12"/>
  <c r="AE180" i="12" s="1"/>
  <c r="AA180" i="12"/>
  <c r="AB180" i="12" s="1"/>
  <c r="X180" i="12"/>
  <c r="V180" i="12"/>
  <c r="P180" i="12"/>
  <c r="O180" i="12"/>
  <c r="N180" i="12"/>
  <c r="BE151" i="4"/>
  <c r="BF151" i="4" s="1"/>
  <c r="BC151" i="4"/>
  <c r="BF37" i="4"/>
  <c r="AT25" i="7"/>
  <c r="AS25" i="7"/>
  <c r="AR25" i="7"/>
  <c r="AO4" i="7"/>
  <c r="BC306" i="4"/>
  <c r="BE306" i="4"/>
  <c r="BF306" i="4" s="1"/>
  <c r="W20" i="6"/>
  <c r="S20" i="6"/>
  <c r="F27" i="6"/>
  <c r="BC126" i="4"/>
  <c r="BE126" i="4"/>
  <c r="BF126" i="4" s="1"/>
  <c r="AN21" i="20"/>
  <c r="BF105" i="4"/>
  <c r="BE186" i="4"/>
  <c r="BF186" i="4" s="1"/>
  <c r="BC186" i="4"/>
  <c r="O333" i="12"/>
  <c r="AJ333" i="12"/>
  <c r="AK333" i="12" s="1"/>
  <c r="AA333" i="12"/>
  <c r="AB333" i="12" s="1"/>
  <c r="AL333" i="12"/>
  <c r="AG333" i="12"/>
  <c r="AH333" i="12" s="1"/>
  <c r="AD333" i="12"/>
  <c r="AE333" i="12" s="1"/>
  <c r="X333" i="12"/>
  <c r="V333" i="12"/>
  <c r="P333" i="12"/>
  <c r="N333" i="12"/>
  <c r="M333" i="12"/>
  <c r="L333" i="12"/>
  <c r="AY90" i="7"/>
  <c r="BA90" i="7" s="1"/>
  <c r="AU90" i="7"/>
  <c r="X197" i="9"/>
  <c r="Z197" i="9" s="1"/>
  <c r="I197" i="12"/>
  <c r="L197" i="12" s="1"/>
  <c r="AV90" i="7"/>
  <c r="C30" i="8" s="1"/>
  <c r="AA306" i="12"/>
  <c r="AB306" i="12" s="1"/>
  <c r="X306" i="12"/>
  <c r="P306" i="12"/>
  <c r="N306" i="12"/>
  <c r="V306" i="12" s="1"/>
  <c r="AL306" i="12"/>
  <c r="L306" i="12"/>
  <c r="AJ306" i="12"/>
  <c r="AK306" i="12" s="1"/>
  <c r="AG306" i="12"/>
  <c r="AH306" i="12" s="1"/>
  <c r="AD306" i="12"/>
  <c r="AE306" i="12" s="1"/>
  <c r="O306" i="12"/>
  <c r="M306" i="12"/>
  <c r="O90" i="14"/>
  <c r="X90" i="14" s="1"/>
  <c r="AA90" i="14" s="1"/>
  <c r="AC90" i="14" s="1"/>
  <c r="N90" i="14"/>
  <c r="AG350" i="12"/>
  <c r="AH350" i="12" s="1"/>
  <c r="AD350" i="12"/>
  <c r="AE350" i="12" s="1"/>
  <c r="V350" i="12"/>
  <c r="P350" i="12"/>
  <c r="O350" i="12"/>
  <c r="N350" i="12"/>
  <c r="M350" i="12"/>
  <c r="L350" i="12"/>
  <c r="AJ350" i="12"/>
  <c r="AK350" i="12" s="1"/>
  <c r="AA350" i="12"/>
  <c r="AB350" i="12" s="1"/>
  <c r="X350" i="12"/>
  <c r="AL350" i="12"/>
  <c r="U66" i="9"/>
  <c r="Z66" i="9" s="1"/>
  <c r="G66" i="12"/>
  <c r="W28" i="6"/>
  <c r="S28" i="6"/>
  <c r="AA313" i="12"/>
  <c r="AB313" i="12" s="1"/>
  <c r="V313" i="12"/>
  <c r="O313" i="12"/>
  <c r="M313" i="12"/>
  <c r="AJ313" i="12"/>
  <c r="AK313" i="12" s="1"/>
  <c r="AG313" i="12"/>
  <c r="AH313" i="12" s="1"/>
  <c r="AD313" i="12"/>
  <c r="AE313" i="12" s="1"/>
  <c r="X313" i="12"/>
  <c r="P313" i="12"/>
  <c r="N313" i="12"/>
  <c r="L313" i="12"/>
  <c r="AL313" i="12"/>
  <c r="G36" i="8"/>
  <c r="K36" i="8" s="1"/>
  <c r="U108" i="9"/>
  <c r="Z108" i="9" s="1"/>
  <c r="AC45" i="10"/>
  <c r="AF45" i="10" s="1"/>
  <c r="G108" i="12"/>
  <c r="W22" i="6"/>
  <c r="S22" i="6"/>
  <c r="AA53" i="12"/>
  <c r="AB53" i="12" s="1"/>
  <c r="P53" i="12"/>
  <c r="AL53" i="12"/>
  <c r="M53" i="12"/>
  <c r="AJ53" i="12"/>
  <c r="AK53" i="12" s="1"/>
  <c r="AG53" i="12"/>
  <c r="AH53" i="12" s="1"/>
  <c r="O53" i="12"/>
  <c r="AD53" i="12"/>
  <c r="AE53" i="12" s="1"/>
  <c r="X53" i="12"/>
  <c r="Y53" i="12" s="1"/>
  <c r="N326" i="12"/>
  <c r="AA326" i="12"/>
  <c r="AB326" i="12" s="1"/>
  <c r="X326" i="12"/>
  <c r="V326" i="12"/>
  <c r="O326" i="12"/>
  <c r="L326" i="12"/>
  <c r="AJ326" i="12"/>
  <c r="AK326" i="12" s="1"/>
  <c r="AG326" i="12"/>
  <c r="AH326" i="12" s="1"/>
  <c r="AD326" i="12"/>
  <c r="AE326" i="12" s="1"/>
  <c r="AL326" i="12"/>
  <c r="P326" i="12"/>
  <c r="M326" i="12"/>
  <c r="AG281" i="12"/>
  <c r="AH281" i="12" s="1"/>
  <c r="AA281" i="12"/>
  <c r="AB281" i="12" s="1"/>
  <c r="X281" i="12"/>
  <c r="Y281" i="12" s="1"/>
  <c r="P281" i="12"/>
  <c r="O281" i="12"/>
  <c r="N281" i="12"/>
  <c r="V281" i="12" s="1"/>
  <c r="AL281" i="12"/>
  <c r="L281" i="12"/>
  <c r="AJ281" i="12"/>
  <c r="AK281" i="12" s="1"/>
  <c r="AD281" i="12"/>
  <c r="AE281" i="12" s="1"/>
  <c r="M281" i="12"/>
  <c r="X243" i="12"/>
  <c r="V243" i="12"/>
  <c r="AJ243" i="12"/>
  <c r="AK243" i="12" s="1"/>
  <c r="O243" i="12"/>
  <c r="N243" i="12"/>
  <c r="M243" i="12"/>
  <c r="AG243" i="12"/>
  <c r="AH243" i="12" s="1"/>
  <c r="AL243" i="12"/>
  <c r="AD243" i="12"/>
  <c r="AE243" i="12" s="1"/>
  <c r="AA243" i="12"/>
  <c r="AB243" i="12" s="1"/>
  <c r="P243" i="12"/>
  <c r="L243" i="12"/>
  <c r="G223" i="12"/>
  <c r="AW101" i="7"/>
  <c r="BA101" i="7" s="1"/>
  <c r="U223" i="9"/>
  <c r="Z223" i="9" s="1"/>
  <c r="G102" i="12"/>
  <c r="U102" i="9"/>
  <c r="Z102" i="9" s="1"/>
  <c r="U303" i="9"/>
  <c r="Z303" i="9" s="1"/>
  <c r="G303" i="12"/>
  <c r="BA21" i="12"/>
  <c r="BI15" i="20" s="1"/>
  <c r="AN21" i="12"/>
  <c r="AU21" i="12"/>
  <c r="AV21" i="12" s="1"/>
  <c r="G16" i="8"/>
  <c r="K16" i="8" s="1"/>
  <c r="BF42" i="4"/>
  <c r="AW63" i="7"/>
  <c r="BA63" i="7" s="1"/>
  <c r="G131" i="12"/>
  <c r="U131" i="9"/>
  <c r="Z131" i="9" s="1"/>
  <c r="M198" i="12"/>
  <c r="V198" i="12" s="1"/>
  <c r="AL198" i="12"/>
  <c r="L198" i="12"/>
  <c r="AJ198" i="12"/>
  <c r="AK198" i="12" s="1"/>
  <c r="AG198" i="12"/>
  <c r="AH198" i="12" s="1"/>
  <c r="AA198" i="12"/>
  <c r="AB198" i="12" s="1"/>
  <c r="X198" i="12"/>
  <c r="P198" i="12"/>
  <c r="AD198" i="12"/>
  <c r="AE198" i="12" s="1"/>
  <c r="O198" i="12"/>
  <c r="N198" i="12"/>
  <c r="BE321" i="4"/>
  <c r="BF321" i="4" s="1"/>
  <c r="BC321" i="4"/>
  <c r="P70" i="12"/>
  <c r="O70" i="12"/>
  <c r="M70" i="12"/>
  <c r="AL70" i="12"/>
  <c r="L70" i="12"/>
  <c r="AJ70" i="12"/>
  <c r="AK70" i="12" s="1"/>
  <c r="N70" i="12"/>
  <c r="AG70" i="12"/>
  <c r="AH70" i="12" s="1"/>
  <c r="AD70" i="12"/>
  <c r="AE70" i="12" s="1"/>
  <c r="V70" i="12"/>
  <c r="AA70" i="12"/>
  <c r="AB70" i="12" s="1"/>
  <c r="X70" i="12"/>
  <c r="AC31" i="10"/>
  <c r="AF31" i="10" s="1"/>
  <c r="U68" i="9"/>
  <c r="Z68" i="9" s="1"/>
  <c r="G68" i="12"/>
  <c r="AW51" i="7"/>
  <c r="BA51" i="7" s="1"/>
  <c r="U103" i="9"/>
  <c r="Z103" i="9" s="1"/>
  <c r="G103" i="12"/>
  <c r="AX31" i="4"/>
  <c r="AZ31" i="4"/>
  <c r="BB31" i="4" s="1"/>
  <c r="BA55" i="7"/>
  <c r="BF34" i="4"/>
  <c r="AT80" i="7"/>
  <c r="AP173" i="12" s="1"/>
  <c r="U158" i="9"/>
  <c r="Z158" i="9" s="1"/>
  <c r="G158" i="12"/>
  <c r="AC62" i="10"/>
  <c r="AF62" i="10" s="1"/>
  <c r="P280" i="12"/>
  <c r="O280" i="12"/>
  <c r="N280" i="12"/>
  <c r="AL280" i="12"/>
  <c r="L280" i="12"/>
  <c r="AJ280" i="12"/>
  <c r="AK280" i="12" s="1"/>
  <c r="AD280" i="12"/>
  <c r="AE280" i="12" s="1"/>
  <c r="AG280" i="12"/>
  <c r="AH280" i="12" s="1"/>
  <c r="AA280" i="12"/>
  <c r="AB280" i="12" s="1"/>
  <c r="X280" i="12"/>
  <c r="V280" i="12"/>
  <c r="M280" i="12"/>
  <c r="G318" i="12"/>
  <c r="U318" i="9"/>
  <c r="Z318" i="9" s="1"/>
  <c r="AJ290" i="12"/>
  <c r="AK290" i="12" s="1"/>
  <c r="AG290" i="12"/>
  <c r="AH290" i="12" s="1"/>
  <c r="AD290" i="12"/>
  <c r="AE290" i="12" s="1"/>
  <c r="AA290" i="12"/>
  <c r="AB290" i="12" s="1"/>
  <c r="V290" i="12"/>
  <c r="P290" i="12"/>
  <c r="O290" i="12"/>
  <c r="N290" i="12"/>
  <c r="M290" i="12"/>
  <c r="AL290" i="12"/>
  <c r="L290" i="12"/>
  <c r="X290" i="12"/>
  <c r="AG41" i="12"/>
  <c r="AH41" i="12" s="1"/>
  <c r="AA41" i="12"/>
  <c r="AB41" i="12" s="1"/>
  <c r="AD41" i="12"/>
  <c r="AE41" i="12" s="1"/>
  <c r="X41" i="12"/>
  <c r="Y41" i="12" s="1"/>
  <c r="M41" i="12"/>
  <c r="AL41" i="12"/>
  <c r="AJ41" i="12"/>
  <c r="AK41" i="12" s="1"/>
  <c r="P41" i="12"/>
  <c r="O41" i="12"/>
  <c r="G322" i="12"/>
  <c r="U322" i="9"/>
  <c r="Z322" i="9" s="1"/>
  <c r="AC116" i="10"/>
  <c r="AF116" i="10" s="1"/>
  <c r="X148" i="12"/>
  <c r="P148" i="12"/>
  <c r="O148" i="12"/>
  <c r="AJ148" i="12"/>
  <c r="AK148" i="12" s="1"/>
  <c r="AG148" i="12"/>
  <c r="AH148" i="12" s="1"/>
  <c r="AA148" i="12"/>
  <c r="AB148" i="12" s="1"/>
  <c r="V148" i="12"/>
  <c r="N148" i="12"/>
  <c r="M148" i="12"/>
  <c r="AL148" i="12"/>
  <c r="AD148" i="12"/>
  <c r="AE148" i="12" s="1"/>
  <c r="L148" i="12"/>
  <c r="R25" i="6"/>
  <c r="AA261" i="12"/>
  <c r="AB261" i="12" s="1"/>
  <c r="V261" i="12"/>
  <c r="O261" i="12"/>
  <c r="AL261" i="12"/>
  <c r="L261" i="12"/>
  <c r="AJ261" i="12"/>
  <c r="AK261" i="12" s="1"/>
  <c r="AG261" i="12"/>
  <c r="AH261" i="12" s="1"/>
  <c r="X261" i="12"/>
  <c r="P261" i="12"/>
  <c r="N261" i="12"/>
  <c r="M261" i="12"/>
  <c r="AD261" i="12"/>
  <c r="AE261" i="12" s="1"/>
  <c r="U348" i="9"/>
  <c r="Z348" i="9" s="1"/>
  <c r="AC125" i="10"/>
  <c r="AF125" i="10" s="1"/>
  <c r="G348" i="12"/>
  <c r="AG17" i="20"/>
  <c r="AG4" i="20" s="1"/>
  <c r="G135" i="12"/>
  <c r="U135" i="9"/>
  <c r="Z135" i="9" s="1"/>
  <c r="M314" i="12"/>
  <c r="AL314" i="12"/>
  <c r="L314" i="12"/>
  <c r="AJ314" i="12"/>
  <c r="AK314" i="12" s="1"/>
  <c r="AG314" i="12"/>
  <c r="AH314" i="12" s="1"/>
  <c r="AD314" i="12"/>
  <c r="AE314" i="12" s="1"/>
  <c r="AA314" i="12"/>
  <c r="AB314" i="12" s="1"/>
  <c r="V314" i="12"/>
  <c r="O314" i="12"/>
  <c r="X314" i="12"/>
  <c r="P314" i="12"/>
  <c r="N314" i="12"/>
  <c r="AG145" i="12"/>
  <c r="AH145" i="12" s="1"/>
  <c r="AA145" i="12"/>
  <c r="AB145" i="12" s="1"/>
  <c r="P145" i="12"/>
  <c r="O145" i="12"/>
  <c r="N145" i="12"/>
  <c r="AL145" i="12"/>
  <c r="AD145" i="12"/>
  <c r="AE145" i="12" s="1"/>
  <c r="X145" i="12"/>
  <c r="M145" i="12"/>
  <c r="L145" i="12"/>
  <c r="AJ145" i="12"/>
  <c r="AK145" i="12" s="1"/>
  <c r="V145" i="12"/>
  <c r="BH40" i="4"/>
  <c r="F26" i="6"/>
  <c r="O114" i="14"/>
  <c r="X114" i="14" s="1"/>
  <c r="AA114" i="14" s="1"/>
  <c r="AC114" i="14" s="1"/>
  <c r="N114" i="14"/>
  <c r="V266" i="12"/>
  <c r="P266" i="12"/>
  <c r="N266" i="12"/>
  <c r="M266" i="12"/>
  <c r="AL266" i="12"/>
  <c r="L266" i="12"/>
  <c r="AG266" i="12"/>
  <c r="AH266" i="12" s="1"/>
  <c r="AJ266" i="12"/>
  <c r="AK266" i="12" s="1"/>
  <c r="AD266" i="12"/>
  <c r="AE266" i="12" s="1"/>
  <c r="AA266" i="12"/>
  <c r="AB266" i="12" s="1"/>
  <c r="X266" i="12"/>
  <c r="O266" i="12"/>
  <c r="U49" i="9"/>
  <c r="Z49" i="9" s="1"/>
  <c r="AW29" i="7"/>
  <c r="BA29" i="7" s="1"/>
  <c r="G49" i="12"/>
  <c r="AL78" i="12"/>
  <c r="L78" i="12"/>
  <c r="AD78" i="12"/>
  <c r="AE78" i="12" s="1"/>
  <c r="AA78" i="12"/>
  <c r="AB78" i="12" s="1"/>
  <c r="P78" i="12"/>
  <c r="N78" i="12"/>
  <c r="V78" i="12" s="1"/>
  <c r="M78" i="12"/>
  <c r="AJ78" i="12"/>
  <c r="AK78" i="12" s="1"/>
  <c r="O78" i="12"/>
  <c r="AG78" i="12"/>
  <c r="AH78" i="12" s="1"/>
  <c r="X78" i="12"/>
  <c r="AW44" i="7"/>
  <c r="BA44" i="7" s="1"/>
  <c r="G85" i="12"/>
  <c r="U85" i="9"/>
  <c r="Z85" i="9" s="1"/>
  <c r="M114" i="12"/>
  <c r="V114" i="12" s="1"/>
  <c r="AD114" i="12"/>
  <c r="AE114" i="12" s="1"/>
  <c r="AA114" i="12"/>
  <c r="AB114" i="12" s="1"/>
  <c r="X114" i="12"/>
  <c r="O114" i="12"/>
  <c r="N114" i="12"/>
  <c r="L114" i="12"/>
  <c r="AJ114" i="12"/>
  <c r="AK114" i="12" s="1"/>
  <c r="AG114" i="12"/>
  <c r="AH114" i="12" s="1"/>
  <c r="P114" i="12"/>
  <c r="AL114" i="12"/>
  <c r="O81" i="14"/>
  <c r="X81" i="14" s="1"/>
  <c r="AA81" i="14" s="1"/>
  <c r="AC81" i="14" s="1"/>
  <c r="N81" i="14"/>
  <c r="AA20" i="20"/>
  <c r="G38" i="14"/>
  <c r="BH92" i="4"/>
  <c r="BC48" i="4"/>
  <c r="BE48" i="4"/>
  <c r="BF48" i="4" s="1"/>
  <c r="BF245" i="4"/>
  <c r="AA173" i="12"/>
  <c r="AB173" i="12" s="1"/>
  <c r="X173" i="12"/>
  <c r="Y173" i="12" s="1"/>
  <c r="P173" i="12"/>
  <c r="N173" i="12"/>
  <c r="AL173" i="12"/>
  <c r="L173" i="12"/>
  <c r="AJ173" i="12"/>
  <c r="AK173" i="12" s="1"/>
  <c r="AG173" i="12"/>
  <c r="AH173" i="12" s="1"/>
  <c r="AD173" i="12"/>
  <c r="AE173" i="12" s="1"/>
  <c r="O173" i="12"/>
  <c r="M173" i="12"/>
  <c r="V173" i="12" s="1"/>
  <c r="AA254" i="12"/>
  <c r="AB254" i="12" s="1"/>
  <c r="M254" i="12"/>
  <c r="AL254" i="12"/>
  <c r="L254" i="12"/>
  <c r="AG254" i="12"/>
  <c r="AH254" i="12" s="1"/>
  <c r="AD254" i="12"/>
  <c r="AE254" i="12" s="1"/>
  <c r="V254" i="12"/>
  <c r="P254" i="12"/>
  <c r="N254" i="12"/>
  <c r="AJ254" i="12"/>
  <c r="AK254" i="12" s="1"/>
  <c r="X254" i="12"/>
  <c r="O254" i="12"/>
  <c r="O106" i="14"/>
  <c r="X106" i="14" s="1"/>
  <c r="AA106" i="14" s="1"/>
  <c r="AC106" i="14" s="1"/>
  <c r="N106" i="14"/>
  <c r="G210" i="12"/>
  <c r="U210" i="9"/>
  <c r="Z210" i="9" s="1"/>
  <c r="G199" i="12"/>
  <c r="AW91" i="7"/>
  <c r="BA91" i="7" s="1"/>
  <c r="U199" i="9"/>
  <c r="Z199" i="9" s="1"/>
  <c r="BC374" i="4"/>
  <c r="BE374" i="4"/>
  <c r="BF374" i="4" s="1"/>
  <c r="O316" i="12"/>
  <c r="N316" i="12"/>
  <c r="AL316" i="12"/>
  <c r="L316" i="12"/>
  <c r="AJ316" i="12"/>
  <c r="AK316" i="12" s="1"/>
  <c r="AG316" i="12"/>
  <c r="AH316" i="12" s="1"/>
  <c r="AD316" i="12"/>
  <c r="AE316" i="12" s="1"/>
  <c r="V316" i="12"/>
  <c r="AA316" i="12"/>
  <c r="AB316" i="12" s="1"/>
  <c r="X316" i="12"/>
  <c r="P316" i="12"/>
  <c r="M316" i="12"/>
  <c r="O73" i="12"/>
  <c r="AL73" i="12"/>
  <c r="L73" i="12"/>
  <c r="AD73" i="12"/>
  <c r="AE73" i="12" s="1"/>
  <c r="AA73" i="12"/>
  <c r="AB73" i="12" s="1"/>
  <c r="V73" i="12"/>
  <c r="P73" i="12"/>
  <c r="M73" i="12"/>
  <c r="AJ73" i="12"/>
  <c r="AK73" i="12" s="1"/>
  <c r="AG73" i="12"/>
  <c r="AH73" i="12" s="1"/>
  <c r="X73" i="12"/>
  <c r="N73" i="12"/>
  <c r="O61" i="12"/>
  <c r="N61" i="12"/>
  <c r="AL61" i="12"/>
  <c r="L61" i="12"/>
  <c r="AG61" i="12"/>
  <c r="AH61" i="12" s="1"/>
  <c r="AD61" i="12"/>
  <c r="AE61" i="12" s="1"/>
  <c r="AA61" i="12"/>
  <c r="AB61" i="12" s="1"/>
  <c r="M61" i="12"/>
  <c r="AJ61" i="12"/>
  <c r="AK61" i="12" s="1"/>
  <c r="P61" i="12"/>
  <c r="X61" i="12"/>
  <c r="V61" i="12"/>
  <c r="AO34" i="20"/>
  <c r="BF288" i="4"/>
  <c r="O41" i="14"/>
  <c r="X41" i="14" s="1"/>
  <c r="AA41" i="14" s="1"/>
  <c r="AC41" i="14" s="1"/>
  <c r="N41" i="14"/>
  <c r="U81" i="9"/>
  <c r="Z81" i="9" s="1"/>
  <c r="AW42" i="7"/>
  <c r="BA42" i="7" s="1"/>
  <c r="G81" i="12"/>
  <c r="BE228" i="4"/>
  <c r="BF228" i="4" s="1"/>
  <c r="BC228" i="4"/>
  <c r="Z34" i="20"/>
  <c r="BH32" i="4"/>
  <c r="F18" i="6"/>
  <c r="AJ64" i="12"/>
  <c r="AK64" i="12" s="1"/>
  <c r="AD64" i="12"/>
  <c r="AE64" i="12" s="1"/>
  <c r="V64" i="12"/>
  <c r="O64" i="12"/>
  <c r="AG64" i="12"/>
  <c r="AH64" i="12" s="1"/>
  <c r="AA64" i="12"/>
  <c r="AB64" i="12" s="1"/>
  <c r="X64" i="12"/>
  <c r="P64" i="12"/>
  <c r="M64" i="12"/>
  <c r="L64" i="12"/>
  <c r="AL64" i="12"/>
  <c r="N64" i="12"/>
  <c r="AW24" i="7"/>
  <c r="BA24" i="7" s="1"/>
  <c r="U37" i="9"/>
  <c r="Z37" i="9" s="1"/>
  <c r="G37" i="12"/>
  <c r="AG288" i="12"/>
  <c r="AH288" i="12" s="1"/>
  <c r="AD288" i="12"/>
  <c r="AE288" i="12" s="1"/>
  <c r="AA288" i="12"/>
  <c r="AB288" i="12" s="1"/>
  <c r="X288" i="12"/>
  <c r="V288" i="12"/>
  <c r="O288" i="12"/>
  <c r="N288" i="12"/>
  <c r="M288" i="12"/>
  <c r="AL288" i="12"/>
  <c r="L288" i="12"/>
  <c r="AJ288" i="12"/>
  <c r="AK288" i="12" s="1"/>
  <c r="P288" i="12"/>
  <c r="G110" i="12"/>
  <c r="U110" i="9"/>
  <c r="Z110" i="9" s="1"/>
  <c r="AC46" i="10"/>
  <c r="AF46" i="10" s="1"/>
  <c r="AN35" i="20"/>
  <c r="BF301" i="4"/>
  <c r="X304" i="12"/>
  <c r="P304" i="12"/>
  <c r="N304" i="12"/>
  <c r="AL304" i="12"/>
  <c r="L304" i="12"/>
  <c r="AD304" i="12"/>
  <c r="AE304" i="12" s="1"/>
  <c r="AA304" i="12"/>
  <c r="AB304" i="12" s="1"/>
  <c r="V304" i="12"/>
  <c r="O304" i="12"/>
  <c r="M304" i="12"/>
  <c r="AJ304" i="12"/>
  <c r="AK304" i="12" s="1"/>
  <c r="AG304" i="12"/>
  <c r="AH304" i="12" s="1"/>
  <c r="BC305" i="4"/>
  <c r="BE305" i="4"/>
  <c r="BF305" i="4" s="1"/>
  <c r="O85" i="14"/>
  <c r="X85" i="14" s="1"/>
  <c r="AA85" i="14" s="1"/>
  <c r="AC85" i="14" s="1"/>
  <c r="N85" i="14"/>
  <c r="AJ76" i="12"/>
  <c r="AK76" i="12" s="1"/>
  <c r="N76" i="12"/>
  <c r="M76" i="12"/>
  <c r="AL76" i="12"/>
  <c r="AG76" i="12"/>
  <c r="AH76" i="12" s="1"/>
  <c r="AD76" i="12"/>
  <c r="AE76" i="12" s="1"/>
  <c r="AA76" i="12"/>
  <c r="AB76" i="12" s="1"/>
  <c r="X76" i="12"/>
  <c r="V76" i="12"/>
  <c r="P76" i="12"/>
  <c r="O76" i="12"/>
  <c r="L76" i="12"/>
  <c r="AH20" i="20"/>
  <c r="BE92" i="4"/>
  <c r="BC92" i="4"/>
  <c r="AN24" i="20"/>
  <c r="BF147" i="4"/>
  <c r="G43" i="12"/>
  <c r="AW26" i="7"/>
  <c r="BA26" i="7" s="1"/>
  <c r="U43" i="9"/>
  <c r="Z43" i="9" s="1"/>
  <c r="AJ352" i="12"/>
  <c r="AK352" i="12" s="1"/>
  <c r="AG352" i="12"/>
  <c r="AH352" i="12" s="1"/>
  <c r="P352" i="12"/>
  <c r="O352" i="12"/>
  <c r="N352" i="12"/>
  <c r="M352" i="12"/>
  <c r="L352" i="12"/>
  <c r="AL352" i="12"/>
  <c r="AD352" i="12"/>
  <c r="AE352" i="12" s="1"/>
  <c r="X352" i="12"/>
  <c r="AA352" i="12"/>
  <c r="AB352" i="12" s="1"/>
  <c r="V352" i="12"/>
  <c r="AG345" i="12"/>
  <c r="AH345" i="12" s="1"/>
  <c r="AA345" i="12"/>
  <c r="AB345" i="12" s="1"/>
  <c r="X345" i="12"/>
  <c r="P345" i="12"/>
  <c r="O345" i="12"/>
  <c r="AJ345" i="12"/>
  <c r="AK345" i="12" s="1"/>
  <c r="AL345" i="12"/>
  <c r="AD345" i="12"/>
  <c r="AE345" i="12" s="1"/>
  <c r="V345" i="12"/>
  <c r="M345" i="12"/>
  <c r="L345" i="12"/>
  <c r="N345" i="12"/>
  <c r="U42" i="9"/>
  <c r="Z42" i="9" s="1"/>
  <c r="G42" i="12"/>
  <c r="BC219" i="4"/>
  <c r="BE219" i="4"/>
  <c r="BF219" i="4" s="1"/>
  <c r="AO35" i="20"/>
  <c r="BF302" i="4"/>
  <c r="BA150" i="7"/>
  <c r="BC179" i="4"/>
  <c r="BE179" i="4"/>
  <c r="BF179" i="4" s="1"/>
  <c r="Z173" i="9"/>
  <c r="AD178" i="12"/>
  <c r="AE178" i="12" s="1"/>
  <c r="AA178" i="12"/>
  <c r="AB178" i="12" s="1"/>
  <c r="X178" i="12"/>
  <c r="V178" i="12"/>
  <c r="P178" i="12"/>
  <c r="N178" i="12"/>
  <c r="M178" i="12"/>
  <c r="L178" i="12"/>
  <c r="AL178" i="12"/>
  <c r="AJ178" i="12"/>
  <c r="AK178" i="12" s="1"/>
  <c r="AG178" i="12"/>
  <c r="AH178" i="12" s="1"/>
  <c r="O178" i="12"/>
  <c r="AN37" i="20"/>
  <c r="BF329" i="4"/>
  <c r="BE235" i="4"/>
  <c r="BF235" i="4" s="1"/>
  <c r="BC235" i="4"/>
  <c r="F20" i="6"/>
  <c r="AL205" i="12"/>
  <c r="L205" i="12"/>
  <c r="AJ205" i="12"/>
  <c r="AK205" i="12" s="1"/>
  <c r="AG205" i="12"/>
  <c r="AH205" i="12" s="1"/>
  <c r="AA205" i="12"/>
  <c r="AB205" i="12" s="1"/>
  <c r="V205" i="12"/>
  <c r="O205" i="12"/>
  <c r="N205" i="12"/>
  <c r="AD205" i="12"/>
  <c r="AE205" i="12" s="1"/>
  <c r="X205" i="12"/>
  <c r="P205" i="12"/>
  <c r="M205" i="12"/>
  <c r="O112" i="12"/>
  <c r="P112" i="12"/>
  <c r="L112" i="12"/>
  <c r="AJ112" i="12"/>
  <c r="AK112" i="12" s="1"/>
  <c r="AD112" i="12"/>
  <c r="AE112" i="12" s="1"/>
  <c r="AA112" i="12"/>
  <c r="AB112" i="12" s="1"/>
  <c r="AL112" i="12"/>
  <c r="X112" i="12"/>
  <c r="V112" i="12"/>
  <c r="N112" i="12"/>
  <c r="M112" i="12"/>
  <c r="AG112" i="12"/>
  <c r="AH112" i="12" s="1"/>
  <c r="AO16" i="20"/>
  <c r="BF36" i="4"/>
  <c r="I22" i="6"/>
  <c r="O77" i="14"/>
  <c r="X77" i="14" s="1"/>
  <c r="AA77" i="14" s="1"/>
  <c r="AC77" i="14" s="1"/>
  <c r="N77" i="14"/>
  <c r="P77" i="12"/>
  <c r="AL77" i="12"/>
  <c r="AG77" i="12"/>
  <c r="AH77" i="12" s="1"/>
  <c r="AD77" i="12"/>
  <c r="AE77" i="12" s="1"/>
  <c r="X77" i="12"/>
  <c r="Y77" i="12" s="1"/>
  <c r="AT77" i="12" s="1"/>
  <c r="O77" i="12"/>
  <c r="AJ77" i="12"/>
  <c r="AK77" i="12" s="1"/>
  <c r="AA77" i="12"/>
  <c r="AB77" i="12" s="1"/>
  <c r="N77" i="12"/>
  <c r="M77" i="12"/>
  <c r="V77" i="12" s="1"/>
  <c r="L77" i="12"/>
  <c r="AO38" i="20"/>
  <c r="BF344" i="4"/>
  <c r="AN28" i="20"/>
  <c r="BF203" i="4"/>
  <c r="Z20" i="20"/>
  <c r="Z4" i="20" s="1"/>
  <c r="P121" i="12"/>
  <c r="AL121" i="12"/>
  <c r="L121" i="12"/>
  <c r="AD121" i="12"/>
  <c r="AE121" i="12" s="1"/>
  <c r="X121" i="12"/>
  <c r="V121" i="12"/>
  <c r="O121" i="12"/>
  <c r="N121" i="12"/>
  <c r="AJ121" i="12"/>
  <c r="AK121" i="12" s="1"/>
  <c r="AG121" i="12"/>
  <c r="AH121" i="12" s="1"/>
  <c r="AA121" i="12"/>
  <c r="AB121" i="12" s="1"/>
  <c r="M121" i="12"/>
  <c r="AD208" i="12"/>
  <c r="AE208" i="12" s="1"/>
  <c r="AA208" i="12"/>
  <c r="AB208" i="12" s="1"/>
  <c r="X208" i="12"/>
  <c r="P208" i="12"/>
  <c r="O208" i="12"/>
  <c r="N208" i="12"/>
  <c r="AL208" i="12"/>
  <c r="L208" i="12"/>
  <c r="AJ208" i="12"/>
  <c r="AK208" i="12" s="1"/>
  <c r="V208" i="12"/>
  <c r="M208" i="12"/>
  <c r="AG208" i="12"/>
  <c r="AH208" i="12" s="1"/>
  <c r="M126" i="12"/>
  <c r="V126" i="12" s="1"/>
  <c r="AA126" i="12"/>
  <c r="AB126" i="12" s="1"/>
  <c r="O126" i="12"/>
  <c r="N126" i="12"/>
  <c r="AL126" i="12"/>
  <c r="AG126" i="12"/>
  <c r="AH126" i="12" s="1"/>
  <c r="AD126" i="12"/>
  <c r="AE126" i="12" s="1"/>
  <c r="X126" i="12"/>
  <c r="AJ126" i="12"/>
  <c r="AK126" i="12" s="1"/>
  <c r="P126" i="12"/>
  <c r="L126" i="12"/>
  <c r="G83" i="12"/>
  <c r="AW43" i="7"/>
  <c r="BA43" i="7" s="1"/>
  <c r="U83" i="9"/>
  <c r="Z83" i="9" s="1"/>
  <c r="AH16" i="12"/>
  <c r="U331" i="9"/>
  <c r="Z331" i="9" s="1"/>
  <c r="AW146" i="7"/>
  <c r="BA146" i="7" s="1"/>
  <c r="G331" i="12"/>
  <c r="AA190" i="12"/>
  <c r="AB190" i="12" s="1"/>
  <c r="X190" i="12"/>
  <c r="V190" i="12"/>
  <c r="M190" i="12"/>
  <c r="AJ190" i="12"/>
  <c r="AK190" i="12" s="1"/>
  <c r="O190" i="12"/>
  <c r="N190" i="12"/>
  <c r="L190" i="12"/>
  <c r="AL190" i="12"/>
  <c r="AG190" i="12"/>
  <c r="AH190" i="12" s="1"/>
  <c r="AD190" i="12"/>
  <c r="AE190" i="12" s="1"/>
  <c r="P190" i="12"/>
  <c r="AN20" i="20"/>
  <c r="BF91" i="4"/>
  <c r="M87" i="12"/>
  <c r="AJ87" i="12"/>
  <c r="AK87" i="12" s="1"/>
  <c r="AD87" i="12"/>
  <c r="AE87" i="12" s="1"/>
  <c r="X87" i="12"/>
  <c r="V87" i="12"/>
  <c r="O87" i="12"/>
  <c r="N87" i="12"/>
  <c r="AG87" i="12"/>
  <c r="AH87" i="12" s="1"/>
  <c r="P87" i="12"/>
  <c r="L87" i="12"/>
  <c r="AL87" i="12"/>
  <c r="AA87" i="12"/>
  <c r="AB87" i="12" s="1"/>
  <c r="X65" i="12"/>
  <c r="Y65" i="12" s="1"/>
  <c r="P65" i="12"/>
  <c r="O65" i="12"/>
  <c r="AL65" i="12"/>
  <c r="L65" i="12"/>
  <c r="AJ65" i="12"/>
  <c r="AK65" i="12" s="1"/>
  <c r="AG65" i="12"/>
  <c r="AH65" i="12" s="1"/>
  <c r="AD65" i="12"/>
  <c r="AE65" i="12" s="1"/>
  <c r="AA65" i="12"/>
  <c r="AB65" i="12" s="1"/>
  <c r="N65" i="12"/>
  <c r="M65" i="12"/>
  <c r="V65" i="12" s="1"/>
  <c r="BE102" i="4"/>
  <c r="BF102" i="4" s="1"/>
  <c r="BC102" i="4"/>
  <c r="AA245" i="12"/>
  <c r="AB245" i="12" s="1"/>
  <c r="AL245" i="12"/>
  <c r="L245" i="12"/>
  <c r="M245" i="12"/>
  <c r="V245" i="12" s="1"/>
  <c r="AJ245" i="12"/>
  <c r="AK245" i="12" s="1"/>
  <c r="AG245" i="12"/>
  <c r="AH245" i="12" s="1"/>
  <c r="AD245" i="12"/>
  <c r="AE245" i="12" s="1"/>
  <c r="P245" i="12"/>
  <c r="O245" i="12"/>
  <c r="N245" i="12"/>
  <c r="X245" i="12"/>
  <c r="Y245" i="12" s="1"/>
  <c r="O89" i="14"/>
  <c r="X89" i="14" s="1"/>
  <c r="AA89" i="14" s="1"/>
  <c r="AC89" i="14" s="1"/>
  <c r="N89" i="14"/>
  <c r="Z233" i="9"/>
  <c r="X4" i="10"/>
  <c r="V4" i="10"/>
  <c r="AW58" i="7"/>
  <c r="BA58" i="7" s="1"/>
  <c r="G119" i="12"/>
  <c r="U119" i="9"/>
  <c r="Z119" i="9" s="1"/>
  <c r="AN23" i="20"/>
  <c r="BF133" i="4"/>
  <c r="AR155" i="7"/>
  <c r="AT155" i="7"/>
  <c r="AP353" i="12" s="1"/>
  <c r="AS155" i="7"/>
  <c r="AW108" i="7"/>
  <c r="BA108" i="7" s="1"/>
  <c r="G239" i="12"/>
  <c r="U239" i="9"/>
  <c r="Z239" i="9" s="1"/>
  <c r="BE59" i="4"/>
  <c r="BF59" i="4" s="1"/>
  <c r="BC59" i="4"/>
  <c r="BF372" i="4"/>
  <c r="BE243" i="4"/>
  <c r="BF243" i="4" s="1"/>
  <c r="BC243" i="4"/>
  <c r="AN25" i="20"/>
  <c r="BF161" i="4"/>
  <c r="AG24" i="20"/>
  <c r="O25" i="14"/>
  <c r="X25" i="14" s="1"/>
  <c r="AA25" i="14" s="1"/>
  <c r="AC25" i="14" s="1"/>
  <c r="N25" i="14"/>
  <c r="AS85" i="7"/>
  <c r="AR85" i="7"/>
  <c r="BB15" i="20"/>
  <c r="AU19" i="12"/>
  <c r="AV19" i="12" s="1"/>
  <c r="G15" i="11"/>
  <c r="AW87" i="7"/>
  <c r="BA87" i="7" s="1"/>
  <c r="U189" i="9"/>
  <c r="Z189" i="9" s="1"/>
  <c r="G189" i="12"/>
  <c r="AH35" i="20"/>
  <c r="G155" i="12"/>
  <c r="AW73" i="7"/>
  <c r="BA73" i="7" s="1"/>
  <c r="U155" i="9"/>
  <c r="Z155" i="9" s="1"/>
  <c r="X252" i="12"/>
  <c r="AJ252" i="12"/>
  <c r="AK252" i="12" s="1"/>
  <c r="AA252" i="12"/>
  <c r="AB252" i="12" s="1"/>
  <c r="V252" i="12"/>
  <c r="P252" i="12"/>
  <c r="O252" i="12"/>
  <c r="M252" i="12"/>
  <c r="L252" i="12"/>
  <c r="AL252" i="12"/>
  <c r="AD252" i="12"/>
  <c r="AE252" i="12" s="1"/>
  <c r="AG252" i="12"/>
  <c r="AH252" i="12" s="1"/>
  <c r="N252" i="12"/>
  <c r="AJ267" i="12"/>
  <c r="AK267" i="12" s="1"/>
  <c r="AD267" i="12"/>
  <c r="AE267" i="12" s="1"/>
  <c r="X267" i="12"/>
  <c r="V267" i="12"/>
  <c r="P267" i="12"/>
  <c r="N267" i="12"/>
  <c r="AL267" i="12"/>
  <c r="AG267" i="12"/>
  <c r="AH267" i="12" s="1"/>
  <c r="O267" i="12"/>
  <c r="L267" i="12"/>
  <c r="AA267" i="12"/>
  <c r="AB267" i="12" s="1"/>
  <c r="M267" i="12"/>
  <c r="BC39" i="4"/>
  <c r="BE39" i="4"/>
  <c r="H25" i="6"/>
  <c r="U203" i="9"/>
  <c r="Z203" i="9" s="1"/>
  <c r="AW93" i="7"/>
  <c r="BA93" i="7" s="1"/>
  <c r="G203" i="12"/>
  <c r="U30" i="9"/>
  <c r="Z30" i="9" s="1"/>
  <c r="G30" i="12"/>
  <c r="H24" i="6"/>
  <c r="G175" i="12"/>
  <c r="U175" i="9"/>
  <c r="Z175" i="9" s="1"/>
  <c r="AW81" i="7"/>
  <c r="BA81" i="7" s="1"/>
  <c r="AH16" i="20"/>
  <c r="Z30" i="20"/>
  <c r="O287" i="12"/>
  <c r="N287" i="12"/>
  <c r="M287" i="12"/>
  <c r="AL287" i="12"/>
  <c r="L287" i="12"/>
  <c r="AJ287" i="12"/>
  <c r="AK287" i="12" s="1"/>
  <c r="AG287" i="12"/>
  <c r="AH287" i="12" s="1"/>
  <c r="AD287" i="12"/>
  <c r="AE287" i="12" s="1"/>
  <c r="AA287" i="12"/>
  <c r="AB287" i="12" s="1"/>
  <c r="X287" i="12"/>
  <c r="V287" i="12"/>
  <c r="P287" i="12"/>
  <c r="BA40" i="7"/>
  <c r="AL338" i="12"/>
  <c r="L338" i="12"/>
  <c r="V338" i="12"/>
  <c r="N338" i="12"/>
  <c r="AJ338" i="12"/>
  <c r="AK338" i="12" s="1"/>
  <c r="AD338" i="12"/>
  <c r="AE338" i="12" s="1"/>
  <c r="AA338" i="12"/>
  <c r="AB338" i="12" s="1"/>
  <c r="X338" i="12"/>
  <c r="P338" i="12"/>
  <c r="O338" i="12"/>
  <c r="M338" i="12"/>
  <c r="AG338" i="12"/>
  <c r="AH338" i="12" s="1"/>
  <c r="AU23" i="12"/>
  <c r="AV23" i="12" s="1"/>
  <c r="G19" i="11"/>
  <c r="U149" i="9"/>
  <c r="G149" i="12"/>
  <c r="AW70" i="7"/>
  <c r="O98" i="14"/>
  <c r="X98" i="14" s="1"/>
  <c r="AA98" i="14" s="1"/>
  <c r="AC98" i="14" s="1"/>
  <c r="N98" i="14"/>
  <c r="BE317" i="4"/>
  <c r="BF317" i="4" s="1"/>
  <c r="BC317" i="4"/>
  <c r="AH43" i="20"/>
  <c r="BC414" i="4"/>
  <c r="BE414" i="4"/>
  <c r="AG161" i="12"/>
  <c r="AH161" i="12" s="1"/>
  <c r="AA161" i="12"/>
  <c r="AB161" i="12" s="1"/>
  <c r="X161" i="12"/>
  <c r="P161" i="12"/>
  <c r="O161" i="12"/>
  <c r="N161" i="12"/>
  <c r="V161" i="12" s="1"/>
  <c r="AL161" i="12"/>
  <c r="L161" i="12"/>
  <c r="AJ161" i="12"/>
  <c r="AK161" i="12" s="1"/>
  <c r="AD161" i="12"/>
  <c r="AE161" i="12" s="1"/>
  <c r="M161" i="12"/>
  <c r="BE251" i="4"/>
  <c r="BF251" i="4" s="1"/>
  <c r="BC251" i="4"/>
  <c r="BF77" i="4"/>
  <c r="AG20" i="20"/>
  <c r="AG201" i="12"/>
  <c r="AH201" i="12" s="1"/>
  <c r="AD201" i="12"/>
  <c r="AE201" i="12" s="1"/>
  <c r="AA201" i="12"/>
  <c r="AB201" i="12" s="1"/>
  <c r="V201" i="12"/>
  <c r="P201" i="12"/>
  <c r="O201" i="12"/>
  <c r="M201" i="12"/>
  <c r="AJ201" i="12"/>
  <c r="AK201" i="12" s="1"/>
  <c r="AL201" i="12"/>
  <c r="X201" i="12"/>
  <c r="N201" i="12"/>
  <c r="L201" i="12"/>
  <c r="Z65" i="9"/>
  <c r="U88" i="9"/>
  <c r="Z88" i="9" s="1"/>
  <c r="G88" i="12"/>
  <c r="BC350" i="4"/>
  <c r="BE350" i="4"/>
  <c r="BF350" i="4" s="1"/>
  <c r="Z33" i="20"/>
  <c r="AD99" i="12"/>
  <c r="AE99" i="12" s="1"/>
  <c r="X99" i="12"/>
  <c r="P99" i="12"/>
  <c r="O99" i="12"/>
  <c r="M99" i="12"/>
  <c r="AL99" i="12"/>
  <c r="AG99" i="12"/>
  <c r="AH99" i="12" s="1"/>
  <c r="AA99" i="12"/>
  <c r="AB99" i="12" s="1"/>
  <c r="V99" i="12"/>
  <c r="N99" i="12"/>
  <c r="L99" i="12"/>
  <c r="AJ99" i="12"/>
  <c r="AK99" i="12" s="1"/>
  <c r="BC277" i="4"/>
  <c r="BE277" i="4"/>
  <c r="BF277" i="4" s="1"/>
  <c r="AC43" i="10"/>
  <c r="AF43" i="10" s="1"/>
  <c r="U104" i="9"/>
  <c r="Z104" i="9" s="1"/>
  <c r="G104" i="12"/>
  <c r="AB26" i="12"/>
  <c r="U51" i="9"/>
  <c r="Z51" i="9" s="1"/>
  <c r="G51" i="12"/>
  <c r="U209" i="9"/>
  <c r="Z209" i="9" s="1"/>
  <c r="G209" i="12"/>
  <c r="AW95" i="7"/>
  <c r="BA95" i="7" s="1"/>
  <c r="AN27" i="20"/>
  <c r="BF189" i="4"/>
  <c r="AH4" i="7"/>
  <c r="U353" i="9"/>
  <c r="AW155" i="7"/>
  <c r="G353" i="12"/>
  <c r="AG334" i="12"/>
  <c r="AH334" i="12" s="1"/>
  <c r="AA334" i="12"/>
  <c r="AB334" i="12" s="1"/>
  <c r="N334" i="12"/>
  <c r="AJ334" i="12"/>
  <c r="AK334" i="12" s="1"/>
  <c r="X334" i="12"/>
  <c r="V334" i="12"/>
  <c r="P334" i="12"/>
  <c r="O334" i="12"/>
  <c r="M334" i="12"/>
  <c r="L334" i="12"/>
  <c r="AL334" i="12"/>
  <c r="AD334" i="12"/>
  <c r="AE334" i="12" s="1"/>
  <c r="AG37" i="20"/>
  <c r="BH39" i="4"/>
  <c r="F25" i="6"/>
  <c r="AL237" i="12"/>
  <c r="L237" i="12"/>
  <c r="AA237" i="12"/>
  <c r="AB237" i="12" s="1"/>
  <c r="X237" i="12"/>
  <c r="P237" i="12"/>
  <c r="O237" i="12"/>
  <c r="M237" i="12"/>
  <c r="V237" i="12"/>
  <c r="N237" i="12"/>
  <c r="AJ237" i="12"/>
  <c r="AK237" i="12" s="1"/>
  <c r="AG237" i="12"/>
  <c r="AH237" i="12" s="1"/>
  <c r="AD237" i="12"/>
  <c r="AE237" i="12" s="1"/>
  <c r="F22" i="6"/>
  <c r="AG106" i="12"/>
  <c r="AH106" i="12" s="1"/>
  <c r="X106" i="12"/>
  <c r="V106" i="12"/>
  <c r="O106" i="12"/>
  <c r="N106" i="12"/>
  <c r="M106" i="12"/>
  <c r="AL106" i="12"/>
  <c r="L106" i="12"/>
  <c r="AJ106" i="12"/>
  <c r="AK106" i="12" s="1"/>
  <c r="AD106" i="12"/>
  <c r="AE106" i="12" s="1"/>
  <c r="AA106" i="12"/>
  <c r="AB106" i="12" s="1"/>
  <c r="P106" i="12"/>
  <c r="BE60" i="4"/>
  <c r="BF60" i="4" s="1"/>
  <c r="BC60" i="4"/>
  <c r="O69" i="14"/>
  <c r="X69" i="14" s="1"/>
  <c r="AA69" i="14" s="1"/>
  <c r="AC69" i="14" s="1"/>
  <c r="N69" i="14"/>
  <c r="V351" i="12"/>
  <c r="O351" i="12"/>
  <c r="N351" i="12"/>
  <c r="X351" i="12"/>
  <c r="P351" i="12"/>
  <c r="M351" i="12"/>
  <c r="L351" i="12"/>
  <c r="AL351" i="12"/>
  <c r="AG351" i="12"/>
  <c r="AH351" i="12" s="1"/>
  <c r="AD351" i="12"/>
  <c r="AE351" i="12" s="1"/>
  <c r="AJ351" i="12"/>
  <c r="AK351" i="12" s="1"/>
  <c r="AA351" i="12"/>
  <c r="AB351" i="12" s="1"/>
  <c r="M347" i="12"/>
  <c r="AJ347" i="12"/>
  <c r="AK347" i="12" s="1"/>
  <c r="X347" i="12"/>
  <c r="V347" i="12"/>
  <c r="P347" i="12"/>
  <c r="O347" i="12"/>
  <c r="N347" i="12"/>
  <c r="L347" i="12"/>
  <c r="AG347" i="12"/>
  <c r="AH347" i="12" s="1"/>
  <c r="AD347" i="12"/>
  <c r="AE347" i="12" s="1"/>
  <c r="AL347" i="12"/>
  <c r="AA347" i="12"/>
  <c r="AB347" i="12" s="1"/>
  <c r="N167" i="12"/>
  <c r="M167" i="12"/>
  <c r="AL167" i="12"/>
  <c r="L167" i="12"/>
  <c r="AJ167" i="12"/>
  <c r="AK167" i="12" s="1"/>
  <c r="AG167" i="12"/>
  <c r="AH167" i="12" s="1"/>
  <c r="AD167" i="12"/>
  <c r="AE167" i="12" s="1"/>
  <c r="AA167" i="12"/>
  <c r="AB167" i="12" s="1"/>
  <c r="X167" i="12"/>
  <c r="V167" i="12"/>
  <c r="P167" i="12"/>
  <c r="O167" i="12"/>
  <c r="AH38" i="20"/>
  <c r="AG28" i="20"/>
  <c r="X95" i="12"/>
  <c r="O95" i="12"/>
  <c r="N95" i="12"/>
  <c r="AL95" i="12"/>
  <c r="L95" i="12"/>
  <c r="AA95" i="12"/>
  <c r="AB95" i="12" s="1"/>
  <c r="V95" i="12"/>
  <c r="P95" i="12"/>
  <c r="M95" i="12"/>
  <c r="AJ95" i="12"/>
  <c r="AK95" i="12" s="1"/>
  <c r="AG95" i="12"/>
  <c r="AH95" i="12" s="1"/>
  <c r="AD95" i="12"/>
  <c r="AE95" i="12" s="1"/>
  <c r="BD27" i="6"/>
  <c r="CI27" i="6"/>
  <c r="BU27" i="6"/>
  <c r="AH26" i="12"/>
  <c r="O57" i="14"/>
  <c r="X57" i="14" s="1"/>
  <c r="AA57" i="14" s="1"/>
  <c r="AC57" i="14" s="1"/>
  <c r="N57" i="14"/>
  <c r="N278" i="12"/>
  <c r="M278" i="12"/>
  <c r="AL278" i="12"/>
  <c r="L278" i="12"/>
  <c r="AJ278" i="12"/>
  <c r="AK278" i="12" s="1"/>
  <c r="AG278" i="12"/>
  <c r="AH278" i="12" s="1"/>
  <c r="AA278" i="12"/>
  <c r="AB278" i="12" s="1"/>
  <c r="V278" i="12"/>
  <c r="X278" i="12"/>
  <c r="P278" i="12"/>
  <c r="O278" i="12"/>
  <c r="AD278" i="12"/>
  <c r="AE278" i="12" s="1"/>
  <c r="G193" i="12"/>
  <c r="AW89" i="7"/>
  <c r="BA89" i="7" s="1"/>
  <c r="U193" i="9"/>
  <c r="Z193" i="9" s="1"/>
  <c r="AA157" i="12"/>
  <c r="AB157" i="12" s="1"/>
  <c r="V157" i="12"/>
  <c r="P157" i="12"/>
  <c r="N157" i="12"/>
  <c r="AL157" i="12"/>
  <c r="L157" i="12"/>
  <c r="AJ157" i="12"/>
  <c r="AK157" i="12" s="1"/>
  <c r="AG157" i="12"/>
  <c r="AH157" i="12" s="1"/>
  <c r="AD157" i="12"/>
  <c r="AE157" i="12" s="1"/>
  <c r="X157" i="12"/>
  <c r="O157" i="12"/>
  <c r="M157" i="12"/>
  <c r="U235" i="9"/>
  <c r="Z235" i="9" s="1"/>
  <c r="AW106" i="7"/>
  <c r="BA106" i="7" s="1"/>
  <c r="G235" i="12"/>
  <c r="O97" i="14"/>
  <c r="X97" i="14" s="1"/>
  <c r="AA97" i="14" s="1"/>
  <c r="AC97" i="14" s="1"/>
  <c r="N97" i="14"/>
  <c r="AC107" i="10"/>
  <c r="AF107" i="10" s="1"/>
  <c r="G296" i="12"/>
  <c r="U296" i="9"/>
  <c r="Z296" i="9" s="1"/>
  <c r="AU110" i="7"/>
  <c r="AY110" i="7"/>
  <c r="BA110" i="7" s="1"/>
  <c r="I245" i="12"/>
  <c r="X245" i="9"/>
  <c r="Z245" i="9" s="1"/>
  <c r="AV110" i="7"/>
  <c r="C34" i="8" s="1"/>
  <c r="AY65" i="7"/>
  <c r="BA65" i="7" s="1"/>
  <c r="AU65" i="7"/>
  <c r="X137" i="9"/>
  <c r="Z137" i="9" s="1"/>
  <c r="I137" i="12"/>
  <c r="N137" i="12" s="1"/>
  <c r="AV65" i="7"/>
  <c r="C25" i="8" s="1"/>
  <c r="O110" i="14"/>
  <c r="X110" i="14" s="1"/>
  <c r="AA110" i="14" s="1"/>
  <c r="AC110" i="14" s="1"/>
  <c r="N110" i="14"/>
  <c r="M262" i="12"/>
  <c r="AL262" i="12"/>
  <c r="L262" i="12"/>
  <c r="AJ262" i="12"/>
  <c r="AK262" i="12" s="1"/>
  <c r="AG262" i="12"/>
  <c r="AH262" i="12" s="1"/>
  <c r="AA262" i="12"/>
  <c r="AB262" i="12" s="1"/>
  <c r="X262" i="12"/>
  <c r="V262" i="12"/>
  <c r="P262" i="12"/>
  <c r="O262" i="12"/>
  <c r="AD262" i="12"/>
  <c r="AE262" i="12" s="1"/>
  <c r="N262" i="12"/>
  <c r="BC215" i="4"/>
  <c r="BE215" i="4"/>
  <c r="BF215" i="4" s="1"/>
  <c r="Z42" i="20"/>
  <c r="G125" i="14"/>
  <c r="BH399" i="4"/>
  <c r="BC160" i="4"/>
  <c r="BE160" i="4"/>
  <c r="BF160" i="4" s="1"/>
  <c r="AC19" i="10"/>
  <c r="U32" i="9"/>
  <c r="Z32" i="9" s="1"/>
  <c r="G32" i="12"/>
  <c r="O89" i="12"/>
  <c r="AL89" i="12"/>
  <c r="L89" i="12"/>
  <c r="AG89" i="12"/>
  <c r="AH89" i="12" s="1"/>
  <c r="P89" i="12"/>
  <c r="M89" i="12"/>
  <c r="V89" i="12" s="1"/>
  <c r="AD89" i="12"/>
  <c r="AE89" i="12" s="1"/>
  <c r="AJ89" i="12"/>
  <c r="AK89" i="12" s="1"/>
  <c r="AA89" i="12"/>
  <c r="AB89" i="12" s="1"/>
  <c r="X89" i="12"/>
  <c r="Y89" i="12" s="1"/>
  <c r="N89" i="12"/>
  <c r="U52" i="9"/>
  <c r="Z52" i="9" s="1"/>
  <c r="G52" i="12"/>
  <c r="BF38" i="4"/>
  <c r="X179" i="12"/>
  <c r="O179" i="12"/>
  <c r="V179" i="12"/>
  <c r="P179" i="12"/>
  <c r="N179" i="12"/>
  <c r="M179" i="12"/>
  <c r="L179" i="12"/>
  <c r="AL179" i="12"/>
  <c r="AJ179" i="12"/>
  <c r="AK179" i="12" s="1"/>
  <c r="AG179" i="12"/>
  <c r="AH179" i="12" s="1"/>
  <c r="AD179" i="12"/>
  <c r="AE179" i="12" s="1"/>
  <c r="AA179" i="12"/>
  <c r="AB179" i="12" s="1"/>
  <c r="BF231" i="4"/>
  <c r="BE51" i="4"/>
  <c r="BF51" i="4" s="1"/>
  <c r="BC51" i="4"/>
  <c r="N23" i="8" l="1"/>
  <c r="BH127" i="4"/>
  <c r="BH128" i="4"/>
  <c r="BH30" i="4"/>
  <c r="BH29" i="4"/>
  <c r="N16" i="8"/>
  <c r="V137" i="12"/>
  <c r="BH310" i="4"/>
  <c r="BH309" i="4"/>
  <c r="N36" i="8"/>
  <c r="M43" i="12"/>
  <c r="AJ43" i="12"/>
  <c r="AK43" i="12" s="1"/>
  <c r="AD43" i="12"/>
  <c r="AE43" i="12" s="1"/>
  <c r="X43" i="12"/>
  <c r="AL43" i="12"/>
  <c r="AG43" i="12"/>
  <c r="AH43" i="12" s="1"/>
  <c r="V43" i="12"/>
  <c r="P43" i="12"/>
  <c r="O43" i="12"/>
  <c r="AA43" i="12"/>
  <c r="AB43" i="12" s="1"/>
  <c r="N43" i="12"/>
  <c r="L43" i="12"/>
  <c r="AT173" i="12"/>
  <c r="O125" i="14"/>
  <c r="X125" i="14" s="1"/>
  <c r="AA125" i="14" s="1"/>
  <c r="AC125" i="14" s="1"/>
  <c r="N125" i="14"/>
  <c r="X51" i="12"/>
  <c r="V51" i="12"/>
  <c r="N51" i="12"/>
  <c r="AL51" i="12"/>
  <c r="L51" i="12"/>
  <c r="AJ51" i="12"/>
  <c r="AK51" i="12" s="1"/>
  <c r="AD51" i="12"/>
  <c r="AE51" i="12" s="1"/>
  <c r="AA51" i="12"/>
  <c r="AB51" i="12" s="1"/>
  <c r="P51" i="12"/>
  <c r="M51" i="12"/>
  <c r="AG51" i="12"/>
  <c r="AH51" i="12" s="1"/>
  <c r="O51" i="12"/>
  <c r="AU85" i="7"/>
  <c r="AY85" i="7"/>
  <c r="I185" i="12"/>
  <c r="X185" i="9"/>
  <c r="AV85" i="7"/>
  <c r="C29" i="8" s="1"/>
  <c r="Y87" i="12"/>
  <c r="AT87" i="12" s="1"/>
  <c r="AM87" i="12"/>
  <c r="Y190" i="12"/>
  <c r="AT190" i="12" s="1"/>
  <c r="AM190" i="12"/>
  <c r="Y208" i="12"/>
  <c r="AT208" i="12" s="1"/>
  <c r="AM208" i="12"/>
  <c r="V273" i="12"/>
  <c r="P273" i="12"/>
  <c r="O273" i="12"/>
  <c r="M273" i="12"/>
  <c r="AL273" i="12"/>
  <c r="L273" i="12"/>
  <c r="AJ273" i="12"/>
  <c r="AK273" i="12" s="1"/>
  <c r="AG273" i="12"/>
  <c r="AH273" i="12" s="1"/>
  <c r="AD273" i="12"/>
  <c r="AE273" i="12" s="1"/>
  <c r="AA273" i="12"/>
  <c r="AB273" i="12" s="1"/>
  <c r="N273" i="12"/>
  <c r="X273" i="12"/>
  <c r="AU15" i="12"/>
  <c r="AL34" i="12"/>
  <c r="L34" i="12"/>
  <c r="AG34" i="12"/>
  <c r="AJ34" i="12"/>
  <c r="AA34" i="12"/>
  <c r="M34" i="12"/>
  <c r="O34" i="12"/>
  <c r="N34" i="12"/>
  <c r="AD34" i="12"/>
  <c r="X34" i="12"/>
  <c r="V34" i="12"/>
  <c r="P34" i="12"/>
  <c r="U356" i="9"/>
  <c r="Z356" i="9" s="1"/>
  <c r="G356" i="12"/>
  <c r="AC127" i="10"/>
  <c r="AF127" i="10" s="1"/>
  <c r="Y181" i="12"/>
  <c r="AT181" i="12" s="1"/>
  <c r="AM181" i="12"/>
  <c r="V63" i="12"/>
  <c r="P63" i="12"/>
  <c r="N63" i="12"/>
  <c r="M63" i="12"/>
  <c r="AJ63" i="12"/>
  <c r="AK63" i="12" s="1"/>
  <c r="AG63" i="12"/>
  <c r="AH63" i="12" s="1"/>
  <c r="AD63" i="12"/>
  <c r="AE63" i="12" s="1"/>
  <c r="AL63" i="12"/>
  <c r="AA63" i="12"/>
  <c r="AB63" i="12" s="1"/>
  <c r="L63" i="12"/>
  <c r="X63" i="12"/>
  <c r="O63" i="12"/>
  <c r="AD159" i="12"/>
  <c r="AE159" i="12" s="1"/>
  <c r="X159" i="12"/>
  <c r="P159" i="12"/>
  <c r="N159" i="12"/>
  <c r="M159" i="12"/>
  <c r="AL159" i="12"/>
  <c r="L159" i="12"/>
  <c r="AJ159" i="12"/>
  <c r="AK159" i="12" s="1"/>
  <c r="AG159" i="12"/>
  <c r="AH159" i="12" s="1"/>
  <c r="AA159" i="12"/>
  <c r="AB159" i="12" s="1"/>
  <c r="V159" i="12"/>
  <c r="O159" i="12"/>
  <c r="Y24" i="6"/>
  <c r="AG24" i="6" s="1"/>
  <c r="AA24" i="6"/>
  <c r="AC24" i="6" s="1"/>
  <c r="AE24" i="6" s="1"/>
  <c r="X40" i="12"/>
  <c r="O40" i="12"/>
  <c r="N40" i="12"/>
  <c r="AD40" i="12"/>
  <c r="AE40" i="12" s="1"/>
  <c r="AA40" i="12"/>
  <c r="AB40" i="12" s="1"/>
  <c r="M40" i="12"/>
  <c r="L40" i="12"/>
  <c r="AG40" i="12"/>
  <c r="AH40" i="12" s="1"/>
  <c r="P40" i="12"/>
  <c r="AL40" i="12"/>
  <c r="AJ40" i="12"/>
  <c r="AK40" i="12" s="1"/>
  <c r="V40" i="12"/>
  <c r="N231" i="12"/>
  <c r="AJ231" i="12"/>
  <c r="AK231" i="12" s="1"/>
  <c r="AA231" i="12"/>
  <c r="AB231" i="12" s="1"/>
  <c r="X231" i="12"/>
  <c r="AL231" i="12"/>
  <c r="AG231" i="12"/>
  <c r="AH231" i="12" s="1"/>
  <c r="AD231" i="12"/>
  <c r="AE231" i="12" s="1"/>
  <c r="V231" i="12"/>
  <c r="P231" i="12"/>
  <c r="O231" i="12"/>
  <c r="M231" i="12"/>
  <c r="L231" i="12"/>
  <c r="AL339" i="12"/>
  <c r="AD339" i="12"/>
  <c r="AE339" i="12" s="1"/>
  <c r="V339" i="12"/>
  <c r="M339" i="12"/>
  <c r="AJ339" i="12"/>
  <c r="AK339" i="12" s="1"/>
  <c r="AG339" i="12"/>
  <c r="AH339" i="12" s="1"/>
  <c r="AA339" i="12"/>
  <c r="AB339" i="12" s="1"/>
  <c r="X339" i="12"/>
  <c r="P339" i="12"/>
  <c r="O339" i="12"/>
  <c r="N339" i="12"/>
  <c r="L339" i="12"/>
  <c r="AJ163" i="12"/>
  <c r="AK163" i="12" s="1"/>
  <c r="AD163" i="12"/>
  <c r="AE163" i="12" s="1"/>
  <c r="AA163" i="12"/>
  <c r="AB163" i="12" s="1"/>
  <c r="X163" i="12"/>
  <c r="V163" i="12"/>
  <c r="P163" i="12"/>
  <c r="N163" i="12"/>
  <c r="AL163" i="12"/>
  <c r="AG163" i="12"/>
  <c r="AH163" i="12" s="1"/>
  <c r="O163" i="12"/>
  <c r="M163" i="12"/>
  <c r="L163" i="12"/>
  <c r="Y334" i="12"/>
  <c r="AT334" i="12" s="1"/>
  <c r="AM334" i="12"/>
  <c r="AL149" i="12"/>
  <c r="AG149" i="12"/>
  <c r="AH149" i="12" s="1"/>
  <c r="AA149" i="12"/>
  <c r="AB149" i="12" s="1"/>
  <c r="X149" i="12"/>
  <c r="Y149" i="12" s="1"/>
  <c r="AJ149" i="12"/>
  <c r="AK149" i="12" s="1"/>
  <c r="AD149" i="12"/>
  <c r="AE149" i="12" s="1"/>
  <c r="P149" i="12"/>
  <c r="O149" i="12"/>
  <c r="M149" i="12"/>
  <c r="AT85" i="7"/>
  <c r="AP185" i="12" s="1"/>
  <c r="AY155" i="7"/>
  <c r="AU155" i="7"/>
  <c r="X353" i="9"/>
  <c r="I353" i="12"/>
  <c r="AV155" i="7"/>
  <c r="C43" i="8" s="1"/>
  <c r="Y254" i="12"/>
  <c r="AT254" i="12" s="1"/>
  <c r="AM254" i="12"/>
  <c r="Y78" i="12"/>
  <c r="AT78" i="12" s="1"/>
  <c r="AM78" i="12"/>
  <c r="Y266" i="12"/>
  <c r="AT266" i="12" s="1"/>
  <c r="AM266" i="12"/>
  <c r="M158" i="12"/>
  <c r="AL158" i="12"/>
  <c r="L158" i="12"/>
  <c r="AJ158" i="12"/>
  <c r="AK158" i="12" s="1"/>
  <c r="AA158" i="12"/>
  <c r="AB158" i="12" s="1"/>
  <c r="V158" i="12"/>
  <c r="AG158" i="12"/>
  <c r="AH158" i="12" s="1"/>
  <c r="AD158" i="12"/>
  <c r="AE158" i="12" s="1"/>
  <c r="X158" i="12"/>
  <c r="O158" i="12"/>
  <c r="N158" i="12"/>
  <c r="P158" i="12"/>
  <c r="Y28" i="6"/>
  <c r="AG28" i="6" s="1"/>
  <c r="AA28" i="6"/>
  <c r="AC28" i="6" s="1"/>
  <c r="AE28" i="6" s="1"/>
  <c r="AN26" i="20"/>
  <c r="O184" i="12"/>
  <c r="AL184" i="12"/>
  <c r="L184" i="12"/>
  <c r="AA184" i="12"/>
  <c r="AB184" i="12" s="1"/>
  <c r="X184" i="12"/>
  <c r="V184" i="12"/>
  <c r="N184" i="12"/>
  <c r="M184" i="12"/>
  <c r="AJ184" i="12"/>
  <c r="AK184" i="12" s="1"/>
  <c r="AG184" i="12"/>
  <c r="AH184" i="12" s="1"/>
  <c r="AD184" i="12"/>
  <c r="AE184" i="12" s="1"/>
  <c r="P184" i="12"/>
  <c r="O130" i="14"/>
  <c r="X130" i="14" s="1"/>
  <c r="AA130" i="14" s="1"/>
  <c r="AC130" i="14" s="1"/>
  <c r="N130" i="14"/>
  <c r="AG62" i="12"/>
  <c r="AH62" i="12" s="1"/>
  <c r="AA62" i="12"/>
  <c r="AB62" i="12" s="1"/>
  <c r="V62" i="12"/>
  <c r="O62" i="12"/>
  <c r="M62" i="12"/>
  <c r="AJ62" i="12"/>
  <c r="AK62" i="12" s="1"/>
  <c r="AD62" i="12"/>
  <c r="AE62" i="12" s="1"/>
  <c r="P62" i="12"/>
  <c r="N62" i="12"/>
  <c r="L62" i="12"/>
  <c r="AL62" i="12"/>
  <c r="X62" i="12"/>
  <c r="F32" i="8"/>
  <c r="G32" i="8" s="1"/>
  <c r="K32" i="8" s="1"/>
  <c r="AT233" i="12"/>
  <c r="V250" i="12"/>
  <c r="P250" i="12"/>
  <c r="AG250" i="12"/>
  <c r="AH250" i="12" s="1"/>
  <c r="X250" i="12"/>
  <c r="O250" i="12"/>
  <c r="N250" i="12"/>
  <c r="L250" i="12"/>
  <c r="AL250" i="12"/>
  <c r="AJ250" i="12"/>
  <c r="AK250" i="12" s="1"/>
  <c r="AD250" i="12"/>
  <c r="AE250" i="12" s="1"/>
  <c r="AA250" i="12"/>
  <c r="AB250" i="12" s="1"/>
  <c r="M250" i="12"/>
  <c r="F42" i="8"/>
  <c r="Y218" i="12"/>
  <c r="AT218" i="12" s="1"/>
  <c r="AM218" i="12"/>
  <c r="AT16" i="12"/>
  <c r="AU16" i="12" s="1"/>
  <c r="Y240" i="12"/>
  <c r="AT240" i="12" s="1"/>
  <c r="AM240" i="12"/>
  <c r="AM101" i="12"/>
  <c r="AM329" i="12"/>
  <c r="AG185" i="12"/>
  <c r="AH185" i="12" s="1"/>
  <c r="AA185" i="12"/>
  <c r="AB185" i="12" s="1"/>
  <c r="X185" i="12"/>
  <c r="Y185" i="12" s="1"/>
  <c r="P185" i="12"/>
  <c r="O185" i="12"/>
  <c r="N185" i="12"/>
  <c r="L185" i="12"/>
  <c r="AL185" i="12"/>
  <c r="AJ185" i="12"/>
  <c r="AK185" i="12" s="1"/>
  <c r="AD185" i="12"/>
  <c r="AE185" i="12" s="1"/>
  <c r="M185" i="12"/>
  <c r="V185" i="12" s="1"/>
  <c r="O212" i="12"/>
  <c r="M212" i="12"/>
  <c r="L212" i="12"/>
  <c r="AL212" i="12"/>
  <c r="AJ212" i="12"/>
  <c r="AK212" i="12" s="1"/>
  <c r="AD212" i="12"/>
  <c r="AE212" i="12" s="1"/>
  <c r="X212" i="12"/>
  <c r="V212" i="12"/>
  <c r="P212" i="12"/>
  <c r="AG212" i="12"/>
  <c r="AH212" i="12" s="1"/>
  <c r="AA212" i="12"/>
  <c r="AB212" i="12" s="1"/>
  <c r="N212" i="12"/>
  <c r="Y186" i="12"/>
  <c r="AT186" i="12" s="1"/>
  <c r="AU186" i="12" s="1"/>
  <c r="AM186" i="12"/>
  <c r="AD299" i="12"/>
  <c r="AE299" i="12" s="1"/>
  <c r="V299" i="12"/>
  <c r="M299" i="12"/>
  <c r="L299" i="12"/>
  <c r="AL299" i="12"/>
  <c r="AJ299" i="12"/>
  <c r="AK299" i="12" s="1"/>
  <c r="AG299" i="12"/>
  <c r="AH299" i="12" s="1"/>
  <c r="AA299" i="12"/>
  <c r="AB299" i="12" s="1"/>
  <c r="X299" i="12"/>
  <c r="P299" i="12"/>
  <c r="O299" i="12"/>
  <c r="N299" i="12"/>
  <c r="AJ235" i="12"/>
  <c r="AK235" i="12" s="1"/>
  <c r="AA235" i="12"/>
  <c r="AB235" i="12" s="1"/>
  <c r="X235" i="12"/>
  <c r="P235" i="12"/>
  <c r="O235" i="12"/>
  <c r="M235" i="12"/>
  <c r="AL235" i="12"/>
  <c r="AG235" i="12"/>
  <c r="AH235" i="12" s="1"/>
  <c r="AD235" i="12"/>
  <c r="AE235" i="12" s="1"/>
  <c r="V235" i="12"/>
  <c r="N235" i="12"/>
  <c r="L235" i="12"/>
  <c r="AD175" i="12"/>
  <c r="AE175" i="12" s="1"/>
  <c r="AA175" i="12"/>
  <c r="AB175" i="12" s="1"/>
  <c r="X175" i="12"/>
  <c r="P175" i="12"/>
  <c r="N175" i="12"/>
  <c r="M175" i="12"/>
  <c r="AL175" i="12"/>
  <c r="L175" i="12"/>
  <c r="AJ175" i="12"/>
  <c r="AK175" i="12" s="1"/>
  <c r="V175" i="12"/>
  <c r="O175" i="12"/>
  <c r="AG175" i="12"/>
  <c r="AH175" i="12" s="1"/>
  <c r="M331" i="12"/>
  <c r="L331" i="12"/>
  <c r="AL331" i="12"/>
  <c r="AJ331" i="12"/>
  <c r="AK331" i="12" s="1"/>
  <c r="AG331" i="12"/>
  <c r="AH331" i="12" s="1"/>
  <c r="AD331" i="12"/>
  <c r="AE331" i="12" s="1"/>
  <c r="AA331" i="12"/>
  <c r="AB331" i="12" s="1"/>
  <c r="X331" i="12"/>
  <c r="V331" i="12"/>
  <c r="P331" i="12"/>
  <c r="O331" i="12"/>
  <c r="N331" i="12"/>
  <c r="Y345" i="12"/>
  <c r="AT345" i="12" s="1"/>
  <c r="AM345" i="12"/>
  <c r="Y288" i="12"/>
  <c r="AT288" i="12" s="1"/>
  <c r="AM288" i="12"/>
  <c r="Y61" i="12"/>
  <c r="AT61" i="12" s="1"/>
  <c r="AM61" i="12"/>
  <c r="Y261" i="12"/>
  <c r="AT261" i="12" s="1"/>
  <c r="AM261" i="12"/>
  <c r="Y198" i="12"/>
  <c r="AT198" i="12" s="1"/>
  <c r="AU198" i="12" s="1"/>
  <c r="AM198" i="12"/>
  <c r="AT281" i="12"/>
  <c r="AT53" i="12"/>
  <c r="AL66" i="12"/>
  <c r="L66" i="12"/>
  <c r="AG66" i="12"/>
  <c r="AH66" i="12" s="1"/>
  <c r="M66" i="12"/>
  <c r="V66" i="12" s="1"/>
  <c r="AJ66" i="12"/>
  <c r="AK66" i="12" s="1"/>
  <c r="AD66" i="12"/>
  <c r="AE66" i="12" s="1"/>
  <c r="AA66" i="12"/>
  <c r="AB66" i="12" s="1"/>
  <c r="N66" i="12"/>
  <c r="X66" i="12"/>
  <c r="P66" i="12"/>
  <c r="O66" i="12"/>
  <c r="Y183" i="12"/>
  <c r="AT183" i="12" s="1"/>
  <c r="AU183" i="12" s="1"/>
  <c r="AM183" i="12"/>
  <c r="Y301" i="12"/>
  <c r="AT301" i="12" s="1"/>
  <c r="AM301" i="12"/>
  <c r="AM221" i="12"/>
  <c r="BA341" i="12"/>
  <c r="AN341" i="12"/>
  <c r="AT329" i="12"/>
  <c r="AU329" i="12" s="1"/>
  <c r="P33" i="12"/>
  <c r="O33" i="12"/>
  <c r="L33" i="12"/>
  <c r="AL33" i="12"/>
  <c r="AG33" i="12"/>
  <c r="AD33" i="12"/>
  <c r="M33" i="12"/>
  <c r="AA33" i="12"/>
  <c r="X33" i="12"/>
  <c r="V33" i="12"/>
  <c r="N33" i="12"/>
  <c r="AJ33" i="12"/>
  <c r="AA277" i="12"/>
  <c r="AB277" i="12" s="1"/>
  <c r="V277" i="12"/>
  <c r="P277" i="12"/>
  <c r="O277" i="12"/>
  <c r="N277" i="12"/>
  <c r="AL277" i="12"/>
  <c r="L277" i="12"/>
  <c r="AJ277" i="12"/>
  <c r="AK277" i="12" s="1"/>
  <c r="AG277" i="12"/>
  <c r="AH277" i="12" s="1"/>
  <c r="X277" i="12"/>
  <c r="M277" i="12"/>
  <c r="AD277" i="12"/>
  <c r="AE277" i="12" s="1"/>
  <c r="Y166" i="12"/>
  <c r="AT166" i="12" s="1"/>
  <c r="AM166" i="12"/>
  <c r="AD236" i="12"/>
  <c r="AE236" i="12" s="1"/>
  <c r="AA236" i="12"/>
  <c r="AB236" i="12" s="1"/>
  <c r="V236" i="12"/>
  <c r="P236" i="12"/>
  <c r="N236" i="12"/>
  <c r="L236" i="12"/>
  <c r="AJ236" i="12"/>
  <c r="AK236" i="12" s="1"/>
  <c r="AG236" i="12"/>
  <c r="AH236" i="12" s="1"/>
  <c r="X236" i="12"/>
  <c r="O236" i="12"/>
  <c r="M236" i="12"/>
  <c r="AL236" i="12"/>
  <c r="X268" i="12"/>
  <c r="P268" i="12"/>
  <c r="O268" i="12"/>
  <c r="N268" i="12"/>
  <c r="AJ268" i="12"/>
  <c r="AK268" i="12" s="1"/>
  <c r="M268" i="12"/>
  <c r="L268" i="12"/>
  <c r="AL268" i="12"/>
  <c r="AG268" i="12"/>
  <c r="AH268" i="12" s="1"/>
  <c r="AD268" i="12"/>
  <c r="AE268" i="12" s="1"/>
  <c r="AA268" i="12"/>
  <c r="AB268" i="12" s="1"/>
  <c r="V268" i="12"/>
  <c r="Y23" i="6"/>
  <c r="AG23" i="6" s="1"/>
  <c r="AA23" i="6"/>
  <c r="AC23" i="6" s="1"/>
  <c r="AE23" i="6" s="1"/>
  <c r="M298" i="12"/>
  <c r="AJ298" i="12"/>
  <c r="AK298" i="12" s="1"/>
  <c r="AG298" i="12"/>
  <c r="AH298" i="12" s="1"/>
  <c r="O298" i="12"/>
  <c r="N298" i="12"/>
  <c r="L298" i="12"/>
  <c r="AL298" i="12"/>
  <c r="AA298" i="12"/>
  <c r="AB298" i="12" s="1"/>
  <c r="X298" i="12"/>
  <c r="V298" i="12"/>
  <c r="AD298" i="12"/>
  <c r="AE298" i="12" s="1"/>
  <c r="P298" i="12"/>
  <c r="Y39" i="12"/>
  <c r="AT39" i="12" s="1"/>
  <c r="AU39" i="12" s="1"/>
  <c r="AM39" i="12"/>
  <c r="AO28" i="20"/>
  <c r="BF204" i="4"/>
  <c r="AD168" i="12"/>
  <c r="AE168" i="12" s="1"/>
  <c r="AA168" i="12"/>
  <c r="AB168" i="12" s="1"/>
  <c r="V168" i="12"/>
  <c r="O168" i="12"/>
  <c r="N168" i="12"/>
  <c r="M168" i="12"/>
  <c r="AL168" i="12"/>
  <c r="L168" i="12"/>
  <c r="AG168" i="12"/>
  <c r="AH168" i="12" s="1"/>
  <c r="X168" i="12"/>
  <c r="P168" i="12"/>
  <c r="AJ168" i="12"/>
  <c r="AK168" i="12" s="1"/>
  <c r="Y162" i="12"/>
  <c r="AT162" i="12" s="1"/>
  <c r="AU162" i="12" s="1"/>
  <c r="AM162" i="12"/>
  <c r="AA293" i="12"/>
  <c r="AB293" i="12" s="1"/>
  <c r="X293" i="12"/>
  <c r="Y293" i="12" s="1"/>
  <c r="P293" i="12"/>
  <c r="O293" i="12"/>
  <c r="N293" i="12"/>
  <c r="AL293" i="12"/>
  <c r="L293" i="12"/>
  <c r="AJ293" i="12"/>
  <c r="AK293" i="12" s="1"/>
  <c r="AG293" i="12"/>
  <c r="AH293" i="12" s="1"/>
  <c r="M293" i="12"/>
  <c r="V293" i="12" s="1"/>
  <c r="AD293" i="12"/>
  <c r="AE293" i="12" s="1"/>
  <c r="AG357" i="12"/>
  <c r="AH357" i="12" s="1"/>
  <c r="AA357" i="12"/>
  <c r="AB357" i="12" s="1"/>
  <c r="AJ357" i="12"/>
  <c r="AK357" i="12" s="1"/>
  <c r="AD357" i="12"/>
  <c r="AE357" i="12" s="1"/>
  <c r="X357" i="12"/>
  <c r="V357" i="12"/>
  <c r="P357" i="12"/>
  <c r="O357" i="12"/>
  <c r="N357" i="12"/>
  <c r="M357" i="12"/>
  <c r="AL357" i="12"/>
  <c r="L357" i="12"/>
  <c r="Y132" i="12"/>
  <c r="AT132" i="12" s="1"/>
  <c r="AM132" i="12"/>
  <c r="G31" i="8"/>
  <c r="K31" i="8" s="1"/>
  <c r="F31" i="8"/>
  <c r="Y146" i="12"/>
  <c r="AT146" i="12" s="1"/>
  <c r="AM146" i="12"/>
  <c r="K15" i="8"/>
  <c r="AC59" i="10"/>
  <c r="AF59" i="10" s="1"/>
  <c r="G152" i="12"/>
  <c r="U152" i="9"/>
  <c r="Z152" i="9" s="1"/>
  <c r="AL292" i="12"/>
  <c r="L292" i="12"/>
  <c r="AJ292" i="12"/>
  <c r="AK292" i="12" s="1"/>
  <c r="AG292" i="12"/>
  <c r="AH292" i="12" s="1"/>
  <c r="AD292" i="12"/>
  <c r="AE292" i="12" s="1"/>
  <c r="X292" i="12"/>
  <c r="V292" i="12"/>
  <c r="P292" i="12"/>
  <c r="O292" i="12"/>
  <c r="N292" i="12"/>
  <c r="M292" i="12"/>
  <c r="AA292" i="12"/>
  <c r="AB292" i="12" s="1"/>
  <c r="Y143" i="12"/>
  <c r="AT143" i="12" s="1"/>
  <c r="AM143" i="12"/>
  <c r="Y232" i="12"/>
  <c r="AT232" i="12" s="1"/>
  <c r="AM232" i="12"/>
  <c r="Y105" i="12"/>
  <c r="AT105" i="12" s="1"/>
  <c r="AM105" i="12"/>
  <c r="Y286" i="12"/>
  <c r="AT286" i="12" s="1"/>
  <c r="AM286" i="12"/>
  <c r="X164" i="12"/>
  <c r="V164" i="12"/>
  <c r="P164" i="12"/>
  <c r="O164" i="12"/>
  <c r="M164" i="12"/>
  <c r="AJ164" i="12"/>
  <c r="AK164" i="12" s="1"/>
  <c r="AL164" i="12"/>
  <c r="AG164" i="12"/>
  <c r="AH164" i="12" s="1"/>
  <c r="AD164" i="12"/>
  <c r="AE164" i="12" s="1"/>
  <c r="AA164" i="12"/>
  <c r="AB164" i="12" s="1"/>
  <c r="N164" i="12"/>
  <c r="L164" i="12"/>
  <c r="K4" i="12"/>
  <c r="Y229" i="12"/>
  <c r="AT229" i="12" s="1"/>
  <c r="AM229" i="12"/>
  <c r="AD308" i="12"/>
  <c r="AE308" i="12" s="1"/>
  <c r="AA308" i="12"/>
  <c r="AB308" i="12" s="1"/>
  <c r="X308" i="12"/>
  <c r="P308" i="12"/>
  <c r="N308" i="12"/>
  <c r="M308" i="12"/>
  <c r="AL308" i="12"/>
  <c r="AJ308" i="12"/>
  <c r="AK308" i="12" s="1"/>
  <c r="AG308" i="12"/>
  <c r="AH308" i="12" s="1"/>
  <c r="V308" i="12"/>
  <c r="O308" i="12"/>
  <c r="L308" i="12"/>
  <c r="Y297" i="12"/>
  <c r="AT297" i="12" s="1"/>
  <c r="AM297" i="12"/>
  <c r="AM137" i="12"/>
  <c r="P193" i="12"/>
  <c r="O193" i="12"/>
  <c r="N193" i="12"/>
  <c r="M193" i="12"/>
  <c r="AL193" i="12"/>
  <c r="L193" i="12"/>
  <c r="AG193" i="12"/>
  <c r="AH193" i="12" s="1"/>
  <c r="AJ193" i="12"/>
  <c r="AK193" i="12" s="1"/>
  <c r="AD193" i="12"/>
  <c r="AE193" i="12" s="1"/>
  <c r="AA193" i="12"/>
  <c r="AB193" i="12" s="1"/>
  <c r="X193" i="12"/>
  <c r="V193" i="12"/>
  <c r="AD104" i="12"/>
  <c r="AE104" i="12" s="1"/>
  <c r="P104" i="12"/>
  <c r="O104" i="12"/>
  <c r="M104" i="12"/>
  <c r="AL104" i="12"/>
  <c r="L104" i="12"/>
  <c r="AJ104" i="12"/>
  <c r="AK104" i="12" s="1"/>
  <c r="AG104" i="12"/>
  <c r="AH104" i="12" s="1"/>
  <c r="AA104" i="12"/>
  <c r="AB104" i="12" s="1"/>
  <c r="X104" i="12"/>
  <c r="V104" i="12"/>
  <c r="N104" i="12"/>
  <c r="Y287" i="12"/>
  <c r="AT287" i="12" s="1"/>
  <c r="AM287" i="12"/>
  <c r="AG30" i="12"/>
  <c r="AA30" i="12"/>
  <c r="P30" i="12"/>
  <c r="O30" i="12"/>
  <c r="N30" i="12"/>
  <c r="M30" i="12"/>
  <c r="L30" i="12"/>
  <c r="AJ30" i="12"/>
  <c r="V30" i="12"/>
  <c r="AL30" i="12"/>
  <c r="AD30" i="12"/>
  <c r="X30" i="12"/>
  <c r="Y252" i="12"/>
  <c r="AT252" i="12" s="1"/>
  <c r="AM252" i="12"/>
  <c r="Y205" i="12"/>
  <c r="AT205" i="12" s="1"/>
  <c r="AM205" i="12"/>
  <c r="Y304" i="12"/>
  <c r="AT304" i="12" s="1"/>
  <c r="AU304" i="12" s="1"/>
  <c r="AM304" i="12"/>
  <c r="Y145" i="12"/>
  <c r="AT145" i="12" s="1"/>
  <c r="AM145" i="12"/>
  <c r="I20" i="6"/>
  <c r="AJ303" i="12"/>
  <c r="AK303" i="12" s="1"/>
  <c r="V303" i="12"/>
  <c r="P303" i="12"/>
  <c r="O303" i="12"/>
  <c r="N303" i="12"/>
  <c r="M303" i="12"/>
  <c r="L303" i="12"/>
  <c r="AL303" i="12"/>
  <c r="AG303" i="12"/>
  <c r="AH303" i="12" s="1"/>
  <c r="AD303" i="12"/>
  <c r="AE303" i="12" s="1"/>
  <c r="AA303" i="12"/>
  <c r="AB303" i="12" s="1"/>
  <c r="X303" i="12"/>
  <c r="AC27" i="10"/>
  <c r="AF27" i="10" s="1"/>
  <c r="G56" i="12"/>
  <c r="U56" i="9"/>
  <c r="Z56" i="9" s="1"/>
  <c r="G355" i="12"/>
  <c r="U355" i="9"/>
  <c r="Z355" i="9" s="1"/>
  <c r="AW156" i="7"/>
  <c r="BA156" i="7" s="1"/>
  <c r="Y86" i="12"/>
  <c r="AT86" i="12" s="1"/>
  <c r="AM86" i="12"/>
  <c r="AJ187" i="12"/>
  <c r="AK187" i="12" s="1"/>
  <c r="AD187" i="12"/>
  <c r="AE187" i="12" s="1"/>
  <c r="AA187" i="12"/>
  <c r="AB187" i="12" s="1"/>
  <c r="X187" i="12"/>
  <c r="V187" i="12"/>
  <c r="P187" i="12"/>
  <c r="N187" i="12"/>
  <c r="M187" i="12"/>
  <c r="L187" i="12"/>
  <c r="AL187" i="12"/>
  <c r="O187" i="12"/>
  <c r="AG187" i="12"/>
  <c r="AH187" i="12" s="1"/>
  <c r="X291" i="12"/>
  <c r="V291" i="12"/>
  <c r="P291" i="12"/>
  <c r="O291" i="12"/>
  <c r="N291" i="12"/>
  <c r="M291" i="12"/>
  <c r="AL291" i="12"/>
  <c r="L291" i="12"/>
  <c r="AJ291" i="12"/>
  <c r="AK291" i="12" s="1"/>
  <c r="AG291" i="12"/>
  <c r="AH291" i="12" s="1"/>
  <c r="AD291" i="12"/>
  <c r="AE291" i="12" s="1"/>
  <c r="AA291" i="12"/>
  <c r="AB291" i="12" s="1"/>
  <c r="Y336" i="12"/>
  <c r="AT336" i="12" s="1"/>
  <c r="AM336" i="12"/>
  <c r="N197" i="12"/>
  <c r="V197" i="12" s="1"/>
  <c r="AO27" i="20"/>
  <c r="AG330" i="12"/>
  <c r="AH330" i="12" s="1"/>
  <c r="X330" i="12"/>
  <c r="N330" i="12"/>
  <c r="M330" i="12"/>
  <c r="L330" i="12"/>
  <c r="AD330" i="12"/>
  <c r="AE330" i="12" s="1"/>
  <c r="AA330" i="12"/>
  <c r="AB330" i="12" s="1"/>
  <c r="V330" i="12"/>
  <c r="P330" i="12"/>
  <c r="AL330" i="12"/>
  <c r="AJ330" i="12"/>
  <c r="AK330" i="12" s="1"/>
  <c r="O330" i="12"/>
  <c r="Y309" i="12"/>
  <c r="AT309" i="12" s="1"/>
  <c r="AM309" i="12"/>
  <c r="O144" i="12"/>
  <c r="AL144" i="12"/>
  <c r="L144" i="12"/>
  <c r="AD144" i="12"/>
  <c r="AE144" i="12" s="1"/>
  <c r="AA144" i="12"/>
  <c r="AB144" i="12" s="1"/>
  <c r="V144" i="12"/>
  <c r="P144" i="12"/>
  <c r="N144" i="12"/>
  <c r="M144" i="12"/>
  <c r="AJ144" i="12"/>
  <c r="AK144" i="12" s="1"/>
  <c r="AG144" i="12"/>
  <c r="AH144" i="12" s="1"/>
  <c r="X144" i="12"/>
  <c r="Y220" i="12"/>
  <c r="AT220" i="12" s="1"/>
  <c r="AM220" i="12"/>
  <c r="J15" i="8"/>
  <c r="L15" i="8" s="1"/>
  <c r="O62" i="14"/>
  <c r="X62" i="14" s="1"/>
  <c r="AA62" i="14" s="1"/>
  <c r="AC62" i="14" s="1"/>
  <c r="N62" i="14"/>
  <c r="Y215" i="12"/>
  <c r="AT215" i="12" s="1"/>
  <c r="AM215" i="12"/>
  <c r="AT113" i="12"/>
  <c r="AU113" i="12" s="1"/>
  <c r="W18" i="6"/>
  <c r="S18" i="6"/>
  <c r="V302" i="12"/>
  <c r="P302" i="12"/>
  <c r="N302" i="12"/>
  <c r="AL302" i="12"/>
  <c r="L302" i="12"/>
  <c r="X302" i="12"/>
  <c r="O302" i="12"/>
  <c r="M302" i="12"/>
  <c r="AG302" i="12"/>
  <c r="AH302" i="12" s="1"/>
  <c r="AD302" i="12"/>
  <c r="AE302" i="12" s="1"/>
  <c r="AJ302" i="12"/>
  <c r="AK302" i="12" s="1"/>
  <c r="AA302" i="12"/>
  <c r="AB302" i="12" s="1"/>
  <c r="AL253" i="12"/>
  <c r="L253" i="12"/>
  <c r="AA253" i="12"/>
  <c r="AB253" i="12" s="1"/>
  <c r="AD253" i="12"/>
  <c r="AE253" i="12" s="1"/>
  <c r="X253" i="12"/>
  <c r="V253" i="12"/>
  <c r="O253" i="12"/>
  <c r="N253" i="12"/>
  <c r="AG253" i="12"/>
  <c r="AH253" i="12" s="1"/>
  <c r="AJ253" i="12"/>
  <c r="AK253" i="12" s="1"/>
  <c r="P253" i="12"/>
  <c r="M253" i="12"/>
  <c r="BF32" i="4"/>
  <c r="I18" i="6"/>
  <c r="Y350" i="12"/>
  <c r="AT350" i="12" s="1"/>
  <c r="AM350" i="12"/>
  <c r="AJ196" i="12"/>
  <c r="AK196" i="12" s="1"/>
  <c r="AG196" i="12"/>
  <c r="AH196" i="12" s="1"/>
  <c r="AD196" i="12"/>
  <c r="AE196" i="12" s="1"/>
  <c r="X196" i="12"/>
  <c r="P196" i="12"/>
  <c r="N196" i="12"/>
  <c r="AL196" i="12"/>
  <c r="AA196" i="12"/>
  <c r="AB196" i="12" s="1"/>
  <c r="V196" i="12"/>
  <c r="O196" i="12"/>
  <c r="M196" i="12"/>
  <c r="L196" i="12"/>
  <c r="AM173" i="12"/>
  <c r="N30" i="14"/>
  <c r="DK37" i="6" s="1"/>
  <c r="O30" i="14"/>
  <c r="X30" i="14" s="1"/>
  <c r="AA30" i="14" s="1"/>
  <c r="AC30" i="14" s="1"/>
  <c r="O129" i="14"/>
  <c r="X129" i="14" s="1"/>
  <c r="AA129" i="14" s="1"/>
  <c r="AC129" i="14" s="1"/>
  <c r="N129" i="14"/>
  <c r="Y19" i="6"/>
  <c r="AG19" i="6" s="1"/>
  <c r="AA19" i="6"/>
  <c r="AC19" i="6" s="1"/>
  <c r="AE19" i="6" s="1"/>
  <c r="AN39" i="20"/>
  <c r="BF357" i="4"/>
  <c r="Y256" i="12"/>
  <c r="AT256" i="12" s="1"/>
  <c r="AU256" i="12" s="1"/>
  <c r="AM256" i="12"/>
  <c r="AG249" i="12"/>
  <c r="AH249" i="12" s="1"/>
  <c r="P249" i="12"/>
  <c r="O249" i="12"/>
  <c r="AA249" i="12"/>
  <c r="AB249" i="12" s="1"/>
  <c r="X249" i="12"/>
  <c r="V249" i="12"/>
  <c r="M249" i="12"/>
  <c r="L249" i="12"/>
  <c r="AL249" i="12"/>
  <c r="AD249" i="12"/>
  <c r="AE249" i="12" s="1"/>
  <c r="AJ249" i="12"/>
  <c r="AK249" i="12" s="1"/>
  <c r="N249" i="12"/>
  <c r="AD211" i="12"/>
  <c r="AE211" i="12" s="1"/>
  <c r="X211" i="12"/>
  <c r="V211" i="12"/>
  <c r="P211" i="12"/>
  <c r="O211" i="12"/>
  <c r="N211" i="12"/>
  <c r="M211" i="12"/>
  <c r="AL211" i="12"/>
  <c r="AJ211" i="12"/>
  <c r="AK211" i="12" s="1"/>
  <c r="AG211" i="12"/>
  <c r="AH211" i="12" s="1"/>
  <c r="AA211" i="12"/>
  <c r="AB211" i="12" s="1"/>
  <c r="L211" i="12"/>
  <c r="I27" i="6"/>
  <c r="X188" i="12"/>
  <c r="V188" i="12"/>
  <c r="P188" i="12"/>
  <c r="O188" i="12"/>
  <c r="AG188" i="12"/>
  <c r="AH188" i="12" s="1"/>
  <c r="AD188" i="12"/>
  <c r="AE188" i="12" s="1"/>
  <c r="N188" i="12"/>
  <c r="M188" i="12"/>
  <c r="L188" i="12"/>
  <c r="AL188" i="12"/>
  <c r="AJ188" i="12"/>
  <c r="AK188" i="12" s="1"/>
  <c r="AA188" i="12"/>
  <c r="AB188" i="12" s="1"/>
  <c r="AN36" i="20"/>
  <c r="BF315" i="4"/>
  <c r="Y246" i="12"/>
  <c r="AT246" i="12" s="1"/>
  <c r="AU246" i="12" s="1"/>
  <c r="AM246" i="12"/>
  <c r="G38" i="8"/>
  <c r="K38" i="8" s="1"/>
  <c r="F38" i="8"/>
  <c r="V230" i="12"/>
  <c r="P230" i="12"/>
  <c r="N230" i="12"/>
  <c r="AL230" i="12"/>
  <c r="L230" i="12"/>
  <c r="AA230" i="12"/>
  <c r="AB230" i="12" s="1"/>
  <c r="X230" i="12"/>
  <c r="O230" i="12"/>
  <c r="M230" i="12"/>
  <c r="AJ230" i="12"/>
  <c r="AK230" i="12" s="1"/>
  <c r="AG230" i="12"/>
  <c r="AH230" i="12" s="1"/>
  <c r="AD230" i="12"/>
  <c r="AE230" i="12" s="1"/>
  <c r="AT137" i="12"/>
  <c r="AU137" i="12" s="1"/>
  <c r="AT269" i="12"/>
  <c r="AY70" i="7"/>
  <c r="BA70" i="7" s="1"/>
  <c r="AU70" i="7"/>
  <c r="X149" i="9"/>
  <c r="Z149" i="9" s="1"/>
  <c r="I149" i="12"/>
  <c r="AM149" i="12" s="1"/>
  <c r="AV70" i="7"/>
  <c r="C26" i="8" s="1"/>
  <c r="Y192" i="12"/>
  <c r="AT192" i="12" s="1"/>
  <c r="AM192" i="12"/>
  <c r="O200" i="12"/>
  <c r="N200" i="12"/>
  <c r="M200" i="12"/>
  <c r="AL200" i="12"/>
  <c r="L200" i="12"/>
  <c r="AJ200" i="12"/>
  <c r="AK200" i="12" s="1"/>
  <c r="AD200" i="12"/>
  <c r="AE200" i="12" s="1"/>
  <c r="AA200" i="12"/>
  <c r="AB200" i="12" s="1"/>
  <c r="X200" i="12"/>
  <c r="V200" i="12"/>
  <c r="AG200" i="12"/>
  <c r="AH200" i="12" s="1"/>
  <c r="P200" i="12"/>
  <c r="AJ260" i="12"/>
  <c r="AK260" i="12" s="1"/>
  <c r="AD260" i="12"/>
  <c r="AE260" i="12" s="1"/>
  <c r="X260" i="12"/>
  <c r="V260" i="12"/>
  <c r="AA260" i="12"/>
  <c r="AB260" i="12" s="1"/>
  <c r="P260" i="12"/>
  <c r="O260" i="12"/>
  <c r="M260" i="12"/>
  <c r="L260" i="12"/>
  <c r="AL260" i="12"/>
  <c r="AG260" i="12"/>
  <c r="AH260" i="12" s="1"/>
  <c r="N260" i="12"/>
  <c r="Y171" i="12"/>
  <c r="AT171" i="12" s="1"/>
  <c r="AU171" i="12" s="1"/>
  <c r="AM171" i="12"/>
  <c r="Y47" i="12"/>
  <c r="AT47" i="12" s="1"/>
  <c r="AM47" i="12"/>
  <c r="Y50" i="12"/>
  <c r="AT50" i="12" s="1"/>
  <c r="AM50" i="12"/>
  <c r="P98" i="12"/>
  <c r="M98" i="12"/>
  <c r="AJ98" i="12"/>
  <c r="AK98" i="12" s="1"/>
  <c r="AD98" i="12"/>
  <c r="AE98" i="12" s="1"/>
  <c r="AA98" i="12"/>
  <c r="AB98" i="12" s="1"/>
  <c r="AL98" i="12"/>
  <c r="AG98" i="12"/>
  <c r="AH98" i="12" s="1"/>
  <c r="X98" i="12"/>
  <c r="V98" i="12"/>
  <c r="N98" i="12"/>
  <c r="L98" i="12"/>
  <c r="O98" i="12"/>
  <c r="AT101" i="12"/>
  <c r="AU101" i="12" s="1"/>
  <c r="L233" i="12"/>
  <c r="AD263" i="12"/>
  <c r="AE263" i="12" s="1"/>
  <c r="V263" i="12"/>
  <c r="N263" i="12"/>
  <c r="M263" i="12"/>
  <c r="AL263" i="12"/>
  <c r="L263" i="12"/>
  <c r="AJ263" i="12"/>
  <c r="AK263" i="12" s="1"/>
  <c r="AG263" i="12"/>
  <c r="AH263" i="12" s="1"/>
  <c r="AA263" i="12"/>
  <c r="AB263" i="12" s="1"/>
  <c r="X263" i="12"/>
  <c r="P263" i="12"/>
  <c r="O263" i="12"/>
  <c r="Y265" i="12"/>
  <c r="AT265" i="12" s="1"/>
  <c r="AM265" i="12"/>
  <c r="Y21" i="6"/>
  <c r="AG21" i="6" s="1"/>
  <c r="AA21" i="6"/>
  <c r="AC21" i="6" s="1"/>
  <c r="AE21" i="6" s="1"/>
  <c r="Y75" i="12"/>
  <c r="AT75" i="12" s="1"/>
  <c r="AU75" i="12" s="1"/>
  <c r="AM75" i="12"/>
  <c r="Y174" i="12"/>
  <c r="AT174" i="12" s="1"/>
  <c r="AM174" i="12"/>
  <c r="Y279" i="12"/>
  <c r="AT279" i="12" s="1"/>
  <c r="AM279" i="12"/>
  <c r="V289" i="12"/>
  <c r="P289" i="12"/>
  <c r="O289" i="12"/>
  <c r="N289" i="12"/>
  <c r="M289" i="12"/>
  <c r="AL289" i="12"/>
  <c r="L289" i="12"/>
  <c r="AJ289" i="12"/>
  <c r="AK289" i="12" s="1"/>
  <c r="AG289" i="12"/>
  <c r="AH289" i="12" s="1"/>
  <c r="AD289" i="12"/>
  <c r="AE289" i="12" s="1"/>
  <c r="AA289" i="12"/>
  <c r="AB289" i="12" s="1"/>
  <c r="X289" i="12"/>
  <c r="AD332" i="12"/>
  <c r="AE332" i="12" s="1"/>
  <c r="N332" i="12"/>
  <c r="AL332" i="12"/>
  <c r="AJ332" i="12"/>
  <c r="AK332" i="12" s="1"/>
  <c r="AA332" i="12"/>
  <c r="AB332" i="12" s="1"/>
  <c r="X332" i="12"/>
  <c r="V332" i="12"/>
  <c r="P332" i="12"/>
  <c r="O332" i="12"/>
  <c r="M332" i="12"/>
  <c r="L332" i="12"/>
  <c r="AG332" i="12"/>
  <c r="AH332" i="12" s="1"/>
  <c r="Y172" i="12"/>
  <c r="AT172" i="12" s="1"/>
  <c r="AM172" i="12"/>
  <c r="N151" i="12"/>
  <c r="M151" i="12"/>
  <c r="AJ151" i="12"/>
  <c r="AK151" i="12" s="1"/>
  <c r="AD151" i="12"/>
  <c r="AE151" i="12" s="1"/>
  <c r="AA151" i="12"/>
  <c r="AB151" i="12" s="1"/>
  <c r="AG151" i="12"/>
  <c r="AH151" i="12" s="1"/>
  <c r="X151" i="12"/>
  <c r="V151" i="12"/>
  <c r="P151" i="12"/>
  <c r="O151" i="12"/>
  <c r="L151" i="12"/>
  <c r="AL151" i="12"/>
  <c r="AN42" i="20"/>
  <c r="BF399" i="4"/>
  <c r="Y238" i="12"/>
  <c r="AT238" i="12" s="1"/>
  <c r="AM238" i="12"/>
  <c r="AA284" i="12"/>
  <c r="AB284" i="12" s="1"/>
  <c r="X284" i="12"/>
  <c r="V284" i="12"/>
  <c r="P284" i="12"/>
  <c r="O284" i="12"/>
  <c r="N284" i="12"/>
  <c r="M284" i="12"/>
  <c r="AJ284" i="12"/>
  <c r="AK284" i="12" s="1"/>
  <c r="AL284" i="12"/>
  <c r="AG284" i="12"/>
  <c r="AH284" i="12" s="1"/>
  <c r="AD284" i="12"/>
  <c r="AE284" i="12" s="1"/>
  <c r="L284" i="12"/>
  <c r="Y360" i="12"/>
  <c r="AT360" i="12" s="1"/>
  <c r="AM360" i="12"/>
  <c r="Y219" i="12"/>
  <c r="AT219" i="12" s="1"/>
  <c r="AM219" i="12"/>
  <c r="U307" i="9"/>
  <c r="Z307" i="9" s="1"/>
  <c r="AW136" i="7"/>
  <c r="BA136" i="7" s="1"/>
  <c r="G307" i="12"/>
  <c r="X139" i="12"/>
  <c r="N139" i="12"/>
  <c r="AJ139" i="12"/>
  <c r="AK139" i="12" s="1"/>
  <c r="L139" i="12"/>
  <c r="AL139" i="12"/>
  <c r="AG139" i="12"/>
  <c r="AH139" i="12" s="1"/>
  <c r="AA139" i="12"/>
  <c r="AB139" i="12" s="1"/>
  <c r="V139" i="12"/>
  <c r="P139" i="12"/>
  <c r="AD139" i="12"/>
  <c r="AE139" i="12" s="1"/>
  <c r="O139" i="12"/>
  <c r="M139" i="12"/>
  <c r="AO42" i="20"/>
  <c r="F35" i="8"/>
  <c r="G35" i="8"/>
  <c r="K35" i="8" s="1"/>
  <c r="Y359" i="12"/>
  <c r="AT359" i="12" s="1"/>
  <c r="AM359" i="12"/>
  <c r="Y346" i="12"/>
  <c r="AT346" i="12" s="1"/>
  <c r="AM346" i="12"/>
  <c r="Y46" i="12"/>
  <c r="AT46" i="12" s="1"/>
  <c r="AM46" i="12"/>
  <c r="F33" i="8"/>
  <c r="AJ283" i="12"/>
  <c r="AK283" i="12" s="1"/>
  <c r="AD283" i="12"/>
  <c r="AE283" i="12" s="1"/>
  <c r="AA283" i="12"/>
  <c r="AB283" i="12" s="1"/>
  <c r="X283" i="12"/>
  <c r="V283" i="12"/>
  <c r="P283" i="12"/>
  <c r="N283" i="12"/>
  <c r="AL283" i="12"/>
  <c r="AG283" i="12"/>
  <c r="AH283" i="12" s="1"/>
  <c r="O283" i="12"/>
  <c r="L283" i="12"/>
  <c r="M283" i="12"/>
  <c r="Y312" i="12"/>
  <c r="AT312" i="12" s="1"/>
  <c r="AM312" i="12"/>
  <c r="AN34" i="20"/>
  <c r="Y227" i="12"/>
  <c r="AT227" i="12" s="1"/>
  <c r="AM227" i="12"/>
  <c r="AM293" i="12"/>
  <c r="Y133" i="12"/>
  <c r="AT133" i="12" s="1"/>
  <c r="AM133" i="12"/>
  <c r="Y202" i="12"/>
  <c r="AT202" i="12" s="1"/>
  <c r="AM202" i="12"/>
  <c r="O248" i="12"/>
  <c r="N248" i="12"/>
  <c r="AD248" i="12"/>
  <c r="AE248" i="12" s="1"/>
  <c r="X248" i="12"/>
  <c r="V248" i="12"/>
  <c r="P248" i="12"/>
  <c r="L248" i="12"/>
  <c r="AL248" i="12"/>
  <c r="AJ248" i="12"/>
  <c r="AK248" i="12" s="1"/>
  <c r="AG248" i="12"/>
  <c r="AH248" i="12" s="1"/>
  <c r="AA248" i="12"/>
  <c r="AB248" i="12" s="1"/>
  <c r="M248" i="12"/>
  <c r="Y323" i="12"/>
  <c r="AT323" i="12" s="1"/>
  <c r="AM323" i="12"/>
  <c r="BF40" i="4"/>
  <c r="I26" i="6"/>
  <c r="V335" i="12"/>
  <c r="N335" i="12"/>
  <c r="AL335" i="12"/>
  <c r="AG335" i="12"/>
  <c r="AH335" i="12" s="1"/>
  <c r="AD335" i="12"/>
  <c r="AE335" i="12" s="1"/>
  <c r="X335" i="12"/>
  <c r="P335" i="12"/>
  <c r="O335" i="12"/>
  <c r="M335" i="12"/>
  <c r="L335" i="12"/>
  <c r="AJ335" i="12"/>
  <c r="AK335" i="12" s="1"/>
  <c r="AA335" i="12"/>
  <c r="AB335" i="12" s="1"/>
  <c r="AU135" i="7"/>
  <c r="AY135" i="7"/>
  <c r="BA135" i="7" s="1"/>
  <c r="I305" i="12"/>
  <c r="X305" i="9"/>
  <c r="Z305" i="9" s="1"/>
  <c r="AV135" i="7"/>
  <c r="C39" i="8" s="1"/>
  <c r="Y54" i="12"/>
  <c r="AT54" i="12" s="1"/>
  <c r="AU54" i="12" s="1"/>
  <c r="AM54" i="12"/>
  <c r="Y100" i="12"/>
  <c r="AT100" i="12" s="1"/>
  <c r="AU100" i="12" s="1"/>
  <c r="AM100" i="12"/>
  <c r="O327" i="12"/>
  <c r="N327" i="12"/>
  <c r="M327" i="12"/>
  <c r="L327" i="12"/>
  <c r="AD327" i="12"/>
  <c r="AE327" i="12" s="1"/>
  <c r="AA327" i="12"/>
  <c r="AB327" i="12" s="1"/>
  <c r="X327" i="12"/>
  <c r="V327" i="12"/>
  <c r="AL327" i="12"/>
  <c r="AJ327" i="12"/>
  <c r="AK327" i="12" s="1"/>
  <c r="AG327" i="12"/>
  <c r="AH327" i="12" s="1"/>
  <c r="P327" i="12"/>
  <c r="Y325" i="12"/>
  <c r="AT325" i="12" s="1"/>
  <c r="AM325" i="12"/>
  <c r="G28" i="8"/>
  <c r="K28" i="8" s="1"/>
  <c r="F28" i="8"/>
  <c r="N119" i="12"/>
  <c r="AJ119" i="12"/>
  <c r="AK119" i="12" s="1"/>
  <c r="AL119" i="12"/>
  <c r="AG119" i="12"/>
  <c r="AH119" i="12" s="1"/>
  <c r="AD119" i="12"/>
  <c r="AE119" i="12" s="1"/>
  <c r="AA119" i="12"/>
  <c r="AB119" i="12" s="1"/>
  <c r="X119" i="12"/>
  <c r="V119" i="12"/>
  <c r="P119" i="12"/>
  <c r="O119" i="12"/>
  <c r="M119" i="12"/>
  <c r="L119" i="12"/>
  <c r="AT65" i="12"/>
  <c r="AA42" i="12"/>
  <c r="AB42" i="12" s="1"/>
  <c r="P42" i="12"/>
  <c r="M42" i="12"/>
  <c r="AG42" i="12"/>
  <c r="AH42" i="12" s="1"/>
  <c r="AD42" i="12"/>
  <c r="AE42" i="12" s="1"/>
  <c r="N42" i="12"/>
  <c r="V42" i="12" s="1"/>
  <c r="L42" i="12"/>
  <c r="AL42" i="12"/>
  <c r="AJ42" i="12"/>
  <c r="AK42" i="12" s="1"/>
  <c r="X42" i="12"/>
  <c r="O42" i="12"/>
  <c r="Y352" i="12"/>
  <c r="AT352" i="12" s="1"/>
  <c r="AM352" i="12"/>
  <c r="AO20" i="20"/>
  <c r="BF92" i="4"/>
  <c r="P38" i="12"/>
  <c r="M38" i="12"/>
  <c r="AL38" i="12"/>
  <c r="L38" i="12"/>
  <c r="AG38" i="12"/>
  <c r="AD38" i="12"/>
  <c r="X38" i="12"/>
  <c r="V38" i="12"/>
  <c r="O38" i="12"/>
  <c r="AJ38" i="12"/>
  <c r="AA38" i="12"/>
  <c r="N38" i="12"/>
  <c r="Y82" i="12"/>
  <c r="AT82" i="12" s="1"/>
  <c r="AM82" i="12"/>
  <c r="Y179" i="12"/>
  <c r="AT179" i="12" s="1"/>
  <c r="AM179" i="12"/>
  <c r="Y167" i="12"/>
  <c r="AT167" i="12" s="1"/>
  <c r="AM167" i="12"/>
  <c r="AN31" i="20"/>
  <c r="Y114" i="12"/>
  <c r="AT114" i="12" s="1"/>
  <c r="AM114" i="12"/>
  <c r="N135" i="12"/>
  <c r="AJ135" i="12"/>
  <c r="AK135" i="12" s="1"/>
  <c r="AD135" i="12"/>
  <c r="AE135" i="12" s="1"/>
  <c r="AG135" i="12"/>
  <c r="AH135" i="12" s="1"/>
  <c r="AA135" i="12"/>
  <c r="AB135" i="12" s="1"/>
  <c r="X135" i="12"/>
  <c r="V135" i="12"/>
  <c r="P135" i="12"/>
  <c r="O135" i="12"/>
  <c r="M135" i="12"/>
  <c r="L135" i="12"/>
  <c r="AL135" i="12"/>
  <c r="AJ322" i="12"/>
  <c r="AK322" i="12" s="1"/>
  <c r="AD322" i="12"/>
  <c r="AE322" i="12" s="1"/>
  <c r="AA322" i="12"/>
  <c r="AB322" i="12" s="1"/>
  <c r="X322" i="12"/>
  <c r="P322" i="12"/>
  <c r="N322" i="12"/>
  <c r="M322" i="12"/>
  <c r="L322" i="12"/>
  <c r="AL322" i="12"/>
  <c r="AG322" i="12"/>
  <c r="AH322" i="12" s="1"/>
  <c r="V322" i="12"/>
  <c r="O322" i="12"/>
  <c r="M103" i="12"/>
  <c r="AJ103" i="12"/>
  <c r="AK103" i="12" s="1"/>
  <c r="AD103" i="12"/>
  <c r="AE103" i="12" s="1"/>
  <c r="AA103" i="12"/>
  <c r="AB103" i="12" s="1"/>
  <c r="V103" i="12"/>
  <c r="X103" i="12"/>
  <c r="P103" i="12"/>
  <c r="O103" i="12"/>
  <c r="N103" i="12"/>
  <c r="AG103" i="12"/>
  <c r="AH103" i="12" s="1"/>
  <c r="L103" i="12"/>
  <c r="AL103" i="12"/>
  <c r="M177" i="12"/>
  <c r="AG177" i="12"/>
  <c r="AH177" i="12" s="1"/>
  <c r="AD177" i="12"/>
  <c r="AE177" i="12" s="1"/>
  <c r="X177" i="12"/>
  <c r="V177" i="12"/>
  <c r="P177" i="12"/>
  <c r="O177" i="12"/>
  <c r="N177" i="12"/>
  <c r="L177" i="12"/>
  <c r="AJ177" i="12"/>
  <c r="AK177" i="12" s="1"/>
  <c r="AA177" i="12"/>
  <c r="AB177" i="12" s="1"/>
  <c r="AL177" i="12"/>
  <c r="AT221" i="12"/>
  <c r="AU221" i="12" s="1"/>
  <c r="AA58" i="12"/>
  <c r="AB58" i="12" s="1"/>
  <c r="V58" i="12"/>
  <c r="P58" i="12"/>
  <c r="M58" i="12"/>
  <c r="AL58" i="12"/>
  <c r="AJ58" i="12"/>
  <c r="AK58" i="12" s="1"/>
  <c r="AG58" i="12"/>
  <c r="AH58" i="12" s="1"/>
  <c r="AD58" i="12"/>
  <c r="AE58" i="12" s="1"/>
  <c r="X58" i="12"/>
  <c r="O58" i="12"/>
  <c r="N58" i="12"/>
  <c r="L58" i="12"/>
  <c r="O136" i="12"/>
  <c r="N136" i="12"/>
  <c r="L136" i="12"/>
  <c r="AL136" i="12"/>
  <c r="AJ136" i="12"/>
  <c r="AK136" i="12" s="1"/>
  <c r="AD136" i="12"/>
  <c r="AE136" i="12" s="1"/>
  <c r="AA136" i="12"/>
  <c r="AB136" i="12" s="1"/>
  <c r="X136" i="12"/>
  <c r="V136" i="12"/>
  <c r="M136" i="12"/>
  <c r="AG136" i="12"/>
  <c r="AH136" i="12" s="1"/>
  <c r="P136" i="12"/>
  <c r="X111" i="12"/>
  <c r="P111" i="12"/>
  <c r="O111" i="12"/>
  <c r="N111" i="12"/>
  <c r="AL111" i="12"/>
  <c r="L111" i="12"/>
  <c r="AJ111" i="12"/>
  <c r="AK111" i="12" s="1"/>
  <c r="AA111" i="12"/>
  <c r="AB111" i="12" s="1"/>
  <c r="V111" i="12"/>
  <c r="M111" i="12"/>
  <c r="AD111" i="12"/>
  <c r="AE111" i="12" s="1"/>
  <c r="AG111" i="12"/>
  <c r="AH111" i="12" s="1"/>
  <c r="AD69" i="12"/>
  <c r="AE69" i="12" s="1"/>
  <c r="AA69" i="12"/>
  <c r="AB69" i="12" s="1"/>
  <c r="V69" i="12"/>
  <c r="P69" i="12"/>
  <c r="N69" i="12"/>
  <c r="AL69" i="12"/>
  <c r="L69" i="12"/>
  <c r="AJ69" i="12"/>
  <c r="AK69" i="12" s="1"/>
  <c r="AG69" i="12"/>
  <c r="AH69" i="12" s="1"/>
  <c r="X69" i="12"/>
  <c r="O69" i="12"/>
  <c r="M69" i="12"/>
  <c r="AD272" i="12"/>
  <c r="AE272" i="12" s="1"/>
  <c r="AA272" i="12"/>
  <c r="AB272" i="12" s="1"/>
  <c r="X272" i="12"/>
  <c r="V272" i="12"/>
  <c r="O272" i="12"/>
  <c r="N272" i="12"/>
  <c r="M272" i="12"/>
  <c r="AL272" i="12"/>
  <c r="AJ272" i="12"/>
  <c r="AK272" i="12" s="1"/>
  <c r="AG272" i="12"/>
  <c r="AH272" i="12" s="1"/>
  <c r="P272" i="12"/>
  <c r="L272" i="12"/>
  <c r="Y275" i="12"/>
  <c r="AT275" i="12" s="1"/>
  <c r="AM275" i="12"/>
  <c r="AN29" i="20"/>
  <c r="N340" i="12"/>
  <c r="AA340" i="12"/>
  <c r="AB340" i="12" s="1"/>
  <c r="V340" i="12"/>
  <c r="L340" i="12"/>
  <c r="O340" i="12"/>
  <c r="M340" i="12"/>
  <c r="AL340" i="12"/>
  <c r="AJ340" i="12"/>
  <c r="AK340" i="12" s="1"/>
  <c r="AG340" i="12"/>
  <c r="AH340" i="12" s="1"/>
  <c r="AD340" i="12"/>
  <c r="AE340" i="12" s="1"/>
  <c r="X340" i="12"/>
  <c r="P340" i="12"/>
  <c r="Y321" i="12"/>
  <c r="AT321" i="12" s="1"/>
  <c r="AM321" i="12"/>
  <c r="Y270" i="12"/>
  <c r="AT270" i="12" s="1"/>
  <c r="AM270" i="12"/>
  <c r="M142" i="12"/>
  <c r="AJ142" i="12"/>
  <c r="AK142" i="12" s="1"/>
  <c r="AA142" i="12"/>
  <c r="AB142" i="12" s="1"/>
  <c r="AL142" i="12"/>
  <c r="AD142" i="12"/>
  <c r="AE142" i="12" s="1"/>
  <c r="X142" i="12"/>
  <c r="V142" i="12"/>
  <c r="P142" i="12"/>
  <c r="N142" i="12"/>
  <c r="L142" i="12"/>
  <c r="O142" i="12"/>
  <c r="AG142" i="12"/>
  <c r="AH142" i="12" s="1"/>
  <c r="AM113" i="12"/>
  <c r="BA155" i="7"/>
  <c r="X155" i="12"/>
  <c r="V155" i="12"/>
  <c r="O155" i="12"/>
  <c r="N155" i="12"/>
  <c r="AL155" i="12"/>
  <c r="L155" i="12"/>
  <c r="AJ155" i="12"/>
  <c r="AK155" i="12" s="1"/>
  <c r="AG155" i="12"/>
  <c r="AH155" i="12" s="1"/>
  <c r="AD155" i="12"/>
  <c r="AE155" i="12" s="1"/>
  <c r="P155" i="12"/>
  <c r="M155" i="12"/>
  <c r="AA155" i="12"/>
  <c r="AB155" i="12" s="1"/>
  <c r="BC31" i="4"/>
  <c r="BE31" i="4"/>
  <c r="H17" i="6"/>
  <c r="AA102" i="12"/>
  <c r="AB102" i="12" s="1"/>
  <c r="N102" i="12"/>
  <c r="V102" i="12" s="1"/>
  <c r="M102" i="12"/>
  <c r="AJ102" i="12"/>
  <c r="AK102" i="12" s="1"/>
  <c r="AG102" i="12"/>
  <c r="AH102" i="12" s="1"/>
  <c r="AL102" i="12"/>
  <c r="AD102" i="12"/>
  <c r="AE102" i="12" s="1"/>
  <c r="X102" i="12"/>
  <c r="P102" i="12"/>
  <c r="O102" i="12"/>
  <c r="L102" i="12"/>
  <c r="Y313" i="12"/>
  <c r="AT313" i="12" s="1"/>
  <c r="AM313" i="12"/>
  <c r="Y180" i="12"/>
  <c r="AT180" i="12" s="1"/>
  <c r="AM180" i="12"/>
  <c r="Y358" i="12"/>
  <c r="AT358" i="12" s="1"/>
  <c r="AM358" i="12"/>
  <c r="G34" i="8"/>
  <c r="K34" i="8" s="1"/>
  <c r="F34" i="8"/>
  <c r="Y278" i="12"/>
  <c r="AT278" i="12" s="1"/>
  <c r="AM278" i="12"/>
  <c r="Y106" i="12"/>
  <c r="AT106" i="12" s="1"/>
  <c r="AM106" i="12"/>
  <c r="U35" i="9"/>
  <c r="Z35" i="9" s="1"/>
  <c r="AW23" i="7"/>
  <c r="BA23" i="7" s="1"/>
  <c r="G35" i="12"/>
  <c r="Z353" i="9"/>
  <c r="BH31" i="4"/>
  <c r="F17" i="6"/>
  <c r="Y243" i="12"/>
  <c r="AT243" i="12" s="1"/>
  <c r="AM243" i="12"/>
  <c r="Y333" i="12"/>
  <c r="AT333" i="12" s="1"/>
  <c r="AM333" i="12"/>
  <c r="Y20" i="6"/>
  <c r="AG20" i="6" s="1"/>
  <c r="CI20" i="6" s="1"/>
  <c r="AA20" i="6"/>
  <c r="AC20" i="6" s="1"/>
  <c r="AE20" i="6" s="1"/>
  <c r="Y93" i="12"/>
  <c r="AT93" i="12" s="1"/>
  <c r="AM93" i="12"/>
  <c r="Y130" i="12"/>
  <c r="AT130" i="12" s="1"/>
  <c r="AM130" i="12"/>
  <c r="O113" i="14"/>
  <c r="X113" i="14" s="1"/>
  <c r="AA113" i="14" s="1"/>
  <c r="AC113" i="14" s="1"/>
  <c r="N113" i="14"/>
  <c r="AN26" i="12"/>
  <c r="BA26" i="12"/>
  <c r="AV15" i="20"/>
  <c r="V91" i="12"/>
  <c r="N91" i="12"/>
  <c r="AJ91" i="12"/>
  <c r="AK91" i="12" s="1"/>
  <c r="M91" i="12"/>
  <c r="L91" i="12"/>
  <c r="AL91" i="12"/>
  <c r="AD91" i="12"/>
  <c r="AE91" i="12" s="1"/>
  <c r="AA91" i="12"/>
  <c r="AB91" i="12" s="1"/>
  <c r="AG91" i="12"/>
  <c r="AH91" i="12" s="1"/>
  <c r="X91" i="12"/>
  <c r="P91" i="12"/>
  <c r="O91" i="12"/>
  <c r="AG213" i="12"/>
  <c r="AH213" i="12" s="1"/>
  <c r="AD213" i="12"/>
  <c r="AE213" i="12" s="1"/>
  <c r="AA213" i="12"/>
  <c r="AB213" i="12" s="1"/>
  <c r="X213" i="12"/>
  <c r="V213" i="12"/>
  <c r="P213" i="12"/>
  <c r="O213" i="12"/>
  <c r="M213" i="12"/>
  <c r="L213" i="12"/>
  <c r="AL213" i="12"/>
  <c r="AJ213" i="12"/>
  <c r="AK213" i="12" s="1"/>
  <c r="N213" i="12"/>
  <c r="Y84" i="12"/>
  <c r="AT84" i="12" s="1"/>
  <c r="AM84" i="12"/>
  <c r="Y349" i="12"/>
  <c r="AT349" i="12" s="1"/>
  <c r="AM349" i="12"/>
  <c r="AM233" i="12"/>
  <c r="Y107" i="12"/>
  <c r="AT107" i="12" s="1"/>
  <c r="AM107" i="12"/>
  <c r="AD88" i="12"/>
  <c r="AE88" i="12" s="1"/>
  <c r="O88" i="12"/>
  <c r="X88" i="12"/>
  <c r="V88" i="12"/>
  <c r="N88" i="12"/>
  <c r="M88" i="12"/>
  <c r="AJ88" i="12"/>
  <c r="AK88" i="12" s="1"/>
  <c r="AL88" i="12"/>
  <c r="AG88" i="12"/>
  <c r="AH88" i="12" s="1"/>
  <c r="AA88" i="12"/>
  <c r="AB88" i="12" s="1"/>
  <c r="L88" i="12"/>
  <c r="P88" i="12"/>
  <c r="AO43" i="20"/>
  <c r="BF414" i="4"/>
  <c r="Y338" i="12"/>
  <c r="AT338" i="12" s="1"/>
  <c r="AM338" i="12"/>
  <c r="AL189" i="12"/>
  <c r="L189" i="12"/>
  <c r="AJ189" i="12"/>
  <c r="AK189" i="12" s="1"/>
  <c r="AG189" i="12"/>
  <c r="AH189" i="12" s="1"/>
  <c r="AA189" i="12"/>
  <c r="AB189" i="12" s="1"/>
  <c r="AD189" i="12"/>
  <c r="AE189" i="12" s="1"/>
  <c r="X189" i="12"/>
  <c r="V189" i="12"/>
  <c r="P189" i="12"/>
  <c r="O189" i="12"/>
  <c r="N189" i="12"/>
  <c r="M189" i="12"/>
  <c r="AD83" i="12"/>
  <c r="AE83" i="12" s="1"/>
  <c r="AG83" i="12"/>
  <c r="AH83" i="12" s="1"/>
  <c r="AA83" i="12"/>
  <c r="AB83" i="12" s="1"/>
  <c r="V83" i="12"/>
  <c r="P83" i="12"/>
  <c r="N83" i="12"/>
  <c r="M83" i="12"/>
  <c r="L83" i="12"/>
  <c r="AL83" i="12"/>
  <c r="AJ83" i="12"/>
  <c r="AK83" i="12" s="1"/>
  <c r="X83" i="12"/>
  <c r="O83" i="12"/>
  <c r="AL110" i="12"/>
  <c r="L110" i="12"/>
  <c r="AD110" i="12"/>
  <c r="AE110" i="12" s="1"/>
  <c r="X110" i="12"/>
  <c r="V110" i="12"/>
  <c r="P110" i="12"/>
  <c r="AJ110" i="12"/>
  <c r="AK110" i="12" s="1"/>
  <c r="AG110" i="12"/>
  <c r="AH110" i="12" s="1"/>
  <c r="AA110" i="12"/>
  <c r="AB110" i="12" s="1"/>
  <c r="N110" i="12"/>
  <c r="M110" i="12"/>
  <c r="O110" i="12"/>
  <c r="I24" i="6"/>
  <c r="AJ32" i="12"/>
  <c r="AD32" i="12"/>
  <c r="N32" i="12"/>
  <c r="M32" i="12"/>
  <c r="L32" i="12"/>
  <c r="AG32" i="12"/>
  <c r="O32" i="12"/>
  <c r="AL32" i="12"/>
  <c r="AA32" i="12"/>
  <c r="X32" i="12"/>
  <c r="AM32" i="12" s="1"/>
  <c r="V32" i="12"/>
  <c r="P32" i="12"/>
  <c r="Y262" i="12"/>
  <c r="AT262" i="12" s="1"/>
  <c r="AM262" i="12"/>
  <c r="AM245" i="12"/>
  <c r="AN19" i="20"/>
  <c r="BF39" i="4"/>
  <c r="I25" i="6"/>
  <c r="Y121" i="12"/>
  <c r="AT121" i="12" s="1"/>
  <c r="AM121" i="12"/>
  <c r="Y112" i="12"/>
  <c r="AT112" i="12" s="1"/>
  <c r="AU112" i="12" s="1"/>
  <c r="AM112" i="12"/>
  <c r="AA81" i="12"/>
  <c r="AB81" i="12" s="1"/>
  <c r="M81" i="12"/>
  <c r="L81" i="12"/>
  <c r="AL81" i="12"/>
  <c r="AG81" i="12"/>
  <c r="AH81" i="12" s="1"/>
  <c r="X81" i="12"/>
  <c r="N81" i="12"/>
  <c r="AJ81" i="12"/>
  <c r="AK81" i="12" s="1"/>
  <c r="AD81" i="12"/>
  <c r="AE81" i="12" s="1"/>
  <c r="O81" i="12"/>
  <c r="V81" i="12"/>
  <c r="P81" i="12"/>
  <c r="AD199" i="12"/>
  <c r="AE199" i="12" s="1"/>
  <c r="AA199" i="12"/>
  <c r="AB199" i="12" s="1"/>
  <c r="X199" i="12"/>
  <c r="V199" i="12"/>
  <c r="N199" i="12"/>
  <c r="M199" i="12"/>
  <c r="AL199" i="12"/>
  <c r="AJ199" i="12"/>
  <c r="AK199" i="12" s="1"/>
  <c r="AG199" i="12"/>
  <c r="AH199" i="12" s="1"/>
  <c r="P199" i="12"/>
  <c r="O199" i="12"/>
  <c r="L199" i="12"/>
  <c r="W25" i="6"/>
  <c r="S25" i="6"/>
  <c r="AJ131" i="12"/>
  <c r="AK131" i="12" s="1"/>
  <c r="AD131" i="12"/>
  <c r="AE131" i="12" s="1"/>
  <c r="X131" i="12"/>
  <c r="V131" i="12"/>
  <c r="AA131" i="12"/>
  <c r="AB131" i="12" s="1"/>
  <c r="P131" i="12"/>
  <c r="O131" i="12"/>
  <c r="N131" i="12"/>
  <c r="M131" i="12"/>
  <c r="L131" i="12"/>
  <c r="AL131" i="12"/>
  <c r="AG131" i="12"/>
  <c r="AH131" i="12" s="1"/>
  <c r="AT26" i="12"/>
  <c r="AO18" i="20"/>
  <c r="AO4" i="20" s="1"/>
  <c r="BF64" i="4"/>
  <c r="X344" i="12"/>
  <c r="P344" i="12"/>
  <c r="O344" i="12"/>
  <c r="AG344" i="12"/>
  <c r="AH344" i="12" s="1"/>
  <c r="AD344" i="12"/>
  <c r="AE344" i="12" s="1"/>
  <c r="AA344" i="12"/>
  <c r="AB344" i="12" s="1"/>
  <c r="L344" i="12"/>
  <c r="AL344" i="12"/>
  <c r="V344" i="12"/>
  <c r="N344" i="12"/>
  <c r="M344" i="12"/>
  <c r="AJ344" i="12"/>
  <c r="AK344" i="12" s="1"/>
  <c r="O29" i="12"/>
  <c r="AA29" i="12"/>
  <c r="X29" i="12"/>
  <c r="P29" i="12"/>
  <c r="V29" i="12" s="1"/>
  <c r="L29" i="12"/>
  <c r="AL29" i="12"/>
  <c r="M29" i="12"/>
  <c r="AJ29" i="12"/>
  <c r="AG29" i="12"/>
  <c r="AD29" i="12"/>
  <c r="N29" i="12"/>
  <c r="Y165" i="12"/>
  <c r="AT165" i="12" s="1"/>
  <c r="AM165" i="12"/>
  <c r="Y156" i="12"/>
  <c r="AT156" i="12" s="1"/>
  <c r="AM156" i="12"/>
  <c r="U176" i="9"/>
  <c r="Z176" i="9" s="1"/>
  <c r="G176" i="12"/>
  <c r="AC67" i="10"/>
  <c r="AF67" i="10" s="1"/>
  <c r="Y96" i="12"/>
  <c r="AT96" i="12" s="1"/>
  <c r="AM96" i="12"/>
  <c r="AD60" i="12"/>
  <c r="AE60" i="12" s="1"/>
  <c r="X60" i="12"/>
  <c r="O60" i="12"/>
  <c r="M60" i="12"/>
  <c r="AJ60" i="12"/>
  <c r="AK60" i="12" s="1"/>
  <c r="AG60" i="12"/>
  <c r="AH60" i="12" s="1"/>
  <c r="AA60" i="12"/>
  <c r="AB60" i="12" s="1"/>
  <c r="P60" i="12"/>
  <c r="N60" i="12"/>
  <c r="L60" i="12"/>
  <c r="AL60" i="12"/>
  <c r="V60" i="12"/>
  <c r="AT305" i="12"/>
  <c r="AD315" i="12"/>
  <c r="AE315" i="12" s="1"/>
  <c r="V315" i="12"/>
  <c r="O315" i="12"/>
  <c r="M315" i="12"/>
  <c r="AL315" i="12"/>
  <c r="L315" i="12"/>
  <c r="AJ315" i="12"/>
  <c r="AK315" i="12" s="1"/>
  <c r="AG315" i="12"/>
  <c r="AH315" i="12" s="1"/>
  <c r="AA315" i="12"/>
  <c r="AB315" i="12" s="1"/>
  <c r="X315" i="12"/>
  <c r="P315" i="12"/>
  <c r="N315" i="12"/>
  <c r="O224" i="12"/>
  <c r="AD224" i="12"/>
  <c r="AE224" i="12" s="1"/>
  <c r="M224" i="12"/>
  <c r="L224" i="12"/>
  <c r="AL224" i="12"/>
  <c r="AJ224" i="12"/>
  <c r="AK224" i="12" s="1"/>
  <c r="AG224" i="12"/>
  <c r="AH224" i="12" s="1"/>
  <c r="AA224" i="12"/>
  <c r="AB224" i="12" s="1"/>
  <c r="X224" i="12"/>
  <c r="V224" i="12"/>
  <c r="P224" i="12"/>
  <c r="N224" i="12"/>
  <c r="F21" i="8"/>
  <c r="G21" i="8" s="1"/>
  <c r="K21" i="8" s="1"/>
  <c r="Y59" i="12"/>
  <c r="AT59" i="12" s="1"/>
  <c r="AM59" i="12"/>
  <c r="Y244" i="12"/>
  <c r="AT244" i="12" s="1"/>
  <c r="AM244" i="12"/>
  <c r="L137" i="12"/>
  <c r="Y124" i="12"/>
  <c r="AT124" i="12" s="1"/>
  <c r="AU124" i="12" s="1"/>
  <c r="AM124" i="12"/>
  <c r="Y276" i="12"/>
  <c r="AT276" i="12" s="1"/>
  <c r="AM276" i="12"/>
  <c r="O264" i="12"/>
  <c r="N264" i="12"/>
  <c r="AL264" i="12"/>
  <c r="L264" i="12"/>
  <c r="AJ264" i="12"/>
  <c r="AK264" i="12" s="1"/>
  <c r="AD264" i="12"/>
  <c r="AE264" i="12" s="1"/>
  <c r="AA264" i="12"/>
  <c r="AB264" i="12" s="1"/>
  <c r="X264" i="12"/>
  <c r="P264" i="12"/>
  <c r="M264" i="12"/>
  <c r="V264" i="12"/>
  <c r="AG264" i="12"/>
  <c r="AH264" i="12" s="1"/>
  <c r="AO26" i="20"/>
  <c r="BF176" i="4"/>
  <c r="AJ92" i="12"/>
  <c r="AK92" i="12" s="1"/>
  <c r="AA92" i="12"/>
  <c r="AB92" i="12" s="1"/>
  <c r="V92" i="12"/>
  <c r="P92" i="12"/>
  <c r="X92" i="12"/>
  <c r="N92" i="12"/>
  <c r="M92" i="12"/>
  <c r="AL92" i="12"/>
  <c r="AG92" i="12"/>
  <c r="AH92" i="12" s="1"/>
  <c r="AD92" i="12"/>
  <c r="AE92" i="12" s="1"/>
  <c r="O92" i="12"/>
  <c r="L92" i="12"/>
  <c r="G271" i="12"/>
  <c r="U271" i="9"/>
  <c r="Z271" i="9" s="1"/>
  <c r="AW121" i="7"/>
  <c r="BA121" i="7" s="1"/>
  <c r="N341" i="12"/>
  <c r="V341" i="12" s="1"/>
  <c r="Y351" i="12"/>
  <c r="AT351" i="12" s="1"/>
  <c r="AM351" i="12"/>
  <c r="AJ203" i="12"/>
  <c r="AK203" i="12" s="1"/>
  <c r="AG203" i="12"/>
  <c r="AH203" i="12" s="1"/>
  <c r="AD203" i="12"/>
  <c r="AE203" i="12" s="1"/>
  <c r="X203" i="12"/>
  <c r="V203" i="12"/>
  <c r="O203" i="12"/>
  <c r="M203" i="12"/>
  <c r="AL203" i="12"/>
  <c r="L203" i="12"/>
  <c r="AA203" i="12"/>
  <c r="AB203" i="12" s="1"/>
  <c r="P203" i="12"/>
  <c r="N203" i="12"/>
  <c r="AA37" i="12"/>
  <c r="AJ37" i="12"/>
  <c r="AG37" i="12"/>
  <c r="AD37" i="12"/>
  <c r="V37" i="12"/>
  <c r="P37" i="12"/>
  <c r="O37" i="12"/>
  <c r="AL37" i="12"/>
  <c r="X37" i="12"/>
  <c r="N37" i="12"/>
  <c r="M37" i="12"/>
  <c r="L37" i="12"/>
  <c r="Y148" i="12"/>
  <c r="AT148" i="12" s="1"/>
  <c r="AU148" i="12" s="1"/>
  <c r="AM148" i="12"/>
  <c r="Y290" i="12"/>
  <c r="AT290" i="12" s="1"/>
  <c r="AM290" i="12"/>
  <c r="Y280" i="12"/>
  <c r="AT280" i="12" s="1"/>
  <c r="AU280" i="12" s="1"/>
  <c r="AM280" i="12"/>
  <c r="AO40" i="20"/>
  <c r="AD348" i="12"/>
  <c r="AE348" i="12" s="1"/>
  <c r="AA348" i="12"/>
  <c r="AB348" i="12" s="1"/>
  <c r="X348" i="12"/>
  <c r="V348" i="12"/>
  <c r="P348" i="12"/>
  <c r="O348" i="12"/>
  <c r="N348" i="12"/>
  <c r="M348" i="12"/>
  <c r="L348" i="12"/>
  <c r="AJ348" i="12"/>
  <c r="AK348" i="12" s="1"/>
  <c r="AG348" i="12"/>
  <c r="AH348" i="12" s="1"/>
  <c r="AL348" i="12"/>
  <c r="Y191" i="12"/>
  <c r="AT191" i="12" s="1"/>
  <c r="AM191" i="12"/>
  <c r="AJ57" i="12"/>
  <c r="AK57" i="12" s="1"/>
  <c r="AG57" i="12"/>
  <c r="AH57" i="12" s="1"/>
  <c r="AA57" i="12"/>
  <c r="AB57" i="12" s="1"/>
  <c r="X57" i="12"/>
  <c r="P57" i="12"/>
  <c r="V57" i="12"/>
  <c r="O57" i="12"/>
  <c r="N57" i="12"/>
  <c r="M57" i="12"/>
  <c r="L57" i="12"/>
  <c r="AL57" i="12"/>
  <c r="AD57" i="12"/>
  <c r="AE57" i="12" s="1"/>
  <c r="Y258" i="12"/>
  <c r="AT258" i="12" s="1"/>
  <c r="AM258" i="12"/>
  <c r="AA67" i="12"/>
  <c r="AB67" i="12" s="1"/>
  <c r="X67" i="12"/>
  <c r="V67" i="12"/>
  <c r="N67" i="12"/>
  <c r="AL67" i="12"/>
  <c r="L67" i="12"/>
  <c r="AJ67" i="12"/>
  <c r="AK67" i="12" s="1"/>
  <c r="AD67" i="12"/>
  <c r="AE67" i="12" s="1"/>
  <c r="P67" i="12"/>
  <c r="O67" i="12"/>
  <c r="AG67" i="12"/>
  <c r="AH67" i="12" s="1"/>
  <c r="M67" i="12"/>
  <c r="BA20" i="7"/>
  <c r="Y122" i="12"/>
  <c r="AT122" i="12" s="1"/>
  <c r="AM122" i="12"/>
  <c r="N216" i="12"/>
  <c r="AL216" i="12"/>
  <c r="AJ216" i="12"/>
  <c r="AK216" i="12" s="1"/>
  <c r="AG216" i="12"/>
  <c r="AH216" i="12" s="1"/>
  <c r="AD216" i="12"/>
  <c r="AE216" i="12" s="1"/>
  <c r="AA216" i="12"/>
  <c r="AB216" i="12" s="1"/>
  <c r="X216" i="12"/>
  <c r="P216" i="12"/>
  <c r="O216" i="12"/>
  <c r="M216" i="12"/>
  <c r="L216" i="12"/>
  <c r="V216" i="12"/>
  <c r="P328" i="12"/>
  <c r="AJ328" i="12"/>
  <c r="AK328" i="12" s="1"/>
  <c r="AG328" i="12"/>
  <c r="AH328" i="12" s="1"/>
  <c r="V328" i="12"/>
  <c r="O328" i="12"/>
  <c r="N328" i="12"/>
  <c r="M328" i="12"/>
  <c r="L328" i="12"/>
  <c r="AL328" i="12"/>
  <c r="AD328" i="12"/>
  <c r="AE328" i="12" s="1"/>
  <c r="AA328" i="12"/>
  <c r="AB328" i="12" s="1"/>
  <c r="X328" i="12"/>
  <c r="Y170" i="12"/>
  <c r="AT170" i="12" s="1"/>
  <c r="AM170" i="12"/>
  <c r="AO22" i="20"/>
  <c r="Y195" i="12"/>
  <c r="AT195" i="12" s="1"/>
  <c r="AM195" i="12"/>
  <c r="BA115" i="7"/>
  <c r="Y120" i="12"/>
  <c r="AT120" i="12" s="1"/>
  <c r="AM120" i="12"/>
  <c r="Y311" i="12"/>
  <c r="AT311" i="12" s="1"/>
  <c r="AM311" i="12"/>
  <c r="O101" i="14"/>
  <c r="X101" i="14" s="1"/>
  <c r="AA101" i="14" s="1"/>
  <c r="AC101" i="14" s="1"/>
  <c r="N101" i="14"/>
  <c r="DO36" i="6" s="1"/>
  <c r="DQ36" i="6" s="1" a="1"/>
  <c r="DQ36" i="6" s="1"/>
  <c r="Y207" i="12"/>
  <c r="AT207" i="12" s="1"/>
  <c r="AU207" i="12" s="1"/>
  <c r="AM207" i="12"/>
  <c r="Y95" i="12"/>
  <c r="AT95" i="12" s="1"/>
  <c r="AM95" i="12"/>
  <c r="Y237" i="12"/>
  <c r="AT237" i="12" s="1"/>
  <c r="AM237" i="12"/>
  <c r="Y99" i="12"/>
  <c r="AT99" i="12" s="1"/>
  <c r="AM99" i="12"/>
  <c r="V318" i="12"/>
  <c r="P318" i="12"/>
  <c r="N318" i="12"/>
  <c r="AL318" i="12"/>
  <c r="L318" i="12"/>
  <c r="AJ318" i="12"/>
  <c r="AK318" i="12" s="1"/>
  <c r="AG318" i="12"/>
  <c r="AH318" i="12" s="1"/>
  <c r="AD318" i="12"/>
  <c r="AE318" i="12" s="1"/>
  <c r="AA318" i="12"/>
  <c r="AB318" i="12" s="1"/>
  <c r="X318" i="12"/>
  <c r="O318" i="12"/>
  <c r="M318" i="12"/>
  <c r="Y274" i="12"/>
  <c r="AT274" i="12" s="1"/>
  <c r="AM274" i="12"/>
  <c r="AF19" i="10"/>
  <c r="I28" i="6"/>
  <c r="AD223" i="12"/>
  <c r="AE223" i="12" s="1"/>
  <c r="X223" i="12"/>
  <c r="M223" i="12"/>
  <c r="N223" i="12"/>
  <c r="L223" i="12"/>
  <c r="AL223" i="12"/>
  <c r="AJ223" i="12"/>
  <c r="AK223" i="12" s="1"/>
  <c r="AG223" i="12"/>
  <c r="AH223" i="12" s="1"/>
  <c r="AA223" i="12"/>
  <c r="AB223" i="12" s="1"/>
  <c r="V223" i="12"/>
  <c r="P223" i="12"/>
  <c r="O223" i="12"/>
  <c r="Y306" i="12"/>
  <c r="AT306" i="12" s="1"/>
  <c r="AM306" i="12"/>
  <c r="Y225" i="12"/>
  <c r="AT225" i="12" s="1"/>
  <c r="AM225" i="12"/>
  <c r="N294" i="12"/>
  <c r="M294" i="12"/>
  <c r="V294" i="12" s="1"/>
  <c r="AL294" i="12"/>
  <c r="L294" i="12"/>
  <c r="AJ294" i="12"/>
  <c r="AK294" i="12" s="1"/>
  <c r="AG294" i="12"/>
  <c r="AH294" i="12" s="1"/>
  <c r="AA294" i="12"/>
  <c r="AB294" i="12" s="1"/>
  <c r="X294" i="12"/>
  <c r="P294" i="12"/>
  <c r="O294" i="12"/>
  <c r="AD294" i="12"/>
  <c r="AE294" i="12" s="1"/>
  <c r="Y134" i="12"/>
  <c r="AT134" i="12" s="1"/>
  <c r="AM134" i="12"/>
  <c r="F19" i="8"/>
  <c r="G19" i="8" s="1"/>
  <c r="K19" i="8" s="1"/>
  <c r="X259" i="12"/>
  <c r="V259" i="12"/>
  <c r="M259" i="12"/>
  <c r="AJ259" i="12"/>
  <c r="AK259" i="12" s="1"/>
  <c r="O259" i="12"/>
  <c r="N259" i="12"/>
  <c r="L259" i="12"/>
  <c r="AG259" i="12"/>
  <c r="AH259" i="12" s="1"/>
  <c r="AD259" i="12"/>
  <c r="AE259" i="12" s="1"/>
  <c r="AA259" i="12"/>
  <c r="AB259" i="12" s="1"/>
  <c r="P259" i="12"/>
  <c r="AL259" i="12"/>
  <c r="F37" i="8"/>
  <c r="Y150" i="12"/>
  <c r="AT150" i="12" s="1"/>
  <c r="AU150" i="12" s="1"/>
  <c r="AM150" i="12"/>
  <c r="AN17" i="20"/>
  <c r="AN4" i="20" s="1"/>
  <c r="DS34" i="6" a="1"/>
  <c r="DS34" i="6" s="1"/>
  <c r="DT34" i="6" s="1" a="1"/>
  <c r="DT34" i="6" s="1"/>
  <c r="DZ34" i="6" s="1"/>
  <c r="EC34" i="6" s="1"/>
  <c r="Y17" i="6"/>
  <c r="AG17" i="6" s="1"/>
  <c r="CI17" i="6" s="1"/>
  <c r="F25" i="8"/>
  <c r="P217" i="12"/>
  <c r="AL217" i="12"/>
  <c r="L217" i="12"/>
  <c r="AJ217" i="12"/>
  <c r="AK217" i="12" s="1"/>
  <c r="AG217" i="12"/>
  <c r="AH217" i="12" s="1"/>
  <c r="AD217" i="12"/>
  <c r="AE217" i="12" s="1"/>
  <c r="AA217" i="12"/>
  <c r="AB217" i="12" s="1"/>
  <c r="X217" i="12"/>
  <c r="O217" i="12"/>
  <c r="N217" i="12"/>
  <c r="M217" i="12"/>
  <c r="V217" i="12"/>
  <c r="Y117" i="12"/>
  <c r="AT117" i="12" s="1"/>
  <c r="AM117" i="12"/>
  <c r="Y153" i="12"/>
  <c r="AT153" i="12" s="1"/>
  <c r="AM153" i="12"/>
  <c r="Y157" i="12"/>
  <c r="AT157" i="12" s="1"/>
  <c r="AM157" i="12"/>
  <c r="Y347" i="12"/>
  <c r="AT347" i="12" s="1"/>
  <c r="AM347" i="12"/>
  <c r="Y316" i="12"/>
  <c r="AT316" i="12" s="1"/>
  <c r="AM316" i="12"/>
  <c r="AQ4" i="7"/>
  <c r="Y194" i="12"/>
  <c r="AT194" i="12" s="1"/>
  <c r="AM194" i="12"/>
  <c r="O300" i="12"/>
  <c r="N300" i="12"/>
  <c r="AL300" i="12"/>
  <c r="L300" i="12"/>
  <c r="AJ300" i="12"/>
  <c r="AK300" i="12" s="1"/>
  <c r="P300" i="12"/>
  <c r="M300" i="12"/>
  <c r="AG300" i="12"/>
  <c r="AH300" i="12" s="1"/>
  <c r="AD300" i="12"/>
  <c r="AE300" i="12" s="1"/>
  <c r="AA300" i="12"/>
  <c r="AB300" i="12" s="1"/>
  <c r="X300" i="12"/>
  <c r="V300" i="12"/>
  <c r="O70" i="14"/>
  <c r="X70" i="14" s="1"/>
  <c r="AA70" i="14" s="1"/>
  <c r="AC70" i="14" s="1"/>
  <c r="N70" i="14"/>
  <c r="N52" i="12"/>
  <c r="AJ52" i="12"/>
  <c r="AK52" i="12" s="1"/>
  <c r="AL52" i="12"/>
  <c r="AG52" i="12"/>
  <c r="AH52" i="12" s="1"/>
  <c r="AA52" i="12"/>
  <c r="AB52" i="12" s="1"/>
  <c r="X52" i="12"/>
  <c r="V52" i="12"/>
  <c r="P52" i="12"/>
  <c r="O52" i="12"/>
  <c r="AD52" i="12"/>
  <c r="AE52" i="12" s="1"/>
  <c r="M52" i="12"/>
  <c r="L52" i="12"/>
  <c r="Y178" i="12"/>
  <c r="AT178" i="12" s="1"/>
  <c r="AM178" i="12"/>
  <c r="N68" i="12"/>
  <c r="M68" i="12"/>
  <c r="AJ68" i="12"/>
  <c r="AK68" i="12" s="1"/>
  <c r="AL68" i="12"/>
  <c r="AG68" i="12"/>
  <c r="AH68" i="12" s="1"/>
  <c r="AD68" i="12"/>
  <c r="AE68" i="12" s="1"/>
  <c r="AA68" i="12"/>
  <c r="AB68" i="12" s="1"/>
  <c r="X68" i="12"/>
  <c r="V68" i="12"/>
  <c r="P68" i="12"/>
  <c r="O68" i="12"/>
  <c r="L68" i="12"/>
  <c r="Y310" i="12"/>
  <c r="AT310" i="12" s="1"/>
  <c r="AM310" i="12"/>
  <c r="AY140" i="7"/>
  <c r="BA140" i="7" s="1"/>
  <c r="AU140" i="7"/>
  <c r="X317" i="9"/>
  <c r="Z317" i="9" s="1"/>
  <c r="I317" i="12"/>
  <c r="AV140" i="7"/>
  <c r="C40" i="8" s="1"/>
  <c r="Y342" i="12"/>
  <c r="AT342" i="12" s="1"/>
  <c r="AU342" i="12" s="1"/>
  <c r="AM342" i="12"/>
  <c r="Y90" i="12"/>
  <c r="AT90" i="12" s="1"/>
  <c r="AM90" i="12"/>
  <c r="AM89" i="12"/>
  <c r="P257" i="12"/>
  <c r="O257" i="12"/>
  <c r="AG257" i="12"/>
  <c r="AH257" i="12" s="1"/>
  <c r="AL257" i="12"/>
  <c r="AD257" i="12"/>
  <c r="AE257" i="12" s="1"/>
  <c r="AA257" i="12"/>
  <c r="AB257" i="12" s="1"/>
  <c r="X257" i="12"/>
  <c r="Y257" i="12" s="1"/>
  <c r="N257" i="12"/>
  <c r="M257" i="12"/>
  <c r="V257" i="12" s="1"/>
  <c r="L257" i="12"/>
  <c r="AJ257" i="12"/>
  <c r="AK257" i="12" s="1"/>
  <c r="AN30" i="20"/>
  <c r="Y76" i="12"/>
  <c r="AT76" i="12" s="1"/>
  <c r="AM76" i="12"/>
  <c r="AG210" i="12"/>
  <c r="AH210" i="12" s="1"/>
  <c r="AD210" i="12"/>
  <c r="AE210" i="12" s="1"/>
  <c r="AA210" i="12"/>
  <c r="AB210" i="12" s="1"/>
  <c r="X210" i="12"/>
  <c r="P210" i="12"/>
  <c r="N210" i="12"/>
  <c r="AL210" i="12"/>
  <c r="L210" i="12"/>
  <c r="AJ210" i="12"/>
  <c r="AK210" i="12" s="1"/>
  <c r="O210" i="12"/>
  <c r="M210" i="12"/>
  <c r="V210" i="12" s="1"/>
  <c r="U80" i="9"/>
  <c r="Z80" i="9" s="1"/>
  <c r="G80" i="12"/>
  <c r="AC35" i="10"/>
  <c r="AF35" i="10" s="1"/>
  <c r="P49" i="12"/>
  <c r="O49" i="12"/>
  <c r="AL49" i="12"/>
  <c r="L49" i="12"/>
  <c r="AG49" i="12"/>
  <c r="AH49" i="12" s="1"/>
  <c r="AJ49" i="12"/>
  <c r="AK49" i="12" s="1"/>
  <c r="AD49" i="12"/>
  <c r="AE49" i="12" s="1"/>
  <c r="M49" i="12"/>
  <c r="AA49" i="12"/>
  <c r="AB49" i="12" s="1"/>
  <c r="X49" i="12"/>
  <c r="V49" i="12"/>
  <c r="N49" i="12"/>
  <c r="AY25" i="7"/>
  <c r="AU25" i="7"/>
  <c r="AU4" i="7" s="1"/>
  <c r="I41" i="12"/>
  <c r="X41" i="9"/>
  <c r="AV25" i="7"/>
  <c r="AS4" i="7"/>
  <c r="AJ251" i="12"/>
  <c r="AK251" i="12" s="1"/>
  <c r="X251" i="12"/>
  <c r="V251" i="12"/>
  <c r="P251" i="12"/>
  <c r="O251" i="12"/>
  <c r="N251" i="12"/>
  <c r="L251" i="12"/>
  <c r="AL251" i="12"/>
  <c r="AG251" i="12"/>
  <c r="AH251" i="12" s="1"/>
  <c r="AD251" i="12"/>
  <c r="AE251" i="12" s="1"/>
  <c r="AA251" i="12"/>
  <c r="AB251" i="12" s="1"/>
  <c r="M251" i="12"/>
  <c r="Y222" i="12"/>
  <c r="AT222" i="12" s="1"/>
  <c r="AM222" i="12"/>
  <c r="AD247" i="12"/>
  <c r="AE247" i="12" s="1"/>
  <c r="N247" i="12"/>
  <c r="M247" i="12"/>
  <c r="P247" i="12"/>
  <c r="O247" i="12"/>
  <c r="L247" i="12"/>
  <c r="AL247" i="12"/>
  <c r="AJ247" i="12"/>
  <c r="AK247" i="12" s="1"/>
  <c r="AG247" i="12"/>
  <c r="AH247" i="12" s="1"/>
  <c r="AA247" i="12"/>
  <c r="AB247" i="12" s="1"/>
  <c r="X247" i="12"/>
  <c r="V247" i="12"/>
  <c r="Y109" i="12"/>
  <c r="AT109" i="12" s="1"/>
  <c r="AM109" i="12"/>
  <c r="Y71" i="12"/>
  <c r="AT71" i="12" s="1"/>
  <c r="AM71" i="12"/>
  <c r="Y241" i="12"/>
  <c r="AT241" i="12" s="1"/>
  <c r="AM241" i="12"/>
  <c r="AT140" i="7"/>
  <c r="AP317" i="12" s="1"/>
  <c r="AT317" i="12" s="1"/>
  <c r="O128" i="12"/>
  <c r="AD128" i="12"/>
  <c r="AE128" i="12" s="1"/>
  <c r="X128" i="12"/>
  <c r="P128" i="12"/>
  <c r="N128" i="12"/>
  <c r="M128" i="12"/>
  <c r="L128" i="12"/>
  <c r="AL128" i="12"/>
  <c r="AJ128" i="12"/>
  <c r="AK128" i="12" s="1"/>
  <c r="AG128" i="12"/>
  <c r="AH128" i="12" s="1"/>
  <c r="AA128" i="12"/>
  <c r="AB128" i="12" s="1"/>
  <c r="V128" i="12"/>
  <c r="AC21" i="14"/>
  <c r="DU36" i="6"/>
  <c r="DV36" i="6" s="1" a="1"/>
  <c r="DV36" i="6" s="1"/>
  <c r="Y285" i="12"/>
  <c r="AT285" i="12" s="1"/>
  <c r="AM285" i="12"/>
  <c r="X320" i="12"/>
  <c r="V320" i="12"/>
  <c r="P320" i="12"/>
  <c r="N320" i="12"/>
  <c r="AL320" i="12"/>
  <c r="L320" i="12"/>
  <c r="AJ320" i="12"/>
  <c r="AK320" i="12" s="1"/>
  <c r="AD320" i="12"/>
  <c r="AE320" i="12" s="1"/>
  <c r="AA320" i="12"/>
  <c r="AB320" i="12" s="1"/>
  <c r="O320" i="12"/>
  <c r="M320" i="12"/>
  <c r="AG320" i="12"/>
  <c r="AH320" i="12" s="1"/>
  <c r="V31" i="12"/>
  <c r="N31" i="12"/>
  <c r="M31" i="12"/>
  <c r="L31" i="12"/>
  <c r="AL31" i="12"/>
  <c r="AG31" i="12"/>
  <c r="AD31" i="12"/>
  <c r="O31" i="12"/>
  <c r="AJ31" i="12"/>
  <c r="AA31" i="12"/>
  <c r="X31" i="12"/>
  <c r="P31" i="12"/>
  <c r="Y362" i="12"/>
  <c r="AT362" i="12" s="1"/>
  <c r="AM362" i="12"/>
  <c r="Y94" i="12"/>
  <c r="AT94" i="12" s="1"/>
  <c r="AM94" i="12"/>
  <c r="Y26" i="6"/>
  <c r="AG26" i="6" s="1"/>
  <c r="AA26" i="6"/>
  <c r="AC26" i="6" s="1"/>
  <c r="AE26" i="6" s="1"/>
  <c r="Z257" i="9"/>
  <c r="P138" i="12"/>
  <c r="AL138" i="12"/>
  <c r="AJ138" i="12"/>
  <c r="AK138" i="12" s="1"/>
  <c r="AG138" i="12"/>
  <c r="AH138" i="12" s="1"/>
  <c r="AA138" i="12"/>
  <c r="AB138" i="12" s="1"/>
  <c r="X138" i="12"/>
  <c r="O138" i="12"/>
  <c r="N138" i="12"/>
  <c r="AD138" i="12"/>
  <c r="AE138" i="12" s="1"/>
  <c r="M138" i="12"/>
  <c r="V138" i="12" s="1"/>
  <c r="L138" i="12"/>
  <c r="AC55" i="10"/>
  <c r="AF55" i="10" s="1"/>
  <c r="G140" i="12"/>
  <c r="U140" i="9"/>
  <c r="Z140" i="9" s="1"/>
  <c r="O160" i="12"/>
  <c r="N160" i="12"/>
  <c r="AL160" i="12"/>
  <c r="L160" i="12"/>
  <c r="AD160" i="12"/>
  <c r="AE160" i="12" s="1"/>
  <c r="AJ160" i="12"/>
  <c r="AK160" i="12" s="1"/>
  <c r="AG160" i="12"/>
  <c r="AH160" i="12" s="1"/>
  <c r="AA160" i="12"/>
  <c r="AB160" i="12" s="1"/>
  <c r="X160" i="12"/>
  <c r="V160" i="12"/>
  <c r="M160" i="12"/>
  <c r="P160" i="12"/>
  <c r="Y64" i="12"/>
  <c r="AT64" i="12" s="1"/>
  <c r="AM64" i="12"/>
  <c r="Y73" i="12"/>
  <c r="AT73" i="12" s="1"/>
  <c r="AM73" i="12"/>
  <c r="O38" i="14"/>
  <c r="X38" i="14" s="1"/>
  <c r="AA38" i="14" s="1"/>
  <c r="AC38" i="14" s="1"/>
  <c r="N38" i="14"/>
  <c r="F30" i="8"/>
  <c r="G30" i="8"/>
  <c r="K30" i="8" s="1"/>
  <c r="AJ147" i="12"/>
  <c r="AK147" i="12" s="1"/>
  <c r="AD147" i="12"/>
  <c r="AE147" i="12" s="1"/>
  <c r="X147" i="12"/>
  <c r="V147" i="12"/>
  <c r="P147" i="12"/>
  <c r="AA147" i="12"/>
  <c r="AB147" i="12" s="1"/>
  <c r="N147" i="12"/>
  <c r="M147" i="12"/>
  <c r="L147" i="12"/>
  <c r="AL147" i="12"/>
  <c r="AG147" i="12"/>
  <c r="AH147" i="12" s="1"/>
  <c r="O147" i="12"/>
  <c r="Y48" i="12"/>
  <c r="AT48" i="12" s="1"/>
  <c r="AM48" i="12"/>
  <c r="Y169" i="12"/>
  <c r="AT169" i="12" s="1"/>
  <c r="AM169" i="12"/>
  <c r="AD337" i="12"/>
  <c r="AE337" i="12" s="1"/>
  <c r="X337" i="12"/>
  <c r="O337" i="12"/>
  <c r="AJ337" i="12"/>
  <c r="AK337" i="12" s="1"/>
  <c r="AG337" i="12"/>
  <c r="AH337" i="12" s="1"/>
  <c r="AA337" i="12"/>
  <c r="AB337" i="12" s="1"/>
  <c r="V337" i="12"/>
  <c r="P337" i="12"/>
  <c r="N337" i="12"/>
  <c r="M337" i="12"/>
  <c r="L337" i="12"/>
  <c r="AL337" i="12"/>
  <c r="AN43" i="20"/>
  <c r="BF413" i="4"/>
  <c r="Y228" i="12"/>
  <c r="AT228" i="12" s="1"/>
  <c r="AM228" i="12"/>
  <c r="Y242" i="12"/>
  <c r="AT242" i="12" s="1"/>
  <c r="AM242" i="12"/>
  <c r="AT125" i="12"/>
  <c r="AU125" i="12" s="1"/>
  <c r="O116" i="12"/>
  <c r="AA116" i="12"/>
  <c r="AB116" i="12" s="1"/>
  <c r="V116" i="12"/>
  <c r="P116" i="12"/>
  <c r="N116" i="12"/>
  <c r="M116" i="12"/>
  <c r="L116" i="12"/>
  <c r="AL116" i="12"/>
  <c r="AJ116" i="12"/>
  <c r="AK116" i="12" s="1"/>
  <c r="AD116" i="12"/>
  <c r="AE116" i="12" s="1"/>
  <c r="X116" i="12"/>
  <c r="AG116" i="12"/>
  <c r="AH116" i="12" s="1"/>
  <c r="Y234" i="12"/>
  <c r="AT234" i="12" s="1"/>
  <c r="AM234" i="12"/>
  <c r="J27" i="8"/>
  <c r="L27" i="8" s="1"/>
  <c r="F20" i="8"/>
  <c r="Y324" i="12"/>
  <c r="AT324" i="12" s="1"/>
  <c r="AM324" i="12"/>
  <c r="Y154" i="12"/>
  <c r="AT154" i="12" s="1"/>
  <c r="AM154" i="12"/>
  <c r="Y255" i="12"/>
  <c r="AT255" i="12" s="1"/>
  <c r="AM255" i="12"/>
  <c r="AJ115" i="12"/>
  <c r="AK115" i="12" s="1"/>
  <c r="AD115" i="12"/>
  <c r="AE115" i="12" s="1"/>
  <c r="X115" i="12"/>
  <c r="V115" i="12"/>
  <c r="P115" i="12"/>
  <c r="O115" i="12"/>
  <c r="M115" i="12"/>
  <c r="L115" i="12"/>
  <c r="AL115" i="12"/>
  <c r="AA115" i="12"/>
  <c r="AB115" i="12" s="1"/>
  <c r="N115" i="12"/>
  <c r="AG115" i="12"/>
  <c r="AH115" i="12" s="1"/>
  <c r="AM65" i="12"/>
  <c r="AC22" i="14"/>
  <c r="O58" i="14"/>
  <c r="X58" i="14" s="1"/>
  <c r="AA58" i="14" s="1"/>
  <c r="AC58" i="14" s="1"/>
  <c r="N58" i="14"/>
  <c r="AD55" i="12"/>
  <c r="AE55" i="12" s="1"/>
  <c r="X55" i="12"/>
  <c r="P55" i="12"/>
  <c r="N55" i="12"/>
  <c r="AJ55" i="12"/>
  <c r="AK55" i="12" s="1"/>
  <c r="AG55" i="12"/>
  <c r="AH55" i="12" s="1"/>
  <c r="AA55" i="12"/>
  <c r="AB55" i="12" s="1"/>
  <c r="O55" i="12"/>
  <c r="M55" i="12"/>
  <c r="L55" i="12"/>
  <c r="AL55" i="12"/>
  <c r="V55" i="12"/>
  <c r="Y123" i="12"/>
  <c r="AT123" i="12" s="1"/>
  <c r="AM123" i="12"/>
  <c r="AM281" i="12"/>
  <c r="L341" i="12"/>
  <c r="Y204" i="12"/>
  <c r="AT204" i="12" s="1"/>
  <c r="AM204" i="12"/>
  <c r="Y72" i="12"/>
  <c r="AT72" i="12" s="1"/>
  <c r="AM72" i="12"/>
  <c r="AM269" i="12"/>
  <c r="P353" i="12"/>
  <c r="M353" i="12"/>
  <c r="L353" i="12"/>
  <c r="AL353" i="12"/>
  <c r="AJ353" i="12"/>
  <c r="AK353" i="12" s="1"/>
  <c r="AD353" i="12"/>
  <c r="AE353" i="12" s="1"/>
  <c r="X353" i="12"/>
  <c r="Y353" i="12" s="1"/>
  <c r="O353" i="12"/>
  <c r="AA353" i="12"/>
  <c r="AB353" i="12" s="1"/>
  <c r="N353" i="12"/>
  <c r="V353" i="12" s="1"/>
  <c r="AG353" i="12"/>
  <c r="AH353" i="12" s="1"/>
  <c r="Y161" i="12"/>
  <c r="AT161" i="12" s="1"/>
  <c r="AM161" i="12"/>
  <c r="U28" i="9"/>
  <c r="Z28" i="9" s="1"/>
  <c r="G28" i="12"/>
  <c r="AD296" i="12"/>
  <c r="AE296" i="12" s="1"/>
  <c r="X296" i="12"/>
  <c r="V296" i="12"/>
  <c r="P296" i="12"/>
  <c r="O296" i="12"/>
  <c r="N296" i="12"/>
  <c r="M296" i="12"/>
  <c r="L296" i="12"/>
  <c r="AL296" i="12"/>
  <c r="AG296" i="12"/>
  <c r="AH296" i="12" s="1"/>
  <c r="AA296" i="12"/>
  <c r="AB296" i="12" s="1"/>
  <c r="AJ296" i="12"/>
  <c r="AK296" i="12" s="1"/>
  <c r="P209" i="12"/>
  <c r="O209" i="12"/>
  <c r="N209" i="12"/>
  <c r="M209" i="12"/>
  <c r="AL209" i="12"/>
  <c r="L209" i="12"/>
  <c r="AG209" i="12"/>
  <c r="AH209" i="12" s="1"/>
  <c r="X209" i="12"/>
  <c r="Y209" i="12" s="1"/>
  <c r="AJ209" i="12"/>
  <c r="AK209" i="12" s="1"/>
  <c r="AD209" i="12"/>
  <c r="AE209" i="12" s="1"/>
  <c r="AA209" i="12"/>
  <c r="AB209" i="12" s="1"/>
  <c r="V209" i="12"/>
  <c r="Y201" i="12"/>
  <c r="AT201" i="12" s="1"/>
  <c r="AM201" i="12"/>
  <c r="AT245" i="12"/>
  <c r="Y126" i="12"/>
  <c r="AT126" i="12" s="1"/>
  <c r="AM126" i="12"/>
  <c r="Y314" i="12"/>
  <c r="AT314" i="12" s="1"/>
  <c r="AM314" i="12"/>
  <c r="Y326" i="12"/>
  <c r="AT326" i="12" s="1"/>
  <c r="AM326" i="12"/>
  <c r="Y22" i="6"/>
  <c r="AG22" i="6" s="1"/>
  <c r="AA22" i="6"/>
  <c r="AC22" i="6" s="1"/>
  <c r="AE22" i="6" s="1"/>
  <c r="AP41" i="12"/>
  <c r="AP4" i="12" s="1"/>
  <c r="AT4" i="7"/>
  <c r="AT89" i="12"/>
  <c r="AU89" i="12" s="1"/>
  <c r="AW151" i="7"/>
  <c r="BA151" i="7" s="1"/>
  <c r="U343" i="9"/>
  <c r="Z343" i="9" s="1"/>
  <c r="G343" i="12"/>
  <c r="AH4" i="20"/>
  <c r="N239" i="12"/>
  <c r="M239" i="12"/>
  <c r="AD239" i="12"/>
  <c r="AE239" i="12" s="1"/>
  <c r="AA239" i="12"/>
  <c r="AB239" i="12" s="1"/>
  <c r="X239" i="12"/>
  <c r="P239" i="12"/>
  <c r="O239" i="12"/>
  <c r="AL239" i="12"/>
  <c r="AJ239" i="12"/>
  <c r="AK239" i="12" s="1"/>
  <c r="AG239" i="12"/>
  <c r="AH239" i="12" s="1"/>
  <c r="V239" i="12"/>
  <c r="L239" i="12"/>
  <c r="AG85" i="12"/>
  <c r="AH85" i="12" s="1"/>
  <c r="AA85" i="12"/>
  <c r="AB85" i="12" s="1"/>
  <c r="V85" i="12"/>
  <c r="P85" i="12"/>
  <c r="N85" i="12"/>
  <c r="M85" i="12"/>
  <c r="AJ85" i="12"/>
  <c r="AK85" i="12" s="1"/>
  <c r="X85" i="12"/>
  <c r="O85" i="12"/>
  <c r="L85" i="12"/>
  <c r="AD85" i="12"/>
  <c r="AE85" i="12" s="1"/>
  <c r="AL85" i="12"/>
  <c r="AC21" i="10"/>
  <c r="AF21" i="10" s="1"/>
  <c r="G36" i="12"/>
  <c r="U36" i="9"/>
  <c r="Z36" i="9" s="1"/>
  <c r="Y70" i="12"/>
  <c r="AT70" i="12" s="1"/>
  <c r="AM70" i="12"/>
  <c r="AJ108" i="12"/>
  <c r="AK108" i="12" s="1"/>
  <c r="AA108" i="12"/>
  <c r="AB108" i="12" s="1"/>
  <c r="V108" i="12"/>
  <c r="P108" i="12"/>
  <c r="O108" i="12"/>
  <c r="N108" i="12"/>
  <c r="AG108" i="12"/>
  <c r="AH108" i="12" s="1"/>
  <c r="AD108" i="12"/>
  <c r="AE108" i="12" s="1"/>
  <c r="X108" i="12"/>
  <c r="M108" i="12"/>
  <c r="L108" i="12"/>
  <c r="AL108" i="12"/>
  <c r="AM197" i="12"/>
  <c r="I23" i="6"/>
  <c r="Y206" i="12"/>
  <c r="AT206" i="12" s="1"/>
  <c r="AM206" i="12"/>
  <c r="Y74" i="12"/>
  <c r="AT74" i="12" s="1"/>
  <c r="AM74" i="12"/>
  <c r="Y226" i="12"/>
  <c r="AT226" i="12" s="1"/>
  <c r="AM226" i="12"/>
  <c r="X79" i="12"/>
  <c r="V79" i="12"/>
  <c r="O79" i="12"/>
  <c r="N79" i="12"/>
  <c r="L79" i="12"/>
  <c r="AL79" i="12"/>
  <c r="AJ79" i="12"/>
  <c r="AK79" i="12" s="1"/>
  <c r="AG79" i="12"/>
  <c r="AH79" i="12" s="1"/>
  <c r="AD79" i="12"/>
  <c r="AE79" i="12" s="1"/>
  <c r="AA79" i="12"/>
  <c r="AB79" i="12" s="1"/>
  <c r="P79" i="12"/>
  <c r="M79" i="12"/>
  <c r="X282" i="12"/>
  <c r="V282" i="12"/>
  <c r="P282" i="12"/>
  <c r="N282" i="12"/>
  <c r="M282" i="12"/>
  <c r="AL282" i="12"/>
  <c r="L282" i="12"/>
  <c r="AG282" i="12"/>
  <c r="AH282" i="12" s="1"/>
  <c r="AJ282" i="12"/>
  <c r="AK282" i="12" s="1"/>
  <c r="AA282" i="12"/>
  <c r="AB282" i="12" s="1"/>
  <c r="AD282" i="12"/>
  <c r="AE282" i="12" s="1"/>
  <c r="O282" i="12"/>
  <c r="AL361" i="12"/>
  <c r="L361" i="12"/>
  <c r="AG361" i="12"/>
  <c r="AH361" i="12" s="1"/>
  <c r="N361" i="12"/>
  <c r="V361" i="12"/>
  <c r="P361" i="12"/>
  <c r="O361" i="12"/>
  <c r="M361" i="12"/>
  <c r="AJ361" i="12"/>
  <c r="AK361" i="12" s="1"/>
  <c r="AD361" i="12"/>
  <c r="AE361" i="12" s="1"/>
  <c r="AA361" i="12"/>
  <c r="AB361" i="12" s="1"/>
  <c r="X361" i="12"/>
  <c r="AJ319" i="12"/>
  <c r="AK319" i="12" s="1"/>
  <c r="V319" i="12"/>
  <c r="P319" i="12"/>
  <c r="N319" i="12"/>
  <c r="AL319" i="12"/>
  <c r="L319" i="12"/>
  <c r="AG319" i="12"/>
  <c r="AH319" i="12" s="1"/>
  <c r="AD319" i="12"/>
  <c r="AE319" i="12" s="1"/>
  <c r="AA319" i="12"/>
  <c r="AB319" i="12" s="1"/>
  <c r="X319" i="12"/>
  <c r="O319" i="12"/>
  <c r="M319" i="12"/>
  <c r="Y97" i="12"/>
  <c r="AT97" i="12" s="1"/>
  <c r="AM97" i="12"/>
  <c r="AD295" i="12"/>
  <c r="AE295" i="12" s="1"/>
  <c r="AA295" i="12"/>
  <c r="AB295" i="12" s="1"/>
  <c r="X295" i="12"/>
  <c r="V295" i="12"/>
  <c r="P295" i="12"/>
  <c r="N295" i="12"/>
  <c r="M295" i="12"/>
  <c r="AL295" i="12"/>
  <c r="L295" i="12"/>
  <c r="AJ295" i="12"/>
  <c r="AK295" i="12" s="1"/>
  <c r="AG295" i="12"/>
  <c r="AH295" i="12" s="1"/>
  <c r="O295" i="12"/>
  <c r="Y354" i="12"/>
  <c r="AT354" i="12" s="1"/>
  <c r="AU354" i="12" s="1"/>
  <c r="AM354" i="12"/>
  <c r="AV16" i="12"/>
  <c r="AN16" i="12"/>
  <c r="BA16" i="12"/>
  <c r="G27" i="8"/>
  <c r="K27" i="8" s="1"/>
  <c r="AD44" i="12"/>
  <c r="AE44" i="12" s="1"/>
  <c r="X44" i="12"/>
  <c r="O44" i="12"/>
  <c r="AL44" i="12"/>
  <c r="AJ44" i="12"/>
  <c r="AK44" i="12" s="1"/>
  <c r="AG44" i="12"/>
  <c r="AH44" i="12" s="1"/>
  <c r="AA44" i="12"/>
  <c r="AB44" i="12" s="1"/>
  <c r="V44" i="12"/>
  <c r="P44" i="12"/>
  <c r="N44" i="12"/>
  <c r="M44" i="12"/>
  <c r="L44" i="12"/>
  <c r="Y182" i="12"/>
  <c r="AT182" i="12" s="1"/>
  <c r="AM182" i="12"/>
  <c r="Y214" i="12"/>
  <c r="AT214" i="12" s="1"/>
  <c r="AM214" i="12"/>
  <c r="AM77" i="12"/>
  <c r="AO25" i="20"/>
  <c r="BF162" i="4"/>
  <c r="F24" i="8"/>
  <c r="G24" i="8" s="1"/>
  <c r="K24" i="8" s="1"/>
  <c r="O45" i="12"/>
  <c r="AL45" i="12"/>
  <c r="L45" i="12"/>
  <c r="AG45" i="12"/>
  <c r="AH45" i="12" s="1"/>
  <c r="AA45" i="12"/>
  <c r="AB45" i="12" s="1"/>
  <c r="N45" i="12"/>
  <c r="M45" i="12"/>
  <c r="AJ45" i="12"/>
  <c r="AK45" i="12" s="1"/>
  <c r="AD45" i="12"/>
  <c r="AE45" i="12" s="1"/>
  <c r="P45" i="12"/>
  <c r="X45" i="12"/>
  <c r="V45" i="12"/>
  <c r="BA85" i="7"/>
  <c r="Y141" i="12"/>
  <c r="AT141" i="12" s="1"/>
  <c r="AM141" i="12"/>
  <c r="Y118" i="12"/>
  <c r="AT118" i="12" s="1"/>
  <c r="AM118" i="12"/>
  <c r="Y267" i="12"/>
  <c r="AT267" i="12" s="1"/>
  <c r="AU267" i="12" s="1"/>
  <c r="AM267" i="12"/>
  <c r="F22" i="8"/>
  <c r="AM125" i="12"/>
  <c r="F41" i="8"/>
  <c r="AG129" i="12"/>
  <c r="AH129" i="12" s="1"/>
  <c r="AA129" i="12"/>
  <c r="AB129" i="12" s="1"/>
  <c r="P129" i="12"/>
  <c r="O129" i="12"/>
  <c r="V129" i="12"/>
  <c r="N129" i="12"/>
  <c r="M129" i="12"/>
  <c r="L129" i="12"/>
  <c r="AL129" i="12"/>
  <c r="AJ129" i="12"/>
  <c r="AK129" i="12" s="1"/>
  <c r="AD129" i="12"/>
  <c r="AE129" i="12" s="1"/>
  <c r="X129" i="12"/>
  <c r="Z185" i="9"/>
  <c r="AD127" i="12"/>
  <c r="AE127" i="12" s="1"/>
  <c r="X127" i="12"/>
  <c r="N127" i="12"/>
  <c r="M127" i="12"/>
  <c r="V127" i="12"/>
  <c r="P127" i="12"/>
  <c r="L127" i="12"/>
  <c r="AL127" i="12"/>
  <c r="AJ127" i="12"/>
  <c r="AK127" i="12" s="1"/>
  <c r="AG127" i="12"/>
  <c r="AH127" i="12" s="1"/>
  <c r="AA127" i="12"/>
  <c r="AB127" i="12" s="1"/>
  <c r="O127" i="12"/>
  <c r="AT341" i="12"/>
  <c r="AU341" i="12" s="1"/>
  <c r="AV341" i="12" s="1"/>
  <c r="AN33" i="20"/>
  <c r="AU30" i="7"/>
  <c r="AY30" i="7"/>
  <c r="BA30" i="7" s="1"/>
  <c r="I53" i="12"/>
  <c r="X53" i="9"/>
  <c r="Z53" i="9" s="1"/>
  <c r="AV30" i="7"/>
  <c r="C18" i="8" s="1"/>
  <c r="N15" i="8" l="1"/>
  <c r="BH16" i="4"/>
  <c r="BH15" i="4"/>
  <c r="BA32" i="12"/>
  <c r="AN32" i="12"/>
  <c r="DR36" i="6" a="1"/>
  <c r="DR36" i="6" s="1"/>
  <c r="DY36" i="6" s="1"/>
  <c r="EB36" i="6" s="1"/>
  <c r="DS36" i="6" a="1"/>
  <c r="DS36" i="6" s="1"/>
  <c r="DT36" i="6" s="1" a="1"/>
  <c r="DT36" i="6" s="1"/>
  <c r="DZ36" i="6" s="1"/>
  <c r="EC36" i="6" s="1"/>
  <c r="BH184" i="4"/>
  <c r="BH183" i="4"/>
  <c r="N27" i="8"/>
  <c r="Y319" i="12"/>
  <c r="AT319" i="12" s="1"/>
  <c r="AM319" i="12"/>
  <c r="AN74" i="12"/>
  <c r="BA74" i="12"/>
  <c r="AU73" i="12"/>
  <c r="G53" i="11"/>
  <c r="C17" i="8"/>
  <c r="AV4" i="7"/>
  <c r="AN90" i="12"/>
  <c r="BA90" i="12"/>
  <c r="AV90" i="12"/>
  <c r="J20" i="8"/>
  <c r="Y138" i="12"/>
  <c r="AT138" i="12" s="1"/>
  <c r="AU138" i="12" s="1"/>
  <c r="AM138" i="12"/>
  <c r="AB31" i="12"/>
  <c r="Y49" i="12"/>
  <c r="AT49" i="12" s="1"/>
  <c r="AM49" i="12"/>
  <c r="AM317" i="12"/>
  <c r="L317" i="12"/>
  <c r="N317" i="12"/>
  <c r="V317" i="12" s="1"/>
  <c r="AU194" i="12"/>
  <c r="AV194" i="12" s="1"/>
  <c r="G134" i="11"/>
  <c r="AV150" i="12"/>
  <c r="AN150" i="12"/>
  <c r="BA150" i="12"/>
  <c r="BA225" i="12"/>
  <c r="AN225" i="12"/>
  <c r="AW4" i="7"/>
  <c r="BA59" i="12"/>
  <c r="AN59" i="12"/>
  <c r="BA165" i="12"/>
  <c r="AN165" i="12"/>
  <c r="AB32" i="12"/>
  <c r="BA233" i="12"/>
  <c r="AN233" i="12"/>
  <c r="AV233" i="12"/>
  <c r="BJ15" i="20"/>
  <c r="Y111" i="12"/>
  <c r="AT111" i="12" s="1"/>
  <c r="AU111" i="12" s="1"/>
  <c r="AM111" i="12"/>
  <c r="AN179" i="12"/>
  <c r="BA179" i="12"/>
  <c r="AU65" i="12"/>
  <c r="AU325" i="12"/>
  <c r="G221" i="11"/>
  <c r="Y284" i="12"/>
  <c r="AT284" i="12" s="1"/>
  <c r="AM284" i="12"/>
  <c r="Y289" i="12"/>
  <c r="AT289" i="12" s="1"/>
  <c r="AM289" i="12"/>
  <c r="AN75" i="12"/>
  <c r="BA75" i="12"/>
  <c r="AV75" i="12"/>
  <c r="AV192" i="12"/>
  <c r="AN192" i="12"/>
  <c r="BA192" i="12"/>
  <c r="AV256" i="12"/>
  <c r="AN256" i="12"/>
  <c r="BA256" i="12"/>
  <c r="Y144" i="12"/>
  <c r="AT144" i="12" s="1"/>
  <c r="AM144" i="12"/>
  <c r="AU205" i="12"/>
  <c r="G141" i="11"/>
  <c r="AU287" i="12"/>
  <c r="G195" i="11"/>
  <c r="AV288" i="12"/>
  <c r="AN288" i="12"/>
  <c r="BA288" i="12"/>
  <c r="BA101" i="12"/>
  <c r="AV101" i="12"/>
  <c r="AN101" i="12"/>
  <c r="Y250" i="12"/>
  <c r="AT250" i="12" s="1"/>
  <c r="AM250" i="12"/>
  <c r="Y38" i="12"/>
  <c r="AM38" i="12"/>
  <c r="AU26" i="12"/>
  <c r="AV26" i="12" s="1"/>
  <c r="G22" i="11"/>
  <c r="BC15" i="20"/>
  <c r="AN180" i="12"/>
  <c r="BA180" i="12"/>
  <c r="AV349" i="12"/>
  <c r="BA349" i="12"/>
  <c r="AN349" i="12"/>
  <c r="X35" i="12"/>
  <c r="V35" i="12"/>
  <c r="AJ35" i="12"/>
  <c r="AG35" i="12"/>
  <c r="P35" i="12"/>
  <c r="O35" i="12"/>
  <c r="AL35" i="12"/>
  <c r="AD35" i="12"/>
  <c r="AA35" i="12"/>
  <c r="N35" i="12"/>
  <c r="M35" i="12"/>
  <c r="L35" i="12"/>
  <c r="Y58" i="12"/>
  <c r="AT58" i="12" s="1"/>
  <c r="AM58" i="12"/>
  <c r="AU179" i="12"/>
  <c r="AV179" i="12" s="1"/>
  <c r="G123" i="11"/>
  <c r="F39" i="8"/>
  <c r="L35" i="8"/>
  <c r="J35" i="8"/>
  <c r="AN50" i="12"/>
  <c r="BA50" i="12"/>
  <c r="Y260" i="12"/>
  <c r="AT260" i="12" s="1"/>
  <c r="AM260" i="12"/>
  <c r="AU192" i="12"/>
  <c r="G132" i="11"/>
  <c r="BA252" i="12"/>
  <c r="AV252" i="12"/>
  <c r="AN252" i="12"/>
  <c r="AN146" i="12"/>
  <c r="BA146" i="12"/>
  <c r="AV146" i="12"/>
  <c r="AU288" i="12"/>
  <c r="G196" i="11"/>
  <c r="AN240" i="12"/>
  <c r="BA240" i="12"/>
  <c r="AN266" i="12"/>
  <c r="AV266" i="12"/>
  <c r="BA266" i="12"/>
  <c r="AB34" i="12"/>
  <c r="AV73" i="12"/>
  <c r="BA73" i="12"/>
  <c r="AN73" i="12"/>
  <c r="AU241" i="12"/>
  <c r="AV241" i="12" s="1"/>
  <c r="G165" i="11"/>
  <c r="AN118" i="12"/>
  <c r="BA118" i="12"/>
  <c r="AN270" i="12"/>
  <c r="BA270" i="12"/>
  <c r="AN219" i="12"/>
  <c r="BA219" i="12"/>
  <c r="AV238" i="12"/>
  <c r="BA238" i="12"/>
  <c r="AN238" i="12"/>
  <c r="BA172" i="12"/>
  <c r="AN172" i="12"/>
  <c r="AV172" i="12"/>
  <c r="AU50" i="12"/>
  <c r="AV50" i="12" s="1"/>
  <c r="G38" i="11"/>
  <c r="F26" i="8"/>
  <c r="Y211" i="12"/>
  <c r="AT211" i="12" s="1"/>
  <c r="AM211" i="12"/>
  <c r="Y253" i="12"/>
  <c r="AT253" i="12" s="1"/>
  <c r="AM253" i="12"/>
  <c r="Y187" i="12"/>
  <c r="AT187" i="12" s="1"/>
  <c r="AM187" i="12"/>
  <c r="AU252" i="12"/>
  <c r="G172" i="11"/>
  <c r="AU146" i="12"/>
  <c r="G102" i="11"/>
  <c r="AV345" i="12"/>
  <c r="AN345" i="12"/>
  <c r="BA345" i="12"/>
  <c r="AU240" i="12"/>
  <c r="AV240" i="12" s="1"/>
  <c r="G164" i="11"/>
  <c r="AU266" i="12"/>
  <c r="G182" i="11"/>
  <c r="AK34" i="12"/>
  <c r="BA290" i="12"/>
  <c r="AN290" i="12"/>
  <c r="Y81" i="12"/>
  <c r="AT81" i="12" s="1"/>
  <c r="AM81" i="12"/>
  <c r="Y213" i="12"/>
  <c r="AT213" i="12" s="1"/>
  <c r="AM213" i="12"/>
  <c r="AU324" i="12"/>
  <c r="G220" i="11"/>
  <c r="Y247" i="12"/>
  <c r="AT247" i="12" s="1"/>
  <c r="AM247" i="12"/>
  <c r="BA77" i="12"/>
  <c r="AN77" i="12"/>
  <c r="Y45" i="12"/>
  <c r="AT45" i="12" s="1"/>
  <c r="AM45" i="12"/>
  <c r="Y217" i="12"/>
  <c r="AT217" i="12" s="1"/>
  <c r="AM217" i="12"/>
  <c r="J19" i="8"/>
  <c r="L19" i="8" s="1"/>
  <c r="AU225" i="12"/>
  <c r="AV225" i="12" s="1"/>
  <c r="G153" i="11"/>
  <c r="BA4" i="7"/>
  <c r="AU59" i="12"/>
  <c r="AV59" i="12" s="1"/>
  <c r="G43" i="11"/>
  <c r="AU165" i="12"/>
  <c r="AV165" i="12" s="1"/>
  <c r="G113" i="11"/>
  <c r="J41" i="8"/>
  <c r="L41" i="8" s="1"/>
  <c r="Y239" i="12"/>
  <c r="AT239" i="12" s="1"/>
  <c r="AM239" i="12"/>
  <c r="AC4" i="10"/>
  <c r="AE29" i="12"/>
  <c r="BA112" i="12"/>
  <c r="AV112" i="12"/>
  <c r="AN112" i="12"/>
  <c r="AH32" i="12"/>
  <c r="AV84" i="12"/>
  <c r="AN84" i="12"/>
  <c r="BA84" i="12"/>
  <c r="Y91" i="12"/>
  <c r="AT91" i="12" s="1"/>
  <c r="AM91" i="12"/>
  <c r="Y102" i="12"/>
  <c r="AT102" i="12" s="1"/>
  <c r="AU102" i="12" s="1"/>
  <c r="AM102" i="12"/>
  <c r="Y142" i="12"/>
  <c r="AT142" i="12" s="1"/>
  <c r="AM142" i="12"/>
  <c r="Y177" i="12"/>
  <c r="AT177" i="12" s="1"/>
  <c r="AM177" i="12"/>
  <c r="AU82" i="12"/>
  <c r="G58" i="11"/>
  <c r="AU352" i="12"/>
  <c r="AV352" i="12" s="1"/>
  <c r="AM305" i="12"/>
  <c r="L305" i="12"/>
  <c r="N305" i="12"/>
  <c r="V305" i="12" s="1"/>
  <c r="AU202" i="12"/>
  <c r="AV202" i="12" s="1"/>
  <c r="G138" i="11"/>
  <c r="AU219" i="12"/>
  <c r="AV219" i="12" s="1"/>
  <c r="AU238" i="12"/>
  <c r="G162" i="11"/>
  <c r="AU172" i="12"/>
  <c r="CI21" i="6"/>
  <c r="BU21" i="6"/>
  <c r="BD21" i="6"/>
  <c r="AN47" i="12"/>
  <c r="BA47" i="12"/>
  <c r="BA149" i="12"/>
  <c r="AN149" i="12"/>
  <c r="Y196" i="12"/>
  <c r="AT196" i="12" s="1"/>
  <c r="AU196" i="12" s="1"/>
  <c r="AM196" i="12"/>
  <c r="Y30" i="12"/>
  <c r="AM30" i="12"/>
  <c r="Y104" i="12"/>
  <c r="AT104" i="12" s="1"/>
  <c r="AM104" i="12"/>
  <c r="J31" i="8"/>
  <c r="L31" i="8" s="1"/>
  <c r="Y168" i="12"/>
  <c r="AT168" i="12" s="1"/>
  <c r="AM168" i="12"/>
  <c r="AU345" i="12"/>
  <c r="G233" i="11"/>
  <c r="AN78" i="12"/>
  <c r="BA78" i="12"/>
  <c r="Y163" i="12"/>
  <c r="AT163" i="12" s="1"/>
  <c r="AM163" i="12"/>
  <c r="AH34" i="12"/>
  <c r="AU326" i="12"/>
  <c r="AV326" i="12" s="1"/>
  <c r="G222" i="11"/>
  <c r="AN242" i="12"/>
  <c r="BA242" i="12"/>
  <c r="BA134" i="12"/>
  <c r="AN134" i="12"/>
  <c r="AU195" i="12"/>
  <c r="J21" i="8"/>
  <c r="L21" i="8" s="1"/>
  <c r="Y110" i="12"/>
  <c r="AT110" i="12" s="1"/>
  <c r="AM110" i="12"/>
  <c r="AU349" i="12"/>
  <c r="G237" i="11"/>
  <c r="BA352" i="12"/>
  <c r="AN352" i="12"/>
  <c r="AD28" i="12"/>
  <c r="X28" i="12"/>
  <c r="AG28" i="12"/>
  <c r="AA28" i="12"/>
  <c r="P28" i="12"/>
  <c r="O28" i="12"/>
  <c r="N28" i="12"/>
  <c r="AJ28" i="12"/>
  <c r="AL28" i="12"/>
  <c r="V28" i="12"/>
  <c r="M28" i="12"/>
  <c r="L28" i="12"/>
  <c r="AE31" i="12"/>
  <c r="AF4" i="10"/>
  <c r="AN97" i="12"/>
  <c r="BA97" i="12"/>
  <c r="AU314" i="12"/>
  <c r="AV314" i="12" s="1"/>
  <c r="G214" i="11"/>
  <c r="AN237" i="12"/>
  <c r="BA237" i="12"/>
  <c r="AH29" i="12"/>
  <c r="Y199" i="12"/>
  <c r="AT199" i="12" s="1"/>
  <c r="AM199" i="12"/>
  <c r="AU84" i="12"/>
  <c r="G60" i="11"/>
  <c r="AN323" i="12"/>
  <c r="BA323" i="12"/>
  <c r="BA133" i="12"/>
  <c r="AN133" i="12"/>
  <c r="Y283" i="12"/>
  <c r="AT283" i="12" s="1"/>
  <c r="AM283" i="12"/>
  <c r="AN360" i="12"/>
  <c r="BA360" i="12"/>
  <c r="AU47" i="12"/>
  <c r="AV47" i="12" s="1"/>
  <c r="G35" i="11"/>
  <c r="Y18" i="6"/>
  <c r="AG18" i="6" s="1"/>
  <c r="CI18" i="6" s="1"/>
  <c r="AA18" i="6"/>
  <c r="AC18" i="6" s="1"/>
  <c r="AE18" i="6" s="1"/>
  <c r="AE30" i="12"/>
  <c r="Y298" i="12"/>
  <c r="AT298" i="12" s="1"/>
  <c r="AM298" i="12"/>
  <c r="BA218" i="12"/>
  <c r="AV218" i="12"/>
  <c r="AN218" i="12"/>
  <c r="AU233" i="12"/>
  <c r="CI28" i="6"/>
  <c r="BD28" i="6"/>
  <c r="AU78" i="12"/>
  <c r="AV78" i="12" s="1"/>
  <c r="AT149" i="12"/>
  <c r="AU149" i="12" s="1"/>
  <c r="AV149" i="12" s="1"/>
  <c r="AV208" i="12"/>
  <c r="AN208" i="12"/>
  <c r="BA208" i="12"/>
  <c r="Y263" i="12"/>
  <c r="AT263" i="12" s="1"/>
  <c r="AM263" i="12"/>
  <c r="AU118" i="12"/>
  <c r="AV118" i="12" s="1"/>
  <c r="G82" i="11"/>
  <c r="BA70" i="12"/>
  <c r="AN70" i="12"/>
  <c r="AU201" i="12"/>
  <c r="G137" i="11"/>
  <c r="AN123" i="12"/>
  <c r="BA123" i="12"/>
  <c r="AU255" i="12"/>
  <c r="AV255" i="12" s="1"/>
  <c r="AV94" i="12"/>
  <c r="AN94" i="12"/>
  <c r="BA94" i="12"/>
  <c r="AU71" i="12"/>
  <c r="AV71" i="12" s="1"/>
  <c r="G51" i="11"/>
  <c r="AU222" i="12"/>
  <c r="AV222" i="12" s="1"/>
  <c r="AU90" i="12"/>
  <c r="AU153" i="12"/>
  <c r="G105" i="11"/>
  <c r="AU351" i="12"/>
  <c r="AU276" i="12"/>
  <c r="G188" i="11"/>
  <c r="AN245" i="12"/>
  <c r="BA245" i="12"/>
  <c r="AN358" i="12"/>
  <c r="BA358" i="12"/>
  <c r="AV358" i="12"/>
  <c r="AU270" i="12"/>
  <c r="AV270" i="12" s="1"/>
  <c r="AN275" i="12"/>
  <c r="BA275" i="12"/>
  <c r="AV275" i="12"/>
  <c r="Y69" i="12"/>
  <c r="AT69" i="12" s="1"/>
  <c r="AM69" i="12"/>
  <c r="AE38" i="12"/>
  <c r="AN46" i="12"/>
  <c r="BA46" i="12"/>
  <c r="Y332" i="12"/>
  <c r="AT332" i="12" s="1"/>
  <c r="AM332" i="12"/>
  <c r="BA311" i="12"/>
  <c r="AN311" i="12"/>
  <c r="Y67" i="12"/>
  <c r="AT67" i="12" s="1"/>
  <c r="AM67" i="12"/>
  <c r="AB37" i="12"/>
  <c r="O176" i="12"/>
  <c r="N176" i="12"/>
  <c r="M176" i="12"/>
  <c r="AL176" i="12"/>
  <c r="L176" i="12"/>
  <c r="AD176" i="12"/>
  <c r="AE176" i="12" s="1"/>
  <c r="AA176" i="12"/>
  <c r="AB176" i="12" s="1"/>
  <c r="X176" i="12"/>
  <c r="V176" i="12"/>
  <c r="P176" i="12"/>
  <c r="AJ176" i="12"/>
  <c r="AK176" i="12" s="1"/>
  <c r="AG176" i="12"/>
  <c r="AH176" i="12" s="1"/>
  <c r="DK36" i="6"/>
  <c r="AU311" i="12"/>
  <c r="AV311" i="12" s="1"/>
  <c r="G211" i="11"/>
  <c r="AU191" i="12"/>
  <c r="AV191" i="12" s="1"/>
  <c r="G131" i="11"/>
  <c r="Y296" i="12"/>
  <c r="AT296" i="12" s="1"/>
  <c r="AM296" i="12"/>
  <c r="Y147" i="12"/>
  <c r="AT147" i="12" s="1"/>
  <c r="AU147" i="12" s="1"/>
  <c r="AM147" i="12"/>
  <c r="AN195" i="12"/>
  <c r="BA195" i="12"/>
  <c r="AV195" i="12"/>
  <c r="Y264" i="12"/>
  <c r="AT264" i="12" s="1"/>
  <c r="AM264" i="12"/>
  <c r="AU214" i="12"/>
  <c r="AV214" i="12" s="1"/>
  <c r="G146" i="11"/>
  <c r="Y361" i="12"/>
  <c r="AT361" i="12" s="1"/>
  <c r="AM361" i="12"/>
  <c r="Y337" i="12"/>
  <c r="AT337" i="12" s="1"/>
  <c r="AM337" i="12"/>
  <c r="AN316" i="12"/>
  <c r="BA316" i="12"/>
  <c r="J37" i="8"/>
  <c r="L37" i="8" s="1"/>
  <c r="AN306" i="12"/>
  <c r="BA306" i="12"/>
  <c r="AV306" i="12"/>
  <c r="AV99" i="12"/>
  <c r="BA99" i="12"/>
  <c r="AN99" i="12"/>
  <c r="Y315" i="12"/>
  <c r="AT315" i="12" s="1"/>
  <c r="AM315" i="12"/>
  <c r="AV82" i="12"/>
  <c r="AN82" i="12"/>
  <c r="BA82" i="12"/>
  <c r="AN202" i="12"/>
  <c r="BA202" i="12"/>
  <c r="BA314" i="12"/>
  <c r="AN314" i="12"/>
  <c r="AN269" i="12"/>
  <c r="AV269" i="12"/>
  <c r="BA269" i="12"/>
  <c r="AN234" i="12"/>
  <c r="BA234" i="12"/>
  <c r="AV234" i="12"/>
  <c r="G37" i="8"/>
  <c r="K37" i="8" s="1"/>
  <c r="AM53" i="12"/>
  <c r="N53" i="12"/>
  <c r="V53" i="12" s="1"/>
  <c r="L53" i="12"/>
  <c r="AN125" i="12"/>
  <c r="BA125" i="12"/>
  <c r="AV125" i="12"/>
  <c r="AN169" i="12"/>
  <c r="BA169" i="12"/>
  <c r="AH31" i="12"/>
  <c r="AU178" i="12"/>
  <c r="G122" i="11"/>
  <c r="AV170" i="12"/>
  <c r="AN170" i="12"/>
  <c r="BA170" i="12"/>
  <c r="AU72" i="12"/>
  <c r="AV72" i="12" s="1"/>
  <c r="G52" i="11"/>
  <c r="AU228" i="12"/>
  <c r="AV228" i="12" s="1"/>
  <c r="G156" i="11"/>
  <c r="Y320" i="12"/>
  <c r="AT320" i="12" s="1"/>
  <c r="AM320" i="12"/>
  <c r="AU170" i="12"/>
  <c r="G118" i="11"/>
  <c r="Y203" i="12"/>
  <c r="AT203" i="12" s="1"/>
  <c r="AM203" i="12"/>
  <c r="AK29" i="12"/>
  <c r="AN121" i="12"/>
  <c r="BA121" i="12"/>
  <c r="AV121" i="12"/>
  <c r="AU130" i="12"/>
  <c r="AV130" i="12" s="1"/>
  <c r="G90" i="11"/>
  <c r="AU106" i="12"/>
  <c r="G74" i="11"/>
  <c r="Y272" i="12"/>
  <c r="AT272" i="12" s="1"/>
  <c r="AM272" i="12"/>
  <c r="Y135" i="12"/>
  <c r="AT135" i="12" s="1"/>
  <c r="AM135" i="12"/>
  <c r="AB38" i="12"/>
  <c r="Y42" i="12"/>
  <c r="AT42" i="12" s="1"/>
  <c r="AM42" i="12"/>
  <c r="AU323" i="12"/>
  <c r="AV323" i="12" s="1"/>
  <c r="G219" i="11"/>
  <c r="AU133" i="12"/>
  <c r="AV133" i="12" s="1"/>
  <c r="G93" i="11"/>
  <c r="AU360" i="12"/>
  <c r="AV360" i="12" s="1"/>
  <c r="G244" i="11"/>
  <c r="AN265" i="12"/>
  <c r="BA265" i="12"/>
  <c r="AN171" i="12"/>
  <c r="BA171" i="12"/>
  <c r="AV171" i="12"/>
  <c r="J38" i="8"/>
  <c r="L38" i="8" s="1"/>
  <c r="CI19" i="6"/>
  <c r="BU19" i="6"/>
  <c r="Y308" i="12"/>
  <c r="AT308" i="12" s="1"/>
  <c r="AM308" i="12"/>
  <c r="BA132" i="12"/>
  <c r="AV132" i="12"/>
  <c r="AN132" i="12"/>
  <c r="AN186" i="12"/>
  <c r="AV186" i="12"/>
  <c r="BA186" i="12"/>
  <c r="AU218" i="12"/>
  <c r="G150" i="11"/>
  <c r="BA254" i="12"/>
  <c r="AN254" i="12"/>
  <c r="BA181" i="12"/>
  <c r="AN181" i="12"/>
  <c r="AU208" i="12"/>
  <c r="P16" i="8"/>
  <c r="AV29" i="4"/>
  <c r="AX29" i="4" s="1"/>
  <c r="G19" i="14" s="1"/>
  <c r="AV30" i="4"/>
  <c r="AX30" i="4" s="1"/>
  <c r="G20" i="14" s="1"/>
  <c r="R16" i="8"/>
  <c r="AD343" i="12"/>
  <c r="AE343" i="12" s="1"/>
  <c r="AL343" i="12"/>
  <c r="AG343" i="12"/>
  <c r="AH343" i="12" s="1"/>
  <c r="O343" i="12"/>
  <c r="N343" i="12"/>
  <c r="L343" i="12"/>
  <c r="AJ343" i="12"/>
  <c r="AK343" i="12" s="1"/>
  <c r="AA343" i="12"/>
  <c r="AB343" i="12" s="1"/>
  <c r="X343" i="12"/>
  <c r="V343" i="12"/>
  <c r="P343" i="12"/>
  <c r="M343" i="12"/>
  <c r="Y282" i="12"/>
  <c r="AT282" i="12" s="1"/>
  <c r="AM282" i="12"/>
  <c r="AU74" i="12"/>
  <c r="AV74" i="12" s="1"/>
  <c r="G54" i="11"/>
  <c r="AV201" i="12"/>
  <c r="BA201" i="12"/>
  <c r="AN201" i="12"/>
  <c r="AN281" i="12"/>
  <c r="BA281" i="12"/>
  <c r="AN255" i="12"/>
  <c r="BA255" i="12"/>
  <c r="CI26" i="6"/>
  <c r="BD26" i="6"/>
  <c r="AN222" i="12"/>
  <c r="BA222" i="12"/>
  <c r="BA76" i="12"/>
  <c r="AN76" i="12"/>
  <c r="AV76" i="12"/>
  <c r="DU37" i="6"/>
  <c r="DV37" i="6" s="1" a="1"/>
  <c r="DV37" i="6" s="1"/>
  <c r="BA64" i="12"/>
  <c r="AN64" i="12"/>
  <c r="X4" i="9"/>
  <c r="Z41" i="9"/>
  <c r="AU76" i="12"/>
  <c r="J25" i="8"/>
  <c r="L25" i="8" s="1"/>
  <c r="AH37" i="12"/>
  <c r="AU96" i="12"/>
  <c r="AV96" i="12" s="1"/>
  <c r="G68" i="11"/>
  <c r="Y25" i="6"/>
  <c r="AG25" i="6" s="1"/>
  <c r="AA25" i="6"/>
  <c r="AC25" i="6" s="1"/>
  <c r="AE25" i="6" s="1"/>
  <c r="AV333" i="12"/>
  <c r="AN333" i="12"/>
  <c r="BA333" i="12"/>
  <c r="Y155" i="12"/>
  <c r="AT155" i="12" s="1"/>
  <c r="AM155" i="12"/>
  <c r="BA312" i="12"/>
  <c r="AV312" i="12"/>
  <c r="AN312" i="12"/>
  <c r="BA65" i="12"/>
  <c r="AN65" i="12"/>
  <c r="AV65" i="12"/>
  <c r="AU154" i="12"/>
  <c r="G106" i="11"/>
  <c r="BA362" i="12"/>
  <c r="AN362" i="12"/>
  <c r="AU109" i="12"/>
  <c r="AV109" i="12" s="1"/>
  <c r="G77" i="11"/>
  <c r="AU117" i="12"/>
  <c r="AV117" i="12" s="1"/>
  <c r="G81" i="11"/>
  <c r="AN191" i="12"/>
  <c r="BA191" i="12"/>
  <c r="AB29" i="12"/>
  <c r="AU262" i="12"/>
  <c r="G178" i="11"/>
  <c r="BA243" i="12"/>
  <c r="AN243" i="12"/>
  <c r="AV243" i="12"/>
  <c r="BA197" i="12"/>
  <c r="AN197" i="12"/>
  <c r="N36" i="12"/>
  <c r="AJ36" i="12"/>
  <c r="AG36" i="12"/>
  <c r="AD36" i="12"/>
  <c r="X36" i="12"/>
  <c r="V36" i="12"/>
  <c r="P36" i="12"/>
  <c r="AL36" i="12"/>
  <c r="AA36" i="12"/>
  <c r="O36" i="12"/>
  <c r="M36" i="12"/>
  <c r="L36" i="12"/>
  <c r="AN324" i="12"/>
  <c r="BA324" i="12"/>
  <c r="AV324" i="12"/>
  <c r="AU362" i="12"/>
  <c r="AV362" i="12" s="1"/>
  <c r="G246" i="11"/>
  <c r="DO37" i="6"/>
  <c r="DQ37" i="6" s="1" a="1"/>
  <c r="DQ37" i="6" s="1"/>
  <c r="AN214" i="12"/>
  <c r="BA214" i="12"/>
  <c r="Y295" i="12"/>
  <c r="AT295" i="12" s="1"/>
  <c r="AM295" i="12"/>
  <c r="Y108" i="12"/>
  <c r="AT108" i="12" s="1"/>
  <c r="AM108" i="12"/>
  <c r="AN326" i="12"/>
  <c r="BA326" i="12"/>
  <c r="AK31" i="12"/>
  <c r="AT257" i="12"/>
  <c r="G18" i="8"/>
  <c r="K18" i="8" s="1"/>
  <c r="F18" i="8"/>
  <c r="Y127" i="12"/>
  <c r="AT127" i="12" s="1"/>
  <c r="AM127" i="12"/>
  <c r="G41" i="8"/>
  <c r="K41" i="8" s="1"/>
  <c r="BA182" i="12"/>
  <c r="AN182" i="12"/>
  <c r="Y85" i="12"/>
  <c r="AT85" i="12" s="1"/>
  <c r="AM85" i="12"/>
  <c r="AU242" i="12"/>
  <c r="AV242" i="12" s="1"/>
  <c r="G166" i="11"/>
  <c r="Y128" i="12"/>
  <c r="AT128" i="12" s="1"/>
  <c r="AM128" i="12"/>
  <c r="AV178" i="12"/>
  <c r="AN178" i="12"/>
  <c r="BA178" i="12"/>
  <c r="AU316" i="12"/>
  <c r="AV316" i="12" s="1"/>
  <c r="AU134" i="12"/>
  <c r="AV134" i="12" s="1"/>
  <c r="G94" i="11"/>
  <c r="AU306" i="12"/>
  <c r="AU99" i="12"/>
  <c r="AU182" i="12"/>
  <c r="AV182" i="12" s="1"/>
  <c r="G126" i="11"/>
  <c r="BA72" i="12"/>
  <c r="AN72" i="12"/>
  <c r="AU234" i="12"/>
  <c r="AN228" i="12"/>
  <c r="BA228" i="12"/>
  <c r="AU197" i="12"/>
  <c r="AV197" i="12" s="1"/>
  <c r="Y300" i="12"/>
  <c r="AT300" i="12" s="1"/>
  <c r="AM300" i="12"/>
  <c r="AU77" i="12"/>
  <c r="AV77" i="12" s="1"/>
  <c r="BA274" i="12"/>
  <c r="AN274" i="12"/>
  <c r="Y37" i="12"/>
  <c r="AM37" i="12"/>
  <c r="AN130" i="12"/>
  <c r="BA130" i="12"/>
  <c r="AN106" i="12"/>
  <c r="AV106" i="12"/>
  <c r="BA106" i="12"/>
  <c r="AM257" i="12"/>
  <c r="J22" i="8"/>
  <c r="AU97" i="12"/>
  <c r="AV97" i="12" s="1"/>
  <c r="G69" i="11"/>
  <c r="Y79" i="12"/>
  <c r="AT79" i="12" s="1"/>
  <c r="AM79" i="12"/>
  <c r="AN126" i="12"/>
  <c r="BA126" i="12"/>
  <c r="AV126" i="12"/>
  <c r="AN161" i="12"/>
  <c r="BA161" i="12"/>
  <c r="AV161" i="12"/>
  <c r="AU169" i="12"/>
  <c r="AV169" i="12" s="1"/>
  <c r="G117" i="11"/>
  <c r="J30" i="8"/>
  <c r="L30" i="8" s="1"/>
  <c r="Y251" i="12"/>
  <c r="AT251" i="12" s="1"/>
  <c r="AM251" i="12"/>
  <c r="Y210" i="12"/>
  <c r="AT210" i="12" s="1"/>
  <c r="AU210" i="12" s="1"/>
  <c r="AM210" i="12"/>
  <c r="AN310" i="12"/>
  <c r="BA310" i="12"/>
  <c r="BA347" i="12"/>
  <c r="AN347" i="12"/>
  <c r="AU274" i="12"/>
  <c r="AV274" i="12" s="1"/>
  <c r="G186" i="11"/>
  <c r="AU237" i="12"/>
  <c r="AV237" i="12" s="1"/>
  <c r="G161" i="11"/>
  <c r="Y129" i="12"/>
  <c r="AT129" i="12" s="1"/>
  <c r="AM129" i="12"/>
  <c r="G22" i="8"/>
  <c r="K22" i="8" s="1"/>
  <c r="BA354" i="12"/>
  <c r="AN354" i="12"/>
  <c r="AV354" i="12"/>
  <c r="BA226" i="12"/>
  <c r="AN226" i="12"/>
  <c r="AU126" i="12"/>
  <c r="AU161" i="12"/>
  <c r="AN204" i="12"/>
  <c r="BA204" i="12"/>
  <c r="Y55" i="12"/>
  <c r="AT55" i="12" s="1"/>
  <c r="AM55" i="12"/>
  <c r="Y115" i="12"/>
  <c r="AT115" i="12" s="1"/>
  <c r="AM115" i="12"/>
  <c r="Y116" i="12"/>
  <c r="AT116" i="12" s="1"/>
  <c r="AM116" i="12"/>
  <c r="BA48" i="12"/>
  <c r="AN48" i="12"/>
  <c r="BA285" i="12"/>
  <c r="AV285" i="12"/>
  <c r="AN285" i="12"/>
  <c r="AU310" i="12"/>
  <c r="AV310" i="12" s="1"/>
  <c r="G210" i="11"/>
  <c r="AU347" i="12"/>
  <c r="AV347" i="12" s="1"/>
  <c r="G235" i="11"/>
  <c r="AN95" i="12"/>
  <c r="BA95" i="12"/>
  <c r="AV95" i="12"/>
  <c r="Y328" i="12"/>
  <c r="AT328" i="12" s="1"/>
  <c r="AM328" i="12"/>
  <c r="Y92" i="12"/>
  <c r="AT92" i="12" s="1"/>
  <c r="AM92" i="12"/>
  <c r="Y131" i="12"/>
  <c r="AT131" i="12" s="1"/>
  <c r="AM131" i="12"/>
  <c r="AU121" i="12"/>
  <c r="G85" i="11"/>
  <c r="BA93" i="12"/>
  <c r="AN93" i="12"/>
  <c r="AN278" i="12"/>
  <c r="BA278" i="12"/>
  <c r="Y136" i="12"/>
  <c r="AT136" i="12" s="1"/>
  <c r="AM136" i="12"/>
  <c r="AK38" i="12"/>
  <c r="Y119" i="12"/>
  <c r="AT119" i="12" s="1"/>
  <c r="AM119" i="12"/>
  <c r="Y327" i="12"/>
  <c r="AT327" i="12" s="1"/>
  <c r="AU327" i="12" s="1"/>
  <c r="AM327" i="12"/>
  <c r="AN293" i="12"/>
  <c r="BA293" i="12"/>
  <c r="AU265" i="12"/>
  <c r="AV265" i="12" s="1"/>
  <c r="G181" i="11"/>
  <c r="Y188" i="12"/>
  <c r="AT188" i="12" s="1"/>
  <c r="AM188" i="12"/>
  <c r="BA215" i="12"/>
  <c r="AN215" i="12"/>
  <c r="AV215" i="12"/>
  <c r="AN86" i="12"/>
  <c r="BA86" i="12"/>
  <c r="Y292" i="12"/>
  <c r="AT292" i="12" s="1"/>
  <c r="AU292" i="12" s="1"/>
  <c r="AM292" i="12"/>
  <c r="AU132" i="12"/>
  <c r="G92" i="11"/>
  <c r="AK33" i="12"/>
  <c r="AN221" i="12"/>
  <c r="AV221" i="12"/>
  <c r="BA221" i="12"/>
  <c r="Y235" i="12"/>
  <c r="AT235" i="12" s="1"/>
  <c r="AM235" i="12"/>
  <c r="J42" i="8"/>
  <c r="L42" i="8"/>
  <c r="J32" i="8"/>
  <c r="L32" i="8"/>
  <c r="AU254" i="12"/>
  <c r="AV254" i="12" s="1"/>
  <c r="G174" i="11"/>
  <c r="AU181" i="12"/>
  <c r="AV181" i="12" s="1"/>
  <c r="G125" i="11"/>
  <c r="AV15" i="12"/>
  <c r="BA190" i="12"/>
  <c r="AN190" i="12"/>
  <c r="J33" i="8"/>
  <c r="L33" i="8" s="1"/>
  <c r="Y98" i="12"/>
  <c r="AT98" i="12" s="1"/>
  <c r="AM98" i="12"/>
  <c r="AN206" i="12"/>
  <c r="BA206" i="12"/>
  <c r="AV206" i="12"/>
  <c r="AN173" i="12"/>
  <c r="BA173" i="12"/>
  <c r="AU141" i="12"/>
  <c r="G97" i="11"/>
  <c r="L24" i="8"/>
  <c r="J24" i="8"/>
  <c r="AY4" i="7"/>
  <c r="BA25" i="7"/>
  <c r="BA267" i="12"/>
  <c r="AV267" i="12"/>
  <c r="AN267" i="12"/>
  <c r="AU226" i="12"/>
  <c r="AV226" i="12" s="1"/>
  <c r="G154" i="11"/>
  <c r="AU245" i="12"/>
  <c r="AV245" i="12" s="1"/>
  <c r="AU204" i="12"/>
  <c r="AV204" i="12" s="1"/>
  <c r="G140" i="11"/>
  <c r="AU48" i="12"/>
  <c r="AV48" i="12" s="1"/>
  <c r="G36" i="11"/>
  <c r="AU285" i="12"/>
  <c r="G193" i="11"/>
  <c r="BA241" i="12"/>
  <c r="AN241" i="12"/>
  <c r="AR4" i="7"/>
  <c r="AN157" i="12"/>
  <c r="BA157" i="12"/>
  <c r="AV157" i="12"/>
  <c r="AU95" i="12"/>
  <c r="G67" i="11"/>
  <c r="Y216" i="12"/>
  <c r="AT216" i="12" s="1"/>
  <c r="AM216" i="12"/>
  <c r="Y348" i="12"/>
  <c r="AT348" i="12" s="1"/>
  <c r="AM348" i="12"/>
  <c r="Y224" i="12"/>
  <c r="AT224" i="12" s="1"/>
  <c r="AM224" i="12"/>
  <c r="Y60" i="12"/>
  <c r="AT60" i="12" s="1"/>
  <c r="AM60" i="12"/>
  <c r="AE32" i="12"/>
  <c r="Y83" i="12"/>
  <c r="AT83" i="12" s="1"/>
  <c r="AM83" i="12"/>
  <c r="Y189" i="12"/>
  <c r="AT189" i="12" s="1"/>
  <c r="AM189" i="12"/>
  <c r="AU93" i="12"/>
  <c r="AV93" i="12" s="1"/>
  <c r="G65" i="11"/>
  <c r="AU278" i="12"/>
  <c r="AV278" i="12" s="1"/>
  <c r="G190" i="11"/>
  <c r="BA227" i="12"/>
  <c r="AV227" i="12"/>
  <c r="AN227" i="12"/>
  <c r="Y200" i="12"/>
  <c r="AT200" i="12" s="1"/>
  <c r="AM200" i="12"/>
  <c r="AU269" i="12"/>
  <c r="BA246" i="12"/>
  <c r="AV246" i="12"/>
  <c r="AN246" i="12"/>
  <c r="AV350" i="12"/>
  <c r="AN350" i="12"/>
  <c r="BA350" i="12"/>
  <c r="AU215" i="12"/>
  <c r="G147" i="11"/>
  <c r="AU86" i="12"/>
  <c r="AV86" i="12" s="1"/>
  <c r="G62" i="11"/>
  <c r="AK30" i="12"/>
  <c r="Y164" i="12"/>
  <c r="AT164" i="12" s="1"/>
  <c r="AM164" i="12"/>
  <c r="AN301" i="12"/>
  <c r="BA301" i="12"/>
  <c r="G42" i="8"/>
  <c r="K42" i="8" s="1"/>
  <c r="Y62" i="12"/>
  <c r="AT62" i="12" s="1"/>
  <c r="AM62" i="12"/>
  <c r="F43" i="8"/>
  <c r="G43" i="8"/>
  <c r="K43" i="8" s="1"/>
  <c r="L149" i="12"/>
  <c r="Y159" i="12"/>
  <c r="AT159" i="12" s="1"/>
  <c r="AM159" i="12"/>
  <c r="AU190" i="12"/>
  <c r="AV190" i="12" s="1"/>
  <c r="G130" i="11"/>
  <c r="BA89" i="12"/>
  <c r="AV89" i="12"/>
  <c r="AN89" i="12"/>
  <c r="AU157" i="12"/>
  <c r="G109" i="11"/>
  <c r="Y294" i="12"/>
  <c r="AT294" i="12" s="1"/>
  <c r="AM294" i="12"/>
  <c r="Y318" i="12"/>
  <c r="AT318" i="12" s="1"/>
  <c r="AM318" i="12"/>
  <c r="AN207" i="12"/>
  <c r="BA207" i="12"/>
  <c r="AV207" i="12"/>
  <c r="Y57" i="12"/>
  <c r="AT57" i="12" s="1"/>
  <c r="AM57" i="12"/>
  <c r="AK32" i="12"/>
  <c r="J34" i="8"/>
  <c r="L34" i="8" s="1"/>
  <c r="AU227" i="12"/>
  <c r="G155" i="11"/>
  <c r="G33" i="8"/>
  <c r="K33" i="8" s="1"/>
  <c r="AU350" i="12"/>
  <c r="G238" i="11"/>
  <c r="Y330" i="12"/>
  <c r="AT330" i="12" s="1"/>
  <c r="AM330" i="12"/>
  <c r="AN229" i="12"/>
  <c r="BA229" i="12"/>
  <c r="AV229" i="12"/>
  <c r="AV286" i="12"/>
  <c r="BA286" i="12"/>
  <c r="AN286" i="12"/>
  <c r="BA166" i="12"/>
  <c r="AN166" i="12"/>
  <c r="AU301" i="12"/>
  <c r="AV301" i="12" s="1"/>
  <c r="G205" i="11"/>
  <c r="AU281" i="12"/>
  <c r="AV281" i="12" s="1"/>
  <c r="Y331" i="12"/>
  <c r="AT331" i="12" s="1"/>
  <c r="AM331" i="12"/>
  <c r="Y158" i="12"/>
  <c r="AT158" i="12" s="1"/>
  <c r="AM158" i="12"/>
  <c r="AM353" i="12"/>
  <c r="O356" i="12"/>
  <c r="N356" i="12"/>
  <c r="AL356" i="12"/>
  <c r="L356" i="12"/>
  <c r="V356" i="12"/>
  <c r="X356" i="12"/>
  <c r="P356" i="12"/>
  <c r="M356" i="12"/>
  <c r="AJ356" i="12"/>
  <c r="AK356" i="12" s="1"/>
  <c r="AG356" i="12"/>
  <c r="AH356" i="12" s="1"/>
  <c r="AD356" i="12"/>
  <c r="AE356" i="12" s="1"/>
  <c r="AA356" i="12"/>
  <c r="AB356" i="12" s="1"/>
  <c r="Y273" i="12"/>
  <c r="AT273" i="12" s="1"/>
  <c r="AM273" i="12"/>
  <c r="BA87" i="12"/>
  <c r="AV87" i="12"/>
  <c r="AN87" i="12"/>
  <c r="Y43" i="12"/>
  <c r="AT43" i="12" s="1"/>
  <c r="AM43" i="12"/>
  <c r="Y291" i="12"/>
  <c r="AT291" i="12" s="1"/>
  <c r="AM291" i="12"/>
  <c r="AN137" i="12"/>
  <c r="AV137" i="12"/>
  <c r="BA137" i="12"/>
  <c r="AU229" i="12"/>
  <c r="G157" i="11"/>
  <c r="AU286" i="12"/>
  <c r="G194" i="11"/>
  <c r="AU166" i="12"/>
  <c r="AV166" i="12" s="1"/>
  <c r="G114" i="11"/>
  <c r="Y33" i="12"/>
  <c r="AM33" i="12"/>
  <c r="AV183" i="12"/>
  <c r="BA183" i="12"/>
  <c r="AN183" i="12"/>
  <c r="BA198" i="12"/>
  <c r="AV198" i="12"/>
  <c r="AN198" i="12"/>
  <c r="Y175" i="12"/>
  <c r="AT175" i="12" s="1"/>
  <c r="AM175" i="12"/>
  <c r="BA334" i="12"/>
  <c r="AV334" i="12"/>
  <c r="AN334" i="12"/>
  <c r="AU87" i="12"/>
  <c r="AN297" i="12"/>
  <c r="BA297" i="12"/>
  <c r="BA105" i="12"/>
  <c r="AN105" i="12"/>
  <c r="AB33" i="12"/>
  <c r="AU334" i="12"/>
  <c r="G226" i="11"/>
  <c r="Y40" i="12"/>
  <c r="AT40" i="12" s="1"/>
  <c r="AM40" i="12"/>
  <c r="Y63" i="12"/>
  <c r="AT63" i="12" s="1"/>
  <c r="AM63" i="12"/>
  <c r="F29" i="8"/>
  <c r="X140" i="12"/>
  <c r="V140" i="12"/>
  <c r="M140" i="12"/>
  <c r="L140" i="12"/>
  <c r="AL140" i="12"/>
  <c r="AJ140" i="12"/>
  <c r="AK140" i="12" s="1"/>
  <c r="AG140" i="12"/>
  <c r="AH140" i="12" s="1"/>
  <c r="AD140" i="12"/>
  <c r="AE140" i="12" s="1"/>
  <c r="AA140" i="12"/>
  <c r="AB140" i="12" s="1"/>
  <c r="P140" i="12"/>
  <c r="O140" i="12"/>
  <c r="N140" i="12"/>
  <c r="BA71" i="12"/>
  <c r="AN71" i="12"/>
  <c r="BA153" i="12"/>
  <c r="AV153" i="12"/>
  <c r="AN153" i="12"/>
  <c r="AE37" i="12"/>
  <c r="AN351" i="12"/>
  <c r="BA351" i="12"/>
  <c r="AV351" i="12"/>
  <c r="BA276" i="12"/>
  <c r="AV276" i="12"/>
  <c r="AN276" i="12"/>
  <c r="AN96" i="12"/>
  <c r="BA96" i="12"/>
  <c r="Y344" i="12"/>
  <c r="AT344" i="12" s="1"/>
  <c r="AM344" i="12"/>
  <c r="AD355" i="12"/>
  <c r="AE355" i="12" s="1"/>
  <c r="X355" i="12"/>
  <c r="N355" i="12"/>
  <c r="M355" i="12"/>
  <c r="L355" i="12"/>
  <c r="AL355" i="12"/>
  <c r="AG355" i="12"/>
  <c r="AH355" i="12" s="1"/>
  <c r="V355" i="12"/>
  <c r="P355" i="12"/>
  <c r="AA355" i="12"/>
  <c r="AB355" i="12" s="1"/>
  <c r="O355" i="12"/>
  <c r="AJ355" i="12"/>
  <c r="AK355" i="12" s="1"/>
  <c r="BA141" i="12"/>
  <c r="AV141" i="12"/>
  <c r="AN141" i="12"/>
  <c r="AU206" i="12"/>
  <c r="G142" i="11"/>
  <c r="AU70" i="12"/>
  <c r="AV70" i="12" s="1"/>
  <c r="G50" i="11"/>
  <c r="AT353" i="12"/>
  <c r="AU353" i="12" s="1"/>
  <c r="AU123" i="12"/>
  <c r="AV123" i="12" s="1"/>
  <c r="AV154" i="12"/>
  <c r="BA154" i="12"/>
  <c r="AN154" i="12"/>
  <c r="AU64" i="12"/>
  <c r="AV64" i="12" s="1"/>
  <c r="AU94" i="12"/>
  <c r="G66" i="11"/>
  <c r="AN109" i="12"/>
  <c r="BA109" i="12"/>
  <c r="AM41" i="12"/>
  <c r="I4" i="12"/>
  <c r="L41" i="12"/>
  <c r="N41" i="12"/>
  <c r="V41" i="12" s="1"/>
  <c r="N80" i="12"/>
  <c r="P80" i="12"/>
  <c r="O80" i="12"/>
  <c r="L80" i="12"/>
  <c r="AJ80" i="12"/>
  <c r="AK80" i="12" s="1"/>
  <c r="AD80" i="12"/>
  <c r="AE80" i="12" s="1"/>
  <c r="AA80" i="12"/>
  <c r="AB80" i="12" s="1"/>
  <c r="X80" i="12"/>
  <c r="V80" i="12"/>
  <c r="M80" i="12"/>
  <c r="AG80" i="12"/>
  <c r="AH80" i="12" s="1"/>
  <c r="AL80" i="12"/>
  <c r="AN342" i="12"/>
  <c r="AV342" i="12"/>
  <c r="BA342" i="12"/>
  <c r="Y68" i="12"/>
  <c r="AT68" i="12" s="1"/>
  <c r="AM68" i="12"/>
  <c r="Y52" i="12"/>
  <c r="AT52" i="12" s="1"/>
  <c r="AM52" i="12"/>
  <c r="AN117" i="12"/>
  <c r="BA117" i="12"/>
  <c r="G25" i="8"/>
  <c r="K25" i="8" s="1"/>
  <c r="AN280" i="12"/>
  <c r="BA280" i="12"/>
  <c r="AV280" i="12"/>
  <c r="AK37" i="12"/>
  <c r="AN124" i="12"/>
  <c r="BA124" i="12"/>
  <c r="AV124" i="12"/>
  <c r="Y29" i="12"/>
  <c r="AT29" i="12" s="1"/>
  <c r="AM29" i="12"/>
  <c r="BA262" i="12"/>
  <c r="AN262" i="12"/>
  <c r="AV262" i="12"/>
  <c r="Y88" i="12"/>
  <c r="AT88" i="12" s="1"/>
  <c r="AM88" i="12"/>
  <c r="AU333" i="12"/>
  <c r="G225" i="11"/>
  <c r="AU358" i="12"/>
  <c r="G242" i="11"/>
  <c r="BA321" i="12"/>
  <c r="AN321" i="12"/>
  <c r="AU275" i="12"/>
  <c r="G187" i="11"/>
  <c r="Y322" i="12"/>
  <c r="AT322" i="12" s="1"/>
  <c r="AM322" i="12"/>
  <c r="AN114" i="12"/>
  <c r="BA114" i="12"/>
  <c r="AH38" i="12"/>
  <c r="AU312" i="12"/>
  <c r="G212" i="11"/>
  <c r="AU46" i="12"/>
  <c r="AV46" i="12" s="1"/>
  <c r="G34" i="11"/>
  <c r="Y151" i="12"/>
  <c r="AT151" i="12" s="1"/>
  <c r="AM151" i="12"/>
  <c r="Y249" i="12"/>
  <c r="AT249" i="12" s="1"/>
  <c r="AM249" i="12"/>
  <c r="AN145" i="12"/>
  <c r="AV145" i="12"/>
  <c r="BA145" i="12"/>
  <c r="AU297" i="12"/>
  <c r="AV297" i="12" s="1"/>
  <c r="G201" i="11"/>
  <c r="AU105" i="12"/>
  <c r="AV105" i="12" s="1"/>
  <c r="G73" i="11"/>
  <c r="Y268" i="12"/>
  <c r="AT268" i="12" s="1"/>
  <c r="AU268" i="12" s="1"/>
  <c r="AM268" i="12"/>
  <c r="AT41" i="12"/>
  <c r="Y339" i="12"/>
  <c r="AT339" i="12" s="1"/>
  <c r="AM339" i="12"/>
  <c r="Y231" i="12"/>
  <c r="AT231" i="12" s="1"/>
  <c r="AM231" i="12"/>
  <c r="Y51" i="12"/>
  <c r="AT51" i="12" s="1"/>
  <c r="AM51" i="12"/>
  <c r="BA113" i="12"/>
  <c r="AN113" i="12"/>
  <c r="AV113" i="12"/>
  <c r="AU321" i="12"/>
  <c r="AV321" i="12" s="1"/>
  <c r="G217" i="11"/>
  <c r="AU114" i="12"/>
  <c r="AV114" i="12" s="1"/>
  <c r="Y335" i="12"/>
  <c r="AT335" i="12" s="1"/>
  <c r="AM335" i="12"/>
  <c r="AN346" i="12"/>
  <c r="BA346" i="12"/>
  <c r="AN279" i="12"/>
  <c r="BA279" i="12"/>
  <c r="BA309" i="12"/>
  <c r="AN309" i="12"/>
  <c r="BA336" i="12"/>
  <c r="AN336" i="12"/>
  <c r="X56" i="12"/>
  <c r="V56" i="12"/>
  <c r="O56" i="12"/>
  <c r="N56" i="12"/>
  <c r="AL56" i="12"/>
  <c r="AG56" i="12"/>
  <c r="AH56" i="12" s="1"/>
  <c r="AD56" i="12"/>
  <c r="AE56" i="12" s="1"/>
  <c r="AA56" i="12"/>
  <c r="AB56" i="12" s="1"/>
  <c r="AJ56" i="12"/>
  <c r="AK56" i="12" s="1"/>
  <c r="P56" i="12"/>
  <c r="M56" i="12"/>
  <c r="L56" i="12"/>
  <c r="AU145" i="12"/>
  <c r="G101" i="11"/>
  <c r="AV232" i="12"/>
  <c r="AN232" i="12"/>
  <c r="BA232" i="12"/>
  <c r="Y277" i="12"/>
  <c r="AT277" i="12" s="1"/>
  <c r="AM277" i="12"/>
  <c r="AE33" i="12"/>
  <c r="BA261" i="12"/>
  <c r="AN261" i="12"/>
  <c r="Y299" i="12"/>
  <c r="AT299" i="12" s="1"/>
  <c r="AM299" i="12"/>
  <c r="Y212" i="12"/>
  <c r="AT212" i="12" s="1"/>
  <c r="AM212" i="12"/>
  <c r="AT185" i="12"/>
  <c r="CI24" i="6"/>
  <c r="BD24" i="6"/>
  <c r="Y34" i="12"/>
  <c r="AM34" i="12"/>
  <c r="AM185" i="12"/>
  <c r="P36" i="8"/>
  <c r="AV309" i="4"/>
  <c r="AX309" i="4" s="1"/>
  <c r="G99" i="14" s="1"/>
  <c r="AV310" i="4"/>
  <c r="AX310" i="4" s="1"/>
  <c r="G100" i="14" s="1"/>
  <c r="R36" i="8"/>
  <c r="R23" i="8"/>
  <c r="AV127" i="4"/>
  <c r="AX127" i="4" s="1"/>
  <c r="G47" i="14" s="1"/>
  <c r="AV128" i="4"/>
  <c r="AX128" i="4" s="1"/>
  <c r="G48" i="14" s="1"/>
  <c r="P23" i="8"/>
  <c r="AU243" i="12"/>
  <c r="AU180" i="12"/>
  <c r="AV180" i="12" s="1"/>
  <c r="G124" i="11"/>
  <c r="BF31" i="4"/>
  <c r="I17" i="6"/>
  <c r="Y103" i="12"/>
  <c r="AT103" i="12" s="1"/>
  <c r="AM103" i="12"/>
  <c r="J28" i="8"/>
  <c r="L28" i="8" s="1"/>
  <c r="AV100" i="12"/>
  <c r="BA100" i="12"/>
  <c r="AN100" i="12"/>
  <c r="AU346" i="12"/>
  <c r="AV346" i="12" s="1"/>
  <c r="G234" i="11"/>
  <c r="AU279" i="12"/>
  <c r="AV279" i="12" s="1"/>
  <c r="Y302" i="12"/>
  <c r="AT302" i="12" s="1"/>
  <c r="AM302" i="12"/>
  <c r="AM209" i="12"/>
  <c r="AU309" i="12"/>
  <c r="AV309" i="12" s="1"/>
  <c r="G209" i="11"/>
  <c r="AU336" i="12"/>
  <c r="AV336" i="12" s="1"/>
  <c r="G228" i="11"/>
  <c r="AN304" i="12"/>
  <c r="AV304" i="12"/>
  <c r="BA304" i="12"/>
  <c r="AB30" i="12"/>
  <c r="AU232" i="12"/>
  <c r="AD152" i="12"/>
  <c r="AE152" i="12" s="1"/>
  <c r="AA152" i="12"/>
  <c r="AB152" i="12" s="1"/>
  <c r="V152" i="12"/>
  <c r="O152" i="12"/>
  <c r="N152" i="12"/>
  <c r="M152" i="12"/>
  <c r="L152" i="12"/>
  <c r="AJ152" i="12"/>
  <c r="AK152" i="12" s="1"/>
  <c r="AG152" i="12"/>
  <c r="AH152" i="12" s="1"/>
  <c r="AL152" i="12"/>
  <c r="X152" i="12"/>
  <c r="P152" i="12"/>
  <c r="AT293" i="12"/>
  <c r="AU293" i="12" s="1"/>
  <c r="AV293" i="12" s="1"/>
  <c r="AH33" i="12"/>
  <c r="Y66" i="12"/>
  <c r="AT66" i="12" s="1"/>
  <c r="AU66" i="12" s="1"/>
  <c r="AM66" i="12"/>
  <c r="AU261" i="12"/>
  <c r="AV261" i="12" s="1"/>
  <c r="G177" i="11"/>
  <c r="Y184" i="12"/>
  <c r="AT184" i="12" s="1"/>
  <c r="AM184" i="12"/>
  <c r="AE34" i="12"/>
  <c r="BA313" i="12"/>
  <c r="AN313" i="12"/>
  <c r="Y340" i="12"/>
  <c r="AT340" i="12" s="1"/>
  <c r="AM340" i="12"/>
  <c r="AN167" i="12"/>
  <c r="BA167" i="12"/>
  <c r="AV167" i="12"/>
  <c r="Y248" i="12"/>
  <c r="AT248" i="12" s="1"/>
  <c r="AM248" i="12"/>
  <c r="BA359" i="12"/>
  <c r="AN359" i="12"/>
  <c r="Y139" i="12"/>
  <c r="AT139" i="12" s="1"/>
  <c r="AM139" i="12"/>
  <c r="BA174" i="12"/>
  <c r="AV174" i="12"/>
  <c r="AN174" i="12"/>
  <c r="Y230" i="12"/>
  <c r="AT230" i="12" s="1"/>
  <c r="AM230" i="12"/>
  <c r="AN220" i="12"/>
  <c r="BA220" i="12"/>
  <c r="Y303" i="12"/>
  <c r="AT303" i="12" s="1"/>
  <c r="AU303" i="12" s="1"/>
  <c r="AM303" i="12"/>
  <c r="AH30" i="12"/>
  <c r="Y193" i="12"/>
  <c r="AT193" i="12" s="1"/>
  <c r="AM193" i="12"/>
  <c r="AN143" i="12"/>
  <c r="BA143" i="12"/>
  <c r="Y357" i="12"/>
  <c r="AT357" i="12" s="1"/>
  <c r="AM357" i="12"/>
  <c r="BU23" i="6"/>
  <c r="BD23" i="6"/>
  <c r="CI23" i="6"/>
  <c r="AN61" i="12"/>
  <c r="BA61" i="12"/>
  <c r="AU173" i="12"/>
  <c r="AV173" i="12" s="1"/>
  <c r="Y223" i="12"/>
  <c r="AT223" i="12" s="1"/>
  <c r="AM223" i="12"/>
  <c r="BA120" i="12"/>
  <c r="AN120" i="12"/>
  <c r="AN122" i="12"/>
  <c r="BA122" i="12"/>
  <c r="AN258" i="12"/>
  <c r="BA258" i="12"/>
  <c r="AU290" i="12"/>
  <c r="AV290" i="12" s="1"/>
  <c r="G198" i="11"/>
  <c r="N271" i="12"/>
  <c r="M271" i="12"/>
  <c r="AJ271" i="12"/>
  <c r="AK271" i="12" s="1"/>
  <c r="AD271" i="12"/>
  <c r="AE271" i="12" s="1"/>
  <c r="AA271" i="12"/>
  <c r="AB271" i="12" s="1"/>
  <c r="X271" i="12"/>
  <c r="AL271" i="12"/>
  <c r="P271" i="12"/>
  <c r="O271" i="12"/>
  <c r="L271" i="12"/>
  <c r="AG271" i="12"/>
  <c r="AH271" i="12" s="1"/>
  <c r="V271" i="12"/>
  <c r="BA244" i="12"/>
  <c r="AN244" i="12"/>
  <c r="AV244" i="12"/>
  <c r="BA156" i="12"/>
  <c r="AV156" i="12"/>
  <c r="AN156" i="12"/>
  <c r="AN338" i="12"/>
  <c r="BA338" i="12"/>
  <c r="AN107" i="12"/>
  <c r="BA107" i="12"/>
  <c r="Y44" i="12"/>
  <c r="AT44" i="12" s="1"/>
  <c r="AM44" i="12"/>
  <c r="CI22" i="6"/>
  <c r="BD22" i="6"/>
  <c r="AT209" i="12"/>
  <c r="AU209" i="12" s="1"/>
  <c r="G20" i="8"/>
  <c r="K20" i="8" s="1"/>
  <c r="Y160" i="12"/>
  <c r="AT160" i="12" s="1"/>
  <c r="AU160" i="12" s="1"/>
  <c r="AM160" i="12"/>
  <c r="Y31" i="12"/>
  <c r="AM31" i="12"/>
  <c r="F40" i="8"/>
  <c r="G40" i="8" s="1"/>
  <c r="K40" i="8" s="1"/>
  <c r="AN194" i="12"/>
  <c r="BA194" i="12"/>
  <c r="Y259" i="12"/>
  <c r="AT259" i="12" s="1"/>
  <c r="AM259" i="12"/>
  <c r="AU120" i="12"/>
  <c r="AV120" i="12" s="1"/>
  <c r="G84" i="11"/>
  <c r="AU122" i="12"/>
  <c r="AV122" i="12" s="1"/>
  <c r="G86" i="11"/>
  <c r="AU258" i="12"/>
  <c r="AV258" i="12" s="1"/>
  <c r="BA148" i="12"/>
  <c r="AV148" i="12"/>
  <c r="AN148" i="12"/>
  <c r="AU244" i="12"/>
  <c r="AU156" i="12"/>
  <c r="G108" i="11"/>
  <c r="Y32" i="12"/>
  <c r="AU338" i="12"/>
  <c r="AV338" i="12" s="1"/>
  <c r="G230" i="11"/>
  <c r="AU107" i="12"/>
  <c r="AV107" i="12" s="1"/>
  <c r="G75" i="11"/>
  <c r="U27" i="9"/>
  <c r="G27" i="12"/>
  <c r="AU313" i="12"/>
  <c r="AV313" i="12" s="1"/>
  <c r="G213" i="11"/>
  <c r="AU167" i="12"/>
  <c r="G115" i="11"/>
  <c r="BA325" i="12"/>
  <c r="AN325" i="12"/>
  <c r="AV325" i="12"/>
  <c r="AV54" i="12"/>
  <c r="AN54" i="12"/>
  <c r="BA54" i="12"/>
  <c r="AU359" i="12"/>
  <c r="AV359" i="12" s="1"/>
  <c r="G243" i="11"/>
  <c r="N307" i="12"/>
  <c r="M307" i="12"/>
  <c r="AA307" i="12"/>
  <c r="AB307" i="12" s="1"/>
  <c r="X307" i="12"/>
  <c r="AL307" i="12"/>
  <c r="AJ307" i="12"/>
  <c r="AK307" i="12" s="1"/>
  <c r="AD307" i="12"/>
  <c r="AE307" i="12" s="1"/>
  <c r="V307" i="12"/>
  <c r="P307" i="12"/>
  <c r="O307" i="12"/>
  <c r="L307" i="12"/>
  <c r="AG307" i="12"/>
  <c r="AH307" i="12" s="1"/>
  <c r="AU174" i="12"/>
  <c r="AU220" i="12"/>
  <c r="AV220" i="12" s="1"/>
  <c r="BA205" i="12"/>
  <c r="AN205" i="12"/>
  <c r="AV205" i="12"/>
  <c r="AN287" i="12"/>
  <c r="BA287" i="12"/>
  <c r="AV287" i="12"/>
  <c r="AU143" i="12"/>
  <c r="AV143" i="12" s="1"/>
  <c r="G99" i="11"/>
  <c r="AN162" i="12"/>
  <c r="BA162" i="12"/>
  <c r="AV162" i="12"/>
  <c r="AV39" i="12"/>
  <c r="BA39" i="12"/>
  <c r="AN39" i="12"/>
  <c r="Y236" i="12"/>
  <c r="AT236" i="12" s="1"/>
  <c r="AM236" i="12"/>
  <c r="AU61" i="12"/>
  <c r="AV61" i="12" s="1"/>
  <c r="G45" i="11"/>
  <c r="AN329" i="12"/>
  <c r="BA329" i="12"/>
  <c r="AV329" i="12"/>
  <c r="N149" i="12"/>
  <c r="V149" i="12" s="1"/>
  <c r="BH281" i="4" l="1"/>
  <c r="BH282" i="4"/>
  <c r="N34" i="8"/>
  <c r="N19" i="8"/>
  <c r="BH71" i="4"/>
  <c r="BH72" i="4"/>
  <c r="BH268" i="4"/>
  <c r="BH267" i="4"/>
  <c r="N33" i="8"/>
  <c r="BH225" i="4"/>
  <c r="BH226" i="4"/>
  <c r="N30" i="8"/>
  <c r="BH240" i="4"/>
  <c r="BH239" i="4"/>
  <c r="N31" i="8"/>
  <c r="N25" i="8"/>
  <c r="BH155" i="4"/>
  <c r="BH156" i="4"/>
  <c r="N38" i="8"/>
  <c r="BH338" i="4"/>
  <c r="BH337" i="4"/>
  <c r="N21" i="8"/>
  <c r="BH99" i="4"/>
  <c r="BH100" i="4"/>
  <c r="BH323" i="4"/>
  <c r="BH324" i="4"/>
  <c r="N37" i="8"/>
  <c r="BH197" i="4"/>
  <c r="BH198" i="4"/>
  <c r="N28" i="8"/>
  <c r="N41" i="8"/>
  <c r="BH379" i="4"/>
  <c r="BH380" i="4"/>
  <c r="AN348" i="12"/>
  <c r="BA348" i="12"/>
  <c r="AN230" i="12"/>
  <c r="BA230" i="12"/>
  <c r="AU340" i="12"/>
  <c r="Y152" i="12"/>
  <c r="AT152" i="12" s="1"/>
  <c r="AM152" i="12"/>
  <c r="AU22" i="20"/>
  <c r="BA103" i="12"/>
  <c r="BI22" i="20" s="1"/>
  <c r="AN103" i="12"/>
  <c r="AN185" i="12"/>
  <c r="BA185" i="12"/>
  <c r="AN277" i="12"/>
  <c r="BA277" i="12"/>
  <c r="AU335" i="12"/>
  <c r="G227" i="11"/>
  <c r="AU88" i="12"/>
  <c r="AU291" i="12"/>
  <c r="BA57" i="12"/>
  <c r="AN57" i="12"/>
  <c r="AU348" i="12"/>
  <c r="AV348" i="12" s="1"/>
  <c r="G236" i="11"/>
  <c r="AU119" i="12"/>
  <c r="AV119" i="12" s="1"/>
  <c r="G83" i="11"/>
  <c r="BC21" i="20"/>
  <c r="AU92" i="12"/>
  <c r="G64" i="11"/>
  <c r="AV23" i="20"/>
  <c r="AN116" i="12"/>
  <c r="BA116" i="12"/>
  <c r="BJ23" i="20" s="1"/>
  <c r="BA251" i="12"/>
  <c r="AN251" i="12"/>
  <c r="AN300" i="12"/>
  <c r="BA300" i="12"/>
  <c r="AV300" i="12"/>
  <c r="J18" i="8"/>
  <c r="L18" i="8" s="1"/>
  <c r="AU337" i="12"/>
  <c r="G229" i="11"/>
  <c r="AN263" i="12"/>
  <c r="BA263" i="12"/>
  <c r="AN30" i="12"/>
  <c r="BA30" i="12"/>
  <c r="E20" i="6"/>
  <c r="BB21" i="20"/>
  <c r="AU91" i="12"/>
  <c r="G63" i="11"/>
  <c r="AU34" i="20"/>
  <c r="AN247" i="12"/>
  <c r="BA247" i="12"/>
  <c r="J39" i="8"/>
  <c r="Y35" i="12"/>
  <c r="AM35" i="12"/>
  <c r="L20" i="8"/>
  <c r="Y307" i="12"/>
  <c r="AT307" i="12" s="1"/>
  <c r="AM307" i="12"/>
  <c r="AU277" i="12"/>
  <c r="AV277" i="12" s="1"/>
  <c r="G189" i="11"/>
  <c r="BC23" i="20"/>
  <c r="AU116" i="12"/>
  <c r="AV116" i="12" s="1"/>
  <c r="G80" i="11"/>
  <c r="AU251" i="12"/>
  <c r="AV251" i="12" s="1"/>
  <c r="G171" i="11"/>
  <c r="L22" i="8"/>
  <c r="AU300" i="12"/>
  <c r="G204" i="11"/>
  <c r="AN53" i="12"/>
  <c r="BA53" i="12"/>
  <c r="AT30" i="12"/>
  <c r="AU30" i="12" s="1"/>
  <c r="AV30" i="12" s="1"/>
  <c r="Z27" i="9"/>
  <c r="Z4" i="9" s="1"/>
  <c r="U4" i="9"/>
  <c r="BB17" i="20"/>
  <c r="AU43" i="12"/>
  <c r="G31" i="11"/>
  <c r="AU159" i="12"/>
  <c r="AU216" i="12"/>
  <c r="G148" i="11"/>
  <c r="AU328" i="12"/>
  <c r="AV328" i="12" s="1"/>
  <c r="AU23" i="20"/>
  <c r="BA115" i="12"/>
  <c r="AN115" i="12"/>
  <c r="BA129" i="12"/>
  <c r="AN129" i="12"/>
  <c r="AN257" i="12"/>
  <c r="BA257" i="12"/>
  <c r="AV257" i="12"/>
  <c r="AU257" i="12"/>
  <c r="AZ30" i="4"/>
  <c r="AZ29" i="4"/>
  <c r="T16" i="8"/>
  <c r="BA315" i="12"/>
  <c r="AN315" i="12"/>
  <c r="AU361" i="12"/>
  <c r="G245" i="11"/>
  <c r="BB19" i="20"/>
  <c r="AU67" i="12"/>
  <c r="G47" i="11"/>
  <c r="AU27" i="20"/>
  <c r="BA163" i="12"/>
  <c r="BI27" i="20" s="1"/>
  <c r="AV163" i="12"/>
  <c r="AN163" i="12"/>
  <c r="BA196" i="12"/>
  <c r="AV196" i="12"/>
  <c r="AN196" i="12"/>
  <c r="DR37" i="6" a="1"/>
  <c r="DR37" i="6" s="1"/>
  <c r="DY37" i="6" s="1"/>
  <c r="EB37" i="6" s="1"/>
  <c r="DS37" i="6" a="1"/>
  <c r="DS37" i="6" s="1"/>
  <c r="DT37" i="6" s="1" a="1"/>
  <c r="DT37" i="6" s="1"/>
  <c r="DZ37" i="6" s="1"/>
  <c r="EC37" i="6" s="1"/>
  <c r="AV337" i="12"/>
  <c r="AN337" i="12"/>
  <c r="BA337" i="12"/>
  <c r="AN34" i="12"/>
  <c r="BA34" i="12"/>
  <c r="E24" i="6"/>
  <c r="AU17" i="20"/>
  <c r="BA43" i="12"/>
  <c r="AV43" i="12"/>
  <c r="AN43" i="12"/>
  <c r="AU57" i="12"/>
  <c r="AV57" i="12" s="1"/>
  <c r="G41" i="11"/>
  <c r="AV159" i="12"/>
  <c r="AN159" i="12"/>
  <c r="BA159" i="12"/>
  <c r="BH254" i="4"/>
  <c r="BH253" i="4"/>
  <c r="N32" i="8"/>
  <c r="BA357" i="12"/>
  <c r="AV357" i="12"/>
  <c r="AN357" i="12"/>
  <c r="AU357" i="12"/>
  <c r="G241" i="11"/>
  <c r="AT34" i="12"/>
  <c r="AU52" i="12"/>
  <c r="AV52" i="12" s="1"/>
  <c r="BA98" i="12"/>
  <c r="AN98" i="12"/>
  <c r="AU136" i="12"/>
  <c r="AV136" i="12" s="1"/>
  <c r="AU18" i="20"/>
  <c r="AN55" i="12"/>
  <c r="BA55" i="12"/>
  <c r="BI18" i="20" s="1"/>
  <c r="AV24" i="20"/>
  <c r="BA128" i="12"/>
  <c r="BJ24" i="20" s="1"/>
  <c r="AN128" i="12"/>
  <c r="AN282" i="12"/>
  <c r="BA282" i="12"/>
  <c r="O19" i="14"/>
  <c r="X19" i="14" s="1"/>
  <c r="AA19" i="14" s="1"/>
  <c r="AC19" i="14" s="1"/>
  <c r="N19" i="14"/>
  <c r="BB30" i="20"/>
  <c r="AU199" i="12"/>
  <c r="AV199" i="12" s="1"/>
  <c r="G135" i="11"/>
  <c r="AU110" i="12"/>
  <c r="G78" i="11"/>
  <c r="AN213" i="12"/>
  <c r="BA213" i="12"/>
  <c r="AU58" i="12"/>
  <c r="G42" i="11"/>
  <c r="BA305" i="12"/>
  <c r="AN305" i="12"/>
  <c r="AU213" i="12"/>
  <c r="AV213" i="12" s="1"/>
  <c r="G145" i="11"/>
  <c r="AN289" i="12"/>
  <c r="BA289" i="12"/>
  <c r="AV289" i="12"/>
  <c r="AV88" i="12"/>
  <c r="AN88" i="12"/>
  <c r="BA88" i="12"/>
  <c r="AN291" i="12"/>
  <c r="BA291" i="12"/>
  <c r="AV291" i="12"/>
  <c r="AN119" i="12"/>
  <c r="BA119" i="12"/>
  <c r="AV21" i="20"/>
  <c r="BA92" i="12"/>
  <c r="BJ21" i="20" s="1"/>
  <c r="AV92" i="12"/>
  <c r="AN92" i="12"/>
  <c r="BB24" i="20"/>
  <c r="AU127" i="12"/>
  <c r="G87" i="11"/>
  <c r="AK36" i="12"/>
  <c r="M27" i="12"/>
  <c r="AL27" i="12"/>
  <c r="AL4" i="12" s="1"/>
  <c r="AJ27" i="12"/>
  <c r="AG27" i="12"/>
  <c r="AA27" i="12"/>
  <c r="AD27" i="12"/>
  <c r="X27" i="12"/>
  <c r="V27" i="12"/>
  <c r="P27" i="12"/>
  <c r="O27" i="12"/>
  <c r="N27" i="12"/>
  <c r="L27" i="12"/>
  <c r="L4" i="12" s="1"/>
  <c r="G4" i="12"/>
  <c r="AU230" i="12"/>
  <c r="AV230" i="12" s="1"/>
  <c r="G158" i="11"/>
  <c r="BB22" i="20"/>
  <c r="AU103" i="12"/>
  <c r="AV103" i="12" s="1"/>
  <c r="G71" i="11"/>
  <c r="AN216" i="12"/>
  <c r="BA216" i="12"/>
  <c r="AV216" i="12"/>
  <c r="BA328" i="12"/>
  <c r="AN328" i="12"/>
  <c r="AN361" i="12"/>
  <c r="AV361" i="12"/>
  <c r="BA361" i="12"/>
  <c r="AU19" i="20"/>
  <c r="AN67" i="12"/>
  <c r="BA67" i="12"/>
  <c r="AV67" i="12"/>
  <c r="AU263" i="12"/>
  <c r="AV263" i="12" s="1"/>
  <c r="G179" i="11"/>
  <c r="BB34" i="20"/>
  <c r="AU247" i="12"/>
  <c r="AV247" i="12" s="1"/>
  <c r="G167" i="11"/>
  <c r="AN52" i="12"/>
  <c r="BA52" i="12"/>
  <c r="N42" i="8"/>
  <c r="BH393" i="4"/>
  <c r="BH394" i="4"/>
  <c r="AN136" i="12"/>
  <c r="BA136" i="12"/>
  <c r="BB23" i="20"/>
  <c r="AU115" i="12"/>
  <c r="AV115" i="12" s="1"/>
  <c r="G79" i="11"/>
  <c r="AU129" i="12"/>
  <c r="AV129" i="12" s="1"/>
  <c r="G89" i="11"/>
  <c r="O20" i="14"/>
  <c r="X20" i="14" s="1"/>
  <c r="AA20" i="14" s="1"/>
  <c r="AC20" i="14" s="1"/>
  <c r="N20" i="14"/>
  <c r="AU30" i="20"/>
  <c r="AN199" i="12"/>
  <c r="BA199" i="12"/>
  <c r="AV110" i="12"/>
  <c r="AN110" i="12"/>
  <c r="BA110" i="12"/>
  <c r="BB27" i="20"/>
  <c r="AU163" i="12"/>
  <c r="G111" i="11"/>
  <c r="BA58" i="12"/>
  <c r="AV58" i="12"/>
  <c r="AN58" i="12"/>
  <c r="AU35" i="20"/>
  <c r="BA259" i="12"/>
  <c r="BI35" i="20" s="1"/>
  <c r="AN259" i="12"/>
  <c r="AV17" i="20"/>
  <c r="AN44" i="12"/>
  <c r="BA44" i="12"/>
  <c r="BJ17" i="20" s="1"/>
  <c r="AV29" i="12"/>
  <c r="AN29" i="12"/>
  <c r="BA29" i="12"/>
  <c r="E19" i="6"/>
  <c r="AU322" i="12"/>
  <c r="AV322" i="12" s="1"/>
  <c r="G218" i="11"/>
  <c r="BA158" i="12"/>
  <c r="AN158" i="12"/>
  <c r="AV158" i="12"/>
  <c r="BC19" i="20"/>
  <c r="AU68" i="12"/>
  <c r="G48" i="11"/>
  <c r="AU158" i="12"/>
  <c r="G110" i="11"/>
  <c r="BA62" i="12"/>
  <c r="AN62" i="12"/>
  <c r="AU189" i="12"/>
  <c r="G129" i="11"/>
  <c r="BB33" i="20"/>
  <c r="AU235" i="12"/>
  <c r="G159" i="11"/>
  <c r="AU289" i="12"/>
  <c r="G197" i="11"/>
  <c r="G17" i="8"/>
  <c r="F17" i="8"/>
  <c r="C4" i="8"/>
  <c r="Y56" i="12"/>
  <c r="AT56" i="12" s="1"/>
  <c r="AM56" i="12"/>
  <c r="E22" i="6" s="1"/>
  <c r="AN33" i="12"/>
  <c r="BA33" i="12"/>
  <c r="E23" i="6"/>
  <c r="CI25" i="6"/>
  <c r="BU25" i="6"/>
  <c r="BD25" i="6"/>
  <c r="AU315" i="12"/>
  <c r="AV315" i="12" s="1"/>
  <c r="AN353" i="12"/>
  <c r="AV353" i="12"/>
  <c r="BA353" i="12"/>
  <c r="BB35" i="20"/>
  <c r="AU259" i="12"/>
  <c r="AV259" i="12" s="1"/>
  <c r="G175" i="11"/>
  <c r="AU25" i="20"/>
  <c r="AN139" i="12"/>
  <c r="BA139" i="12"/>
  <c r="BI25" i="20" s="1"/>
  <c r="AV139" i="12"/>
  <c r="AT33" i="12"/>
  <c r="AN318" i="12"/>
  <c r="BA318" i="12"/>
  <c r="AV318" i="12"/>
  <c r="AU98" i="12"/>
  <c r="AV98" i="12" s="1"/>
  <c r="G70" i="11"/>
  <c r="AU282" i="12"/>
  <c r="AV282" i="12" s="1"/>
  <c r="AN29" i="4"/>
  <c r="AO29" i="4" s="1"/>
  <c r="AP29" i="4" s="1"/>
  <c r="AQ29" i="4" s="1"/>
  <c r="AN30" i="4"/>
  <c r="AO30" i="4" s="1"/>
  <c r="AP30" i="4" s="1"/>
  <c r="AQ30" i="4" s="1"/>
  <c r="AN264" i="12"/>
  <c r="BA264" i="12"/>
  <c r="BB25" i="20"/>
  <c r="AU139" i="12"/>
  <c r="G95" i="11"/>
  <c r="AU330" i="12"/>
  <c r="AV330" i="12" s="1"/>
  <c r="BC39" i="20"/>
  <c r="AU308" i="12"/>
  <c r="G208" i="11"/>
  <c r="AV37" i="20"/>
  <c r="AN284" i="12"/>
  <c r="BA284" i="12"/>
  <c r="BJ37" i="20" s="1"/>
  <c r="AN330" i="12"/>
  <c r="BA330" i="12"/>
  <c r="AN184" i="12"/>
  <c r="BA184" i="12"/>
  <c r="AN302" i="12"/>
  <c r="BA302" i="12"/>
  <c r="AU185" i="12"/>
  <c r="AV185" i="12" s="1"/>
  <c r="AU29" i="12"/>
  <c r="Y355" i="12"/>
  <c r="AT355" i="12" s="1"/>
  <c r="AM355" i="12"/>
  <c r="Y140" i="12"/>
  <c r="AT140" i="12" s="1"/>
  <c r="AM140" i="12"/>
  <c r="BA273" i="12"/>
  <c r="AN273" i="12"/>
  <c r="AU318" i="12"/>
  <c r="AV29" i="20"/>
  <c r="BA188" i="12"/>
  <c r="BJ29" i="20" s="1"/>
  <c r="AV188" i="12"/>
  <c r="AN188" i="12"/>
  <c r="AN193" i="12"/>
  <c r="BA193" i="12"/>
  <c r="AV249" i="12"/>
  <c r="AN249" i="12"/>
  <c r="BA249" i="12"/>
  <c r="L29" i="8"/>
  <c r="J29" i="8"/>
  <c r="AU273" i="12"/>
  <c r="AV273" i="12" s="1"/>
  <c r="G185" i="11"/>
  <c r="AN294" i="12"/>
  <c r="BA294" i="12"/>
  <c r="AV294" i="12"/>
  <c r="AU62" i="12"/>
  <c r="AV62" i="12" s="1"/>
  <c r="G46" i="11"/>
  <c r="AV83" i="12"/>
  <c r="BA83" i="12"/>
  <c r="AN83" i="12"/>
  <c r="BC29" i="20"/>
  <c r="AU188" i="12"/>
  <c r="G128" i="11"/>
  <c r="BA42" i="12"/>
  <c r="AN42" i="12"/>
  <c r="Y176" i="12"/>
  <c r="AT176" i="12" s="1"/>
  <c r="AM176" i="12"/>
  <c r="BC41" i="20"/>
  <c r="AU332" i="12"/>
  <c r="AV332" i="12" s="1"/>
  <c r="G224" i="11"/>
  <c r="AU81" i="12"/>
  <c r="G57" i="11"/>
  <c r="BC33" i="20"/>
  <c r="AU236" i="12"/>
  <c r="AV236" i="12" s="1"/>
  <c r="G160" i="11"/>
  <c r="AT32" i="12"/>
  <c r="Y271" i="12"/>
  <c r="AT271" i="12" s="1"/>
  <c r="AM271" i="12"/>
  <c r="AU193" i="12"/>
  <c r="AV193" i="12" s="1"/>
  <c r="G133" i="11"/>
  <c r="AN128" i="4"/>
  <c r="AO128" i="4" s="1"/>
  <c r="AP128" i="4" s="1"/>
  <c r="AQ128" i="4" s="1"/>
  <c r="AN127" i="4"/>
  <c r="AO127" i="4" s="1"/>
  <c r="AP127" i="4" s="1"/>
  <c r="AQ127" i="4" s="1"/>
  <c r="BC31" i="20"/>
  <c r="AU212" i="12"/>
  <c r="G144" i="11"/>
  <c r="AU51" i="12"/>
  <c r="AV51" i="12" s="1"/>
  <c r="AU249" i="12"/>
  <c r="G169" i="11"/>
  <c r="AV42" i="20"/>
  <c r="BA344" i="12"/>
  <c r="BJ42" i="20" s="1"/>
  <c r="AN344" i="12"/>
  <c r="AV344" i="12"/>
  <c r="G29" i="8"/>
  <c r="K29" i="8" s="1"/>
  <c r="BB41" i="20"/>
  <c r="AU331" i="12"/>
  <c r="AV331" i="12" s="1"/>
  <c r="G223" i="11"/>
  <c r="AU294" i="12"/>
  <c r="AU83" i="12"/>
  <c r="G59" i="11"/>
  <c r="AN85" i="12"/>
  <c r="BA85" i="12"/>
  <c r="AV85" i="12"/>
  <c r="BA108" i="12"/>
  <c r="AN108" i="12"/>
  <c r="AV108" i="12"/>
  <c r="AB36" i="12"/>
  <c r="AU42" i="12"/>
  <c r="AV42" i="12" s="1"/>
  <c r="BA203" i="12"/>
  <c r="AV203" i="12"/>
  <c r="AN203" i="12"/>
  <c r="AU29" i="20"/>
  <c r="BA187" i="12"/>
  <c r="AN187" i="12"/>
  <c r="AV35" i="20"/>
  <c r="BA260" i="12"/>
  <c r="BJ35" i="20" s="1"/>
  <c r="AN260" i="12"/>
  <c r="AB35" i="12"/>
  <c r="BC37" i="20"/>
  <c r="AU284" i="12"/>
  <c r="AV284" i="12" s="1"/>
  <c r="G192" i="11"/>
  <c r="BA217" i="12"/>
  <c r="AN217" i="12"/>
  <c r="BB29" i="20"/>
  <c r="AU187" i="12"/>
  <c r="AV187" i="12" s="1"/>
  <c r="G127" i="11"/>
  <c r="BC35" i="20"/>
  <c r="AU260" i="12"/>
  <c r="AV260" i="12" s="1"/>
  <c r="G176" i="11"/>
  <c r="AE35" i="12"/>
  <c r="AN317" i="12"/>
  <c r="BA317" i="12"/>
  <c r="O48" i="14"/>
  <c r="X48" i="14" s="1"/>
  <c r="AA48" i="14" s="1"/>
  <c r="AC48" i="14" s="1"/>
  <c r="N48" i="14"/>
  <c r="AU26" i="20"/>
  <c r="AN151" i="12"/>
  <c r="BA151" i="12"/>
  <c r="BA41" i="12"/>
  <c r="AV41" i="12"/>
  <c r="AN41" i="12"/>
  <c r="BC42" i="20"/>
  <c r="AU344" i="12"/>
  <c r="G232" i="11"/>
  <c r="AN63" i="12"/>
  <c r="BA63" i="12"/>
  <c r="AU53" i="12"/>
  <c r="AV53" i="12" s="1"/>
  <c r="BA37" i="12"/>
  <c r="AN37" i="12"/>
  <c r="E27" i="6"/>
  <c r="AU85" i="12"/>
  <c r="G61" i="11"/>
  <c r="AU108" i="12"/>
  <c r="G76" i="11"/>
  <c r="Y343" i="12"/>
  <c r="AT343" i="12" s="1"/>
  <c r="AM343" i="12"/>
  <c r="AU203" i="12"/>
  <c r="G139" i="11"/>
  <c r="AU37" i="20"/>
  <c r="BA283" i="12"/>
  <c r="BI37" i="20" s="1"/>
  <c r="AV283" i="12"/>
  <c r="AN283" i="12"/>
  <c r="AN168" i="12"/>
  <c r="BA168" i="12"/>
  <c r="BA177" i="12"/>
  <c r="AN177" i="12"/>
  <c r="BB32" i="20"/>
  <c r="AU223" i="12"/>
  <c r="G151" i="11"/>
  <c r="AV34" i="20"/>
  <c r="AN248" i="12"/>
  <c r="BA248" i="12"/>
  <c r="AV66" i="12"/>
  <c r="AN66" i="12"/>
  <c r="BA66" i="12"/>
  <c r="O47" i="14"/>
  <c r="X47" i="14" s="1"/>
  <c r="AA47" i="14" s="1"/>
  <c r="AC47" i="14" s="1"/>
  <c r="N47" i="14"/>
  <c r="AU299" i="12"/>
  <c r="AV299" i="12" s="1"/>
  <c r="G203" i="11"/>
  <c r="AU231" i="12"/>
  <c r="BB26" i="20"/>
  <c r="AU151" i="12"/>
  <c r="AV151" i="12" s="1"/>
  <c r="G103" i="11"/>
  <c r="AU63" i="12"/>
  <c r="AV63" i="12" s="1"/>
  <c r="AU38" i="20"/>
  <c r="AN295" i="12"/>
  <c r="BA295" i="12"/>
  <c r="BI38" i="20" s="1"/>
  <c r="BA147" i="12"/>
  <c r="AV147" i="12"/>
  <c r="AN147" i="12"/>
  <c r="BB37" i="20"/>
  <c r="AU283" i="12"/>
  <c r="G191" i="11"/>
  <c r="AB28" i="12"/>
  <c r="AU168" i="12"/>
  <c r="AV168" i="12" s="1"/>
  <c r="G116" i="11"/>
  <c r="AU177" i="12"/>
  <c r="AV177" i="12" s="1"/>
  <c r="G121" i="11"/>
  <c r="AU217" i="12"/>
  <c r="AV217" i="12" s="1"/>
  <c r="G149" i="11"/>
  <c r="BA253" i="12"/>
  <c r="AN253" i="12"/>
  <c r="AV253" i="12"/>
  <c r="AU305" i="12"/>
  <c r="AV305" i="12" s="1"/>
  <c r="BA144" i="12"/>
  <c r="AN144" i="12"/>
  <c r="AN49" i="12"/>
  <c r="BA49" i="12"/>
  <c r="AN340" i="12"/>
  <c r="BA340" i="12"/>
  <c r="AV340" i="12"/>
  <c r="AN309" i="4"/>
  <c r="AO309" i="4" s="1"/>
  <c r="AP309" i="4" s="1"/>
  <c r="AQ309" i="4" s="1"/>
  <c r="AN310" i="4"/>
  <c r="AO310" i="4" s="1"/>
  <c r="AP310" i="4" s="1"/>
  <c r="AQ310" i="4" s="1"/>
  <c r="BA335" i="12"/>
  <c r="AV335" i="12"/>
  <c r="AN335" i="12"/>
  <c r="BA322" i="12"/>
  <c r="AN322" i="12"/>
  <c r="BC17" i="20"/>
  <c r="AU44" i="12"/>
  <c r="AV44" i="12" s="1"/>
  <c r="G32" i="11"/>
  <c r="AN209" i="12"/>
  <c r="BA209" i="12"/>
  <c r="AV209" i="12"/>
  <c r="AV19" i="20"/>
  <c r="AN68" i="12"/>
  <c r="BA68" i="12"/>
  <c r="BJ19" i="20" s="1"/>
  <c r="AV68" i="12"/>
  <c r="J43" i="8"/>
  <c r="L43" i="8"/>
  <c r="BA189" i="12"/>
  <c r="AN189" i="12"/>
  <c r="AV189" i="12"/>
  <c r="AU33" i="20"/>
  <c r="BA235" i="12"/>
  <c r="BI33" i="20" s="1"/>
  <c r="AV235" i="12"/>
  <c r="AN235" i="12"/>
  <c r="BB18" i="20"/>
  <c r="AU55" i="12"/>
  <c r="AV55" i="12" s="1"/>
  <c r="G39" i="11"/>
  <c r="BC24" i="20"/>
  <c r="AU128" i="12"/>
  <c r="AV128" i="12" s="1"/>
  <c r="G88" i="11"/>
  <c r="AV39" i="20"/>
  <c r="AV308" i="12"/>
  <c r="AN308" i="12"/>
  <c r="BA308" i="12"/>
  <c r="BJ39" i="20" s="1"/>
  <c r="BA303" i="12"/>
  <c r="AV303" i="12"/>
  <c r="AN303" i="12"/>
  <c r="BC34" i="20"/>
  <c r="AU248" i="12"/>
  <c r="AV248" i="12" s="1"/>
  <c r="G168" i="11"/>
  <c r="T23" i="8"/>
  <c r="AZ127" i="4"/>
  <c r="AZ128" i="4"/>
  <c r="BA339" i="12"/>
  <c r="AN339" i="12"/>
  <c r="AN40" i="12"/>
  <c r="AV40" i="12"/>
  <c r="BA40" i="12"/>
  <c r="AU28" i="20"/>
  <c r="AN175" i="12"/>
  <c r="BA175" i="12"/>
  <c r="BI28" i="20" s="1"/>
  <c r="BA60" i="12"/>
  <c r="AN60" i="12"/>
  <c r="N24" i="8"/>
  <c r="BH142" i="4"/>
  <c r="BH141" i="4"/>
  <c r="AT37" i="12"/>
  <c r="BB38" i="20"/>
  <c r="AU295" i="12"/>
  <c r="AV295" i="12" s="1"/>
  <c r="G199" i="11"/>
  <c r="AN135" i="12"/>
  <c r="BA135" i="12"/>
  <c r="AV135" i="12"/>
  <c r="AH28" i="12"/>
  <c r="BA142" i="12"/>
  <c r="AN142" i="12"/>
  <c r="AN45" i="12"/>
  <c r="BA45" i="12"/>
  <c r="AU253" i="12"/>
  <c r="G173" i="11"/>
  <c r="AU144" i="12"/>
  <c r="AV144" i="12" s="1"/>
  <c r="G100" i="11"/>
  <c r="AU49" i="12"/>
  <c r="AV49" i="12" s="1"/>
  <c r="G37" i="11"/>
  <c r="T36" i="8"/>
  <c r="AZ310" i="4"/>
  <c r="AZ309" i="4"/>
  <c r="AU339" i="12"/>
  <c r="AV339" i="12" s="1"/>
  <c r="AU40" i="12"/>
  <c r="BB28" i="20"/>
  <c r="AU175" i="12"/>
  <c r="AV175" i="12" s="1"/>
  <c r="G119" i="11"/>
  <c r="AV30" i="20"/>
  <c r="AN200" i="12"/>
  <c r="BA200" i="12"/>
  <c r="BJ30" i="20" s="1"/>
  <c r="AU60" i="12"/>
  <c r="AV60" i="12" s="1"/>
  <c r="G44" i="11"/>
  <c r="AU20" i="20"/>
  <c r="AN79" i="12"/>
  <c r="BA79" i="12"/>
  <c r="AV79" i="12"/>
  <c r="Y36" i="12"/>
  <c r="AM36" i="12"/>
  <c r="AU135" i="12"/>
  <c r="AV40" i="20"/>
  <c r="AN320" i="12"/>
  <c r="BA320" i="12"/>
  <c r="BJ40" i="20" s="1"/>
  <c r="AV38" i="20"/>
  <c r="AV296" i="12"/>
  <c r="AN296" i="12"/>
  <c r="BA296" i="12"/>
  <c r="Y28" i="12"/>
  <c r="AM28" i="12"/>
  <c r="AU142" i="12"/>
  <c r="AV142" i="12" s="1"/>
  <c r="G98" i="11"/>
  <c r="AN239" i="12"/>
  <c r="AV239" i="12"/>
  <c r="BA239" i="12"/>
  <c r="AU45" i="12"/>
  <c r="AV45" i="12" s="1"/>
  <c r="G33" i="11"/>
  <c r="AU31" i="20"/>
  <c r="AN211" i="12"/>
  <c r="BA211" i="12"/>
  <c r="BI31" i="20" s="1"/>
  <c r="BA38" i="12"/>
  <c r="AN38" i="12"/>
  <c r="E28" i="6"/>
  <c r="AM21" i="6"/>
  <c r="AV21" i="6" s="1"/>
  <c r="AU40" i="20"/>
  <c r="BA319" i="12"/>
  <c r="BI40" i="20" s="1"/>
  <c r="AN319" i="12"/>
  <c r="AV15" i="4"/>
  <c r="AV16" i="4"/>
  <c r="AX16" i="4" s="1"/>
  <c r="G16" i="14" s="1"/>
  <c r="P15" i="8"/>
  <c r="R15" i="8"/>
  <c r="AU264" i="12"/>
  <c r="AV264" i="12" s="1"/>
  <c r="G180" i="11"/>
  <c r="AV41" i="20"/>
  <c r="BA332" i="12"/>
  <c r="BJ41" i="20" s="1"/>
  <c r="AN332" i="12"/>
  <c r="AK28" i="12"/>
  <c r="AN81" i="12"/>
  <c r="BA81" i="12"/>
  <c r="AV81" i="12"/>
  <c r="AV33" i="20"/>
  <c r="AN236" i="12"/>
  <c r="BA236" i="12"/>
  <c r="BJ33" i="20" s="1"/>
  <c r="AU184" i="12"/>
  <c r="AV184" i="12" s="1"/>
  <c r="AU302" i="12"/>
  <c r="AV302" i="12" s="1"/>
  <c r="G206" i="11"/>
  <c r="AV31" i="20"/>
  <c r="AN212" i="12"/>
  <c r="BA212" i="12"/>
  <c r="BJ31" i="20" s="1"/>
  <c r="AV212" i="12"/>
  <c r="AN51" i="12"/>
  <c r="BA51" i="12"/>
  <c r="AU41" i="20"/>
  <c r="AN331" i="12"/>
  <c r="BA331" i="12"/>
  <c r="BI41" i="20" s="1"/>
  <c r="L40" i="8"/>
  <c r="J40" i="8"/>
  <c r="AU32" i="20"/>
  <c r="AV223" i="12"/>
  <c r="AN223" i="12"/>
  <c r="BA223" i="12"/>
  <c r="BI32" i="20" s="1"/>
  <c r="AN299" i="12"/>
  <c r="BA299" i="12"/>
  <c r="AV231" i="12"/>
  <c r="AN231" i="12"/>
  <c r="BA231" i="12"/>
  <c r="N100" i="14"/>
  <c r="O100" i="14" s="1"/>
  <c r="X100" i="14" s="1"/>
  <c r="AA100" i="14" s="1"/>
  <c r="AC100" i="14" s="1"/>
  <c r="AU41" i="12"/>
  <c r="AV27" i="20"/>
  <c r="BA164" i="12"/>
  <c r="AN164" i="12"/>
  <c r="BC30" i="20"/>
  <c r="AU200" i="12"/>
  <c r="AV200" i="12" s="1"/>
  <c r="G136" i="11"/>
  <c r="AV32" i="20"/>
  <c r="BA224" i="12"/>
  <c r="BJ32" i="20" s="1"/>
  <c r="AV224" i="12"/>
  <c r="AN224" i="12"/>
  <c r="AN327" i="12"/>
  <c r="AV327" i="12"/>
  <c r="BA327" i="12"/>
  <c r="BA131" i="12"/>
  <c r="AN131" i="12"/>
  <c r="BB20" i="20"/>
  <c r="AU79" i="12"/>
  <c r="G55" i="11"/>
  <c r="AE36" i="12"/>
  <c r="AN155" i="12"/>
  <c r="BA155" i="12"/>
  <c r="AV155" i="12"/>
  <c r="AV36" i="20"/>
  <c r="AV272" i="12"/>
  <c r="AN272" i="12"/>
  <c r="BA272" i="12"/>
  <c r="BJ36" i="20" s="1"/>
  <c r="BC40" i="20"/>
  <c r="AU320" i="12"/>
  <c r="AV320" i="12" s="1"/>
  <c r="G216" i="11"/>
  <c r="BC38" i="20"/>
  <c r="AU296" i="12"/>
  <c r="G200" i="11"/>
  <c r="AN69" i="12"/>
  <c r="BA69" i="12"/>
  <c r="BA298" i="12"/>
  <c r="AN298" i="12"/>
  <c r="AE28" i="12"/>
  <c r="AV22" i="20"/>
  <c r="BA104" i="12"/>
  <c r="BJ22" i="20" s="1"/>
  <c r="AN104" i="12"/>
  <c r="AN102" i="12"/>
  <c r="BA102" i="12"/>
  <c r="AV102" i="12"/>
  <c r="AU239" i="12"/>
  <c r="G163" i="11"/>
  <c r="BB31" i="20"/>
  <c r="AU211" i="12"/>
  <c r="AV211" i="12" s="1"/>
  <c r="G143" i="11"/>
  <c r="AH35" i="12"/>
  <c r="AT38" i="12"/>
  <c r="BB40" i="20"/>
  <c r="AU319" i="12"/>
  <c r="AV319" i="12" s="1"/>
  <c r="G215" i="11"/>
  <c r="AU16" i="20"/>
  <c r="AN31" i="12"/>
  <c r="BA31" i="12"/>
  <c r="E21" i="6"/>
  <c r="AP21" i="6" s="1"/>
  <c r="AY21" i="6" s="1"/>
  <c r="AT31" i="12"/>
  <c r="AN160" i="12"/>
  <c r="AV160" i="12"/>
  <c r="BA160" i="12"/>
  <c r="O99" i="14"/>
  <c r="X99" i="14" s="1"/>
  <c r="AA99" i="14" s="1"/>
  <c r="AC99" i="14" s="1"/>
  <c r="N99" i="14"/>
  <c r="AN268" i="12"/>
  <c r="BA268" i="12"/>
  <c r="AV268" i="12"/>
  <c r="Y80" i="12"/>
  <c r="AT80" i="12" s="1"/>
  <c r="AM80" i="12"/>
  <c r="Y356" i="12"/>
  <c r="AT356" i="12" s="1"/>
  <c r="AM356" i="12"/>
  <c r="BC27" i="20"/>
  <c r="AU164" i="12"/>
  <c r="AV164" i="12" s="1"/>
  <c r="G112" i="11"/>
  <c r="BC32" i="20"/>
  <c r="AU224" i="12"/>
  <c r="G152" i="11"/>
  <c r="BA292" i="12"/>
  <c r="AV292" i="12"/>
  <c r="AN292" i="12"/>
  <c r="AU131" i="12"/>
  <c r="AV131" i="12" s="1"/>
  <c r="G91" i="11"/>
  <c r="AV210" i="12"/>
  <c r="AN210" i="12"/>
  <c r="BA210" i="12"/>
  <c r="AU24" i="20"/>
  <c r="AV127" i="12"/>
  <c r="AN127" i="12"/>
  <c r="BA127" i="12"/>
  <c r="BI24" i="20" s="1"/>
  <c r="AH36" i="12"/>
  <c r="AU155" i="12"/>
  <c r="G107" i="11"/>
  <c r="BC36" i="20"/>
  <c r="AU272" i="12"/>
  <c r="G184" i="11"/>
  <c r="AU69" i="12"/>
  <c r="AV69" i="12" s="1"/>
  <c r="G49" i="11"/>
  <c r="AU298" i="12"/>
  <c r="AV298" i="12" s="1"/>
  <c r="G202" i="11"/>
  <c r="BC22" i="20"/>
  <c r="AU104" i="12"/>
  <c r="AV104" i="12" s="1"/>
  <c r="G72" i="11"/>
  <c r="J26" i="8"/>
  <c r="L26" i="8"/>
  <c r="N35" i="8"/>
  <c r="BH296" i="4"/>
  <c r="BH295" i="4"/>
  <c r="AK35" i="12"/>
  <c r="AV250" i="12"/>
  <c r="BA250" i="12"/>
  <c r="AN250" i="12"/>
  <c r="AN138" i="12"/>
  <c r="BA138" i="12"/>
  <c r="AV138" i="12"/>
  <c r="AU317" i="12"/>
  <c r="AV317" i="12" s="1"/>
  <c r="AU21" i="20"/>
  <c r="AN91" i="12"/>
  <c r="BA91" i="12"/>
  <c r="BI21" i="20" s="1"/>
  <c r="AV91" i="12"/>
  <c r="G26" i="8"/>
  <c r="K26" i="8" s="1"/>
  <c r="G39" i="8"/>
  <c r="K39" i="8" s="1"/>
  <c r="AU250" i="12"/>
  <c r="G170" i="11"/>
  <c r="AV111" i="12"/>
  <c r="AN111" i="12"/>
  <c r="BA111" i="12"/>
  <c r="R27" i="8"/>
  <c r="AV183" i="4"/>
  <c r="AX183" i="4" s="1"/>
  <c r="G63" i="14" s="1"/>
  <c r="AV184" i="4"/>
  <c r="AX184" i="4" s="1"/>
  <c r="G64" i="14" s="1"/>
  <c r="P27" i="8"/>
  <c r="BB22" i="6" l="1"/>
  <c r="BC22" i="6" s="1"/>
  <c r="AJ22" i="6"/>
  <c r="AS22" i="6" s="1"/>
  <c r="AK22" i="6"/>
  <c r="AT22" i="6" s="1"/>
  <c r="AM22" i="6"/>
  <c r="AV22" i="6" s="1"/>
  <c r="AP22" i="6"/>
  <c r="AY22" i="6" s="1"/>
  <c r="AL22" i="6"/>
  <c r="AU22" i="6" s="1"/>
  <c r="AN22" i="6"/>
  <c r="AW22" i="6" s="1"/>
  <c r="AO22" i="6"/>
  <c r="AX22" i="6" s="1"/>
  <c r="BH58" i="4"/>
  <c r="BH57" i="4"/>
  <c r="N18" i="8"/>
  <c r="AN183" i="4"/>
  <c r="AO183" i="4" s="1"/>
  <c r="AP183" i="4" s="1"/>
  <c r="AQ183" i="4" s="1"/>
  <c r="AN184" i="4"/>
  <c r="AO184" i="4" s="1"/>
  <c r="AP184" i="4" s="1"/>
  <c r="AQ184" i="4" s="1"/>
  <c r="AV20" i="20"/>
  <c r="AN80" i="12"/>
  <c r="BA80" i="12"/>
  <c r="BJ20" i="20" s="1"/>
  <c r="AT36" i="12"/>
  <c r="BA27" i="6"/>
  <c r="BB36" i="20"/>
  <c r="AU271" i="12"/>
  <c r="G183" i="11"/>
  <c r="AU43" i="20"/>
  <c r="AV355" i="12"/>
  <c r="AN355" i="12"/>
  <c r="BA355" i="12"/>
  <c r="BI43" i="20" s="1"/>
  <c r="BI34" i="20"/>
  <c r="R41" i="8"/>
  <c r="AV380" i="4"/>
  <c r="AX380" i="4" s="1"/>
  <c r="G120" i="14" s="1"/>
  <c r="AV379" i="4"/>
  <c r="AX379" i="4" s="1"/>
  <c r="G119" i="14" s="1"/>
  <c r="P41" i="8"/>
  <c r="P31" i="8"/>
  <c r="AV239" i="4"/>
  <c r="AX239" i="4" s="1"/>
  <c r="G79" i="14" s="1"/>
  <c r="AV240" i="4"/>
  <c r="AX240" i="4" s="1"/>
  <c r="G80" i="14" s="1"/>
  <c r="R31" i="8"/>
  <c r="AL21" i="6"/>
  <c r="AU21" i="6" s="1"/>
  <c r="BC16" i="20"/>
  <c r="AU32" i="12"/>
  <c r="AV32" i="12" s="1"/>
  <c r="G24" i="11"/>
  <c r="BB43" i="20"/>
  <c r="AU355" i="12"/>
  <c r="G239" i="11"/>
  <c r="R28" i="8"/>
  <c r="AV197" i="4"/>
  <c r="AX197" i="4" s="1"/>
  <c r="G67" i="14" s="1"/>
  <c r="AV198" i="4"/>
  <c r="AX198" i="4" s="1"/>
  <c r="G68" i="14" s="1"/>
  <c r="P28" i="8"/>
  <c r="BI20" i="20"/>
  <c r="BB310" i="4"/>
  <c r="BC310" i="4" s="1"/>
  <c r="BB309" i="4"/>
  <c r="BC309" i="4" s="1"/>
  <c r="V36" i="8"/>
  <c r="V16" i="8"/>
  <c r="BB29" i="4"/>
  <c r="BC29" i="4" s="1"/>
  <c r="BB30" i="4"/>
  <c r="BC30" i="4" s="1"/>
  <c r="AZ183" i="4"/>
  <c r="AZ184" i="4"/>
  <c r="T27" i="8"/>
  <c r="AU38" i="12"/>
  <c r="AV38" i="12" s="1"/>
  <c r="G30" i="11"/>
  <c r="BB28" i="6"/>
  <c r="BC28" i="6" s="1"/>
  <c r="AJ28" i="6"/>
  <c r="AS28" i="6" s="1"/>
  <c r="AK28" i="6"/>
  <c r="AT28" i="6" s="1"/>
  <c r="AL28" i="6"/>
  <c r="AU28" i="6" s="1"/>
  <c r="AN28" i="6"/>
  <c r="AW28" i="6" s="1"/>
  <c r="AM28" i="6"/>
  <c r="AV28" i="6" s="1"/>
  <c r="AO28" i="6"/>
  <c r="AX28" i="6" s="1"/>
  <c r="AP28" i="6"/>
  <c r="AY28" i="6" s="1"/>
  <c r="BA28" i="12"/>
  <c r="AN28" i="12"/>
  <c r="E18" i="6"/>
  <c r="BI19" i="20"/>
  <c r="AV226" i="4"/>
  <c r="AX226" i="4" s="1"/>
  <c r="G76" i="14" s="1"/>
  <c r="AV225" i="4"/>
  <c r="AX225" i="4" s="1"/>
  <c r="G75" i="14" s="1"/>
  <c r="R30" i="8"/>
  <c r="P30" i="8"/>
  <c r="AJ19" i="6"/>
  <c r="AS19" i="6" s="1"/>
  <c r="AH19" i="6"/>
  <c r="AQ19" i="6" s="1"/>
  <c r="AI19" i="6"/>
  <c r="AR19" i="6" s="1"/>
  <c r="AM19" i="6"/>
  <c r="AV19" i="6" s="1"/>
  <c r="AP19" i="6"/>
  <c r="AY19" i="6" s="1"/>
  <c r="AN19" i="6"/>
  <c r="AW19" i="6" s="1"/>
  <c r="AL19" i="6"/>
  <c r="AU19" i="6" s="1"/>
  <c r="AO19" i="6"/>
  <c r="AX19" i="6" s="1"/>
  <c r="O4" i="12"/>
  <c r="N4" i="12"/>
  <c r="P4" i="12"/>
  <c r="M4" i="12"/>
  <c r="AV323" i="4"/>
  <c r="AX323" i="4" s="1"/>
  <c r="G103" i="14" s="1"/>
  <c r="AV324" i="4"/>
  <c r="AX324" i="4" s="1"/>
  <c r="G104" i="14" s="1"/>
  <c r="R37" i="8"/>
  <c r="P37" i="8"/>
  <c r="BJ38" i="20"/>
  <c r="AV26" i="20"/>
  <c r="AV152" i="12"/>
  <c r="AN152" i="12"/>
  <c r="BA152" i="12"/>
  <c r="BJ26" i="20" s="1"/>
  <c r="AT28" i="12"/>
  <c r="AU28" i="12" s="1"/>
  <c r="AV28" i="12" s="1"/>
  <c r="BJ34" i="20"/>
  <c r="BA28" i="6"/>
  <c r="AU33" i="12"/>
  <c r="AV33" i="12" s="1"/>
  <c r="G25" i="11"/>
  <c r="BB23" i="6"/>
  <c r="BC23" i="6" s="1"/>
  <c r="AJ23" i="6"/>
  <c r="AS23" i="6" s="1"/>
  <c r="AH23" i="6"/>
  <c r="AQ23" i="6" s="1"/>
  <c r="AI23" i="6"/>
  <c r="AR23" i="6" s="1"/>
  <c r="AN23" i="6"/>
  <c r="AW23" i="6" s="1"/>
  <c r="AO23" i="6"/>
  <c r="AX23" i="6" s="1"/>
  <c r="AP23" i="6"/>
  <c r="AY23" i="6" s="1"/>
  <c r="AL23" i="6"/>
  <c r="AU23" i="6" s="1"/>
  <c r="AM23" i="6"/>
  <c r="AV23" i="6" s="1"/>
  <c r="BC26" i="20"/>
  <c r="AU152" i="12"/>
  <c r="G104" i="11"/>
  <c r="P33" i="8"/>
  <c r="AV267" i="4"/>
  <c r="AX267" i="4" s="1"/>
  <c r="G87" i="14" s="1"/>
  <c r="AV268" i="4"/>
  <c r="AX268" i="4" s="1"/>
  <c r="G88" i="14" s="1"/>
  <c r="R33" i="8"/>
  <c r="AJ20" i="6"/>
  <c r="AS20" i="6" s="1"/>
  <c r="AL20" i="6"/>
  <c r="AU20" i="6" s="1"/>
  <c r="AM20" i="6"/>
  <c r="AV20" i="6" s="1"/>
  <c r="AO20" i="6"/>
  <c r="AX20" i="6" s="1"/>
  <c r="AN20" i="6"/>
  <c r="AW20" i="6" s="1"/>
  <c r="AP20" i="6"/>
  <c r="AY20" i="6" s="1"/>
  <c r="AU37" i="12"/>
  <c r="AV37" i="12" s="1"/>
  <c r="G29" i="11"/>
  <c r="AU42" i="20"/>
  <c r="AU4" i="20" s="1"/>
  <c r="BA343" i="12"/>
  <c r="BI42" i="20" s="1"/>
  <c r="AN343" i="12"/>
  <c r="AU39" i="20"/>
  <c r="AN307" i="12"/>
  <c r="BA307" i="12"/>
  <c r="BI39" i="20" s="1"/>
  <c r="BB42" i="20"/>
  <c r="AU343" i="12"/>
  <c r="AV343" i="12" s="1"/>
  <c r="G231" i="11"/>
  <c r="BA23" i="6"/>
  <c r="AU34" i="12"/>
  <c r="AV34" i="12" s="1"/>
  <c r="G26" i="11"/>
  <c r="BI17" i="20"/>
  <c r="BB39" i="20"/>
  <c r="AU307" i="12"/>
  <c r="AV307" i="12" s="1"/>
  <c r="G207" i="11"/>
  <c r="BH407" i="4"/>
  <c r="BH408" i="4"/>
  <c r="N43" i="8"/>
  <c r="AZ15" i="4"/>
  <c r="AZ16" i="4"/>
  <c r="T15" i="8"/>
  <c r="BI30" i="20"/>
  <c r="R42" i="8"/>
  <c r="AV394" i="4"/>
  <c r="AX394" i="4" s="1"/>
  <c r="G124" i="14" s="1"/>
  <c r="AV393" i="4"/>
  <c r="AX393" i="4" s="1"/>
  <c r="G123" i="14" s="1"/>
  <c r="P42" i="8"/>
  <c r="N20" i="8"/>
  <c r="BH85" i="4"/>
  <c r="BH86" i="4"/>
  <c r="AV100" i="4"/>
  <c r="AX100" i="4" s="1"/>
  <c r="G40" i="14" s="1"/>
  <c r="AV99" i="4"/>
  <c r="AX99" i="4" s="1"/>
  <c r="G39" i="14" s="1"/>
  <c r="P21" i="8"/>
  <c r="R21" i="8"/>
  <c r="R35" i="8"/>
  <c r="P35" i="8"/>
  <c r="AV295" i="4"/>
  <c r="AX295" i="4" s="1"/>
  <c r="G95" i="14" s="1"/>
  <c r="AV296" i="4"/>
  <c r="AX296" i="4" s="1"/>
  <c r="G96" i="14" s="1"/>
  <c r="BB16" i="20"/>
  <c r="AU31" i="12"/>
  <c r="AV31" i="12" s="1"/>
  <c r="G23" i="11"/>
  <c r="AN15" i="4"/>
  <c r="AN16" i="4"/>
  <c r="AO16" i="4" s="1"/>
  <c r="AP16" i="4" s="1"/>
  <c r="R24" i="8"/>
  <c r="AV141" i="4"/>
  <c r="AX141" i="4" s="1"/>
  <c r="G51" i="14" s="1"/>
  <c r="AV142" i="4"/>
  <c r="AX142" i="4" s="1"/>
  <c r="G52" i="14" s="1"/>
  <c r="P24" i="8"/>
  <c r="BB127" i="4"/>
  <c r="BC127" i="4" s="1"/>
  <c r="BB128" i="4"/>
  <c r="BC128" i="4" s="1"/>
  <c r="V23" i="8"/>
  <c r="AV28" i="20"/>
  <c r="AN176" i="12"/>
  <c r="BA176" i="12"/>
  <c r="BJ28" i="20" s="1"/>
  <c r="AV18" i="20"/>
  <c r="AN56" i="12"/>
  <c r="BA56" i="12"/>
  <c r="BJ18" i="20" s="1"/>
  <c r="AV56" i="12"/>
  <c r="Y27" i="12"/>
  <c r="AM27" i="12"/>
  <c r="X4" i="12"/>
  <c r="Q4" i="12" s="1"/>
  <c r="BB24" i="6"/>
  <c r="BC24" i="6" s="1"/>
  <c r="AJ24" i="6"/>
  <c r="AS24" i="6" s="1"/>
  <c r="AK24" i="6"/>
  <c r="AT24" i="6" s="1"/>
  <c r="AP24" i="6"/>
  <c r="AY24" i="6" s="1"/>
  <c r="AN24" i="6"/>
  <c r="AW24" i="6" s="1"/>
  <c r="AM24" i="6"/>
  <c r="AV24" i="6" s="1"/>
  <c r="AL24" i="6"/>
  <c r="AU24" i="6" s="1"/>
  <c r="AO24" i="6"/>
  <c r="AX24" i="6" s="1"/>
  <c r="BC43" i="20"/>
  <c r="AU356" i="12"/>
  <c r="G240" i="11"/>
  <c r="N64" i="14"/>
  <c r="O64" i="14"/>
  <c r="X64" i="14" s="1"/>
  <c r="AA64" i="14" s="1"/>
  <c r="AC64" i="14" s="1"/>
  <c r="BC20" i="20"/>
  <c r="AU80" i="12"/>
  <c r="AV80" i="12" s="1"/>
  <c r="G56" i="11"/>
  <c r="N63" i="14"/>
  <c r="O63" i="14"/>
  <c r="X63" i="14" s="1"/>
  <c r="AA63" i="14" s="1"/>
  <c r="AC63" i="14" s="1"/>
  <c r="BH169" i="4"/>
  <c r="BH170" i="4"/>
  <c r="N26" i="8"/>
  <c r="BB21" i="6"/>
  <c r="BC21" i="6" s="1"/>
  <c r="AJ21" i="6"/>
  <c r="AS21" i="6" s="1"/>
  <c r="AH21" i="6"/>
  <c r="AQ21" i="6" s="1"/>
  <c r="AI21" i="6"/>
  <c r="AR21" i="6" s="1"/>
  <c r="BJ27" i="20"/>
  <c r="N40" i="8"/>
  <c r="BH366" i="4"/>
  <c r="BH365" i="4"/>
  <c r="N16" i="14"/>
  <c r="O16" i="14"/>
  <c r="X16" i="14" s="1"/>
  <c r="AA16" i="14" s="1"/>
  <c r="BC28" i="20"/>
  <c r="AU176" i="12"/>
  <c r="AV176" i="12" s="1"/>
  <c r="G120" i="11"/>
  <c r="BC18" i="20"/>
  <c r="AU56" i="12"/>
  <c r="G40" i="11"/>
  <c r="AE27" i="12"/>
  <c r="AE4" i="12" s="1"/>
  <c r="AD4" i="12"/>
  <c r="AC4" i="12" s="1"/>
  <c r="BA24" i="6"/>
  <c r="AN21" i="6"/>
  <c r="AW21" i="6" s="1"/>
  <c r="BI26" i="20"/>
  <c r="BI29" i="20"/>
  <c r="AO21" i="6"/>
  <c r="AX21" i="6" s="1"/>
  <c r="D4" i="8"/>
  <c r="E4" i="8"/>
  <c r="AB27" i="12"/>
  <c r="AB4" i="12" s="1"/>
  <c r="AA4" i="12"/>
  <c r="Z4" i="12" s="1"/>
  <c r="BA35" i="12"/>
  <c r="BA25" i="6" s="1"/>
  <c r="AN35" i="12"/>
  <c r="E25" i="6"/>
  <c r="AV338" i="4"/>
  <c r="AX338" i="4" s="1"/>
  <c r="G108" i="14" s="1"/>
  <c r="AV337" i="4"/>
  <c r="AX337" i="4" s="1"/>
  <c r="G107" i="14" s="1"/>
  <c r="P38" i="8"/>
  <c r="R38" i="8"/>
  <c r="P19" i="8"/>
  <c r="R19" i="8"/>
  <c r="AV71" i="4"/>
  <c r="AX71" i="4" s="1"/>
  <c r="G31" i="14" s="1"/>
  <c r="AV72" i="4"/>
  <c r="AX72" i="4" s="1"/>
  <c r="G32" i="14" s="1"/>
  <c r="AX15" i="4"/>
  <c r="BI16" i="20"/>
  <c r="BA21" i="6"/>
  <c r="BB27" i="6"/>
  <c r="BC27" i="6" s="1"/>
  <c r="AJ27" i="6"/>
  <c r="AS27" i="6" s="1"/>
  <c r="AH27" i="6"/>
  <c r="AQ27" i="6" s="1"/>
  <c r="AI27" i="6"/>
  <c r="AR27" i="6" s="1"/>
  <c r="AL27" i="6"/>
  <c r="AU27" i="6" s="1"/>
  <c r="AP27" i="6"/>
  <c r="AY27" i="6" s="1"/>
  <c r="AO27" i="6"/>
  <c r="AX27" i="6" s="1"/>
  <c r="AN27" i="6"/>
  <c r="AW27" i="6" s="1"/>
  <c r="AM27" i="6"/>
  <c r="AV27" i="6" s="1"/>
  <c r="BA22" i="6"/>
  <c r="J17" i="8"/>
  <c r="L17" i="8" s="1"/>
  <c r="F4" i="8"/>
  <c r="AH27" i="12"/>
  <c r="AH4" i="12" s="1"/>
  <c r="AG4" i="12"/>
  <c r="AF4" i="12" s="1"/>
  <c r="AT35" i="12"/>
  <c r="P34" i="8"/>
  <c r="AV282" i="4"/>
  <c r="AX282" i="4" s="1"/>
  <c r="G92" i="14" s="1"/>
  <c r="AV281" i="4"/>
  <c r="AX281" i="4" s="1"/>
  <c r="G91" i="14" s="1"/>
  <c r="R34" i="8"/>
  <c r="AV43" i="20"/>
  <c r="AN356" i="12"/>
  <c r="AV356" i="12"/>
  <c r="BA356" i="12"/>
  <c r="BJ43" i="20" s="1"/>
  <c r="AN36" i="12"/>
  <c r="BA36" i="12"/>
  <c r="E26" i="6"/>
  <c r="BH211" i="4"/>
  <c r="BH212" i="4"/>
  <c r="N29" i="8"/>
  <c r="AV25" i="20"/>
  <c r="AN140" i="12"/>
  <c r="BA140" i="12"/>
  <c r="BJ25" i="20" s="1"/>
  <c r="K17" i="8"/>
  <c r="G4" i="8"/>
  <c r="AK27" i="12"/>
  <c r="AK4" i="12" s="1"/>
  <c r="AJ4" i="12"/>
  <c r="AI4" i="12" s="1"/>
  <c r="P32" i="8"/>
  <c r="AV254" i="4"/>
  <c r="AX254" i="4" s="1"/>
  <c r="G84" i="14" s="1"/>
  <c r="AV253" i="4"/>
  <c r="AX253" i="4" s="1"/>
  <c r="G83" i="14" s="1"/>
  <c r="R32" i="8"/>
  <c r="BI23" i="20"/>
  <c r="AV16" i="20"/>
  <c r="AU36" i="20"/>
  <c r="AN271" i="12"/>
  <c r="BA271" i="12"/>
  <c r="BI36" i="20" s="1"/>
  <c r="AV271" i="12"/>
  <c r="BC25" i="20"/>
  <c r="AU140" i="12"/>
  <c r="AV140" i="12" s="1"/>
  <c r="G96" i="11"/>
  <c r="N22" i="8"/>
  <c r="BH114" i="4"/>
  <c r="BH113" i="4"/>
  <c r="L39" i="8"/>
  <c r="R25" i="8"/>
  <c r="P25" i="8"/>
  <c r="AV155" i="4"/>
  <c r="AX155" i="4" s="1"/>
  <c r="G55" i="14" s="1"/>
  <c r="AV156" i="4"/>
  <c r="AX156" i="4" s="1"/>
  <c r="G56" i="14" s="1"/>
  <c r="BH43" i="4" l="1"/>
  <c r="BH44" i="4"/>
  <c r="N17" i="8"/>
  <c r="L4" i="8"/>
  <c r="AN239" i="4"/>
  <c r="AO239" i="4" s="1"/>
  <c r="AP239" i="4" s="1"/>
  <c r="AQ239" i="4" s="1"/>
  <c r="AN240" i="4"/>
  <c r="AO240" i="4" s="1"/>
  <c r="AP240" i="4" s="1"/>
  <c r="AQ240" i="4" s="1"/>
  <c r="AZ71" i="4"/>
  <c r="AZ72" i="4"/>
  <c r="T19" i="8"/>
  <c r="AO15" i="4"/>
  <c r="AN393" i="4"/>
  <c r="AO393" i="4" s="1"/>
  <c r="AP393" i="4" s="1"/>
  <c r="AQ393" i="4" s="1"/>
  <c r="AN394" i="4"/>
  <c r="AO394" i="4" s="1"/>
  <c r="AP394" i="4" s="1"/>
  <c r="AQ394" i="4" s="1"/>
  <c r="AN380" i="4"/>
  <c r="AO380" i="4" s="1"/>
  <c r="AP380" i="4" s="1"/>
  <c r="AQ380" i="4" s="1"/>
  <c r="AN379" i="4"/>
  <c r="AO379" i="4" s="1"/>
  <c r="AP379" i="4" s="1"/>
  <c r="AQ379" i="4" s="1"/>
  <c r="T37" i="8"/>
  <c r="AZ323" i="4"/>
  <c r="AZ324" i="4"/>
  <c r="T38" i="8"/>
  <c r="AZ337" i="4"/>
  <c r="AZ338" i="4"/>
  <c r="AN198" i="4"/>
  <c r="AO198" i="4" s="1"/>
  <c r="AP198" i="4" s="1"/>
  <c r="AQ198" i="4" s="1"/>
  <c r="AN197" i="4"/>
  <c r="AO197" i="4" s="1"/>
  <c r="AP197" i="4" s="1"/>
  <c r="AQ197" i="4" s="1"/>
  <c r="O119" i="14"/>
  <c r="X119" i="14" s="1"/>
  <c r="AA119" i="14" s="1"/>
  <c r="AC119" i="14" s="1"/>
  <c r="N119" i="14"/>
  <c r="AN324" i="4"/>
  <c r="AO324" i="4" s="1"/>
  <c r="AP324" i="4" s="1"/>
  <c r="AQ324" i="4" s="1"/>
  <c r="AN323" i="4"/>
  <c r="AO323" i="4" s="1"/>
  <c r="AP323" i="4" s="1"/>
  <c r="AQ323" i="4" s="1"/>
  <c r="AN72" i="4"/>
  <c r="AO72" i="4" s="1"/>
  <c r="AP72" i="4" s="1"/>
  <c r="AQ72" i="4" s="1"/>
  <c r="AN71" i="4"/>
  <c r="AO71" i="4" s="1"/>
  <c r="AP71" i="4" s="1"/>
  <c r="AQ71" i="4" s="1"/>
  <c r="AV365" i="4"/>
  <c r="AX365" i="4" s="1"/>
  <c r="G115" i="14" s="1"/>
  <c r="AV366" i="4"/>
  <c r="AX366" i="4" s="1"/>
  <c r="G116" i="14" s="1"/>
  <c r="P40" i="8"/>
  <c r="R40" i="8"/>
  <c r="O123" i="14"/>
  <c r="X123" i="14" s="1"/>
  <c r="AA123" i="14" s="1"/>
  <c r="AC123" i="14" s="1"/>
  <c r="N123" i="14"/>
  <c r="O124" i="14"/>
  <c r="X124" i="14" s="1"/>
  <c r="AA124" i="14" s="1"/>
  <c r="AC124" i="14" s="1"/>
  <c r="N124" i="14"/>
  <c r="AZ19" i="6"/>
  <c r="BM19" i="6"/>
  <c r="BO19" i="6" s="1"/>
  <c r="O68" i="14"/>
  <c r="X68" i="14" s="1"/>
  <c r="AA68" i="14" s="1"/>
  <c r="AC68" i="14" s="1"/>
  <c r="N68" i="14"/>
  <c r="N120" i="14"/>
  <c r="O120" i="14" s="1"/>
  <c r="X120" i="14" s="1"/>
  <c r="AA120" i="14" s="1"/>
  <c r="AZ28" i="6"/>
  <c r="O67" i="14"/>
  <c r="X67" i="14" s="1"/>
  <c r="AA67" i="14" s="1"/>
  <c r="AC67" i="14" s="1"/>
  <c r="N67" i="14"/>
  <c r="AZ380" i="4"/>
  <c r="AZ379" i="4"/>
  <c r="T41" i="8"/>
  <c r="AN155" i="4"/>
  <c r="AO155" i="4" s="1"/>
  <c r="AP155" i="4" s="1"/>
  <c r="AQ155" i="4" s="1"/>
  <c r="AN156" i="4"/>
  <c r="AO156" i="4" s="1"/>
  <c r="AP156" i="4" s="1"/>
  <c r="AQ156" i="4" s="1"/>
  <c r="O84" i="14"/>
  <c r="X84" i="14" s="1"/>
  <c r="AA84" i="14" s="1"/>
  <c r="AC84" i="14" s="1"/>
  <c r="N84" i="14"/>
  <c r="AC16" i="14"/>
  <c r="O51" i="14"/>
  <c r="X51" i="14" s="1"/>
  <c r="AA51" i="14" s="1"/>
  <c r="N51" i="14"/>
  <c r="N31" i="14"/>
  <c r="O31" i="14" s="1"/>
  <c r="X31" i="14" s="1"/>
  <c r="AA31" i="14" s="1"/>
  <c r="AC31" i="14" s="1"/>
  <c r="AZ20" i="6"/>
  <c r="AN225" i="4"/>
  <c r="AO225" i="4" s="1"/>
  <c r="AP225" i="4" s="1"/>
  <c r="AQ225" i="4" s="1"/>
  <c r="AN226" i="4"/>
  <c r="AO226" i="4" s="1"/>
  <c r="AP226" i="4" s="1"/>
  <c r="AQ226" i="4" s="1"/>
  <c r="AZ197" i="4"/>
  <c r="AZ198" i="4"/>
  <c r="T28" i="8"/>
  <c r="P18" i="8"/>
  <c r="AV57" i="4"/>
  <c r="AX57" i="4" s="1"/>
  <c r="G27" i="14" s="1"/>
  <c r="AV58" i="4"/>
  <c r="AX58" i="4" s="1"/>
  <c r="G28" i="14" s="1"/>
  <c r="R18" i="8"/>
  <c r="O91" i="14"/>
  <c r="X91" i="14" s="1"/>
  <c r="AA91" i="14" s="1"/>
  <c r="AC91" i="14" s="1"/>
  <c r="N91" i="14"/>
  <c r="O108" i="14"/>
  <c r="X108" i="14" s="1"/>
  <c r="AA108" i="14" s="1"/>
  <c r="AC108" i="14" s="1"/>
  <c r="N108" i="14"/>
  <c r="O92" i="14"/>
  <c r="X92" i="14" s="1"/>
  <c r="AA92" i="14" s="1"/>
  <c r="AC92" i="14" s="1"/>
  <c r="N92" i="14"/>
  <c r="AZ27" i="6"/>
  <c r="BB25" i="6"/>
  <c r="BC25" i="6" s="1"/>
  <c r="AJ25" i="6"/>
  <c r="AS25" i="6" s="1"/>
  <c r="AH25" i="6"/>
  <c r="AQ25" i="6" s="1"/>
  <c r="AI25" i="6"/>
  <c r="AR25" i="6" s="1"/>
  <c r="AL25" i="6"/>
  <c r="AU25" i="6" s="1"/>
  <c r="AM25" i="6"/>
  <c r="AV25" i="6" s="1"/>
  <c r="AN25" i="6"/>
  <c r="AW25" i="6" s="1"/>
  <c r="AO25" i="6"/>
  <c r="AX25" i="6" s="1"/>
  <c r="AP25" i="6"/>
  <c r="AY25" i="6" s="1"/>
  <c r="O95" i="14"/>
  <c r="X95" i="14" s="1"/>
  <c r="AA95" i="14" s="1"/>
  <c r="AC95" i="14" s="1"/>
  <c r="N95" i="14"/>
  <c r="T33" i="8"/>
  <c r="AZ268" i="4"/>
  <c r="AZ267" i="4"/>
  <c r="AZ225" i="4"/>
  <c r="AZ226" i="4"/>
  <c r="T30" i="8"/>
  <c r="O96" i="14"/>
  <c r="X96" i="14" s="1"/>
  <c r="AA96" i="14" s="1"/>
  <c r="AC96" i="14" s="1"/>
  <c r="N96" i="14"/>
  <c r="V15" i="8"/>
  <c r="BB16" i="4"/>
  <c r="BB15" i="4"/>
  <c r="AN281" i="4"/>
  <c r="AO281" i="4" s="1"/>
  <c r="AP281" i="4" s="1"/>
  <c r="AQ281" i="4" s="1"/>
  <c r="AN282" i="4"/>
  <c r="AO282" i="4" s="1"/>
  <c r="AP282" i="4" s="1"/>
  <c r="AQ282" i="4" s="1"/>
  <c r="R26" i="8"/>
  <c r="AV170" i="4"/>
  <c r="AX170" i="4" s="1"/>
  <c r="G60" i="14" s="1"/>
  <c r="AV169" i="4"/>
  <c r="AX169" i="4" s="1"/>
  <c r="G59" i="14" s="1"/>
  <c r="P26" i="8"/>
  <c r="AN295" i="4"/>
  <c r="AO295" i="4" s="1"/>
  <c r="AP295" i="4" s="1"/>
  <c r="AQ295" i="4" s="1"/>
  <c r="AN296" i="4"/>
  <c r="AO296" i="4" s="1"/>
  <c r="AP296" i="4" s="1"/>
  <c r="AQ296" i="4" s="1"/>
  <c r="N88" i="14"/>
  <c r="O88" i="14" s="1"/>
  <c r="X88" i="14" s="1"/>
  <c r="AA88" i="14" s="1"/>
  <c r="AC88" i="14" s="1"/>
  <c r="R4" i="12"/>
  <c r="V4" i="12" s="1"/>
  <c r="O75" i="14"/>
  <c r="X75" i="14" s="1"/>
  <c r="AA75" i="14" s="1"/>
  <c r="AC75" i="14" s="1"/>
  <c r="N75" i="14"/>
  <c r="BA27" i="12"/>
  <c r="BA4" i="12" s="1"/>
  <c r="AN27" i="12"/>
  <c r="AN4" i="12" s="1"/>
  <c r="E17" i="6"/>
  <c r="AM4" i="12"/>
  <c r="T24" i="8"/>
  <c r="AZ141" i="4"/>
  <c r="AZ142" i="4"/>
  <c r="AV113" i="4"/>
  <c r="AX113" i="4" s="1"/>
  <c r="G43" i="14" s="1"/>
  <c r="AV114" i="4"/>
  <c r="AX114" i="4" s="1"/>
  <c r="G44" i="14" s="1"/>
  <c r="R22" i="8"/>
  <c r="P22" i="8"/>
  <c r="AT27" i="12"/>
  <c r="Y4" i="12"/>
  <c r="AV85" i="4"/>
  <c r="AX85" i="4" s="1"/>
  <c r="G35" i="14" s="1"/>
  <c r="AV86" i="4"/>
  <c r="AX86" i="4" s="1"/>
  <c r="G36" i="14" s="1"/>
  <c r="P20" i="8"/>
  <c r="R20" i="8"/>
  <c r="AZ23" i="6"/>
  <c r="O103" i="14"/>
  <c r="X103" i="14" s="1"/>
  <c r="AA103" i="14" s="1"/>
  <c r="AC103" i="14" s="1"/>
  <c r="N103" i="14"/>
  <c r="T34" i="8"/>
  <c r="AZ281" i="4"/>
  <c r="AZ282" i="4"/>
  <c r="AZ21" i="6"/>
  <c r="BB4" i="20"/>
  <c r="O56" i="14"/>
  <c r="X56" i="14" s="1"/>
  <c r="AA56" i="14" s="1"/>
  <c r="N56" i="14"/>
  <c r="AU35" i="12"/>
  <c r="AV35" i="12" s="1"/>
  <c r="G27" i="11"/>
  <c r="BE127" i="4"/>
  <c r="BF127" i="4" s="1"/>
  <c r="BE128" i="4"/>
  <c r="BF128" i="4" s="1"/>
  <c r="AZ295" i="4"/>
  <c r="AZ296" i="4"/>
  <c r="T35" i="8"/>
  <c r="O87" i="14"/>
  <c r="X87" i="14" s="1"/>
  <c r="AA87" i="14" s="1"/>
  <c r="AC87" i="14" s="1"/>
  <c r="N87" i="14"/>
  <c r="S4" i="12"/>
  <c r="O76" i="14"/>
  <c r="X76" i="14" s="1"/>
  <c r="AA76" i="14" s="1"/>
  <c r="AC76" i="14" s="1"/>
  <c r="N76" i="14"/>
  <c r="V27" i="8"/>
  <c r="BB184" i="4"/>
  <c r="BC184" i="4" s="1"/>
  <c r="BB183" i="4"/>
  <c r="BC183" i="4" s="1"/>
  <c r="N104" i="14"/>
  <c r="O104" i="14" s="1"/>
  <c r="X104" i="14" s="1"/>
  <c r="AA104" i="14" s="1"/>
  <c r="AC104" i="14" s="1"/>
  <c r="AN337" i="4"/>
  <c r="AO337" i="4" s="1"/>
  <c r="AP337" i="4" s="1"/>
  <c r="AQ337" i="4" s="1"/>
  <c r="AN338" i="4"/>
  <c r="AO338" i="4" s="1"/>
  <c r="AP338" i="4" s="1"/>
  <c r="AQ338" i="4" s="1"/>
  <c r="AZ394" i="4"/>
  <c r="AZ393" i="4"/>
  <c r="T42" i="8"/>
  <c r="O107" i="14"/>
  <c r="X107" i="14" s="1"/>
  <c r="AA107" i="14" s="1"/>
  <c r="AC107" i="14" s="1"/>
  <c r="N107" i="14"/>
  <c r="O55" i="14"/>
  <c r="X55" i="14" s="1"/>
  <c r="AA55" i="14" s="1"/>
  <c r="N55" i="14"/>
  <c r="AV4" i="20"/>
  <c r="R29" i="8"/>
  <c r="P29" i="8"/>
  <c r="AV211" i="4"/>
  <c r="AX211" i="4" s="1"/>
  <c r="G71" i="14" s="1"/>
  <c r="AV212" i="4"/>
  <c r="AX212" i="4" s="1"/>
  <c r="G72" i="14" s="1"/>
  <c r="T21" i="8"/>
  <c r="AZ99" i="4"/>
  <c r="AZ100" i="4"/>
  <c r="R43" i="8"/>
  <c r="P43" i="8"/>
  <c r="AV408" i="4"/>
  <c r="AX408" i="4" s="1"/>
  <c r="G128" i="14" s="1"/>
  <c r="AV407" i="4"/>
  <c r="AX407" i="4" s="1"/>
  <c r="G127" i="14" s="1"/>
  <c r="AN267" i="4"/>
  <c r="AO267" i="4" s="1"/>
  <c r="AP267" i="4" s="1"/>
  <c r="AQ267" i="4" s="1"/>
  <c r="AN268" i="4"/>
  <c r="AO268" i="4" s="1"/>
  <c r="AP268" i="4" s="1"/>
  <c r="AQ268" i="4" s="1"/>
  <c r="T4" i="12"/>
  <c r="AJ18" i="6"/>
  <c r="AS18" i="6" s="1"/>
  <c r="AO18" i="6"/>
  <c r="AX18" i="6" s="1"/>
  <c r="AM18" i="6"/>
  <c r="AV18" i="6" s="1"/>
  <c r="AN18" i="6"/>
  <c r="AW18" i="6" s="1"/>
  <c r="AL18" i="6"/>
  <c r="AU18" i="6" s="1"/>
  <c r="AP18" i="6"/>
  <c r="AY18" i="6" s="1"/>
  <c r="BI4" i="20"/>
  <c r="AZ24" i="6"/>
  <c r="AN99" i="4"/>
  <c r="AO99" i="4" s="1"/>
  <c r="AP99" i="4" s="1"/>
  <c r="AQ99" i="4" s="1"/>
  <c r="AN100" i="4"/>
  <c r="AO100" i="4" s="1"/>
  <c r="AP100" i="4" s="1"/>
  <c r="AQ100" i="4" s="1"/>
  <c r="U4" i="12"/>
  <c r="AZ156" i="4"/>
  <c r="AZ155" i="4"/>
  <c r="T25" i="8"/>
  <c r="AZ253" i="4"/>
  <c r="AZ254" i="4"/>
  <c r="T32" i="8"/>
  <c r="BC4" i="20"/>
  <c r="AN142" i="4"/>
  <c r="AO142" i="4" s="1"/>
  <c r="AP142" i="4" s="1"/>
  <c r="AQ142" i="4" s="1"/>
  <c r="AN141" i="4"/>
  <c r="AO141" i="4" s="1"/>
  <c r="AP141" i="4" s="1"/>
  <c r="AQ141" i="4" s="1"/>
  <c r="N39" i="14"/>
  <c r="O39" i="14"/>
  <c r="X39" i="14" s="1"/>
  <c r="AA39" i="14" s="1"/>
  <c r="AC39" i="14" s="1"/>
  <c r="N39" i="8"/>
  <c r="BH351" i="4"/>
  <c r="BH352" i="4"/>
  <c r="N83" i="14"/>
  <c r="O83" i="14" s="1"/>
  <c r="X83" i="14" s="1"/>
  <c r="AA83" i="14" s="1"/>
  <c r="AC83" i="14" s="1"/>
  <c r="BB26" i="6"/>
  <c r="BC26" i="6" s="1"/>
  <c r="AJ26" i="6"/>
  <c r="AS26" i="6" s="1"/>
  <c r="AK26" i="6"/>
  <c r="AT26" i="6" s="1"/>
  <c r="AO26" i="6"/>
  <c r="AX26" i="6" s="1"/>
  <c r="AN26" i="6"/>
  <c r="AW26" i="6" s="1"/>
  <c r="AM26" i="6"/>
  <c r="AV26" i="6" s="1"/>
  <c r="AP26" i="6"/>
  <c r="AY26" i="6" s="1"/>
  <c r="AL26" i="6"/>
  <c r="AU26" i="6" s="1"/>
  <c r="G15" i="14"/>
  <c r="W4" i="12"/>
  <c r="O52" i="14"/>
  <c r="X52" i="14" s="1"/>
  <c r="AA52" i="14" s="1"/>
  <c r="AC52" i="14" s="1"/>
  <c r="N52" i="14"/>
  <c r="O40" i="14"/>
  <c r="X40" i="14" s="1"/>
  <c r="AA40" i="14" s="1"/>
  <c r="AC40" i="14" s="1"/>
  <c r="N40" i="14"/>
  <c r="BE29" i="4"/>
  <c r="BF29" i="4" s="1"/>
  <c r="BE30" i="4"/>
  <c r="BF30" i="4" s="1"/>
  <c r="T31" i="8"/>
  <c r="AZ239" i="4"/>
  <c r="AZ240" i="4"/>
  <c r="AN254" i="4"/>
  <c r="AO254" i="4" s="1"/>
  <c r="AP254" i="4" s="1"/>
  <c r="AQ254" i="4" s="1"/>
  <c r="AN253" i="4"/>
  <c r="AO253" i="4" s="1"/>
  <c r="AP253" i="4" s="1"/>
  <c r="AQ253" i="4" s="1"/>
  <c r="BA26" i="6"/>
  <c r="BJ16" i="20"/>
  <c r="BJ4" i="20" s="1"/>
  <c r="N32" i="14"/>
  <c r="O32" i="14" s="1"/>
  <c r="X32" i="14" s="1"/>
  <c r="AA32" i="14" s="1"/>
  <c r="AC32" i="14" s="1"/>
  <c r="BE309" i="4"/>
  <c r="BF309" i="4" s="1"/>
  <c r="BE310" i="4"/>
  <c r="BF310" i="4" s="1"/>
  <c r="N80" i="14"/>
  <c r="O80" i="14" s="1"/>
  <c r="X80" i="14" s="1"/>
  <c r="AA80" i="14" s="1"/>
  <c r="AU36" i="12"/>
  <c r="AV36" i="12" s="1"/>
  <c r="G28" i="11"/>
  <c r="G4" i="11" s="1"/>
  <c r="AZ22" i="6"/>
  <c r="N79" i="14"/>
  <c r="O79" i="14" s="1"/>
  <c r="X79" i="14" s="1"/>
  <c r="AA79" i="14" s="1"/>
  <c r="AC79" i="14" s="1"/>
  <c r="AU27" i="12" l="1"/>
  <c r="AT4" i="12"/>
  <c r="AN366" i="4"/>
  <c r="AO366" i="4" s="1"/>
  <c r="AP366" i="4" s="1"/>
  <c r="AQ366" i="4" s="1"/>
  <c r="AN365" i="4"/>
  <c r="AO365" i="4" s="1"/>
  <c r="AP365" i="4" s="1"/>
  <c r="AQ365" i="4" s="1"/>
  <c r="BB324" i="4"/>
  <c r="BC324" i="4" s="1"/>
  <c r="BB323" i="4"/>
  <c r="BC323" i="4" s="1"/>
  <c r="V37" i="8"/>
  <c r="O15" i="14"/>
  <c r="N15" i="14"/>
  <c r="R39" i="8"/>
  <c r="AV352" i="4"/>
  <c r="AX352" i="4" s="1"/>
  <c r="G112" i="14" s="1"/>
  <c r="AV351" i="4"/>
  <c r="AX351" i="4" s="1"/>
  <c r="G111" i="14" s="1"/>
  <c r="P39" i="8"/>
  <c r="BB99" i="4"/>
  <c r="BC99" i="4" s="1"/>
  <c r="BB100" i="4"/>
  <c r="BC100" i="4" s="1"/>
  <c r="V21" i="8"/>
  <c r="AN113" i="4"/>
  <c r="AO113" i="4" s="1"/>
  <c r="AP113" i="4" s="1"/>
  <c r="AQ113" i="4" s="1"/>
  <c r="AN114" i="4"/>
  <c r="AO114" i="4" s="1"/>
  <c r="AP114" i="4" s="1"/>
  <c r="AQ114" i="4" s="1"/>
  <c r="V30" i="8"/>
  <c r="BB225" i="4"/>
  <c r="BC225" i="4" s="1"/>
  <c r="BB226" i="4"/>
  <c r="BC226" i="4" s="1"/>
  <c r="O116" i="14"/>
  <c r="X116" i="14" s="1"/>
  <c r="AA116" i="14" s="1"/>
  <c r="AC116" i="14" s="1"/>
  <c r="N116" i="14"/>
  <c r="O72" i="14"/>
  <c r="X72" i="14" s="1"/>
  <c r="AA72" i="14" s="1"/>
  <c r="AC72" i="14" s="1"/>
  <c r="N72" i="14"/>
  <c r="T22" i="8"/>
  <c r="AZ113" i="4"/>
  <c r="AZ114" i="4"/>
  <c r="O115" i="14"/>
  <c r="X115" i="14" s="1"/>
  <c r="AA115" i="14" s="1"/>
  <c r="AC115" i="14" s="1"/>
  <c r="N115" i="14"/>
  <c r="O71" i="14"/>
  <c r="X71" i="14" s="1"/>
  <c r="AA71" i="14" s="1"/>
  <c r="AC71" i="14" s="1"/>
  <c r="N71" i="14"/>
  <c r="O44" i="14"/>
  <c r="X44" i="14" s="1"/>
  <c r="AA44" i="14" s="1"/>
  <c r="AC44" i="14" s="1"/>
  <c r="N44" i="14"/>
  <c r="AN211" i="4"/>
  <c r="AO211" i="4" s="1"/>
  <c r="AP211" i="4" s="1"/>
  <c r="AQ211" i="4" s="1"/>
  <c r="AN212" i="4"/>
  <c r="AO212" i="4" s="1"/>
  <c r="AP212" i="4" s="1"/>
  <c r="AQ212" i="4" s="1"/>
  <c r="BE183" i="4"/>
  <c r="BF183" i="4" s="1"/>
  <c r="BE184" i="4"/>
  <c r="BF184" i="4" s="1"/>
  <c r="N43" i="14"/>
  <c r="O43" i="14"/>
  <c r="X43" i="14" s="1"/>
  <c r="AA43" i="14" s="1"/>
  <c r="AC43" i="14" s="1"/>
  <c r="AZ212" i="4"/>
  <c r="AZ211" i="4"/>
  <c r="T29" i="8"/>
  <c r="AN169" i="4"/>
  <c r="AO169" i="4" s="1"/>
  <c r="AP169" i="4" s="1"/>
  <c r="AQ169" i="4" s="1"/>
  <c r="AN170" i="4"/>
  <c r="AO170" i="4" s="1"/>
  <c r="AP170" i="4" s="1"/>
  <c r="AQ170" i="4" s="1"/>
  <c r="AP15" i="4"/>
  <c r="N59" i="14"/>
  <c r="O59" i="14"/>
  <c r="X59" i="14" s="1"/>
  <c r="AA59" i="14" s="1"/>
  <c r="AC59" i="14" s="1"/>
  <c r="V33" i="8"/>
  <c r="BB268" i="4"/>
  <c r="BC268" i="4" s="1"/>
  <c r="BB267" i="4"/>
  <c r="BC267" i="4" s="1"/>
  <c r="AZ18" i="6"/>
  <c r="BB281" i="4"/>
  <c r="BC281" i="4" s="1"/>
  <c r="BB282" i="4"/>
  <c r="BC282" i="4" s="1"/>
  <c r="V34" i="8"/>
  <c r="BB141" i="4"/>
  <c r="BC141" i="4" s="1"/>
  <c r="BB142" i="4"/>
  <c r="BC142" i="4" s="1"/>
  <c r="V24" i="8"/>
  <c r="O60" i="14"/>
  <c r="X60" i="14" s="1"/>
  <c r="AA60" i="14" s="1"/>
  <c r="AC60" i="14" s="1"/>
  <c r="N60" i="14"/>
  <c r="BB71" i="4"/>
  <c r="BC71" i="4" s="1"/>
  <c r="BB72" i="4"/>
  <c r="BC72" i="4" s="1"/>
  <c r="V19" i="8"/>
  <c r="AZ4" i="12"/>
  <c r="AZ169" i="4"/>
  <c r="AZ170" i="4"/>
  <c r="T26" i="8"/>
  <c r="AJ17" i="6"/>
  <c r="AS17" i="6" s="1"/>
  <c r="AZ17" i="6" s="1"/>
  <c r="AM17" i="6"/>
  <c r="AV17" i="6" s="1"/>
  <c r="AO17" i="6"/>
  <c r="AX17" i="6" s="1"/>
  <c r="AL17" i="6"/>
  <c r="AU17" i="6" s="1"/>
  <c r="AN17" i="6"/>
  <c r="AW17" i="6" s="1"/>
  <c r="AP17" i="6"/>
  <c r="AY17" i="6" s="1"/>
  <c r="V32" i="8"/>
  <c r="BB253" i="4"/>
  <c r="BC253" i="4" s="1"/>
  <c r="BB254" i="4"/>
  <c r="BC254" i="4" s="1"/>
  <c r="V31" i="8"/>
  <c r="BB239" i="4"/>
  <c r="BC239" i="4" s="1"/>
  <c r="BB240" i="4"/>
  <c r="BC240" i="4" s="1"/>
  <c r="BB155" i="4"/>
  <c r="BC155" i="4" s="1"/>
  <c r="BB156" i="4"/>
  <c r="BC156" i="4" s="1"/>
  <c r="V25" i="8"/>
  <c r="BB296" i="4"/>
  <c r="BC296" i="4" s="1"/>
  <c r="BB295" i="4"/>
  <c r="BC295" i="4" s="1"/>
  <c r="V35" i="8"/>
  <c r="T18" i="8"/>
  <c r="AZ57" i="4"/>
  <c r="AZ58" i="4"/>
  <c r="O28" i="14"/>
  <c r="X28" i="14" s="1"/>
  <c r="AA28" i="14" s="1"/>
  <c r="AC28" i="14" s="1"/>
  <c r="N28" i="14"/>
  <c r="O127" i="14"/>
  <c r="X127" i="14" s="1"/>
  <c r="AA127" i="14" s="1"/>
  <c r="AC127" i="14" s="1"/>
  <c r="N127" i="14"/>
  <c r="BB393" i="4"/>
  <c r="BC393" i="4" s="1"/>
  <c r="BB394" i="4"/>
  <c r="BC394" i="4" s="1"/>
  <c r="V42" i="8"/>
  <c r="T20" i="8"/>
  <c r="AZ86" i="4"/>
  <c r="AZ85" i="4"/>
  <c r="O27" i="14"/>
  <c r="X27" i="14" s="1"/>
  <c r="AA27" i="14" s="1"/>
  <c r="AC27" i="14" s="1"/>
  <c r="N27" i="14"/>
  <c r="E16" i="6"/>
  <c r="E15" i="6"/>
  <c r="AZ26" i="6"/>
  <c r="AN407" i="4"/>
  <c r="AO407" i="4" s="1"/>
  <c r="AP407" i="4" s="1"/>
  <c r="AQ407" i="4" s="1"/>
  <c r="AN408" i="4"/>
  <c r="AO408" i="4" s="1"/>
  <c r="AP408" i="4" s="1"/>
  <c r="AQ408" i="4" s="1"/>
  <c r="O36" i="14"/>
  <c r="X36" i="14" s="1"/>
  <c r="AA36" i="14" s="1"/>
  <c r="AC36" i="14" s="1"/>
  <c r="N36" i="14"/>
  <c r="BE15" i="4"/>
  <c r="BE16" i="4"/>
  <c r="AN57" i="4"/>
  <c r="AO57" i="4" s="1"/>
  <c r="AP57" i="4" s="1"/>
  <c r="AQ57" i="4" s="1"/>
  <c r="AN58" i="4"/>
  <c r="AO58" i="4" s="1"/>
  <c r="AP58" i="4" s="1"/>
  <c r="AQ58" i="4" s="1"/>
  <c r="BB338" i="4"/>
  <c r="BC338" i="4" s="1"/>
  <c r="BB337" i="4"/>
  <c r="BC337" i="4" s="1"/>
  <c r="V38" i="8"/>
  <c r="P17" i="8"/>
  <c r="AV44" i="4"/>
  <c r="AX44" i="4" s="1"/>
  <c r="G24" i="14" s="1"/>
  <c r="AV43" i="4"/>
  <c r="R17" i="8"/>
  <c r="N4" i="8"/>
  <c r="O128" i="14"/>
  <c r="X128" i="14" s="1"/>
  <c r="AA128" i="14" s="1"/>
  <c r="AC128" i="14" s="1"/>
  <c r="N128" i="14"/>
  <c r="AN85" i="4"/>
  <c r="AO85" i="4" s="1"/>
  <c r="AP85" i="4" s="1"/>
  <c r="AQ85" i="4" s="1"/>
  <c r="AN86" i="4"/>
  <c r="AO86" i="4" s="1"/>
  <c r="AP86" i="4" s="1"/>
  <c r="AQ86" i="4" s="1"/>
  <c r="AZ408" i="4"/>
  <c r="AZ407" i="4"/>
  <c r="T43" i="8"/>
  <c r="O35" i="14"/>
  <c r="X35" i="14" s="1"/>
  <c r="AA35" i="14" s="1"/>
  <c r="AC35" i="14" s="1"/>
  <c r="N35" i="14"/>
  <c r="BB197" i="4"/>
  <c r="BC197" i="4" s="1"/>
  <c r="BB198" i="4"/>
  <c r="BC198" i="4" s="1"/>
  <c r="V28" i="8"/>
  <c r="V41" i="8"/>
  <c r="BB380" i="4"/>
  <c r="BC380" i="4" s="1"/>
  <c r="BB379" i="4"/>
  <c r="BC379" i="4" s="1"/>
  <c r="AZ25" i="6"/>
  <c r="AZ366" i="4"/>
  <c r="AZ365" i="4"/>
  <c r="T40" i="8"/>
  <c r="BH4" i="4"/>
  <c r="BB366" i="4" l="1"/>
  <c r="BC366" i="4" s="1"/>
  <c r="BB365" i="4"/>
  <c r="BC365" i="4" s="1"/>
  <c r="V40" i="8"/>
  <c r="BB85" i="4"/>
  <c r="BC85" i="4" s="1"/>
  <c r="BB86" i="4"/>
  <c r="BC86" i="4" s="1"/>
  <c r="V20" i="8"/>
  <c r="F16" i="6"/>
  <c r="F15" i="6"/>
  <c r="BE239" i="4"/>
  <c r="BF239" i="4" s="1"/>
  <c r="BE240" i="4"/>
  <c r="BF240" i="4" s="1"/>
  <c r="AN351" i="4"/>
  <c r="AO351" i="4" s="1"/>
  <c r="AP351" i="4" s="1"/>
  <c r="AQ351" i="4" s="1"/>
  <c r="AN352" i="4"/>
  <c r="AO352" i="4" s="1"/>
  <c r="AP352" i="4" s="1"/>
  <c r="AQ352" i="4" s="1"/>
  <c r="O111" i="14"/>
  <c r="X111" i="14" s="1"/>
  <c r="AA111" i="14" s="1"/>
  <c r="AC111" i="14" s="1"/>
  <c r="N111" i="14"/>
  <c r="T17" i="8"/>
  <c r="AZ43" i="4"/>
  <c r="AZ4" i="4" s="1"/>
  <c r="AZ44" i="4"/>
  <c r="R4" i="8"/>
  <c r="Q4" i="8" s="1"/>
  <c r="BE253" i="4"/>
  <c r="BF253" i="4" s="1"/>
  <c r="BE254" i="4"/>
  <c r="BF254" i="4" s="1"/>
  <c r="BE142" i="4"/>
  <c r="BF142" i="4" s="1"/>
  <c r="BE141" i="4"/>
  <c r="BF141" i="4" s="1"/>
  <c r="V29" i="8"/>
  <c r="BB211" i="4"/>
  <c r="BC211" i="4" s="1"/>
  <c r="BB212" i="4"/>
  <c r="BC212" i="4" s="1"/>
  <c r="O112" i="14"/>
  <c r="X112" i="14" s="1"/>
  <c r="AA112" i="14" s="1"/>
  <c r="AC112" i="14" s="1"/>
  <c r="N112" i="14"/>
  <c r="BB113" i="4"/>
  <c r="BC113" i="4" s="1"/>
  <c r="BB114" i="4"/>
  <c r="BC114" i="4" s="1"/>
  <c r="V22" i="8"/>
  <c r="T39" i="8"/>
  <c r="AZ352" i="4"/>
  <c r="AZ351" i="4"/>
  <c r="BE281" i="4"/>
  <c r="BF281" i="4" s="1"/>
  <c r="BE282" i="4"/>
  <c r="BF282" i="4" s="1"/>
  <c r="X15" i="14"/>
  <c r="BE323" i="4"/>
  <c r="BF323" i="4" s="1"/>
  <c r="BE324" i="4"/>
  <c r="BF324" i="4" s="1"/>
  <c r="AX43" i="4"/>
  <c r="AV4" i="4"/>
  <c r="BE295" i="4"/>
  <c r="BF295" i="4" s="1"/>
  <c r="BE296" i="4"/>
  <c r="BF296" i="4" s="1"/>
  <c r="BB169" i="4"/>
  <c r="BC169" i="4" s="1"/>
  <c r="BB170" i="4"/>
  <c r="BC170" i="4" s="1"/>
  <c r="V26" i="8"/>
  <c r="BE379" i="4"/>
  <c r="BF379" i="4" s="1"/>
  <c r="BE380" i="4"/>
  <c r="BF380" i="4" s="1"/>
  <c r="M4" i="8"/>
  <c r="BE337" i="4"/>
  <c r="BF337" i="4" s="1"/>
  <c r="BE338" i="4"/>
  <c r="BF338" i="4" s="1"/>
  <c r="V18" i="8"/>
  <c r="BB57" i="4"/>
  <c r="BC57" i="4" s="1"/>
  <c r="BB58" i="4"/>
  <c r="BC58" i="4" s="1"/>
  <c r="BE156" i="4"/>
  <c r="BF156" i="4" s="1"/>
  <c r="BE155" i="4"/>
  <c r="BF155" i="4" s="1"/>
  <c r="BE225" i="4"/>
  <c r="BF225" i="4" s="1"/>
  <c r="BE226" i="4"/>
  <c r="BF226" i="4" s="1"/>
  <c r="O24" i="14"/>
  <c r="X24" i="14" s="1"/>
  <c r="AA24" i="14" s="1"/>
  <c r="N24" i="14"/>
  <c r="BE197" i="4"/>
  <c r="BF197" i="4" s="1"/>
  <c r="BE198" i="4"/>
  <c r="BF198" i="4" s="1"/>
  <c r="AN43" i="4"/>
  <c r="AN44" i="4"/>
  <c r="AO44" i="4" s="1"/>
  <c r="AP44" i="4" s="1"/>
  <c r="AQ44" i="4" s="1"/>
  <c r="K16" i="6" s="1"/>
  <c r="P4" i="8"/>
  <c r="O4" i="8" s="1"/>
  <c r="V43" i="8"/>
  <c r="BB407" i="4"/>
  <c r="BC407" i="4" s="1"/>
  <c r="BB408" i="4"/>
  <c r="BC408" i="4" s="1"/>
  <c r="BE267" i="4"/>
  <c r="BF267" i="4" s="1"/>
  <c r="BE268" i="4"/>
  <c r="BF268" i="4" s="1"/>
  <c r="BE394" i="4"/>
  <c r="BF394" i="4" s="1"/>
  <c r="BE393" i="4"/>
  <c r="BF393" i="4" s="1"/>
  <c r="BE71" i="4"/>
  <c r="BF71" i="4" s="1"/>
  <c r="BE72" i="4"/>
  <c r="BF72" i="4" s="1"/>
  <c r="BE99" i="4"/>
  <c r="BF99" i="4" s="1"/>
  <c r="BE100" i="4"/>
  <c r="BF100" i="4" s="1"/>
  <c r="AU4" i="12"/>
  <c r="AV4" i="12" s="1"/>
  <c r="AV27" i="12"/>
  <c r="AY4" i="4" l="1"/>
  <c r="G23" i="14"/>
  <c r="AX4" i="4"/>
  <c r="BG4" i="4" s="1"/>
  <c r="AA15" i="14"/>
  <c r="BE57" i="4"/>
  <c r="BF57" i="4" s="1"/>
  <c r="BE58" i="4"/>
  <c r="BF58" i="4" s="1"/>
  <c r="BE212" i="4"/>
  <c r="BF212" i="4" s="1"/>
  <c r="BE211" i="4"/>
  <c r="BF211" i="4" s="1"/>
  <c r="G15" i="6"/>
  <c r="G16" i="6"/>
  <c r="BE85" i="4"/>
  <c r="BF85" i="4" s="1"/>
  <c r="BE86" i="4"/>
  <c r="BF86" i="4" s="1"/>
  <c r="BE407" i="4"/>
  <c r="BF407" i="4" s="1"/>
  <c r="BE408" i="4"/>
  <c r="BF408" i="4" s="1"/>
  <c r="BE169" i="4"/>
  <c r="BF169" i="4" s="1"/>
  <c r="BE170" i="4"/>
  <c r="BF170" i="4" s="1"/>
  <c r="BE366" i="4"/>
  <c r="BF366" i="4" s="1"/>
  <c r="BE365" i="4"/>
  <c r="BF365" i="4" s="1"/>
  <c r="AO43" i="4"/>
  <c r="AN4" i="4"/>
  <c r="DO35" i="6"/>
  <c r="DQ35" i="6" s="1" a="1"/>
  <c r="DQ35" i="6" s="1"/>
  <c r="DK35" i="6"/>
  <c r="V39" i="8"/>
  <c r="BB351" i="4"/>
  <c r="BC351" i="4" s="1"/>
  <c r="BB352" i="4"/>
  <c r="BC352" i="4" s="1"/>
  <c r="V17" i="8"/>
  <c r="BB43" i="4"/>
  <c r="BB44" i="4"/>
  <c r="BC44" i="4" s="1"/>
  <c r="T4" i="8"/>
  <c r="AC24" i="14"/>
  <c r="DU35" i="6"/>
  <c r="DV35" i="6" s="1" a="1"/>
  <c r="DV35" i="6" s="1"/>
  <c r="BE113" i="4"/>
  <c r="BF113" i="4" s="1"/>
  <c r="BE114" i="4"/>
  <c r="BF114" i="4" s="1"/>
  <c r="P16" i="6" l="1"/>
  <c r="BE351" i="4"/>
  <c r="BF351" i="4" s="1"/>
  <c r="BE352" i="4"/>
  <c r="BF352" i="4" s="1"/>
  <c r="P15" i="6"/>
  <c r="BE43" i="4"/>
  <c r="BE44" i="4"/>
  <c r="BF44" i="4" s="1"/>
  <c r="V4" i="8"/>
  <c r="AP43" i="4"/>
  <c r="AO4" i="4"/>
  <c r="DR35" i="6" a="1"/>
  <c r="DR35" i="6" s="1"/>
  <c r="DY35" i="6" s="1"/>
  <c r="EB35" i="6" s="1"/>
  <c r="DS35" i="6" a="1"/>
  <c r="DS35" i="6" s="1"/>
  <c r="DT35" i="6" s="1" a="1"/>
  <c r="DT35" i="6" s="1"/>
  <c r="DZ35" i="6" s="1"/>
  <c r="EC35" i="6" s="1"/>
  <c r="BC43" i="4"/>
  <c r="BC4" i="4" s="1"/>
  <c r="BB4" i="4"/>
  <c r="AC15" i="14"/>
  <c r="O23" i="14"/>
  <c r="N23" i="14"/>
  <c r="G4" i="14"/>
  <c r="Q16" i="6"/>
  <c r="H16" i="6"/>
  <c r="H15" i="6"/>
  <c r="S4" i="8"/>
  <c r="AW4" i="4"/>
  <c r="BA4" i="4" l="1"/>
  <c r="AQ43" i="4"/>
  <c r="AP4" i="4"/>
  <c r="BF43" i="4"/>
  <c r="BF4" i="4" s="1"/>
  <c r="BE4" i="4"/>
  <c r="BD4" i="4" s="1"/>
  <c r="I15" i="6"/>
  <c r="I16" i="6"/>
  <c r="R16" i="6"/>
  <c r="U4" i="8"/>
  <c r="N4" i="14"/>
  <c r="K4" i="14" s="1"/>
  <c r="DK34" i="6"/>
  <c r="DO34" i="6"/>
  <c r="DQ34" i="6" s="1" a="1"/>
  <c r="DQ34" i="6" s="1"/>
  <c r="DR34" i="6" s="1" a="1"/>
  <c r="DR34" i="6" s="1"/>
  <c r="DY34" i="6" s="1"/>
  <c r="EB34" i="6" s="1"/>
  <c r="X23" i="14"/>
  <c r="O4" i="14"/>
  <c r="AA23" i="14" l="1"/>
  <c r="X4" i="14"/>
  <c r="Y4" i="14" s="1"/>
  <c r="W16" i="6"/>
  <c r="S16" i="6"/>
  <c r="I4" i="14"/>
  <c r="AQ4" i="4"/>
  <c r="K15" i="6"/>
  <c r="Q15" i="6" s="1"/>
  <c r="R15" i="6" s="1"/>
  <c r="W15" i="6" l="1"/>
  <c r="S15" i="6"/>
  <c r="V4" i="14"/>
  <c r="Y16" i="6"/>
  <c r="AG16" i="6" s="1"/>
  <c r="AA16" i="6"/>
  <c r="AC16" i="6" s="1"/>
  <c r="AE16" i="6" s="1"/>
  <c r="AC23" i="14"/>
  <c r="AA4" i="14"/>
  <c r="AC4" i="14" s="1"/>
  <c r="DU34" i="6"/>
  <c r="DV34" i="6" s="1" a="1"/>
  <c r="DV34" i="6" s="1"/>
  <c r="Y15" i="6" l="1"/>
  <c r="AG15" i="6" s="1"/>
  <c r="AA15" i="6"/>
  <c r="AC15" i="6" s="1"/>
  <c r="AE15" i="6" s="1"/>
  <c r="L30" i="18"/>
  <c r="L27" i="18"/>
  <c r="P24" i="18"/>
  <c r="M24" i="18"/>
  <c r="O24" i="18"/>
  <c r="N24" i="18"/>
  <c r="L32" i="18"/>
  <c r="L25" i="18"/>
  <c r="L34" i="18"/>
  <c r="L23" i="18"/>
  <c r="L24" i="18"/>
  <c r="N4" i="18"/>
  <c r="N15" i="18"/>
  <c r="L28" i="18"/>
  <c r="L31" i="18"/>
  <c r="L19" i="18"/>
  <c r="L20" i="18"/>
  <c r="T4" i="18"/>
  <c r="L17" i="18"/>
  <c r="L29" i="18"/>
  <c r="P18" i="18"/>
  <c r="M18" i="18"/>
  <c r="O18" i="18"/>
  <c r="N18" i="18"/>
  <c r="P4" i="18"/>
  <c r="O4" i="18"/>
  <c r="R4" i="18"/>
  <c r="L33" i="18"/>
  <c r="L16" i="18"/>
  <c r="L18" i="18"/>
  <c r="P22" i="18"/>
  <c r="M22" i="18"/>
  <c r="O22" i="18"/>
  <c r="N22" i="18"/>
  <c r="EW52" i="6"/>
  <c r="T15" i="18"/>
  <c r="ES52" i="6"/>
  <c r="EU52" i="6"/>
  <c r="M4" i="18"/>
  <c r="M15" i="18"/>
  <c r="P20" i="18"/>
  <c r="M20" i="18"/>
  <c r="O20" i="18"/>
  <c r="N20" i="18"/>
  <c r="L26" i="18"/>
  <c r="N27" i="18"/>
  <c r="M27" i="18"/>
  <c r="O27" i="18"/>
  <c r="P27" i="18"/>
  <c r="M33" i="18"/>
  <c r="P33" i="18"/>
  <c r="O33" i="18"/>
  <c r="N33" i="18"/>
  <c r="P29" i="18"/>
  <c r="M29" i="18"/>
  <c r="O29" i="18"/>
  <c r="N29" i="18"/>
  <c r="L22" i="18"/>
  <c r="L21" i="18"/>
  <c r="M19" i="18"/>
  <c r="P19" i="18"/>
  <c r="O19" i="18"/>
  <c r="N19" i="18"/>
  <c r="P34" i="18"/>
  <c r="N34" i="18"/>
  <c r="O34" i="18"/>
  <c r="M34" i="18"/>
  <c r="M16" i="18"/>
  <c r="N16" i="18"/>
  <c r="O16" i="18"/>
  <c r="P16" i="18"/>
  <c r="R15" i="18"/>
  <c r="P15" i="18"/>
  <c r="M31" i="18"/>
  <c r="N31" i="18"/>
  <c r="O31" i="18"/>
  <c r="P31" i="18"/>
  <c r="P25" i="18"/>
  <c r="N25" i="18"/>
  <c r="O25" i="18"/>
  <c r="M25" i="18"/>
  <c r="P32" i="18"/>
  <c r="M32" i="18"/>
  <c r="O32" i="18"/>
  <c r="N32" i="18"/>
  <c r="P23" i="18"/>
  <c r="N23" i="18"/>
  <c r="O23" i="18"/>
  <c r="M23" i="18"/>
  <c r="L15" i="18"/>
  <c r="L4" i="18"/>
  <c r="Q15" i="18"/>
  <c r="N26" i="18"/>
  <c r="P26" i="18"/>
  <c r="O26" i="18"/>
  <c r="M26" i="18"/>
  <c r="M17" i="18"/>
  <c r="N17" i="18"/>
  <c r="O17" i="18"/>
  <c r="P17" i="18"/>
  <c r="N21" i="18"/>
  <c r="M21" i="18"/>
  <c r="O21" i="18"/>
  <c r="P21" i="18"/>
  <c r="M30" i="18"/>
  <c r="P30" i="18"/>
  <c r="O30" i="18"/>
  <c r="N30" i="18"/>
  <c r="EV52" i="6"/>
  <c r="ER52" i="6"/>
  <c r="ET52" i="6"/>
  <c r="N28" i="18"/>
  <c r="P28" i="18"/>
  <c r="O28" i="18"/>
  <c r="M28" i="18"/>
  <c r="O15" i="18"/>
  <c r="S15" i="18"/>
  <c r="S4" i="18"/>
  <c r="Q4"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Y1" authorId="0" shapeId="0" xr:uid="{00000000-0006-0000-0300-000003000000}">
      <text>
        <r>
          <rPr>
            <sz val="12"/>
            <color rgb="FF000000"/>
            <rFont val="Calibri"/>
            <family val="2"/>
            <charset val="1"/>
          </rPr>
          <t xml:space="preserve">TX_PVLS:
</t>
        </r>
        <r>
          <rPr>
            <sz val="10"/>
            <color rgb="FF000000"/>
            <rFont val="Tahoma"/>
            <family val="2"/>
            <charset val="1"/>
          </rPr>
          <t>For targeting purposes, 100% of TX_PVLS will be allocated to Routine testing instead of Targeted.</t>
        </r>
      </text>
    </comment>
    <comment ref="G3" authorId="0" shapeId="0" xr:uid="{00000000-0006-0000-0300-000001000000}">
      <text>
        <r>
          <rPr>
            <sz val="12"/>
            <color rgb="FF000000"/>
            <rFont val="Calibri"/>
            <family val="2"/>
            <charset val="1"/>
          </rPr>
          <t>This includes both HTS_TST_POS &amp; PMTCT_HEI_POS</t>
        </r>
      </text>
    </comment>
    <comment ref="L3" authorId="0" shapeId="0" xr:uid="{00000000-0006-0000-0300-000002000000}">
      <text>
        <r>
          <rPr>
            <sz val="12"/>
            <color rgb="FF000000"/>
            <rFont val="Calibri"/>
            <family val="2"/>
            <charset val="1"/>
          </rPr>
          <t>This includes both HTS_TST_POS &amp; PMTCT_HEI_POS.</t>
        </r>
      </text>
    </comment>
    <comment ref="BB3" authorId="0" shapeId="0" xr:uid="{00000000-0006-0000-0300-000004000000}">
      <text>
        <r>
          <rPr>
            <sz val="12"/>
            <color rgb="FF000000"/>
            <rFont val="Calibri"/>
            <family val="2"/>
            <charset val="1"/>
          </rPr>
          <t xml:space="preserve">TX_PVLS (D) &gt; TX_CURR
</t>
        </r>
        <r>
          <rPr>
            <sz val="10"/>
            <color rgb="FF000000"/>
            <rFont val="Tahoma"/>
            <family val="2"/>
            <charset val="1"/>
          </rPr>
          <t>Yellow cells below denote cases where TX_PVLS (D) is less than TX_CURR. While this may be possible due to Loss to Follow-up, these cases should receive special consideration in strategies.</t>
        </r>
      </text>
    </comment>
    <comment ref="BG3" authorId="0" shapeId="0" xr:uid="{00000000-0006-0000-0300-000005000000}">
      <text>
        <r>
          <rPr>
            <sz val="12"/>
            <color rgb="FF000000"/>
            <rFont val="Calibri"/>
            <family val="2"/>
            <charset val="1"/>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3" authorId="0" shapeId="0" xr:uid="{00000000-0006-0000-0600-000001000000}">
      <text>
        <r>
          <rPr>
            <sz val="12"/>
            <color rgb="FF000000"/>
            <rFont val="Calibri"/>
            <family val="2"/>
            <charset val="1"/>
          </rPr>
          <t>Yellow Highlights</t>
        </r>
        <r>
          <rPr>
            <sz val="10"/>
            <color rgb="FF000000"/>
            <rFont val="Tahoma"/>
            <family val="2"/>
            <charset val="1"/>
          </rPr>
          <t xml:space="preserve"> indicate cases where estimated new ANC clients in column L is less than those in column S. The smaller of the two is always used in this column, U.</t>
        </r>
      </text>
    </comment>
    <comment ref="V3" authorId="0" shapeId="0" xr:uid="{00000000-0006-0000-0600-000002000000}">
      <text>
        <r>
          <rPr>
            <sz val="12"/>
            <color rgb="FF000000"/>
            <rFont val="Calibri"/>
            <family val="2"/>
            <charset val="1"/>
          </rPr>
          <t>#VALUE!:</t>
        </r>
        <r>
          <rPr>
            <sz val="10"/>
            <color rgb="FF000000"/>
            <rFont val="Tahoma"/>
            <family val="2"/>
          </rPr>
          <t xml:space="preserve"> Provide missing PEPFAR contribution proportions.</t>
        </r>
      </text>
    </comment>
    <comment ref="AB3" authorId="0" shapeId="0" xr:uid="{00000000-0006-0000-0600-000003000000}">
      <text>
        <r>
          <rPr>
            <sz val="12"/>
            <color rgb="FF000000"/>
            <rFont val="Calibri"/>
            <family val="2"/>
            <charset val="1"/>
          </rPr>
          <t>#VALUE!:</t>
        </r>
        <r>
          <rPr>
            <sz val="10"/>
            <color rgb="FF000000"/>
            <rFont val="Tahoma"/>
            <family val="2"/>
          </rPr>
          <t xml:space="preserve"> Provide missing Known Positivity (FY23) rates.</t>
        </r>
      </text>
    </comment>
    <comment ref="AC3" authorId="0" shapeId="0" xr:uid="{00000000-0006-0000-0600-000004000000}">
      <text>
        <r>
          <rPr>
            <sz val="12"/>
            <color rgb="FF000000"/>
            <rFont val="Calibri"/>
            <family val="2"/>
            <charset val="1"/>
          </rPr>
          <t>#VALUE!:</t>
        </r>
        <r>
          <rPr>
            <sz val="10"/>
            <color rgb="FF000000"/>
            <rFont val="Tahoma"/>
            <family val="2"/>
          </rPr>
          <t xml:space="preserve"> Provide missing Yield (FY23) rates.</t>
        </r>
      </text>
    </comment>
    <comment ref="AS3" authorId="0" shapeId="0" xr:uid="{00000000-0006-0000-0600-000005000000}">
      <text>
        <r>
          <rPr>
            <sz val="12"/>
            <color rgb="FF000000"/>
            <rFont val="Calibri"/>
            <family val="2"/>
            <charset val="1"/>
          </rPr>
          <t>#VALUE!:</t>
        </r>
        <r>
          <rPr>
            <sz val="10"/>
            <color rgb="FF000000"/>
            <rFont val="Tahoma"/>
            <family val="2"/>
            <charset val="1"/>
          </rPr>
          <t xml:space="preserve"> Provide missing Yield (FY23) rates.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700-000002000000}">
      <text>
        <r>
          <rPr>
            <sz val="12"/>
            <color rgb="FF000000"/>
            <rFont val="Calibri"/>
            <family val="2"/>
            <charset val="1"/>
          </rPr>
          <t>Targets for PMTCT_HEI_POS are not required for target-setting, but historic data and related assumptions are used to link EID testing with TX_NEW &lt;1.</t>
        </r>
      </text>
    </comment>
    <comment ref="C3" authorId="0" shapeId="0" xr:uid="{00000000-0006-0000-0700-000001000000}">
      <text>
        <r>
          <rPr>
            <sz val="12"/>
            <color rgb="FF000000"/>
            <rFont val="Calibri"/>
            <family val="2"/>
            <charset val="1"/>
          </rPr>
          <t>Estimated based on total HIV positive pregnant women identified through PEPFAR PMTCT_STAT and Post ANC1 HTS_TST.</t>
        </r>
      </text>
    </comment>
    <comment ref="J3" authorId="0" shapeId="0" xr:uid="{00000000-0006-0000-0700-000003000000}">
      <text>
        <r>
          <rPr>
            <sz val="12"/>
            <color rgb="FF000000"/>
            <rFont val="Calibri"/>
            <family val="2"/>
            <charset val="1"/>
          </rPr>
          <t>Red highlights:</t>
        </r>
        <r>
          <rPr>
            <sz val="10"/>
            <color rgb="FF000000"/>
            <rFont val="Tahoma"/>
            <family val="2"/>
            <charset val="1"/>
          </rPr>
          <t xml:space="preserve"> Enter yields.</t>
        </r>
      </text>
    </comment>
    <comment ref="K3" authorId="0" shapeId="0" xr:uid="{00000000-0006-0000-0700-000004000000}">
      <text>
        <r>
          <rPr>
            <sz val="12"/>
            <color rgb="FF000000"/>
            <rFont val="Calibri"/>
            <family val="2"/>
            <charset val="1"/>
          </rPr>
          <t xml:space="preserve">Red highlights: </t>
        </r>
        <r>
          <rPr>
            <sz val="10"/>
            <color rgb="FF000000"/>
            <rFont val="Tahoma"/>
            <family val="2"/>
            <charset val="1"/>
          </rPr>
          <t>Enter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0800-000001000000}">
      <text>
        <r>
          <rPr>
            <sz val="12"/>
            <color rgb="FF000000"/>
            <rFont val="Calibri"/>
            <family val="2"/>
            <charset val="1"/>
          </rPr>
          <t>Values highlighted yellow below represent estimated increases in incidence.</t>
        </r>
      </text>
    </comment>
    <comment ref="K3" authorId="0" shapeId="0" xr:uid="{00000000-0006-0000-0800-000002000000}">
      <text>
        <r>
          <rPr>
            <sz val="12"/>
            <color rgb="FF000000"/>
            <rFont val="Calibri"/>
            <family val="2"/>
            <charset val="1"/>
          </rPr>
          <t xml:space="preserve">Red Highlights </t>
        </r>
        <r>
          <rPr>
            <sz val="10"/>
            <color rgb="FF000000"/>
            <rFont val="Tahoma"/>
            <family val="2"/>
            <charset val="1"/>
          </rPr>
          <t xml:space="preserve">indicate either:
- Values &lt;0 or &gt;100%
- Missing rates.
</t>
        </r>
        <r>
          <rPr>
            <b/>
            <sz val="10"/>
            <color rgb="FF000000"/>
            <rFont val="Tahoma"/>
            <family val="2"/>
            <charset val="1"/>
          </rPr>
          <t>Yellow Highlights</t>
        </r>
        <r>
          <rPr>
            <sz val="10"/>
            <color rgb="FF000000"/>
            <rFont val="Tahoma"/>
            <family val="2"/>
            <charset val="1"/>
          </rPr>
          <t xml:space="preserve"> indicate rates ≥ 75%.</t>
        </r>
      </text>
    </comment>
    <comment ref="M3" authorId="0" shapeId="0" xr:uid="{00000000-0006-0000-0800-000003000000}">
      <text>
        <r>
          <rPr>
            <sz val="12"/>
            <color rgb="FF000000"/>
            <rFont val="Calibri"/>
            <family val="2"/>
            <charset val="1"/>
          </rPr>
          <t xml:space="preserve">Red Highlights </t>
        </r>
        <r>
          <rPr>
            <sz val="10"/>
            <color rgb="FF000000"/>
            <rFont val="Tahoma"/>
            <family val="2"/>
          </rPr>
          <t xml:space="preserve">indicate either:
- Values &lt;0 or &gt;100%
- Missing rates.
</t>
        </r>
        <r>
          <rPr>
            <b/>
            <sz val="10"/>
            <color rgb="FF000000"/>
            <rFont val="Tahoma"/>
            <family val="2"/>
          </rPr>
          <t>Yellow Highlights</t>
        </r>
        <r>
          <rPr>
            <sz val="10"/>
            <color rgb="FF000000"/>
            <rFont val="Tahoma"/>
            <family val="2"/>
          </rPr>
          <t xml:space="preserve"> indicate yields &gt; 10%.</t>
        </r>
      </text>
    </comment>
    <comment ref="O3" authorId="0" shapeId="0" xr:uid="{00000000-0006-0000-0800-000004000000}">
      <text>
        <r>
          <rPr>
            <sz val="12"/>
            <color rgb="FF000000"/>
            <rFont val="Calibri"/>
            <family val="2"/>
            <charset val="1"/>
          </rPr>
          <t>#VALUE!:</t>
        </r>
        <r>
          <rPr>
            <sz val="10"/>
            <color rgb="FF000000"/>
            <rFont val="Tahoma"/>
            <family val="2"/>
            <charset val="1"/>
          </rPr>
          <t xml:space="preserve"> Provide missing Known Positivity (FY23) rates.</t>
        </r>
      </text>
    </comment>
    <comment ref="P3" authorId="0" shapeId="0" xr:uid="{00000000-0006-0000-0800-000005000000}">
      <text>
        <r>
          <rPr>
            <sz val="12"/>
            <color rgb="FF000000"/>
            <rFont val="Calibri"/>
            <family val="2"/>
            <charset val="1"/>
          </rPr>
          <t xml:space="preserve">Yellow Highlights: </t>
        </r>
        <r>
          <rPr>
            <sz val="10"/>
            <color rgb="FF000000"/>
            <rFont val="Tahoma"/>
            <family val="2"/>
            <charset val="1"/>
          </rPr>
          <t xml:space="preserve">Increases over previous year targets.
</t>
        </r>
        <r>
          <rPr>
            <b/>
            <sz val="10"/>
            <color rgb="FF000000"/>
            <rFont val="Tahoma"/>
            <family val="2"/>
            <charset val="1"/>
          </rPr>
          <t xml:space="preserve">#VALUE!: </t>
        </r>
        <r>
          <rPr>
            <sz val="10"/>
            <color rgb="FF000000"/>
            <rFont val="Tahoma"/>
            <family val="2"/>
            <charset val="1"/>
          </rPr>
          <t>Provide missing Yield (FY23) rates.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M3" authorId="0" shapeId="0" xr:uid="{00000000-0006-0000-0900-000001000000}">
      <text>
        <r>
          <rPr>
            <sz val="12"/>
            <color rgb="FF000000"/>
            <rFont val="Calibri"/>
            <family val="2"/>
            <charset val="1"/>
          </rPr>
          <t>If no estimate provided via Spectrum tab, this will reference PEPFAR's most recent target.</t>
        </r>
      </text>
    </comment>
    <comment ref="N3" authorId="0" shapeId="0" xr:uid="{00000000-0006-0000-0900-000002000000}">
      <text>
        <r>
          <rPr>
            <sz val="12"/>
            <color rgb="FF000000"/>
            <rFont val="Calibri"/>
            <family val="2"/>
            <charset val="1"/>
          </rPr>
          <t>Yellow Highlights:</t>
        </r>
        <r>
          <rPr>
            <sz val="10"/>
            <color rgb="FF000000"/>
            <rFont val="Tahoma"/>
            <family val="2"/>
            <charset val="1"/>
          </rPr>
          <t xml:space="preserve"> VMMC_TOTALCIRC_SUBNAT &gt; VMMC_CIRC_SUBNAT</t>
        </r>
      </text>
    </comment>
    <comment ref="P3" authorId="0" shapeId="0" xr:uid="{00000000-0006-0000-0900-000003000000}">
      <text>
        <r>
          <rPr>
            <sz val="12"/>
            <color rgb="FF000000"/>
            <rFont val="Calibri"/>
            <family val="2"/>
            <charset val="1"/>
          </rPr>
          <t>Yellow Highlights:</t>
        </r>
        <r>
          <rPr>
            <sz val="10"/>
            <color rgb="FF000000"/>
            <rFont val="Tahoma"/>
            <family val="2"/>
            <charset val="1"/>
          </rPr>
          <t xml:space="preserve"> Coverage &lt;80%, or &gt;100%.</t>
        </r>
      </text>
    </comment>
    <comment ref="Q3" authorId="0" shapeId="0" xr:uid="{00000000-0006-0000-0900-000004000000}">
      <text>
        <r>
          <rPr>
            <sz val="12"/>
            <color rgb="FF000000"/>
            <rFont val="Calibri"/>
            <family val="2"/>
            <charset val="1"/>
          </rPr>
          <t>#VALUE!:</t>
        </r>
        <r>
          <rPr>
            <sz val="10"/>
            <color rgb="FF000000"/>
            <rFont val="Tahoma"/>
            <family val="2"/>
            <charset val="1"/>
          </rPr>
          <t xml:space="preserve"> Provide missing Targeted Host Country VMMC Coverage rates.</t>
        </r>
      </text>
    </comment>
    <comment ref="V3" authorId="0" shapeId="0" xr:uid="{00000000-0006-0000-0900-000005000000}">
      <text>
        <r>
          <rPr>
            <sz val="12"/>
            <color rgb="FF000000"/>
            <rFont val="Calibri"/>
            <family val="2"/>
            <charset val="1"/>
          </rPr>
          <t xml:space="preserve">Red Highlights </t>
        </r>
        <r>
          <rPr>
            <sz val="10"/>
            <color rgb="FF000000"/>
            <rFont val="Tahoma"/>
            <family val="2"/>
          </rPr>
          <t>indicate either:
- Values &lt;0 or &gt;100%
- Missing rates.</t>
        </r>
      </text>
    </comment>
    <comment ref="X3" authorId="0" shapeId="0" xr:uid="{00000000-0006-0000-0900-000006000000}">
      <text>
        <r>
          <rPr>
            <sz val="12"/>
            <color rgb="FF000000"/>
            <rFont val="Calibri"/>
            <family val="2"/>
            <charset val="1"/>
          </rPr>
          <t xml:space="preserve">Red Highlights </t>
        </r>
        <r>
          <rPr>
            <sz val="10"/>
            <color rgb="FF000000"/>
            <rFont val="Tahoma"/>
            <family val="2"/>
          </rPr>
          <t xml:space="preserve">indicate either:
- Values &lt;0 or &gt;100%
- Missing rates.
</t>
        </r>
        <r>
          <rPr>
            <b/>
            <sz val="10"/>
            <color rgb="FF000000"/>
            <rFont val="Tahoma"/>
            <family val="2"/>
          </rPr>
          <t>Yellow Highlights</t>
        </r>
        <r>
          <rPr>
            <sz val="10"/>
            <color rgb="FF000000"/>
            <rFont val="Tahoma"/>
            <family val="2"/>
          </rPr>
          <t xml:space="preserve"> indicate yield &gt;1%.</t>
        </r>
      </text>
    </comment>
    <comment ref="Z3" authorId="0" shapeId="0" xr:uid="{00000000-0006-0000-0900-000007000000}">
      <text>
        <r>
          <rPr>
            <sz val="12"/>
            <color rgb="FF000000"/>
            <rFont val="Calibri"/>
            <family val="2"/>
            <charset val="1"/>
          </rPr>
          <t xml:space="preserve">#VALUE!: </t>
        </r>
        <r>
          <rPr>
            <sz val="10"/>
            <color rgb="FF000000"/>
            <rFont val="Tahoma"/>
            <family val="2"/>
            <charset val="1"/>
          </rPr>
          <t>Provide missing Indeterminate/Not Tested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Q3" authorId="0" shapeId="0" xr:uid="{00000000-0006-0000-0A00-000001000000}">
      <text>
        <r>
          <rPr>
            <sz val="12"/>
            <color rgb="FF000000"/>
            <rFont val="Calibri"/>
            <family val="2"/>
            <charset val="1"/>
          </rPr>
          <t>HIV Tests among PrEP follow-up patients.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B00-000001000000}">
      <text>
        <r>
          <rPr>
            <sz val="12"/>
            <color rgb="FF000000"/>
            <rFont val="Calibri"/>
            <family val="2"/>
            <charset val="1"/>
          </rPr>
          <t>Gray columns</t>
        </r>
        <r>
          <rPr>
            <sz val="10"/>
            <color rgb="FF000000"/>
            <rFont val="Tahoma"/>
            <family val="2"/>
            <charset val="1"/>
          </rPr>
          <t xml:space="preserve"> cannot be altered. Allocations are determined elsewhere, as indicated by following hyperlinks.
</t>
        </r>
        <r>
          <rPr>
            <b/>
            <sz val="10"/>
            <color rgb="FF000000"/>
            <rFont val="Tahoma"/>
            <family val="2"/>
            <charset val="1"/>
          </rPr>
          <t>Green columns</t>
        </r>
        <r>
          <rPr>
            <sz val="10"/>
            <color rgb="FF000000"/>
            <rFont val="Tahoma"/>
            <family val="2"/>
            <charset val="1"/>
          </rPr>
          <t xml:space="preserve"> can and should be altered. Initial percentages are based on most recent APR results.</t>
        </r>
      </text>
    </comment>
    <comment ref="V3" authorId="0" shapeId="0" xr:uid="{00000000-0006-0000-0B00-000002000000}">
      <text>
        <r>
          <rPr>
            <sz val="12"/>
            <color rgb="FF000000"/>
            <rFont val="Calibri"/>
            <family val="2"/>
            <charset val="1"/>
          </rPr>
          <t>Red Highlights</t>
        </r>
        <r>
          <rPr>
            <sz val="10"/>
            <color rgb="FF000000"/>
            <rFont val="Tahoma"/>
            <family val="2"/>
            <charset val="1"/>
          </rPr>
          <t xml:space="preserve"> below indicate cases where HTS_TST_POS is either over- or under-distributed to modalities. Filter on these cases and address by reallocating among modalities as appropriate.</t>
        </r>
      </text>
    </comment>
    <comment ref="W3" authorId="0" shapeId="0" xr:uid="{00000000-0006-0000-0B00-000003000000}">
      <text>
        <r>
          <rPr>
            <sz val="12"/>
            <color rgb="FF000000"/>
            <rFont val="Calibri"/>
            <family val="2"/>
            <charset val="1"/>
          </rPr>
          <t>Yellow Highlights</t>
        </r>
        <r>
          <rPr>
            <sz val="10"/>
            <color rgb="FF000000"/>
            <rFont val="Tahoma"/>
            <family val="2"/>
          </rPr>
          <t xml:space="preserve"> indicate either:
- ART Coverage ≥70% &amp; Yield &lt;10%
- ART Coverage &lt;70% &amp; Yield &lt;5%</t>
        </r>
      </text>
    </comment>
    <comment ref="AF3" authorId="0" shapeId="0" xr:uid="{00000000-0006-0000-0B00-000007000000}">
      <text>
        <r>
          <rPr>
            <sz val="12"/>
            <color rgb="FF000000"/>
            <rFont val="Calibri"/>
            <family val="2"/>
            <charset val="1"/>
          </rPr>
          <t>Yellow Highlights</t>
        </r>
        <r>
          <rPr>
            <sz val="10"/>
            <color rgb="FF000000"/>
            <rFont val="Tahoma"/>
            <family val="2"/>
          </rPr>
          <t xml:space="preserve"> indicate either:
- ART Coverage ≥70% &amp; Yield &lt;10%
- ART Coverage &lt;70% &amp; Yield &lt;5%</t>
        </r>
      </text>
    </comment>
    <comment ref="AI3" authorId="0" shapeId="0" xr:uid="{00000000-0006-0000-0B00-000009000000}">
      <text>
        <r>
          <rPr>
            <sz val="12"/>
            <color rgb="FF000000"/>
            <rFont val="Calibri"/>
            <family val="2"/>
            <charset val="1"/>
          </rPr>
          <t>Yellow Highlights</t>
        </r>
        <r>
          <rPr>
            <sz val="10"/>
            <color rgb="FF000000"/>
            <rFont val="Tahoma"/>
            <family val="2"/>
          </rPr>
          <t xml:space="preserve"> indicate either:
- ART Coverage ≥70% &amp; Yield &lt;10%
- ART Coverage &lt;70% &amp; Yield &lt;5%</t>
        </r>
      </text>
    </comment>
    <comment ref="AM3" authorId="0" shapeId="0" xr:uid="{00000000-0006-0000-0B00-00000B000000}">
      <text>
        <r>
          <rPr>
            <sz val="12"/>
            <color rgb="FF000000"/>
            <rFont val="Calibri"/>
            <family val="2"/>
            <charset val="1"/>
          </rPr>
          <t>Inclusive of PMTCT_STAT, HTS PMTCT Post ANC1, TB, VMMC, INDEX, and all other modalities.</t>
        </r>
      </text>
    </comment>
    <comment ref="AN3" authorId="0" shapeId="0" xr:uid="{00000000-0006-0000-0B00-00000C000000}">
      <text>
        <r>
          <rPr>
            <sz val="12"/>
            <color rgb="FF000000"/>
            <rFont val="Calibri"/>
            <family val="2"/>
            <charset val="1"/>
          </rPr>
          <t>Small differences may be acceptable. For larger discrepancies, return to the "Distribution of Positive Tests" section and adjust distribution percentages.</t>
        </r>
      </text>
    </comment>
    <comment ref="AU3" authorId="0" shapeId="0" xr:uid="{00000000-0006-0000-0B00-00000D000000}">
      <text>
        <r>
          <rPr>
            <sz val="12"/>
            <color rgb="FF000000"/>
            <rFont val="Calibri"/>
            <family val="2"/>
            <charset val="1"/>
          </rPr>
          <t>Inclusive of PMTCT_STAT, HTS PMTCT Post ANC1, TB, VMMC, INDEX, and all other modalities.</t>
        </r>
      </text>
    </comment>
    <comment ref="AV3" authorId="0" shapeId="0" xr:uid="{00000000-0006-0000-0B00-00000F000000}">
      <text>
        <r>
          <rPr>
            <sz val="12"/>
            <color rgb="FF000000"/>
            <rFont val="Calibri"/>
            <family val="2"/>
            <charset val="1"/>
          </rPr>
          <t>Total Positives divided by Total Tests.</t>
        </r>
      </text>
    </comment>
    <comment ref="AY3" authorId="0" shapeId="0" xr:uid="{00000000-0006-0000-0B00-000010000000}">
      <text>
        <r>
          <rPr>
            <sz val="12"/>
            <color rgb="FF000000"/>
            <rFont val="Calibri"/>
            <family val="2"/>
            <charset val="1"/>
          </rPr>
          <t>If HTS_SELF was not reported or performed previously, but will be in upcoming targets, set manually below.</t>
        </r>
      </text>
    </comment>
    <comment ref="AZ3" authorId="0" shapeId="0" xr:uid="{00000000-0006-0000-0B00-000011000000}">
      <text>
        <r>
          <rPr>
            <sz val="12"/>
            <color rgb="FF000000"/>
            <rFont val="Calibri"/>
            <family val="2"/>
            <charset val="1"/>
          </rPr>
          <t xml:space="preserve">Red highlights </t>
        </r>
        <r>
          <rPr>
            <sz val="10"/>
            <color rgb="FF000000"/>
            <rFont val="Tahoma"/>
            <family val="2"/>
            <charset val="1"/>
          </rPr>
          <t xml:space="preserve">= Coverage rate &gt;100%
</t>
        </r>
        <r>
          <rPr>
            <b/>
            <sz val="10"/>
            <color rgb="FF000000"/>
            <rFont val="Tahoma"/>
            <family val="2"/>
            <charset val="1"/>
          </rPr>
          <t xml:space="preserve">Yellow highlights </t>
        </r>
        <r>
          <rPr>
            <sz val="10"/>
            <color rgb="FF000000"/>
            <rFont val="Tahoma"/>
            <family val="2"/>
            <charset val="1"/>
          </rPr>
          <t>= Coverage rate &lt; 100%</t>
        </r>
      </text>
    </comment>
    <comment ref="Y4" authorId="0" shapeId="0" xr:uid="{00000000-0006-0000-0B00-000004000000}">
      <text>
        <r>
          <rPr>
            <sz val="12"/>
            <color rgb="FF000000"/>
            <rFont val="Calibri"/>
            <family val="2"/>
            <charset val="1"/>
          </rPr>
          <t xml:space="preserve">#DIV/0!: </t>
        </r>
        <r>
          <rPr>
            <sz val="10"/>
            <color rgb="FF000000"/>
            <rFont val="Tahoma"/>
            <family val="2"/>
          </rPr>
          <t>If you see this here, check yields.</t>
        </r>
      </text>
    </comment>
    <comment ref="AB4" authorId="0" shapeId="0" xr:uid="{00000000-0006-0000-0B00-000005000000}">
      <text>
        <r>
          <rPr>
            <sz val="12"/>
            <color rgb="FF000000"/>
            <rFont val="Calibri"/>
            <family val="2"/>
            <charset val="1"/>
          </rPr>
          <t xml:space="preserve">#DIV/0!: </t>
        </r>
        <r>
          <rPr>
            <sz val="10"/>
            <color rgb="FF000000"/>
            <rFont val="Tahoma"/>
            <family val="2"/>
          </rPr>
          <t>If you see this here, check yields.</t>
        </r>
      </text>
    </comment>
    <comment ref="AE4" authorId="0" shapeId="0" xr:uid="{00000000-0006-0000-0B00-000006000000}">
      <text>
        <r>
          <rPr>
            <sz val="12"/>
            <color rgb="FF000000"/>
            <rFont val="Calibri"/>
            <family val="2"/>
            <charset val="1"/>
          </rPr>
          <t xml:space="preserve">#DIV/0!: </t>
        </r>
        <r>
          <rPr>
            <sz val="10"/>
            <color rgb="FF000000"/>
            <rFont val="Tahoma"/>
            <family val="2"/>
          </rPr>
          <t>If you see this here, check yields.</t>
        </r>
      </text>
    </comment>
    <comment ref="AH4" authorId="0" shapeId="0" xr:uid="{00000000-0006-0000-0B00-000008000000}">
      <text>
        <r>
          <rPr>
            <sz val="12"/>
            <color rgb="FF000000"/>
            <rFont val="Calibri"/>
            <family val="2"/>
            <charset val="1"/>
          </rPr>
          <t xml:space="preserve">#DIV/0!: </t>
        </r>
        <r>
          <rPr>
            <sz val="10"/>
            <color rgb="FF000000"/>
            <rFont val="Tahoma"/>
            <family val="2"/>
          </rPr>
          <t>If you see this here, check yields.</t>
        </r>
      </text>
    </comment>
    <comment ref="AK4" authorId="0" shapeId="0" xr:uid="{00000000-0006-0000-0B00-00000A000000}">
      <text>
        <r>
          <rPr>
            <sz val="12"/>
            <color rgb="FF000000"/>
            <rFont val="Calibri"/>
            <family val="2"/>
            <charset val="1"/>
          </rPr>
          <t xml:space="preserve">#DIV/0!: </t>
        </r>
        <r>
          <rPr>
            <sz val="10"/>
            <color rgb="FF000000"/>
            <rFont val="Tahoma"/>
            <family val="2"/>
          </rPr>
          <t>If you see this here, check yields.</t>
        </r>
      </text>
    </comment>
    <comment ref="AU4" authorId="0" shapeId="0" xr:uid="{00000000-0006-0000-0B00-00000E000000}">
      <text>
        <r>
          <rPr>
            <sz val="12"/>
            <color rgb="FF000000"/>
            <rFont val="Calibri"/>
            <family val="2"/>
            <charset val="1"/>
          </rPr>
          <t xml:space="preserve">#DIV/0!: </t>
        </r>
        <r>
          <rPr>
            <sz val="10"/>
            <color rgb="FF000000"/>
            <rFont val="Tahoma"/>
            <family val="2"/>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K3" authorId="0" shapeId="0" xr:uid="{00000000-0006-0000-0C00-000001000000}">
      <text>
        <r>
          <rPr>
            <sz val="12"/>
            <color rgb="FF000000"/>
            <rFont val="Calibri"/>
            <family val="2"/>
            <charset val="1"/>
          </rPr>
          <t xml:space="preserve">Yellow highlights = </t>
        </r>
        <r>
          <rPr>
            <sz val="10"/>
            <color rgb="FF000000"/>
            <rFont val="Tahoma"/>
            <family val="2"/>
            <charset val="1"/>
          </rPr>
          <t>Screening coverage rate is less than 50%.</t>
        </r>
      </text>
    </comment>
    <comment ref="L3" authorId="0" shapeId="0" xr:uid="{00000000-0006-0000-0C00-000002000000}">
      <text>
        <r>
          <rPr>
            <sz val="12"/>
            <color rgb="FF000000"/>
            <rFont val="Calibri"/>
            <family val="2"/>
            <charset val="1"/>
          </rPr>
          <t xml:space="preserve">Yellow highlights = </t>
        </r>
        <r>
          <rPr>
            <sz val="10"/>
            <color rgb="FF000000"/>
            <rFont val="Tahoma"/>
            <family val="2"/>
            <charset val="1"/>
          </rPr>
          <t>Screening coverage rate is less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H3" authorId="0" shapeId="0" xr:uid="{00000000-0006-0000-0D00-000001000000}">
      <text>
        <r>
          <rPr>
            <sz val="12"/>
            <color rgb="FF000000"/>
            <rFont val="Calibri"/>
            <family val="2"/>
            <charset val="1"/>
          </rPr>
          <t>Red highlights indicate cases where coverage rates are missing, but required.</t>
        </r>
      </text>
    </comment>
    <comment ref="I3" authorId="0" shapeId="0" xr:uid="{00000000-0006-0000-0D00-000002000000}">
      <text>
        <r>
          <rPr>
            <sz val="12"/>
            <color rgb="FF000000"/>
            <rFont val="Calibri"/>
            <family val="2"/>
            <charset val="1"/>
          </rPr>
          <t>Red highlights indicate cases where coverage rates are missing, but required.</t>
        </r>
      </text>
    </comment>
    <comment ref="J3" authorId="0" shapeId="0" xr:uid="{00000000-0006-0000-0D00-000003000000}">
      <text>
        <r>
          <rPr>
            <sz val="12"/>
            <color rgb="FF000000"/>
            <rFont val="Calibri"/>
            <family val="2"/>
            <charset val="1"/>
          </rPr>
          <t>Red highlights indicate cases where yields are missing, but required.</t>
        </r>
      </text>
    </comment>
    <comment ref="K3" authorId="0" shapeId="0" xr:uid="{00000000-0006-0000-0D00-000004000000}">
      <text>
        <r>
          <rPr>
            <sz val="12"/>
            <color rgb="FF000000"/>
            <rFont val="Calibri"/>
            <family val="2"/>
            <charset val="1"/>
          </rPr>
          <t>Red highlights indicate cases where yields are missing, but required.</t>
        </r>
      </text>
    </comment>
    <comment ref="P3" authorId="0" shapeId="0" xr:uid="{00000000-0006-0000-0D00-000005000000}">
      <text>
        <r>
          <rPr>
            <sz val="12"/>
            <color rgb="FF000000"/>
            <rFont val="Calibri"/>
            <family val="2"/>
            <charset val="1"/>
          </rPr>
          <t>Taken from TB_PREV (N) Results.</t>
        </r>
      </text>
    </comment>
    <comment ref="T3" authorId="0" shapeId="0" xr:uid="{00000000-0006-0000-0D00-000006000000}">
      <text>
        <r>
          <rPr>
            <sz val="12"/>
            <color rgb="FF000000"/>
            <rFont val="Calibri"/>
            <family val="2"/>
            <charset val="1"/>
          </rPr>
          <t>Those on ART who were screened and found negative for TB, and who likely have not completed TPT in the last 7 years.</t>
        </r>
      </text>
    </comment>
    <comment ref="V3" authorId="0" shapeId="0" xr:uid="{00000000-0006-0000-0D00-000007000000}">
      <text>
        <r>
          <rPr>
            <sz val="12"/>
            <color rgb="FF000000"/>
            <rFont val="Calibri"/>
            <family val="2"/>
            <charset val="1"/>
          </rPr>
          <t>All those New on ART who are found negative for TB are considered eligible for TPT in this column.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M3" authorId="0" shapeId="0" xr:uid="{00000000-0006-0000-0F00-000001000000}">
      <text>
        <r>
          <rPr>
            <sz val="12"/>
            <color rgb="FF000000"/>
            <rFont val="Calibri"/>
            <family val="2"/>
            <charset val="1"/>
          </rPr>
          <t xml:space="preserve">Does not include Exited or Transferred Out in Denominator.
</t>
        </r>
        <r>
          <rPr>
            <sz val="10"/>
            <color rgb="FF000000"/>
            <rFont val="Tahoma"/>
            <family val="2"/>
            <charset val="1"/>
          </rPr>
          <t xml:space="preserve">
</t>
        </r>
        <r>
          <rPr>
            <b/>
            <sz val="10"/>
            <color rgb="FF000000"/>
            <rFont val="Tahoma"/>
            <family val="2"/>
            <charset val="1"/>
          </rPr>
          <t>Yellow Highlights</t>
        </r>
        <r>
          <rPr>
            <sz val="10"/>
            <color rgb="FF000000"/>
            <rFont val="Tahoma"/>
            <family val="2"/>
            <charset val="1"/>
          </rPr>
          <t xml:space="preserve"> indicate graduation rates &lt;20%.</t>
        </r>
      </text>
    </comment>
    <comment ref="S3" authorId="0" shapeId="0" xr:uid="{00000000-0006-0000-0F00-000002000000}">
      <text>
        <r>
          <rPr>
            <sz val="12"/>
            <color rgb="FF000000"/>
            <rFont val="Calibri"/>
            <family val="2"/>
            <charset val="1"/>
          </rPr>
          <t>Yellow Highlights</t>
        </r>
        <r>
          <rPr>
            <sz val="10"/>
            <color rgb="FF000000"/>
            <rFont val="Tahoma"/>
            <family val="2"/>
            <charset val="1"/>
          </rPr>
          <t xml:space="preserve"> indicate rates below &lt;100%.</t>
        </r>
      </text>
    </comment>
    <comment ref="T3" authorId="0" shapeId="0" xr:uid="{00000000-0006-0000-0F00-000003000000}">
      <text>
        <r>
          <rPr>
            <sz val="12"/>
            <color rgb="FF000000"/>
            <rFont val="Calibri"/>
            <family val="2"/>
            <charset val="1"/>
          </rPr>
          <t>OVC_HIVSTAT will be aggregated across Age/Sex and only a numerator total will be imported into DATIM.</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Q3" authorId="0" shapeId="0" xr:uid="{00000000-0006-0000-1100-000001000000}">
      <text>
        <r>
          <rPr>
            <sz val="12"/>
            <color rgb="FF000000"/>
            <rFont val="Calibri"/>
            <family val="2"/>
            <charset val="1"/>
          </rPr>
          <t>Yellow Highlights</t>
        </r>
        <r>
          <rPr>
            <sz val="10"/>
            <color rgb="FF000000"/>
            <rFont val="Tahoma"/>
            <family val="2"/>
            <charset val="1"/>
          </rPr>
          <t xml:space="preserve"> indicate rates &lt;60%.</t>
        </r>
      </text>
    </comment>
    <comment ref="T3" authorId="0" shapeId="0" xr:uid="{00000000-0006-0000-1100-000002000000}">
      <text>
        <r>
          <rPr>
            <sz val="12"/>
            <color rgb="FF000000"/>
            <rFont val="Calibri"/>
            <family val="2"/>
            <charset val="1"/>
          </rPr>
          <t>Red Highlights</t>
        </r>
        <r>
          <rPr>
            <sz val="10"/>
            <color rgb="FF000000"/>
            <rFont val="Tahoma"/>
            <family val="2"/>
            <charset val="1"/>
          </rPr>
          <t xml:space="preserve"> indicate Numerator greater than Denominator.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1200-000001000000}">
      <text>
        <r>
          <rPr>
            <sz val="12"/>
            <color rgb="FF000000"/>
            <rFont val="Calibri"/>
            <family val="2"/>
            <charset val="1"/>
          </rPr>
          <t>To add KP_MAT targets where no previous targets existed, overwrite the formula in this column.</t>
        </r>
      </text>
    </comment>
  </commentList>
</comments>
</file>

<file path=xl/sharedStrings.xml><?xml version="1.0" encoding="utf-8"?>
<sst xmlns="http://schemas.openxmlformats.org/spreadsheetml/2006/main" count="89210" uniqueCount="1387">
  <si>
    <t>PEPFAR</t>
  </si>
  <si>
    <t>Malawi</t>
  </si>
  <si>
    <t>lZsCb6y0KDX</t>
  </si>
  <si>
    <t>Generated on: 2023-02-13 15:48:23</t>
  </si>
  <si>
    <t>Package version: 6.1.0</t>
  </si>
  <si>
    <t>psnu</t>
  </si>
  <si>
    <t>psnu_uid</t>
  </si>
  <si>
    <t>area_id</t>
  </si>
  <si>
    <t>indicator_code</t>
  </si>
  <si>
    <t>dataelement_uid</t>
  </si>
  <si>
    <t>age</t>
  </si>
  <si>
    <t>age_uid</t>
  </si>
  <si>
    <t>sex</t>
  </si>
  <si>
    <t>sex_uid</t>
  </si>
  <si>
    <t>calendar_quarter</t>
  </si>
  <si>
    <t>value</t>
  </si>
  <si>
    <t>age_sex_rse</t>
  </si>
  <si>
    <t>district_rse</t>
  </si>
  <si>
    <t>parsed_age</t>
  </si>
  <si>
    <t>ID</t>
  </si>
  <si>
    <t>Select cell D2</t>
  </si>
  <si>
    <t>--&gt;</t>
  </si>
  <si>
    <t>Chitipa District</t>
  </si>
  <si>
    <t>GkIwZrXy1h2</t>
  </si>
  <si>
    <t>MWI_3_1_demo</t>
  </si>
  <si>
    <t>TX_CURR_SUBNAT.R</t>
  </si>
  <si>
    <t>MktYDp33kd6</t>
  </si>
  <si>
    <t>=""&lt;01""</t>
  </si>
  <si>
    <t>sMBMO5xAq5T</t>
  </si>
  <si>
    <t>Female</t>
  </si>
  <si>
    <t>Z1EnpTPaUfq</t>
  </si>
  <si>
    <t>CY2022Q4</t>
  </si>
  <si>
    <t>=""01-09""</t>
  </si>
  <si>
    <t>Y001_009</t>
  </si>
  <si>
    <t>Adding Estimates from Spectrum</t>
  </si>
  <si>
    <t>=""10-14""</t>
  </si>
  <si>
    <t>jcGQdcpPSJP</t>
  </si>
  <si>
    <t>=""15-24""</t>
  </si>
  <si>
    <t>Y015_024</t>
  </si>
  <si>
    <t>Follow the below instructions to successfully import Spectrum estimates into your Data Pack:</t>
  </si>
  <si>
    <t>=""25-34""</t>
  </si>
  <si>
    <t>Y025_034</t>
  </si>
  <si>
    <t>=""35-49""</t>
  </si>
  <si>
    <t>Y035_049</t>
  </si>
  <si>
    <t>=""50+""</t>
  </si>
  <si>
    <t>Y050_999</t>
  </si>
  <si>
    <t>1) Select cell D2.</t>
  </si>
  <si>
    <t>Male</t>
  </si>
  <si>
    <t>Qn0I5FbKQOA</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</si>
  <si>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</si>
  <si>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</si>
  <si>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</si>
  <si>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Dowa District</t>
  </si>
  <si>
    <t>zphK9WV8JB4</t>
  </si>
  <si>
    <t>MWI_3_10_demo</t>
  </si>
  <si>
    <t>5) In Step 2 of the Text Import Wizard, select `Comma` as Delimiter Type. Click `Next`.</t>
  </si>
  <si>
    <t>6) In Step 3 of the Text Import Wizard, click `Finish`.</t>
  </si>
  <si>
    <t>7) In the next prompt, click `Ok`.</t>
  </si>
  <si>
    <t>8) In columns Q &amp; R, drag formulas down to extend to last row of Spectrum import file.</t>
  </si>
  <si>
    <t>Salima District</t>
  </si>
  <si>
    <t>msW2zpIN7up</t>
  </si>
  <si>
    <t>MWI_3_11_demo</t>
  </si>
  <si>
    <t>Mchinji District</t>
  </si>
  <si>
    <t>kxuuIFpOXyO</t>
  </si>
  <si>
    <t>MWI_3_12_demo</t>
  </si>
  <si>
    <t>Lilongwe District</t>
  </si>
  <si>
    <t>ScR9iFKAasW</t>
  </si>
  <si>
    <t>MWI_3_13_demo</t>
  </si>
  <si>
    <t>Dedza District</t>
  </si>
  <si>
    <t>PekKUkKHAzY</t>
  </si>
  <si>
    <t>MWI_3_14_demo</t>
  </si>
  <si>
    <t>Ntcheu District</t>
  </si>
  <si>
    <t>am530wpaGvr</t>
  </si>
  <si>
    <t>MWI_3_15_demo</t>
  </si>
  <si>
    <t>Mangochi District</t>
  </si>
  <si>
    <t>lLDyBx5XyUi</t>
  </si>
  <si>
    <t>MWI_3_16_demo</t>
  </si>
  <si>
    <t>Machinga District</t>
  </si>
  <si>
    <t>TYnMSwzko3z</t>
  </si>
  <si>
    <t>MWI_3_17_demo</t>
  </si>
  <si>
    <t>Balaka District</t>
  </si>
  <si>
    <t>ir8wuHHzoSs</t>
  </si>
  <si>
    <t>MWI_3_18_demo</t>
  </si>
  <si>
    <t>Zomba District</t>
  </si>
  <si>
    <t>fyEoGEPERdI</t>
  </si>
  <si>
    <t>MWI_3_19_demo</t>
  </si>
  <si>
    <t>Karonga District</t>
  </si>
  <si>
    <t>cPtvxaZqXIH</t>
  </si>
  <si>
    <t>MWI_3_2_demo</t>
  </si>
  <si>
    <t>Phalombe District</t>
  </si>
  <si>
    <t>AZyWpGzhcaA</t>
  </si>
  <si>
    <t>MWI_3_20_demo</t>
  </si>
  <si>
    <t>Mulanje District</t>
  </si>
  <si>
    <t>umc2n1Z4wNv</t>
  </si>
  <si>
    <t>MWI_3_21_demo</t>
  </si>
  <si>
    <t>Neno District</t>
  </si>
  <si>
    <t>gwVYinjBAe9</t>
  </si>
  <si>
    <t>MWI_3_22_demo</t>
  </si>
  <si>
    <t>Blantyre District</t>
  </si>
  <si>
    <t>mxqa3CDFmIT</t>
  </si>
  <si>
    <t>MWI_3_23_demo</t>
  </si>
  <si>
    <t>Mwanza District</t>
  </si>
  <si>
    <t>wNqJp8oRIcF</t>
  </si>
  <si>
    <t>MWI_3_24_demo</t>
  </si>
  <si>
    <t>Chiradzulu District</t>
  </si>
  <si>
    <t>oiPR2CiVJbf</t>
  </si>
  <si>
    <t>MWI_3_25_demo</t>
  </si>
  <si>
    <t>Thyolo District</t>
  </si>
  <si>
    <t>ul0y9diGujK</t>
  </si>
  <si>
    <t>MWI_3_26_demo</t>
  </si>
  <si>
    <t>Chikwawa District</t>
  </si>
  <si>
    <t>U8c0so51kT6</t>
  </si>
  <si>
    <t>MWI_3_27_demo</t>
  </si>
  <si>
    <t>Nsanje District</t>
  </si>
  <si>
    <t>rpw540fmNUz</t>
  </si>
  <si>
    <t>MWI_3_28_demo</t>
  </si>
  <si>
    <t>Rumphi District</t>
  </si>
  <si>
    <t>lPTyjLi4w3d</t>
  </si>
  <si>
    <t>MWI_3_3_demo</t>
  </si>
  <si>
    <t>Mzimba District</t>
  </si>
  <si>
    <t>vA4NcHxfMBq</t>
  </si>
  <si>
    <t>MWI_3_4_demo</t>
  </si>
  <si>
    <t>Nkhata Bay District</t>
  </si>
  <si>
    <t>E7zpfyBt7Tw</t>
  </si>
  <si>
    <t>MWI_3_5_demo</t>
  </si>
  <si>
    <t>Likoma District</t>
  </si>
  <si>
    <t>ZCjuwgaMB9u</t>
  </si>
  <si>
    <t>MWI_3_6_demo</t>
  </si>
  <si>
    <t>Nkhotakota District</t>
  </si>
  <si>
    <t>YCKiBAp8QAg</t>
  </si>
  <si>
    <t>MWI_3_7_demo</t>
  </si>
  <si>
    <t>Kasungu District</t>
  </si>
  <si>
    <t>JQKLKuVuY61</t>
  </si>
  <si>
    <t>MWI_3_8_demo</t>
  </si>
  <si>
    <t>Ntchisi District</t>
  </si>
  <si>
    <t>fiRkU6gEjLz</t>
  </si>
  <si>
    <t>MWI_3_9_demo</t>
  </si>
  <si>
    <t>POP_EST.T_1</t>
  </si>
  <si>
    <t>KssDaTsGWnS</t>
  </si>
  <si>
    <t>CY2023Q3</t>
  </si>
  <si>
    <t>HIV_PREV.T_1</t>
  </si>
  <si>
    <t>lJtpR5byqps</t>
  </si>
  <si>
    <t>PLHIV_Residents.T_1</t>
  </si>
  <si>
    <t>iwSejvD8cXl</t>
  </si>
  <si>
    <t>PopART.Rt.T_1</t>
  </si>
  <si>
    <t>TX_CURR_SUBNAT.T_1</t>
  </si>
  <si>
    <t>xghQXueYJxu</t>
  </si>
  <si>
    <t>DIAGNOSED_SUBNAT.T_1</t>
  </si>
  <si>
    <t>nF19GOjcnoD</t>
  </si>
  <si>
    <t>PLHIV_Attend.T_1</t>
  </si>
  <si>
    <t>Untreated_PLHIV_Attend.T_1</t>
  </si>
  <si>
    <t>Incidence_SUBNAT.Rt.T_1</t>
  </si>
  <si>
    <t>NEW_INFECTIONS_SUBNAT.T_1</t>
  </si>
  <si>
    <t>PMTCT_STAT_SUBNAT.D.T_1</t>
  </si>
  <si>
    <t>RM8gRoxtsNw</t>
  </si>
  <si>
    <t>PMTCT_ART_SUBNAT.D.T_1</t>
  </si>
  <si>
    <t>eJaChfuqUTs</t>
  </si>
  <si>
    <t>PMTCT_ART_SUBNAT.N.Already.T_1</t>
  </si>
  <si>
    <t>HVBf6Sgi6Jk</t>
  </si>
  <si>
    <t>PMTCT_ART_SUBNAT.N.New.T_1</t>
  </si>
  <si>
    <t>PMTCT_STAT_SUBNAT.N.Known.Pos.T_1</t>
  </si>
  <si>
    <t>tAE7ZD7p9zu</t>
  </si>
  <si>
    <t>PMTCT_STAT_SUBNAT.N.New.Pos.T_1</t>
  </si>
  <si>
    <t>PMTCT_STAT_SUBNAT.N.New.Neg.T_1</t>
  </si>
  <si>
    <t>PLHIV_Residents.T</t>
  </si>
  <si>
    <t>PLHIV.T</t>
  </si>
  <si>
    <t>CY2024Q3</t>
  </si>
  <si>
    <t>PLHIV_Attend.T</t>
  </si>
  <si>
    <t>Incidence_SUBNAT.Rt.T</t>
  </si>
  <si>
    <t>NEW_INFECTIONS_SUBNAT.T</t>
  </si>
  <si>
    <t>PLHIV_Residents.T2</t>
  </si>
  <si>
    <t>PLHIV.T2</t>
  </si>
  <si>
    <t>CY2025Q3</t>
  </si>
  <si>
    <t>PLHIV_Attend.T2</t>
  </si>
  <si>
    <t>NEW_INFECTIONS_SUBNAT.T2</t>
  </si>
  <si>
    <t>Prioritization</t>
  </si>
  <si>
    <t>[TARGET]</t>
  </si>
  <si>
    <t>SNU Prioritization (FY23)</t>
  </si>
  <si>
    <t>SNU Prioritization (FY24)</t>
  </si>
  <si>
    <t>FY24 SNU Prioritization Translation</t>
  </si>
  <si>
    <t>datapack</t>
  </si>
  <si>
    <t>impatt</t>
  </si>
  <si>
    <t>row_header</t>
  </si>
  <si>
    <t>past</t>
  </si>
  <si>
    <t>target</t>
  </si>
  <si>
    <t>reference</t>
  </si>
  <si>
    <t>string</t>
  </si>
  <si>
    <t>integer</t>
  </si>
  <si>
    <t>r4zbW3owX9n</t>
  </si>
  <si>
    <t>PSNU</t>
  </si>
  <si>
    <t>IMPATT.PRIORITY_SNU.T_1</t>
  </si>
  <si>
    <t>IMPATT.PRIORITY_SNU.T</t>
  </si>
  <si>
    <t>PRIORITY_SNU.translation</t>
  </si>
  <si>
    <t>_Military Malawi [PQZgU9dagaH]</t>
  </si>
  <si>
    <t>Dedza District [PekKUkKHAzY]</t>
  </si>
  <si>
    <t>Dowa District [zphK9WV8JB4]</t>
  </si>
  <si>
    <t>Kasungu District [JQKLKuVuY61]</t>
  </si>
  <si>
    <t>Lilongwe District [ScR9iFKAasW]</t>
  </si>
  <si>
    <t>Mchinji District [kxuuIFpOXyO]</t>
  </si>
  <si>
    <t>Nkhotakota District [YCKiBAp8QAg]</t>
  </si>
  <si>
    <t>Ntcheu District [am530wpaGvr]</t>
  </si>
  <si>
    <t>Ntchisi District [fiRkU6gEjLz]</t>
  </si>
  <si>
    <t>Salima District [msW2zpIN7up]</t>
  </si>
  <si>
    <t>Chitipa District [GkIwZrXy1h2]</t>
  </si>
  <si>
    <t>Karonga District [cPtvxaZqXIH]</t>
  </si>
  <si>
    <t>Likoma District [ZCjuwgaMB9u]</t>
  </si>
  <si>
    <t>Mzimba District [vA4NcHxfMBq]</t>
  </si>
  <si>
    <t>Nkhata Bay District [E7zpfyBt7Tw]</t>
  </si>
  <si>
    <t>Rumphi District [lPTyjLi4w3d]</t>
  </si>
  <si>
    <t>Balaka District [ir8wuHHzoSs]</t>
  </si>
  <si>
    <t>Blantyre District [mxqa3CDFmIT]</t>
  </si>
  <si>
    <t>Chikwawa District [U8c0so51kT6]</t>
  </si>
  <si>
    <t>Chiradzulu District [oiPR2CiVJbf]</t>
  </si>
  <si>
    <t>Machinga District [TYnMSwzko3z]</t>
  </si>
  <si>
    <t>Mangochi District [lLDyBx5XyUi]</t>
  </si>
  <si>
    <t>Mulanje District [umc2n1Z4wNv]</t>
  </si>
  <si>
    <t>Mwanza District [wNqJp8oRIcF]</t>
  </si>
  <si>
    <t>Neno District [gwVYinjBAe9]</t>
  </si>
  <si>
    <t>Nsanje District [rpw540fmNUz]</t>
  </si>
  <si>
    <t>Phalombe District [AZyWpGzhcaA]</t>
  </si>
  <si>
    <t>Thyolo District [ul0y9diGujK]</t>
  </si>
  <si>
    <t>Zomba District [fyEoGEPERdI]</t>
  </si>
  <si>
    <t>Cascade</t>
  </si>
  <si>
    <t>TX_CURR (FY24)</t>
  </si>
  <si>
    <t>PEPFAR FY22 Cascade (Observed)</t>
  </si>
  <si>
    <t>PEPFAR FY23 Cascade (Planned)</t>
  </si>
  <si>
    <t>Partner Country Cascade (from Spectrum tab, or manually entered here)</t>
  </si>
  <si>
    <t>ART Modeling</t>
  </si>
  <si>
    <t>ART</t>
  </si>
  <si>
    <t>ART Initiation</t>
  </si>
  <si>
    <t>VL Testing Coverage</t>
  </si>
  <si>
    <t>Viral Load Suppression</t>
  </si>
  <si>
    <t>Testing</t>
  </si>
  <si>
    <t>KEY:
- Est.: Estimated
- P.C.: Partner Country
- Prev.: Previously
- VL: Viral Load
- VLS: Viral Load Suppression
- VLT: Viral Load Test(ing)
- EVLT: Eligible for Viral Load Testing</t>
  </si>
  <si>
    <t>FY22 (Observed)</t>
  </si>
  <si>
    <t>FY23 (Estimated)</t>
  </si>
  <si>
    <t>FY24 (Projected)</t>
  </si>
  <si>
    <t>Skip if modeled externally (column F)</t>
  </si>
  <si>
    <r>
      <rPr>
        <sz val="12"/>
        <color rgb="FF000000"/>
        <rFont val="Calibri"/>
        <family val="2"/>
      </rPr>
      <t xml:space="preserve">If TX_CURR Target derived by OU analysis, enter here: 
</t>
    </r>
    <r>
      <rPr>
        <b/>
        <sz val="12"/>
        <color rgb="FF000000"/>
        <rFont val="Calibri"/>
        <family val="2"/>
        <charset val="1"/>
      </rPr>
      <t>TX_CURR (FY24)</t>
    </r>
  </si>
  <si>
    <t>New Positives</t>
  </si>
  <si>
    <t>TX_NEW</t>
  </si>
  <si>
    <t>TX_CURR</t>
  </si>
  <si>
    <t>TX_PVLS (D)</t>
  </si>
  <si>
    <t>TX_PVLS (N)</t>
  </si>
  <si>
    <t>TX_CURR: Expected Achievement (FY23)</t>
  </si>
  <si>
    <t>TX_NET_NEW</t>
  </si>
  <si>
    <t>On ART (FY22)</t>
  </si>
  <si>
    <t>Population (FY23)</t>
  </si>
  <si>
    <t>PLHIV by Residence (FY23)</t>
  </si>
  <si>
    <t>PLHIV by ART attendance (FY23)</t>
  </si>
  <si>
    <t>HIV Prevalence (FY23) (%)</t>
  </si>
  <si>
    <t>Diagnosed (FY23)</t>
  </si>
  <si>
    <t>% PLHIV Diagnosed (FY23) (%)</t>
  </si>
  <si>
    <t>On ART (FY23)</t>
  </si>
  <si>
    <t>ART Coverage (ART/PLHIV) (FY23) (%)</t>
  </si>
  <si>
    <t>% Diagnosed on ART (FY23) (%)</t>
  </si>
  <si>
    <t>Untreated PLHIV in health facility catchment area (FY23)</t>
  </si>
  <si>
    <t>ART Patients with Documented VLT 
(FY23)</t>
  </si>
  <si>
    <t>VLT Coverage (FY23) (%)</t>
  </si>
  <si>
    <t>Virally Suppressed ART Patients (FY23)</t>
  </si>
  <si>
    <t>VLS Rate (Virally Suppressed/Documented VLT) (FY23) (%)</t>
  </si>
  <si>
    <t>Incidence Rate (FY24) (%)</t>
  </si>
  <si>
    <t>New Infections (FY24)</t>
  </si>
  <si>
    <t>PLHIV (FY24)</t>
  </si>
  <si>
    <t>PLHIV by ART attendance (FY24)</t>
  </si>
  <si>
    <t>Targeted P.C. ART Coverage (ART/PLHIV) (FY24) (%)</t>
  </si>
  <si>
    <t>Targeted P.C. # on ART (FY24)</t>
  </si>
  <si>
    <t>PMTCT_HEI_POS Linked &amp; Retained on ART (FY24)</t>
  </si>
  <si>
    <t>Calculated TX_CURR (FY24)</t>
  </si>
  <si>
    <t>P.C. # on ART (FY24)</t>
  </si>
  <si>
    <t>P.C. ART Coverage (ART/PLHIV) (FY24) (%)</t>
  </si>
  <si>
    <t>Retention - Already on ART (FY24) (%)</t>
  </si>
  <si>
    <t>Retention - Initiated on ART (FY24) (%)</t>
  </si>
  <si>
    <t>TX_NET_NEW (FY24)</t>
  </si>
  <si>
    <t>Initiated on ART (FY24)</t>
  </si>
  <si>
    <t>% Initiated on ART that are TX Naive (FY24) (%)</t>
  </si>
  <si>
    <t>TX_NEW
(FY24)</t>
  </si>
  <si>
    <t>% Initiated on ART Eligible for VLT (FY24) (%)</t>
  </si>
  <si>
    <t>Eligible for VLT (FY24)</t>
  </si>
  <si>
    <t>Planned VLT Coverage (FY24) (%)</t>
  </si>
  <si>
    <t>TX_PVLS (D) Routine (FY24)</t>
  </si>
  <si>
    <t>P.C. ART Patients with Documented VLT (FY24)</t>
  </si>
  <si>
    <t>Targeted VL Suppression Rate (FY24) (%)</t>
  </si>
  <si>
    <t>TX_PVLS (N) Routine (FY24)</t>
  </si>
  <si>
    <t>P.C. Virally Suppressed ART Patients (FY24)</t>
  </si>
  <si>
    <t>Targeted ART Linkage Rate (FY24) (%)</t>
  </si>
  <si>
    <t>PLHIV to Identify (HTS_TST_POS + PMTCT_HEI_POS) (FY24)</t>
  </si>
  <si>
    <t>Roll-up</t>
  </si>
  <si>
    <t>mer</t>
  </si>
  <si>
    <t>subnat</t>
  </si>
  <si>
    <t>assumption</t>
  </si>
  <si>
    <t>calculation</t>
  </si>
  <si>
    <t>result</t>
  </si>
  <si>
    <t>percentage</t>
  </si>
  <si>
    <t>yXZtvoYQXcD</t>
  </si>
  <si>
    <t>Hyvw9VnZ2ch</t>
  </si>
  <si>
    <t>kznQBykTtJt</t>
  </si>
  <si>
    <t>YvPOllVtINQ</t>
  </si>
  <si>
    <t>vmfKLKi1NBA</t>
  </si>
  <si>
    <t>di4b6joXm84</t>
  </si>
  <si>
    <t>WpZwPieQ060</t>
  </si>
  <si>
    <t>N55pM5ZuWcI</t>
  </si>
  <si>
    <t>zoKiMGRucOY</t>
  </si>
  <si>
    <t>FjLaCnuoQWR</t>
  </si>
  <si>
    <t>ebCEt4u78PX</t>
  </si>
  <si>
    <t>alP4jHSfacs</t>
  </si>
  <si>
    <t>MylJht530Cc</t>
  </si>
  <si>
    <t>DhrLCUBm3bK</t>
  </si>
  <si>
    <t>HGZY9RNZjRd</t>
  </si>
  <si>
    <t>KlAFsRMw17y</t>
  </si>
  <si>
    <t>LCrR2BK3wmA</t>
  </si>
  <si>
    <t>KM4dyooZHUP</t>
  </si>
  <si>
    <t>rGptWqlhaVU.KM4dyooZHUP</t>
  </si>
  <si>
    <t>10 yr, 01+</t>
  </si>
  <si>
    <t>10 yr</t>
  </si>
  <si>
    <t>&lt;01</t>
  </si>
  <si>
    <t>M/F</t>
  </si>
  <si>
    <t>Age</t>
  </si>
  <si>
    <t>Sex</t>
  </si>
  <si>
    <t>TX_CURR.C</t>
  </si>
  <si>
    <t>HTS_TST.Pos.Total_With_HEI.R</t>
  </si>
  <si>
    <t>TX_NEW.R</t>
  </si>
  <si>
    <t>TX_CURR.R</t>
  </si>
  <si>
    <t>TX_PVLS.D.Routine.R</t>
  </si>
  <si>
    <t>TX_PVLS.N.Routine.R</t>
  </si>
  <si>
    <t>HTS_TST.Pos.Total_With_HEI.T_1</t>
  </si>
  <si>
    <t>TX_NEW.T_1</t>
  </si>
  <si>
    <t>TX_CURR.T_1</t>
  </si>
  <si>
    <t>TX_CURR.Expected.T_1</t>
  </si>
  <si>
    <t>TX_PVLS.D.Routine.T_1</t>
  </si>
  <si>
    <t>TX_PVLS.N.Routine.T_1</t>
  </si>
  <si>
    <t>TX_NET_NEW.T_1</t>
  </si>
  <si>
    <t>PLHIV.T_1</t>
  </si>
  <si>
    <t>DIAGNOSED_SUBNAT.Rt.T_1</t>
  </si>
  <si>
    <t>TX_CURR_SUBNAT.Rt.T_1</t>
  </si>
  <si>
    <t>VL_TESTING_SUBNAT.T_1</t>
  </si>
  <si>
    <t>VL_TESTING_SUBNAT.Rt.T_1</t>
  </si>
  <si>
    <t>VL_SUPPRESSED.T_1</t>
  </si>
  <si>
    <t>VLS_SUBNAT.Rt.T_1</t>
  </si>
  <si>
    <t>PopART.Rt.M</t>
  </si>
  <si>
    <t>TX_CURR_SUBNAT.M</t>
  </si>
  <si>
    <t>PMTCT_HEI_POS.Linked.T</t>
  </si>
  <si>
    <t>TX_CURR.M</t>
  </si>
  <si>
    <t>TX_CURR.T</t>
  </si>
  <si>
    <t>TX_CURR_SUBNAT.T</t>
  </si>
  <si>
    <t>PopART.Rt.T</t>
  </si>
  <si>
    <t>TX_RET.Already.T</t>
  </si>
  <si>
    <t>TX_RET.New.T</t>
  </si>
  <si>
    <t>TX_NET_NEW.T</t>
  </si>
  <si>
    <t>TX_INITIATED.T</t>
  </si>
  <si>
    <t>TX_INITIATED.NewRt.T</t>
  </si>
  <si>
    <t>TX_NEW.T</t>
  </si>
  <si>
    <t>EVLT.Rt.T</t>
  </si>
  <si>
    <t>EVLT.T</t>
  </si>
  <si>
    <t>TX_PVLS.D.Rt.T</t>
  </si>
  <si>
    <t>TX_PVLS.D.Routine.T</t>
  </si>
  <si>
    <t>VL_TESTING_SUBNAT.T</t>
  </si>
  <si>
    <t>TX_PVLS.N.Rt.T</t>
  </si>
  <si>
    <t>TX_PVLS.N.Routine.T</t>
  </si>
  <si>
    <t>VL_SUPPRESSED.T</t>
  </si>
  <si>
    <t>HTS_TST.Linkage.T</t>
  </si>
  <si>
    <t>HTS_TST.Pos.Total_With_HEI.T</t>
  </si>
  <si>
    <t>01-09</t>
  </si>
  <si>
    <t>10-14</t>
  </si>
  <si>
    <t>15-24</t>
  </si>
  <si>
    <t>25-34</t>
  </si>
  <si>
    <t>35-49</t>
  </si>
  <si>
    <t>50+</t>
  </si>
  <si>
    <t>KP</t>
  </si>
  <si>
    <t>KP_ESTIMATES</t>
  </si>
  <si>
    <t>PrEP_CT</t>
  </si>
  <si>
    <t>PrEP_NEW</t>
  </si>
  <si>
    <t>KP_PREV</t>
  </si>
  <si>
    <t>HTS_TST</t>
  </si>
  <si>
    <t>HTS_RECENT</t>
  </si>
  <si>
    <t>HTS_SELF</t>
  </si>
  <si>
    <t>P.C. Est. Total Size (FY23)</t>
  </si>
  <si>
    <t>P.C. Est. KPLHIV (FY23)</t>
  </si>
  <si>
    <t>P.C. Est. HIV Prevalence (FY23) (%)</t>
  </si>
  <si>
    <t>PrEP_CT - KeyPop (FY23 Targets)</t>
  </si>
  <si>
    <t>PrEP_CT - KeyPop (FY24)</t>
  </si>
  <si>
    <t>PrEP_NEW - KeyPop (FY23 Targets)</t>
  </si>
  <si>
    <t>PrEP_NEW - KeyPop (FY24)</t>
  </si>
  <si>
    <t>KP_PREV (FY23 Targets)</t>
  </si>
  <si>
    <t>KP_PREV (FY24)</t>
  </si>
  <si>
    <t>TX_CURR - KeyPop (FY22 Results)</t>
  </si>
  <si>
    <t>TX_CURR - KeyPop (FY23 Targets)</t>
  </si>
  <si>
    <t>TX_CURR - KeyPop - Expected Achievement (FY23)</t>
  </si>
  <si>
    <t>TX_CURR - KeyPop (FY24)</t>
  </si>
  <si>
    <t>P.C. # KPLHIV on ART - KeyPop (FY24)</t>
  </si>
  <si>
    <t>KP ART Coverage (P.C. ART / KPLHIV) (FY24) (%)</t>
  </si>
  <si>
    <t>TX_NEW - KeyPop (FY23 Targets)</t>
  </si>
  <si>
    <t>TX_NET_NEW - KeyPop (FY24)</t>
  </si>
  <si>
    <t>TX_NEW - KeyPop (FY24)</t>
  </si>
  <si>
    <t>TX_PVLS (D) - KeyPop (FY24)</t>
  </si>
  <si>
    <t>TX_PVLS (N) - KeyPop (FY24)</t>
  </si>
  <si>
    <t>HTS_TST, KeyPop, Positive (FY23 Targets)</t>
  </si>
  <si>
    <t>HTS_TST, KeyPop, Negative (FY23 Targets)</t>
  </si>
  <si>
    <t>Yield (FY24) (%)</t>
  </si>
  <si>
    <t>KeyPop, Positive (FY24)</t>
  </si>
  <si>
    <t>KeyPop, Negative (FY24)</t>
  </si>
  <si>
    <t>Aggregate Recency Test Coverage (FY24) (%)</t>
  </si>
  <si>
    <t>HTS_RECENT - KeyPop (FY24)</t>
  </si>
  <si>
    <t>HTS_SELF - KeyPop (FY23 Targets)</t>
  </si>
  <si>
    <t>HTS_SELF - KeyPop (FY24)</t>
  </si>
  <si>
    <t>qFyJH6fUPQk</t>
  </si>
  <si>
    <t>LADGHYIE9m1</t>
  </si>
  <si>
    <t>P3AT3zcyRhU</t>
  </si>
  <si>
    <t>bwlf1Jfww0L</t>
  </si>
  <si>
    <t>lXqlw8UxoqF</t>
  </si>
  <si>
    <t>wDWUutgeEX8</t>
  </si>
  <si>
    <t>ScQASwweWXL</t>
  </si>
  <si>
    <t>OLbhrUez4dP</t>
  </si>
  <si>
    <t>ktZYUSS0Zjo</t>
  </si>
  <si>
    <t>P9OjdVVMHMW</t>
  </si>
  <si>
    <t>tGtB1nLnQjC</t>
  </si>
  <si>
    <t>ef1o9r1kDIH</t>
  </si>
  <si>
    <t>y42bZItNsea</t>
  </si>
  <si>
    <t>qL1qysWLZoq</t>
  </si>
  <si>
    <t>GlyNHRiJTOu</t>
  </si>
  <si>
    <t>gdHE7Kk9Q1k</t>
  </si>
  <si>
    <t>VRgwEePUvdD</t>
  </si>
  <si>
    <t>rEKqsIDMOgB</t>
  </si>
  <si>
    <t>uIqAr4ev05I</t>
  </si>
  <si>
    <t>SyQHN3Jpcww</t>
  </si>
  <si>
    <t>ZYB5AHSw7Tm</t>
  </si>
  <si>
    <t>Qshwh8ZOmYD</t>
  </si>
  <si>
    <t>MA4lEpgzAxS</t>
  </si>
  <si>
    <t>uZ2UTVh2wkJ</t>
  </si>
  <si>
    <t>Hx5jjGAdVsT</t>
  </si>
  <si>
    <t>Gb0GYkqotaO</t>
  </si>
  <si>
    <t>Coarse KPs</t>
  </si>
  <si>
    <t>KeyPop</t>
  </si>
  <si>
    <t>KP_ESTIMATES.Total.T_1</t>
  </si>
  <si>
    <t>KP_ESTIMATES.Pos.T_1</t>
  </si>
  <si>
    <t>KP_ESTIMATES.Prev.T_1</t>
  </si>
  <si>
    <t>PrEP_CT.KP.T_1</t>
  </si>
  <si>
    <t>PrEP_CT.KP.T</t>
  </si>
  <si>
    <t>PrEP_NEW.KP.T_1</t>
  </si>
  <si>
    <t>PrEP_NEW.KP.T</t>
  </si>
  <si>
    <t>KP_PREV.T_1</t>
  </si>
  <si>
    <t>KP_PREV.T</t>
  </si>
  <si>
    <t>TX_CURR.KP.R</t>
  </si>
  <si>
    <t>TX_CURR.KP.T_1</t>
  </si>
  <si>
    <t>TX_CURR.KP.Expected.T_1</t>
  </si>
  <si>
    <t>TX_CURR.KP.T</t>
  </si>
  <si>
    <t>TX_CURR_SUBNAT.KP.T</t>
  </si>
  <si>
    <t>PopART.KP.Rt.T_1</t>
  </si>
  <si>
    <t>TX_NEW.KP.T_1</t>
  </si>
  <si>
    <t>TX_RET.KP.Already.T</t>
  </si>
  <si>
    <t>TX_RET.KP.New.T</t>
  </si>
  <si>
    <t>TX_NET_NEW.KP.T</t>
  </si>
  <si>
    <t>TX_INITIATED.KP.T</t>
  </si>
  <si>
    <t>TX_INITIATED.KP.NewRt.T</t>
  </si>
  <si>
    <t>TX_NEW.KP.T</t>
  </si>
  <si>
    <t>TX_PVLS.D.KP.Rt.T</t>
  </si>
  <si>
    <t>TX_PVLS.D.KP.T</t>
  </si>
  <si>
    <t>TX_PVLS.N.KP.Rt</t>
  </si>
  <si>
    <t>TX_PVLS.N.KP.T</t>
  </si>
  <si>
    <t>HTS_TST.KP.Pos.T_1</t>
  </si>
  <si>
    <t>HTS_TST.KP.Neg.T_1</t>
  </si>
  <si>
    <t>HTS_TST.KP.Linkage.T</t>
  </si>
  <si>
    <t>HTS_TST.KP.Pos.Yield.T</t>
  </si>
  <si>
    <t>HTS_TST.KP.Pos.T</t>
  </si>
  <si>
    <t>HTS_TST.KP.Neg.T</t>
  </si>
  <si>
    <t>HTS_RECENT.KP.Rt.T</t>
  </si>
  <si>
    <t>HTS_RECENT.KP.T</t>
  </si>
  <si>
    <t>HTS_SELF.KP.T_1</t>
  </si>
  <si>
    <t>HTS_SELF.KP.T</t>
  </si>
  <si>
    <t>FSW</t>
  </si>
  <si>
    <t>MSM</t>
  </si>
  <si>
    <t>People in prisons and other enclosed settings</t>
  </si>
  <si>
    <t>PWID</t>
  </si>
  <si>
    <t>TG</t>
  </si>
  <si>
    <t>Year 2 Targets</t>
  </si>
  <si>
    <t>Testing Distribution</t>
  </si>
  <si>
    <t>All Other Indicators</t>
  </si>
  <si>
    <t>You may manually enter TX_CURR in column Q, or follow the optional Modeled ART section, as needed.</t>
  </si>
  <si>
    <t>FY24 Targets</t>
  </si>
  <si>
    <t>Modeled ART (Optional)</t>
  </si>
  <si>
    <t>VL Suppression</t>
  </si>
  <si>
    <t>FY24</t>
  </si>
  <si>
    <t>FY25</t>
  </si>
  <si>
    <t>PMTCT_STAT</t>
  </si>
  <si>
    <t>PMTCT_ART</t>
  </si>
  <si>
    <t>TB_STAT</t>
  </si>
  <si>
    <t>TB_ART</t>
  </si>
  <si>
    <t>VMMC_CIRC</t>
  </si>
  <si>
    <t>PrEP</t>
  </si>
  <si>
    <t>PP_PREV</t>
  </si>
  <si>
    <t>CXCA_SCRN</t>
  </si>
  <si>
    <t xml:space="preserve">TX_TB (D) </t>
  </si>
  <si>
    <t>TB_PREV (D)</t>
  </si>
  <si>
    <t>TB_PREV (N)</t>
  </si>
  <si>
    <t>OVC_SERV</t>
  </si>
  <si>
    <t>OVC_HIVSTAT</t>
  </si>
  <si>
    <t>AGYW_PREV</t>
  </si>
  <si>
    <t>KP_MAT</t>
  </si>
  <si>
    <t>GEND_GBV</t>
  </si>
  <si>
    <t>Total Positives (FY24)</t>
  </si>
  <si>
    <t>PLHIV
(FY24)</t>
  </si>
  <si>
    <t>P.C. # on ART
(FY24)</t>
  </si>
  <si>
    <t>P.C. ART Coverage (ART/PLHIV)
(FY24)
(%)</t>
  </si>
  <si>
    <t>New Infections (FY25)</t>
  </si>
  <si>
    <t>PLHIV
(FY25)</t>
  </si>
  <si>
    <t>Targeted P.C. ART Coverage (ART/PLHIV)
(FY25)
(%)</t>
  </si>
  <si>
    <t>Targeted P.C. # on ART
(FY25)</t>
  </si>
  <si>
    <t>P.C. % ART clients at PEPFAR-supported sites (FY25) (%)</t>
  </si>
  <si>
    <t>TX_CURR (FY25)</t>
  </si>
  <si>
    <t>P.C. # on ART
(FY25)</t>
  </si>
  <si>
    <t>P.C. ART Coverage
(ART/PHIV)
(FY25)
(%)</t>
  </si>
  <si>
    <t>Retention - Already on ART (FY25)
(%)</t>
  </si>
  <si>
    <t>Retention - Initiated on ART (FY25)
(%)</t>
  </si>
  <si>
    <t>Initiated on ART
(FY25)</t>
  </si>
  <si>
    <t>% Initiated on ART that are TX Naïve (FY25) (%)</t>
  </si>
  <si>
    <t>TX_NEW (FY25)</t>
  </si>
  <si>
    <t>% Initiated on ART Eligible for VLT (FY25) (%)</t>
  </si>
  <si>
    <t>Eligible for VLT (FY25)</t>
  </si>
  <si>
    <t>Planned VLT Coverage (FY25) (%)</t>
  </si>
  <si>
    <t>TX_PVLS (D) Routine (FY25)</t>
  </si>
  <si>
    <t>Targeted VL Suppression Rate (FY25) (%)</t>
  </si>
  <si>
    <t>TX_PVLS (N) Routine (FY25)</t>
  </si>
  <si>
    <t>Targeted ART Linkage Rate (FY25) (%)</t>
  </si>
  <si>
    <t>PLHIV to Identify (HTS_TST_POS + PMTCT_HEI_POS) (FY25)</t>
  </si>
  <si>
    <t>PMTCT_STAT: New Positive (%)</t>
  </si>
  <si>
    <t>PMTCT Post ANC1: Positive (%)</t>
  </si>
  <si>
    <t>TB_STAT: New Positive (%)</t>
  </si>
  <si>
    <t>VMMC: New Positive (%)</t>
  </si>
  <si>
    <t>Active Index: Positive (%)</t>
  </si>
  <si>
    <t>Active SNS: Positive (%)</t>
  </si>
  <si>
    <t>Active Other: Positive (%)</t>
  </si>
  <si>
    <t>STI Clinic: Positive (%)</t>
  </si>
  <si>
    <t>Other Facility: Positive (%)</t>
  </si>
  <si>
    <t>Distribution Check (%)</t>
  </si>
  <si>
    <t>HTS_RECENT (FY24)</t>
  </si>
  <si>
    <t>Aggregate Recency Test Coverage (FY24)
(%)</t>
  </si>
  <si>
    <t>Aggregate Recency Test Coverage (FY25)
(%)</t>
  </si>
  <si>
    <t>HTS_RECENT (FY25)</t>
  </si>
  <si>
    <t>HTS_SELF (FY24)</t>
  </si>
  <si>
    <t>HTS_SELF (FY25)</t>
  </si>
  <si>
    <t>Change in HTS_SELF (%)</t>
  </si>
  <si>
    <t>PMTCT_STAT (N) - Known Positive (FY24)</t>
  </si>
  <si>
    <t>PMTCT_STAT (N) - New Positive (FY24)</t>
  </si>
  <si>
    <t>PMTCT_STAT (N) - New Negative (FY24)</t>
  </si>
  <si>
    <t>Total PMTCT_STAT (N) (FY24)</t>
  </si>
  <si>
    <t>PMTCT_STAT (N) - Known Positive (FY25)</t>
  </si>
  <si>
    <t>PMTCT_STAT (N) - New Positive (FY25)</t>
  </si>
  <si>
    <t>PMTCT_STAT (N) - New Negative (FY25)</t>
  </si>
  <si>
    <t>Total PMTCT_STAT (N) (FY25)</t>
  </si>
  <si>
    <t>Change in PMTCT_STAT (N) Total (%)</t>
  </si>
  <si>
    <t>Already on ART (FY24)</t>
  </si>
  <si>
    <t>New on ART (FY24)</t>
  </si>
  <si>
    <t>Already on ART (FY25)</t>
  </si>
  <si>
    <t>New on ART (FY25)</t>
  </si>
  <si>
    <t>Known HIV+ (FY24)</t>
  </si>
  <si>
    <t>New Positive (FY24)</t>
  </si>
  <si>
    <t>New Negative (FY24)</t>
  </si>
  <si>
    <t>Total TB_STAT (N) (FY24)</t>
  </si>
  <si>
    <t>Known HIV+ (FY25)</t>
  </si>
  <si>
    <t>New Positive (FY25)</t>
  </si>
  <si>
    <t>New Negative (FY25)</t>
  </si>
  <si>
    <t>Total TB_STAT (N) (FY25)</t>
  </si>
  <si>
    <t>Change in TB_STAT (N) Total (%)</t>
  </si>
  <si>
    <t>Not Tested by PEPFAR (FY24)</t>
  </si>
  <si>
    <t>HIV Positive (FY24)</t>
  </si>
  <si>
    <t>HIV Negative (FY24)</t>
  </si>
  <si>
    <t>Total VMMC_CIRC (FY24)</t>
  </si>
  <si>
    <t>Not Tested by PEPFAR (FY25)</t>
  </si>
  <si>
    <t>HIV Positive (FY25)</t>
  </si>
  <si>
    <t>HIV Negative (FY25)</t>
  </si>
  <si>
    <t>Total VMMC_CIRC (FY25)</t>
  </si>
  <si>
    <t>Change in VMMC_CIRC (N) Total (%)</t>
  </si>
  <si>
    <t>PrEP_NEW (FY24)</t>
  </si>
  <si>
    <t>PrEP_CT (FY24)</t>
  </si>
  <si>
    <t>PrEP_NEW (FY25)</t>
  </si>
  <si>
    <t>PrEP_CT (FY25)</t>
  </si>
  <si>
    <t>Change in PrEP_NEW (%)</t>
  </si>
  <si>
    <t>Change in PrEP_CT (%)</t>
  </si>
  <si>
    <t>PP_PREV (FY24)</t>
  </si>
  <si>
    <t>PP_PREV (FY25)</t>
  </si>
  <si>
    <t>Change in PP_PREV (%)</t>
  </si>
  <si>
    <t>KP_PREV (FY25)</t>
  </si>
  <si>
    <t>Change in KP_PREV (%)</t>
  </si>
  <si>
    <t>CXCA_SCRN (FY24)</t>
  </si>
  <si>
    <t>Overall CXCA_SCRN Coverage (FY24) (%)</t>
  </si>
  <si>
    <t>CXCA_SCRN Coverage - Already on ART (FY25) (%)</t>
  </si>
  <si>
    <t>CXCA_SCRN Coverage - Initiated on ART (FY25) (%)</t>
  </si>
  <si>
    <t>CXCA_SCRN (FY25)</t>
  </si>
  <si>
    <t>Overall CXCA_SCRN Coverage (FY25) (%)</t>
  </si>
  <si>
    <t>TX_TB (D) Coverage: Already on ART (FY24) (%)</t>
  </si>
  <si>
    <t>TX_TB (D) Coverage: New on ART (FY24) (%)</t>
  </si>
  <si>
    <t>Targeted Coverage: Already on ART (FY25) (%)</t>
  </si>
  <si>
    <t>Targeted Coverage: New on ART (FY25) (%)</t>
  </si>
  <si>
    <t>Est. TB Screen Positivity Rate: Already on ART (FY25) (%)</t>
  </si>
  <si>
    <t>Est. TB Screen Positivity Rate: New on ART (FY25) (%)</t>
  </si>
  <si>
    <t>Already on ART, TB Screen + (FY25)</t>
  </si>
  <si>
    <t>Already on ART, TB Screen - (FY25)</t>
  </si>
  <si>
    <t>New on ART, TB Screen + (FY25)</t>
  </si>
  <si>
    <t>New on ART, TB Screen - (FY25)</t>
  </si>
  <si>
    <t>Est. total # completed TPT in last 8 years (FY25)</t>
  </si>
  <si>
    <t>Est. % Eligible for TPT among Already on ART, TB Screen - (FY25) (%)</t>
  </si>
  <si>
    <t>% TPT Initiation Rate - Already on ART (FY25) (%)</t>
  </si>
  <si>
    <t>% TPT Initiation Rate - New on ART (FY25) (%)</t>
  </si>
  <si>
    <t>TB_PREV (D): Already on ART (FY25)</t>
  </si>
  <si>
    <t>TB_PREV (D): New on ART (FY25)</t>
  </si>
  <si>
    <t>Targeted TPT Completion (%) (FY25)</t>
  </si>
  <si>
    <t>TB_PREV (N): Already on ART (FY25)</t>
  </si>
  <si>
    <t>TB_PREV (N): New on ART (FY25)</t>
  </si>
  <si>
    <t>DREAMS (FY24)</t>
  </si>
  <si>
    <t>Preventive (FY24)</t>
  </si>
  <si>
    <t>Comprehensive - Graduated (FY24)</t>
  </si>
  <si>
    <t>Comprehensive - Active (FY24)</t>
  </si>
  <si>
    <t>DREAMS (FY25)</t>
  </si>
  <si>
    <t>Preventive (FY25)</t>
  </si>
  <si>
    <t>Comprehensive - Graduated (FY25)</t>
  </si>
  <si>
    <t>Comprehensive - Active (FY25)</t>
  </si>
  <si>
    <t>Change in DREAMS (FY25) (%)</t>
  </si>
  <si>
    <t>Change in Preventive (FY25) (%)</t>
  </si>
  <si>
    <t>Change in Comprehensive - Graduated (FY25) (%)</t>
  </si>
  <si>
    <t>Change in Comprehensive - Active (FY25) (%)</t>
  </si>
  <si>
    <t>Targeted % Comprehensive OVC (&lt;18) with reported HIV Status (FY24) (%)</t>
  </si>
  <si>
    <t># OVC with reported HIV Status (FY24)</t>
  </si>
  <si>
    <t>AGYW_PREV (D) (FY24)</t>
  </si>
  <si>
    <t>AGYW_PREV (N) (FY24)</t>
  </si>
  <si>
    <t>AGYW_PREV (D) (FY25)</t>
  </si>
  <si>
    <t>AGYW_PREV (N) (FY25)</t>
  </si>
  <si>
    <t>Change in AGYW_PREV (D) (FY25) (%)</t>
  </si>
  <si>
    <t>Change in AGYW_PREV (N) (FY25) (%)</t>
  </si>
  <si>
    <t>KP_MAT (FY24)</t>
  </si>
  <si>
    <t>KP_MAT (FY25)</t>
  </si>
  <si>
    <t>Change in KP_MAT (FY25) (%)</t>
  </si>
  <si>
    <t>GEND_GBV (FY24)</t>
  </si>
  <si>
    <t>GEND_GBV (FY25)</t>
  </si>
  <si>
    <t>Change in GEND_GBV (FY25) (%)</t>
  </si>
  <si>
    <t>iwSejvD8cXl.{KP}LADGHYIE9m1</t>
  </si>
  <si>
    <t>di4b6joXm84.{KP}OLbhrUez4dP</t>
  </si>
  <si>
    <t>vmfKLKi1NBA.{KP}ktZYUSS0Zjo</t>
  </si>
  <si>
    <t>WpZwPieQ060.{KP}P9OjdVVMHMW</t>
  </si>
  <si>
    <t>N55pM5ZuWcI.{KP}tGtB1nLnQjC</t>
  </si>
  <si>
    <t>{EID}euzbW4INAqn.{KP}ef1o9r1kDIH</t>
  </si>
  <si>
    <t>Qdn0vmNSflO</t>
  </si>
  <si>
    <t>dd2WtJJxFYj</t>
  </si>
  <si>
    <t>tqP00nubcdo</t>
  </si>
  <si>
    <t>jCfFnI5DZST</t>
  </si>
  <si>
    <t>U0WZIWZ2oLm</t>
  </si>
  <si>
    <t>QPXR0jhU2zo</t>
  </si>
  <si>
    <t>E8v5iyap5SV</t>
  </si>
  <si>
    <t>JDdf06ZTwyz</t>
  </si>
  <si>
    <t>X1sIFjE7Zf5</t>
  </si>
  <si>
    <t>SsqfZeIs1Va.{KP}y42bZItNsea</t>
  </si>
  <si>
    <t>r9N46a1q942.{KP}qL1qysWLZoq</t>
  </si>
  <si>
    <t>qesr9meNVYc</t>
  </si>
  <si>
    <t>hJeWl5XjzgM</t>
  </si>
  <si>
    <t>rXV784LlUQ4.{KP}lXqlw8UxoqF</t>
  </si>
  <si>
    <t>agoURWZyPpn.{KP}bwlf1Jfww0L</t>
  </si>
  <si>
    <t>LpkXILJwnmO</t>
  </si>
  <si>
    <t>hfR9r70Fk99</t>
  </si>
  <si>
    <t>BeEA8PsZ8Ky</t>
  </si>
  <si>
    <t>L3qltmjNtSr</t>
  </si>
  <si>
    <t>DA7uTAScxxi</t>
  </si>
  <si>
    <t>j3NQAv8Fe3v</t>
  </si>
  <si>
    <t>NbvZdpPzNf6</t>
  </si>
  <si>
    <t>HVzzfyVVIs1.cx8hxarh4Ke</t>
  </si>
  <si>
    <t>TqpIEl7LfV7</t>
  </si>
  <si>
    <t>HO5wSDKttn3</t>
  </si>
  <si>
    <t>tSYnSvSK200</t>
  </si>
  <si>
    <t>gG0fbMLqEB5</t>
  </si>
  <si>
    <t>N4sS65QUOP3</t>
  </si>
  <si>
    <t>KM4dyooZHUP.{KP}KM4dyooZHUP</t>
  </si>
  <si>
    <t>rGptWqlhaVU.KM4dyooZHUP.{KP}KM4dyooZHUP</t>
  </si>
  <si>
    <t>{EID}J4SQd7SnDi2.pbXCUjm50XK.{KP}KM4dyooZHUP</t>
  </si>
  <si>
    <t>Vr59uUJBySG</t>
  </si>
  <si>
    <t>rSKP7Z85FX9.KM4dyooZHUP</t>
  </si>
  <si>
    <t>udcRwufEXFQ.KM4dyooZHUP</t>
  </si>
  <si>
    <t>rSKP7Z85FX9.FNsYVm36CYM.KM4dyooZHUP</t>
  </si>
  <si>
    <t>rSKP7Z85FX9.xv3iwsb4m3m.KM4dyooZHUP</t>
  </si>
  <si>
    <t>udcRwufEXFQ.FNsYVm36CYM.KM4dyooZHUP</t>
  </si>
  <si>
    <t>udcRwufEXFQ.xv3iwsb4m3m.KM4dyooZHUP</t>
  </si>
  <si>
    <t>q1ViBVu6waQ</t>
  </si>
  <si>
    <t>PohP5DBPfMs</t>
  </si>
  <si>
    <t>AjOFwnjVTTm</t>
  </si>
  <si>
    <t>YSe4riCTiZv</t>
  </si>
  <si>
    <t>10 yr, 10+</t>
  </si>
  <si>
    <t>10 yr, 15+</t>
  </si>
  <si>
    <t>10 yr, 25-49</t>
  </si>
  <si>
    <t>Coarse Ages</t>
  </si>
  <si>
    <t>&lt;01-18+ (OVC &amp; Caregivers)</t>
  </si>
  <si>
    <t>&lt;01-17 (OVC)</t>
  </si>
  <si>
    <t>5 yr, 10-29</t>
  </si>
  <si>
    <t>Females</t>
  </si>
  <si>
    <t>Males</t>
  </si>
  <si>
    <t>Indicator Group</t>
  </si>
  <si>
    <t>PopART.Rt.M2</t>
  </si>
  <si>
    <t>TX_CURR_SUBNAT.M2</t>
  </si>
  <si>
    <t>TX_CURR.NatlContr.T2</t>
  </si>
  <si>
    <t>TX_CURR.T2</t>
  </si>
  <si>
    <t>TX_CURR_SUBNAT.T2</t>
  </si>
  <si>
    <t>PopART.Rt.T2</t>
  </si>
  <si>
    <t>TX_RET.Already.T2</t>
  </si>
  <si>
    <t>TX_RET.New.T2</t>
  </si>
  <si>
    <t>TX_INITIATED.T2</t>
  </si>
  <si>
    <t>TX_INITIATED.NewRt.T2</t>
  </si>
  <si>
    <t>TX_NEW.T2</t>
  </si>
  <si>
    <t>EVLT.Rt.T2</t>
  </si>
  <si>
    <t>EVLT.T2</t>
  </si>
  <si>
    <t>TX_PVLS.D.Rt.T2</t>
  </si>
  <si>
    <t>TX_PVLS.D.Routine.T2</t>
  </si>
  <si>
    <t>TX_PVLS.N.Rt.T2</t>
  </si>
  <si>
    <t>TX_PVLS.N.Routine.T2</t>
  </si>
  <si>
    <t>HTS_TST.Linkage.T2</t>
  </si>
  <si>
    <t>HTS_TST.Pos.Total_With_HEI.T2</t>
  </si>
  <si>
    <t>HTS_TST.PMTCT.Pos.Share.T</t>
  </si>
  <si>
    <t>HTS_TST.PostANC1.Pos.Share.T</t>
  </si>
  <si>
    <t>HTS_TST.TB.Pos.Share.T</t>
  </si>
  <si>
    <t>HTS_TST.VMMC.Pos.Share.T</t>
  </si>
  <si>
    <t>HTS_TST.Index.Pos.Share.T</t>
  </si>
  <si>
    <t>HTS_TST.SNS.Pos.Share.T</t>
  </si>
  <si>
    <t>HTS_TST.ActiveOther.Pos.Share.T</t>
  </si>
  <si>
    <t>HTS_TST.STI.Pos.Share.T</t>
  </si>
  <si>
    <t>HTS_TST.Other.Pos.Share.T</t>
  </si>
  <si>
    <t>HTS_TST.PMTCT.Pos.Share.T2</t>
  </si>
  <si>
    <t>HTS_TST.PostANC1.Pos.Share.T2</t>
  </si>
  <si>
    <t>HTS_TST.TB.Pos.Share.T2</t>
  </si>
  <si>
    <t>HTS_TST.VMMC.Pos.Share.T2</t>
  </si>
  <si>
    <t>HTS_TST.Index.Pos.Share.T2</t>
  </si>
  <si>
    <t>HTS_TST.SNS.Pos.Share.T2</t>
  </si>
  <si>
    <t>HTS_TST.ActiveOther.Pos.Share.T2</t>
  </si>
  <si>
    <t>HTS_TST.STI.Pos.Share.T2</t>
  </si>
  <si>
    <t>HTS_TST.Other.Pos.Share.T2</t>
  </si>
  <si>
    <t>HTS_TST.Pos.DistCheck.T2</t>
  </si>
  <si>
    <t>HTS_RECENT.T</t>
  </si>
  <si>
    <t>HTS_RECENT.Rt.T</t>
  </si>
  <si>
    <t>HTS_RECENT.Rt.T2</t>
  </si>
  <si>
    <t>HTS_RECENT.T2</t>
  </si>
  <si>
    <t>HTS_SELF.T</t>
  </si>
  <si>
    <t>HTS_SELF.T2</t>
  </si>
  <si>
    <t>HTS_SELF.Change.T2</t>
  </si>
  <si>
    <t>PMTCT_STAT.Linkage.T2</t>
  </si>
  <si>
    <t>PMTCT_ART.Already.T2</t>
  </si>
  <si>
    <t>PMTCT_ART.New.T2</t>
  </si>
  <si>
    <t>TB_STAT.Linkage.T2</t>
  </si>
  <si>
    <t>TB_ART.Already.T2</t>
  </si>
  <si>
    <t>TB_ART.New.T2</t>
  </si>
  <si>
    <t>PrEP_NEW.T</t>
  </si>
  <si>
    <t>PrEP_CT.T</t>
  </si>
  <si>
    <t>PrEP_NEW.T2</t>
  </si>
  <si>
    <t>PrEP_CT.T2</t>
  </si>
  <si>
    <t>PrEP_NEW.Change.T2</t>
  </si>
  <si>
    <t>PrEP_CT.Change.T2</t>
  </si>
  <si>
    <t>PP_PREV.T</t>
  </si>
  <si>
    <t>PP_PREV.T2</t>
  </si>
  <si>
    <t>PP_PREV.Change.T2</t>
  </si>
  <si>
    <t>KP_PREV.T2</t>
  </si>
  <si>
    <t>KP_PREV.Change.T2</t>
  </si>
  <si>
    <t>CXCA_SCRN.T</t>
  </si>
  <si>
    <t>CXCA_SCRN.Coverage.T</t>
  </si>
  <si>
    <t>CXCA_SCRN.Coverage.Already.T2</t>
  </si>
  <si>
    <t>CXCA_SCRN.Coverage.Initiated.T2</t>
  </si>
  <si>
    <t>CXCA_SCRN.T2</t>
  </si>
  <si>
    <t>CXCA_SCRN.Coverage.T2</t>
  </si>
  <si>
    <t>TX_TB.D.New.Cov.T</t>
  </si>
  <si>
    <t>TX_TB.D.Already.Cov.T</t>
  </si>
  <si>
    <t>TX_TB.D.New.Cov.T2</t>
  </si>
  <si>
    <t>TX_TB.D.Already.Cov.T2</t>
  </si>
  <si>
    <t>TX_TB.D.Already.Yield.T2</t>
  </si>
  <si>
    <t>TX_TB.D.New.Yield.T2</t>
  </si>
  <si>
    <t>TX_TB.D.Already.Pos.T2</t>
  </si>
  <si>
    <t>TX_TB.D.Already.Neg.T2</t>
  </si>
  <si>
    <t>TX_TB.D.New.Pos.T2</t>
  </si>
  <si>
    <t>TX_TB.D.New.Neg.T2</t>
  </si>
  <si>
    <t>TX_TB.D.Already.Ineligible.T2</t>
  </si>
  <si>
    <t>TX_TB.D.Already.Eligible.T2</t>
  </si>
  <si>
    <t>TX_TB.D.Already.Neg.Linkage.T2</t>
  </si>
  <si>
    <t>TX_TB.D.New.Neg.Linkage.T2</t>
  </si>
  <si>
    <t>TB_PREV.D.Already.T2</t>
  </si>
  <si>
    <t>TB_PREV.D.New.T2</t>
  </si>
  <si>
    <t>TB_PREV.N.Rt.T2</t>
  </si>
  <si>
    <t>TB_PREV.N.Already.T2</t>
  </si>
  <si>
    <t>TB_PREV.N.New.T2</t>
  </si>
  <si>
    <t>OVC_SERV.DREAMS.T</t>
  </si>
  <si>
    <t>OVC_SERV.Prev.T</t>
  </si>
  <si>
    <t>OVC_SERV.Grad.T</t>
  </si>
  <si>
    <t>OVC_SERV.Active.T</t>
  </si>
  <si>
    <t>OVC_SERV.DREAMS.T2</t>
  </si>
  <si>
    <t>OVC_SERV.Prev.T2</t>
  </si>
  <si>
    <t>OVC_SERV.Grad.T2</t>
  </si>
  <si>
    <t>OVC_SERV.Active.T2</t>
  </si>
  <si>
    <t>OVC_SERV.DREAMS.Change.T2</t>
  </si>
  <si>
    <t>OVC_SERV.Prev.Change.T2</t>
  </si>
  <si>
    <t>OVC_SERV.Grad.Change.T2</t>
  </si>
  <si>
    <t>OVC_SERV.Active.Change.T2</t>
  </si>
  <si>
    <t>OVC_HIVSTAT.Rt.T2</t>
  </si>
  <si>
    <t>OVC_HIVSTAT.T2</t>
  </si>
  <si>
    <t>AGYW_PREV.D.T</t>
  </si>
  <si>
    <t>AGYW_PREV.N.T</t>
  </si>
  <si>
    <t>AGYW_PREV.D.T2</t>
  </si>
  <si>
    <t>AGYW_PREV.N.T2</t>
  </si>
  <si>
    <t>AGYW_PREV.D.Change.T2</t>
  </si>
  <si>
    <t>AGYW_PREV.N.Change.T2</t>
  </si>
  <si>
    <t>KP_MAT.T</t>
  </si>
  <si>
    <t>KP_MAT.T2</t>
  </si>
  <si>
    <t>KP_MAT.Change.T2</t>
  </si>
  <si>
    <t>GEND_GBV.T</t>
  </si>
  <si>
    <t>GEND_GBV.T2</t>
  </si>
  <si>
    <t>GEND_GBV.Change.T2</t>
  </si>
  <si>
    <t>TB</t>
  </si>
  <si>
    <t>&lt;15</t>
  </si>
  <si>
    <t>15+</t>
  </si>
  <si>
    <t>OVC</t>
  </si>
  <si>
    <t>01-04</t>
  </si>
  <si>
    <t>05-09</t>
  </si>
  <si>
    <t>15-17</t>
  </si>
  <si>
    <t>18-20</t>
  </si>
  <si>
    <t>18+</t>
  </si>
  <si>
    <t>AGYW</t>
  </si>
  <si>
    <t>15-19</t>
  </si>
  <si>
    <t>20-24</t>
  </si>
  <si>
    <t>25-29</t>
  </si>
  <si>
    <t>GEND</t>
  </si>
  <si>
    <t>PMTCT_STAT &amp; PMTCT_ART</t>
  </si>
  <si>
    <t>Partner Country (P.C.) Context</t>
  </si>
  <si>
    <t>New ANC Clients</t>
  </si>
  <si>
    <t>ANC1 Testing - PEPFAR</t>
  </si>
  <si>
    <t>ANC1 Testing - Partner Country</t>
  </si>
  <si>
    <t>ART - PEPFAR</t>
  </si>
  <si>
    <t>ART - Partner Country</t>
  </si>
  <si>
    <t>Post ANC1</t>
  </si>
  <si>
    <t>Testing Rationalization</t>
  </si>
  <si>
    <t>To shut off PMTCT_STAT entirely:
1. Replace all % change values in column T with -100%.</t>
  </si>
  <si>
    <t>P.C. Est. Female Population (FY23)</t>
  </si>
  <si>
    <t>P.C. Est. PLHIV (FY23)</t>
  </si>
  <si>
    <t>P.C. Est. # on ART (FY23)</t>
  </si>
  <si>
    <t>P.C. Est. ART Coverage (ART/PLHIV) (FY23) (%)</t>
  </si>
  <si>
    <t>P.C. New ANC Clients (FY23)</t>
  </si>
  <si>
    <t>P.C. ANC Clients - Known Positive (FY23)</t>
  </si>
  <si>
    <t>P.C. ANC Clients - New Positive (FY23)</t>
  </si>
  <si>
    <t>P.C. ANC Clients - New Negative (FY23)</t>
  </si>
  <si>
    <t>P.C. HIV-positive pregnant women (FY23)</t>
  </si>
  <si>
    <t>P.C. ANC Clients - Already on ART (FY23)</t>
  </si>
  <si>
    <t>P.C. ANC Clients - New on ART (FY23)</t>
  </si>
  <si>
    <t>PMTCT_STAT (D) (FY23)</t>
  </si>
  <si>
    <t>Expected change in new ANC clients (%)</t>
  </si>
  <si>
    <t>PMTCT_STAT (D) (FY24)</t>
  </si>
  <si>
    <t>P.C. % ANC clients served at PEPFAR-supported sites (FY24) (%)</t>
  </si>
  <si>
    <t>P.C. PMTCT_STAT_SUBNAT (D) (FY24)</t>
  </si>
  <si>
    <t xml:space="preserve"> % ANC1 clients Known HIV+ (FY22 Results) (%)</t>
  </si>
  <si>
    <t>% ANC1 clients Known HIV+ (FY24) (%)</t>
  </si>
  <si>
    <t>Yield among Newly Tested ANC1 clients (FY22 Results) (%)</t>
  </si>
  <si>
    <t>Yield among Newly Tested ANC1 clients (FY24) (%)</t>
  </si>
  <si>
    <t>Total P.C. PMTCT_STAT_SUBNAT (N) (FY24)</t>
  </si>
  <si>
    <t>P.C. PMTCT_STAT_SUBNAT (N) - Known Positive (FY24)</t>
  </si>
  <si>
    <t>P.C. PMTCT_STAT_SUBNAT (N) - New Positive (FY24)</t>
  </si>
  <si>
    <t>P.C. PMTCT_STAT_SUBNAT (N) - New Negative (FY24)</t>
  </si>
  <si>
    <t>P.C. HIV+ Pregnant Women (FY24)</t>
  </si>
  <si>
    <t>P.C. HIV+ Pregnant Women Already on ART (FY24)</t>
  </si>
  <si>
    <t>P.C. HIV+ Pregnant Women New on ART (FY24)</t>
  </si>
  <si>
    <t>Total eligible for Post ANC1 retesting (FY24)</t>
  </si>
  <si>
    <t>Yield
(FY22 Results)
(%)</t>
  </si>
  <si>
    <t>Yield
(FY24) (%)</t>
  </si>
  <si>
    <t>Positive (FY24)</t>
  </si>
  <si>
    <t>Negative (FY24)</t>
  </si>
  <si>
    <t>Linked to ART (FY24)</t>
  </si>
  <si>
    <t>Total PMTCT: Positives (ANC1 + Post ANC1, incl. Known Pos) (FY24)</t>
  </si>
  <si>
    <t>Total HTS_TST_POS (FY24)</t>
  </si>
  <si>
    <t>Total New Positives from PMTCT_STAT ANC1 (FY24)</t>
  </si>
  <si>
    <t>Total New Positives from PMTCT Post ANC1 (FY24)</t>
  </si>
  <si>
    <t>Total New Positives from TB_STAT (FY24)</t>
  </si>
  <si>
    <t>Total Positives from All Other Modalities (FY24)</t>
  </si>
  <si>
    <t>jdFCj4dEvIK</t>
  </si>
  <si>
    <t>thhkv2dmiuc</t>
  </si>
  <si>
    <t>jaX3SUTcIki</t>
  </si>
  <si>
    <t>LvwJYdp0Jmr</t>
  </si>
  <si>
    <t>f10j57Ifd7k</t>
  </si>
  <si>
    <t>bu3sosk4HWn</t>
  </si>
  <si>
    <t>mfYq3HGUIX3</t>
  </si>
  <si>
    <t>vsudHZwmvb2</t>
  </si>
  <si>
    <t>CrhtWrSnb2D</t>
  </si>
  <si>
    <t>LvheCKbuFJZ</t>
  </si>
  <si>
    <t>BiB1MtA7o4A</t>
  </si>
  <si>
    <t>PMTCT_STAT_SUBNAT.N.KnownPos.T_1</t>
  </si>
  <si>
    <t>PMTCT_STAT.D.T_1</t>
  </si>
  <si>
    <t>PMTCT_STAT.D.Growth.T</t>
  </si>
  <si>
    <t>PMTCT_STAT.D.T</t>
  </si>
  <si>
    <t>PMTCT_STAT.D.NatlContr.T</t>
  </si>
  <si>
    <t>PMTCT_STAT_SUBNAT.D.T</t>
  </si>
  <si>
    <t>PMTCT_STAT.N.KnownPosRt.R</t>
  </si>
  <si>
    <t>PMTCT_STAT.N.KnownPosRt.T</t>
  </si>
  <si>
    <t>PMTCT_STAT.N.New.Yield.R</t>
  </si>
  <si>
    <t>PMTCT_STAT.N.New.Yield.T</t>
  </si>
  <si>
    <t>PMTCT_STAT.N.T</t>
  </si>
  <si>
    <t>PMTCT_STAT.N.KnownPos.T</t>
  </si>
  <si>
    <t>PMTCT_STAT.N.New.Pos.T</t>
  </si>
  <si>
    <t>PMTCT_STAT.N.New.Neg.T</t>
  </si>
  <si>
    <t>PMTCT_STAT_SUBNAT.N.T</t>
  </si>
  <si>
    <t>PMTCT_STAT_SUBNAT.N.KnownPos.T</t>
  </si>
  <si>
    <t>PMTCT_STAT_SUBNAT.N.New.Pos.T</t>
  </si>
  <si>
    <t>PMTCT_STAT_SUBNAT.N.New.Neg.T</t>
  </si>
  <si>
    <t>PMTCT_STAT.Linkage.T</t>
  </si>
  <si>
    <t>PMTCT_ART.Already.T</t>
  </si>
  <si>
    <t>PMTCT_ART.New.T</t>
  </si>
  <si>
    <t>PMTCT_ART_SUBNAT.D.T</t>
  </si>
  <si>
    <t>PMTCT_ART_SUBNAT.N.Already.T</t>
  </si>
  <si>
    <t>PMTCT_ART_SUBNAT.N.New.T</t>
  </si>
  <si>
    <t>HTS_TST.PostANC1.Eligible.T</t>
  </si>
  <si>
    <t>HTS_TST.PostANC1.Yield</t>
  </si>
  <si>
    <t>HTS_TST.PostANC1.Yield.T</t>
  </si>
  <si>
    <t>HTS_TST.PostANC1.Pos.Linkage.T</t>
  </si>
  <si>
    <t>HTS_TST.PostANC1.Pos.T</t>
  </si>
  <si>
    <t>HTS_TST.PostANC1.Neg.T</t>
  </si>
  <si>
    <t>TX_NEW.PostANC1.T</t>
  </si>
  <si>
    <t>PMTCT.Pos.T</t>
  </si>
  <si>
    <t>HTS_TST.Pos.T</t>
  </si>
  <si>
    <t>HTS_TST.PMTCT_STAT.New.Pos.T</t>
  </si>
  <si>
    <t>HTS_TST.PostANC1.New.Pos.T</t>
  </si>
  <si>
    <t>HTS_TST.TB.New.Pos.T</t>
  </si>
  <si>
    <t>HTS_TST.Total_Other.Pos.T</t>
  </si>
  <si>
    <t>PMTCT_EID</t>
  </si>
  <si>
    <t>PMTCT_EID (N)</t>
  </si>
  <si>
    <t>PMTCT_HEI_POS (N)</t>
  </si>
  <si>
    <t>Est. # infants born to HIV-positive women (FY24)</t>
  </si>
  <si>
    <t>Targeted % HIV-exposed infants tested by 2 months (FY24) (%)</t>
  </si>
  <si>
    <t>Targeted % HIV-exposed infants tested by 12 months (FY24) (%)</t>
  </si>
  <si>
    <t>≤ 02 months (FY24)</t>
  </si>
  <si>
    <t>02 - 12 months (FY24)</t>
  </si>
  <si>
    <t>Est. Positivity Rate, ≤ 02 months (FY22 Results) (%)</t>
  </si>
  <si>
    <t>Est. Positivity Rate, 02 - 12 months (FY22 Results) (%)</t>
  </si>
  <si>
    <t>Est. Positivity Rate, ≤ 02 months (FY24) (%)</t>
  </si>
  <si>
    <t>Est. Positivity Rate, 02 - 12 months (FY24) (%)</t>
  </si>
  <si>
    <t>Total HIV+ infants identified (FY24)</t>
  </si>
  <si>
    <t>HIV+ infants Initiated on ART (FY24)</t>
  </si>
  <si>
    <t>Targeted TX Retention Rate (FY24) (%)</t>
  </si>
  <si>
    <t>HIV+ infants retained on ART at end of FY24</t>
  </si>
  <si>
    <t>% Eligible for VLT (FY24) (%)</t>
  </si>
  <si>
    <t>HIV+ Infants Eligible for VLT (FY24)</t>
  </si>
  <si>
    <t>Targeted VLT Coverage (FY24) (%)</t>
  </si>
  <si>
    <t>HIV+ infants tested for VLS (FY24)</t>
  </si>
  <si>
    <t>Targeted VLS Rate (FY24) (%)</t>
  </si>
  <si>
    <t>HIV+ infants  Virally Suppressed (FY24)</t>
  </si>
  <si>
    <t>euzbW4INAqn</t>
  </si>
  <si>
    <t>aFPTXEOa7nu</t>
  </si>
  <si>
    <t>J4SQd7SnDi2</t>
  </si>
  <si>
    <t>pbXCUjm50XK</t>
  </si>
  <si>
    <t>PMTCT_EID.D.T</t>
  </si>
  <si>
    <t>PMTCT_EID.2.Rt.T</t>
  </si>
  <si>
    <t>PMTCT_EID.12.Rt.T</t>
  </si>
  <si>
    <t>PMTCT_EID.N.2.T</t>
  </si>
  <si>
    <t>PMTCT_EID.N.12.T</t>
  </si>
  <si>
    <t>PMTCT_HEI_POS.2.Yield.R</t>
  </si>
  <si>
    <t>PMTCT_HEI_POS.12.Yield.R</t>
  </si>
  <si>
    <t>PMTCT_HEI_POS.2.Yield.T</t>
  </si>
  <si>
    <t>PMTCT_HEI_POS.12.Yield.T</t>
  </si>
  <si>
    <t>PMTCT_HEI_POS.T</t>
  </si>
  <si>
    <t>PMTCT_HEI_POS.Linkage.T</t>
  </si>
  <si>
    <t>PMTCT_HEI_POS.Ret.T</t>
  </si>
  <si>
    <t>PMTCT_HEI_POS.TX_CURR.T</t>
  </si>
  <si>
    <t>PMTCT_HEI_POS.Eligible.Rt.T</t>
  </si>
  <si>
    <t>PMTCT_HEI_POS.EVLT.T</t>
  </si>
  <si>
    <t>PMTCT_HEI_POS.TX_PVLS.D.Rt.T</t>
  </si>
  <si>
    <t>PMTCT_HEI_POS.TX_PVLS.D.T</t>
  </si>
  <si>
    <t>PMTCT_HEI_POS.TX_PVLS.N.Rt.T</t>
  </si>
  <si>
    <t>PMTCT_HEI_POS.TX_PVLS.N.T</t>
  </si>
  <si>
    <t>TB_STAT &amp; TB_ART</t>
  </si>
  <si>
    <t>TB_STAT (D)</t>
  </si>
  <si>
    <t>TB_STAT (N)</t>
  </si>
  <si>
    <t>To shut off TB_STAT entirely:
1. Replace all formulas for "TB_STAT (D) (FY24) targets with zeros.</t>
  </si>
  <si>
    <t>TB_STAT (D) (FY23)</t>
  </si>
  <si>
    <t>Expected Change in Incidence (%)</t>
  </si>
  <si>
    <t>TB_STAT (D) (FY24)</t>
  </si>
  <si>
    <t>TB_STAT (N): New Positives (FY23)</t>
  </si>
  <si>
    <t>% TB clients Known HIV+ (FY22 Results) (%)</t>
  </si>
  <si>
    <t>% TB clients already Known HIV+ (FY24) (%)</t>
  </si>
  <si>
    <t>Yield among Newly Tested (FY22 Results) (%)</t>
  </si>
  <si>
    <t>Yield among Newly Tested (FY24) (%)</t>
  </si>
  <si>
    <t>Total Positives from VMMC_CIRC (FY24)</t>
  </si>
  <si>
    <t>eeYmLTvWk8k</t>
  </si>
  <si>
    <t>OLbVI34nrpu</t>
  </si>
  <si>
    <t>VkrrexUefpS</t>
  </si>
  <si>
    <t>VVixfmL4Try</t>
  </si>
  <si>
    <t>TB_STAT.D.T_1</t>
  </si>
  <si>
    <t>TB_STAT.D.Growth.T</t>
  </si>
  <si>
    <t>TB_STAT.D.T</t>
  </si>
  <si>
    <t>TB_STAT.N.New.Pos.T_1</t>
  </si>
  <si>
    <t>TB_STAT.N.KnownPosRt.R</t>
  </si>
  <si>
    <t>TB_STAT.N.KnownPosRt.T</t>
  </si>
  <si>
    <t>TB_STAT.N.New.Yield.R</t>
  </si>
  <si>
    <t>TB_STAT.N.New.Yield.T</t>
  </si>
  <si>
    <t>TB_STAT.N.T</t>
  </si>
  <si>
    <t>TB_STAT.N.KnownPos.T</t>
  </si>
  <si>
    <t>TB_STAT.N.New.Pos.T</t>
  </si>
  <si>
    <t>TB_STAT.N.New.Neg.T</t>
  </si>
  <si>
    <t>TB_STAT.Linkage.T</t>
  </si>
  <si>
    <t>TB_ART.Already.T</t>
  </si>
  <si>
    <t>TB_ART.New.T</t>
  </si>
  <si>
    <t>HTS_TST.VMMC.Pos.T</t>
  </si>
  <si>
    <t>VMMC</t>
  </si>
  <si>
    <t>VMMC_CIRC_SUBNAT</t>
  </si>
  <si>
    <t>To shut off VMMC_CIRC entirely:
1. Replace all formulas for "Total VMMC_CIRC" with zeros.</t>
  </si>
  <si>
    <t>P.C. Est. Male Population (FY23)</t>
  </si>
  <si>
    <t>PEPFAR Total VMMC_CIRC (FY22 Results)</t>
  </si>
  <si>
    <t>PEPFAR Total VMMC_CIRC (FY23 Targets)</t>
  </si>
  <si>
    <t>P.C. # Circumcised in FY23</t>
  </si>
  <si>
    <t>P.C. Total # Ever Circumcised (FY23)</t>
  </si>
  <si>
    <t>P.C. Est. VMMC Coverage (FY23) (%)</t>
  </si>
  <si>
    <t>Targeted P.C. VMMC Coverage (FY24) (%)</t>
  </si>
  <si>
    <t>Targeted P.C. Total # Ever Circumcised (FY24)</t>
  </si>
  <si>
    <t>Targeted P.C. # Circumcised in FY24</t>
  </si>
  <si>
    <t>% P.C. VMMC provided at PEPFAR-supported sites (FY24) (%)</t>
  </si>
  <si>
    <t>_Military ONLY: Expected change in VMMC_CIRC (%)</t>
  </si>
  <si>
    <t>Indeterminate/Not Tested rate
(FY22 Results) (%)</t>
  </si>
  <si>
    <t>Indeterminate/Not Tested rate
(FY24) (%)</t>
  </si>
  <si>
    <t>Total VMMC_CIRC</t>
  </si>
  <si>
    <t>Not Tested by PEPFAR</t>
  </si>
  <si>
    <t>HIV Positive</t>
  </si>
  <si>
    <t>HIV Negative</t>
  </si>
  <si>
    <t>Total Positives from TB_STAT (FY24)</t>
  </si>
  <si>
    <t>Total Tests from All Other Modalities (FY24)</t>
  </si>
  <si>
    <t>cRCw63EQEbM</t>
  </si>
  <si>
    <t>SSun4i7nHlV</t>
  </si>
  <si>
    <t>ZayJeEa6pCa</t>
  </si>
  <si>
    <t>TiMvlchPiPH</t>
  </si>
  <si>
    <t>xlSW2W3YGtk</t>
  </si>
  <si>
    <t>gUdtLH3fV1m</t>
  </si>
  <si>
    <t>VMMC_CIRC.R</t>
  </si>
  <si>
    <t>VMMC_CIRC.T_1</t>
  </si>
  <si>
    <t>VMMC_CIRC_SUBNAT.T_1</t>
  </si>
  <si>
    <t>VMMC_TOTALCIRC_SUBNAT.T_1</t>
  </si>
  <si>
    <t>VMMC_TOTALCIRC_SUBNAT.Rt.T_1</t>
  </si>
  <si>
    <t>VMMC_TOTALCIRC_SUBNAT.Rt.T</t>
  </si>
  <si>
    <t>VMMC_TOTALCIRC_SUBNAT.T</t>
  </si>
  <si>
    <t>VMMC_CIRC_SUBNAT.T</t>
  </si>
  <si>
    <t>VMMC_CIRC.NatlContr.T</t>
  </si>
  <si>
    <t>VMMC_CIRC.Change.Military</t>
  </si>
  <si>
    <t>VMMC_CIRC.Unk.Rt.R</t>
  </si>
  <si>
    <t>VMMC_CIRC.Unk.Rt.T</t>
  </si>
  <si>
    <t>VMMC_CIRC.Yield.R</t>
  </si>
  <si>
    <t>VMMC_CIRC.Yield.T</t>
  </si>
  <si>
    <t>VMMC_CIRC.T</t>
  </si>
  <si>
    <t>VMMC_CIRC.Unk.T</t>
  </si>
  <si>
    <t>VMMC_CIRC.Pos.T</t>
  </si>
  <si>
    <t>VMMC_CIRC.Neg.T</t>
  </si>
  <si>
    <t>PrEP_CT - HIV Testing</t>
  </si>
  <si>
    <t>HTS_TST_NEG
(FY24)</t>
  </si>
  <si>
    <t>PrEP_NEW (FY22 Results)</t>
  </si>
  <si>
    <t>PrEP_NEW (FY23 Targets)</t>
  </si>
  <si>
    <t>PrEP_CT (FY22 Results)</t>
  </si>
  <si>
    <t>PrEP_CT (FY23 Targets)</t>
  </si>
  <si>
    <t>PREP_CT (FY24)</t>
  </si>
  <si>
    <t># of PrEP follow-up visits per year</t>
  </si>
  <si>
    <t>PrEP_CT - # HIV tests administered (FY24)</t>
  </si>
  <si>
    <t>KNO4emPfF91</t>
  </si>
  <si>
    <t>rXV784LlUQ4</t>
  </si>
  <si>
    <t>ectUGvYjtaK</t>
  </si>
  <si>
    <t>agoURWZyPpn</t>
  </si>
  <si>
    <t>DNuQYS2nIPf</t>
  </si>
  <si>
    <t>b6OI9qB0Who</t>
  </si>
  <si>
    <t>DjW93zhi4zZ</t>
  </si>
  <si>
    <t>CWZXh58dLvF</t>
  </si>
  <si>
    <t>G7SQxPyGfFo</t>
  </si>
  <si>
    <t>ovFwBkjVLZA</t>
  </si>
  <si>
    <t>10 yr, 15-29</t>
  </si>
  <si>
    <t>HTS_TST.Neg.T</t>
  </si>
  <si>
    <t>PrEP_NEW.R</t>
  </si>
  <si>
    <t>PrEP_NEW.T_1</t>
  </si>
  <si>
    <t>PrEP_CT.R</t>
  </si>
  <si>
    <t>PrEP_CT.T_1</t>
  </si>
  <si>
    <t>PrEP_CT.Freq.T</t>
  </si>
  <si>
    <t>PrEP_CT.TestResult.T</t>
  </si>
  <si>
    <t>HTS</t>
  </si>
  <si>
    <t>Testing Summary from Other Tabs</t>
  </si>
  <si>
    <t>HTS_TST - Distribution of Positive Tests</t>
  </si>
  <si>
    <t>Active Index (Facility and Community Index)</t>
  </si>
  <si>
    <t>Active SNS (Facility and Community SNS)</t>
  </si>
  <si>
    <t>Active Other (Community Other and Community Mobile)</t>
  </si>
  <si>
    <t>STI Clinic (Facility)</t>
  </si>
  <si>
    <t>Other Facility (Facility: Inpatient, Emergency, Other PITC, VCT, Pediatric, Malnutrition)</t>
  </si>
  <si>
    <t>HTS_TST (Total)</t>
  </si>
  <si>
    <t>HTS_SELF (N)</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</si>
  <si>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</si>
  <si>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PMTCT_STAT New Positives (FY24)</t>
  </si>
  <si>
    <t>HTS_TST Post ANC1 New Positives (FY24)</t>
  </si>
  <si>
    <t>TB_STAT New Positives (FY24)</t>
  </si>
  <si>
    <t>VMMC_CIRC New Positives (FY24)</t>
  </si>
  <si>
    <t>HTS_TST_POS from All Other Modalities (FY24)</t>
  </si>
  <si>
    <t>Active Index (%)</t>
  </si>
  <si>
    <t>Active SNS (%)</t>
  </si>
  <si>
    <t>Active Other (%)</t>
  </si>
  <si>
    <t>STI Clinic (%)</t>
  </si>
  <si>
    <t>Other Facility (%)</t>
  </si>
  <si>
    <t>Yield (%)</t>
  </si>
  <si>
    <t>Positive</t>
  </si>
  <si>
    <t>Negative</t>
  </si>
  <si>
    <t>Original HTS_TST_POS (FY24)</t>
  </si>
  <si>
    <t>Final HTS_TST_POS (FY24)</t>
  </si>
  <si>
    <t>HTS_TST_POS difference to adjust</t>
  </si>
  <si>
    <t>PMTCT_STAT New Negatives (FY24)</t>
  </si>
  <si>
    <t>HTS_TST Post ANC1 Negatives (FY24)</t>
  </si>
  <si>
    <t>TB_STAT New Negatives (FY24)</t>
  </si>
  <si>
    <t>VMMC_CIRC New Negatives (FY24)</t>
  </si>
  <si>
    <t>PrEP_CT Total (FY24)</t>
  </si>
  <si>
    <t>Total HTS_TST_NEG (FY24)</t>
  </si>
  <si>
    <t>Total HTS_TST (FY24)</t>
  </si>
  <si>
    <t>Aggregate Yield Rate (FY24) (%)</t>
  </si>
  <si>
    <t>HTS_SELF (FY23 Targets)</t>
  </si>
  <si>
    <t>% Change in HTS_SELF (%)</t>
  </si>
  <si>
    <t>Total HTS_RECENT (FY24)</t>
  </si>
  <si>
    <t>r9N46a1q942</t>
  </si>
  <si>
    <t>SsqfZeIs1Va</t>
  </si>
  <si>
    <t>hAX7DTwvdQS</t>
  </si>
  <si>
    <t>OeY8AsZ6vWL</t>
  </si>
  <si>
    <t>jeNpjmy1XaX</t>
  </si>
  <si>
    <t>Jky7p2XOCNk</t>
  </si>
  <si>
    <t>b1643s4qxZA</t>
  </si>
  <si>
    <t>NcMMbbymtij</t>
  </si>
  <si>
    <t>p17Oj2I1PVH</t>
  </si>
  <si>
    <t>HTS_TST.Pos.Total_Other.T</t>
  </si>
  <si>
    <t>HTS_TST.PMTCT.Pos.Share</t>
  </si>
  <si>
    <t>HTS_TST.PostANC1.Pos.Share</t>
  </si>
  <si>
    <t>HTS_TST.TB.Pos.Share</t>
  </si>
  <si>
    <t>HTS_TST.VMMC.Pos.Share</t>
  </si>
  <si>
    <t>HTS_TST.Index.Pos.Share.T_1</t>
  </si>
  <si>
    <t>HTS_TST.SNS.Pos.Share</t>
  </si>
  <si>
    <t>HTS_TST.ActiveOther.Pos.Share</t>
  </si>
  <si>
    <t>HTS_TST.STI.Pos.Share</t>
  </si>
  <si>
    <t>HTS_TST.Other.Pos.Share</t>
  </si>
  <si>
    <t>HTS_TST.Pos.DistCheck</t>
  </si>
  <si>
    <t>HTS.Index.Pos.Yield</t>
  </si>
  <si>
    <t>HTS.Index.Pos.T</t>
  </si>
  <si>
    <t>HTS.Index.Neg.T</t>
  </si>
  <si>
    <t>HTS_TST.SNS.Yield</t>
  </si>
  <si>
    <t>HTS_TST.SNS.Pos.T</t>
  </si>
  <si>
    <t>HTS_TST.SNS.Neg.T</t>
  </si>
  <si>
    <t>HTS_TST.ActiveOther.Yield</t>
  </si>
  <si>
    <t>HTS_TST.ActiveOther.Pos.T</t>
  </si>
  <si>
    <t>HTS_TST.ActiveOther.Neg.T</t>
  </si>
  <si>
    <t>HTS_TST.STI.Yield</t>
  </si>
  <si>
    <t>HTS_TST.STI.Pos.T</t>
  </si>
  <si>
    <t>HTS_TST.STI.Neg.T</t>
  </si>
  <si>
    <t>HTS_TST.Other.Yield</t>
  </si>
  <si>
    <t>HTS_TST.Other.Pos.T</t>
  </si>
  <si>
    <t>HTS_TST.Other.Neg.T</t>
  </si>
  <si>
    <t>HTS_TST.Pos.Original</t>
  </si>
  <si>
    <t>HTS_TST.Pos.Total</t>
  </si>
  <si>
    <t>HTS_TST.Pos.Diff</t>
  </si>
  <si>
    <t>PrEP_CT.Total.T</t>
  </si>
  <si>
    <t>HTS_TST.Neg.Total</t>
  </si>
  <si>
    <t>HTS_TST.Total</t>
  </si>
  <si>
    <t>HTS_TST.Yield</t>
  </si>
  <si>
    <t>HTS_SELF.T_1</t>
  </si>
  <si>
    <t>HTS_SELF.Growth</t>
  </si>
  <si>
    <t>CXCA</t>
  </si>
  <si>
    <t>To shut off CXCA_SCRN entirely, replace all percentages in the green column, "Target CXCA Screening coverage rate (%)" with zeros.</t>
  </si>
  <si>
    <t>CXCA_SCRN (FY22 Results)</t>
  </si>
  <si>
    <t>CXCA_SCRN (FY23 Targets)</t>
  </si>
  <si>
    <t>TX_CURR (FY23)</t>
  </si>
  <si>
    <t>CXCA_SCRN Coverage (FY22 Results) (%)</t>
  </si>
  <si>
    <t>CXCA_SCRN Coverage - Already on ART (FY24) (%)</t>
  </si>
  <si>
    <t>CXCA_SCRN Coverage - Initiated on ART (FY24) (%)</t>
  </si>
  <si>
    <t>XboLlTkc4Av</t>
  </si>
  <si>
    <t>XWK6yAwhol8</t>
  </si>
  <si>
    <t>wQ5XOuU0LVH</t>
  </si>
  <si>
    <t>CXCA_SCRN.R</t>
  </si>
  <si>
    <t>CXCA_SCRN.T_1</t>
  </si>
  <si>
    <t>CXCA_SCRN.Rt.R</t>
  </si>
  <si>
    <t>CXCA_SCRN.Already.Rt.T</t>
  </si>
  <si>
    <t>CXCA_SCRN.Initiated.Rt.T</t>
  </si>
  <si>
    <t>TX_TB &amp; TB_PREV</t>
  </si>
  <si>
    <t>TX_TB (D)</t>
  </si>
  <si>
    <t>TX_NEW (FY24)</t>
  </si>
  <si>
    <t>Targeted coverage: Already on ART (FY24) (%)</t>
  </si>
  <si>
    <t>Targeted coverage: New on ART (FY24) (%)</t>
  </si>
  <si>
    <t>Est. TB Screen Positivity Rate: Already on ART (FY24) (%)</t>
  </si>
  <si>
    <t>Est. TB Screen Positivity Rate: New on ART (FY24) (%)</t>
  </si>
  <si>
    <t>Already on ART, TB Screen + (FY24)</t>
  </si>
  <si>
    <t>Already on ART, TB Screen - (FY24)</t>
  </si>
  <si>
    <t>New on ART, TB Screen + (FY24)</t>
  </si>
  <si>
    <t>New on ART, TB Screen - (FY24)</t>
  </si>
  <si>
    <t>Cumulative Previous Completion of TPT (Results FY17-22)</t>
  </si>
  <si>
    <t>TB_PREV (N) - Already on ART (FY23 Targets)</t>
  </si>
  <si>
    <t>TB_PREV (N) - New on ART (FY23 Targets)</t>
  </si>
  <si>
    <t>Est. total # completed TPT in last 7 years (FY24)</t>
  </si>
  <si>
    <t>Est. % Eligible for TPT among Already on ART, TB Screen - (FY24) (%)</t>
  </si>
  <si>
    <t>% TPT Initiation Rate - Already on ART (FY24) (%)</t>
  </si>
  <si>
    <t>% TPT Initiation Rate - New on ART (FY24) (%)</t>
  </si>
  <si>
    <t>Targeted TPT completion (FY24) (%)</t>
  </si>
  <si>
    <t>Projected Change: Already on ART (FY24) (%)</t>
  </si>
  <si>
    <t>Projected Change: New on ART (FY24) (%)</t>
  </si>
  <si>
    <t>DcQet8tM3my</t>
  </si>
  <si>
    <t>MdqPezsikDr</t>
  </si>
  <si>
    <t>HUgQMmRVHMS</t>
  </si>
  <si>
    <t>TX_TB.D.Already.Cov</t>
  </si>
  <si>
    <t>TX_TB.D.New.Cov</t>
  </si>
  <si>
    <t>TX_TB.D.Already.Yield</t>
  </si>
  <si>
    <t>TX_TB.D.New.Yield</t>
  </si>
  <si>
    <t>TX_TB.D.Already.Pos.T</t>
  </si>
  <si>
    <t>TX_TB.D.Already.Neg.T</t>
  </si>
  <si>
    <t>TX_TB.D.New.Pos.T</t>
  </si>
  <si>
    <t>TX_TB.D.New.Neg.T</t>
  </si>
  <si>
    <t>TB_PREV.N.R</t>
  </si>
  <si>
    <t>TB_PREV.N.Already.T_1</t>
  </si>
  <si>
    <t>TB_PREV.N.New.T_1</t>
  </si>
  <si>
    <t>TX_TB.D.Already.Ineligible.T_1</t>
  </si>
  <si>
    <t>TX_TB.D.Already.Eligible.T</t>
  </si>
  <si>
    <t>TX_TB.D.Already.Neg.Linkage</t>
  </si>
  <si>
    <t>TX_TB.D.New.Neg.Linkage</t>
  </si>
  <si>
    <t>TB_PREV.D.Already.T</t>
  </si>
  <si>
    <t>TB_PREV.D.New.T</t>
  </si>
  <si>
    <t>TB_PREV.N.Rt.T</t>
  </si>
  <si>
    <t>TB_PREV.N.Already.T</t>
  </si>
  <si>
    <t>TB_PREV.N.New.T</t>
  </si>
  <si>
    <t>TB_PREV.N.Already.Growth.T</t>
  </si>
  <si>
    <t>TB_PREV.N.New.Growth.T</t>
  </si>
  <si>
    <t>PP</t>
  </si>
  <si>
    <t>PP_PREV (FY23)</t>
  </si>
  <si>
    <t>Expected change in PP_PREV services (%)</t>
  </si>
  <si>
    <t>HV0zRuYnuv8</t>
  </si>
  <si>
    <t>PP_PREV.T_1</t>
  </si>
  <si>
    <t>PP_PREV.Growth.T</t>
  </si>
  <si>
    <t>DREAMS SNU?</t>
  </si>
  <si>
    <t>Total OVC_SERV (FY22)</t>
  </si>
  <si>
    <t>Total OVC_SERV (FY23 Targets)</t>
  </si>
  <si>
    <t>Projected Net Change in OVC_SERV (FY24) (%)</t>
  </si>
  <si>
    <t>Targeted DREAMS % of Total OVC_SERV (FY24) (%)</t>
  </si>
  <si>
    <t>Targeted Preventive % of Total OVC_SERV (FY24) (%)</t>
  </si>
  <si>
    <t>Targeted Comprehensive % of Total OVC_SERV (FY24) (%)</t>
  </si>
  <si>
    <t>Targeted Graduation Rate among Comprehensive (FY24) (%)</t>
  </si>
  <si>
    <t>Total OVC_SERV (FY24)</t>
  </si>
  <si>
    <t>rxgD4kPnUIg.zKUTfylfIpY.qTfvIKslD0b.Wy7xYEZSf1B</t>
  </si>
  <si>
    <t>MD74x7fNR4j.HytOnKf1KbS.EfmClxvOBtK.QaxSn3WwS7e</t>
  </si>
  <si>
    <t>Qk8HjZeOBom.TIuD9nSQAd9</t>
  </si>
  <si>
    <t>DsIC5hZsqDF</t>
  </si>
  <si>
    <t>ZTN9wn0OQt1</t>
  </si>
  <si>
    <t>Tp792ZiaQed</t>
  </si>
  <si>
    <t>10-17 (OVC)</t>
  </si>
  <si>
    <t>5 yr, 05-14</t>
  </si>
  <si>
    <t>DREAMS_SNU.Flag</t>
  </si>
  <si>
    <t>OVC_SERV.R</t>
  </si>
  <si>
    <t>OVC_SERV.T_1</t>
  </si>
  <si>
    <t>OVC_SERV.Growth.T</t>
  </si>
  <si>
    <t>OVC_SERV.DREAMS.Rt.T</t>
  </si>
  <si>
    <t>OVC_SERV.Prev.Rt.T</t>
  </si>
  <si>
    <t>OVC_SERV.Comp.Rt.T</t>
  </si>
  <si>
    <t>OVC_SERV.Grad.Rt.T</t>
  </si>
  <si>
    <t>OVC_SERV.T</t>
  </si>
  <si>
    <t>OVC_HIVSTAT.Rt.T</t>
  </si>
  <si>
    <t>OVC_HIVSTAT.T</t>
  </si>
  <si>
    <t>Y</t>
  </si>
  <si>
    <t>0</t>
  </si>
  <si>
    <t>Physical/Emotional Violence (FY23 Targets)</t>
  </si>
  <si>
    <t>Sexual Violence (FY23 Targets)</t>
  </si>
  <si>
    <t>Projected change in GEND_GBV - Physical/Emotional Violence services (%)</t>
  </si>
  <si>
    <t>Projected change in GEND_GBV - Sexual Violence services (%)</t>
  </si>
  <si>
    <t>Physical/Emotional Violence (FY24)</t>
  </si>
  <si>
    <t>Sexual Violence (FY24)</t>
  </si>
  <si>
    <t>XUtNKyPozHq</t>
  </si>
  <si>
    <t>USe0kg2Bind</t>
  </si>
  <si>
    <t>bchuAJAMSZO</t>
  </si>
  <si>
    <t>GEND_GBV.PE.T_1</t>
  </si>
  <si>
    <t>GEND_GBV.S.T_1</t>
  </si>
  <si>
    <t>GEND_GBV.PE.Growth.T</t>
  </si>
  <si>
    <t>GEND_GBV.S.Growth.T</t>
  </si>
  <si>
    <t>GEND_GBV.PE.T</t>
  </si>
  <si>
    <t>GEND_GBV.S.T</t>
  </si>
  <si>
    <t>DREAMS SNUs are denoted as DNUs, though are here referred to as PSNUs. Note that these are equivalent in all PEPFAR countries except Rwanda and Eswatini.</t>
  </si>
  <si>
    <t>P.C. Est. # of Vulnerable AGYW (FY23)</t>
  </si>
  <si>
    <t>Primary Package Incomplete: Service Started (FY22 Results)</t>
  </si>
  <si>
    <t>Primary Package Incomplete: Service Completed (FY22 Results)</t>
  </si>
  <si>
    <t>Primary Package Completed (FY22 Results)</t>
  </si>
  <si>
    <t>Primary Package and Secondary (FY22 Results)</t>
  </si>
  <si>
    <t>Total AGYW_PREV (FY22 Results)</t>
  </si>
  <si>
    <t>Observed Percent Completion (FY22 Results) (%)</t>
  </si>
  <si>
    <t>Targeted Percent Completion (FY24) (%)</t>
  </si>
  <si>
    <t>Projected Net Change in Total AGYW_PREV from FY22 Results (%)</t>
  </si>
  <si>
    <t>Denominator - Started or Completed any DREAMS Service (FY24)</t>
  </si>
  <si>
    <t>Numerator - Completed at least Primary Package (FY24)</t>
  </si>
  <si>
    <t>aZrOAEKtXAo</t>
  </si>
  <si>
    <t>RAZ3P5llmi4</t>
  </si>
  <si>
    <t>ZW2qWywZuGl</t>
  </si>
  <si>
    <t>gGkFUE1ob8y</t>
  </si>
  <si>
    <t>Xxj42CRWEPD</t>
  </si>
  <si>
    <t>KvVcLT8u0I7</t>
  </si>
  <si>
    <t>sKjBJe2Um3s</t>
  </si>
  <si>
    <t>IKC8RWqIbx9</t>
  </si>
  <si>
    <t>AGYW_SUBNAT.T_1</t>
  </si>
  <si>
    <t>AGYW_PREV.Started.R</t>
  </si>
  <si>
    <t>AGYW_PREV.Incomplete.R</t>
  </si>
  <si>
    <t>AGYW_PREV.Complete.R</t>
  </si>
  <si>
    <t>AGYW_PREV.CompletePlus.R</t>
  </si>
  <si>
    <t>AGYW_PREV.D.R</t>
  </si>
  <si>
    <t>AGYW_PREV.N.Rt.R</t>
  </si>
  <si>
    <t>AGYW_PREV.N.Rt.T</t>
  </si>
  <si>
    <t>AGYW_PREV.D.Growth.T</t>
  </si>
  <si>
    <t>P.C. Est. KP_MAT_SUBNAT (FY23)</t>
  </si>
  <si>
    <t>PEPFAR KP_MAT (FY23 Targets)</t>
  </si>
  <si>
    <t>Observed PEPFAR Coverage of KP_MAT_SUBNAT (FY23 Targets) (%)</t>
  </si>
  <si>
    <t>Targeted PEPFAR Coverage of KP_MAT_SUBNAT (FY24) (%)</t>
  </si>
  <si>
    <t>Projected Change in KP_MAT (%)</t>
  </si>
  <si>
    <t>P.C. KP_MAT_SUBNAT (FY24)</t>
  </si>
  <si>
    <t>ctGo7s0K63z</t>
  </si>
  <si>
    <t>KJZrqS4XcJ2</t>
  </si>
  <si>
    <t>KP_MAT_SUBNAT.T_1</t>
  </si>
  <si>
    <t>KP_MAT.T_1</t>
  </si>
  <si>
    <t>KP_MAT.NatlContr.T_1</t>
  </si>
  <si>
    <t>KP_MAT.NatlContr.T</t>
  </si>
  <si>
    <t>KP_MAT.Growth.T</t>
  </si>
  <si>
    <t>KP_MAT_SUBNAT.T</t>
  </si>
  <si>
    <t>KP Validation</t>
  </si>
  <si>
    <t>HTS_TST - Positives</t>
  </si>
  <si>
    <t>HTS_TST - Negatives</t>
  </si>
  <si>
    <t>For each indicator, red highlighting may indicate:
- MSM &gt; Males
- FSW &gt; Females
- After removing MSM &amp; FSW from Total Targets, the sum of People in prisons and other enclosed settings, PWID, &amp; TG is still higher than the remainder from Total Targets.</t>
  </si>
  <si>
    <t>Total Targets</t>
  </si>
  <si>
    <t>KP Targets Validation</t>
  </si>
  <si>
    <t>Female, 15+ (FY24)</t>
  </si>
  <si>
    <t>AGYW, 15-34 (FY24)</t>
  </si>
  <si>
    <t>Male, 15+ (FY24)</t>
  </si>
  <si>
    <t>PrEP_CT.Female.T</t>
  </si>
  <si>
    <t>PrEP_CT.AGYW.T</t>
  </si>
  <si>
    <t>PrEP_CT.Male.T</t>
  </si>
  <si>
    <t>PrEP_CT.KP.FSW.T</t>
  </si>
  <si>
    <t>PrEP_CT.KP.MSM.T</t>
  </si>
  <si>
    <t>PrEP_CT.KP.Enclosed.T</t>
  </si>
  <si>
    <t>PrEP_CT.KP.PWID.T</t>
  </si>
  <si>
    <t>PrEP_CT.KP.TG.T</t>
  </si>
  <si>
    <t>PrEP_NEW.Female.T</t>
  </si>
  <si>
    <t>PrEP_NEW.AGYW.T</t>
  </si>
  <si>
    <t>PrEP_NEW.Male.T</t>
  </si>
  <si>
    <t>PrEP_NEW.KP.FSW.T</t>
  </si>
  <si>
    <t>PrEP_NEW.KP.MSM.T</t>
  </si>
  <si>
    <t>PrEP_NEW.KP.Enclosed.T</t>
  </si>
  <si>
    <t>PrEP_NEW.KP.PWID.T</t>
  </si>
  <si>
    <t>PrEP_NEW.KP.TG.T</t>
  </si>
  <si>
    <t>TX_CURR.Female.T</t>
  </si>
  <si>
    <t>TX_CURR.Male.T</t>
  </si>
  <si>
    <t>TX_CURR.KP.FSW.T</t>
  </si>
  <si>
    <t>TX_CURR.KP.MSM.T</t>
  </si>
  <si>
    <t>TX_CURR.KP.Enclosed.T</t>
  </si>
  <si>
    <t>TX_CURR.KP.PWID.T</t>
  </si>
  <si>
    <t>TX_CURR.KP.TG.T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</si>
  <si>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</si>
  <si>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</si>
  <si>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</si>
  <si>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</si>
  <si>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</si>
  <si>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</si>
  <si>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</si>
  <si>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</si>
  <si>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</si>
  <si>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</si>
  <si>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</si>
  <si>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</si>
  <si>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</si>
  <si>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</si>
  <si>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</si>
  <si>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</si>
  <si>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</si>
  <si>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</si>
  <si>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</si>
  <si>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</si>
  <si>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</si>
  <si>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</si>
  <si>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</si>
  <si>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</si>
  <si>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</si>
  <si>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</si>
  <si>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</si>
  <si>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</si>
  <si>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</si>
  <si>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</si>
  <si>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</si>
  <si>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</si>
  <si>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</si>
  <si>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</si>
  <si>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</si>
  <si>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</si>
  <si>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</si>
  <si>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</si>
  <si>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</si>
  <si>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</si>
  <si>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</si>
  <si>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</si>
  <si>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</si>
  <si>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</si>
  <si>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</si>
  <si>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</si>
  <si>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</si>
  <si>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</si>
  <si>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</si>
  <si>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COP24 Target Setting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</si>
</sst>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rgb="FF000000"/>
      <name val="Calibri"/>
      <family val="2"/>
      <charset val="1"/>
    </font>
    <font>
      <sz val="36"/>
      <color rgb="FF7F7F7F"/>
      <name val="Calibri"/>
      <family val="2"/>
    </font>
    <font>
      <b/>
      <sz val="76"/>
      <color rgb="FF000000"/>
      <name val="Calibri"/>
      <family val="2"/>
    </font>
    <font>
      <b/>
      <sz val="64"/>
      <color rgb="FF073763"/>
      <name val="Calibri"/>
      <family val="2"/>
    </font>
    <font>
      <sz val="12"/>
      <color rgb="FF000000"/>
      <name val="Calibri"/>
      <family val="2"/>
    </font>
    <font>
      <b/>
      <sz val="12"/>
      <color rgb="FF000000"/>
      <name val="Calibri"/>
      <family val="2"/>
      <charset val="1"/>
    </font>
    <font>
      <b/>
      <sz val="12"/>
      <color rgb="FFFFFFFF"/>
      <name val="Calibri"/>
      <family val="2"/>
      <charset val="1"/>
    </font>
    <font>
      <b/>
      <u/>
      <sz val="12"/>
      <color rgb="FFFFFFFF"/>
      <name val="Calibri"/>
      <family val="2"/>
      <charset val="1"/>
    </font>
    <font>
      <sz val="12"/>
      <color rgb="FFFFFFFF"/>
      <name val="Calibri"/>
      <family val="2"/>
      <charset val="1"/>
    </font>
    <font>
      <b/>
      <sz val="18"/>
      <color rgb="FF000000"/>
      <name val="Calibri"/>
      <family val="2"/>
      <charset val="1"/>
    </font>
    <font>
      <b/>
      <sz val="18"/>
      <color rgb="FFFFFFFF"/>
      <name val="Calibri"/>
      <family val="2"/>
      <charset val="1"/>
    </font>
    <font>
      <sz val="18"/>
      <color rgb="FFFFFFFF"/>
      <name val="Calibri"/>
      <family val="2"/>
      <charset val="1"/>
    </font>
    <font>
      <i/>
      <sz val="14"/>
      <color rgb="FF000000"/>
      <name val="Calibri"/>
      <family val="2"/>
      <charset val="1"/>
    </font>
    <font>
      <b/>
      <sz val="11"/>
      <color rgb="FF000000"/>
      <name val="Calibri"/>
      <family val="2"/>
      <charset val="1"/>
    </font>
    <font>
      <b/>
      <sz val="12"/>
      <color rgb="FFBFBFBF"/>
      <name val="Calibri"/>
      <family val="2"/>
      <charset val="1"/>
    </font>
    <font>
      <sz val="12"/>
      <color rgb="FFBFBFBF"/>
      <name val="Calibri"/>
      <family val="2"/>
      <charset val="1"/>
    </font>
    <font>
      <b/>
      <sz val="12"/>
      <color rgb="FF000000"/>
      <name val="Calibri"/>
      <family val="2"/>
    </font>
    <font>
      <sz val="12"/>
      <color rgb="FF000000"/>
      <name val="Calibri (Body)"/>
      <charset val="1"/>
    </font>
    <font>
      <sz val="10"/>
      <color rgb="FF000000"/>
      <name val="Tahoma"/>
      <family val="2"/>
      <charset val="1"/>
    </font>
    <font>
      <sz val="11"/>
      <color rgb="FF000000"/>
      <name val="Calibri"/>
      <family val="2"/>
      <charset val="1"/>
    </font>
    <font>
      <b/>
      <i/>
      <sz val="14"/>
      <color rgb="FF000000"/>
      <name val="Calibri"/>
      <family val="2"/>
      <charset val="1"/>
    </font>
    <font>
      <b/>
      <sz val="14"/>
      <color rgb="FF000000"/>
      <name val="Calibri"/>
      <family val="2"/>
      <charset val="1"/>
    </font>
    <font>
      <sz val="12"/>
      <color rgb="FF0563C1"/>
      <name val="Calibri"/>
      <family val="2"/>
      <charset val="1"/>
    </font>
    <font>
      <sz val="10"/>
      <color rgb="FF000000"/>
      <name val="Tahoma"/>
      <family val="2"/>
    </font>
    <font>
      <b/>
      <sz val="12"/>
      <color rgb="FF0563C1"/>
      <name val="Calibri"/>
      <family val="2"/>
      <charset val="1"/>
    </font>
    <font>
      <b/>
      <sz val="10"/>
      <color rgb="FF000000"/>
      <name val="Tahoma"/>
      <family val="2"/>
      <charset val="1"/>
    </font>
    <font>
      <b/>
      <sz val="10"/>
      <color rgb="FF000000"/>
      <name val="Tahoma"/>
      <family val="2"/>
    </font>
  </fonts>
  <fills count="8">
    <fill>
      <patternFill patternType="none"/>
    </fill>
    <fill>
      <patternFill patternType="gray125"/>
    </fill>
    <fill>
      <patternFill patternType="solid">
        <fgColor rgb="FF073763"/>
        <bgColor rgb="FF333333"/>
      </patternFill>
    </fill>
    <fill>
      <patternFill patternType="solid">
        <fgColor rgb="FFFFEB84"/>
        <bgColor rgb="FFFFEB9C"/>
      </patternFill>
    </fill>
    <fill>
      <patternFill patternType="solid">
        <fgColor rgb="FFBFBFBF"/>
        <bgColor rgb="FFC5E0B4"/>
      </patternFill>
    </fill>
    <fill>
      <patternFill patternType="solid">
        <fgColor rgb="FF8FAADC"/>
        <bgColor rgb="FF99CCFF"/>
      </patternFill>
    </fill>
    <fill>
      <patternFill patternType="solid">
        <fgColor rgb="FFC5E0B4"/>
        <bgColor rgb="FFC6EFCE"/>
      </patternFill>
    </fill>
    <fill>
      <patternFill patternType="solid">
        <fgColor rgb="FFFFF2CC"/>
        <bgColor rgb="FFFFEB9C"/>
      </patternFill>
    </fill>
  </fills>
  <borders count="5">
    <border>
      <left/>
      <right/>
      <top/>
      <bottom/>
      <diagonal/>
    </border>
    <border>
      <left style="medium">
        <color auto="1"/>
      </left>
      <right style="medium">
        <color auto="1"/>
      </right>
      <top style="medium">
        <color auto="1"/>
      </top>
      <bottom style="medium">
        <color auto="1"/>
      </bottom>
      <diagonal/>
    </border>
    <border>
      <left style="thick">
        <color rgb="FFE7E6E6"/>
      </left>
      <right/>
      <top/>
      <bottom/>
      <diagonal/>
    </border>
    <border>
      <left/>
      <right style="medium">
        <color rgb="FFE7E6E6"/>
      </right>
      <top/>
      <bottom/>
      <diagonal/>
    </border>
    <border>
      <left style="medium">
        <color rgb="FFE7E6E6"/>
      </left>
      <right/>
      <top/>
      <bottom/>
      <diagonal/>
    </border>
  </borders>
  <cellStyleXfs count="1">
    <xf numFmtId="0" fontId="0" fillId="0" borderId="0"/>
  </cellStyleXfs>
  <cellXfs count="193">
    <xf numFmtId="0" fontId="0" fillId="0" borderId="0" xfId="0"/>
    <xf numFmtId="49" fontId="4" fillId="7" borderId="1" xfId="0" applyNumberFormat="1" applyFont="1" applyFill="1" applyBorder="1" applyAlignment="1">
      <alignment horizontal="left" vertical="center" wrapText="1"/>
    </xf>
    <xf numFmtId="49" fontId="4" fillId="7" borderId="0" xfId="0" applyNumberFormat="1" applyFont="1" applyFill="1" applyAlignment="1">
      <alignment horizontal="center" vertical="center" wrapText="1"/>
    </xf>
    <xf numFmtId="49" fontId="17" fillId="7" borderId="1" xfId="0" applyNumberFormat="1" applyFont="1" applyFill="1" applyBorder="1" applyAlignment="1">
      <alignment horizontal="left" vertical="center" wrapText="1"/>
    </xf>
    <xf numFmtId="3" fontId="8" fillId="2" borderId="0" xfId="0" applyNumberFormat="1" applyFont="1" applyFill="1" applyAlignment="1">
      <alignment horizontal="left" vertical="top" wrapText="1"/>
    </xf>
    <xf numFmtId="3" fontId="1" fillId="0" borderId="0" xfId="0" applyNumberFormat="1" applyFont="1" applyAlignment="1">
      <alignment horizontal="left" vertical="center"/>
    </xf>
    <xf numFmtId="3" fontId="2" fillId="0" borderId="0" xfId="0" applyNumberFormat="1" applyFont="1" applyAlignment="1">
      <alignment horizontal="left" vertical="center"/>
    </xf>
    <xf numFmtId="3" fontId="3" fillId="0" borderId="0" xfId="0" applyNumberFormat="1" applyFont="1" applyAlignment="1">
      <alignment horizontal="left" vertical="center"/>
    </xf>
    <xf numFmtId="3" fontId="4" fillId="2" borderId="0" xfId="0" applyNumberFormat="1" applyFont="1" applyFill="1"/>
    <xf numFmtId="3" fontId="5" fillId="0" borderId="0" xfId="0" applyNumberFormat="1" applyFont="1"/>
    <xf numFmtId="49" fontId="5" fillId="0" borderId="0" xfId="0" applyNumberFormat="1" applyFont="1"/>
    <xf numFmtId="3" fontId="5" fillId="3" borderId="1" xfId="0" applyNumberFormat="1" applyFont="1" applyFill="1" applyBorder="1" applyAlignment="1">
      <alignment horizontal="center"/>
    </xf>
    <xf numFmtId="3" fontId="6" fillId="2" borderId="0" xfId="0" applyNumberFormat="1" applyFont="1" applyFill="1"/>
    <xf numFmtId="49" fontId="4" fillId="0" borderId="0" xfId="0" applyNumberFormat="1" applyFont="1"/>
    <xf numFmtId="3" fontId="4" fillId="0" borderId="0" xfId="0" applyNumberFormat="1" applyFont="1"/>
    <xf numFmtId="3" fontId="7" fillId="2" borderId="0" xfId="0" applyNumberFormat="1" applyFont="1" applyFill="1" applyAlignment="1">
      <alignment horizontal="center"/>
    </xf>
    <xf numFmtId="3" fontId="8" fillId="2" borderId="0" xfId="0" applyNumberFormat="1" applyFont="1" applyFill="1" applyAlignment="1">
      <alignment vertical="top" wrapText="1"/>
    </xf>
    <xf numFmtId="3" fontId="8" fillId="2" borderId="0" xfId="0" applyNumberFormat="1" applyFont="1" applyFill="1"/>
    <xf numFmtId="49" fontId="9" fillId="0" borderId="0" xfId="0" applyNumberFormat="1" applyFont="1" applyAlignment="1">
      <alignment vertical="center"/>
    </xf>
    <xf numFmtId="3" fontId="10" fillId="2" borderId="2" xfId="0" applyNumberFormat="1" applyFont="1" applyFill="1" applyBorder="1" applyAlignment="1">
      <alignment horizontal="left" vertical="center"/>
    </xf>
    <xf numFmtId="3" fontId="10" fillId="2" borderId="0" xfId="0" applyNumberFormat="1" applyFont="1" applyFill="1" applyAlignment="1">
      <alignment horizontal="left" vertical="center"/>
    </xf>
    <xf numFmtId="3" fontId="11" fillId="2" borderId="0" xfId="0" applyNumberFormat="1" applyFont="1" applyFill="1" applyAlignment="1">
      <alignment vertical="center"/>
    </xf>
    <xf numFmtId="49" fontId="12" fillId="0" borderId="0" xfId="0" applyNumberFormat="1" applyFont="1"/>
    <xf numFmtId="3" fontId="12" fillId="0" borderId="2" xfId="0" applyNumberFormat="1" applyFont="1" applyBorder="1" applyAlignment="1">
      <alignment horizontal="left"/>
    </xf>
    <xf numFmtId="3" fontId="13" fillId="0" borderId="0" xfId="0" applyNumberFormat="1" applyFont="1" applyAlignment="1">
      <alignment horizontal="center"/>
    </xf>
    <xf numFmtId="3" fontId="12" fillId="0" borderId="0" xfId="0" applyNumberFormat="1" applyFont="1"/>
    <xf numFmtId="49" fontId="4" fillId="0" borderId="0" xfId="0" applyNumberFormat="1" applyFont="1" applyAlignment="1">
      <alignment horizontal="center" vertical="center" wrapText="1"/>
    </xf>
    <xf numFmtId="3" fontId="4" fillId="4" borderId="2" xfId="0" applyNumberFormat="1" applyFont="1" applyFill="1" applyBorder="1" applyAlignment="1">
      <alignment horizontal="center" vertical="center" wrapText="1"/>
    </xf>
    <xf numFmtId="3" fontId="5" fillId="5" borderId="0" xfId="0" applyNumberFormat="1" applyFont="1" applyFill="1" applyAlignment="1">
      <alignment horizontal="center" vertical="center" wrapText="1"/>
    </xf>
    <xf numFmtId="3" fontId="0" fillId="4" borderId="0" xfId="0" applyNumberFormat="1" applyFill="1" applyAlignment="1">
      <alignment horizontal="center" vertical="center" wrapText="1"/>
    </xf>
    <xf numFmtId="49" fontId="4" fillId="0" borderId="0" xfId="0" applyNumberFormat="1" applyFont="1" applyAlignment="1">
      <alignment horizontal="right"/>
    </xf>
    <xf numFmtId="3" fontId="4" fillId="0" borderId="2" xfId="0" applyNumberFormat="1" applyFont="1" applyBorder="1" applyAlignment="1">
      <alignment horizontal="left"/>
    </xf>
    <xf numFmtId="3" fontId="5" fillId="0" borderId="0" xfId="0" applyNumberFormat="1" applyFont="1" applyAlignment="1">
      <alignment horizontal="left"/>
    </xf>
    <xf numFmtId="3" fontId="4" fillId="0" borderId="0" xfId="0" applyNumberFormat="1" applyFont="1" applyAlignment="1">
      <alignment horizontal="center"/>
    </xf>
    <xf numFmtId="3" fontId="4" fillId="6" borderId="2" xfId="0" applyNumberFormat="1" applyFont="1" applyFill="1" applyBorder="1" applyAlignment="1">
      <alignment horizontal="left"/>
    </xf>
    <xf numFmtId="3" fontId="5" fillId="6" borderId="0" xfId="0" applyNumberFormat="1" applyFont="1" applyFill="1" applyAlignment="1">
      <alignment horizontal="left"/>
    </xf>
    <xf numFmtId="49" fontId="5" fillId="4" borderId="0" xfId="0" applyNumberFormat="1" applyFont="1" applyFill="1"/>
    <xf numFmtId="3" fontId="14" fillId="4" borderId="2" xfId="0" applyNumberFormat="1" applyFont="1" applyFill="1" applyBorder="1" applyAlignment="1">
      <alignment horizontal="left"/>
    </xf>
    <xf numFmtId="3" fontId="14" fillId="4" borderId="0" xfId="0" applyNumberFormat="1" applyFont="1" applyFill="1" applyAlignment="1">
      <alignment horizontal="left"/>
    </xf>
    <xf numFmtId="3" fontId="15" fillId="4" borderId="0" xfId="0" applyNumberFormat="1" applyFont="1" applyFill="1"/>
    <xf numFmtId="3" fontId="5" fillId="0" borderId="0" xfId="0" applyNumberFormat="1" applyFont="1" applyAlignment="1">
      <alignment horizontal="center"/>
    </xf>
    <xf numFmtId="3" fontId="4" fillId="0" borderId="0" xfId="0" applyNumberFormat="1" applyFont="1" applyAlignment="1">
      <alignment horizontal="left"/>
    </xf>
    <xf numFmtId="3" fontId="16" fillId="0" borderId="0" xfId="0" applyNumberFormat="1" applyFont="1"/>
    <xf numFmtId="49" fontId="0" fillId="0" borderId="0" xfId="0" applyNumberFormat="1"/>
    <xf numFmtId="3" fontId="9" fillId="0" borderId="0" xfId="0" applyNumberFormat="1" applyFont="1" applyAlignment="1">
      <alignment vertical="center"/>
    </xf>
    <xf numFmtId="3" fontId="10" fillId="2" borderId="2" xfId="0" applyNumberFormat="1" applyFont="1" applyFill="1" applyBorder="1" applyAlignment="1">
      <alignment vertical="center"/>
    </xf>
    <xf numFmtId="3" fontId="10" fillId="2" borderId="0" xfId="0" applyNumberFormat="1" applyFont="1" applyFill="1" applyAlignment="1">
      <alignment vertical="center"/>
    </xf>
    <xf numFmtId="10" fontId="10" fillId="2" borderId="0" xfId="0" applyNumberFormat="1" applyFont="1" applyFill="1" applyAlignment="1">
      <alignment vertical="center"/>
    </xf>
    <xf numFmtId="9" fontId="11" fillId="2" borderId="0" xfId="0" applyNumberFormat="1" applyFont="1" applyFill="1" applyAlignment="1">
      <alignment vertical="center"/>
    </xf>
    <xf numFmtId="1" fontId="11" fillId="2" borderId="0" xfId="0" applyNumberFormat="1" applyFont="1" applyFill="1" applyAlignment="1">
      <alignment vertical="center"/>
    </xf>
    <xf numFmtId="9" fontId="10" fillId="2" borderId="0" xfId="0" applyNumberFormat="1" applyFont="1" applyFill="1" applyAlignment="1">
      <alignment vertical="center"/>
    </xf>
    <xf numFmtId="9" fontId="10" fillId="2" borderId="2" xfId="0" applyNumberFormat="1" applyFont="1" applyFill="1" applyBorder="1" applyAlignment="1">
      <alignment vertical="center"/>
    </xf>
    <xf numFmtId="3" fontId="12" fillId="0" borderId="2" xfId="0" applyNumberFormat="1" applyFont="1" applyBorder="1"/>
    <xf numFmtId="10" fontId="12" fillId="0" borderId="0" xfId="0" applyNumberFormat="1" applyFont="1"/>
    <xf numFmtId="9" fontId="12" fillId="0" borderId="0" xfId="0" applyNumberFormat="1" applyFont="1"/>
    <xf numFmtId="1" fontId="12" fillId="0" borderId="0" xfId="0" applyNumberFormat="1" applyFont="1"/>
    <xf numFmtId="9" fontId="12" fillId="0" borderId="2" xfId="0" applyNumberFormat="1" applyFont="1" applyBorder="1"/>
    <xf numFmtId="3" fontId="13" fillId="0" borderId="2" xfId="0" applyNumberFormat="1" applyFont="1" applyBorder="1" applyAlignment="1">
      <alignment horizontal="center"/>
    </xf>
    <xf numFmtId="9" fontId="12" fillId="0" borderId="2" xfId="0" applyNumberFormat="1" applyFont="1" applyBorder="1" applyAlignment="1">
      <alignment horizontal="left"/>
    </xf>
    <xf numFmtId="3" fontId="12" fillId="0" borderId="0" xfId="0" applyNumberFormat="1" applyFont="1" applyAlignment="1">
      <alignment horizontal="center"/>
    </xf>
    <xf numFmtId="9" fontId="12" fillId="0" borderId="0" xfId="0" applyNumberFormat="1" applyFont="1" applyAlignment="1">
      <alignment horizontal="center"/>
    </xf>
    <xf numFmtId="3" fontId="4" fillId="0" borderId="0" xfId="0" applyNumberFormat="1" applyFont="1" applyAlignment="1">
      <alignment horizontal="center" vertical="center" wrapText="1"/>
    </xf>
    <xf numFmtId="3" fontId="4" fillId="5" borderId="2" xfId="0" applyNumberFormat="1" applyFont="1" applyFill="1" applyBorder="1" applyAlignment="1">
      <alignment horizontal="center" vertical="center" wrapText="1"/>
    </xf>
    <xf numFmtId="3" fontId="0" fillId="4" borderId="2" xfId="0" applyNumberFormat="1" applyFill="1" applyBorder="1" applyAlignment="1">
      <alignment horizontal="center" vertical="center" wrapText="1"/>
    </xf>
    <xf numFmtId="3" fontId="0" fillId="5" borderId="0" xfId="0" applyNumberFormat="1" applyFill="1" applyAlignment="1">
      <alignment horizontal="center" vertical="center" wrapText="1"/>
    </xf>
    <xf numFmtId="3" fontId="0" fillId="5" borderId="2" xfId="0" applyNumberFormat="1" applyFill="1" applyBorder="1" applyAlignment="1">
      <alignment horizontal="center" vertical="center" wrapText="1"/>
    </xf>
    <xf numFmtId="10" fontId="0" fillId="5" borderId="0" xfId="0" applyNumberFormat="1" applyFill="1" applyAlignment="1">
      <alignment horizontal="center" vertical="center" wrapText="1"/>
    </xf>
    <xf numFmtId="9" fontId="0" fillId="5" borderId="0" xfId="0" applyNumberFormat="1" applyFill="1" applyAlignment="1">
      <alignment horizontal="center" vertical="center" wrapText="1"/>
    </xf>
    <xf numFmtId="1" fontId="0" fillId="5" borderId="0" xfId="0" applyNumberFormat="1" applyFill="1" applyAlignment="1">
      <alignment horizontal="center" vertical="center" wrapText="1"/>
    </xf>
    <xf numFmtId="3" fontId="4" fillId="5" borderId="0" xfId="0" applyNumberFormat="1" applyFont="1" applyFill="1" applyAlignment="1">
      <alignment horizontal="center" vertical="center" wrapText="1"/>
    </xf>
    <xf numFmtId="9" fontId="0" fillId="5" borderId="2" xfId="0" applyNumberFormat="1" applyFill="1" applyBorder="1" applyAlignment="1">
      <alignment horizontal="center" vertical="center" wrapText="1"/>
    </xf>
    <xf numFmtId="3" fontId="4" fillId="4" borderId="0" xfId="0" applyNumberFormat="1" applyFont="1" applyFill="1" applyAlignment="1">
      <alignment horizontal="center" vertical="center" wrapText="1"/>
    </xf>
    <xf numFmtId="3" fontId="5" fillId="4" borderId="2" xfId="0" applyNumberFormat="1" applyFont="1" applyFill="1" applyBorder="1" applyAlignment="1">
      <alignment horizontal="center" vertical="center" wrapText="1"/>
    </xf>
    <xf numFmtId="9" fontId="0" fillId="4" borderId="0" xfId="0" applyNumberFormat="1" applyFill="1" applyAlignment="1">
      <alignment horizontal="center" vertical="center" wrapText="1"/>
    </xf>
    <xf numFmtId="3" fontId="5" fillId="4" borderId="0" xfId="0" applyNumberFormat="1" applyFont="1" applyFill="1" applyAlignment="1">
      <alignment horizontal="center" vertical="center" wrapText="1"/>
    </xf>
    <xf numFmtId="3" fontId="4" fillId="0" borderId="0" xfId="0" applyNumberFormat="1" applyFont="1" applyAlignment="1">
      <alignment horizontal="right"/>
    </xf>
    <xf numFmtId="3" fontId="4" fillId="0" borderId="2" xfId="0" applyNumberFormat="1" applyFont="1" applyBorder="1" applyAlignment="1">
      <alignment horizontal="right"/>
    </xf>
    <xf numFmtId="3" fontId="0" fillId="0" borderId="0" xfId="0" applyNumberFormat="1" applyAlignment="1">
      <alignment horizontal="right"/>
    </xf>
    <xf numFmtId="3" fontId="0" fillId="0" borderId="2" xfId="0" applyNumberFormat="1" applyBorder="1" applyAlignment="1">
      <alignment horizontal="right"/>
    </xf>
    <xf numFmtId="10" fontId="0" fillId="0" borderId="0" xfId="0" applyNumberFormat="1" applyAlignment="1">
      <alignment horizontal="right"/>
    </xf>
    <xf numFmtId="9" fontId="0" fillId="0" borderId="0" xfId="0" applyNumberFormat="1" applyAlignment="1">
      <alignment horizontal="right"/>
    </xf>
    <xf numFmtId="1" fontId="0" fillId="0" borderId="0" xfId="0" applyNumberFormat="1" applyAlignment="1">
      <alignment horizontal="right"/>
    </xf>
    <xf numFmtId="9" fontId="0" fillId="0" borderId="2" xfId="0" applyNumberFormat="1" applyBorder="1" applyAlignment="1">
      <alignment horizontal="right"/>
    </xf>
    <xf numFmtId="3" fontId="5" fillId="0" borderId="2" xfId="0" applyNumberFormat="1" applyFont="1" applyBorder="1"/>
    <xf numFmtId="3" fontId="5" fillId="0" borderId="0" xfId="0" applyNumberFormat="1" applyFont="1" applyAlignment="1">
      <alignment horizontal="right"/>
    </xf>
    <xf numFmtId="9" fontId="4" fillId="0" borderId="2" xfId="0" applyNumberFormat="1" applyFont="1" applyBorder="1" applyAlignment="1">
      <alignment horizontal="right"/>
    </xf>
    <xf numFmtId="9" fontId="4" fillId="0" borderId="0" xfId="0" applyNumberFormat="1" applyFont="1" applyAlignment="1">
      <alignment horizontal="right"/>
    </xf>
    <xf numFmtId="3" fontId="4" fillId="0" borderId="2" xfId="0" applyNumberFormat="1" applyFont="1" applyBorder="1"/>
    <xf numFmtId="10" fontId="4" fillId="0" borderId="0" xfId="0" applyNumberFormat="1" applyFont="1"/>
    <xf numFmtId="9" fontId="0" fillId="0" borderId="0" xfId="0" applyNumberFormat="1"/>
    <xf numFmtId="9" fontId="4" fillId="0" borderId="0" xfId="0" applyNumberFormat="1" applyFont="1"/>
    <xf numFmtId="1" fontId="0" fillId="0" borderId="0" xfId="0" applyNumberFormat="1"/>
    <xf numFmtId="10" fontId="0" fillId="0" borderId="0" xfId="0" applyNumberFormat="1"/>
    <xf numFmtId="3" fontId="0" fillId="0" borderId="0" xfId="0" applyNumberFormat="1"/>
    <xf numFmtId="9" fontId="4" fillId="0" borderId="2" xfId="0" applyNumberFormat="1" applyFont="1" applyBorder="1"/>
    <xf numFmtId="3" fontId="4" fillId="6" borderId="2" xfId="0" applyNumberFormat="1" applyFont="1" applyFill="1" applyBorder="1"/>
    <xf numFmtId="3" fontId="4" fillId="6" borderId="0" xfId="0" applyNumberFormat="1" applyFont="1" applyFill="1"/>
    <xf numFmtId="10" fontId="4" fillId="6" borderId="0" xfId="0" applyNumberFormat="1" applyFont="1" applyFill="1"/>
    <xf numFmtId="3" fontId="5" fillId="6" borderId="2" xfId="0" applyNumberFormat="1" applyFont="1" applyFill="1" applyBorder="1"/>
    <xf numFmtId="3" fontId="5" fillId="6" borderId="0" xfId="0" applyNumberFormat="1" applyFont="1" applyFill="1"/>
    <xf numFmtId="3" fontId="5" fillId="4" borderId="0" xfId="0" applyNumberFormat="1" applyFont="1" applyFill="1" applyAlignment="1">
      <alignment horizontal="left"/>
    </xf>
    <xf numFmtId="49" fontId="5" fillId="4" borderId="0" xfId="0" applyNumberFormat="1" applyFont="1" applyFill="1" applyAlignment="1">
      <alignment horizontal="left"/>
    </xf>
    <xf numFmtId="3" fontId="5" fillId="4" borderId="0" xfId="0" applyNumberFormat="1" applyFont="1" applyFill="1"/>
    <xf numFmtId="3" fontId="15" fillId="4" borderId="2" xfId="0" applyNumberFormat="1" applyFont="1" applyFill="1" applyBorder="1"/>
    <xf numFmtId="10" fontId="15" fillId="4" borderId="0" xfId="0" applyNumberFormat="1" applyFont="1" applyFill="1"/>
    <xf numFmtId="9" fontId="15" fillId="4" borderId="0" xfId="0" applyNumberFormat="1" applyFont="1" applyFill="1"/>
    <xf numFmtId="1" fontId="15" fillId="4" borderId="0" xfId="0" applyNumberFormat="1" applyFont="1" applyFill="1"/>
    <xf numFmtId="9" fontId="15" fillId="4" borderId="2" xfId="0" applyNumberFormat="1" applyFont="1" applyFill="1" applyBorder="1"/>
    <xf numFmtId="3" fontId="14" fillId="4" borderId="2" xfId="0" applyNumberFormat="1" applyFont="1" applyFill="1" applyBorder="1"/>
    <xf numFmtId="3" fontId="14" fillId="4" borderId="0" xfId="0" applyNumberFormat="1" applyFont="1" applyFill="1"/>
    <xf numFmtId="9" fontId="15" fillId="4" borderId="0" xfId="0" applyNumberFormat="1" applyFont="1" applyFill="1" applyAlignment="1">
      <alignment horizontal="left"/>
    </xf>
    <xf numFmtId="9" fontId="14" fillId="4" borderId="2" xfId="0" applyNumberFormat="1" applyFont="1" applyFill="1" applyBorder="1" applyAlignment="1">
      <alignment horizontal="left"/>
    </xf>
    <xf numFmtId="3" fontId="15" fillId="4" borderId="0" xfId="0" applyNumberFormat="1" applyFont="1" applyFill="1" applyAlignment="1">
      <alignment horizontal="left"/>
    </xf>
    <xf numFmtId="9" fontId="15" fillId="4" borderId="2" xfId="0" applyNumberFormat="1" applyFont="1" applyFill="1" applyBorder="1" applyAlignment="1">
      <alignment horizontal="left"/>
    </xf>
    <xf numFmtId="3" fontId="0" fillId="0" borderId="2" xfId="0" applyNumberFormat="1" applyBorder="1"/>
    <xf numFmtId="10" fontId="16" fillId="0" borderId="0" xfId="0" applyNumberFormat="1" applyFont="1"/>
    <xf numFmtId="9" fontId="0" fillId="0" borderId="2" xfId="0" applyNumberFormat="1" applyBorder="1"/>
    <xf numFmtId="10" fontId="13" fillId="0" borderId="0" xfId="0" applyNumberFormat="1" applyFont="1" applyAlignment="1">
      <alignment horizontal="center"/>
    </xf>
    <xf numFmtId="3" fontId="19" fillId="0" borderId="0" xfId="0" applyNumberFormat="1" applyFont="1" applyAlignment="1">
      <alignment horizontal="center"/>
    </xf>
    <xf numFmtId="49" fontId="5" fillId="0" borderId="0" xfId="0" applyNumberFormat="1" applyFont="1" applyAlignment="1">
      <alignment horizontal="center" vertical="center" wrapText="1"/>
    </xf>
    <xf numFmtId="3" fontId="5" fillId="5" borderId="2" xfId="0" applyNumberFormat="1" applyFont="1" applyFill="1" applyBorder="1" applyAlignment="1">
      <alignment horizontal="center" vertical="center" wrapText="1"/>
    </xf>
    <xf numFmtId="10" fontId="5" fillId="5" borderId="0" xfId="0" applyNumberFormat="1" applyFont="1" applyFill="1" applyAlignment="1">
      <alignment horizontal="center" vertical="center" wrapText="1"/>
    </xf>
    <xf numFmtId="49" fontId="0" fillId="0" borderId="0" xfId="0" applyNumberFormat="1" applyAlignment="1">
      <alignment horizontal="right"/>
    </xf>
    <xf numFmtId="3" fontId="5" fillId="0" borderId="2" xfId="0" applyNumberFormat="1" applyFont="1" applyBorder="1" applyAlignment="1">
      <alignment horizontal="right"/>
    </xf>
    <xf numFmtId="10" fontId="5" fillId="0" borderId="0" xfId="0" applyNumberFormat="1" applyFont="1" applyAlignment="1">
      <alignment horizontal="right"/>
    </xf>
    <xf numFmtId="10" fontId="5" fillId="0" borderId="0" xfId="0" applyNumberFormat="1" applyFont="1"/>
    <xf numFmtId="10" fontId="5" fillId="6" borderId="0" xfId="0" applyNumberFormat="1" applyFont="1" applyFill="1"/>
    <xf numFmtId="3" fontId="0" fillId="6" borderId="2" xfId="0" applyNumberFormat="1" applyFill="1" applyBorder="1"/>
    <xf numFmtId="3" fontId="0" fillId="6" borderId="0" xfId="0" applyNumberFormat="1" applyFill="1"/>
    <xf numFmtId="10" fontId="14" fillId="4" borderId="0" xfId="0" applyNumberFormat="1" applyFont="1" applyFill="1"/>
    <xf numFmtId="3" fontId="11" fillId="2" borderId="2" xfId="0" applyNumberFormat="1" applyFont="1" applyFill="1" applyBorder="1" applyAlignment="1">
      <alignment vertical="center"/>
    </xf>
    <xf numFmtId="9" fontId="11" fillId="2" borderId="2" xfId="0" applyNumberFormat="1" applyFont="1" applyFill="1" applyBorder="1" applyAlignment="1">
      <alignment vertical="center"/>
    </xf>
    <xf numFmtId="49" fontId="4" fillId="0" borderId="0" xfId="0" applyNumberFormat="1" applyFont="1" applyAlignment="1">
      <alignment vertical="center" wrapText="1"/>
    </xf>
    <xf numFmtId="3" fontId="20" fillId="0" borderId="2" xfId="0" applyNumberFormat="1" applyFont="1" applyBorder="1"/>
    <xf numFmtId="3" fontId="20" fillId="0" borderId="0" xfId="0" applyNumberFormat="1" applyFont="1"/>
    <xf numFmtId="9" fontId="20" fillId="0" borderId="0" xfId="0" applyNumberFormat="1" applyFont="1"/>
    <xf numFmtId="3" fontId="21" fillId="0" borderId="0" xfId="0" applyNumberFormat="1" applyFont="1" applyAlignment="1">
      <alignment horizontal="center"/>
    </xf>
    <xf numFmtId="9" fontId="20" fillId="0" borderId="2" xfId="0" applyNumberFormat="1" applyFont="1" applyBorder="1"/>
    <xf numFmtId="3" fontId="22" fillId="4" borderId="2" xfId="0" applyNumberFormat="1" applyFont="1" applyFill="1" applyBorder="1" applyAlignment="1">
      <alignment horizontal="center" vertical="center" wrapText="1"/>
    </xf>
    <xf numFmtId="3" fontId="22" fillId="4" borderId="0" xfId="0" applyNumberFormat="1" applyFont="1" applyFill="1" applyAlignment="1">
      <alignment horizontal="center" vertical="center" wrapText="1"/>
    </xf>
    <xf numFmtId="9" fontId="22" fillId="4" borderId="0" xfId="0" applyNumberFormat="1" applyFont="1" applyFill="1" applyAlignment="1">
      <alignment horizontal="center" vertical="center" wrapText="1"/>
    </xf>
    <xf numFmtId="9" fontId="0" fillId="4" borderId="2" xfId="0" applyNumberFormat="1" applyFill="1" applyBorder="1" applyAlignment="1">
      <alignment horizontal="center" vertical="center" wrapText="1"/>
    </xf>
    <xf numFmtId="9" fontId="5" fillId="5" borderId="2" xfId="0" applyNumberFormat="1" applyFont="1" applyFill="1" applyBorder="1" applyAlignment="1">
      <alignment horizontal="center" vertical="center" wrapText="1"/>
    </xf>
    <xf numFmtId="9" fontId="5" fillId="5" borderId="0" xfId="0" applyNumberFormat="1" applyFont="1" applyFill="1" applyAlignment="1">
      <alignment horizontal="center" vertical="center" wrapText="1"/>
    </xf>
    <xf numFmtId="9" fontId="5" fillId="0" borderId="2" xfId="0" applyNumberFormat="1" applyFont="1" applyBorder="1"/>
    <xf numFmtId="9" fontId="5" fillId="0" borderId="0" xfId="0" applyNumberFormat="1" applyFont="1"/>
    <xf numFmtId="9" fontId="5" fillId="6" borderId="2" xfId="0" applyNumberFormat="1" applyFont="1" applyFill="1" applyBorder="1"/>
    <xf numFmtId="9" fontId="5" fillId="6" borderId="0" xfId="0" applyNumberFormat="1" applyFont="1" applyFill="1"/>
    <xf numFmtId="9" fontId="14" fillId="4" borderId="2" xfId="0" applyNumberFormat="1" applyFont="1" applyFill="1" applyBorder="1"/>
    <xf numFmtId="9" fontId="14" fillId="4" borderId="0" xfId="0" applyNumberFormat="1" applyFont="1" applyFill="1"/>
    <xf numFmtId="9" fontId="4" fillId="4" borderId="2" xfId="0" applyNumberFormat="1" applyFont="1" applyFill="1" applyBorder="1"/>
    <xf numFmtId="9" fontId="4" fillId="4" borderId="0" xfId="0" applyNumberFormat="1" applyFont="1" applyFill="1"/>
    <xf numFmtId="9" fontId="5" fillId="4" borderId="2" xfId="0" applyNumberFormat="1" applyFont="1" applyFill="1" applyBorder="1"/>
    <xf numFmtId="9" fontId="5" fillId="4" borderId="0" xfId="0" applyNumberFormat="1" applyFont="1" applyFill="1"/>
    <xf numFmtId="3" fontId="4" fillId="4" borderId="2" xfId="0" applyNumberFormat="1" applyFont="1" applyFill="1" applyBorder="1"/>
    <xf numFmtId="3" fontId="4" fillId="4" borderId="0" xfId="0" applyNumberFormat="1" applyFont="1" applyFill="1"/>
    <xf numFmtId="9" fontId="0" fillId="4" borderId="0" xfId="0" applyNumberFormat="1" applyFill="1"/>
    <xf numFmtId="3" fontId="5" fillId="4" borderId="2" xfId="0" applyNumberFormat="1" applyFont="1" applyFill="1" applyBorder="1"/>
    <xf numFmtId="10" fontId="11" fillId="2" borderId="0" xfId="0" applyNumberFormat="1" applyFont="1" applyFill="1" applyAlignment="1">
      <alignment vertical="center"/>
    </xf>
    <xf numFmtId="10" fontId="22" fillId="4" borderId="0" xfId="0" applyNumberFormat="1" applyFont="1" applyFill="1" applyAlignment="1">
      <alignment horizontal="center" vertical="center" wrapText="1"/>
    </xf>
    <xf numFmtId="9" fontId="4" fillId="5" borderId="0" xfId="0" applyNumberFormat="1" applyFont="1" applyFill="1" applyAlignment="1">
      <alignment horizontal="center" vertical="center" wrapText="1"/>
    </xf>
    <xf numFmtId="9" fontId="4" fillId="4" borderId="2" xfId="0" applyNumberFormat="1" applyFont="1" applyFill="1" applyBorder="1" applyAlignment="1">
      <alignment horizontal="center" vertical="center" wrapText="1"/>
    </xf>
    <xf numFmtId="9" fontId="4" fillId="4" borderId="0" xfId="0" applyNumberFormat="1" applyFont="1" applyFill="1" applyAlignment="1">
      <alignment horizontal="center" vertical="center" wrapText="1"/>
    </xf>
    <xf numFmtId="3" fontId="5" fillId="0" borderId="0" xfId="0" applyNumberFormat="1" applyFont="1" applyAlignment="1">
      <alignment horizontal="right" vertical="center"/>
    </xf>
    <xf numFmtId="9" fontId="19" fillId="0" borderId="0" xfId="0" applyNumberFormat="1" applyFont="1" applyAlignment="1">
      <alignment horizontal="right"/>
    </xf>
    <xf numFmtId="3" fontId="5" fillId="0" borderId="0" xfId="0" applyNumberFormat="1" applyFont="1" applyAlignment="1">
      <alignment vertical="center"/>
    </xf>
    <xf numFmtId="3" fontId="5" fillId="6" borderId="0" xfId="0" applyNumberFormat="1" applyFont="1" applyFill="1" applyAlignment="1">
      <alignment vertical="center"/>
    </xf>
    <xf numFmtId="3" fontId="24" fillId="4" borderId="0" xfId="0" applyNumberFormat="1" applyFont="1" applyFill="1" applyAlignment="1">
      <alignment horizontal="center" vertical="center" wrapText="1"/>
    </xf>
    <xf numFmtId="9" fontId="22" fillId="4" borderId="2" xfId="0" applyNumberFormat="1" applyFont="1" applyFill="1" applyBorder="1" applyAlignment="1">
      <alignment horizontal="center" vertical="center" wrapText="1"/>
    </xf>
    <xf numFmtId="9" fontId="22" fillId="5" borderId="0" xfId="0" applyNumberFormat="1" applyFont="1" applyFill="1" applyAlignment="1">
      <alignment horizontal="center" vertical="center" wrapText="1"/>
    </xf>
    <xf numFmtId="9" fontId="4" fillId="5" borderId="2" xfId="0" applyNumberFormat="1" applyFont="1" applyFill="1" applyBorder="1" applyAlignment="1">
      <alignment horizontal="center" vertical="center" wrapText="1"/>
    </xf>
    <xf numFmtId="3" fontId="12" fillId="0" borderId="0" xfId="0" applyNumberFormat="1" applyFont="1" applyAlignment="1">
      <alignment horizontal="left"/>
    </xf>
    <xf numFmtId="3" fontId="0" fillId="6" borderId="0" xfId="0" applyNumberFormat="1" applyFill="1" applyAlignment="1">
      <alignment horizontal="left"/>
    </xf>
    <xf numFmtId="3" fontId="4" fillId="6" borderId="0" xfId="0" applyNumberFormat="1" applyFont="1" applyFill="1" applyAlignment="1">
      <alignment horizontal="left"/>
    </xf>
    <xf numFmtId="3" fontId="15" fillId="4" borderId="0" xfId="0" applyNumberFormat="1" applyFont="1" applyFill="1" applyAlignment="1">
      <alignment horizontal="center"/>
    </xf>
    <xf numFmtId="3" fontId="9" fillId="0" borderId="0" xfId="0" applyNumberFormat="1" applyFont="1" applyAlignment="1">
      <alignment horizontal="left" vertical="center"/>
    </xf>
    <xf numFmtId="49" fontId="9" fillId="0" borderId="0" xfId="0" applyNumberFormat="1" applyFont="1" applyAlignment="1">
      <alignment horizontal="left" vertical="center"/>
    </xf>
    <xf numFmtId="9" fontId="10" fillId="2" borderId="0" xfId="0" applyNumberFormat="1" applyFont="1" applyFill="1" applyAlignment="1">
      <alignment horizontal="left" vertical="center"/>
    </xf>
    <xf numFmtId="3" fontId="16" fillId="0" borderId="2" xfId="0" applyNumberFormat="1" applyFont="1" applyBorder="1"/>
    <xf numFmtId="3" fontId="10" fillId="2" borderId="3" xfId="0" applyNumberFormat="1" applyFont="1" applyFill="1" applyBorder="1" applyAlignment="1">
      <alignment vertical="center"/>
    </xf>
    <xf numFmtId="3" fontId="10" fillId="2" borderId="4" xfId="0" applyNumberFormat="1" applyFont="1" applyFill="1" applyBorder="1" applyAlignment="1">
      <alignment vertical="center"/>
    </xf>
    <xf numFmtId="3" fontId="12" fillId="0" borderId="3" xfId="0" applyNumberFormat="1" applyFont="1" applyBorder="1"/>
    <xf numFmtId="3" fontId="20" fillId="0" borderId="4" xfId="0" applyNumberFormat="1" applyFont="1" applyBorder="1"/>
    <xf numFmtId="3" fontId="21" fillId="0" borderId="0" xfId="0" applyNumberFormat="1" applyFont="1"/>
    <xf numFmtId="3" fontId="22" fillId="4" borderId="3" xfId="0" applyNumberFormat="1" applyFont="1" applyFill="1" applyBorder="1" applyAlignment="1">
      <alignment horizontal="center" vertical="center" wrapText="1"/>
    </xf>
    <xf numFmtId="3" fontId="24" fillId="4" borderId="4" xfId="0" applyNumberFormat="1" applyFont="1" applyFill="1" applyBorder="1" applyAlignment="1">
      <alignment horizontal="center" vertical="center" wrapText="1"/>
    </xf>
    <xf numFmtId="3" fontId="0" fillId="0" borderId="3" xfId="0" applyNumberFormat="1" applyBorder="1" applyAlignment="1">
      <alignment horizontal="right"/>
    </xf>
    <xf numFmtId="3" fontId="5" fillId="0" borderId="4" xfId="0" applyNumberFormat="1" applyFont="1" applyBorder="1" applyAlignment="1">
      <alignment horizontal="right"/>
    </xf>
    <xf numFmtId="3" fontId="0" fillId="0" borderId="3" xfId="0" applyNumberFormat="1" applyBorder="1"/>
    <xf numFmtId="3" fontId="5" fillId="0" borderId="4" xfId="0" applyNumberFormat="1" applyFont="1" applyBorder="1"/>
    <xf numFmtId="3" fontId="15" fillId="4" borderId="3" xfId="0" applyNumberFormat="1" applyFont="1" applyFill="1" applyBorder="1"/>
    <xf numFmtId="3" fontId="14" fillId="4" borderId="4" xfId="0" applyNumberFormat="1" applyFont="1" applyFill="1" applyBorder="1"/>
    <xf numFmtId="3" fontId="4" fillId="0" borderId="3" xfId="0" applyNumberFormat="1" applyFont="1" applyBorder="1"/>
  </cellXfs>
  <cellStyles count="1">
    <cellStyle name="Normal" xfId="0" builtinId="0"/>
  </cellStyles>
  <dxfs count="1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9C0006"/>
      </font>
      <fill>
        <patternFill>
          <bgColor rgb="FF80808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808080"/>
        </patternFill>
      </fill>
    </dxf>
    <dxf>
      <font>
        <color rgb="FF9C5700"/>
      </font>
      <fill>
        <patternFill>
          <bgColor rgb="FFFFEB9C"/>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bgColor rgb="FF80808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bgColor rgb="FF8080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C00000"/>
      <rgbColor rgb="FF00FF00"/>
      <rgbColor rgb="FF0000FF"/>
      <rgbColor rgb="FFFFEB84"/>
      <rgbColor rgb="FFFF00FF"/>
      <rgbColor rgb="FF00FFFF"/>
      <rgbColor rgb="FF9C0006"/>
      <rgbColor rgb="FF006100"/>
      <rgbColor rgb="FF000080"/>
      <rgbColor rgb="FF808000"/>
      <rgbColor rgb="FF800080"/>
      <rgbColor rgb="FF008080"/>
      <rgbColor rgb="FFBFBFBF"/>
      <rgbColor rgb="FF808080"/>
      <rgbColor rgb="FF8FAADC"/>
      <rgbColor rgb="FF993366"/>
      <rgbColor rgb="FFFFF2CC"/>
      <rgbColor rgb="FFE7E6E6"/>
      <rgbColor rgb="FF660066"/>
      <rgbColor rgb="FFFF8080"/>
      <rgbColor rgb="FF0563C1"/>
      <rgbColor rgb="FFC5E0B4"/>
      <rgbColor rgb="FF000080"/>
      <rgbColor rgb="FFFF00FF"/>
      <rgbColor rgb="FFFFFF00"/>
      <rgbColor rgb="FF00FFFF"/>
      <rgbColor rgb="FF800080"/>
      <rgbColor rgb="FF800000"/>
      <rgbColor rgb="FF008080"/>
      <rgbColor rgb="FF0000FF"/>
      <rgbColor rgb="FF00CCFF"/>
      <rgbColor rgb="FFCCFFFF"/>
      <rgbColor rgb="FFC6EFCE"/>
      <rgbColor rgb="FFFFEB9C"/>
      <rgbColor rgb="FF99CCFF"/>
      <rgbColor rgb="FFFF99CC"/>
      <rgbColor rgb="FFCC99FF"/>
      <rgbColor rgb="FFFFC7CE"/>
      <rgbColor rgb="FF3366FF"/>
      <rgbColor rgb="FF33CCCC"/>
      <rgbColor rgb="FF99CC00"/>
      <rgbColor rgb="FFFFCC00"/>
      <rgbColor rgb="FFFF9900"/>
      <rgbColor rgb="FFFF6600"/>
      <rgbColor rgb="FF666699"/>
      <rgbColor rgb="FF7F7F7F"/>
      <rgbColor rgb="FF073763"/>
      <rgbColor rgb="FF339966"/>
      <rgbColor rgb="FF003300"/>
      <rgbColor rgb="FF333300"/>
      <rgbColor rgb="FF9C57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29"/>
  <sheetViews>
    <sheetView showGridLines="0" tabSelected="1" zoomScaleNormal="100" workbookViewId="0">
      <selection activeCell="J12" sqref="J12"/>
    </sheetView>
  </sheetViews>
  <sheetFormatPr baseColWidth="10" defaultColWidth="10.5" defaultRowHeight="16" x14ac:dyDescent="0.2"/>
  <cols>
    <col min="1" max="1" width="4.83203125" customWidth="1"/>
  </cols>
  <sheetData>
    <row r="2" spans="2:2" ht="46.5" customHeight="1" x14ac:dyDescent="0.2">
      <c r="B2" s="5" t="s">
        <v>0</v>
      </c>
    </row>
    <row r="10" spans="2:2" ht="96.75" customHeight="1" x14ac:dyDescent="0.2">
      <c r="B10" s="6" t="s">
        <v>1386</v>
      </c>
    </row>
    <row r="20" spans="2:2" ht="81.75" customHeight="1" x14ac:dyDescent="0.2">
      <c r="B20" s="7" t="s">
        <v>1</v>
      </c>
    </row>
    <row r="25" spans="2:2" x14ac:dyDescent="0.2">
      <c r="B25" t="s">
        <v>2</v>
      </c>
    </row>
    <row r="26" spans="2:2" x14ac:dyDescent="0.2">
      <c r="B26" t="s">
        <v>1</v>
      </c>
    </row>
    <row r="27" spans="2:2" x14ac:dyDescent="0.2">
      <c r="B27" t="s">
        <v>3</v>
      </c>
    </row>
    <row r="29" spans="2:2" x14ac:dyDescent="0.2">
      <c r="B29" t="s">
        <v>4</v>
      </c>
    </row>
  </sheetData>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7645"/>
  <sheetViews>
    <sheetView zoomScaleNormal="100" workbookViewId="0"/>
  </sheetViews>
  <sheetFormatPr baseColWidth="10" defaultColWidth="10.5" defaultRowHeight="16" x14ac:dyDescent="0.2"/>
  <cols>
    <col min="1" max="1" width="1.83203125" customWidth="1"/>
    <col min="2" max="2" width="49" customWidth="1"/>
    <col min="3" max="3" width="3.1640625" customWidth="1"/>
    <col min="4" max="4" width="32" customWidth="1"/>
    <col min="5" max="6" width="14.33203125" customWidth="1"/>
    <col min="7" max="8" width="35.33203125" customWidth="1"/>
    <col min="9" max="9" width="5.83203125" customWidth="1"/>
    <col min="10" max="10" width="13.83203125" customWidth="1"/>
    <col min="11" max="11" width="7.33203125" customWidth="1"/>
    <col min="12" max="12" width="12.83203125" customWidth="1"/>
    <col min="13" max="13" width="10.33203125" customWidth="1"/>
    <col min="14" max="14" width="10.1640625" customWidth="1"/>
    <col min="15" max="15" width="11.33203125" customWidth="1"/>
    <col min="16" max="17" width="10.33203125" customWidth="1"/>
  </cols>
  <sheetData>
    <row r="1" spans="1:19" ht="16.5" customHeight="1" x14ac:dyDescent="0.2">
      <c r="A1" s="8"/>
      <c r="B1" s="8"/>
      <c r="C1" s="8"/>
      <c r="D1" s="9" t="s">
        <v>5</v>
      </c>
      <c r="E1" s="9" t="s">
        <v>6</v>
      </c>
      <c r="F1" s="9" t="s">
        <v>7</v>
      </c>
      <c r="G1" s="9" t="s">
        <v>8</v>
      </c>
      <c r="H1" s="9" t="s">
        <v>9</v>
      </c>
      <c r="I1" s="10" t="s">
        <v>10</v>
      </c>
      <c r="J1" s="9" t="s">
        <v>11</v>
      </c>
      <c r="K1" s="9" t="s">
        <v>12</v>
      </c>
      <c r="L1" s="9" t="s">
        <v>13</v>
      </c>
      <c r="M1" s="9" t="s">
        <v>14</v>
      </c>
      <c r="N1" s="9" t="s">
        <v>15</v>
      </c>
      <c r="O1" s="9" t="s">
        <v>16</v>
      </c>
      <c r="P1" s="9" t="s">
        <v>17</v>
      </c>
      <c r="Q1" s="9" t="s">
        <v>18</v>
      </c>
      <c r="R1" s="9" t="s">
        <v>19</v>
      </c>
      <c r="S1" s="9"/>
    </row>
    <row r="2" spans="1:19" ht="16.5" customHeight="1" x14ac:dyDescent="0.2">
      <c r="A2" s="8"/>
      <c r="B2" s="11" t="s">
        <v>20</v>
      </c>
      <c r="C2" s="12" t="s">
        <v>21</v>
      </c>
      <c r="D2" s="13" t="s">
        <v>22</v>
      </c>
      <c r="E2" s="13" t="s">
        <v>23</v>
      </c>
      <c r="F2" s="13" t="s">
        <v>24</v>
      </c>
      <c r="G2" s="13" t="s">
        <v>25</v>
      </c>
      <c r="H2" s="13" t="s">
        <v>26</v>
      </c>
      <c r="I2" t="s">
        <v>27</v>
      </c>
      <c r="J2" s="13" t="s">
        <v>28</v>
      </c>
      <c r="K2" s="13" t="s">
        <v>29</v>
      </c>
      <c r="L2" s="13" t="s">
        <v>30</v>
      </c>
      <c r="M2" t="s">
        <v>31</v>
      </c>
      <c r="N2">
        <v>584</v>
      </c>
      <c r="O2" s="14">
        <v>0.68492801603861198</v>
      </c>
      <c r="P2" s="14">
        <v>0.40435861097648701</v>
      </c>
      <c r="Q2" t="str">
        <f t="shared" ref="Q2:Q65" si="0">SUBSTITUTE(SUBSTITUTE($I2,CHAR(61),""),CHAR(34),"")</f>
        <v>&lt;01</v>
      </c>
      <c r="R2" t="str">
        <f t="shared" ref="R2:R65" si="1">IF($D2&lt;&gt;"","["&amp;$E2&amp;"]"&amp;"|"&amp;$Q2&amp;"|"&amp;$K2&amp;"|"&amp;$G2&amp;"|"&amp;IF($G2="TX_CURR_SUBNAT.R","CY2022Q4",$M2),"")</f>
        <v>[GkIwZrXy1h2]|&lt;01|Female|TX_CURR_SUBNAT.R|CY2022Q4</v>
      </c>
    </row>
    <row r="3" spans="1:19" x14ac:dyDescent="0.2">
      <c r="A3" s="8"/>
      <c r="B3" s="8"/>
      <c r="C3" s="8"/>
      <c r="D3" s="13" t="s">
        <v>22</v>
      </c>
      <c r="E3" s="13" t="s">
        <v>23</v>
      </c>
      <c r="F3" s="13" t="s">
        <v>24</v>
      </c>
      <c r="G3" s="13" t="s">
        <v>25</v>
      </c>
      <c r="H3" s="13" t="s">
        <v>26</v>
      </c>
      <c r="I3" t="s">
        <v>32</v>
      </c>
      <c r="J3" s="13" t="s">
        <v>33</v>
      </c>
      <c r="K3" s="13" t="s">
        <v>29</v>
      </c>
      <c r="L3" s="13" t="s">
        <v>30</v>
      </c>
      <c r="M3" t="s">
        <v>31</v>
      </c>
      <c r="N3">
        <v>1022</v>
      </c>
      <c r="O3" s="14">
        <v>0.99519685166887895</v>
      </c>
      <c r="P3" s="14">
        <v>0.40435861097648701</v>
      </c>
      <c r="Q3" t="str">
        <f t="shared" si="0"/>
        <v>01-09</v>
      </c>
      <c r="R3" t="str">
        <f t="shared" si="1"/>
        <v>[GkIwZrXy1h2]|01-09|Female|TX_CURR_SUBNAT.R|CY2022Q4</v>
      </c>
    </row>
    <row r="4" spans="1:19" x14ac:dyDescent="0.2">
      <c r="A4" s="8"/>
      <c r="B4" s="15" t="s">
        <v>34</v>
      </c>
      <c r="C4" s="8"/>
      <c r="D4" s="13" t="s">
        <v>22</v>
      </c>
      <c r="E4" s="13" t="s">
        <v>23</v>
      </c>
      <c r="F4" s="13" t="s">
        <v>24</v>
      </c>
      <c r="G4" s="13" t="s">
        <v>25</v>
      </c>
      <c r="H4" s="13" t="s">
        <v>26</v>
      </c>
      <c r="I4" t="s">
        <v>35</v>
      </c>
      <c r="J4" s="13" t="s">
        <v>36</v>
      </c>
      <c r="K4" s="13" t="s">
        <v>29</v>
      </c>
      <c r="L4" s="13" t="s">
        <v>30</v>
      </c>
      <c r="M4" t="s">
        <v>31</v>
      </c>
      <c r="N4">
        <v>1169</v>
      </c>
      <c r="O4" s="14">
        <v>0.98356984625570498</v>
      </c>
      <c r="P4" s="14">
        <v>0.40435861097648701</v>
      </c>
      <c r="Q4" t="str">
        <f t="shared" si="0"/>
        <v>10-14</v>
      </c>
      <c r="R4" t="str">
        <f t="shared" si="1"/>
        <v>[GkIwZrXy1h2]|10-14|Female|TX_CURR_SUBNAT.R|CY2022Q4</v>
      </c>
    </row>
    <row r="5" spans="1:19" x14ac:dyDescent="0.2">
      <c r="A5" s="8"/>
      <c r="B5" s="8"/>
      <c r="C5" s="8"/>
      <c r="D5" s="13" t="s">
        <v>22</v>
      </c>
      <c r="E5" s="13" t="s">
        <v>23</v>
      </c>
      <c r="F5" s="13" t="s">
        <v>24</v>
      </c>
      <c r="G5" s="13" t="s">
        <v>25</v>
      </c>
      <c r="H5" s="13" t="s">
        <v>26</v>
      </c>
      <c r="I5" t="s">
        <v>37</v>
      </c>
      <c r="J5" s="13" t="s">
        <v>38</v>
      </c>
      <c r="K5" s="13" t="s">
        <v>29</v>
      </c>
      <c r="L5" s="13" t="s">
        <v>30</v>
      </c>
      <c r="M5" t="s">
        <v>31</v>
      </c>
      <c r="N5">
        <v>699</v>
      </c>
      <c r="O5" s="14">
        <v>0.93144016410224095</v>
      </c>
      <c r="P5" s="14">
        <v>0.40435861097648701</v>
      </c>
      <c r="Q5" t="str">
        <f t="shared" si="0"/>
        <v>15-24</v>
      </c>
      <c r="R5" t="str">
        <f t="shared" si="1"/>
        <v>[GkIwZrXy1h2]|15-24|Female|TX_CURR_SUBNAT.R|CY2022Q4</v>
      </c>
    </row>
    <row r="6" spans="1:19" ht="15" customHeight="1" x14ac:dyDescent="0.2">
      <c r="A6" s="8"/>
      <c r="B6" s="4" t="s">
        <v>39</v>
      </c>
      <c r="C6" s="8"/>
      <c r="D6" s="13" t="s">
        <v>22</v>
      </c>
      <c r="E6" s="13" t="s">
        <v>23</v>
      </c>
      <c r="F6" s="13" t="s">
        <v>24</v>
      </c>
      <c r="G6" s="13" t="s">
        <v>25</v>
      </c>
      <c r="H6" s="13" t="s">
        <v>26</v>
      </c>
      <c r="I6" t="s">
        <v>40</v>
      </c>
      <c r="J6" s="13" t="s">
        <v>41</v>
      </c>
      <c r="K6" s="13" t="s">
        <v>29</v>
      </c>
      <c r="L6" s="13" t="s">
        <v>30</v>
      </c>
      <c r="M6" t="s">
        <v>31</v>
      </c>
      <c r="N6">
        <v>1778</v>
      </c>
      <c r="O6" s="14">
        <v>0.62843481381423805</v>
      </c>
      <c r="P6" s="14">
        <v>0.40435861097648701</v>
      </c>
      <c r="Q6" t="str">
        <f t="shared" si="0"/>
        <v>25-34</v>
      </c>
      <c r="R6" t="str">
        <f t="shared" si="1"/>
        <v>[GkIwZrXy1h2]|25-34|Female|TX_CURR_SUBNAT.R|CY2022Q4</v>
      </c>
    </row>
    <row r="7" spans="1:19" x14ac:dyDescent="0.2">
      <c r="A7" s="8"/>
      <c r="B7" s="4"/>
      <c r="C7" s="8"/>
      <c r="D7" s="13" t="s">
        <v>22</v>
      </c>
      <c r="E7" s="13" t="s">
        <v>23</v>
      </c>
      <c r="F7" s="13" t="s">
        <v>24</v>
      </c>
      <c r="G7" s="13" t="s">
        <v>25</v>
      </c>
      <c r="H7" s="13" t="s">
        <v>26</v>
      </c>
      <c r="I7" t="s">
        <v>42</v>
      </c>
      <c r="J7" s="13" t="s">
        <v>43</v>
      </c>
      <c r="K7" s="13" t="s">
        <v>29</v>
      </c>
      <c r="L7" s="13" t="s">
        <v>30</v>
      </c>
      <c r="M7" t="s">
        <v>31</v>
      </c>
      <c r="N7">
        <v>1895</v>
      </c>
      <c r="O7" s="14">
        <v>0.354339170735329</v>
      </c>
      <c r="P7" s="14">
        <v>0.40435861097648701</v>
      </c>
      <c r="Q7" t="str">
        <f t="shared" si="0"/>
        <v>35-49</v>
      </c>
      <c r="R7" t="str">
        <f t="shared" si="1"/>
        <v>[GkIwZrXy1h2]|35-49|Female|TX_CURR_SUBNAT.R|CY2022Q4</v>
      </c>
    </row>
    <row r="8" spans="1:19" x14ac:dyDescent="0.2">
      <c r="A8" s="8"/>
      <c r="B8" s="16"/>
      <c r="C8" s="8"/>
      <c r="D8" s="13" t="s">
        <v>22</v>
      </c>
      <c r="E8" s="13" t="s">
        <v>23</v>
      </c>
      <c r="F8" s="13" t="s">
        <v>24</v>
      </c>
      <c r="G8" s="13" t="s">
        <v>25</v>
      </c>
      <c r="H8" s="13" t="s">
        <v>26</v>
      </c>
      <c r="I8" t="s">
        <v>44</v>
      </c>
      <c r="J8" s="13" t="s">
        <v>45</v>
      </c>
      <c r="K8" s="13" t="s">
        <v>29</v>
      </c>
      <c r="L8" s="13" t="s">
        <v>30</v>
      </c>
      <c r="M8" t="s">
        <v>31</v>
      </c>
      <c r="N8">
        <v>1853</v>
      </c>
      <c r="O8" s="14">
        <v>0.96207303204573702</v>
      </c>
      <c r="P8" s="14">
        <v>0.40435861097648701</v>
      </c>
      <c r="Q8" t="str">
        <f t="shared" si="0"/>
        <v>50+</v>
      </c>
      <c r="R8" t="str">
        <f t="shared" si="1"/>
        <v>[GkIwZrXy1h2]|50+|Female|TX_CURR_SUBNAT.R|CY2022Q4</v>
      </c>
    </row>
    <row r="9" spans="1:19" ht="16.5" customHeight="1" x14ac:dyDescent="0.2">
      <c r="A9" s="8"/>
      <c r="B9" s="16" t="s">
        <v>46</v>
      </c>
      <c r="C9" s="8"/>
      <c r="D9" s="13" t="s">
        <v>22</v>
      </c>
      <c r="E9" s="13" t="s">
        <v>23</v>
      </c>
      <c r="F9" s="13" t="s">
        <v>24</v>
      </c>
      <c r="G9" s="13" t="s">
        <v>25</v>
      </c>
      <c r="H9" s="13" t="s">
        <v>26</v>
      </c>
      <c r="I9" t="s">
        <v>27</v>
      </c>
      <c r="J9" s="13" t="s">
        <v>28</v>
      </c>
      <c r="K9" s="13" t="s">
        <v>47</v>
      </c>
      <c r="L9" s="13" t="s">
        <v>48</v>
      </c>
      <c r="M9" t="s">
        <v>31</v>
      </c>
      <c r="N9">
        <v>894</v>
      </c>
      <c r="O9" s="14">
        <v>0.84895873046480097</v>
      </c>
      <c r="P9" s="14">
        <v>0.40435861097648701</v>
      </c>
      <c r="Q9" t="str">
        <f t="shared" si="0"/>
        <v>&lt;01</v>
      </c>
      <c r="R9" t="str">
        <f t="shared" si="1"/>
        <v>[GkIwZrXy1h2]|&lt;01|Male|TX_CURR_SUBNAT.R|CY2022Q4</v>
      </c>
    </row>
    <row r="10" spans="1:19" x14ac:dyDescent="0.2">
      <c r="A10" s="8"/>
      <c r="B10" s="16"/>
      <c r="C10" s="8"/>
      <c r="D10" s="13" t="s">
        <v>22</v>
      </c>
      <c r="E10" s="13" t="s">
        <v>23</v>
      </c>
      <c r="F10" s="13" t="s">
        <v>24</v>
      </c>
      <c r="G10" s="13" t="s">
        <v>25</v>
      </c>
      <c r="H10" s="13" t="s">
        <v>26</v>
      </c>
      <c r="I10" t="s">
        <v>32</v>
      </c>
      <c r="J10" s="13" t="s">
        <v>33</v>
      </c>
      <c r="K10" s="13" t="s">
        <v>47</v>
      </c>
      <c r="L10" s="13" t="s">
        <v>48</v>
      </c>
      <c r="M10" t="s">
        <v>31</v>
      </c>
      <c r="N10">
        <v>1747</v>
      </c>
      <c r="O10" s="14">
        <v>0.68423317652195703</v>
      </c>
      <c r="P10" s="14">
        <v>0.40435861097648701</v>
      </c>
      <c r="Q10" t="str">
        <f t="shared" si="0"/>
        <v>01-09</v>
      </c>
      <c r="R10" t="str">
        <f t="shared" si="1"/>
        <v>[GkIwZrXy1h2]|01-09|Male|TX_CURR_SUBNAT.R|CY2022Q4</v>
      </c>
    </row>
    <row r="11" spans="1:19" ht="15" customHeight="1" x14ac:dyDescent="0.2">
      <c r="A11" s="8"/>
      <c r="B11" s="4" t="s">
        <v>49</v>
      </c>
      <c r="C11" s="8"/>
      <c r="D11" s="13" t="s">
        <v>22</v>
      </c>
      <c r="E11" s="13" t="s">
        <v>23</v>
      </c>
      <c r="F11" s="13" t="s">
        <v>24</v>
      </c>
      <c r="G11" s="13" t="s">
        <v>25</v>
      </c>
      <c r="H11" s="13" t="s">
        <v>26</v>
      </c>
      <c r="I11" t="s">
        <v>35</v>
      </c>
      <c r="J11" s="13" t="s">
        <v>36</v>
      </c>
      <c r="K11" s="13" t="s">
        <v>47</v>
      </c>
      <c r="L11" s="13" t="s">
        <v>48</v>
      </c>
      <c r="M11" t="s">
        <v>31</v>
      </c>
      <c r="N11">
        <v>1325</v>
      </c>
      <c r="O11" s="14">
        <v>0.84695454454049501</v>
      </c>
      <c r="P11" s="14">
        <v>0.40435861097648701</v>
      </c>
      <c r="Q11" t="str">
        <f t="shared" si="0"/>
        <v>10-14</v>
      </c>
      <c r="R11" t="str">
        <f t="shared" si="1"/>
        <v>[GkIwZrXy1h2]|10-14|Male|TX_CURR_SUBNAT.R|CY2022Q4</v>
      </c>
    </row>
    <row r="12" spans="1:19" x14ac:dyDescent="0.2">
      <c r="A12" s="8"/>
      <c r="B12" s="4"/>
      <c r="C12" s="8"/>
      <c r="D12" s="13" t="s">
        <v>22</v>
      </c>
      <c r="E12" s="13" t="s">
        <v>23</v>
      </c>
      <c r="F12" s="13" t="s">
        <v>24</v>
      </c>
      <c r="G12" s="13" t="s">
        <v>25</v>
      </c>
      <c r="H12" s="13" t="s">
        <v>26</v>
      </c>
      <c r="I12" t="s">
        <v>37</v>
      </c>
      <c r="J12" s="13" t="s">
        <v>38</v>
      </c>
      <c r="K12" s="13" t="s">
        <v>47</v>
      </c>
      <c r="L12" s="13" t="s">
        <v>48</v>
      </c>
      <c r="M12" t="s">
        <v>31</v>
      </c>
      <c r="N12">
        <v>1608</v>
      </c>
      <c r="O12" s="14">
        <v>0.18340693018399201</v>
      </c>
      <c r="P12" s="14">
        <v>0.40435861097648701</v>
      </c>
      <c r="Q12" t="str">
        <f t="shared" si="0"/>
        <v>15-24</v>
      </c>
      <c r="R12" t="str">
        <f t="shared" si="1"/>
        <v>[GkIwZrXy1h2]|15-24|Male|TX_CURR_SUBNAT.R|CY2022Q4</v>
      </c>
    </row>
    <row r="13" spans="1:19" x14ac:dyDescent="0.2">
      <c r="A13" s="8"/>
      <c r="B13" s="16"/>
      <c r="C13" s="8"/>
      <c r="D13" s="13" t="s">
        <v>22</v>
      </c>
      <c r="E13" s="13" t="s">
        <v>23</v>
      </c>
      <c r="F13" s="13" t="s">
        <v>24</v>
      </c>
      <c r="G13" s="13" t="s">
        <v>25</v>
      </c>
      <c r="H13" s="13" t="s">
        <v>26</v>
      </c>
      <c r="I13" t="s">
        <v>40</v>
      </c>
      <c r="J13" s="13" t="s">
        <v>41</v>
      </c>
      <c r="K13" s="13" t="s">
        <v>47</v>
      </c>
      <c r="L13" s="13" t="s">
        <v>48</v>
      </c>
      <c r="M13" t="s">
        <v>31</v>
      </c>
      <c r="N13">
        <v>1077</v>
      </c>
      <c r="O13" s="14">
        <v>0.11857614479959</v>
      </c>
      <c r="P13" s="14">
        <v>0.40435861097648701</v>
      </c>
      <c r="Q13" t="str">
        <f t="shared" si="0"/>
        <v>25-34</v>
      </c>
      <c r="R13" t="str">
        <f t="shared" si="1"/>
        <v>[GkIwZrXy1h2]|25-34|Male|TX_CURR_SUBNAT.R|CY2022Q4</v>
      </c>
    </row>
    <row r="14" spans="1:19" ht="16.5" customHeight="1" x14ac:dyDescent="0.2">
      <c r="A14" s="8"/>
      <c r="B14" s="16" t="s">
        <v>50</v>
      </c>
      <c r="C14" s="8"/>
      <c r="D14" s="13" t="s">
        <v>22</v>
      </c>
      <c r="E14" s="13" t="s">
        <v>23</v>
      </c>
      <c r="F14" s="13" t="s">
        <v>24</v>
      </c>
      <c r="G14" s="13" t="s">
        <v>25</v>
      </c>
      <c r="H14" s="13" t="s">
        <v>26</v>
      </c>
      <c r="I14" t="s">
        <v>42</v>
      </c>
      <c r="J14" s="13" t="s">
        <v>43</v>
      </c>
      <c r="K14" s="13" t="s">
        <v>47</v>
      </c>
      <c r="L14" s="13" t="s">
        <v>48</v>
      </c>
      <c r="M14" t="s">
        <v>31</v>
      </c>
      <c r="N14">
        <v>1194</v>
      </c>
      <c r="O14" s="14">
        <v>0.91571961645968303</v>
      </c>
      <c r="P14" s="14">
        <v>0.40435861097648701</v>
      </c>
      <c r="Q14" t="str">
        <f t="shared" si="0"/>
        <v>35-49</v>
      </c>
      <c r="R14" t="str">
        <f t="shared" si="1"/>
        <v>[GkIwZrXy1h2]|35-49|Male|TX_CURR_SUBNAT.R|CY2022Q4</v>
      </c>
    </row>
    <row r="15" spans="1:19" x14ac:dyDescent="0.2">
      <c r="A15" s="8"/>
      <c r="B15" s="16"/>
      <c r="C15" s="8"/>
      <c r="D15" s="13" t="s">
        <v>22</v>
      </c>
      <c r="E15" s="13" t="s">
        <v>23</v>
      </c>
      <c r="F15" s="13" t="s">
        <v>24</v>
      </c>
      <c r="G15" s="13" t="s">
        <v>25</v>
      </c>
      <c r="H15" s="13" t="s">
        <v>26</v>
      </c>
      <c r="I15" t="s">
        <v>44</v>
      </c>
      <c r="J15" s="13" t="s">
        <v>45</v>
      </c>
      <c r="K15" s="13" t="s">
        <v>47</v>
      </c>
      <c r="L15" s="13" t="s">
        <v>48</v>
      </c>
      <c r="M15" t="s">
        <v>31</v>
      </c>
      <c r="N15">
        <v>679</v>
      </c>
      <c r="O15" s="14">
        <v>0.85750089073553704</v>
      </c>
      <c r="P15" s="14">
        <v>0.40435861097648701</v>
      </c>
      <c r="Q15" t="str">
        <f t="shared" si="0"/>
        <v>50+</v>
      </c>
      <c r="R15" t="str">
        <f t="shared" si="1"/>
        <v>[GkIwZrXy1h2]|50+|Male|TX_CURR_SUBNAT.R|CY2022Q4</v>
      </c>
    </row>
    <row r="16" spans="1:19" ht="15" customHeight="1" x14ac:dyDescent="0.2">
      <c r="A16" s="8"/>
      <c r="B16" s="4" t="s">
        <v>51</v>
      </c>
      <c r="C16" s="8"/>
      <c r="D16" s="13" t="s">
        <v>52</v>
      </c>
      <c r="E16" s="13" t="s">
        <v>53</v>
      </c>
      <c r="F16" s="13" t="s">
        <v>54</v>
      </c>
      <c r="G16" s="13" t="s">
        <v>25</v>
      </c>
      <c r="H16" s="13" t="s">
        <v>26</v>
      </c>
      <c r="I16" t="s">
        <v>27</v>
      </c>
      <c r="J16" s="13" t="s">
        <v>28</v>
      </c>
      <c r="K16" s="13" t="s">
        <v>29</v>
      </c>
      <c r="L16" s="13" t="s">
        <v>30</v>
      </c>
      <c r="M16" t="s">
        <v>31</v>
      </c>
      <c r="N16">
        <v>518</v>
      </c>
      <c r="O16" s="14">
        <v>0.71718774805776797</v>
      </c>
      <c r="P16" s="14">
        <v>0.61639246996492103</v>
      </c>
      <c r="Q16" t="str">
        <f t="shared" si="0"/>
        <v>&lt;01</v>
      </c>
      <c r="R16" t="str">
        <f t="shared" si="1"/>
        <v>[zphK9WV8JB4]|&lt;01|Female|TX_CURR_SUBNAT.R|CY2022Q4</v>
      </c>
    </row>
    <row r="17" spans="1:18" x14ac:dyDescent="0.2">
      <c r="A17" s="8"/>
      <c r="B17" s="4"/>
      <c r="C17" s="8"/>
      <c r="D17" s="13" t="s">
        <v>52</v>
      </c>
      <c r="E17" s="13" t="s">
        <v>53</v>
      </c>
      <c r="F17" s="13" t="s">
        <v>54</v>
      </c>
      <c r="G17" s="13" t="s">
        <v>25</v>
      </c>
      <c r="H17" s="13" t="s">
        <v>26</v>
      </c>
      <c r="I17" t="s">
        <v>32</v>
      </c>
      <c r="J17" s="13" t="s">
        <v>33</v>
      </c>
      <c r="K17" s="13" t="s">
        <v>29</v>
      </c>
      <c r="L17" s="13" t="s">
        <v>30</v>
      </c>
      <c r="M17" t="s">
        <v>31</v>
      </c>
      <c r="N17">
        <v>1062</v>
      </c>
      <c r="O17" s="14">
        <v>0.33703648252412699</v>
      </c>
      <c r="P17" s="14">
        <v>0.61639246996492103</v>
      </c>
      <c r="Q17" t="str">
        <f t="shared" si="0"/>
        <v>01-09</v>
      </c>
      <c r="R17" t="str">
        <f t="shared" si="1"/>
        <v>[zphK9WV8JB4]|01-09|Female|TX_CURR_SUBNAT.R|CY2022Q4</v>
      </c>
    </row>
    <row r="18" spans="1:18" x14ac:dyDescent="0.2">
      <c r="A18" s="8"/>
      <c r="B18" s="16"/>
      <c r="C18" s="8"/>
      <c r="D18" s="13" t="s">
        <v>52</v>
      </c>
      <c r="E18" s="13" t="s">
        <v>53</v>
      </c>
      <c r="F18" s="13" t="s">
        <v>54</v>
      </c>
      <c r="G18" s="13" t="s">
        <v>25</v>
      </c>
      <c r="H18" s="13" t="s">
        <v>26</v>
      </c>
      <c r="I18" t="s">
        <v>35</v>
      </c>
      <c r="J18" s="13" t="s">
        <v>36</v>
      </c>
      <c r="K18" s="13" t="s">
        <v>29</v>
      </c>
      <c r="L18" s="13" t="s">
        <v>30</v>
      </c>
      <c r="M18" t="s">
        <v>31</v>
      </c>
      <c r="N18">
        <v>908</v>
      </c>
      <c r="O18" s="14">
        <v>0.49934486718848298</v>
      </c>
      <c r="P18" s="14">
        <v>0.61639246996492103</v>
      </c>
      <c r="Q18" t="str">
        <f t="shared" si="0"/>
        <v>10-14</v>
      </c>
      <c r="R18" t="str">
        <f t="shared" si="1"/>
        <v>[zphK9WV8JB4]|10-14|Female|TX_CURR_SUBNAT.R|CY2022Q4</v>
      </c>
    </row>
    <row r="19" spans="1:18" ht="15" customHeight="1" x14ac:dyDescent="0.2">
      <c r="A19" s="8"/>
      <c r="B19" s="4" t="s">
        <v>55</v>
      </c>
      <c r="C19" s="8"/>
      <c r="D19" s="13" t="s">
        <v>52</v>
      </c>
      <c r="E19" s="13" t="s">
        <v>53</v>
      </c>
      <c r="F19" s="13" t="s">
        <v>54</v>
      </c>
      <c r="G19" s="13" t="s">
        <v>25</v>
      </c>
      <c r="H19" s="13" t="s">
        <v>26</v>
      </c>
      <c r="I19" t="s">
        <v>37</v>
      </c>
      <c r="J19" s="13" t="s">
        <v>38</v>
      </c>
      <c r="K19" s="13" t="s">
        <v>29</v>
      </c>
      <c r="L19" s="13" t="s">
        <v>30</v>
      </c>
      <c r="M19" t="s">
        <v>31</v>
      </c>
      <c r="N19">
        <v>1050</v>
      </c>
      <c r="O19" s="14">
        <v>0.89943438558839295</v>
      </c>
      <c r="P19" s="14">
        <v>0.61639246996492103</v>
      </c>
      <c r="Q19" t="str">
        <f t="shared" si="0"/>
        <v>15-24</v>
      </c>
      <c r="R19" t="str">
        <f t="shared" si="1"/>
        <v>[zphK9WV8JB4]|15-24|Female|TX_CURR_SUBNAT.R|CY2022Q4</v>
      </c>
    </row>
    <row r="20" spans="1:18" x14ac:dyDescent="0.2">
      <c r="A20" s="8"/>
      <c r="B20" s="4"/>
      <c r="C20" s="8"/>
      <c r="D20" s="13" t="s">
        <v>52</v>
      </c>
      <c r="E20" s="13" t="s">
        <v>53</v>
      </c>
      <c r="F20" s="13" t="s">
        <v>54</v>
      </c>
      <c r="G20" s="13" t="s">
        <v>25</v>
      </c>
      <c r="H20" s="13" t="s">
        <v>26</v>
      </c>
      <c r="I20" t="s">
        <v>40</v>
      </c>
      <c r="J20" s="13" t="s">
        <v>41</v>
      </c>
      <c r="K20" s="13" t="s">
        <v>29</v>
      </c>
      <c r="L20" s="13" t="s">
        <v>30</v>
      </c>
      <c r="M20" t="s">
        <v>31</v>
      </c>
      <c r="N20">
        <v>1198</v>
      </c>
      <c r="O20" s="14">
        <v>0.41650045104324801</v>
      </c>
      <c r="P20" s="14">
        <v>0.61639246996492103</v>
      </c>
      <c r="Q20" t="str">
        <f t="shared" si="0"/>
        <v>25-34</v>
      </c>
      <c r="R20" t="str">
        <f t="shared" si="1"/>
        <v>[zphK9WV8JB4]|25-34|Female|TX_CURR_SUBNAT.R|CY2022Q4</v>
      </c>
    </row>
    <row r="21" spans="1:18" x14ac:dyDescent="0.2">
      <c r="A21" s="8"/>
      <c r="B21" s="8"/>
      <c r="C21" s="8"/>
      <c r="D21" s="13" t="s">
        <v>52</v>
      </c>
      <c r="E21" s="13" t="s">
        <v>53</v>
      </c>
      <c r="F21" s="13" t="s">
        <v>54</v>
      </c>
      <c r="G21" s="13" t="s">
        <v>25</v>
      </c>
      <c r="H21" s="13" t="s">
        <v>26</v>
      </c>
      <c r="I21" t="s">
        <v>42</v>
      </c>
      <c r="J21" s="13" t="s">
        <v>43</v>
      </c>
      <c r="K21" s="13" t="s">
        <v>29</v>
      </c>
      <c r="L21" s="13" t="s">
        <v>30</v>
      </c>
      <c r="M21" t="s">
        <v>31</v>
      </c>
      <c r="N21">
        <v>569</v>
      </c>
      <c r="O21" s="14">
        <v>0.563674568664283</v>
      </c>
      <c r="P21" s="14">
        <v>0.61639246996492103</v>
      </c>
      <c r="Q21" t="str">
        <f t="shared" si="0"/>
        <v>35-49</v>
      </c>
      <c r="R21" t="str">
        <f t="shared" si="1"/>
        <v>[zphK9WV8JB4]|35-49|Female|TX_CURR_SUBNAT.R|CY2022Q4</v>
      </c>
    </row>
    <row r="22" spans="1:18" ht="15.75" customHeight="1" x14ac:dyDescent="0.2">
      <c r="A22" s="8"/>
      <c r="B22" s="16" t="s">
        <v>56</v>
      </c>
      <c r="C22" s="8"/>
      <c r="D22" s="13" t="s">
        <v>52</v>
      </c>
      <c r="E22" s="13" t="s">
        <v>53</v>
      </c>
      <c r="F22" s="13" t="s">
        <v>54</v>
      </c>
      <c r="G22" s="13" t="s">
        <v>25</v>
      </c>
      <c r="H22" s="13" t="s">
        <v>26</v>
      </c>
      <c r="I22" t="s">
        <v>44</v>
      </c>
      <c r="J22" s="13" t="s">
        <v>45</v>
      </c>
      <c r="K22" s="13" t="s">
        <v>29</v>
      </c>
      <c r="L22" s="13" t="s">
        <v>30</v>
      </c>
      <c r="M22" t="s">
        <v>31</v>
      </c>
      <c r="N22">
        <v>961</v>
      </c>
      <c r="O22" s="14">
        <v>0.80182086373679295</v>
      </c>
      <c r="P22" s="14">
        <v>0.61639246996492103</v>
      </c>
      <c r="Q22" t="str">
        <f t="shared" si="0"/>
        <v>50+</v>
      </c>
      <c r="R22" t="str">
        <f t="shared" si="1"/>
        <v>[zphK9WV8JB4]|50+|Female|TX_CURR_SUBNAT.R|CY2022Q4</v>
      </c>
    </row>
    <row r="23" spans="1:18" x14ac:dyDescent="0.2">
      <c r="A23" s="8"/>
      <c r="B23" s="16"/>
      <c r="C23" s="8"/>
      <c r="D23" s="13" t="s">
        <v>52</v>
      </c>
      <c r="E23" s="13" t="s">
        <v>53</v>
      </c>
      <c r="F23" s="13" t="s">
        <v>54</v>
      </c>
      <c r="G23" s="13" t="s">
        <v>25</v>
      </c>
      <c r="H23" s="13" t="s">
        <v>26</v>
      </c>
      <c r="I23" t="s">
        <v>27</v>
      </c>
      <c r="J23" s="13" t="s">
        <v>28</v>
      </c>
      <c r="K23" s="13" t="s">
        <v>47</v>
      </c>
      <c r="L23" s="13" t="s">
        <v>48</v>
      </c>
      <c r="M23" t="s">
        <v>31</v>
      </c>
      <c r="N23">
        <v>1979</v>
      </c>
      <c r="O23" s="14">
        <v>0.71196351246908296</v>
      </c>
      <c r="P23" s="14">
        <v>0.61639246996492103</v>
      </c>
      <c r="Q23" t="str">
        <f t="shared" si="0"/>
        <v>&lt;01</v>
      </c>
      <c r="R23" t="str">
        <f t="shared" si="1"/>
        <v>[zphK9WV8JB4]|&lt;01|Male|TX_CURR_SUBNAT.R|CY2022Q4</v>
      </c>
    </row>
    <row r="24" spans="1:18" x14ac:dyDescent="0.2">
      <c r="A24" s="8"/>
      <c r="B24" s="17" t="s">
        <v>57</v>
      </c>
      <c r="C24" s="8"/>
      <c r="D24" s="13" t="s">
        <v>52</v>
      </c>
      <c r="E24" s="13" t="s">
        <v>53</v>
      </c>
      <c r="F24" s="13" t="s">
        <v>54</v>
      </c>
      <c r="G24" s="13" t="s">
        <v>25</v>
      </c>
      <c r="H24" s="13" t="s">
        <v>26</v>
      </c>
      <c r="I24" t="s">
        <v>32</v>
      </c>
      <c r="J24" s="13" t="s">
        <v>33</v>
      </c>
      <c r="K24" s="13" t="s">
        <v>47</v>
      </c>
      <c r="L24" s="13" t="s">
        <v>48</v>
      </c>
      <c r="M24" t="s">
        <v>31</v>
      </c>
      <c r="N24">
        <v>680</v>
      </c>
      <c r="O24" s="14">
        <v>0.65598413976840697</v>
      </c>
      <c r="P24" s="14">
        <v>0.61639246996492103</v>
      </c>
      <c r="Q24" t="str">
        <f t="shared" si="0"/>
        <v>01-09</v>
      </c>
      <c r="R24" t="str">
        <f t="shared" si="1"/>
        <v>[zphK9WV8JB4]|01-09|Male|TX_CURR_SUBNAT.R|CY2022Q4</v>
      </c>
    </row>
    <row r="25" spans="1:18" x14ac:dyDescent="0.2">
      <c r="A25" s="8"/>
      <c r="B25" s="8"/>
      <c r="C25" s="8"/>
      <c r="D25" s="13" t="s">
        <v>52</v>
      </c>
      <c r="E25" s="13" t="s">
        <v>53</v>
      </c>
      <c r="F25" s="13" t="s">
        <v>54</v>
      </c>
      <c r="G25" s="13" t="s">
        <v>25</v>
      </c>
      <c r="H25" s="13" t="s">
        <v>26</v>
      </c>
      <c r="I25" t="s">
        <v>35</v>
      </c>
      <c r="J25" s="13" t="s">
        <v>36</v>
      </c>
      <c r="K25" s="13" t="s">
        <v>47</v>
      </c>
      <c r="L25" s="13" t="s">
        <v>48</v>
      </c>
      <c r="M25" t="s">
        <v>31</v>
      </c>
      <c r="N25">
        <v>1398</v>
      </c>
      <c r="O25" s="14">
        <v>0.35252683563157899</v>
      </c>
      <c r="P25" s="14">
        <v>0.61639246996492103</v>
      </c>
      <c r="Q25" t="str">
        <f t="shared" si="0"/>
        <v>10-14</v>
      </c>
      <c r="R25" t="str">
        <f t="shared" si="1"/>
        <v>[zphK9WV8JB4]|10-14|Male|TX_CURR_SUBNAT.R|CY2022Q4</v>
      </c>
    </row>
    <row r="26" spans="1:18" ht="15" customHeight="1" x14ac:dyDescent="0.2">
      <c r="A26" s="8"/>
      <c r="B26" s="4" t="s">
        <v>58</v>
      </c>
      <c r="C26" s="8"/>
      <c r="D26" s="13" t="s">
        <v>52</v>
      </c>
      <c r="E26" s="13" t="s">
        <v>53</v>
      </c>
      <c r="F26" s="13" t="s">
        <v>54</v>
      </c>
      <c r="G26" s="13" t="s">
        <v>25</v>
      </c>
      <c r="H26" s="13" t="s">
        <v>26</v>
      </c>
      <c r="I26" t="s">
        <v>37</v>
      </c>
      <c r="J26" s="13" t="s">
        <v>38</v>
      </c>
      <c r="K26" s="13" t="s">
        <v>47</v>
      </c>
      <c r="L26" s="13" t="s">
        <v>48</v>
      </c>
      <c r="M26" t="s">
        <v>31</v>
      </c>
      <c r="N26">
        <v>1043</v>
      </c>
      <c r="O26" s="14">
        <v>0.96748652891255904</v>
      </c>
      <c r="P26" s="14">
        <v>0.61639246996492103</v>
      </c>
      <c r="Q26" t="str">
        <f t="shared" si="0"/>
        <v>15-24</v>
      </c>
      <c r="R26" t="str">
        <f t="shared" si="1"/>
        <v>[zphK9WV8JB4]|15-24|Male|TX_CURR_SUBNAT.R|CY2022Q4</v>
      </c>
    </row>
    <row r="27" spans="1:18" x14ac:dyDescent="0.2">
      <c r="A27" s="8"/>
      <c r="B27" s="4"/>
      <c r="C27" s="8"/>
      <c r="D27" s="13" t="s">
        <v>52</v>
      </c>
      <c r="E27" s="13" t="s">
        <v>53</v>
      </c>
      <c r="F27" s="13" t="s">
        <v>54</v>
      </c>
      <c r="G27" s="13" t="s">
        <v>25</v>
      </c>
      <c r="H27" s="13" t="s">
        <v>26</v>
      </c>
      <c r="I27" t="s">
        <v>40</v>
      </c>
      <c r="J27" s="13" t="s">
        <v>41</v>
      </c>
      <c r="K27" s="13" t="s">
        <v>47</v>
      </c>
      <c r="L27" s="13" t="s">
        <v>48</v>
      </c>
      <c r="M27" t="s">
        <v>31</v>
      </c>
      <c r="N27">
        <v>1026</v>
      </c>
      <c r="O27" s="14">
        <v>0.18278583092615</v>
      </c>
      <c r="P27" s="14">
        <v>0.61639246996492103</v>
      </c>
      <c r="Q27" t="str">
        <f t="shared" si="0"/>
        <v>25-34</v>
      </c>
      <c r="R27" t="str">
        <f t="shared" si="1"/>
        <v>[zphK9WV8JB4]|25-34|Male|TX_CURR_SUBNAT.R|CY2022Q4</v>
      </c>
    </row>
    <row r="28" spans="1:18" x14ac:dyDescent="0.2">
      <c r="A28" s="8"/>
      <c r="B28" s="8"/>
      <c r="C28" s="8"/>
      <c r="D28" s="13" t="s">
        <v>52</v>
      </c>
      <c r="E28" s="13" t="s">
        <v>53</v>
      </c>
      <c r="F28" s="13" t="s">
        <v>54</v>
      </c>
      <c r="G28" s="13" t="s">
        <v>25</v>
      </c>
      <c r="H28" s="13" t="s">
        <v>26</v>
      </c>
      <c r="I28" t="s">
        <v>42</v>
      </c>
      <c r="J28" s="13" t="s">
        <v>43</v>
      </c>
      <c r="K28" s="13" t="s">
        <v>47</v>
      </c>
      <c r="L28" s="13" t="s">
        <v>48</v>
      </c>
      <c r="M28" t="s">
        <v>31</v>
      </c>
      <c r="N28">
        <v>1977</v>
      </c>
      <c r="O28" s="14">
        <v>0.181268591433764</v>
      </c>
      <c r="P28" s="14">
        <v>0.61639246996492103</v>
      </c>
      <c r="Q28" t="str">
        <f t="shared" si="0"/>
        <v>35-49</v>
      </c>
      <c r="R28" t="str">
        <f t="shared" si="1"/>
        <v>[zphK9WV8JB4]|35-49|Male|TX_CURR_SUBNAT.R|CY2022Q4</v>
      </c>
    </row>
    <row r="29" spans="1:18" x14ac:dyDescent="0.2">
      <c r="A29" s="8"/>
      <c r="B29" s="16"/>
      <c r="C29" s="8"/>
      <c r="D29" s="13" t="s">
        <v>52</v>
      </c>
      <c r="E29" s="13" t="s">
        <v>53</v>
      </c>
      <c r="F29" s="13" t="s">
        <v>54</v>
      </c>
      <c r="G29" s="13" t="s">
        <v>25</v>
      </c>
      <c r="H29" s="13" t="s">
        <v>26</v>
      </c>
      <c r="I29" t="s">
        <v>44</v>
      </c>
      <c r="J29" s="13" t="s">
        <v>45</v>
      </c>
      <c r="K29" s="13" t="s">
        <v>47</v>
      </c>
      <c r="L29" s="13" t="s">
        <v>48</v>
      </c>
      <c r="M29" t="s">
        <v>31</v>
      </c>
      <c r="N29">
        <v>1636</v>
      </c>
      <c r="O29" s="14">
        <v>0.24204691150225699</v>
      </c>
      <c r="P29" s="14">
        <v>0.61639246996492103</v>
      </c>
      <c r="Q29" t="str">
        <f t="shared" si="0"/>
        <v>50+</v>
      </c>
      <c r="R29" t="str">
        <f t="shared" si="1"/>
        <v>[zphK9WV8JB4]|50+|Male|TX_CURR_SUBNAT.R|CY2022Q4</v>
      </c>
    </row>
    <row r="30" spans="1:18" x14ac:dyDescent="0.2">
      <c r="A30" s="8"/>
      <c r="B30" s="16"/>
      <c r="C30" s="8"/>
      <c r="D30" s="13" t="s">
        <v>59</v>
      </c>
      <c r="E30" s="13" t="s">
        <v>60</v>
      </c>
      <c r="F30" s="13" t="s">
        <v>61</v>
      </c>
      <c r="G30" s="13" t="s">
        <v>25</v>
      </c>
      <c r="H30" s="13" t="s">
        <v>26</v>
      </c>
      <c r="I30" t="s">
        <v>27</v>
      </c>
      <c r="J30" s="13" t="s">
        <v>28</v>
      </c>
      <c r="K30" s="13" t="s">
        <v>29</v>
      </c>
      <c r="L30" s="13" t="s">
        <v>30</v>
      </c>
      <c r="M30" t="s">
        <v>31</v>
      </c>
      <c r="N30">
        <v>575</v>
      </c>
      <c r="O30" s="14">
        <v>0.64275545976124704</v>
      </c>
      <c r="P30" s="14">
        <v>2.6825056178495298E-2</v>
      </c>
      <c r="Q30" t="str">
        <f t="shared" si="0"/>
        <v>&lt;01</v>
      </c>
      <c r="R30" t="str">
        <f t="shared" si="1"/>
        <v>[msW2zpIN7up]|&lt;01|Female|TX_CURR_SUBNAT.R|CY2022Q4</v>
      </c>
    </row>
    <row r="31" spans="1:18" x14ac:dyDescent="0.2">
      <c r="A31" s="8"/>
      <c r="B31" s="16"/>
      <c r="C31" s="8"/>
      <c r="D31" s="13" t="s">
        <v>59</v>
      </c>
      <c r="E31" s="13" t="s">
        <v>60</v>
      </c>
      <c r="F31" s="13" t="s">
        <v>61</v>
      </c>
      <c r="G31" s="13" t="s">
        <v>25</v>
      </c>
      <c r="H31" s="13" t="s">
        <v>26</v>
      </c>
      <c r="I31" t="s">
        <v>32</v>
      </c>
      <c r="J31" s="13" t="s">
        <v>33</v>
      </c>
      <c r="K31" s="13" t="s">
        <v>29</v>
      </c>
      <c r="L31" s="13" t="s">
        <v>30</v>
      </c>
      <c r="M31" t="s">
        <v>31</v>
      </c>
      <c r="N31">
        <v>693</v>
      </c>
      <c r="O31" s="14">
        <v>0.10836796439252799</v>
      </c>
      <c r="P31" s="14">
        <v>2.6825056178495298E-2</v>
      </c>
      <c r="Q31" t="str">
        <f t="shared" si="0"/>
        <v>01-09</v>
      </c>
      <c r="R31" t="str">
        <f t="shared" si="1"/>
        <v>[msW2zpIN7up]|01-09|Female|TX_CURR_SUBNAT.R|CY2022Q4</v>
      </c>
    </row>
    <row r="32" spans="1:18" x14ac:dyDescent="0.2">
      <c r="A32" s="8"/>
      <c r="B32" s="8"/>
      <c r="C32" s="8"/>
      <c r="D32" s="13" t="s">
        <v>59</v>
      </c>
      <c r="E32" s="13" t="s">
        <v>60</v>
      </c>
      <c r="F32" s="13" t="s">
        <v>61</v>
      </c>
      <c r="G32" s="13" t="s">
        <v>25</v>
      </c>
      <c r="H32" s="13" t="s">
        <v>26</v>
      </c>
      <c r="I32" t="s">
        <v>35</v>
      </c>
      <c r="J32" s="13" t="s">
        <v>36</v>
      </c>
      <c r="K32" s="13" t="s">
        <v>29</v>
      </c>
      <c r="L32" s="13" t="s">
        <v>30</v>
      </c>
      <c r="M32" t="s">
        <v>31</v>
      </c>
      <c r="N32">
        <v>684</v>
      </c>
      <c r="O32" s="14">
        <v>0.55564614012837399</v>
      </c>
      <c r="P32" s="14">
        <v>2.6825056178495298E-2</v>
      </c>
      <c r="Q32" t="str">
        <f t="shared" si="0"/>
        <v>10-14</v>
      </c>
      <c r="R32" t="str">
        <f t="shared" si="1"/>
        <v>[msW2zpIN7up]|10-14|Female|TX_CURR_SUBNAT.R|CY2022Q4</v>
      </c>
    </row>
    <row r="33" spans="1:18" x14ac:dyDescent="0.2">
      <c r="A33" s="8"/>
      <c r="B33" s="8"/>
      <c r="C33" s="8"/>
      <c r="D33" s="13" t="s">
        <v>59</v>
      </c>
      <c r="E33" s="13" t="s">
        <v>60</v>
      </c>
      <c r="F33" s="13" t="s">
        <v>61</v>
      </c>
      <c r="G33" s="13" t="s">
        <v>25</v>
      </c>
      <c r="H33" s="13" t="s">
        <v>26</v>
      </c>
      <c r="I33" t="s">
        <v>37</v>
      </c>
      <c r="J33" s="13" t="s">
        <v>38</v>
      </c>
      <c r="K33" s="13" t="s">
        <v>29</v>
      </c>
      <c r="L33" s="13" t="s">
        <v>30</v>
      </c>
      <c r="M33" t="s">
        <v>31</v>
      </c>
      <c r="N33">
        <v>1897</v>
      </c>
      <c r="O33" s="14">
        <v>0.69522739271633305</v>
      </c>
      <c r="P33" s="14">
        <v>2.6825056178495298E-2</v>
      </c>
      <c r="Q33" t="str">
        <f t="shared" si="0"/>
        <v>15-24</v>
      </c>
      <c r="R33" t="str">
        <f t="shared" si="1"/>
        <v>[msW2zpIN7up]|15-24|Female|TX_CURR_SUBNAT.R|CY2022Q4</v>
      </c>
    </row>
    <row r="34" spans="1:18" x14ac:dyDescent="0.2">
      <c r="A34" s="8"/>
      <c r="B34" s="8"/>
      <c r="C34" s="8"/>
      <c r="D34" s="13" t="s">
        <v>59</v>
      </c>
      <c r="E34" s="13" t="s">
        <v>60</v>
      </c>
      <c r="F34" s="13" t="s">
        <v>61</v>
      </c>
      <c r="G34" s="13" t="s">
        <v>25</v>
      </c>
      <c r="H34" s="13" t="s">
        <v>26</v>
      </c>
      <c r="I34" t="s">
        <v>40</v>
      </c>
      <c r="J34" s="13" t="s">
        <v>41</v>
      </c>
      <c r="K34" s="13" t="s">
        <v>29</v>
      </c>
      <c r="L34" s="13" t="s">
        <v>30</v>
      </c>
      <c r="M34" t="s">
        <v>31</v>
      </c>
      <c r="N34">
        <v>1354</v>
      </c>
      <c r="O34" s="14">
        <v>0.73992998525500298</v>
      </c>
      <c r="P34" s="14">
        <v>2.6825056178495298E-2</v>
      </c>
      <c r="Q34" t="str">
        <f t="shared" si="0"/>
        <v>25-34</v>
      </c>
      <c r="R34" t="str">
        <f t="shared" si="1"/>
        <v>[msW2zpIN7up]|25-34|Female|TX_CURR_SUBNAT.R|CY2022Q4</v>
      </c>
    </row>
    <row r="35" spans="1:18" x14ac:dyDescent="0.2">
      <c r="A35" s="8"/>
      <c r="B35" s="8"/>
      <c r="C35" s="8"/>
      <c r="D35" s="13" t="s">
        <v>59</v>
      </c>
      <c r="E35" s="13" t="s">
        <v>60</v>
      </c>
      <c r="F35" s="13" t="s">
        <v>61</v>
      </c>
      <c r="G35" s="13" t="s">
        <v>25</v>
      </c>
      <c r="H35" s="13" t="s">
        <v>26</v>
      </c>
      <c r="I35" t="s">
        <v>42</v>
      </c>
      <c r="J35" s="13" t="s">
        <v>43</v>
      </c>
      <c r="K35" s="13" t="s">
        <v>29</v>
      </c>
      <c r="L35" s="13" t="s">
        <v>30</v>
      </c>
      <c r="M35" t="s">
        <v>31</v>
      </c>
      <c r="N35">
        <v>942</v>
      </c>
      <c r="O35" s="14">
        <v>0.12482096813619099</v>
      </c>
      <c r="P35" s="14">
        <v>2.6825056178495298E-2</v>
      </c>
      <c r="Q35" t="str">
        <f t="shared" si="0"/>
        <v>35-49</v>
      </c>
      <c r="R35" t="str">
        <f t="shared" si="1"/>
        <v>[msW2zpIN7up]|35-49|Female|TX_CURR_SUBNAT.R|CY2022Q4</v>
      </c>
    </row>
    <row r="36" spans="1:18" x14ac:dyDescent="0.2">
      <c r="A36" s="8"/>
      <c r="B36" s="8"/>
      <c r="C36" s="8"/>
      <c r="D36" s="13" t="s">
        <v>59</v>
      </c>
      <c r="E36" s="13" t="s">
        <v>60</v>
      </c>
      <c r="F36" s="13" t="s">
        <v>61</v>
      </c>
      <c r="G36" s="13" t="s">
        <v>25</v>
      </c>
      <c r="H36" s="13" t="s">
        <v>26</v>
      </c>
      <c r="I36" t="s">
        <v>44</v>
      </c>
      <c r="J36" s="13" t="s">
        <v>45</v>
      </c>
      <c r="K36" s="13" t="s">
        <v>29</v>
      </c>
      <c r="L36" s="13" t="s">
        <v>30</v>
      </c>
      <c r="M36" t="s">
        <v>31</v>
      </c>
      <c r="N36">
        <v>1218</v>
      </c>
      <c r="O36" s="14">
        <v>0.18970372737385299</v>
      </c>
      <c r="P36" s="14">
        <v>2.6825056178495298E-2</v>
      </c>
      <c r="Q36" t="str">
        <f t="shared" si="0"/>
        <v>50+</v>
      </c>
      <c r="R36" t="str">
        <f t="shared" si="1"/>
        <v>[msW2zpIN7up]|50+|Female|TX_CURR_SUBNAT.R|CY2022Q4</v>
      </c>
    </row>
    <row r="37" spans="1:18" x14ac:dyDescent="0.2">
      <c r="A37" s="8"/>
      <c r="B37" s="8"/>
      <c r="C37" s="8"/>
      <c r="D37" s="13" t="s">
        <v>59</v>
      </c>
      <c r="E37" s="13" t="s">
        <v>60</v>
      </c>
      <c r="F37" s="13" t="s">
        <v>61</v>
      </c>
      <c r="G37" s="13" t="s">
        <v>25</v>
      </c>
      <c r="H37" s="13" t="s">
        <v>26</v>
      </c>
      <c r="I37" t="s">
        <v>27</v>
      </c>
      <c r="J37" s="13" t="s">
        <v>28</v>
      </c>
      <c r="K37" s="13" t="s">
        <v>47</v>
      </c>
      <c r="L37" s="13" t="s">
        <v>48</v>
      </c>
      <c r="M37" t="s">
        <v>31</v>
      </c>
      <c r="N37">
        <v>1227</v>
      </c>
      <c r="O37" s="14">
        <v>2.2817836143076399E-2</v>
      </c>
      <c r="P37" s="14">
        <v>2.6825056178495298E-2</v>
      </c>
      <c r="Q37" t="str">
        <f t="shared" si="0"/>
        <v>&lt;01</v>
      </c>
      <c r="R37" t="str">
        <f t="shared" si="1"/>
        <v>[msW2zpIN7up]|&lt;01|Male|TX_CURR_SUBNAT.R|CY2022Q4</v>
      </c>
    </row>
    <row r="38" spans="1:18" x14ac:dyDescent="0.2">
      <c r="A38" s="8"/>
      <c r="B38" s="8"/>
      <c r="C38" s="8"/>
      <c r="D38" s="13" t="s">
        <v>59</v>
      </c>
      <c r="E38" s="13" t="s">
        <v>60</v>
      </c>
      <c r="F38" s="13" t="s">
        <v>61</v>
      </c>
      <c r="G38" s="13" t="s">
        <v>25</v>
      </c>
      <c r="H38" s="13" t="s">
        <v>26</v>
      </c>
      <c r="I38" t="s">
        <v>32</v>
      </c>
      <c r="J38" s="13" t="s">
        <v>33</v>
      </c>
      <c r="K38" s="13" t="s">
        <v>47</v>
      </c>
      <c r="L38" s="13" t="s">
        <v>48</v>
      </c>
      <c r="M38" t="s">
        <v>31</v>
      </c>
      <c r="N38">
        <v>1693</v>
      </c>
      <c r="O38" s="14">
        <v>0.43929494568146799</v>
      </c>
      <c r="P38" s="14">
        <v>2.6825056178495298E-2</v>
      </c>
      <c r="Q38" t="str">
        <f t="shared" si="0"/>
        <v>01-09</v>
      </c>
      <c r="R38" t="str">
        <f t="shared" si="1"/>
        <v>[msW2zpIN7up]|01-09|Male|TX_CURR_SUBNAT.R|CY2022Q4</v>
      </c>
    </row>
    <row r="39" spans="1:18" x14ac:dyDescent="0.2">
      <c r="A39" s="8"/>
      <c r="B39" s="8"/>
      <c r="C39" s="8"/>
      <c r="D39" s="13" t="s">
        <v>59</v>
      </c>
      <c r="E39" s="13" t="s">
        <v>60</v>
      </c>
      <c r="F39" s="13" t="s">
        <v>61</v>
      </c>
      <c r="G39" s="13" t="s">
        <v>25</v>
      </c>
      <c r="H39" s="13" t="s">
        <v>26</v>
      </c>
      <c r="I39" t="s">
        <v>35</v>
      </c>
      <c r="J39" s="13" t="s">
        <v>36</v>
      </c>
      <c r="K39" s="13" t="s">
        <v>47</v>
      </c>
      <c r="L39" s="13" t="s">
        <v>48</v>
      </c>
      <c r="M39" t="s">
        <v>31</v>
      </c>
      <c r="N39">
        <v>1199</v>
      </c>
      <c r="O39" s="14">
        <v>0.57554716244339899</v>
      </c>
      <c r="P39" s="14">
        <v>2.6825056178495298E-2</v>
      </c>
      <c r="Q39" t="str">
        <f t="shared" si="0"/>
        <v>10-14</v>
      </c>
      <c r="R39" t="str">
        <f t="shared" si="1"/>
        <v>[msW2zpIN7up]|10-14|Male|TX_CURR_SUBNAT.R|CY2022Q4</v>
      </c>
    </row>
    <row r="40" spans="1:18" x14ac:dyDescent="0.2">
      <c r="A40" s="8"/>
      <c r="B40" s="8"/>
      <c r="C40" s="8"/>
      <c r="D40" s="13" t="s">
        <v>59</v>
      </c>
      <c r="E40" s="13" t="s">
        <v>60</v>
      </c>
      <c r="F40" s="13" t="s">
        <v>61</v>
      </c>
      <c r="G40" s="13" t="s">
        <v>25</v>
      </c>
      <c r="H40" s="13" t="s">
        <v>26</v>
      </c>
      <c r="I40" t="s">
        <v>37</v>
      </c>
      <c r="J40" s="13" t="s">
        <v>38</v>
      </c>
      <c r="K40" s="13" t="s">
        <v>47</v>
      </c>
      <c r="L40" s="13" t="s">
        <v>48</v>
      </c>
      <c r="M40" t="s">
        <v>31</v>
      </c>
      <c r="N40">
        <v>586</v>
      </c>
      <c r="O40" s="14">
        <v>0.43359532905742498</v>
      </c>
      <c r="P40" s="14">
        <v>2.6825056178495298E-2</v>
      </c>
      <c r="Q40" t="str">
        <f t="shared" si="0"/>
        <v>15-24</v>
      </c>
      <c r="R40" t="str">
        <f t="shared" si="1"/>
        <v>[msW2zpIN7up]|15-24|Male|TX_CURR_SUBNAT.R|CY2022Q4</v>
      </c>
    </row>
    <row r="41" spans="1:18" x14ac:dyDescent="0.2">
      <c r="A41" s="8"/>
      <c r="B41" s="8"/>
      <c r="C41" s="8"/>
      <c r="D41" s="13" t="s">
        <v>59</v>
      </c>
      <c r="E41" s="13" t="s">
        <v>60</v>
      </c>
      <c r="F41" s="13" t="s">
        <v>61</v>
      </c>
      <c r="G41" s="13" t="s">
        <v>25</v>
      </c>
      <c r="H41" s="13" t="s">
        <v>26</v>
      </c>
      <c r="I41" t="s">
        <v>40</v>
      </c>
      <c r="J41" s="13" t="s">
        <v>41</v>
      </c>
      <c r="K41" s="13" t="s">
        <v>47</v>
      </c>
      <c r="L41" s="13" t="s">
        <v>48</v>
      </c>
      <c r="M41" t="s">
        <v>31</v>
      </c>
      <c r="N41">
        <v>1373</v>
      </c>
      <c r="O41" s="14">
        <v>0.39171977620571902</v>
      </c>
      <c r="P41" s="14">
        <v>2.6825056178495298E-2</v>
      </c>
      <c r="Q41" t="str">
        <f t="shared" si="0"/>
        <v>25-34</v>
      </c>
      <c r="R41" t="str">
        <f t="shared" si="1"/>
        <v>[msW2zpIN7up]|25-34|Male|TX_CURR_SUBNAT.R|CY2022Q4</v>
      </c>
    </row>
    <row r="42" spans="1:18" x14ac:dyDescent="0.2">
      <c r="A42" s="8"/>
      <c r="B42" s="8"/>
      <c r="C42" s="8"/>
      <c r="D42" s="13" t="s">
        <v>59</v>
      </c>
      <c r="E42" s="13" t="s">
        <v>60</v>
      </c>
      <c r="F42" s="13" t="s">
        <v>61</v>
      </c>
      <c r="G42" s="13" t="s">
        <v>25</v>
      </c>
      <c r="H42" s="13" t="s">
        <v>26</v>
      </c>
      <c r="I42" t="s">
        <v>42</v>
      </c>
      <c r="J42" s="13" t="s">
        <v>43</v>
      </c>
      <c r="K42" s="13" t="s">
        <v>47</v>
      </c>
      <c r="L42" s="13" t="s">
        <v>48</v>
      </c>
      <c r="M42" t="s">
        <v>31</v>
      </c>
      <c r="N42">
        <v>868</v>
      </c>
      <c r="O42" s="14">
        <v>9.62307245936245E-2</v>
      </c>
      <c r="P42" s="14">
        <v>2.6825056178495298E-2</v>
      </c>
      <c r="Q42" t="str">
        <f t="shared" si="0"/>
        <v>35-49</v>
      </c>
      <c r="R42" t="str">
        <f t="shared" si="1"/>
        <v>[msW2zpIN7up]|35-49|Male|TX_CURR_SUBNAT.R|CY2022Q4</v>
      </c>
    </row>
    <row r="43" spans="1:18" x14ac:dyDescent="0.2">
      <c r="A43" s="8"/>
      <c r="B43" s="8"/>
      <c r="C43" s="8"/>
      <c r="D43" s="13" t="s">
        <v>59</v>
      </c>
      <c r="E43" s="13" t="s">
        <v>60</v>
      </c>
      <c r="F43" s="13" t="s">
        <v>61</v>
      </c>
      <c r="G43" s="13" t="s">
        <v>25</v>
      </c>
      <c r="H43" s="13" t="s">
        <v>26</v>
      </c>
      <c r="I43" t="s">
        <v>44</v>
      </c>
      <c r="J43" s="13" t="s">
        <v>45</v>
      </c>
      <c r="K43" s="13" t="s">
        <v>47</v>
      </c>
      <c r="L43" s="13" t="s">
        <v>48</v>
      </c>
      <c r="M43" t="s">
        <v>31</v>
      </c>
      <c r="N43">
        <v>617</v>
      </c>
      <c r="O43" s="14">
        <v>0.84883345547132205</v>
      </c>
      <c r="P43" s="14">
        <v>2.6825056178495298E-2</v>
      </c>
      <c r="Q43" t="str">
        <f t="shared" si="0"/>
        <v>50+</v>
      </c>
      <c r="R43" t="str">
        <f t="shared" si="1"/>
        <v>[msW2zpIN7up]|50+|Male|TX_CURR_SUBNAT.R|CY2022Q4</v>
      </c>
    </row>
    <row r="44" spans="1:18" x14ac:dyDescent="0.2">
      <c r="A44" s="8"/>
      <c r="B44" s="8"/>
      <c r="C44" s="8"/>
      <c r="D44" s="13" t="s">
        <v>62</v>
      </c>
      <c r="E44" s="13" t="s">
        <v>63</v>
      </c>
      <c r="F44" s="13" t="s">
        <v>64</v>
      </c>
      <c r="G44" s="13" t="s">
        <v>25</v>
      </c>
      <c r="H44" s="13" t="s">
        <v>26</v>
      </c>
      <c r="I44" t="s">
        <v>27</v>
      </c>
      <c r="J44" s="13" t="s">
        <v>28</v>
      </c>
      <c r="K44" s="13" t="s">
        <v>29</v>
      </c>
      <c r="L44" s="13" t="s">
        <v>30</v>
      </c>
      <c r="M44" t="s">
        <v>31</v>
      </c>
      <c r="N44">
        <v>942</v>
      </c>
      <c r="O44" s="14">
        <v>0.630582152632996</v>
      </c>
      <c r="P44" s="14">
        <v>0.790102193132043</v>
      </c>
      <c r="Q44" t="str">
        <f t="shared" si="0"/>
        <v>&lt;01</v>
      </c>
      <c r="R44" t="str">
        <f t="shared" si="1"/>
        <v>[kxuuIFpOXyO]|&lt;01|Female|TX_CURR_SUBNAT.R|CY2022Q4</v>
      </c>
    </row>
    <row r="45" spans="1:18" x14ac:dyDescent="0.2">
      <c r="A45" s="8"/>
      <c r="B45" s="8"/>
      <c r="C45" s="8"/>
      <c r="D45" s="13" t="s">
        <v>62</v>
      </c>
      <c r="E45" s="13" t="s">
        <v>63</v>
      </c>
      <c r="F45" s="13" t="s">
        <v>64</v>
      </c>
      <c r="G45" s="13" t="s">
        <v>25</v>
      </c>
      <c r="H45" s="13" t="s">
        <v>26</v>
      </c>
      <c r="I45" t="s">
        <v>32</v>
      </c>
      <c r="J45" s="13" t="s">
        <v>33</v>
      </c>
      <c r="K45" s="13" t="s">
        <v>29</v>
      </c>
      <c r="L45" s="13" t="s">
        <v>30</v>
      </c>
      <c r="M45" t="s">
        <v>31</v>
      </c>
      <c r="N45">
        <v>1523</v>
      </c>
      <c r="O45" s="14">
        <v>0.57498473767191205</v>
      </c>
      <c r="P45" s="14">
        <v>0.790102193132043</v>
      </c>
      <c r="Q45" t="str">
        <f t="shared" si="0"/>
        <v>01-09</v>
      </c>
      <c r="R45" t="str">
        <f t="shared" si="1"/>
        <v>[kxuuIFpOXyO]|01-09|Female|TX_CURR_SUBNAT.R|CY2022Q4</v>
      </c>
    </row>
    <row r="46" spans="1:18" x14ac:dyDescent="0.2">
      <c r="A46" s="8"/>
      <c r="B46" s="8"/>
      <c r="C46" s="8"/>
      <c r="D46" s="13" t="s">
        <v>62</v>
      </c>
      <c r="E46" s="13" t="s">
        <v>63</v>
      </c>
      <c r="F46" s="13" t="s">
        <v>64</v>
      </c>
      <c r="G46" s="13" t="s">
        <v>25</v>
      </c>
      <c r="H46" s="13" t="s">
        <v>26</v>
      </c>
      <c r="I46" t="s">
        <v>35</v>
      </c>
      <c r="J46" s="13" t="s">
        <v>36</v>
      </c>
      <c r="K46" s="13" t="s">
        <v>29</v>
      </c>
      <c r="L46" s="13" t="s">
        <v>30</v>
      </c>
      <c r="M46" t="s">
        <v>31</v>
      </c>
      <c r="N46">
        <v>1295</v>
      </c>
      <c r="O46" s="14">
        <v>0.984880514675751</v>
      </c>
      <c r="P46" s="14">
        <v>0.790102193132043</v>
      </c>
      <c r="Q46" t="str">
        <f t="shared" si="0"/>
        <v>10-14</v>
      </c>
      <c r="R46" t="str">
        <f t="shared" si="1"/>
        <v>[kxuuIFpOXyO]|10-14|Female|TX_CURR_SUBNAT.R|CY2022Q4</v>
      </c>
    </row>
    <row r="47" spans="1:18" x14ac:dyDescent="0.2">
      <c r="A47" s="8"/>
      <c r="B47" s="8"/>
      <c r="C47" s="8"/>
      <c r="D47" s="13" t="s">
        <v>62</v>
      </c>
      <c r="E47" s="13" t="s">
        <v>63</v>
      </c>
      <c r="F47" s="13" t="s">
        <v>64</v>
      </c>
      <c r="G47" s="13" t="s">
        <v>25</v>
      </c>
      <c r="H47" s="13" t="s">
        <v>26</v>
      </c>
      <c r="I47" t="s">
        <v>37</v>
      </c>
      <c r="J47" s="13" t="s">
        <v>38</v>
      </c>
      <c r="K47" s="13" t="s">
        <v>29</v>
      </c>
      <c r="L47" s="13" t="s">
        <v>30</v>
      </c>
      <c r="M47" t="s">
        <v>31</v>
      </c>
      <c r="N47">
        <v>680</v>
      </c>
      <c r="O47" s="14">
        <v>0.35276990081183601</v>
      </c>
      <c r="P47" s="14">
        <v>0.790102193132043</v>
      </c>
      <c r="Q47" t="str">
        <f t="shared" si="0"/>
        <v>15-24</v>
      </c>
      <c r="R47" t="str">
        <f t="shared" si="1"/>
        <v>[kxuuIFpOXyO]|15-24|Female|TX_CURR_SUBNAT.R|CY2022Q4</v>
      </c>
    </row>
    <row r="48" spans="1:18" x14ac:dyDescent="0.2">
      <c r="A48" s="8"/>
      <c r="B48" s="8"/>
      <c r="C48" s="8"/>
      <c r="D48" s="13" t="s">
        <v>62</v>
      </c>
      <c r="E48" s="13" t="s">
        <v>63</v>
      </c>
      <c r="F48" s="13" t="s">
        <v>64</v>
      </c>
      <c r="G48" s="13" t="s">
        <v>25</v>
      </c>
      <c r="H48" s="13" t="s">
        <v>26</v>
      </c>
      <c r="I48" t="s">
        <v>40</v>
      </c>
      <c r="J48" s="13" t="s">
        <v>41</v>
      </c>
      <c r="K48" s="13" t="s">
        <v>29</v>
      </c>
      <c r="L48" s="13" t="s">
        <v>30</v>
      </c>
      <c r="M48" t="s">
        <v>31</v>
      </c>
      <c r="N48">
        <v>1975</v>
      </c>
      <c r="O48" s="14">
        <v>0.284044286934659</v>
      </c>
      <c r="P48" s="14">
        <v>0.790102193132043</v>
      </c>
      <c r="Q48" t="str">
        <f t="shared" si="0"/>
        <v>25-34</v>
      </c>
      <c r="R48" t="str">
        <f t="shared" si="1"/>
        <v>[kxuuIFpOXyO]|25-34|Female|TX_CURR_SUBNAT.R|CY2022Q4</v>
      </c>
    </row>
    <row r="49" spans="1:18" x14ac:dyDescent="0.2">
      <c r="A49" s="8"/>
      <c r="B49" s="8"/>
      <c r="C49" s="8"/>
      <c r="D49" s="13" t="s">
        <v>62</v>
      </c>
      <c r="E49" s="13" t="s">
        <v>63</v>
      </c>
      <c r="F49" s="13" t="s">
        <v>64</v>
      </c>
      <c r="G49" s="13" t="s">
        <v>25</v>
      </c>
      <c r="H49" s="13" t="s">
        <v>26</v>
      </c>
      <c r="I49" t="s">
        <v>42</v>
      </c>
      <c r="J49" s="13" t="s">
        <v>43</v>
      </c>
      <c r="K49" s="13" t="s">
        <v>29</v>
      </c>
      <c r="L49" s="13" t="s">
        <v>30</v>
      </c>
      <c r="M49" t="s">
        <v>31</v>
      </c>
      <c r="N49">
        <v>865</v>
      </c>
      <c r="O49" s="14">
        <v>3.6607014015316998E-2</v>
      </c>
      <c r="P49" s="14">
        <v>0.790102193132043</v>
      </c>
      <c r="Q49" t="str">
        <f t="shared" si="0"/>
        <v>35-49</v>
      </c>
      <c r="R49" t="str">
        <f t="shared" si="1"/>
        <v>[kxuuIFpOXyO]|35-49|Female|TX_CURR_SUBNAT.R|CY2022Q4</v>
      </c>
    </row>
    <row r="50" spans="1:18" x14ac:dyDescent="0.2">
      <c r="A50" s="8"/>
      <c r="B50" s="8"/>
      <c r="C50" s="8"/>
      <c r="D50" s="13" t="s">
        <v>62</v>
      </c>
      <c r="E50" s="13" t="s">
        <v>63</v>
      </c>
      <c r="F50" s="13" t="s">
        <v>64</v>
      </c>
      <c r="G50" s="13" t="s">
        <v>25</v>
      </c>
      <c r="H50" s="13" t="s">
        <v>26</v>
      </c>
      <c r="I50" t="s">
        <v>44</v>
      </c>
      <c r="J50" s="13" t="s">
        <v>45</v>
      </c>
      <c r="K50" s="13" t="s">
        <v>29</v>
      </c>
      <c r="L50" s="13" t="s">
        <v>30</v>
      </c>
      <c r="M50" t="s">
        <v>31</v>
      </c>
      <c r="N50">
        <v>1425</v>
      </c>
      <c r="O50" s="14">
        <v>0.68102718121372197</v>
      </c>
      <c r="P50" s="14">
        <v>0.790102193132043</v>
      </c>
      <c r="Q50" t="str">
        <f t="shared" si="0"/>
        <v>50+</v>
      </c>
      <c r="R50" t="str">
        <f t="shared" si="1"/>
        <v>[kxuuIFpOXyO]|50+|Female|TX_CURR_SUBNAT.R|CY2022Q4</v>
      </c>
    </row>
    <row r="51" spans="1:18" x14ac:dyDescent="0.2">
      <c r="A51" s="8"/>
      <c r="B51" s="8"/>
      <c r="C51" s="8"/>
      <c r="D51" s="13" t="s">
        <v>62</v>
      </c>
      <c r="E51" s="13" t="s">
        <v>63</v>
      </c>
      <c r="F51" s="13" t="s">
        <v>64</v>
      </c>
      <c r="G51" s="13" t="s">
        <v>25</v>
      </c>
      <c r="H51" s="13" t="s">
        <v>26</v>
      </c>
      <c r="I51" t="s">
        <v>27</v>
      </c>
      <c r="J51" s="13" t="s">
        <v>28</v>
      </c>
      <c r="K51" s="13" t="s">
        <v>47</v>
      </c>
      <c r="L51" s="13" t="s">
        <v>48</v>
      </c>
      <c r="M51" t="s">
        <v>31</v>
      </c>
      <c r="N51">
        <v>1123</v>
      </c>
      <c r="O51" s="14">
        <v>0.223802770022303</v>
      </c>
      <c r="P51" s="14">
        <v>0.790102193132043</v>
      </c>
      <c r="Q51" t="str">
        <f t="shared" si="0"/>
        <v>&lt;01</v>
      </c>
      <c r="R51" t="str">
        <f t="shared" si="1"/>
        <v>[kxuuIFpOXyO]|&lt;01|Male|TX_CURR_SUBNAT.R|CY2022Q4</v>
      </c>
    </row>
    <row r="52" spans="1:18" x14ac:dyDescent="0.2">
      <c r="A52" s="8"/>
      <c r="B52" s="8"/>
      <c r="C52" s="8"/>
      <c r="D52" s="13" t="s">
        <v>62</v>
      </c>
      <c r="E52" s="13" t="s">
        <v>63</v>
      </c>
      <c r="F52" s="13" t="s">
        <v>64</v>
      </c>
      <c r="G52" s="13" t="s">
        <v>25</v>
      </c>
      <c r="H52" s="13" t="s">
        <v>26</v>
      </c>
      <c r="I52" t="s">
        <v>32</v>
      </c>
      <c r="J52" s="13" t="s">
        <v>33</v>
      </c>
      <c r="K52" s="13" t="s">
        <v>47</v>
      </c>
      <c r="L52" s="13" t="s">
        <v>48</v>
      </c>
      <c r="M52" t="s">
        <v>31</v>
      </c>
      <c r="N52">
        <v>1340</v>
      </c>
      <c r="O52" s="14">
        <v>0.15579160163179001</v>
      </c>
      <c r="P52" s="14">
        <v>0.790102193132043</v>
      </c>
      <c r="Q52" t="str">
        <f t="shared" si="0"/>
        <v>01-09</v>
      </c>
      <c r="R52" t="str">
        <f t="shared" si="1"/>
        <v>[kxuuIFpOXyO]|01-09|Male|TX_CURR_SUBNAT.R|CY2022Q4</v>
      </c>
    </row>
    <row r="53" spans="1:18" x14ac:dyDescent="0.2">
      <c r="A53" s="8"/>
      <c r="B53" s="8"/>
      <c r="C53" s="8"/>
      <c r="D53" s="13" t="s">
        <v>62</v>
      </c>
      <c r="E53" s="13" t="s">
        <v>63</v>
      </c>
      <c r="F53" s="13" t="s">
        <v>64</v>
      </c>
      <c r="G53" s="13" t="s">
        <v>25</v>
      </c>
      <c r="H53" s="13" t="s">
        <v>26</v>
      </c>
      <c r="I53" t="s">
        <v>35</v>
      </c>
      <c r="J53" s="13" t="s">
        <v>36</v>
      </c>
      <c r="K53" s="13" t="s">
        <v>47</v>
      </c>
      <c r="L53" s="13" t="s">
        <v>48</v>
      </c>
      <c r="M53" t="s">
        <v>31</v>
      </c>
      <c r="N53">
        <v>1116</v>
      </c>
      <c r="O53" s="14">
        <v>0.95521477842703495</v>
      </c>
      <c r="P53" s="14">
        <v>0.790102193132043</v>
      </c>
      <c r="Q53" t="str">
        <f t="shared" si="0"/>
        <v>10-14</v>
      </c>
      <c r="R53" t="str">
        <f t="shared" si="1"/>
        <v>[kxuuIFpOXyO]|10-14|Male|TX_CURR_SUBNAT.R|CY2022Q4</v>
      </c>
    </row>
    <row r="54" spans="1:18" x14ac:dyDescent="0.2">
      <c r="A54" s="8"/>
      <c r="B54" s="8"/>
      <c r="C54" s="8"/>
      <c r="D54" s="13" t="s">
        <v>62</v>
      </c>
      <c r="E54" s="13" t="s">
        <v>63</v>
      </c>
      <c r="F54" s="13" t="s">
        <v>64</v>
      </c>
      <c r="G54" s="13" t="s">
        <v>25</v>
      </c>
      <c r="H54" s="13" t="s">
        <v>26</v>
      </c>
      <c r="I54" t="s">
        <v>37</v>
      </c>
      <c r="J54" s="13" t="s">
        <v>38</v>
      </c>
      <c r="K54" s="13" t="s">
        <v>47</v>
      </c>
      <c r="L54" s="13" t="s">
        <v>48</v>
      </c>
      <c r="M54" t="s">
        <v>31</v>
      </c>
      <c r="N54">
        <v>726</v>
      </c>
      <c r="O54" s="14">
        <v>0.30050384486094101</v>
      </c>
      <c r="P54" s="14">
        <v>0.790102193132043</v>
      </c>
      <c r="Q54" t="str">
        <f t="shared" si="0"/>
        <v>15-24</v>
      </c>
      <c r="R54" t="str">
        <f t="shared" si="1"/>
        <v>[kxuuIFpOXyO]|15-24|Male|TX_CURR_SUBNAT.R|CY2022Q4</v>
      </c>
    </row>
    <row r="55" spans="1:18" x14ac:dyDescent="0.2">
      <c r="A55" s="8"/>
      <c r="B55" s="8"/>
      <c r="C55" s="8"/>
      <c r="D55" s="13" t="s">
        <v>62</v>
      </c>
      <c r="E55" s="13" t="s">
        <v>63</v>
      </c>
      <c r="F55" s="13" t="s">
        <v>64</v>
      </c>
      <c r="G55" s="13" t="s">
        <v>25</v>
      </c>
      <c r="H55" s="13" t="s">
        <v>26</v>
      </c>
      <c r="I55" t="s">
        <v>40</v>
      </c>
      <c r="J55" s="13" t="s">
        <v>41</v>
      </c>
      <c r="K55" s="13" t="s">
        <v>47</v>
      </c>
      <c r="L55" s="13" t="s">
        <v>48</v>
      </c>
      <c r="M55" t="s">
        <v>31</v>
      </c>
      <c r="N55">
        <v>963</v>
      </c>
      <c r="O55" s="14">
        <v>0.99035434052348104</v>
      </c>
      <c r="P55" s="14">
        <v>0.790102193132043</v>
      </c>
      <c r="Q55" t="str">
        <f t="shared" si="0"/>
        <v>25-34</v>
      </c>
      <c r="R55" t="str">
        <f t="shared" si="1"/>
        <v>[kxuuIFpOXyO]|25-34|Male|TX_CURR_SUBNAT.R|CY2022Q4</v>
      </c>
    </row>
    <row r="56" spans="1:18" x14ac:dyDescent="0.2">
      <c r="A56" s="8"/>
      <c r="B56" s="8"/>
      <c r="C56" s="8"/>
      <c r="D56" s="13" t="s">
        <v>62</v>
      </c>
      <c r="E56" s="13" t="s">
        <v>63</v>
      </c>
      <c r="F56" s="13" t="s">
        <v>64</v>
      </c>
      <c r="G56" s="13" t="s">
        <v>25</v>
      </c>
      <c r="H56" s="13" t="s">
        <v>26</v>
      </c>
      <c r="I56" t="s">
        <v>42</v>
      </c>
      <c r="J56" s="13" t="s">
        <v>43</v>
      </c>
      <c r="K56" s="13" t="s">
        <v>47</v>
      </c>
      <c r="L56" s="13" t="s">
        <v>48</v>
      </c>
      <c r="M56" t="s">
        <v>31</v>
      </c>
      <c r="N56">
        <v>1101</v>
      </c>
      <c r="O56" s="14">
        <v>0.15199180576019</v>
      </c>
      <c r="P56" s="14">
        <v>0.790102193132043</v>
      </c>
      <c r="Q56" t="str">
        <f t="shared" si="0"/>
        <v>35-49</v>
      </c>
      <c r="R56" t="str">
        <f t="shared" si="1"/>
        <v>[kxuuIFpOXyO]|35-49|Male|TX_CURR_SUBNAT.R|CY2022Q4</v>
      </c>
    </row>
    <row r="57" spans="1:18" x14ac:dyDescent="0.2">
      <c r="A57" s="8"/>
      <c r="B57" s="8"/>
      <c r="C57" s="8"/>
      <c r="D57" s="13" t="s">
        <v>62</v>
      </c>
      <c r="E57" s="13" t="s">
        <v>63</v>
      </c>
      <c r="F57" s="13" t="s">
        <v>64</v>
      </c>
      <c r="G57" s="13" t="s">
        <v>25</v>
      </c>
      <c r="H57" s="13" t="s">
        <v>26</v>
      </c>
      <c r="I57" t="s">
        <v>44</v>
      </c>
      <c r="J57" s="13" t="s">
        <v>45</v>
      </c>
      <c r="K57" s="13" t="s">
        <v>47</v>
      </c>
      <c r="L57" s="13" t="s">
        <v>48</v>
      </c>
      <c r="M57" t="s">
        <v>31</v>
      </c>
      <c r="N57">
        <v>1984</v>
      </c>
      <c r="O57" s="14">
        <v>0.53565016295760903</v>
      </c>
      <c r="P57" s="14">
        <v>0.790102193132043</v>
      </c>
      <c r="Q57" t="str">
        <f t="shared" si="0"/>
        <v>50+</v>
      </c>
      <c r="R57" t="str">
        <f t="shared" si="1"/>
        <v>[kxuuIFpOXyO]|50+|Male|TX_CURR_SUBNAT.R|CY2022Q4</v>
      </c>
    </row>
    <row r="58" spans="1:18" x14ac:dyDescent="0.2">
      <c r="A58" s="8"/>
      <c r="B58" s="8"/>
      <c r="C58" s="8"/>
      <c r="D58" s="13" t="s">
        <v>65</v>
      </c>
      <c r="E58" s="13" t="s">
        <v>66</v>
      </c>
      <c r="F58" s="13" t="s">
        <v>67</v>
      </c>
      <c r="G58" s="13" t="s">
        <v>25</v>
      </c>
      <c r="H58" s="13" t="s">
        <v>26</v>
      </c>
      <c r="I58" t="s">
        <v>27</v>
      </c>
      <c r="J58" s="13" t="s">
        <v>28</v>
      </c>
      <c r="K58" s="13" t="s">
        <v>29</v>
      </c>
      <c r="L58" s="13" t="s">
        <v>30</v>
      </c>
      <c r="M58" t="s">
        <v>31</v>
      </c>
      <c r="N58">
        <v>1063</v>
      </c>
      <c r="O58" s="14">
        <v>0.108165616635233</v>
      </c>
      <c r="P58" s="14">
        <v>0.16460988437756899</v>
      </c>
      <c r="Q58" t="str">
        <f t="shared" si="0"/>
        <v>&lt;01</v>
      </c>
      <c r="R58" t="str">
        <f t="shared" si="1"/>
        <v>[ScR9iFKAasW]|&lt;01|Female|TX_CURR_SUBNAT.R|CY2022Q4</v>
      </c>
    </row>
    <row r="59" spans="1:18" x14ac:dyDescent="0.2">
      <c r="A59" s="8"/>
      <c r="B59" s="8"/>
      <c r="C59" s="8"/>
      <c r="D59" s="13" t="s">
        <v>65</v>
      </c>
      <c r="E59" s="13" t="s">
        <v>66</v>
      </c>
      <c r="F59" s="13" t="s">
        <v>67</v>
      </c>
      <c r="G59" s="13" t="s">
        <v>25</v>
      </c>
      <c r="H59" s="13" t="s">
        <v>26</v>
      </c>
      <c r="I59" t="s">
        <v>32</v>
      </c>
      <c r="J59" s="13" t="s">
        <v>33</v>
      </c>
      <c r="K59" s="13" t="s">
        <v>29</v>
      </c>
      <c r="L59" s="13" t="s">
        <v>30</v>
      </c>
      <c r="M59" t="s">
        <v>31</v>
      </c>
      <c r="N59">
        <v>597</v>
      </c>
      <c r="O59" s="14">
        <v>0.77442643209360496</v>
      </c>
      <c r="P59" s="14">
        <v>0.16460988437756899</v>
      </c>
      <c r="Q59" t="str">
        <f t="shared" si="0"/>
        <v>01-09</v>
      </c>
      <c r="R59" t="str">
        <f t="shared" si="1"/>
        <v>[ScR9iFKAasW]|01-09|Female|TX_CURR_SUBNAT.R|CY2022Q4</v>
      </c>
    </row>
    <row r="60" spans="1:18" x14ac:dyDescent="0.2">
      <c r="A60" s="8"/>
      <c r="B60" s="8"/>
      <c r="C60" s="8"/>
      <c r="D60" s="13" t="s">
        <v>65</v>
      </c>
      <c r="E60" s="13" t="s">
        <v>66</v>
      </c>
      <c r="F60" s="13" t="s">
        <v>67</v>
      </c>
      <c r="G60" s="13" t="s">
        <v>25</v>
      </c>
      <c r="H60" s="13" t="s">
        <v>26</v>
      </c>
      <c r="I60" t="s">
        <v>35</v>
      </c>
      <c r="J60" s="13" t="s">
        <v>36</v>
      </c>
      <c r="K60" s="13" t="s">
        <v>29</v>
      </c>
      <c r="L60" s="13" t="s">
        <v>30</v>
      </c>
      <c r="M60" t="s">
        <v>31</v>
      </c>
      <c r="N60">
        <v>1858</v>
      </c>
      <c r="O60" s="14">
        <v>8.1224358174949898E-2</v>
      </c>
      <c r="P60" s="14">
        <v>0.16460988437756899</v>
      </c>
      <c r="Q60" t="str">
        <f t="shared" si="0"/>
        <v>10-14</v>
      </c>
      <c r="R60" t="str">
        <f t="shared" si="1"/>
        <v>[ScR9iFKAasW]|10-14|Female|TX_CURR_SUBNAT.R|CY2022Q4</v>
      </c>
    </row>
    <row r="61" spans="1:18" x14ac:dyDescent="0.2">
      <c r="A61" s="8"/>
      <c r="B61" s="8"/>
      <c r="C61" s="8"/>
      <c r="D61" s="13" t="s">
        <v>65</v>
      </c>
      <c r="E61" s="13" t="s">
        <v>66</v>
      </c>
      <c r="F61" s="13" t="s">
        <v>67</v>
      </c>
      <c r="G61" s="13" t="s">
        <v>25</v>
      </c>
      <c r="H61" s="13" t="s">
        <v>26</v>
      </c>
      <c r="I61" t="s">
        <v>37</v>
      </c>
      <c r="J61" s="13" t="s">
        <v>38</v>
      </c>
      <c r="K61" s="13" t="s">
        <v>29</v>
      </c>
      <c r="L61" s="13" t="s">
        <v>30</v>
      </c>
      <c r="M61" t="s">
        <v>31</v>
      </c>
      <c r="N61">
        <v>1073</v>
      </c>
      <c r="O61" s="14">
        <v>1.1767574585974201E-2</v>
      </c>
      <c r="P61" s="14">
        <v>0.16460988437756899</v>
      </c>
      <c r="Q61" t="str">
        <f t="shared" si="0"/>
        <v>15-24</v>
      </c>
      <c r="R61" t="str">
        <f t="shared" si="1"/>
        <v>[ScR9iFKAasW]|15-24|Female|TX_CURR_SUBNAT.R|CY2022Q4</v>
      </c>
    </row>
    <row r="62" spans="1:18" x14ac:dyDescent="0.2">
      <c r="A62" s="8"/>
      <c r="B62" s="8"/>
      <c r="C62" s="8"/>
      <c r="D62" s="13" t="s">
        <v>65</v>
      </c>
      <c r="E62" s="13" t="s">
        <v>66</v>
      </c>
      <c r="F62" s="13" t="s">
        <v>67</v>
      </c>
      <c r="G62" s="13" t="s">
        <v>25</v>
      </c>
      <c r="H62" s="13" t="s">
        <v>26</v>
      </c>
      <c r="I62" t="s">
        <v>40</v>
      </c>
      <c r="J62" s="13" t="s">
        <v>41</v>
      </c>
      <c r="K62" s="13" t="s">
        <v>29</v>
      </c>
      <c r="L62" s="13" t="s">
        <v>30</v>
      </c>
      <c r="M62" t="s">
        <v>31</v>
      </c>
      <c r="N62">
        <v>688</v>
      </c>
      <c r="O62" s="14">
        <v>0.62224872992374003</v>
      </c>
      <c r="P62" s="14">
        <v>0.16460988437756899</v>
      </c>
      <c r="Q62" t="str">
        <f t="shared" si="0"/>
        <v>25-34</v>
      </c>
      <c r="R62" t="str">
        <f t="shared" si="1"/>
        <v>[ScR9iFKAasW]|25-34|Female|TX_CURR_SUBNAT.R|CY2022Q4</v>
      </c>
    </row>
    <row r="63" spans="1:18" x14ac:dyDescent="0.2">
      <c r="A63" s="8"/>
      <c r="B63" s="8"/>
      <c r="C63" s="8"/>
      <c r="D63" s="13" t="s">
        <v>65</v>
      </c>
      <c r="E63" s="13" t="s">
        <v>66</v>
      </c>
      <c r="F63" s="13" t="s">
        <v>67</v>
      </c>
      <c r="G63" s="13" t="s">
        <v>25</v>
      </c>
      <c r="H63" s="13" t="s">
        <v>26</v>
      </c>
      <c r="I63" t="s">
        <v>42</v>
      </c>
      <c r="J63" s="13" t="s">
        <v>43</v>
      </c>
      <c r="K63" s="13" t="s">
        <v>29</v>
      </c>
      <c r="L63" s="13" t="s">
        <v>30</v>
      </c>
      <c r="M63" t="s">
        <v>31</v>
      </c>
      <c r="N63">
        <v>831</v>
      </c>
      <c r="O63" s="14">
        <v>8.1122166244313093E-2</v>
      </c>
      <c r="P63" s="14">
        <v>0.16460988437756899</v>
      </c>
      <c r="Q63" t="str">
        <f t="shared" si="0"/>
        <v>35-49</v>
      </c>
      <c r="R63" t="str">
        <f t="shared" si="1"/>
        <v>[ScR9iFKAasW]|35-49|Female|TX_CURR_SUBNAT.R|CY2022Q4</v>
      </c>
    </row>
    <row r="64" spans="1:18" x14ac:dyDescent="0.2">
      <c r="A64" s="8"/>
      <c r="B64" s="8"/>
      <c r="C64" s="8"/>
      <c r="D64" s="13" t="s">
        <v>65</v>
      </c>
      <c r="E64" s="13" t="s">
        <v>66</v>
      </c>
      <c r="F64" s="13" t="s">
        <v>67</v>
      </c>
      <c r="G64" s="13" t="s">
        <v>25</v>
      </c>
      <c r="H64" s="13" t="s">
        <v>26</v>
      </c>
      <c r="I64" t="s">
        <v>44</v>
      </c>
      <c r="J64" s="13" t="s">
        <v>45</v>
      </c>
      <c r="K64" s="13" t="s">
        <v>29</v>
      </c>
      <c r="L64" s="13" t="s">
        <v>30</v>
      </c>
      <c r="M64" t="s">
        <v>31</v>
      </c>
      <c r="N64">
        <v>523</v>
      </c>
      <c r="O64" s="14">
        <v>0.12475152220577</v>
      </c>
      <c r="P64" s="14">
        <v>0.16460988437756899</v>
      </c>
      <c r="Q64" t="str">
        <f t="shared" si="0"/>
        <v>50+</v>
      </c>
      <c r="R64" t="str">
        <f t="shared" si="1"/>
        <v>[ScR9iFKAasW]|50+|Female|TX_CURR_SUBNAT.R|CY2022Q4</v>
      </c>
    </row>
    <row r="65" spans="1:18" x14ac:dyDescent="0.2">
      <c r="A65" s="8"/>
      <c r="B65" s="8"/>
      <c r="C65" s="8"/>
      <c r="D65" s="13" t="s">
        <v>65</v>
      </c>
      <c r="E65" s="13" t="s">
        <v>66</v>
      </c>
      <c r="F65" s="13" t="s">
        <v>67</v>
      </c>
      <c r="G65" s="13" t="s">
        <v>25</v>
      </c>
      <c r="H65" s="13" t="s">
        <v>26</v>
      </c>
      <c r="I65" t="s">
        <v>27</v>
      </c>
      <c r="J65" s="13" t="s">
        <v>28</v>
      </c>
      <c r="K65" s="13" t="s">
        <v>47</v>
      </c>
      <c r="L65" s="13" t="s">
        <v>48</v>
      </c>
      <c r="M65" t="s">
        <v>31</v>
      </c>
      <c r="N65">
        <v>760</v>
      </c>
      <c r="O65" s="14">
        <v>0.38497388432733698</v>
      </c>
      <c r="P65" s="14">
        <v>0.16460988437756899</v>
      </c>
      <c r="Q65" t="str">
        <f t="shared" si="0"/>
        <v>&lt;01</v>
      </c>
      <c r="R65" t="str">
        <f t="shared" si="1"/>
        <v>[ScR9iFKAasW]|&lt;01|Male|TX_CURR_SUBNAT.R|CY2022Q4</v>
      </c>
    </row>
    <row r="66" spans="1:18" x14ac:dyDescent="0.2">
      <c r="A66" s="8"/>
      <c r="B66" s="8"/>
      <c r="C66" s="8"/>
      <c r="D66" s="13" t="s">
        <v>65</v>
      </c>
      <c r="E66" s="13" t="s">
        <v>66</v>
      </c>
      <c r="F66" s="13" t="s">
        <v>67</v>
      </c>
      <c r="G66" s="13" t="s">
        <v>25</v>
      </c>
      <c r="H66" s="13" t="s">
        <v>26</v>
      </c>
      <c r="I66" t="s">
        <v>32</v>
      </c>
      <c r="J66" s="13" t="s">
        <v>33</v>
      </c>
      <c r="K66" s="13" t="s">
        <v>47</v>
      </c>
      <c r="L66" s="13" t="s">
        <v>48</v>
      </c>
      <c r="M66" t="s">
        <v>31</v>
      </c>
      <c r="N66">
        <v>560</v>
      </c>
      <c r="O66" s="14">
        <v>0.27129556005820599</v>
      </c>
      <c r="P66" s="14">
        <v>0.16460988437756899</v>
      </c>
      <c r="Q66" t="str">
        <f t="shared" ref="Q66:Q129" si="2">SUBSTITUTE(SUBSTITUTE($I66,CHAR(61),""),CHAR(34),"")</f>
        <v>01-09</v>
      </c>
      <c r="R66" t="str">
        <f t="shared" ref="R66:R129" si="3">IF($D66&lt;&gt;"","["&amp;$E66&amp;"]"&amp;"|"&amp;$Q66&amp;"|"&amp;$K66&amp;"|"&amp;$G66&amp;"|"&amp;IF($G66="TX_CURR_SUBNAT.R","CY2022Q4",$M66),"")</f>
        <v>[ScR9iFKAasW]|01-09|Male|TX_CURR_SUBNAT.R|CY2022Q4</v>
      </c>
    </row>
    <row r="67" spans="1:18" x14ac:dyDescent="0.2">
      <c r="A67" s="8"/>
      <c r="B67" s="8"/>
      <c r="C67" s="8"/>
      <c r="D67" s="13" t="s">
        <v>65</v>
      </c>
      <c r="E67" s="13" t="s">
        <v>66</v>
      </c>
      <c r="F67" s="13" t="s">
        <v>67</v>
      </c>
      <c r="G67" s="13" t="s">
        <v>25</v>
      </c>
      <c r="H67" s="13" t="s">
        <v>26</v>
      </c>
      <c r="I67" t="s">
        <v>35</v>
      </c>
      <c r="J67" s="13" t="s">
        <v>36</v>
      </c>
      <c r="K67" s="13" t="s">
        <v>47</v>
      </c>
      <c r="L67" s="13" t="s">
        <v>48</v>
      </c>
      <c r="M67" t="s">
        <v>31</v>
      </c>
      <c r="N67">
        <v>1162</v>
      </c>
      <c r="O67" s="14">
        <v>0.51515548583120097</v>
      </c>
      <c r="P67" s="14">
        <v>0.16460988437756899</v>
      </c>
      <c r="Q67" t="str">
        <f t="shared" si="2"/>
        <v>10-14</v>
      </c>
      <c r="R67" t="str">
        <f t="shared" si="3"/>
        <v>[ScR9iFKAasW]|10-14|Male|TX_CURR_SUBNAT.R|CY2022Q4</v>
      </c>
    </row>
    <row r="68" spans="1:18" x14ac:dyDescent="0.2">
      <c r="A68" s="8"/>
      <c r="B68" s="8"/>
      <c r="C68" s="8"/>
      <c r="D68" s="13" t="s">
        <v>65</v>
      </c>
      <c r="E68" s="13" t="s">
        <v>66</v>
      </c>
      <c r="F68" s="13" t="s">
        <v>67</v>
      </c>
      <c r="G68" s="13" t="s">
        <v>25</v>
      </c>
      <c r="H68" s="13" t="s">
        <v>26</v>
      </c>
      <c r="I68" t="s">
        <v>37</v>
      </c>
      <c r="J68" s="13" t="s">
        <v>38</v>
      </c>
      <c r="K68" s="13" t="s">
        <v>47</v>
      </c>
      <c r="L68" s="13" t="s">
        <v>48</v>
      </c>
      <c r="M68" t="s">
        <v>31</v>
      </c>
      <c r="N68">
        <v>1629</v>
      </c>
      <c r="O68" s="14">
        <v>0.50087727815844096</v>
      </c>
      <c r="P68" s="14">
        <v>0.16460988437756899</v>
      </c>
      <c r="Q68" t="str">
        <f t="shared" si="2"/>
        <v>15-24</v>
      </c>
      <c r="R68" t="str">
        <f t="shared" si="3"/>
        <v>[ScR9iFKAasW]|15-24|Male|TX_CURR_SUBNAT.R|CY2022Q4</v>
      </c>
    </row>
    <row r="69" spans="1:18" x14ac:dyDescent="0.2">
      <c r="A69" s="8"/>
      <c r="B69" s="8"/>
      <c r="C69" s="8"/>
      <c r="D69" s="13" t="s">
        <v>65</v>
      </c>
      <c r="E69" s="13" t="s">
        <v>66</v>
      </c>
      <c r="F69" s="13" t="s">
        <v>67</v>
      </c>
      <c r="G69" s="13" t="s">
        <v>25</v>
      </c>
      <c r="H69" s="13" t="s">
        <v>26</v>
      </c>
      <c r="I69" t="s">
        <v>40</v>
      </c>
      <c r="J69" s="13" t="s">
        <v>41</v>
      </c>
      <c r="K69" s="13" t="s">
        <v>47</v>
      </c>
      <c r="L69" s="13" t="s">
        <v>48</v>
      </c>
      <c r="M69" t="s">
        <v>31</v>
      </c>
      <c r="N69">
        <v>1641</v>
      </c>
      <c r="O69" s="14">
        <v>0.47704380564391602</v>
      </c>
      <c r="P69" s="14">
        <v>0.16460988437756899</v>
      </c>
      <c r="Q69" t="str">
        <f t="shared" si="2"/>
        <v>25-34</v>
      </c>
      <c r="R69" t="str">
        <f t="shared" si="3"/>
        <v>[ScR9iFKAasW]|25-34|Male|TX_CURR_SUBNAT.R|CY2022Q4</v>
      </c>
    </row>
    <row r="70" spans="1:18" x14ac:dyDescent="0.2">
      <c r="A70" s="8"/>
      <c r="B70" s="8"/>
      <c r="C70" s="8"/>
      <c r="D70" s="13" t="s">
        <v>65</v>
      </c>
      <c r="E70" s="13" t="s">
        <v>66</v>
      </c>
      <c r="F70" s="13" t="s">
        <v>67</v>
      </c>
      <c r="G70" s="13" t="s">
        <v>25</v>
      </c>
      <c r="H70" s="13" t="s">
        <v>26</v>
      </c>
      <c r="I70" t="s">
        <v>42</v>
      </c>
      <c r="J70" s="13" t="s">
        <v>43</v>
      </c>
      <c r="K70" s="13" t="s">
        <v>47</v>
      </c>
      <c r="L70" s="13" t="s">
        <v>48</v>
      </c>
      <c r="M70" t="s">
        <v>31</v>
      </c>
      <c r="N70">
        <v>1714</v>
      </c>
      <c r="O70" s="14">
        <v>0.73180311196483705</v>
      </c>
      <c r="P70" s="14">
        <v>0.16460988437756899</v>
      </c>
      <c r="Q70" t="str">
        <f t="shared" si="2"/>
        <v>35-49</v>
      </c>
      <c r="R70" t="str">
        <f t="shared" si="3"/>
        <v>[ScR9iFKAasW]|35-49|Male|TX_CURR_SUBNAT.R|CY2022Q4</v>
      </c>
    </row>
    <row r="71" spans="1:18" x14ac:dyDescent="0.2">
      <c r="A71" s="8"/>
      <c r="B71" s="8"/>
      <c r="C71" s="8"/>
      <c r="D71" s="13" t="s">
        <v>65</v>
      </c>
      <c r="E71" s="13" t="s">
        <v>66</v>
      </c>
      <c r="F71" s="13" t="s">
        <v>67</v>
      </c>
      <c r="G71" s="13" t="s">
        <v>25</v>
      </c>
      <c r="H71" s="13" t="s">
        <v>26</v>
      </c>
      <c r="I71" t="s">
        <v>44</v>
      </c>
      <c r="J71" s="13" t="s">
        <v>45</v>
      </c>
      <c r="K71" s="13" t="s">
        <v>47</v>
      </c>
      <c r="L71" s="13" t="s">
        <v>48</v>
      </c>
      <c r="M71" t="s">
        <v>31</v>
      </c>
      <c r="N71">
        <v>548</v>
      </c>
      <c r="O71" s="14">
        <v>5.8833169983699897E-2</v>
      </c>
      <c r="P71" s="14">
        <v>0.16460988437756899</v>
      </c>
      <c r="Q71" t="str">
        <f t="shared" si="2"/>
        <v>50+</v>
      </c>
      <c r="R71" t="str">
        <f t="shared" si="3"/>
        <v>[ScR9iFKAasW]|50+|Male|TX_CURR_SUBNAT.R|CY2022Q4</v>
      </c>
    </row>
    <row r="72" spans="1:18" x14ac:dyDescent="0.2">
      <c r="A72" s="8"/>
      <c r="B72" s="8"/>
      <c r="C72" s="8"/>
      <c r="D72" s="13" t="s">
        <v>68</v>
      </c>
      <c r="E72" s="13" t="s">
        <v>69</v>
      </c>
      <c r="F72" s="13" t="s">
        <v>70</v>
      </c>
      <c r="G72" s="13" t="s">
        <v>25</v>
      </c>
      <c r="H72" s="13" t="s">
        <v>26</v>
      </c>
      <c r="I72" t="s">
        <v>27</v>
      </c>
      <c r="J72" s="13" t="s">
        <v>28</v>
      </c>
      <c r="K72" s="13" t="s">
        <v>29</v>
      </c>
      <c r="L72" s="13" t="s">
        <v>30</v>
      </c>
      <c r="M72" t="s">
        <v>31</v>
      </c>
      <c r="N72">
        <v>769</v>
      </c>
      <c r="O72" s="14">
        <v>0.91626802040263999</v>
      </c>
      <c r="P72" s="14">
        <v>0.19881726312451101</v>
      </c>
      <c r="Q72" t="str">
        <f t="shared" si="2"/>
        <v>&lt;01</v>
      </c>
      <c r="R72" t="str">
        <f t="shared" si="3"/>
        <v>[PekKUkKHAzY]|&lt;01|Female|TX_CURR_SUBNAT.R|CY2022Q4</v>
      </c>
    </row>
    <row r="73" spans="1:18" x14ac:dyDescent="0.2">
      <c r="A73" s="8"/>
      <c r="B73" s="8"/>
      <c r="C73" s="8"/>
      <c r="D73" s="13" t="s">
        <v>68</v>
      </c>
      <c r="E73" s="13" t="s">
        <v>69</v>
      </c>
      <c r="F73" s="13" t="s">
        <v>70</v>
      </c>
      <c r="G73" s="13" t="s">
        <v>25</v>
      </c>
      <c r="H73" s="13" t="s">
        <v>26</v>
      </c>
      <c r="I73" t="s">
        <v>32</v>
      </c>
      <c r="J73" s="13" t="s">
        <v>33</v>
      </c>
      <c r="K73" s="13" t="s">
        <v>29</v>
      </c>
      <c r="L73" s="13" t="s">
        <v>30</v>
      </c>
      <c r="M73" t="s">
        <v>31</v>
      </c>
      <c r="N73">
        <v>1452</v>
      </c>
      <c r="O73" s="14">
        <v>0.38719488121569201</v>
      </c>
      <c r="P73" s="14">
        <v>0.19881726312451101</v>
      </c>
      <c r="Q73" t="str">
        <f t="shared" si="2"/>
        <v>01-09</v>
      </c>
      <c r="R73" t="str">
        <f t="shared" si="3"/>
        <v>[PekKUkKHAzY]|01-09|Female|TX_CURR_SUBNAT.R|CY2022Q4</v>
      </c>
    </row>
    <row r="74" spans="1:18" x14ac:dyDescent="0.2">
      <c r="A74" s="8"/>
      <c r="B74" s="8"/>
      <c r="C74" s="8"/>
      <c r="D74" s="13" t="s">
        <v>68</v>
      </c>
      <c r="E74" s="13" t="s">
        <v>69</v>
      </c>
      <c r="F74" s="13" t="s">
        <v>70</v>
      </c>
      <c r="G74" s="13" t="s">
        <v>25</v>
      </c>
      <c r="H74" s="13" t="s">
        <v>26</v>
      </c>
      <c r="I74" t="s">
        <v>35</v>
      </c>
      <c r="J74" s="13" t="s">
        <v>36</v>
      </c>
      <c r="K74" s="13" t="s">
        <v>29</v>
      </c>
      <c r="L74" s="13" t="s">
        <v>30</v>
      </c>
      <c r="M74" t="s">
        <v>31</v>
      </c>
      <c r="N74">
        <v>1462</v>
      </c>
      <c r="O74" s="14">
        <v>0.86505063367076196</v>
      </c>
      <c r="P74" s="14">
        <v>0.19881726312451101</v>
      </c>
      <c r="Q74" t="str">
        <f t="shared" si="2"/>
        <v>10-14</v>
      </c>
      <c r="R74" t="str">
        <f t="shared" si="3"/>
        <v>[PekKUkKHAzY]|10-14|Female|TX_CURR_SUBNAT.R|CY2022Q4</v>
      </c>
    </row>
    <row r="75" spans="1:18" x14ac:dyDescent="0.2">
      <c r="A75" s="8"/>
      <c r="B75" s="8"/>
      <c r="C75" s="8"/>
      <c r="D75" s="13" t="s">
        <v>68</v>
      </c>
      <c r="E75" s="13" t="s">
        <v>69</v>
      </c>
      <c r="F75" s="13" t="s">
        <v>70</v>
      </c>
      <c r="G75" s="13" t="s">
        <v>25</v>
      </c>
      <c r="H75" s="13" t="s">
        <v>26</v>
      </c>
      <c r="I75" t="s">
        <v>37</v>
      </c>
      <c r="J75" s="13" t="s">
        <v>38</v>
      </c>
      <c r="K75" s="13" t="s">
        <v>29</v>
      </c>
      <c r="L75" s="13" t="s">
        <v>30</v>
      </c>
      <c r="M75" t="s">
        <v>31</v>
      </c>
      <c r="N75">
        <v>584</v>
      </c>
      <c r="O75" s="14">
        <v>0.56777026737108804</v>
      </c>
      <c r="P75" s="14">
        <v>0.19881726312451101</v>
      </c>
      <c r="Q75" t="str">
        <f t="shared" si="2"/>
        <v>15-24</v>
      </c>
      <c r="R75" t="str">
        <f t="shared" si="3"/>
        <v>[PekKUkKHAzY]|15-24|Female|TX_CURR_SUBNAT.R|CY2022Q4</v>
      </c>
    </row>
    <row r="76" spans="1:18" x14ac:dyDescent="0.2">
      <c r="A76" s="8"/>
      <c r="B76" s="8"/>
      <c r="C76" s="8"/>
      <c r="D76" s="13" t="s">
        <v>68</v>
      </c>
      <c r="E76" s="13" t="s">
        <v>69</v>
      </c>
      <c r="F76" s="13" t="s">
        <v>70</v>
      </c>
      <c r="G76" s="13" t="s">
        <v>25</v>
      </c>
      <c r="H76" s="13" t="s">
        <v>26</v>
      </c>
      <c r="I76" t="s">
        <v>40</v>
      </c>
      <c r="J76" s="13" t="s">
        <v>41</v>
      </c>
      <c r="K76" s="13" t="s">
        <v>29</v>
      </c>
      <c r="L76" s="13" t="s">
        <v>30</v>
      </c>
      <c r="M76" t="s">
        <v>31</v>
      </c>
      <c r="N76">
        <v>1420</v>
      </c>
      <c r="O76" s="14">
        <v>0.54052018700167503</v>
      </c>
      <c r="P76" s="14">
        <v>0.19881726312451101</v>
      </c>
      <c r="Q76" t="str">
        <f t="shared" si="2"/>
        <v>25-34</v>
      </c>
      <c r="R76" t="str">
        <f t="shared" si="3"/>
        <v>[PekKUkKHAzY]|25-34|Female|TX_CURR_SUBNAT.R|CY2022Q4</v>
      </c>
    </row>
    <row r="77" spans="1:18" x14ac:dyDescent="0.2">
      <c r="A77" s="8"/>
      <c r="B77" s="8"/>
      <c r="C77" s="8"/>
      <c r="D77" s="13" t="s">
        <v>68</v>
      </c>
      <c r="E77" s="13" t="s">
        <v>69</v>
      </c>
      <c r="F77" s="13" t="s">
        <v>70</v>
      </c>
      <c r="G77" s="13" t="s">
        <v>25</v>
      </c>
      <c r="H77" s="13" t="s">
        <v>26</v>
      </c>
      <c r="I77" t="s">
        <v>42</v>
      </c>
      <c r="J77" s="13" t="s">
        <v>43</v>
      </c>
      <c r="K77" s="13" t="s">
        <v>29</v>
      </c>
      <c r="L77" s="13" t="s">
        <v>30</v>
      </c>
      <c r="M77" t="s">
        <v>31</v>
      </c>
      <c r="N77">
        <v>1596</v>
      </c>
      <c r="O77" s="14">
        <v>5.6185323046520401E-2</v>
      </c>
      <c r="P77" s="14">
        <v>0.19881726312451101</v>
      </c>
      <c r="Q77" t="str">
        <f t="shared" si="2"/>
        <v>35-49</v>
      </c>
      <c r="R77" t="str">
        <f t="shared" si="3"/>
        <v>[PekKUkKHAzY]|35-49|Female|TX_CURR_SUBNAT.R|CY2022Q4</v>
      </c>
    </row>
    <row r="78" spans="1:18" x14ac:dyDescent="0.2">
      <c r="A78" s="8"/>
      <c r="B78" s="8"/>
      <c r="C78" s="8"/>
      <c r="D78" s="13" t="s">
        <v>68</v>
      </c>
      <c r="E78" s="13" t="s">
        <v>69</v>
      </c>
      <c r="F78" s="13" t="s">
        <v>70</v>
      </c>
      <c r="G78" s="13" t="s">
        <v>25</v>
      </c>
      <c r="H78" s="13" t="s">
        <v>26</v>
      </c>
      <c r="I78" t="s">
        <v>44</v>
      </c>
      <c r="J78" s="13" t="s">
        <v>45</v>
      </c>
      <c r="K78" s="13" t="s">
        <v>29</v>
      </c>
      <c r="L78" s="13" t="s">
        <v>30</v>
      </c>
      <c r="M78" t="s">
        <v>31</v>
      </c>
      <c r="N78">
        <v>1170</v>
      </c>
      <c r="O78" s="14">
        <v>0.31380432751029702</v>
      </c>
      <c r="P78" s="14">
        <v>0.19881726312451101</v>
      </c>
      <c r="Q78" t="str">
        <f t="shared" si="2"/>
        <v>50+</v>
      </c>
      <c r="R78" t="str">
        <f t="shared" si="3"/>
        <v>[PekKUkKHAzY]|50+|Female|TX_CURR_SUBNAT.R|CY2022Q4</v>
      </c>
    </row>
    <row r="79" spans="1:18" x14ac:dyDescent="0.2">
      <c r="A79" s="8"/>
      <c r="B79" s="8"/>
      <c r="C79" s="8"/>
      <c r="D79" s="13" t="s">
        <v>68</v>
      </c>
      <c r="E79" s="13" t="s">
        <v>69</v>
      </c>
      <c r="F79" s="13" t="s">
        <v>70</v>
      </c>
      <c r="G79" s="13" t="s">
        <v>25</v>
      </c>
      <c r="H79" s="13" t="s">
        <v>26</v>
      </c>
      <c r="I79" t="s">
        <v>27</v>
      </c>
      <c r="J79" s="13" t="s">
        <v>28</v>
      </c>
      <c r="K79" s="13" t="s">
        <v>47</v>
      </c>
      <c r="L79" s="13" t="s">
        <v>48</v>
      </c>
      <c r="M79" t="s">
        <v>31</v>
      </c>
      <c r="N79">
        <v>553</v>
      </c>
      <c r="O79" s="14">
        <v>0.39689952111803001</v>
      </c>
      <c r="P79" s="14">
        <v>0.19881726312451101</v>
      </c>
      <c r="Q79" t="str">
        <f t="shared" si="2"/>
        <v>&lt;01</v>
      </c>
      <c r="R79" t="str">
        <f t="shared" si="3"/>
        <v>[PekKUkKHAzY]|&lt;01|Male|TX_CURR_SUBNAT.R|CY2022Q4</v>
      </c>
    </row>
    <row r="80" spans="1:18" x14ac:dyDescent="0.2">
      <c r="A80" s="8"/>
      <c r="B80" s="8"/>
      <c r="C80" s="8"/>
      <c r="D80" s="13" t="s">
        <v>68</v>
      </c>
      <c r="E80" s="13" t="s">
        <v>69</v>
      </c>
      <c r="F80" s="13" t="s">
        <v>70</v>
      </c>
      <c r="G80" s="13" t="s">
        <v>25</v>
      </c>
      <c r="H80" s="13" t="s">
        <v>26</v>
      </c>
      <c r="I80" t="s">
        <v>32</v>
      </c>
      <c r="J80" s="13" t="s">
        <v>33</v>
      </c>
      <c r="K80" s="13" t="s">
        <v>47</v>
      </c>
      <c r="L80" s="13" t="s">
        <v>48</v>
      </c>
      <c r="M80" t="s">
        <v>31</v>
      </c>
      <c r="N80">
        <v>1645</v>
      </c>
      <c r="O80" s="14">
        <v>3.28434910625219E-3</v>
      </c>
      <c r="P80" s="14">
        <v>0.19881726312451101</v>
      </c>
      <c r="Q80" t="str">
        <f t="shared" si="2"/>
        <v>01-09</v>
      </c>
      <c r="R80" t="str">
        <f t="shared" si="3"/>
        <v>[PekKUkKHAzY]|01-09|Male|TX_CURR_SUBNAT.R|CY2022Q4</v>
      </c>
    </row>
    <row r="81" spans="1:18" x14ac:dyDescent="0.2">
      <c r="A81" s="8"/>
      <c r="B81" s="8"/>
      <c r="C81" s="8"/>
      <c r="D81" s="13" t="s">
        <v>68</v>
      </c>
      <c r="E81" s="13" t="s">
        <v>69</v>
      </c>
      <c r="F81" s="13" t="s">
        <v>70</v>
      </c>
      <c r="G81" s="13" t="s">
        <v>25</v>
      </c>
      <c r="H81" s="13" t="s">
        <v>26</v>
      </c>
      <c r="I81" t="s">
        <v>35</v>
      </c>
      <c r="J81" s="13" t="s">
        <v>36</v>
      </c>
      <c r="K81" s="13" t="s">
        <v>47</v>
      </c>
      <c r="L81" s="13" t="s">
        <v>48</v>
      </c>
      <c r="M81" t="s">
        <v>31</v>
      </c>
      <c r="N81">
        <v>1031</v>
      </c>
      <c r="O81" s="14">
        <v>0.50051209400408003</v>
      </c>
      <c r="P81" s="14">
        <v>0.19881726312451101</v>
      </c>
      <c r="Q81" t="str">
        <f t="shared" si="2"/>
        <v>10-14</v>
      </c>
      <c r="R81" t="str">
        <f t="shared" si="3"/>
        <v>[PekKUkKHAzY]|10-14|Male|TX_CURR_SUBNAT.R|CY2022Q4</v>
      </c>
    </row>
    <row r="82" spans="1:18" x14ac:dyDescent="0.2">
      <c r="A82" s="8"/>
      <c r="B82" s="8"/>
      <c r="C82" s="8"/>
      <c r="D82" s="13" t="s">
        <v>68</v>
      </c>
      <c r="E82" s="13" t="s">
        <v>69</v>
      </c>
      <c r="F82" s="13" t="s">
        <v>70</v>
      </c>
      <c r="G82" s="13" t="s">
        <v>25</v>
      </c>
      <c r="H82" s="13" t="s">
        <v>26</v>
      </c>
      <c r="I82" t="s">
        <v>37</v>
      </c>
      <c r="J82" s="13" t="s">
        <v>38</v>
      </c>
      <c r="K82" s="13" t="s">
        <v>47</v>
      </c>
      <c r="L82" s="13" t="s">
        <v>48</v>
      </c>
      <c r="M82" t="s">
        <v>31</v>
      </c>
      <c r="N82">
        <v>1397</v>
      </c>
      <c r="O82" s="14">
        <v>0.15013839397579401</v>
      </c>
      <c r="P82" s="14">
        <v>0.19881726312451101</v>
      </c>
      <c r="Q82" t="str">
        <f t="shared" si="2"/>
        <v>15-24</v>
      </c>
      <c r="R82" t="str">
        <f t="shared" si="3"/>
        <v>[PekKUkKHAzY]|15-24|Male|TX_CURR_SUBNAT.R|CY2022Q4</v>
      </c>
    </row>
    <row r="83" spans="1:18" x14ac:dyDescent="0.2">
      <c r="A83" s="8"/>
      <c r="B83" s="8"/>
      <c r="C83" s="8"/>
      <c r="D83" s="13" t="s">
        <v>68</v>
      </c>
      <c r="E83" s="13" t="s">
        <v>69</v>
      </c>
      <c r="F83" s="13" t="s">
        <v>70</v>
      </c>
      <c r="G83" s="13" t="s">
        <v>25</v>
      </c>
      <c r="H83" s="13" t="s">
        <v>26</v>
      </c>
      <c r="I83" t="s">
        <v>40</v>
      </c>
      <c r="J83" s="13" t="s">
        <v>41</v>
      </c>
      <c r="K83" s="13" t="s">
        <v>47</v>
      </c>
      <c r="L83" s="13" t="s">
        <v>48</v>
      </c>
      <c r="M83" t="s">
        <v>31</v>
      </c>
      <c r="N83">
        <v>1561</v>
      </c>
      <c r="O83" s="14">
        <v>0.99630198860540997</v>
      </c>
      <c r="P83" s="14">
        <v>0.19881726312451101</v>
      </c>
      <c r="Q83" t="str">
        <f t="shared" si="2"/>
        <v>25-34</v>
      </c>
      <c r="R83" t="str">
        <f t="shared" si="3"/>
        <v>[PekKUkKHAzY]|25-34|Male|TX_CURR_SUBNAT.R|CY2022Q4</v>
      </c>
    </row>
    <row r="84" spans="1:18" x14ac:dyDescent="0.2">
      <c r="A84" s="8"/>
      <c r="B84" s="8"/>
      <c r="C84" s="8"/>
      <c r="D84" s="13" t="s">
        <v>68</v>
      </c>
      <c r="E84" s="13" t="s">
        <v>69</v>
      </c>
      <c r="F84" s="13" t="s">
        <v>70</v>
      </c>
      <c r="G84" s="13" t="s">
        <v>25</v>
      </c>
      <c r="H84" s="13" t="s">
        <v>26</v>
      </c>
      <c r="I84" t="s">
        <v>42</v>
      </c>
      <c r="J84" s="13" t="s">
        <v>43</v>
      </c>
      <c r="K84" s="13" t="s">
        <v>47</v>
      </c>
      <c r="L84" s="13" t="s">
        <v>48</v>
      </c>
      <c r="M84" t="s">
        <v>31</v>
      </c>
      <c r="N84">
        <v>672</v>
      </c>
      <c r="O84" s="14">
        <v>0.792442484525964</v>
      </c>
      <c r="P84" s="14">
        <v>0.19881726312451101</v>
      </c>
      <c r="Q84" t="str">
        <f t="shared" si="2"/>
        <v>35-49</v>
      </c>
      <c r="R84" t="str">
        <f t="shared" si="3"/>
        <v>[PekKUkKHAzY]|35-49|Male|TX_CURR_SUBNAT.R|CY2022Q4</v>
      </c>
    </row>
    <row r="85" spans="1:18" x14ac:dyDescent="0.2">
      <c r="A85" s="8"/>
      <c r="B85" s="8"/>
      <c r="C85" s="8"/>
      <c r="D85" s="13" t="s">
        <v>68</v>
      </c>
      <c r="E85" s="13" t="s">
        <v>69</v>
      </c>
      <c r="F85" s="13" t="s">
        <v>70</v>
      </c>
      <c r="G85" s="13" t="s">
        <v>25</v>
      </c>
      <c r="H85" s="13" t="s">
        <v>26</v>
      </c>
      <c r="I85" t="s">
        <v>44</v>
      </c>
      <c r="J85" s="13" t="s">
        <v>45</v>
      </c>
      <c r="K85" s="13" t="s">
        <v>47</v>
      </c>
      <c r="L85" s="13" t="s">
        <v>48</v>
      </c>
      <c r="M85" t="s">
        <v>31</v>
      </c>
      <c r="N85">
        <v>540</v>
      </c>
      <c r="O85" s="14">
        <v>0.66451110388152301</v>
      </c>
      <c r="P85" s="14">
        <v>0.19881726312451101</v>
      </c>
      <c r="Q85" t="str">
        <f t="shared" si="2"/>
        <v>50+</v>
      </c>
      <c r="R85" t="str">
        <f t="shared" si="3"/>
        <v>[PekKUkKHAzY]|50+|Male|TX_CURR_SUBNAT.R|CY2022Q4</v>
      </c>
    </row>
    <row r="86" spans="1:18" x14ac:dyDescent="0.2">
      <c r="A86" s="8"/>
      <c r="B86" s="8"/>
      <c r="C86" s="8"/>
      <c r="D86" s="13" t="s">
        <v>71</v>
      </c>
      <c r="E86" s="13" t="s">
        <v>72</v>
      </c>
      <c r="F86" s="13" t="s">
        <v>73</v>
      </c>
      <c r="G86" s="13" t="s">
        <v>25</v>
      </c>
      <c r="H86" s="13" t="s">
        <v>26</v>
      </c>
      <c r="I86" t="s">
        <v>27</v>
      </c>
      <c r="J86" s="13" t="s">
        <v>28</v>
      </c>
      <c r="K86" s="13" t="s">
        <v>29</v>
      </c>
      <c r="L86" s="13" t="s">
        <v>30</v>
      </c>
      <c r="M86" t="s">
        <v>31</v>
      </c>
      <c r="N86">
        <v>1415</v>
      </c>
      <c r="O86" s="14">
        <v>0.45200649672187898</v>
      </c>
      <c r="P86" s="14">
        <v>0.28972870693542102</v>
      </c>
      <c r="Q86" t="str">
        <f t="shared" si="2"/>
        <v>&lt;01</v>
      </c>
      <c r="R86" t="str">
        <f t="shared" si="3"/>
        <v>[am530wpaGvr]|&lt;01|Female|TX_CURR_SUBNAT.R|CY2022Q4</v>
      </c>
    </row>
    <row r="87" spans="1:18" x14ac:dyDescent="0.2">
      <c r="A87" s="8"/>
      <c r="B87" s="8"/>
      <c r="C87" s="8"/>
      <c r="D87" s="13" t="s">
        <v>71</v>
      </c>
      <c r="E87" s="13" t="s">
        <v>72</v>
      </c>
      <c r="F87" s="13" t="s">
        <v>73</v>
      </c>
      <c r="G87" s="13" t="s">
        <v>25</v>
      </c>
      <c r="H87" s="13" t="s">
        <v>26</v>
      </c>
      <c r="I87" t="s">
        <v>32</v>
      </c>
      <c r="J87" s="13" t="s">
        <v>33</v>
      </c>
      <c r="K87" s="13" t="s">
        <v>29</v>
      </c>
      <c r="L87" s="13" t="s">
        <v>30</v>
      </c>
      <c r="M87" t="s">
        <v>31</v>
      </c>
      <c r="N87">
        <v>1681</v>
      </c>
      <c r="O87" s="14">
        <v>0.324086005799472</v>
      </c>
      <c r="P87" s="14">
        <v>0.28972870693542102</v>
      </c>
      <c r="Q87" t="str">
        <f t="shared" si="2"/>
        <v>01-09</v>
      </c>
      <c r="R87" t="str">
        <f t="shared" si="3"/>
        <v>[am530wpaGvr]|01-09|Female|TX_CURR_SUBNAT.R|CY2022Q4</v>
      </c>
    </row>
    <row r="88" spans="1:18" x14ac:dyDescent="0.2">
      <c r="A88" s="8"/>
      <c r="B88" s="8"/>
      <c r="C88" s="8"/>
      <c r="D88" s="13" t="s">
        <v>71</v>
      </c>
      <c r="E88" s="13" t="s">
        <v>72</v>
      </c>
      <c r="F88" s="13" t="s">
        <v>73</v>
      </c>
      <c r="G88" s="13" t="s">
        <v>25</v>
      </c>
      <c r="H88" s="13" t="s">
        <v>26</v>
      </c>
      <c r="I88" t="s">
        <v>35</v>
      </c>
      <c r="J88" s="13" t="s">
        <v>36</v>
      </c>
      <c r="K88" s="13" t="s">
        <v>29</v>
      </c>
      <c r="L88" s="13" t="s">
        <v>30</v>
      </c>
      <c r="M88" t="s">
        <v>31</v>
      </c>
      <c r="N88">
        <v>1015</v>
      </c>
      <c r="O88" s="14">
        <v>0.24448669725097699</v>
      </c>
      <c r="P88" s="14">
        <v>0.28972870693542102</v>
      </c>
      <c r="Q88" t="str">
        <f t="shared" si="2"/>
        <v>10-14</v>
      </c>
      <c r="R88" t="str">
        <f t="shared" si="3"/>
        <v>[am530wpaGvr]|10-14|Female|TX_CURR_SUBNAT.R|CY2022Q4</v>
      </c>
    </row>
    <row r="89" spans="1:18" x14ac:dyDescent="0.2">
      <c r="A89" s="8"/>
      <c r="B89" s="8"/>
      <c r="C89" s="8"/>
      <c r="D89" s="13" t="s">
        <v>71</v>
      </c>
      <c r="E89" s="13" t="s">
        <v>72</v>
      </c>
      <c r="F89" s="13" t="s">
        <v>73</v>
      </c>
      <c r="G89" s="13" t="s">
        <v>25</v>
      </c>
      <c r="H89" s="13" t="s">
        <v>26</v>
      </c>
      <c r="I89" t="s">
        <v>37</v>
      </c>
      <c r="J89" s="13" t="s">
        <v>38</v>
      </c>
      <c r="K89" s="13" t="s">
        <v>29</v>
      </c>
      <c r="L89" s="13" t="s">
        <v>30</v>
      </c>
      <c r="M89" t="s">
        <v>31</v>
      </c>
      <c r="N89">
        <v>700</v>
      </c>
      <c r="O89" s="14">
        <v>0.79429051163606301</v>
      </c>
      <c r="P89" s="14">
        <v>0.28972870693542102</v>
      </c>
      <c r="Q89" t="str">
        <f t="shared" si="2"/>
        <v>15-24</v>
      </c>
      <c r="R89" t="str">
        <f t="shared" si="3"/>
        <v>[am530wpaGvr]|15-24|Female|TX_CURR_SUBNAT.R|CY2022Q4</v>
      </c>
    </row>
    <row r="90" spans="1:18" x14ac:dyDescent="0.2">
      <c r="A90" s="8"/>
      <c r="B90" s="8"/>
      <c r="C90" s="8"/>
      <c r="D90" s="13" t="s">
        <v>71</v>
      </c>
      <c r="E90" s="13" t="s">
        <v>72</v>
      </c>
      <c r="F90" s="13" t="s">
        <v>73</v>
      </c>
      <c r="G90" s="13" t="s">
        <v>25</v>
      </c>
      <c r="H90" s="13" t="s">
        <v>26</v>
      </c>
      <c r="I90" t="s">
        <v>40</v>
      </c>
      <c r="J90" s="13" t="s">
        <v>41</v>
      </c>
      <c r="K90" s="13" t="s">
        <v>29</v>
      </c>
      <c r="L90" s="13" t="s">
        <v>30</v>
      </c>
      <c r="M90" t="s">
        <v>31</v>
      </c>
      <c r="N90">
        <v>798</v>
      </c>
      <c r="O90" s="14">
        <v>0.26756388274952803</v>
      </c>
      <c r="P90" s="14">
        <v>0.28972870693542102</v>
      </c>
      <c r="Q90" t="str">
        <f t="shared" si="2"/>
        <v>25-34</v>
      </c>
      <c r="R90" t="str">
        <f t="shared" si="3"/>
        <v>[am530wpaGvr]|25-34|Female|TX_CURR_SUBNAT.R|CY2022Q4</v>
      </c>
    </row>
    <row r="91" spans="1:18" x14ac:dyDescent="0.2">
      <c r="A91" s="8"/>
      <c r="B91" s="8"/>
      <c r="C91" s="8"/>
      <c r="D91" s="13" t="s">
        <v>71</v>
      </c>
      <c r="E91" s="13" t="s">
        <v>72</v>
      </c>
      <c r="F91" s="13" t="s">
        <v>73</v>
      </c>
      <c r="G91" s="13" t="s">
        <v>25</v>
      </c>
      <c r="H91" s="13" t="s">
        <v>26</v>
      </c>
      <c r="I91" t="s">
        <v>42</v>
      </c>
      <c r="J91" s="13" t="s">
        <v>43</v>
      </c>
      <c r="K91" s="13" t="s">
        <v>29</v>
      </c>
      <c r="L91" s="13" t="s">
        <v>30</v>
      </c>
      <c r="M91" t="s">
        <v>31</v>
      </c>
      <c r="N91">
        <v>1560</v>
      </c>
      <c r="O91" s="14">
        <v>0.84282006416469801</v>
      </c>
      <c r="P91" s="14">
        <v>0.28972870693542102</v>
      </c>
      <c r="Q91" t="str">
        <f t="shared" si="2"/>
        <v>35-49</v>
      </c>
      <c r="R91" t="str">
        <f t="shared" si="3"/>
        <v>[am530wpaGvr]|35-49|Female|TX_CURR_SUBNAT.R|CY2022Q4</v>
      </c>
    </row>
    <row r="92" spans="1:18" x14ac:dyDescent="0.2">
      <c r="A92" s="8"/>
      <c r="B92" s="8"/>
      <c r="C92" s="8"/>
      <c r="D92" s="13" t="s">
        <v>71</v>
      </c>
      <c r="E92" s="13" t="s">
        <v>72</v>
      </c>
      <c r="F92" s="13" t="s">
        <v>73</v>
      </c>
      <c r="G92" s="13" t="s">
        <v>25</v>
      </c>
      <c r="H92" s="13" t="s">
        <v>26</v>
      </c>
      <c r="I92" t="s">
        <v>44</v>
      </c>
      <c r="J92" s="13" t="s">
        <v>45</v>
      </c>
      <c r="K92" s="13" t="s">
        <v>29</v>
      </c>
      <c r="L92" s="13" t="s">
        <v>30</v>
      </c>
      <c r="M92" t="s">
        <v>31</v>
      </c>
      <c r="N92">
        <v>1631</v>
      </c>
      <c r="O92" s="14">
        <v>0.16529450495727399</v>
      </c>
      <c r="P92" s="14">
        <v>0.28972870693542102</v>
      </c>
      <c r="Q92" t="str">
        <f t="shared" si="2"/>
        <v>50+</v>
      </c>
      <c r="R92" t="str">
        <f t="shared" si="3"/>
        <v>[am530wpaGvr]|50+|Female|TX_CURR_SUBNAT.R|CY2022Q4</v>
      </c>
    </row>
    <row r="93" spans="1:18" x14ac:dyDescent="0.2">
      <c r="A93" s="8"/>
      <c r="B93" s="8"/>
      <c r="C93" s="8"/>
      <c r="D93" s="13" t="s">
        <v>71</v>
      </c>
      <c r="E93" s="13" t="s">
        <v>72</v>
      </c>
      <c r="F93" s="13" t="s">
        <v>73</v>
      </c>
      <c r="G93" s="13" t="s">
        <v>25</v>
      </c>
      <c r="H93" s="13" t="s">
        <v>26</v>
      </c>
      <c r="I93" t="s">
        <v>27</v>
      </c>
      <c r="J93" s="13" t="s">
        <v>28</v>
      </c>
      <c r="K93" s="13" t="s">
        <v>47</v>
      </c>
      <c r="L93" s="13" t="s">
        <v>48</v>
      </c>
      <c r="M93" t="s">
        <v>31</v>
      </c>
      <c r="N93">
        <v>1554</v>
      </c>
      <c r="O93" s="14">
        <v>0.99237154261209104</v>
      </c>
      <c r="P93" s="14">
        <v>0.28972870693542102</v>
      </c>
      <c r="Q93" t="str">
        <f t="shared" si="2"/>
        <v>&lt;01</v>
      </c>
      <c r="R93" t="str">
        <f t="shared" si="3"/>
        <v>[am530wpaGvr]|&lt;01|Male|TX_CURR_SUBNAT.R|CY2022Q4</v>
      </c>
    </row>
    <row r="94" spans="1:18" x14ac:dyDescent="0.2">
      <c r="A94" s="8"/>
      <c r="B94" s="8"/>
      <c r="C94" s="8"/>
      <c r="D94" s="13" t="s">
        <v>71</v>
      </c>
      <c r="E94" s="13" t="s">
        <v>72</v>
      </c>
      <c r="F94" s="13" t="s">
        <v>73</v>
      </c>
      <c r="G94" s="13" t="s">
        <v>25</v>
      </c>
      <c r="H94" s="13" t="s">
        <v>26</v>
      </c>
      <c r="I94" t="s">
        <v>32</v>
      </c>
      <c r="J94" s="13" t="s">
        <v>33</v>
      </c>
      <c r="K94" s="13" t="s">
        <v>47</v>
      </c>
      <c r="L94" s="13" t="s">
        <v>48</v>
      </c>
      <c r="M94" t="s">
        <v>31</v>
      </c>
      <c r="N94">
        <v>979</v>
      </c>
      <c r="O94" s="14">
        <v>0.52932706871070001</v>
      </c>
      <c r="P94" s="14">
        <v>0.28972870693542102</v>
      </c>
      <c r="Q94" t="str">
        <f t="shared" si="2"/>
        <v>01-09</v>
      </c>
      <c r="R94" t="str">
        <f t="shared" si="3"/>
        <v>[am530wpaGvr]|01-09|Male|TX_CURR_SUBNAT.R|CY2022Q4</v>
      </c>
    </row>
    <row r="95" spans="1:18" x14ac:dyDescent="0.2">
      <c r="A95" s="8"/>
      <c r="B95" s="8"/>
      <c r="C95" s="8"/>
      <c r="D95" s="13" t="s">
        <v>71</v>
      </c>
      <c r="E95" s="13" t="s">
        <v>72</v>
      </c>
      <c r="F95" s="13" t="s">
        <v>73</v>
      </c>
      <c r="G95" s="13" t="s">
        <v>25</v>
      </c>
      <c r="H95" s="13" t="s">
        <v>26</v>
      </c>
      <c r="I95" t="s">
        <v>35</v>
      </c>
      <c r="J95" s="13" t="s">
        <v>36</v>
      </c>
      <c r="K95" s="13" t="s">
        <v>47</v>
      </c>
      <c r="L95" s="13" t="s">
        <v>48</v>
      </c>
      <c r="M95" t="s">
        <v>31</v>
      </c>
      <c r="N95">
        <v>1534</v>
      </c>
      <c r="O95" s="14">
        <v>0.56694763689301897</v>
      </c>
      <c r="P95" s="14">
        <v>0.28972870693542102</v>
      </c>
      <c r="Q95" t="str">
        <f t="shared" si="2"/>
        <v>10-14</v>
      </c>
      <c r="R95" t="str">
        <f t="shared" si="3"/>
        <v>[am530wpaGvr]|10-14|Male|TX_CURR_SUBNAT.R|CY2022Q4</v>
      </c>
    </row>
    <row r="96" spans="1:18" x14ac:dyDescent="0.2">
      <c r="A96" s="8"/>
      <c r="B96" s="8"/>
      <c r="C96" s="8"/>
      <c r="D96" s="13" t="s">
        <v>71</v>
      </c>
      <c r="E96" s="13" t="s">
        <v>72</v>
      </c>
      <c r="F96" s="13" t="s">
        <v>73</v>
      </c>
      <c r="G96" s="13" t="s">
        <v>25</v>
      </c>
      <c r="H96" s="13" t="s">
        <v>26</v>
      </c>
      <c r="I96" t="s">
        <v>37</v>
      </c>
      <c r="J96" s="13" t="s">
        <v>38</v>
      </c>
      <c r="K96" s="13" t="s">
        <v>47</v>
      </c>
      <c r="L96" s="13" t="s">
        <v>48</v>
      </c>
      <c r="M96" t="s">
        <v>31</v>
      </c>
      <c r="N96">
        <v>856</v>
      </c>
      <c r="O96" s="14">
        <v>6.8899025442078696E-2</v>
      </c>
      <c r="P96" s="14">
        <v>0.28972870693542102</v>
      </c>
      <c r="Q96" t="str">
        <f t="shared" si="2"/>
        <v>15-24</v>
      </c>
      <c r="R96" t="str">
        <f t="shared" si="3"/>
        <v>[am530wpaGvr]|15-24|Male|TX_CURR_SUBNAT.R|CY2022Q4</v>
      </c>
    </row>
    <row r="97" spans="1:18" x14ac:dyDescent="0.2">
      <c r="A97" s="8"/>
      <c r="B97" s="8"/>
      <c r="C97" s="8"/>
      <c r="D97" s="13" t="s">
        <v>71</v>
      </c>
      <c r="E97" s="13" t="s">
        <v>72</v>
      </c>
      <c r="F97" s="13" t="s">
        <v>73</v>
      </c>
      <c r="G97" s="13" t="s">
        <v>25</v>
      </c>
      <c r="H97" s="13" t="s">
        <v>26</v>
      </c>
      <c r="I97" t="s">
        <v>40</v>
      </c>
      <c r="J97" s="13" t="s">
        <v>41</v>
      </c>
      <c r="K97" s="13" t="s">
        <v>47</v>
      </c>
      <c r="L97" s="13" t="s">
        <v>48</v>
      </c>
      <c r="M97" t="s">
        <v>31</v>
      </c>
      <c r="N97">
        <v>1992</v>
      </c>
      <c r="O97" s="14">
        <v>0.16859751357697</v>
      </c>
      <c r="P97" s="14">
        <v>0.28972870693542102</v>
      </c>
      <c r="Q97" t="str">
        <f t="shared" si="2"/>
        <v>25-34</v>
      </c>
      <c r="R97" t="str">
        <f t="shared" si="3"/>
        <v>[am530wpaGvr]|25-34|Male|TX_CURR_SUBNAT.R|CY2022Q4</v>
      </c>
    </row>
    <row r="98" spans="1:18" x14ac:dyDescent="0.2">
      <c r="A98" s="8"/>
      <c r="B98" s="8"/>
      <c r="C98" s="8"/>
      <c r="D98" s="13" t="s">
        <v>71</v>
      </c>
      <c r="E98" s="13" t="s">
        <v>72</v>
      </c>
      <c r="F98" s="13" t="s">
        <v>73</v>
      </c>
      <c r="G98" s="13" t="s">
        <v>25</v>
      </c>
      <c r="H98" s="13" t="s">
        <v>26</v>
      </c>
      <c r="I98" t="s">
        <v>42</v>
      </c>
      <c r="J98" s="13" t="s">
        <v>43</v>
      </c>
      <c r="K98" s="13" t="s">
        <v>47</v>
      </c>
      <c r="L98" s="13" t="s">
        <v>48</v>
      </c>
      <c r="M98" t="s">
        <v>31</v>
      </c>
      <c r="N98">
        <v>1950</v>
      </c>
      <c r="O98" s="14">
        <v>0.102700334507972</v>
      </c>
      <c r="P98" s="14">
        <v>0.28972870693542102</v>
      </c>
      <c r="Q98" t="str">
        <f t="shared" si="2"/>
        <v>35-49</v>
      </c>
      <c r="R98" t="str">
        <f t="shared" si="3"/>
        <v>[am530wpaGvr]|35-49|Male|TX_CURR_SUBNAT.R|CY2022Q4</v>
      </c>
    </row>
    <row r="99" spans="1:18" x14ac:dyDescent="0.2">
      <c r="A99" s="8"/>
      <c r="B99" s="8"/>
      <c r="C99" s="8"/>
      <c r="D99" s="13" t="s">
        <v>71</v>
      </c>
      <c r="E99" s="13" t="s">
        <v>72</v>
      </c>
      <c r="F99" s="13" t="s">
        <v>73</v>
      </c>
      <c r="G99" s="13" t="s">
        <v>25</v>
      </c>
      <c r="H99" s="13" t="s">
        <v>26</v>
      </c>
      <c r="I99" t="s">
        <v>44</v>
      </c>
      <c r="J99" s="13" t="s">
        <v>45</v>
      </c>
      <c r="K99" s="13" t="s">
        <v>47</v>
      </c>
      <c r="L99" s="13" t="s">
        <v>48</v>
      </c>
      <c r="M99" t="s">
        <v>31</v>
      </c>
      <c r="N99">
        <v>1430</v>
      </c>
      <c r="O99" s="14">
        <v>0.34152224147692301</v>
      </c>
      <c r="P99" s="14">
        <v>0.28972870693542102</v>
      </c>
      <c r="Q99" t="str">
        <f t="shared" si="2"/>
        <v>50+</v>
      </c>
      <c r="R99" t="str">
        <f t="shared" si="3"/>
        <v>[am530wpaGvr]|50+|Male|TX_CURR_SUBNAT.R|CY2022Q4</v>
      </c>
    </row>
    <row r="100" spans="1:18" x14ac:dyDescent="0.2">
      <c r="A100" s="8"/>
      <c r="B100" s="8"/>
      <c r="C100" s="8"/>
      <c r="D100" s="13" t="s">
        <v>74</v>
      </c>
      <c r="E100" s="13" t="s">
        <v>75</v>
      </c>
      <c r="F100" s="13" t="s">
        <v>76</v>
      </c>
      <c r="G100" s="13" t="s">
        <v>25</v>
      </c>
      <c r="H100" s="13" t="s">
        <v>26</v>
      </c>
      <c r="I100" t="s">
        <v>27</v>
      </c>
      <c r="J100" s="13" t="s">
        <v>28</v>
      </c>
      <c r="K100" s="13" t="s">
        <v>29</v>
      </c>
      <c r="L100" s="13" t="s">
        <v>30</v>
      </c>
      <c r="M100" t="s">
        <v>31</v>
      </c>
      <c r="N100">
        <v>687</v>
      </c>
      <c r="O100" s="14">
        <v>2.9155500931665301E-2</v>
      </c>
      <c r="P100" s="14">
        <v>0.30305550759658201</v>
      </c>
      <c r="Q100" t="str">
        <f t="shared" si="2"/>
        <v>&lt;01</v>
      </c>
      <c r="R100" t="str">
        <f t="shared" si="3"/>
        <v>[lLDyBx5XyUi]|&lt;01|Female|TX_CURR_SUBNAT.R|CY2022Q4</v>
      </c>
    </row>
    <row r="101" spans="1:18" x14ac:dyDescent="0.2">
      <c r="A101" s="8"/>
      <c r="B101" s="8"/>
      <c r="C101" s="8"/>
      <c r="D101" s="13" t="s">
        <v>74</v>
      </c>
      <c r="E101" s="13" t="s">
        <v>75</v>
      </c>
      <c r="F101" s="13" t="s">
        <v>76</v>
      </c>
      <c r="G101" s="13" t="s">
        <v>25</v>
      </c>
      <c r="H101" s="13" t="s">
        <v>26</v>
      </c>
      <c r="I101" t="s">
        <v>32</v>
      </c>
      <c r="J101" s="13" t="s">
        <v>33</v>
      </c>
      <c r="K101" s="13" t="s">
        <v>29</v>
      </c>
      <c r="L101" s="13" t="s">
        <v>30</v>
      </c>
      <c r="M101" t="s">
        <v>31</v>
      </c>
      <c r="N101">
        <v>704</v>
      </c>
      <c r="O101" s="14">
        <v>0.74540632590651501</v>
      </c>
      <c r="P101" s="14">
        <v>0.30305550759658201</v>
      </c>
      <c r="Q101" t="str">
        <f t="shared" si="2"/>
        <v>01-09</v>
      </c>
      <c r="R101" t="str">
        <f t="shared" si="3"/>
        <v>[lLDyBx5XyUi]|01-09|Female|TX_CURR_SUBNAT.R|CY2022Q4</v>
      </c>
    </row>
    <row r="102" spans="1:18" x14ac:dyDescent="0.2">
      <c r="A102" s="8"/>
      <c r="B102" s="8"/>
      <c r="C102" s="8"/>
      <c r="D102" s="13" t="s">
        <v>74</v>
      </c>
      <c r="E102" s="13" t="s">
        <v>75</v>
      </c>
      <c r="F102" s="13" t="s">
        <v>76</v>
      </c>
      <c r="G102" s="13" t="s">
        <v>25</v>
      </c>
      <c r="H102" s="13" t="s">
        <v>26</v>
      </c>
      <c r="I102" t="s">
        <v>35</v>
      </c>
      <c r="J102" s="13" t="s">
        <v>36</v>
      </c>
      <c r="K102" s="13" t="s">
        <v>29</v>
      </c>
      <c r="L102" s="13" t="s">
        <v>30</v>
      </c>
      <c r="M102" t="s">
        <v>31</v>
      </c>
      <c r="N102">
        <v>1812</v>
      </c>
      <c r="O102" s="14">
        <v>0.18241700227372301</v>
      </c>
      <c r="P102" s="14">
        <v>0.30305550759658201</v>
      </c>
      <c r="Q102" t="str">
        <f t="shared" si="2"/>
        <v>10-14</v>
      </c>
      <c r="R102" t="str">
        <f t="shared" si="3"/>
        <v>[lLDyBx5XyUi]|10-14|Female|TX_CURR_SUBNAT.R|CY2022Q4</v>
      </c>
    </row>
    <row r="103" spans="1:18" x14ac:dyDescent="0.2">
      <c r="A103" s="8"/>
      <c r="B103" s="8"/>
      <c r="C103" s="8"/>
      <c r="D103" s="13" t="s">
        <v>74</v>
      </c>
      <c r="E103" s="13" t="s">
        <v>75</v>
      </c>
      <c r="F103" s="13" t="s">
        <v>76</v>
      </c>
      <c r="G103" s="13" t="s">
        <v>25</v>
      </c>
      <c r="H103" s="13" t="s">
        <v>26</v>
      </c>
      <c r="I103" t="s">
        <v>37</v>
      </c>
      <c r="J103" s="13" t="s">
        <v>38</v>
      </c>
      <c r="K103" s="13" t="s">
        <v>29</v>
      </c>
      <c r="L103" s="13" t="s">
        <v>30</v>
      </c>
      <c r="M103" t="s">
        <v>31</v>
      </c>
      <c r="N103">
        <v>1718</v>
      </c>
      <c r="O103" s="14">
        <v>0.69388712011277698</v>
      </c>
      <c r="P103" s="14">
        <v>0.30305550759658201</v>
      </c>
      <c r="Q103" t="str">
        <f t="shared" si="2"/>
        <v>15-24</v>
      </c>
      <c r="R103" t="str">
        <f t="shared" si="3"/>
        <v>[lLDyBx5XyUi]|15-24|Female|TX_CURR_SUBNAT.R|CY2022Q4</v>
      </c>
    </row>
    <row r="104" spans="1:18" x14ac:dyDescent="0.2">
      <c r="A104" s="8"/>
      <c r="B104" s="8"/>
      <c r="C104" s="8"/>
      <c r="D104" s="13" t="s">
        <v>74</v>
      </c>
      <c r="E104" s="13" t="s">
        <v>75</v>
      </c>
      <c r="F104" s="13" t="s">
        <v>76</v>
      </c>
      <c r="G104" s="13" t="s">
        <v>25</v>
      </c>
      <c r="H104" s="13" t="s">
        <v>26</v>
      </c>
      <c r="I104" t="s">
        <v>40</v>
      </c>
      <c r="J104" s="13" t="s">
        <v>41</v>
      </c>
      <c r="K104" s="13" t="s">
        <v>29</v>
      </c>
      <c r="L104" s="13" t="s">
        <v>30</v>
      </c>
      <c r="M104" t="s">
        <v>31</v>
      </c>
      <c r="N104">
        <v>1442</v>
      </c>
      <c r="O104" s="14">
        <v>8.6375856772065197E-3</v>
      </c>
      <c r="P104" s="14">
        <v>0.30305550759658201</v>
      </c>
      <c r="Q104" t="str">
        <f t="shared" si="2"/>
        <v>25-34</v>
      </c>
      <c r="R104" t="str">
        <f t="shared" si="3"/>
        <v>[lLDyBx5XyUi]|25-34|Female|TX_CURR_SUBNAT.R|CY2022Q4</v>
      </c>
    </row>
    <row r="105" spans="1:18" x14ac:dyDescent="0.2">
      <c r="A105" s="8"/>
      <c r="B105" s="8"/>
      <c r="C105" s="8"/>
      <c r="D105" s="13" t="s">
        <v>74</v>
      </c>
      <c r="E105" s="13" t="s">
        <v>75</v>
      </c>
      <c r="F105" s="13" t="s">
        <v>76</v>
      </c>
      <c r="G105" s="13" t="s">
        <v>25</v>
      </c>
      <c r="H105" s="13" t="s">
        <v>26</v>
      </c>
      <c r="I105" t="s">
        <v>42</v>
      </c>
      <c r="J105" s="13" t="s">
        <v>43</v>
      </c>
      <c r="K105" s="13" t="s">
        <v>29</v>
      </c>
      <c r="L105" s="13" t="s">
        <v>30</v>
      </c>
      <c r="M105" t="s">
        <v>31</v>
      </c>
      <c r="N105">
        <v>1087</v>
      </c>
      <c r="O105" s="14">
        <v>0.71495811291970301</v>
      </c>
      <c r="P105" s="14">
        <v>0.30305550759658201</v>
      </c>
      <c r="Q105" t="str">
        <f t="shared" si="2"/>
        <v>35-49</v>
      </c>
      <c r="R105" t="str">
        <f t="shared" si="3"/>
        <v>[lLDyBx5XyUi]|35-49|Female|TX_CURR_SUBNAT.R|CY2022Q4</v>
      </c>
    </row>
    <row r="106" spans="1:18" x14ac:dyDescent="0.2">
      <c r="A106" s="8"/>
      <c r="B106" s="8"/>
      <c r="C106" s="8"/>
      <c r="D106" s="13" t="s">
        <v>74</v>
      </c>
      <c r="E106" s="13" t="s">
        <v>75</v>
      </c>
      <c r="F106" s="13" t="s">
        <v>76</v>
      </c>
      <c r="G106" s="13" t="s">
        <v>25</v>
      </c>
      <c r="H106" s="13" t="s">
        <v>26</v>
      </c>
      <c r="I106" t="s">
        <v>44</v>
      </c>
      <c r="J106" s="13" t="s">
        <v>45</v>
      </c>
      <c r="K106" s="13" t="s">
        <v>29</v>
      </c>
      <c r="L106" s="13" t="s">
        <v>30</v>
      </c>
      <c r="M106" t="s">
        <v>31</v>
      </c>
      <c r="N106">
        <v>1224</v>
      </c>
      <c r="O106" s="14">
        <v>0.13980079279281199</v>
      </c>
      <c r="P106" s="14">
        <v>0.30305550759658201</v>
      </c>
      <c r="Q106" t="str">
        <f t="shared" si="2"/>
        <v>50+</v>
      </c>
      <c r="R106" t="str">
        <f t="shared" si="3"/>
        <v>[lLDyBx5XyUi]|50+|Female|TX_CURR_SUBNAT.R|CY2022Q4</v>
      </c>
    </row>
    <row r="107" spans="1:18" x14ac:dyDescent="0.2">
      <c r="A107" s="8"/>
      <c r="B107" s="8"/>
      <c r="C107" s="8"/>
      <c r="D107" s="13" t="s">
        <v>74</v>
      </c>
      <c r="E107" s="13" t="s">
        <v>75</v>
      </c>
      <c r="F107" s="13" t="s">
        <v>76</v>
      </c>
      <c r="G107" s="13" t="s">
        <v>25</v>
      </c>
      <c r="H107" s="13" t="s">
        <v>26</v>
      </c>
      <c r="I107" t="s">
        <v>27</v>
      </c>
      <c r="J107" s="13" t="s">
        <v>28</v>
      </c>
      <c r="K107" s="13" t="s">
        <v>47</v>
      </c>
      <c r="L107" s="13" t="s">
        <v>48</v>
      </c>
      <c r="M107" t="s">
        <v>31</v>
      </c>
      <c r="N107">
        <v>1230</v>
      </c>
      <c r="O107" s="14">
        <v>0.19822049001231801</v>
      </c>
      <c r="P107" s="14">
        <v>0.30305550759658201</v>
      </c>
      <c r="Q107" t="str">
        <f t="shared" si="2"/>
        <v>&lt;01</v>
      </c>
      <c r="R107" t="str">
        <f t="shared" si="3"/>
        <v>[lLDyBx5XyUi]|&lt;01|Male|TX_CURR_SUBNAT.R|CY2022Q4</v>
      </c>
    </row>
    <row r="108" spans="1:18" x14ac:dyDescent="0.2">
      <c r="A108" s="8"/>
      <c r="B108" s="8"/>
      <c r="C108" s="8"/>
      <c r="D108" s="13" t="s">
        <v>74</v>
      </c>
      <c r="E108" s="13" t="s">
        <v>75</v>
      </c>
      <c r="F108" s="13" t="s">
        <v>76</v>
      </c>
      <c r="G108" s="13" t="s">
        <v>25</v>
      </c>
      <c r="H108" s="13" t="s">
        <v>26</v>
      </c>
      <c r="I108" t="s">
        <v>32</v>
      </c>
      <c r="J108" s="13" t="s">
        <v>33</v>
      </c>
      <c r="K108" s="13" t="s">
        <v>47</v>
      </c>
      <c r="L108" s="13" t="s">
        <v>48</v>
      </c>
      <c r="M108" t="s">
        <v>31</v>
      </c>
      <c r="N108">
        <v>1405</v>
      </c>
      <c r="O108" s="14">
        <v>0.44060237775556699</v>
      </c>
      <c r="P108" s="14">
        <v>0.30305550759658201</v>
      </c>
      <c r="Q108" t="str">
        <f t="shared" si="2"/>
        <v>01-09</v>
      </c>
      <c r="R108" t="str">
        <f t="shared" si="3"/>
        <v>[lLDyBx5XyUi]|01-09|Male|TX_CURR_SUBNAT.R|CY2022Q4</v>
      </c>
    </row>
    <row r="109" spans="1:18" x14ac:dyDescent="0.2">
      <c r="A109" s="8"/>
      <c r="B109" s="8"/>
      <c r="C109" s="8"/>
      <c r="D109" s="13" t="s">
        <v>74</v>
      </c>
      <c r="E109" s="13" t="s">
        <v>75</v>
      </c>
      <c r="F109" s="13" t="s">
        <v>76</v>
      </c>
      <c r="G109" s="13" t="s">
        <v>25</v>
      </c>
      <c r="H109" s="13" t="s">
        <v>26</v>
      </c>
      <c r="I109" t="s">
        <v>35</v>
      </c>
      <c r="J109" s="13" t="s">
        <v>36</v>
      </c>
      <c r="K109" s="13" t="s">
        <v>47</v>
      </c>
      <c r="L109" s="13" t="s">
        <v>48</v>
      </c>
      <c r="M109" t="s">
        <v>31</v>
      </c>
      <c r="N109">
        <v>1819</v>
      </c>
      <c r="O109" s="14">
        <v>0.49841100582852998</v>
      </c>
      <c r="P109" s="14">
        <v>0.30305550759658201</v>
      </c>
      <c r="Q109" t="str">
        <f t="shared" si="2"/>
        <v>10-14</v>
      </c>
      <c r="R109" t="str">
        <f t="shared" si="3"/>
        <v>[lLDyBx5XyUi]|10-14|Male|TX_CURR_SUBNAT.R|CY2022Q4</v>
      </c>
    </row>
    <row r="110" spans="1:18" x14ac:dyDescent="0.2">
      <c r="A110" s="8"/>
      <c r="B110" s="8"/>
      <c r="C110" s="8"/>
      <c r="D110" s="13" t="s">
        <v>74</v>
      </c>
      <c r="E110" s="13" t="s">
        <v>75</v>
      </c>
      <c r="F110" s="13" t="s">
        <v>76</v>
      </c>
      <c r="G110" s="13" t="s">
        <v>25</v>
      </c>
      <c r="H110" s="13" t="s">
        <v>26</v>
      </c>
      <c r="I110" t="s">
        <v>37</v>
      </c>
      <c r="J110" s="13" t="s">
        <v>38</v>
      </c>
      <c r="K110" s="13" t="s">
        <v>47</v>
      </c>
      <c r="L110" s="13" t="s">
        <v>48</v>
      </c>
      <c r="M110" t="s">
        <v>31</v>
      </c>
      <c r="N110">
        <v>1802</v>
      </c>
      <c r="O110" s="14">
        <v>0.71536184591241203</v>
      </c>
      <c r="P110" s="14">
        <v>0.30305550759658201</v>
      </c>
      <c r="Q110" t="str">
        <f t="shared" si="2"/>
        <v>15-24</v>
      </c>
      <c r="R110" t="str">
        <f t="shared" si="3"/>
        <v>[lLDyBx5XyUi]|15-24|Male|TX_CURR_SUBNAT.R|CY2022Q4</v>
      </c>
    </row>
    <row r="111" spans="1:18" x14ac:dyDescent="0.2">
      <c r="A111" s="8"/>
      <c r="B111" s="8"/>
      <c r="C111" s="8"/>
      <c r="D111" s="13" t="s">
        <v>74</v>
      </c>
      <c r="E111" s="13" t="s">
        <v>75</v>
      </c>
      <c r="F111" s="13" t="s">
        <v>76</v>
      </c>
      <c r="G111" s="13" t="s">
        <v>25</v>
      </c>
      <c r="H111" s="13" t="s">
        <v>26</v>
      </c>
      <c r="I111" t="s">
        <v>40</v>
      </c>
      <c r="J111" s="13" t="s">
        <v>41</v>
      </c>
      <c r="K111" s="13" t="s">
        <v>47</v>
      </c>
      <c r="L111" s="13" t="s">
        <v>48</v>
      </c>
      <c r="M111" t="s">
        <v>31</v>
      </c>
      <c r="N111">
        <v>728</v>
      </c>
      <c r="O111" s="14">
        <v>0.36796744097955503</v>
      </c>
      <c r="P111" s="14">
        <v>0.30305550759658201</v>
      </c>
      <c r="Q111" t="str">
        <f t="shared" si="2"/>
        <v>25-34</v>
      </c>
      <c r="R111" t="str">
        <f t="shared" si="3"/>
        <v>[lLDyBx5XyUi]|25-34|Male|TX_CURR_SUBNAT.R|CY2022Q4</v>
      </c>
    </row>
    <row r="112" spans="1:18" x14ac:dyDescent="0.2">
      <c r="A112" s="8"/>
      <c r="B112" s="8"/>
      <c r="C112" s="8"/>
      <c r="D112" s="13" t="s">
        <v>74</v>
      </c>
      <c r="E112" s="13" t="s">
        <v>75</v>
      </c>
      <c r="F112" s="13" t="s">
        <v>76</v>
      </c>
      <c r="G112" s="13" t="s">
        <v>25</v>
      </c>
      <c r="H112" s="13" t="s">
        <v>26</v>
      </c>
      <c r="I112" t="s">
        <v>42</v>
      </c>
      <c r="J112" s="13" t="s">
        <v>43</v>
      </c>
      <c r="K112" s="13" t="s">
        <v>47</v>
      </c>
      <c r="L112" s="13" t="s">
        <v>48</v>
      </c>
      <c r="M112" t="s">
        <v>31</v>
      </c>
      <c r="N112">
        <v>1566</v>
      </c>
      <c r="O112" s="14">
        <v>0.22661846643313799</v>
      </c>
      <c r="P112" s="14">
        <v>0.30305550759658201</v>
      </c>
      <c r="Q112" t="str">
        <f t="shared" si="2"/>
        <v>35-49</v>
      </c>
      <c r="R112" t="str">
        <f t="shared" si="3"/>
        <v>[lLDyBx5XyUi]|35-49|Male|TX_CURR_SUBNAT.R|CY2022Q4</v>
      </c>
    </row>
    <row r="113" spans="1:18" x14ac:dyDescent="0.2">
      <c r="A113" s="8"/>
      <c r="B113" s="8"/>
      <c r="C113" s="8"/>
      <c r="D113" s="13" t="s">
        <v>74</v>
      </c>
      <c r="E113" s="13" t="s">
        <v>75</v>
      </c>
      <c r="F113" s="13" t="s">
        <v>76</v>
      </c>
      <c r="G113" s="13" t="s">
        <v>25</v>
      </c>
      <c r="H113" s="13" t="s">
        <v>26</v>
      </c>
      <c r="I113" t="s">
        <v>44</v>
      </c>
      <c r="J113" s="13" t="s">
        <v>45</v>
      </c>
      <c r="K113" s="13" t="s">
        <v>47</v>
      </c>
      <c r="L113" s="13" t="s">
        <v>48</v>
      </c>
      <c r="M113" t="s">
        <v>31</v>
      </c>
      <c r="N113">
        <v>1250</v>
      </c>
      <c r="O113" s="14">
        <v>0.80737096443772305</v>
      </c>
      <c r="P113" s="14">
        <v>0.30305550759658201</v>
      </c>
      <c r="Q113" t="str">
        <f t="shared" si="2"/>
        <v>50+</v>
      </c>
      <c r="R113" t="str">
        <f t="shared" si="3"/>
        <v>[lLDyBx5XyUi]|50+|Male|TX_CURR_SUBNAT.R|CY2022Q4</v>
      </c>
    </row>
    <row r="114" spans="1:18" x14ac:dyDescent="0.2">
      <c r="A114" s="8"/>
      <c r="B114" s="8"/>
      <c r="C114" s="8"/>
      <c r="D114" s="13" t="s">
        <v>77</v>
      </c>
      <c r="E114" s="13" t="s">
        <v>78</v>
      </c>
      <c r="F114" s="13" t="s">
        <v>79</v>
      </c>
      <c r="G114" s="13" t="s">
        <v>25</v>
      </c>
      <c r="H114" s="13" t="s">
        <v>26</v>
      </c>
      <c r="I114" t="s">
        <v>27</v>
      </c>
      <c r="J114" s="13" t="s">
        <v>28</v>
      </c>
      <c r="K114" s="13" t="s">
        <v>29</v>
      </c>
      <c r="L114" s="13" t="s">
        <v>30</v>
      </c>
      <c r="M114" t="s">
        <v>31</v>
      </c>
      <c r="N114">
        <v>1625</v>
      </c>
      <c r="O114" s="14">
        <v>0.239163896534592</v>
      </c>
      <c r="P114" s="14">
        <v>0.83159798220731296</v>
      </c>
      <c r="Q114" t="str">
        <f t="shared" si="2"/>
        <v>&lt;01</v>
      </c>
      <c r="R114" t="str">
        <f t="shared" si="3"/>
        <v>[TYnMSwzko3z]|&lt;01|Female|TX_CURR_SUBNAT.R|CY2022Q4</v>
      </c>
    </row>
    <row r="115" spans="1:18" x14ac:dyDescent="0.2">
      <c r="A115" s="8"/>
      <c r="B115" s="8"/>
      <c r="C115" s="8"/>
      <c r="D115" s="13" t="s">
        <v>77</v>
      </c>
      <c r="E115" s="13" t="s">
        <v>78</v>
      </c>
      <c r="F115" s="13" t="s">
        <v>79</v>
      </c>
      <c r="G115" s="13" t="s">
        <v>25</v>
      </c>
      <c r="H115" s="13" t="s">
        <v>26</v>
      </c>
      <c r="I115" t="s">
        <v>32</v>
      </c>
      <c r="J115" s="13" t="s">
        <v>33</v>
      </c>
      <c r="K115" s="13" t="s">
        <v>29</v>
      </c>
      <c r="L115" s="13" t="s">
        <v>30</v>
      </c>
      <c r="M115" t="s">
        <v>31</v>
      </c>
      <c r="N115">
        <v>1533</v>
      </c>
      <c r="O115" s="14">
        <v>0.46498423791490501</v>
      </c>
      <c r="P115" s="14">
        <v>0.83159798220731296</v>
      </c>
      <c r="Q115" t="str">
        <f t="shared" si="2"/>
        <v>01-09</v>
      </c>
      <c r="R115" t="str">
        <f t="shared" si="3"/>
        <v>[TYnMSwzko3z]|01-09|Female|TX_CURR_SUBNAT.R|CY2022Q4</v>
      </c>
    </row>
    <row r="116" spans="1:18" x14ac:dyDescent="0.2">
      <c r="A116" s="8"/>
      <c r="B116" s="8"/>
      <c r="C116" s="8"/>
      <c r="D116" s="13" t="s">
        <v>77</v>
      </c>
      <c r="E116" s="13" t="s">
        <v>78</v>
      </c>
      <c r="F116" s="13" t="s">
        <v>79</v>
      </c>
      <c r="G116" s="13" t="s">
        <v>25</v>
      </c>
      <c r="H116" s="13" t="s">
        <v>26</v>
      </c>
      <c r="I116" t="s">
        <v>35</v>
      </c>
      <c r="J116" s="13" t="s">
        <v>36</v>
      </c>
      <c r="K116" s="13" t="s">
        <v>29</v>
      </c>
      <c r="L116" s="13" t="s">
        <v>30</v>
      </c>
      <c r="M116" t="s">
        <v>31</v>
      </c>
      <c r="N116">
        <v>1335</v>
      </c>
      <c r="O116" s="14">
        <v>0.89796279137954105</v>
      </c>
      <c r="P116" s="14">
        <v>0.83159798220731296</v>
      </c>
      <c r="Q116" t="str">
        <f t="shared" si="2"/>
        <v>10-14</v>
      </c>
      <c r="R116" t="str">
        <f t="shared" si="3"/>
        <v>[TYnMSwzko3z]|10-14|Female|TX_CURR_SUBNAT.R|CY2022Q4</v>
      </c>
    </row>
    <row r="117" spans="1:18" x14ac:dyDescent="0.2">
      <c r="A117" s="8"/>
      <c r="B117" s="8"/>
      <c r="C117" s="8"/>
      <c r="D117" s="13" t="s">
        <v>77</v>
      </c>
      <c r="E117" s="13" t="s">
        <v>78</v>
      </c>
      <c r="F117" s="13" t="s">
        <v>79</v>
      </c>
      <c r="G117" s="13" t="s">
        <v>25</v>
      </c>
      <c r="H117" s="13" t="s">
        <v>26</v>
      </c>
      <c r="I117" t="s">
        <v>37</v>
      </c>
      <c r="J117" s="13" t="s">
        <v>38</v>
      </c>
      <c r="K117" s="13" t="s">
        <v>29</v>
      </c>
      <c r="L117" s="13" t="s">
        <v>30</v>
      </c>
      <c r="M117" t="s">
        <v>31</v>
      </c>
      <c r="N117">
        <v>1244</v>
      </c>
      <c r="O117" s="14">
        <v>0.58138568163849402</v>
      </c>
      <c r="P117" s="14">
        <v>0.83159798220731296</v>
      </c>
      <c r="Q117" t="str">
        <f t="shared" si="2"/>
        <v>15-24</v>
      </c>
      <c r="R117" t="str">
        <f t="shared" si="3"/>
        <v>[TYnMSwzko3z]|15-24|Female|TX_CURR_SUBNAT.R|CY2022Q4</v>
      </c>
    </row>
    <row r="118" spans="1:18" x14ac:dyDescent="0.2">
      <c r="A118" s="8"/>
      <c r="B118" s="8"/>
      <c r="C118" s="8"/>
      <c r="D118" s="13" t="s">
        <v>77</v>
      </c>
      <c r="E118" s="13" t="s">
        <v>78</v>
      </c>
      <c r="F118" s="13" t="s">
        <v>79</v>
      </c>
      <c r="G118" s="13" t="s">
        <v>25</v>
      </c>
      <c r="H118" s="13" t="s">
        <v>26</v>
      </c>
      <c r="I118" t="s">
        <v>40</v>
      </c>
      <c r="J118" s="13" t="s">
        <v>41</v>
      </c>
      <c r="K118" s="13" t="s">
        <v>29</v>
      </c>
      <c r="L118" s="13" t="s">
        <v>30</v>
      </c>
      <c r="M118" t="s">
        <v>31</v>
      </c>
      <c r="N118">
        <v>1585</v>
      </c>
      <c r="O118" s="14">
        <v>0.185930749867111</v>
      </c>
      <c r="P118" s="14">
        <v>0.83159798220731296</v>
      </c>
      <c r="Q118" t="str">
        <f t="shared" si="2"/>
        <v>25-34</v>
      </c>
      <c r="R118" t="str">
        <f t="shared" si="3"/>
        <v>[TYnMSwzko3z]|25-34|Female|TX_CURR_SUBNAT.R|CY2022Q4</v>
      </c>
    </row>
    <row r="119" spans="1:18" x14ac:dyDescent="0.2">
      <c r="A119" s="8"/>
      <c r="B119" s="8"/>
      <c r="C119" s="8"/>
      <c r="D119" s="13" t="s">
        <v>77</v>
      </c>
      <c r="E119" s="13" t="s">
        <v>78</v>
      </c>
      <c r="F119" s="13" t="s">
        <v>79</v>
      </c>
      <c r="G119" s="13" t="s">
        <v>25</v>
      </c>
      <c r="H119" s="13" t="s">
        <v>26</v>
      </c>
      <c r="I119" t="s">
        <v>42</v>
      </c>
      <c r="J119" s="13" t="s">
        <v>43</v>
      </c>
      <c r="K119" s="13" t="s">
        <v>29</v>
      </c>
      <c r="L119" s="13" t="s">
        <v>30</v>
      </c>
      <c r="M119" t="s">
        <v>31</v>
      </c>
      <c r="N119">
        <v>1751</v>
      </c>
      <c r="O119" s="14">
        <v>0.62388119474053405</v>
      </c>
      <c r="P119" s="14">
        <v>0.83159798220731296</v>
      </c>
      <c r="Q119" t="str">
        <f t="shared" si="2"/>
        <v>35-49</v>
      </c>
      <c r="R119" t="str">
        <f t="shared" si="3"/>
        <v>[TYnMSwzko3z]|35-49|Female|TX_CURR_SUBNAT.R|CY2022Q4</v>
      </c>
    </row>
    <row r="120" spans="1:18" x14ac:dyDescent="0.2">
      <c r="A120" s="8"/>
      <c r="B120" s="8"/>
      <c r="C120" s="8"/>
      <c r="D120" s="13" t="s">
        <v>77</v>
      </c>
      <c r="E120" s="13" t="s">
        <v>78</v>
      </c>
      <c r="F120" s="13" t="s">
        <v>79</v>
      </c>
      <c r="G120" s="13" t="s">
        <v>25</v>
      </c>
      <c r="H120" s="13" t="s">
        <v>26</v>
      </c>
      <c r="I120" t="s">
        <v>44</v>
      </c>
      <c r="J120" s="13" t="s">
        <v>45</v>
      </c>
      <c r="K120" s="13" t="s">
        <v>29</v>
      </c>
      <c r="L120" s="13" t="s">
        <v>30</v>
      </c>
      <c r="M120" t="s">
        <v>31</v>
      </c>
      <c r="N120">
        <v>801</v>
      </c>
      <c r="O120" s="14">
        <v>0.67326861480250999</v>
      </c>
      <c r="P120" s="14">
        <v>0.83159798220731296</v>
      </c>
      <c r="Q120" t="str">
        <f t="shared" si="2"/>
        <v>50+</v>
      </c>
      <c r="R120" t="str">
        <f t="shared" si="3"/>
        <v>[TYnMSwzko3z]|50+|Female|TX_CURR_SUBNAT.R|CY2022Q4</v>
      </c>
    </row>
    <row r="121" spans="1:18" x14ac:dyDescent="0.2">
      <c r="A121" s="8"/>
      <c r="B121" s="8"/>
      <c r="C121" s="8"/>
      <c r="D121" s="13" t="s">
        <v>77</v>
      </c>
      <c r="E121" s="13" t="s">
        <v>78</v>
      </c>
      <c r="F121" s="13" t="s">
        <v>79</v>
      </c>
      <c r="G121" s="13" t="s">
        <v>25</v>
      </c>
      <c r="H121" s="13" t="s">
        <v>26</v>
      </c>
      <c r="I121" t="s">
        <v>27</v>
      </c>
      <c r="J121" s="13" t="s">
        <v>28</v>
      </c>
      <c r="K121" s="13" t="s">
        <v>47</v>
      </c>
      <c r="L121" s="13" t="s">
        <v>48</v>
      </c>
      <c r="M121" t="s">
        <v>31</v>
      </c>
      <c r="N121">
        <v>694</v>
      </c>
      <c r="O121" s="14">
        <v>0.58748532435856804</v>
      </c>
      <c r="P121" s="14">
        <v>0.83159798220731296</v>
      </c>
      <c r="Q121" t="str">
        <f t="shared" si="2"/>
        <v>&lt;01</v>
      </c>
      <c r="R121" t="str">
        <f t="shared" si="3"/>
        <v>[TYnMSwzko3z]|&lt;01|Male|TX_CURR_SUBNAT.R|CY2022Q4</v>
      </c>
    </row>
    <row r="122" spans="1:18" x14ac:dyDescent="0.2">
      <c r="A122" s="8"/>
      <c r="B122" s="8"/>
      <c r="C122" s="8"/>
      <c r="D122" s="13" t="s">
        <v>77</v>
      </c>
      <c r="E122" s="13" t="s">
        <v>78</v>
      </c>
      <c r="F122" s="13" t="s">
        <v>79</v>
      </c>
      <c r="G122" s="13" t="s">
        <v>25</v>
      </c>
      <c r="H122" s="13" t="s">
        <v>26</v>
      </c>
      <c r="I122" t="s">
        <v>32</v>
      </c>
      <c r="J122" s="13" t="s">
        <v>33</v>
      </c>
      <c r="K122" s="13" t="s">
        <v>47</v>
      </c>
      <c r="L122" s="13" t="s">
        <v>48</v>
      </c>
      <c r="M122" t="s">
        <v>31</v>
      </c>
      <c r="N122">
        <v>1290</v>
      </c>
      <c r="O122" s="14">
        <v>9.9876193096861202E-2</v>
      </c>
      <c r="P122" s="14">
        <v>0.83159798220731296</v>
      </c>
      <c r="Q122" t="str">
        <f t="shared" si="2"/>
        <v>01-09</v>
      </c>
      <c r="R122" t="str">
        <f t="shared" si="3"/>
        <v>[TYnMSwzko3z]|01-09|Male|TX_CURR_SUBNAT.R|CY2022Q4</v>
      </c>
    </row>
    <row r="123" spans="1:18" x14ac:dyDescent="0.2">
      <c r="A123" s="8"/>
      <c r="B123" s="8"/>
      <c r="C123" s="8"/>
      <c r="D123" s="13" t="s">
        <v>77</v>
      </c>
      <c r="E123" s="13" t="s">
        <v>78</v>
      </c>
      <c r="F123" s="13" t="s">
        <v>79</v>
      </c>
      <c r="G123" s="13" t="s">
        <v>25</v>
      </c>
      <c r="H123" s="13" t="s">
        <v>26</v>
      </c>
      <c r="I123" t="s">
        <v>35</v>
      </c>
      <c r="J123" s="13" t="s">
        <v>36</v>
      </c>
      <c r="K123" s="13" t="s">
        <v>47</v>
      </c>
      <c r="L123" s="13" t="s">
        <v>48</v>
      </c>
      <c r="M123" t="s">
        <v>31</v>
      </c>
      <c r="N123">
        <v>1844</v>
      </c>
      <c r="O123" s="14">
        <v>0.96810941840522002</v>
      </c>
      <c r="P123" s="14">
        <v>0.83159798220731296</v>
      </c>
      <c r="Q123" t="str">
        <f t="shared" si="2"/>
        <v>10-14</v>
      </c>
      <c r="R123" t="str">
        <f t="shared" si="3"/>
        <v>[TYnMSwzko3z]|10-14|Male|TX_CURR_SUBNAT.R|CY2022Q4</v>
      </c>
    </row>
    <row r="124" spans="1:18" x14ac:dyDescent="0.2">
      <c r="A124" s="8"/>
      <c r="B124" s="8"/>
      <c r="C124" s="8"/>
      <c r="D124" s="13" t="s">
        <v>77</v>
      </c>
      <c r="E124" s="13" t="s">
        <v>78</v>
      </c>
      <c r="F124" s="13" t="s">
        <v>79</v>
      </c>
      <c r="G124" s="13" t="s">
        <v>25</v>
      </c>
      <c r="H124" s="13" t="s">
        <v>26</v>
      </c>
      <c r="I124" t="s">
        <v>37</v>
      </c>
      <c r="J124" s="13" t="s">
        <v>38</v>
      </c>
      <c r="K124" s="13" t="s">
        <v>47</v>
      </c>
      <c r="L124" s="13" t="s">
        <v>48</v>
      </c>
      <c r="M124" t="s">
        <v>31</v>
      </c>
      <c r="N124">
        <v>532</v>
      </c>
      <c r="O124" s="14">
        <v>0.22497465251945001</v>
      </c>
      <c r="P124" s="14">
        <v>0.83159798220731296</v>
      </c>
      <c r="Q124" t="str">
        <f t="shared" si="2"/>
        <v>15-24</v>
      </c>
      <c r="R124" t="str">
        <f t="shared" si="3"/>
        <v>[TYnMSwzko3z]|15-24|Male|TX_CURR_SUBNAT.R|CY2022Q4</v>
      </c>
    </row>
    <row r="125" spans="1:18" x14ac:dyDescent="0.2">
      <c r="A125" s="8"/>
      <c r="B125" s="8"/>
      <c r="C125" s="8"/>
      <c r="D125" s="13" t="s">
        <v>77</v>
      </c>
      <c r="E125" s="13" t="s">
        <v>78</v>
      </c>
      <c r="F125" s="13" t="s">
        <v>79</v>
      </c>
      <c r="G125" s="13" t="s">
        <v>25</v>
      </c>
      <c r="H125" s="13" t="s">
        <v>26</v>
      </c>
      <c r="I125" t="s">
        <v>40</v>
      </c>
      <c r="J125" s="13" t="s">
        <v>41</v>
      </c>
      <c r="K125" s="13" t="s">
        <v>47</v>
      </c>
      <c r="L125" s="13" t="s">
        <v>48</v>
      </c>
      <c r="M125" t="s">
        <v>31</v>
      </c>
      <c r="N125">
        <v>1653</v>
      </c>
      <c r="O125" s="14">
        <v>0.24295080150477599</v>
      </c>
      <c r="P125" s="14">
        <v>0.83159798220731296</v>
      </c>
      <c r="Q125" t="str">
        <f t="shared" si="2"/>
        <v>25-34</v>
      </c>
      <c r="R125" t="str">
        <f t="shared" si="3"/>
        <v>[TYnMSwzko3z]|25-34|Male|TX_CURR_SUBNAT.R|CY2022Q4</v>
      </c>
    </row>
    <row r="126" spans="1:18" x14ac:dyDescent="0.2">
      <c r="A126" s="8"/>
      <c r="B126" s="8"/>
      <c r="C126" s="8"/>
      <c r="D126" s="13" t="s">
        <v>77</v>
      </c>
      <c r="E126" s="13" t="s">
        <v>78</v>
      </c>
      <c r="F126" s="13" t="s">
        <v>79</v>
      </c>
      <c r="G126" s="13" t="s">
        <v>25</v>
      </c>
      <c r="H126" s="13" t="s">
        <v>26</v>
      </c>
      <c r="I126" t="s">
        <v>42</v>
      </c>
      <c r="J126" s="13" t="s">
        <v>43</v>
      </c>
      <c r="K126" s="13" t="s">
        <v>47</v>
      </c>
      <c r="L126" s="13" t="s">
        <v>48</v>
      </c>
      <c r="M126" t="s">
        <v>31</v>
      </c>
      <c r="N126">
        <v>1530</v>
      </c>
      <c r="O126" s="14">
        <v>0.19121890235692299</v>
      </c>
      <c r="P126" s="14">
        <v>0.83159798220731296</v>
      </c>
      <c r="Q126" t="str">
        <f t="shared" si="2"/>
        <v>35-49</v>
      </c>
      <c r="R126" t="str">
        <f t="shared" si="3"/>
        <v>[TYnMSwzko3z]|35-49|Male|TX_CURR_SUBNAT.R|CY2022Q4</v>
      </c>
    </row>
    <row r="127" spans="1:18" x14ac:dyDescent="0.2">
      <c r="A127" s="8"/>
      <c r="B127" s="8"/>
      <c r="C127" s="8"/>
      <c r="D127" s="13" t="s">
        <v>77</v>
      </c>
      <c r="E127" s="13" t="s">
        <v>78</v>
      </c>
      <c r="F127" s="13" t="s">
        <v>79</v>
      </c>
      <c r="G127" s="13" t="s">
        <v>25</v>
      </c>
      <c r="H127" s="13" t="s">
        <v>26</v>
      </c>
      <c r="I127" t="s">
        <v>44</v>
      </c>
      <c r="J127" s="13" t="s">
        <v>45</v>
      </c>
      <c r="K127" s="13" t="s">
        <v>47</v>
      </c>
      <c r="L127" s="13" t="s">
        <v>48</v>
      </c>
      <c r="M127" t="s">
        <v>31</v>
      </c>
      <c r="N127">
        <v>1764</v>
      </c>
      <c r="O127" s="14">
        <v>0.29377996339462698</v>
      </c>
      <c r="P127" s="14">
        <v>0.83159798220731296</v>
      </c>
      <c r="Q127" t="str">
        <f t="shared" si="2"/>
        <v>50+</v>
      </c>
      <c r="R127" t="str">
        <f t="shared" si="3"/>
        <v>[TYnMSwzko3z]|50+|Male|TX_CURR_SUBNAT.R|CY2022Q4</v>
      </c>
    </row>
    <row r="128" spans="1:18" x14ac:dyDescent="0.2">
      <c r="A128" s="8"/>
      <c r="B128" s="8"/>
      <c r="C128" s="8"/>
      <c r="D128" s="13" t="s">
        <v>80</v>
      </c>
      <c r="E128" s="13" t="s">
        <v>81</v>
      </c>
      <c r="F128" s="13" t="s">
        <v>82</v>
      </c>
      <c r="G128" s="13" t="s">
        <v>25</v>
      </c>
      <c r="H128" s="13" t="s">
        <v>26</v>
      </c>
      <c r="I128" t="s">
        <v>27</v>
      </c>
      <c r="J128" s="13" t="s">
        <v>28</v>
      </c>
      <c r="K128" s="13" t="s">
        <v>29</v>
      </c>
      <c r="L128" s="13" t="s">
        <v>30</v>
      </c>
      <c r="M128" t="s">
        <v>31</v>
      </c>
      <c r="N128">
        <v>950</v>
      </c>
      <c r="O128" s="14">
        <v>0.40459573874250099</v>
      </c>
      <c r="P128" s="14">
        <v>0.14333142153918699</v>
      </c>
      <c r="Q128" t="str">
        <f t="shared" si="2"/>
        <v>&lt;01</v>
      </c>
      <c r="R128" t="str">
        <f t="shared" si="3"/>
        <v>[ir8wuHHzoSs]|&lt;01|Female|TX_CURR_SUBNAT.R|CY2022Q4</v>
      </c>
    </row>
    <row r="129" spans="1:18" x14ac:dyDescent="0.2">
      <c r="A129" s="8"/>
      <c r="B129" s="8"/>
      <c r="C129" s="8"/>
      <c r="D129" s="13" t="s">
        <v>80</v>
      </c>
      <c r="E129" s="13" t="s">
        <v>81</v>
      </c>
      <c r="F129" s="13" t="s">
        <v>82</v>
      </c>
      <c r="G129" s="13" t="s">
        <v>25</v>
      </c>
      <c r="H129" s="13" t="s">
        <v>26</v>
      </c>
      <c r="I129" t="s">
        <v>32</v>
      </c>
      <c r="J129" s="13" t="s">
        <v>33</v>
      </c>
      <c r="K129" s="13" t="s">
        <v>29</v>
      </c>
      <c r="L129" s="13" t="s">
        <v>30</v>
      </c>
      <c r="M129" t="s">
        <v>31</v>
      </c>
      <c r="N129">
        <v>1811</v>
      </c>
      <c r="O129" s="14">
        <v>0.38143202266655901</v>
      </c>
      <c r="P129" s="14">
        <v>0.14333142153918699</v>
      </c>
      <c r="Q129" t="str">
        <f t="shared" si="2"/>
        <v>01-09</v>
      </c>
      <c r="R129" t="str">
        <f t="shared" si="3"/>
        <v>[ir8wuHHzoSs]|01-09|Female|TX_CURR_SUBNAT.R|CY2022Q4</v>
      </c>
    </row>
    <row r="130" spans="1:18" x14ac:dyDescent="0.2">
      <c r="A130" s="8"/>
      <c r="B130" s="8"/>
      <c r="C130" s="8"/>
      <c r="D130" s="13" t="s">
        <v>80</v>
      </c>
      <c r="E130" s="13" t="s">
        <v>81</v>
      </c>
      <c r="F130" s="13" t="s">
        <v>82</v>
      </c>
      <c r="G130" s="13" t="s">
        <v>25</v>
      </c>
      <c r="H130" s="13" t="s">
        <v>26</v>
      </c>
      <c r="I130" t="s">
        <v>35</v>
      </c>
      <c r="J130" s="13" t="s">
        <v>36</v>
      </c>
      <c r="K130" s="13" t="s">
        <v>29</v>
      </c>
      <c r="L130" s="13" t="s">
        <v>30</v>
      </c>
      <c r="M130" t="s">
        <v>31</v>
      </c>
      <c r="N130">
        <v>867</v>
      </c>
      <c r="O130" s="14">
        <v>0.71157887787558105</v>
      </c>
      <c r="P130" s="14">
        <v>0.14333142153918699</v>
      </c>
      <c r="Q130" t="str">
        <f t="shared" ref="Q130:Q193" si="4">SUBSTITUTE(SUBSTITUTE($I130,CHAR(61),""),CHAR(34),"")</f>
        <v>10-14</v>
      </c>
      <c r="R130" t="str">
        <f t="shared" ref="R130:R193" si="5">IF($D130&lt;&gt;"","["&amp;$E130&amp;"]"&amp;"|"&amp;$Q130&amp;"|"&amp;$K130&amp;"|"&amp;$G130&amp;"|"&amp;IF($G130="TX_CURR_SUBNAT.R","CY2022Q4",$M130),"")</f>
        <v>[ir8wuHHzoSs]|10-14|Female|TX_CURR_SUBNAT.R|CY2022Q4</v>
      </c>
    </row>
    <row r="131" spans="1:18" x14ac:dyDescent="0.2">
      <c r="A131" s="8"/>
      <c r="B131" s="8"/>
      <c r="C131" s="8"/>
      <c r="D131" s="13" t="s">
        <v>80</v>
      </c>
      <c r="E131" s="13" t="s">
        <v>81</v>
      </c>
      <c r="F131" s="13" t="s">
        <v>82</v>
      </c>
      <c r="G131" s="13" t="s">
        <v>25</v>
      </c>
      <c r="H131" s="13" t="s">
        <v>26</v>
      </c>
      <c r="I131" t="s">
        <v>37</v>
      </c>
      <c r="J131" s="13" t="s">
        <v>38</v>
      </c>
      <c r="K131" s="13" t="s">
        <v>29</v>
      </c>
      <c r="L131" s="13" t="s">
        <v>30</v>
      </c>
      <c r="M131" t="s">
        <v>31</v>
      </c>
      <c r="N131">
        <v>928</v>
      </c>
      <c r="O131" s="14">
        <v>0.375052478630096</v>
      </c>
      <c r="P131" s="14">
        <v>0.14333142153918699</v>
      </c>
      <c r="Q131" t="str">
        <f t="shared" si="4"/>
        <v>15-24</v>
      </c>
      <c r="R131" t="str">
        <f t="shared" si="5"/>
        <v>[ir8wuHHzoSs]|15-24|Female|TX_CURR_SUBNAT.R|CY2022Q4</v>
      </c>
    </row>
    <row r="132" spans="1:18" x14ac:dyDescent="0.2">
      <c r="A132" s="8"/>
      <c r="B132" s="8"/>
      <c r="C132" s="8"/>
      <c r="D132" s="13" t="s">
        <v>80</v>
      </c>
      <c r="E132" s="13" t="s">
        <v>81</v>
      </c>
      <c r="F132" s="13" t="s">
        <v>82</v>
      </c>
      <c r="G132" s="13" t="s">
        <v>25</v>
      </c>
      <c r="H132" s="13" t="s">
        <v>26</v>
      </c>
      <c r="I132" t="s">
        <v>40</v>
      </c>
      <c r="J132" s="13" t="s">
        <v>41</v>
      </c>
      <c r="K132" s="13" t="s">
        <v>29</v>
      </c>
      <c r="L132" s="13" t="s">
        <v>30</v>
      </c>
      <c r="M132" t="s">
        <v>31</v>
      </c>
      <c r="N132">
        <v>1866</v>
      </c>
      <c r="O132" s="14">
        <v>1.0926144430413801E-2</v>
      </c>
      <c r="P132" s="14">
        <v>0.14333142153918699</v>
      </c>
      <c r="Q132" t="str">
        <f t="shared" si="4"/>
        <v>25-34</v>
      </c>
      <c r="R132" t="str">
        <f t="shared" si="5"/>
        <v>[ir8wuHHzoSs]|25-34|Female|TX_CURR_SUBNAT.R|CY2022Q4</v>
      </c>
    </row>
    <row r="133" spans="1:18" x14ac:dyDescent="0.2">
      <c r="A133" s="8"/>
      <c r="B133" s="8"/>
      <c r="C133" s="8"/>
      <c r="D133" s="13" t="s">
        <v>80</v>
      </c>
      <c r="E133" s="13" t="s">
        <v>81</v>
      </c>
      <c r="F133" s="13" t="s">
        <v>82</v>
      </c>
      <c r="G133" s="13" t="s">
        <v>25</v>
      </c>
      <c r="H133" s="13" t="s">
        <v>26</v>
      </c>
      <c r="I133" t="s">
        <v>42</v>
      </c>
      <c r="J133" s="13" t="s">
        <v>43</v>
      </c>
      <c r="K133" s="13" t="s">
        <v>29</v>
      </c>
      <c r="L133" s="13" t="s">
        <v>30</v>
      </c>
      <c r="M133" t="s">
        <v>31</v>
      </c>
      <c r="N133">
        <v>784</v>
      </c>
      <c r="O133" s="14">
        <v>9.44455543067306E-2</v>
      </c>
      <c r="P133" s="14">
        <v>0.14333142153918699</v>
      </c>
      <c r="Q133" t="str">
        <f t="shared" si="4"/>
        <v>35-49</v>
      </c>
      <c r="R133" t="str">
        <f t="shared" si="5"/>
        <v>[ir8wuHHzoSs]|35-49|Female|TX_CURR_SUBNAT.R|CY2022Q4</v>
      </c>
    </row>
    <row r="134" spans="1:18" x14ac:dyDescent="0.2">
      <c r="A134" s="8"/>
      <c r="B134" s="8"/>
      <c r="C134" s="8"/>
      <c r="D134" s="13" t="s">
        <v>80</v>
      </c>
      <c r="E134" s="13" t="s">
        <v>81</v>
      </c>
      <c r="F134" s="13" t="s">
        <v>82</v>
      </c>
      <c r="G134" s="13" t="s">
        <v>25</v>
      </c>
      <c r="H134" s="13" t="s">
        <v>26</v>
      </c>
      <c r="I134" t="s">
        <v>44</v>
      </c>
      <c r="J134" s="13" t="s">
        <v>45</v>
      </c>
      <c r="K134" s="13" t="s">
        <v>29</v>
      </c>
      <c r="L134" s="13" t="s">
        <v>30</v>
      </c>
      <c r="M134" t="s">
        <v>31</v>
      </c>
      <c r="N134">
        <v>937</v>
      </c>
      <c r="O134" s="14">
        <v>0.33168348856270302</v>
      </c>
      <c r="P134" s="14">
        <v>0.14333142153918699</v>
      </c>
      <c r="Q134" t="str">
        <f t="shared" si="4"/>
        <v>50+</v>
      </c>
      <c r="R134" t="str">
        <f t="shared" si="5"/>
        <v>[ir8wuHHzoSs]|50+|Female|TX_CURR_SUBNAT.R|CY2022Q4</v>
      </c>
    </row>
    <row r="135" spans="1:18" x14ac:dyDescent="0.2">
      <c r="A135" s="8"/>
      <c r="B135" s="8"/>
      <c r="C135" s="8"/>
      <c r="D135" s="13" t="s">
        <v>80</v>
      </c>
      <c r="E135" s="13" t="s">
        <v>81</v>
      </c>
      <c r="F135" s="13" t="s">
        <v>82</v>
      </c>
      <c r="G135" s="13" t="s">
        <v>25</v>
      </c>
      <c r="H135" s="13" t="s">
        <v>26</v>
      </c>
      <c r="I135" t="s">
        <v>27</v>
      </c>
      <c r="J135" s="13" t="s">
        <v>28</v>
      </c>
      <c r="K135" s="13" t="s">
        <v>47</v>
      </c>
      <c r="L135" s="13" t="s">
        <v>48</v>
      </c>
      <c r="M135" t="s">
        <v>31</v>
      </c>
      <c r="N135">
        <v>912</v>
      </c>
      <c r="O135" s="14">
        <v>0.29790354799479202</v>
      </c>
      <c r="P135" s="14">
        <v>0.14333142153918699</v>
      </c>
      <c r="Q135" t="str">
        <f t="shared" si="4"/>
        <v>&lt;01</v>
      </c>
      <c r="R135" t="str">
        <f t="shared" si="5"/>
        <v>[ir8wuHHzoSs]|&lt;01|Male|TX_CURR_SUBNAT.R|CY2022Q4</v>
      </c>
    </row>
    <row r="136" spans="1:18" x14ac:dyDescent="0.2">
      <c r="A136" s="8"/>
      <c r="B136" s="8"/>
      <c r="C136" s="8"/>
      <c r="D136" s="13" t="s">
        <v>80</v>
      </c>
      <c r="E136" s="13" t="s">
        <v>81</v>
      </c>
      <c r="F136" s="13" t="s">
        <v>82</v>
      </c>
      <c r="G136" s="13" t="s">
        <v>25</v>
      </c>
      <c r="H136" s="13" t="s">
        <v>26</v>
      </c>
      <c r="I136" t="s">
        <v>32</v>
      </c>
      <c r="J136" s="13" t="s">
        <v>33</v>
      </c>
      <c r="K136" s="13" t="s">
        <v>47</v>
      </c>
      <c r="L136" s="13" t="s">
        <v>48</v>
      </c>
      <c r="M136" t="s">
        <v>31</v>
      </c>
      <c r="N136">
        <v>943</v>
      </c>
      <c r="O136" s="14">
        <v>0.102209242992103</v>
      </c>
      <c r="P136" s="14">
        <v>0.14333142153918699</v>
      </c>
      <c r="Q136" t="str">
        <f t="shared" si="4"/>
        <v>01-09</v>
      </c>
      <c r="R136" t="str">
        <f t="shared" si="5"/>
        <v>[ir8wuHHzoSs]|01-09|Male|TX_CURR_SUBNAT.R|CY2022Q4</v>
      </c>
    </row>
    <row r="137" spans="1:18" x14ac:dyDescent="0.2">
      <c r="A137" s="8"/>
      <c r="B137" s="8"/>
      <c r="C137" s="8"/>
      <c r="D137" s="13" t="s">
        <v>80</v>
      </c>
      <c r="E137" s="13" t="s">
        <v>81</v>
      </c>
      <c r="F137" s="13" t="s">
        <v>82</v>
      </c>
      <c r="G137" s="13" t="s">
        <v>25</v>
      </c>
      <c r="H137" s="13" t="s">
        <v>26</v>
      </c>
      <c r="I137" t="s">
        <v>35</v>
      </c>
      <c r="J137" s="13" t="s">
        <v>36</v>
      </c>
      <c r="K137" s="13" t="s">
        <v>47</v>
      </c>
      <c r="L137" s="13" t="s">
        <v>48</v>
      </c>
      <c r="M137" t="s">
        <v>31</v>
      </c>
      <c r="N137">
        <v>1588</v>
      </c>
      <c r="O137" s="14">
        <v>0.52589520509354803</v>
      </c>
      <c r="P137" s="14">
        <v>0.14333142153918699</v>
      </c>
      <c r="Q137" t="str">
        <f t="shared" si="4"/>
        <v>10-14</v>
      </c>
      <c r="R137" t="str">
        <f t="shared" si="5"/>
        <v>[ir8wuHHzoSs]|10-14|Male|TX_CURR_SUBNAT.R|CY2022Q4</v>
      </c>
    </row>
    <row r="138" spans="1:18" x14ac:dyDescent="0.2">
      <c r="A138" s="8"/>
      <c r="B138" s="8"/>
      <c r="C138" s="8"/>
      <c r="D138" s="13" t="s">
        <v>80</v>
      </c>
      <c r="E138" s="13" t="s">
        <v>81</v>
      </c>
      <c r="F138" s="13" t="s">
        <v>82</v>
      </c>
      <c r="G138" s="13" t="s">
        <v>25</v>
      </c>
      <c r="H138" s="13" t="s">
        <v>26</v>
      </c>
      <c r="I138" t="s">
        <v>37</v>
      </c>
      <c r="J138" s="13" t="s">
        <v>38</v>
      </c>
      <c r="K138" s="13" t="s">
        <v>47</v>
      </c>
      <c r="L138" s="13" t="s">
        <v>48</v>
      </c>
      <c r="M138" t="s">
        <v>31</v>
      </c>
      <c r="N138">
        <v>1773</v>
      </c>
      <c r="O138" s="14">
        <v>0.145870153559372</v>
      </c>
      <c r="P138" s="14">
        <v>0.14333142153918699</v>
      </c>
      <c r="Q138" t="str">
        <f t="shared" si="4"/>
        <v>15-24</v>
      </c>
      <c r="R138" t="str">
        <f t="shared" si="5"/>
        <v>[ir8wuHHzoSs]|15-24|Male|TX_CURR_SUBNAT.R|CY2022Q4</v>
      </c>
    </row>
    <row r="139" spans="1:18" x14ac:dyDescent="0.2">
      <c r="A139" s="8"/>
      <c r="B139" s="8"/>
      <c r="C139" s="8"/>
      <c r="D139" s="13" t="s">
        <v>80</v>
      </c>
      <c r="E139" s="13" t="s">
        <v>81</v>
      </c>
      <c r="F139" s="13" t="s">
        <v>82</v>
      </c>
      <c r="G139" s="13" t="s">
        <v>25</v>
      </c>
      <c r="H139" s="13" t="s">
        <v>26</v>
      </c>
      <c r="I139" t="s">
        <v>40</v>
      </c>
      <c r="J139" s="13" t="s">
        <v>41</v>
      </c>
      <c r="K139" s="13" t="s">
        <v>47</v>
      </c>
      <c r="L139" s="13" t="s">
        <v>48</v>
      </c>
      <c r="M139" t="s">
        <v>31</v>
      </c>
      <c r="N139">
        <v>1770</v>
      </c>
      <c r="O139" s="14">
        <v>0.225752728059888</v>
      </c>
      <c r="P139" s="14">
        <v>0.14333142153918699</v>
      </c>
      <c r="Q139" t="str">
        <f t="shared" si="4"/>
        <v>25-34</v>
      </c>
      <c r="R139" t="str">
        <f t="shared" si="5"/>
        <v>[ir8wuHHzoSs]|25-34|Male|TX_CURR_SUBNAT.R|CY2022Q4</v>
      </c>
    </row>
    <row r="140" spans="1:18" x14ac:dyDescent="0.2">
      <c r="A140" s="8"/>
      <c r="B140" s="8"/>
      <c r="C140" s="8"/>
      <c r="D140" s="13" t="s">
        <v>80</v>
      </c>
      <c r="E140" s="13" t="s">
        <v>81</v>
      </c>
      <c r="F140" s="13" t="s">
        <v>82</v>
      </c>
      <c r="G140" s="13" t="s">
        <v>25</v>
      </c>
      <c r="H140" s="13" t="s">
        <v>26</v>
      </c>
      <c r="I140" t="s">
        <v>42</v>
      </c>
      <c r="J140" s="13" t="s">
        <v>43</v>
      </c>
      <c r="K140" s="13" t="s">
        <v>47</v>
      </c>
      <c r="L140" s="13" t="s">
        <v>48</v>
      </c>
      <c r="M140" t="s">
        <v>31</v>
      </c>
      <c r="N140">
        <v>1925</v>
      </c>
      <c r="O140" s="14">
        <v>0.66594426287338104</v>
      </c>
      <c r="P140" s="14">
        <v>0.14333142153918699</v>
      </c>
      <c r="Q140" t="str">
        <f t="shared" si="4"/>
        <v>35-49</v>
      </c>
      <c r="R140" t="str">
        <f t="shared" si="5"/>
        <v>[ir8wuHHzoSs]|35-49|Male|TX_CURR_SUBNAT.R|CY2022Q4</v>
      </c>
    </row>
    <row r="141" spans="1:18" x14ac:dyDescent="0.2">
      <c r="A141" s="8"/>
      <c r="B141" s="8"/>
      <c r="C141" s="8"/>
      <c r="D141" s="13" t="s">
        <v>80</v>
      </c>
      <c r="E141" s="13" t="s">
        <v>81</v>
      </c>
      <c r="F141" s="13" t="s">
        <v>82</v>
      </c>
      <c r="G141" s="13" t="s">
        <v>25</v>
      </c>
      <c r="H141" s="13" t="s">
        <v>26</v>
      </c>
      <c r="I141" t="s">
        <v>44</v>
      </c>
      <c r="J141" s="13" t="s">
        <v>45</v>
      </c>
      <c r="K141" s="13" t="s">
        <v>47</v>
      </c>
      <c r="L141" s="13" t="s">
        <v>48</v>
      </c>
      <c r="M141" t="s">
        <v>31</v>
      </c>
      <c r="N141">
        <v>789</v>
      </c>
      <c r="O141" s="14">
        <v>0.82093328237533603</v>
      </c>
      <c r="P141" s="14">
        <v>0.14333142153918699</v>
      </c>
      <c r="Q141" t="str">
        <f t="shared" si="4"/>
        <v>50+</v>
      </c>
      <c r="R141" t="str">
        <f t="shared" si="5"/>
        <v>[ir8wuHHzoSs]|50+|Male|TX_CURR_SUBNAT.R|CY2022Q4</v>
      </c>
    </row>
    <row r="142" spans="1:18" x14ac:dyDescent="0.2">
      <c r="A142" s="8"/>
      <c r="B142" s="8"/>
      <c r="C142" s="8"/>
      <c r="D142" s="13" t="s">
        <v>83</v>
      </c>
      <c r="E142" s="13" t="s">
        <v>84</v>
      </c>
      <c r="F142" s="13" t="s">
        <v>85</v>
      </c>
      <c r="G142" s="13" t="s">
        <v>25</v>
      </c>
      <c r="H142" s="13" t="s">
        <v>26</v>
      </c>
      <c r="I142" t="s">
        <v>27</v>
      </c>
      <c r="J142" s="13" t="s">
        <v>28</v>
      </c>
      <c r="K142" s="13" t="s">
        <v>29</v>
      </c>
      <c r="L142" s="13" t="s">
        <v>30</v>
      </c>
      <c r="M142" t="s">
        <v>31</v>
      </c>
      <c r="N142">
        <v>745</v>
      </c>
      <c r="O142" s="14">
        <v>0.73598111863248095</v>
      </c>
      <c r="P142" s="14">
        <v>2.9788714367896301E-2</v>
      </c>
      <c r="Q142" t="str">
        <f t="shared" si="4"/>
        <v>&lt;01</v>
      </c>
      <c r="R142" t="str">
        <f t="shared" si="5"/>
        <v>[fyEoGEPERdI]|&lt;01|Female|TX_CURR_SUBNAT.R|CY2022Q4</v>
      </c>
    </row>
    <row r="143" spans="1:18" x14ac:dyDescent="0.2">
      <c r="A143" s="8"/>
      <c r="B143" s="8"/>
      <c r="C143" s="8"/>
      <c r="D143" s="13" t="s">
        <v>83</v>
      </c>
      <c r="E143" s="13" t="s">
        <v>84</v>
      </c>
      <c r="F143" s="13" t="s">
        <v>85</v>
      </c>
      <c r="G143" s="13" t="s">
        <v>25</v>
      </c>
      <c r="H143" s="13" t="s">
        <v>26</v>
      </c>
      <c r="I143" t="s">
        <v>32</v>
      </c>
      <c r="J143" s="13" t="s">
        <v>33</v>
      </c>
      <c r="K143" s="13" t="s">
        <v>29</v>
      </c>
      <c r="L143" s="13" t="s">
        <v>30</v>
      </c>
      <c r="M143" t="s">
        <v>31</v>
      </c>
      <c r="N143">
        <v>950</v>
      </c>
      <c r="O143" s="14">
        <v>0.77579400688409805</v>
      </c>
      <c r="P143" s="14">
        <v>2.9788714367896301E-2</v>
      </c>
      <c r="Q143" t="str">
        <f t="shared" si="4"/>
        <v>01-09</v>
      </c>
      <c r="R143" t="str">
        <f t="shared" si="5"/>
        <v>[fyEoGEPERdI]|01-09|Female|TX_CURR_SUBNAT.R|CY2022Q4</v>
      </c>
    </row>
    <row r="144" spans="1:18" x14ac:dyDescent="0.2">
      <c r="A144" s="8"/>
      <c r="B144" s="8"/>
      <c r="C144" s="8"/>
      <c r="D144" s="13" t="s">
        <v>83</v>
      </c>
      <c r="E144" s="13" t="s">
        <v>84</v>
      </c>
      <c r="F144" s="13" t="s">
        <v>85</v>
      </c>
      <c r="G144" s="13" t="s">
        <v>25</v>
      </c>
      <c r="H144" s="13" t="s">
        <v>26</v>
      </c>
      <c r="I144" t="s">
        <v>35</v>
      </c>
      <c r="J144" s="13" t="s">
        <v>36</v>
      </c>
      <c r="K144" s="13" t="s">
        <v>29</v>
      </c>
      <c r="L144" s="13" t="s">
        <v>30</v>
      </c>
      <c r="M144" t="s">
        <v>31</v>
      </c>
      <c r="N144">
        <v>1804</v>
      </c>
      <c r="O144" s="14">
        <v>0.37639601132832501</v>
      </c>
      <c r="P144" s="14">
        <v>2.9788714367896301E-2</v>
      </c>
      <c r="Q144" t="str">
        <f t="shared" si="4"/>
        <v>10-14</v>
      </c>
      <c r="R144" t="str">
        <f t="shared" si="5"/>
        <v>[fyEoGEPERdI]|10-14|Female|TX_CURR_SUBNAT.R|CY2022Q4</v>
      </c>
    </row>
    <row r="145" spans="1:18" x14ac:dyDescent="0.2">
      <c r="A145" s="8"/>
      <c r="B145" s="8"/>
      <c r="C145" s="8"/>
      <c r="D145" s="13" t="s">
        <v>83</v>
      </c>
      <c r="E145" s="13" t="s">
        <v>84</v>
      </c>
      <c r="F145" s="13" t="s">
        <v>85</v>
      </c>
      <c r="G145" s="13" t="s">
        <v>25</v>
      </c>
      <c r="H145" s="13" t="s">
        <v>26</v>
      </c>
      <c r="I145" t="s">
        <v>37</v>
      </c>
      <c r="J145" s="13" t="s">
        <v>38</v>
      </c>
      <c r="K145" s="13" t="s">
        <v>29</v>
      </c>
      <c r="L145" s="13" t="s">
        <v>30</v>
      </c>
      <c r="M145" t="s">
        <v>31</v>
      </c>
      <c r="N145">
        <v>1098</v>
      </c>
      <c r="O145" s="14">
        <v>0.63211306184530303</v>
      </c>
      <c r="P145" s="14">
        <v>2.9788714367896301E-2</v>
      </c>
      <c r="Q145" t="str">
        <f t="shared" si="4"/>
        <v>15-24</v>
      </c>
      <c r="R145" t="str">
        <f t="shared" si="5"/>
        <v>[fyEoGEPERdI]|15-24|Female|TX_CURR_SUBNAT.R|CY2022Q4</v>
      </c>
    </row>
    <row r="146" spans="1:18" x14ac:dyDescent="0.2">
      <c r="A146" s="8"/>
      <c r="B146" s="8"/>
      <c r="C146" s="8"/>
      <c r="D146" s="13" t="s">
        <v>83</v>
      </c>
      <c r="E146" s="13" t="s">
        <v>84</v>
      </c>
      <c r="F146" s="13" t="s">
        <v>85</v>
      </c>
      <c r="G146" s="13" t="s">
        <v>25</v>
      </c>
      <c r="H146" s="13" t="s">
        <v>26</v>
      </c>
      <c r="I146" t="s">
        <v>40</v>
      </c>
      <c r="J146" s="13" t="s">
        <v>41</v>
      </c>
      <c r="K146" s="13" t="s">
        <v>29</v>
      </c>
      <c r="L146" s="13" t="s">
        <v>30</v>
      </c>
      <c r="M146" t="s">
        <v>31</v>
      </c>
      <c r="N146">
        <v>1564</v>
      </c>
      <c r="O146" s="14">
        <v>0.55589710711501505</v>
      </c>
      <c r="P146" s="14">
        <v>2.9788714367896301E-2</v>
      </c>
      <c r="Q146" t="str">
        <f t="shared" si="4"/>
        <v>25-34</v>
      </c>
      <c r="R146" t="str">
        <f t="shared" si="5"/>
        <v>[fyEoGEPERdI]|25-34|Female|TX_CURR_SUBNAT.R|CY2022Q4</v>
      </c>
    </row>
    <row r="147" spans="1:18" x14ac:dyDescent="0.2">
      <c r="A147" s="8"/>
      <c r="B147" s="8"/>
      <c r="C147" s="8"/>
      <c r="D147" s="13" t="s">
        <v>83</v>
      </c>
      <c r="E147" s="13" t="s">
        <v>84</v>
      </c>
      <c r="F147" s="13" t="s">
        <v>85</v>
      </c>
      <c r="G147" s="13" t="s">
        <v>25</v>
      </c>
      <c r="H147" s="13" t="s">
        <v>26</v>
      </c>
      <c r="I147" t="s">
        <v>42</v>
      </c>
      <c r="J147" s="13" t="s">
        <v>43</v>
      </c>
      <c r="K147" s="13" t="s">
        <v>29</v>
      </c>
      <c r="L147" s="13" t="s">
        <v>30</v>
      </c>
      <c r="M147" t="s">
        <v>31</v>
      </c>
      <c r="N147">
        <v>1397</v>
      </c>
      <c r="O147" s="14">
        <v>0.53562853764742602</v>
      </c>
      <c r="P147" s="14">
        <v>2.9788714367896301E-2</v>
      </c>
      <c r="Q147" t="str">
        <f t="shared" si="4"/>
        <v>35-49</v>
      </c>
      <c r="R147" t="str">
        <f t="shared" si="5"/>
        <v>[fyEoGEPERdI]|35-49|Female|TX_CURR_SUBNAT.R|CY2022Q4</v>
      </c>
    </row>
    <row r="148" spans="1:18" x14ac:dyDescent="0.2">
      <c r="A148" s="8"/>
      <c r="B148" s="8"/>
      <c r="C148" s="8"/>
      <c r="D148" s="13" t="s">
        <v>83</v>
      </c>
      <c r="E148" s="13" t="s">
        <v>84</v>
      </c>
      <c r="F148" s="13" t="s">
        <v>85</v>
      </c>
      <c r="G148" s="13" t="s">
        <v>25</v>
      </c>
      <c r="H148" s="13" t="s">
        <v>26</v>
      </c>
      <c r="I148" t="s">
        <v>44</v>
      </c>
      <c r="J148" s="13" t="s">
        <v>45</v>
      </c>
      <c r="K148" s="13" t="s">
        <v>29</v>
      </c>
      <c r="L148" s="13" t="s">
        <v>30</v>
      </c>
      <c r="M148" t="s">
        <v>31</v>
      </c>
      <c r="N148">
        <v>626</v>
      </c>
      <c r="O148" s="14">
        <v>0.35207028361037401</v>
      </c>
      <c r="P148" s="14">
        <v>2.9788714367896301E-2</v>
      </c>
      <c r="Q148" t="str">
        <f t="shared" si="4"/>
        <v>50+</v>
      </c>
      <c r="R148" t="str">
        <f t="shared" si="5"/>
        <v>[fyEoGEPERdI]|50+|Female|TX_CURR_SUBNAT.R|CY2022Q4</v>
      </c>
    </row>
    <row r="149" spans="1:18" x14ac:dyDescent="0.2">
      <c r="A149" s="8"/>
      <c r="B149" s="8"/>
      <c r="C149" s="8"/>
      <c r="D149" s="13" t="s">
        <v>83</v>
      </c>
      <c r="E149" s="13" t="s">
        <v>84</v>
      </c>
      <c r="F149" s="13" t="s">
        <v>85</v>
      </c>
      <c r="G149" s="13" t="s">
        <v>25</v>
      </c>
      <c r="H149" s="13" t="s">
        <v>26</v>
      </c>
      <c r="I149" t="s">
        <v>27</v>
      </c>
      <c r="J149" s="13" t="s">
        <v>28</v>
      </c>
      <c r="K149" s="13" t="s">
        <v>47</v>
      </c>
      <c r="L149" s="13" t="s">
        <v>48</v>
      </c>
      <c r="M149" t="s">
        <v>31</v>
      </c>
      <c r="N149">
        <v>1932</v>
      </c>
      <c r="O149" s="14">
        <v>0.78935221047140702</v>
      </c>
      <c r="P149" s="14">
        <v>2.9788714367896301E-2</v>
      </c>
      <c r="Q149" t="str">
        <f t="shared" si="4"/>
        <v>&lt;01</v>
      </c>
      <c r="R149" t="str">
        <f t="shared" si="5"/>
        <v>[fyEoGEPERdI]|&lt;01|Male|TX_CURR_SUBNAT.R|CY2022Q4</v>
      </c>
    </row>
    <row r="150" spans="1:18" x14ac:dyDescent="0.2">
      <c r="A150" s="8"/>
      <c r="B150" s="8"/>
      <c r="C150" s="8"/>
      <c r="D150" s="13" t="s">
        <v>83</v>
      </c>
      <c r="E150" s="13" t="s">
        <v>84</v>
      </c>
      <c r="F150" s="13" t="s">
        <v>85</v>
      </c>
      <c r="G150" s="13" t="s">
        <v>25</v>
      </c>
      <c r="H150" s="13" t="s">
        <v>26</v>
      </c>
      <c r="I150" t="s">
        <v>32</v>
      </c>
      <c r="J150" s="13" t="s">
        <v>33</v>
      </c>
      <c r="K150" s="13" t="s">
        <v>47</v>
      </c>
      <c r="L150" s="13" t="s">
        <v>48</v>
      </c>
      <c r="M150" t="s">
        <v>31</v>
      </c>
      <c r="N150">
        <v>1158</v>
      </c>
      <c r="O150" s="14">
        <v>0.97601437289267801</v>
      </c>
      <c r="P150" s="14">
        <v>2.9788714367896301E-2</v>
      </c>
      <c r="Q150" t="str">
        <f t="shared" si="4"/>
        <v>01-09</v>
      </c>
      <c r="R150" t="str">
        <f t="shared" si="5"/>
        <v>[fyEoGEPERdI]|01-09|Male|TX_CURR_SUBNAT.R|CY2022Q4</v>
      </c>
    </row>
    <row r="151" spans="1:18" x14ac:dyDescent="0.2">
      <c r="A151" s="8"/>
      <c r="B151" s="8"/>
      <c r="C151" s="8"/>
      <c r="D151" s="13" t="s">
        <v>83</v>
      </c>
      <c r="E151" s="13" t="s">
        <v>84</v>
      </c>
      <c r="F151" s="13" t="s">
        <v>85</v>
      </c>
      <c r="G151" s="13" t="s">
        <v>25</v>
      </c>
      <c r="H151" s="13" t="s">
        <v>26</v>
      </c>
      <c r="I151" t="s">
        <v>35</v>
      </c>
      <c r="J151" s="13" t="s">
        <v>36</v>
      </c>
      <c r="K151" s="13" t="s">
        <v>47</v>
      </c>
      <c r="L151" s="13" t="s">
        <v>48</v>
      </c>
      <c r="M151" t="s">
        <v>31</v>
      </c>
      <c r="N151">
        <v>1660</v>
      </c>
      <c r="O151" s="14">
        <v>0.39245340577326698</v>
      </c>
      <c r="P151" s="14">
        <v>2.9788714367896301E-2</v>
      </c>
      <c r="Q151" t="str">
        <f t="shared" si="4"/>
        <v>10-14</v>
      </c>
      <c r="R151" t="str">
        <f t="shared" si="5"/>
        <v>[fyEoGEPERdI]|10-14|Male|TX_CURR_SUBNAT.R|CY2022Q4</v>
      </c>
    </row>
    <row r="152" spans="1:18" x14ac:dyDescent="0.2">
      <c r="A152" s="8"/>
      <c r="B152" s="8"/>
      <c r="C152" s="8"/>
      <c r="D152" s="13" t="s">
        <v>83</v>
      </c>
      <c r="E152" s="13" t="s">
        <v>84</v>
      </c>
      <c r="F152" s="13" t="s">
        <v>85</v>
      </c>
      <c r="G152" s="13" t="s">
        <v>25</v>
      </c>
      <c r="H152" s="13" t="s">
        <v>26</v>
      </c>
      <c r="I152" t="s">
        <v>37</v>
      </c>
      <c r="J152" s="13" t="s">
        <v>38</v>
      </c>
      <c r="K152" s="13" t="s">
        <v>47</v>
      </c>
      <c r="L152" s="13" t="s">
        <v>48</v>
      </c>
      <c r="M152" t="s">
        <v>31</v>
      </c>
      <c r="N152">
        <v>1194</v>
      </c>
      <c r="O152" s="14">
        <v>0.387440664926544</v>
      </c>
      <c r="P152" s="14">
        <v>2.9788714367896301E-2</v>
      </c>
      <c r="Q152" t="str">
        <f t="shared" si="4"/>
        <v>15-24</v>
      </c>
      <c r="R152" t="str">
        <f t="shared" si="5"/>
        <v>[fyEoGEPERdI]|15-24|Male|TX_CURR_SUBNAT.R|CY2022Q4</v>
      </c>
    </row>
    <row r="153" spans="1:18" x14ac:dyDescent="0.2">
      <c r="A153" s="8"/>
      <c r="B153" s="8"/>
      <c r="C153" s="8"/>
      <c r="D153" s="13" t="s">
        <v>83</v>
      </c>
      <c r="E153" s="13" t="s">
        <v>84</v>
      </c>
      <c r="F153" s="13" t="s">
        <v>85</v>
      </c>
      <c r="G153" s="13" t="s">
        <v>25</v>
      </c>
      <c r="H153" s="13" t="s">
        <v>26</v>
      </c>
      <c r="I153" t="s">
        <v>40</v>
      </c>
      <c r="J153" s="13" t="s">
        <v>41</v>
      </c>
      <c r="K153" s="13" t="s">
        <v>47</v>
      </c>
      <c r="L153" s="13" t="s">
        <v>48</v>
      </c>
      <c r="M153" t="s">
        <v>31</v>
      </c>
      <c r="N153">
        <v>1513</v>
      </c>
      <c r="O153" s="14">
        <v>0.58707492914982096</v>
      </c>
      <c r="P153" s="14">
        <v>2.9788714367896301E-2</v>
      </c>
      <c r="Q153" t="str">
        <f t="shared" si="4"/>
        <v>25-34</v>
      </c>
      <c r="R153" t="str">
        <f t="shared" si="5"/>
        <v>[fyEoGEPERdI]|25-34|Male|TX_CURR_SUBNAT.R|CY2022Q4</v>
      </c>
    </row>
    <row r="154" spans="1:18" x14ac:dyDescent="0.2">
      <c r="A154" s="8"/>
      <c r="B154" s="8"/>
      <c r="C154" s="8"/>
      <c r="D154" s="13" t="s">
        <v>83</v>
      </c>
      <c r="E154" s="13" t="s">
        <v>84</v>
      </c>
      <c r="F154" s="13" t="s">
        <v>85</v>
      </c>
      <c r="G154" s="13" t="s">
        <v>25</v>
      </c>
      <c r="H154" s="13" t="s">
        <v>26</v>
      </c>
      <c r="I154" t="s">
        <v>42</v>
      </c>
      <c r="J154" s="13" t="s">
        <v>43</v>
      </c>
      <c r="K154" s="13" t="s">
        <v>47</v>
      </c>
      <c r="L154" s="13" t="s">
        <v>48</v>
      </c>
      <c r="M154" t="s">
        <v>31</v>
      </c>
      <c r="N154">
        <v>1755</v>
      </c>
      <c r="O154" s="14">
        <v>0.58872615662403405</v>
      </c>
      <c r="P154" s="14">
        <v>2.9788714367896301E-2</v>
      </c>
      <c r="Q154" t="str">
        <f t="shared" si="4"/>
        <v>35-49</v>
      </c>
      <c r="R154" t="str">
        <f t="shared" si="5"/>
        <v>[fyEoGEPERdI]|35-49|Male|TX_CURR_SUBNAT.R|CY2022Q4</v>
      </c>
    </row>
    <row r="155" spans="1:18" x14ac:dyDescent="0.2">
      <c r="A155" s="8"/>
      <c r="B155" s="8"/>
      <c r="C155" s="8"/>
      <c r="D155" s="13" t="s">
        <v>83</v>
      </c>
      <c r="E155" s="13" t="s">
        <v>84</v>
      </c>
      <c r="F155" s="13" t="s">
        <v>85</v>
      </c>
      <c r="G155" s="13" t="s">
        <v>25</v>
      </c>
      <c r="H155" s="13" t="s">
        <v>26</v>
      </c>
      <c r="I155" t="s">
        <v>44</v>
      </c>
      <c r="J155" s="13" t="s">
        <v>45</v>
      </c>
      <c r="K155" s="13" t="s">
        <v>47</v>
      </c>
      <c r="L155" s="13" t="s">
        <v>48</v>
      </c>
      <c r="M155" t="s">
        <v>31</v>
      </c>
      <c r="N155">
        <v>674</v>
      </c>
      <c r="O155" s="14">
        <v>0.24938984191976499</v>
      </c>
      <c r="P155" s="14">
        <v>2.9788714367896301E-2</v>
      </c>
      <c r="Q155" t="str">
        <f t="shared" si="4"/>
        <v>50+</v>
      </c>
      <c r="R155" t="str">
        <f t="shared" si="5"/>
        <v>[fyEoGEPERdI]|50+|Male|TX_CURR_SUBNAT.R|CY2022Q4</v>
      </c>
    </row>
    <row r="156" spans="1:18" x14ac:dyDescent="0.2">
      <c r="A156" s="8"/>
      <c r="B156" s="8"/>
      <c r="C156" s="8"/>
      <c r="D156" s="13" t="s">
        <v>86</v>
      </c>
      <c r="E156" s="13" t="s">
        <v>87</v>
      </c>
      <c r="F156" s="13" t="s">
        <v>88</v>
      </c>
      <c r="G156" s="13" t="s">
        <v>25</v>
      </c>
      <c r="H156" s="13" t="s">
        <v>26</v>
      </c>
      <c r="I156" t="s">
        <v>27</v>
      </c>
      <c r="J156" s="13" t="s">
        <v>28</v>
      </c>
      <c r="K156" s="13" t="s">
        <v>29</v>
      </c>
      <c r="L156" s="13" t="s">
        <v>30</v>
      </c>
      <c r="M156" t="s">
        <v>31</v>
      </c>
      <c r="N156">
        <v>620</v>
      </c>
      <c r="O156" s="14">
        <v>0.67942083929665398</v>
      </c>
      <c r="P156" s="14">
        <v>0.13333638082258401</v>
      </c>
      <c r="Q156" t="str">
        <f t="shared" si="4"/>
        <v>&lt;01</v>
      </c>
      <c r="R156" t="str">
        <f t="shared" si="5"/>
        <v>[cPtvxaZqXIH]|&lt;01|Female|TX_CURR_SUBNAT.R|CY2022Q4</v>
      </c>
    </row>
    <row r="157" spans="1:18" x14ac:dyDescent="0.2">
      <c r="A157" s="8"/>
      <c r="B157" s="8"/>
      <c r="C157" s="8"/>
      <c r="D157" s="13" t="s">
        <v>86</v>
      </c>
      <c r="E157" s="13" t="s">
        <v>87</v>
      </c>
      <c r="F157" s="13" t="s">
        <v>88</v>
      </c>
      <c r="G157" s="13" t="s">
        <v>25</v>
      </c>
      <c r="H157" s="13" t="s">
        <v>26</v>
      </c>
      <c r="I157" t="s">
        <v>32</v>
      </c>
      <c r="J157" s="13" t="s">
        <v>33</v>
      </c>
      <c r="K157" s="13" t="s">
        <v>29</v>
      </c>
      <c r="L157" s="13" t="s">
        <v>30</v>
      </c>
      <c r="M157" t="s">
        <v>31</v>
      </c>
      <c r="N157">
        <v>1166</v>
      </c>
      <c r="O157" s="14">
        <v>0.890015400480479</v>
      </c>
      <c r="P157" s="14">
        <v>0.13333638082258401</v>
      </c>
      <c r="Q157" t="str">
        <f t="shared" si="4"/>
        <v>01-09</v>
      </c>
      <c r="R157" t="str">
        <f t="shared" si="5"/>
        <v>[cPtvxaZqXIH]|01-09|Female|TX_CURR_SUBNAT.R|CY2022Q4</v>
      </c>
    </row>
    <row r="158" spans="1:18" x14ac:dyDescent="0.2">
      <c r="A158" s="8"/>
      <c r="B158" s="8"/>
      <c r="C158" s="8"/>
      <c r="D158" s="13" t="s">
        <v>86</v>
      </c>
      <c r="E158" s="13" t="s">
        <v>87</v>
      </c>
      <c r="F158" s="13" t="s">
        <v>88</v>
      </c>
      <c r="G158" s="13" t="s">
        <v>25</v>
      </c>
      <c r="H158" s="13" t="s">
        <v>26</v>
      </c>
      <c r="I158" t="s">
        <v>35</v>
      </c>
      <c r="J158" s="13" t="s">
        <v>36</v>
      </c>
      <c r="K158" s="13" t="s">
        <v>29</v>
      </c>
      <c r="L158" s="13" t="s">
        <v>30</v>
      </c>
      <c r="M158" t="s">
        <v>31</v>
      </c>
      <c r="N158">
        <v>1687</v>
      </c>
      <c r="O158" s="14">
        <v>0.31329447519965498</v>
      </c>
      <c r="P158" s="14">
        <v>0.13333638082258401</v>
      </c>
      <c r="Q158" t="str">
        <f t="shared" si="4"/>
        <v>10-14</v>
      </c>
      <c r="R158" t="str">
        <f t="shared" si="5"/>
        <v>[cPtvxaZqXIH]|10-14|Female|TX_CURR_SUBNAT.R|CY2022Q4</v>
      </c>
    </row>
    <row r="159" spans="1:18" x14ac:dyDescent="0.2">
      <c r="A159" s="8"/>
      <c r="B159" s="8"/>
      <c r="C159" s="8"/>
      <c r="D159" s="13" t="s">
        <v>86</v>
      </c>
      <c r="E159" s="13" t="s">
        <v>87</v>
      </c>
      <c r="F159" s="13" t="s">
        <v>88</v>
      </c>
      <c r="G159" s="13" t="s">
        <v>25</v>
      </c>
      <c r="H159" s="13" t="s">
        <v>26</v>
      </c>
      <c r="I159" t="s">
        <v>37</v>
      </c>
      <c r="J159" s="13" t="s">
        <v>38</v>
      </c>
      <c r="K159" s="13" t="s">
        <v>29</v>
      </c>
      <c r="L159" s="13" t="s">
        <v>30</v>
      </c>
      <c r="M159" t="s">
        <v>31</v>
      </c>
      <c r="N159">
        <v>1556</v>
      </c>
      <c r="O159" s="14">
        <v>0.76904915482737102</v>
      </c>
      <c r="P159" s="14">
        <v>0.13333638082258401</v>
      </c>
      <c r="Q159" t="str">
        <f t="shared" si="4"/>
        <v>15-24</v>
      </c>
      <c r="R159" t="str">
        <f t="shared" si="5"/>
        <v>[cPtvxaZqXIH]|15-24|Female|TX_CURR_SUBNAT.R|CY2022Q4</v>
      </c>
    </row>
    <row r="160" spans="1:18" x14ac:dyDescent="0.2">
      <c r="A160" s="8"/>
      <c r="B160" s="8"/>
      <c r="C160" s="8"/>
      <c r="D160" s="13" t="s">
        <v>86</v>
      </c>
      <c r="E160" s="13" t="s">
        <v>87</v>
      </c>
      <c r="F160" s="13" t="s">
        <v>88</v>
      </c>
      <c r="G160" s="13" t="s">
        <v>25</v>
      </c>
      <c r="H160" s="13" t="s">
        <v>26</v>
      </c>
      <c r="I160" t="s">
        <v>40</v>
      </c>
      <c r="J160" s="13" t="s">
        <v>41</v>
      </c>
      <c r="K160" s="13" t="s">
        <v>29</v>
      </c>
      <c r="L160" s="13" t="s">
        <v>30</v>
      </c>
      <c r="M160" t="s">
        <v>31</v>
      </c>
      <c r="N160">
        <v>1049</v>
      </c>
      <c r="O160" s="14">
        <v>0.70712166791781805</v>
      </c>
      <c r="P160" s="14">
        <v>0.13333638082258401</v>
      </c>
      <c r="Q160" t="str">
        <f t="shared" si="4"/>
        <v>25-34</v>
      </c>
      <c r="R160" t="str">
        <f t="shared" si="5"/>
        <v>[cPtvxaZqXIH]|25-34|Female|TX_CURR_SUBNAT.R|CY2022Q4</v>
      </c>
    </row>
    <row r="161" spans="1:18" x14ac:dyDescent="0.2">
      <c r="A161" s="8"/>
      <c r="B161" s="8"/>
      <c r="C161" s="8"/>
      <c r="D161" s="13" t="s">
        <v>86</v>
      </c>
      <c r="E161" s="13" t="s">
        <v>87</v>
      </c>
      <c r="F161" s="13" t="s">
        <v>88</v>
      </c>
      <c r="G161" s="13" t="s">
        <v>25</v>
      </c>
      <c r="H161" s="13" t="s">
        <v>26</v>
      </c>
      <c r="I161" t="s">
        <v>42</v>
      </c>
      <c r="J161" s="13" t="s">
        <v>43</v>
      </c>
      <c r="K161" s="13" t="s">
        <v>29</v>
      </c>
      <c r="L161" s="13" t="s">
        <v>30</v>
      </c>
      <c r="M161" t="s">
        <v>31</v>
      </c>
      <c r="N161">
        <v>1741</v>
      </c>
      <c r="O161" s="14">
        <v>0.97413716418668606</v>
      </c>
      <c r="P161" s="14">
        <v>0.13333638082258401</v>
      </c>
      <c r="Q161" t="str">
        <f t="shared" si="4"/>
        <v>35-49</v>
      </c>
      <c r="R161" t="str">
        <f t="shared" si="5"/>
        <v>[cPtvxaZqXIH]|35-49|Female|TX_CURR_SUBNAT.R|CY2022Q4</v>
      </c>
    </row>
    <row r="162" spans="1:18" x14ac:dyDescent="0.2">
      <c r="A162" s="8"/>
      <c r="B162" s="8"/>
      <c r="C162" s="8"/>
      <c r="D162" s="13" t="s">
        <v>86</v>
      </c>
      <c r="E162" s="13" t="s">
        <v>87</v>
      </c>
      <c r="F162" s="13" t="s">
        <v>88</v>
      </c>
      <c r="G162" s="13" t="s">
        <v>25</v>
      </c>
      <c r="H162" s="13" t="s">
        <v>26</v>
      </c>
      <c r="I162" t="s">
        <v>44</v>
      </c>
      <c r="J162" s="13" t="s">
        <v>45</v>
      </c>
      <c r="K162" s="13" t="s">
        <v>29</v>
      </c>
      <c r="L162" s="13" t="s">
        <v>30</v>
      </c>
      <c r="M162" t="s">
        <v>31</v>
      </c>
      <c r="N162">
        <v>826</v>
      </c>
      <c r="O162" s="14">
        <v>0.51763212960213401</v>
      </c>
      <c r="P162" s="14">
        <v>0.13333638082258401</v>
      </c>
      <c r="Q162" t="str">
        <f t="shared" si="4"/>
        <v>50+</v>
      </c>
      <c r="R162" t="str">
        <f t="shared" si="5"/>
        <v>[cPtvxaZqXIH]|50+|Female|TX_CURR_SUBNAT.R|CY2022Q4</v>
      </c>
    </row>
    <row r="163" spans="1:18" x14ac:dyDescent="0.2">
      <c r="A163" s="8"/>
      <c r="B163" s="8"/>
      <c r="C163" s="8"/>
      <c r="D163" s="13" t="s">
        <v>86</v>
      </c>
      <c r="E163" s="13" t="s">
        <v>87</v>
      </c>
      <c r="F163" s="13" t="s">
        <v>88</v>
      </c>
      <c r="G163" s="13" t="s">
        <v>25</v>
      </c>
      <c r="H163" s="13" t="s">
        <v>26</v>
      </c>
      <c r="I163" t="s">
        <v>27</v>
      </c>
      <c r="J163" s="13" t="s">
        <v>28</v>
      </c>
      <c r="K163" s="13" t="s">
        <v>47</v>
      </c>
      <c r="L163" s="13" t="s">
        <v>48</v>
      </c>
      <c r="M163" t="s">
        <v>31</v>
      </c>
      <c r="N163">
        <v>1176</v>
      </c>
      <c r="O163" s="14">
        <v>9.8617166280746502E-2</v>
      </c>
      <c r="P163" s="14">
        <v>0.13333638082258401</v>
      </c>
      <c r="Q163" t="str">
        <f t="shared" si="4"/>
        <v>&lt;01</v>
      </c>
      <c r="R163" t="str">
        <f t="shared" si="5"/>
        <v>[cPtvxaZqXIH]|&lt;01|Male|TX_CURR_SUBNAT.R|CY2022Q4</v>
      </c>
    </row>
    <row r="164" spans="1:18" x14ac:dyDescent="0.2">
      <c r="A164" s="8"/>
      <c r="B164" s="8"/>
      <c r="C164" s="8"/>
      <c r="D164" s="13" t="s">
        <v>86</v>
      </c>
      <c r="E164" s="13" t="s">
        <v>87</v>
      </c>
      <c r="F164" s="13" t="s">
        <v>88</v>
      </c>
      <c r="G164" s="13" t="s">
        <v>25</v>
      </c>
      <c r="H164" s="13" t="s">
        <v>26</v>
      </c>
      <c r="I164" t="s">
        <v>32</v>
      </c>
      <c r="J164" s="13" t="s">
        <v>33</v>
      </c>
      <c r="K164" s="13" t="s">
        <v>47</v>
      </c>
      <c r="L164" s="13" t="s">
        <v>48</v>
      </c>
      <c r="M164" t="s">
        <v>31</v>
      </c>
      <c r="N164">
        <v>1500</v>
      </c>
      <c r="O164" s="14">
        <v>0.72513472591526795</v>
      </c>
      <c r="P164" s="14">
        <v>0.13333638082258401</v>
      </c>
      <c r="Q164" t="str">
        <f t="shared" si="4"/>
        <v>01-09</v>
      </c>
      <c r="R164" t="str">
        <f t="shared" si="5"/>
        <v>[cPtvxaZqXIH]|01-09|Male|TX_CURR_SUBNAT.R|CY2022Q4</v>
      </c>
    </row>
    <row r="165" spans="1:18" x14ac:dyDescent="0.2">
      <c r="A165" s="8"/>
      <c r="B165" s="8"/>
      <c r="C165" s="8"/>
      <c r="D165" s="13" t="s">
        <v>86</v>
      </c>
      <c r="E165" s="13" t="s">
        <v>87</v>
      </c>
      <c r="F165" s="13" t="s">
        <v>88</v>
      </c>
      <c r="G165" s="13" t="s">
        <v>25</v>
      </c>
      <c r="H165" s="13" t="s">
        <v>26</v>
      </c>
      <c r="I165" t="s">
        <v>35</v>
      </c>
      <c r="J165" s="13" t="s">
        <v>36</v>
      </c>
      <c r="K165" s="13" t="s">
        <v>47</v>
      </c>
      <c r="L165" s="13" t="s">
        <v>48</v>
      </c>
      <c r="M165" t="s">
        <v>31</v>
      </c>
      <c r="N165">
        <v>1802</v>
      </c>
      <c r="O165" s="14">
        <v>1.6888745594769701E-3</v>
      </c>
      <c r="P165" s="14">
        <v>0.13333638082258401</v>
      </c>
      <c r="Q165" t="str">
        <f t="shared" si="4"/>
        <v>10-14</v>
      </c>
      <c r="R165" t="str">
        <f t="shared" si="5"/>
        <v>[cPtvxaZqXIH]|10-14|Male|TX_CURR_SUBNAT.R|CY2022Q4</v>
      </c>
    </row>
    <row r="166" spans="1:18" x14ac:dyDescent="0.2">
      <c r="A166" s="8"/>
      <c r="B166" s="8"/>
      <c r="C166" s="8"/>
      <c r="D166" s="13" t="s">
        <v>86</v>
      </c>
      <c r="E166" s="13" t="s">
        <v>87</v>
      </c>
      <c r="F166" s="13" t="s">
        <v>88</v>
      </c>
      <c r="G166" s="13" t="s">
        <v>25</v>
      </c>
      <c r="H166" s="13" t="s">
        <v>26</v>
      </c>
      <c r="I166" t="s">
        <v>37</v>
      </c>
      <c r="J166" s="13" t="s">
        <v>38</v>
      </c>
      <c r="K166" s="13" t="s">
        <v>47</v>
      </c>
      <c r="L166" s="13" t="s">
        <v>48</v>
      </c>
      <c r="M166" t="s">
        <v>31</v>
      </c>
      <c r="N166">
        <v>1562</v>
      </c>
      <c r="O166" s="14">
        <v>0.88610518071800504</v>
      </c>
      <c r="P166" s="14">
        <v>0.13333638082258401</v>
      </c>
      <c r="Q166" t="str">
        <f t="shared" si="4"/>
        <v>15-24</v>
      </c>
      <c r="R166" t="str">
        <f t="shared" si="5"/>
        <v>[cPtvxaZqXIH]|15-24|Male|TX_CURR_SUBNAT.R|CY2022Q4</v>
      </c>
    </row>
    <row r="167" spans="1:18" x14ac:dyDescent="0.2">
      <c r="A167" s="8"/>
      <c r="B167" s="8"/>
      <c r="C167" s="8"/>
      <c r="D167" s="13" t="s">
        <v>86</v>
      </c>
      <c r="E167" s="13" t="s">
        <v>87</v>
      </c>
      <c r="F167" s="13" t="s">
        <v>88</v>
      </c>
      <c r="G167" s="13" t="s">
        <v>25</v>
      </c>
      <c r="H167" s="13" t="s">
        <v>26</v>
      </c>
      <c r="I167" t="s">
        <v>40</v>
      </c>
      <c r="J167" s="13" t="s">
        <v>41</v>
      </c>
      <c r="K167" s="13" t="s">
        <v>47</v>
      </c>
      <c r="L167" s="13" t="s">
        <v>48</v>
      </c>
      <c r="M167" t="s">
        <v>31</v>
      </c>
      <c r="N167">
        <v>1782</v>
      </c>
      <c r="O167" s="14">
        <v>0.54433638020418595</v>
      </c>
      <c r="P167" s="14">
        <v>0.13333638082258401</v>
      </c>
      <c r="Q167" t="str">
        <f t="shared" si="4"/>
        <v>25-34</v>
      </c>
      <c r="R167" t="str">
        <f t="shared" si="5"/>
        <v>[cPtvxaZqXIH]|25-34|Male|TX_CURR_SUBNAT.R|CY2022Q4</v>
      </c>
    </row>
    <row r="168" spans="1:18" x14ac:dyDescent="0.2">
      <c r="A168" s="8"/>
      <c r="B168" s="8"/>
      <c r="C168" s="8"/>
      <c r="D168" s="13" t="s">
        <v>86</v>
      </c>
      <c r="E168" s="13" t="s">
        <v>87</v>
      </c>
      <c r="F168" s="13" t="s">
        <v>88</v>
      </c>
      <c r="G168" s="13" t="s">
        <v>25</v>
      </c>
      <c r="H168" s="13" t="s">
        <v>26</v>
      </c>
      <c r="I168" t="s">
        <v>42</v>
      </c>
      <c r="J168" s="13" t="s">
        <v>43</v>
      </c>
      <c r="K168" s="13" t="s">
        <v>47</v>
      </c>
      <c r="L168" s="13" t="s">
        <v>48</v>
      </c>
      <c r="M168" t="s">
        <v>31</v>
      </c>
      <c r="N168">
        <v>958</v>
      </c>
      <c r="O168" s="14">
        <v>0.80726151168346405</v>
      </c>
      <c r="P168" s="14">
        <v>0.13333638082258401</v>
      </c>
      <c r="Q168" t="str">
        <f t="shared" si="4"/>
        <v>35-49</v>
      </c>
      <c r="R168" t="str">
        <f t="shared" si="5"/>
        <v>[cPtvxaZqXIH]|35-49|Male|TX_CURR_SUBNAT.R|CY2022Q4</v>
      </c>
    </row>
    <row r="169" spans="1:18" x14ac:dyDescent="0.2">
      <c r="A169" s="8"/>
      <c r="B169" s="8"/>
      <c r="C169" s="8"/>
      <c r="D169" s="13" t="s">
        <v>86</v>
      </c>
      <c r="E169" s="13" t="s">
        <v>87</v>
      </c>
      <c r="F169" s="13" t="s">
        <v>88</v>
      </c>
      <c r="G169" s="13" t="s">
        <v>25</v>
      </c>
      <c r="H169" s="13" t="s">
        <v>26</v>
      </c>
      <c r="I169" t="s">
        <v>44</v>
      </c>
      <c r="J169" s="13" t="s">
        <v>45</v>
      </c>
      <c r="K169" s="13" t="s">
        <v>47</v>
      </c>
      <c r="L169" s="13" t="s">
        <v>48</v>
      </c>
      <c r="M169" t="s">
        <v>31</v>
      </c>
      <c r="N169">
        <v>1914</v>
      </c>
      <c r="O169" s="14">
        <v>0.76735041197389398</v>
      </c>
      <c r="P169" s="14">
        <v>0.13333638082258401</v>
      </c>
      <c r="Q169" t="str">
        <f t="shared" si="4"/>
        <v>50+</v>
      </c>
      <c r="R169" t="str">
        <f t="shared" si="5"/>
        <v>[cPtvxaZqXIH]|50+|Male|TX_CURR_SUBNAT.R|CY2022Q4</v>
      </c>
    </row>
    <row r="170" spans="1:18" x14ac:dyDescent="0.2">
      <c r="A170" s="8"/>
      <c r="B170" s="8"/>
      <c r="C170" s="8"/>
      <c r="D170" s="13" t="s">
        <v>89</v>
      </c>
      <c r="E170" s="13" t="s">
        <v>90</v>
      </c>
      <c r="F170" s="13" t="s">
        <v>91</v>
      </c>
      <c r="G170" s="13" t="s">
        <v>25</v>
      </c>
      <c r="H170" s="13" t="s">
        <v>26</v>
      </c>
      <c r="I170" t="s">
        <v>27</v>
      </c>
      <c r="J170" s="13" t="s">
        <v>28</v>
      </c>
      <c r="K170" s="13" t="s">
        <v>29</v>
      </c>
      <c r="L170" s="13" t="s">
        <v>30</v>
      </c>
      <c r="M170" t="s">
        <v>31</v>
      </c>
      <c r="N170">
        <v>951</v>
      </c>
      <c r="O170" s="14">
        <v>0.81405468378215995</v>
      </c>
      <c r="P170" s="14">
        <v>0.71991415042430196</v>
      </c>
      <c r="Q170" t="str">
        <f t="shared" si="4"/>
        <v>&lt;01</v>
      </c>
      <c r="R170" t="str">
        <f t="shared" si="5"/>
        <v>[AZyWpGzhcaA]|&lt;01|Female|TX_CURR_SUBNAT.R|CY2022Q4</v>
      </c>
    </row>
    <row r="171" spans="1:18" x14ac:dyDescent="0.2">
      <c r="A171" s="8"/>
      <c r="B171" s="8"/>
      <c r="C171" s="8"/>
      <c r="D171" s="13" t="s">
        <v>89</v>
      </c>
      <c r="E171" s="13" t="s">
        <v>90</v>
      </c>
      <c r="F171" s="13" t="s">
        <v>91</v>
      </c>
      <c r="G171" s="13" t="s">
        <v>25</v>
      </c>
      <c r="H171" s="13" t="s">
        <v>26</v>
      </c>
      <c r="I171" t="s">
        <v>32</v>
      </c>
      <c r="J171" s="13" t="s">
        <v>33</v>
      </c>
      <c r="K171" s="13" t="s">
        <v>29</v>
      </c>
      <c r="L171" s="13" t="s">
        <v>30</v>
      </c>
      <c r="M171" t="s">
        <v>31</v>
      </c>
      <c r="N171">
        <v>787</v>
      </c>
      <c r="O171" s="14">
        <v>0.75055153016000997</v>
      </c>
      <c r="P171" s="14">
        <v>0.71991415042430196</v>
      </c>
      <c r="Q171" t="str">
        <f t="shared" si="4"/>
        <v>01-09</v>
      </c>
      <c r="R171" t="str">
        <f t="shared" si="5"/>
        <v>[AZyWpGzhcaA]|01-09|Female|TX_CURR_SUBNAT.R|CY2022Q4</v>
      </c>
    </row>
    <row r="172" spans="1:18" x14ac:dyDescent="0.2">
      <c r="A172" s="8"/>
      <c r="B172" s="8"/>
      <c r="C172" s="8"/>
      <c r="D172" s="13" t="s">
        <v>89</v>
      </c>
      <c r="E172" s="13" t="s">
        <v>90</v>
      </c>
      <c r="F172" s="13" t="s">
        <v>91</v>
      </c>
      <c r="G172" s="13" t="s">
        <v>25</v>
      </c>
      <c r="H172" s="13" t="s">
        <v>26</v>
      </c>
      <c r="I172" t="s">
        <v>35</v>
      </c>
      <c r="J172" s="13" t="s">
        <v>36</v>
      </c>
      <c r="K172" s="13" t="s">
        <v>29</v>
      </c>
      <c r="L172" s="13" t="s">
        <v>30</v>
      </c>
      <c r="M172" t="s">
        <v>31</v>
      </c>
      <c r="N172">
        <v>917</v>
      </c>
      <c r="O172" s="14">
        <v>0.250066966749728</v>
      </c>
      <c r="P172" s="14">
        <v>0.71991415042430196</v>
      </c>
      <c r="Q172" t="str">
        <f t="shared" si="4"/>
        <v>10-14</v>
      </c>
      <c r="R172" t="str">
        <f t="shared" si="5"/>
        <v>[AZyWpGzhcaA]|10-14|Female|TX_CURR_SUBNAT.R|CY2022Q4</v>
      </c>
    </row>
    <row r="173" spans="1:18" x14ac:dyDescent="0.2">
      <c r="A173" s="8"/>
      <c r="B173" s="8"/>
      <c r="C173" s="8"/>
      <c r="D173" s="13" t="s">
        <v>89</v>
      </c>
      <c r="E173" s="13" t="s">
        <v>90</v>
      </c>
      <c r="F173" s="13" t="s">
        <v>91</v>
      </c>
      <c r="G173" s="13" t="s">
        <v>25</v>
      </c>
      <c r="H173" s="13" t="s">
        <v>26</v>
      </c>
      <c r="I173" t="s">
        <v>37</v>
      </c>
      <c r="J173" s="13" t="s">
        <v>38</v>
      </c>
      <c r="K173" s="13" t="s">
        <v>29</v>
      </c>
      <c r="L173" s="13" t="s">
        <v>30</v>
      </c>
      <c r="M173" t="s">
        <v>31</v>
      </c>
      <c r="N173">
        <v>735</v>
      </c>
      <c r="O173" s="14">
        <v>0.36714823334477797</v>
      </c>
      <c r="P173" s="14">
        <v>0.71991415042430196</v>
      </c>
      <c r="Q173" t="str">
        <f t="shared" si="4"/>
        <v>15-24</v>
      </c>
      <c r="R173" t="str">
        <f t="shared" si="5"/>
        <v>[AZyWpGzhcaA]|15-24|Female|TX_CURR_SUBNAT.R|CY2022Q4</v>
      </c>
    </row>
    <row r="174" spans="1:18" x14ac:dyDescent="0.2">
      <c r="A174" s="8"/>
      <c r="B174" s="8"/>
      <c r="C174" s="8"/>
      <c r="D174" s="13" t="s">
        <v>89</v>
      </c>
      <c r="E174" s="13" t="s">
        <v>90</v>
      </c>
      <c r="F174" s="13" t="s">
        <v>91</v>
      </c>
      <c r="G174" s="13" t="s">
        <v>25</v>
      </c>
      <c r="H174" s="13" t="s">
        <v>26</v>
      </c>
      <c r="I174" t="s">
        <v>40</v>
      </c>
      <c r="J174" s="13" t="s">
        <v>41</v>
      </c>
      <c r="K174" s="13" t="s">
        <v>29</v>
      </c>
      <c r="L174" s="13" t="s">
        <v>30</v>
      </c>
      <c r="M174" t="s">
        <v>31</v>
      </c>
      <c r="N174">
        <v>1254</v>
      </c>
      <c r="O174" s="14">
        <v>0.13839822774752999</v>
      </c>
      <c r="P174" s="14">
        <v>0.71991415042430196</v>
      </c>
      <c r="Q174" t="str">
        <f t="shared" si="4"/>
        <v>25-34</v>
      </c>
      <c r="R174" t="str">
        <f t="shared" si="5"/>
        <v>[AZyWpGzhcaA]|25-34|Female|TX_CURR_SUBNAT.R|CY2022Q4</v>
      </c>
    </row>
    <row r="175" spans="1:18" x14ac:dyDescent="0.2">
      <c r="A175" s="8"/>
      <c r="B175" s="8"/>
      <c r="C175" s="8"/>
      <c r="D175" s="13" t="s">
        <v>89</v>
      </c>
      <c r="E175" s="13" t="s">
        <v>90</v>
      </c>
      <c r="F175" s="13" t="s">
        <v>91</v>
      </c>
      <c r="G175" s="13" t="s">
        <v>25</v>
      </c>
      <c r="H175" s="13" t="s">
        <v>26</v>
      </c>
      <c r="I175" t="s">
        <v>42</v>
      </c>
      <c r="J175" s="13" t="s">
        <v>43</v>
      </c>
      <c r="K175" s="13" t="s">
        <v>29</v>
      </c>
      <c r="L175" s="13" t="s">
        <v>30</v>
      </c>
      <c r="M175" t="s">
        <v>31</v>
      </c>
      <c r="N175">
        <v>1231</v>
      </c>
      <c r="O175" s="14">
        <v>0.90513753821141996</v>
      </c>
      <c r="P175" s="14">
        <v>0.71991415042430196</v>
      </c>
      <c r="Q175" t="str">
        <f t="shared" si="4"/>
        <v>35-49</v>
      </c>
      <c r="R175" t="str">
        <f t="shared" si="5"/>
        <v>[AZyWpGzhcaA]|35-49|Female|TX_CURR_SUBNAT.R|CY2022Q4</v>
      </c>
    </row>
    <row r="176" spans="1:18" x14ac:dyDescent="0.2">
      <c r="A176" s="8"/>
      <c r="B176" s="8"/>
      <c r="C176" s="8"/>
      <c r="D176" s="13" t="s">
        <v>89</v>
      </c>
      <c r="E176" s="13" t="s">
        <v>90</v>
      </c>
      <c r="F176" s="13" t="s">
        <v>91</v>
      </c>
      <c r="G176" s="13" t="s">
        <v>25</v>
      </c>
      <c r="H176" s="13" t="s">
        <v>26</v>
      </c>
      <c r="I176" t="s">
        <v>44</v>
      </c>
      <c r="J176" s="13" t="s">
        <v>45</v>
      </c>
      <c r="K176" s="13" t="s">
        <v>29</v>
      </c>
      <c r="L176" s="13" t="s">
        <v>30</v>
      </c>
      <c r="M176" t="s">
        <v>31</v>
      </c>
      <c r="N176">
        <v>1965</v>
      </c>
      <c r="O176" s="14">
        <v>0.201622182969004</v>
      </c>
      <c r="P176" s="14">
        <v>0.71991415042430196</v>
      </c>
      <c r="Q176" t="str">
        <f t="shared" si="4"/>
        <v>50+</v>
      </c>
      <c r="R176" t="str">
        <f t="shared" si="5"/>
        <v>[AZyWpGzhcaA]|50+|Female|TX_CURR_SUBNAT.R|CY2022Q4</v>
      </c>
    </row>
    <row r="177" spans="1:18" x14ac:dyDescent="0.2">
      <c r="A177" s="8"/>
      <c r="B177" s="8"/>
      <c r="C177" s="8"/>
      <c r="D177" s="13" t="s">
        <v>89</v>
      </c>
      <c r="E177" s="13" t="s">
        <v>90</v>
      </c>
      <c r="F177" s="13" t="s">
        <v>91</v>
      </c>
      <c r="G177" s="13" t="s">
        <v>25</v>
      </c>
      <c r="H177" s="13" t="s">
        <v>26</v>
      </c>
      <c r="I177" t="s">
        <v>27</v>
      </c>
      <c r="J177" s="13" t="s">
        <v>28</v>
      </c>
      <c r="K177" s="13" t="s">
        <v>47</v>
      </c>
      <c r="L177" s="13" t="s">
        <v>48</v>
      </c>
      <c r="M177" t="s">
        <v>31</v>
      </c>
      <c r="N177">
        <v>1106</v>
      </c>
      <c r="O177" s="14">
        <v>0.41089463001117099</v>
      </c>
      <c r="P177" s="14">
        <v>0.71991415042430196</v>
      </c>
      <c r="Q177" t="str">
        <f t="shared" si="4"/>
        <v>&lt;01</v>
      </c>
      <c r="R177" t="str">
        <f t="shared" si="5"/>
        <v>[AZyWpGzhcaA]|&lt;01|Male|TX_CURR_SUBNAT.R|CY2022Q4</v>
      </c>
    </row>
    <row r="178" spans="1:18" x14ac:dyDescent="0.2">
      <c r="A178" s="8"/>
      <c r="B178" s="8"/>
      <c r="C178" s="8"/>
      <c r="D178" s="13" t="s">
        <v>89</v>
      </c>
      <c r="E178" s="13" t="s">
        <v>90</v>
      </c>
      <c r="F178" s="13" t="s">
        <v>91</v>
      </c>
      <c r="G178" s="13" t="s">
        <v>25</v>
      </c>
      <c r="H178" s="13" t="s">
        <v>26</v>
      </c>
      <c r="I178" t="s">
        <v>32</v>
      </c>
      <c r="J178" s="13" t="s">
        <v>33</v>
      </c>
      <c r="K178" s="13" t="s">
        <v>47</v>
      </c>
      <c r="L178" s="13" t="s">
        <v>48</v>
      </c>
      <c r="M178" t="s">
        <v>31</v>
      </c>
      <c r="N178">
        <v>884</v>
      </c>
      <c r="O178" s="14">
        <v>0.85272012767381999</v>
      </c>
      <c r="P178" s="14">
        <v>0.71991415042430196</v>
      </c>
      <c r="Q178" t="str">
        <f t="shared" si="4"/>
        <v>01-09</v>
      </c>
      <c r="R178" t="str">
        <f t="shared" si="5"/>
        <v>[AZyWpGzhcaA]|01-09|Male|TX_CURR_SUBNAT.R|CY2022Q4</v>
      </c>
    </row>
    <row r="179" spans="1:18" x14ac:dyDescent="0.2">
      <c r="A179" s="8"/>
      <c r="B179" s="8"/>
      <c r="C179" s="8"/>
      <c r="D179" s="13" t="s">
        <v>89</v>
      </c>
      <c r="E179" s="13" t="s">
        <v>90</v>
      </c>
      <c r="F179" s="13" t="s">
        <v>91</v>
      </c>
      <c r="G179" s="13" t="s">
        <v>25</v>
      </c>
      <c r="H179" s="13" t="s">
        <v>26</v>
      </c>
      <c r="I179" t="s">
        <v>35</v>
      </c>
      <c r="J179" s="13" t="s">
        <v>36</v>
      </c>
      <c r="K179" s="13" t="s">
        <v>47</v>
      </c>
      <c r="L179" s="13" t="s">
        <v>48</v>
      </c>
      <c r="M179" t="s">
        <v>31</v>
      </c>
      <c r="N179">
        <v>1755</v>
      </c>
      <c r="O179" s="14">
        <v>0.48733496130444098</v>
      </c>
      <c r="P179" s="14">
        <v>0.71991415042430196</v>
      </c>
      <c r="Q179" t="str">
        <f t="shared" si="4"/>
        <v>10-14</v>
      </c>
      <c r="R179" t="str">
        <f t="shared" si="5"/>
        <v>[AZyWpGzhcaA]|10-14|Male|TX_CURR_SUBNAT.R|CY2022Q4</v>
      </c>
    </row>
    <row r="180" spans="1:18" x14ac:dyDescent="0.2">
      <c r="A180" s="8"/>
      <c r="B180" s="8"/>
      <c r="C180" s="8"/>
      <c r="D180" s="13" t="s">
        <v>89</v>
      </c>
      <c r="E180" s="13" t="s">
        <v>90</v>
      </c>
      <c r="F180" s="13" t="s">
        <v>91</v>
      </c>
      <c r="G180" s="13" t="s">
        <v>25</v>
      </c>
      <c r="H180" s="13" t="s">
        <v>26</v>
      </c>
      <c r="I180" t="s">
        <v>37</v>
      </c>
      <c r="J180" s="13" t="s">
        <v>38</v>
      </c>
      <c r="K180" s="13" t="s">
        <v>47</v>
      </c>
      <c r="L180" s="13" t="s">
        <v>48</v>
      </c>
      <c r="M180" t="s">
        <v>31</v>
      </c>
      <c r="N180">
        <v>829</v>
      </c>
      <c r="O180" s="14">
        <v>0.83816750464029599</v>
      </c>
      <c r="P180" s="14">
        <v>0.71991415042430196</v>
      </c>
      <c r="Q180" t="str">
        <f t="shared" si="4"/>
        <v>15-24</v>
      </c>
      <c r="R180" t="str">
        <f t="shared" si="5"/>
        <v>[AZyWpGzhcaA]|15-24|Male|TX_CURR_SUBNAT.R|CY2022Q4</v>
      </c>
    </row>
    <row r="181" spans="1:18" x14ac:dyDescent="0.2">
      <c r="A181" s="8"/>
      <c r="B181" s="8"/>
      <c r="C181" s="8"/>
      <c r="D181" s="13" t="s">
        <v>89</v>
      </c>
      <c r="E181" s="13" t="s">
        <v>90</v>
      </c>
      <c r="F181" s="13" t="s">
        <v>91</v>
      </c>
      <c r="G181" s="13" t="s">
        <v>25</v>
      </c>
      <c r="H181" s="13" t="s">
        <v>26</v>
      </c>
      <c r="I181" t="s">
        <v>40</v>
      </c>
      <c r="J181" s="13" t="s">
        <v>41</v>
      </c>
      <c r="K181" s="13" t="s">
        <v>47</v>
      </c>
      <c r="L181" s="13" t="s">
        <v>48</v>
      </c>
      <c r="M181" t="s">
        <v>31</v>
      </c>
      <c r="N181">
        <v>1767</v>
      </c>
      <c r="O181" s="14">
        <v>2.42899223230779E-2</v>
      </c>
      <c r="P181" s="14">
        <v>0.71991415042430196</v>
      </c>
      <c r="Q181" t="str">
        <f t="shared" si="4"/>
        <v>25-34</v>
      </c>
      <c r="R181" t="str">
        <f t="shared" si="5"/>
        <v>[AZyWpGzhcaA]|25-34|Male|TX_CURR_SUBNAT.R|CY2022Q4</v>
      </c>
    </row>
    <row r="182" spans="1:18" x14ac:dyDescent="0.2">
      <c r="A182" s="8"/>
      <c r="B182" s="8"/>
      <c r="C182" s="8"/>
      <c r="D182" s="13" t="s">
        <v>89</v>
      </c>
      <c r="E182" s="13" t="s">
        <v>90</v>
      </c>
      <c r="F182" s="13" t="s">
        <v>91</v>
      </c>
      <c r="G182" s="13" t="s">
        <v>25</v>
      </c>
      <c r="H182" s="13" t="s">
        <v>26</v>
      </c>
      <c r="I182" t="s">
        <v>42</v>
      </c>
      <c r="J182" s="13" t="s">
        <v>43</v>
      </c>
      <c r="K182" s="13" t="s">
        <v>47</v>
      </c>
      <c r="L182" s="13" t="s">
        <v>48</v>
      </c>
      <c r="M182" t="s">
        <v>31</v>
      </c>
      <c r="N182">
        <v>664</v>
      </c>
      <c r="O182" s="14">
        <v>0.70512474188581098</v>
      </c>
      <c r="P182" s="14">
        <v>0.71991415042430196</v>
      </c>
      <c r="Q182" t="str">
        <f t="shared" si="4"/>
        <v>35-49</v>
      </c>
      <c r="R182" t="str">
        <f t="shared" si="5"/>
        <v>[AZyWpGzhcaA]|35-49|Male|TX_CURR_SUBNAT.R|CY2022Q4</v>
      </c>
    </row>
    <row r="183" spans="1:18" x14ac:dyDescent="0.2">
      <c r="A183" s="8"/>
      <c r="B183" s="8"/>
      <c r="C183" s="8"/>
      <c r="D183" s="13" t="s">
        <v>89</v>
      </c>
      <c r="E183" s="13" t="s">
        <v>90</v>
      </c>
      <c r="F183" s="13" t="s">
        <v>91</v>
      </c>
      <c r="G183" s="13" t="s">
        <v>25</v>
      </c>
      <c r="H183" s="13" t="s">
        <v>26</v>
      </c>
      <c r="I183" t="s">
        <v>44</v>
      </c>
      <c r="J183" s="13" t="s">
        <v>45</v>
      </c>
      <c r="K183" s="13" t="s">
        <v>47</v>
      </c>
      <c r="L183" s="13" t="s">
        <v>48</v>
      </c>
      <c r="M183" t="s">
        <v>31</v>
      </c>
      <c r="N183">
        <v>744</v>
      </c>
      <c r="O183" s="14">
        <v>0.74598763976246096</v>
      </c>
      <c r="P183" s="14">
        <v>0.71991415042430196</v>
      </c>
      <c r="Q183" t="str">
        <f t="shared" si="4"/>
        <v>50+</v>
      </c>
      <c r="R183" t="str">
        <f t="shared" si="5"/>
        <v>[AZyWpGzhcaA]|50+|Male|TX_CURR_SUBNAT.R|CY2022Q4</v>
      </c>
    </row>
    <row r="184" spans="1:18" x14ac:dyDescent="0.2">
      <c r="A184" s="8"/>
      <c r="B184" s="8"/>
      <c r="C184" s="8"/>
      <c r="D184" s="13" t="s">
        <v>92</v>
      </c>
      <c r="E184" s="13" t="s">
        <v>93</v>
      </c>
      <c r="F184" s="13" t="s">
        <v>94</v>
      </c>
      <c r="G184" s="13" t="s">
        <v>25</v>
      </c>
      <c r="H184" s="13" t="s">
        <v>26</v>
      </c>
      <c r="I184" t="s">
        <v>27</v>
      </c>
      <c r="J184" s="13" t="s">
        <v>28</v>
      </c>
      <c r="K184" s="13" t="s">
        <v>29</v>
      </c>
      <c r="L184" s="13" t="s">
        <v>30</v>
      </c>
      <c r="M184" t="s">
        <v>31</v>
      </c>
      <c r="N184">
        <v>672</v>
      </c>
      <c r="O184" s="14">
        <v>0.46076603000983601</v>
      </c>
      <c r="P184" s="14">
        <v>0.36227229656651599</v>
      </c>
      <c r="Q184" t="str">
        <f t="shared" si="4"/>
        <v>&lt;01</v>
      </c>
      <c r="R184" t="str">
        <f t="shared" si="5"/>
        <v>[umc2n1Z4wNv]|&lt;01|Female|TX_CURR_SUBNAT.R|CY2022Q4</v>
      </c>
    </row>
    <row r="185" spans="1:18" x14ac:dyDescent="0.2">
      <c r="A185" s="8"/>
      <c r="B185" s="8"/>
      <c r="C185" s="8"/>
      <c r="D185" s="13" t="s">
        <v>92</v>
      </c>
      <c r="E185" s="13" t="s">
        <v>93</v>
      </c>
      <c r="F185" s="13" t="s">
        <v>94</v>
      </c>
      <c r="G185" s="13" t="s">
        <v>25</v>
      </c>
      <c r="H185" s="13" t="s">
        <v>26</v>
      </c>
      <c r="I185" t="s">
        <v>32</v>
      </c>
      <c r="J185" s="13" t="s">
        <v>33</v>
      </c>
      <c r="K185" s="13" t="s">
        <v>29</v>
      </c>
      <c r="L185" s="13" t="s">
        <v>30</v>
      </c>
      <c r="M185" t="s">
        <v>31</v>
      </c>
      <c r="N185">
        <v>545</v>
      </c>
      <c r="O185" s="14">
        <v>0.653198721120134</v>
      </c>
      <c r="P185" s="14">
        <v>0.36227229656651599</v>
      </c>
      <c r="Q185" t="str">
        <f t="shared" si="4"/>
        <v>01-09</v>
      </c>
      <c r="R185" t="str">
        <f t="shared" si="5"/>
        <v>[umc2n1Z4wNv]|01-09|Female|TX_CURR_SUBNAT.R|CY2022Q4</v>
      </c>
    </row>
    <row r="186" spans="1:18" x14ac:dyDescent="0.2">
      <c r="A186" s="8"/>
      <c r="B186" s="8"/>
      <c r="C186" s="8"/>
      <c r="D186" s="13" t="s">
        <v>92</v>
      </c>
      <c r="E186" s="13" t="s">
        <v>93</v>
      </c>
      <c r="F186" s="13" t="s">
        <v>94</v>
      </c>
      <c r="G186" s="13" t="s">
        <v>25</v>
      </c>
      <c r="H186" s="13" t="s">
        <v>26</v>
      </c>
      <c r="I186" t="s">
        <v>35</v>
      </c>
      <c r="J186" s="13" t="s">
        <v>36</v>
      </c>
      <c r="K186" s="13" t="s">
        <v>29</v>
      </c>
      <c r="L186" s="13" t="s">
        <v>30</v>
      </c>
      <c r="M186" t="s">
        <v>31</v>
      </c>
      <c r="N186">
        <v>535</v>
      </c>
      <c r="O186" s="14">
        <v>0.35406258841976501</v>
      </c>
      <c r="P186" s="14">
        <v>0.36227229656651599</v>
      </c>
      <c r="Q186" t="str">
        <f t="shared" si="4"/>
        <v>10-14</v>
      </c>
      <c r="R186" t="str">
        <f t="shared" si="5"/>
        <v>[umc2n1Z4wNv]|10-14|Female|TX_CURR_SUBNAT.R|CY2022Q4</v>
      </c>
    </row>
    <row r="187" spans="1:18" x14ac:dyDescent="0.2">
      <c r="A187" s="8"/>
      <c r="B187" s="8"/>
      <c r="C187" s="8"/>
      <c r="D187" s="13" t="s">
        <v>92</v>
      </c>
      <c r="E187" s="13" t="s">
        <v>93</v>
      </c>
      <c r="F187" s="13" t="s">
        <v>94</v>
      </c>
      <c r="G187" s="13" t="s">
        <v>25</v>
      </c>
      <c r="H187" s="13" t="s">
        <v>26</v>
      </c>
      <c r="I187" t="s">
        <v>37</v>
      </c>
      <c r="J187" s="13" t="s">
        <v>38</v>
      </c>
      <c r="K187" s="13" t="s">
        <v>29</v>
      </c>
      <c r="L187" s="13" t="s">
        <v>30</v>
      </c>
      <c r="M187" t="s">
        <v>31</v>
      </c>
      <c r="N187">
        <v>791</v>
      </c>
      <c r="O187" s="14">
        <v>0.106496951775625</v>
      </c>
      <c r="P187" s="14">
        <v>0.36227229656651599</v>
      </c>
      <c r="Q187" t="str">
        <f t="shared" si="4"/>
        <v>15-24</v>
      </c>
      <c r="R187" t="str">
        <f t="shared" si="5"/>
        <v>[umc2n1Z4wNv]|15-24|Female|TX_CURR_SUBNAT.R|CY2022Q4</v>
      </c>
    </row>
    <row r="188" spans="1:18" x14ac:dyDescent="0.2">
      <c r="A188" s="8"/>
      <c r="B188" s="8"/>
      <c r="C188" s="8"/>
      <c r="D188" s="13" t="s">
        <v>92</v>
      </c>
      <c r="E188" s="13" t="s">
        <v>93</v>
      </c>
      <c r="F188" s="13" t="s">
        <v>94</v>
      </c>
      <c r="G188" s="13" t="s">
        <v>25</v>
      </c>
      <c r="H188" s="13" t="s">
        <v>26</v>
      </c>
      <c r="I188" t="s">
        <v>40</v>
      </c>
      <c r="J188" s="13" t="s">
        <v>41</v>
      </c>
      <c r="K188" s="13" t="s">
        <v>29</v>
      </c>
      <c r="L188" s="13" t="s">
        <v>30</v>
      </c>
      <c r="M188" t="s">
        <v>31</v>
      </c>
      <c r="N188">
        <v>1086</v>
      </c>
      <c r="O188" s="14">
        <v>0.26403707638382901</v>
      </c>
      <c r="P188" s="14">
        <v>0.36227229656651599</v>
      </c>
      <c r="Q188" t="str">
        <f t="shared" si="4"/>
        <v>25-34</v>
      </c>
      <c r="R188" t="str">
        <f t="shared" si="5"/>
        <v>[umc2n1Z4wNv]|25-34|Female|TX_CURR_SUBNAT.R|CY2022Q4</v>
      </c>
    </row>
    <row r="189" spans="1:18" x14ac:dyDescent="0.2">
      <c r="A189" s="8"/>
      <c r="B189" s="8"/>
      <c r="C189" s="8"/>
      <c r="D189" s="13" t="s">
        <v>92</v>
      </c>
      <c r="E189" s="13" t="s">
        <v>93</v>
      </c>
      <c r="F189" s="13" t="s">
        <v>94</v>
      </c>
      <c r="G189" s="13" t="s">
        <v>25</v>
      </c>
      <c r="H189" s="13" t="s">
        <v>26</v>
      </c>
      <c r="I189" t="s">
        <v>42</v>
      </c>
      <c r="J189" s="13" t="s">
        <v>43</v>
      </c>
      <c r="K189" s="13" t="s">
        <v>29</v>
      </c>
      <c r="L189" s="13" t="s">
        <v>30</v>
      </c>
      <c r="M189" t="s">
        <v>31</v>
      </c>
      <c r="N189">
        <v>1696</v>
      </c>
      <c r="O189" s="14">
        <v>0.20762166986241901</v>
      </c>
      <c r="P189" s="14">
        <v>0.36227229656651599</v>
      </c>
      <c r="Q189" t="str">
        <f t="shared" si="4"/>
        <v>35-49</v>
      </c>
      <c r="R189" t="str">
        <f t="shared" si="5"/>
        <v>[umc2n1Z4wNv]|35-49|Female|TX_CURR_SUBNAT.R|CY2022Q4</v>
      </c>
    </row>
    <row r="190" spans="1:18" x14ac:dyDescent="0.2">
      <c r="A190" s="8"/>
      <c r="B190" s="8"/>
      <c r="C190" s="8"/>
      <c r="D190" s="13" t="s">
        <v>92</v>
      </c>
      <c r="E190" s="13" t="s">
        <v>93</v>
      </c>
      <c r="F190" s="13" t="s">
        <v>94</v>
      </c>
      <c r="G190" s="13" t="s">
        <v>25</v>
      </c>
      <c r="H190" s="13" t="s">
        <v>26</v>
      </c>
      <c r="I190" t="s">
        <v>44</v>
      </c>
      <c r="J190" s="13" t="s">
        <v>45</v>
      </c>
      <c r="K190" s="13" t="s">
        <v>29</v>
      </c>
      <c r="L190" s="13" t="s">
        <v>30</v>
      </c>
      <c r="M190" t="s">
        <v>31</v>
      </c>
      <c r="N190">
        <v>553</v>
      </c>
      <c r="O190" s="14">
        <v>0.98641113704070404</v>
      </c>
      <c r="P190" s="14">
        <v>0.36227229656651599</v>
      </c>
      <c r="Q190" t="str">
        <f t="shared" si="4"/>
        <v>50+</v>
      </c>
      <c r="R190" t="str">
        <f t="shared" si="5"/>
        <v>[umc2n1Z4wNv]|50+|Female|TX_CURR_SUBNAT.R|CY2022Q4</v>
      </c>
    </row>
    <row r="191" spans="1:18" x14ac:dyDescent="0.2">
      <c r="A191" s="8"/>
      <c r="B191" s="8"/>
      <c r="C191" s="8"/>
      <c r="D191" s="13" t="s">
        <v>92</v>
      </c>
      <c r="E191" s="13" t="s">
        <v>93</v>
      </c>
      <c r="F191" s="13" t="s">
        <v>94</v>
      </c>
      <c r="G191" s="13" t="s">
        <v>25</v>
      </c>
      <c r="H191" s="13" t="s">
        <v>26</v>
      </c>
      <c r="I191" t="s">
        <v>27</v>
      </c>
      <c r="J191" s="13" t="s">
        <v>28</v>
      </c>
      <c r="K191" s="13" t="s">
        <v>47</v>
      </c>
      <c r="L191" s="13" t="s">
        <v>48</v>
      </c>
      <c r="M191" t="s">
        <v>31</v>
      </c>
      <c r="N191">
        <v>1186</v>
      </c>
      <c r="O191" s="14">
        <v>0.367010602727532</v>
      </c>
      <c r="P191" s="14">
        <v>0.36227229656651599</v>
      </c>
      <c r="Q191" t="str">
        <f t="shared" si="4"/>
        <v>&lt;01</v>
      </c>
      <c r="R191" t="str">
        <f t="shared" si="5"/>
        <v>[umc2n1Z4wNv]|&lt;01|Male|TX_CURR_SUBNAT.R|CY2022Q4</v>
      </c>
    </row>
    <row r="192" spans="1:18" x14ac:dyDescent="0.2">
      <c r="A192" s="8"/>
      <c r="B192" s="8"/>
      <c r="C192" s="8"/>
      <c r="D192" s="13" t="s">
        <v>92</v>
      </c>
      <c r="E192" s="13" t="s">
        <v>93</v>
      </c>
      <c r="F192" s="13" t="s">
        <v>94</v>
      </c>
      <c r="G192" s="13" t="s">
        <v>25</v>
      </c>
      <c r="H192" s="13" t="s">
        <v>26</v>
      </c>
      <c r="I192" t="s">
        <v>32</v>
      </c>
      <c r="J192" s="13" t="s">
        <v>33</v>
      </c>
      <c r="K192" s="13" t="s">
        <v>47</v>
      </c>
      <c r="L192" s="13" t="s">
        <v>48</v>
      </c>
      <c r="M192" t="s">
        <v>31</v>
      </c>
      <c r="N192">
        <v>1371</v>
      </c>
      <c r="O192" s="14">
        <v>0.21601629373617501</v>
      </c>
      <c r="P192" s="14">
        <v>0.36227229656651599</v>
      </c>
      <c r="Q192" t="str">
        <f t="shared" si="4"/>
        <v>01-09</v>
      </c>
      <c r="R192" t="str">
        <f t="shared" si="5"/>
        <v>[umc2n1Z4wNv]|01-09|Male|TX_CURR_SUBNAT.R|CY2022Q4</v>
      </c>
    </row>
    <row r="193" spans="1:18" x14ac:dyDescent="0.2">
      <c r="A193" s="8"/>
      <c r="B193" s="8"/>
      <c r="C193" s="8"/>
      <c r="D193" s="13" t="s">
        <v>92</v>
      </c>
      <c r="E193" s="13" t="s">
        <v>93</v>
      </c>
      <c r="F193" s="13" t="s">
        <v>94</v>
      </c>
      <c r="G193" s="13" t="s">
        <v>25</v>
      </c>
      <c r="H193" s="13" t="s">
        <v>26</v>
      </c>
      <c r="I193" t="s">
        <v>35</v>
      </c>
      <c r="J193" s="13" t="s">
        <v>36</v>
      </c>
      <c r="K193" s="13" t="s">
        <v>47</v>
      </c>
      <c r="L193" s="13" t="s">
        <v>48</v>
      </c>
      <c r="M193" t="s">
        <v>31</v>
      </c>
      <c r="N193">
        <v>1586</v>
      </c>
      <c r="O193" s="14">
        <v>0.59391396050341405</v>
      </c>
      <c r="P193" s="14">
        <v>0.36227229656651599</v>
      </c>
      <c r="Q193" t="str">
        <f t="shared" si="4"/>
        <v>10-14</v>
      </c>
      <c r="R193" t="str">
        <f t="shared" si="5"/>
        <v>[umc2n1Z4wNv]|10-14|Male|TX_CURR_SUBNAT.R|CY2022Q4</v>
      </c>
    </row>
    <row r="194" spans="1:18" x14ac:dyDescent="0.2">
      <c r="A194" s="8"/>
      <c r="B194" s="8"/>
      <c r="C194" s="8"/>
      <c r="D194" s="13" t="s">
        <v>92</v>
      </c>
      <c r="E194" s="13" t="s">
        <v>93</v>
      </c>
      <c r="F194" s="13" t="s">
        <v>94</v>
      </c>
      <c r="G194" s="13" t="s">
        <v>25</v>
      </c>
      <c r="H194" s="13" t="s">
        <v>26</v>
      </c>
      <c r="I194" t="s">
        <v>37</v>
      </c>
      <c r="J194" s="13" t="s">
        <v>38</v>
      </c>
      <c r="K194" s="13" t="s">
        <v>47</v>
      </c>
      <c r="L194" s="13" t="s">
        <v>48</v>
      </c>
      <c r="M194" t="s">
        <v>31</v>
      </c>
      <c r="N194">
        <v>1049</v>
      </c>
      <c r="O194" s="14">
        <v>0.887274160515517</v>
      </c>
      <c r="P194" s="14">
        <v>0.36227229656651599</v>
      </c>
      <c r="Q194" t="str">
        <f t="shared" ref="Q194:Q257" si="6">SUBSTITUTE(SUBSTITUTE($I194,CHAR(61),""),CHAR(34),"")</f>
        <v>15-24</v>
      </c>
      <c r="R194" t="str">
        <f t="shared" ref="R194:R257" si="7">IF($D194&lt;&gt;"","["&amp;$E194&amp;"]"&amp;"|"&amp;$Q194&amp;"|"&amp;$K194&amp;"|"&amp;$G194&amp;"|"&amp;IF($G194="TX_CURR_SUBNAT.R","CY2022Q4",$M194),"")</f>
        <v>[umc2n1Z4wNv]|15-24|Male|TX_CURR_SUBNAT.R|CY2022Q4</v>
      </c>
    </row>
    <row r="195" spans="1:18" x14ac:dyDescent="0.2">
      <c r="A195" s="8"/>
      <c r="B195" s="8"/>
      <c r="C195" s="8"/>
      <c r="D195" s="13" t="s">
        <v>92</v>
      </c>
      <c r="E195" s="13" t="s">
        <v>93</v>
      </c>
      <c r="F195" s="13" t="s">
        <v>94</v>
      </c>
      <c r="G195" s="13" t="s">
        <v>25</v>
      </c>
      <c r="H195" s="13" t="s">
        <v>26</v>
      </c>
      <c r="I195" t="s">
        <v>40</v>
      </c>
      <c r="J195" s="13" t="s">
        <v>41</v>
      </c>
      <c r="K195" s="13" t="s">
        <v>47</v>
      </c>
      <c r="L195" s="13" t="s">
        <v>48</v>
      </c>
      <c r="M195" t="s">
        <v>31</v>
      </c>
      <c r="N195">
        <v>741</v>
      </c>
      <c r="O195" s="14">
        <v>0.241946158232167</v>
      </c>
      <c r="P195" s="14">
        <v>0.36227229656651599</v>
      </c>
      <c r="Q195" t="str">
        <f t="shared" si="6"/>
        <v>25-34</v>
      </c>
      <c r="R195" t="str">
        <f t="shared" si="7"/>
        <v>[umc2n1Z4wNv]|25-34|Male|TX_CURR_SUBNAT.R|CY2022Q4</v>
      </c>
    </row>
    <row r="196" spans="1:18" x14ac:dyDescent="0.2">
      <c r="A196" s="8"/>
      <c r="B196" s="8"/>
      <c r="C196" s="8"/>
      <c r="D196" s="13" t="s">
        <v>92</v>
      </c>
      <c r="E196" s="13" t="s">
        <v>93</v>
      </c>
      <c r="F196" s="13" t="s">
        <v>94</v>
      </c>
      <c r="G196" s="13" t="s">
        <v>25</v>
      </c>
      <c r="H196" s="13" t="s">
        <v>26</v>
      </c>
      <c r="I196" t="s">
        <v>42</v>
      </c>
      <c r="J196" s="13" t="s">
        <v>43</v>
      </c>
      <c r="K196" s="13" t="s">
        <v>47</v>
      </c>
      <c r="L196" s="13" t="s">
        <v>48</v>
      </c>
      <c r="M196" t="s">
        <v>31</v>
      </c>
      <c r="N196">
        <v>1358</v>
      </c>
      <c r="O196" s="14">
        <v>8.6886143311858205E-2</v>
      </c>
      <c r="P196" s="14">
        <v>0.36227229656651599</v>
      </c>
      <c r="Q196" t="str">
        <f t="shared" si="6"/>
        <v>35-49</v>
      </c>
      <c r="R196" t="str">
        <f t="shared" si="7"/>
        <v>[umc2n1Z4wNv]|35-49|Male|TX_CURR_SUBNAT.R|CY2022Q4</v>
      </c>
    </row>
    <row r="197" spans="1:18" x14ac:dyDescent="0.2">
      <c r="A197" s="8"/>
      <c r="B197" s="8"/>
      <c r="C197" s="8"/>
      <c r="D197" s="13" t="s">
        <v>92</v>
      </c>
      <c r="E197" s="13" t="s">
        <v>93</v>
      </c>
      <c r="F197" s="13" t="s">
        <v>94</v>
      </c>
      <c r="G197" s="13" t="s">
        <v>25</v>
      </c>
      <c r="H197" s="13" t="s">
        <v>26</v>
      </c>
      <c r="I197" t="s">
        <v>44</v>
      </c>
      <c r="J197" s="13" t="s">
        <v>45</v>
      </c>
      <c r="K197" s="13" t="s">
        <v>47</v>
      </c>
      <c r="L197" s="13" t="s">
        <v>48</v>
      </c>
      <c r="M197" t="s">
        <v>31</v>
      </c>
      <c r="N197">
        <v>881</v>
      </c>
      <c r="O197" s="14">
        <v>0.600859660422429</v>
      </c>
      <c r="P197" s="14">
        <v>0.36227229656651599</v>
      </c>
      <c r="Q197" t="str">
        <f t="shared" si="6"/>
        <v>50+</v>
      </c>
      <c r="R197" t="str">
        <f t="shared" si="7"/>
        <v>[umc2n1Z4wNv]|50+|Male|TX_CURR_SUBNAT.R|CY2022Q4</v>
      </c>
    </row>
    <row r="198" spans="1:18" x14ac:dyDescent="0.2">
      <c r="A198" s="8"/>
      <c r="B198" s="8"/>
      <c r="C198" s="8"/>
      <c r="D198" s="13" t="s">
        <v>95</v>
      </c>
      <c r="E198" s="13" t="s">
        <v>96</v>
      </c>
      <c r="F198" s="13" t="s">
        <v>97</v>
      </c>
      <c r="G198" s="13" t="s">
        <v>25</v>
      </c>
      <c r="H198" s="13" t="s">
        <v>26</v>
      </c>
      <c r="I198" t="s">
        <v>27</v>
      </c>
      <c r="J198" s="13" t="s">
        <v>28</v>
      </c>
      <c r="K198" s="13" t="s">
        <v>29</v>
      </c>
      <c r="L198" s="13" t="s">
        <v>30</v>
      </c>
      <c r="M198" t="s">
        <v>31</v>
      </c>
      <c r="N198">
        <v>1683</v>
      </c>
      <c r="O198" s="14">
        <v>0.28708167979493698</v>
      </c>
      <c r="P198" s="14">
        <v>0.60125171788968101</v>
      </c>
      <c r="Q198" t="str">
        <f t="shared" si="6"/>
        <v>&lt;01</v>
      </c>
      <c r="R198" t="str">
        <f t="shared" si="7"/>
        <v>[gwVYinjBAe9]|&lt;01|Female|TX_CURR_SUBNAT.R|CY2022Q4</v>
      </c>
    </row>
    <row r="199" spans="1:18" x14ac:dyDescent="0.2">
      <c r="A199" s="8"/>
      <c r="B199" s="8"/>
      <c r="C199" s="8"/>
      <c r="D199" s="13" t="s">
        <v>95</v>
      </c>
      <c r="E199" s="13" t="s">
        <v>96</v>
      </c>
      <c r="F199" s="13" t="s">
        <v>97</v>
      </c>
      <c r="G199" s="13" t="s">
        <v>25</v>
      </c>
      <c r="H199" s="13" t="s">
        <v>26</v>
      </c>
      <c r="I199" t="s">
        <v>32</v>
      </c>
      <c r="J199" s="13" t="s">
        <v>33</v>
      </c>
      <c r="K199" s="13" t="s">
        <v>29</v>
      </c>
      <c r="L199" s="13" t="s">
        <v>30</v>
      </c>
      <c r="M199" t="s">
        <v>31</v>
      </c>
      <c r="N199">
        <v>980</v>
      </c>
      <c r="O199" s="14">
        <v>0.391601299401373</v>
      </c>
      <c r="P199" s="14">
        <v>0.60125171788968101</v>
      </c>
      <c r="Q199" t="str">
        <f t="shared" si="6"/>
        <v>01-09</v>
      </c>
      <c r="R199" t="str">
        <f t="shared" si="7"/>
        <v>[gwVYinjBAe9]|01-09|Female|TX_CURR_SUBNAT.R|CY2022Q4</v>
      </c>
    </row>
    <row r="200" spans="1:18" x14ac:dyDescent="0.2">
      <c r="A200" s="8"/>
      <c r="B200" s="8"/>
      <c r="C200" s="8"/>
      <c r="D200" s="13" t="s">
        <v>95</v>
      </c>
      <c r="E200" s="13" t="s">
        <v>96</v>
      </c>
      <c r="F200" s="13" t="s">
        <v>97</v>
      </c>
      <c r="G200" s="13" t="s">
        <v>25</v>
      </c>
      <c r="H200" s="13" t="s">
        <v>26</v>
      </c>
      <c r="I200" t="s">
        <v>35</v>
      </c>
      <c r="J200" s="13" t="s">
        <v>36</v>
      </c>
      <c r="K200" s="13" t="s">
        <v>29</v>
      </c>
      <c r="L200" s="13" t="s">
        <v>30</v>
      </c>
      <c r="M200" t="s">
        <v>31</v>
      </c>
      <c r="N200">
        <v>1783</v>
      </c>
      <c r="O200" s="14">
        <v>0.71808260981924799</v>
      </c>
      <c r="P200" s="14">
        <v>0.60125171788968101</v>
      </c>
      <c r="Q200" t="str">
        <f t="shared" si="6"/>
        <v>10-14</v>
      </c>
      <c r="R200" t="str">
        <f t="shared" si="7"/>
        <v>[gwVYinjBAe9]|10-14|Female|TX_CURR_SUBNAT.R|CY2022Q4</v>
      </c>
    </row>
    <row r="201" spans="1:18" x14ac:dyDescent="0.2">
      <c r="D201" s="13" t="s">
        <v>95</v>
      </c>
      <c r="E201" s="13" t="s">
        <v>96</v>
      </c>
      <c r="F201" s="13" t="s">
        <v>97</v>
      </c>
      <c r="G201" s="13" t="s">
        <v>25</v>
      </c>
      <c r="H201" s="13" t="s">
        <v>26</v>
      </c>
      <c r="I201" t="s">
        <v>37</v>
      </c>
      <c r="J201" s="13" t="s">
        <v>38</v>
      </c>
      <c r="K201" s="13" t="s">
        <v>29</v>
      </c>
      <c r="L201" s="13" t="s">
        <v>30</v>
      </c>
      <c r="M201" t="s">
        <v>31</v>
      </c>
      <c r="N201">
        <v>626</v>
      </c>
      <c r="O201" s="14">
        <v>0.22810690850019499</v>
      </c>
      <c r="P201" s="14">
        <v>0.60125171788968101</v>
      </c>
      <c r="Q201" t="str">
        <f t="shared" si="6"/>
        <v>15-24</v>
      </c>
      <c r="R201" t="str">
        <f t="shared" si="7"/>
        <v>[gwVYinjBAe9]|15-24|Female|TX_CURR_SUBNAT.R|CY2022Q4</v>
      </c>
    </row>
    <row r="202" spans="1:18" x14ac:dyDescent="0.2">
      <c r="D202" s="13" t="s">
        <v>95</v>
      </c>
      <c r="E202" s="13" t="s">
        <v>96</v>
      </c>
      <c r="F202" s="13" t="s">
        <v>97</v>
      </c>
      <c r="G202" s="13" t="s">
        <v>25</v>
      </c>
      <c r="H202" s="13" t="s">
        <v>26</v>
      </c>
      <c r="I202" t="s">
        <v>40</v>
      </c>
      <c r="J202" s="13" t="s">
        <v>41</v>
      </c>
      <c r="K202" s="13" t="s">
        <v>29</v>
      </c>
      <c r="L202" s="13" t="s">
        <v>30</v>
      </c>
      <c r="M202" t="s">
        <v>31</v>
      </c>
      <c r="N202">
        <v>952</v>
      </c>
      <c r="O202" s="14">
        <v>0.17385576735250699</v>
      </c>
      <c r="P202" s="14">
        <v>0.60125171788968101</v>
      </c>
      <c r="Q202" t="str">
        <f t="shared" si="6"/>
        <v>25-34</v>
      </c>
      <c r="R202" t="str">
        <f t="shared" si="7"/>
        <v>[gwVYinjBAe9]|25-34|Female|TX_CURR_SUBNAT.R|CY2022Q4</v>
      </c>
    </row>
    <row r="203" spans="1:18" x14ac:dyDescent="0.2">
      <c r="D203" s="13" t="s">
        <v>95</v>
      </c>
      <c r="E203" s="13" t="s">
        <v>96</v>
      </c>
      <c r="F203" s="13" t="s">
        <v>97</v>
      </c>
      <c r="G203" s="13" t="s">
        <v>25</v>
      </c>
      <c r="H203" s="13" t="s">
        <v>26</v>
      </c>
      <c r="I203" t="s">
        <v>42</v>
      </c>
      <c r="J203" s="13" t="s">
        <v>43</v>
      </c>
      <c r="K203" s="13" t="s">
        <v>29</v>
      </c>
      <c r="L203" s="13" t="s">
        <v>30</v>
      </c>
      <c r="M203" t="s">
        <v>31</v>
      </c>
      <c r="N203">
        <v>1845</v>
      </c>
      <c r="O203" s="14">
        <v>0.24267172394320399</v>
      </c>
      <c r="P203" s="14">
        <v>0.60125171788968101</v>
      </c>
      <c r="Q203" t="str">
        <f t="shared" si="6"/>
        <v>35-49</v>
      </c>
      <c r="R203" t="str">
        <f t="shared" si="7"/>
        <v>[gwVYinjBAe9]|35-49|Female|TX_CURR_SUBNAT.R|CY2022Q4</v>
      </c>
    </row>
    <row r="204" spans="1:18" x14ac:dyDescent="0.2">
      <c r="D204" s="13" t="s">
        <v>95</v>
      </c>
      <c r="E204" s="13" t="s">
        <v>96</v>
      </c>
      <c r="F204" s="13" t="s">
        <v>97</v>
      </c>
      <c r="G204" s="13" t="s">
        <v>25</v>
      </c>
      <c r="H204" s="13" t="s">
        <v>26</v>
      </c>
      <c r="I204" t="s">
        <v>44</v>
      </c>
      <c r="J204" s="13" t="s">
        <v>45</v>
      </c>
      <c r="K204" s="13" t="s">
        <v>29</v>
      </c>
      <c r="L204" s="13" t="s">
        <v>30</v>
      </c>
      <c r="M204" t="s">
        <v>31</v>
      </c>
      <c r="N204">
        <v>1752</v>
      </c>
      <c r="O204" s="14">
        <v>0.38599579664878497</v>
      </c>
      <c r="P204" s="14">
        <v>0.60125171788968101</v>
      </c>
      <c r="Q204" t="str">
        <f t="shared" si="6"/>
        <v>50+</v>
      </c>
      <c r="R204" t="str">
        <f t="shared" si="7"/>
        <v>[gwVYinjBAe9]|50+|Female|TX_CURR_SUBNAT.R|CY2022Q4</v>
      </c>
    </row>
    <row r="205" spans="1:18" x14ac:dyDescent="0.2">
      <c r="D205" s="13" t="s">
        <v>95</v>
      </c>
      <c r="E205" s="13" t="s">
        <v>96</v>
      </c>
      <c r="F205" s="13" t="s">
        <v>97</v>
      </c>
      <c r="G205" s="13" t="s">
        <v>25</v>
      </c>
      <c r="H205" s="13" t="s">
        <v>26</v>
      </c>
      <c r="I205" t="s">
        <v>27</v>
      </c>
      <c r="J205" s="13" t="s">
        <v>28</v>
      </c>
      <c r="K205" s="13" t="s">
        <v>47</v>
      </c>
      <c r="L205" s="13" t="s">
        <v>48</v>
      </c>
      <c r="M205" t="s">
        <v>31</v>
      </c>
      <c r="N205">
        <v>549</v>
      </c>
      <c r="O205" s="14">
        <v>9.5204487442970293E-3</v>
      </c>
      <c r="P205" s="14">
        <v>0.60125171788968101</v>
      </c>
      <c r="Q205" t="str">
        <f t="shared" si="6"/>
        <v>&lt;01</v>
      </c>
      <c r="R205" t="str">
        <f t="shared" si="7"/>
        <v>[gwVYinjBAe9]|&lt;01|Male|TX_CURR_SUBNAT.R|CY2022Q4</v>
      </c>
    </row>
    <row r="206" spans="1:18" x14ac:dyDescent="0.2">
      <c r="D206" s="13" t="s">
        <v>95</v>
      </c>
      <c r="E206" s="13" t="s">
        <v>96</v>
      </c>
      <c r="F206" s="13" t="s">
        <v>97</v>
      </c>
      <c r="G206" s="13" t="s">
        <v>25</v>
      </c>
      <c r="H206" s="13" t="s">
        <v>26</v>
      </c>
      <c r="I206" t="s">
        <v>32</v>
      </c>
      <c r="J206" s="13" t="s">
        <v>33</v>
      </c>
      <c r="K206" s="13" t="s">
        <v>47</v>
      </c>
      <c r="L206" s="13" t="s">
        <v>48</v>
      </c>
      <c r="M206" t="s">
        <v>31</v>
      </c>
      <c r="N206">
        <v>1471</v>
      </c>
      <c r="O206" s="14">
        <v>0.975716553628445</v>
      </c>
      <c r="P206" s="14">
        <v>0.60125171788968101</v>
      </c>
      <c r="Q206" t="str">
        <f t="shared" si="6"/>
        <v>01-09</v>
      </c>
      <c r="R206" t="str">
        <f t="shared" si="7"/>
        <v>[gwVYinjBAe9]|01-09|Male|TX_CURR_SUBNAT.R|CY2022Q4</v>
      </c>
    </row>
    <row r="207" spans="1:18" x14ac:dyDescent="0.2">
      <c r="D207" s="13" t="s">
        <v>95</v>
      </c>
      <c r="E207" s="13" t="s">
        <v>96</v>
      </c>
      <c r="F207" s="13" t="s">
        <v>97</v>
      </c>
      <c r="G207" s="13" t="s">
        <v>25</v>
      </c>
      <c r="H207" s="13" t="s">
        <v>26</v>
      </c>
      <c r="I207" t="s">
        <v>35</v>
      </c>
      <c r="J207" s="13" t="s">
        <v>36</v>
      </c>
      <c r="K207" s="13" t="s">
        <v>47</v>
      </c>
      <c r="L207" s="13" t="s">
        <v>48</v>
      </c>
      <c r="M207" t="s">
        <v>31</v>
      </c>
      <c r="N207">
        <v>1551</v>
      </c>
      <c r="O207" s="14">
        <v>0.68981458689086095</v>
      </c>
      <c r="P207" s="14">
        <v>0.60125171788968101</v>
      </c>
      <c r="Q207" t="str">
        <f t="shared" si="6"/>
        <v>10-14</v>
      </c>
      <c r="R207" t="str">
        <f t="shared" si="7"/>
        <v>[gwVYinjBAe9]|10-14|Male|TX_CURR_SUBNAT.R|CY2022Q4</v>
      </c>
    </row>
    <row r="208" spans="1:18" x14ac:dyDescent="0.2">
      <c r="D208" s="13" t="s">
        <v>95</v>
      </c>
      <c r="E208" s="13" t="s">
        <v>96</v>
      </c>
      <c r="F208" s="13" t="s">
        <v>97</v>
      </c>
      <c r="G208" s="13" t="s">
        <v>25</v>
      </c>
      <c r="H208" s="13" t="s">
        <v>26</v>
      </c>
      <c r="I208" t="s">
        <v>37</v>
      </c>
      <c r="J208" s="13" t="s">
        <v>38</v>
      </c>
      <c r="K208" s="13" t="s">
        <v>47</v>
      </c>
      <c r="L208" s="13" t="s">
        <v>48</v>
      </c>
      <c r="M208" t="s">
        <v>31</v>
      </c>
      <c r="N208">
        <v>1182</v>
      </c>
      <c r="O208" s="14">
        <v>0.391687301686034</v>
      </c>
      <c r="P208" s="14">
        <v>0.60125171788968101</v>
      </c>
      <c r="Q208" t="str">
        <f t="shared" si="6"/>
        <v>15-24</v>
      </c>
      <c r="R208" t="str">
        <f t="shared" si="7"/>
        <v>[gwVYinjBAe9]|15-24|Male|TX_CURR_SUBNAT.R|CY2022Q4</v>
      </c>
    </row>
    <row r="209" spans="4:18" x14ac:dyDescent="0.2">
      <c r="D209" s="13" t="s">
        <v>95</v>
      </c>
      <c r="E209" s="13" t="s">
        <v>96</v>
      </c>
      <c r="F209" s="13" t="s">
        <v>97</v>
      </c>
      <c r="G209" s="13" t="s">
        <v>25</v>
      </c>
      <c r="H209" s="13" t="s">
        <v>26</v>
      </c>
      <c r="I209" t="s">
        <v>40</v>
      </c>
      <c r="J209" s="13" t="s">
        <v>41</v>
      </c>
      <c r="K209" s="13" t="s">
        <v>47</v>
      </c>
      <c r="L209" s="13" t="s">
        <v>48</v>
      </c>
      <c r="M209" t="s">
        <v>31</v>
      </c>
      <c r="N209">
        <v>1387</v>
      </c>
      <c r="O209" s="14">
        <v>0.496011512586847</v>
      </c>
      <c r="P209" s="14">
        <v>0.60125171788968101</v>
      </c>
      <c r="Q209" t="str">
        <f t="shared" si="6"/>
        <v>25-34</v>
      </c>
      <c r="R209" t="str">
        <f t="shared" si="7"/>
        <v>[gwVYinjBAe9]|25-34|Male|TX_CURR_SUBNAT.R|CY2022Q4</v>
      </c>
    </row>
    <row r="210" spans="4:18" x14ac:dyDescent="0.2">
      <c r="D210" s="13" t="s">
        <v>95</v>
      </c>
      <c r="E210" s="13" t="s">
        <v>96</v>
      </c>
      <c r="F210" s="13" t="s">
        <v>97</v>
      </c>
      <c r="G210" s="13" t="s">
        <v>25</v>
      </c>
      <c r="H210" s="13" t="s">
        <v>26</v>
      </c>
      <c r="I210" t="s">
        <v>42</v>
      </c>
      <c r="J210" s="13" t="s">
        <v>43</v>
      </c>
      <c r="K210" s="13" t="s">
        <v>47</v>
      </c>
      <c r="L210" s="13" t="s">
        <v>48</v>
      </c>
      <c r="M210" t="s">
        <v>31</v>
      </c>
      <c r="N210">
        <v>1596</v>
      </c>
      <c r="O210" s="14">
        <v>0.48771991115063401</v>
      </c>
      <c r="P210" s="14">
        <v>0.60125171788968101</v>
      </c>
      <c r="Q210" t="str">
        <f t="shared" si="6"/>
        <v>35-49</v>
      </c>
      <c r="R210" t="str">
        <f t="shared" si="7"/>
        <v>[gwVYinjBAe9]|35-49|Male|TX_CURR_SUBNAT.R|CY2022Q4</v>
      </c>
    </row>
    <row r="211" spans="4:18" x14ac:dyDescent="0.2">
      <c r="D211" s="13" t="s">
        <v>95</v>
      </c>
      <c r="E211" s="13" t="s">
        <v>96</v>
      </c>
      <c r="F211" s="13" t="s">
        <v>97</v>
      </c>
      <c r="G211" s="13" t="s">
        <v>25</v>
      </c>
      <c r="H211" s="13" t="s">
        <v>26</v>
      </c>
      <c r="I211" t="s">
        <v>44</v>
      </c>
      <c r="J211" s="13" t="s">
        <v>45</v>
      </c>
      <c r="K211" s="13" t="s">
        <v>47</v>
      </c>
      <c r="L211" s="13" t="s">
        <v>48</v>
      </c>
      <c r="M211" t="s">
        <v>31</v>
      </c>
      <c r="N211">
        <v>1623</v>
      </c>
      <c r="O211" s="14">
        <v>0.251116052269936</v>
      </c>
      <c r="P211" s="14">
        <v>0.60125171788968101</v>
      </c>
      <c r="Q211" t="str">
        <f t="shared" si="6"/>
        <v>50+</v>
      </c>
      <c r="R211" t="str">
        <f t="shared" si="7"/>
        <v>[gwVYinjBAe9]|50+|Male|TX_CURR_SUBNAT.R|CY2022Q4</v>
      </c>
    </row>
    <row r="212" spans="4:18" x14ac:dyDescent="0.2">
      <c r="D212" s="13" t="s">
        <v>98</v>
      </c>
      <c r="E212" s="13" t="s">
        <v>99</v>
      </c>
      <c r="F212" s="13" t="s">
        <v>100</v>
      </c>
      <c r="G212" s="13" t="s">
        <v>25</v>
      </c>
      <c r="H212" s="13" t="s">
        <v>26</v>
      </c>
      <c r="I212" t="s">
        <v>27</v>
      </c>
      <c r="J212" s="13" t="s">
        <v>28</v>
      </c>
      <c r="K212" s="13" t="s">
        <v>29</v>
      </c>
      <c r="L212" s="13" t="s">
        <v>30</v>
      </c>
      <c r="M212" t="s">
        <v>31</v>
      </c>
      <c r="N212">
        <v>1506</v>
      </c>
      <c r="O212" s="14">
        <v>0.25292962440289601</v>
      </c>
      <c r="P212" s="14">
        <v>0.57728803809732199</v>
      </c>
      <c r="Q212" t="str">
        <f t="shared" si="6"/>
        <v>&lt;01</v>
      </c>
      <c r="R212" t="str">
        <f t="shared" si="7"/>
        <v>[mxqa3CDFmIT]|&lt;01|Female|TX_CURR_SUBNAT.R|CY2022Q4</v>
      </c>
    </row>
    <row r="213" spans="4:18" x14ac:dyDescent="0.2">
      <c r="D213" s="13" t="s">
        <v>98</v>
      </c>
      <c r="E213" s="13" t="s">
        <v>99</v>
      </c>
      <c r="F213" s="13" t="s">
        <v>100</v>
      </c>
      <c r="G213" s="13" t="s">
        <v>25</v>
      </c>
      <c r="H213" s="13" t="s">
        <v>26</v>
      </c>
      <c r="I213" t="s">
        <v>32</v>
      </c>
      <c r="J213" s="13" t="s">
        <v>33</v>
      </c>
      <c r="K213" s="13" t="s">
        <v>29</v>
      </c>
      <c r="L213" s="13" t="s">
        <v>30</v>
      </c>
      <c r="M213" t="s">
        <v>31</v>
      </c>
      <c r="N213">
        <v>840</v>
      </c>
      <c r="O213" s="14">
        <v>0.11277755186893</v>
      </c>
      <c r="P213" s="14">
        <v>0.57728803809732199</v>
      </c>
      <c r="Q213" t="str">
        <f t="shared" si="6"/>
        <v>01-09</v>
      </c>
      <c r="R213" t="str">
        <f t="shared" si="7"/>
        <v>[mxqa3CDFmIT]|01-09|Female|TX_CURR_SUBNAT.R|CY2022Q4</v>
      </c>
    </row>
    <row r="214" spans="4:18" x14ac:dyDescent="0.2">
      <c r="D214" s="13" t="s">
        <v>98</v>
      </c>
      <c r="E214" s="13" t="s">
        <v>99</v>
      </c>
      <c r="F214" s="13" t="s">
        <v>100</v>
      </c>
      <c r="G214" s="13" t="s">
        <v>25</v>
      </c>
      <c r="H214" s="13" t="s">
        <v>26</v>
      </c>
      <c r="I214" t="s">
        <v>35</v>
      </c>
      <c r="J214" s="13" t="s">
        <v>36</v>
      </c>
      <c r="K214" s="13" t="s">
        <v>29</v>
      </c>
      <c r="L214" s="13" t="s">
        <v>30</v>
      </c>
      <c r="M214" t="s">
        <v>31</v>
      </c>
      <c r="N214">
        <v>1444</v>
      </c>
      <c r="O214" s="14">
        <v>0.63446781481616199</v>
      </c>
      <c r="P214" s="14">
        <v>0.57728803809732199</v>
      </c>
      <c r="Q214" t="str">
        <f t="shared" si="6"/>
        <v>10-14</v>
      </c>
      <c r="R214" t="str">
        <f t="shared" si="7"/>
        <v>[mxqa3CDFmIT]|10-14|Female|TX_CURR_SUBNAT.R|CY2022Q4</v>
      </c>
    </row>
    <row r="215" spans="4:18" x14ac:dyDescent="0.2">
      <c r="D215" s="13" t="s">
        <v>98</v>
      </c>
      <c r="E215" s="13" t="s">
        <v>99</v>
      </c>
      <c r="F215" s="13" t="s">
        <v>100</v>
      </c>
      <c r="G215" s="13" t="s">
        <v>25</v>
      </c>
      <c r="H215" s="13" t="s">
        <v>26</v>
      </c>
      <c r="I215" t="s">
        <v>37</v>
      </c>
      <c r="J215" s="13" t="s">
        <v>38</v>
      </c>
      <c r="K215" s="13" t="s">
        <v>29</v>
      </c>
      <c r="L215" s="13" t="s">
        <v>30</v>
      </c>
      <c r="M215" t="s">
        <v>31</v>
      </c>
      <c r="N215">
        <v>1279</v>
      </c>
      <c r="O215" s="14">
        <v>0.11915648682042999</v>
      </c>
      <c r="P215" s="14">
        <v>0.57728803809732199</v>
      </c>
      <c r="Q215" t="str">
        <f t="shared" si="6"/>
        <v>15-24</v>
      </c>
      <c r="R215" t="str">
        <f t="shared" si="7"/>
        <v>[mxqa3CDFmIT]|15-24|Female|TX_CURR_SUBNAT.R|CY2022Q4</v>
      </c>
    </row>
    <row r="216" spans="4:18" x14ac:dyDescent="0.2">
      <c r="D216" s="13" t="s">
        <v>98</v>
      </c>
      <c r="E216" s="13" t="s">
        <v>99</v>
      </c>
      <c r="F216" s="13" t="s">
        <v>100</v>
      </c>
      <c r="G216" s="13" t="s">
        <v>25</v>
      </c>
      <c r="H216" s="13" t="s">
        <v>26</v>
      </c>
      <c r="I216" t="s">
        <v>40</v>
      </c>
      <c r="J216" s="13" t="s">
        <v>41</v>
      </c>
      <c r="K216" s="13" t="s">
        <v>29</v>
      </c>
      <c r="L216" s="13" t="s">
        <v>30</v>
      </c>
      <c r="M216" t="s">
        <v>31</v>
      </c>
      <c r="N216">
        <v>946</v>
      </c>
      <c r="O216" s="14">
        <v>0.220098250312731</v>
      </c>
      <c r="P216" s="14">
        <v>0.57728803809732199</v>
      </c>
      <c r="Q216" t="str">
        <f t="shared" si="6"/>
        <v>25-34</v>
      </c>
      <c r="R216" t="str">
        <f t="shared" si="7"/>
        <v>[mxqa3CDFmIT]|25-34|Female|TX_CURR_SUBNAT.R|CY2022Q4</v>
      </c>
    </row>
    <row r="217" spans="4:18" x14ac:dyDescent="0.2">
      <c r="D217" s="13" t="s">
        <v>98</v>
      </c>
      <c r="E217" s="13" t="s">
        <v>99</v>
      </c>
      <c r="F217" s="13" t="s">
        <v>100</v>
      </c>
      <c r="G217" s="13" t="s">
        <v>25</v>
      </c>
      <c r="H217" s="13" t="s">
        <v>26</v>
      </c>
      <c r="I217" t="s">
        <v>42</v>
      </c>
      <c r="J217" s="13" t="s">
        <v>43</v>
      </c>
      <c r="K217" s="13" t="s">
        <v>29</v>
      </c>
      <c r="L217" s="13" t="s">
        <v>30</v>
      </c>
      <c r="M217" t="s">
        <v>31</v>
      </c>
      <c r="N217">
        <v>1999</v>
      </c>
      <c r="O217" s="14">
        <v>0.605932253645733</v>
      </c>
      <c r="P217" s="14">
        <v>0.57728803809732199</v>
      </c>
      <c r="Q217" t="str">
        <f t="shared" si="6"/>
        <v>35-49</v>
      </c>
      <c r="R217" t="str">
        <f t="shared" si="7"/>
        <v>[mxqa3CDFmIT]|35-49|Female|TX_CURR_SUBNAT.R|CY2022Q4</v>
      </c>
    </row>
    <row r="218" spans="4:18" x14ac:dyDescent="0.2">
      <c r="D218" s="13" t="s">
        <v>98</v>
      </c>
      <c r="E218" s="13" t="s">
        <v>99</v>
      </c>
      <c r="F218" s="13" t="s">
        <v>100</v>
      </c>
      <c r="G218" s="13" t="s">
        <v>25</v>
      </c>
      <c r="H218" s="13" t="s">
        <v>26</v>
      </c>
      <c r="I218" t="s">
        <v>44</v>
      </c>
      <c r="J218" s="13" t="s">
        <v>45</v>
      </c>
      <c r="K218" s="13" t="s">
        <v>29</v>
      </c>
      <c r="L218" s="13" t="s">
        <v>30</v>
      </c>
      <c r="M218" t="s">
        <v>31</v>
      </c>
      <c r="N218">
        <v>503</v>
      </c>
      <c r="O218" s="14">
        <v>0.93675368209369503</v>
      </c>
      <c r="P218" s="14">
        <v>0.57728803809732199</v>
      </c>
      <c r="Q218" t="str">
        <f t="shared" si="6"/>
        <v>50+</v>
      </c>
      <c r="R218" t="str">
        <f t="shared" si="7"/>
        <v>[mxqa3CDFmIT]|50+|Female|TX_CURR_SUBNAT.R|CY2022Q4</v>
      </c>
    </row>
    <row r="219" spans="4:18" x14ac:dyDescent="0.2">
      <c r="D219" s="13" t="s">
        <v>98</v>
      </c>
      <c r="E219" s="13" t="s">
        <v>99</v>
      </c>
      <c r="F219" s="13" t="s">
        <v>100</v>
      </c>
      <c r="G219" s="13" t="s">
        <v>25</v>
      </c>
      <c r="H219" s="13" t="s">
        <v>26</v>
      </c>
      <c r="I219" t="s">
        <v>27</v>
      </c>
      <c r="J219" s="13" t="s">
        <v>28</v>
      </c>
      <c r="K219" s="13" t="s">
        <v>47</v>
      </c>
      <c r="L219" s="13" t="s">
        <v>48</v>
      </c>
      <c r="M219" t="s">
        <v>31</v>
      </c>
      <c r="N219">
        <v>1283</v>
      </c>
      <c r="O219" s="14">
        <v>0.72665581968613002</v>
      </c>
      <c r="P219" s="14">
        <v>0.57728803809732199</v>
      </c>
      <c r="Q219" t="str">
        <f t="shared" si="6"/>
        <v>&lt;01</v>
      </c>
      <c r="R219" t="str">
        <f t="shared" si="7"/>
        <v>[mxqa3CDFmIT]|&lt;01|Male|TX_CURR_SUBNAT.R|CY2022Q4</v>
      </c>
    </row>
    <row r="220" spans="4:18" x14ac:dyDescent="0.2">
      <c r="D220" s="13" t="s">
        <v>98</v>
      </c>
      <c r="E220" s="13" t="s">
        <v>99</v>
      </c>
      <c r="F220" s="13" t="s">
        <v>100</v>
      </c>
      <c r="G220" s="13" t="s">
        <v>25</v>
      </c>
      <c r="H220" s="13" t="s">
        <v>26</v>
      </c>
      <c r="I220" t="s">
        <v>32</v>
      </c>
      <c r="J220" s="13" t="s">
        <v>33</v>
      </c>
      <c r="K220" s="13" t="s">
        <v>47</v>
      </c>
      <c r="L220" s="13" t="s">
        <v>48</v>
      </c>
      <c r="M220" t="s">
        <v>31</v>
      </c>
      <c r="N220">
        <v>1680</v>
      </c>
      <c r="O220" s="14">
        <v>4.8503422411158702E-2</v>
      </c>
      <c r="P220" s="14">
        <v>0.57728803809732199</v>
      </c>
      <c r="Q220" t="str">
        <f t="shared" si="6"/>
        <v>01-09</v>
      </c>
      <c r="R220" t="str">
        <f t="shared" si="7"/>
        <v>[mxqa3CDFmIT]|01-09|Male|TX_CURR_SUBNAT.R|CY2022Q4</v>
      </c>
    </row>
    <row r="221" spans="4:18" x14ac:dyDescent="0.2">
      <c r="D221" s="13" t="s">
        <v>98</v>
      </c>
      <c r="E221" s="13" t="s">
        <v>99</v>
      </c>
      <c r="F221" s="13" t="s">
        <v>100</v>
      </c>
      <c r="G221" s="13" t="s">
        <v>25</v>
      </c>
      <c r="H221" s="13" t="s">
        <v>26</v>
      </c>
      <c r="I221" t="s">
        <v>35</v>
      </c>
      <c r="J221" s="13" t="s">
        <v>36</v>
      </c>
      <c r="K221" s="13" t="s">
        <v>47</v>
      </c>
      <c r="L221" s="13" t="s">
        <v>48</v>
      </c>
      <c r="M221" t="s">
        <v>31</v>
      </c>
      <c r="N221">
        <v>1305</v>
      </c>
      <c r="O221" s="14">
        <v>0.761632209876552</v>
      </c>
      <c r="P221" s="14">
        <v>0.57728803809732199</v>
      </c>
      <c r="Q221" t="str">
        <f t="shared" si="6"/>
        <v>10-14</v>
      </c>
      <c r="R221" t="str">
        <f t="shared" si="7"/>
        <v>[mxqa3CDFmIT]|10-14|Male|TX_CURR_SUBNAT.R|CY2022Q4</v>
      </c>
    </row>
    <row r="222" spans="4:18" x14ac:dyDescent="0.2">
      <c r="D222" s="13" t="s">
        <v>98</v>
      </c>
      <c r="E222" s="13" t="s">
        <v>99</v>
      </c>
      <c r="F222" s="13" t="s">
        <v>100</v>
      </c>
      <c r="G222" s="13" t="s">
        <v>25</v>
      </c>
      <c r="H222" s="13" t="s">
        <v>26</v>
      </c>
      <c r="I222" t="s">
        <v>37</v>
      </c>
      <c r="J222" s="13" t="s">
        <v>38</v>
      </c>
      <c r="K222" s="13" t="s">
        <v>47</v>
      </c>
      <c r="L222" s="13" t="s">
        <v>48</v>
      </c>
      <c r="M222" t="s">
        <v>31</v>
      </c>
      <c r="N222">
        <v>1197</v>
      </c>
      <c r="O222" s="14">
        <v>0.92087026219815005</v>
      </c>
      <c r="P222" s="14">
        <v>0.57728803809732199</v>
      </c>
      <c r="Q222" t="str">
        <f t="shared" si="6"/>
        <v>15-24</v>
      </c>
      <c r="R222" t="str">
        <f t="shared" si="7"/>
        <v>[mxqa3CDFmIT]|15-24|Male|TX_CURR_SUBNAT.R|CY2022Q4</v>
      </c>
    </row>
    <row r="223" spans="4:18" x14ac:dyDescent="0.2">
      <c r="D223" s="13" t="s">
        <v>98</v>
      </c>
      <c r="E223" s="13" t="s">
        <v>99</v>
      </c>
      <c r="F223" s="13" t="s">
        <v>100</v>
      </c>
      <c r="G223" s="13" t="s">
        <v>25</v>
      </c>
      <c r="H223" s="13" t="s">
        <v>26</v>
      </c>
      <c r="I223" t="s">
        <v>40</v>
      </c>
      <c r="J223" s="13" t="s">
        <v>41</v>
      </c>
      <c r="K223" s="13" t="s">
        <v>47</v>
      </c>
      <c r="L223" s="13" t="s">
        <v>48</v>
      </c>
      <c r="M223" t="s">
        <v>31</v>
      </c>
      <c r="N223">
        <v>1504</v>
      </c>
      <c r="O223" s="14">
        <v>0.97093532350845602</v>
      </c>
      <c r="P223" s="14">
        <v>0.57728803809732199</v>
      </c>
      <c r="Q223" t="str">
        <f t="shared" si="6"/>
        <v>25-34</v>
      </c>
      <c r="R223" t="str">
        <f t="shared" si="7"/>
        <v>[mxqa3CDFmIT]|25-34|Male|TX_CURR_SUBNAT.R|CY2022Q4</v>
      </c>
    </row>
    <row r="224" spans="4:18" x14ac:dyDescent="0.2">
      <c r="D224" s="13" t="s">
        <v>98</v>
      </c>
      <c r="E224" s="13" t="s">
        <v>99</v>
      </c>
      <c r="F224" s="13" t="s">
        <v>100</v>
      </c>
      <c r="G224" s="13" t="s">
        <v>25</v>
      </c>
      <c r="H224" s="13" t="s">
        <v>26</v>
      </c>
      <c r="I224" t="s">
        <v>42</v>
      </c>
      <c r="J224" s="13" t="s">
        <v>43</v>
      </c>
      <c r="K224" s="13" t="s">
        <v>47</v>
      </c>
      <c r="L224" s="13" t="s">
        <v>48</v>
      </c>
      <c r="M224" t="s">
        <v>31</v>
      </c>
      <c r="N224">
        <v>663</v>
      </c>
      <c r="O224" s="14">
        <v>0.165808907942846</v>
      </c>
      <c r="P224" s="14">
        <v>0.57728803809732199</v>
      </c>
      <c r="Q224" t="str">
        <f t="shared" si="6"/>
        <v>35-49</v>
      </c>
      <c r="R224" t="str">
        <f t="shared" si="7"/>
        <v>[mxqa3CDFmIT]|35-49|Male|TX_CURR_SUBNAT.R|CY2022Q4</v>
      </c>
    </row>
    <row r="225" spans="4:18" x14ac:dyDescent="0.2">
      <c r="D225" s="13" t="s">
        <v>98</v>
      </c>
      <c r="E225" s="13" t="s">
        <v>99</v>
      </c>
      <c r="F225" s="13" t="s">
        <v>100</v>
      </c>
      <c r="G225" s="13" t="s">
        <v>25</v>
      </c>
      <c r="H225" s="13" t="s">
        <v>26</v>
      </c>
      <c r="I225" t="s">
        <v>44</v>
      </c>
      <c r="J225" s="13" t="s">
        <v>45</v>
      </c>
      <c r="K225" s="13" t="s">
        <v>47</v>
      </c>
      <c r="L225" s="13" t="s">
        <v>48</v>
      </c>
      <c r="M225" t="s">
        <v>31</v>
      </c>
      <c r="N225">
        <v>1322</v>
      </c>
      <c r="O225" s="14">
        <v>0.59073757985606801</v>
      </c>
      <c r="P225" s="14">
        <v>0.57728803809732199</v>
      </c>
      <c r="Q225" t="str">
        <f t="shared" si="6"/>
        <v>50+</v>
      </c>
      <c r="R225" t="str">
        <f t="shared" si="7"/>
        <v>[mxqa3CDFmIT]|50+|Male|TX_CURR_SUBNAT.R|CY2022Q4</v>
      </c>
    </row>
    <row r="226" spans="4:18" x14ac:dyDescent="0.2">
      <c r="D226" s="13" t="s">
        <v>101</v>
      </c>
      <c r="E226" s="13" t="s">
        <v>102</v>
      </c>
      <c r="F226" s="13" t="s">
        <v>103</v>
      </c>
      <c r="G226" s="13" t="s">
        <v>25</v>
      </c>
      <c r="H226" s="13" t="s">
        <v>26</v>
      </c>
      <c r="I226" t="s">
        <v>27</v>
      </c>
      <c r="J226" s="13" t="s">
        <v>28</v>
      </c>
      <c r="K226" s="13" t="s">
        <v>29</v>
      </c>
      <c r="L226" s="13" t="s">
        <v>30</v>
      </c>
      <c r="M226" t="s">
        <v>31</v>
      </c>
      <c r="N226">
        <v>1364</v>
      </c>
      <c r="O226" s="14">
        <v>0.58224918018095195</v>
      </c>
      <c r="P226" s="14">
        <v>0.52621235931292198</v>
      </c>
      <c r="Q226" t="str">
        <f t="shared" si="6"/>
        <v>&lt;01</v>
      </c>
      <c r="R226" t="str">
        <f t="shared" si="7"/>
        <v>[wNqJp8oRIcF]|&lt;01|Female|TX_CURR_SUBNAT.R|CY2022Q4</v>
      </c>
    </row>
    <row r="227" spans="4:18" x14ac:dyDescent="0.2">
      <c r="D227" s="13" t="s">
        <v>101</v>
      </c>
      <c r="E227" s="13" t="s">
        <v>102</v>
      </c>
      <c r="F227" s="13" t="s">
        <v>103</v>
      </c>
      <c r="G227" s="13" t="s">
        <v>25</v>
      </c>
      <c r="H227" s="13" t="s">
        <v>26</v>
      </c>
      <c r="I227" t="s">
        <v>32</v>
      </c>
      <c r="J227" s="13" t="s">
        <v>33</v>
      </c>
      <c r="K227" s="13" t="s">
        <v>29</v>
      </c>
      <c r="L227" s="13" t="s">
        <v>30</v>
      </c>
      <c r="M227" t="s">
        <v>31</v>
      </c>
      <c r="N227">
        <v>552</v>
      </c>
      <c r="O227" s="14">
        <v>0.64776453608647</v>
      </c>
      <c r="P227" s="14">
        <v>0.52621235931292198</v>
      </c>
      <c r="Q227" t="str">
        <f t="shared" si="6"/>
        <v>01-09</v>
      </c>
      <c r="R227" t="str">
        <f t="shared" si="7"/>
        <v>[wNqJp8oRIcF]|01-09|Female|TX_CURR_SUBNAT.R|CY2022Q4</v>
      </c>
    </row>
    <row r="228" spans="4:18" x14ac:dyDescent="0.2">
      <c r="D228" s="13" t="s">
        <v>101</v>
      </c>
      <c r="E228" s="13" t="s">
        <v>102</v>
      </c>
      <c r="F228" s="13" t="s">
        <v>103</v>
      </c>
      <c r="G228" s="13" t="s">
        <v>25</v>
      </c>
      <c r="H228" s="13" t="s">
        <v>26</v>
      </c>
      <c r="I228" t="s">
        <v>35</v>
      </c>
      <c r="J228" s="13" t="s">
        <v>36</v>
      </c>
      <c r="K228" s="13" t="s">
        <v>29</v>
      </c>
      <c r="L228" s="13" t="s">
        <v>30</v>
      </c>
      <c r="M228" t="s">
        <v>31</v>
      </c>
      <c r="N228">
        <v>1011</v>
      </c>
      <c r="O228" s="14">
        <v>0.22986413654871299</v>
      </c>
      <c r="P228" s="14">
        <v>0.52621235931292198</v>
      </c>
      <c r="Q228" t="str">
        <f t="shared" si="6"/>
        <v>10-14</v>
      </c>
      <c r="R228" t="str">
        <f t="shared" si="7"/>
        <v>[wNqJp8oRIcF]|10-14|Female|TX_CURR_SUBNAT.R|CY2022Q4</v>
      </c>
    </row>
    <row r="229" spans="4:18" x14ac:dyDescent="0.2">
      <c r="D229" s="13" t="s">
        <v>101</v>
      </c>
      <c r="E229" s="13" t="s">
        <v>102</v>
      </c>
      <c r="F229" s="13" t="s">
        <v>103</v>
      </c>
      <c r="G229" s="13" t="s">
        <v>25</v>
      </c>
      <c r="H229" s="13" t="s">
        <v>26</v>
      </c>
      <c r="I229" t="s">
        <v>37</v>
      </c>
      <c r="J229" s="13" t="s">
        <v>38</v>
      </c>
      <c r="K229" s="13" t="s">
        <v>29</v>
      </c>
      <c r="L229" s="13" t="s">
        <v>30</v>
      </c>
      <c r="M229" t="s">
        <v>31</v>
      </c>
      <c r="N229">
        <v>1332</v>
      </c>
      <c r="O229" s="14">
        <v>0.32016935385763601</v>
      </c>
      <c r="P229" s="14">
        <v>0.52621235931292198</v>
      </c>
      <c r="Q229" t="str">
        <f t="shared" si="6"/>
        <v>15-24</v>
      </c>
      <c r="R229" t="str">
        <f t="shared" si="7"/>
        <v>[wNqJp8oRIcF]|15-24|Female|TX_CURR_SUBNAT.R|CY2022Q4</v>
      </c>
    </row>
    <row r="230" spans="4:18" x14ac:dyDescent="0.2">
      <c r="D230" s="13" t="s">
        <v>101</v>
      </c>
      <c r="E230" s="13" t="s">
        <v>102</v>
      </c>
      <c r="F230" s="13" t="s">
        <v>103</v>
      </c>
      <c r="G230" s="13" t="s">
        <v>25</v>
      </c>
      <c r="H230" s="13" t="s">
        <v>26</v>
      </c>
      <c r="I230" t="s">
        <v>40</v>
      </c>
      <c r="J230" s="13" t="s">
        <v>41</v>
      </c>
      <c r="K230" s="13" t="s">
        <v>29</v>
      </c>
      <c r="L230" s="13" t="s">
        <v>30</v>
      </c>
      <c r="M230" t="s">
        <v>31</v>
      </c>
      <c r="N230">
        <v>1614</v>
      </c>
      <c r="O230" s="14">
        <v>0.71525215636938799</v>
      </c>
      <c r="P230" s="14">
        <v>0.52621235931292198</v>
      </c>
      <c r="Q230" t="str">
        <f t="shared" si="6"/>
        <v>25-34</v>
      </c>
      <c r="R230" t="str">
        <f t="shared" si="7"/>
        <v>[wNqJp8oRIcF]|25-34|Female|TX_CURR_SUBNAT.R|CY2022Q4</v>
      </c>
    </row>
    <row r="231" spans="4:18" x14ac:dyDescent="0.2">
      <c r="D231" s="13" t="s">
        <v>101</v>
      </c>
      <c r="E231" s="13" t="s">
        <v>102</v>
      </c>
      <c r="F231" s="13" t="s">
        <v>103</v>
      </c>
      <c r="G231" s="13" t="s">
        <v>25</v>
      </c>
      <c r="H231" s="13" t="s">
        <v>26</v>
      </c>
      <c r="I231" t="s">
        <v>42</v>
      </c>
      <c r="J231" s="13" t="s">
        <v>43</v>
      </c>
      <c r="K231" s="13" t="s">
        <v>29</v>
      </c>
      <c r="L231" s="13" t="s">
        <v>30</v>
      </c>
      <c r="M231" t="s">
        <v>31</v>
      </c>
      <c r="N231">
        <v>1372</v>
      </c>
      <c r="O231" s="14">
        <v>0.13649542047642199</v>
      </c>
      <c r="P231" s="14">
        <v>0.52621235931292198</v>
      </c>
      <c r="Q231" t="str">
        <f t="shared" si="6"/>
        <v>35-49</v>
      </c>
      <c r="R231" t="str">
        <f t="shared" si="7"/>
        <v>[wNqJp8oRIcF]|35-49|Female|TX_CURR_SUBNAT.R|CY2022Q4</v>
      </c>
    </row>
    <row r="232" spans="4:18" x14ac:dyDescent="0.2">
      <c r="D232" s="13" t="s">
        <v>101</v>
      </c>
      <c r="E232" s="13" t="s">
        <v>102</v>
      </c>
      <c r="F232" s="13" t="s">
        <v>103</v>
      </c>
      <c r="G232" s="13" t="s">
        <v>25</v>
      </c>
      <c r="H232" s="13" t="s">
        <v>26</v>
      </c>
      <c r="I232" t="s">
        <v>44</v>
      </c>
      <c r="J232" s="13" t="s">
        <v>45</v>
      </c>
      <c r="K232" s="13" t="s">
        <v>29</v>
      </c>
      <c r="L232" s="13" t="s">
        <v>30</v>
      </c>
      <c r="M232" t="s">
        <v>31</v>
      </c>
      <c r="N232">
        <v>1245</v>
      </c>
      <c r="O232" s="14">
        <v>0.86112387455068495</v>
      </c>
      <c r="P232" s="14">
        <v>0.52621235931292198</v>
      </c>
      <c r="Q232" t="str">
        <f t="shared" si="6"/>
        <v>50+</v>
      </c>
      <c r="R232" t="str">
        <f t="shared" si="7"/>
        <v>[wNqJp8oRIcF]|50+|Female|TX_CURR_SUBNAT.R|CY2022Q4</v>
      </c>
    </row>
    <row r="233" spans="4:18" x14ac:dyDescent="0.2">
      <c r="D233" s="13" t="s">
        <v>101</v>
      </c>
      <c r="E233" s="13" t="s">
        <v>102</v>
      </c>
      <c r="F233" s="13" t="s">
        <v>103</v>
      </c>
      <c r="G233" s="13" t="s">
        <v>25</v>
      </c>
      <c r="H233" s="13" t="s">
        <v>26</v>
      </c>
      <c r="I233" t="s">
        <v>27</v>
      </c>
      <c r="J233" s="13" t="s">
        <v>28</v>
      </c>
      <c r="K233" s="13" t="s">
        <v>47</v>
      </c>
      <c r="L233" s="13" t="s">
        <v>48</v>
      </c>
      <c r="M233" t="s">
        <v>31</v>
      </c>
      <c r="N233">
        <v>657</v>
      </c>
      <c r="O233" s="14">
        <v>0.36755728162825102</v>
      </c>
      <c r="P233" s="14">
        <v>0.52621235931292198</v>
      </c>
      <c r="Q233" t="str">
        <f t="shared" si="6"/>
        <v>&lt;01</v>
      </c>
      <c r="R233" t="str">
        <f t="shared" si="7"/>
        <v>[wNqJp8oRIcF]|&lt;01|Male|TX_CURR_SUBNAT.R|CY2022Q4</v>
      </c>
    </row>
    <row r="234" spans="4:18" x14ac:dyDescent="0.2">
      <c r="D234" s="13" t="s">
        <v>101</v>
      </c>
      <c r="E234" s="13" t="s">
        <v>102</v>
      </c>
      <c r="F234" s="13" t="s">
        <v>103</v>
      </c>
      <c r="G234" s="13" t="s">
        <v>25</v>
      </c>
      <c r="H234" s="13" t="s">
        <v>26</v>
      </c>
      <c r="I234" t="s">
        <v>32</v>
      </c>
      <c r="J234" s="13" t="s">
        <v>33</v>
      </c>
      <c r="K234" s="13" t="s">
        <v>47</v>
      </c>
      <c r="L234" s="13" t="s">
        <v>48</v>
      </c>
      <c r="M234" t="s">
        <v>31</v>
      </c>
      <c r="N234">
        <v>1364</v>
      </c>
      <c r="O234" s="14">
        <v>0.710173114901409</v>
      </c>
      <c r="P234" s="14">
        <v>0.52621235931292198</v>
      </c>
      <c r="Q234" t="str">
        <f t="shared" si="6"/>
        <v>01-09</v>
      </c>
      <c r="R234" t="str">
        <f t="shared" si="7"/>
        <v>[wNqJp8oRIcF]|01-09|Male|TX_CURR_SUBNAT.R|CY2022Q4</v>
      </c>
    </row>
    <row r="235" spans="4:18" x14ac:dyDescent="0.2">
      <c r="D235" s="13" t="s">
        <v>101</v>
      </c>
      <c r="E235" s="13" t="s">
        <v>102</v>
      </c>
      <c r="F235" s="13" t="s">
        <v>103</v>
      </c>
      <c r="G235" s="13" t="s">
        <v>25</v>
      </c>
      <c r="H235" s="13" t="s">
        <v>26</v>
      </c>
      <c r="I235" t="s">
        <v>35</v>
      </c>
      <c r="J235" s="13" t="s">
        <v>36</v>
      </c>
      <c r="K235" s="13" t="s">
        <v>47</v>
      </c>
      <c r="L235" s="13" t="s">
        <v>48</v>
      </c>
      <c r="M235" t="s">
        <v>31</v>
      </c>
      <c r="N235">
        <v>1232</v>
      </c>
      <c r="O235" s="14">
        <v>0.21668918011710001</v>
      </c>
      <c r="P235" s="14">
        <v>0.52621235931292198</v>
      </c>
      <c r="Q235" t="str">
        <f t="shared" si="6"/>
        <v>10-14</v>
      </c>
      <c r="R235" t="str">
        <f t="shared" si="7"/>
        <v>[wNqJp8oRIcF]|10-14|Male|TX_CURR_SUBNAT.R|CY2022Q4</v>
      </c>
    </row>
    <row r="236" spans="4:18" x14ac:dyDescent="0.2">
      <c r="D236" s="13" t="s">
        <v>101</v>
      </c>
      <c r="E236" s="13" t="s">
        <v>102</v>
      </c>
      <c r="F236" s="13" t="s">
        <v>103</v>
      </c>
      <c r="G236" s="13" t="s">
        <v>25</v>
      </c>
      <c r="H236" s="13" t="s">
        <v>26</v>
      </c>
      <c r="I236" t="s">
        <v>37</v>
      </c>
      <c r="J236" s="13" t="s">
        <v>38</v>
      </c>
      <c r="K236" s="13" t="s">
        <v>47</v>
      </c>
      <c r="L236" s="13" t="s">
        <v>48</v>
      </c>
      <c r="M236" t="s">
        <v>31</v>
      </c>
      <c r="N236">
        <v>978</v>
      </c>
      <c r="O236" s="14">
        <v>7.3928763624280705E-2</v>
      </c>
      <c r="P236" s="14">
        <v>0.52621235931292198</v>
      </c>
      <c r="Q236" t="str">
        <f t="shared" si="6"/>
        <v>15-24</v>
      </c>
      <c r="R236" t="str">
        <f t="shared" si="7"/>
        <v>[wNqJp8oRIcF]|15-24|Male|TX_CURR_SUBNAT.R|CY2022Q4</v>
      </c>
    </row>
    <row r="237" spans="4:18" x14ac:dyDescent="0.2">
      <c r="D237" s="13" t="s">
        <v>101</v>
      </c>
      <c r="E237" s="13" t="s">
        <v>102</v>
      </c>
      <c r="F237" s="13" t="s">
        <v>103</v>
      </c>
      <c r="G237" s="13" t="s">
        <v>25</v>
      </c>
      <c r="H237" s="13" t="s">
        <v>26</v>
      </c>
      <c r="I237" t="s">
        <v>40</v>
      </c>
      <c r="J237" s="13" t="s">
        <v>41</v>
      </c>
      <c r="K237" s="13" t="s">
        <v>47</v>
      </c>
      <c r="L237" s="13" t="s">
        <v>48</v>
      </c>
      <c r="M237" t="s">
        <v>31</v>
      </c>
      <c r="N237">
        <v>1102</v>
      </c>
      <c r="O237" s="14">
        <v>0.474121922859922</v>
      </c>
      <c r="P237" s="14">
        <v>0.52621235931292198</v>
      </c>
      <c r="Q237" t="str">
        <f t="shared" si="6"/>
        <v>25-34</v>
      </c>
      <c r="R237" t="str">
        <f t="shared" si="7"/>
        <v>[wNqJp8oRIcF]|25-34|Male|TX_CURR_SUBNAT.R|CY2022Q4</v>
      </c>
    </row>
    <row r="238" spans="4:18" x14ac:dyDescent="0.2">
      <c r="D238" s="13" t="s">
        <v>101</v>
      </c>
      <c r="E238" s="13" t="s">
        <v>102</v>
      </c>
      <c r="F238" s="13" t="s">
        <v>103</v>
      </c>
      <c r="G238" s="13" t="s">
        <v>25</v>
      </c>
      <c r="H238" s="13" t="s">
        <v>26</v>
      </c>
      <c r="I238" t="s">
        <v>42</v>
      </c>
      <c r="J238" s="13" t="s">
        <v>43</v>
      </c>
      <c r="K238" s="13" t="s">
        <v>47</v>
      </c>
      <c r="L238" s="13" t="s">
        <v>48</v>
      </c>
      <c r="M238" t="s">
        <v>31</v>
      </c>
      <c r="N238">
        <v>702</v>
      </c>
      <c r="O238" s="14">
        <v>1.7778679961338601E-2</v>
      </c>
      <c r="P238" s="14">
        <v>0.52621235931292198</v>
      </c>
      <c r="Q238" t="str">
        <f t="shared" si="6"/>
        <v>35-49</v>
      </c>
      <c r="R238" t="str">
        <f t="shared" si="7"/>
        <v>[wNqJp8oRIcF]|35-49|Male|TX_CURR_SUBNAT.R|CY2022Q4</v>
      </c>
    </row>
    <row r="239" spans="4:18" x14ac:dyDescent="0.2">
      <c r="D239" s="13" t="s">
        <v>101</v>
      </c>
      <c r="E239" s="13" t="s">
        <v>102</v>
      </c>
      <c r="F239" s="13" t="s">
        <v>103</v>
      </c>
      <c r="G239" s="13" t="s">
        <v>25</v>
      </c>
      <c r="H239" s="13" t="s">
        <v>26</v>
      </c>
      <c r="I239" t="s">
        <v>44</v>
      </c>
      <c r="J239" s="13" t="s">
        <v>45</v>
      </c>
      <c r="K239" s="13" t="s">
        <v>47</v>
      </c>
      <c r="L239" s="13" t="s">
        <v>48</v>
      </c>
      <c r="M239" t="s">
        <v>31</v>
      </c>
      <c r="N239">
        <v>1854</v>
      </c>
      <c r="O239" s="14">
        <v>0.21922176494263099</v>
      </c>
      <c r="P239" s="14">
        <v>0.52621235931292198</v>
      </c>
      <c r="Q239" t="str">
        <f t="shared" si="6"/>
        <v>50+</v>
      </c>
      <c r="R239" t="str">
        <f t="shared" si="7"/>
        <v>[wNqJp8oRIcF]|50+|Male|TX_CURR_SUBNAT.R|CY2022Q4</v>
      </c>
    </row>
    <row r="240" spans="4:18" x14ac:dyDescent="0.2">
      <c r="D240" s="13" t="s">
        <v>104</v>
      </c>
      <c r="E240" s="13" t="s">
        <v>105</v>
      </c>
      <c r="F240" s="13" t="s">
        <v>106</v>
      </c>
      <c r="G240" s="13" t="s">
        <v>25</v>
      </c>
      <c r="H240" s="13" t="s">
        <v>26</v>
      </c>
      <c r="I240" t="s">
        <v>27</v>
      </c>
      <c r="J240" s="13" t="s">
        <v>28</v>
      </c>
      <c r="K240" s="13" t="s">
        <v>29</v>
      </c>
      <c r="L240" s="13" t="s">
        <v>30</v>
      </c>
      <c r="M240" t="s">
        <v>31</v>
      </c>
      <c r="N240">
        <v>884</v>
      </c>
      <c r="O240" s="14">
        <v>0.88349783350713595</v>
      </c>
      <c r="P240" s="14">
        <v>0.21824956033378801</v>
      </c>
      <c r="Q240" t="str">
        <f t="shared" si="6"/>
        <v>&lt;01</v>
      </c>
      <c r="R240" t="str">
        <f t="shared" si="7"/>
        <v>[oiPR2CiVJbf]|&lt;01|Female|TX_CURR_SUBNAT.R|CY2022Q4</v>
      </c>
    </row>
    <row r="241" spans="4:18" x14ac:dyDescent="0.2">
      <c r="D241" s="13" t="s">
        <v>104</v>
      </c>
      <c r="E241" s="13" t="s">
        <v>105</v>
      </c>
      <c r="F241" s="13" t="s">
        <v>106</v>
      </c>
      <c r="G241" s="13" t="s">
        <v>25</v>
      </c>
      <c r="H241" s="13" t="s">
        <v>26</v>
      </c>
      <c r="I241" t="s">
        <v>32</v>
      </c>
      <c r="J241" s="13" t="s">
        <v>33</v>
      </c>
      <c r="K241" s="13" t="s">
        <v>29</v>
      </c>
      <c r="L241" s="13" t="s">
        <v>30</v>
      </c>
      <c r="M241" t="s">
        <v>31</v>
      </c>
      <c r="N241">
        <v>1333</v>
      </c>
      <c r="O241" s="14">
        <v>0.90981766511686102</v>
      </c>
      <c r="P241" s="14">
        <v>0.21824956033378801</v>
      </c>
      <c r="Q241" t="str">
        <f t="shared" si="6"/>
        <v>01-09</v>
      </c>
      <c r="R241" t="str">
        <f t="shared" si="7"/>
        <v>[oiPR2CiVJbf]|01-09|Female|TX_CURR_SUBNAT.R|CY2022Q4</v>
      </c>
    </row>
    <row r="242" spans="4:18" x14ac:dyDescent="0.2">
      <c r="D242" s="13" t="s">
        <v>104</v>
      </c>
      <c r="E242" s="13" t="s">
        <v>105</v>
      </c>
      <c r="F242" s="13" t="s">
        <v>106</v>
      </c>
      <c r="G242" s="13" t="s">
        <v>25</v>
      </c>
      <c r="H242" s="13" t="s">
        <v>26</v>
      </c>
      <c r="I242" t="s">
        <v>35</v>
      </c>
      <c r="J242" s="13" t="s">
        <v>36</v>
      </c>
      <c r="K242" s="13" t="s">
        <v>29</v>
      </c>
      <c r="L242" s="13" t="s">
        <v>30</v>
      </c>
      <c r="M242" t="s">
        <v>31</v>
      </c>
      <c r="N242">
        <v>925</v>
      </c>
      <c r="O242" s="14">
        <v>0.67903234763070897</v>
      </c>
      <c r="P242" s="14">
        <v>0.21824956033378801</v>
      </c>
      <c r="Q242" t="str">
        <f t="shared" si="6"/>
        <v>10-14</v>
      </c>
      <c r="R242" t="str">
        <f t="shared" si="7"/>
        <v>[oiPR2CiVJbf]|10-14|Female|TX_CURR_SUBNAT.R|CY2022Q4</v>
      </c>
    </row>
    <row r="243" spans="4:18" x14ac:dyDescent="0.2">
      <c r="D243" s="13" t="s">
        <v>104</v>
      </c>
      <c r="E243" s="13" t="s">
        <v>105</v>
      </c>
      <c r="F243" s="13" t="s">
        <v>106</v>
      </c>
      <c r="G243" s="13" t="s">
        <v>25</v>
      </c>
      <c r="H243" s="13" t="s">
        <v>26</v>
      </c>
      <c r="I243" t="s">
        <v>37</v>
      </c>
      <c r="J243" s="13" t="s">
        <v>38</v>
      </c>
      <c r="K243" s="13" t="s">
        <v>29</v>
      </c>
      <c r="L243" s="13" t="s">
        <v>30</v>
      </c>
      <c r="M243" t="s">
        <v>31</v>
      </c>
      <c r="N243">
        <v>1783</v>
      </c>
      <c r="O243" s="14">
        <v>0.48566305404528998</v>
      </c>
      <c r="P243" s="14">
        <v>0.21824956033378801</v>
      </c>
      <c r="Q243" t="str">
        <f t="shared" si="6"/>
        <v>15-24</v>
      </c>
      <c r="R243" t="str">
        <f t="shared" si="7"/>
        <v>[oiPR2CiVJbf]|15-24|Female|TX_CURR_SUBNAT.R|CY2022Q4</v>
      </c>
    </row>
    <row r="244" spans="4:18" x14ac:dyDescent="0.2">
      <c r="D244" s="13" t="s">
        <v>104</v>
      </c>
      <c r="E244" s="13" t="s">
        <v>105</v>
      </c>
      <c r="F244" s="13" t="s">
        <v>106</v>
      </c>
      <c r="G244" s="13" t="s">
        <v>25</v>
      </c>
      <c r="H244" s="13" t="s">
        <v>26</v>
      </c>
      <c r="I244" t="s">
        <v>40</v>
      </c>
      <c r="J244" s="13" t="s">
        <v>41</v>
      </c>
      <c r="K244" s="13" t="s">
        <v>29</v>
      </c>
      <c r="L244" s="13" t="s">
        <v>30</v>
      </c>
      <c r="M244" t="s">
        <v>31</v>
      </c>
      <c r="N244">
        <v>592</v>
      </c>
      <c r="O244" s="14">
        <v>0.99732592795044195</v>
      </c>
      <c r="P244" s="14">
        <v>0.21824956033378801</v>
      </c>
      <c r="Q244" t="str">
        <f t="shared" si="6"/>
        <v>25-34</v>
      </c>
      <c r="R244" t="str">
        <f t="shared" si="7"/>
        <v>[oiPR2CiVJbf]|25-34|Female|TX_CURR_SUBNAT.R|CY2022Q4</v>
      </c>
    </row>
    <row r="245" spans="4:18" x14ac:dyDescent="0.2">
      <c r="D245" s="13" t="s">
        <v>104</v>
      </c>
      <c r="E245" s="13" t="s">
        <v>105</v>
      </c>
      <c r="F245" s="13" t="s">
        <v>106</v>
      </c>
      <c r="G245" s="13" t="s">
        <v>25</v>
      </c>
      <c r="H245" s="13" t="s">
        <v>26</v>
      </c>
      <c r="I245" t="s">
        <v>42</v>
      </c>
      <c r="J245" s="13" t="s">
        <v>43</v>
      </c>
      <c r="K245" s="13" t="s">
        <v>29</v>
      </c>
      <c r="L245" s="13" t="s">
        <v>30</v>
      </c>
      <c r="M245" t="s">
        <v>31</v>
      </c>
      <c r="N245">
        <v>1999</v>
      </c>
      <c r="O245" s="14">
        <v>0.16436120867729201</v>
      </c>
      <c r="P245" s="14">
        <v>0.21824956033378801</v>
      </c>
      <c r="Q245" t="str">
        <f t="shared" si="6"/>
        <v>35-49</v>
      </c>
      <c r="R245" t="str">
        <f t="shared" si="7"/>
        <v>[oiPR2CiVJbf]|35-49|Female|TX_CURR_SUBNAT.R|CY2022Q4</v>
      </c>
    </row>
    <row r="246" spans="4:18" x14ac:dyDescent="0.2">
      <c r="D246" s="13" t="s">
        <v>104</v>
      </c>
      <c r="E246" s="13" t="s">
        <v>105</v>
      </c>
      <c r="F246" s="13" t="s">
        <v>106</v>
      </c>
      <c r="G246" s="13" t="s">
        <v>25</v>
      </c>
      <c r="H246" s="13" t="s">
        <v>26</v>
      </c>
      <c r="I246" t="s">
        <v>44</v>
      </c>
      <c r="J246" s="13" t="s">
        <v>45</v>
      </c>
      <c r="K246" s="13" t="s">
        <v>29</v>
      </c>
      <c r="L246" s="13" t="s">
        <v>30</v>
      </c>
      <c r="M246" t="s">
        <v>31</v>
      </c>
      <c r="N246">
        <v>638</v>
      </c>
      <c r="O246" s="14">
        <v>0.66421183501370296</v>
      </c>
      <c r="P246" s="14">
        <v>0.21824956033378801</v>
      </c>
      <c r="Q246" t="str">
        <f t="shared" si="6"/>
        <v>50+</v>
      </c>
      <c r="R246" t="str">
        <f t="shared" si="7"/>
        <v>[oiPR2CiVJbf]|50+|Female|TX_CURR_SUBNAT.R|CY2022Q4</v>
      </c>
    </row>
    <row r="247" spans="4:18" x14ac:dyDescent="0.2">
      <c r="D247" s="13" t="s">
        <v>104</v>
      </c>
      <c r="E247" s="13" t="s">
        <v>105</v>
      </c>
      <c r="F247" s="13" t="s">
        <v>106</v>
      </c>
      <c r="G247" s="13" t="s">
        <v>25</v>
      </c>
      <c r="H247" s="13" t="s">
        <v>26</v>
      </c>
      <c r="I247" t="s">
        <v>27</v>
      </c>
      <c r="J247" s="13" t="s">
        <v>28</v>
      </c>
      <c r="K247" s="13" t="s">
        <v>47</v>
      </c>
      <c r="L247" s="13" t="s">
        <v>48</v>
      </c>
      <c r="M247" t="s">
        <v>31</v>
      </c>
      <c r="N247">
        <v>703</v>
      </c>
      <c r="O247" s="14">
        <v>0.76341728726401903</v>
      </c>
      <c r="P247" s="14">
        <v>0.21824956033378801</v>
      </c>
      <c r="Q247" t="str">
        <f t="shared" si="6"/>
        <v>&lt;01</v>
      </c>
      <c r="R247" t="str">
        <f t="shared" si="7"/>
        <v>[oiPR2CiVJbf]|&lt;01|Male|TX_CURR_SUBNAT.R|CY2022Q4</v>
      </c>
    </row>
    <row r="248" spans="4:18" x14ac:dyDescent="0.2">
      <c r="D248" s="13" t="s">
        <v>104</v>
      </c>
      <c r="E248" s="13" t="s">
        <v>105</v>
      </c>
      <c r="F248" s="13" t="s">
        <v>106</v>
      </c>
      <c r="G248" s="13" t="s">
        <v>25</v>
      </c>
      <c r="H248" s="13" t="s">
        <v>26</v>
      </c>
      <c r="I248" t="s">
        <v>32</v>
      </c>
      <c r="J248" s="13" t="s">
        <v>33</v>
      </c>
      <c r="K248" s="13" t="s">
        <v>47</v>
      </c>
      <c r="L248" s="13" t="s">
        <v>48</v>
      </c>
      <c r="M248" t="s">
        <v>31</v>
      </c>
      <c r="N248">
        <v>611</v>
      </c>
      <c r="O248" s="14">
        <v>0.61018012766726304</v>
      </c>
      <c r="P248" s="14">
        <v>0.21824956033378801</v>
      </c>
      <c r="Q248" t="str">
        <f t="shared" si="6"/>
        <v>01-09</v>
      </c>
      <c r="R248" t="str">
        <f t="shared" si="7"/>
        <v>[oiPR2CiVJbf]|01-09|Male|TX_CURR_SUBNAT.R|CY2022Q4</v>
      </c>
    </row>
    <row r="249" spans="4:18" x14ac:dyDescent="0.2">
      <c r="D249" s="13" t="s">
        <v>104</v>
      </c>
      <c r="E249" s="13" t="s">
        <v>105</v>
      </c>
      <c r="F249" s="13" t="s">
        <v>106</v>
      </c>
      <c r="G249" s="13" t="s">
        <v>25</v>
      </c>
      <c r="H249" s="13" t="s">
        <v>26</v>
      </c>
      <c r="I249" t="s">
        <v>35</v>
      </c>
      <c r="J249" s="13" t="s">
        <v>36</v>
      </c>
      <c r="K249" s="13" t="s">
        <v>47</v>
      </c>
      <c r="L249" s="13" t="s">
        <v>48</v>
      </c>
      <c r="M249" t="s">
        <v>31</v>
      </c>
      <c r="N249">
        <v>1618</v>
      </c>
      <c r="O249" s="14">
        <v>0.66443947376683399</v>
      </c>
      <c r="P249" s="14">
        <v>0.21824956033378801</v>
      </c>
      <c r="Q249" t="str">
        <f t="shared" si="6"/>
        <v>10-14</v>
      </c>
      <c r="R249" t="str">
        <f t="shared" si="7"/>
        <v>[oiPR2CiVJbf]|10-14|Male|TX_CURR_SUBNAT.R|CY2022Q4</v>
      </c>
    </row>
    <row r="250" spans="4:18" x14ac:dyDescent="0.2">
      <c r="D250" s="13" t="s">
        <v>104</v>
      </c>
      <c r="E250" s="13" t="s">
        <v>105</v>
      </c>
      <c r="F250" s="13" t="s">
        <v>106</v>
      </c>
      <c r="G250" s="13" t="s">
        <v>25</v>
      </c>
      <c r="H250" s="13" t="s">
        <v>26</v>
      </c>
      <c r="I250" t="s">
        <v>37</v>
      </c>
      <c r="J250" s="13" t="s">
        <v>38</v>
      </c>
      <c r="K250" s="13" t="s">
        <v>47</v>
      </c>
      <c r="L250" s="13" t="s">
        <v>48</v>
      </c>
      <c r="M250" t="s">
        <v>31</v>
      </c>
      <c r="N250">
        <v>1088</v>
      </c>
      <c r="O250" s="14">
        <v>0.81845852057449497</v>
      </c>
      <c r="P250" s="14">
        <v>0.21824956033378801</v>
      </c>
      <c r="Q250" t="str">
        <f t="shared" si="6"/>
        <v>15-24</v>
      </c>
      <c r="R250" t="str">
        <f t="shared" si="7"/>
        <v>[oiPR2CiVJbf]|15-24|Male|TX_CURR_SUBNAT.R|CY2022Q4</v>
      </c>
    </row>
    <row r="251" spans="4:18" x14ac:dyDescent="0.2">
      <c r="D251" s="13" t="s">
        <v>104</v>
      </c>
      <c r="E251" s="13" t="s">
        <v>105</v>
      </c>
      <c r="F251" s="13" t="s">
        <v>106</v>
      </c>
      <c r="G251" s="13" t="s">
        <v>25</v>
      </c>
      <c r="H251" s="13" t="s">
        <v>26</v>
      </c>
      <c r="I251" t="s">
        <v>40</v>
      </c>
      <c r="J251" s="13" t="s">
        <v>41</v>
      </c>
      <c r="K251" s="13" t="s">
        <v>47</v>
      </c>
      <c r="L251" s="13" t="s">
        <v>48</v>
      </c>
      <c r="M251" t="s">
        <v>31</v>
      </c>
      <c r="N251">
        <v>1269</v>
      </c>
      <c r="O251" s="14">
        <v>0.822143103927374</v>
      </c>
      <c r="P251" s="14">
        <v>0.21824956033378801</v>
      </c>
      <c r="Q251" t="str">
        <f t="shared" si="6"/>
        <v>25-34</v>
      </c>
      <c r="R251" t="str">
        <f t="shared" si="7"/>
        <v>[oiPR2CiVJbf]|25-34|Male|TX_CURR_SUBNAT.R|CY2022Q4</v>
      </c>
    </row>
    <row r="252" spans="4:18" x14ac:dyDescent="0.2">
      <c r="D252" s="13" t="s">
        <v>104</v>
      </c>
      <c r="E252" s="13" t="s">
        <v>105</v>
      </c>
      <c r="F252" s="13" t="s">
        <v>106</v>
      </c>
      <c r="G252" s="13" t="s">
        <v>25</v>
      </c>
      <c r="H252" s="13" t="s">
        <v>26</v>
      </c>
      <c r="I252" t="s">
        <v>42</v>
      </c>
      <c r="J252" s="13" t="s">
        <v>43</v>
      </c>
      <c r="K252" s="13" t="s">
        <v>47</v>
      </c>
      <c r="L252" s="13" t="s">
        <v>48</v>
      </c>
      <c r="M252" t="s">
        <v>31</v>
      </c>
      <c r="N252">
        <v>1974</v>
      </c>
      <c r="O252" s="14">
        <v>0.38487843773327801</v>
      </c>
      <c r="P252" s="14">
        <v>0.21824956033378801</v>
      </c>
      <c r="Q252" t="str">
        <f t="shared" si="6"/>
        <v>35-49</v>
      </c>
      <c r="R252" t="str">
        <f t="shared" si="7"/>
        <v>[oiPR2CiVJbf]|35-49|Male|TX_CURR_SUBNAT.R|CY2022Q4</v>
      </c>
    </row>
    <row r="253" spans="4:18" x14ac:dyDescent="0.2">
      <c r="D253" s="13" t="s">
        <v>104</v>
      </c>
      <c r="E253" s="13" t="s">
        <v>105</v>
      </c>
      <c r="F253" s="13" t="s">
        <v>106</v>
      </c>
      <c r="G253" s="13" t="s">
        <v>25</v>
      </c>
      <c r="H253" s="13" t="s">
        <v>26</v>
      </c>
      <c r="I253" t="s">
        <v>44</v>
      </c>
      <c r="J253" s="13" t="s">
        <v>45</v>
      </c>
      <c r="K253" s="13" t="s">
        <v>47</v>
      </c>
      <c r="L253" s="13" t="s">
        <v>48</v>
      </c>
      <c r="M253" t="s">
        <v>31</v>
      </c>
      <c r="N253">
        <v>1544</v>
      </c>
      <c r="O253" s="14">
        <v>0.85419592587277304</v>
      </c>
      <c r="P253" s="14">
        <v>0.21824956033378801</v>
      </c>
      <c r="Q253" t="str">
        <f t="shared" si="6"/>
        <v>50+</v>
      </c>
      <c r="R253" t="str">
        <f t="shared" si="7"/>
        <v>[oiPR2CiVJbf]|50+|Male|TX_CURR_SUBNAT.R|CY2022Q4</v>
      </c>
    </row>
    <row r="254" spans="4:18" x14ac:dyDescent="0.2">
      <c r="D254" s="13" t="s">
        <v>107</v>
      </c>
      <c r="E254" s="13" t="s">
        <v>108</v>
      </c>
      <c r="F254" s="13" t="s">
        <v>109</v>
      </c>
      <c r="G254" s="13" t="s">
        <v>25</v>
      </c>
      <c r="H254" s="13" t="s">
        <v>26</v>
      </c>
      <c r="I254" t="s">
        <v>27</v>
      </c>
      <c r="J254" s="13" t="s">
        <v>28</v>
      </c>
      <c r="K254" s="13" t="s">
        <v>29</v>
      </c>
      <c r="L254" s="13" t="s">
        <v>30</v>
      </c>
      <c r="M254" t="s">
        <v>31</v>
      </c>
      <c r="N254">
        <v>1758</v>
      </c>
      <c r="O254" s="14">
        <v>0.248566956492141</v>
      </c>
      <c r="P254" s="14">
        <v>0.43422180437482899</v>
      </c>
      <c r="Q254" t="str">
        <f t="shared" si="6"/>
        <v>&lt;01</v>
      </c>
      <c r="R254" t="str">
        <f t="shared" si="7"/>
        <v>[ul0y9diGujK]|&lt;01|Female|TX_CURR_SUBNAT.R|CY2022Q4</v>
      </c>
    </row>
    <row r="255" spans="4:18" x14ac:dyDescent="0.2">
      <c r="D255" s="13" t="s">
        <v>107</v>
      </c>
      <c r="E255" s="13" t="s">
        <v>108</v>
      </c>
      <c r="F255" s="13" t="s">
        <v>109</v>
      </c>
      <c r="G255" s="13" t="s">
        <v>25</v>
      </c>
      <c r="H255" s="13" t="s">
        <v>26</v>
      </c>
      <c r="I255" t="s">
        <v>32</v>
      </c>
      <c r="J255" s="13" t="s">
        <v>33</v>
      </c>
      <c r="K255" s="13" t="s">
        <v>29</v>
      </c>
      <c r="L255" s="13" t="s">
        <v>30</v>
      </c>
      <c r="M255" t="s">
        <v>31</v>
      </c>
      <c r="N255">
        <v>1370</v>
      </c>
      <c r="O255" s="14">
        <v>5.24115359876305E-2</v>
      </c>
      <c r="P255" s="14">
        <v>0.43422180437482899</v>
      </c>
      <c r="Q255" t="str">
        <f t="shared" si="6"/>
        <v>01-09</v>
      </c>
      <c r="R255" t="str">
        <f t="shared" si="7"/>
        <v>[ul0y9diGujK]|01-09|Female|TX_CURR_SUBNAT.R|CY2022Q4</v>
      </c>
    </row>
    <row r="256" spans="4:18" x14ac:dyDescent="0.2">
      <c r="D256" s="13" t="s">
        <v>107</v>
      </c>
      <c r="E256" s="13" t="s">
        <v>108</v>
      </c>
      <c r="F256" s="13" t="s">
        <v>109</v>
      </c>
      <c r="G256" s="13" t="s">
        <v>25</v>
      </c>
      <c r="H256" s="13" t="s">
        <v>26</v>
      </c>
      <c r="I256" t="s">
        <v>35</v>
      </c>
      <c r="J256" s="13" t="s">
        <v>36</v>
      </c>
      <c r="K256" s="13" t="s">
        <v>29</v>
      </c>
      <c r="L256" s="13" t="s">
        <v>30</v>
      </c>
      <c r="M256" t="s">
        <v>31</v>
      </c>
      <c r="N256">
        <v>1742</v>
      </c>
      <c r="O256" s="14">
        <v>0.51525683677755296</v>
      </c>
      <c r="P256" s="14">
        <v>0.43422180437482899</v>
      </c>
      <c r="Q256" t="str">
        <f t="shared" si="6"/>
        <v>10-14</v>
      </c>
      <c r="R256" t="str">
        <f t="shared" si="7"/>
        <v>[ul0y9diGujK]|10-14|Female|TX_CURR_SUBNAT.R|CY2022Q4</v>
      </c>
    </row>
    <row r="257" spans="4:18" x14ac:dyDescent="0.2">
      <c r="D257" s="13" t="s">
        <v>107</v>
      </c>
      <c r="E257" s="13" t="s">
        <v>108</v>
      </c>
      <c r="F257" s="13" t="s">
        <v>109</v>
      </c>
      <c r="G257" s="13" t="s">
        <v>25</v>
      </c>
      <c r="H257" s="13" t="s">
        <v>26</v>
      </c>
      <c r="I257" t="s">
        <v>37</v>
      </c>
      <c r="J257" s="13" t="s">
        <v>38</v>
      </c>
      <c r="K257" s="13" t="s">
        <v>29</v>
      </c>
      <c r="L257" s="13" t="s">
        <v>30</v>
      </c>
      <c r="M257" t="s">
        <v>31</v>
      </c>
      <c r="N257">
        <v>857</v>
      </c>
      <c r="O257" s="14">
        <v>0.56421415880322501</v>
      </c>
      <c r="P257" s="14">
        <v>0.43422180437482899</v>
      </c>
      <c r="Q257" t="str">
        <f t="shared" si="6"/>
        <v>15-24</v>
      </c>
      <c r="R257" t="str">
        <f t="shared" si="7"/>
        <v>[ul0y9diGujK]|15-24|Female|TX_CURR_SUBNAT.R|CY2022Q4</v>
      </c>
    </row>
    <row r="258" spans="4:18" x14ac:dyDescent="0.2">
      <c r="D258" s="13" t="s">
        <v>107</v>
      </c>
      <c r="E258" s="13" t="s">
        <v>108</v>
      </c>
      <c r="F258" s="13" t="s">
        <v>109</v>
      </c>
      <c r="G258" s="13" t="s">
        <v>25</v>
      </c>
      <c r="H258" s="13" t="s">
        <v>26</v>
      </c>
      <c r="I258" t="s">
        <v>40</v>
      </c>
      <c r="J258" s="13" t="s">
        <v>41</v>
      </c>
      <c r="K258" s="13" t="s">
        <v>29</v>
      </c>
      <c r="L258" s="13" t="s">
        <v>30</v>
      </c>
      <c r="M258" t="s">
        <v>31</v>
      </c>
      <c r="N258">
        <v>1601</v>
      </c>
      <c r="O258" s="14">
        <v>0.64585318439640105</v>
      </c>
      <c r="P258" s="14">
        <v>0.43422180437482899</v>
      </c>
      <c r="Q258" t="str">
        <f t="shared" ref="Q258:Q321" si="8">SUBSTITUTE(SUBSTITUTE($I258,CHAR(61),""),CHAR(34),"")</f>
        <v>25-34</v>
      </c>
      <c r="R258" t="str">
        <f t="shared" ref="R258:R321" si="9">IF($D258&lt;&gt;"","["&amp;$E258&amp;"]"&amp;"|"&amp;$Q258&amp;"|"&amp;$K258&amp;"|"&amp;$G258&amp;"|"&amp;IF($G258="TX_CURR_SUBNAT.R","CY2022Q4",$M258),"")</f>
        <v>[ul0y9diGujK]|25-34|Female|TX_CURR_SUBNAT.R|CY2022Q4</v>
      </c>
    </row>
    <row r="259" spans="4:18" x14ac:dyDescent="0.2">
      <c r="D259" s="13" t="s">
        <v>107</v>
      </c>
      <c r="E259" s="13" t="s">
        <v>108</v>
      </c>
      <c r="F259" s="13" t="s">
        <v>109</v>
      </c>
      <c r="G259" s="13" t="s">
        <v>25</v>
      </c>
      <c r="H259" s="13" t="s">
        <v>26</v>
      </c>
      <c r="I259" t="s">
        <v>42</v>
      </c>
      <c r="J259" s="13" t="s">
        <v>43</v>
      </c>
      <c r="K259" s="13" t="s">
        <v>29</v>
      </c>
      <c r="L259" s="13" t="s">
        <v>30</v>
      </c>
      <c r="M259" t="s">
        <v>31</v>
      </c>
      <c r="N259">
        <v>700</v>
      </c>
      <c r="O259" s="14">
        <v>0.260621832683682</v>
      </c>
      <c r="P259" s="14">
        <v>0.43422180437482899</v>
      </c>
      <c r="Q259" t="str">
        <f t="shared" si="8"/>
        <v>35-49</v>
      </c>
      <c r="R259" t="str">
        <f t="shared" si="9"/>
        <v>[ul0y9diGujK]|35-49|Female|TX_CURR_SUBNAT.R|CY2022Q4</v>
      </c>
    </row>
    <row r="260" spans="4:18" x14ac:dyDescent="0.2">
      <c r="D260" s="13" t="s">
        <v>107</v>
      </c>
      <c r="E260" s="13" t="s">
        <v>108</v>
      </c>
      <c r="F260" s="13" t="s">
        <v>109</v>
      </c>
      <c r="G260" s="13" t="s">
        <v>25</v>
      </c>
      <c r="H260" s="13" t="s">
        <v>26</v>
      </c>
      <c r="I260" t="s">
        <v>44</v>
      </c>
      <c r="J260" s="13" t="s">
        <v>45</v>
      </c>
      <c r="K260" s="13" t="s">
        <v>29</v>
      </c>
      <c r="L260" s="13" t="s">
        <v>30</v>
      </c>
      <c r="M260" t="s">
        <v>31</v>
      </c>
      <c r="N260">
        <v>706</v>
      </c>
      <c r="O260" s="14">
        <v>0.13272012933157401</v>
      </c>
      <c r="P260" s="14">
        <v>0.43422180437482899</v>
      </c>
      <c r="Q260" t="str">
        <f t="shared" si="8"/>
        <v>50+</v>
      </c>
      <c r="R260" t="str">
        <f t="shared" si="9"/>
        <v>[ul0y9diGujK]|50+|Female|TX_CURR_SUBNAT.R|CY2022Q4</v>
      </c>
    </row>
    <row r="261" spans="4:18" x14ac:dyDescent="0.2">
      <c r="D261" s="13" t="s">
        <v>107</v>
      </c>
      <c r="E261" s="13" t="s">
        <v>108</v>
      </c>
      <c r="F261" s="13" t="s">
        <v>109</v>
      </c>
      <c r="G261" s="13" t="s">
        <v>25</v>
      </c>
      <c r="H261" s="13" t="s">
        <v>26</v>
      </c>
      <c r="I261" t="s">
        <v>27</v>
      </c>
      <c r="J261" s="13" t="s">
        <v>28</v>
      </c>
      <c r="K261" s="13" t="s">
        <v>47</v>
      </c>
      <c r="L261" s="13" t="s">
        <v>48</v>
      </c>
      <c r="M261" t="s">
        <v>31</v>
      </c>
      <c r="N261">
        <v>1564</v>
      </c>
      <c r="O261" s="14">
        <v>0.84943753271363698</v>
      </c>
      <c r="P261" s="14">
        <v>0.43422180437482899</v>
      </c>
      <c r="Q261" t="str">
        <f t="shared" si="8"/>
        <v>&lt;01</v>
      </c>
      <c r="R261" t="str">
        <f t="shared" si="9"/>
        <v>[ul0y9diGujK]|&lt;01|Male|TX_CURR_SUBNAT.R|CY2022Q4</v>
      </c>
    </row>
    <row r="262" spans="4:18" x14ac:dyDescent="0.2">
      <c r="D262" s="13" t="s">
        <v>107</v>
      </c>
      <c r="E262" s="13" t="s">
        <v>108</v>
      </c>
      <c r="F262" s="13" t="s">
        <v>109</v>
      </c>
      <c r="G262" s="13" t="s">
        <v>25</v>
      </c>
      <c r="H262" s="13" t="s">
        <v>26</v>
      </c>
      <c r="I262" t="s">
        <v>32</v>
      </c>
      <c r="J262" s="13" t="s">
        <v>33</v>
      </c>
      <c r="K262" s="13" t="s">
        <v>47</v>
      </c>
      <c r="L262" s="13" t="s">
        <v>48</v>
      </c>
      <c r="M262" t="s">
        <v>31</v>
      </c>
      <c r="N262">
        <v>1099</v>
      </c>
      <c r="O262" s="14">
        <v>0.54122891835868403</v>
      </c>
      <c r="P262" s="14">
        <v>0.43422180437482899</v>
      </c>
      <c r="Q262" t="str">
        <f t="shared" si="8"/>
        <v>01-09</v>
      </c>
      <c r="R262" t="str">
        <f t="shared" si="9"/>
        <v>[ul0y9diGujK]|01-09|Male|TX_CURR_SUBNAT.R|CY2022Q4</v>
      </c>
    </row>
    <row r="263" spans="4:18" x14ac:dyDescent="0.2">
      <c r="D263" s="13" t="s">
        <v>107</v>
      </c>
      <c r="E263" s="13" t="s">
        <v>108</v>
      </c>
      <c r="F263" s="13" t="s">
        <v>109</v>
      </c>
      <c r="G263" s="13" t="s">
        <v>25</v>
      </c>
      <c r="H263" s="13" t="s">
        <v>26</v>
      </c>
      <c r="I263" t="s">
        <v>35</v>
      </c>
      <c r="J263" s="13" t="s">
        <v>36</v>
      </c>
      <c r="K263" s="13" t="s">
        <v>47</v>
      </c>
      <c r="L263" s="13" t="s">
        <v>48</v>
      </c>
      <c r="M263" t="s">
        <v>31</v>
      </c>
      <c r="N263">
        <v>1505</v>
      </c>
      <c r="O263" s="14">
        <v>7.3002637131139594E-2</v>
      </c>
      <c r="P263" s="14">
        <v>0.43422180437482899</v>
      </c>
      <c r="Q263" t="str">
        <f t="shared" si="8"/>
        <v>10-14</v>
      </c>
      <c r="R263" t="str">
        <f t="shared" si="9"/>
        <v>[ul0y9diGujK]|10-14|Male|TX_CURR_SUBNAT.R|CY2022Q4</v>
      </c>
    </row>
    <row r="264" spans="4:18" x14ac:dyDescent="0.2">
      <c r="D264" s="13" t="s">
        <v>107</v>
      </c>
      <c r="E264" s="13" t="s">
        <v>108</v>
      </c>
      <c r="F264" s="13" t="s">
        <v>109</v>
      </c>
      <c r="G264" s="13" t="s">
        <v>25</v>
      </c>
      <c r="H264" s="13" t="s">
        <v>26</v>
      </c>
      <c r="I264" t="s">
        <v>37</v>
      </c>
      <c r="J264" s="13" t="s">
        <v>38</v>
      </c>
      <c r="K264" s="13" t="s">
        <v>47</v>
      </c>
      <c r="L264" s="13" t="s">
        <v>48</v>
      </c>
      <c r="M264" t="s">
        <v>31</v>
      </c>
      <c r="N264">
        <v>843</v>
      </c>
      <c r="O264" s="14">
        <v>0.39835255430080002</v>
      </c>
      <c r="P264" s="14">
        <v>0.43422180437482899</v>
      </c>
      <c r="Q264" t="str">
        <f t="shared" si="8"/>
        <v>15-24</v>
      </c>
      <c r="R264" t="str">
        <f t="shared" si="9"/>
        <v>[ul0y9diGujK]|15-24|Male|TX_CURR_SUBNAT.R|CY2022Q4</v>
      </c>
    </row>
    <row r="265" spans="4:18" x14ac:dyDescent="0.2">
      <c r="D265" s="13" t="s">
        <v>107</v>
      </c>
      <c r="E265" s="13" t="s">
        <v>108</v>
      </c>
      <c r="F265" s="13" t="s">
        <v>109</v>
      </c>
      <c r="G265" s="13" t="s">
        <v>25</v>
      </c>
      <c r="H265" s="13" t="s">
        <v>26</v>
      </c>
      <c r="I265" t="s">
        <v>40</v>
      </c>
      <c r="J265" s="13" t="s">
        <v>41</v>
      </c>
      <c r="K265" s="13" t="s">
        <v>47</v>
      </c>
      <c r="L265" s="13" t="s">
        <v>48</v>
      </c>
      <c r="M265" t="s">
        <v>31</v>
      </c>
      <c r="N265">
        <v>1553</v>
      </c>
      <c r="O265" s="14">
        <v>0.19417712301947199</v>
      </c>
      <c r="P265" s="14">
        <v>0.43422180437482899</v>
      </c>
      <c r="Q265" t="str">
        <f t="shared" si="8"/>
        <v>25-34</v>
      </c>
      <c r="R265" t="str">
        <f t="shared" si="9"/>
        <v>[ul0y9diGujK]|25-34|Male|TX_CURR_SUBNAT.R|CY2022Q4</v>
      </c>
    </row>
    <row r="266" spans="4:18" x14ac:dyDescent="0.2">
      <c r="D266" s="13" t="s">
        <v>107</v>
      </c>
      <c r="E266" s="13" t="s">
        <v>108</v>
      </c>
      <c r="F266" s="13" t="s">
        <v>109</v>
      </c>
      <c r="G266" s="13" t="s">
        <v>25</v>
      </c>
      <c r="H266" s="13" t="s">
        <v>26</v>
      </c>
      <c r="I266" t="s">
        <v>42</v>
      </c>
      <c r="J266" s="13" t="s">
        <v>43</v>
      </c>
      <c r="K266" s="13" t="s">
        <v>47</v>
      </c>
      <c r="L266" s="13" t="s">
        <v>48</v>
      </c>
      <c r="M266" t="s">
        <v>31</v>
      </c>
      <c r="N266">
        <v>1573</v>
      </c>
      <c r="O266" s="14">
        <v>0.82786970981396701</v>
      </c>
      <c r="P266" s="14">
        <v>0.43422180437482899</v>
      </c>
      <c r="Q266" t="str">
        <f t="shared" si="8"/>
        <v>35-49</v>
      </c>
      <c r="R266" t="str">
        <f t="shared" si="9"/>
        <v>[ul0y9diGujK]|35-49|Male|TX_CURR_SUBNAT.R|CY2022Q4</v>
      </c>
    </row>
    <row r="267" spans="4:18" x14ac:dyDescent="0.2">
      <c r="D267" s="13" t="s">
        <v>107</v>
      </c>
      <c r="E267" s="13" t="s">
        <v>108</v>
      </c>
      <c r="F267" s="13" t="s">
        <v>109</v>
      </c>
      <c r="G267" s="13" t="s">
        <v>25</v>
      </c>
      <c r="H267" s="13" t="s">
        <v>26</v>
      </c>
      <c r="I267" t="s">
        <v>44</v>
      </c>
      <c r="J267" s="13" t="s">
        <v>45</v>
      </c>
      <c r="K267" s="13" t="s">
        <v>47</v>
      </c>
      <c r="L267" s="13" t="s">
        <v>48</v>
      </c>
      <c r="M267" t="s">
        <v>31</v>
      </c>
      <c r="N267">
        <v>1226</v>
      </c>
      <c r="O267" s="14">
        <v>0.47413929458707599</v>
      </c>
      <c r="P267" s="14">
        <v>0.43422180437482899</v>
      </c>
      <c r="Q267" t="str">
        <f t="shared" si="8"/>
        <v>50+</v>
      </c>
      <c r="R267" t="str">
        <f t="shared" si="9"/>
        <v>[ul0y9diGujK]|50+|Male|TX_CURR_SUBNAT.R|CY2022Q4</v>
      </c>
    </row>
    <row r="268" spans="4:18" x14ac:dyDescent="0.2">
      <c r="D268" s="13" t="s">
        <v>110</v>
      </c>
      <c r="E268" s="13" t="s">
        <v>111</v>
      </c>
      <c r="F268" s="13" t="s">
        <v>112</v>
      </c>
      <c r="G268" s="13" t="s">
        <v>25</v>
      </c>
      <c r="H268" s="13" t="s">
        <v>26</v>
      </c>
      <c r="I268" t="s">
        <v>27</v>
      </c>
      <c r="J268" s="13" t="s">
        <v>28</v>
      </c>
      <c r="K268" s="13" t="s">
        <v>29</v>
      </c>
      <c r="L268" s="13" t="s">
        <v>30</v>
      </c>
      <c r="M268" t="s">
        <v>31</v>
      </c>
      <c r="N268">
        <v>1847</v>
      </c>
      <c r="O268" s="14">
        <v>0.61968780821189295</v>
      </c>
      <c r="P268" s="14">
        <v>0.33776879496872397</v>
      </c>
      <c r="Q268" t="str">
        <f t="shared" si="8"/>
        <v>&lt;01</v>
      </c>
      <c r="R268" t="str">
        <f t="shared" si="9"/>
        <v>[U8c0so51kT6]|&lt;01|Female|TX_CURR_SUBNAT.R|CY2022Q4</v>
      </c>
    </row>
    <row r="269" spans="4:18" x14ac:dyDescent="0.2">
      <c r="D269" s="13" t="s">
        <v>110</v>
      </c>
      <c r="E269" s="13" t="s">
        <v>111</v>
      </c>
      <c r="F269" s="13" t="s">
        <v>112</v>
      </c>
      <c r="G269" s="13" t="s">
        <v>25</v>
      </c>
      <c r="H269" s="13" t="s">
        <v>26</v>
      </c>
      <c r="I269" t="s">
        <v>32</v>
      </c>
      <c r="J269" s="13" t="s">
        <v>33</v>
      </c>
      <c r="K269" s="13" t="s">
        <v>29</v>
      </c>
      <c r="L269" s="13" t="s">
        <v>30</v>
      </c>
      <c r="M269" t="s">
        <v>31</v>
      </c>
      <c r="N269">
        <v>804</v>
      </c>
      <c r="O269" s="14">
        <v>0.67208227328956105</v>
      </c>
      <c r="P269" s="14">
        <v>0.33776879496872397</v>
      </c>
      <c r="Q269" t="str">
        <f t="shared" si="8"/>
        <v>01-09</v>
      </c>
      <c r="R269" t="str">
        <f t="shared" si="9"/>
        <v>[U8c0so51kT6]|01-09|Female|TX_CURR_SUBNAT.R|CY2022Q4</v>
      </c>
    </row>
    <row r="270" spans="4:18" x14ac:dyDescent="0.2">
      <c r="D270" s="13" t="s">
        <v>110</v>
      </c>
      <c r="E270" s="13" t="s">
        <v>111</v>
      </c>
      <c r="F270" s="13" t="s">
        <v>112</v>
      </c>
      <c r="G270" s="13" t="s">
        <v>25</v>
      </c>
      <c r="H270" s="13" t="s">
        <v>26</v>
      </c>
      <c r="I270" t="s">
        <v>35</v>
      </c>
      <c r="J270" s="13" t="s">
        <v>36</v>
      </c>
      <c r="K270" s="13" t="s">
        <v>29</v>
      </c>
      <c r="L270" s="13" t="s">
        <v>30</v>
      </c>
      <c r="M270" t="s">
        <v>31</v>
      </c>
      <c r="N270">
        <v>889</v>
      </c>
      <c r="O270" s="14">
        <v>8.2988413050770801E-2</v>
      </c>
      <c r="P270" s="14">
        <v>0.33776879496872397</v>
      </c>
      <c r="Q270" t="str">
        <f t="shared" si="8"/>
        <v>10-14</v>
      </c>
      <c r="R270" t="str">
        <f t="shared" si="9"/>
        <v>[U8c0so51kT6]|10-14|Female|TX_CURR_SUBNAT.R|CY2022Q4</v>
      </c>
    </row>
    <row r="271" spans="4:18" x14ac:dyDescent="0.2">
      <c r="D271" s="13" t="s">
        <v>110</v>
      </c>
      <c r="E271" s="13" t="s">
        <v>111</v>
      </c>
      <c r="F271" s="13" t="s">
        <v>112</v>
      </c>
      <c r="G271" s="13" t="s">
        <v>25</v>
      </c>
      <c r="H271" s="13" t="s">
        <v>26</v>
      </c>
      <c r="I271" t="s">
        <v>37</v>
      </c>
      <c r="J271" s="13" t="s">
        <v>38</v>
      </c>
      <c r="K271" s="13" t="s">
        <v>29</v>
      </c>
      <c r="L271" s="13" t="s">
        <v>30</v>
      </c>
      <c r="M271" t="s">
        <v>31</v>
      </c>
      <c r="N271">
        <v>1965</v>
      </c>
      <c r="O271" s="14">
        <v>0.70877182413823903</v>
      </c>
      <c r="P271" s="14">
        <v>0.33776879496872397</v>
      </c>
      <c r="Q271" t="str">
        <f t="shared" si="8"/>
        <v>15-24</v>
      </c>
      <c r="R271" t="str">
        <f t="shared" si="9"/>
        <v>[U8c0so51kT6]|15-24|Female|TX_CURR_SUBNAT.R|CY2022Q4</v>
      </c>
    </row>
    <row r="272" spans="4:18" x14ac:dyDescent="0.2">
      <c r="D272" s="13" t="s">
        <v>110</v>
      </c>
      <c r="E272" s="13" t="s">
        <v>111</v>
      </c>
      <c r="F272" s="13" t="s">
        <v>112</v>
      </c>
      <c r="G272" s="13" t="s">
        <v>25</v>
      </c>
      <c r="H272" s="13" t="s">
        <v>26</v>
      </c>
      <c r="I272" t="s">
        <v>40</v>
      </c>
      <c r="J272" s="13" t="s">
        <v>41</v>
      </c>
      <c r="K272" s="13" t="s">
        <v>29</v>
      </c>
      <c r="L272" s="13" t="s">
        <v>30</v>
      </c>
      <c r="M272" t="s">
        <v>31</v>
      </c>
      <c r="N272">
        <v>1544</v>
      </c>
      <c r="O272" s="14">
        <v>0.35907830670475999</v>
      </c>
      <c r="P272" s="14">
        <v>0.33776879496872397</v>
      </c>
      <c r="Q272" t="str">
        <f t="shared" si="8"/>
        <v>25-34</v>
      </c>
      <c r="R272" t="str">
        <f t="shared" si="9"/>
        <v>[U8c0so51kT6]|25-34|Female|TX_CURR_SUBNAT.R|CY2022Q4</v>
      </c>
    </row>
    <row r="273" spans="4:18" x14ac:dyDescent="0.2">
      <c r="D273" s="13" t="s">
        <v>110</v>
      </c>
      <c r="E273" s="13" t="s">
        <v>111</v>
      </c>
      <c r="F273" s="13" t="s">
        <v>112</v>
      </c>
      <c r="G273" s="13" t="s">
        <v>25</v>
      </c>
      <c r="H273" s="13" t="s">
        <v>26</v>
      </c>
      <c r="I273" t="s">
        <v>42</v>
      </c>
      <c r="J273" s="13" t="s">
        <v>43</v>
      </c>
      <c r="K273" s="13" t="s">
        <v>29</v>
      </c>
      <c r="L273" s="13" t="s">
        <v>30</v>
      </c>
      <c r="M273" t="s">
        <v>31</v>
      </c>
      <c r="N273">
        <v>1309</v>
      </c>
      <c r="O273" s="14">
        <v>0.97739414405077696</v>
      </c>
      <c r="P273" s="14">
        <v>0.33776879496872397</v>
      </c>
      <c r="Q273" t="str">
        <f t="shared" si="8"/>
        <v>35-49</v>
      </c>
      <c r="R273" t="str">
        <f t="shared" si="9"/>
        <v>[U8c0so51kT6]|35-49|Female|TX_CURR_SUBNAT.R|CY2022Q4</v>
      </c>
    </row>
    <row r="274" spans="4:18" x14ac:dyDescent="0.2">
      <c r="D274" s="13" t="s">
        <v>110</v>
      </c>
      <c r="E274" s="13" t="s">
        <v>111</v>
      </c>
      <c r="F274" s="13" t="s">
        <v>112</v>
      </c>
      <c r="G274" s="13" t="s">
        <v>25</v>
      </c>
      <c r="H274" s="13" t="s">
        <v>26</v>
      </c>
      <c r="I274" t="s">
        <v>44</v>
      </c>
      <c r="J274" s="13" t="s">
        <v>45</v>
      </c>
      <c r="K274" s="13" t="s">
        <v>29</v>
      </c>
      <c r="L274" s="13" t="s">
        <v>30</v>
      </c>
      <c r="M274" t="s">
        <v>31</v>
      </c>
      <c r="N274">
        <v>1310</v>
      </c>
      <c r="O274" s="14">
        <v>0.78991682454943701</v>
      </c>
      <c r="P274" s="14">
        <v>0.33776879496872397</v>
      </c>
      <c r="Q274" t="str">
        <f t="shared" si="8"/>
        <v>50+</v>
      </c>
      <c r="R274" t="str">
        <f t="shared" si="9"/>
        <v>[U8c0so51kT6]|50+|Female|TX_CURR_SUBNAT.R|CY2022Q4</v>
      </c>
    </row>
    <row r="275" spans="4:18" x14ac:dyDescent="0.2">
      <c r="D275" s="13" t="s">
        <v>110</v>
      </c>
      <c r="E275" s="13" t="s">
        <v>111</v>
      </c>
      <c r="F275" s="13" t="s">
        <v>112</v>
      </c>
      <c r="G275" s="13" t="s">
        <v>25</v>
      </c>
      <c r="H275" s="13" t="s">
        <v>26</v>
      </c>
      <c r="I275" t="s">
        <v>27</v>
      </c>
      <c r="J275" s="13" t="s">
        <v>28</v>
      </c>
      <c r="K275" s="13" t="s">
        <v>47</v>
      </c>
      <c r="L275" s="13" t="s">
        <v>48</v>
      </c>
      <c r="M275" t="s">
        <v>31</v>
      </c>
      <c r="N275">
        <v>1893</v>
      </c>
      <c r="O275" s="14">
        <v>0.68938503996469103</v>
      </c>
      <c r="P275" s="14">
        <v>0.33776879496872397</v>
      </c>
      <c r="Q275" t="str">
        <f t="shared" si="8"/>
        <v>&lt;01</v>
      </c>
      <c r="R275" t="str">
        <f t="shared" si="9"/>
        <v>[U8c0so51kT6]|&lt;01|Male|TX_CURR_SUBNAT.R|CY2022Q4</v>
      </c>
    </row>
    <row r="276" spans="4:18" x14ac:dyDescent="0.2">
      <c r="D276" s="13" t="s">
        <v>110</v>
      </c>
      <c r="E276" s="13" t="s">
        <v>111</v>
      </c>
      <c r="F276" s="13" t="s">
        <v>112</v>
      </c>
      <c r="G276" s="13" t="s">
        <v>25</v>
      </c>
      <c r="H276" s="13" t="s">
        <v>26</v>
      </c>
      <c r="I276" t="s">
        <v>32</v>
      </c>
      <c r="J276" s="13" t="s">
        <v>33</v>
      </c>
      <c r="K276" s="13" t="s">
        <v>47</v>
      </c>
      <c r="L276" s="13" t="s">
        <v>48</v>
      </c>
      <c r="M276" t="s">
        <v>31</v>
      </c>
      <c r="N276">
        <v>929</v>
      </c>
      <c r="O276" s="14">
        <v>0.18061825004406301</v>
      </c>
      <c r="P276" s="14">
        <v>0.33776879496872397</v>
      </c>
      <c r="Q276" t="str">
        <f t="shared" si="8"/>
        <v>01-09</v>
      </c>
      <c r="R276" t="str">
        <f t="shared" si="9"/>
        <v>[U8c0so51kT6]|01-09|Male|TX_CURR_SUBNAT.R|CY2022Q4</v>
      </c>
    </row>
    <row r="277" spans="4:18" x14ac:dyDescent="0.2">
      <c r="D277" s="13" t="s">
        <v>110</v>
      </c>
      <c r="E277" s="13" t="s">
        <v>111</v>
      </c>
      <c r="F277" s="13" t="s">
        <v>112</v>
      </c>
      <c r="G277" s="13" t="s">
        <v>25</v>
      </c>
      <c r="H277" s="13" t="s">
        <v>26</v>
      </c>
      <c r="I277" t="s">
        <v>35</v>
      </c>
      <c r="J277" s="13" t="s">
        <v>36</v>
      </c>
      <c r="K277" s="13" t="s">
        <v>47</v>
      </c>
      <c r="L277" s="13" t="s">
        <v>48</v>
      </c>
      <c r="M277" t="s">
        <v>31</v>
      </c>
      <c r="N277">
        <v>1881</v>
      </c>
      <c r="O277" s="14">
        <v>0.51955722644925095</v>
      </c>
      <c r="P277" s="14">
        <v>0.33776879496872397</v>
      </c>
      <c r="Q277" t="str">
        <f t="shared" si="8"/>
        <v>10-14</v>
      </c>
      <c r="R277" t="str">
        <f t="shared" si="9"/>
        <v>[U8c0so51kT6]|10-14|Male|TX_CURR_SUBNAT.R|CY2022Q4</v>
      </c>
    </row>
    <row r="278" spans="4:18" x14ac:dyDescent="0.2">
      <c r="D278" s="13" t="s">
        <v>110</v>
      </c>
      <c r="E278" s="13" t="s">
        <v>111</v>
      </c>
      <c r="F278" s="13" t="s">
        <v>112</v>
      </c>
      <c r="G278" s="13" t="s">
        <v>25</v>
      </c>
      <c r="H278" s="13" t="s">
        <v>26</v>
      </c>
      <c r="I278" t="s">
        <v>37</v>
      </c>
      <c r="J278" s="13" t="s">
        <v>38</v>
      </c>
      <c r="K278" s="13" t="s">
        <v>47</v>
      </c>
      <c r="L278" s="13" t="s">
        <v>48</v>
      </c>
      <c r="M278" t="s">
        <v>31</v>
      </c>
      <c r="N278">
        <v>1734</v>
      </c>
      <c r="O278" s="14">
        <v>0.295711726881564</v>
      </c>
      <c r="P278" s="14">
        <v>0.33776879496872397</v>
      </c>
      <c r="Q278" t="str">
        <f t="shared" si="8"/>
        <v>15-24</v>
      </c>
      <c r="R278" t="str">
        <f t="shared" si="9"/>
        <v>[U8c0so51kT6]|15-24|Male|TX_CURR_SUBNAT.R|CY2022Q4</v>
      </c>
    </row>
    <row r="279" spans="4:18" x14ac:dyDescent="0.2">
      <c r="D279" s="13" t="s">
        <v>110</v>
      </c>
      <c r="E279" s="13" t="s">
        <v>111</v>
      </c>
      <c r="F279" s="13" t="s">
        <v>112</v>
      </c>
      <c r="G279" s="13" t="s">
        <v>25</v>
      </c>
      <c r="H279" s="13" t="s">
        <v>26</v>
      </c>
      <c r="I279" t="s">
        <v>40</v>
      </c>
      <c r="J279" s="13" t="s">
        <v>41</v>
      </c>
      <c r="K279" s="13" t="s">
        <v>47</v>
      </c>
      <c r="L279" s="13" t="s">
        <v>48</v>
      </c>
      <c r="M279" t="s">
        <v>31</v>
      </c>
      <c r="N279">
        <v>1539</v>
      </c>
      <c r="O279" s="14">
        <v>0.21825471683405301</v>
      </c>
      <c r="P279" s="14">
        <v>0.33776879496872397</v>
      </c>
      <c r="Q279" t="str">
        <f t="shared" si="8"/>
        <v>25-34</v>
      </c>
      <c r="R279" t="str">
        <f t="shared" si="9"/>
        <v>[U8c0so51kT6]|25-34|Male|TX_CURR_SUBNAT.R|CY2022Q4</v>
      </c>
    </row>
    <row r="280" spans="4:18" x14ac:dyDescent="0.2">
      <c r="D280" s="13" t="s">
        <v>110</v>
      </c>
      <c r="E280" s="13" t="s">
        <v>111</v>
      </c>
      <c r="F280" s="13" t="s">
        <v>112</v>
      </c>
      <c r="G280" s="13" t="s">
        <v>25</v>
      </c>
      <c r="H280" s="13" t="s">
        <v>26</v>
      </c>
      <c r="I280" t="s">
        <v>42</v>
      </c>
      <c r="J280" s="13" t="s">
        <v>43</v>
      </c>
      <c r="K280" s="13" t="s">
        <v>47</v>
      </c>
      <c r="L280" s="13" t="s">
        <v>48</v>
      </c>
      <c r="M280" t="s">
        <v>31</v>
      </c>
      <c r="N280">
        <v>1707</v>
      </c>
      <c r="O280" s="14">
        <v>0.57730591902509298</v>
      </c>
      <c r="P280" s="14">
        <v>0.33776879496872397</v>
      </c>
      <c r="Q280" t="str">
        <f t="shared" si="8"/>
        <v>35-49</v>
      </c>
      <c r="R280" t="str">
        <f t="shared" si="9"/>
        <v>[U8c0so51kT6]|35-49|Male|TX_CURR_SUBNAT.R|CY2022Q4</v>
      </c>
    </row>
    <row r="281" spans="4:18" x14ac:dyDescent="0.2">
      <c r="D281" s="13" t="s">
        <v>110</v>
      </c>
      <c r="E281" s="13" t="s">
        <v>111</v>
      </c>
      <c r="F281" s="13" t="s">
        <v>112</v>
      </c>
      <c r="G281" s="13" t="s">
        <v>25</v>
      </c>
      <c r="H281" s="13" t="s">
        <v>26</v>
      </c>
      <c r="I281" t="s">
        <v>44</v>
      </c>
      <c r="J281" s="13" t="s">
        <v>45</v>
      </c>
      <c r="K281" s="13" t="s">
        <v>47</v>
      </c>
      <c r="L281" s="13" t="s">
        <v>48</v>
      </c>
      <c r="M281" t="s">
        <v>31</v>
      </c>
      <c r="N281">
        <v>1317</v>
      </c>
      <c r="O281" s="14">
        <v>0.86415411694906696</v>
      </c>
      <c r="P281" s="14">
        <v>0.33776879496872397</v>
      </c>
      <c r="Q281" t="str">
        <f t="shared" si="8"/>
        <v>50+</v>
      </c>
      <c r="R281" t="str">
        <f t="shared" si="9"/>
        <v>[U8c0so51kT6]|50+|Male|TX_CURR_SUBNAT.R|CY2022Q4</v>
      </c>
    </row>
    <row r="282" spans="4:18" x14ac:dyDescent="0.2">
      <c r="D282" s="13" t="s">
        <v>113</v>
      </c>
      <c r="E282" s="13" t="s">
        <v>114</v>
      </c>
      <c r="F282" s="13" t="s">
        <v>115</v>
      </c>
      <c r="G282" s="13" t="s">
        <v>25</v>
      </c>
      <c r="H282" s="13" t="s">
        <v>26</v>
      </c>
      <c r="I282" t="s">
        <v>27</v>
      </c>
      <c r="J282" s="13" t="s">
        <v>28</v>
      </c>
      <c r="K282" s="13" t="s">
        <v>29</v>
      </c>
      <c r="L282" s="13" t="s">
        <v>30</v>
      </c>
      <c r="M282" t="s">
        <v>31</v>
      </c>
      <c r="N282">
        <v>1188</v>
      </c>
      <c r="O282" s="14">
        <v>0.20669414289295701</v>
      </c>
      <c r="P282" s="14">
        <v>0.29855980910360802</v>
      </c>
      <c r="Q282" t="str">
        <f t="shared" si="8"/>
        <v>&lt;01</v>
      </c>
      <c r="R282" t="str">
        <f t="shared" si="9"/>
        <v>[rpw540fmNUz]|&lt;01|Female|TX_CURR_SUBNAT.R|CY2022Q4</v>
      </c>
    </row>
    <row r="283" spans="4:18" x14ac:dyDescent="0.2">
      <c r="D283" s="13" t="s">
        <v>113</v>
      </c>
      <c r="E283" s="13" t="s">
        <v>114</v>
      </c>
      <c r="F283" s="13" t="s">
        <v>115</v>
      </c>
      <c r="G283" s="13" t="s">
        <v>25</v>
      </c>
      <c r="H283" s="13" t="s">
        <v>26</v>
      </c>
      <c r="I283" t="s">
        <v>32</v>
      </c>
      <c r="J283" s="13" t="s">
        <v>33</v>
      </c>
      <c r="K283" s="13" t="s">
        <v>29</v>
      </c>
      <c r="L283" s="13" t="s">
        <v>30</v>
      </c>
      <c r="M283" t="s">
        <v>31</v>
      </c>
      <c r="N283">
        <v>1558</v>
      </c>
      <c r="O283" s="14">
        <v>0.27973933191970002</v>
      </c>
      <c r="P283" s="14">
        <v>0.29855980910360802</v>
      </c>
      <c r="Q283" t="str">
        <f t="shared" si="8"/>
        <v>01-09</v>
      </c>
      <c r="R283" t="str">
        <f t="shared" si="9"/>
        <v>[rpw540fmNUz]|01-09|Female|TX_CURR_SUBNAT.R|CY2022Q4</v>
      </c>
    </row>
    <row r="284" spans="4:18" x14ac:dyDescent="0.2">
      <c r="D284" s="13" t="s">
        <v>113</v>
      </c>
      <c r="E284" s="13" t="s">
        <v>114</v>
      </c>
      <c r="F284" s="13" t="s">
        <v>115</v>
      </c>
      <c r="G284" s="13" t="s">
        <v>25</v>
      </c>
      <c r="H284" s="13" t="s">
        <v>26</v>
      </c>
      <c r="I284" t="s">
        <v>35</v>
      </c>
      <c r="J284" s="13" t="s">
        <v>36</v>
      </c>
      <c r="K284" s="13" t="s">
        <v>29</v>
      </c>
      <c r="L284" s="13" t="s">
        <v>30</v>
      </c>
      <c r="M284" t="s">
        <v>31</v>
      </c>
      <c r="N284">
        <v>1410</v>
      </c>
      <c r="O284" s="14">
        <v>0.42950237542390801</v>
      </c>
      <c r="P284" s="14">
        <v>0.29855980910360802</v>
      </c>
      <c r="Q284" t="str">
        <f t="shared" si="8"/>
        <v>10-14</v>
      </c>
      <c r="R284" t="str">
        <f t="shared" si="9"/>
        <v>[rpw540fmNUz]|10-14|Female|TX_CURR_SUBNAT.R|CY2022Q4</v>
      </c>
    </row>
    <row r="285" spans="4:18" x14ac:dyDescent="0.2">
      <c r="D285" s="13" t="s">
        <v>113</v>
      </c>
      <c r="E285" s="13" t="s">
        <v>114</v>
      </c>
      <c r="F285" s="13" t="s">
        <v>115</v>
      </c>
      <c r="G285" s="13" t="s">
        <v>25</v>
      </c>
      <c r="H285" s="13" t="s">
        <v>26</v>
      </c>
      <c r="I285" t="s">
        <v>37</v>
      </c>
      <c r="J285" s="13" t="s">
        <v>38</v>
      </c>
      <c r="K285" s="13" t="s">
        <v>29</v>
      </c>
      <c r="L285" s="13" t="s">
        <v>30</v>
      </c>
      <c r="M285" t="s">
        <v>31</v>
      </c>
      <c r="N285">
        <v>960</v>
      </c>
      <c r="O285" s="14">
        <v>0.405714183114469</v>
      </c>
      <c r="P285" s="14">
        <v>0.29855980910360802</v>
      </c>
      <c r="Q285" t="str">
        <f t="shared" si="8"/>
        <v>15-24</v>
      </c>
      <c r="R285" t="str">
        <f t="shared" si="9"/>
        <v>[rpw540fmNUz]|15-24|Female|TX_CURR_SUBNAT.R|CY2022Q4</v>
      </c>
    </row>
    <row r="286" spans="4:18" x14ac:dyDescent="0.2">
      <c r="D286" s="13" t="s">
        <v>113</v>
      </c>
      <c r="E286" s="13" t="s">
        <v>114</v>
      </c>
      <c r="F286" s="13" t="s">
        <v>115</v>
      </c>
      <c r="G286" s="13" t="s">
        <v>25</v>
      </c>
      <c r="H286" s="13" t="s">
        <v>26</v>
      </c>
      <c r="I286" t="s">
        <v>40</v>
      </c>
      <c r="J286" s="13" t="s">
        <v>41</v>
      </c>
      <c r="K286" s="13" t="s">
        <v>29</v>
      </c>
      <c r="L286" s="13" t="s">
        <v>30</v>
      </c>
      <c r="M286" t="s">
        <v>31</v>
      </c>
      <c r="N286">
        <v>1489</v>
      </c>
      <c r="O286" s="14">
        <v>0.93983114627189901</v>
      </c>
      <c r="P286" s="14">
        <v>0.29855980910360802</v>
      </c>
      <c r="Q286" t="str">
        <f t="shared" si="8"/>
        <v>25-34</v>
      </c>
      <c r="R286" t="str">
        <f t="shared" si="9"/>
        <v>[rpw540fmNUz]|25-34|Female|TX_CURR_SUBNAT.R|CY2022Q4</v>
      </c>
    </row>
    <row r="287" spans="4:18" x14ac:dyDescent="0.2">
      <c r="D287" s="13" t="s">
        <v>113</v>
      </c>
      <c r="E287" s="13" t="s">
        <v>114</v>
      </c>
      <c r="F287" s="13" t="s">
        <v>115</v>
      </c>
      <c r="G287" s="13" t="s">
        <v>25</v>
      </c>
      <c r="H287" s="13" t="s">
        <v>26</v>
      </c>
      <c r="I287" t="s">
        <v>42</v>
      </c>
      <c r="J287" s="13" t="s">
        <v>43</v>
      </c>
      <c r="K287" s="13" t="s">
        <v>29</v>
      </c>
      <c r="L287" s="13" t="s">
        <v>30</v>
      </c>
      <c r="M287" t="s">
        <v>31</v>
      </c>
      <c r="N287">
        <v>827</v>
      </c>
      <c r="O287" s="14">
        <v>0.43079548818059299</v>
      </c>
      <c r="P287" s="14">
        <v>0.29855980910360802</v>
      </c>
      <c r="Q287" t="str">
        <f t="shared" si="8"/>
        <v>35-49</v>
      </c>
      <c r="R287" t="str">
        <f t="shared" si="9"/>
        <v>[rpw540fmNUz]|35-49|Female|TX_CURR_SUBNAT.R|CY2022Q4</v>
      </c>
    </row>
    <row r="288" spans="4:18" x14ac:dyDescent="0.2">
      <c r="D288" s="13" t="s">
        <v>113</v>
      </c>
      <c r="E288" s="13" t="s">
        <v>114</v>
      </c>
      <c r="F288" s="13" t="s">
        <v>115</v>
      </c>
      <c r="G288" s="13" t="s">
        <v>25</v>
      </c>
      <c r="H288" s="13" t="s">
        <v>26</v>
      </c>
      <c r="I288" t="s">
        <v>44</v>
      </c>
      <c r="J288" s="13" t="s">
        <v>45</v>
      </c>
      <c r="K288" s="13" t="s">
        <v>29</v>
      </c>
      <c r="L288" s="13" t="s">
        <v>30</v>
      </c>
      <c r="M288" t="s">
        <v>31</v>
      </c>
      <c r="N288">
        <v>1930</v>
      </c>
      <c r="O288" s="14">
        <v>0.51664351648651097</v>
      </c>
      <c r="P288" s="14">
        <v>0.29855980910360802</v>
      </c>
      <c r="Q288" t="str">
        <f t="shared" si="8"/>
        <v>50+</v>
      </c>
      <c r="R288" t="str">
        <f t="shared" si="9"/>
        <v>[rpw540fmNUz]|50+|Female|TX_CURR_SUBNAT.R|CY2022Q4</v>
      </c>
    </row>
    <row r="289" spans="4:18" x14ac:dyDescent="0.2">
      <c r="D289" s="13" t="s">
        <v>113</v>
      </c>
      <c r="E289" s="13" t="s">
        <v>114</v>
      </c>
      <c r="F289" s="13" t="s">
        <v>115</v>
      </c>
      <c r="G289" s="13" t="s">
        <v>25</v>
      </c>
      <c r="H289" s="13" t="s">
        <v>26</v>
      </c>
      <c r="I289" t="s">
        <v>27</v>
      </c>
      <c r="J289" s="13" t="s">
        <v>28</v>
      </c>
      <c r="K289" s="13" t="s">
        <v>47</v>
      </c>
      <c r="L289" s="13" t="s">
        <v>48</v>
      </c>
      <c r="M289" t="s">
        <v>31</v>
      </c>
      <c r="N289">
        <v>639</v>
      </c>
      <c r="O289" s="14">
        <v>0.265612337505445</v>
      </c>
      <c r="P289" s="14">
        <v>0.29855980910360802</v>
      </c>
      <c r="Q289" t="str">
        <f t="shared" si="8"/>
        <v>&lt;01</v>
      </c>
      <c r="R289" t="str">
        <f t="shared" si="9"/>
        <v>[rpw540fmNUz]|&lt;01|Male|TX_CURR_SUBNAT.R|CY2022Q4</v>
      </c>
    </row>
    <row r="290" spans="4:18" x14ac:dyDescent="0.2">
      <c r="D290" s="13" t="s">
        <v>113</v>
      </c>
      <c r="E290" s="13" t="s">
        <v>114</v>
      </c>
      <c r="F290" s="13" t="s">
        <v>115</v>
      </c>
      <c r="G290" s="13" t="s">
        <v>25</v>
      </c>
      <c r="H290" s="13" t="s">
        <v>26</v>
      </c>
      <c r="I290" t="s">
        <v>32</v>
      </c>
      <c r="J290" s="13" t="s">
        <v>33</v>
      </c>
      <c r="K290" s="13" t="s">
        <v>47</v>
      </c>
      <c r="L290" s="13" t="s">
        <v>48</v>
      </c>
      <c r="M290" t="s">
        <v>31</v>
      </c>
      <c r="N290">
        <v>860</v>
      </c>
      <c r="O290" s="14">
        <v>0.90925767505541399</v>
      </c>
      <c r="P290" s="14">
        <v>0.29855980910360802</v>
      </c>
      <c r="Q290" t="str">
        <f t="shared" si="8"/>
        <v>01-09</v>
      </c>
      <c r="R290" t="str">
        <f t="shared" si="9"/>
        <v>[rpw540fmNUz]|01-09|Male|TX_CURR_SUBNAT.R|CY2022Q4</v>
      </c>
    </row>
    <row r="291" spans="4:18" x14ac:dyDescent="0.2">
      <c r="D291" s="13" t="s">
        <v>113</v>
      </c>
      <c r="E291" s="13" t="s">
        <v>114</v>
      </c>
      <c r="F291" s="13" t="s">
        <v>115</v>
      </c>
      <c r="G291" s="13" t="s">
        <v>25</v>
      </c>
      <c r="H291" s="13" t="s">
        <v>26</v>
      </c>
      <c r="I291" t="s">
        <v>35</v>
      </c>
      <c r="J291" s="13" t="s">
        <v>36</v>
      </c>
      <c r="K291" s="13" t="s">
        <v>47</v>
      </c>
      <c r="L291" s="13" t="s">
        <v>48</v>
      </c>
      <c r="M291" t="s">
        <v>31</v>
      </c>
      <c r="N291">
        <v>711</v>
      </c>
      <c r="O291" s="14">
        <v>9.6388084813952404E-2</v>
      </c>
      <c r="P291" s="14">
        <v>0.29855980910360802</v>
      </c>
      <c r="Q291" t="str">
        <f t="shared" si="8"/>
        <v>10-14</v>
      </c>
      <c r="R291" t="str">
        <f t="shared" si="9"/>
        <v>[rpw540fmNUz]|10-14|Male|TX_CURR_SUBNAT.R|CY2022Q4</v>
      </c>
    </row>
    <row r="292" spans="4:18" x14ac:dyDescent="0.2">
      <c r="D292" s="13" t="s">
        <v>113</v>
      </c>
      <c r="E292" s="13" t="s">
        <v>114</v>
      </c>
      <c r="F292" s="13" t="s">
        <v>115</v>
      </c>
      <c r="G292" s="13" t="s">
        <v>25</v>
      </c>
      <c r="H292" s="13" t="s">
        <v>26</v>
      </c>
      <c r="I292" t="s">
        <v>37</v>
      </c>
      <c r="J292" s="13" t="s">
        <v>38</v>
      </c>
      <c r="K292" s="13" t="s">
        <v>47</v>
      </c>
      <c r="L292" s="13" t="s">
        <v>48</v>
      </c>
      <c r="M292" t="s">
        <v>31</v>
      </c>
      <c r="N292">
        <v>1379</v>
      </c>
      <c r="O292" s="14">
        <v>0.36787796951830398</v>
      </c>
      <c r="P292" s="14">
        <v>0.29855980910360802</v>
      </c>
      <c r="Q292" t="str">
        <f t="shared" si="8"/>
        <v>15-24</v>
      </c>
      <c r="R292" t="str">
        <f t="shared" si="9"/>
        <v>[rpw540fmNUz]|15-24|Male|TX_CURR_SUBNAT.R|CY2022Q4</v>
      </c>
    </row>
    <row r="293" spans="4:18" x14ac:dyDescent="0.2">
      <c r="D293" s="13" t="s">
        <v>113</v>
      </c>
      <c r="E293" s="13" t="s">
        <v>114</v>
      </c>
      <c r="F293" s="13" t="s">
        <v>115</v>
      </c>
      <c r="G293" s="13" t="s">
        <v>25</v>
      </c>
      <c r="H293" s="13" t="s">
        <v>26</v>
      </c>
      <c r="I293" t="s">
        <v>40</v>
      </c>
      <c r="J293" s="13" t="s">
        <v>41</v>
      </c>
      <c r="K293" s="13" t="s">
        <v>47</v>
      </c>
      <c r="L293" s="13" t="s">
        <v>48</v>
      </c>
      <c r="M293" t="s">
        <v>31</v>
      </c>
      <c r="N293">
        <v>1670</v>
      </c>
      <c r="O293" s="14">
        <v>0.57195424009114504</v>
      </c>
      <c r="P293" s="14">
        <v>0.29855980910360802</v>
      </c>
      <c r="Q293" t="str">
        <f t="shared" si="8"/>
        <v>25-34</v>
      </c>
      <c r="R293" t="str">
        <f t="shared" si="9"/>
        <v>[rpw540fmNUz]|25-34|Male|TX_CURR_SUBNAT.R|CY2022Q4</v>
      </c>
    </row>
    <row r="294" spans="4:18" x14ac:dyDescent="0.2">
      <c r="D294" s="13" t="s">
        <v>113</v>
      </c>
      <c r="E294" s="13" t="s">
        <v>114</v>
      </c>
      <c r="F294" s="13" t="s">
        <v>115</v>
      </c>
      <c r="G294" s="13" t="s">
        <v>25</v>
      </c>
      <c r="H294" s="13" t="s">
        <v>26</v>
      </c>
      <c r="I294" t="s">
        <v>42</v>
      </c>
      <c r="J294" s="13" t="s">
        <v>43</v>
      </c>
      <c r="K294" s="13" t="s">
        <v>47</v>
      </c>
      <c r="L294" s="13" t="s">
        <v>48</v>
      </c>
      <c r="M294" t="s">
        <v>31</v>
      </c>
      <c r="N294">
        <v>1778</v>
      </c>
      <c r="O294" s="14">
        <v>1.7042887629941099E-2</v>
      </c>
      <c r="P294" s="14">
        <v>0.29855980910360802</v>
      </c>
      <c r="Q294" t="str">
        <f t="shared" si="8"/>
        <v>35-49</v>
      </c>
      <c r="R294" t="str">
        <f t="shared" si="9"/>
        <v>[rpw540fmNUz]|35-49|Male|TX_CURR_SUBNAT.R|CY2022Q4</v>
      </c>
    </row>
    <row r="295" spans="4:18" x14ac:dyDescent="0.2">
      <c r="D295" s="13" t="s">
        <v>113</v>
      </c>
      <c r="E295" s="13" t="s">
        <v>114</v>
      </c>
      <c r="F295" s="13" t="s">
        <v>115</v>
      </c>
      <c r="G295" s="13" t="s">
        <v>25</v>
      </c>
      <c r="H295" s="13" t="s">
        <v>26</v>
      </c>
      <c r="I295" t="s">
        <v>44</v>
      </c>
      <c r="J295" s="13" t="s">
        <v>45</v>
      </c>
      <c r="K295" s="13" t="s">
        <v>47</v>
      </c>
      <c r="L295" s="13" t="s">
        <v>48</v>
      </c>
      <c r="M295" t="s">
        <v>31</v>
      </c>
      <c r="N295">
        <v>978</v>
      </c>
      <c r="O295" s="14">
        <v>0.75411257869563997</v>
      </c>
      <c r="P295" s="14">
        <v>0.29855980910360802</v>
      </c>
      <c r="Q295" t="str">
        <f t="shared" si="8"/>
        <v>50+</v>
      </c>
      <c r="R295" t="str">
        <f t="shared" si="9"/>
        <v>[rpw540fmNUz]|50+|Male|TX_CURR_SUBNAT.R|CY2022Q4</v>
      </c>
    </row>
    <row r="296" spans="4:18" x14ac:dyDescent="0.2">
      <c r="D296" s="13" t="s">
        <v>116</v>
      </c>
      <c r="E296" s="13" t="s">
        <v>117</v>
      </c>
      <c r="F296" s="13" t="s">
        <v>118</v>
      </c>
      <c r="G296" s="13" t="s">
        <v>25</v>
      </c>
      <c r="H296" s="13" t="s">
        <v>26</v>
      </c>
      <c r="I296" t="s">
        <v>27</v>
      </c>
      <c r="J296" s="13" t="s">
        <v>28</v>
      </c>
      <c r="K296" s="13" t="s">
        <v>29</v>
      </c>
      <c r="L296" s="13" t="s">
        <v>30</v>
      </c>
      <c r="M296" t="s">
        <v>31</v>
      </c>
      <c r="N296">
        <v>1946</v>
      </c>
      <c r="O296" s="14">
        <v>0.49986545532010501</v>
      </c>
      <c r="P296" s="14">
        <v>0.206259709550068</v>
      </c>
      <c r="Q296" t="str">
        <f t="shared" si="8"/>
        <v>&lt;01</v>
      </c>
      <c r="R296" t="str">
        <f t="shared" si="9"/>
        <v>[lPTyjLi4w3d]|&lt;01|Female|TX_CURR_SUBNAT.R|CY2022Q4</v>
      </c>
    </row>
    <row r="297" spans="4:18" x14ac:dyDescent="0.2">
      <c r="D297" s="13" t="s">
        <v>116</v>
      </c>
      <c r="E297" s="13" t="s">
        <v>117</v>
      </c>
      <c r="F297" s="13" t="s">
        <v>118</v>
      </c>
      <c r="G297" s="13" t="s">
        <v>25</v>
      </c>
      <c r="H297" s="13" t="s">
        <v>26</v>
      </c>
      <c r="I297" t="s">
        <v>32</v>
      </c>
      <c r="J297" s="13" t="s">
        <v>33</v>
      </c>
      <c r="K297" s="13" t="s">
        <v>29</v>
      </c>
      <c r="L297" s="13" t="s">
        <v>30</v>
      </c>
      <c r="M297" t="s">
        <v>31</v>
      </c>
      <c r="N297">
        <v>1210</v>
      </c>
      <c r="O297" s="14">
        <v>0.70318580511957396</v>
      </c>
      <c r="P297" s="14">
        <v>0.206259709550068</v>
      </c>
      <c r="Q297" t="str">
        <f t="shared" si="8"/>
        <v>01-09</v>
      </c>
      <c r="R297" t="str">
        <f t="shared" si="9"/>
        <v>[lPTyjLi4w3d]|01-09|Female|TX_CURR_SUBNAT.R|CY2022Q4</v>
      </c>
    </row>
    <row r="298" spans="4:18" x14ac:dyDescent="0.2">
      <c r="D298" s="13" t="s">
        <v>116</v>
      </c>
      <c r="E298" s="13" t="s">
        <v>117</v>
      </c>
      <c r="F298" s="13" t="s">
        <v>118</v>
      </c>
      <c r="G298" s="13" t="s">
        <v>25</v>
      </c>
      <c r="H298" s="13" t="s">
        <v>26</v>
      </c>
      <c r="I298" t="s">
        <v>35</v>
      </c>
      <c r="J298" s="13" t="s">
        <v>36</v>
      </c>
      <c r="K298" s="13" t="s">
        <v>29</v>
      </c>
      <c r="L298" s="13" t="s">
        <v>30</v>
      </c>
      <c r="M298" t="s">
        <v>31</v>
      </c>
      <c r="N298">
        <v>1172</v>
      </c>
      <c r="O298" s="14">
        <v>8.0234821420162902E-2</v>
      </c>
      <c r="P298" s="14">
        <v>0.206259709550068</v>
      </c>
      <c r="Q298" t="str">
        <f t="shared" si="8"/>
        <v>10-14</v>
      </c>
      <c r="R298" t="str">
        <f t="shared" si="9"/>
        <v>[lPTyjLi4w3d]|10-14|Female|TX_CURR_SUBNAT.R|CY2022Q4</v>
      </c>
    </row>
    <row r="299" spans="4:18" x14ac:dyDescent="0.2">
      <c r="D299" s="13" t="s">
        <v>116</v>
      </c>
      <c r="E299" s="13" t="s">
        <v>117</v>
      </c>
      <c r="F299" s="13" t="s">
        <v>118</v>
      </c>
      <c r="G299" s="13" t="s">
        <v>25</v>
      </c>
      <c r="H299" s="13" t="s">
        <v>26</v>
      </c>
      <c r="I299" t="s">
        <v>37</v>
      </c>
      <c r="J299" s="13" t="s">
        <v>38</v>
      </c>
      <c r="K299" s="13" t="s">
        <v>29</v>
      </c>
      <c r="L299" s="13" t="s">
        <v>30</v>
      </c>
      <c r="M299" t="s">
        <v>31</v>
      </c>
      <c r="N299">
        <v>1318</v>
      </c>
      <c r="O299" s="14">
        <v>0.26085152290761499</v>
      </c>
      <c r="P299" s="14">
        <v>0.206259709550068</v>
      </c>
      <c r="Q299" t="str">
        <f t="shared" si="8"/>
        <v>15-24</v>
      </c>
      <c r="R299" t="str">
        <f t="shared" si="9"/>
        <v>[lPTyjLi4w3d]|15-24|Female|TX_CURR_SUBNAT.R|CY2022Q4</v>
      </c>
    </row>
    <row r="300" spans="4:18" x14ac:dyDescent="0.2">
      <c r="D300" s="13" t="s">
        <v>116</v>
      </c>
      <c r="E300" s="13" t="s">
        <v>117</v>
      </c>
      <c r="F300" s="13" t="s">
        <v>118</v>
      </c>
      <c r="G300" s="13" t="s">
        <v>25</v>
      </c>
      <c r="H300" s="13" t="s">
        <v>26</v>
      </c>
      <c r="I300" t="s">
        <v>40</v>
      </c>
      <c r="J300" s="13" t="s">
        <v>41</v>
      </c>
      <c r="K300" s="13" t="s">
        <v>29</v>
      </c>
      <c r="L300" s="13" t="s">
        <v>30</v>
      </c>
      <c r="M300" t="s">
        <v>31</v>
      </c>
      <c r="N300">
        <v>1948</v>
      </c>
      <c r="O300" s="14">
        <v>0.87371999002061795</v>
      </c>
      <c r="P300" s="14">
        <v>0.206259709550068</v>
      </c>
      <c r="Q300" t="str">
        <f t="shared" si="8"/>
        <v>25-34</v>
      </c>
      <c r="R300" t="str">
        <f t="shared" si="9"/>
        <v>[lPTyjLi4w3d]|25-34|Female|TX_CURR_SUBNAT.R|CY2022Q4</v>
      </c>
    </row>
    <row r="301" spans="4:18" x14ac:dyDescent="0.2">
      <c r="D301" s="13" t="s">
        <v>116</v>
      </c>
      <c r="E301" s="13" t="s">
        <v>117</v>
      </c>
      <c r="F301" s="13" t="s">
        <v>118</v>
      </c>
      <c r="G301" s="13" t="s">
        <v>25</v>
      </c>
      <c r="H301" s="13" t="s">
        <v>26</v>
      </c>
      <c r="I301" t="s">
        <v>42</v>
      </c>
      <c r="J301" s="13" t="s">
        <v>43</v>
      </c>
      <c r="K301" s="13" t="s">
        <v>29</v>
      </c>
      <c r="L301" s="13" t="s">
        <v>30</v>
      </c>
      <c r="M301" t="s">
        <v>31</v>
      </c>
      <c r="N301">
        <v>1236</v>
      </c>
      <c r="O301" s="14">
        <v>0.52876928797922995</v>
      </c>
      <c r="P301" s="14">
        <v>0.206259709550068</v>
      </c>
      <c r="Q301" t="str">
        <f t="shared" si="8"/>
        <v>35-49</v>
      </c>
      <c r="R301" t="str">
        <f t="shared" si="9"/>
        <v>[lPTyjLi4w3d]|35-49|Female|TX_CURR_SUBNAT.R|CY2022Q4</v>
      </c>
    </row>
    <row r="302" spans="4:18" x14ac:dyDescent="0.2">
      <c r="D302" s="13" t="s">
        <v>116</v>
      </c>
      <c r="E302" s="13" t="s">
        <v>117</v>
      </c>
      <c r="F302" s="13" t="s">
        <v>118</v>
      </c>
      <c r="G302" s="13" t="s">
        <v>25</v>
      </c>
      <c r="H302" s="13" t="s">
        <v>26</v>
      </c>
      <c r="I302" t="s">
        <v>44</v>
      </c>
      <c r="J302" s="13" t="s">
        <v>45</v>
      </c>
      <c r="K302" s="13" t="s">
        <v>29</v>
      </c>
      <c r="L302" s="13" t="s">
        <v>30</v>
      </c>
      <c r="M302" t="s">
        <v>31</v>
      </c>
      <c r="N302">
        <v>979</v>
      </c>
      <c r="O302" s="14">
        <v>0.57043881132267404</v>
      </c>
      <c r="P302" s="14">
        <v>0.206259709550068</v>
      </c>
      <c r="Q302" t="str">
        <f t="shared" si="8"/>
        <v>50+</v>
      </c>
      <c r="R302" t="str">
        <f t="shared" si="9"/>
        <v>[lPTyjLi4w3d]|50+|Female|TX_CURR_SUBNAT.R|CY2022Q4</v>
      </c>
    </row>
    <row r="303" spans="4:18" x14ac:dyDescent="0.2">
      <c r="D303" s="13" t="s">
        <v>116</v>
      </c>
      <c r="E303" s="13" t="s">
        <v>117</v>
      </c>
      <c r="F303" s="13" t="s">
        <v>118</v>
      </c>
      <c r="G303" s="13" t="s">
        <v>25</v>
      </c>
      <c r="H303" s="13" t="s">
        <v>26</v>
      </c>
      <c r="I303" t="s">
        <v>27</v>
      </c>
      <c r="J303" s="13" t="s">
        <v>28</v>
      </c>
      <c r="K303" s="13" t="s">
        <v>47</v>
      </c>
      <c r="L303" s="13" t="s">
        <v>48</v>
      </c>
      <c r="M303" t="s">
        <v>31</v>
      </c>
      <c r="N303">
        <v>1391</v>
      </c>
      <c r="O303" s="14">
        <v>0.17924542841501501</v>
      </c>
      <c r="P303" s="14">
        <v>0.206259709550068</v>
      </c>
      <c r="Q303" t="str">
        <f t="shared" si="8"/>
        <v>&lt;01</v>
      </c>
      <c r="R303" t="str">
        <f t="shared" si="9"/>
        <v>[lPTyjLi4w3d]|&lt;01|Male|TX_CURR_SUBNAT.R|CY2022Q4</v>
      </c>
    </row>
    <row r="304" spans="4:18" x14ac:dyDescent="0.2">
      <c r="D304" s="13" t="s">
        <v>116</v>
      </c>
      <c r="E304" s="13" t="s">
        <v>117</v>
      </c>
      <c r="F304" s="13" t="s">
        <v>118</v>
      </c>
      <c r="G304" s="13" t="s">
        <v>25</v>
      </c>
      <c r="H304" s="13" t="s">
        <v>26</v>
      </c>
      <c r="I304" t="s">
        <v>32</v>
      </c>
      <c r="J304" s="13" t="s">
        <v>33</v>
      </c>
      <c r="K304" s="13" t="s">
        <v>47</v>
      </c>
      <c r="L304" s="13" t="s">
        <v>48</v>
      </c>
      <c r="M304" t="s">
        <v>31</v>
      </c>
      <c r="N304">
        <v>624</v>
      </c>
      <c r="O304" s="14">
        <v>0.68113816995173704</v>
      </c>
      <c r="P304" s="14">
        <v>0.206259709550068</v>
      </c>
      <c r="Q304" t="str">
        <f t="shared" si="8"/>
        <v>01-09</v>
      </c>
      <c r="R304" t="str">
        <f t="shared" si="9"/>
        <v>[lPTyjLi4w3d]|01-09|Male|TX_CURR_SUBNAT.R|CY2022Q4</v>
      </c>
    </row>
    <row r="305" spans="4:18" x14ac:dyDescent="0.2">
      <c r="D305" s="13" t="s">
        <v>116</v>
      </c>
      <c r="E305" s="13" t="s">
        <v>117</v>
      </c>
      <c r="F305" s="13" t="s">
        <v>118</v>
      </c>
      <c r="G305" s="13" t="s">
        <v>25</v>
      </c>
      <c r="H305" s="13" t="s">
        <v>26</v>
      </c>
      <c r="I305" t="s">
        <v>35</v>
      </c>
      <c r="J305" s="13" t="s">
        <v>36</v>
      </c>
      <c r="K305" s="13" t="s">
        <v>47</v>
      </c>
      <c r="L305" s="13" t="s">
        <v>48</v>
      </c>
      <c r="M305" t="s">
        <v>31</v>
      </c>
      <c r="N305">
        <v>1127</v>
      </c>
      <c r="O305" s="14">
        <v>0.285637544002384</v>
      </c>
      <c r="P305" s="14">
        <v>0.206259709550068</v>
      </c>
      <c r="Q305" t="str">
        <f t="shared" si="8"/>
        <v>10-14</v>
      </c>
      <c r="R305" t="str">
        <f t="shared" si="9"/>
        <v>[lPTyjLi4w3d]|10-14|Male|TX_CURR_SUBNAT.R|CY2022Q4</v>
      </c>
    </row>
    <row r="306" spans="4:18" x14ac:dyDescent="0.2">
      <c r="D306" s="13" t="s">
        <v>116</v>
      </c>
      <c r="E306" s="13" t="s">
        <v>117</v>
      </c>
      <c r="F306" s="13" t="s">
        <v>118</v>
      </c>
      <c r="G306" s="13" t="s">
        <v>25</v>
      </c>
      <c r="H306" s="13" t="s">
        <v>26</v>
      </c>
      <c r="I306" t="s">
        <v>37</v>
      </c>
      <c r="J306" s="13" t="s">
        <v>38</v>
      </c>
      <c r="K306" s="13" t="s">
        <v>47</v>
      </c>
      <c r="L306" s="13" t="s">
        <v>48</v>
      </c>
      <c r="M306" t="s">
        <v>31</v>
      </c>
      <c r="N306">
        <v>1070</v>
      </c>
      <c r="O306" s="14">
        <v>0.24995619477704201</v>
      </c>
      <c r="P306" s="14">
        <v>0.206259709550068</v>
      </c>
      <c r="Q306" t="str">
        <f t="shared" si="8"/>
        <v>15-24</v>
      </c>
      <c r="R306" t="str">
        <f t="shared" si="9"/>
        <v>[lPTyjLi4w3d]|15-24|Male|TX_CURR_SUBNAT.R|CY2022Q4</v>
      </c>
    </row>
    <row r="307" spans="4:18" x14ac:dyDescent="0.2">
      <c r="D307" s="13" t="s">
        <v>116</v>
      </c>
      <c r="E307" s="13" t="s">
        <v>117</v>
      </c>
      <c r="F307" s="13" t="s">
        <v>118</v>
      </c>
      <c r="G307" s="13" t="s">
        <v>25</v>
      </c>
      <c r="H307" s="13" t="s">
        <v>26</v>
      </c>
      <c r="I307" t="s">
        <v>40</v>
      </c>
      <c r="J307" s="13" t="s">
        <v>41</v>
      </c>
      <c r="K307" s="13" t="s">
        <v>47</v>
      </c>
      <c r="L307" s="13" t="s">
        <v>48</v>
      </c>
      <c r="M307" t="s">
        <v>31</v>
      </c>
      <c r="N307">
        <v>946</v>
      </c>
      <c r="O307" s="14">
        <v>0.190899052191526</v>
      </c>
      <c r="P307" s="14">
        <v>0.206259709550068</v>
      </c>
      <c r="Q307" t="str">
        <f t="shared" si="8"/>
        <v>25-34</v>
      </c>
      <c r="R307" t="str">
        <f t="shared" si="9"/>
        <v>[lPTyjLi4w3d]|25-34|Male|TX_CURR_SUBNAT.R|CY2022Q4</v>
      </c>
    </row>
    <row r="308" spans="4:18" x14ac:dyDescent="0.2">
      <c r="D308" s="13" t="s">
        <v>116</v>
      </c>
      <c r="E308" s="13" t="s">
        <v>117</v>
      </c>
      <c r="F308" s="13" t="s">
        <v>118</v>
      </c>
      <c r="G308" s="13" t="s">
        <v>25</v>
      </c>
      <c r="H308" s="13" t="s">
        <v>26</v>
      </c>
      <c r="I308" t="s">
        <v>42</v>
      </c>
      <c r="J308" s="13" t="s">
        <v>43</v>
      </c>
      <c r="K308" s="13" t="s">
        <v>47</v>
      </c>
      <c r="L308" s="13" t="s">
        <v>48</v>
      </c>
      <c r="M308" t="s">
        <v>31</v>
      </c>
      <c r="N308">
        <v>1648</v>
      </c>
      <c r="O308" s="14">
        <v>0.17784229223616399</v>
      </c>
      <c r="P308" s="14">
        <v>0.206259709550068</v>
      </c>
      <c r="Q308" t="str">
        <f t="shared" si="8"/>
        <v>35-49</v>
      </c>
      <c r="R308" t="str">
        <f t="shared" si="9"/>
        <v>[lPTyjLi4w3d]|35-49|Male|TX_CURR_SUBNAT.R|CY2022Q4</v>
      </c>
    </row>
    <row r="309" spans="4:18" x14ac:dyDescent="0.2">
      <c r="D309" s="13" t="s">
        <v>116</v>
      </c>
      <c r="E309" s="13" t="s">
        <v>117</v>
      </c>
      <c r="F309" s="13" t="s">
        <v>118</v>
      </c>
      <c r="G309" s="13" t="s">
        <v>25</v>
      </c>
      <c r="H309" s="13" t="s">
        <v>26</v>
      </c>
      <c r="I309" t="s">
        <v>44</v>
      </c>
      <c r="J309" s="13" t="s">
        <v>45</v>
      </c>
      <c r="K309" s="13" t="s">
        <v>47</v>
      </c>
      <c r="L309" s="13" t="s">
        <v>48</v>
      </c>
      <c r="M309" t="s">
        <v>31</v>
      </c>
      <c r="N309">
        <v>1371</v>
      </c>
      <c r="O309" s="14">
        <v>0.52025016141124103</v>
      </c>
      <c r="P309" s="14">
        <v>0.206259709550068</v>
      </c>
      <c r="Q309" t="str">
        <f t="shared" si="8"/>
        <v>50+</v>
      </c>
      <c r="R309" t="str">
        <f t="shared" si="9"/>
        <v>[lPTyjLi4w3d]|50+|Male|TX_CURR_SUBNAT.R|CY2022Q4</v>
      </c>
    </row>
    <row r="310" spans="4:18" x14ac:dyDescent="0.2">
      <c r="D310" s="13" t="s">
        <v>119</v>
      </c>
      <c r="E310" s="13" t="s">
        <v>120</v>
      </c>
      <c r="F310" s="13" t="s">
        <v>121</v>
      </c>
      <c r="G310" s="13" t="s">
        <v>25</v>
      </c>
      <c r="H310" s="13" t="s">
        <v>26</v>
      </c>
      <c r="I310" t="s">
        <v>27</v>
      </c>
      <c r="J310" s="13" t="s">
        <v>28</v>
      </c>
      <c r="K310" s="13" t="s">
        <v>29</v>
      </c>
      <c r="L310" s="13" t="s">
        <v>30</v>
      </c>
      <c r="M310" t="s">
        <v>31</v>
      </c>
      <c r="N310">
        <v>709</v>
      </c>
      <c r="O310" s="14">
        <v>6.0034395894035697E-2</v>
      </c>
      <c r="P310" s="14">
        <v>0.43010397930629601</v>
      </c>
      <c r="Q310" t="str">
        <f t="shared" si="8"/>
        <v>&lt;01</v>
      </c>
      <c r="R310" t="str">
        <f t="shared" si="9"/>
        <v>[vA4NcHxfMBq]|&lt;01|Female|TX_CURR_SUBNAT.R|CY2022Q4</v>
      </c>
    </row>
    <row r="311" spans="4:18" x14ac:dyDescent="0.2">
      <c r="D311" s="13" t="s">
        <v>119</v>
      </c>
      <c r="E311" s="13" t="s">
        <v>120</v>
      </c>
      <c r="F311" s="13" t="s">
        <v>121</v>
      </c>
      <c r="G311" s="13" t="s">
        <v>25</v>
      </c>
      <c r="H311" s="13" t="s">
        <v>26</v>
      </c>
      <c r="I311" t="s">
        <v>32</v>
      </c>
      <c r="J311" s="13" t="s">
        <v>33</v>
      </c>
      <c r="K311" s="13" t="s">
        <v>29</v>
      </c>
      <c r="L311" s="13" t="s">
        <v>30</v>
      </c>
      <c r="M311" t="s">
        <v>31</v>
      </c>
      <c r="N311">
        <v>944</v>
      </c>
      <c r="O311" s="14">
        <v>0.90888849156908702</v>
      </c>
      <c r="P311" s="14">
        <v>0.43010397930629601</v>
      </c>
      <c r="Q311" t="str">
        <f t="shared" si="8"/>
        <v>01-09</v>
      </c>
      <c r="R311" t="str">
        <f t="shared" si="9"/>
        <v>[vA4NcHxfMBq]|01-09|Female|TX_CURR_SUBNAT.R|CY2022Q4</v>
      </c>
    </row>
    <row r="312" spans="4:18" x14ac:dyDescent="0.2">
      <c r="D312" s="13" t="s">
        <v>119</v>
      </c>
      <c r="E312" s="13" t="s">
        <v>120</v>
      </c>
      <c r="F312" s="13" t="s">
        <v>121</v>
      </c>
      <c r="G312" s="13" t="s">
        <v>25</v>
      </c>
      <c r="H312" s="13" t="s">
        <v>26</v>
      </c>
      <c r="I312" t="s">
        <v>35</v>
      </c>
      <c r="J312" s="13" t="s">
        <v>36</v>
      </c>
      <c r="K312" s="13" t="s">
        <v>29</v>
      </c>
      <c r="L312" s="13" t="s">
        <v>30</v>
      </c>
      <c r="M312" t="s">
        <v>31</v>
      </c>
      <c r="N312">
        <v>1715</v>
      </c>
      <c r="O312" s="14">
        <v>0.138414511457086</v>
      </c>
      <c r="P312" s="14">
        <v>0.43010397930629601</v>
      </c>
      <c r="Q312" t="str">
        <f t="shared" si="8"/>
        <v>10-14</v>
      </c>
      <c r="R312" t="str">
        <f t="shared" si="9"/>
        <v>[vA4NcHxfMBq]|10-14|Female|TX_CURR_SUBNAT.R|CY2022Q4</v>
      </c>
    </row>
    <row r="313" spans="4:18" x14ac:dyDescent="0.2">
      <c r="D313" s="13" t="s">
        <v>119</v>
      </c>
      <c r="E313" s="13" t="s">
        <v>120</v>
      </c>
      <c r="F313" s="13" t="s">
        <v>121</v>
      </c>
      <c r="G313" s="13" t="s">
        <v>25</v>
      </c>
      <c r="H313" s="13" t="s">
        <v>26</v>
      </c>
      <c r="I313" t="s">
        <v>37</v>
      </c>
      <c r="J313" s="13" t="s">
        <v>38</v>
      </c>
      <c r="K313" s="13" t="s">
        <v>29</v>
      </c>
      <c r="L313" s="13" t="s">
        <v>30</v>
      </c>
      <c r="M313" t="s">
        <v>31</v>
      </c>
      <c r="N313">
        <v>933</v>
      </c>
      <c r="O313" s="14">
        <v>0.90527136134915098</v>
      </c>
      <c r="P313" s="14">
        <v>0.43010397930629601</v>
      </c>
      <c r="Q313" t="str">
        <f t="shared" si="8"/>
        <v>15-24</v>
      </c>
      <c r="R313" t="str">
        <f t="shared" si="9"/>
        <v>[vA4NcHxfMBq]|15-24|Female|TX_CURR_SUBNAT.R|CY2022Q4</v>
      </c>
    </row>
    <row r="314" spans="4:18" x14ac:dyDescent="0.2">
      <c r="D314" s="13" t="s">
        <v>119</v>
      </c>
      <c r="E314" s="13" t="s">
        <v>120</v>
      </c>
      <c r="F314" s="13" t="s">
        <v>121</v>
      </c>
      <c r="G314" s="13" t="s">
        <v>25</v>
      </c>
      <c r="H314" s="13" t="s">
        <v>26</v>
      </c>
      <c r="I314" t="s">
        <v>40</v>
      </c>
      <c r="J314" s="13" t="s">
        <v>41</v>
      </c>
      <c r="K314" s="13" t="s">
        <v>29</v>
      </c>
      <c r="L314" s="13" t="s">
        <v>30</v>
      </c>
      <c r="M314" t="s">
        <v>31</v>
      </c>
      <c r="N314">
        <v>1921</v>
      </c>
      <c r="O314" s="14">
        <v>0.30417516105808301</v>
      </c>
      <c r="P314" s="14">
        <v>0.43010397930629601</v>
      </c>
      <c r="Q314" t="str">
        <f t="shared" si="8"/>
        <v>25-34</v>
      </c>
      <c r="R314" t="str">
        <f t="shared" si="9"/>
        <v>[vA4NcHxfMBq]|25-34|Female|TX_CURR_SUBNAT.R|CY2022Q4</v>
      </c>
    </row>
    <row r="315" spans="4:18" x14ac:dyDescent="0.2">
      <c r="D315" s="13" t="s">
        <v>119</v>
      </c>
      <c r="E315" s="13" t="s">
        <v>120</v>
      </c>
      <c r="F315" s="13" t="s">
        <v>121</v>
      </c>
      <c r="G315" s="13" t="s">
        <v>25</v>
      </c>
      <c r="H315" s="13" t="s">
        <v>26</v>
      </c>
      <c r="I315" t="s">
        <v>42</v>
      </c>
      <c r="J315" s="13" t="s">
        <v>43</v>
      </c>
      <c r="K315" s="13" t="s">
        <v>29</v>
      </c>
      <c r="L315" s="13" t="s">
        <v>30</v>
      </c>
      <c r="M315" t="s">
        <v>31</v>
      </c>
      <c r="N315">
        <v>1947</v>
      </c>
      <c r="O315" s="14">
        <v>0.22887757164426101</v>
      </c>
      <c r="P315" s="14">
        <v>0.43010397930629601</v>
      </c>
      <c r="Q315" t="str">
        <f t="shared" si="8"/>
        <v>35-49</v>
      </c>
      <c r="R315" t="str">
        <f t="shared" si="9"/>
        <v>[vA4NcHxfMBq]|35-49|Female|TX_CURR_SUBNAT.R|CY2022Q4</v>
      </c>
    </row>
    <row r="316" spans="4:18" x14ac:dyDescent="0.2">
      <c r="D316" s="13" t="s">
        <v>119</v>
      </c>
      <c r="E316" s="13" t="s">
        <v>120</v>
      </c>
      <c r="F316" s="13" t="s">
        <v>121</v>
      </c>
      <c r="G316" s="13" t="s">
        <v>25</v>
      </c>
      <c r="H316" s="13" t="s">
        <v>26</v>
      </c>
      <c r="I316" t="s">
        <v>44</v>
      </c>
      <c r="J316" s="13" t="s">
        <v>45</v>
      </c>
      <c r="K316" s="13" t="s">
        <v>29</v>
      </c>
      <c r="L316" s="13" t="s">
        <v>30</v>
      </c>
      <c r="M316" t="s">
        <v>31</v>
      </c>
      <c r="N316">
        <v>591</v>
      </c>
      <c r="O316" s="14">
        <v>0.80563178774900701</v>
      </c>
      <c r="P316" s="14">
        <v>0.43010397930629601</v>
      </c>
      <c r="Q316" t="str">
        <f t="shared" si="8"/>
        <v>50+</v>
      </c>
      <c r="R316" t="str">
        <f t="shared" si="9"/>
        <v>[vA4NcHxfMBq]|50+|Female|TX_CURR_SUBNAT.R|CY2022Q4</v>
      </c>
    </row>
    <row r="317" spans="4:18" x14ac:dyDescent="0.2">
      <c r="D317" s="13" t="s">
        <v>119</v>
      </c>
      <c r="E317" s="13" t="s">
        <v>120</v>
      </c>
      <c r="F317" s="13" t="s">
        <v>121</v>
      </c>
      <c r="G317" s="13" t="s">
        <v>25</v>
      </c>
      <c r="H317" s="13" t="s">
        <v>26</v>
      </c>
      <c r="I317" t="s">
        <v>27</v>
      </c>
      <c r="J317" s="13" t="s">
        <v>28</v>
      </c>
      <c r="K317" s="13" t="s">
        <v>47</v>
      </c>
      <c r="L317" s="13" t="s">
        <v>48</v>
      </c>
      <c r="M317" t="s">
        <v>31</v>
      </c>
      <c r="N317">
        <v>1266</v>
      </c>
      <c r="O317" s="14">
        <v>7.1079358458518996E-2</v>
      </c>
      <c r="P317" s="14">
        <v>0.43010397930629601</v>
      </c>
      <c r="Q317" t="str">
        <f t="shared" si="8"/>
        <v>&lt;01</v>
      </c>
      <c r="R317" t="str">
        <f t="shared" si="9"/>
        <v>[vA4NcHxfMBq]|&lt;01|Male|TX_CURR_SUBNAT.R|CY2022Q4</v>
      </c>
    </row>
    <row r="318" spans="4:18" x14ac:dyDescent="0.2">
      <c r="D318" s="13" t="s">
        <v>119</v>
      </c>
      <c r="E318" s="13" t="s">
        <v>120</v>
      </c>
      <c r="F318" s="13" t="s">
        <v>121</v>
      </c>
      <c r="G318" s="13" t="s">
        <v>25</v>
      </c>
      <c r="H318" s="13" t="s">
        <v>26</v>
      </c>
      <c r="I318" t="s">
        <v>32</v>
      </c>
      <c r="J318" s="13" t="s">
        <v>33</v>
      </c>
      <c r="K318" s="13" t="s">
        <v>47</v>
      </c>
      <c r="L318" s="13" t="s">
        <v>48</v>
      </c>
      <c r="M318" t="s">
        <v>31</v>
      </c>
      <c r="N318">
        <v>735</v>
      </c>
      <c r="O318" s="14">
        <v>0.69675079197622802</v>
      </c>
      <c r="P318" s="14">
        <v>0.43010397930629601</v>
      </c>
      <c r="Q318" t="str">
        <f t="shared" si="8"/>
        <v>01-09</v>
      </c>
      <c r="R318" t="str">
        <f t="shared" si="9"/>
        <v>[vA4NcHxfMBq]|01-09|Male|TX_CURR_SUBNAT.R|CY2022Q4</v>
      </c>
    </row>
    <row r="319" spans="4:18" x14ac:dyDescent="0.2">
      <c r="D319" s="13" t="s">
        <v>119</v>
      </c>
      <c r="E319" s="13" t="s">
        <v>120</v>
      </c>
      <c r="F319" s="13" t="s">
        <v>121</v>
      </c>
      <c r="G319" s="13" t="s">
        <v>25</v>
      </c>
      <c r="H319" s="13" t="s">
        <v>26</v>
      </c>
      <c r="I319" t="s">
        <v>35</v>
      </c>
      <c r="J319" s="13" t="s">
        <v>36</v>
      </c>
      <c r="K319" s="13" t="s">
        <v>47</v>
      </c>
      <c r="L319" s="13" t="s">
        <v>48</v>
      </c>
      <c r="M319" t="s">
        <v>31</v>
      </c>
      <c r="N319">
        <v>1498</v>
      </c>
      <c r="O319" s="14">
        <v>0.92184143513441097</v>
      </c>
      <c r="P319" s="14">
        <v>0.43010397930629601</v>
      </c>
      <c r="Q319" t="str">
        <f t="shared" si="8"/>
        <v>10-14</v>
      </c>
      <c r="R319" t="str">
        <f t="shared" si="9"/>
        <v>[vA4NcHxfMBq]|10-14|Male|TX_CURR_SUBNAT.R|CY2022Q4</v>
      </c>
    </row>
    <row r="320" spans="4:18" x14ac:dyDescent="0.2">
      <c r="D320" s="13" t="s">
        <v>119</v>
      </c>
      <c r="E320" s="13" t="s">
        <v>120</v>
      </c>
      <c r="F320" s="13" t="s">
        <v>121</v>
      </c>
      <c r="G320" s="13" t="s">
        <v>25</v>
      </c>
      <c r="H320" s="13" t="s">
        <v>26</v>
      </c>
      <c r="I320" t="s">
        <v>37</v>
      </c>
      <c r="J320" s="13" t="s">
        <v>38</v>
      </c>
      <c r="K320" s="13" t="s">
        <v>47</v>
      </c>
      <c r="L320" s="13" t="s">
        <v>48</v>
      </c>
      <c r="M320" t="s">
        <v>31</v>
      </c>
      <c r="N320">
        <v>968</v>
      </c>
      <c r="O320" s="14">
        <v>0.33744717948138703</v>
      </c>
      <c r="P320" s="14">
        <v>0.43010397930629601</v>
      </c>
      <c r="Q320" t="str">
        <f t="shared" si="8"/>
        <v>15-24</v>
      </c>
      <c r="R320" t="str">
        <f t="shared" si="9"/>
        <v>[vA4NcHxfMBq]|15-24|Male|TX_CURR_SUBNAT.R|CY2022Q4</v>
      </c>
    </row>
    <row r="321" spans="4:18" x14ac:dyDescent="0.2">
      <c r="D321" s="13" t="s">
        <v>119</v>
      </c>
      <c r="E321" s="13" t="s">
        <v>120</v>
      </c>
      <c r="F321" s="13" t="s">
        <v>121</v>
      </c>
      <c r="G321" s="13" t="s">
        <v>25</v>
      </c>
      <c r="H321" s="13" t="s">
        <v>26</v>
      </c>
      <c r="I321" t="s">
        <v>40</v>
      </c>
      <c r="J321" s="13" t="s">
        <v>41</v>
      </c>
      <c r="K321" s="13" t="s">
        <v>47</v>
      </c>
      <c r="L321" s="13" t="s">
        <v>48</v>
      </c>
      <c r="M321" t="s">
        <v>31</v>
      </c>
      <c r="N321">
        <v>1938</v>
      </c>
      <c r="O321" s="14">
        <v>0.67750909039750695</v>
      </c>
      <c r="P321" s="14">
        <v>0.43010397930629601</v>
      </c>
      <c r="Q321" t="str">
        <f t="shared" si="8"/>
        <v>25-34</v>
      </c>
      <c r="R321" t="str">
        <f t="shared" si="9"/>
        <v>[vA4NcHxfMBq]|25-34|Male|TX_CURR_SUBNAT.R|CY2022Q4</v>
      </c>
    </row>
    <row r="322" spans="4:18" x14ac:dyDescent="0.2">
      <c r="D322" s="13" t="s">
        <v>119</v>
      </c>
      <c r="E322" s="13" t="s">
        <v>120</v>
      </c>
      <c r="F322" s="13" t="s">
        <v>121</v>
      </c>
      <c r="G322" s="13" t="s">
        <v>25</v>
      </c>
      <c r="H322" s="13" t="s">
        <v>26</v>
      </c>
      <c r="I322" t="s">
        <v>42</v>
      </c>
      <c r="J322" s="13" t="s">
        <v>43</v>
      </c>
      <c r="K322" s="13" t="s">
        <v>47</v>
      </c>
      <c r="L322" s="13" t="s">
        <v>48</v>
      </c>
      <c r="M322" t="s">
        <v>31</v>
      </c>
      <c r="N322">
        <v>1274</v>
      </c>
      <c r="O322" s="14">
        <v>4.7940781805664301E-2</v>
      </c>
      <c r="P322" s="14">
        <v>0.43010397930629601</v>
      </c>
      <c r="Q322" t="str">
        <f t="shared" ref="Q322:Q385" si="10">SUBSTITUTE(SUBSTITUTE($I322,CHAR(61),""),CHAR(34),"")</f>
        <v>35-49</v>
      </c>
      <c r="R322" t="str">
        <f t="shared" ref="R322:R385" si="11">IF($D322&lt;&gt;"","["&amp;$E322&amp;"]"&amp;"|"&amp;$Q322&amp;"|"&amp;$K322&amp;"|"&amp;$G322&amp;"|"&amp;IF($G322="TX_CURR_SUBNAT.R","CY2022Q4",$M322),"")</f>
        <v>[vA4NcHxfMBq]|35-49|Male|TX_CURR_SUBNAT.R|CY2022Q4</v>
      </c>
    </row>
    <row r="323" spans="4:18" x14ac:dyDescent="0.2">
      <c r="D323" s="13" t="s">
        <v>119</v>
      </c>
      <c r="E323" s="13" t="s">
        <v>120</v>
      </c>
      <c r="F323" s="13" t="s">
        <v>121</v>
      </c>
      <c r="G323" s="13" t="s">
        <v>25</v>
      </c>
      <c r="H323" s="13" t="s">
        <v>26</v>
      </c>
      <c r="I323" t="s">
        <v>44</v>
      </c>
      <c r="J323" s="13" t="s">
        <v>45</v>
      </c>
      <c r="K323" s="13" t="s">
        <v>47</v>
      </c>
      <c r="L323" s="13" t="s">
        <v>48</v>
      </c>
      <c r="M323" t="s">
        <v>31</v>
      </c>
      <c r="N323">
        <v>638</v>
      </c>
      <c r="O323" s="14">
        <v>5.1801455207169098E-2</v>
      </c>
      <c r="P323" s="14">
        <v>0.43010397930629601</v>
      </c>
      <c r="Q323" t="str">
        <f t="shared" si="10"/>
        <v>50+</v>
      </c>
      <c r="R323" t="str">
        <f t="shared" si="11"/>
        <v>[vA4NcHxfMBq]|50+|Male|TX_CURR_SUBNAT.R|CY2022Q4</v>
      </c>
    </row>
    <row r="324" spans="4:18" x14ac:dyDescent="0.2">
      <c r="D324" s="13" t="s">
        <v>122</v>
      </c>
      <c r="E324" s="13" t="s">
        <v>123</v>
      </c>
      <c r="F324" s="13" t="s">
        <v>124</v>
      </c>
      <c r="G324" s="13" t="s">
        <v>25</v>
      </c>
      <c r="H324" s="13" t="s">
        <v>26</v>
      </c>
      <c r="I324" t="s">
        <v>27</v>
      </c>
      <c r="J324" s="13" t="s">
        <v>28</v>
      </c>
      <c r="K324" s="13" t="s">
        <v>29</v>
      </c>
      <c r="L324" s="13" t="s">
        <v>30</v>
      </c>
      <c r="M324" t="s">
        <v>31</v>
      </c>
      <c r="N324">
        <v>962</v>
      </c>
      <c r="O324" s="14">
        <v>0.785262462915853</v>
      </c>
      <c r="P324" s="14">
        <v>0.41950060334056599</v>
      </c>
      <c r="Q324" t="str">
        <f t="shared" si="10"/>
        <v>&lt;01</v>
      </c>
      <c r="R324" t="str">
        <f t="shared" si="11"/>
        <v>[E7zpfyBt7Tw]|&lt;01|Female|TX_CURR_SUBNAT.R|CY2022Q4</v>
      </c>
    </row>
    <row r="325" spans="4:18" x14ac:dyDescent="0.2">
      <c r="D325" s="13" t="s">
        <v>122</v>
      </c>
      <c r="E325" s="13" t="s">
        <v>123</v>
      </c>
      <c r="F325" s="13" t="s">
        <v>124</v>
      </c>
      <c r="G325" s="13" t="s">
        <v>25</v>
      </c>
      <c r="H325" s="13" t="s">
        <v>26</v>
      </c>
      <c r="I325" t="s">
        <v>32</v>
      </c>
      <c r="J325" s="13" t="s">
        <v>33</v>
      </c>
      <c r="K325" s="13" t="s">
        <v>29</v>
      </c>
      <c r="L325" s="13" t="s">
        <v>30</v>
      </c>
      <c r="M325" t="s">
        <v>31</v>
      </c>
      <c r="N325">
        <v>1536</v>
      </c>
      <c r="O325" s="14">
        <v>0.130263086408377</v>
      </c>
      <c r="P325" s="14">
        <v>0.41950060334056599</v>
      </c>
      <c r="Q325" t="str">
        <f t="shared" si="10"/>
        <v>01-09</v>
      </c>
      <c r="R325" t="str">
        <f t="shared" si="11"/>
        <v>[E7zpfyBt7Tw]|01-09|Female|TX_CURR_SUBNAT.R|CY2022Q4</v>
      </c>
    </row>
    <row r="326" spans="4:18" x14ac:dyDescent="0.2">
      <c r="D326" s="13" t="s">
        <v>122</v>
      </c>
      <c r="E326" s="13" t="s">
        <v>123</v>
      </c>
      <c r="F326" s="13" t="s">
        <v>124</v>
      </c>
      <c r="G326" s="13" t="s">
        <v>25</v>
      </c>
      <c r="H326" s="13" t="s">
        <v>26</v>
      </c>
      <c r="I326" t="s">
        <v>35</v>
      </c>
      <c r="J326" s="13" t="s">
        <v>36</v>
      </c>
      <c r="K326" s="13" t="s">
        <v>29</v>
      </c>
      <c r="L326" s="13" t="s">
        <v>30</v>
      </c>
      <c r="M326" t="s">
        <v>31</v>
      </c>
      <c r="N326">
        <v>1894</v>
      </c>
      <c r="O326" s="14">
        <v>5.0515167415142101E-2</v>
      </c>
      <c r="P326" s="14">
        <v>0.41950060334056599</v>
      </c>
      <c r="Q326" t="str">
        <f t="shared" si="10"/>
        <v>10-14</v>
      </c>
      <c r="R326" t="str">
        <f t="shared" si="11"/>
        <v>[E7zpfyBt7Tw]|10-14|Female|TX_CURR_SUBNAT.R|CY2022Q4</v>
      </c>
    </row>
    <row r="327" spans="4:18" x14ac:dyDescent="0.2">
      <c r="D327" s="13" t="s">
        <v>122</v>
      </c>
      <c r="E327" s="13" t="s">
        <v>123</v>
      </c>
      <c r="F327" s="13" t="s">
        <v>124</v>
      </c>
      <c r="G327" s="13" t="s">
        <v>25</v>
      </c>
      <c r="H327" s="13" t="s">
        <v>26</v>
      </c>
      <c r="I327" t="s">
        <v>37</v>
      </c>
      <c r="J327" s="13" t="s">
        <v>38</v>
      </c>
      <c r="K327" s="13" t="s">
        <v>29</v>
      </c>
      <c r="L327" s="13" t="s">
        <v>30</v>
      </c>
      <c r="M327" t="s">
        <v>31</v>
      </c>
      <c r="N327">
        <v>1936</v>
      </c>
      <c r="O327" s="14">
        <v>0.55305432993918702</v>
      </c>
      <c r="P327" s="14">
        <v>0.41950060334056599</v>
      </c>
      <c r="Q327" t="str">
        <f t="shared" si="10"/>
        <v>15-24</v>
      </c>
      <c r="R327" t="str">
        <f t="shared" si="11"/>
        <v>[E7zpfyBt7Tw]|15-24|Female|TX_CURR_SUBNAT.R|CY2022Q4</v>
      </c>
    </row>
    <row r="328" spans="4:18" x14ac:dyDescent="0.2">
      <c r="D328" s="13" t="s">
        <v>122</v>
      </c>
      <c r="E328" s="13" t="s">
        <v>123</v>
      </c>
      <c r="F328" s="13" t="s">
        <v>124</v>
      </c>
      <c r="G328" s="13" t="s">
        <v>25</v>
      </c>
      <c r="H328" s="13" t="s">
        <v>26</v>
      </c>
      <c r="I328" t="s">
        <v>40</v>
      </c>
      <c r="J328" s="13" t="s">
        <v>41</v>
      </c>
      <c r="K328" s="13" t="s">
        <v>29</v>
      </c>
      <c r="L328" s="13" t="s">
        <v>30</v>
      </c>
      <c r="M328" t="s">
        <v>31</v>
      </c>
      <c r="N328">
        <v>1709</v>
      </c>
      <c r="O328" s="14">
        <v>0.51528843445703398</v>
      </c>
      <c r="P328" s="14">
        <v>0.41950060334056599</v>
      </c>
      <c r="Q328" t="str">
        <f t="shared" si="10"/>
        <v>25-34</v>
      </c>
      <c r="R328" t="str">
        <f t="shared" si="11"/>
        <v>[E7zpfyBt7Tw]|25-34|Female|TX_CURR_SUBNAT.R|CY2022Q4</v>
      </c>
    </row>
    <row r="329" spans="4:18" x14ac:dyDescent="0.2">
      <c r="D329" s="13" t="s">
        <v>122</v>
      </c>
      <c r="E329" s="13" t="s">
        <v>123</v>
      </c>
      <c r="F329" s="13" t="s">
        <v>124</v>
      </c>
      <c r="G329" s="13" t="s">
        <v>25</v>
      </c>
      <c r="H329" s="13" t="s">
        <v>26</v>
      </c>
      <c r="I329" t="s">
        <v>42</v>
      </c>
      <c r="J329" s="13" t="s">
        <v>43</v>
      </c>
      <c r="K329" s="13" t="s">
        <v>29</v>
      </c>
      <c r="L329" s="13" t="s">
        <v>30</v>
      </c>
      <c r="M329" t="s">
        <v>31</v>
      </c>
      <c r="N329">
        <v>893</v>
      </c>
      <c r="O329" s="14">
        <v>0.35446665575727798</v>
      </c>
      <c r="P329" s="14">
        <v>0.41950060334056599</v>
      </c>
      <c r="Q329" t="str">
        <f t="shared" si="10"/>
        <v>35-49</v>
      </c>
      <c r="R329" t="str">
        <f t="shared" si="11"/>
        <v>[E7zpfyBt7Tw]|35-49|Female|TX_CURR_SUBNAT.R|CY2022Q4</v>
      </c>
    </row>
    <row r="330" spans="4:18" x14ac:dyDescent="0.2">
      <c r="D330" s="13" t="s">
        <v>122</v>
      </c>
      <c r="E330" s="13" t="s">
        <v>123</v>
      </c>
      <c r="F330" s="13" t="s">
        <v>124</v>
      </c>
      <c r="G330" s="13" t="s">
        <v>25</v>
      </c>
      <c r="H330" s="13" t="s">
        <v>26</v>
      </c>
      <c r="I330" t="s">
        <v>44</v>
      </c>
      <c r="J330" s="13" t="s">
        <v>45</v>
      </c>
      <c r="K330" s="13" t="s">
        <v>29</v>
      </c>
      <c r="L330" s="13" t="s">
        <v>30</v>
      </c>
      <c r="M330" t="s">
        <v>31</v>
      </c>
      <c r="N330">
        <v>911</v>
      </c>
      <c r="O330" s="14">
        <v>0.94843299803323999</v>
      </c>
      <c r="P330" s="14">
        <v>0.41950060334056599</v>
      </c>
      <c r="Q330" t="str">
        <f t="shared" si="10"/>
        <v>50+</v>
      </c>
      <c r="R330" t="str">
        <f t="shared" si="11"/>
        <v>[E7zpfyBt7Tw]|50+|Female|TX_CURR_SUBNAT.R|CY2022Q4</v>
      </c>
    </row>
    <row r="331" spans="4:18" x14ac:dyDescent="0.2">
      <c r="D331" s="13" t="s">
        <v>122</v>
      </c>
      <c r="E331" s="13" t="s">
        <v>123</v>
      </c>
      <c r="F331" s="13" t="s">
        <v>124</v>
      </c>
      <c r="G331" s="13" t="s">
        <v>25</v>
      </c>
      <c r="H331" s="13" t="s">
        <v>26</v>
      </c>
      <c r="I331" t="s">
        <v>27</v>
      </c>
      <c r="J331" s="13" t="s">
        <v>28</v>
      </c>
      <c r="K331" s="13" t="s">
        <v>47</v>
      </c>
      <c r="L331" s="13" t="s">
        <v>48</v>
      </c>
      <c r="M331" t="s">
        <v>31</v>
      </c>
      <c r="N331">
        <v>547</v>
      </c>
      <c r="O331" s="14">
        <v>0.72324397414922703</v>
      </c>
      <c r="P331" s="14">
        <v>0.41950060334056599</v>
      </c>
      <c r="Q331" t="str">
        <f t="shared" si="10"/>
        <v>&lt;01</v>
      </c>
      <c r="R331" t="str">
        <f t="shared" si="11"/>
        <v>[E7zpfyBt7Tw]|&lt;01|Male|TX_CURR_SUBNAT.R|CY2022Q4</v>
      </c>
    </row>
    <row r="332" spans="4:18" x14ac:dyDescent="0.2">
      <c r="D332" s="13" t="s">
        <v>122</v>
      </c>
      <c r="E332" s="13" t="s">
        <v>123</v>
      </c>
      <c r="F332" s="13" t="s">
        <v>124</v>
      </c>
      <c r="G332" s="13" t="s">
        <v>25</v>
      </c>
      <c r="H332" s="13" t="s">
        <v>26</v>
      </c>
      <c r="I332" t="s">
        <v>32</v>
      </c>
      <c r="J332" s="13" t="s">
        <v>33</v>
      </c>
      <c r="K332" s="13" t="s">
        <v>47</v>
      </c>
      <c r="L332" s="13" t="s">
        <v>48</v>
      </c>
      <c r="M332" t="s">
        <v>31</v>
      </c>
      <c r="N332">
        <v>1088</v>
      </c>
      <c r="O332" s="14">
        <v>0.50659240176901199</v>
      </c>
      <c r="P332" s="14">
        <v>0.41950060334056599</v>
      </c>
      <c r="Q332" t="str">
        <f t="shared" si="10"/>
        <v>01-09</v>
      </c>
      <c r="R332" t="str">
        <f t="shared" si="11"/>
        <v>[E7zpfyBt7Tw]|01-09|Male|TX_CURR_SUBNAT.R|CY2022Q4</v>
      </c>
    </row>
    <row r="333" spans="4:18" x14ac:dyDescent="0.2">
      <c r="D333" s="13" t="s">
        <v>122</v>
      </c>
      <c r="E333" s="13" t="s">
        <v>123</v>
      </c>
      <c r="F333" s="13" t="s">
        <v>124</v>
      </c>
      <c r="G333" s="13" t="s">
        <v>25</v>
      </c>
      <c r="H333" s="13" t="s">
        <v>26</v>
      </c>
      <c r="I333" t="s">
        <v>35</v>
      </c>
      <c r="J333" s="13" t="s">
        <v>36</v>
      </c>
      <c r="K333" s="13" t="s">
        <v>47</v>
      </c>
      <c r="L333" s="13" t="s">
        <v>48</v>
      </c>
      <c r="M333" t="s">
        <v>31</v>
      </c>
      <c r="N333">
        <v>768</v>
      </c>
      <c r="O333" s="14">
        <v>2.3317362414672999E-2</v>
      </c>
      <c r="P333" s="14">
        <v>0.41950060334056599</v>
      </c>
      <c r="Q333" t="str">
        <f t="shared" si="10"/>
        <v>10-14</v>
      </c>
      <c r="R333" t="str">
        <f t="shared" si="11"/>
        <v>[E7zpfyBt7Tw]|10-14|Male|TX_CURR_SUBNAT.R|CY2022Q4</v>
      </c>
    </row>
    <row r="334" spans="4:18" x14ac:dyDescent="0.2">
      <c r="D334" s="13" t="s">
        <v>122</v>
      </c>
      <c r="E334" s="13" t="s">
        <v>123</v>
      </c>
      <c r="F334" s="13" t="s">
        <v>124</v>
      </c>
      <c r="G334" s="13" t="s">
        <v>25</v>
      </c>
      <c r="H334" s="13" t="s">
        <v>26</v>
      </c>
      <c r="I334" t="s">
        <v>37</v>
      </c>
      <c r="J334" s="13" t="s">
        <v>38</v>
      </c>
      <c r="K334" s="13" t="s">
        <v>47</v>
      </c>
      <c r="L334" s="13" t="s">
        <v>48</v>
      </c>
      <c r="M334" t="s">
        <v>31</v>
      </c>
      <c r="N334">
        <v>1142</v>
      </c>
      <c r="O334" s="14">
        <v>0.48169146012514802</v>
      </c>
      <c r="P334" s="14">
        <v>0.41950060334056599</v>
      </c>
      <c r="Q334" t="str">
        <f t="shared" si="10"/>
        <v>15-24</v>
      </c>
      <c r="R334" t="str">
        <f t="shared" si="11"/>
        <v>[E7zpfyBt7Tw]|15-24|Male|TX_CURR_SUBNAT.R|CY2022Q4</v>
      </c>
    </row>
    <row r="335" spans="4:18" x14ac:dyDescent="0.2">
      <c r="D335" s="13" t="s">
        <v>122</v>
      </c>
      <c r="E335" s="13" t="s">
        <v>123</v>
      </c>
      <c r="F335" s="13" t="s">
        <v>124</v>
      </c>
      <c r="G335" s="13" t="s">
        <v>25</v>
      </c>
      <c r="H335" s="13" t="s">
        <v>26</v>
      </c>
      <c r="I335" t="s">
        <v>40</v>
      </c>
      <c r="J335" s="13" t="s">
        <v>41</v>
      </c>
      <c r="K335" s="13" t="s">
        <v>47</v>
      </c>
      <c r="L335" s="13" t="s">
        <v>48</v>
      </c>
      <c r="M335" t="s">
        <v>31</v>
      </c>
      <c r="N335">
        <v>1211</v>
      </c>
      <c r="O335" s="14">
        <v>0.435079675167799</v>
      </c>
      <c r="P335" s="14">
        <v>0.41950060334056599</v>
      </c>
      <c r="Q335" t="str">
        <f t="shared" si="10"/>
        <v>25-34</v>
      </c>
      <c r="R335" t="str">
        <f t="shared" si="11"/>
        <v>[E7zpfyBt7Tw]|25-34|Male|TX_CURR_SUBNAT.R|CY2022Q4</v>
      </c>
    </row>
    <row r="336" spans="4:18" x14ac:dyDescent="0.2">
      <c r="D336" s="13" t="s">
        <v>122</v>
      </c>
      <c r="E336" s="13" t="s">
        <v>123</v>
      </c>
      <c r="F336" s="13" t="s">
        <v>124</v>
      </c>
      <c r="G336" s="13" t="s">
        <v>25</v>
      </c>
      <c r="H336" s="13" t="s">
        <v>26</v>
      </c>
      <c r="I336" t="s">
        <v>42</v>
      </c>
      <c r="J336" s="13" t="s">
        <v>43</v>
      </c>
      <c r="K336" s="13" t="s">
        <v>47</v>
      </c>
      <c r="L336" s="13" t="s">
        <v>48</v>
      </c>
      <c r="M336" t="s">
        <v>31</v>
      </c>
      <c r="N336">
        <v>805</v>
      </c>
      <c r="O336" s="14">
        <v>0.32106795185245601</v>
      </c>
      <c r="P336" s="14">
        <v>0.41950060334056599</v>
      </c>
      <c r="Q336" t="str">
        <f t="shared" si="10"/>
        <v>35-49</v>
      </c>
      <c r="R336" t="str">
        <f t="shared" si="11"/>
        <v>[E7zpfyBt7Tw]|35-49|Male|TX_CURR_SUBNAT.R|CY2022Q4</v>
      </c>
    </row>
    <row r="337" spans="4:18" x14ac:dyDescent="0.2">
      <c r="D337" s="13" t="s">
        <v>122</v>
      </c>
      <c r="E337" s="13" t="s">
        <v>123</v>
      </c>
      <c r="F337" s="13" t="s">
        <v>124</v>
      </c>
      <c r="G337" s="13" t="s">
        <v>25</v>
      </c>
      <c r="H337" s="13" t="s">
        <v>26</v>
      </c>
      <c r="I337" t="s">
        <v>44</v>
      </c>
      <c r="J337" s="13" t="s">
        <v>45</v>
      </c>
      <c r="K337" s="13" t="s">
        <v>47</v>
      </c>
      <c r="L337" s="13" t="s">
        <v>48</v>
      </c>
      <c r="M337" t="s">
        <v>31</v>
      </c>
      <c r="N337">
        <v>1303</v>
      </c>
      <c r="O337" s="14">
        <v>0.99808142636902597</v>
      </c>
      <c r="P337" s="14">
        <v>0.41950060334056599</v>
      </c>
      <c r="Q337" t="str">
        <f t="shared" si="10"/>
        <v>50+</v>
      </c>
      <c r="R337" t="str">
        <f t="shared" si="11"/>
        <v>[E7zpfyBt7Tw]|50+|Male|TX_CURR_SUBNAT.R|CY2022Q4</v>
      </c>
    </row>
    <row r="338" spans="4:18" x14ac:dyDescent="0.2">
      <c r="D338" s="13" t="s">
        <v>125</v>
      </c>
      <c r="E338" s="13" t="s">
        <v>126</v>
      </c>
      <c r="F338" s="13" t="s">
        <v>127</v>
      </c>
      <c r="G338" s="13" t="s">
        <v>25</v>
      </c>
      <c r="H338" s="13" t="s">
        <v>26</v>
      </c>
      <c r="I338" t="s">
        <v>27</v>
      </c>
      <c r="J338" s="13" t="s">
        <v>28</v>
      </c>
      <c r="K338" s="13" t="s">
        <v>29</v>
      </c>
      <c r="L338" s="13" t="s">
        <v>30</v>
      </c>
      <c r="M338" t="s">
        <v>31</v>
      </c>
      <c r="N338">
        <v>1838</v>
      </c>
      <c r="O338" s="14">
        <v>0.298087374772877</v>
      </c>
      <c r="P338" s="14">
        <v>0.25270639033988102</v>
      </c>
      <c r="Q338" t="str">
        <f t="shared" si="10"/>
        <v>&lt;01</v>
      </c>
      <c r="R338" t="str">
        <f t="shared" si="11"/>
        <v>[ZCjuwgaMB9u]|&lt;01|Female|TX_CURR_SUBNAT.R|CY2022Q4</v>
      </c>
    </row>
    <row r="339" spans="4:18" x14ac:dyDescent="0.2">
      <c r="D339" s="13" t="s">
        <v>125</v>
      </c>
      <c r="E339" s="13" t="s">
        <v>126</v>
      </c>
      <c r="F339" s="13" t="s">
        <v>127</v>
      </c>
      <c r="G339" s="13" t="s">
        <v>25</v>
      </c>
      <c r="H339" s="13" t="s">
        <v>26</v>
      </c>
      <c r="I339" t="s">
        <v>32</v>
      </c>
      <c r="J339" s="13" t="s">
        <v>33</v>
      </c>
      <c r="K339" s="13" t="s">
        <v>29</v>
      </c>
      <c r="L339" s="13" t="s">
        <v>30</v>
      </c>
      <c r="M339" t="s">
        <v>31</v>
      </c>
      <c r="N339">
        <v>1318</v>
      </c>
      <c r="O339" s="14">
        <v>0.58521699812263295</v>
      </c>
      <c r="P339" s="14">
        <v>0.25270639033988102</v>
      </c>
      <c r="Q339" t="str">
        <f t="shared" si="10"/>
        <v>01-09</v>
      </c>
      <c r="R339" t="str">
        <f t="shared" si="11"/>
        <v>[ZCjuwgaMB9u]|01-09|Female|TX_CURR_SUBNAT.R|CY2022Q4</v>
      </c>
    </row>
    <row r="340" spans="4:18" x14ac:dyDescent="0.2">
      <c r="D340" s="13" t="s">
        <v>125</v>
      </c>
      <c r="E340" s="13" t="s">
        <v>126</v>
      </c>
      <c r="F340" s="13" t="s">
        <v>127</v>
      </c>
      <c r="G340" s="13" t="s">
        <v>25</v>
      </c>
      <c r="H340" s="13" t="s">
        <v>26</v>
      </c>
      <c r="I340" t="s">
        <v>35</v>
      </c>
      <c r="J340" s="13" t="s">
        <v>36</v>
      </c>
      <c r="K340" s="13" t="s">
        <v>29</v>
      </c>
      <c r="L340" s="13" t="s">
        <v>30</v>
      </c>
      <c r="M340" t="s">
        <v>31</v>
      </c>
      <c r="N340">
        <v>1192</v>
      </c>
      <c r="O340" s="14">
        <v>0.75711542135104504</v>
      </c>
      <c r="P340" s="14">
        <v>0.25270639033988102</v>
      </c>
      <c r="Q340" t="str">
        <f t="shared" si="10"/>
        <v>10-14</v>
      </c>
      <c r="R340" t="str">
        <f t="shared" si="11"/>
        <v>[ZCjuwgaMB9u]|10-14|Female|TX_CURR_SUBNAT.R|CY2022Q4</v>
      </c>
    </row>
    <row r="341" spans="4:18" x14ac:dyDescent="0.2">
      <c r="D341" s="13" t="s">
        <v>125</v>
      </c>
      <c r="E341" s="13" t="s">
        <v>126</v>
      </c>
      <c r="F341" s="13" t="s">
        <v>127</v>
      </c>
      <c r="G341" s="13" t="s">
        <v>25</v>
      </c>
      <c r="H341" s="13" t="s">
        <v>26</v>
      </c>
      <c r="I341" t="s">
        <v>37</v>
      </c>
      <c r="J341" s="13" t="s">
        <v>38</v>
      </c>
      <c r="K341" s="13" t="s">
        <v>29</v>
      </c>
      <c r="L341" s="13" t="s">
        <v>30</v>
      </c>
      <c r="M341" t="s">
        <v>31</v>
      </c>
      <c r="N341">
        <v>1424</v>
      </c>
      <c r="O341" s="14">
        <v>0.131638823309913</v>
      </c>
      <c r="P341" s="14">
        <v>0.25270639033988102</v>
      </c>
      <c r="Q341" t="str">
        <f t="shared" si="10"/>
        <v>15-24</v>
      </c>
      <c r="R341" t="str">
        <f t="shared" si="11"/>
        <v>[ZCjuwgaMB9u]|15-24|Female|TX_CURR_SUBNAT.R|CY2022Q4</v>
      </c>
    </row>
    <row r="342" spans="4:18" x14ac:dyDescent="0.2">
      <c r="D342" s="13" t="s">
        <v>125</v>
      </c>
      <c r="E342" s="13" t="s">
        <v>126</v>
      </c>
      <c r="F342" s="13" t="s">
        <v>127</v>
      </c>
      <c r="G342" s="13" t="s">
        <v>25</v>
      </c>
      <c r="H342" s="13" t="s">
        <v>26</v>
      </c>
      <c r="I342" t="s">
        <v>40</v>
      </c>
      <c r="J342" s="13" t="s">
        <v>41</v>
      </c>
      <c r="K342" s="13" t="s">
        <v>29</v>
      </c>
      <c r="L342" s="13" t="s">
        <v>30</v>
      </c>
      <c r="M342" t="s">
        <v>31</v>
      </c>
      <c r="N342">
        <v>794</v>
      </c>
      <c r="O342" s="14">
        <v>0.242301965365186</v>
      </c>
      <c r="P342" s="14">
        <v>0.25270639033988102</v>
      </c>
      <c r="Q342" t="str">
        <f t="shared" si="10"/>
        <v>25-34</v>
      </c>
      <c r="R342" t="str">
        <f t="shared" si="11"/>
        <v>[ZCjuwgaMB9u]|25-34|Female|TX_CURR_SUBNAT.R|CY2022Q4</v>
      </c>
    </row>
    <row r="343" spans="4:18" x14ac:dyDescent="0.2">
      <c r="D343" s="13" t="s">
        <v>125</v>
      </c>
      <c r="E343" s="13" t="s">
        <v>126</v>
      </c>
      <c r="F343" s="13" t="s">
        <v>127</v>
      </c>
      <c r="G343" s="13" t="s">
        <v>25</v>
      </c>
      <c r="H343" s="13" t="s">
        <v>26</v>
      </c>
      <c r="I343" t="s">
        <v>42</v>
      </c>
      <c r="J343" s="13" t="s">
        <v>43</v>
      </c>
      <c r="K343" s="13" t="s">
        <v>29</v>
      </c>
      <c r="L343" s="13" t="s">
        <v>30</v>
      </c>
      <c r="M343" t="s">
        <v>31</v>
      </c>
      <c r="N343">
        <v>763</v>
      </c>
      <c r="O343" s="14">
        <v>0.485711466288194</v>
      </c>
      <c r="P343" s="14">
        <v>0.25270639033988102</v>
      </c>
      <c r="Q343" t="str">
        <f t="shared" si="10"/>
        <v>35-49</v>
      </c>
      <c r="R343" t="str">
        <f t="shared" si="11"/>
        <v>[ZCjuwgaMB9u]|35-49|Female|TX_CURR_SUBNAT.R|CY2022Q4</v>
      </c>
    </row>
    <row r="344" spans="4:18" x14ac:dyDescent="0.2">
      <c r="D344" s="13" t="s">
        <v>125</v>
      </c>
      <c r="E344" s="13" t="s">
        <v>126</v>
      </c>
      <c r="F344" s="13" t="s">
        <v>127</v>
      </c>
      <c r="G344" s="13" t="s">
        <v>25</v>
      </c>
      <c r="H344" s="13" t="s">
        <v>26</v>
      </c>
      <c r="I344" t="s">
        <v>44</v>
      </c>
      <c r="J344" s="13" t="s">
        <v>45</v>
      </c>
      <c r="K344" s="13" t="s">
        <v>29</v>
      </c>
      <c r="L344" s="13" t="s">
        <v>30</v>
      </c>
      <c r="M344" t="s">
        <v>31</v>
      </c>
      <c r="N344">
        <v>1097</v>
      </c>
      <c r="O344" s="14">
        <v>0.91491781291551899</v>
      </c>
      <c r="P344" s="14">
        <v>0.25270639033988102</v>
      </c>
      <c r="Q344" t="str">
        <f t="shared" si="10"/>
        <v>50+</v>
      </c>
      <c r="R344" t="str">
        <f t="shared" si="11"/>
        <v>[ZCjuwgaMB9u]|50+|Female|TX_CURR_SUBNAT.R|CY2022Q4</v>
      </c>
    </row>
    <row r="345" spans="4:18" x14ac:dyDescent="0.2">
      <c r="D345" s="13" t="s">
        <v>125</v>
      </c>
      <c r="E345" s="13" t="s">
        <v>126</v>
      </c>
      <c r="F345" s="13" t="s">
        <v>127</v>
      </c>
      <c r="G345" s="13" t="s">
        <v>25</v>
      </c>
      <c r="H345" s="13" t="s">
        <v>26</v>
      </c>
      <c r="I345" t="s">
        <v>27</v>
      </c>
      <c r="J345" s="13" t="s">
        <v>28</v>
      </c>
      <c r="K345" s="13" t="s">
        <v>47</v>
      </c>
      <c r="L345" s="13" t="s">
        <v>48</v>
      </c>
      <c r="M345" t="s">
        <v>31</v>
      </c>
      <c r="N345">
        <v>1391</v>
      </c>
      <c r="O345" s="14">
        <v>0.24100845959037501</v>
      </c>
      <c r="P345" s="14">
        <v>0.25270639033988102</v>
      </c>
      <c r="Q345" t="str">
        <f t="shared" si="10"/>
        <v>&lt;01</v>
      </c>
      <c r="R345" t="str">
        <f t="shared" si="11"/>
        <v>[ZCjuwgaMB9u]|&lt;01|Male|TX_CURR_SUBNAT.R|CY2022Q4</v>
      </c>
    </row>
    <row r="346" spans="4:18" x14ac:dyDescent="0.2">
      <c r="D346" s="13" t="s">
        <v>125</v>
      </c>
      <c r="E346" s="13" t="s">
        <v>126</v>
      </c>
      <c r="F346" s="13" t="s">
        <v>127</v>
      </c>
      <c r="G346" s="13" t="s">
        <v>25</v>
      </c>
      <c r="H346" s="13" t="s">
        <v>26</v>
      </c>
      <c r="I346" t="s">
        <v>32</v>
      </c>
      <c r="J346" s="13" t="s">
        <v>33</v>
      </c>
      <c r="K346" s="13" t="s">
        <v>47</v>
      </c>
      <c r="L346" s="13" t="s">
        <v>48</v>
      </c>
      <c r="M346" t="s">
        <v>31</v>
      </c>
      <c r="N346">
        <v>1816</v>
      </c>
      <c r="O346" s="14">
        <v>0.71190138673409797</v>
      </c>
      <c r="P346" s="14">
        <v>0.25270639033988102</v>
      </c>
      <c r="Q346" t="str">
        <f t="shared" si="10"/>
        <v>01-09</v>
      </c>
      <c r="R346" t="str">
        <f t="shared" si="11"/>
        <v>[ZCjuwgaMB9u]|01-09|Male|TX_CURR_SUBNAT.R|CY2022Q4</v>
      </c>
    </row>
    <row r="347" spans="4:18" x14ac:dyDescent="0.2">
      <c r="D347" s="13" t="s">
        <v>125</v>
      </c>
      <c r="E347" s="13" t="s">
        <v>126</v>
      </c>
      <c r="F347" s="13" t="s">
        <v>127</v>
      </c>
      <c r="G347" s="13" t="s">
        <v>25</v>
      </c>
      <c r="H347" s="13" t="s">
        <v>26</v>
      </c>
      <c r="I347" t="s">
        <v>35</v>
      </c>
      <c r="J347" s="13" t="s">
        <v>36</v>
      </c>
      <c r="K347" s="13" t="s">
        <v>47</v>
      </c>
      <c r="L347" s="13" t="s">
        <v>48</v>
      </c>
      <c r="M347" t="s">
        <v>31</v>
      </c>
      <c r="N347">
        <v>1816</v>
      </c>
      <c r="O347" s="14">
        <v>0.96983833378180895</v>
      </c>
      <c r="P347" s="14">
        <v>0.25270639033988102</v>
      </c>
      <c r="Q347" t="str">
        <f t="shared" si="10"/>
        <v>10-14</v>
      </c>
      <c r="R347" t="str">
        <f t="shared" si="11"/>
        <v>[ZCjuwgaMB9u]|10-14|Male|TX_CURR_SUBNAT.R|CY2022Q4</v>
      </c>
    </row>
    <row r="348" spans="4:18" x14ac:dyDescent="0.2">
      <c r="D348" s="13" t="s">
        <v>125</v>
      </c>
      <c r="E348" s="13" t="s">
        <v>126</v>
      </c>
      <c r="F348" s="13" t="s">
        <v>127</v>
      </c>
      <c r="G348" s="13" t="s">
        <v>25</v>
      </c>
      <c r="H348" s="13" t="s">
        <v>26</v>
      </c>
      <c r="I348" t="s">
        <v>37</v>
      </c>
      <c r="J348" s="13" t="s">
        <v>38</v>
      </c>
      <c r="K348" s="13" t="s">
        <v>47</v>
      </c>
      <c r="L348" s="13" t="s">
        <v>48</v>
      </c>
      <c r="M348" t="s">
        <v>31</v>
      </c>
      <c r="N348">
        <v>1973</v>
      </c>
      <c r="O348" s="14">
        <v>0.264615509193391</v>
      </c>
      <c r="P348" s="14">
        <v>0.25270639033988102</v>
      </c>
      <c r="Q348" t="str">
        <f t="shared" si="10"/>
        <v>15-24</v>
      </c>
      <c r="R348" t="str">
        <f t="shared" si="11"/>
        <v>[ZCjuwgaMB9u]|15-24|Male|TX_CURR_SUBNAT.R|CY2022Q4</v>
      </c>
    </row>
    <row r="349" spans="4:18" x14ac:dyDescent="0.2">
      <c r="D349" s="13" t="s">
        <v>125</v>
      </c>
      <c r="E349" s="13" t="s">
        <v>126</v>
      </c>
      <c r="F349" s="13" t="s">
        <v>127</v>
      </c>
      <c r="G349" s="13" t="s">
        <v>25</v>
      </c>
      <c r="H349" s="13" t="s">
        <v>26</v>
      </c>
      <c r="I349" t="s">
        <v>40</v>
      </c>
      <c r="J349" s="13" t="s">
        <v>41</v>
      </c>
      <c r="K349" s="13" t="s">
        <v>47</v>
      </c>
      <c r="L349" s="13" t="s">
        <v>48</v>
      </c>
      <c r="M349" t="s">
        <v>31</v>
      </c>
      <c r="N349">
        <v>916</v>
      </c>
      <c r="O349" s="14">
        <v>0.215865201083943</v>
      </c>
      <c r="P349" s="14">
        <v>0.25270639033988102</v>
      </c>
      <c r="Q349" t="str">
        <f t="shared" si="10"/>
        <v>25-34</v>
      </c>
      <c r="R349" t="str">
        <f t="shared" si="11"/>
        <v>[ZCjuwgaMB9u]|25-34|Male|TX_CURR_SUBNAT.R|CY2022Q4</v>
      </c>
    </row>
    <row r="350" spans="4:18" x14ac:dyDescent="0.2">
      <c r="D350" s="13" t="s">
        <v>125</v>
      </c>
      <c r="E350" s="13" t="s">
        <v>126</v>
      </c>
      <c r="F350" s="13" t="s">
        <v>127</v>
      </c>
      <c r="G350" s="13" t="s">
        <v>25</v>
      </c>
      <c r="H350" s="13" t="s">
        <v>26</v>
      </c>
      <c r="I350" t="s">
        <v>42</v>
      </c>
      <c r="J350" s="13" t="s">
        <v>43</v>
      </c>
      <c r="K350" s="13" t="s">
        <v>47</v>
      </c>
      <c r="L350" s="13" t="s">
        <v>48</v>
      </c>
      <c r="M350" t="s">
        <v>31</v>
      </c>
      <c r="N350">
        <v>1162</v>
      </c>
      <c r="O350" s="14">
        <v>0.54140295088291202</v>
      </c>
      <c r="P350" s="14">
        <v>0.25270639033988102</v>
      </c>
      <c r="Q350" t="str">
        <f t="shared" si="10"/>
        <v>35-49</v>
      </c>
      <c r="R350" t="str">
        <f t="shared" si="11"/>
        <v>[ZCjuwgaMB9u]|35-49|Male|TX_CURR_SUBNAT.R|CY2022Q4</v>
      </c>
    </row>
    <row r="351" spans="4:18" x14ac:dyDescent="0.2">
      <c r="D351" s="13" t="s">
        <v>125</v>
      </c>
      <c r="E351" s="13" t="s">
        <v>126</v>
      </c>
      <c r="F351" s="13" t="s">
        <v>127</v>
      </c>
      <c r="G351" s="13" t="s">
        <v>25</v>
      </c>
      <c r="H351" s="13" t="s">
        <v>26</v>
      </c>
      <c r="I351" t="s">
        <v>44</v>
      </c>
      <c r="J351" s="13" t="s">
        <v>45</v>
      </c>
      <c r="K351" s="13" t="s">
        <v>47</v>
      </c>
      <c r="L351" s="13" t="s">
        <v>48</v>
      </c>
      <c r="M351" t="s">
        <v>31</v>
      </c>
      <c r="N351">
        <v>1514</v>
      </c>
      <c r="O351" s="14">
        <v>0.88145789643749595</v>
      </c>
      <c r="P351" s="14">
        <v>0.25270639033988102</v>
      </c>
      <c r="Q351" t="str">
        <f t="shared" si="10"/>
        <v>50+</v>
      </c>
      <c r="R351" t="str">
        <f t="shared" si="11"/>
        <v>[ZCjuwgaMB9u]|50+|Male|TX_CURR_SUBNAT.R|CY2022Q4</v>
      </c>
    </row>
    <row r="352" spans="4:18" x14ac:dyDescent="0.2">
      <c r="D352" s="13" t="s">
        <v>128</v>
      </c>
      <c r="E352" s="13" t="s">
        <v>129</v>
      </c>
      <c r="F352" s="13" t="s">
        <v>130</v>
      </c>
      <c r="G352" s="13" t="s">
        <v>25</v>
      </c>
      <c r="H352" s="13" t="s">
        <v>26</v>
      </c>
      <c r="I352" t="s">
        <v>27</v>
      </c>
      <c r="J352" s="13" t="s">
        <v>28</v>
      </c>
      <c r="K352" s="13" t="s">
        <v>29</v>
      </c>
      <c r="L352" s="13" t="s">
        <v>30</v>
      </c>
      <c r="M352" t="s">
        <v>31</v>
      </c>
      <c r="N352">
        <v>885</v>
      </c>
      <c r="O352" s="14">
        <v>0.63129235920496296</v>
      </c>
      <c r="P352" s="14">
        <v>0.55690808477811504</v>
      </c>
      <c r="Q352" t="str">
        <f t="shared" si="10"/>
        <v>&lt;01</v>
      </c>
      <c r="R352" t="str">
        <f t="shared" si="11"/>
        <v>[YCKiBAp8QAg]|&lt;01|Female|TX_CURR_SUBNAT.R|CY2022Q4</v>
      </c>
    </row>
    <row r="353" spans="4:18" x14ac:dyDescent="0.2">
      <c r="D353" s="13" t="s">
        <v>128</v>
      </c>
      <c r="E353" s="13" t="s">
        <v>129</v>
      </c>
      <c r="F353" s="13" t="s">
        <v>130</v>
      </c>
      <c r="G353" s="13" t="s">
        <v>25</v>
      </c>
      <c r="H353" s="13" t="s">
        <v>26</v>
      </c>
      <c r="I353" t="s">
        <v>32</v>
      </c>
      <c r="J353" s="13" t="s">
        <v>33</v>
      </c>
      <c r="K353" s="13" t="s">
        <v>29</v>
      </c>
      <c r="L353" s="13" t="s">
        <v>30</v>
      </c>
      <c r="M353" t="s">
        <v>31</v>
      </c>
      <c r="N353">
        <v>1857</v>
      </c>
      <c r="O353" s="14">
        <v>0.92327619181014597</v>
      </c>
      <c r="P353" s="14">
        <v>0.55690808477811504</v>
      </c>
      <c r="Q353" t="str">
        <f t="shared" si="10"/>
        <v>01-09</v>
      </c>
      <c r="R353" t="str">
        <f t="shared" si="11"/>
        <v>[YCKiBAp8QAg]|01-09|Female|TX_CURR_SUBNAT.R|CY2022Q4</v>
      </c>
    </row>
    <row r="354" spans="4:18" x14ac:dyDescent="0.2">
      <c r="D354" s="13" t="s">
        <v>128</v>
      </c>
      <c r="E354" s="13" t="s">
        <v>129</v>
      </c>
      <c r="F354" s="13" t="s">
        <v>130</v>
      </c>
      <c r="G354" s="13" t="s">
        <v>25</v>
      </c>
      <c r="H354" s="13" t="s">
        <v>26</v>
      </c>
      <c r="I354" t="s">
        <v>35</v>
      </c>
      <c r="J354" s="13" t="s">
        <v>36</v>
      </c>
      <c r="K354" s="13" t="s">
        <v>29</v>
      </c>
      <c r="L354" s="13" t="s">
        <v>30</v>
      </c>
      <c r="M354" t="s">
        <v>31</v>
      </c>
      <c r="N354">
        <v>1270</v>
      </c>
      <c r="O354" s="14">
        <v>0.66810935339890398</v>
      </c>
      <c r="P354" s="14">
        <v>0.55690808477811504</v>
      </c>
      <c r="Q354" t="str">
        <f t="shared" si="10"/>
        <v>10-14</v>
      </c>
      <c r="R354" t="str">
        <f t="shared" si="11"/>
        <v>[YCKiBAp8QAg]|10-14|Female|TX_CURR_SUBNAT.R|CY2022Q4</v>
      </c>
    </row>
    <row r="355" spans="4:18" x14ac:dyDescent="0.2">
      <c r="D355" s="13" t="s">
        <v>128</v>
      </c>
      <c r="E355" s="13" t="s">
        <v>129</v>
      </c>
      <c r="F355" s="13" t="s">
        <v>130</v>
      </c>
      <c r="G355" s="13" t="s">
        <v>25</v>
      </c>
      <c r="H355" s="13" t="s">
        <v>26</v>
      </c>
      <c r="I355" t="s">
        <v>37</v>
      </c>
      <c r="J355" s="13" t="s">
        <v>38</v>
      </c>
      <c r="K355" s="13" t="s">
        <v>29</v>
      </c>
      <c r="L355" s="13" t="s">
        <v>30</v>
      </c>
      <c r="M355" t="s">
        <v>31</v>
      </c>
      <c r="N355">
        <v>944</v>
      </c>
      <c r="O355" s="14">
        <v>0.73110875976271905</v>
      </c>
      <c r="P355" s="14">
        <v>0.55690808477811504</v>
      </c>
      <c r="Q355" t="str">
        <f t="shared" si="10"/>
        <v>15-24</v>
      </c>
      <c r="R355" t="str">
        <f t="shared" si="11"/>
        <v>[YCKiBAp8QAg]|15-24|Female|TX_CURR_SUBNAT.R|CY2022Q4</v>
      </c>
    </row>
    <row r="356" spans="4:18" x14ac:dyDescent="0.2">
      <c r="D356" s="13" t="s">
        <v>128</v>
      </c>
      <c r="E356" s="13" t="s">
        <v>129</v>
      </c>
      <c r="F356" s="13" t="s">
        <v>130</v>
      </c>
      <c r="G356" s="13" t="s">
        <v>25</v>
      </c>
      <c r="H356" s="13" t="s">
        <v>26</v>
      </c>
      <c r="I356" t="s">
        <v>40</v>
      </c>
      <c r="J356" s="13" t="s">
        <v>41</v>
      </c>
      <c r="K356" s="13" t="s">
        <v>29</v>
      </c>
      <c r="L356" s="13" t="s">
        <v>30</v>
      </c>
      <c r="M356" t="s">
        <v>31</v>
      </c>
      <c r="N356">
        <v>1802</v>
      </c>
      <c r="O356" s="14">
        <v>0.15254626818932601</v>
      </c>
      <c r="P356" s="14">
        <v>0.55690808477811504</v>
      </c>
      <c r="Q356" t="str">
        <f t="shared" si="10"/>
        <v>25-34</v>
      </c>
      <c r="R356" t="str">
        <f t="shared" si="11"/>
        <v>[YCKiBAp8QAg]|25-34|Female|TX_CURR_SUBNAT.R|CY2022Q4</v>
      </c>
    </row>
    <row r="357" spans="4:18" x14ac:dyDescent="0.2">
      <c r="D357" s="13" t="s">
        <v>128</v>
      </c>
      <c r="E357" s="13" t="s">
        <v>129</v>
      </c>
      <c r="F357" s="13" t="s">
        <v>130</v>
      </c>
      <c r="G357" s="13" t="s">
        <v>25</v>
      </c>
      <c r="H357" s="13" t="s">
        <v>26</v>
      </c>
      <c r="I357" t="s">
        <v>42</v>
      </c>
      <c r="J357" s="13" t="s">
        <v>43</v>
      </c>
      <c r="K357" s="13" t="s">
        <v>29</v>
      </c>
      <c r="L357" s="13" t="s">
        <v>30</v>
      </c>
      <c r="M357" t="s">
        <v>31</v>
      </c>
      <c r="N357">
        <v>717</v>
      </c>
      <c r="O357" s="14">
        <v>0.113677510293201</v>
      </c>
      <c r="P357" s="14">
        <v>0.55690808477811504</v>
      </c>
      <c r="Q357" t="str">
        <f t="shared" si="10"/>
        <v>35-49</v>
      </c>
      <c r="R357" t="str">
        <f t="shared" si="11"/>
        <v>[YCKiBAp8QAg]|35-49|Female|TX_CURR_SUBNAT.R|CY2022Q4</v>
      </c>
    </row>
    <row r="358" spans="4:18" x14ac:dyDescent="0.2">
      <c r="D358" s="13" t="s">
        <v>128</v>
      </c>
      <c r="E358" s="13" t="s">
        <v>129</v>
      </c>
      <c r="F358" s="13" t="s">
        <v>130</v>
      </c>
      <c r="G358" s="13" t="s">
        <v>25</v>
      </c>
      <c r="H358" s="13" t="s">
        <v>26</v>
      </c>
      <c r="I358" t="s">
        <v>44</v>
      </c>
      <c r="J358" s="13" t="s">
        <v>45</v>
      </c>
      <c r="K358" s="13" t="s">
        <v>29</v>
      </c>
      <c r="L358" s="13" t="s">
        <v>30</v>
      </c>
      <c r="M358" t="s">
        <v>31</v>
      </c>
      <c r="N358">
        <v>1567</v>
      </c>
      <c r="O358" s="14">
        <v>0.41159128141589502</v>
      </c>
      <c r="P358" s="14">
        <v>0.55690808477811504</v>
      </c>
      <c r="Q358" t="str">
        <f t="shared" si="10"/>
        <v>50+</v>
      </c>
      <c r="R358" t="str">
        <f t="shared" si="11"/>
        <v>[YCKiBAp8QAg]|50+|Female|TX_CURR_SUBNAT.R|CY2022Q4</v>
      </c>
    </row>
    <row r="359" spans="4:18" x14ac:dyDescent="0.2">
      <c r="D359" s="13" t="s">
        <v>128</v>
      </c>
      <c r="E359" s="13" t="s">
        <v>129</v>
      </c>
      <c r="F359" s="13" t="s">
        <v>130</v>
      </c>
      <c r="G359" s="13" t="s">
        <v>25</v>
      </c>
      <c r="H359" s="13" t="s">
        <v>26</v>
      </c>
      <c r="I359" t="s">
        <v>27</v>
      </c>
      <c r="J359" s="13" t="s">
        <v>28</v>
      </c>
      <c r="K359" s="13" t="s">
        <v>47</v>
      </c>
      <c r="L359" s="13" t="s">
        <v>48</v>
      </c>
      <c r="M359" t="s">
        <v>31</v>
      </c>
      <c r="N359">
        <v>1715</v>
      </c>
      <c r="O359" s="14">
        <v>0.84032568219117798</v>
      </c>
      <c r="P359" s="14">
        <v>0.55690808477811504</v>
      </c>
      <c r="Q359" t="str">
        <f t="shared" si="10"/>
        <v>&lt;01</v>
      </c>
      <c r="R359" t="str">
        <f t="shared" si="11"/>
        <v>[YCKiBAp8QAg]|&lt;01|Male|TX_CURR_SUBNAT.R|CY2022Q4</v>
      </c>
    </row>
    <row r="360" spans="4:18" x14ac:dyDescent="0.2">
      <c r="D360" s="13" t="s">
        <v>128</v>
      </c>
      <c r="E360" s="13" t="s">
        <v>129</v>
      </c>
      <c r="F360" s="13" t="s">
        <v>130</v>
      </c>
      <c r="G360" s="13" t="s">
        <v>25</v>
      </c>
      <c r="H360" s="13" t="s">
        <v>26</v>
      </c>
      <c r="I360" t="s">
        <v>32</v>
      </c>
      <c r="J360" s="13" t="s">
        <v>33</v>
      </c>
      <c r="K360" s="13" t="s">
        <v>47</v>
      </c>
      <c r="L360" s="13" t="s">
        <v>48</v>
      </c>
      <c r="M360" t="s">
        <v>31</v>
      </c>
      <c r="N360">
        <v>1935</v>
      </c>
      <c r="O360" s="14">
        <v>0.990407492266968</v>
      </c>
      <c r="P360" s="14">
        <v>0.55690808477811504</v>
      </c>
      <c r="Q360" t="str">
        <f t="shared" si="10"/>
        <v>01-09</v>
      </c>
      <c r="R360" t="str">
        <f t="shared" si="11"/>
        <v>[YCKiBAp8QAg]|01-09|Male|TX_CURR_SUBNAT.R|CY2022Q4</v>
      </c>
    </row>
    <row r="361" spans="4:18" x14ac:dyDescent="0.2">
      <c r="D361" s="13" t="s">
        <v>128</v>
      </c>
      <c r="E361" s="13" t="s">
        <v>129</v>
      </c>
      <c r="F361" s="13" t="s">
        <v>130</v>
      </c>
      <c r="G361" s="13" t="s">
        <v>25</v>
      </c>
      <c r="H361" s="13" t="s">
        <v>26</v>
      </c>
      <c r="I361" t="s">
        <v>35</v>
      </c>
      <c r="J361" s="13" t="s">
        <v>36</v>
      </c>
      <c r="K361" s="13" t="s">
        <v>47</v>
      </c>
      <c r="L361" s="13" t="s">
        <v>48</v>
      </c>
      <c r="M361" t="s">
        <v>31</v>
      </c>
      <c r="N361">
        <v>1805</v>
      </c>
      <c r="O361" s="14">
        <v>0.44103802996687602</v>
      </c>
      <c r="P361" s="14">
        <v>0.55690808477811504</v>
      </c>
      <c r="Q361" t="str">
        <f t="shared" si="10"/>
        <v>10-14</v>
      </c>
      <c r="R361" t="str">
        <f t="shared" si="11"/>
        <v>[YCKiBAp8QAg]|10-14|Male|TX_CURR_SUBNAT.R|CY2022Q4</v>
      </c>
    </row>
    <row r="362" spans="4:18" x14ac:dyDescent="0.2">
      <c r="D362" s="13" t="s">
        <v>128</v>
      </c>
      <c r="E362" s="13" t="s">
        <v>129</v>
      </c>
      <c r="F362" s="13" t="s">
        <v>130</v>
      </c>
      <c r="G362" s="13" t="s">
        <v>25</v>
      </c>
      <c r="H362" s="13" t="s">
        <v>26</v>
      </c>
      <c r="I362" t="s">
        <v>37</v>
      </c>
      <c r="J362" s="13" t="s">
        <v>38</v>
      </c>
      <c r="K362" s="13" t="s">
        <v>47</v>
      </c>
      <c r="L362" s="13" t="s">
        <v>48</v>
      </c>
      <c r="M362" t="s">
        <v>31</v>
      </c>
      <c r="N362">
        <v>876</v>
      </c>
      <c r="O362" s="14">
        <v>0.129550950601697</v>
      </c>
      <c r="P362" s="14">
        <v>0.55690808477811504</v>
      </c>
      <c r="Q362" t="str">
        <f t="shared" si="10"/>
        <v>15-24</v>
      </c>
      <c r="R362" t="str">
        <f t="shared" si="11"/>
        <v>[YCKiBAp8QAg]|15-24|Male|TX_CURR_SUBNAT.R|CY2022Q4</v>
      </c>
    </row>
    <row r="363" spans="4:18" x14ac:dyDescent="0.2">
      <c r="D363" s="13" t="s">
        <v>128</v>
      </c>
      <c r="E363" s="13" t="s">
        <v>129</v>
      </c>
      <c r="F363" s="13" t="s">
        <v>130</v>
      </c>
      <c r="G363" s="13" t="s">
        <v>25</v>
      </c>
      <c r="H363" s="13" t="s">
        <v>26</v>
      </c>
      <c r="I363" t="s">
        <v>40</v>
      </c>
      <c r="J363" s="13" t="s">
        <v>41</v>
      </c>
      <c r="K363" s="13" t="s">
        <v>47</v>
      </c>
      <c r="L363" s="13" t="s">
        <v>48</v>
      </c>
      <c r="M363" t="s">
        <v>31</v>
      </c>
      <c r="N363">
        <v>1590</v>
      </c>
      <c r="O363" s="14">
        <v>0.78196536935865901</v>
      </c>
      <c r="P363" s="14">
        <v>0.55690808477811504</v>
      </c>
      <c r="Q363" t="str">
        <f t="shared" si="10"/>
        <v>25-34</v>
      </c>
      <c r="R363" t="str">
        <f t="shared" si="11"/>
        <v>[YCKiBAp8QAg]|25-34|Male|TX_CURR_SUBNAT.R|CY2022Q4</v>
      </c>
    </row>
    <row r="364" spans="4:18" x14ac:dyDescent="0.2">
      <c r="D364" s="13" t="s">
        <v>128</v>
      </c>
      <c r="E364" s="13" t="s">
        <v>129</v>
      </c>
      <c r="F364" s="13" t="s">
        <v>130</v>
      </c>
      <c r="G364" s="13" t="s">
        <v>25</v>
      </c>
      <c r="H364" s="13" t="s">
        <v>26</v>
      </c>
      <c r="I364" t="s">
        <v>42</v>
      </c>
      <c r="J364" s="13" t="s">
        <v>43</v>
      </c>
      <c r="K364" s="13" t="s">
        <v>47</v>
      </c>
      <c r="L364" s="13" t="s">
        <v>48</v>
      </c>
      <c r="M364" t="s">
        <v>31</v>
      </c>
      <c r="N364">
        <v>968</v>
      </c>
      <c r="O364" s="14">
        <v>0.36000648676417801</v>
      </c>
      <c r="P364" s="14">
        <v>0.55690808477811504</v>
      </c>
      <c r="Q364" t="str">
        <f t="shared" si="10"/>
        <v>35-49</v>
      </c>
      <c r="R364" t="str">
        <f t="shared" si="11"/>
        <v>[YCKiBAp8QAg]|35-49|Male|TX_CURR_SUBNAT.R|CY2022Q4</v>
      </c>
    </row>
    <row r="365" spans="4:18" x14ac:dyDescent="0.2">
      <c r="D365" s="13" t="s">
        <v>128</v>
      </c>
      <c r="E365" s="13" t="s">
        <v>129</v>
      </c>
      <c r="F365" s="13" t="s">
        <v>130</v>
      </c>
      <c r="G365" s="13" t="s">
        <v>25</v>
      </c>
      <c r="H365" s="13" t="s">
        <v>26</v>
      </c>
      <c r="I365" t="s">
        <v>44</v>
      </c>
      <c r="J365" s="13" t="s">
        <v>45</v>
      </c>
      <c r="K365" s="13" t="s">
        <v>47</v>
      </c>
      <c r="L365" s="13" t="s">
        <v>48</v>
      </c>
      <c r="M365" t="s">
        <v>31</v>
      </c>
      <c r="N365">
        <v>1669</v>
      </c>
      <c r="O365" s="14">
        <v>0.95706362160853997</v>
      </c>
      <c r="P365" s="14">
        <v>0.55690808477811504</v>
      </c>
      <c r="Q365" t="str">
        <f t="shared" si="10"/>
        <v>50+</v>
      </c>
      <c r="R365" t="str">
        <f t="shared" si="11"/>
        <v>[YCKiBAp8QAg]|50+|Male|TX_CURR_SUBNAT.R|CY2022Q4</v>
      </c>
    </row>
    <row r="366" spans="4:18" x14ac:dyDescent="0.2">
      <c r="D366" s="13" t="s">
        <v>131</v>
      </c>
      <c r="E366" s="13" t="s">
        <v>132</v>
      </c>
      <c r="F366" s="13" t="s">
        <v>133</v>
      </c>
      <c r="G366" s="13" t="s">
        <v>25</v>
      </c>
      <c r="H366" s="13" t="s">
        <v>26</v>
      </c>
      <c r="I366" t="s">
        <v>27</v>
      </c>
      <c r="J366" s="13" t="s">
        <v>28</v>
      </c>
      <c r="K366" s="13" t="s">
        <v>29</v>
      </c>
      <c r="L366" s="13" t="s">
        <v>30</v>
      </c>
      <c r="M366" t="s">
        <v>31</v>
      </c>
      <c r="N366">
        <v>880</v>
      </c>
      <c r="O366" s="14">
        <v>4.3298625852912699E-2</v>
      </c>
      <c r="P366" s="14">
        <v>0.16286319401115201</v>
      </c>
      <c r="Q366" t="str">
        <f t="shared" si="10"/>
        <v>&lt;01</v>
      </c>
      <c r="R366" t="str">
        <f t="shared" si="11"/>
        <v>[JQKLKuVuY61]|&lt;01|Female|TX_CURR_SUBNAT.R|CY2022Q4</v>
      </c>
    </row>
    <row r="367" spans="4:18" x14ac:dyDescent="0.2">
      <c r="D367" s="13" t="s">
        <v>131</v>
      </c>
      <c r="E367" s="13" t="s">
        <v>132</v>
      </c>
      <c r="F367" s="13" t="s">
        <v>133</v>
      </c>
      <c r="G367" s="13" t="s">
        <v>25</v>
      </c>
      <c r="H367" s="13" t="s">
        <v>26</v>
      </c>
      <c r="I367" t="s">
        <v>32</v>
      </c>
      <c r="J367" s="13" t="s">
        <v>33</v>
      </c>
      <c r="K367" s="13" t="s">
        <v>29</v>
      </c>
      <c r="L367" s="13" t="s">
        <v>30</v>
      </c>
      <c r="M367" t="s">
        <v>31</v>
      </c>
      <c r="N367">
        <v>1350</v>
      </c>
      <c r="O367" s="14">
        <v>0.27405719831585901</v>
      </c>
      <c r="P367" s="14">
        <v>0.16286319401115201</v>
      </c>
      <c r="Q367" t="str">
        <f t="shared" si="10"/>
        <v>01-09</v>
      </c>
      <c r="R367" t="str">
        <f t="shared" si="11"/>
        <v>[JQKLKuVuY61]|01-09|Female|TX_CURR_SUBNAT.R|CY2022Q4</v>
      </c>
    </row>
    <row r="368" spans="4:18" x14ac:dyDescent="0.2">
      <c r="D368" s="13" t="s">
        <v>131</v>
      </c>
      <c r="E368" s="13" t="s">
        <v>132</v>
      </c>
      <c r="F368" s="13" t="s">
        <v>133</v>
      </c>
      <c r="G368" s="13" t="s">
        <v>25</v>
      </c>
      <c r="H368" s="13" t="s">
        <v>26</v>
      </c>
      <c r="I368" t="s">
        <v>35</v>
      </c>
      <c r="J368" s="13" t="s">
        <v>36</v>
      </c>
      <c r="K368" s="13" t="s">
        <v>29</v>
      </c>
      <c r="L368" s="13" t="s">
        <v>30</v>
      </c>
      <c r="M368" t="s">
        <v>31</v>
      </c>
      <c r="N368">
        <v>599</v>
      </c>
      <c r="O368" s="14">
        <v>0.83057116786949303</v>
      </c>
      <c r="P368" s="14">
        <v>0.16286319401115201</v>
      </c>
      <c r="Q368" t="str">
        <f t="shared" si="10"/>
        <v>10-14</v>
      </c>
      <c r="R368" t="str">
        <f t="shared" si="11"/>
        <v>[JQKLKuVuY61]|10-14|Female|TX_CURR_SUBNAT.R|CY2022Q4</v>
      </c>
    </row>
    <row r="369" spans="4:18" x14ac:dyDescent="0.2">
      <c r="D369" s="13" t="s">
        <v>131</v>
      </c>
      <c r="E369" s="13" t="s">
        <v>132</v>
      </c>
      <c r="F369" s="13" t="s">
        <v>133</v>
      </c>
      <c r="G369" s="13" t="s">
        <v>25</v>
      </c>
      <c r="H369" s="13" t="s">
        <v>26</v>
      </c>
      <c r="I369" t="s">
        <v>37</v>
      </c>
      <c r="J369" s="13" t="s">
        <v>38</v>
      </c>
      <c r="K369" s="13" t="s">
        <v>29</v>
      </c>
      <c r="L369" s="13" t="s">
        <v>30</v>
      </c>
      <c r="M369" t="s">
        <v>31</v>
      </c>
      <c r="N369">
        <v>1213</v>
      </c>
      <c r="O369" s="14">
        <v>0.226895235944539</v>
      </c>
      <c r="P369" s="14">
        <v>0.16286319401115201</v>
      </c>
      <c r="Q369" t="str">
        <f t="shared" si="10"/>
        <v>15-24</v>
      </c>
      <c r="R369" t="str">
        <f t="shared" si="11"/>
        <v>[JQKLKuVuY61]|15-24|Female|TX_CURR_SUBNAT.R|CY2022Q4</v>
      </c>
    </row>
    <row r="370" spans="4:18" x14ac:dyDescent="0.2">
      <c r="D370" s="13" t="s">
        <v>131</v>
      </c>
      <c r="E370" s="13" t="s">
        <v>132</v>
      </c>
      <c r="F370" s="13" t="s">
        <v>133</v>
      </c>
      <c r="G370" s="13" t="s">
        <v>25</v>
      </c>
      <c r="H370" s="13" t="s">
        <v>26</v>
      </c>
      <c r="I370" t="s">
        <v>40</v>
      </c>
      <c r="J370" s="13" t="s">
        <v>41</v>
      </c>
      <c r="K370" s="13" t="s">
        <v>29</v>
      </c>
      <c r="L370" s="13" t="s">
        <v>30</v>
      </c>
      <c r="M370" t="s">
        <v>31</v>
      </c>
      <c r="N370">
        <v>1932</v>
      </c>
      <c r="O370" s="14">
        <v>0.16064320295117801</v>
      </c>
      <c r="P370" s="14">
        <v>0.16286319401115201</v>
      </c>
      <c r="Q370" t="str">
        <f t="shared" si="10"/>
        <v>25-34</v>
      </c>
      <c r="R370" t="str">
        <f t="shared" si="11"/>
        <v>[JQKLKuVuY61]|25-34|Female|TX_CURR_SUBNAT.R|CY2022Q4</v>
      </c>
    </row>
    <row r="371" spans="4:18" x14ac:dyDescent="0.2">
      <c r="D371" s="13" t="s">
        <v>131</v>
      </c>
      <c r="E371" s="13" t="s">
        <v>132</v>
      </c>
      <c r="F371" s="13" t="s">
        <v>133</v>
      </c>
      <c r="G371" s="13" t="s">
        <v>25</v>
      </c>
      <c r="H371" s="13" t="s">
        <v>26</v>
      </c>
      <c r="I371" t="s">
        <v>42</v>
      </c>
      <c r="J371" s="13" t="s">
        <v>43</v>
      </c>
      <c r="K371" s="13" t="s">
        <v>29</v>
      </c>
      <c r="L371" s="13" t="s">
        <v>30</v>
      </c>
      <c r="M371" t="s">
        <v>31</v>
      </c>
      <c r="N371">
        <v>1134</v>
      </c>
      <c r="O371" s="14">
        <v>0.56779190828092396</v>
      </c>
      <c r="P371" s="14">
        <v>0.16286319401115201</v>
      </c>
      <c r="Q371" t="str">
        <f t="shared" si="10"/>
        <v>35-49</v>
      </c>
      <c r="R371" t="str">
        <f t="shared" si="11"/>
        <v>[JQKLKuVuY61]|35-49|Female|TX_CURR_SUBNAT.R|CY2022Q4</v>
      </c>
    </row>
    <row r="372" spans="4:18" x14ac:dyDescent="0.2">
      <c r="D372" s="13" t="s">
        <v>131</v>
      </c>
      <c r="E372" s="13" t="s">
        <v>132</v>
      </c>
      <c r="F372" s="13" t="s">
        <v>133</v>
      </c>
      <c r="G372" s="13" t="s">
        <v>25</v>
      </c>
      <c r="H372" s="13" t="s">
        <v>26</v>
      </c>
      <c r="I372" t="s">
        <v>44</v>
      </c>
      <c r="J372" s="13" t="s">
        <v>45</v>
      </c>
      <c r="K372" s="13" t="s">
        <v>29</v>
      </c>
      <c r="L372" s="13" t="s">
        <v>30</v>
      </c>
      <c r="M372" t="s">
        <v>31</v>
      </c>
      <c r="N372">
        <v>784</v>
      </c>
      <c r="O372" s="14">
        <v>0.80167401372455105</v>
      </c>
      <c r="P372" s="14">
        <v>0.16286319401115201</v>
      </c>
      <c r="Q372" t="str">
        <f t="shared" si="10"/>
        <v>50+</v>
      </c>
      <c r="R372" t="str">
        <f t="shared" si="11"/>
        <v>[JQKLKuVuY61]|50+|Female|TX_CURR_SUBNAT.R|CY2022Q4</v>
      </c>
    </row>
    <row r="373" spans="4:18" x14ac:dyDescent="0.2">
      <c r="D373" s="13" t="s">
        <v>131</v>
      </c>
      <c r="E373" s="13" t="s">
        <v>132</v>
      </c>
      <c r="F373" s="13" t="s">
        <v>133</v>
      </c>
      <c r="G373" s="13" t="s">
        <v>25</v>
      </c>
      <c r="H373" s="13" t="s">
        <v>26</v>
      </c>
      <c r="I373" t="s">
        <v>27</v>
      </c>
      <c r="J373" s="13" t="s">
        <v>28</v>
      </c>
      <c r="K373" s="13" t="s">
        <v>47</v>
      </c>
      <c r="L373" s="13" t="s">
        <v>48</v>
      </c>
      <c r="M373" t="s">
        <v>31</v>
      </c>
      <c r="N373">
        <v>1507</v>
      </c>
      <c r="O373" s="14">
        <v>0.160523193888366</v>
      </c>
      <c r="P373" s="14">
        <v>0.16286319401115201</v>
      </c>
      <c r="Q373" t="str">
        <f t="shared" si="10"/>
        <v>&lt;01</v>
      </c>
      <c r="R373" t="str">
        <f t="shared" si="11"/>
        <v>[JQKLKuVuY61]|&lt;01|Male|TX_CURR_SUBNAT.R|CY2022Q4</v>
      </c>
    </row>
    <row r="374" spans="4:18" x14ac:dyDescent="0.2">
      <c r="D374" s="13" t="s">
        <v>131</v>
      </c>
      <c r="E374" s="13" t="s">
        <v>132</v>
      </c>
      <c r="F374" s="13" t="s">
        <v>133</v>
      </c>
      <c r="G374" s="13" t="s">
        <v>25</v>
      </c>
      <c r="H374" s="13" t="s">
        <v>26</v>
      </c>
      <c r="I374" t="s">
        <v>32</v>
      </c>
      <c r="J374" s="13" t="s">
        <v>33</v>
      </c>
      <c r="K374" s="13" t="s">
        <v>47</v>
      </c>
      <c r="L374" s="13" t="s">
        <v>48</v>
      </c>
      <c r="M374" t="s">
        <v>31</v>
      </c>
      <c r="N374">
        <v>1416</v>
      </c>
      <c r="O374" s="14">
        <v>0.883802890777588</v>
      </c>
      <c r="P374" s="14">
        <v>0.16286319401115201</v>
      </c>
      <c r="Q374" t="str">
        <f t="shared" si="10"/>
        <v>01-09</v>
      </c>
      <c r="R374" t="str">
        <f t="shared" si="11"/>
        <v>[JQKLKuVuY61]|01-09|Male|TX_CURR_SUBNAT.R|CY2022Q4</v>
      </c>
    </row>
    <row r="375" spans="4:18" x14ac:dyDescent="0.2">
      <c r="D375" s="13" t="s">
        <v>131</v>
      </c>
      <c r="E375" s="13" t="s">
        <v>132</v>
      </c>
      <c r="F375" s="13" t="s">
        <v>133</v>
      </c>
      <c r="G375" s="13" t="s">
        <v>25</v>
      </c>
      <c r="H375" s="13" t="s">
        <v>26</v>
      </c>
      <c r="I375" t="s">
        <v>35</v>
      </c>
      <c r="J375" s="13" t="s">
        <v>36</v>
      </c>
      <c r="K375" s="13" t="s">
        <v>47</v>
      </c>
      <c r="L375" s="13" t="s">
        <v>48</v>
      </c>
      <c r="M375" t="s">
        <v>31</v>
      </c>
      <c r="N375">
        <v>990</v>
      </c>
      <c r="O375" s="14">
        <v>0.42892500082962198</v>
      </c>
      <c r="P375" s="14">
        <v>0.16286319401115201</v>
      </c>
      <c r="Q375" t="str">
        <f t="shared" si="10"/>
        <v>10-14</v>
      </c>
      <c r="R375" t="str">
        <f t="shared" si="11"/>
        <v>[JQKLKuVuY61]|10-14|Male|TX_CURR_SUBNAT.R|CY2022Q4</v>
      </c>
    </row>
    <row r="376" spans="4:18" x14ac:dyDescent="0.2">
      <c r="D376" s="13" t="s">
        <v>131</v>
      </c>
      <c r="E376" s="13" t="s">
        <v>132</v>
      </c>
      <c r="F376" s="13" t="s">
        <v>133</v>
      </c>
      <c r="G376" s="13" t="s">
        <v>25</v>
      </c>
      <c r="H376" s="13" t="s">
        <v>26</v>
      </c>
      <c r="I376" t="s">
        <v>37</v>
      </c>
      <c r="J376" s="13" t="s">
        <v>38</v>
      </c>
      <c r="K376" s="13" t="s">
        <v>47</v>
      </c>
      <c r="L376" s="13" t="s">
        <v>48</v>
      </c>
      <c r="M376" t="s">
        <v>31</v>
      </c>
      <c r="N376">
        <v>848</v>
      </c>
      <c r="O376" s="14">
        <v>0.94851159793324802</v>
      </c>
      <c r="P376" s="14">
        <v>0.16286319401115201</v>
      </c>
      <c r="Q376" t="str">
        <f t="shared" si="10"/>
        <v>15-24</v>
      </c>
      <c r="R376" t="str">
        <f t="shared" si="11"/>
        <v>[JQKLKuVuY61]|15-24|Male|TX_CURR_SUBNAT.R|CY2022Q4</v>
      </c>
    </row>
    <row r="377" spans="4:18" x14ac:dyDescent="0.2">
      <c r="D377" s="13" t="s">
        <v>131</v>
      </c>
      <c r="E377" s="13" t="s">
        <v>132</v>
      </c>
      <c r="F377" s="13" t="s">
        <v>133</v>
      </c>
      <c r="G377" s="13" t="s">
        <v>25</v>
      </c>
      <c r="H377" s="13" t="s">
        <v>26</v>
      </c>
      <c r="I377" t="s">
        <v>40</v>
      </c>
      <c r="J377" s="13" t="s">
        <v>41</v>
      </c>
      <c r="K377" s="13" t="s">
        <v>47</v>
      </c>
      <c r="L377" s="13" t="s">
        <v>48</v>
      </c>
      <c r="M377" t="s">
        <v>31</v>
      </c>
      <c r="N377">
        <v>571</v>
      </c>
      <c r="O377" s="14">
        <v>0.85714139789342902</v>
      </c>
      <c r="P377" s="14">
        <v>0.16286319401115201</v>
      </c>
      <c r="Q377" t="str">
        <f t="shared" si="10"/>
        <v>25-34</v>
      </c>
      <c r="R377" t="str">
        <f t="shared" si="11"/>
        <v>[JQKLKuVuY61]|25-34|Male|TX_CURR_SUBNAT.R|CY2022Q4</v>
      </c>
    </row>
    <row r="378" spans="4:18" x14ac:dyDescent="0.2">
      <c r="D378" s="13" t="s">
        <v>131</v>
      </c>
      <c r="E378" s="13" t="s">
        <v>132</v>
      </c>
      <c r="F378" s="13" t="s">
        <v>133</v>
      </c>
      <c r="G378" s="13" t="s">
        <v>25</v>
      </c>
      <c r="H378" s="13" t="s">
        <v>26</v>
      </c>
      <c r="I378" t="s">
        <v>42</v>
      </c>
      <c r="J378" s="13" t="s">
        <v>43</v>
      </c>
      <c r="K378" s="13" t="s">
        <v>47</v>
      </c>
      <c r="L378" s="13" t="s">
        <v>48</v>
      </c>
      <c r="M378" t="s">
        <v>31</v>
      </c>
      <c r="N378">
        <v>1742</v>
      </c>
      <c r="O378" s="14">
        <v>0.890085540246218</v>
      </c>
      <c r="P378" s="14">
        <v>0.16286319401115201</v>
      </c>
      <c r="Q378" t="str">
        <f t="shared" si="10"/>
        <v>35-49</v>
      </c>
      <c r="R378" t="str">
        <f t="shared" si="11"/>
        <v>[JQKLKuVuY61]|35-49|Male|TX_CURR_SUBNAT.R|CY2022Q4</v>
      </c>
    </row>
    <row r="379" spans="4:18" x14ac:dyDescent="0.2">
      <c r="D379" s="13" t="s">
        <v>131</v>
      </c>
      <c r="E379" s="13" t="s">
        <v>132</v>
      </c>
      <c r="F379" s="13" t="s">
        <v>133</v>
      </c>
      <c r="G379" s="13" t="s">
        <v>25</v>
      </c>
      <c r="H379" s="13" t="s">
        <v>26</v>
      </c>
      <c r="I379" t="s">
        <v>44</v>
      </c>
      <c r="J379" s="13" t="s">
        <v>45</v>
      </c>
      <c r="K379" s="13" t="s">
        <v>47</v>
      </c>
      <c r="L379" s="13" t="s">
        <v>48</v>
      </c>
      <c r="M379" t="s">
        <v>31</v>
      </c>
      <c r="N379">
        <v>938</v>
      </c>
      <c r="O379" s="14">
        <v>0.13006931077688899</v>
      </c>
      <c r="P379" s="14">
        <v>0.16286319401115201</v>
      </c>
      <c r="Q379" t="str">
        <f t="shared" si="10"/>
        <v>50+</v>
      </c>
      <c r="R379" t="str">
        <f t="shared" si="11"/>
        <v>[JQKLKuVuY61]|50+|Male|TX_CURR_SUBNAT.R|CY2022Q4</v>
      </c>
    </row>
    <row r="380" spans="4:18" x14ac:dyDescent="0.2">
      <c r="D380" s="13" t="s">
        <v>134</v>
      </c>
      <c r="E380" s="13" t="s">
        <v>135</v>
      </c>
      <c r="F380" s="13" t="s">
        <v>136</v>
      </c>
      <c r="G380" s="13" t="s">
        <v>25</v>
      </c>
      <c r="H380" s="13" t="s">
        <v>26</v>
      </c>
      <c r="I380" t="s">
        <v>27</v>
      </c>
      <c r="J380" s="13" t="s">
        <v>28</v>
      </c>
      <c r="K380" s="13" t="s">
        <v>29</v>
      </c>
      <c r="L380" s="13" t="s">
        <v>30</v>
      </c>
      <c r="M380" t="s">
        <v>31</v>
      </c>
      <c r="N380">
        <v>1436</v>
      </c>
      <c r="O380" s="14">
        <v>0.46636835066601601</v>
      </c>
      <c r="P380" s="14">
        <v>0.95530052832327805</v>
      </c>
      <c r="Q380" t="str">
        <f t="shared" si="10"/>
        <v>&lt;01</v>
      </c>
      <c r="R380" t="str">
        <f t="shared" si="11"/>
        <v>[fiRkU6gEjLz]|&lt;01|Female|TX_CURR_SUBNAT.R|CY2022Q4</v>
      </c>
    </row>
    <row r="381" spans="4:18" x14ac:dyDescent="0.2">
      <c r="D381" s="13" t="s">
        <v>134</v>
      </c>
      <c r="E381" s="13" t="s">
        <v>135</v>
      </c>
      <c r="F381" s="13" t="s">
        <v>136</v>
      </c>
      <c r="G381" s="13" t="s">
        <v>25</v>
      </c>
      <c r="H381" s="13" t="s">
        <v>26</v>
      </c>
      <c r="I381" t="s">
        <v>32</v>
      </c>
      <c r="J381" s="13" t="s">
        <v>33</v>
      </c>
      <c r="K381" s="13" t="s">
        <v>29</v>
      </c>
      <c r="L381" s="13" t="s">
        <v>30</v>
      </c>
      <c r="M381" t="s">
        <v>31</v>
      </c>
      <c r="N381">
        <v>1526</v>
      </c>
      <c r="O381" s="14">
        <v>0.77584568597376302</v>
      </c>
      <c r="P381" s="14">
        <v>0.95530052832327805</v>
      </c>
      <c r="Q381" t="str">
        <f t="shared" si="10"/>
        <v>01-09</v>
      </c>
      <c r="R381" t="str">
        <f t="shared" si="11"/>
        <v>[fiRkU6gEjLz]|01-09|Female|TX_CURR_SUBNAT.R|CY2022Q4</v>
      </c>
    </row>
    <row r="382" spans="4:18" x14ac:dyDescent="0.2">
      <c r="D382" s="13" t="s">
        <v>134</v>
      </c>
      <c r="E382" s="13" t="s">
        <v>135</v>
      </c>
      <c r="F382" s="13" t="s">
        <v>136</v>
      </c>
      <c r="G382" s="13" t="s">
        <v>25</v>
      </c>
      <c r="H382" s="13" t="s">
        <v>26</v>
      </c>
      <c r="I382" t="s">
        <v>35</v>
      </c>
      <c r="J382" s="13" t="s">
        <v>36</v>
      </c>
      <c r="K382" s="13" t="s">
        <v>29</v>
      </c>
      <c r="L382" s="13" t="s">
        <v>30</v>
      </c>
      <c r="M382" t="s">
        <v>31</v>
      </c>
      <c r="N382">
        <v>1597</v>
      </c>
      <c r="O382" s="14">
        <v>0.21628778008744101</v>
      </c>
      <c r="P382" s="14">
        <v>0.95530052832327805</v>
      </c>
      <c r="Q382" t="str">
        <f t="shared" si="10"/>
        <v>10-14</v>
      </c>
      <c r="R382" t="str">
        <f t="shared" si="11"/>
        <v>[fiRkU6gEjLz]|10-14|Female|TX_CURR_SUBNAT.R|CY2022Q4</v>
      </c>
    </row>
    <row r="383" spans="4:18" x14ac:dyDescent="0.2">
      <c r="D383" s="13" t="s">
        <v>134</v>
      </c>
      <c r="E383" s="13" t="s">
        <v>135</v>
      </c>
      <c r="F383" s="13" t="s">
        <v>136</v>
      </c>
      <c r="G383" s="13" t="s">
        <v>25</v>
      </c>
      <c r="H383" s="13" t="s">
        <v>26</v>
      </c>
      <c r="I383" t="s">
        <v>37</v>
      </c>
      <c r="J383" s="13" t="s">
        <v>38</v>
      </c>
      <c r="K383" s="13" t="s">
        <v>29</v>
      </c>
      <c r="L383" s="13" t="s">
        <v>30</v>
      </c>
      <c r="M383" t="s">
        <v>31</v>
      </c>
      <c r="N383">
        <v>897</v>
      </c>
      <c r="O383" s="14">
        <v>0.12712923414073901</v>
      </c>
      <c r="P383" s="14">
        <v>0.95530052832327805</v>
      </c>
      <c r="Q383" t="str">
        <f t="shared" si="10"/>
        <v>15-24</v>
      </c>
      <c r="R383" t="str">
        <f t="shared" si="11"/>
        <v>[fiRkU6gEjLz]|15-24|Female|TX_CURR_SUBNAT.R|CY2022Q4</v>
      </c>
    </row>
    <row r="384" spans="4:18" x14ac:dyDescent="0.2">
      <c r="D384" s="13" t="s">
        <v>134</v>
      </c>
      <c r="E384" s="13" t="s">
        <v>135</v>
      </c>
      <c r="F384" s="13" t="s">
        <v>136</v>
      </c>
      <c r="G384" s="13" t="s">
        <v>25</v>
      </c>
      <c r="H384" s="13" t="s">
        <v>26</v>
      </c>
      <c r="I384" t="s">
        <v>40</v>
      </c>
      <c r="J384" s="13" t="s">
        <v>41</v>
      </c>
      <c r="K384" s="13" t="s">
        <v>29</v>
      </c>
      <c r="L384" s="13" t="s">
        <v>30</v>
      </c>
      <c r="M384" t="s">
        <v>31</v>
      </c>
      <c r="N384">
        <v>1990</v>
      </c>
      <c r="O384" s="14">
        <v>0.52124609006568801</v>
      </c>
      <c r="P384" s="14">
        <v>0.95530052832327805</v>
      </c>
      <c r="Q384" t="str">
        <f t="shared" si="10"/>
        <v>25-34</v>
      </c>
      <c r="R384" t="str">
        <f t="shared" si="11"/>
        <v>[fiRkU6gEjLz]|25-34|Female|TX_CURR_SUBNAT.R|CY2022Q4</v>
      </c>
    </row>
    <row r="385" spans="4:18" x14ac:dyDescent="0.2">
      <c r="D385" s="13" t="s">
        <v>134</v>
      </c>
      <c r="E385" s="13" t="s">
        <v>135</v>
      </c>
      <c r="F385" s="13" t="s">
        <v>136</v>
      </c>
      <c r="G385" s="13" t="s">
        <v>25</v>
      </c>
      <c r="H385" s="13" t="s">
        <v>26</v>
      </c>
      <c r="I385" t="s">
        <v>42</v>
      </c>
      <c r="J385" s="13" t="s">
        <v>43</v>
      </c>
      <c r="K385" s="13" t="s">
        <v>29</v>
      </c>
      <c r="L385" s="13" t="s">
        <v>30</v>
      </c>
      <c r="M385" t="s">
        <v>31</v>
      </c>
      <c r="N385">
        <v>697</v>
      </c>
      <c r="O385" s="14">
        <v>0.354802325367928</v>
      </c>
      <c r="P385" s="14">
        <v>0.95530052832327805</v>
      </c>
      <c r="Q385" t="str">
        <f t="shared" si="10"/>
        <v>35-49</v>
      </c>
      <c r="R385" t="str">
        <f t="shared" si="11"/>
        <v>[fiRkU6gEjLz]|35-49|Female|TX_CURR_SUBNAT.R|CY2022Q4</v>
      </c>
    </row>
    <row r="386" spans="4:18" x14ac:dyDescent="0.2">
      <c r="D386" s="13" t="s">
        <v>134</v>
      </c>
      <c r="E386" s="13" t="s">
        <v>135</v>
      </c>
      <c r="F386" s="13" t="s">
        <v>136</v>
      </c>
      <c r="G386" s="13" t="s">
        <v>25</v>
      </c>
      <c r="H386" s="13" t="s">
        <v>26</v>
      </c>
      <c r="I386" t="s">
        <v>44</v>
      </c>
      <c r="J386" s="13" t="s">
        <v>45</v>
      </c>
      <c r="K386" s="13" t="s">
        <v>29</v>
      </c>
      <c r="L386" s="13" t="s">
        <v>30</v>
      </c>
      <c r="M386" t="s">
        <v>31</v>
      </c>
      <c r="N386">
        <v>695</v>
      </c>
      <c r="O386" s="14">
        <v>0.76087582926265895</v>
      </c>
      <c r="P386" s="14">
        <v>0.95530052832327805</v>
      </c>
      <c r="Q386" t="str">
        <f t="shared" ref="Q386:Q449" si="12">SUBSTITUTE(SUBSTITUTE($I386,CHAR(61),""),CHAR(34),"")</f>
        <v>50+</v>
      </c>
      <c r="R386" t="str">
        <f t="shared" ref="R386:R449" si="13">IF($D386&lt;&gt;"","["&amp;$E386&amp;"]"&amp;"|"&amp;$Q386&amp;"|"&amp;$K386&amp;"|"&amp;$G386&amp;"|"&amp;IF($G386="TX_CURR_SUBNAT.R","CY2022Q4",$M386),"")</f>
        <v>[fiRkU6gEjLz]|50+|Female|TX_CURR_SUBNAT.R|CY2022Q4</v>
      </c>
    </row>
    <row r="387" spans="4:18" x14ac:dyDescent="0.2">
      <c r="D387" s="13" t="s">
        <v>134</v>
      </c>
      <c r="E387" s="13" t="s">
        <v>135</v>
      </c>
      <c r="F387" s="13" t="s">
        <v>136</v>
      </c>
      <c r="G387" s="13" t="s">
        <v>25</v>
      </c>
      <c r="H387" s="13" t="s">
        <v>26</v>
      </c>
      <c r="I387" t="s">
        <v>27</v>
      </c>
      <c r="J387" s="13" t="s">
        <v>28</v>
      </c>
      <c r="K387" s="13" t="s">
        <v>47</v>
      </c>
      <c r="L387" s="13" t="s">
        <v>48</v>
      </c>
      <c r="M387" t="s">
        <v>31</v>
      </c>
      <c r="N387">
        <v>1359</v>
      </c>
      <c r="O387" s="14">
        <v>0.355496843345463</v>
      </c>
      <c r="P387" s="14">
        <v>0.95530052832327805</v>
      </c>
      <c r="Q387" t="str">
        <f t="shared" si="12"/>
        <v>&lt;01</v>
      </c>
      <c r="R387" t="str">
        <f t="shared" si="13"/>
        <v>[fiRkU6gEjLz]|&lt;01|Male|TX_CURR_SUBNAT.R|CY2022Q4</v>
      </c>
    </row>
    <row r="388" spans="4:18" x14ac:dyDescent="0.2">
      <c r="D388" s="13" t="s">
        <v>134</v>
      </c>
      <c r="E388" s="13" t="s">
        <v>135</v>
      </c>
      <c r="F388" s="13" t="s">
        <v>136</v>
      </c>
      <c r="G388" s="13" t="s">
        <v>25</v>
      </c>
      <c r="H388" s="13" t="s">
        <v>26</v>
      </c>
      <c r="I388" t="s">
        <v>32</v>
      </c>
      <c r="J388" s="13" t="s">
        <v>33</v>
      </c>
      <c r="K388" s="13" t="s">
        <v>47</v>
      </c>
      <c r="L388" s="13" t="s">
        <v>48</v>
      </c>
      <c r="M388" t="s">
        <v>31</v>
      </c>
      <c r="N388">
        <v>568</v>
      </c>
      <c r="O388" s="14">
        <v>0.472138122888282</v>
      </c>
      <c r="P388" s="14">
        <v>0.95530052832327805</v>
      </c>
      <c r="Q388" t="str">
        <f t="shared" si="12"/>
        <v>01-09</v>
      </c>
      <c r="R388" t="str">
        <f t="shared" si="13"/>
        <v>[fiRkU6gEjLz]|01-09|Male|TX_CURR_SUBNAT.R|CY2022Q4</v>
      </c>
    </row>
    <row r="389" spans="4:18" x14ac:dyDescent="0.2">
      <c r="D389" s="13" t="s">
        <v>134</v>
      </c>
      <c r="E389" s="13" t="s">
        <v>135</v>
      </c>
      <c r="F389" s="13" t="s">
        <v>136</v>
      </c>
      <c r="G389" s="13" t="s">
        <v>25</v>
      </c>
      <c r="H389" s="13" t="s">
        <v>26</v>
      </c>
      <c r="I389" t="s">
        <v>35</v>
      </c>
      <c r="J389" s="13" t="s">
        <v>36</v>
      </c>
      <c r="K389" s="13" t="s">
        <v>47</v>
      </c>
      <c r="L389" s="13" t="s">
        <v>48</v>
      </c>
      <c r="M389" t="s">
        <v>31</v>
      </c>
      <c r="N389">
        <v>1190</v>
      </c>
      <c r="O389" s="14">
        <v>0.237132653594017</v>
      </c>
      <c r="P389" s="14">
        <v>0.95530052832327805</v>
      </c>
      <c r="Q389" t="str">
        <f t="shared" si="12"/>
        <v>10-14</v>
      </c>
      <c r="R389" t="str">
        <f t="shared" si="13"/>
        <v>[fiRkU6gEjLz]|10-14|Male|TX_CURR_SUBNAT.R|CY2022Q4</v>
      </c>
    </row>
    <row r="390" spans="4:18" x14ac:dyDescent="0.2">
      <c r="D390" s="13" t="s">
        <v>134</v>
      </c>
      <c r="E390" s="13" t="s">
        <v>135</v>
      </c>
      <c r="F390" s="13" t="s">
        <v>136</v>
      </c>
      <c r="G390" s="13" t="s">
        <v>25</v>
      </c>
      <c r="H390" s="13" t="s">
        <v>26</v>
      </c>
      <c r="I390" t="s">
        <v>37</v>
      </c>
      <c r="J390" s="13" t="s">
        <v>38</v>
      </c>
      <c r="K390" s="13" t="s">
        <v>47</v>
      </c>
      <c r="L390" s="13" t="s">
        <v>48</v>
      </c>
      <c r="M390" t="s">
        <v>31</v>
      </c>
      <c r="N390">
        <v>1148</v>
      </c>
      <c r="O390" s="14">
        <v>0.58116480056196496</v>
      </c>
      <c r="P390" s="14">
        <v>0.95530052832327805</v>
      </c>
      <c r="Q390" t="str">
        <f t="shared" si="12"/>
        <v>15-24</v>
      </c>
      <c r="R390" t="str">
        <f t="shared" si="13"/>
        <v>[fiRkU6gEjLz]|15-24|Male|TX_CURR_SUBNAT.R|CY2022Q4</v>
      </c>
    </row>
    <row r="391" spans="4:18" x14ac:dyDescent="0.2">
      <c r="D391" s="13" t="s">
        <v>134</v>
      </c>
      <c r="E391" s="13" t="s">
        <v>135</v>
      </c>
      <c r="F391" s="13" t="s">
        <v>136</v>
      </c>
      <c r="G391" s="13" t="s">
        <v>25</v>
      </c>
      <c r="H391" s="13" t="s">
        <v>26</v>
      </c>
      <c r="I391" t="s">
        <v>40</v>
      </c>
      <c r="J391" s="13" t="s">
        <v>41</v>
      </c>
      <c r="K391" s="13" t="s">
        <v>47</v>
      </c>
      <c r="L391" s="13" t="s">
        <v>48</v>
      </c>
      <c r="M391" t="s">
        <v>31</v>
      </c>
      <c r="N391">
        <v>1782</v>
      </c>
      <c r="O391" s="14">
        <v>0.72010266059078298</v>
      </c>
      <c r="P391" s="14">
        <v>0.95530052832327805</v>
      </c>
      <c r="Q391" t="str">
        <f t="shared" si="12"/>
        <v>25-34</v>
      </c>
      <c r="R391" t="str">
        <f t="shared" si="13"/>
        <v>[fiRkU6gEjLz]|25-34|Male|TX_CURR_SUBNAT.R|CY2022Q4</v>
      </c>
    </row>
    <row r="392" spans="4:18" x14ac:dyDescent="0.2">
      <c r="D392" s="13" t="s">
        <v>134</v>
      </c>
      <c r="E392" s="13" t="s">
        <v>135</v>
      </c>
      <c r="F392" s="13" t="s">
        <v>136</v>
      </c>
      <c r="G392" s="13" t="s">
        <v>25</v>
      </c>
      <c r="H392" s="13" t="s">
        <v>26</v>
      </c>
      <c r="I392" t="s">
        <v>42</v>
      </c>
      <c r="J392" s="13" t="s">
        <v>43</v>
      </c>
      <c r="K392" s="13" t="s">
        <v>47</v>
      </c>
      <c r="L392" s="13" t="s">
        <v>48</v>
      </c>
      <c r="M392" t="s">
        <v>31</v>
      </c>
      <c r="N392">
        <v>978</v>
      </c>
      <c r="O392" s="14">
        <v>0.77517867344431601</v>
      </c>
      <c r="P392" s="14">
        <v>0.95530052832327805</v>
      </c>
      <c r="Q392" t="str">
        <f t="shared" si="12"/>
        <v>35-49</v>
      </c>
      <c r="R392" t="str">
        <f t="shared" si="13"/>
        <v>[fiRkU6gEjLz]|35-49|Male|TX_CURR_SUBNAT.R|CY2022Q4</v>
      </c>
    </row>
    <row r="393" spans="4:18" x14ac:dyDescent="0.2">
      <c r="D393" s="13" t="s">
        <v>134</v>
      </c>
      <c r="E393" s="13" t="s">
        <v>135</v>
      </c>
      <c r="F393" s="13" t="s">
        <v>136</v>
      </c>
      <c r="G393" s="13" t="s">
        <v>25</v>
      </c>
      <c r="H393" s="13" t="s">
        <v>26</v>
      </c>
      <c r="I393" t="s">
        <v>44</v>
      </c>
      <c r="J393" s="13" t="s">
        <v>45</v>
      </c>
      <c r="K393" s="13" t="s">
        <v>47</v>
      </c>
      <c r="L393" s="13" t="s">
        <v>48</v>
      </c>
      <c r="M393" t="s">
        <v>31</v>
      </c>
      <c r="N393">
        <v>1829</v>
      </c>
      <c r="O393" s="14">
        <v>0.607950837351382</v>
      </c>
      <c r="P393" s="14">
        <v>0.95530052832327805</v>
      </c>
      <c r="Q393" t="str">
        <f t="shared" si="12"/>
        <v>50+</v>
      </c>
      <c r="R393" t="str">
        <f t="shared" si="13"/>
        <v>[fiRkU6gEjLz]|50+|Male|TX_CURR_SUBNAT.R|CY2022Q4</v>
      </c>
    </row>
    <row r="394" spans="4:18" x14ac:dyDescent="0.2">
      <c r="D394" s="13" t="s">
        <v>22</v>
      </c>
      <c r="E394" s="13" t="s">
        <v>23</v>
      </c>
      <c r="F394" s="13" t="s">
        <v>24</v>
      </c>
      <c r="G394" s="13" t="s">
        <v>137</v>
      </c>
      <c r="H394" s="13" t="s">
        <v>138</v>
      </c>
      <c r="I394" t="s">
        <v>27</v>
      </c>
      <c r="J394" s="13" t="s">
        <v>28</v>
      </c>
      <c r="K394" s="13" t="s">
        <v>29</v>
      </c>
      <c r="L394" s="13" t="s">
        <v>30</v>
      </c>
      <c r="M394" t="s">
        <v>139</v>
      </c>
      <c r="N394">
        <v>522</v>
      </c>
      <c r="O394" s="14">
        <v>0.47706760792061698</v>
      </c>
      <c r="P394" s="14">
        <v>0.40435861097648701</v>
      </c>
      <c r="Q394" t="str">
        <f t="shared" si="12"/>
        <v>&lt;01</v>
      </c>
      <c r="R394" t="str">
        <f t="shared" si="13"/>
        <v>[GkIwZrXy1h2]|&lt;01|Female|POP_EST.T_1|CY2023Q3</v>
      </c>
    </row>
    <row r="395" spans="4:18" x14ac:dyDescent="0.2">
      <c r="D395" s="13" t="s">
        <v>22</v>
      </c>
      <c r="E395" s="13" t="s">
        <v>23</v>
      </c>
      <c r="F395" s="13" t="s">
        <v>24</v>
      </c>
      <c r="G395" s="13" t="s">
        <v>137</v>
      </c>
      <c r="H395" s="13" t="s">
        <v>138</v>
      </c>
      <c r="I395" t="s">
        <v>32</v>
      </c>
      <c r="J395" s="13" t="s">
        <v>33</v>
      </c>
      <c r="K395" s="13" t="s">
        <v>29</v>
      </c>
      <c r="L395" s="13" t="s">
        <v>30</v>
      </c>
      <c r="M395" t="s">
        <v>139</v>
      </c>
      <c r="N395">
        <v>761</v>
      </c>
      <c r="O395" s="14">
        <v>0.92486359667964302</v>
      </c>
      <c r="P395" s="14">
        <v>0.40435861097648701</v>
      </c>
      <c r="Q395" t="str">
        <f t="shared" si="12"/>
        <v>01-09</v>
      </c>
      <c r="R395" t="str">
        <f t="shared" si="13"/>
        <v>[GkIwZrXy1h2]|01-09|Female|POP_EST.T_1|CY2023Q3</v>
      </c>
    </row>
    <row r="396" spans="4:18" x14ac:dyDescent="0.2">
      <c r="D396" s="13" t="s">
        <v>22</v>
      </c>
      <c r="E396" s="13" t="s">
        <v>23</v>
      </c>
      <c r="F396" s="13" t="s">
        <v>24</v>
      </c>
      <c r="G396" s="13" t="s">
        <v>137</v>
      </c>
      <c r="H396" s="13" t="s">
        <v>138</v>
      </c>
      <c r="I396" t="s">
        <v>35</v>
      </c>
      <c r="J396" s="13" t="s">
        <v>36</v>
      </c>
      <c r="K396" s="13" t="s">
        <v>29</v>
      </c>
      <c r="L396" s="13" t="s">
        <v>30</v>
      </c>
      <c r="M396" t="s">
        <v>139</v>
      </c>
      <c r="N396">
        <v>1643</v>
      </c>
      <c r="O396" s="14">
        <v>0.49791626562364399</v>
      </c>
      <c r="P396" s="14">
        <v>0.40435861097648701</v>
      </c>
      <c r="Q396" t="str">
        <f t="shared" si="12"/>
        <v>10-14</v>
      </c>
      <c r="R396" t="str">
        <f t="shared" si="13"/>
        <v>[GkIwZrXy1h2]|10-14|Female|POP_EST.T_1|CY2023Q3</v>
      </c>
    </row>
    <row r="397" spans="4:18" x14ac:dyDescent="0.2">
      <c r="D397" s="13" t="s">
        <v>22</v>
      </c>
      <c r="E397" s="13" t="s">
        <v>23</v>
      </c>
      <c r="F397" s="13" t="s">
        <v>24</v>
      </c>
      <c r="G397" s="13" t="s">
        <v>137</v>
      </c>
      <c r="H397" s="13" t="s">
        <v>138</v>
      </c>
      <c r="I397" t="s">
        <v>37</v>
      </c>
      <c r="J397" s="13" t="s">
        <v>38</v>
      </c>
      <c r="K397" s="13" t="s">
        <v>29</v>
      </c>
      <c r="L397" s="13" t="s">
        <v>30</v>
      </c>
      <c r="M397" t="s">
        <v>139</v>
      </c>
      <c r="N397">
        <v>1807</v>
      </c>
      <c r="O397" s="14">
        <v>3.2906304579228197E-2</v>
      </c>
      <c r="P397" s="14">
        <v>0.40435861097648701</v>
      </c>
      <c r="Q397" t="str">
        <f t="shared" si="12"/>
        <v>15-24</v>
      </c>
      <c r="R397" t="str">
        <f t="shared" si="13"/>
        <v>[GkIwZrXy1h2]|15-24|Female|POP_EST.T_1|CY2023Q3</v>
      </c>
    </row>
    <row r="398" spans="4:18" x14ac:dyDescent="0.2">
      <c r="D398" s="13" t="s">
        <v>22</v>
      </c>
      <c r="E398" s="13" t="s">
        <v>23</v>
      </c>
      <c r="F398" s="13" t="s">
        <v>24</v>
      </c>
      <c r="G398" s="13" t="s">
        <v>137</v>
      </c>
      <c r="H398" s="13" t="s">
        <v>138</v>
      </c>
      <c r="I398" t="s">
        <v>40</v>
      </c>
      <c r="J398" s="13" t="s">
        <v>41</v>
      </c>
      <c r="K398" s="13" t="s">
        <v>29</v>
      </c>
      <c r="L398" s="13" t="s">
        <v>30</v>
      </c>
      <c r="M398" t="s">
        <v>139</v>
      </c>
      <c r="N398">
        <v>1936</v>
      </c>
      <c r="O398" s="14">
        <v>0.369413649197668</v>
      </c>
      <c r="P398" s="14">
        <v>0.40435861097648701</v>
      </c>
      <c r="Q398" t="str">
        <f t="shared" si="12"/>
        <v>25-34</v>
      </c>
      <c r="R398" t="str">
        <f t="shared" si="13"/>
        <v>[GkIwZrXy1h2]|25-34|Female|POP_EST.T_1|CY2023Q3</v>
      </c>
    </row>
    <row r="399" spans="4:18" x14ac:dyDescent="0.2">
      <c r="D399" s="13" t="s">
        <v>22</v>
      </c>
      <c r="E399" s="13" t="s">
        <v>23</v>
      </c>
      <c r="F399" s="13" t="s">
        <v>24</v>
      </c>
      <c r="G399" s="13" t="s">
        <v>137</v>
      </c>
      <c r="H399" s="13" t="s">
        <v>138</v>
      </c>
      <c r="I399" t="s">
        <v>42</v>
      </c>
      <c r="J399" s="13" t="s">
        <v>43</v>
      </c>
      <c r="K399" s="13" t="s">
        <v>29</v>
      </c>
      <c r="L399" s="13" t="s">
        <v>30</v>
      </c>
      <c r="M399" t="s">
        <v>139</v>
      </c>
      <c r="N399">
        <v>708</v>
      </c>
      <c r="O399" s="14">
        <v>0.83471621060743895</v>
      </c>
      <c r="P399" s="14">
        <v>0.40435861097648701</v>
      </c>
      <c r="Q399" t="str">
        <f t="shared" si="12"/>
        <v>35-49</v>
      </c>
      <c r="R399" t="str">
        <f t="shared" si="13"/>
        <v>[GkIwZrXy1h2]|35-49|Female|POP_EST.T_1|CY2023Q3</v>
      </c>
    </row>
    <row r="400" spans="4:18" x14ac:dyDescent="0.2">
      <c r="D400" s="13" t="s">
        <v>22</v>
      </c>
      <c r="E400" s="13" t="s">
        <v>23</v>
      </c>
      <c r="F400" s="13" t="s">
        <v>24</v>
      </c>
      <c r="G400" s="13" t="s">
        <v>137</v>
      </c>
      <c r="H400" s="13" t="s">
        <v>138</v>
      </c>
      <c r="I400" t="s">
        <v>44</v>
      </c>
      <c r="J400" s="13" t="s">
        <v>45</v>
      </c>
      <c r="K400" s="13" t="s">
        <v>29</v>
      </c>
      <c r="L400" s="13" t="s">
        <v>30</v>
      </c>
      <c r="M400" t="s">
        <v>139</v>
      </c>
      <c r="N400">
        <v>1175</v>
      </c>
      <c r="O400" s="14">
        <v>0.67253324319608498</v>
      </c>
      <c r="P400" s="14">
        <v>0.40435861097648701</v>
      </c>
      <c r="Q400" t="str">
        <f t="shared" si="12"/>
        <v>50+</v>
      </c>
      <c r="R400" t="str">
        <f t="shared" si="13"/>
        <v>[GkIwZrXy1h2]|50+|Female|POP_EST.T_1|CY2023Q3</v>
      </c>
    </row>
    <row r="401" spans="4:18" x14ac:dyDescent="0.2">
      <c r="D401" s="13" t="s">
        <v>22</v>
      </c>
      <c r="E401" s="13" t="s">
        <v>23</v>
      </c>
      <c r="F401" s="13" t="s">
        <v>24</v>
      </c>
      <c r="G401" s="13" t="s">
        <v>137</v>
      </c>
      <c r="H401" s="13" t="s">
        <v>138</v>
      </c>
      <c r="I401" t="s">
        <v>27</v>
      </c>
      <c r="J401" s="13" t="s">
        <v>28</v>
      </c>
      <c r="K401" s="13" t="s">
        <v>47</v>
      </c>
      <c r="L401" s="13" t="s">
        <v>48</v>
      </c>
      <c r="M401" t="s">
        <v>139</v>
      </c>
      <c r="N401">
        <v>772</v>
      </c>
      <c r="O401" s="14">
        <v>0.42731790919788198</v>
      </c>
      <c r="P401" s="14">
        <v>0.40435861097648701</v>
      </c>
      <c r="Q401" t="str">
        <f t="shared" si="12"/>
        <v>&lt;01</v>
      </c>
      <c r="R401" t="str">
        <f t="shared" si="13"/>
        <v>[GkIwZrXy1h2]|&lt;01|Male|POP_EST.T_1|CY2023Q3</v>
      </c>
    </row>
    <row r="402" spans="4:18" x14ac:dyDescent="0.2">
      <c r="D402" s="13" t="s">
        <v>22</v>
      </c>
      <c r="E402" s="13" t="s">
        <v>23</v>
      </c>
      <c r="F402" s="13" t="s">
        <v>24</v>
      </c>
      <c r="G402" s="13" t="s">
        <v>137</v>
      </c>
      <c r="H402" s="13" t="s">
        <v>138</v>
      </c>
      <c r="I402" t="s">
        <v>32</v>
      </c>
      <c r="J402" s="13" t="s">
        <v>33</v>
      </c>
      <c r="K402" s="13" t="s">
        <v>47</v>
      </c>
      <c r="L402" s="13" t="s">
        <v>48</v>
      </c>
      <c r="M402" t="s">
        <v>139</v>
      </c>
      <c r="N402">
        <v>1281</v>
      </c>
      <c r="O402" s="14">
        <v>0.86430659820325695</v>
      </c>
      <c r="P402" s="14">
        <v>0.40435861097648701</v>
      </c>
      <c r="Q402" t="str">
        <f t="shared" si="12"/>
        <v>01-09</v>
      </c>
      <c r="R402" t="str">
        <f t="shared" si="13"/>
        <v>[GkIwZrXy1h2]|01-09|Male|POP_EST.T_1|CY2023Q3</v>
      </c>
    </row>
    <row r="403" spans="4:18" x14ac:dyDescent="0.2">
      <c r="D403" s="13" t="s">
        <v>22</v>
      </c>
      <c r="E403" s="13" t="s">
        <v>23</v>
      </c>
      <c r="F403" s="13" t="s">
        <v>24</v>
      </c>
      <c r="G403" s="13" t="s">
        <v>137</v>
      </c>
      <c r="H403" s="13" t="s">
        <v>138</v>
      </c>
      <c r="I403" t="s">
        <v>35</v>
      </c>
      <c r="J403" s="13" t="s">
        <v>36</v>
      </c>
      <c r="K403" s="13" t="s">
        <v>47</v>
      </c>
      <c r="L403" s="13" t="s">
        <v>48</v>
      </c>
      <c r="M403" t="s">
        <v>139</v>
      </c>
      <c r="N403">
        <v>764</v>
      </c>
      <c r="O403" s="14">
        <v>0.83104661758989096</v>
      </c>
      <c r="P403" s="14">
        <v>0.40435861097648701</v>
      </c>
      <c r="Q403" t="str">
        <f t="shared" si="12"/>
        <v>10-14</v>
      </c>
      <c r="R403" t="str">
        <f t="shared" si="13"/>
        <v>[GkIwZrXy1h2]|10-14|Male|POP_EST.T_1|CY2023Q3</v>
      </c>
    </row>
    <row r="404" spans="4:18" x14ac:dyDescent="0.2">
      <c r="D404" s="13" t="s">
        <v>22</v>
      </c>
      <c r="E404" s="13" t="s">
        <v>23</v>
      </c>
      <c r="F404" s="13" t="s">
        <v>24</v>
      </c>
      <c r="G404" s="13" t="s">
        <v>137</v>
      </c>
      <c r="H404" s="13" t="s">
        <v>138</v>
      </c>
      <c r="I404" t="s">
        <v>37</v>
      </c>
      <c r="J404" s="13" t="s">
        <v>38</v>
      </c>
      <c r="K404" s="13" t="s">
        <v>47</v>
      </c>
      <c r="L404" s="13" t="s">
        <v>48</v>
      </c>
      <c r="M404" t="s">
        <v>139</v>
      </c>
      <c r="N404">
        <v>1977</v>
      </c>
      <c r="O404" s="14">
        <v>0.176131245214492</v>
      </c>
      <c r="P404" s="14">
        <v>0.40435861097648701</v>
      </c>
      <c r="Q404" t="str">
        <f t="shared" si="12"/>
        <v>15-24</v>
      </c>
      <c r="R404" t="str">
        <f t="shared" si="13"/>
        <v>[GkIwZrXy1h2]|15-24|Male|POP_EST.T_1|CY2023Q3</v>
      </c>
    </row>
    <row r="405" spans="4:18" x14ac:dyDescent="0.2">
      <c r="D405" s="13" t="s">
        <v>22</v>
      </c>
      <c r="E405" s="13" t="s">
        <v>23</v>
      </c>
      <c r="F405" s="13" t="s">
        <v>24</v>
      </c>
      <c r="G405" s="13" t="s">
        <v>137</v>
      </c>
      <c r="H405" s="13" t="s">
        <v>138</v>
      </c>
      <c r="I405" t="s">
        <v>40</v>
      </c>
      <c r="J405" s="13" t="s">
        <v>41</v>
      </c>
      <c r="K405" s="13" t="s">
        <v>47</v>
      </c>
      <c r="L405" s="13" t="s">
        <v>48</v>
      </c>
      <c r="M405" t="s">
        <v>139</v>
      </c>
      <c r="N405">
        <v>638</v>
      </c>
      <c r="O405" s="14">
        <v>0.32554294634610398</v>
      </c>
      <c r="P405" s="14">
        <v>0.40435861097648701</v>
      </c>
      <c r="Q405" t="str">
        <f t="shared" si="12"/>
        <v>25-34</v>
      </c>
      <c r="R405" t="str">
        <f t="shared" si="13"/>
        <v>[GkIwZrXy1h2]|25-34|Male|POP_EST.T_1|CY2023Q3</v>
      </c>
    </row>
    <row r="406" spans="4:18" x14ac:dyDescent="0.2">
      <c r="D406" s="13" t="s">
        <v>22</v>
      </c>
      <c r="E406" s="13" t="s">
        <v>23</v>
      </c>
      <c r="F406" s="13" t="s">
        <v>24</v>
      </c>
      <c r="G406" s="13" t="s">
        <v>137</v>
      </c>
      <c r="H406" s="13" t="s">
        <v>138</v>
      </c>
      <c r="I406" t="s">
        <v>42</v>
      </c>
      <c r="J406" s="13" t="s">
        <v>43</v>
      </c>
      <c r="K406" s="13" t="s">
        <v>47</v>
      </c>
      <c r="L406" s="13" t="s">
        <v>48</v>
      </c>
      <c r="M406" t="s">
        <v>139</v>
      </c>
      <c r="N406">
        <v>687</v>
      </c>
      <c r="O406" s="14">
        <v>1.8892224179580801E-2</v>
      </c>
      <c r="P406" s="14">
        <v>0.40435861097648701</v>
      </c>
      <c r="Q406" t="str">
        <f t="shared" si="12"/>
        <v>35-49</v>
      </c>
      <c r="R406" t="str">
        <f t="shared" si="13"/>
        <v>[GkIwZrXy1h2]|35-49|Male|POP_EST.T_1|CY2023Q3</v>
      </c>
    </row>
    <row r="407" spans="4:18" x14ac:dyDescent="0.2">
      <c r="D407" s="13" t="s">
        <v>22</v>
      </c>
      <c r="E407" s="13" t="s">
        <v>23</v>
      </c>
      <c r="F407" s="13" t="s">
        <v>24</v>
      </c>
      <c r="G407" s="13" t="s">
        <v>137</v>
      </c>
      <c r="H407" s="13" t="s">
        <v>138</v>
      </c>
      <c r="I407" t="s">
        <v>44</v>
      </c>
      <c r="J407" s="13" t="s">
        <v>45</v>
      </c>
      <c r="K407" s="13" t="s">
        <v>47</v>
      </c>
      <c r="L407" s="13" t="s">
        <v>48</v>
      </c>
      <c r="M407" t="s">
        <v>139</v>
      </c>
      <c r="N407">
        <v>696</v>
      </c>
      <c r="O407" s="14">
        <v>0.256640429142863</v>
      </c>
      <c r="P407" s="14">
        <v>0.40435861097648701</v>
      </c>
      <c r="Q407" t="str">
        <f t="shared" si="12"/>
        <v>50+</v>
      </c>
      <c r="R407" t="str">
        <f t="shared" si="13"/>
        <v>[GkIwZrXy1h2]|50+|Male|POP_EST.T_1|CY2023Q3</v>
      </c>
    </row>
    <row r="408" spans="4:18" x14ac:dyDescent="0.2">
      <c r="D408" s="13" t="s">
        <v>52</v>
      </c>
      <c r="E408" s="13" t="s">
        <v>53</v>
      </c>
      <c r="F408" s="13" t="s">
        <v>54</v>
      </c>
      <c r="G408" s="13" t="s">
        <v>137</v>
      </c>
      <c r="H408" s="13" t="s">
        <v>138</v>
      </c>
      <c r="I408" t="s">
        <v>27</v>
      </c>
      <c r="J408" s="13" t="s">
        <v>28</v>
      </c>
      <c r="K408" s="13" t="s">
        <v>29</v>
      </c>
      <c r="L408" s="13" t="s">
        <v>30</v>
      </c>
      <c r="M408" t="s">
        <v>139</v>
      </c>
      <c r="N408">
        <v>1295</v>
      </c>
      <c r="O408" s="14">
        <v>0.80127686797641196</v>
      </c>
      <c r="P408" s="14">
        <v>0.61639246996492103</v>
      </c>
      <c r="Q408" t="str">
        <f t="shared" si="12"/>
        <v>&lt;01</v>
      </c>
      <c r="R408" t="str">
        <f t="shared" si="13"/>
        <v>[zphK9WV8JB4]|&lt;01|Female|POP_EST.T_1|CY2023Q3</v>
      </c>
    </row>
    <row r="409" spans="4:18" x14ac:dyDescent="0.2">
      <c r="D409" s="13" t="s">
        <v>52</v>
      </c>
      <c r="E409" s="13" t="s">
        <v>53</v>
      </c>
      <c r="F409" s="13" t="s">
        <v>54</v>
      </c>
      <c r="G409" s="13" t="s">
        <v>137</v>
      </c>
      <c r="H409" s="13" t="s">
        <v>138</v>
      </c>
      <c r="I409" t="s">
        <v>32</v>
      </c>
      <c r="J409" s="13" t="s">
        <v>33</v>
      </c>
      <c r="K409" s="13" t="s">
        <v>29</v>
      </c>
      <c r="L409" s="13" t="s">
        <v>30</v>
      </c>
      <c r="M409" t="s">
        <v>139</v>
      </c>
      <c r="N409">
        <v>908</v>
      </c>
      <c r="O409" s="14">
        <v>0.243319214321673</v>
      </c>
      <c r="P409" s="14">
        <v>0.61639246996492103</v>
      </c>
      <c r="Q409" t="str">
        <f t="shared" si="12"/>
        <v>01-09</v>
      </c>
      <c r="R409" t="str">
        <f t="shared" si="13"/>
        <v>[zphK9WV8JB4]|01-09|Female|POP_EST.T_1|CY2023Q3</v>
      </c>
    </row>
    <row r="410" spans="4:18" x14ac:dyDescent="0.2">
      <c r="D410" s="13" t="s">
        <v>52</v>
      </c>
      <c r="E410" s="13" t="s">
        <v>53</v>
      </c>
      <c r="F410" s="13" t="s">
        <v>54</v>
      </c>
      <c r="G410" s="13" t="s">
        <v>137</v>
      </c>
      <c r="H410" s="13" t="s">
        <v>138</v>
      </c>
      <c r="I410" t="s">
        <v>35</v>
      </c>
      <c r="J410" s="13" t="s">
        <v>36</v>
      </c>
      <c r="K410" s="13" t="s">
        <v>29</v>
      </c>
      <c r="L410" s="13" t="s">
        <v>30</v>
      </c>
      <c r="M410" t="s">
        <v>139</v>
      </c>
      <c r="N410">
        <v>884</v>
      </c>
      <c r="O410" s="14">
        <v>0.41826464142650399</v>
      </c>
      <c r="P410" s="14">
        <v>0.61639246996492103</v>
      </c>
      <c r="Q410" t="str">
        <f t="shared" si="12"/>
        <v>10-14</v>
      </c>
      <c r="R410" t="str">
        <f t="shared" si="13"/>
        <v>[zphK9WV8JB4]|10-14|Female|POP_EST.T_1|CY2023Q3</v>
      </c>
    </row>
    <row r="411" spans="4:18" x14ac:dyDescent="0.2">
      <c r="D411" s="13" t="s">
        <v>52</v>
      </c>
      <c r="E411" s="13" t="s">
        <v>53</v>
      </c>
      <c r="F411" s="13" t="s">
        <v>54</v>
      </c>
      <c r="G411" s="13" t="s">
        <v>137</v>
      </c>
      <c r="H411" s="13" t="s">
        <v>138</v>
      </c>
      <c r="I411" t="s">
        <v>37</v>
      </c>
      <c r="J411" s="13" t="s">
        <v>38</v>
      </c>
      <c r="K411" s="13" t="s">
        <v>29</v>
      </c>
      <c r="L411" s="13" t="s">
        <v>30</v>
      </c>
      <c r="M411" t="s">
        <v>139</v>
      </c>
      <c r="N411">
        <v>924</v>
      </c>
      <c r="O411" s="14">
        <v>0.57522233948111501</v>
      </c>
      <c r="P411" s="14">
        <v>0.61639246996492103</v>
      </c>
      <c r="Q411" t="str">
        <f t="shared" si="12"/>
        <v>15-24</v>
      </c>
      <c r="R411" t="str">
        <f t="shared" si="13"/>
        <v>[zphK9WV8JB4]|15-24|Female|POP_EST.T_1|CY2023Q3</v>
      </c>
    </row>
    <row r="412" spans="4:18" x14ac:dyDescent="0.2">
      <c r="D412" s="13" t="s">
        <v>52</v>
      </c>
      <c r="E412" s="13" t="s">
        <v>53</v>
      </c>
      <c r="F412" s="13" t="s">
        <v>54</v>
      </c>
      <c r="G412" s="13" t="s">
        <v>137</v>
      </c>
      <c r="H412" s="13" t="s">
        <v>138</v>
      </c>
      <c r="I412" t="s">
        <v>40</v>
      </c>
      <c r="J412" s="13" t="s">
        <v>41</v>
      </c>
      <c r="K412" s="13" t="s">
        <v>29</v>
      </c>
      <c r="L412" s="13" t="s">
        <v>30</v>
      </c>
      <c r="M412" t="s">
        <v>139</v>
      </c>
      <c r="N412">
        <v>1916</v>
      </c>
      <c r="O412" s="14">
        <v>0.29192044516094001</v>
      </c>
      <c r="P412" s="14">
        <v>0.61639246996492103</v>
      </c>
      <c r="Q412" t="str">
        <f t="shared" si="12"/>
        <v>25-34</v>
      </c>
      <c r="R412" t="str">
        <f t="shared" si="13"/>
        <v>[zphK9WV8JB4]|25-34|Female|POP_EST.T_1|CY2023Q3</v>
      </c>
    </row>
    <row r="413" spans="4:18" x14ac:dyDescent="0.2">
      <c r="D413" s="13" t="s">
        <v>52</v>
      </c>
      <c r="E413" s="13" t="s">
        <v>53</v>
      </c>
      <c r="F413" s="13" t="s">
        <v>54</v>
      </c>
      <c r="G413" s="13" t="s">
        <v>137</v>
      </c>
      <c r="H413" s="13" t="s">
        <v>138</v>
      </c>
      <c r="I413" t="s">
        <v>42</v>
      </c>
      <c r="J413" s="13" t="s">
        <v>43</v>
      </c>
      <c r="K413" s="13" t="s">
        <v>29</v>
      </c>
      <c r="L413" s="13" t="s">
        <v>30</v>
      </c>
      <c r="M413" t="s">
        <v>139</v>
      </c>
      <c r="N413">
        <v>1881</v>
      </c>
      <c r="O413" s="14">
        <v>0.59474455076269805</v>
      </c>
      <c r="P413" s="14">
        <v>0.61639246996492103</v>
      </c>
      <c r="Q413" t="str">
        <f t="shared" si="12"/>
        <v>35-49</v>
      </c>
      <c r="R413" t="str">
        <f t="shared" si="13"/>
        <v>[zphK9WV8JB4]|35-49|Female|POP_EST.T_1|CY2023Q3</v>
      </c>
    </row>
    <row r="414" spans="4:18" x14ac:dyDescent="0.2">
      <c r="D414" s="13" t="s">
        <v>52</v>
      </c>
      <c r="E414" s="13" t="s">
        <v>53</v>
      </c>
      <c r="F414" s="13" t="s">
        <v>54</v>
      </c>
      <c r="G414" s="13" t="s">
        <v>137</v>
      </c>
      <c r="H414" s="13" t="s">
        <v>138</v>
      </c>
      <c r="I414" t="s">
        <v>44</v>
      </c>
      <c r="J414" s="13" t="s">
        <v>45</v>
      </c>
      <c r="K414" s="13" t="s">
        <v>29</v>
      </c>
      <c r="L414" s="13" t="s">
        <v>30</v>
      </c>
      <c r="M414" t="s">
        <v>139</v>
      </c>
      <c r="N414">
        <v>915</v>
      </c>
      <c r="O414" s="14">
        <v>0.42850791127421001</v>
      </c>
      <c r="P414" s="14">
        <v>0.61639246996492103</v>
      </c>
      <c r="Q414" t="str">
        <f t="shared" si="12"/>
        <v>50+</v>
      </c>
      <c r="R414" t="str">
        <f t="shared" si="13"/>
        <v>[zphK9WV8JB4]|50+|Female|POP_EST.T_1|CY2023Q3</v>
      </c>
    </row>
    <row r="415" spans="4:18" x14ac:dyDescent="0.2">
      <c r="D415" s="13" t="s">
        <v>52</v>
      </c>
      <c r="E415" s="13" t="s">
        <v>53</v>
      </c>
      <c r="F415" s="13" t="s">
        <v>54</v>
      </c>
      <c r="G415" s="13" t="s">
        <v>137</v>
      </c>
      <c r="H415" s="13" t="s">
        <v>138</v>
      </c>
      <c r="I415" t="s">
        <v>27</v>
      </c>
      <c r="J415" s="13" t="s">
        <v>28</v>
      </c>
      <c r="K415" s="13" t="s">
        <v>47</v>
      </c>
      <c r="L415" s="13" t="s">
        <v>48</v>
      </c>
      <c r="M415" t="s">
        <v>139</v>
      </c>
      <c r="N415">
        <v>1937</v>
      </c>
      <c r="O415" s="14">
        <v>0.85965170175768402</v>
      </c>
      <c r="P415" s="14">
        <v>0.61639246996492103</v>
      </c>
      <c r="Q415" t="str">
        <f t="shared" si="12"/>
        <v>&lt;01</v>
      </c>
      <c r="R415" t="str">
        <f t="shared" si="13"/>
        <v>[zphK9WV8JB4]|&lt;01|Male|POP_EST.T_1|CY2023Q3</v>
      </c>
    </row>
    <row r="416" spans="4:18" x14ac:dyDescent="0.2">
      <c r="D416" s="13" t="s">
        <v>52</v>
      </c>
      <c r="E416" s="13" t="s">
        <v>53</v>
      </c>
      <c r="F416" s="13" t="s">
        <v>54</v>
      </c>
      <c r="G416" s="13" t="s">
        <v>137</v>
      </c>
      <c r="H416" s="13" t="s">
        <v>138</v>
      </c>
      <c r="I416" t="s">
        <v>32</v>
      </c>
      <c r="J416" s="13" t="s">
        <v>33</v>
      </c>
      <c r="K416" s="13" t="s">
        <v>47</v>
      </c>
      <c r="L416" s="13" t="s">
        <v>48</v>
      </c>
      <c r="M416" t="s">
        <v>139</v>
      </c>
      <c r="N416">
        <v>1687</v>
      </c>
      <c r="O416" s="14">
        <v>0.366833583451807</v>
      </c>
      <c r="P416" s="14">
        <v>0.61639246996492103</v>
      </c>
      <c r="Q416" t="str">
        <f t="shared" si="12"/>
        <v>01-09</v>
      </c>
      <c r="R416" t="str">
        <f t="shared" si="13"/>
        <v>[zphK9WV8JB4]|01-09|Male|POP_EST.T_1|CY2023Q3</v>
      </c>
    </row>
    <row r="417" spans="4:18" x14ac:dyDescent="0.2">
      <c r="D417" s="13" t="s">
        <v>52</v>
      </c>
      <c r="E417" s="13" t="s">
        <v>53</v>
      </c>
      <c r="F417" s="13" t="s">
        <v>54</v>
      </c>
      <c r="G417" s="13" t="s">
        <v>137</v>
      </c>
      <c r="H417" s="13" t="s">
        <v>138</v>
      </c>
      <c r="I417" t="s">
        <v>35</v>
      </c>
      <c r="J417" s="13" t="s">
        <v>36</v>
      </c>
      <c r="K417" s="13" t="s">
        <v>47</v>
      </c>
      <c r="L417" s="13" t="s">
        <v>48</v>
      </c>
      <c r="M417" t="s">
        <v>139</v>
      </c>
      <c r="N417">
        <v>1837</v>
      </c>
      <c r="O417" s="14">
        <v>0.89044556464068603</v>
      </c>
      <c r="P417" s="14">
        <v>0.61639246996492103</v>
      </c>
      <c r="Q417" t="str">
        <f t="shared" si="12"/>
        <v>10-14</v>
      </c>
      <c r="R417" t="str">
        <f t="shared" si="13"/>
        <v>[zphK9WV8JB4]|10-14|Male|POP_EST.T_1|CY2023Q3</v>
      </c>
    </row>
    <row r="418" spans="4:18" x14ac:dyDescent="0.2">
      <c r="D418" s="13" t="s">
        <v>52</v>
      </c>
      <c r="E418" s="13" t="s">
        <v>53</v>
      </c>
      <c r="F418" s="13" t="s">
        <v>54</v>
      </c>
      <c r="G418" s="13" t="s">
        <v>137</v>
      </c>
      <c r="H418" s="13" t="s">
        <v>138</v>
      </c>
      <c r="I418" t="s">
        <v>37</v>
      </c>
      <c r="J418" s="13" t="s">
        <v>38</v>
      </c>
      <c r="K418" s="13" t="s">
        <v>47</v>
      </c>
      <c r="L418" s="13" t="s">
        <v>48</v>
      </c>
      <c r="M418" t="s">
        <v>139</v>
      </c>
      <c r="N418">
        <v>1452</v>
      </c>
      <c r="O418" s="14">
        <v>0.24638387956656499</v>
      </c>
      <c r="P418" s="14">
        <v>0.61639246996492103</v>
      </c>
      <c r="Q418" t="str">
        <f t="shared" si="12"/>
        <v>15-24</v>
      </c>
      <c r="R418" t="str">
        <f t="shared" si="13"/>
        <v>[zphK9WV8JB4]|15-24|Male|POP_EST.T_1|CY2023Q3</v>
      </c>
    </row>
    <row r="419" spans="4:18" x14ac:dyDescent="0.2">
      <c r="D419" s="13" t="s">
        <v>52</v>
      </c>
      <c r="E419" s="13" t="s">
        <v>53</v>
      </c>
      <c r="F419" s="13" t="s">
        <v>54</v>
      </c>
      <c r="G419" s="13" t="s">
        <v>137</v>
      </c>
      <c r="H419" s="13" t="s">
        <v>138</v>
      </c>
      <c r="I419" t="s">
        <v>40</v>
      </c>
      <c r="J419" s="13" t="s">
        <v>41</v>
      </c>
      <c r="K419" s="13" t="s">
        <v>47</v>
      </c>
      <c r="L419" s="13" t="s">
        <v>48</v>
      </c>
      <c r="M419" t="s">
        <v>139</v>
      </c>
      <c r="N419">
        <v>902</v>
      </c>
      <c r="O419" s="14">
        <v>0.80402867682278201</v>
      </c>
      <c r="P419" s="14">
        <v>0.61639246996492103</v>
      </c>
      <c r="Q419" t="str">
        <f t="shared" si="12"/>
        <v>25-34</v>
      </c>
      <c r="R419" t="str">
        <f t="shared" si="13"/>
        <v>[zphK9WV8JB4]|25-34|Male|POP_EST.T_1|CY2023Q3</v>
      </c>
    </row>
    <row r="420" spans="4:18" x14ac:dyDescent="0.2">
      <c r="D420" s="13" t="s">
        <v>52</v>
      </c>
      <c r="E420" s="13" t="s">
        <v>53</v>
      </c>
      <c r="F420" s="13" t="s">
        <v>54</v>
      </c>
      <c r="G420" s="13" t="s">
        <v>137</v>
      </c>
      <c r="H420" s="13" t="s">
        <v>138</v>
      </c>
      <c r="I420" t="s">
        <v>42</v>
      </c>
      <c r="J420" s="13" t="s">
        <v>43</v>
      </c>
      <c r="K420" s="13" t="s">
        <v>47</v>
      </c>
      <c r="L420" s="13" t="s">
        <v>48</v>
      </c>
      <c r="M420" t="s">
        <v>139</v>
      </c>
      <c r="N420">
        <v>1463</v>
      </c>
      <c r="O420" s="14">
        <v>0.46593155106529599</v>
      </c>
      <c r="P420" s="14">
        <v>0.61639246996492103</v>
      </c>
      <c r="Q420" t="str">
        <f t="shared" si="12"/>
        <v>35-49</v>
      </c>
      <c r="R420" t="str">
        <f t="shared" si="13"/>
        <v>[zphK9WV8JB4]|35-49|Male|POP_EST.T_1|CY2023Q3</v>
      </c>
    </row>
    <row r="421" spans="4:18" x14ac:dyDescent="0.2">
      <c r="D421" s="13" t="s">
        <v>52</v>
      </c>
      <c r="E421" s="13" t="s">
        <v>53</v>
      </c>
      <c r="F421" s="13" t="s">
        <v>54</v>
      </c>
      <c r="G421" s="13" t="s">
        <v>137</v>
      </c>
      <c r="H421" s="13" t="s">
        <v>138</v>
      </c>
      <c r="I421" t="s">
        <v>44</v>
      </c>
      <c r="J421" s="13" t="s">
        <v>45</v>
      </c>
      <c r="K421" s="13" t="s">
        <v>47</v>
      </c>
      <c r="L421" s="13" t="s">
        <v>48</v>
      </c>
      <c r="M421" t="s">
        <v>139</v>
      </c>
      <c r="N421">
        <v>816</v>
      </c>
      <c r="O421" s="14">
        <v>0.64634062722325303</v>
      </c>
      <c r="P421" s="14">
        <v>0.61639246996492103</v>
      </c>
      <c r="Q421" t="str">
        <f t="shared" si="12"/>
        <v>50+</v>
      </c>
      <c r="R421" t="str">
        <f t="shared" si="13"/>
        <v>[zphK9WV8JB4]|50+|Male|POP_EST.T_1|CY2023Q3</v>
      </c>
    </row>
    <row r="422" spans="4:18" x14ac:dyDescent="0.2">
      <c r="D422" s="13" t="s">
        <v>59</v>
      </c>
      <c r="E422" s="13" t="s">
        <v>60</v>
      </c>
      <c r="F422" s="13" t="s">
        <v>61</v>
      </c>
      <c r="G422" s="13" t="s">
        <v>137</v>
      </c>
      <c r="H422" s="13" t="s">
        <v>138</v>
      </c>
      <c r="I422" t="s">
        <v>27</v>
      </c>
      <c r="J422" s="13" t="s">
        <v>28</v>
      </c>
      <c r="K422" s="13" t="s">
        <v>29</v>
      </c>
      <c r="L422" s="13" t="s">
        <v>30</v>
      </c>
      <c r="M422" t="s">
        <v>139</v>
      </c>
      <c r="N422">
        <v>627</v>
      </c>
      <c r="O422" s="14">
        <v>0.75086966110393405</v>
      </c>
      <c r="P422" s="14">
        <v>2.6825056178495298E-2</v>
      </c>
      <c r="Q422" t="str">
        <f t="shared" si="12"/>
        <v>&lt;01</v>
      </c>
      <c r="R422" t="str">
        <f t="shared" si="13"/>
        <v>[msW2zpIN7up]|&lt;01|Female|POP_EST.T_1|CY2023Q3</v>
      </c>
    </row>
    <row r="423" spans="4:18" x14ac:dyDescent="0.2">
      <c r="D423" s="13" t="s">
        <v>59</v>
      </c>
      <c r="E423" s="13" t="s">
        <v>60</v>
      </c>
      <c r="F423" s="13" t="s">
        <v>61</v>
      </c>
      <c r="G423" s="13" t="s">
        <v>137</v>
      </c>
      <c r="H423" s="13" t="s">
        <v>138</v>
      </c>
      <c r="I423" t="s">
        <v>32</v>
      </c>
      <c r="J423" s="13" t="s">
        <v>33</v>
      </c>
      <c r="K423" s="13" t="s">
        <v>29</v>
      </c>
      <c r="L423" s="13" t="s">
        <v>30</v>
      </c>
      <c r="M423" t="s">
        <v>139</v>
      </c>
      <c r="N423">
        <v>1587</v>
      </c>
      <c r="O423" s="14">
        <v>0.56053043180145301</v>
      </c>
      <c r="P423" s="14">
        <v>2.6825056178495298E-2</v>
      </c>
      <c r="Q423" t="str">
        <f t="shared" si="12"/>
        <v>01-09</v>
      </c>
      <c r="R423" t="str">
        <f t="shared" si="13"/>
        <v>[msW2zpIN7up]|01-09|Female|POP_EST.T_1|CY2023Q3</v>
      </c>
    </row>
    <row r="424" spans="4:18" x14ac:dyDescent="0.2">
      <c r="D424" s="13" t="s">
        <v>59</v>
      </c>
      <c r="E424" s="13" t="s">
        <v>60</v>
      </c>
      <c r="F424" s="13" t="s">
        <v>61</v>
      </c>
      <c r="G424" s="13" t="s">
        <v>137</v>
      </c>
      <c r="H424" s="13" t="s">
        <v>138</v>
      </c>
      <c r="I424" t="s">
        <v>35</v>
      </c>
      <c r="J424" s="13" t="s">
        <v>36</v>
      </c>
      <c r="K424" s="13" t="s">
        <v>29</v>
      </c>
      <c r="L424" s="13" t="s">
        <v>30</v>
      </c>
      <c r="M424" t="s">
        <v>139</v>
      </c>
      <c r="N424">
        <v>1441</v>
      </c>
      <c r="O424" s="14">
        <v>0.73261408461257804</v>
      </c>
      <c r="P424" s="14">
        <v>2.6825056178495298E-2</v>
      </c>
      <c r="Q424" t="str">
        <f t="shared" si="12"/>
        <v>10-14</v>
      </c>
      <c r="R424" t="str">
        <f t="shared" si="13"/>
        <v>[msW2zpIN7up]|10-14|Female|POP_EST.T_1|CY2023Q3</v>
      </c>
    </row>
    <row r="425" spans="4:18" x14ac:dyDescent="0.2">
      <c r="D425" s="13" t="s">
        <v>59</v>
      </c>
      <c r="E425" s="13" t="s">
        <v>60</v>
      </c>
      <c r="F425" s="13" t="s">
        <v>61</v>
      </c>
      <c r="G425" s="13" t="s">
        <v>137</v>
      </c>
      <c r="H425" s="13" t="s">
        <v>138</v>
      </c>
      <c r="I425" t="s">
        <v>37</v>
      </c>
      <c r="J425" s="13" t="s">
        <v>38</v>
      </c>
      <c r="K425" s="13" t="s">
        <v>29</v>
      </c>
      <c r="L425" s="13" t="s">
        <v>30</v>
      </c>
      <c r="M425" t="s">
        <v>139</v>
      </c>
      <c r="N425">
        <v>500</v>
      </c>
      <c r="O425" s="14">
        <v>0.73627678467892099</v>
      </c>
      <c r="P425" s="14">
        <v>2.6825056178495298E-2</v>
      </c>
      <c r="Q425" t="str">
        <f t="shared" si="12"/>
        <v>15-24</v>
      </c>
      <c r="R425" t="str">
        <f t="shared" si="13"/>
        <v>[msW2zpIN7up]|15-24|Female|POP_EST.T_1|CY2023Q3</v>
      </c>
    </row>
    <row r="426" spans="4:18" x14ac:dyDescent="0.2">
      <c r="D426" s="13" t="s">
        <v>59</v>
      </c>
      <c r="E426" s="13" t="s">
        <v>60</v>
      </c>
      <c r="F426" s="13" t="s">
        <v>61</v>
      </c>
      <c r="G426" s="13" t="s">
        <v>137</v>
      </c>
      <c r="H426" s="13" t="s">
        <v>138</v>
      </c>
      <c r="I426" t="s">
        <v>40</v>
      </c>
      <c r="J426" s="13" t="s">
        <v>41</v>
      </c>
      <c r="K426" s="13" t="s">
        <v>29</v>
      </c>
      <c r="L426" s="13" t="s">
        <v>30</v>
      </c>
      <c r="M426" t="s">
        <v>139</v>
      </c>
      <c r="N426">
        <v>1415</v>
      </c>
      <c r="O426" s="14">
        <v>0.74805455957539402</v>
      </c>
      <c r="P426" s="14">
        <v>2.6825056178495298E-2</v>
      </c>
      <c r="Q426" t="str">
        <f t="shared" si="12"/>
        <v>25-34</v>
      </c>
      <c r="R426" t="str">
        <f t="shared" si="13"/>
        <v>[msW2zpIN7up]|25-34|Female|POP_EST.T_1|CY2023Q3</v>
      </c>
    </row>
    <row r="427" spans="4:18" x14ac:dyDescent="0.2">
      <c r="D427" s="13" t="s">
        <v>59</v>
      </c>
      <c r="E427" s="13" t="s">
        <v>60</v>
      </c>
      <c r="F427" s="13" t="s">
        <v>61</v>
      </c>
      <c r="G427" s="13" t="s">
        <v>137</v>
      </c>
      <c r="H427" s="13" t="s">
        <v>138</v>
      </c>
      <c r="I427" t="s">
        <v>42</v>
      </c>
      <c r="J427" s="13" t="s">
        <v>43</v>
      </c>
      <c r="K427" s="13" t="s">
        <v>29</v>
      </c>
      <c r="L427" s="13" t="s">
        <v>30</v>
      </c>
      <c r="M427" t="s">
        <v>139</v>
      </c>
      <c r="N427">
        <v>1393</v>
      </c>
      <c r="O427" s="14">
        <v>0.438918449683115</v>
      </c>
      <c r="P427" s="14">
        <v>2.6825056178495298E-2</v>
      </c>
      <c r="Q427" t="str">
        <f t="shared" si="12"/>
        <v>35-49</v>
      </c>
      <c r="R427" t="str">
        <f t="shared" si="13"/>
        <v>[msW2zpIN7up]|35-49|Female|POP_EST.T_1|CY2023Q3</v>
      </c>
    </row>
    <row r="428" spans="4:18" x14ac:dyDescent="0.2">
      <c r="D428" s="13" t="s">
        <v>59</v>
      </c>
      <c r="E428" s="13" t="s">
        <v>60</v>
      </c>
      <c r="F428" s="13" t="s">
        <v>61</v>
      </c>
      <c r="G428" s="13" t="s">
        <v>137</v>
      </c>
      <c r="H428" s="13" t="s">
        <v>138</v>
      </c>
      <c r="I428" t="s">
        <v>44</v>
      </c>
      <c r="J428" s="13" t="s">
        <v>45</v>
      </c>
      <c r="K428" s="13" t="s">
        <v>29</v>
      </c>
      <c r="L428" s="13" t="s">
        <v>30</v>
      </c>
      <c r="M428" t="s">
        <v>139</v>
      </c>
      <c r="N428">
        <v>1473</v>
      </c>
      <c r="O428" s="14">
        <v>0.36635340703651298</v>
      </c>
      <c r="P428" s="14">
        <v>2.6825056178495298E-2</v>
      </c>
      <c r="Q428" t="str">
        <f t="shared" si="12"/>
        <v>50+</v>
      </c>
      <c r="R428" t="str">
        <f t="shared" si="13"/>
        <v>[msW2zpIN7up]|50+|Female|POP_EST.T_1|CY2023Q3</v>
      </c>
    </row>
    <row r="429" spans="4:18" x14ac:dyDescent="0.2">
      <c r="D429" s="13" t="s">
        <v>59</v>
      </c>
      <c r="E429" s="13" t="s">
        <v>60</v>
      </c>
      <c r="F429" s="13" t="s">
        <v>61</v>
      </c>
      <c r="G429" s="13" t="s">
        <v>137</v>
      </c>
      <c r="H429" s="13" t="s">
        <v>138</v>
      </c>
      <c r="I429" t="s">
        <v>27</v>
      </c>
      <c r="J429" s="13" t="s">
        <v>28</v>
      </c>
      <c r="K429" s="13" t="s">
        <v>47</v>
      </c>
      <c r="L429" s="13" t="s">
        <v>48</v>
      </c>
      <c r="M429" t="s">
        <v>139</v>
      </c>
      <c r="N429">
        <v>620</v>
      </c>
      <c r="O429" s="14">
        <v>0.34230746701359699</v>
      </c>
      <c r="P429" s="14">
        <v>2.6825056178495298E-2</v>
      </c>
      <c r="Q429" t="str">
        <f t="shared" si="12"/>
        <v>&lt;01</v>
      </c>
      <c r="R429" t="str">
        <f t="shared" si="13"/>
        <v>[msW2zpIN7up]|&lt;01|Male|POP_EST.T_1|CY2023Q3</v>
      </c>
    </row>
    <row r="430" spans="4:18" x14ac:dyDescent="0.2">
      <c r="D430" s="13" t="s">
        <v>59</v>
      </c>
      <c r="E430" s="13" t="s">
        <v>60</v>
      </c>
      <c r="F430" s="13" t="s">
        <v>61</v>
      </c>
      <c r="G430" s="13" t="s">
        <v>137</v>
      </c>
      <c r="H430" s="13" t="s">
        <v>138</v>
      </c>
      <c r="I430" t="s">
        <v>32</v>
      </c>
      <c r="J430" s="13" t="s">
        <v>33</v>
      </c>
      <c r="K430" s="13" t="s">
        <v>47</v>
      </c>
      <c r="L430" s="13" t="s">
        <v>48</v>
      </c>
      <c r="M430" t="s">
        <v>139</v>
      </c>
      <c r="N430">
        <v>1930</v>
      </c>
      <c r="O430" s="14">
        <v>0.64543205848895002</v>
      </c>
      <c r="P430" s="14">
        <v>2.6825056178495298E-2</v>
      </c>
      <c r="Q430" t="str">
        <f t="shared" si="12"/>
        <v>01-09</v>
      </c>
      <c r="R430" t="str">
        <f t="shared" si="13"/>
        <v>[msW2zpIN7up]|01-09|Male|POP_EST.T_1|CY2023Q3</v>
      </c>
    </row>
    <row r="431" spans="4:18" x14ac:dyDescent="0.2">
      <c r="D431" s="13" t="s">
        <v>59</v>
      </c>
      <c r="E431" s="13" t="s">
        <v>60</v>
      </c>
      <c r="F431" s="13" t="s">
        <v>61</v>
      </c>
      <c r="G431" s="13" t="s">
        <v>137</v>
      </c>
      <c r="H431" s="13" t="s">
        <v>138</v>
      </c>
      <c r="I431" t="s">
        <v>35</v>
      </c>
      <c r="J431" s="13" t="s">
        <v>36</v>
      </c>
      <c r="K431" s="13" t="s">
        <v>47</v>
      </c>
      <c r="L431" s="13" t="s">
        <v>48</v>
      </c>
      <c r="M431" t="s">
        <v>139</v>
      </c>
      <c r="N431">
        <v>771</v>
      </c>
      <c r="O431" s="14">
        <v>0.16603128612041501</v>
      </c>
      <c r="P431" s="14">
        <v>2.6825056178495298E-2</v>
      </c>
      <c r="Q431" t="str">
        <f t="shared" si="12"/>
        <v>10-14</v>
      </c>
      <c r="R431" t="str">
        <f t="shared" si="13"/>
        <v>[msW2zpIN7up]|10-14|Male|POP_EST.T_1|CY2023Q3</v>
      </c>
    </row>
    <row r="432" spans="4:18" x14ac:dyDescent="0.2">
      <c r="D432" s="13" t="s">
        <v>59</v>
      </c>
      <c r="E432" s="13" t="s">
        <v>60</v>
      </c>
      <c r="F432" s="13" t="s">
        <v>61</v>
      </c>
      <c r="G432" s="13" t="s">
        <v>137</v>
      </c>
      <c r="H432" s="13" t="s">
        <v>138</v>
      </c>
      <c r="I432" t="s">
        <v>37</v>
      </c>
      <c r="J432" s="13" t="s">
        <v>38</v>
      </c>
      <c r="K432" s="13" t="s">
        <v>47</v>
      </c>
      <c r="L432" s="13" t="s">
        <v>48</v>
      </c>
      <c r="M432" t="s">
        <v>139</v>
      </c>
      <c r="N432">
        <v>1297</v>
      </c>
      <c r="O432" s="14">
        <v>0.82766674226149906</v>
      </c>
      <c r="P432" s="14">
        <v>2.6825056178495298E-2</v>
      </c>
      <c r="Q432" t="str">
        <f t="shared" si="12"/>
        <v>15-24</v>
      </c>
      <c r="R432" t="str">
        <f t="shared" si="13"/>
        <v>[msW2zpIN7up]|15-24|Male|POP_EST.T_1|CY2023Q3</v>
      </c>
    </row>
    <row r="433" spans="4:18" x14ac:dyDescent="0.2">
      <c r="D433" s="13" t="s">
        <v>59</v>
      </c>
      <c r="E433" s="13" t="s">
        <v>60</v>
      </c>
      <c r="F433" s="13" t="s">
        <v>61</v>
      </c>
      <c r="G433" s="13" t="s">
        <v>137</v>
      </c>
      <c r="H433" s="13" t="s">
        <v>138</v>
      </c>
      <c r="I433" t="s">
        <v>40</v>
      </c>
      <c r="J433" s="13" t="s">
        <v>41</v>
      </c>
      <c r="K433" s="13" t="s">
        <v>47</v>
      </c>
      <c r="L433" s="13" t="s">
        <v>48</v>
      </c>
      <c r="M433" t="s">
        <v>139</v>
      </c>
      <c r="N433">
        <v>896</v>
      </c>
      <c r="O433" s="14">
        <v>0.50667561008594897</v>
      </c>
      <c r="P433" s="14">
        <v>2.6825056178495298E-2</v>
      </c>
      <c r="Q433" t="str">
        <f t="shared" si="12"/>
        <v>25-34</v>
      </c>
      <c r="R433" t="str">
        <f t="shared" si="13"/>
        <v>[msW2zpIN7up]|25-34|Male|POP_EST.T_1|CY2023Q3</v>
      </c>
    </row>
    <row r="434" spans="4:18" x14ac:dyDescent="0.2">
      <c r="D434" s="13" t="s">
        <v>59</v>
      </c>
      <c r="E434" s="13" t="s">
        <v>60</v>
      </c>
      <c r="F434" s="13" t="s">
        <v>61</v>
      </c>
      <c r="G434" s="13" t="s">
        <v>137</v>
      </c>
      <c r="H434" s="13" t="s">
        <v>138</v>
      </c>
      <c r="I434" t="s">
        <v>42</v>
      </c>
      <c r="J434" s="13" t="s">
        <v>43</v>
      </c>
      <c r="K434" s="13" t="s">
        <v>47</v>
      </c>
      <c r="L434" s="13" t="s">
        <v>48</v>
      </c>
      <c r="M434" t="s">
        <v>139</v>
      </c>
      <c r="N434">
        <v>1091</v>
      </c>
      <c r="O434" s="14">
        <v>0.310004750965163</v>
      </c>
      <c r="P434" s="14">
        <v>2.6825056178495298E-2</v>
      </c>
      <c r="Q434" t="str">
        <f t="shared" si="12"/>
        <v>35-49</v>
      </c>
      <c r="R434" t="str">
        <f t="shared" si="13"/>
        <v>[msW2zpIN7up]|35-49|Male|POP_EST.T_1|CY2023Q3</v>
      </c>
    </row>
    <row r="435" spans="4:18" x14ac:dyDescent="0.2">
      <c r="D435" s="13" t="s">
        <v>59</v>
      </c>
      <c r="E435" s="13" t="s">
        <v>60</v>
      </c>
      <c r="F435" s="13" t="s">
        <v>61</v>
      </c>
      <c r="G435" s="13" t="s">
        <v>137</v>
      </c>
      <c r="H435" s="13" t="s">
        <v>138</v>
      </c>
      <c r="I435" t="s">
        <v>44</v>
      </c>
      <c r="J435" s="13" t="s">
        <v>45</v>
      </c>
      <c r="K435" s="13" t="s">
        <v>47</v>
      </c>
      <c r="L435" s="13" t="s">
        <v>48</v>
      </c>
      <c r="M435" t="s">
        <v>139</v>
      </c>
      <c r="N435">
        <v>1967</v>
      </c>
      <c r="O435" s="14">
        <v>0.19239338347688301</v>
      </c>
      <c r="P435" s="14">
        <v>2.6825056178495298E-2</v>
      </c>
      <c r="Q435" t="str">
        <f t="shared" si="12"/>
        <v>50+</v>
      </c>
      <c r="R435" t="str">
        <f t="shared" si="13"/>
        <v>[msW2zpIN7up]|50+|Male|POP_EST.T_1|CY2023Q3</v>
      </c>
    </row>
    <row r="436" spans="4:18" x14ac:dyDescent="0.2">
      <c r="D436" s="13" t="s">
        <v>62</v>
      </c>
      <c r="E436" s="13" t="s">
        <v>63</v>
      </c>
      <c r="F436" s="13" t="s">
        <v>64</v>
      </c>
      <c r="G436" s="13" t="s">
        <v>137</v>
      </c>
      <c r="H436" s="13" t="s">
        <v>138</v>
      </c>
      <c r="I436" t="s">
        <v>27</v>
      </c>
      <c r="J436" s="13" t="s">
        <v>28</v>
      </c>
      <c r="K436" s="13" t="s">
        <v>29</v>
      </c>
      <c r="L436" s="13" t="s">
        <v>30</v>
      </c>
      <c r="M436" t="s">
        <v>139</v>
      </c>
      <c r="N436">
        <v>810</v>
      </c>
      <c r="O436" s="14">
        <v>0.27510120393708298</v>
      </c>
      <c r="P436" s="14">
        <v>0.790102193132043</v>
      </c>
      <c r="Q436" t="str">
        <f t="shared" si="12"/>
        <v>&lt;01</v>
      </c>
      <c r="R436" t="str">
        <f t="shared" si="13"/>
        <v>[kxuuIFpOXyO]|&lt;01|Female|POP_EST.T_1|CY2023Q3</v>
      </c>
    </row>
    <row r="437" spans="4:18" x14ac:dyDescent="0.2">
      <c r="D437" s="13" t="s">
        <v>62</v>
      </c>
      <c r="E437" s="13" t="s">
        <v>63</v>
      </c>
      <c r="F437" s="13" t="s">
        <v>64</v>
      </c>
      <c r="G437" s="13" t="s">
        <v>137</v>
      </c>
      <c r="H437" s="13" t="s">
        <v>138</v>
      </c>
      <c r="I437" t="s">
        <v>32</v>
      </c>
      <c r="J437" s="13" t="s">
        <v>33</v>
      </c>
      <c r="K437" s="13" t="s">
        <v>29</v>
      </c>
      <c r="L437" s="13" t="s">
        <v>30</v>
      </c>
      <c r="M437" t="s">
        <v>139</v>
      </c>
      <c r="N437">
        <v>1665</v>
      </c>
      <c r="O437" s="14">
        <v>9.8197064828127595E-2</v>
      </c>
      <c r="P437" s="14">
        <v>0.790102193132043</v>
      </c>
      <c r="Q437" t="str">
        <f t="shared" si="12"/>
        <v>01-09</v>
      </c>
      <c r="R437" t="str">
        <f t="shared" si="13"/>
        <v>[kxuuIFpOXyO]|01-09|Female|POP_EST.T_1|CY2023Q3</v>
      </c>
    </row>
    <row r="438" spans="4:18" x14ac:dyDescent="0.2">
      <c r="D438" s="13" t="s">
        <v>62</v>
      </c>
      <c r="E438" s="13" t="s">
        <v>63</v>
      </c>
      <c r="F438" s="13" t="s">
        <v>64</v>
      </c>
      <c r="G438" s="13" t="s">
        <v>137</v>
      </c>
      <c r="H438" s="13" t="s">
        <v>138</v>
      </c>
      <c r="I438" t="s">
        <v>35</v>
      </c>
      <c r="J438" s="13" t="s">
        <v>36</v>
      </c>
      <c r="K438" s="13" t="s">
        <v>29</v>
      </c>
      <c r="L438" s="13" t="s">
        <v>30</v>
      </c>
      <c r="M438" t="s">
        <v>139</v>
      </c>
      <c r="N438">
        <v>1546</v>
      </c>
      <c r="O438" s="14">
        <v>0.17257219762541401</v>
      </c>
      <c r="P438" s="14">
        <v>0.790102193132043</v>
      </c>
      <c r="Q438" t="str">
        <f t="shared" si="12"/>
        <v>10-14</v>
      </c>
      <c r="R438" t="str">
        <f t="shared" si="13"/>
        <v>[kxuuIFpOXyO]|10-14|Female|POP_EST.T_1|CY2023Q3</v>
      </c>
    </row>
    <row r="439" spans="4:18" x14ac:dyDescent="0.2">
      <c r="D439" s="13" t="s">
        <v>62</v>
      </c>
      <c r="E439" s="13" t="s">
        <v>63</v>
      </c>
      <c r="F439" s="13" t="s">
        <v>64</v>
      </c>
      <c r="G439" s="13" t="s">
        <v>137</v>
      </c>
      <c r="H439" s="13" t="s">
        <v>138</v>
      </c>
      <c r="I439" t="s">
        <v>37</v>
      </c>
      <c r="J439" s="13" t="s">
        <v>38</v>
      </c>
      <c r="K439" s="13" t="s">
        <v>29</v>
      </c>
      <c r="L439" s="13" t="s">
        <v>30</v>
      </c>
      <c r="M439" t="s">
        <v>139</v>
      </c>
      <c r="N439">
        <v>794</v>
      </c>
      <c r="O439" s="14">
        <v>0.69151804526336502</v>
      </c>
      <c r="P439" s="14">
        <v>0.790102193132043</v>
      </c>
      <c r="Q439" t="str">
        <f t="shared" si="12"/>
        <v>15-24</v>
      </c>
      <c r="R439" t="str">
        <f t="shared" si="13"/>
        <v>[kxuuIFpOXyO]|15-24|Female|POP_EST.T_1|CY2023Q3</v>
      </c>
    </row>
    <row r="440" spans="4:18" x14ac:dyDescent="0.2">
      <c r="D440" s="13" t="s">
        <v>62</v>
      </c>
      <c r="E440" s="13" t="s">
        <v>63</v>
      </c>
      <c r="F440" s="13" t="s">
        <v>64</v>
      </c>
      <c r="G440" s="13" t="s">
        <v>137</v>
      </c>
      <c r="H440" s="13" t="s">
        <v>138</v>
      </c>
      <c r="I440" t="s">
        <v>40</v>
      </c>
      <c r="J440" s="13" t="s">
        <v>41</v>
      </c>
      <c r="K440" s="13" t="s">
        <v>29</v>
      </c>
      <c r="L440" s="13" t="s">
        <v>30</v>
      </c>
      <c r="M440" t="s">
        <v>139</v>
      </c>
      <c r="N440">
        <v>904</v>
      </c>
      <c r="O440" s="14">
        <v>0.181617261609063</v>
      </c>
      <c r="P440" s="14">
        <v>0.790102193132043</v>
      </c>
      <c r="Q440" t="str">
        <f t="shared" si="12"/>
        <v>25-34</v>
      </c>
      <c r="R440" t="str">
        <f t="shared" si="13"/>
        <v>[kxuuIFpOXyO]|25-34|Female|POP_EST.T_1|CY2023Q3</v>
      </c>
    </row>
    <row r="441" spans="4:18" x14ac:dyDescent="0.2">
      <c r="D441" s="13" t="s">
        <v>62</v>
      </c>
      <c r="E441" s="13" t="s">
        <v>63</v>
      </c>
      <c r="F441" s="13" t="s">
        <v>64</v>
      </c>
      <c r="G441" s="13" t="s">
        <v>137</v>
      </c>
      <c r="H441" s="13" t="s">
        <v>138</v>
      </c>
      <c r="I441" t="s">
        <v>42</v>
      </c>
      <c r="J441" s="13" t="s">
        <v>43</v>
      </c>
      <c r="K441" s="13" t="s">
        <v>29</v>
      </c>
      <c r="L441" s="13" t="s">
        <v>30</v>
      </c>
      <c r="M441" t="s">
        <v>139</v>
      </c>
      <c r="N441">
        <v>1652</v>
      </c>
      <c r="O441" s="14">
        <v>0.98183766729198396</v>
      </c>
      <c r="P441" s="14">
        <v>0.790102193132043</v>
      </c>
      <c r="Q441" t="str">
        <f t="shared" si="12"/>
        <v>35-49</v>
      </c>
      <c r="R441" t="str">
        <f t="shared" si="13"/>
        <v>[kxuuIFpOXyO]|35-49|Female|POP_EST.T_1|CY2023Q3</v>
      </c>
    </row>
    <row r="442" spans="4:18" x14ac:dyDescent="0.2">
      <c r="D442" s="13" t="s">
        <v>62</v>
      </c>
      <c r="E442" s="13" t="s">
        <v>63</v>
      </c>
      <c r="F442" s="13" t="s">
        <v>64</v>
      </c>
      <c r="G442" s="13" t="s">
        <v>137</v>
      </c>
      <c r="H442" s="13" t="s">
        <v>138</v>
      </c>
      <c r="I442" t="s">
        <v>44</v>
      </c>
      <c r="J442" s="13" t="s">
        <v>45</v>
      </c>
      <c r="K442" s="13" t="s">
        <v>29</v>
      </c>
      <c r="L442" s="13" t="s">
        <v>30</v>
      </c>
      <c r="M442" t="s">
        <v>139</v>
      </c>
      <c r="N442">
        <v>1826</v>
      </c>
      <c r="O442" s="14">
        <v>0.48498869617469598</v>
      </c>
      <c r="P442" s="14">
        <v>0.790102193132043</v>
      </c>
      <c r="Q442" t="str">
        <f t="shared" si="12"/>
        <v>50+</v>
      </c>
      <c r="R442" t="str">
        <f t="shared" si="13"/>
        <v>[kxuuIFpOXyO]|50+|Female|POP_EST.T_1|CY2023Q3</v>
      </c>
    </row>
    <row r="443" spans="4:18" x14ac:dyDescent="0.2">
      <c r="D443" s="13" t="s">
        <v>62</v>
      </c>
      <c r="E443" s="13" t="s">
        <v>63</v>
      </c>
      <c r="F443" s="13" t="s">
        <v>64</v>
      </c>
      <c r="G443" s="13" t="s">
        <v>137</v>
      </c>
      <c r="H443" s="13" t="s">
        <v>138</v>
      </c>
      <c r="I443" t="s">
        <v>27</v>
      </c>
      <c r="J443" s="13" t="s">
        <v>28</v>
      </c>
      <c r="K443" s="13" t="s">
        <v>47</v>
      </c>
      <c r="L443" s="13" t="s">
        <v>48</v>
      </c>
      <c r="M443" t="s">
        <v>139</v>
      </c>
      <c r="N443">
        <v>821</v>
      </c>
      <c r="O443" s="14">
        <v>0.27956455852836398</v>
      </c>
      <c r="P443" s="14">
        <v>0.790102193132043</v>
      </c>
      <c r="Q443" t="str">
        <f t="shared" si="12"/>
        <v>&lt;01</v>
      </c>
      <c r="R443" t="str">
        <f t="shared" si="13"/>
        <v>[kxuuIFpOXyO]|&lt;01|Male|POP_EST.T_1|CY2023Q3</v>
      </c>
    </row>
    <row r="444" spans="4:18" x14ac:dyDescent="0.2">
      <c r="D444" s="13" t="s">
        <v>62</v>
      </c>
      <c r="E444" s="13" t="s">
        <v>63</v>
      </c>
      <c r="F444" s="13" t="s">
        <v>64</v>
      </c>
      <c r="G444" s="13" t="s">
        <v>137</v>
      </c>
      <c r="H444" s="13" t="s">
        <v>138</v>
      </c>
      <c r="I444" t="s">
        <v>32</v>
      </c>
      <c r="J444" s="13" t="s">
        <v>33</v>
      </c>
      <c r="K444" s="13" t="s">
        <v>47</v>
      </c>
      <c r="L444" s="13" t="s">
        <v>48</v>
      </c>
      <c r="M444" t="s">
        <v>139</v>
      </c>
      <c r="N444">
        <v>1219</v>
      </c>
      <c r="O444" s="14">
        <v>0.59778335294686302</v>
      </c>
      <c r="P444" s="14">
        <v>0.790102193132043</v>
      </c>
      <c r="Q444" t="str">
        <f t="shared" si="12"/>
        <v>01-09</v>
      </c>
      <c r="R444" t="str">
        <f t="shared" si="13"/>
        <v>[kxuuIFpOXyO]|01-09|Male|POP_EST.T_1|CY2023Q3</v>
      </c>
    </row>
    <row r="445" spans="4:18" x14ac:dyDescent="0.2">
      <c r="D445" s="13" t="s">
        <v>62</v>
      </c>
      <c r="E445" s="13" t="s">
        <v>63</v>
      </c>
      <c r="F445" s="13" t="s">
        <v>64</v>
      </c>
      <c r="G445" s="13" t="s">
        <v>137</v>
      </c>
      <c r="H445" s="13" t="s">
        <v>138</v>
      </c>
      <c r="I445" t="s">
        <v>35</v>
      </c>
      <c r="J445" s="13" t="s">
        <v>36</v>
      </c>
      <c r="K445" s="13" t="s">
        <v>47</v>
      </c>
      <c r="L445" s="13" t="s">
        <v>48</v>
      </c>
      <c r="M445" t="s">
        <v>139</v>
      </c>
      <c r="N445">
        <v>603</v>
      </c>
      <c r="O445" s="14">
        <v>0.35001728637143997</v>
      </c>
      <c r="P445" s="14">
        <v>0.790102193132043</v>
      </c>
      <c r="Q445" t="str">
        <f t="shared" si="12"/>
        <v>10-14</v>
      </c>
      <c r="R445" t="str">
        <f t="shared" si="13"/>
        <v>[kxuuIFpOXyO]|10-14|Male|POP_EST.T_1|CY2023Q3</v>
      </c>
    </row>
    <row r="446" spans="4:18" x14ac:dyDescent="0.2">
      <c r="D446" s="13" t="s">
        <v>62</v>
      </c>
      <c r="E446" s="13" t="s">
        <v>63</v>
      </c>
      <c r="F446" s="13" t="s">
        <v>64</v>
      </c>
      <c r="G446" s="13" t="s">
        <v>137</v>
      </c>
      <c r="H446" s="13" t="s">
        <v>138</v>
      </c>
      <c r="I446" t="s">
        <v>37</v>
      </c>
      <c r="J446" s="13" t="s">
        <v>38</v>
      </c>
      <c r="K446" s="13" t="s">
        <v>47</v>
      </c>
      <c r="L446" s="13" t="s">
        <v>48</v>
      </c>
      <c r="M446" t="s">
        <v>139</v>
      </c>
      <c r="N446">
        <v>1499</v>
      </c>
      <c r="O446" s="14">
        <v>0.53298456151969698</v>
      </c>
      <c r="P446" s="14">
        <v>0.790102193132043</v>
      </c>
      <c r="Q446" t="str">
        <f t="shared" si="12"/>
        <v>15-24</v>
      </c>
      <c r="R446" t="str">
        <f t="shared" si="13"/>
        <v>[kxuuIFpOXyO]|15-24|Male|POP_EST.T_1|CY2023Q3</v>
      </c>
    </row>
    <row r="447" spans="4:18" x14ac:dyDescent="0.2">
      <c r="D447" s="13" t="s">
        <v>62</v>
      </c>
      <c r="E447" s="13" t="s">
        <v>63</v>
      </c>
      <c r="F447" s="13" t="s">
        <v>64</v>
      </c>
      <c r="G447" s="13" t="s">
        <v>137</v>
      </c>
      <c r="H447" s="13" t="s">
        <v>138</v>
      </c>
      <c r="I447" t="s">
        <v>40</v>
      </c>
      <c r="J447" s="13" t="s">
        <v>41</v>
      </c>
      <c r="K447" s="13" t="s">
        <v>47</v>
      </c>
      <c r="L447" s="13" t="s">
        <v>48</v>
      </c>
      <c r="M447" t="s">
        <v>139</v>
      </c>
      <c r="N447">
        <v>906</v>
      </c>
      <c r="O447" s="14">
        <v>0.151617467170581</v>
      </c>
      <c r="P447" s="14">
        <v>0.790102193132043</v>
      </c>
      <c r="Q447" t="str">
        <f t="shared" si="12"/>
        <v>25-34</v>
      </c>
      <c r="R447" t="str">
        <f t="shared" si="13"/>
        <v>[kxuuIFpOXyO]|25-34|Male|POP_EST.T_1|CY2023Q3</v>
      </c>
    </row>
    <row r="448" spans="4:18" x14ac:dyDescent="0.2">
      <c r="D448" s="13" t="s">
        <v>62</v>
      </c>
      <c r="E448" s="13" t="s">
        <v>63</v>
      </c>
      <c r="F448" s="13" t="s">
        <v>64</v>
      </c>
      <c r="G448" s="13" t="s">
        <v>137</v>
      </c>
      <c r="H448" s="13" t="s">
        <v>138</v>
      </c>
      <c r="I448" t="s">
        <v>42</v>
      </c>
      <c r="J448" s="13" t="s">
        <v>43</v>
      </c>
      <c r="K448" s="13" t="s">
        <v>47</v>
      </c>
      <c r="L448" s="13" t="s">
        <v>48</v>
      </c>
      <c r="M448" t="s">
        <v>139</v>
      </c>
      <c r="N448">
        <v>1852</v>
      </c>
      <c r="O448" s="14">
        <v>0.19506911840289801</v>
      </c>
      <c r="P448" s="14">
        <v>0.790102193132043</v>
      </c>
      <c r="Q448" t="str">
        <f t="shared" si="12"/>
        <v>35-49</v>
      </c>
      <c r="R448" t="str">
        <f t="shared" si="13"/>
        <v>[kxuuIFpOXyO]|35-49|Male|POP_EST.T_1|CY2023Q3</v>
      </c>
    </row>
    <row r="449" spans="4:18" x14ac:dyDescent="0.2">
      <c r="D449" s="13" t="s">
        <v>62</v>
      </c>
      <c r="E449" s="13" t="s">
        <v>63</v>
      </c>
      <c r="F449" s="13" t="s">
        <v>64</v>
      </c>
      <c r="G449" s="13" t="s">
        <v>137</v>
      </c>
      <c r="H449" s="13" t="s">
        <v>138</v>
      </c>
      <c r="I449" t="s">
        <v>44</v>
      </c>
      <c r="J449" s="13" t="s">
        <v>45</v>
      </c>
      <c r="K449" s="13" t="s">
        <v>47</v>
      </c>
      <c r="L449" s="13" t="s">
        <v>48</v>
      </c>
      <c r="M449" t="s">
        <v>139</v>
      </c>
      <c r="N449">
        <v>637</v>
      </c>
      <c r="O449" s="14">
        <v>0.54239529650658402</v>
      </c>
      <c r="P449" s="14">
        <v>0.790102193132043</v>
      </c>
      <c r="Q449" t="str">
        <f t="shared" si="12"/>
        <v>50+</v>
      </c>
      <c r="R449" t="str">
        <f t="shared" si="13"/>
        <v>[kxuuIFpOXyO]|50+|Male|POP_EST.T_1|CY2023Q3</v>
      </c>
    </row>
    <row r="450" spans="4:18" x14ac:dyDescent="0.2">
      <c r="D450" s="13" t="s">
        <v>65</v>
      </c>
      <c r="E450" s="13" t="s">
        <v>66</v>
      </c>
      <c r="F450" s="13" t="s">
        <v>67</v>
      </c>
      <c r="G450" s="13" t="s">
        <v>137</v>
      </c>
      <c r="H450" s="13" t="s">
        <v>138</v>
      </c>
      <c r="I450" t="s">
        <v>27</v>
      </c>
      <c r="J450" s="13" t="s">
        <v>28</v>
      </c>
      <c r="K450" s="13" t="s">
        <v>29</v>
      </c>
      <c r="L450" s="13" t="s">
        <v>30</v>
      </c>
      <c r="M450" t="s">
        <v>139</v>
      </c>
      <c r="N450">
        <v>551</v>
      </c>
      <c r="O450" s="14">
        <v>0.40577618032693902</v>
      </c>
      <c r="P450" s="14">
        <v>0.16460988437756899</v>
      </c>
      <c r="Q450" t="str">
        <f t="shared" ref="Q450:Q513" si="14">SUBSTITUTE(SUBSTITUTE($I450,CHAR(61),""),CHAR(34),"")</f>
        <v>&lt;01</v>
      </c>
      <c r="R450" t="str">
        <f t="shared" ref="R450:R513" si="15">IF($D450&lt;&gt;"","["&amp;$E450&amp;"]"&amp;"|"&amp;$Q450&amp;"|"&amp;$K450&amp;"|"&amp;$G450&amp;"|"&amp;IF($G450="TX_CURR_SUBNAT.R","CY2022Q4",$M450),"")</f>
        <v>[ScR9iFKAasW]|&lt;01|Female|POP_EST.T_1|CY2023Q3</v>
      </c>
    </row>
    <row r="451" spans="4:18" x14ac:dyDescent="0.2">
      <c r="D451" s="13" t="s">
        <v>65</v>
      </c>
      <c r="E451" s="13" t="s">
        <v>66</v>
      </c>
      <c r="F451" s="13" t="s">
        <v>67</v>
      </c>
      <c r="G451" s="13" t="s">
        <v>137</v>
      </c>
      <c r="H451" s="13" t="s">
        <v>138</v>
      </c>
      <c r="I451" t="s">
        <v>32</v>
      </c>
      <c r="J451" s="13" t="s">
        <v>33</v>
      </c>
      <c r="K451" s="13" t="s">
        <v>29</v>
      </c>
      <c r="L451" s="13" t="s">
        <v>30</v>
      </c>
      <c r="M451" t="s">
        <v>139</v>
      </c>
      <c r="N451">
        <v>1756</v>
      </c>
      <c r="O451" s="14">
        <v>0.90336125902831599</v>
      </c>
      <c r="P451" s="14">
        <v>0.16460988437756899</v>
      </c>
      <c r="Q451" t="str">
        <f t="shared" si="14"/>
        <v>01-09</v>
      </c>
      <c r="R451" t="str">
        <f t="shared" si="15"/>
        <v>[ScR9iFKAasW]|01-09|Female|POP_EST.T_1|CY2023Q3</v>
      </c>
    </row>
    <row r="452" spans="4:18" x14ac:dyDescent="0.2">
      <c r="D452" s="13" t="s">
        <v>65</v>
      </c>
      <c r="E452" s="13" t="s">
        <v>66</v>
      </c>
      <c r="F452" s="13" t="s">
        <v>67</v>
      </c>
      <c r="G452" s="13" t="s">
        <v>137</v>
      </c>
      <c r="H452" s="13" t="s">
        <v>138</v>
      </c>
      <c r="I452" t="s">
        <v>35</v>
      </c>
      <c r="J452" s="13" t="s">
        <v>36</v>
      </c>
      <c r="K452" s="13" t="s">
        <v>29</v>
      </c>
      <c r="L452" s="13" t="s">
        <v>30</v>
      </c>
      <c r="M452" t="s">
        <v>139</v>
      </c>
      <c r="N452">
        <v>1687</v>
      </c>
      <c r="O452" s="14">
        <v>0.28015909786336102</v>
      </c>
      <c r="P452" s="14">
        <v>0.16460988437756899</v>
      </c>
      <c r="Q452" t="str">
        <f t="shared" si="14"/>
        <v>10-14</v>
      </c>
      <c r="R452" t="str">
        <f t="shared" si="15"/>
        <v>[ScR9iFKAasW]|10-14|Female|POP_EST.T_1|CY2023Q3</v>
      </c>
    </row>
    <row r="453" spans="4:18" x14ac:dyDescent="0.2">
      <c r="D453" s="13" t="s">
        <v>65</v>
      </c>
      <c r="E453" s="13" t="s">
        <v>66</v>
      </c>
      <c r="F453" s="13" t="s">
        <v>67</v>
      </c>
      <c r="G453" s="13" t="s">
        <v>137</v>
      </c>
      <c r="H453" s="13" t="s">
        <v>138</v>
      </c>
      <c r="I453" t="s">
        <v>37</v>
      </c>
      <c r="J453" s="13" t="s">
        <v>38</v>
      </c>
      <c r="K453" s="13" t="s">
        <v>29</v>
      </c>
      <c r="L453" s="13" t="s">
        <v>30</v>
      </c>
      <c r="M453" t="s">
        <v>139</v>
      </c>
      <c r="N453">
        <v>1885</v>
      </c>
      <c r="O453" s="14">
        <v>0.16680427128449099</v>
      </c>
      <c r="P453" s="14">
        <v>0.16460988437756899</v>
      </c>
      <c r="Q453" t="str">
        <f t="shared" si="14"/>
        <v>15-24</v>
      </c>
      <c r="R453" t="str">
        <f t="shared" si="15"/>
        <v>[ScR9iFKAasW]|15-24|Female|POP_EST.T_1|CY2023Q3</v>
      </c>
    </row>
    <row r="454" spans="4:18" x14ac:dyDescent="0.2">
      <c r="D454" s="13" t="s">
        <v>65</v>
      </c>
      <c r="E454" s="13" t="s">
        <v>66</v>
      </c>
      <c r="F454" s="13" t="s">
        <v>67</v>
      </c>
      <c r="G454" s="13" t="s">
        <v>137</v>
      </c>
      <c r="H454" s="13" t="s">
        <v>138</v>
      </c>
      <c r="I454" t="s">
        <v>40</v>
      </c>
      <c r="J454" s="13" t="s">
        <v>41</v>
      </c>
      <c r="K454" s="13" t="s">
        <v>29</v>
      </c>
      <c r="L454" s="13" t="s">
        <v>30</v>
      </c>
      <c r="M454" t="s">
        <v>139</v>
      </c>
      <c r="N454">
        <v>1646</v>
      </c>
      <c r="O454" s="14">
        <v>0.16445743595250001</v>
      </c>
      <c r="P454" s="14">
        <v>0.16460988437756899</v>
      </c>
      <c r="Q454" t="str">
        <f t="shared" si="14"/>
        <v>25-34</v>
      </c>
      <c r="R454" t="str">
        <f t="shared" si="15"/>
        <v>[ScR9iFKAasW]|25-34|Female|POP_EST.T_1|CY2023Q3</v>
      </c>
    </row>
    <row r="455" spans="4:18" x14ac:dyDescent="0.2">
      <c r="D455" s="13" t="s">
        <v>65</v>
      </c>
      <c r="E455" s="13" t="s">
        <v>66</v>
      </c>
      <c r="F455" s="13" t="s">
        <v>67</v>
      </c>
      <c r="G455" s="13" t="s">
        <v>137</v>
      </c>
      <c r="H455" s="13" t="s">
        <v>138</v>
      </c>
      <c r="I455" t="s">
        <v>42</v>
      </c>
      <c r="J455" s="13" t="s">
        <v>43</v>
      </c>
      <c r="K455" s="13" t="s">
        <v>29</v>
      </c>
      <c r="L455" s="13" t="s">
        <v>30</v>
      </c>
      <c r="M455" t="s">
        <v>139</v>
      </c>
      <c r="N455">
        <v>1574</v>
      </c>
      <c r="O455" s="14">
        <v>0.104669774184003</v>
      </c>
      <c r="P455" s="14">
        <v>0.16460988437756899</v>
      </c>
      <c r="Q455" t="str">
        <f t="shared" si="14"/>
        <v>35-49</v>
      </c>
      <c r="R455" t="str">
        <f t="shared" si="15"/>
        <v>[ScR9iFKAasW]|35-49|Female|POP_EST.T_1|CY2023Q3</v>
      </c>
    </row>
    <row r="456" spans="4:18" x14ac:dyDescent="0.2">
      <c r="D456" s="13" t="s">
        <v>65</v>
      </c>
      <c r="E456" s="13" t="s">
        <v>66</v>
      </c>
      <c r="F456" s="13" t="s">
        <v>67</v>
      </c>
      <c r="G456" s="13" t="s">
        <v>137</v>
      </c>
      <c r="H456" s="13" t="s">
        <v>138</v>
      </c>
      <c r="I456" t="s">
        <v>44</v>
      </c>
      <c r="J456" s="13" t="s">
        <v>45</v>
      </c>
      <c r="K456" s="13" t="s">
        <v>29</v>
      </c>
      <c r="L456" s="13" t="s">
        <v>30</v>
      </c>
      <c r="M456" t="s">
        <v>139</v>
      </c>
      <c r="N456">
        <v>1581</v>
      </c>
      <c r="O456" s="14">
        <v>0.75260930648073598</v>
      </c>
      <c r="P456" s="14">
        <v>0.16460988437756899</v>
      </c>
      <c r="Q456" t="str">
        <f t="shared" si="14"/>
        <v>50+</v>
      </c>
      <c r="R456" t="str">
        <f t="shared" si="15"/>
        <v>[ScR9iFKAasW]|50+|Female|POP_EST.T_1|CY2023Q3</v>
      </c>
    </row>
    <row r="457" spans="4:18" x14ac:dyDescent="0.2">
      <c r="D457" s="13" t="s">
        <v>65</v>
      </c>
      <c r="E457" s="13" t="s">
        <v>66</v>
      </c>
      <c r="F457" s="13" t="s">
        <v>67</v>
      </c>
      <c r="G457" s="13" t="s">
        <v>137</v>
      </c>
      <c r="H457" s="13" t="s">
        <v>138</v>
      </c>
      <c r="I457" t="s">
        <v>27</v>
      </c>
      <c r="J457" s="13" t="s">
        <v>28</v>
      </c>
      <c r="K457" s="13" t="s">
        <v>47</v>
      </c>
      <c r="L457" s="13" t="s">
        <v>48</v>
      </c>
      <c r="M457" t="s">
        <v>139</v>
      </c>
      <c r="N457">
        <v>676</v>
      </c>
      <c r="O457" s="14">
        <v>1.14179311785847E-2</v>
      </c>
      <c r="P457" s="14">
        <v>0.16460988437756899</v>
      </c>
      <c r="Q457" t="str">
        <f t="shared" si="14"/>
        <v>&lt;01</v>
      </c>
      <c r="R457" t="str">
        <f t="shared" si="15"/>
        <v>[ScR9iFKAasW]|&lt;01|Male|POP_EST.T_1|CY2023Q3</v>
      </c>
    </row>
    <row r="458" spans="4:18" x14ac:dyDescent="0.2">
      <c r="D458" s="13" t="s">
        <v>65</v>
      </c>
      <c r="E458" s="13" t="s">
        <v>66</v>
      </c>
      <c r="F458" s="13" t="s">
        <v>67</v>
      </c>
      <c r="G458" s="13" t="s">
        <v>137</v>
      </c>
      <c r="H458" s="13" t="s">
        <v>138</v>
      </c>
      <c r="I458" t="s">
        <v>32</v>
      </c>
      <c r="J458" s="13" t="s">
        <v>33</v>
      </c>
      <c r="K458" s="13" t="s">
        <v>47</v>
      </c>
      <c r="L458" s="13" t="s">
        <v>48</v>
      </c>
      <c r="M458" t="s">
        <v>139</v>
      </c>
      <c r="N458">
        <v>933</v>
      </c>
      <c r="O458" s="14">
        <v>0.40187106328085098</v>
      </c>
      <c r="P458" s="14">
        <v>0.16460988437756899</v>
      </c>
      <c r="Q458" t="str">
        <f t="shared" si="14"/>
        <v>01-09</v>
      </c>
      <c r="R458" t="str">
        <f t="shared" si="15"/>
        <v>[ScR9iFKAasW]|01-09|Male|POP_EST.T_1|CY2023Q3</v>
      </c>
    </row>
    <row r="459" spans="4:18" x14ac:dyDescent="0.2">
      <c r="D459" s="13" t="s">
        <v>65</v>
      </c>
      <c r="E459" s="13" t="s">
        <v>66</v>
      </c>
      <c r="F459" s="13" t="s">
        <v>67</v>
      </c>
      <c r="G459" s="13" t="s">
        <v>137</v>
      </c>
      <c r="H459" s="13" t="s">
        <v>138</v>
      </c>
      <c r="I459" t="s">
        <v>35</v>
      </c>
      <c r="J459" s="13" t="s">
        <v>36</v>
      </c>
      <c r="K459" s="13" t="s">
        <v>47</v>
      </c>
      <c r="L459" s="13" t="s">
        <v>48</v>
      </c>
      <c r="M459" t="s">
        <v>139</v>
      </c>
      <c r="N459">
        <v>1957</v>
      </c>
      <c r="O459" s="14">
        <v>0.47102830046787902</v>
      </c>
      <c r="P459" s="14">
        <v>0.16460988437756899</v>
      </c>
      <c r="Q459" t="str">
        <f t="shared" si="14"/>
        <v>10-14</v>
      </c>
      <c r="R459" t="str">
        <f t="shared" si="15"/>
        <v>[ScR9iFKAasW]|10-14|Male|POP_EST.T_1|CY2023Q3</v>
      </c>
    </row>
    <row r="460" spans="4:18" x14ac:dyDescent="0.2">
      <c r="D460" s="13" t="s">
        <v>65</v>
      </c>
      <c r="E460" s="13" t="s">
        <v>66</v>
      </c>
      <c r="F460" s="13" t="s">
        <v>67</v>
      </c>
      <c r="G460" s="13" t="s">
        <v>137</v>
      </c>
      <c r="H460" s="13" t="s">
        <v>138</v>
      </c>
      <c r="I460" t="s">
        <v>37</v>
      </c>
      <c r="J460" s="13" t="s">
        <v>38</v>
      </c>
      <c r="K460" s="13" t="s">
        <v>47</v>
      </c>
      <c r="L460" s="13" t="s">
        <v>48</v>
      </c>
      <c r="M460" t="s">
        <v>139</v>
      </c>
      <c r="N460">
        <v>1493</v>
      </c>
      <c r="O460" s="14">
        <v>0.81401095213368502</v>
      </c>
      <c r="P460" s="14">
        <v>0.16460988437756899</v>
      </c>
      <c r="Q460" t="str">
        <f t="shared" si="14"/>
        <v>15-24</v>
      </c>
      <c r="R460" t="str">
        <f t="shared" si="15"/>
        <v>[ScR9iFKAasW]|15-24|Male|POP_EST.T_1|CY2023Q3</v>
      </c>
    </row>
    <row r="461" spans="4:18" x14ac:dyDescent="0.2">
      <c r="D461" s="13" t="s">
        <v>65</v>
      </c>
      <c r="E461" s="13" t="s">
        <v>66</v>
      </c>
      <c r="F461" s="13" t="s">
        <v>67</v>
      </c>
      <c r="G461" s="13" t="s">
        <v>137</v>
      </c>
      <c r="H461" s="13" t="s">
        <v>138</v>
      </c>
      <c r="I461" t="s">
        <v>40</v>
      </c>
      <c r="J461" s="13" t="s">
        <v>41</v>
      </c>
      <c r="K461" s="13" t="s">
        <v>47</v>
      </c>
      <c r="L461" s="13" t="s">
        <v>48</v>
      </c>
      <c r="M461" t="s">
        <v>139</v>
      </c>
      <c r="N461">
        <v>1287</v>
      </c>
      <c r="O461" s="14">
        <v>0.87160571594722602</v>
      </c>
      <c r="P461" s="14">
        <v>0.16460988437756899</v>
      </c>
      <c r="Q461" t="str">
        <f t="shared" si="14"/>
        <v>25-34</v>
      </c>
      <c r="R461" t="str">
        <f t="shared" si="15"/>
        <v>[ScR9iFKAasW]|25-34|Male|POP_EST.T_1|CY2023Q3</v>
      </c>
    </row>
    <row r="462" spans="4:18" x14ac:dyDescent="0.2">
      <c r="D462" s="13" t="s">
        <v>65</v>
      </c>
      <c r="E462" s="13" t="s">
        <v>66</v>
      </c>
      <c r="F462" s="13" t="s">
        <v>67</v>
      </c>
      <c r="G462" s="13" t="s">
        <v>137</v>
      </c>
      <c r="H462" s="13" t="s">
        <v>138</v>
      </c>
      <c r="I462" t="s">
        <v>42</v>
      </c>
      <c r="J462" s="13" t="s">
        <v>43</v>
      </c>
      <c r="K462" s="13" t="s">
        <v>47</v>
      </c>
      <c r="L462" s="13" t="s">
        <v>48</v>
      </c>
      <c r="M462" t="s">
        <v>139</v>
      </c>
      <c r="N462">
        <v>1945</v>
      </c>
      <c r="O462" s="14">
        <v>0.23644078453071399</v>
      </c>
      <c r="P462" s="14">
        <v>0.16460988437756899</v>
      </c>
      <c r="Q462" t="str">
        <f t="shared" si="14"/>
        <v>35-49</v>
      </c>
      <c r="R462" t="str">
        <f t="shared" si="15"/>
        <v>[ScR9iFKAasW]|35-49|Male|POP_EST.T_1|CY2023Q3</v>
      </c>
    </row>
    <row r="463" spans="4:18" x14ac:dyDescent="0.2">
      <c r="D463" s="13" t="s">
        <v>65</v>
      </c>
      <c r="E463" s="13" t="s">
        <v>66</v>
      </c>
      <c r="F463" s="13" t="s">
        <v>67</v>
      </c>
      <c r="G463" s="13" t="s">
        <v>137</v>
      </c>
      <c r="H463" s="13" t="s">
        <v>138</v>
      </c>
      <c r="I463" t="s">
        <v>44</v>
      </c>
      <c r="J463" s="13" t="s">
        <v>45</v>
      </c>
      <c r="K463" s="13" t="s">
        <v>47</v>
      </c>
      <c r="L463" s="13" t="s">
        <v>48</v>
      </c>
      <c r="M463" t="s">
        <v>139</v>
      </c>
      <c r="N463">
        <v>1217</v>
      </c>
      <c r="O463" s="14">
        <v>0.52027748315595101</v>
      </c>
      <c r="P463" s="14">
        <v>0.16460988437756899</v>
      </c>
      <c r="Q463" t="str">
        <f t="shared" si="14"/>
        <v>50+</v>
      </c>
      <c r="R463" t="str">
        <f t="shared" si="15"/>
        <v>[ScR9iFKAasW]|50+|Male|POP_EST.T_1|CY2023Q3</v>
      </c>
    </row>
    <row r="464" spans="4:18" x14ac:dyDescent="0.2">
      <c r="D464" s="13" t="s">
        <v>68</v>
      </c>
      <c r="E464" s="13" t="s">
        <v>69</v>
      </c>
      <c r="F464" s="13" t="s">
        <v>70</v>
      </c>
      <c r="G464" s="13" t="s">
        <v>137</v>
      </c>
      <c r="H464" s="13" t="s">
        <v>138</v>
      </c>
      <c r="I464" t="s">
        <v>27</v>
      </c>
      <c r="J464" s="13" t="s">
        <v>28</v>
      </c>
      <c r="K464" s="13" t="s">
        <v>29</v>
      </c>
      <c r="L464" s="13" t="s">
        <v>30</v>
      </c>
      <c r="M464" t="s">
        <v>139</v>
      </c>
      <c r="N464">
        <v>994</v>
      </c>
      <c r="O464" s="14">
        <v>0.569320027250797</v>
      </c>
      <c r="P464" s="14">
        <v>0.19881726312451101</v>
      </c>
      <c r="Q464" t="str">
        <f t="shared" si="14"/>
        <v>&lt;01</v>
      </c>
      <c r="R464" t="str">
        <f t="shared" si="15"/>
        <v>[PekKUkKHAzY]|&lt;01|Female|POP_EST.T_1|CY2023Q3</v>
      </c>
    </row>
    <row r="465" spans="4:18" x14ac:dyDescent="0.2">
      <c r="D465" s="13" t="s">
        <v>68</v>
      </c>
      <c r="E465" s="13" t="s">
        <v>69</v>
      </c>
      <c r="F465" s="13" t="s">
        <v>70</v>
      </c>
      <c r="G465" s="13" t="s">
        <v>137</v>
      </c>
      <c r="H465" s="13" t="s">
        <v>138</v>
      </c>
      <c r="I465" t="s">
        <v>32</v>
      </c>
      <c r="J465" s="13" t="s">
        <v>33</v>
      </c>
      <c r="K465" s="13" t="s">
        <v>29</v>
      </c>
      <c r="L465" s="13" t="s">
        <v>30</v>
      </c>
      <c r="M465" t="s">
        <v>139</v>
      </c>
      <c r="N465">
        <v>1043</v>
      </c>
      <c r="O465" s="14">
        <v>0.99088833318091896</v>
      </c>
      <c r="P465" s="14">
        <v>0.19881726312451101</v>
      </c>
      <c r="Q465" t="str">
        <f t="shared" si="14"/>
        <v>01-09</v>
      </c>
      <c r="R465" t="str">
        <f t="shared" si="15"/>
        <v>[PekKUkKHAzY]|01-09|Female|POP_EST.T_1|CY2023Q3</v>
      </c>
    </row>
    <row r="466" spans="4:18" x14ac:dyDescent="0.2">
      <c r="D466" s="13" t="s">
        <v>68</v>
      </c>
      <c r="E466" s="13" t="s">
        <v>69</v>
      </c>
      <c r="F466" s="13" t="s">
        <v>70</v>
      </c>
      <c r="G466" s="13" t="s">
        <v>137</v>
      </c>
      <c r="H466" s="13" t="s">
        <v>138</v>
      </c>
      <c r="I466" t="s">
        <v>35</v>
      </c>
      <c r="J466" s="13" t="s">
        <v>36</v>
      </c>
      <c r="K466" s="13" t="s">
        <v>29</v>
      </c>
      <c r="L466" s="13" t="s">
        <v>30</v>
      </c>
      <c r="M466" t="s">
        <v>139</v>
      </c>
      <c r="N466">
        <v>1272</v>
      </c>
      <c r="O466" s="14">
        <v>0.20770534500479701</v>
      </c>
      <c r="P466" s="14">
        <v>0.19881726312451101</v>
      </c>
      <c r="Q466" t="str">
        <f t="shared" si="14"/>
        <v>10-14</v>
      </c>
      <c r="R466" t="str">
        <f t="shared" si="15"/>
        <v>[PekKUkKHAzY]|10-14|Female|POP_EST.T_1|CY2023Q3</v>
      </c>
    </row>
    <row r="467" spans="4:18" x14ac:dyDescent="0.2">
      <c r="D467" s="13" t="s">
        <v>68</v>
      </c>
      <c r="E467" s="13" t="s">
        <v>69</v>
      </c>
      <c r="F467" s="13" t="s">
        <v>70</v>
      </c>
      <c r="G467" s="13" t="s">
        <v>137</v>
      </c>
      <c r="H467" s="13" t="s">
        <v>138</v>
      </c>
      <c r="I467" t="s">
        <v>37</v>
      </c>
      <c r="J467" s="13" t="s">
        <v>38</v>
      </c>
      <c r="K467" s="13" t="s">
        <v>29</v>
      </c>
      <c r="L467" s="13" t="s">
        <v>30</v>
      </c>
      <c r="M467" t="s">
        <v>139</v>
      </c>
      <c r="N467">
        <v>1410</v>
      </c>
      <c r="O467" s="14">
        <v>0.56732792616821803</v>
      </c>
      <c r="P467" s="14">
        <v>0.19881726312451101</v>
      </c>
      <c r="Q467" t="str">
        <f t="shared" si="14"/>
        <v>15-24</v>
      </c>
      <c r="R467" t="str">
        <f t="shared" si="15"/>
        <v>[PekKUkKHAzY]|15-24|Female|POP_EST.T_1|CY2023Q3</v>
      </c>
    </row>
    <row r="468" spans="4:18" x14ac:dyDescent="0.2">
      <c r="D468" s="13" t="s">
        <v>68</v>
      </c>
      <c r="E468" s="13" t="s">
        <v>69</v>
      </c>
      <c r="F468" s="13" t="s">
        <v>70</v>
      </c>
      <c r="G468" s="13" t="s">
        <v>137</v>
      </c>
      <c r="H468" s="13" t="s">
        <v>138</v>
      </c>
      <c r="I468" t="s">
        <v>40</v>
      </c>
      <c r="J468" s="13" t="s">
        <v>41</v>
      </c>
      <c r="K468" s="13" t="s">
        <v>29</v>
      </c>
      <c r="L468" s="13" t="s">
        <v>30</v>
      </c>
      <c r="M468" t="s">
        <v>139</v>
      </c>
      <c r="N468">
        <v>1954</v>
      </c>
      <c r="O468" s="14">
        <v>4.8270807601511499E-2</v>
      </c>
      <c r="P468" s="14">
        <v>0.19881726312451101</v>
      </c>
      <c r="Q468" t="str">
        <f t="shared" si="14"/>
        <v>25-34</v>
      </c>
      <c r="R468" t="str">
        <f t="shared" si="15"/>
        <v>[PekKUkKHAzY]|25-34|Female|POP_EST.T_1|CY2023Q3</v>
      </c>
    </row>
    <row r="469" spans="4:18" x14ac:dyDescent="0.2">
      <c r="D469" s="13" t="s">
        <v>68</v>
      </c>
      <c r="E469" s="13" t="s">
        <v>69</v>
      </c>
      <c r="F469" s="13" t="s">
        <v>70</v>
      </c>
      <c r="G469" s="13" t="s">
        <v>137</v>
      </c>
      <c r="H469" s="13" t="s">
        <v>138</v>
      </c>
      <c r="I469" t="s">
        <v>42</v>
      </c>
      <c r="J469" s="13" t="s">
        <v>43</v>
      </c>
      <c r="K469" s="13" t="s">
        <v>29</v>
      </c>
      <c r="L469" s="13" t="s">
        <v>30</v>
      </c>
      <c r="M469" t="s">
        <v>139</v>
      </c>
      <c r="N469">
        <v>1065</v>
      </c>
      <c r="O469" s="14">
        <v>0.54512084205634903</v>
      </c>
      <c r="P469" s="14">
        <v>0.19881726312451101</v>
      </c>
      <c r="Q469" t="str">
        <f t="shared" si="14"/>
        <v>35-49</v>
      </c>
      <c r="R469" t="str">
        <f t="shared" si="15"/>
        <v>[PekKUkKHAzY]|35-49|Female|POP_EST.T_1|CY2023Q3</v>
      </c>
    </row>
    <row r="470" spans="4:18" x14ac:dyDescent="0.2">
      <c r="D470" s="13" t="s">
        <v>68</v>
      </c>
      <c r="E470" s="13" t="s">
        <v>69</v>
      </c>
      <c r="F470" s="13" t="s">
        <v>70</v>
      </c>
      <c r="G470" s="13" t="s">
        <v>137</v>
      </c>
      <c r="H470" s="13" t="s">
        <v>138</v>
      </c>
      <c r="I470" t="s">
        <v>44</v>
      </c>
      <c r="J470" s="13" t="s">
        <v>45</v>
      </c>
      <c r="K470" s="13" t="s">
        <v>29</v>
      </c>
      <c r="L470" s="13" t="s">
        <v>30</v>
      </c>
      <c r="M470" t="s">
        <v>139</v>
      </c>
      <c r="N470">
        <v>1004</v>
      </c>
      <c r="O470" s="14">
        <v>0.458708153106272</v>
      </c>
      <c r="P470" s="14">
        <v>0.19881726312451101</v>
      </c>
      <c r="Q470" t="str">
        <f t="shared" si="14"/>
        <v>50+</v>
      </c>
      <c r="R470" t="str">
        <f t="shared" si="15"/>
        <v>[PekKUkKHAzY]|50+|Female|POP_EST.T_1|CY2023Q3</v>
      </c>
    </row>
    <row r="471" spans="4:18" x14ac:dyDescent="0.2">
      <c r="D471" s="13" t="s">
        <v>68</v>
      </c>
      <c r="E471" s="13" t="s">
        <v>69</v>
      </c>
      <c r="F471" s="13" t="s">
        <v>70</v>
      </c>
      <c r="G471" s="13" t="s">
        <v>137</v>
      </c>
      <c r="H471" s="13" t="s">
        <v>138</v>
      </c>
      <c r="I471" t="s">
        <v>27</v>
      </c>
      <c r="J471" s="13" t="s">
        <v>28</v>
      </c>
      <c r="K471" s="13" t="s">
        <v>47</v>
      </c>
      <c r="L471" s="13" t="s">
        <v>48</v>
      </c>
      <c r="M471" t="s">
        <v>139</v>
      </c>
      <c r="N471">
        <v>1032</v>
      </c>
      <c r="O471" s="14">
        <v>0.57272438379004598</v>
      </c>
      <c r="P471" s="14">
        <v>0.19881726312451101</v>
      </c>
      <c r="Q471" t="str">
        <f t="shared" si="14"/>
        <v>&lt;01</v>
      </c>
      <c r="R471" t="str">
        <f t="shared" si="15"/>
        <v>[PekKUkKHAzY]|&lt;01|Male|POP_EST.T_1|CY2023Q3</v>
      </c>
    </row>
    <row r="472" spans="4:18" x14ac:dyDescent="0.2">
      <c r="D472" s="13" t="s">
        <v>68</v>
      </c>
      <c r="E472" s="13" t="s">
        <v>69</v>
      </c>
      <c r="F472" s="13" t="s">
        <v>70</v>
      </c>
      <c r="G472" s="13" t="s">
        <v>137</v>
      </c>
      <c r="H472" s="13" t="s">
        <v>138</v>
      </c>
      <c r="I472" t="s">
        <v>32</v>
      </c>
      <c r="J472" s="13" t="s">
        <v>33</v>
      </c>
      <c r="K472" s="13" t="s">
        <v>47</v>
      </c>
      <c r="L472" s="13" t="s">
        <v>48</v>
      </c>
      <c r="M472" t="s">
        <v>139</v>
      </c>
      <c r="N472">
        <v>1536</v>
      </c>
      <c r="O472" s="14">
        <v>0.71411969535984099</v>
      </c>
      <c r="P472" s="14">
        <v>0.19881726312451101</v>
      </c>
      <c r="Q472" t="str">
        <f t="shared" si="14"/>
        <v>01-09</v>
      </c>
      <c r="R472" t="str">
        <f t="shared" si="15"/>
        <v>[PekKUkKHAzY]|01-09|Male|POP_EST.T_1|CY2023Q3</v>
      </c>
    </row>
    <row r="473" spans="4:18" x14ac:dyDescent="0.2">
      <c r="D473" s="13" t="s">
        <v>68</v>
      </c>
      <c r="E473" s="13" t="s">
        <v>69</v>
      </c>
      <c r="F473" s="13" t="s">
        <v>70</v>
      </c>
      <c r="G473" s="13" t="s">
        <v>137</v>
      </c>
      <c r="H473" s="13" t="s">
        <v>138</v>
      </c>
      <c r="I473" t="s">
        <v>35</v>
      </c>
      <c r="J473" s="13" t="s">
        <v>36</v>
      </c>
      <c r="K473" s="13" t="s">
        <v>47</v>
      </c>
      <c r="L473" s="13" t="s">
        <v>48</v>
      </c>
      <c r="M473" t="s">
        <v>139</v>
      </c>
      <c r="N473">
        <v>1407</v>
      </c>
      <c r="O473" s="14">
        <v>0.58923895587213304</v>
      </c>
      <c r="P473" s="14">
        <v>0.19881726312451101</v>
      </c>
      <c r="Q473" t="str">
        <f t="shared" si="14"/>
        <v>10-14</v>
      </c>
      <c r="R473" t="str">
        <f t="shared" si="15"/>
        <v>[PekKUkKHAzY]|10-14|Male|POP_EST.T_1|CY2023Q3</v>
      </c>
    </row>
    <row r="474" spans="4:18" x14ac:dyDescent="0.2">
      <c r="D474" s="13" t="s">
        <v>68</v>
      </c>
      <c r="E474" s="13" t="s">
        <v>69</v>
      </c>
      <c r="F474" s="13" t="s">
        <v>70</v>
      </c>
      <c r="G474" s="13" t="s">
        <v>137</v>
      </c>
      <c r="H474" s="13" t="s">
        <v>138</v>
      </c>
      <c r="I474" t="s">
        <v>37</v>
      </c>
      <c r="J474" s="13" t="s">
        <v>38</v>
      </c>
      <c r="K474" s="13" t="s">
        <v>47</v>
      </c>
      <c r="L474" s="13" t="s">
        <v>48</v>
      </c>
      <c r="M474" t="s">
        <v>139</v>
      </c>
      <c r="N474">
        <v>1052</v>
      </c>
      <c r="O474" s="14">
        <v>0.12165438802912799</v>
      </c>
      <c r="P474" s="14">
        <v>0.19881726312451101</v>
      </c>
      <c r="Q474" t="str">
        <f t="shared" si="14"/>
        <v>15-24</v>
      </c>
      <c r="R474" t="str">
        <f t="shared" si="15"/>
        <v>[PekKUkKHAzY]|15-24|Male|POP_EST.T_1|CY2023Q3</v>
      </c>
    </row>
    <row r="475" spans="4:18" x14ac:dyDescent="0.2">
      <c r="D475" s="13" t="s">
        <v>68</v>
      </c>
      <c r="E475" s="13" t="s">
        <v>69</v>
      </c>
      <c r="F475" s="13" t="s">
        <v>70</v>
      </c>
      <c r="G475" s="13" t="s">
        <v>137</v>
      </c>
      <c r="H475" s="13" t="s">
        <v>138</v>
      </c>
      <c r="I475" t="s">
        <v>40</v>
      </c>
      <c r="J475" s="13" t="s">
        <v>41</v>
      </c>
      <c r="K475" s="13" t="s">
        <v>47</v>
      </c>
      <c r="L475" s="13" t="s">
        <v>48</v>
      </c>
      <c r="M475" t="s">
        <v>139</v>
      </c>
      <c r="N475">
        <v>996</v>
      </c>
      <c r="O475" s="14">
        <v>0.158949334174395</v>
      </c>
      <c r="P475" s="14">
        <v>0.19881726312451101</v>
      </c>
      <c r="Q475" t="str">
        <f t="shared" si="14"/>
        <v>25-34</v>
      </c>
      <c r="R475" t="str">
        <f t="shared" si="15"/>
        <v>[PekKUkKHAzY]|25-34|Male|POP_EST.T_1|CY2023Q3</v>
      </c>
    </row>
    <row r="476" spans="4:18" x14ac:dyDescent="0.2">
      <c r="D476" s="13" t="s">
        <v>68</v>
      </c>
      <c r="E476" s="13" t="s">
        <v>69</v>
      </c>
      <c r="F476" s="13" t="s">
        <v>70</v>
      </c>
      <c r="G476" s="13" t="s">
        <v>137</v>
      </c>
      <c r="H476" s="13" t="s">
        <v>138</v>
      </c>
      <c r="I476" t="s">
        <v>42</v>
      </c>
      <c r="J476" s="13" t="s">
        <v>43</v>
      </c>
      <c r="K476" s="13" t="s">
        <v>47</v>
      </c>
      <c r="L476" s="13" t="s">
        <v>48</v>
      </c>
      <c r="M476" t="s">
        <v>139</v>
      </c>
      <c r="N476">
        <v>609</v>
      </c>
      <c r="O476" s="14">
        <v>0.19302755431272101</v>
      </c>
      <c r="P476" s="14">
        <v>0.19881726312451101</v>
      </c>
      <c r="Q476" t="str">
        <f t="shared" si="14"/>
        <v>35-49</v>
      </c>
      <c r="R476" t="str">
        <f t="shared" si="15"/>
        <v>[PekKUkKHAzY]|35-49|Male|POP_EST.T_1|CY2023Q3</v>
      </c>
    </row>
    <row r="477" spans="4:18" x14ac:dyDescent="0.2">
      <c r="D477" s="13" t="s">
        <v>68</v>
      </c>
      <c r="E477" s="13" t="s">
        <v>69</v>
      </c>
      <c r="F477" s="13" t="s">
        <v>70</v>
      </c>
      <c r="G477" s="13" t="s">
        <v>137</v>
      </c>
      <c r="H477" s="13" t="s">
        <v>138</v>
      </c>
      <c r="I477" t="s">
        <v>44</v>
      </c>
      <c r="J477" s="13" t="s">
        <v>45</v>
      </c>
      <c r="K477" s="13" t="s">
        <v>47</v>
      </c>
      <c r="L477" s="13" t="s">
        <v>48</v>
      </c>
      <c r="M477" t="s">
        <v>139</v>
      </c>
      <c r="N477">
        <v>845</v>
      </c>
      <c r="O477" s="14">
        <v>0.976481922436506</v>
      </c>
      <c r="P477" s="14">
        <v>0.19881726312451101</v>
      </c>
      <c r="Q477" t="str">
        <f t="shared" si="14"/>
        <v>50+</v>
      </c>
      <c r="R477" t="str">
        <f t="shared" si="15"/>
        <v>[PekKUkKHAzY]|50+|Male|POP_EST.T_1|CY2023Q3</v>
      </c>
    </row>
    <row r="478" spans="4:18" x14ac:dyDescent="0.2">
      <c r="D478" s="13" t="s">
        <v>71</v>
      </c>
      <c r="E478" s="13" t="s">
        <v>72</v>
      </c>
      <c r="F478" s="13" t="s">
        <v>73</v>
      </c>
      <c r="G478" s="13" t="s">
        <v>137</v>
      </c>
      <c r="H478" s="13" t="s">
        <v>138</v>
      </c>
      <c r="I478" t="s">
        <v>27</v>
      </c>
      <c r="J478" s="13" t="s">
        <v>28</v>
      </c>
      <c r="K478" s="13" t="s">
        <v>29</v>
      </c>
      <c r="L478" s="13" t="s">
        <v>30</v>
      </c>
      <c r="M478" t="s">
        <v>139</v>
      </c>
      <c r="N478">
        <v>835</v>
      </c>
      <c r="O478" s="14">
        <v>0.47266892297193402</v>
      </c>
      <c r="P478" s="14">
        <v>0.28972870693542102</v>
      </c>
      <c r="Q478" t="str">
        <f t="shared" si="14"/>
        <v>&lt;01</v>
      </c>
      <c r="R478" t="str">
        <f t="shared" si="15"/>
        <v>[am530wpaGvr]|&lt;01|Female|POP_EST.T_1|CY2023Q3</v>
      </c>
    </row>
    <row r="479" spans="4:18" x14ac:dyDescent="0.2">
      <c r="D479" s="13" t="s">
        <v>71</v>
      </c>
      <c r="E479" s="13" t="s">
        <v>72</v>
      </c>
      <c r="F479" s="13" t="s">
        <v>73</v>
      </c>
      <c r="G479" s="13" t="s">
        <v>137</v>
      </c>
      <c r="H479" s="13" t="s">
        <v>138</v>
      </c>
      <c r="I479" t="s">
        <v>32</v>
      </c>
      <c r="J479" s="13" t="s">
        <v>33</v>
      </c>
      <c r="K479" s="13" t="s">
        <v>29</v>
      </c>
      <c r="L479" s="13" t="s">
        <v>30</v>
      </c>
      <c r="M479" t="s">
        <v>139</v>
      </c>
      <c r="N479">
        <v>889</v>
      </c>
      <c r="O479" s="14">
        <v>0.89257577154785395</v>
      </c>
      <c r="P479" s="14">
        <v>0.28972870693542102</v>
      </c>
      <c r="Q479" t="str">
        <f t="shared" si="14"/>
        <v>01-09</v>
      </c>
      <c r="R479" t="str">
        <f t="shared" si="15"/>
        <v>[am530wpaGvr]|01-09|Female|POP_EST.T_1|CY2023Q3</v>
      </c>
    </row>
    <row r="480" spans="4:18" x14ac:dyDescent="0.2">
      <c r="D480" s="13" t="s">
        <v>71</v>
      </c>
      <c r="E480" s="13" t="s">
        <v>72</v>
      </c>
      <c r="F480" s="13" t="s">
        <v>73</v>
      </c>
      <c r="G480" s="13" t="s">
        <v>137</v>
      </c>
      <c r="H480" s="13" t="s">
        <v>138</v>
      </c>
      <c r="I480" t="s">
        <v>35</v>
      </c>
      <c r="J480" s="13" t="s">
        <v>36</v>
      </c>
      <c r="K480" s="13" t="s">
        <v>29</v>
      </c>
      <c r="L480" s="13" t="s">
        <v>30</v>
      </c>
      <c r="M480" t="s">
        <v>139</v>
      </c>
      <c r="N480">
        <v>1395</v>
      </c>
      <c r="O480" s="14">
        <v>0.65367414476349905</v>
      </c>
      <c r="P480" s="14">
        <v>0.28972870693542102</v>
      </c>
      <c r="Q480" t="str">
        <f t="shared" si="14"/>
        <v>10-14</v>
      </c>
      <c r="R480" t="str">
        <f t="shared" si="15"/>
        <v>[am530wpaGvr]|10-14|Female|POP_EST.T_1|CY2023Q3</v>
      </c>
    </row>
    <row r="481" spans="4:18" x14ac:dyDescent="0.2">
      <c r="D481" s="13" t="s">
        <v>71</v>
      </c>
      <c r="E481" s="13" t="s">
        <v>72</v>
      </c>
      <c r="F481" s="13" t="s">
        <v>73</v>
      </c>
      <c r="G481" s="13" t="s">
        <v>137</v>
      </c>
      <c r="H481" s="13" t="s">
        <v>138</v>
      </c>
      <c r="I481" t="s">
        <v>37</v>
      </c>
      <c r="J481" s="13" t="s">
        <v>38</v>
      </c>
      <c r="K481" s="13" t="s">
        <v>29</v>
      </c>
      <c r="L481" s="13" t="s">
        <v>30</v>
      </c>
      <c r="M481" t="s">
        <v>139</v>
      </c>
      <c r="N481">
        <v>1559</v>
      </c>
      <c r="O481" s="14">
        <v>0.193872535834089</v>
      </c>
      <c r="P481" s="14">
        <v>0.28972870693542102</v>
      </c>
      <c r="Q481" t="str">
        <f t="shared" si="14"/>
        <v>15-24</v>
      </c>
      <c r="R481" t="str">
        <f t="shared" si="15"/>
        <v>[am530wpaGvr]|15-24|Female|POP_EST.T_1|CY2023Q3</v>
      </c>
    </row>
    <row r="482" spans="4:18" x14ac:dyDescent="0.2">
      <c r="D482" s="13" t="s">
        <v>71</v>
      </c>
      <c r="E482" s="13" t="s">
        <v>72</v>
      </c>
      <c r="F482" s="13" t="s">
        <v>73</v>
      </c>
      <c r="G482" s="13" t="s">
        <v>137</v>
      </c>
      <c r="H482" s="13" t="s">
        <v>138</v>
      </c>
      <c r="I482" t="s">
        <v>40</v>
      </c>
      <c r="J482" s="13" t="s">
        <v>41</v>
      </c>
      <c r="K482" s="13" t="s">
        <v>29</v>
      </c>
      <c r="L482" s="13" t="s">
        <v>30</v>
      </c>
      <c r="M482" t="s">
        <v>139</v>
      </c>
      <c r="N482">
        <v>1284</v>
      </c>
      <c r="O482" s="14">
        <v>5.9051306918263401E-2</v>
      </c>
      <c r="P482" s="14">
        <v>0.28972870693542102</v>
      </c>
      <c r="Q482" t="str">
        <f t="shared" si="14"/>
        <v>25-34</v>
      </c>
      <c r="R482" t="str">
        <f t="shared" si="15"/>
        <v>[am530wpaGvr]|25-34|Female|POP_EST.T_1|CY2023Q3</v>
      </c>
    </row>
    <row r="483" spans="4:18" x14ac:dyDescent="0.2">
      <c r="D483" s="13" t="s">
        <v>71</v>
      </c>
      <c r="E483" s="13" t="s">
        <v>72</v>
      </c>
      <c r="F483" s="13" t="s">
        <v>73</v>
      </c>
      <c r="G483" s="13" t="s">
        <v>137</v>
      </c>
      <c r="H483" s="13" t="s">
        <v>138</v>
      </c>
      <c r="I483" t="s">
        <v>42</v>
      </c>
      <c r="J483" s="13" t="s">
        <v>43</v>
      </c>
      <c r="K483" s="13" t="s">
        <v>29</v>
      </c>
      <c r="L483" s="13" t="s">
        <v>30</v>
      </c>
      <c r="M483" t="s">
        <v>139</v>
      </c>
      <c r="N483">
        <v>874</v>
      </c>
      <c r="O483" s="14">
        <v>0.65291551453992702</v>
      </c>
      <c r="P483" s="14">
        <v>0.28972870693542102</v>
      </c>
      <c r="Q483" t="str">
        <f t="shared" si="14"/>
        <v>35-49</v>
      </c>
      <c r="R483" t="str">
        <f t="shared" si="15"/>
        <v>[am530wpaGvr]|35-49|Female|POP_EST.T_1|CY2023Q3</v>
      </c>
    </row>
    <row r="484" spans="4:18" x14ac:dyDescent="0.2">
      <c r="D484" s="13" t="s">
        <v>71</v>
      </c>
      <c r="E484" s="13" t="s">
        <v>72</v>
      </c>
      <c r="F484" s="13" t="s">
        <v>73</v>
      </c>
      <c r="G484" s="13" t="s">
        <v>137</v>
      </c>
      <c r="H484" s="13" t="s">
        <v>138</v>
      </c>
      <c r="I484" t="s">
        <v>44</v>
      </c>
      <c r="J484" s="13" t="s">
        <v>45</v>
      </c>
      <c r="K484" s="13" t="s">
        <v>29</v>
      </c>
      <c r="L484" s="13" t="s">
        <v>30</v>
      </c>
      <c r="M484" t="s">
        <v>139</v>
      </c>
      <c r="N484">
        <v>1391</v>
      </c>
      <c r="O484" s="14">
        <v>0.17519636778160899</v>
      </c>
      <c r="P484" s="14">
        <v>0.28972870693542102</v>
      </c>
      <c r="Q484" t="str">
        <f t="shared" si="14"/>
        <v>50+</v>
      </c>
      <c r="R484" t="str">
        <f t="shared" si="15"/>
        <v>[am530wpaGvr]|50+|Female|POP_EST.T_1|CY2023Q3</v>
      </c>
    </row>
    <row r="485" spans="4:18" x14ac:dyDescent="0.2">
      <c r="D485" s="13" t="s">
        <v>71</v>
      </c>
      <c r="E485" s="13" t="s">
        <v>72</v>
      </c>
      <c r="F485" s="13" t="s">
        <v>73</v>
      </c>
      <c r="G485" s="13" t="s">
        <v>137</v>
      </c>
      <c r="H485" s="13" t="s">
        <v>138</v>
      </c>
      <c r="I485" t="s">
        <v>27</v>
      </c>
      <c r="J485" s="13" t="s">
        <v>28</v>
      </c>
      <c r="K485" s="13" t="s">
        <v>47</v>
      </c>
      <c r="L485" s="13" t="s">
        <v>48</v>
      </c>
      <c r="M485" t="s">
        <v>139</v>
      </c>
      <c r="N485">
        <v>1839</v>
      </c>
      <c r="O485" s="14">
        <v>0.70130292628891799</v>
      </c>
      <c r="P485" s="14">
        <v>0.28972870693542102</v>
      </c>
      <c r="Q485" t="str">
        <f t="shared" si="14"/>
        <v>&lt;01</v>
      </c>
      <c r="R485" t="str">
        <f t="shared" si="15"/>
        <v>[am530wpaGvr]|&lt;01|Male|POP_EST.T_1|CY2023Q3</v>
      </c>
    </row>
    <row r="486" spans="4:18" x14ac:dyDescent="0.2">
      <c r="D486" s="13" t="s">
        <v>71</v>
      </c>
      <c r="E486" s="13" t="s">
        <v>72</v>
      </c>
      <c r="F486" s="13" t="s">
        <v>73</v>
      </c>
      <c r="G486" s="13" t="s">
        <v>137</v>
      </c>
      <c r="H486" s="13" t="s">
        <v>138</v>
      </c>
      <c r="I486" t="s">
        <v>32</v>
      </c>
      <c r="J486" s="13" t="s">
        <v>33</v>
      </c>
      <c r="K486" s="13" t="s">
        <v>47</v>
      </c>
      <c r="L486" s="13" t="s">
        <v>48</v>
      </c>
      <c r="M486" t="s">
        <v>139</v>
      </c>
      <c r="N486">
        <v>1952</v>
      </c>
      <c r="O486" s="14">
        <v>0.49543626699596599</v>
      </c>
      <c r="P486" s="14">
        <v>0.28972870693542102</v>
      </c>
      <c r="Q486" t="str">
        <f t="shared" si="14"/>
        <v>01-09</v>
      </c>
      <c r="R486" t="str">
        <f t="shared" si="15"/>
        <v>[am530wpaGvr]|01-09|Male|POP_EST.T_1|CY2023Q3</v>
      </c>
    </row>
    <row r="487" spans="4:18" x14ac:dyDescent="0.2">
      <c r="D487" s="13" t="s">
        <v>71</v>
      </c>
      <c r="E487" s="13" t="s">
        <v>72</v>
      </c>
      <c r="F487" s="13" t="s">
        <v>73</v>
      </c>
      <c r="G487" s="13" t="s">
        <v>137</v>
      </c>
      <c r="H487" s="13" t="s">
        <v>138</v>
      </c>
      <c r="I487" t="s">
        <v>35</v>
      </c>
      <c r="J487" s="13" t="s">
        <v>36</v>
      </c>
      <c r="K487" s="13" t="s">
        <v>47</v>
      </c>
      <c r="L487" s="13" t="s">
        <v>48</v>
      </c>
      <c r="M487" t="s">
        <v>139</v>
      </c>
      <c r="N487">
        <v>1194</v>
      </c>
      <c r="O487" s="14">
        <v>0.57998205022886395</v>
      </c>
      <c r="P487" s="14">
        <v>0.28972870693542102</v>
      </c>
      <c r="Q487" t="str">
        <f t="shared" si="14"/>
        <v>10-14</v>
      </c>
      <c r="R487" t="str">
        <f t="shared" si="15"/>
        <v>[am530wpaGvr]|10-14|Male|POP_EST.T_1|CY2023Q3</v>
      </c>
    </row>
    <row r="488" spans="4:18" x14ac:dyDescent="0.2">
      <c r="D488" s="13" t="s">
        <v>71</v>
      </c>
      <c r="E488" s="13" t="s">
        <v>72</v>
      </c>
      <c r="F488" s="13" t="s">
        <v>73</v>
      </c>
      <c r="G488" s="13" t="s">
        <v>137</v>
      </c>
      <c r="H488" s="13" t="s">
        <v>138</v>
      </c>
      <c r="I488" t="s">
        <v>37</v>
      </c>
      <c r="J488" s="13" t="s">
        <v>38</v>
      </c>
      <c r="K488" s="13" t="s">
        <v>47</v>
      </c>
      <c r="L488" s="13" t="s">
        <v>48</v>
      </c>
      <c r="M488" t="s">
        <v>139</v>
      </c>
      <c r="N488">
        <v>1551</v>
      </c>
      <c r="O488" s="14">
        <v>0.66909582377411403</v>
      </c>
      <c r="P488" s="14">
        <v>0.28972870693542102</v>
      </c>
      <c r="Q488" t="str">
        <f t="shared" si="14"/>
        <v>15-24</v>
      </c>
      <c r="R488" t="str">
        <f t="shared" si="15"/>
        <v>[am530wpaGvr]|15-24|Male|POP_EST.T_1|CY2023Q3</v>
      </c>
    </row>
    <row r="489" spans="4:18" x14ac:dyDescent="0.2">
      <c r="D489" s="13" t="s">
        <v>71</v>
      </c>
      <c r="E489" s="13" t="s">
        <v>72</v>
      </c>
      <c r="F489" s="13" t="s">
        <v>73</v>
      </c>
      <c r="G489" s="13" t="s">
        <v>137</v>
      </c>
      <c r="H489" s="13" t="s">
        <v>138</v>
      </c>
      <c r="I489" t="s">
        <v>40</v>
      </c>
      <c r="J489" s="13" t="s">
        <v>41</v>
      </c>
      <c r="K489" s="13" t="s">
        <v>47</v>
      </c>
      <c r="L489" s="13" t="s">
        <v>48</v>
      </c>
      <c r="M489" t="s">
        <v>139</v>
      </c>
      <c r="N489">
        <v>1171</v>
      </c>
      <c r="O489" s="14">
        <v>0.79347979370504595</v>
      </c>
      <c r="P489" s="14">
        <v>0.28972870693542102</v>
      </c>
      <c r="Q489" t="str">
        <f t="shared" si="14"/>
        <v>25-34</v>
      </c>
      <c r="R489" t="str">
        <f t="shared" si="15"/>
        <v>[am530wpaGvr]|25-34|Male|POP_EST.T_1|CY2023Q3</v>
      </c>
    </row>
    <row r="490" spans="4:18" x14ac:dyDescent="0.2">
      <c r="D490" s="13" t="s">
        <v>71</v>
      </c>
      <c r="E490" s="13" t="s">
        <v>72</v>
      </c>
      <c r="F490" s="13" t="s">
        <v>73</v>
      </c>
      <c r="G490" s="13" t="s">
        <v>137</v>
      </c>
      <c r="H490" s="13" t="s">
        <v>138</v>
      </c>
      <c r="I490" t="s">
        <v>42</v>
      </c>
      <c r="J490" s="13" t="s">
        <v>43</v>
      </c>
      <c r="K490" s="13" t="s">
        <v>47</v>
      </c>
      <c r="L490" s="13" t="s">
        <v>48</v>
      </c>
      <c r="M490" t="s">
        <v>139</v>
      </c>
      <c r="N490">
        <v>1353</v>
      </c>
      <c r="O490" s="14">
        <v>0.27938504330813901</v>
      </c>
      <c r="P490" s="14">
        <v>0.28972870693542102</v>
      </c>
      <c r="Q490" t="str">
        <f t="shared" si="14"/>
        <v>35-49</v>
      </c>
      <c r="R490" t="str">
        <f t="shared" si="15"/>
        <v>[am530wpaGvr]|35-49|Male|POP_EST.T_1|CY2023Q3</v>
      </c>
    </row>
    <row r="491" spans="4:18" x14ac:dyDescent="0.2">
      <c r="D491" s="13" t="s">
        <v>71</v>
      </c>
      <c r="E491" s="13" t="s">
        <v>72</v>
      </c>
      <c r="F491" s="13" t="s">
        <v>73</v>
      </c>
      <c r="G491" s="13" t="s">
        <v>137</v>
      </c>
      <c r="H491" s="13" t="s">
        <v>138</v>
      </c>
      <c r="I491" t="s">
        <v>44</v>
      </c>
      <c r="J491" s="13" t="s">
        <v>45</v>
      </c>
      <c r="K491" s="13" t="s">
        <v>47</v>
      </c>
      <c r="L491" s="13" t="s">
        <v>48</v>
      </c>
      <c r="M491" t="s">
        <v>139</v>
      </c>
      <c r="N491">
        <v>631</v>
      </c>
      <c r="O491" s="14">
        <v>0.28768100566230698</v>
      </c>
      <c r="P491" s="14">
        <v>0.28972870693542102</v>
      </c>
      <c r="Q491" t="str">
        <f t="shared" si="14"/>
        <v>50+</v>
      </c>
      <c r="R491" t="str">
        <f t="shared" si="15"/>
        <v>[am530wpaGvr]|50+|Male|POP_EST.T_1|CY2023Q3</v>
      </c>
    </row>
    <row r="492" spans="4:18" x14ac:dyDescent="0.2">
      <c r="D492" s="13" t="s">
        <v>74</v>
      </c>
      <c r="E492" s="13" t="s">
        <v>75</v>
      </c>
      <c r="F492" s="13" t="s">
        <v>76</v>
      </c>
      <c r="G492" s="13" t="s">
        <v>137</v>
      </c>
      <c r="H492" s="13" t="s">
        <v>138</v>
      </c>
      <c r="I492" t="s">
        <v>27</v>
      </c>
      <c r="J492" s="13" t="s">
        <v>28</v>
      </c>
      <c r="K492" s="13" t="s">
        <v>29</v>
      </c>
      <c r="L492" s="13" t="s">
        <v>30</v>
      </c>
      <c r="M492" t="s">
        <v>139</v>
      </c>
      <c r="N492">
        <v>830</v>
      </c>
      <c r="O492" s="14">
        <v>0.34708656114526099</v>
      </c>
      <c r="P492" s="14">
        <v>0.30305550759658201</v>
      </c>
      <c r="Q492" t="str">
        <f t="shared" si="14"/>
        <v>&lt;01</v>
      </c>
      <c r="R492" t="str">
        <f t="shared" si="15"/>
        <v>[lLDyBx5XyUi]|&lt;01|Female|POP_EST.T_1|CY2023Q3</v>
      </c>
    </row>
    <row r="493" spans="4:18" x14ac:dyDescent="0.2">
      <c r="D493" s="13" t="s">
        <v>74</v>
      </c>
      <c r="E493" s="13" t="s">
        <v>75</v>
      </c>
      <c r="F493" s="13" t="s">
        <v>76</v>
      </c>
      <c r="G493" s="13" t="s">
        <v>137</v>
      </c>
      <c r="H493" s="13" t="s">
        <v>138</v>
      </c>
      <c r="I493" t="s">
        <v>32</v>
      </c>
      <c r="J493" s="13" t="s">
        <v>33</v>
      </c>
      <c r="K493" s="13" t="s">
        <v>29</v>
      </c>
      <c r="L493" s="13" t="s">
        <v>30</v>
      </c>
      <c r="M493" t="s">
        <v>139</v>
      </c>
      <c r="N493">
        <v>963</v>
      </c>
      <c r="O493" s="14">
        <v>0.79975679912604403</v>
      </c>
      <c r="P493" s="14">
        <v>0.30305550759658201</v>
      </c>
      <c r="Q493" t="str">
        <f t="shared" si="14"/>
        <v>01-09</v>
      </c>
      <c r="R493" t="str">
        <f t="shared" si="15"/>
        <v>[lLDyBx5XyUi]|01-09|Female|POP_EST.T_1|CY2023Q3</v>
      </c>
    </row>
    <row r="494" spans="4:18" x14ac:dyDescent="0.2">
      <c r="D494" s="13" t="s">
        <v>74</v>
      </c>
      <c r="E494" s="13" t="s">
        <v>75</v>
      </c>
      <c r="F494" s="13" t="s">
        <v>76</v>
      </c>
      <c r="G494" s="13" t="s">
        <v>137</v>
      </c>
      <c r="H494" s="13" t="s">
        <v>138</v>
      </c>
      <c r="I494" t="s">
        <v>35</v>
      </c>
      <c r="J494" s="13" t="s">
        <v>36</v>
      </c>
      <c r="K494" s="13" t="s">
        <v>29</v>
      </c>
      <c r="L494" s="13" t="s">
        <v>30</v>
      </c>
      <c r="M494" t="s">
        <v>139</v>
      </c>
      <c r="N494">
        <v>1252</v>
      </c>
      <c r="O494" s="14">
        <v>0.25156185659579899</v>
      </c>
      <c r="P494" s="14">
        <v>0.30305550759658201</v>
      </c>
      <c r="Q494" t="str">
        <f t="shared" si="14"/>
        <v>10-14</v>
      </c>
      <c r="R494" t="str">
        <f t="shared" si="15"/>
        <v>[lLDyBx5XyUi]|10-14|Female|POP_EST.T_1|CY2023Q3</v>
      </c>
    </row>
    <row r="495" spans="4:18" x14ac:dyDescent="0.2">
      <c r="D495" s="13" t="s">
        <v>74</v>
      </c>
      <c r="E495" s="13" t="s">
        <v>75</v>
      </c>
      <c r="F495" s="13" t="s">
        <v>76</v>
      </c>
      <c r="G495" s="13" t="s">
        <v>137</v>
      </c>
      <c r="H495" s="13" t="s">
        <v>138</v>
      </c>
      <c r="I495" t="s">
        <v>37</v>
      </c>
      <c r="J495" s="13" t="s">
        <v>38</v>
      </c>
      <c r="K495" s="13" t="s">
        <v>29</v>
      </c>
      <c r="L495" s="13" t="s">
        <v>30</v>
      </c>
      <c r="M495" t="s">
        <v>139</v>
      </c>
      <c r="N495">
        <v>1319</v>
      </c>
      <c r="O495" s="14">
        <v>0.29047602345235601</v>
      </c>
      <c r="P495" s="14">
        <v>0.30305550759658201</v>
      </c>
      <c r="Q495" t="str">
        <f t="shared" si="14"/>
        <v>15-24</v>
      </c>
      <c r="R495" t="str">
        <f t="shared" si="15"/>
        <v>[lLDyBx5XyUi]|15-24|Female|POP_EST.T_1|CY2023Q3</v>
      </c>
    </row>
    <row r="496" spans="4:18" x14ac:dyDescent="0.2">
      <c r="D496" s="13" t="s">
        <v>74</v>
      </c>
      <c r="E496" s="13" t="s">
        <v>75</v>
      </c>
      <c r="F496" s="13" t="s">
        <v>76</v>
      </c>
      <c r="G496" s="13" t="s">
        <v>137</v>
      </c>
      <c r="H496" s="13" t="s">
        <v>138</v>
      </c>
      <c r="I496" t="s">
        <v>40</v>
      </c>
      <c r="J496" s="13" t="s">
        <v>41</v>
      </c>
      <c r="K496" s="13" t="s">
        <v>29</v>
      </c>
      <c r="L496" s="13" t="s">
        <v>30</v>
      </c>
      <c r="M496" t="s">
        <v>139</v>
      </c>
      <c r="N496">
        <v>1690</v>
      </c>
      <c r="O496" s="14">
        <v>0.68815865088254202</v>
      </c>
      <c r="P496" s="14">
        <v>0.30305550759658201</v>
      </c>
      <c r="Q496" t="str">
        <f t="shared" si="14"/>
        <v>25-34</v>
      </c>
      <c r="R496" t="str">
        <f t="shared" si="15"/>
        <v>[lLDyBx5XyUi]|25-34|Female|POP_EST.T_1|CY2023Q3</v>
      </c>
    </row>
    <row r="497" spans="4:18" x14ac:dyDescent="0.2">
      <c r="D497" s="13" t="s">
        <v>74</v>
      </c>
      <c r="E497" s="13" t="s">
        <v>75</v>
      </c>
      <c r="F497" s="13" t="s">
        <v>76</v>
      </c>
      <c r="G497" s="13" t="s">
        <v>137</v>
      </c>
      <c r="H497" s="13" t="s">
        <v>138</v>
      </c>
      <c r="I497" t="s">
        <v>42</v>
      </c>
      <c r="J497" s="13" t="s">
        <v>43</v>
      </c>
      <c r="K497" s="13" t="s">
        <v>29</v>
      </c>
      <c r="L497" s="13" t="s">
        <v>30</v>
      </c>
      <c r="M497" t="s">
        <v>139</v>
      </c>
      <c r="N497">
        <v>1460</v>
      </c>
      <c r="O497" s="14">
        <v>5.5577025283128002E-2</v>
      </c>
      <c r="P497" s="14">
        <v>0.30305550759658201</v>
      </c>
      <c r="Q497" t="str">
        <f t="shared" si="14"/>
        <v>35-49</v>
      </c>
      <c r="R497" t="str">
        <f t="shared" si="15"/>
        <v>[lLDyBx5XyUi]|35-49|Female|POP_EST.T_1|CY2023Q3</v>
      </c>
    </row>
    <row r="498" spans="4:18" x14ac:dyDescent="0.2">
      <c r="D498" s="13" t="s">
        <v>74</v>
      </c>
      <c r="E498" s="13" t="s">
        <v>75</v>
      </c>
      <c r="F498" s="13" t="s">
        <v>76</v>
      </c>
      <c r="G498" s="13" t="s">
        <v>137</v>
      </c>
      <c r="H498" s="13" t="s">
        <v>138</v>
      </c>
      <c r="I498" t="s">
        <v>44</v>
      </c>
      <c r="J498" s="13" t="s">
        <v>45</v>
      </c>
      <c r="K498" s="13" t="s">
        <v>29</v>
      </c>
      <c r="L498" s="13" t="s">
        <v>30</v>
      </c>
      <c r="M498" t="s">
        <v>139</v>
      </c>
      <c r="N498">
        <v>1612</v>
      </c>
      <c r="O498" s="14">
        <v>0.10101345530711101</v>
      </c>
      <c r="P498" s="14">
        <v>0.30305550759658201</v>
      </c>
      <c r="Q498" t="str">
        <f t="shared" si="14"/>
        <v>50+</v>
      </c>
      <c r="R498" t="str">
        <f t="shared" si="15"/>
        <v>[lLDyBx5XyUi]|50+|Female|POP_EST.T_1|CY2023Q3</v>
      </c>
    </row>
    <row r="499" spans="4:18" x14ac:dyDescent="0.2">
      <c r="D499" s="13" t="s">
        <v>74</v>
      </c>
      <c r="E499" s="13" t="s">
        <v>75</v>
      </c>
      <c r="F499" s="13" t="s">
        <v>76</v>
      </c>
      <c r="G499" s="13" t="s">
        <v>137</v>
      </c>
      <c r="H499" s="13" t="s">
        <v>138</v>
      </c>
      <c r="I499" t="s">
        <v>27</v>
      </c>
      <c r="J499" s="13" t="s">
        <v>28</v>
      </c>
      <c r="K499" s="13" t="s">
        <v>47</v>
      </c>
      <c r="L499" s="13" t="s">
        <v>48</v>
      </c>
      <c r="M499" t="s">
        <v>139</v>
      </c>
      <c r="N499">
        <v>1271</v>
      </c>
      <c r="O499" s="14">
        <v>0.58553639450110495</v>
      </c>
      <c r="P499" s="14">
        <v>0.30305550759658201</v>
      </c>
      <c r="Q499" t="str">
        <f t="shared" si="14"/>
        <v>&lt;01</v>
      </c>
      <c r="R499" t="str">
        <f t="shared" si="15"/>
        <v>[lLDyBx5XyUi]|&lt;01|Male|POP_EST.T_1|CY2023Q3</v>
      </c>
    </row>
    <row r="500" spans="4:18" x14ac:dyDescent="0.2">
      <c r="D500" s="13" t="s">
        <v>74</v>
      </c>
      <c r="E500" s="13" t="s">
        <v>75</v>
      </c>
      <c r="F500" s="13" t="s">
        <v>76</v>
      </c>
      <c r="G500" s="13" t="s">
        <v>137</v>
      </c>
      <c r="H500" s="13" t="s">
        <v>138</v>
      </c>
      <c r="I500" t="s">
        <v>32</v>
      </c>
      <c r="J500" s="13" t="s">
        <v>33</v>
      </c>
      <c r="K500" s="13" t="s">
        <v>47</v>
      </c>
      <c r="L500" s="13" t="s">
        <v>48</v>
      </c>
      <c r="M500" t="s">
        <v>139</v>
      </c>
      <c r="N500">
        <v>554</v>
      </c>
      <c r="O500" s="14">
        <v>0.50744677078910205</v>
      </c>
      <c r="P500" s="14">
        <v>0.30305550759658201</v>
      </c>
      <c r="Q500" t="str">
        <f t="shared" si="14"/>
        <v>01-09</v>
      </c>
      <c r="R500" t="str">
        <f t="shared" si="15"/>
        <v>[lLDyBx5XyUi]|01-09|Male|POP_EST.T_1|CY2023Q3</v>
      </c>
    </row>
    <row r="501" spans="4:18" x14ac:dyDescent="0.2">
      <c r="D501" s="13" t="s">
        <v>74</v>
      </c>
      <c r="E501" s="13" t="s">
        <v>75</v>
      </c>
      <c r="F501" s="13" t="s">
        <v>76</v>
      </c>
      <c r="G501" s="13" t="s">
        <v>137</v>
      </c>
      <c r="H501" s="13" t="s">
        <v>138</v>
      </c>
      <c r="I501" t="s">
        <v>35</v>
      </c>
      <c r="J501" s="13" t="s">
        <v>36</v>
      </c>
      <c r="K501" s="13" t="s">
        <v>47</v>
      </c>
      <c r="L501" s="13" t="s">
        <v>48</v>
      </c>
      <c r="M501" t="s">
        <v>139</v>
      </c>
      <c r="N501">
        <v>937</v>
      </c>
      <c r="O501" s="14">
        <v>1.7290530493482899E-2</v>
      </c>
      <c r="P501" s="14">
        <v>0.30305550759658201</v>
      </c>
      <c r="Q501" t="str">
        <f t="shared" si="14"/>
        <v>10-14</v>
      </c>
      <c r="R501" t="str">
        <f t="shared" si="15"/>
        <v>[lLDyBx5XyUi]|10-14|Male|POP_EST.T_1|CY2023Q3</v>
      </c>
    </row>
    <row r="502" spans="4:18" x14ac:dyDescent="0.2">
      <c r="D502" s="13" t="s">
        <v>74</v>
      </c>
      <c r="E502" s="13" t="s">
        <v>75</v>
      </c>
      <c r="F502" s="13" t="s">
        <v>76</v>
      </c>
      <c r="G502" s="13" t="s">
        <v>137</v>
      </c>
      <c r="H502" s="13" t="s">
        <v>138</v>
      </c>
      <c r="I502" t="s">
        <v>37</v>
      </c>
      <c r="J502" s="13" t="s">
        <v>38</v>
      </c>
      <c r="K502" s="13" t="s">
        <v>47</v>
      </c>
      <c r="L502" s="13" t="s">
        <v>48</v>
      </c>
      <c r="M502" t="s">
        <v>139</v>
      </c>
      <c r="N502">
        <v>1357</v>
      </c>
      <c r="O502" s="14">
        <v>0.78113979613408402</v>
      </c>
      <c r="P502" s="14">
        <v>0.30305550759658201</v>
      </c>
      <c r="Q502" t="str">
        <f t="shared" si="14"/>
        <v>15-24</v>
      </c>
      <c r="R502" t="str">
        <f t="shared" si="15"/>
        <v>[lLDyBx5XyUi]|15-24|Male|POP_EST.T_1|CY2023Q3</v>
      </c>
    </row>
    <row r="503" spans="4:18" x14ac:dyDescent="0.2">
      <c r="D503" s="13" t="s">
        <v>74</v>
      </c>
      <c r="E503" s="13" t="s">
        <v>75</v>
      </c>
      <c r="F503" s="13" t="s">
        <v>76</v>
      </c>
      <c r="G503" s="13" t="s">
        <v>137</v>
      </c>
      <c r="H503" s="13" t="s">
        <v>138</v>
      </c>
      <c r="I503" t="s">
        <v>40</v>
      </c>
      <c r="J503" s="13" t="s">
        <v>41</v>
      </c>
      <c r="K503" s="13" t="s">
        <v>47</v>
      </c>
      <c r="L503" s="13" t="s">
        <v>48</v>
      </c>
      <c r="M503" t="s">
        <v>139</v>
      </c>
      <c r="N503">
        <v>1817</v>
      </c>
      <c r="O503" s="14">
        <v>2.3552138824015901E-2</v>
      </c>
      <c r="P503" s="14">
        <v>0.30305550759658201</v>
      </c>
      <c r="Q503" t="str">
        <f t="shared" si="14"/>
        <v>25-34</v>
      </c>
      <c r="R503" t="str">
        <f t="shared" si="15"/>
        <v>[lLDyBx5XyUi]|25-34|Male|POP_EST.T_1|CY2023Q3</v>
      </c>
    </row>
    <row r="504" spans="4:18" x14ac:dyDescent="0.2">
      <c r="D504" s="13" t="s">
        <v>74</v>
      </c>
      <c r="E504" s="13" t="s">
        <v>75</v>
      </c>
      <c r="F504" s="13" t="s">
        <v>76</v>
      </c>
      <c r="G504" s="13" t="s">
        <v>137</v>
      </c>
      <c r="H504" s="13" t="s">
        <v>138</v>
      </c>
      <c r="I504" t="s">
        <v>42</v>
      </c>
      <c r="J504" s="13" t="s">
        <v>43</v>
      </c>
      <c r="K504" s="13" t="s">
        <v>47</v>
      </c>
      <c r="L504" s="13" t="s">
        <v>48</v>
      </c>
      <c r="M504" t="s">
        <v>139</v>
      </c>
      <c r="N504">
        <v>1281</v>
      </c>
      <c r="O504" s="14">
        <v>0.46868751058355002</v>
      </c>
      <c r="P504" s="14">
        <v>0.30305550759658201</v>
      </c>
      <c r="Q504" t="str">
        <f t="shared" si="14"/>
        <v>35-49</v>
      </c>
      <c r="R504" t="str">
        <f t="shared" si="15"/>
        <v>[lLDyBx5XyUi]|35-49|Male|POP_EST.T_1|CY2023Q3</v>
      </c>
    </row>
    <row r="505" spans="4:18" x14ac:dyDescent="0.2">
      <c r="D505" s="13" t="s">
        <v>74</v>
      </c>
      <c r="E505" s="13" t="s">
        <v>75</v>
      </c>
      <c r="F505" s="13" t="s">
        <v>76</v>
      </c>
      <c r="G505" s="13" t="s">
        <v>137</v>
      </c>
      <c r="H505" s="13" t="s">
        <v>138</v>
      </c>
      <c r="I505" t="s">
        <v>44</v>
      </c>
      <c r="J505" s="13" t="s">
        <v>45</v>
      </c>
      <c r="K505" s="13" t="s">
        <v>47</v>
      </c>
      <c r="L505" s="13" t="s">
        <v>48</v>
      </c>
      <c r="M505" t="s">
        <v>139</v>
      </c>
      <c r="N505">
        <v>1127</v>
      </c>
      <c r="O505" s="14">
        <v>0.35113639850169398</v>
      </c>
      <c r="P505" s="14">
        <v>0.30305550759658201</v>
      </c>
      <c r="Q505" t="str">
        <f t="shared" si="14"/>
        <v>50+</v>
      </c>
      <c r="R505" t="str">
        <f t="shared" si="15"/>
        <v>[lLDyBx5XyUi]|50+|Male|POP_EST.T_1|CY2023Q3</v>
      </c>
    </row>
    <row r="506" spans="4:18" x14ac:dyDescent="0.2">
      <c r="D506" s="13" t="s">
        <v>77</v>
      </c>
      <c r="E506" s="13" t="s">
        <v>78</v>
      </c>
      <c r="F506" s="13" t="s">
        <v>79</v>
      </c>
      <c r="G506" s="13" t="s">
        <v>137</v>
      </c>
      <c r="H506" s="13" t="s">
        <v>138</v>
      </c>
      <c r="I506" t="s">
        <v>27</v>
      </c>
      <c r="J506" s="13" t="s">
        <v>28</v>
      </c>
      <c r="K506" s="13" t="s">
        <v>29</v>
      </c>
      <c r="L506" s="13" t="s">
        <v>30</v>
      </c>
      <c r="M506" t="s">
        <v>139</v>
      </c>
      <c r="N506">
        <v>1334</v>
      </c>
      <c r="O506" s="14">
        <v>0.66315442463383101</v>
      </c>
      <c r="P506" s="14">
        <v>0.83159798220731296</v>
      </c>
      <c r="Q506" t="str">
        <f t="shared" si="14"/>
        <v>&lt;01</v>
      </c>
      <c r="R506" t="str">
        <f t="shared" si="15"/>
        <v>[TYnMSwzko3z]|&lt;01|Female|POP_EST.T_1|CY2023Q3</v>
      </c>
    </row>
    <row r="507" spans="4:18" x14ac:dyDescent="0.2">
      <c r="D507" s="13" t="s">
        <v>77</v>
      </c>
      <c r="E507" s="13" t="s">
        <v>78</v>
      </c>
      <c r="F507" s="13" t="s">
        <v>79</v>
      </c>
      <c r="G507" s="13" t="s">
        <v>137</v>
      </c>
      <c r="H507" s="13" t="s">
        <v>138</v>
      </c>
      <c r="I507" t="s">
        <v>32</v>
      </c>
      <c r="J507" s="13" t="s">
        <v>33</v>
      </c>
      <c r="K507" s="13" t="s">
        <v>29</v>
      </c>
      <c r="L507" s="13" t="s">
        <v>30</v>
      </c>
      <c r="M507" t="s">
        <v>139</v>
      </c>
      <c r="N507">
        <v>1010</v>
      </c>
      <c r="O507" s="14">
        <v>0.94815065548755195</v>
      </c>
      <c r="P507" s="14">
        <v>0.83159798220731296</v>
      </c>
      <c r="Q507" t="str">
        <f t="shared" si="14"/>
        <v>01-09</v>
      </c>
      <c r="R507" t="str">
        <f t="shared" si="15"/>
        <v>[TYnMSwzko3z]|01-09|Female|POP_EST.T_1|CY2023Q3</v>
      </c>
    </row>
    <row r="508" spans="4:18" x14ac:dyDescent="0.2">
      <c r="D508" s="13" t="s">
        <v>77</v>
      </c>
      <c r="E508" s="13" t="s">
        <v>78</v>
      </c>
      <c r="F508" s="13" t="s">
        <v>79</v>
      </c>
      <c r="G508" s="13" t="s">
        <v>137</v>
      </c>
      <c r="H508" s="13" t="s">
        <v>138</v>
      </c>
      <c r="I508" t="s">
        <v>35</v>
      </c>
      <c r="J508" s="13" t="s">
        <v>36</v>
      </c>
      <c r="K508" s="13" t="s">
        <v>29</v>
      </c>
      <c r="L508" s="13" t="s">
        <v>30</v>
      </c>
      <c r="M508" t="s">
        <v>139</v>
      </c>
      <c r="N508">
        <v>1048</v>
      </c>
      <c r="O508" s="14">
        <v>0.25140451779589101</v>
      </c>
      <c r="P508" s="14">
        <v>0.83159798220731296</v>
      </c>
      <c r="Q508" t="str">
        <f t="shared" si="14"/>
        <v>10-14</v>
      </c>
      <c r="R508" t="str">
        <f t="shared" si="15"/>
        <v>[TYnMSwzko3z]|10-14|Female|POP_EST.T_1|CY2023Q3</v>
      </c>
    </row>
    <row r="509" spans="4:18" x14ac:dyDescent="0.2">
      <c r="D509" s="13" t="s">
        <v>77</v>
      </c>
      <c r="E509" s="13" t="s">
        <v>78</v>
      </c>
      <c r="F509" s="13" t="s">
        <v>79</v>
      </c>
      <c r="G509" s="13" t="s">
        <v>137</v>
      </c>
      <c r="H509" s="13" t="s">
        <v>138</v>
      </c>
      <c r="I509" t="s">
        <v>37</v>
      </c>
      <c r="J509" s="13" t="s">
        <v>38</v>
      </c>
      <c r="K509" s="13" t="s">
        <v>29</v>
      </c>
      <c r="L509" s="13" t="s">
        <v>30</v>
      </c>
      <c r="M509" t="s">
        <v>139</v>
      </c>
      <c r="N509">
        <v>610</v>
      </c>
      <c r="O509" s="14">
        <v>0.118002602364868</v>
      </c>
      <c r="P509" s="14">
        <v>0.83159798220731296</v>
      </c>
      <c r="Q509" t="str">
        <f t="shared" si="14"/>
        <v>15-24</v>
      </c>
      <c r="R509" t="str">
        <f t="shared" si="15"/>
        <v>[TYnMSwzko3z]|15-24|Female|POP_EST.T_1|CY2023Q3</v>
      </c>
    </row>
    <row r="510" spans="4:18" x14ac:dyDescent="0.2">
      <c r="D510" s="13" t="s">
        <v>77</v>
      </c>
      <c r="E510" s="13" t="s">
        <v>78</v>
      </c>
      <c r="F510" s="13" t="s">
        <v>79</v>
      </c>
      <c r="G510" s="13" t="s">
        <v>137</v>
      </c>
      <c r="H510" s="13" t="s">
        <v>138</v>
      </c>
      <c r="I510" t="s">
        <v>40</v>
      </c>
      <c r="J510" s="13" t="s">
        <v>41</v>
      </c>
      <c r="K510" s="13" t="s">
        <v>29</v>
      </c>
      <c r="L510" s="13" t="s">
        <v>30</v>
      </c>
      <c r="M510" t="s">
        <v>139</v>
      </c>
      <c r="N510">
        <v>1209</v>
      </c>
      <c r="O510" s="14">
        <v>0.30216445005498799</v>
      </c>
      <c r="P510" s="14">
        <v>0.83159798220731296</v>
      </c>
      <c r="Q510" t="str">
        <f t="shared" si="14"/>
        <v>25-34</v>
      </c>
      <c r="R510" t="str">
        <f t="shared" si="15"/>
        <v>[TYnMSwzko3z]|25-34|Female|POP_EST.T_1|CY2023Q3</v>
      </c>
    </row>
    <row r="511" spans="4:18" x14ac:dyDescent="0.2">
      <c r="D511" s="13" t="s">
        <v>77</v>
      </c>
      <c r="E511" s="13" t="s">
        <v>78</v>
      </c>
      <c r="F511" s="13" t="s">
        <v>79</v>
      </c>
      <c r="G511" s="13" t="s">
        <v>137</v>
      </c>
      <c r="H511" s="13" t="s">
        <v>138</v>
      </c>
      <c r="I511" t="s">
        <v>42</v>
      </c>
      <c r="J511" s="13" t="s">
        <v>43</v>
      </c>
      <c r="K511" s="13" t="s">
        <v>29</v>
      </c>
      <c r="L511" s="13" t="s">
        <v>30</v>
      </c>
      <c r="M511" t="s">
        <v>139</v>
      </c>
      <c r="N511">
        <v>1015</v>
      </c>
      <c r="O511" s="14">
        <v>0.62219326873309899</v>
      </c>
      <c r="P511" s="14">
        <v>0.83159798220731296</v>
      </c>
      <c r="Q511" t="str">
        <f t="shared" si="14"/>
        <v>35-49</v>
      </c>
      <c r="R511" t="str">
        <f t="shared" si="15"/>
        <v>[TYnMSwzko3z]|35-49|Female|POP_EST.T_1|CY2023Q3</v>
      </c>
    </row>
    <row r="512" spans="4:18" x14ac:dyDescent="0.2">
      <c r="D512" s="13" t="s">
        <v>77</v>
      </c>
      <c r="E512" s="13" t="s">
        <v>78</v>
      </c>
      <c r="F512" s="13" t="s">
        <v>79</v>
      </c>
      <c r="G512" s="13" t="s">
        <v>137</v>
      </c>
      <c r="H512" s="13" t="s">
        <v>138</v>
      </c>
      <c r="I512" t="s">
        <v>44</v>
      </c>
      <c r="J512" s="13" t="s">
        <v>45</v>
      </c>
      <c r="K512" s="13" t="s">
        <v>29</v>
      </c>
      <c r="L512" s="13" t="s">
        <v>30</v>
      </c>
      <c r="M512" t="s">
        <v>139</v>
      </c>
      <c r="N512">
        <v>1173</v>
      </c>
      <c r="O512" s="14">
        <v>0.349021580303088</v>
      </c>
      <c r="P512" s="14">
        <v>0.83159798220731296</v>
      </c>
      <c r="Q512" t="str">
        <f t="shared" si="14"/>
        <v>50+</v>
      </c>
      <c r="R512" t="str">
        <f t="shared" si="15"/>
        <v>[TYnMSwzko3z]|50+|Female|POP_EST.T_1|CY2023Q3</v>
      </c>
    </row>
    <row r="513" spans="4:18" x14ac:dyDescent="0.2">
      <c r="D513" s="13" t="s">
        <v>77</v>
      </c>
      <c r="E513" s="13" t="s">
        <v>78</v>
      </c>
      <c r="F513" s="13" t="s">
        <v>79</v>
      </c>
      <c r="G513" s="13" t="s">
        <v>137</v>
      </c>
      <c r="H513" s="13" t="s">
        <v>138</v>
      </c>
      <c r="I513" t="s">
        <v>27</v>
      </c>
      <c r="J513" s="13" t="s">
        <v>28</v>
      </c>
      <c r="K513" s="13" t="s">
        <v>47</v>
      </c>
      <c r="L513" s="13" t="s">
        <v>48</v>
      </c>
      <c r="M513" t="s">
        <v>139</v>
      </c>
      <c r="N513">
        <v>704</v>
      </c>
      <c r="O513" s="14">
        <v>0.87020922312513005</v>
      </c>
      <c r="P513" s="14">
        <v>0.83159798220731296</v>
      </c>
      <c r="Q513" t="str">
        <f t="shared" si="14"/>
        <v>&lt;01</v>
      </c>
      <c r="R513" t="str">
        <f t="shared" si="15"/>
        <v>[TYnMSwzko3z]|&lt;01|Male|POP_EST.T_1|CY2023Q3</v>
      </c>
    </row>
    <row r="514" spans="4:18" x14ac:dyDescent="0.2">
      <c r="D514" s="13" t="s">
        <v>77</v>
      </c>
      <c r="E514" s="13" t="s">
        <v>78</v>
      </c>
      <c r="F514" s="13" t="s">
        <v>79</v>
      </c>
      <c r="G514" s="13" t="s">
        <v>137</v>
      </c>
      <c r="H514" s="13" t="s">
        <v>138</v>
      </c>
      <c r="I514" t="s">
        <v>32</v>
      </c>
      <c r="J514" s="13" t="s">
        <v>33</v>
      </c>
      <c r="K514" s="13" t="s">
        <v>47</v>
      </c>
      <c r="L514" s="13" t="s">
        <v>48</v>
      </c>
      <c r="M514" t="s">
        <v>139</v>
      </c>
      <c r="N514">
        <v>512</v>
      </c>
      <c r="O514" s="14">
        <v>0.413764166412875</v>
      </c>
      <c r="P514" s="14">
        <v>0.83159798220731296</v>
      </c>
      <c r="Q514" t="str">
        <f t="shared" ref="Q514:Q577" si="16">SUBSTITUTE(SUBSTITUTE($I514,CHAR(61),""),CHAR(34),"")</f>
        <v>01-09</v>
      </c>
      <c r="R514" t="str">
        <f t="shared" ref="R514:R577" si="17">IF($D514&lt;&gt;"","["&amp;$E514&amp;"]"&amp;"|"&amp;$Q514&amp;"|"&amp;$K514&amp;"|"&amp;$G514&amp;"|"&amp;IF($G514="TX_CURR_SUBNAT.R","CY2022Q4",$M514),"")</f>
        <v>[TYnMSwzko3z]|01-09|Male|POP_EST.T_1|CY2023Q3</v>
      </c>
    </row>
    <row r="515" spans="4:18" x14ac:dyDescent="0.2">
      <c r="D515" s="13" t="s">
        <v>77</v>
      </c>
      <c r="E515" s="13" t="s">
        <v>78</v>
      </c>
      <c r="F515" s="13" t="s">
        <v>79</v>
      </c>
      <c r="G515" s="13" t="s">
        <v>137</v>
      </c>
      <c r="H515" s="13" t="s">
        <v>138</v>
      </c>
      <c r="I515" t="s">
        <v>35</v>
      </c>
      <c r="J515" s="13" t="s">
        <v>36</v>
      </c>
      <c r="K515" s="13" t="s">
        <v>47</v>
      </c>
      <c r="L515" s="13" t="s">
        <v>48</v>
      </c>
      <c r="M515" t="s">
        <v>139</v>
      </c>
      <c r="N515">
        <v>1804</v>
      </c>
      <c r="O515" s="14">
        <v>0.76567066553980101</v>
      </c>
      <c r="P515" s="14">
        <v>0.83159798220731296</v>
      </c>
      <c r="Q515" t="str">
        <f t="shared" si="16"/>
        <v>10-14</v>
      </c>
      <c r="R515" t="str">
        <f t="shared" si="17"/>
        <v>[TYnMSwzko3z]|10-14|Male|POP_EST.T_1|CY2023Q3</v>
      </c>
    </row>
    <row r="516" spans="4:18" x14ac:dyDescent="0.2">
      <c r="D516" s="13" t="s">
        <v>77</v>
      </c>
      <c r="E516" s="13" t="s">
        <v>78</v>
      </c>
      <c r="F516" s="13" t="s">
        <v>79</v>
      </c>
      <c r="G516" s="13" t="s">
        <v>137</v>
      </c>
      <c r="H516" s="13" t="s">
        <v>138</v>
      </c>
      <c r="I516" t="s">
        <v>37</v>
      </c>
      <c r="J516" s="13" t="s">
        <v>38</v>
      </c>
      <c r="K516" s="13" t="s">
        <v>47</v>
      </c>
      <c r="L516" s="13" t="s">
        <v>48</v>
      </c>
      <c r="M516" t="s">
        <v>139</v>
      </c>
      <c r="N516">
        <v>1199</v>
      </c>
      <c r="O516" s="14">
        <v>0.86127271573059305</v>
      </c>
      <c r="P516" s="14">
        <v>0.83159798220731296</v>
      </c>
      <c r="Q516" t="str">
        <f t="shared" si="16"/>
        <v>15-24</v>
      </c>
      <c r="R516" t="str">
        <f t="shared" si="17"/>
        <v>[TYnMSwzko3z]|15-24|Male|POP_EST.T_1|CY2023Q3</v>
      </c>
    </row>
    <row r="517" spans="4:18" x14ac:dyDescent="0.2">
      <c r="D517" s="13" t="s">
        <v>77</v>
      </c>
      <c r="E517" s="13" t="s">
        <v>78</v>
      </c>
      <c r="F517" s="13" t="s">
        <v>79</v>
      </c>
      <c r="G517" s="13" t="s">
        <v>137</v>
      </c>
      <c r="H517" s="13" t="s">
        <v>138</v>
      </c>
      <c r="I517" t="s">
        <v>40</v>
      </c>
      <c r="J517" s="13" t="s">
        <v>41</v>
      </c>
      <c r="K517" s="13" t="s">
        <v>47</v>
      </c>
      <c r="L517" s="13" t="s">
        <v>48</v>
      </c>
      <c r="M517" t="s">
        <v>139</v>
      </c>
      <c r="N517">
        <v>1565</v>
      </c>
      <c r="O517" s="14">
        <v>0.76708022342063498</v>
      </c>
      <c r="P517" s="14">
        <v>0.83159798220731296</v>
      </c>
      <c r="Q517" t="str">
        <f t="shared" si="16"/>
        <v>25-34</v>
      </c>
      <c r="R517" t="str">
        <f t="shared" si="17"/>
        <v>[TYnMSwzko3z]|25-34|Male|POP_EST.T_1|CY2023Q3</v>
      </c>
    </row>
    <row r="518" spans="4:18" x14ac:dyDescent="0.2">
      <c r="D518" s="13" t="s">
        <v>77</v>
      </c>
      <c r="E518" s="13" t="s">
        <v>78</v>
      </c>
      <c r="F518" s="13" t="s">
        <v>79</v>
      </c>
      <c r="G518" s="13" t="s">
        <v>137</v>
      </c>
      <c r="H518" s="13" t="s">
        <v>138</v>
      </c>
      <c r="I518" t="s">
        <v>42</v>
      </c>
      <c r="J518" s="13" t="s">
        <v>43</v>
      </c>
      <c r="K518" s="13" t="s">
        <v>47</v>
      </c>
      <c r="L518" s="13" t="s">
        <v>48</v>
      </c>
      <c r="M518" t="s">
        <v>139</v>
      </c>
      <c r="N518">
        <v>958</v>
      </c>
      <c r="O518" s="14">
        <v>0.20232871943153399</v>
      </c>
      <c r="P518" s="14">
        <v>0.83159798220731296</v>
      </c>
      <c r="Q518" t="str">
        <f t="shared" si="16"/>
        <v>35-49</v>
      </c>
      <c r="R518" t="str">
        <f t="shared" si="17"/>
        <v>[TYnMSwzko3z]|35-49|Male|POP_EST.T_1|CY2023Q3</v>
      </c>
    </row>
    <row r="519" spans="4:18" x14ac:dyDescent="0.2">
      <c r="D519" s="13" t="s">
        <v>77</v>
      </c>
      <c r="E519" s="13" t="s">
        <v>78</v>
      </c>
      <c r="F519" s="13" t="s">
        <v>79</v>
      </c>
      <c r="G519" s="13" t="s">
        <v>137</v>
      </c>
      <c r="H519" s="13" t="s">
        <v>138</v>
      </c>
      <c r="I519" t="s">
        <v>44</v>
      </c>
      <c r="J519" s="13" t="s">
        <v>45</v>
      </c>
      <c r="K519" s="13" t="s">
        <v>47</v>
      </c>
      <c r="L519" s="13" t="s">
        <v>48</v>
      </c>
      <c r="M519" t="s">
        <v>139</v>
      </c>
      <c r="N519">
        <v>1921</v>
      </c>
      <c r="O519" s="14">
        <v>0.59894481557421397</v>
      </c>
      <c r="P519" s="14">
        <v>0.83159798220731296</v>
      </c>
      <c r="Q519" t="str">
        <f t="shared" si="16"/>
        <v>50+</v>
      </c>
      <c r="R519" t="str">
        <f t="shared" si="17"/>
        <v>[TYnMSwzko3z]|50+|Male|POP_EST.T_1|CY2023Q3</v>
      </c>
    </row>
    <row r="520" spans="4:18" x14ac:dyDescent="0.2">
      <c r="D520" s="13" t="s">
        <v>80</v>
      </c>
      <c r="E520" s="13" t="s">
        <v>81</v>
      </c>
      <c r="F520" s="13" t="s">
        <v>82</v>
      </c>
      <c r="G520" s="13" t="s">
        <v>137</v>
      </c>
      <c r="H520" s="13" t="s">
        <v>138</v>
      </c>
      <c r="I520" t="s">
        <v>27</v>
      </c>
      <c r="J520" s="13" t="s">
        <v>28</v>
      </c>
      <c r="K520" s="13" t="s">
        <v>29</v>
      </c>
      <c r="L520" s="13" t="s">
        <v>30</v>
      </c>
      <c r="M520" t="s">
        <v>139</v>
      </c>
      <c r="N520">
        <v>999</v>
      </c>
      <c r="O520" s="14">
        <v>0.36132669518701699</v>
      </c>
      <c r="P520" s="14">
        <v>0.14333142153918699</v>
      </c>
      <c r="Q520" t="str">
        <f t="shared" si="16"/>
        <v>&lt;01</v>
      </c>
      <c r="R520" t="str">
        <f t="shared" si="17"/>
        <v>[ir8wuHHzoSs]|&lt;01|Female|POP_EST.T_1|CY2023Q3</v>
      </c>
    </row>
    <row r="521" spans="4:18" x14ac:dyDescent="0.2">
      <c r="D521" s="13" t="s">
        <v>80</v>
      </c>
      <c r="E521" s="13" t="s">
        <v>81</v>
      </c>
      <c r="F521" s="13" t="s">
        <v>82</v>
      </c>
      <c r="G521" s="13" t="s">
        <v>137</v>
      </c>
      <c r="H521" s="13" t="s">
        <v>138</v>
      </c>
      <c r="I521" t="s">
        <v>32</v>
      </c>
      <c r="J521" s="13" t="s">
        <v>33</v>
      </c>
      <c r="K521" s="13" t="s">
        <v>29</v>
      </c>
      <c r="L521" s="13" t="s">
        <v>30</v>
      </c>
      <c r="M521" t="s">
        <v>139</v>
      </c>
      <c r="N521">
        <v>1197</v>
      </c>
      <c r="O521" s="14">
        <v>0.302340692374855</v>
      </c>
      <c r="P521" s="14">
        <v>0.14333142153918699</v>
      </c>
      <c r="Q521" t="str">
        <f t="shared" si="16"/>
        <v>01-09</v>
      </c>
      <c r="R521" t="str">
        <f t="shared" si="17"/>
        <v>[ir8wuHHzoSs]|01-09|Female|POP_EST.T_1|CY2023Q3</v>
      </c>
    </row>
    <row r="522" spans="4:18" x14ac:dyDescent="0.2">
      <c r="D522" s="13" t="s">
        <v>80</v>
      </c>
      <c r="E522" s="13" t="s">
        <v>81</v>
      </c>
      <c r="F522" s="13" t="s">
        <v>82</v>
      </c>
      <c r="G522" s="13" t="s">
        <v>137</v>
      </c>
      <c r="H522" s="13" t="s">
        <v>138</v>
      </c>
      <c r="I522" t="s">
        <v>35</v>
      </c>
      <c r="J522" s="13" t="s">
        <v>36</v>
      </c>
      <c r="K522" s="13" t="s">
        <v>29</v>
      </c>
      <c r="L522" s="13" t="s">
        <v>30</v>
      </c>
      <c r="M522" t="s">
        <v>139</v>
      </c>
      <c r="N522">
        <v>819</v>
      </c>
      <c r="O522" s="14">
        <v>0.26491128164343503</v>
      </c>
      <c r="P522" s="14">
        <v>0.14333142153918699</v>
      </c>
      <c r="Q522" t="str">
        <f t="shared" si="16"/>
        <v>10-14</v>
      </c>
      <c r="R522" t="str">
        <f t="shared" si="17"/>
        <v>[ir8wuHHzoSs]|10-14|Female|POP_EST.T_1|CY2023Q3</v>
      </c>
    </row>
    <row r="523" spans="4:18" x14ac:dyDescent="0.2">
      <c r="D523" s="13" t="s">
        <v>80</v>
      </c>
      <c r="E523" s="13" t="s">
        <v>81</v>
      </c>
      <c r="F523" s="13" t="s">
        <v>82</v>
      </c>
      <c r="G523" s="13" t="s">
        <v>137</v>
      </c>
      <c r="H523" s="13" t="s">
        <v>138</v>
      </c>
      <c r="I523" t="s">
        <v>37</v>
      </c>
      <c r="J523" s="13" t="s">
        <v>38</v>
      </c>
      <c r="K523" s="13" t="s">
        <v>29</v>
      </c>
      <c r="L523" s="13" t="s">
        <v>30</v>
      </c>
      <c r="M523" t="s">
        <v>139</v>
      </c>
      <c r="N523">
        <v>957</v>
      </c>
      <c r="O523" s="14">
        <v>0.48284676391631398</v>
      </c>
      <c r="P523" s="14">
        <v>0.14333142153918699</v>
      </c>
      <c r="Q523" t="str">
        <f t="shared" si="16"/>
        <v>15-24</v>
      </c>
      <c r="R523" t="str">
        <f t="shared" si="17"/>
        <v>[ir8wuHHzoSs]|15-24|Female|POP_EST.T_1|CY2023Q3</v>
      </c>
    </row>
    <row r="524" spans="4:18" x14ac:dyDescent="0.2">
      <c r="D524" s="13" t="s">
        <v>80</v>
      </c>
      <c r="E524" s="13" t="s">
        <v>81</v>
      </c>
      <c r="F524" s="13" t="s">
        <v>82</v>
      </c>
      <c r="G524" s="13" t="s">
        <v>137</v>
      </c>
      <c r="H524" s="13" t="s">
        <v>138</v>
      </c>
      <c r="I524" t="s">
        <v>40</v>
      </c>
      <c r="J524" s="13" t="s">
        <v>41</v>
      </c>
      <c r="K524" s="13" t="s">
        <v>29</v>
      </c>
      <c r="L524" s="13" t="s">
        <v>30</v>
      </c>
      <c r="M524" t="s">
        <v>139</v>
      </c>
      <c r="N524">
        <v>1592</v>
      </c>
      <c r="O524" s="14">
        <v>0.28215404041111503</v>
      </c>
      <c r="P524" s="14">
        <v>0.14333142153918699</v>
      </c>
      <c r="Q524" t="str">
        <f t="shared" si="16"/>
        <v>25-34</v>
      </c>
      <c r="R524" t="str">
        <f t="shared" si="17"/>
        <v>[ir8wuHHzoSs]|25-34|Female|POP_EST.T_1|CY2023Q3</v>
      </c>
    </row>
    <row r="525" spans="4:18" x14ac:dyDescent="0.2">
      <c r="D525" s="13" t="s">
        <v>80</v>
      </c>
      <c r="E525" s="13" t="s">
        <v>81</v>
      </c>
      <c r="F525" s="13" t="s">
        <v>82</v>
      </c>
      <c r="G525" s="13" t="s">
        <v>137</v>
      </c>
      <c r="H525" s="13" t="s">
        <v>138</v>
      </c>
      <c r="I525" t="s">
        <v>42</v>
      </c>
      <c r="J525" s="13" t="s">
        <v>43</v>
      </c>
      <c r="K525" s="13" t="s">
        <v>29</v>
      </c>
      <c r="L525" s="13" t="s">
        <v>30</v>
      </c>
      <c r="M525" t="s">
        <v>139</v>
      </c>
      <c r="N525">
        <v>1224</v>
      </c>
      <c r="O525" s="14">
        <v>0.175405030371621</v>
      </c>
      <c r="P525" s="14">
        <v>0.14333142153918699</v>
      </c>
      <c r="Q525" t="str">
        <f t="shared" si="16"/>
        <v>35-49</v>
      </c>
      <c r="R525" t="str">
        <f t="shared" si="17"/>
        <v>[ir8wuHHzoSs]|35-49|Female|POP_EST.T_1|CY2023Q3</v>
      </c>
    </row>
    <row r="526" spans="4:18" x14ac:dyDescent="0.2">
      <c r="D526" s="13" t="s">
        <v>80</v>
      </c>
      <c r="E526" s="13" t="s">
        <v>81</v>
      </c>
      <c r="F526" s="13" t="s">
        <v>82</v>
      </c>
      <c r="G526" s="13" t="s">
        <v>137</v>
      </c>
      <c r="H526" s="13" t="s">
        <v>138</v>
      </c>
      <c r="I526" t="s">
        <v>44</v>
      </c>
      <c r="J526" s="13" t="s">
        <v>45</v>
      </c>
      <c r="K526" s="13" t="s">
        <v>29</v>
      </c>
      <c r="L526" s="13" t="s">
        <v>30</v>
      </c>
      <c r="M526" t="s">
        <v>139</v>
      </c>
      <c r="N526">
        <v>1618</v>
      </c>
      <c r="O526" s="14">
        <v>0.40280495141632899</v>
      </c>
      <c r="P526" s="14">
        <v>0.14333142153918699</v>
      </c>
      <c r="Q526" t="str">
        <f t="shared" si="16"/>
        <v>50+</v>
      </c>
      <c r="R526" t="str">
        <f t="shared" si="17"/>
        <v>[ir8wuHHzoSs]|50+|Female|POP_EST.T_1|CY2023Q3</v>
      </c>
    </row>
    <row r="527" spans="4:18" x14ac:dyDescent="0.2">
      <c r="D527" s="13" t="s">
        <v>80</v>
      </c>
      <c r="E527" s="13" t="s">
        <v>81</v>
      </c>
      <c r="F527" s="13" t="s">
        <v>82</v>
      </c>
      <c r="G527" s="13" t="s">
        <v>137</v>
      </c>
      <c r="H527" s="13" t="s">
        <v>138</v>
      </c>
      <c r="I527" t="s">
        <v>27</v>
      </c>
      <c r="J527" s="13" t="s">
        <v>28</v>
      </c>
      <c r="K527" s="13" t="s">
        <v>47</v>
      </c>
      <c r="L527" s="13" t="s">
        <v>48</v>
      </c>
      <c r="M527" t="s">
        <v>139</v>
      </c>
      <c r="N527">
        <v>1880</v>
      </c>
      <c r="O527" s="14">
        <v>0.84386807703413103</v>
      </c>
      <c r="P527" s="14">
        <v>0.14333142153918699</v>
      </c>
      <c r="Q527" t="str">
        <f t="shared" si="16"/>
        <v>&lt;01</v>
      </c>
      <c r="R527" t="str">
        <f t="shared" si="17"/>
        <v>[ir8wuHHzoSs]|&lt;01|Male|POP_EST.T_1|CY2023Q3</v>
      </c>
    </row>
    <row r="528" spans="4:18" x14ac:dyDescent="0.2">
      <c r="D528" s="13" t="s">
        <v>80</v>
      </c>
      <c r="E528" s="13" t="s">
        <v>81</v>
      </c>
      <c r="F528" s="13" t="s">
        <v>82</v>
      </c>
      <c r="G528" s="13" t="s">
        <v>137</v>
      </c>
      <c r="H528" s="13" t="s">
        <v>138</v>
      </c>
      <c r="I528" t="s">
        <v>32</v>
      </c>
      <c r="J528" s="13" t="s">
        <v>33</v>
      </c>
      <c r="K528" s="13" t="s">
        <v>47</v>
      </c>
      <c r="L528" s="13" t="s">
        <v>48</v>
      </c>
      <c r="M528" t="s">
        <v>139</v>
      </c>
      <c r="N528">
        <v>1326</v>
      </c>
      <c r="O528" s="14">
        <v>0.43740070960484401</v>
      </c>
      <c r="P528" s="14">
        <v>0.14333142153918699</v>
      </c>
      <c r="Q528" t="str">
        <f t="shared" si="16"/>
        <v>01-09</v>
      </c>
      <c r="R528" t="str">
        <f t="shared" si="17"/>
        <v>[ir8wuHHzoSs]|01-09|Male|POP_EST.T_1|CY2023Q3</v>
      </c>
    </row>
    <row r="529" spans="4:18" x14ac:dyDescent="0.2">
      <c r="D529" s="13" t="s">
        <v>80</v>
      </c>
      <c r="E529" s="13" t="s">
        <v>81</v>
      </c>
      <c r="F529" s="13" t="s">
        <v>82</v>
      </c>
      <c r="G529" s="13" t="s">
        <v>137</v>
      </c>
      <c r="H529" s="13" t="s">
        <v>138</v>
      </c>
      <c r="I529" t="s">
        <v>35</v>
      </c>
      <c r="J529" s="13" t="s">
        <v>36</v>
      </c>
      <c r="K529" s="13" t="s">
        <v>47</v>
      </c>
      <c r="L529" s="13" t="s">
        <v>48</v>
      </c>
      <c r="M529" t="s">
        <v>139</v>
      </c>
      <c r="N529">
        <v>812</v>
      </c>
      <c r="O529" s="14">
        <v>0.63237616047263101</v>
      </c>
      <c r="P529" s="14">
        <v>0.14333142153918699</v>
      </c>
      <c r="Q529" t="str">
        <f t="shared" si="16"/>
        <v>10-14</v>
      </c>
      <c r="R529" t="str">
        <f t="shared" si="17"/>
        <v>[ir8wuHHzoSs]|10-14|Male|POP_EST.T_1|CY2023Q3</v>
      </c>
    </row>
    <row r="530" spans="4:18" x14ac:dyDescent="0.2">
      <c r="D530" s="13" t="s">
        <v>80</v>
      </c>
      <c r="E530" s="13" t="s">
        <v>81</v>
      </c>
      <c r="F530" s="13" t="s">
        <v>82</v>
      </c>
      <c r="G530" s="13" t="s">
        <v>137</v>
      </c>
      <c r="H530" s="13" t="s">
        <v>138</v>
      </c>
      <c r="I530" t="s">
        <v>37</v>
      </c>
      <c r="J530" s="13" t="s">
        <v>38</v>
      </c>
      <c r="K530" s="13" t="s">
        <v>47</v>
      </c>
      <c r="L530" s="13" t="s">
        <v>48</v>
      </c>
      <c r="M530" t="s">
        <v>139</v>
      </c>
      <c r="N530">
        <v>1527</v>
      </c>
      <c r="O530" s="14">
        <v>4.4975582044571603E-2</v>
      </c>
      <c r="P530" s="14">
        <v>0.14333142153918699</v>
      </c>
      <c r="Q530" t="str">
        <f t="shared" si="16"/>
        <v>15-24</v>
      </c>
      <c r="R530" t="str">
        <f t="shared" si="17"/>
        <v>[ir8wuHHzoSs]|15-24|Male|POP_EST.T_1|CY2023Q3</v>
      </c>
    </row>
    <row r="531" spans="4:18" x14ac:dyDescent="0.2">
      <c r="D531" s="13" t="s">
        <v>80</v>
      </c>
      <c r="E531" s="13" t="s">
        <v>81</v>
      </c>
      <c r="F531" s="13" t="s">
        <v>82</v>
      </c>
      <c r="G531" s="13" t="s">
        <v>137</v>
      </c>
      <c r="H531" s="13" t="s">
        <v>138</v>
      </c>
      <c r="I531" t="s">
        <v>40</v>
      </c>
      <c r="J531" s="13" t="s">
        <v>41</v>
      </c>
      <c r="K531" s="13" t="s">
        <v>47</v>
      </c>
      <c r="L531" s="13" t="s">
        <v>48</v>
      </c>
      <c r="M531" t="s">
        <v>139</v>
      </c>
      <c r="N531">
        <v>712</v>
      </c>
      <c r="O531" s="14">
        <v>0.50271160341799304</v>
      </c>
      <c r="P531" s="14">
        <v>0.14333142153918699</v>
      </c>
      <c r="Q531" t="str">
        <f t="shared" si="16"/>
        <v>25-34</v>
      </c>
      <c r="R531" t="str">
        <f t="shared" si="17"/>
        <v>[ir8wuHHzoSs]|25-34|Male|POP_EST.T_1|CY2023Q3</v>
      </c>
    </row>
    <row r="532" spans="4:18" x14ac:dyDescent="0.2">
      <c r="D532" s="13" t="s">
        <v>80</v>
      </c>
      <c r="E532" s="13" t="s">
        <v>81</v>
      </c>
      <c r="F532" s="13" t="s">
        <v>82</v>
      </c>
      <c r="G532" s="13" t="s">
        <v>137</v>
      </c>
      <c r="H532" s="13" t="s">
        <v>138</v>
      </c>
      <c r="I532" t="s">
        <v>42</v>
      </c>
      <c r="J532" s="13" t="s">
        <v>43</v>
      </c>
      <c r="K532" s="13" t="s">
        <v>47</v>
      </c>
      <c r="L532" s="13" t="s">
        <v>48</v>
      </c>
      <c r="M532" t="s">
        <v>139</v>
      </c>
      <c r="N532">
        <v>1960</v>
      </c>
      <c r="O532" s="14">
        <v>0.81539995782077301</v>
      </c>
      <c r="P532" s="14">
        <v>0.14333142153918699</v>
      </c>
      <c r="Q532" t="str">
        <f t="shared" si="16"/>
        <v>35-49</v>
      </c>
      <c r="R532" t="str">
        <f t="shared" si="17"/>
        <v>[ir8wuHHzoSs]|35-49|Male|POP_EST.T_1|CY2023Q3</v>
      </c>
    </row>
    <row r="533" spans="4:18" x14ac:dyDescent="0.2">
      <c r="D533" s="13" t="s">
        <v>80</v>
      </c>
      <c r="E533" s="13" t="s">
        <v>81</v>
      </c>
      <c r="F533" s="13" t="s">
        <v>82</v>
      </c>
      <c r="G533" s="13" t="s">
        <v>137</v>
      </c>
      <c r="H533" s="13" t="s">
        <v>138</v>
      </c>
      <c r="I533" t="s">
        <v>44</v>
      </c>
      <c r="J533" s="13" t="s">
        <v>45</v>
      </c>
      <c r="K533" s="13" t="s">
        <v>47</v>
      </c>
      <c r="L533" s="13" t="s">
        <v>48</v>
      </c>
      <c r="M533" t="s">
        <v>139</v>
      </c>
      <c r="N533">
        <v>517</v>
      </c>
      <c r="O533" s="14">
        <v>0.79928420740179695</v>
      </c>
      <c r="P533" s="14">
        <v>0.14333142153918699</v>
      </c>
      <c r="Q533" t="str">
        <f t="shared" si="16"/>
        <v>50+</v>
      </c>
      <c r="R533" t="str">
        <f t="shared" si="17"/>
        <v>[ir8wuHHzoSs]|50+|Male|POP_EST.T_1|CY2023Q3</v>
      </c>
    </row>
    <row r="534" spans="4:18" x14ac:dyDescent="0.2">
      <c r="D534" s="13" t="s">
        <v>83</v>
      </c>
      <c r="E534" s="13" t="s">
        <v>84</v>
      </c>
      <c r="F534" s="13" t="s">
        <v>85</v>
      </c>
      <c r="G534" s="13" t="s">
        <v>137</v>
      </c>
      <c r="H534" s="13" t="s">
        <v>138</v>
      </c>
      <c r="I534" t="s">
        <v>27</v>
      </c>
      <c r="J534" s="13" t="s">
        <v>28</v>
      </c>
      <c r="K534" s="13" t="s">
        <v>29</v>
      </c>
      <c r="L534" s="13" t="s">
        <v>30</v>
      </c>
      <c r="M534" t="s">
        <v>139</v>
      </c>
      <c r="N534">
        <v>661</v>
      </c>
      <c r="O534" s="14">
        <v>0.37038664403371502</v>
      </c>
      <c r="P534" s="14">
        <v>2.9788714367896301E-2</v>
      </c>
      <c r="Q534" t="str">
        <f t="shared" si="16"/>
        <v>&lt;01</v>
      </c>
      <c r="R534" t="str">
        <f t="shared" si="17"/>
        <v>[fyEoGEPERdI]|&lt;01|Female|POP_EST.T_1|CY2023Q3</v>
      </c>
    </row>
    <row r="535" spans="4:18" x14ac:dyDescent="0.2">
      <c r="D535" s="13" t="s">
        <v>83</v>
      </c>
      <c r="E535" s="13" t="s">
        <v>84</v>
      </c>
      <c r="F535" s="13" t="s">
        <v>85</v>
      </c>
      <c r="G535" s="13" t="s">
        <v>137</v>
      </c>
      <c r="H535" s="13" t="s">
        <v>138</v>
      </c>
      <c r="I535" t="s">
        <v>32</v>
      </c>
      <c r="J535" s="13" t="s">
        <v>33</v>
      </c>
      <c r="K535" s="13" t="s">
        <v>29</v>
      </c>
      <c r="L535" s="13" t="s">
        <v>30</v>
      </c>
      <c r="M535" t="s">
        <v>139</v>
      </c>
      <c r="N535">
        <v>730</v>
      </c>
      <c r="O535" s="14">
        <v>0.44512519054114802</v>
      </c>
      <c r="P535" s="14">
        <v>2.9788714367896301E-2</v>
      </c>
      <c r="Q535" t="str">
        <f t="shared" si="16"/>
        <v>01-09</v>
      </c>
      <c r="R535" t="str">
        <f t="shared" si="17"/>
        <v>[fyEoGEPERdI]|01-09|Female|POP_EST.T_1|CY2023Q3</v>
      </c>
    </row>
    <row r="536" spans="4:18" x14ac:dyDescent="0.2">
      <c r="D536" s="13" t="s">
        <v>83</v>
      </c>
      <c r="E536" s="13" t="s">
        <v>84</v>
      </c>
      <c r="F536" s="13" t="s">
        <v>85</v>
      </c>
      <c r="G536" s="13" t="s">
        <v>137</v>
      </c>
      <c r="H536" s="13" t="s">
        <v>138</v>
      </c>
      <c r="I536" t="s">
        <v>35</v>
      </c>
      <c r="J536" s="13" t="s">
        <v>36</v>
      </c>
      <c r="K536" s="13" t="s">
        <v>29</v>
      </c>
      <c r="L536" s="13" t="s">
        <v>30</v>
      </c>
      <c r="M536" t="s">
        <v>139</v>
      </c>
      <c r="N536">
        <v>1899</v>
      </c>
      <c r="O536" s="14">
        <v>0.57150763808749605</v>
      </c>
      <c r="P536" s="14">
        <v>2.9788714367896301E-2</v>
      </c>
      <c r="Q536" t="str">
        <f t="shared" si="16"/>
        <v>10-14</v>
      </c>
      <c r="R536" t="str">
        <f t="shared" si="17"/>
        <v>[fyEoGEPERdI]|10-14|Female|POP_EST.T_1|CY2023Q3</v>
      </c>
    </row>
    <row r="537" spans="4:18" x14ac:dyDescent="0.2">
      <c r="D537" s="13" t="s">
        <v>83</v>
      </c>
      <c r="E537" s="13" t="s">
        <v>84</v>
      </c>
      <c r="F537" s="13" t="s">
        <v>85</v>
      </c>
      <c r="G537" s="13" t="s">
        <v>137</v>
      </c>
      <c r="H537" s="13" t="s">
        <v>138</v>
      </c>
      <c r="I537" t="s">
        <v>37</v>
      </c>
      <c r="J537" s="13" t="s">
        <v>38</v>
      </c>
      <c r="K537" s="13" t="s">
        <v>29</v>
      </c>
      <c r="L537" s="13" t="s">
        <v>30</v>
      </c>
      <c r="M537" t="s">
        <v>139</v>
      </c>
      <c r="N537">
        <v>1475</v>
      </c>
      <c r="O537" s="14">
        <v>0.54454903979785696</v>
      </c>
      <c r="P537" s="14">
        <v>2.9788714367896301E-2</v>
      </c>
      <c r="Q537" t="str">
        <f t="shared" si="16"/>
        <v>15-24</v>
      </c>
      <c r="R537" t="str">
        <f t="shared" si="17"/>
        <v>[fyEoGEPERdI]|15-24|Female|POP_EST.T_1|CY2023Q3</v>
      </c>
    </row>
    <row r="538" spans="4:18" x14ac:dyDescent="0.2">
      <c r="D538" s="13" t="s">
        <v>83</v>
      </c>
      <c r="E538" s="13" t="s">
        <v>84</v>
      </c>
      <c r="F538" s="13" t="s">
        <v>85</v>
      </c>
      <c r="G538" s="13" t="s">
        <v>137</v>
      </c>
      <c r="H538" s="13" t="s">
        <v>138</v>
      </c>
      <c r="I538" t="s">
        <v>40</v>
      </c>
      <c r="J538" s="13" t="s">
        <v>41</v>
      </c>
      <c r="K538" s="13" t="s">
        <v>29</v>
      </c>
      <c r="L538" s="13" t="s">
        <v>30</v>
      </c>
      <c r="M538" t="s">
        <v>139</v>
      </c>
      <c r="N538">
        <v>1113</v>
      </c>
      <c r="O538" s="14">
        <v>0.62752591748721898</v>
      </c>
      <c r="P538" s="14">
        <v>2.9788714367896301E-2</v>
      </c>
      <c r="Q538" t="str">
        <f t="shared" si="16"/>
        <v>25-34</v>
      </c>
      <c r="R538" t="str">
        <f t="shared" si="17"/>
        <v>[fyEoGEPERdI]|25-34|Female|POP_EST.T_1|CY2023Q3</v>
      </c>
    </row>
    <row r="539" spans="4:18" x14ac:dyDescent="0.2">
      <c r="D539" s="13" t="s">
        <v>83</v>
      </c>
      <c r="E539" s="13" t="s">
        <v>84</v>
      </c>
      <c r="F539" s="13" t="s">
        <v>85</v>
      </c>
      <c r="G539" s="13" t="s">
        <v>137</v>
      </c>
      <c r="H539" s="13" t="s">
        <v>138</v>
      </c>
      <c r="I539" t="s">
        <v>42</v>
      </c>
      <c r="J539" s="13" t="s">
        <v>43</v>
      </c>
      <c r="K539" s="13" t="s">
        <v>29</v>
      </c>
      <c r="L539" s="13" t="s">
        <v>30</v>
      </c>
      <c r="M539" t="s">
        <v>139</v>
      </c>
      <c r="N539">
        <v>1411</v>
      </c>
      <c r="O539" s="14">
        <v>0.99387643579393603</v>
      </c>
      <c r="P539" s="14">
        <v>2.9788714367896301E-2</v>
      </c>
      <c r="Q539" t="str">
        <f t="shared" si="16"/>
        <v>35-49</v>
      </c>
      <c r="R539" t="str">
        <f t="shared" si="17"/>
        <v>[fyEoGEPERdI]|35-49|Female|POP_EST.T_1|CY2023Q3</v>
      </c>
    </row>
    <row r="540" spans="4:18" x14ac:dyDescent="0.2">
      <c r="D540" s="13" t="s">
        <v>83</v>
      </c>
      <c r="E540" s="13" t="s">
        <v>84</v>
      </c>
      <c r="F540" s="13" t="s">
        <v>85</v>
      </c>
      <c r="G540" s="13" t="s">
        <v>137</v>
      </c>
      <c r="H540" s="13" t="s">
        <v>138</v>
      </c>
      <c r="I540" t="s">
        <v>44</v>
      </c>
      <c r="J540" s="13" t="s">
        <v>45</v>
      </c>
      <c r="K540" s="13" t="s">
        <v>29</v>
      </c>
      <c r="L540" s="13" t="s">
        <v>30</v>
      </c>
      <c r="M540" t="s">
        <v>139</v>
      </c>
      <c r="N540">
        <v>1491</v>
      </c>
      <c r="O540" s="14">
        <v>0.686448051361367</v>
      </c>
      <c r="P540" s="14">
        <v>2.9788714367896301E-2</v>
      </c>
      <c r="Q540" t="str">
        <f t="shared" si="16"/>
        <v>50+</v>
      </c>
      <c r="R540" t="str">
        <f t="shared" si="17"/>
        <v>[fyEoGEPERdI]|50+|Female|POP_EST.T_1|CY2023Q3</v>
      </c>
    </row>
    <row r="541" spans="4:18" x14ac:dyDescent="0.2">
      <c r="D541" s="13" t="s">
        <v>83</v>
      </c>
      <c r="E541" s="13" t="s">
        <v>84</v>
      </c>
      <c r="F541" s="13" t="s">
        <v>85</v>
      </c>
      <c r="G541" s="13" t="s">
        <v>137</v>
      </c>
      <c r="H541" s="13" t="s">
        <v>138</v>
      </c>
      <c r="I541" t="s">
        <v>27</v>
      </c>
      <c r="J541" s="13" t="s">
        <v>28</v>
      </c>
      <c r="K541" s="13" t="s">
        <v>47</v>
      </c>
      <c r="L541" s="13" t="s">
        <v>48</v>
      </c>
      <c r="M541" t="s">
        <v>139</v>
      </c>
      <c r="N541">
        <v>1582</v>
      </c>
      <c r="O541" s="14">
        <v>0.17041505407542001</v>
      </c>
      <c r="P541" s="14">
        <v>2.9788714367896301E-2</v>
      </c>
      <c r="Q541" t="str">
        <f t="shared" si="16"/>
        <v>&lt;01</v>
      </c>
      <c r="R541" t="str">
        <f t="shared" si="17"/>
        <v>[fyEoGEPERdI]|&lt;01|Male|POP_EST.T_1|CY2023Q3</v>
      </c>
    </row>
    <row r="542" spans="4:18" x14ac:dyDescent="0.2">
      <c r="D542" s="13" t="s">
        <v>83</v>
      </c>
      <c r="E542" s="13" t="s">
        <v>84</v>
      </c>
      <c r="F542" s="13" t="s">
        <v>85</v>
      </c>
      <c r="G542" s="13" t="s">
        <v>137</v>
      </c>
      <c r="H542" s="13" t="s">
        <v>138</v>
      </c>
      <c r="I542" t="s">
        <v>32</v>
      </c>
      <c r="J542" s="13" t="s">
        <v>33</v>
      </c>
      <c r="K542" s="13" t="s">
        <v>47</v>
      </c>
      <c r="L542" s="13" t="s">
        <v>48</v>
      </c>
      <c r="M542" t="s">
        <v>139</v>
      </c>
      <c r="N542">
        <v>1526</v>
      </c>
      <c r="O542" s="14">
        <v>0.51843261625617698</v>
      </c>
      <c r="P542" s="14">
        <v>2.9788714367896301E-2</v>
      </c>
      <c r="Q542" t="str">
        <f t="shared" si="16"/>
        <v>01-09</v>
      </c>
      <c r="R542" t="str">
        <f t="shared" si="17"/>
        <v>[fyEoGEPERdI]|01-09|Male|POP_EST.T_1|CY2023Q3</v>
      </c>
    </row>
    <row r="543" spans="4:18" x14ac:dyDescent="0.2">
      <c r="D543" s="13" t="s">
        <v>83</v>
      </c>
      <c r="E543" s="13" t="s">
        <v>84</v>
      </c>
      <c r="F543" s="13" t="s">
        <v>85</v>
      </c>
      <c r="G543" s="13" t="s">
        <v>137</v>
      </c>
      <c r="H543" s="13" t="s">
        <v>138</v>
      </c>
      <c r="I543" t="s">
        <v>35</v>
      </c>
      <c r="J543" s="13" t="s">
        <v>36</v>
      </c>
      <c r="K543" s="13" t="s">
        <v>47</v>
      </c>
      <c r="L543" s="13" t="s">
        <v>48</v>
      </c>
      <c r="M543" t="s">
        <v>139</v>
      </c>
      <c r="N543">
        <v>1327</v>
      </c>
      <c r="O543" s="14">
        <v>0.64065292617306102</v>
      </c>
      <c r="P543" s="14">
        <v>2.9788714367896301E-2</v>
      </c>
      <c r="Q543" t="str">
        <f t="shared" si="16"/>
        <v>10-14</v>
      </c>
      <c r="R543" t="str">
        <f t="shared" si="17"/>
        <v>[fyEoGEPERdI]|10-14|Male|POP_EST.T_1|CY2023Q3</v>
      </c>
    </row>
    <row r="544" spans="4:18" x14ac:dyDescent="0.2">
      <c r="D544" s="13" t="s">
        <v>83</v>
      </c>
      <c r="E544" s="13" t="s">
        <v>84</v>
      </c>
      <c r="F544" s="13" t="s">
        <v>85</v>
      </c>
      <c r="G544" s="13" t="s">
        <v>137</v>
      </c>
      <c r="H544" s="13" t="s">
        <v>138</v>
      </c>
      <c r="I544" t="s">
        <v>37</v>
      </c>
      <c r="J544" s="13" t="s">
        <v>38</v>
      </c>
      <c r="K544" s="13" t="s">
        <v>47</v>
      </c>
      <c r="L544" s="13" t="s">
        <v>48</v>
      </c>
      <c r="M544" t="s">
        <v>139</v>
      </c>
      <c r="N544">
        <v>1345</v>
      </c>
      <c r="O544" s="14">
        <v>0.70571288955397904</v>
      </c>
      <c r="P544" s="14">
        <v>2.9788714367896301E-2</v>
      </c>
      <c r="Q544" t="str">
        <f t="shared" si="16"/>
        <v>15-24</v>
      </c>
      <c r="R544" t="str">
        <f t="shared" si="17"/>
        <v>[fyEoGEPERdI]|15-24|Male|POP_EST.T_1|CY2023Q3</v>
      </c>
    </row>
    <row r="545" spans="4:18" x14ac:dyDescent="0.2">
      <c r="D545" s="13" t="s">
        <v>83</v>
      </c>
      <c r="E545" s="13" t="s">
        <v>84</v>
      </c>
      <c r="F545" s="13" t="s">
        <v>85</v>
      </c>
      <c r="G545" s="13" t="s">
        <v>137</v>
      </c>
      <c r="H545" s="13" t="s">
        <v>138</v>
      </c>
      <c r="I545" t="s">
        <v>40</v>
      </c>
      <c r="J545" s="13" t="s">
        <v>41</v>
      </c>
      <c r="K545" s="13" t="s">
        <v>47</v>
      </c>
      <c r="L545" s="13" t="s">
        <v>48</v>
      </c>
      <c r="M545" t="s">
        <v>139</v>
      </c>
      <c r="N545">
        <v>927</v>
      </c>
      <c r="O545" s="14">
        <v>0.16237248829565901</v>
      </c>
      <c r="P545" s="14">
        <v>2.9788714367896301E-2</v>
      </c>
      <c r="Q545" t="str">
        <f t="shared" si="16"/>
        <v>25-34</v>
      </c>
      <c r="R545" t="str">
        <f t="shared" si="17"/>
        <v>[fyEoGEPERdI]|25-34|Male|POP_EST.T_1|CY2023Q3</v>
      </c>
    </row>
    <row r="546" spans="4:18" x14ac:dyDescent="0.2">
      <c r="D546" s="13" t="s">
        <v>83</v>
      </c>
      <c r="E546" s="13" t="s">
        <v>84</v>
      </c>
      <c r="F546" s="13" t="s">
        <v>85</v>
      </c>
      <c r="G546" s="13" t="s">
        <v>137</v>
      </c>
      <c r="H546" s="13" t="s">
        <v>138</v>
      </c>
      <c r="I546" t="s">
        <v>42</v>
      </c>
      <c r="J546" s="13" t="s">
        <v>43</v>
      </c>
      <c r="K546" s="13" t="s">
        <v>47</v>
      </c>
      <c r="L546" s="13" t="s">
        <v>48</v>
      </c>
      <c r="M546" t="s">
        <v>139</v>
      </c>
      <c r="N546">
        <v>1032</v>
      </c>
      <c r="O546" s="14">
        <v>0.33666329295374497</v>
      </c>
      <c r="P546" s="14">
        <v>2.9788714367896301E-2</v>
      </c>
      <c r="Q546" t="str">
        <f t="shared" si="16"/>
        <v>35-49</v>
      </c>
      <c r="R546" t="str">
        <f t="shared" si="17"/>
        <v>[fyEoGEPERdI]|35-49|Male|POP_EST.T_1|CY2023Q3</v>
      </c>
    </row>
    <row r="547" spans="4:18" x14ac:dyDescent="0.2">
      <c r="D547" s="13" t="s">
        <v>83</v>
      </c>
      <c r="E547" s="13" t="s">
        <v>84</v>
      </c>
      <c r="F547" s="13" t="s">
        <v>85</v>
      </c>
      <c r="G547" s="13" t="s">
        <v>137</v>
      </c>
      <c r="H547" s="13" t="s">
        <v>138</v>
      </c>
      <c r="I547" t="s">
        <v>44</v>
      </c>
      <c r="J547" s="13" t="s">
        <v>45</v>
      </c>
      <c r="K547" s="13" t="s">
        <v>47</v>
      </c>
      <c r="L547" s="13" t="s">
        <v>48</v>
      </c>
      <c r="M547" t="s">
        <v>139</v>
      </c>
      <c r="N547">
        <v>677</v>
      </c>
      <c r="O547" s="14">
        <v>0.70091583300381899</v>
      </c>
      <c r="P547" s="14">
        <v>2.9788714367896301E-2</v>
      </c>
      <c r="Q547" t="str">
        <f t="shared" si="16"/>
        <v>50+</v>
      </c>
      <c r="R547" t="str">
        <f t="shared" si="17"/>
        <v>[fyEoGEPERdI]|50+|Male|POP_EST.T_1|CY2023Q3</v>
      </c>
    </row>
    <row r="548" spans="4:18" x14ac:dyDescent="0.2">
      <c r="D548" s="13" t="s">
        <v>86</v>
      </c>
      <c r="E548" s="13" t="s">
        <v>87</v>
      </c>
      <c r="F548" s="13" t="s">
        <v>88</v>
      </c>
      <c r="G548" s="13" t="s">
        <v>137</v>
      </c>
      <c r="H548" s="13" t="s">
        <v>138</v>
      </c>
      <c r="I548" t="s">
        <v>27</v>
      </c>
      <c r="J548" s="13" t="s">
        <v>28</v>
      </c>
      <c r="K548" s="13" t="s">
        <v>29</v>
      </c>
      <c r="L548" s="13" t="s">
        <v>30</v>
      </c>
      <c r="M548" t="s">
        <v>139</v>
      </c>
      <c r="N548">
        <v>1038</v>
      </c>
      <c r="O548" s="14">
        <v>0.71829099114984296</v>
      </c>
      <c r="P548" s="14">
        <v>0.13333638082258401</v>
      </c>
      <c r="Q548" t="str">
        <f t="shared" si="16"/>
        <v>&lt;01</v>
      </c>
      <c r="R548" t="str">
        <f t="shared" si="17"/>
        <v>[cPtvxaZqXIH]|&lt;01|Female|POP_EST.T_1|CY2023Q3</v>
      </c>
    </row>
    <row r="549" spans="4:18" x14ac:dyDescent="0.2">
      <c r="D549" s="13" t="s">
        <v>86</v>
      </c>
      <c r="E549" s="13" t="s">
        <v>87</v>
      </c>
      <c r="F549" s="13" t="s">
        <v>88</v>
      </c>
      <c r="G549" s="13" t="s">
        <v>137</v>
      </c>
      <c r="H549" s="13" t="s">
        <v>138</v>
      </c>
      <c r="I549" t="s">
        <v>32</v>
      </c>
      <c r="J549" s="13" t="s">
        <v>33</v>
      </c>
      <c r="K549" s="13" t="s">
        <v>29</v>
      </c>
      <c r="L549" s="13" t="s">
        <v>30</v>
      </c>
      <c r="M549" t="s">
        <v>139</v>
      </c>
      <c r="N549">
        <v>1446</v>
      </c>
      <c r="O549" s="14">
        <v>0.16654617595486301</v>
      </c>
      <c r="P549" s="14">
        <v>0.13333638082258401</v>
      </c>
      <c r="Q549" t="str">
        <f t="shared" si="16"/>
        <v>01-09</v>
      </c>
      <c r="R549" t="str">
        <f t="shared" si="17"/>
        <v>[cPtvxaZqXIH]|01-09|Female|POP_EST.T_1|CY2023Q3</v>
      </c>
    </row>
    <row r="550" spans="4:18" x14ac:dyDescent="0.2">
      <c r="D550" s="13" t="s">
        <v>86</v>
      </c>
      <c r="E550" s="13" t="s">
        <v>87</v>
      </c>
      <c r="F550" s="13" t="s">
        <v>88</v>
      </c>
      <c r="G550" s="13" t="s">
        <v>137</v>
      </c>
      <c r="H550" s="13" t="s">
        <v>138</v>
      </c>
      <c r="I550" t="s">
        <v>35</v>
      </c>
      <c r="J550" s="13" t="s">
        <v>36</v>
      </c>
      <c r="K550" s="13" t="s">
        <v>29</v>
      </c>
      <c r="L550" s="13" t="s">
        <v>30</v>
      </c>
      <c r="M550" t="s">
        <v>139</v>
      </c>
      <c r="N550">
        <v>1865</v>
      </c>
      <c r="O550" s="14">
        <v>0.52480477467179298</v>
      </c>
      <c r="P550" s="14">
        <v>0.13333638082258401</v>
      </c>
      <c r="Q550" t="str">
        <f t="shared" si="16"/>
        <v>10-14</v>
      </c>
      <c r="R550" t="str">
        <f t="shared" si="17"/>
        <v>[cPtvxaZqXIH]|10-14|Female|POP_EST.T_1|CY2023Q3</v>
      </c>
    </row>
    <row r="551" spans="4:18" x14ac:dyDescent="0.2">
      <c r="D551" s="13" t="s">
        <v>86</v>
      </c>
      <c r="E551" s="13" t="s">
        <v>87</v>
      </c>
      <c r="F551" s="13" t="s">
        <v>88</v>
      </c>
      <c r="G551" s="13" t="s">
        <v>137</v>
      </c>
      <c r="H551" s="13" t="s">
        <v>138</v>
      </c>
      <c r="I551" t="s">
        <v>37</v>
      </c>
      <c r="J551" s="13" t="s">
        <v>38</v>
      </c>
      <c r="K551" s="13" t="s">
        <v>29</v>
      </c>
      <c r="L551" s="13" t="s">
        <v>30</v>
      </c>
      <c r="M551" t="s">
        <v>139</v>
      </c>
      <c r="N551">
        <v>1202</v>
      </c>
      <c r="O551" s="14">
        <v>0.35608506365679199</v>
      </c>
      <c r="P551" s="14">
        <v>0.13333638082258401</v>
      </c>
      <c r="Q551" t="str">
        <f t="shared" si="16"/>
        <v>15-24</v>
      </c>
      <c r="R551" t="str">
        <f t="shared" si="17"/>
        <v>[cPtvxaZqXIH]|15-24|Female|POP_EST.T_1|CY2023Q3</v>
      </c>
    </row>
    <row r="552" spans="4:18" x14ac:dyDescent="0.2">
      <c r="D552" s="13" t="s">
        <v>86</v>
      </c>
      <c r="E552" s="13" t="s">
        <v>87</v>
      </c>
      <c r="F552" s="13" t="s">
        <v>88</v>
      </c>
      <c r="G552" s="13" t="s">
        <v>137</v>
      </c>
      <c r="H552" s="13" t="s">
        <v>138</v>
      </c>
      <c r="I552" t="s">
        <v>40</v>
      </c>
      <c r="J552" s="13" t="s">
        <v>41</v>
      </c>
      <c r="K552" s="13" t="s">
        <v>29</v>
      </c>
      <c r="L552" s="13" t="s">
        <v>30</v>
      </c>
      <c r="M552" t="s">
        <v>139</v>
      </c>
      <c r="N552">
        <v>905</v>
      </c>
      <c r="O552" s="14">
        <v>0.397030317224562</v>
      </c>
      <c r="P552" s="14">
        <v>0.13333638082258401</v>
      </c>
      <c r="Q552" t="str">
        <f t="shared" si="16"/>
        <v>25-34</v>
      </c>
      <c r="R552" t="str">
        <f t="shared" si="17"/>
        <v>[cPtvxaZqXIH]|25-34|Female|POP_EST.T_1|CY2023Q3</v>
      </c>
    </row>
    <row r="553" spans="4:18" x14ac:dyDescent="0.2">
      <c r="D553" s="13" t="s">
        <v>86</v>
      </c>
      <c r="E553" s="13" t="s">
        <v>87</v>
      </c>
      <c r="F553" s="13" t="s">
        <v>88</v>
      </c>
      <c r="G553" s="13" t="s">
        <v>137</v>
      </c>
      <c r="H553" s="13" t="s">
        <v>138</v>
      </c>
      <c r="I553" t="s">
        <v>42</v>
      </c>
      <c r="J553" s="13" t="s">
        <v>43</v>
      </c>
      <c r="K553" s="13" t="s">
        <v>29</v>
      </c>
      <c r="L553" s="13" t="s">
        <v>30</v>
      </c>
      <c r="M553" t="s">
        <v>139</v>
      </c>
      <c r="N553">
        <v>1416</v>
      </c>
      <c r="O553" s="14">
        <v>0.115715607302263</v>
      </c>
      <c r="P553" s="14">
        <v>0.13333638082258401</v>
      </c>
      <c r="Q553" t="str">
        <f t="shared" si="16"/>
        <v>35-49</v>
      </c>
      <c r="R553" t="str">
        <f t="shared" si="17"/>
        <v>[cPtvxaZqXIH]|35-49|Female|POP_EST.T_1|CY2023Q3</v>
      </c>
    </row>
    <row r="554" spans="4:18" x14ac:dyDescent="0.2">
      <c r="D554" s="13" t="s">
        <v>86</v>
      </c>
      <c r="E554" s="13" t="s">
        <v>87</v>
      </c>
      <c r="F554" s="13" t="s">
        <v>88</v>
      </c>
      <c r="G554" s="13" t="s">
        <v>137</v>
      </c>
      <c r="H554" s="13" t="s">
        <v>138</v>
      </c>
      <c r="I554" t="s">
        <v>44</v>
      </c>
      <c r="J554" s="13" t="s">
        <v>45</v>
      </c>
      <c r="K554" s="13" t="s">
        <v>29</v>
      </c>
      <c r="L554" s="13" t="s">
        <v>30</v>
      </c>
      <c r="M554" t="s">
        <v>139</v>
      </c>
      <c r="N554">
        <v>1745</v>
      </c>
      <c r="O554" s="14">
        <v>0.98144569387659397</v>
      </c>
      <c r="P554" s="14">
        <v>0.13333638082258401</v>
      </c>
      <c r="Q554" t="str">
        <f t="shared" si="16"/>
        <v>50+</v>
      </c>
      <c r="R554" t="str">
        <f t="shared" si="17"/>
        <v>[cPtvxaZqXIH]|50+|Female|POP_EST.T_1|CY2023Q3</v>
      </c>
    </row>
    <row r="555" spans="4:18" x14ac:dyDescent="0.2">
      <c r="D555" s="13" t="s">
        <v>86</v>
      </c>
      <c r="E555" s="13" t="s">
        <v>87</v>
      </c>
      <c r="F555" s="13" t="s">
        <v>88</v>
      </c>
      <c r="G555" s="13" t="s">
        <v>137</v>
      </c>
      <c r="H555" s="13" t="s">
        <v>138</v>
      </c>
      <c r="I555" t="s">
        <v>27</v>
      </c>
      <c r="J555" s="13" t="s">
        <v>28</v>
      </c>
      <c r="K555" s="13" t="s">
        <v>47</v>
      </c>
      <c r="L555" s="13" t="s">
        <v>48</v>
      </c>
      <c r="M555" t="s">
        <v>139</v>
      </c>
      <c r="N555">
        <v>1937</v>
      </c>
      <c r="O555" s="14">
        <v>0.55947367078624699</v>
      </c>
      <c r="P555" s="14">
        <v>0.13333638082258401</v>
      </c>
      <c r="Q555" t="str">
        <f t="shared" si="16"/>
        <v>&lt;01</v>
      </c>
      <c r="R555" t="str">
        <f t="shared" si="17"/>
        <v>[cPtvxaZqXIH]|&lt;01|Male|POP_EST.T_1|CY2023Q3</v>
      </c>
    </row>
    <row r="556" spans="4:18" x14ac:dyDescent="0.2">
      <c r="D556" s="13" t="s">
        <v>86</v>
      </c>
      <c r="E556" s="13" t="s">
        <v>87</v>
      </c>
      <c r="F556" s="13" t="s">
        <v>88</v>
      </c>
      <c r="G556" s="13" t="s">
        <v>137</v>
      </c>
      <c r="H556" s="13" t="s">
        <v>138</v>
      </c>
      <c r="I556" t="s">
        <v>32</v>
      </c>
      <c r="J556" s="13" t="s">
        <v>33</v>
      </c>
      <c r="K556" s="13" t="s">
        <v>47</v>
      </c>
      <c r="L556" s="13" t="s">
        <v>48</v>
      </c>
      <c r="M556" t="s">
        <v>139</v>
      </c>
      <c r="N556">
        <v>1601</v>
      </c>
      <c r="O556" s="14">
        <v>0.589242868358269</v>
      </c>
      <c r="P556" s="14">
        <v>0.13333638082258401</v>
      </c>
      <c r="Q556" t="str">
        <f t="shared" si="16"/>
        <v>01-09</v>
      </c>
      <c r="R556" t="str">
        <f t="shared" si="17"/>
        <v>[cPtvxaZqXIH]|01-09|Male|POP_EST.T_1|CY2023Q3</v>
      </c>
    </row>
    <row r="557" spans="4:18" x14ac:dyDescent="0.2">
      <c r="D557" s="13" t="s">
        <v>86</v>
      </c>
      <c r="E557" s="13" t="s">
        <v>87</v>
      </c>
      <c r="F557" s="13" t="s">
        <v>88</v>
      </c>
      <c r="G557" s="13" t="s">
        <v>137</v>
      </c>
      <c r="H557" s="13" t="s">
        <v>138</v>
      </c>
      <c r="I557" t="s">
        <v>35</v>
      </c>
      <c r="J557" s="13" t="s">
        <v>36</v>
      </c>
      <c r="K557" s="13" t="s">
        <v>47</v>
      </c>
      <c r="L557" s="13" t="s">
        <v>48</v>
      </c>
      <c r="M557" t="s">
        <v>139</v>
      </c>
      <c r="N557">
        <v>1978</v>
      </c>
      <c r="O557" s="14">
        <v>0.75399365974590205</v>
      </c>
      <c r="P557" s="14">
        <v>0.13333638082258401</v>
      </c>
      <c r="Q557" t="str">
        <f t="shared" si="16"/>
        <v>10-14</v>
      </c>
      <c r="R557" t="str">
        <f t="shared" si="17"/>
        <v>[cPtvxaZqXIH]|10-14|Male|POP_EST.T_1|CY2023Q3</v>
      </c>
    </row>
    <row r="558" spans="4:18" x14ac:dyDescent="0.2">
      <c r="D558" s="13" t="s">
        <v>86</v>
      </c>
      <c r="E558" s="13" t="s">
        <v>87</v>
      </c>
      <c r="F558" s="13" t="s">
        <v>88</v>
      </c>
      <c r="G558" s="13" t="s">
        <v>137</v>
      </c>
      <c r="H558" s="13" t="s">
        <v>138</v>
      </c>
      <c r="I558" t="s">
        <v>37</v>
      </c>
      <c r="J558" s="13" t="s">
        <v>38</v>
      </c>
      <c r="K558" s="13" t="s">
        <v>47</v>
      </c>
      <c r="L558" s="13" t="s">
        <v>48</v>
      </c>
      <c r="M558" t="s">
        <v>139</v>
      </c>
      <c r="N558">
        <v>1477</v>
      </c>
      <c r="O558" s="14">
        <v>0.37092580250464402</v>
      </c>
      <c r="P558" s="14">
        <v>0.13333638082258401</v>
      </c>
      <c r="Q558" t="str">
        <f t="shared" si="16"/>
        <v>15-24</v>
      </c>
      <c r="R558" t="str">
        <f t="shared" si="17"/>
        <v>[cPtvxaZqXIH]|15-24|Male|POP_EST.T_1|CY2023Q3</v>
      </c>
    </row>
    <row r="559" spans="4:18" x14ac:dyDescent="0.2">
      <c r="D559" s="13" t="s">
        <v>86</v>
      </c>
      <c r="E559" s="13" t="s">
        <v>87</v>
      </c>
      <c r="F559" s="13" t="s">
        <v>88</v>
      </c>
      <c r="G559" s="13" t="s">
        <v>137</v>
      </c>
      <c r="H559" s="13" t="s">
        <v>138</v>
      </c>
      <c r="I559" t="s">
        <v>40</v>
      </c>
      <c r="J559" s="13" t="s">
        <v>41</v>
      </c>
      <c r="K559" s="13" t="s">
        <v>47</v>
      </c>
      <c r="L559" s="13" t="s">
        <v>48</v>
      </c>
      <c r="M559" t="s">
        <v>139</v>
      </c>
      <c r="N559">
        <v>896</v>
      </c>
      <c r="O559" s="14">
        <v>0.27924496680498101</v>
      </c>
      <c r="P559" s="14">
        <v>0.13333638082258401</v>
      </c>
      <c r="Q559" t="str">
        <f t="shared" si="16"/>
        <v>25-34</v>
      </c>
      <c r="R559" t="str">
        <f t="shared" si="17"/>
        <v>[cPtvxaZqXIH]|25-34|Male|POP_EST.T_1|CY2023Q3</v>
      </c>
    </row>
    <row r="560" spans="4:18" x14ac:dyDescent="0.2">
      <c r="D560" s="13" t="s">
        <v>86</v>
      </c>
      <c r="E560" s="13" t="s">
        <v>87</v>
      </c>
      <c r="F560" s="13" t="s">
        <v>88</v>
      </c>
      <c r="G560" s="13" t="s">
        <v>137</v>
      </c>
      <c r="H560" s="13" t="s">
        <v>138</v>
      </c>
      <c r="I560" t="s">
        <v>42</v>
      </c>
      <c r="J560" s="13" t="s">
        <v>43</v>
      </c>
      <c r="K560" s="13" t="s">
        <v>47</v>
      </c>
      <c r="L560" s="13" t="s">
        <v>48</v>
      </c>
      <c r="M560" t="s">
        <v>139</v>
      </c>
      <c r="N560">
        <v>1038</v>
      </c>
      <c r="O560" s="14">
        <v>0.100373083958402</v>
      </c>
      <c r="P560" s="14">
        <v>0.13333638082258401</v>
      </c>
      <c r="Q560" t="str">
        <f t="shared" si="16"/>
        <v>35-49</v>
      </c>
      <c r="R560" t="str">
        <f t="shared" si="17"/>
        <v>[cPtvxaZqXIH]|35-49|Male|POP_EST.T_1|CY2023Q3</v>
      </c>
    </row>
    <row r="561" spans="4:18" x14ac:dyDescent="0.2">
      <c r="D561" s="13" t="s">
        <v>86</v>
      </c>
      <c r="E561" s="13" t="s">
        <v>87</v>
      </c>
      <c r="F561" s="13" t="s">
        <v>88</v>
      </c>
      <c r="G561" s="13" t="s">
        <v>137</v>
      </c>
      <c r="H561" s="13" t="s">
        <v>138</v>
      </c>
      <c r="I561" t="s">
        <v>44</v>
      </c>
      <c r="J561" s="13" t="s">
        <v>45</v>
      </c>
      <c r="K561" s="13" t="s">
        <v>47</v>
      </c>
      <c r="L561" s="13" t="s">
        <v>48</v>
      </c>
      <c r="M561" t="s">
        <v>139</v>
      </c>
      <c r="N561">
        <v>891</v>
      </c>
      <c r="O561" s="14">
        <v>0.217947422061116</v>
      </c>
      <c r="P561" s="14">
        <v>0.13333638082258401</v>
      </c>
      <c r="Q561" t="str">
        <f t="shared" si="16"/>
        <v>50+</v>
      </c>
      <c r="R561" t="str">
        <f t="shared" si="17"/>
        <v>[cPtvxaZqXIH]|50+|Male|POP_EST.T_1|CY2023Q3</v>
      </c>
    </row>
    <row r="562" spans="4:18" x14ac:dyDescent="0.2">
      <c r="D562" s="13" t="s">
        <v>89</v>
      </c>
      <c r="E562" s="13" t="s">
        <v>90</v>
      </c>
      <c r="F562" s="13" t="s">
        <v>91</v>
      </c>
      <c r="G562" s="13" t="s">
        <v>137</v>
      </c>
      <c r="H562" s="13" t="s">
        <v>138</v>
      </c>
      <c r="I562" t="s">
        <v>27</v>
      </c>
      <c r="J562" s="13" t="s">
        <v>28</v>
      </c>
      <c r="K562" s="13" t="s">
        <v>29</v>
      </c>
      <c r="L562" s="13" t="s">
        <v>30</v>
      </c>
      <c r="M562" t="s">
        <v>139</v>
      </c>
      <c r="N562">
        <v>1045</v>
      </c>
      <c r="O562" s="14">
        <v>0.37623407365754202</v>
      </c>
      <c r="P562" s="14">
        <v>0.71991415042430196</v>
      </c>
      <c r="Q562" t="str">
        <f t="shared" si="16"/>
        <v>&lt;01</v>
      </c>
      <c r="R562" t="str">
        <f t="shared" si="17"/>
        <v>[AZyWpGzhcaA]|&lt;01|Female|POP_EST.T_1|CY2023Q3</v>
      </c>
    </row>
    <row r="563" spans="4:18" x14ac:dyDescent="0.2">
      <c r="D563" s="13" t="s">
        <v>89</v>
      </c>
      <c r="E563" s="13" t="s">
        <v>90</v>
      </c>
      <c r="F563" s="13" t="s">
        <v>91</v>
      </c>
      <c r="G563" s="13" t="s">
        <v>137</v>
      </c>
      <c r="H563" s="13" t="s">
        <v>138</v>
      </c>
      <c r="I563" t="s">
        <v>32</v>
      </c>
      <c r="J563" s="13" t="s">
        <v>33</v>
      </c>
      <c r="K563" s="13" t="s">
        <v>29</v>
      </c>
      <c r="L563" s="13" t="s">
        <v>30</v>
      </c>
      <c r="M563" t="s">
        <v>139</v>
      </c>
      <c r="N563">
        <v>1929</v>
      </c>
      <c r="O563" s="14">
        <v>0.76627997611649301</v>
      </c>
      <c r="P563" s="14">
        <v>0.71991415042430196</v>
      </c>
      <c r="Q563" t="str">
        <f t="shared" si="16"/>
        <v>01-09</v>
      </c>
      <c r="R563" t="str">
        <f t="shared" si="17"/>
        <v>[AZyWpGzhcaA]|01-09|Female|POP_EST.T_1|CY2023Q3</v>
      </c>
    </row>
    <row r="564" spans="4:18" x14ac:dyDescent="0.2">
      <c r="D564" s="13" t="s">
        <v>89</v>
      </c>
      <c r="E564" s="13" t="s">
        <v>90</v>
      </c>
      <c r="F564" s="13" t="s">
        <v>91</v>
      </c>
      <c r="G564" s="13" t="s">
        <v>137</v>
      </c>
      <c r="H564" s="13" t="s">
        <v>138</v>
      </c>
      <c r="I564" t="s">
        <v>35</v>
      </c>
      <c r="J564" s="13" t="s">
        <v>36</v>
      </c>
      <c r="K564" s="13" t="s">
        <v>29</v>
      </c>
      <c r="L564" s="13" t="s">
        <v>30</v>
      </c>
      <c r="M564" t="s">
        <v>139</v>
      </c>
      <c r="N564">
        <v>678</v>
      </c>
      <c r="O564" s="14">
        <v>0.33160915924236201</v>
      </c>
      <c r="P564" s="14">
        <v>0.71991415042430196</v>
      </c>
      <c r="Q564" t="str">
        <f t="shared" si="16"/>
        <v>10-14</v>
      </c>
      <c r="R564" t="str">
        <f t="shared" si="17"/>
        <v>[AZyWpGzhcaA]|10-14|Female|POP_EST.T_1|CY2023Q3</v>
      </c>
    </row>
    <row r="565" spans="4:18" x14ac:dyDescent="0.2">
      <c r="D565" s="13" t="s">
        <v>89</v>
      </c>
      <c r="E565" s="13" t="s">
        <v>90</v>
      </c>
      <c r="F565" s="13" t="s">
        <v>91</v>
      </c>
      <c r="G565" s="13" t="s">
        <v>137</v>
      </c>
      <c r="H565" s="13" t="s">
        <v>138</v>
      </c>
      <c r="I565" t="s">
        <v>37</v>
      </c>
      <c r="J565" s="13" t="s">
        <v>38</v>
      </c>
      <c r="K565" s="13" t="s">
        <v>29</v>
      </c>
      <c r="L565" s="13" t="s">
        <v>30</v>
      </c>
      <c r="M565" t="s">
        <v>139</v>
      </c>
      <c r="N565">
        <v>794</v>
      </c>
      <c r="O565" s="14">
        <v>0.38714993721805502</v>
      </c>
      <c r="P565" s="14">
        <v>0.71991415042430196</v>
      </c>
      <c r="Q565" t="str">
        <f t="shared" si="16"/>
        <v>15-24</v>
      </c>
      <c r="R565" t="str">
        <f t="shared" si="17"/>
        <v>[AZyWpGzhcaA]|15-24|Female|POP_EST.T_1|CY2023Q3</v>
      </c>
    </row>
    <row r="566" spans="4:18" x14ac:dyDescent="0.2">
      <c r="D566" s="13" t="s">
        <v>89</v>
      </c>
      <c r="E566" s="13" t="s">
        <v>90</v>
      </c>
      <c r="F566" s="13" t="s">
        <v>91</v>
      </c>
      <c r="G566" s="13" t="s">
        <v>137</v>
      </c>
      <c r="H566" s="13" t="s">
        <v>138</v>
      </c>
      <c r="I566" t="s">
        <v>40</v>
      </c>
      <c r="J566" s="13" t="s">
        <v>41</v>
      </c>
      <c r="K566" s="13" t="s">
        <v>29</v>
      </c>
      <c r="L566" s="13" t="s">
        <v>30</v>
      </c>
      <c r="M566" t="s">
        <v>139</v>
      </c>
      <c r="N566">
        <v>1593</v>
      </c>
      <c r="O566" s="14">
        <v>0.66933922003954605</v>
      </c>
      <c r="P566" s="14">
        <v>0.71991415042430196</v>
      </c>
      <c r="Q566" t="str">
        <f t="shared" si="16"/>
        <v>25-34</v>
      </c>
      <c r="R566" t="str">
        <f t="shared" si="17"/>
        <v>[AZyWpGzhcaA]|25-34|Female|POP_EST.T_1|CY2023Q3</v>
      </c>
    </row>
    <row r="567" spans="4:18" x14ac:dyDescent="0.2">
      <c r="D567" s="13" t="s">
        <v>89</v>
      </c>
      <c r="E567" s="13" t="s">
        <v>90</v>
      </c>
      <c r="F567" s="13" t="s">
        <v>91</v>
      </c>
      <c r="G567" s="13" t="s">
        <v>137</v>
      </c>
      <c r="H567" s="13" t="s">
        <v>138</v>
      </c>
      <c r="I567" t="s">
        <v>42</v>
      </c>
      <c r="J567" s="13" t="s">
        <v>43</v>
      </c>
      <c r="K567" s="13" t="s">
        <v>29</v>
      </c>
      <c r="L567" s="13" t="s">
        <v>30</v>
      </c>
      <c r="M567" t="s">
        <v>139</v>
      </c>
      <c r="N567">
        <v>1620</v>
      </c>
      <c r="O567" s="14">
        <v>0.72568953945301495</v>
      </c>
      <c r="P567" s="14">
        <v>0.71991415042430196</v>
      </c>
      <c r="Q567" t="str">
        <f t="shared" si="16"/>
        <v>35-49</v>
      </c>
      <c r="R567" t="str">
        <f t="shared" si="17"/>
        <v>[AZyWpGzhcaA]|35-49|Female|POP_EST.T_1|CY2023Q3</v>
      </c>
    </row>
    <row r="568" spans="4:18" x14ac:dyDescent="0.2">
      <c r="D568" s="13" t="s">
        <v>89</v>
      </c>
      <c r="E568" s="13" t="s">
        <v>90</v>
      </c>
      <c r="F568" s="13" t="s">
        <v>91</v>
      </c>
      <c r="G568" s="13" t="s">
        <v>137</v>
      </c>
      <c r="H568" s="13" t="s">
        <v>138</v>
      </c>
      <c r="I568" t="s">
        <v>44</v>
      </c>
      <c r="J568" s="13" t="s">
        <v>45</v>
      </c>
      <c r="K568" s="13" t="s">
        <v>29</v>
      </c>
      <c r="L568" s="13" t="s">
        <v>30</v>
      </c>
      <c r="M568" t="s">
        <v>139</v>
      </c>
      <c r="N568">
        <v>524</v>
      </c>
      <c r="O568" s="14">
        <v>0.46547202509827901</v>
      </c>
      <c r="P568" s="14">
        <v>0.71991415042430196</v>
      </c>
      <c r="Q568" t="str">
        <f t="shared" si="16"/>
        <v>50+</v>
      </c>
      <c r="R568" t="str">
        <f t="shared" si="17"/>
        <v>[AZyWpGzhcaA]|50+|Female|POP_EST.T_1|CY2023Q3</v>
      </c>
    </row>
    <row r="569" spans="4:18" x14ac:dyDescent="0.2">
      <c r="D569" s="13" t="s">
        <v>89</v>
      </c>
      <c r="E569" s="13" t="s">
        <v>90</v>
      </c>
      <c r="F569" s="13" t="s">
        <v>91</v>
      </c>
      <c r="G569" s="13" t="s">
        <v>137</v>
      </c>
      <c r="H569" s="13" t="s">
        <v>138</v>
      </c>
      <c r="I569" t="s">
        <v>27</v>
      </c>
      <c r="J569" s="13" t="s">
        <v>28</v>
      </c>
      <c r="K569" s="13" t="s">
        <v>47</v>
      </c>
      <c r="L569" s="13" t="s">
        <v>48</v>
      </c>
      <c r="M569" t="s">
        <v>139</v>
      </c>
      <c r="N569">
        <v>641</v>
      </c>
      <c r="O569" s="14">
        <v>0.91874063410796203</v>
      </c>
      <c r="P569" s="14">
        <v>0.71991415042430196</v>
      </c>
      <c r="Q569" t="str">
        <f t="shared" si="16"/>
        <v>&lt;01</v>
      </c>
      <c r="R569" t="str">
        <f t="shared" si="17"/>
        <v>[AZyWpGzhcaA]|&lt;01|Male|POP_EST.T_1|CY2023Q3</v>
      </c>
    </row>
    <row r="570" spans="4:18" x14ac:dyDescent="0.2">
      <c r="D570" s="13" t="s">
        <v>89</v>
      </c>
      <c r="E570" s="13" t="s">
        <v>90</v>
      </c>
      <c r="F570" s="13" t="s">
        <v>91</v>
      </c>
      <c r="G570" s="13" t="s">
        <v>137</v>
      </c>
      <c r="H570" s="13" t="s">
        <v>138</v>
      </c>
      <c r="I570" t="s">
        <v>32</v>
      </c>
      <c r="J570" s="13" t="s">
        <v>33</v>
      </c>
      <c r="K570" s="13" t="s">
        <v>47</v>
      </c>
      <c r="L570" s="13" t="s">
        <v>48</v>
      </c>
      <c r="M570" t="s">
        <v>139</v>
      </c>
      <c r="N570">
        <v>1888</v>
      </c>
      <c r="O570" s="14">
        <v>0.150907285977155</v>
      </c>
      <c r="P570" s="14">
        <v>0.71991415042430196</v>
      </c>
      <c r="Q570" t="str">
        <f t="shared" si="16"/>
        <v>01-09</v>
      </c>
      <c r="R570" t="str">
        <f t="shared" si="17"/>
        <v>[AZyWpGzhcaA]|01-09|Male|POP_EST.T_1|CY2023Q3</v>
      </c>
    </row>
    <row r="571" spans="4:18" x14ac:dyDescent="0.2">
      <c r="D571" s="13" t="s">
        <v>89</v>
      </c>
      <c r="E571" s="13" t="s">
        <v>90</v>
      </c>
      <c r="F571" s="13" t="s">
        <v>91</v>
      </c>
      <c r="G571" s="13" t="s">
        <v>137</v>
      </c>
      <c r="H571" s="13" t="s">
        <v>138</v>
      </c>
      <c r="I571" t="s">
        <v>35</v>
      </c>
      <c r="J571" s="13" t="s">
        <v>36</v>
      </c>
      <c r="K571" s="13" t="s">
        <v>47</v>
      </c>
      <c r="L571" s="13" t="s">
        <v>48</v>
      </c>
      <c r="M571" t="s">
        <v>139</v>
      </c>
      <c r="N571">
        <v>1714</v>
      </c>
      <c r="O571" s="14">
        <v>0.24299144535325501</v>
      </c>
      <c r="P571" s="14">
        <v>0.71991415042430196</v>
      </c>
      <c r="Q571" t="str">
        <f t="shared" si="16"/>
        <v>10-14</v>
      </c>
      <c r="R571" t="str">
        <f t="shared" si="17"/>
        <v>[AZyWpGzhcaA]|10-14|Male|POP_EST.T_1|CY2023Q3</v>
      </c>
    </row>
    <row r="572" spans="4:18" x14ac:dyDescent="0.2">
      <c r="D572" s="13" t="s">
        <v>89</v>
      </c>
      <c r="E572" s="13" t="s">
        <v>90</v>
      </c>
      <c r="F572" s="13" t="s">
        <v>91</v>
      </c>
      <c r="G572" s="13" t="s">
        <v>137</v>
      </c>
      <c r="H572" s="13" t="s">
        <v>138</v>
      </c>
      <c r="I572" t="s">
        <v>37</v>
      </c>
      <c r="J572" s="13" t="s">
        <v>38</v>
      </c>
      <c r="K572" s="13" t="s">
        <v>47</v>
      </c>
      <c r="L572" s="13" t="s">
        <v>48</v>
      </c>
      <c r="M572" t="s">
        <v>139</v>
      </c>
      <c r="N572">
        <v>1600</v>
      </c>
      <c r="O572" s="14">
        <v>5.4182843538001201E-2</v>
      </c>
      <c r="P572" s="14">
        <v>0.71991415042430196</v>
      </c>
      <c r="Q572" t="str">
        <f t="shared" si="16"/>
        <v>15-24</v>
      </c>
      <c r="R572" t="str">
        <f t="shared" si="17"/>
        <v>[AZyWpGzhcaA]|15-24|Male|POP_EST.T_1|CY2023Q3</v>
      </c>
    </row>
    <row r="573" spans="4:18" x14ac:dyDescent="0.2">
      <c r="D573" s="13" t="s">
        <v>89</v>
      </c>
      <c r="E573" s="13" t="s">
        <v>90</v>
      </c>
      <c r="F573" s="13" t="s">
        <v>91</v>
      </c>
      <c r="G573" s="13" t="s">
        <v>137</v>
      </c>
      <c r="H573" s="13" t="s">
        <v>138</v>
      </c>
      <c r="I573" t="s">
        <v>40</v>
      </c>
      <c r="J573" s="13" t="s">
        <v>41</v>
      </c>
      <c r="K573" s="13" t="s">
        <v>47</v>
      </c>
      <c r="L573" s="13" t="s">
        <v>48</v>
      </c>
      <c r="M573" t="s">
        <v>139</v>
      </c>
      <c r="N573">
        <v>774</v>
      </c>
      <c r="O573" s="14">
        <v>0.51641299389302697</v>
      </c>
      <c r="P573" s="14">
        <v>0.71991415042430196</v>
      </c>
      <c r="Q573" t="str">
        <f t="shared" si="16"/>
        <v>25-34</v>
      </c>
      <c r="R573" t="str">
        <f t="shared" si="17"/>
        <v>[AZyWpGzhcaA]|25-34|Male|POP_EST.T_1|CY2023Q3</v>
      </c>
    </row>
    <row r="574" spans="4:18" x14ac:dyDescent="0.2">
      <c r="D574" s="13" t="s">
        <v>89</v>
      </c>
      <c r="E574" s="13" t="s">
        <v>90</v>
      </c>
      <c r="F574" s="13" t="s">
        <v>91</v>
      </c>
      <c r="G574" s="13" t="s">
        <v>137</v>
      </c>
      <c r="H574" s="13" t="s">
        <v>138</v>
      </c>
      <c r="I574" t="s">
        <v>42</v>
      </c>
      <c r="J574" s="13" t="s">
        <v>43</v>
      </c>
      <c r="K574" s="13" t="s">
        <v>47</v>
      </c>
      <c r="L574" s="13" t="s">
        <v>48</v>
      </c>
      <c r="M574" t="s">
        <v>139</v>
      </c>
      <c r="N574">
        <v>1355</v>
      </c>
      <c r="O574" s="14">
        <v>0.31922800489701297</v>
      </c>
      <c r="P574" s="14">
        <v>0.71991415042430196</v>
      </c>
      <c r="Q574" t="str">
        <f t="shared" si="16"/>
        <v>35-49</v>
      </c>
      <c r="R574" t="str">
        <f t="shared" si="17"/>
        <v>[AZyWpGzhcaA]|35-49|Male|POP_EST.T_1|CY2023Q3</v>
      </c>
    </row>
    <row r="575" spans="4:18" x14ac:dyDescent="0.2">
      <c r="D575" s="13" t="s">
        <v>89</v>
      </c>
      <c r="E575" s="13" t="s">
        <v>90</v>
      </c>
      <c r="F575" s="13" t="s">
        <v>91</v>
      </c>
      <c r="G575" s="13" t="s">
        <v>137</v>
      </c>
      <c r="H575" s="13" t="s">
        <v>138</v>
      </c>
      <c r="I575" t="s">
        <v>44</v>
      </c>
      <c r="J575" s="13" t="s">
        <v>45</v>
      </c>
      <c r="K575" s="13" t="s">
        <v>47</v>
      </c>
      <c r="L575" s="13" t="s">
        <v>48</v>
      </c>
      <c r="M575" t="s">
        <v>139</v>
      </c>
      <c r="N575">
        <v>661</v>
      </c>
      <c r="O575" s="14">
        <v>0.62941809627227496</v>
      </c>
      <c r="P575" s="14">
        <v>0.71991415042430196</v>
      </c>
      <c r="Q575" t="str">
        <f t="shared" si="16"/>
        <v>50+</v>
      </c>
      <c r="R575" t="str">
        <f t="shared" si="17"/>
        <v>[AZyWpGzhcaA]|50+|Male|POP_EST.T_1|CY2023Q3</v>
      </c>
    </row>
    <row r="576" spans="4:18" x14ac:dyDescent="0.2">
      <c r="D576" s="13" t="s">
        <v>92</v>
      </c>
      <c r="E576" s="13" t="s">
        <v>93</v>
      </c>
      <c r="F576" s="13" t="s">
        <v>94</v>
      </c>
      <c r="G576" s="13" t="s">
        <v>137</v>
      </c>
      <c r="H576" s="13" t="s">
        <v>138</v>
      </c>
      <c r="I576" t="s">
        <v>27</v>
      </c>
      <c r="J576" s="13" t="s">
        <v>28</v>
      </c>
      <c r="K576" s="13" t="s">
        <v>29</v>
      </c>
      <c r="L576" s="13" t="s">
        <v>30</v>
      </c>
      <c r="M576" t="s">
        <v>139</v>
      </c>
      <c r="N576">
        <v>732</v>
      </c>
      <c r="O576" s="14">
        <v>0.832714644959196</v>
      </c>
      <c r="P576" s="14">
        <v>0.36227229656651599</v>
      </c>
      <c r="Q576" t="str">
        <f t="shared" si="16"/>
        <v>&lt;01</v>
      </c>
      <c r="R576" t="str">
        <f t="shared" si="17"/>
        <v>[umc2n1Z4wNv]|&lt;01|Female|POP_EST.T_1|CY2023Q3</v>
      </c>
    </row>
    <row r="577" spans="4:18" x14ac:dyDescent="0.2">
      <c r="D577" s="13" t="s">
        <v>92</v>
      </c>
      <c r="E577" s="13" t="s">
        <v>93</v>
      </c>
      <c r="F577" s="13" t="s">
        <v>94</v>
      </c>
      <c r="G577" s="13" t="s">
        <v>137</v>
      </c>
      <c r="H577" s="13" t="s">
        <v>138</v>
      </c>
      <c r="I577" t="s">
        <v>32</v>
      </c>
      <c r="J577" s="13" t="s">
        <v>33</v>
      </c>
      <c r="K577" s="13" t="s">
        <v>29</v>
      </c>
      <c r="L577" s="13" t="s">
        <v>30</v>
      </c>
      <c r="M577" t="s">
        <v>139</v>
      </c>
      <c r="N577">
        <v>1172</v>
      </c>
      <c r="O577" s="14">
        <v>0.78488138667307805</v>
      </c>
      <c r="P577" s="14">
        <v>0.36227229656651599</v>
      </c>
      <c r="Q577" t="str">
        <f t="shared" si="16"/>
        <v>01-09</v>
      </c>
      <c r="R577" t="str">
        <f t="shared" si="17"/>
        <v>[umc2n1Z4wNv]|01-09|Female|POP_EST.T_1|CY2023Q3</v>
      </c>
    </row>
    <row r="578" spans="4:18" x14ac:dyDescent="0.2">
      <c r="D578" s="13" t="s">
        <v>92</v>
      </c>
      <c r="E578" s="13" t="s">
        <v>93</v>
      </c>
      <c r="F578" s="13" t="s">
        <v>94</v>
      </c>
      <c r="G578" s="13" t="s">
        <v>137</v>
      </c>
      <c r="H578" s="13" t="s">
        <v>138</v>
      </c>
      <c r="I578" t="s">
        <v>35</v>
      </c>
      <c r="J578" s="13" t="s">
        <v>36</v>
      </c>
      <c r="K578" s="13" t="s">
        <v>29</v>
      </c>
      <c r="L578" s="13" t="s">
        <v>30</v>
      </c>
      <c r="M578" t="s">
        <v>139</v>
      </c>
      <c r="N578">
        <v>950</v>
      </c>
      <c r="O578" s="14">
        <v>0.78811689256690398</v>
      </c>
      <c r="P578" s="14">
        <v>0.36227229656651599</v>
      </c>
      <c r="Q578" t="str">
        <f t="shared" ref="Q578:Q641" si="18">SUBSTITUTE(SUBSTITUTE($I578,CHAR(61),""),CHAR(34),"")</f>
        <v>10-14</v>
      </c>
      <c r="R578" t="str">
        <f t="shared" ref="R578:R641" si="19">IF($D578&lt;&gt;"","["&amp;$E578&amp;"]"&amp;"|"&amp;$Q578&amp;"|"&amp;$K578&amp;"|"&amp;$G578&amp;"|"&amp;IF($G578="TX_CURR_SUBNAT.R","CY2022Q4",$M578),"")</f>
        <v>[umc2n1Z4wNv]|10-14|Female|POP_EST.T_1|CY2023Q3</v>
      </c>
    </row>
    <row r="579" spans="4:18" x14ac:dyDescent="0.2">
      <c r="D579" s="13" t="s">
        <v>92</v>
      </c>
      <c r="E579" s="13" t="s">
        <v>93</v>
      </c>
      <c r="F579" s="13" t="s">
        <v>94</v>
      </c>
      <c r="G579" s="13" t="s">
        <v>137</v>
      </c>
      <c r="H579" s="13" t="s">
        <v>138</v>
      </c>
      <c r="I579" t="s">
        <v>37</v>
      </c>
      <c r="J579" s="13" t="s">
        <v>38</v>
      </c>
      <c r="K579" s="13" t="s">
        <v>29</v>
      </c>
      <c r="L579" s="13" t="s">
        <v>30</v>
      </c>
      <c r="M579" t="s">
        <v>139</v>
      </c>
      <c r="N579">
        <v>1061</v>
      </c>
      <c r="O579" s="14">
        <v>0.96730228187516298</v>
      </c>
      <c r="P579" s="14">
        <v>0.36227229656651599</v>
      </c>
      <c r="Q579" t="str">
        <f t="shared" si="18"/>
        <v>15-24</v>
      </c>
      <c r="R579" t="str">
        <f t="shared" si="19"/>
        <v>[umc2n1Z4wNv]|15-24|Female|POP_EST.T_1|CY2023Q3</v>
      </c>
    </row>
    <row r="580" spans="4:18" x14ac:dyDescent="0.2">
      <c r="D580" s="13" t="s">
        <v>92</v>
      </c>
      <c r="E580" s="13" t="s">
        <v>93</v>
      </c>
      <c r="F580" s="13" t="s">
        <v>94</v>
      </c>
      <c r="G580" s="13" t="s">
        <v>137</v>
      </c>
      <c r="H580" s="13" t="s">
        <v>138</v>
      </c>
      <c r="I580" t="s">
        <v>40</v>
      </c>
      <c r="J580" s="13" t="s">
        <v>41</v>
      </c>
      <c r="K580" s="13" t="s">
        <v>29</v>
      </c>
      <c r="L580" s="13" t="s">
        <v>30</v>
      </c>
      <c r="M580" t="s">
        <v>139</v>
      </c>
      <c r="N580">
        <v>947</v>
      </c>
      <c r="O580" s="14">
        <v>0.18812375050038099</v>
      </c>
      <c r="P580" s="14">
        <v>0.36227229656651599</v>
      </c>
      <c r="Q580" t="str">
        <f t="shared" si="18"/>
        <v>25-34</v>
      </c>
      <c r="R580" t="str">
        <f t="shared" si="19"/>
        <v>[umc2n1Z4wNv]|25-34|Female|POP_EST.T_1|CY2023Q3</v>
      </c>
    </row>
    <row r="581" spans="4:18" x14ac:dyDescent="0.2">
      <c r="D581" s="13" t="s">
        <v>92</v>
      </c>
      <c r="E581" s="13" t="s">
        <v>93</v>
      </c>
      <c r="F581" s="13" t="s">
        <v>94</v>
      </c>
      <c r="G581" s="13" t="s">
        <v>137</v>
      </c>
      <c r="H581" s="13" t="s">
        <v>138</v>
      </c>
      <c r="I581" t="s">
        <v>42</v>
      </c>
      <c r="J581" s="13" t="s">
        <v>43</v>
      </c>
      <c r="K581" s="13" t="s">
        <v>29</v>
      </c>
      <c r="L581" s="13" t="s">
        <v>30</v>
      </c>
      <c r="M581" t="s">
        <v>139</v>
      </c>
      <c r="N581">
        <v>947</v>
      </c>
      <c r="O581" s="14">
        <v>0.84685568977147296</v>
      </c>
      <c r="P581" s="14">
        <v>0.36227229656651599</v>
      </c>
      <c r="Q581" t="str">
        <f t="shared" si="18"/>
        <v>35-49</v>
      </c>
      <c r="R581" t="str">
        <f t="shared" si="19"/>
        <v>[umc2n1Z4wNv]|35-49|Female|POP_EST.T_1|CY2023Q3</v>
      </c>
    </row>
    <row r="582" spans="4:18" x14ac:dyDescent="0.2">
      <c r="D582" s="13" t="s">
        <v>92</v>
      </c>
      <c r="E582" s="13" t="s">
        <v>93</v>
      </c>
      <c r="F582" s="13" t="s">
        <v>94</v>
      </c>
      <c r="G582" s="13" t="s">
        <v>137</v>
      </c>
      <c r="H582" s="13" t="s">
        <v>138</v>
      </c>
      <c r="I582" t="s">
        <v>44</v>
      </c>
      <c r="J582" s="13" t="s">
        <v>45</v>
      </c>
      <c r="K582" s="13" t="s">
        <v>29</v>
      </c>
      <c r="L582" s="13" t="s">
        <v>30</v>
      </c>
      <c r="M582" t="s">
        <v>139</v>
      </c>
      <c r="N582">
        <v>1949</v>
      </c>
      <c r="O582" s="14">
        <v>0.81670611537992999</v>
      </c>
      <c r="P582" s="14">
        <v>0.36227229656651599</v>
      </c>
      <c r="Q582" t="str">
        <f t="shared" si="18"/>
        <v>50+</v>
      </c>
      <c r="R582" t="str">
        <f t="shared" si="19"/>
        <v>[umc2n1Z4wNv]|50+|Female|POP_EST.T_1|CY2023Q3</v>
      </c>
    </row>
    <row r="583" spans="4:18" x14ac:dyDescent="0.2">
      <c r="D583" s="13" t="s">
        <v>92</v>
      </c>
      <c r="E583" s="13" t="s">
        <v>93</v>
      </c>
      <c r="F583" s="13" t="s">
        <v>94</v>
      </c>
      <c r="G583" s="13" t="s">
        <v>137</v>
      </c>
      <c r="H583" s="13" t="s">
        <v>138</v>
      </c>
      <c r="I583" t="s">
        <v>27</v>
      </c>
      <c r="J583" s="13" t="s">
        <v>28</v>
      </c>
      <c r="K583" s="13" t="s">
        <v>47</v>
      </c>
      <c r="L583" s="13" t="s">
        <v>48</v>
      </c>
      <c r="M583" t="s">
        <v>139</v>
      </c>
      <c r="N583">
        <v>677</v>
      </c>
      <c r="O583" s="14">
        <v>0.12956237979233301</v>
      </c>
      <c r="P583" s="14">
        <v>0.36227229656651599</v>
      </c>
      <c r="Q583" t="str">
        <f t="shared" si="18"/>
        <v>&lt;01</v>
      </c>
      <c r="R583" t="str">
        <f t="shared" si="19"/>
        <v>[umc2n1Z4wNv]|&lt;01|Male|POP_EST.T_1|CY2023Q3</v>
      </c>
    </row>
    <row r="584" spans="4:18" x14ac:dyDescent="0.2">
      <c r="D584" s="13" t="s">
        <v>92</v>
      </c>
      <c r="E584" s="13" t="s">
        <v>93</v>
      </c>
      <c r="F584" s="13" t="s">
        <v>94</v>
      </c>
      <c r="G584" s="13" t="s">
        <v>137</v>
      </c>
      <c r="H584" s="13" t="s">
        <v>138</v>
      </c>
      <c r="I584" t="s">
        <v>32</v>
      </c>
      <c r="J584" s="13" t="s">
        <v>33</v>
      </c>
      <c r="K584" s="13" t="s">
        <v>47</v>
      </c>
      <c r="L584" s="13" t="s">
        <v>48</v>
      </c>
      <c r="M584" t="s">
        <v>139</v>
      </c>
      <c r="N584">
        <v>1426</v>
      </c>
      <c r="O584" s="14">
        <v>0.50702695338986803</v>
      </c>
      <c r="P584" s="14">
        <v>0.36227229656651599</v>
      </c>
      <c r="Q584" t="str">
        <f t="shared" si="18"/>
        <v>01-09</v>
      </c>
      <c r="R584" t="str">
        <f t="shared" si="19"/>
        <v>[umc2n1Z4wNv]|01-09|Male|POP_EST.T_1|CY2023Q3</v>
      </c>
    </row>
    <row r="585" spans="4:18" x14ac:dyDescent="0.2">
      <c r="D585" s="13" t="s">
        <v>92</v>
      </c>
      <c r="E585" s="13" t="s">
        <v>93</v>
      </c>
      <c r="F585" s="13" t="s">
        <v>94</v>
      </c>
      <c r="G585" s="13" t="s">
        <v>137</v>
      </c>
      <c r="H585" s="13" t="s">
        <v>138</v>
      </c>
      <c r="I585" t="s">
        <v>35</v>
      </c>
      <c r="J585" s="13" t="s">
        <v>36</v>
      </c>
      <c r="K585" s="13" t="s">
        <v>47</v>
      </c>
      <c r="L585" s="13" t="s">
        <v>48</v>
      </c>
      <c r="M585" t="s">
        <v>139</v>
      </c>
      <c r="N585">
        <v>1053</v>
      </c>
      <c r="O585" s="14">
        <v>0.85665049520321201</v>
      </c>
      <c r="P585" s="14">
        <v>0.36227229656651599</v>
      </c>
      <c r="Q585" t="str">
        <f t="shared" si="18"/>
        <v>10-14</v>
      </c>
      <c r="R585" t="str">
        <f t="shared" si="19"/>
        <v>[umc2n1Z4wNv]|10-14|Male|POP_EST.T_1|CY2023Q3</v>
      </c>
    </row>
    <row r="586" spans="4:18" x14ac:dyDescent="0.2">
      <c r="D586" s="13" t="s">
        <v>92</v>
      </c>
      <c r="E586" s="13" t="s">
        <v>93</v>
      </c>
      <c r="F586" s="13" t="s">
        <v>94</v>
      </c>
      <c r="G586" s="13" t="s">
        <v>137</v>
      </c>
      <c r="H586" s="13" t="s">
        <v>138</v>
      </c>
      <c r="I586" t="s">
        <v>37</v>
      </c>
      <c r="J586" s="13" t="s">
        <v>38</v>
      </c>
      <c r="K586" s="13" t="s">
        <v>47</v>
      </c>
      <c r="L586" s="13" t="s">
        <v>48</v>
      </c>
      <c r="M586" t="s">
        <v>139</v>
      </c>
      <c r="N586">
        <v>1226</v>
      </c>
      <c r="O586" s="14">
        <v>2.4167497875168899E-2</v>
      </c>
      <c r="P586" s="14">
        <v>0.36227229656651599</v>
      </c>
      <c r="Q586" t="str">
        <f t="shared" si="18"/>
        <v>15-24</v>
      </c>
      <c r="R586" t="str">
        <f t="shared" si="19"/>
        <v>[umc2n1Z4wNv]|15-24|Male|POP_EST.T_1|CY2023Q3</v>
      </c>
    </row>
    <row r="587" spans="4:18" x14ac:dyDescent="0.2">
      <c r="D587" s="13" t="s">
        <v>92</v>
      </c>
      <c r="E587" s="13" t="s">
        <v>93</v>
      </c>
      <c r="F587" s="13" t="s">
        <v>94</v>
      </c>
      <c r="G587" s="13" t="s">
        <v>137</v>
      </c>
      <c r="H587" s="13" t="s">
        <v>138</v>
      </c>
      <c r="I587" t="s">
        <v>40</v>
      </c>
      <c r="J587" s="13" t="s">
        <v>41</v>
      </c>
      <c r="K587" s="13" t="s">
        <v>47</v>
      </c>
      <c r="L587" s="13" t="s">
        <v>48</v>
      </c>
      <c r="M587" t="s">
        <v>139</v>
      </c>
      <c r="N587">
        <v>1987</v>
      </c>
      <c r="O587" s="14">
        <v>2.72487469483167E-2</v>
      </c>
      <c r="P587" s="14">
        <v>0.36227229656651599</v>
      </c>
      <c r="Q587" t="str">
        <f t="shared" si="18"/>
        <v>25-34</v>
      </c>
      <c r="R587" t="str">
        <f t="shared" si="19"/>
        <v>[umc2n1Z4wNv]|25-34|Male|POP_EST.T_1|CY2023Q3</v>
      </c>
    </row>
    <row r="588" spans="4:18" x14ac:dyDescent="0.2">
      <c r="D588" s="13" t="s">
        <v>92</v>
      </c>
      <c r="E588" s="13" t="s">
        <v>93</v>
      </c>
      <c r="F588" s="13" t="s">
        <v>94</v>
      </c>
      <c r="G588" s="13" t="s">
        <v>137</v>
      </c>
      <c r="H588" s="13" t="s">
        <v>138</v>
      </c>
      <c r="I588" t="s">
        <v>42</v>
      </c>
      <c r="J588" s="13" t="s">
        <v>43</v>
      </c>
      <c r="K588" s="13" t="s">
        <v>47</v>
      </c>
      <c r="L588" s="13" t="s">
        <v>48</v>
      </c>
      <c r="M588" t="s">
        <v>139</v>
      </c>
      <c r="N588">
        <v>696</v>
      </c>
      <c r="O588" s="14">
        <v>0.79394839704036702</v>
      </c>
      <c r="P588" s="14">
        <v>0.36227229656651599</v>
      </c>
      <c r="Q588" t="str">
        <f t="shared" si="18"/>
        <v>35-49</v>
      </c>
      <c r="R588" t="str">
        <f t="shared" si="19"/>
        <v>[umc2n1Z4wNv]|35-49|Male|POP_EST.T_1|CY2023Q3</v>
      </c>
    </row>
    <row r="589" spans="4:18" x14ac:dyDescent="0.2">
      <c r="D589" s="13" t="s">
        <v>92</v>
      </c>
      <c r="E589" s="13" t="s">
        <v>93</v>
      </c>
      <c r="F589" s="13" t="s">
        <v>94</v>
      </c>
      <c r="G589" s="13" t="s">
        <v>137</v>
      </c>
      <c r="H589" s="13" t="s">
        <v>138</v>
      </c>
      <c r="I589" t="s">
        <v>44</v>
      </c>
      <c r="J589" s="13" t="s">
        <v>45</v>
      </c>
      <c r="K589" s="13" t="s">
        <v>47</v>
      </c>
      <c r="L589" s="13" t="s">
        <v>48</v>
      </c>
      <c r="M589" t="s">
        <v>139</v>
      </c>
      <c r="N589">
        <v>1860</v>
      </c>
      <c r="O589" s="14">
        <v>0.52002059482037999</v>
      </c>
      <c r="P589" s="14">
        <v>0.36227229656651599</v>
      </c>
      <c r="Q589" t="str">
        <f t="shared" si="18"/>
        <v>50+</v>
      </c>
      <c r="R589" t="str">
        <f t="shared" si="19"/>
        <v>[umc2n1Z4wNv]|50+|Male|POP_EST.T_1|CY2023Q3</v>
      </c>
    </row>
    <row r="590" spans="4:18" x14ac:dyDescent="0.2">
      <c r="D590" s="13" t="s">
        <v>95</v>
      </c>
      <c r="E590" s="13" t="s">
        <v>96</v>
      </c>
      <c r="F590" s="13" t="s">
        <v>97</v>
      </c>
      <c r="G590" s="13" t="s">
        <v>137</v>
      </c>
      <c r="H590" s="13" t="s">
        <v>138</v>
      </c>
      <c r="I590" t="s">
        <v>27</v>
      </c>
      <c r="J590" s="13" t="s">
        <v>28</v>
      </c>
      <c r="K590" s="13" t="s">
        <v>29</v>
      </c>
      <c r="L590" s="13" t="s">
        <v>30</v>
      </c>
      <c r="M590" t="s">
        <v>139</v>
      </c>
      <c r="N590">
        <v>668</v>
      </c>
      <c r="O590" s="14">
        <v>0.88521148916333903</v>
      </c>
      <c r="P590" s="14">
        <v>0.60125171788968101</v>
      </c>
      <c r="Q590" t="str">
        <f t="shared" si="18"/>
        <v>&lt;01</v>
      </c>
      <c r="R590" t="str">
        <f t="shared" si="19"/>
        <v>[gwVYinjBAe9]|&lt;01|Female|POP_EST.T_1|CY2023Q3</v>
      </c>
    </row>
    <row r="591" spans="4:18" x14ac:dyDescent="0.2">
      <c r="D591" s="13" t="s">
        <v>95</v>
      </c>
      <c r="E591" s="13" t="s">
        <v>96</v>
      </c>
      <c r="F591" s="13" t="s">
        <v>97</v>
      </c>
      <c r="G591" s="13" t="s">
        <v>137</v>
      </c>
      <c r="H591" s="13" t="s">
        <v>138</v>
      </c>
      <c r="I591" t="s">
        <v>32</v>
      </c>
      <c r="J591" s="13" t="s">
        <v>33</v>
      </c>
      <c r="K591" s="13" t="s">
        <v>29</v>
      </c>
      <c r="L591" s="13" t="s">
        <v>30</v>
      </c>
      <c r="M591" t="s">
        <v>139</v>
      </c>
      <c r="N591">
        <v>876</v>
      </c>
      <c r="O591" s="14">
        <v>0.50893125683069196</v>
      </c>
      <c r="P591" s="14">
        <v>0.60125171788968101</v>
      </c>
      <c r="Q591" t="str">
        <f t="shared" si="18"/>
        <v>01-09</v>
      </c>
      <c r="R591" t="str">
        <f t="shared" si="19"/>
        <v>[gwVYinjBAe9]|01-09|Female|POP_EST.T_1|CY2023Q3</v>
      </c>
    </row>
    <row r="592" spans="4:18" x14ac:dyDescent="0.2">
      <c r="D592" s="13" t="s">
        <v>95</v>
      </c>
      <c r="E592" s="13" t="s">
        <v>96</v>
      </c>
      <c r="F592" s="13" t="s">
        <v>97</v>
      </c>
      <c r="G592" s="13" t="s">
        <v>137</v>
      </c>
      <c r="H592" s="13" t="s">
        <v>138</v>
      </c>
      <c r="I592" t="s">
        <v>35</v>
      </c>
      <c r="J592" s="13" t="s">
        <v>36</v>
      </c>
      <c r="K592" s="13" t="s">
        <v>29</v>
      </c>
      <c r="L592" s="13" t="s">
        <v>30</v>
      </c>
      <c r="M592" t="s">
        <v>139</v>
      </c>
      <c r="N592">
        <v>1505</v>
      </c>
      <c r="O592" s="14">
        <v>0.53385021979920599</v>
      </c>
      <c r="P592" s="14">
        <v>0.60125171788968101</v>
      </c>
      <c r="Q592" t="str">
        <f t="shared" si="18"/>
        <v>10-14</v>
      </c>
      <c r="R592" t="str">
        <f t="shared" si="19"/>
        <v>[gwVYinjBAe9]|10-14|Female|POP_EST.T_1|CY2023Q3</v>
      </c>
    </row>
    <row r="593" spans="4:18" x14ac:dyDescent="0.2">
      <c r="D593" s="13" t="s">
        <v>95</v>
      </c>
      <c r="E593" s="13" t="s">
        <v>96</v>
      </c>
      <c r="F593" s="13" t="s">
        <v>97</v>
      </c>
      <c r="G593" s="13" t="s">
        <v>137</v>
      </c>
      <c r="H593" s="13" t="s">
        <v>138</v>
      </c>
      <c r="I593" t="s">
        <v>37</v>
      </c>
      <c r="J593" s="13" t="s">
        <v>38</v>
      </c>
      <c r="K593" s="13" t="s">
        <v>29</v>
      </c>
      <c r="L593" s="13" t="s">
        <v>30</v>
      </c>
      <c r="M593" t="s">
        <v>139</v>
      </c>
      <c r="N593">
        <v>1886</v>
      </c>
      <c r="O593" s="14">
        <v>0.84253144985996198</v>
      </c>
      <c r="P593" s="14">
        <v>0.60125171788968101</v>
      </c>
      <c r="Q593" t="str">
        <f t="shared" si="18"/>
        <v>15-24</v>
      </c>
      <c r="R593" t="str">
        <f t="shared" si="19"/>
        <v>[gwVYinjBAe9]|15-24|Female|POP_EST.T_1|CY2023Q3</v>
      </c>
    </row>
    <row r="594" spans="4:18" x14ac:dyDescent="0.2">
      <c r="D594" s="13" t="s">
        <v>95</v>
      </c>
      <c r="E594" s="13" t="s">
        <v>96</v>
      </c>
      <c r="F594" s="13" t="s">
        <v>97</v>
      </c>
      <c r="G594" s="13" t="s">
        <v>137</v>
      </c>
      <c r="H594" s="13" t="s">
        <v>138</v>
      </c>
      <c r="I594" t="s">
        <v>40</v>
      </c>
      <c r="J594" s="13" t="s">
        <v>41</v>
      </c>
      <c r="K594" s="13" t="s">
        <v>29</v>
      </c>
      <c r="L594" s="13" t="s">
        <v>30</v>
      </c>
      <c r="M594" t="s">
        <v>139</v>
      </c>
      <c r="N594">
        <v>1797</v>
      </c>
      <c r="O594" s="14">
        <v>1.7003149259835499E-2</v>
      </c>
      <c r="P594" s="14">
        <v>0.60125171788968101</v>
      </c>
      <c r="Q594" t="str">
        <f t="shared" si="18"/>
        <v>25-34</v>
      </c>
      <c r="R594" t="str">
        <f t="shared" si="19"/>
        <v>[gwVYinjBAe9]|25-34|Female|POP_EST.T_1|CY2023Q3</v>
      </c>
    </row>
    <row r="595" spans="4:18" x14ac:dyDescent="0.2">
      <c r="D595" s="13" t="s">
        <v>95</v>
      </c>
      <c r="E595" s="13" t="s">
        <v>96</v>
      </c>
      <c r="F595" s="13" t="s">
        <v>97</v>
      </c>
      <c r="G595" s="13" t="s">
        <v>137</v>
      </c>
      <c r="H595" s="13" t="s">
        <v>138</v>
      </c>
      <c r="I595" t="s">
        <v>42</v>
      </c>
      <c r="J595" s="13" t="s">
        <v>43</v>
      </c>
      <c r="K595" s="13" t="s">
        <v>29</v>
      </c>
      <c r="L595" s="13" t="s">
        <v>30</v>
      </c>
      <c r="M595" t="s">
        <v>139</v>
      </c>
      <c r="N595">
        <v>1183</v>
      </c>
      <c r="O595" s="14">
        <v>0.45118850376456998</v>
      </c>
      <c r="P595" s="14">
        <v>0.60125171788968101</v>
      </c>
      <c r="Q595" t="str">
        <f t="shared" si="18"/>
        <v>35-49</v>
      </c>
      <c r="R595" t="str">
        <f t="shared" si="19"/>
        <v>[gwVYinjBAe9]|35-49|Female|POP_EST.T_1|CY2023Q3</v>
      </c>
    </row>
    <row r="596" spans="4:18" x14ac:dyDescent="0.2">
      <c r="D596" s="13" t="s">
        <v>95</v>
      </c>
      <c r="E596" s="13" t="s">
        <v>96</v>
      </c>
      <c r="F596" s="13" t="s">
        <v>97</v>
      </c>
      <c r="G596" s="13" t="s">
        <v>137</v>
      </c>
      <c r="H596" s="13" t="s">
        <v>138</v>
      </c>
      <c r="I596" t="s">
        <v>44</v>
      </c>
      <c r="J596" s="13" t="s">
        <v>45</v>
      </c>
      <c r="K596" s="13" t="s">
        <v>29</v>
      </c>
      <c r="L596" s="13" t="s">
        <v>30</v>
      </c>
      <c r="M596" t="s">
        <v>139</v>
      </c>
      <c r="N596">
        <v>1720</v>
      </c>
      <c r="O596" s="14">
        <v>0.56086510559544001</v>
      </c>
      <c r="P596" s="14">
        <v>0.60125171788968101</v>
      </c>
      <c r="Q596" t="str">
        <f t="shared" si="18"/>
        <v>50+</v>
      </c>
      <c r="R596" t="str">
        <f t="shared" si="19"/>
        <v>[gwVYinjBAe9]|50+|Female|POP_EST.T_1|CY2023Q3</v>
      </c>
    </row>
    <row r="597" spans="4:18" x14ac:dyDescent="0.2">
      <c r="D597" s="13" t="s">
        <v>95</v>
      </c>
      <c r="E597" s="13" t="s">
        <v>96</v>
      </c>
      <c r="F597" s="13" t="s">
        <v>97</v>
      </c>
      <c r="G597" s="13" t="s">
        <v>137</v>
      </c>
      <c r="H597" s="13" t="s">
        <v>138</v>
      </c>
      <c r="I597" t="s">
        <v>27</v>
      </c>
      <c r="J597" s="13" t="s">
        <v>28</v>
      </c>
      <c r="K597" s="13" t="s">
        <v>47</v>
      </c>
      <c r="L597" s="13" t="s">
        <v>48</v>
      </c>
      <c r="M597" t="s">
        <v>139</v>
      </c>
      <c r="N597">
        <v>1635</v>
      </c>
      <c r="O597" s="14">
        <v>0.34864440211094899</v>
      </c>
      <c r="P597" s="14">
        <v>0.60125171788968101</v>
      </c>
      <c r="Q597" t="str">
        <f t="shared" si="18"/>
        <v>&lt;01</v>
      </c>
      <c r="R597" t="str">
        <f t="shared" si="19"/>
        <v>[gwVYinjBAe9]|&lt;01|Male|POP_EST.T_1|CY2023Q3</v>
      </c>
    </row>
    <row r="598" spans="4:18" x14ac:dyDescent="0.2">
      <c r="D598" s="13" t="s">
        <v>95</v>
      </c>
      <c r="E598" s="13" t="s">
        <v>96</v>
      </c>
      <c r="F598" s="13" t="s">
        <v>97</v>
      </c>
      <c r="G598" s="13" t="s">
        <v>137</v>
      </c>
      <c r="H598" s="13" t="s">
        <v>138</v>
      </c>
      <c r="I598" t="s">
        <v>32</v>
      </c>
      <c r="J598" s="13" t="s">
        <v>33</v>
      </c>
      <c r="K598" s="13" t="s">
        <v>47</v>
      </c>
      <c r="L598" s="13" t="s">
        <v>48</v>
      </c>
      <c r="M598" t="s">
        <v>139</v>
      </c>
      <c r="N598">
        <v>1922</v>
      </c>
      <c r="O598" s="14">
        <v>9.4019873300567297E-2</v>
      </c>
      <c r="P598" s="14">
        <v>0.60125171788968101</v>
      </c>
      <c r="Q598" t="str">
        <f t="shared" si="18"/>
        <v>01-09</v>
      </c>
      <c r="R598" t="str">
        <f t="shared" si="19"/>
        <v>[gwVYinjBAe9]|01-09|Male|POP_EST.T_1|CY2023Q3</v>
      </c>
    </row>
    <row r="599" spans="4:18" x14ac:dyDescent="0.2">
      <c r="D599" s="13" t="s">
        <v>95</v>
      </c>
      <c r="E599" s="13" t="s">
        <v>96</v>
      </c>
      <c r="F599" s="13" t="s">
        <v>97</v>
      </c>
      <c r="G599" s="13" t="s">
        <v>137</v>
      </c>
      <c r="H599" s="13" t="s">
        <v>138</v>
      </c>
      <c r="I599" t="s">
        <v>35</v>
      </c>
      <c r="J599" s="13" t="s">
        <v>36</v>
      </c>
      <c r="K599" s="13" t="s">
        <v>47</v>
      </c>
      <c r="L599" s="13" t="s">
        <v>48</v>
      </c>
      <c r="M599" t="s">
        <v>139</v>
      </c>
      <c r="N599">
        <v>1960</v>
      </c>
      <c r="O599" s="14">
        <v>0.688183886231855</v>
      </c>
      <c r="P599" s="14">
        <v>0.60125171788968101</v>
      </c>
      <c r="Q599" t="str">
        <f t="shared" si="18"/>
        <v>10-14</v>
      </c>
      <c r="R599" t="str">
        <f t="shared" si="19"/>
        <v>[gwVYinjBAe9]|10-14|Male|POP_EST.T_1|CY2023Q3</v>
      </c>
    </row>
    <row r="600" spans="4:18" x14ac:dyDescent="0.2">
      <c r="D600" s="13" t="s">
        <v>95</v>
      </c>
      <c r="E600" s="13" t="s">
        <v>96</v>
      </c>
      <c r="F600" s="13" t="s">
        <v>97</v>
      </c>
      <c r="G600" s="13" t="s">
        <v>137</v>
      </c>
      <c r="H600" s="13" t="s">
        <v>138</v>
      </c>
      <c r="I600" t="s">
        <v>37</v>
      </c>
      <c r="J600" s="13" t="s">
        <v>38</v>
      </c>
      <c r="K600" s="13" t="s">
        <v>47</v>
      </c>
      <c r="L600" s="13" t="s">
        <v>48</v>
      </c>
      <c r="M600" t="s">
        <v>139</v>
      </c>
      <c r="N600">
        <v>1900</v>
      </c>
      <c r="O600" s="14">
        <v>0.95970413810573496</v>
      </c>
      <c r="P600" s="14">
        <v>0.60125171788968101</v>
      </c>
      <c r="Q600" t="str">
        <f t="shared" si="18"/>
        <v>15-24</v>
      </c>
      <c r="R600" t="str">
        <f t="shared" si="19"/>
        <v>[gwVYinjBAe9]|15-24|Male|POP_EST.T_1|CY2023Q3</v>
      </c>
    </row>
    <row r="601" spans="4:18" x14ac:dyDescent="0.2">
      <c r="D601" s="13" t="s">
        <v>95</v>
      </c>
      <c r="E601" s="13" t="s">
        <v>96</v>
      </c>
      <c r="F601" s="13" t="s">
        <v>97</v>
      </c>
      <c r="G601" s="13" t="s">
        <v>137</v>
      </c>
      <c r="H601" s="13" t="s">
        <v>138</v>
      </c>
      <c r="I601" t="s">
        <v>40</v>
      </c>
      <c r="J601" s="13" t="s">
        <v>41</v>
      </c>
      <c r="K601" s="13" t="s">
        <v>47</v>
      </c>
      <c r="L601" s="13" t="s">
        <v>48</v>
      </c>
      <c r="M601" t="s">
        <v>139</v>
      </c>
      <c r="N601">
        <v>1220</v>
      </c>
      <c r="O601" s="14">
        <v>0.76317518902942505</v>
      </c>
      <c r="P601" s="14">
        <v>0.60125171788968101</v>
      </c>
      <c r="Q601" t="str">
        <f t="shared" si="18"/>
        <v>25-34</v>
      </c>
      <c r="R601" t="str">
        <f t="shared" si="19"/>
        <v>[gwVYinjBAe9]|25-34|Male|POP_EST.T_1|CY2023Q3</v>
      </c>
    </row>
    <row r="602" spans="4:18" x14ac:dyDescent="0.2">
      <c r="D602" s="13" t="s">
        <v>95</v>
      </c>
      <c r="E602" s="13" t="s">
        <v>96</v>
      </c>
      <c r="F602" s="13" t="s">
        <v>97</v>
      </c>
      <c r="G602" s="13" t="s">
        <v>137</v>
      </c>
      <c r="H602" s="13" t="s">
        <v>138</v>
      </c>
      <c r="I602" t="s">
        <v>42</v>
      </c>
      <c r="J602" s="13" t="s">
        <v>43</v>
      </c>
      <c r="K602" s="13" t="s">
        <v>47</v>
      </c>
      <c r="L602" s="13" t="s">
        <v>48</v>
      </c>
      <c r="M602" t="s">
        <v>139</v>
      </c>
      <c r="N602">
        <v>1318</v>
      </c>
      <c r="O602" s="14">
        <v>0.90866116317920398</v>
      </c>
      <c r="P602" s="14">
        <v>0.60125171788968101</v>
      </c>
      <c r="Q602" t="str">
        <f t="shared" si="18"/>
        <v>35-49</v>
      </c>
      <c r="R602" t="str">
        <f t="shared" si="19"/>
        <v>[gwVYinjBAe9]|35-49|Male|POP_EST.T_1|CY2023Q3</v>
      </c>
    </row>
    <row r="603" spans="4:18" x14ac:dyDescent="0.2">
      <c r="D603" s="13" t="s">
        <v>95</v>
      </c>
      <c r="E603" s="13" t="s">
        <v>96</v>
      </c>
      <c r="F603" s="13" t="s">
        <v>97</v>
      </c>
      <c r="G603" s="13" t="s">
        <v>137</v>
      </c>
      <c r="H603" s="13" t="s">
        <v>138</v>
      </c>
      <c r="I603" t="s">
        <v>44</v>
      </c>
      <c r="J603" s="13" t="s">
        <v>45</v>
      </c>
      <c r="K603" s="13" t="s">
        <v>47</v>
      </c>
      <c r="L603" s="13" t="s">
        <v>48</v>
      </c>
      <c r="M603" t="s">
        <v>139</v>
      </c>
      <c r="N603">
        <v>1059</v>
      </c>
      <c r="O603" s="14">
        <v>0.9683199794963</v>
      </c>
      <c r="P603" s="14">
        <v>0.60125171788968101</v>
      </c>
      <c r="Q603" t="str">
        <f t="shared" si="18"/>
        <v>50+</v>
      </c>
      <c r="R603" t="str">
        <f t="shared" si="19"/>
        <v>[gwVYinjBAe9]|50+|Male|POP_EST.T_1|CY2023Q3</v>
      </c>
    </row>
    <row r="604" spans="4:18" x14ac:dyDescent="0.2">
      <c r="D604" s="13" t="s">
        <v>98</v>
      </c>
      <c r="E604" s="13" t="s">
        <v>99</v>
      </c>
      <c r="F604" s="13" t="s">
        <v>100</v>
      </c>
      <c r="G604" s="13" t="s">
        <v>137</v>
      </c>
      <c r="H604" s="13" t="s">
        <v>138</v>
      </c>
      <c r="I604" t="s">
        <v>27</v>
      </c>
      <c r="J604" s="13" t="s">
        <v>28</v>
      </c>
      <c r="K604" s="13" t="s">
        <v>29</v>
      </c>
      <c r="L604" s="13" t="s">
        <v>30</v>
      </c>
      <c r="M604" t="s">
        <v>139</v>
      </c>
      <c r="N604">
        <v>806</v>
      </c>
      <c r="O604" s="14">
        <v>0.83082448458298996</v>
      </c>
      <c r="P604" s="14">
        <v>0.57728803809732199</v>
      </c>
      <c r="Q604" t="str">
        <f t="shared" si="18"/>
        <v>&lt;01</v>
      </c>
      <c r="R604" t="str">
        <f t="shared" si="19"/>
        <v>[mxqa3CDFmIT]|&lt;01|Female|POP_EST.T_1|CY2023Q3</v>
      </c>
    </row>
    <row r="605" spans="4:18" x14ac:dyDescent="0.2">
      <c r="D605" s="13" t="s">
        <v>98</v>
      </c>
      <c r="E605" s="13" t="s">
        <v>99</v>
      </c>
      <c r="F605" s="13" t="s">
        <v>100</v>
      </c>
      <c r="G605" s="13" t="s">
        <v>137</v>
      </c>
      <c r="H605" s="13" t="s">
        <v>138</v>
      </c>
      <c r="I605" t="s">
        <v>32</v>
      </c>
      <c r="J605" s="13" t="s">
        <v>33</v>
      </c>
      <c r="K605" s="13" t="s">
        <v>29</v>
      </c>
      <c r="L605" s="13" t="s">
        <v>30</v>
      </c>
      <c r="M605" t="s">
        <v>139</v>
      </c>
      <c r="N605">
        <v>1697</v>
      </c>
      <c r="O605" s="14">
        <v>0.91301739611662902</v>
      </c>
      <c r="P605" s="14">
        <v>0.57728803809732199</v>
      </c>
      <c r="Q605" t="str">
        <f t="shared" si="18"/>
        <v>01-09</v>
      </c>
      <c r="R605" t="str">
        <f t="shared" si="19"/>
        <v>[mxqa3CDFmIT]|01-09|Female|POP_EST.T_1|CY2023Q3</v>
      </c>
    </row>
    <row r="606" spans="4:18" x14ac:dyDescent="0.2">
      <c r="D606" s="13" t="s">
        <v>98</v>
      </c>
      <c r="E606" s="13" t="s">
        <v>99</v>
      </c>
      <c r="F606" s="13" t="s">
        <v>100</v>
      </c>
      <c r="G606" s="13" t="s">
        <v>137</v>
      </c>
      <c r="H606" s="13" t="s">
        <v>138</v>
      </c>
      <c r="I606" t="s">
        <v>35</v>
      </c>
      <c r="J606" s="13" t="s">
        <v>36</v>
      </c>
      <c r="K606" s="13" t="s">
        <v>29</v>
      </c>
      <c r="L606" s="13" t="s">
        <v>30</v>
      </c>
      <c r="M606" t="s">
        <v>139</v>
      </c>
      <c r="N606">
        <v>1508</v>
      </c>
      <c r="O606" s="14">
        <v>0.284472258063033</v>
      </c>
      <c r="P606" s="14">
        <v>0.57728803809732199</v>
      </c>
      <c r="Q606" t="str">
        <f t="shared" si="18"/>
        <v>10-14</v>
      </c>
      <c r="R606" t="str">
        <f t="shared" si="19"/>
        <v>[mxqa3CDFmIT]|10-14|Female|POP_EST.T_1|CY2023Q3</v>
      </c>
    </row>
    <row r="607" spans="4:18" x14ac:dyDescent="0.2">
      <c r="D607" s="13" t="s">
        <v>98</v>
      </c>
      <c r="E607" s="13" t="s">
        <v>99</v>
      </c>
      <c r="F607" s="13" t="s">
        <v>100</v>
      </c>
      <c r="G607" s="13" t="s">
        <v>137</v>
      </c>
      <c r="H607" s="13" t="s">
        <v>138</v>
      </c>
      <c r="I607" t="s">
        <v>37</v>
      </c>
      <c r="J607" s="13" t="s">
        <v>38</v>
      </c>
      <c r="K607" s="13" t="s">
        <v>29</v>
      </c>
      <c r="L607" s="13" t="s">
        <v>30</v>
      </c>
      <c r="M607" t="s">
        <v>139</v>
      </c>
      <c r="N607">
        <v>1328</v>
      </c>
      <c r="O607" s="14">
        <v>0.60301980632357299</v>
      </c>
      <c r="P607" s="14">
        <v>0.57728803809732199</v>
      </c>
      <c r="Q607" t="str">
        <f t="shared" si="18"/>
        <v>15-24</v>
      </c>
      <c r="R607" t="str">
        <f t="shared" si="19"/>
        <v>[mxqa3CDFmIT]|15-24|Female|POP_EST.T_1|CY2023Q3</v>
      </c>
    </row>
    <row r="608" spans="4:18" x14ac:dyDescent="0.2">
      <c r="D608" s="13" t="s">
        <v>98</v>
      </c>
      <c r="E608" s="13" t="s">
        <v>99</v>
      </c>
      <c r="F608" s="13" t="s">
        <v>100</v>
      </c>
      <c r="G608" s="13" t="s">
        <v>137</v>
      </c>
      <c r="H608" s="13" t="s">
        <v>138</v>
      </c>
      <c r="I608" t="s">
        <v>40</v>
      </c>
      <c r="J608" s="13" t="s">
        <v>41</v>
      </c>
      <c r="K608" s="13" t="s">
        <v>29</v>
      </c>
      <c r="L608" s="13" t="s">
        <v>30</v>
      </c>
      <c r="M608" t="s">
        <v>139</v>
      </c>
      <c r="N608">
        <v>1285</v>
      </c>
      <c r="O608" s="14">
        <v>0.93431301601231098</v>
      </c>
      <c r="P608" s="14">
        <v>0.57728803809732199</v>
      </c>
      <c r="Q608" t="str">
        <f t="shared" si="18"/>
        <v>25-34</v>
      </c>
      <c r="R608" t="str">
        <f t="shared" si="19"/>
        <v>[mxqa3CDFmIT]|25-34|Female|POP_EST.T_1|CY2023Q3</v>
      </c>
    </row>
    <row r="609" spans="4:18" x14ac:dyDescent="0.2">
      <c r="D609" s="13" t="s">
        <v>98</v>
      </c>
      <c r="E609" s="13" t="s">
        <v>99</v>
      </c>
      <c r="F609" s="13" t="s">
        <v>100</v>
      </c>
      <c r="G609" s="13" t="s">
        <v>137</v>
      </c>
      <c r="H609" s="13" t="s">
        <v>138</v>
      </c>
      <c r="I609" t="s">
        <v>42</v>
      </c>
      <c r="J609" s="13" t="s">
        <v>43</v>
      </c>
      <c r="K609" s="13" t="s">
        <v>29</v>
      </c>
      <c r="L609" s="13" t="s">
        <v>30</v>
      </c>
      <c r="M609" t="s">
        <v>139</v>
      </c>
      <c r="N609">
        <v>1860</v>
      </c>
      <c r="O609" s="14">
        <v>0.71881681377999496</v>
      </c>
      <c r="P609" s="14">
        <v>0.57728803809732199</v>
      </c>
      <c r="Q609" t="str">
        <f t="shared" si="18"/>
        <v>35-49</v>
      </c>
      <c r="R609" t="str">
        <f t="shared" si="19"/>
        <v>[mxqa3CDFmIT]|35-49|Female|POP_EST.T_1|CY2023Q3</v>
      </c>
    </row>
    <row r="610" spans="4:18" x14ac:dyDescent="0.2">
      <c r="D610" s="13" t="s">
        <v>98</v>
      </c>
      <c r="E610" s="13" t="s">
        <v>99</v>
      </c>
      <c r="F610" s="13" t="s">
        <v>100</v>
      </c>
      <c r="G610" s="13" t="s">
        <v>137</v>
      </c>
      <c r="H610" s="13" t="s">
        <v>138</v>
      </c>
      <c r="I610" t="s">
        <v>44</v>
      </c>
      <c r="J610" s="13" t="s">
        <v>45</v>
      </c>
      <c r="K610" s="13" t="s">
        <v>29</v>
      </c>
      <c r="L610" s="13" t="s">
        <v>30</v>
      </c>
      <c r="M610" t="s">
        <v>139</v>
      </c>
      <c r="N610">
        <v>1918</v>
      </c>
      <c r="O610" s="14">
        <v>0.85449792444705996</v>
      </c>
      <c r="P610" s="14">
        <v>0.57728803809732199</v>
      </c>
      <c r="Q610" t="str">
        <f t="shared" si="18"/>
        <v>50+</v>
      </c>
      <c r="R610" t="str">
        <f t="shared" si="19"/>
        <v>[mxqa3CDFmIT]|50+|Female|POP_EST.T_1|CY2023Q3</v>
      </c>
    </row>
    <row r="611" spans="4:18" x14ac:dyDescent="0.2">
      <c r="D611" s="13" t="s">
        <v>98</v>
      </c>
      <c r="E611" s="13" t="s">
        <v>99</v>
      </c>
      <c r="F611" s="13" t="s">
        <v>100</v>
      </c>
      <c r="G611" s="13" t="s">
        <v>137</v>
      </c>
      <c r="H611" s="13" t="s">
        <v>138</v>
      </c>
      <c r="I611" t="s">
        <v>27</v>
      </c>
      <c r="J611" s="13" t="s">
        <v>28</v>
      </c>
      <c r="K611" s="13" t="s">
        <v>47</v>
      </c>
      <c r="L611" s="13" t="s">
        <v>48</v>
      </c>
      <c r="M611" t="s">
        <v>139</v>
      </c>
      <c r="N611">
        <v>1511</v>
      </c>
      <c r="O611" s="14">
        <v>0.90172758628614202</v>
      </c>
      <c r="P611" s="14">
        <v>0.57728803809732199</v>
      </c>
      <c r="Q611" t="str">
        <f t="shared" si="18"/>
        <v>&lt;01</v>
      </c>
      <c r="R611" t="str">
        <f t="shared" si="19"/>
        <v>[mxqa3CDFmIT]|&lt;01|Male|POP_EST.T_1|CY2023Q3</v>
      </c>
    </row>
    <row r="612" spans="4:18" x14ac:dyDescent="0.2">
      <c r="D612" s="13" t="s">
        <v>98</v>
      </c>
      <c r="E612" s="13" t="s">
        <v>99</v>
      </c>
      <c r="F612" s="13" t="s">
        <v>100</v>
      </c>
      <c r="G612" s="13" t="s">
        <v>137</v>
      </c>
      <c r="H612" s="13" t="s">
        <v>138</v>
      </c>
      <c r="I612" t="s">
        <v>32</v>
      </c>
      <c r="J612" s="13" t="s">
        <v>33</v>
      </c>
      <c r="K612" s="13" t="s">
        <v>47</v>
      </c>
      <c r="L612" s="13" t="s">
        <v>48</v>
      </c>
      <c r="M612" t="s">
        <v>139</v>
      </c>
      <c r="N612">
        <v>1619</v>
      </c>
      <c r="O612" s="14">
        <v>0.40535869449377099</v>
      </c>
      <c r="P612" s="14">
        <v>0.57728803809732199</v>
      </c>
      <c r="Q612" t="str">
        <f t="shared" si="18"/>
        <v>01-09</v>
      </c>
      <c r="R612" t="str">
        <f t="shared" si="19"/>
        <v>[mxqa3CDFmIT]|01-09|Male|POP_EST.T_1|CY2023Q3</v>
      </c>
    </row>
    <row r="613" spans="4:18" x14ac:dyDescent="0.2">
      <c r="D613" s="13" t="s">
        <v>98</v>
      </c>
      <c r="E613" s="13" t="s">
        <v>99</v>
      </c>
      <c r="F613" s="13" t="s">
        <v>100</v>
      </c>
      <c r="G613" s="13" t="s">
        <v>137</v>
      </c>
      <c r="H613" s="13" t="s">
        <v>138</v>
      </c>
      <c r="I613" t="s">
        <v>35</v>
      </c>
      <c r="J613" s="13" t="s">
        <v>36</v>
      </c>
      <c r="K613" s="13" t="s">
        <v>47</v>
      </c>
      <c r="L613" s="13" t="s">
        <v>48</v>
      </c>
      <c r="M613" t="s">
        <v>139</v>
      </c>
      <c r="N613">
        <v>1528</v>
      </c>
      <c r="O613" s="14">
        <v>0.461893403204158</v>
      </c>
      <c r="P613" s="14">
        <v>0.57728803809732199</v>
      </c>
      <c r="Q613" t="str">
        <f t="shared" si="18"/>
        <v>10-14</v>
      </c>
      <c r="R613" t="str">
        <f t="shared" si="19"/>
        <v>[mxqa3CDFmIT]|10-14|Male|POP_EST.T_1|CY2023Q3</v>
      </c>
    </row>
    <row r="614" spans="4:18" x14ac:dyDescent="0.2">
      <c r="D614" s="13" t="s">
        <v>98</v>
      </c>
      <c r="E614" s="13" t="s">
        <v>99</v>
      </c>
      <c r="F614" s="13" t="s">
        <v>100</v>
      </c>
      <c r="G614" s="13" t="s">
        <v>137</v>
      </c>
      <c r="H614" s="13" t="s">
        <v>138</v>
      </c>
      <c r="I614" t="s">
        <v>37</v>
      </c>
      <c r="J614" s="13" t="s">
        <v>38</v>
      </c>
      <c r="K614" s="13" t="s">
        <v>47</v>
      </c>
      <c r="L614" s="13" t="s">
        <v>48</v>
      </c>
      <c r="M614" t="s">
        <v>139</v>
      </c>
      <c r="N614">
        <v>1726</v>
      </c>
      <c r="O614" s="14">
        <v>0.24159220396541101</v>
      </c>
      <c r="P614" s="14">
        <v>0.57728803809732199</v>
      </c>
      <c r="Q614" t="str">
        <f t="shared" si="18"/>
        <v>15-24</v>
      </c>
      <c r="R614" t="str">
        <f t="shared" si="19"/>
        <v>[mxqa3CDFmIT]|15-24|Male|POP_EST.T_1|CY2023Q3</v>
      </c>
    </row>
    <row r="615" spans="4:18" x14ac:dyDescent="0.2">
      <c r="D615" s="13" t="s">
        <v>98</v>
      </c>
      <c r="E615" s="13" t="s">
        <v>99</v>
      </c>
      <c r="F615" s="13" t="s">
        <v>100</v>
      </c>
      <c r="G615" s="13" t="s">
        <v>137</v>
      </c>
      <c r="H615" s="13" t="s">
        <v>138</v>
      </c>
      <c r="I615" t="s">
        <v>40</v>
      </c>
      <c r="J615" s="13" t="s">
        <v>41</v>
      </c>
      <c r="K615" s="13" t="s">
        <v>47</v>
      </c>
      <c r="L615" s="13" t="s">
        <v>48</v>
      </c>
      <c r="M615" t="s">
        <v>139</v>
      </c>
      <c r="N615">
        <v>1625</v>
      </c>
      <c r="O615" s="14">
        <v>0.57440176559612199</v>
      </c>
      <c r="P615" s="14">
        <v>0.57728803809732199</v>
      </c>
      <c r="Q615" t="str">
        <f t="shared" si="18"/>
        <v>25-34</v>
      </c>
      <c r="R615" t="str">
        <f t="shared" si="19"/>
        <v>[mxqa3CDFmIT]|25-34|Male|POP_EST.T_1|CY2023Q3</v>
      </c>
    </row>
    <row r="616" spans="4:18" x14ac:dyDescent="0.2">
      <c r="D616" s="13" t="s">
        <v>98</v>
      </c>
      <c r="E616" s="13" t="s">
        <v>99</v>
      </c>
      <c r="F616" s="13" t="s">
        <v>100</v>
      </c>
      <c r="G616" s="13" t="s">
        <v>137</v>
      </c>
      <c r="H616" s="13" t="s">
        <v>138</v>
      </c>
      <c r="I616" t="s">
        <v>42</v>
      </c>
      <c r="J616" s="13" t="s">
        <v>43</v>
      </c>
      <c r="K616" s="13" t="s">
        <v>47</v>
      </c>
      <c r="L616" s="13" t="s">
        <v>48</v>
      </c>
      <c r="M616" t="s">
        <v>139</v>
      </c>
      <c r="N616">
        <v>1147</v>
      </c>
      <c r="O616" s="14">
        <v>8.1233838340267497E-2</v>
      </c>
      <c r="P616" s="14">
        <v>0.57728803809732199</v>
      </c>
      <c r="Q616" t="str">
        <f t="shared" si="18"/>
        <v>35-49</v>
      </c>
      <c r="R616" t="str">
        <f t="shared" si="19"/>
        <v>[mxqa3CDFmIT]|35-49|Male|POP_EST.T_1|CY2023Q3</v>
      </c>
    </row>
    <row r="617" spans="4:18" x14ac:dyDescent="0.2">
      <c r="D617" s="13" t="s">
        <v>98</v>
      </c>
      <c r="E617" s="13" t="s">
        <v>99</v>
      </c>
      <c r="F617" s="13" t="s">
        <v>100</v>
      </c>
      <c r="G617" s="13" t="s">
        <v>137</v>
      </c>
      <c r="H617" s="13" t="s">
        <v>138</v>
      </c>
      <c r="I617" t="s">
        <v>44</v>
      </c>
      <c r="J617" s="13" t="s">
        <v>45</v>
      </c>
      <c r="K617" s="13" t="s">
        <v>47</v>
      </c>
      <c r="L617" s="13" t="s">
        <v>48</v>
      </c>
      <c r="M617" t="s">
        <v>139</v>
      </c>
      <c r="N617">
        <v>815</v>
      </c>
      <c r="O617" s="14">
        <v>0.124662575544789</v>
      </c>
      <c r="P617" s="14">
        <v>0.57728803809732199</v>
      </c>
      <c r="Q617" t="str">
        <f t="shared" si="18"/>
        <v>50+</v>
      </c>
      <c r="R617" t="str">
        <f t="shared" si="19"/>
        <v>[mxqa3CDFmIT]|50+|Male|POP_EST.T_1|CY2023Q3</v>
      </c>
    </row>
    <row r="618" spans="4:18" x14ac:dyDescent="0.2">
      <c r="D618" s="13" t="s">
        <v>101</v>
      </c>
      <c r="E618" s="13" t="s">
        <v>102</v>
      </c>
      <c r="F618" s="13" t="s">
        <v>103</v>
      </c>
      <c r="G618" s="13" t="s">
        <v>137</v>
      </c>
      <c r="H618" s="13" t="s">
        <v>138</v>
      </c>
      <c r="I618" t="s">
        <v>27</v>
      </c>
      <c r="J618" s="13" t="s">
        <v>28</v>
      </c>
      <c r="K618" s="13" t="s">
        <v>29</v>
      </c>
      <c r="L618" s="13" t="s">
        <v>30</v>
      </c>
      <c r="M618" t="s">
        <v>139</v>
      </c>
      <c r="N618">
        <v>1878</v>
      </c>
      <c r="O618" s="14">
        <v>0.79424014221876904</v>
      </c>
      <c r="P618" s="14">
        <v>0.52621235931292198</v>
      </c>
      <c r="Q618" t="str">
        <f t="shared" si="18"/>
        <v>&lt;01</v>
      </c>
      <c r="R618" t="str">
        <f t="shared" si="19"/>
        <v>[wNqJp8oRIcF]|&lt;01|Female|POP_EST.T_1|CY2023Q3</v>
      </c>
    </row>
    <row r="619" spans="4:18" x14ac:dyDescent="0.2">
      <c r="D619" s="13" t="s">
        <v>101</v>
      </c>
      <c r="E619" s="13" t="s">
        <v>102</v>
      </c>
      <c r="F619" s="13" t="s">
        <v>103</v>
      </c>
      <c r="G619" s="13" t="s">
        <v>137</v>
      </c>
      <c r="H619" s="13" t="s">
        <v>138</v>
      </c>
      <c r="I619" t="s">
        <v>32</v>
      </c>
      <c r="J619" s="13" t="s">
        <v>33</v>
      </c>
      <c r="K619" s="13" t="s">
        <v>29</v>
      </c>
      <c r="L619" s="13" t="s">
        <v>30</v>
      </c>
      <c r="M619" t="s">
        <v>139</v>
      </c>
      <c r="N619">
        <v>1180</v>
      </c>
      <c r="O619" s="14">
        <v>0.90260063507594201</v>
      </c>
      <c r="P619" s="14">
        <v>0.52621235931292198</v>
      </c>
      <c r="Q619" t="str">
        <f t="shared" si="18"/>
        <v>01-09</v>
      </c>
      <c r="R619" t="str">
        <f t="shared" si="19"/>
        <v>[wNqJp8oRIcF]|01-09|Female|POP_EST.T_1|CY2023Q3</v>
      </c>
    </row>
    <row r="620" spans="4:18" x14ac:dyDescent="0.2">
      <c r="D620" s="13" t="s">
        <v>101</v>
      </c>
      <c r="E620" s="13" t="s">
        <v>102</v>
      </c>
      <c r="F620" s="13" t="s">
        <v>103</v>
      </c>
      <c r="G620" s="13" t="s">
        <v>137</v>
      </c>
      <c r="H620" s="13" t="s">
        <v>138</v>
      </c>
      <c r="I620" t="s">
        <v>35</v>
      </c>
      <c r="J620" s="13" t="s">
        <v>36</v>
      </c>
      <c r="K620" s="13" t="s">
        <v>29</v>
      </c>
      <c r="L620" s="13" t="s">
        <v>30</v>
      </c>
      <c r="M620" t="s">
        <v>139</v>
      </c>
      <c r="N620">
        <v>842</v>
      </c>
      <c r="O620" s="14">
        <v>0.49948653974570301</v>
      </c>
      <c r="P620" s="14">
        <v>0.52621235931292198</v>
      </c>
      <c r="Q620" t="str">
        <f t="shared" si="18"/>
        <v>10-14</v>
      </c>
      <c r="R620" t="str">
        <f t="shared" si="19"/>
        <v>[wNqJp8oRIcF]|10-14|Female|POP_EST.T_1|CY2023Q3</v>
      </c>
    </row>
    <row r="621" spans="4:18" x14ac:dyDescent="0.2">
      <c r="D621" s="13" t="s">
        <v>101</v>
      </c>
      <c r="E621" s="13" t="s">
        <v>102</v>
      </c>
      <c r="F621" s="13" t="s">
        <v>103</v>
      </c>
      <c r="G621" s="13" t="s">
        <v>137</v>
      </c>
      <c r="H621" s="13" t="s">
        <v>138</v>
      </c>
      <c r="I621" t="s">
        <v>37</v>
      </c>
      <c r="J621" s="13" t="s">
        <v>38</v>
      </c>
      <c r="K621" s="13" t="s">
        <v>29</v>
      </c>
      <c r="L621" s="13" t="s">
        <v>30</v>
      </c>
      <c r="M621" t="s">
        <v>139</v>
      </c>
      <c r="N621">
        <v>1256</v>
      </c>
      <c r="O621" s="14">
        <v>2.0953677594661699E-2</v>
      </c>
      <c r="P621" s="14">
        <v>0.52621235931292198</v>
      </c>
      <c r="Q621" t="str">
        <f t="shared" si="18"/>
        <v>15-24</v>
      </c>
      <c r="R621" t="str">
        <f t="shared" si="19"/>
        <v>[wNqJp8oRIcF]|15-24|Female|POP_EST.T_1|CY2023Q3</v>
      </c>
    </row>
    <row r="622" spans="4:18" x14ac:dyDescent="0.2">
      <c r="D622" s="13" t="s">
        <v>101</v>
      </c>
      <c r="E622" s="13" t="s">
        <v>102</v>
      </c>
      <c r="F622" s="13" t="s">
        <v>103</v>
      </c>
      <c r="G622" s="13" t="s">
        <v>137</v>
      </c>
      <c r="H622" s="13" t="s">
        <v>138</v>
      </c>
      <c r="I622" t="s">
        <v>40</v>
      </c>
      <c r="J622" s="13" t="s">
        <v>41</v>
      </c>
      <c r="K622" s="13" t="s">
        <v>29</v>
      </c>
      <c r="L622" s="13" t="s">
        <v>30</v>
      </c>
      <c r="M622" t="s">
        <v>139</v>
      </c>
      <c r="N622">
        <v>619</v>
      </c>
      <c r="O622" s="14">
        <v>0.115796220023185</v>
      </c>
      <c r="P622" s="14">
        <v>0.52621235931292198</v>
      </c>
      <c r="Q622" t="str">
        <f t="shared" si="18"/>
        <v>25-34</v>
      </c>
      <c r="R622" t="str">
        <f t="shared" si="19"/>
        <v>[wNqJp8oRIcF]|25-34|Female|POP_EST.T_1|CY2023Q3</v>
      </c>
    </row>
    <row r="623" spans="4:18" x14ac:dyDescent="0.2">
      <c r="D623" s="13" t="s">
        <v>101</v>
      </c>
      <c r="E623" s="13" t="s">
        <v>102</v>
      </c>
      <c r="F623" s="13" t="s">
        <v>103</v>
      </c>
      <c r="G623" s="13" t="s">
        <v>137</v>
      </c>
      <c r="H623" s="13" t="s">
        <v>138</v>
      </c>
      <c r="I623" t="s">
        <v>42</v>
      </c>
      <c r="J623" s="13" t="s">
        <v>43</v>
      </c>
      <c r="K623" s="13" t="s">
        <v>29</v>
      </c>
      <c r="L623" s="13" t="s">
        <v>30</v>
      </c>
      <c r="M623" t="s">
        <v>139</v>
      </c>
      <c r="N623">
        <v>1684</v>
      </c>
      <c r="O623" s="14">
        <v>0.384394663386047</v>
      </c>
      <c r="P623" s="14">
        <v>0.52621235931292198</v>
      </c>
      <c r="Q623" t="str">
        <f t="shared" si="18"/>
        <v>35-49</v>
      </c>
      <c r="R623" t="str">
        <f t="shared" si="19"/>
        <v>[wNqJp8oRIcF]|35-49|Female|POP_EST.T_1|CY2023Q3</v>
      </c>
    </row>
    <row r="624" spans="4:18" x14ac:dyDescent="0.2">
      <c r="D624" s="13" t="s">
        <v>101</v>
      </c>
      <c r="E624" s="13" t="s">
        <v>102</v>
      </c>
      <c r="F624" s="13" t="s">
        <v>103</v>
      </c>
      <c r="G624" s="13" t="s">
        <v>137</v>
      </c>
      <c r="H624" s="13" t="s">
        <v>138</v>
      </c>
      <c r="I624" t="s">
        <v>44</v>
      </c>
      <c r="J624" s="13" t="s">
        <v>45</v>
      </c>
      <c r="K624" s="13" t="s">
        <v>29</v>
      </c>
      <c r="L624" s="13" t="s">
        <v>30</v>
      </c>
      <c r="M624" t="s">
        <v>139</v>
      </c>
      <c r="N624">
        <v>662</v>
      </c>
      <c r="O624" s="14">
        <v>0.97544863307848595</v>
      </c>
      <c r="P624" s="14">
        <v>0.52621235931292198</v>
      </c>
      <c r="Q624" t="str">
        <f t="shared" si="18"/>
        <v>50+</v>
      </c>
      <c r="R624" t="str">
        <f t="shared" si="19"/>
        <v>[wNqJp8oRIcF]|50+|Female|POP_EST.T_1|CY2023Q3</v>
      </c>
    </row>
    <row r="625" spans="4:18" x14ac:dyDescent="0.2">
      <c r="D625" s="13" t="s">
        <v>101</v>
      </c>
      <c r="E625" s="13" t="s">
        <v>102</v>
      </c>
      <c r="F625" s="13" t="s">
        <v>103</v>
      </c>
      <c r="G625" s="13" t="s">
        <v>137</v>
      </c>
      <c r="H625" s="13" t="s">
        <v>138</v>
      </c>
      <c r="I625" t="s">
        <v>27</v>
      </c>
      <c r="J625" s="13" t="s">
        <v>28</v>
      </c>
      <c r="K625" s="13" t="s">
        <v>47</v>
      </c>
      <c r="L625" s="13" t="s">
        <v>48</v>
      </c>
      <c r="M625" t="s">
        <v>139</v>
      </c>
      <c r="N625">
        <v>790</v>
      </c>
      <c r="O625" s="14">
        <v>0.55211632535792898</v>
      </c>
      <c r="P625" s="14">
        <v>0.52621235931292198</v>
      </c>
      <c r="Q625" t="str">
        <f t="shared" si="18"/>
        <v>&lt;01</v>
      </c>
      <c r="R625" t="str">
        <f t="shared" si="19"/>
        <v>[wNqJp8oRIcF]|&lt;01|Male|POP_EST.T_1|CY2023Q3</v>
      </c>
    </row>
    <row r="626" spans="4:18" x14ac:dyDescent="0.2">
      <c r="D626" s="13" t="s">
        <v>101</v>
      </c>
      <c r="E626" s="13" t="s">
        <v>102</v>
      </c>
      <c r="F626" s="13" t="s">
        <v>103</v>
      </c>
      <c r="G626" s="13" t="s">
        <v>137</v>
      </c>
      <c r="H626" s="13" t="s">
        <v>138</v>
      </c>
      <c r="I626" t="s">
        <v>32</v>
      </c>
      <c r="J626" s="13" t="s">
        <v>33</v>
      </c>
      <c r="K626" s="13" t="s">
        <v>47</v>
      </c>
      <c r="L626" s="13" t="s">
        <v>48</v>
      </c>
      <c r="M626" t="s">
        <v>139</v>
      </c>
      <c r="N626">
        <v>880</v>
      </c>
      <c r="O626" s="14">
        <v>0.18517937627621001</v>
      </c>
      <c r="P626" s="14">
        <v>0.52621235931292198</v>
      </c>
      <c r="Q626" t="str">
        <f t="shared" si="18"/>
        <v>01-09</v>
      </c>
      <c r="R626" t="str">
        <f t="shared" si="19"/>
        <v>[wNqJp8oRIcF]|01-09|Male|POP_EST.T_1|CY2023Q3</v>
      </c>
    </row>
    <row r="627" spans="4:18" x14ac:dyDescent="0.2">
      <c r="D627" s="13" t="s">
        <v>101</v>
      </c>
      <c r="E627" s="13" t="s">
        <v>102</v>
      </c>
      <c r="F627" s="13" t="s">
        <v>103</v>
      </c>
      <c r="G627" s="13" t="s">
        <v>137</v>
      </c>
      <c r="H627" s="13" t="s">
        <v>138</v>
      </c>
      <c r="I627" t="s">
        <v>35</v>
      </c>
      <c r="J627" s="13" t="s">
        <v>36</v>
      </c>
      <c r="K627" s="13" t="s">
        <v>47</v>
      </c>
      <c r="L627" s="13" t="s">
        <v>48</v>
      </c>
      <c r="M627" t="s">
        <v>139</v>
      </c>
      <c r="N627">
        <v>1373</v>
      </c>
      <c r="O627" s="14">
        <v>0.92212610458955202</v>
      </c>
      <c r="P627" s="14">
        <v>0.52621235931292198</v>
      </c>
      <c r="Q627" t="str">
        <f t="shared" si="18"/>
        <v>10-14</v>
      </c>
      <c r="R627" t="str">
        <f t="shared" si="19"/>
        <v>[wNqJp8oRIcF]|10-14|Male|POP_EST.T_1|CY2023Q3</v>
      </c>
    </row>
    <row r="628" spans="4:18" x14ac:dyDescent="0.2">
      <c r="D628" s="13" t="s">
        <v>101</v>
      </c>
      <c r="E628" s="13" t="s">
        <v>102</v>
      </c>
      <c r="F628" s="13" t="s">
        <v>103</v>
      </c>
      <c r="G628" s="13" t="s">
        <v>137</v>
      </c>
      <c r="H628" s="13" t="s">
        <v>138</v>
      </c>
      <c r="I628" t="s">
        <v>37</v>
      </c>
      <c r="J628" s="13" t="s">
        <v>38</v>
      </c>
      <c r="K628" s="13" t="s">
        <v>47</v>
      </c>
      <c r="L628" s="13" t="s">
        <v>48</v>
      </c>
      <c r="M628" t="s">
        <v>139</v>
      </c>
      <c r="N628">
        <v>1538</v>
      </c>
      <c r="O628" s="14">
        <v>0.23107493924908301</v>
      </c>
      <c r="P628" s="14">
        <v>0.52621235931292198</v>
      </c>
      <c r="Q628" t="str">
        <f t="shared" si="18"/>
        <v>15-24</v>
      </c>
      <c r="R628" t="str">
        <f t="shared" si="19"/>
        <v>[wNqJp8oRIcF]|15-24|Male|POP_EST.T_1|CY2023Q3</v>
      </c>
    </row>
    <row r="629" spans="4:18" x14ac:dyDescent="0.2">
      <c r="D629" s="13" t="s">
        <v>101</v>
      </c>
      <c r="E629" s="13" t="s">
        <v>102</v>
      </c>
      <c r="F629" s="13" t="s">
        <v>103</v>
      </c>
      <c r="G629" s="13" t="s">
        <v>137</v>
      </c>
      <c r="H629" s="13" t="s">
        <v>138</v>
      </c>
      <c r="I629" t="s">
        <v>40</v>
      </c>
      <c r="J629" s="13" t="s">
        <v>41</v>
      </c>
      <c r="K629" s="13" t="s">
        <v>47</v>
      </c>
      <c r="L629" s="13" t="s">
        <v>48</v>
      </c>
      <c r="M629" t="s">
        <v>139</v>
      </c>
      <c r="N629">
        <v>1510</v>
      </c>
      <c r="O629" s="14">
        <v>0.29743210552260302</v>
      </c>
      <c r="P629" s="14">
        <v>0.52621235931292198</v>
      </c>
      <c r="Q629" t="str">
        <f t="shared" si="18"/>
        <v>25-34</v>
      </c>
      <c r="R629" t="str">
        <f t="shared" si="19"/>
        <v>[wNqJp8oRIcF]|25-34|Male|POP_EST.T_1|CY2023Q3</v>
      </c>
    </row>
    <row r="630" spans="4:18" x14ac:dyDescent="0.2">
      <c r="D630" s="13" t="s">
        <v>101</v>
      </c>
      <c r="E630" s="13" t="s">
        <v>102</v>
      </c>
      <c r="F630" s="13" t="s">
        <v>103</v>
      </c>
      <c r="G630" s="13" t="s">
        <v>137</v>
      </c>
      <c r="H630" s="13" t="s">
        <v>138</v>
      </c>
      <c r="I630" t="s">
        <v>42</v>
      </c>
      <c r="J630" s="13" t="s">
        <v>43</v>
      </c>
      <c r="K630" s="13" t="s">
        <v>47</v>
      </c>
      <c r="L630" s="13" t="s">
        <v>48</v>
      </c>
      <c r="M630" t="s">
        <v>139</v>
      </c>
      <c r="N630">
        <v>1641</v>
      </c>
      <c r="O630" s="14">
        <v>0.94641162338666596</v>
      </c>
      <c r="P630" s="14">
        <v>0.52621235931292198</v>
      </c>
      <c r="Q630" t="str">
        <f t="shared" si="18"/>
        <v>35-49</v>
      </c>
      <c r="R630" t="str">
        <f t="shared" si="19"/>
        <v>[wNqJp8oRIcF]|35-49|Male|POP_EST.T_1|CY2023Q3</v>
      </c>
    </row>
    <row r="631" spans="4:18" x14ac:dyDescent="0.2">
      <c r="D631" s="13" t="s">
        <v>101</v>
      </c>
      <c r="E631" s="13" t="s">
        <v>102</v>
      </c>
      <c r="F631" s="13" t="s">
        <v>103</v>
      </c>
      <c r="G631" s="13" t="s">
        <v>137</v>
      </c>
      <c r="H631" s="13" t="s">
        <v>138</v>
      </c>
      <c r="I631" t="s">
        <v>44</v>
      </c>
      <c r="J631" s="13" t="s">
        <v>45</v>
      </c>
      <c r="K631" s="13" t="s">
        <v>47</v>
      </c>
      <c r="L631" s="13" t="s">
        <v>48</v>
      </c>
      <c r="M631" t="s">
        <v>139</v>
      </c>
      <c r="N631">
        <v>1807</v>
      </c>
      <c r="O631" s="14">
        <v>0.74124926980584904</v>
      </c>
      <c r="P631" s="14">
        <v>0.52621235931292198</v>
      </c>
      <c r="Q631" t="str">
        <f t="shared" si="18"/>
        <v>50+</v>
      </c>
      <c r="R631" t="str">
        <f t="shared" si="19"/>
        <v>[wNqJp8oRIcF]|50+|Male|POP_EST.T_1|CY2023Q3</v>
      </c>
    </row>
    <row r="632" spans="4:18" x14ac:dyDescent="0.2">
      <c r="D632" s="13" t="s">
        <v>104</v>
      </c>
      <c r="E632" s="13" t="s">
        <v>105</v>
      </c>
      <c r="F632" s="13" t="s">
        <v>106</v>
      </c>
      <c r="G632" s="13" t="s">
        <v>137</v>
      </c>
      <c r="H632" s="13" t="s">
        <v>138</v>
      </c>
      <c r="I632" t="s">
        <v>27</v>
      </c>
      <c r="J632" s="13" t="s">
        <v>28</v>
      </c>
      <c r="K632" s="13" t="s">
        <v>29</v>
      </c>
      <c r="L632" s="13" t="s">
        <v>30</v>
      </c>
      <c r="M632" t="s">
        <v>139</v>
      </c>
      <c r="N632">
        <v>1863</v>
      </c>
      <c r="O632" s="14">
        <v>0.55064895749092102</v>
      </c>
      <c r="P632" s="14">
        <v>0.21824956033378801</v>
      </c>
      <c r="Q632" t="str">
        <f t="shared" si="18"/>
        <v>&lt;01</v>
      </c>
      <c r="R632" t="str">
        <f t="shared" si="19"/>
        <v>[oiPR2CiVJbf]|&lt;01|Female|POP_EST.T_1|CY2023Q3</v>
      </c>
    </row>
    <row r="633" spans="4:18" x14ac:dyDescent="0.2">
      <c r="D633" s="13" t="s">
        <v>104</v>
      </c>
      <c r="E633" s="13" t="s">
        <v>105</v>
      </c>
      <c r="F633" s="13" t="s">
        <v>106</v>
      </c>
      <c r="G633" s="13" t="s">
        <v>137</v>
      </c>
      <c r="H633" s="13" t="s">
        <v>138</v>
      </c>
      <c r="I633" t="s">
        <v>32</v>
      </c>
      <c r="J633" s="13" t="s">
        <v>33</v>
      </c>
      <c r="K633" s="13" t="s">
        <v>29</v>
      </c>
      <c r="L633" s="13" t="s">
        <v>30</v>
      </c>
      <c r="M633" t="s">
        <v>139</v>
      </c>
      <c r="N633">
        <v>925</v>
      </c>
      <c r="O633" s="14">
        <v>0.76220187777653303</v>
      </c>
      <c r="P633" s="14">
        <v>0.21824956033378801</v>
      </c>
      <c r="Q633" t="str">
        <f t="shared" si="18"/>
        <v>01-09</v>
      </c>
      <c r="R633" t="str">
        <f t="shared" si="19"/>
        <v>[oiPR2CiVJbf]|01-09|Female|POP_EST.T_1|CY2023Q3</v>
      </c>
    </row>
    <row r="634" spans="4:18" x14ac:dyDescent="0.2">
      <c r="D634" s="13" t="s">
        <v>104</v>
      </c>
      <c r="E634" s="13" t="s">
        <v>105</v>
      </c>
      <c r="F634" s="13" t="s">
        <v>106</v>
      </c>
      <c r="G634" s="13" t="s">
        <v>137</v>
      </c>
      <c r="H634" s="13" t="s">
        <v>138</v>
      </c>
      <c r="I634" t="s">
        <v>35</v>
      </c>
      <c r="J634" s="13" t="s">
        <v>36</v>
      </c>
      <c r="K634" s="13" t="s">
        <v>29</v>
      </c>
      <c r="L634" s="13" t="s">
        <v>30</v>
      </c>
      <c r="M634" t="s">
        <v>139</v>
      </c>
      <c r="N634">
        <v>1439</v>
      </c>
      <c r="O634" s="14">
        <v>0.50615649274550401</v>
      </c>
      <c r="P634" s="14">
        <v>0.21824956033378801</v>
      </c>
      <c r="Q634" t="str">
        <f t="shared" si="18"/>
        <v>10-14</v>
      </c>
      <c r="R634" t="str">
        <f t="shared" si="19"/>
        <v>[oiPR2CiVJbf]|10-14|Female|POP_EST.T_1|CY2023Q3</v>
      </c>
    </row>
    <row r="635" spans="4:18" x14ac:dyDescent="0.2">
      <c r="D635" s="13" t="s">
        <v>104</v>
      </c>
      <c r="E635" s="13" t="s">
        <v>105</v>
      </c>
      <c r="F635" s="13" t="s">
        <v>106</v>
      </c>
      <c r="G635" s="13" t="s">
        <v>137</v>
      </c>
      <c r="H635" s="13" t="s">
        <v>138</v>
      </c>
      <c r="I635" t="s">
        <v>37</v>
      </c>
      <c r="J635" s="13" t="s">
        <v>38</v>
      </c>
      <c r="K635" s="13" t="s">
        <v>29</v>
      </c>
      <c r="L635" s="13" t="s">
        <v>30</v>
      </c>
      <c r="M635" t="s">
        <v>139</v>
      </c>
      <c r="N635">
        <v>873</v>
      </c>
      <c r="O635" s="14">
        <v>0.71868356200866401</v>
      </c>
      <c r="P635" s="14">
        <v>0.21824956033378801</v>
      </c>
      <c r="Q635" t="str">
        <f t="shared" si="18"/>
        <v>15-24</v>
      </c>
      <c r="R635" t="str">
        <f t="shared" si="19"/>
        <v>[oiPR2CiVJbf]|15-24|Female|POP_EST.T_1|CY2023Q3</v>
      </c>
    </row>
    <row r="636" spans="4:18" x14ac:dyDescent="0.2">
      <c r="D636" s="13" t="s">
        <v>104</v>
      </c>
      <c r="E636" s="13" t="s">
        <v>105</v>
      </c>
      <c r="F636" s="13" t="s">
        <v>106</v>
      </c>
      <c r="G636" s="13" t="s">
        <v>137</v>
      </c>
      <c r="H636" s="13" t="s">
        <v>138</v>
      </c>
      <c r="I636" t="s">
        <v>40</v>
      </c>
      <c r="J636" s="13" t="s">
        <v>41</v>
      </c>
      <c r="K636" s="13" t="s">
        <v>29</v>
      </c>
      <c r="L636" s="13" t="s">
        <v>30</v>
      </c>
      <c r="M636" t="s">
        <v>139</v>
      </c>
      <c r="N636">
        <v>1090</v>
      </c>
      <c r="O636" s="14">
        <v>0.53281455906108</v>
      </c>
      <c r="P636" s="14">
        <v>0.21824956033378801</v>
      </c>
      <c r="Q636" t="str">
        <f t="shared" si="18"/>
        <v>25-34</v>
      </c>
      <c r="R636" t="str">
        <f t="shared" si="19"/>
        <v>[oiPR2CiVJbf]|25-34|Female|POP_EST.T_1|CY2023Q3</v>
      </c>
    </row>
    <row r="637" spans="4:18" x14ac:dyDescent="0.2">
      <c r="D637" s="13" t="s">
        <v>104</v>
      </c>
      <c r="E637" s="13" t="s">
        <v>105</v>
      </c>
      <c r="F637" s="13" t="s">
        <v>106</v>
      </c>
      <c r="G637" s="13" t="s">
        <v>137</v>
      </c>
      <c r="H637" s="13" t="s">
        <v>138</v>
      </c>
      <c r="I637" t="s">
        <v>42</v>
      </c>
      <c r="J637" s="13" t="s">
        <v>43</v>
      </c>
      <c r="K637" s="13" t="s">
        <v>29</v>
      </c>
      <c r="L637" s="13" t="s">
        <v>30</v>
      </c>
      <c r="M637" t="s">
        <v>139</v>
      </c>
      <c r="N637">
        <v>852</v>
      </c>
      <c r="O637" s="14">
        <v>0.88422729936428401</v>
      </c>
      <c r="P637" s="14">
        <v>0.21824956033378801</v>
      </c>
      <c r="Q637" t="str">
        <f t="shared" si="18"/>
        <v>35-49</v>
      </c>
      <c r="R637" t="str">
        <f t="shared" si="19"/>
        <v>[oiPR2CiVJbf]|35-49|Female|POP_EST.T_1|CY2023Q3</v>
      </c>
    </row>
    <row r="638" spans="4:18" x14ac:dyDescent="0.2">
      <c r="D638" s="13" t="s">
        <v>104</v>
      </c>
      <c r="E638" s="13" t="s">
        <v>105</v>
      </c>
      <c r="F638" s="13" t="s">
        <v>106</v>
      </c>
      <c r="G638" s="13" t="s">
        <v>137</v>
      </c>
      <c r="H638" s="13" t="s">
        <v>138</v>
      </c>
      <c r="I638" t="s">
        <v>44</v>
      </c>
      <c r="J638" s="13" t="s">
        <v>45</v>
      </c>
      <c r="K638" s="13" t="s">
        <v>29</v>
      </c>
      <c r="L638" s="13" t="s">
        <v>30</v>
      </c>
      <c r="M638" t="s">
        <v>139</v>
      </c>
      <c r="N638">
        <v>1061</v>
      </c>
      <c r="O638" s="14">
        <v>0.361910318024457</v>
      </c>
      <c r="P638" s="14">
        <v>0.21824956033378801</v>
      </c>
      <c r="Q638" t="str">
        <f t="shared" si="18"/>
        <v>50+</v>
      </c>
      <c r="R638" t="str">
        <f t="shared" si="19"/>
        <v>[oiPR2CiVJbf]|50+|Female|POP_EST.T_1|CY2023Q3</v>
      </c>
    </row>
    <row r="639" spans="4:18" x14ac:dyDescent="0.2">
      <c r="D639" s="13" t="s">
        <v>104</v>
      </c>
      <c r="E639" s="13" t="s">
        <v>105</v>
      </c>
      <c r="F639" s="13" t="s">
        <v>106</v>
      </c>
      <c r="G639" s="13" t="s">
        <v>137</v>
      </c>
      <c r="H639" s="13" t="s">
        <v>138</v>
      </c>
      <c r="I639" t="s">
        <v>27</v>
      </c>
      <c r="J639" s="13" t="s">
        <v>28</v>
      </c>
      <c r="K639" s="13" t="s">
        <v>47</v>
      </c>
      <c r="L639" s="13" t="s">
        <v>48</v>
      </c>
      <c r="M639" t="s">
        <v>139</v>
      </c>
      <c r="N639">
        <v>777</v>
      </c>
      <c r="O639" s="14">
        <v>0.33598945778794598</v>
      </c>
      <c r="P639" s="14">
        <v>0.21824956033378801</v>
      </c>
      <c r="Q639" t="str">
        <f t="shared" si="18"/>
        <v>&lt;01</v>
      </c>
      <c r="R639" t="str">
        <f t="shared" si="19"/>
        <v>[oiPR2CiVJbf]|&lt;01|Male|POP_EST.T_1|CY2023Q3</v>
      </c>
    </row>
    <row r="640" spans="4:18" x14ac:dyDescent="0.2">
      <c r="D640" s="13" t="s">
        <v>104</v>
      </c>
      <c r="E640" s="13" t="s">
        <v>105</v>
      </c>
      <c r="F640" s="13" t="s">
        <v>106</v>
      </c>
      <c r="G640" s="13" t="s">
        <v>137</v>
      </c>
      <c r="H640" s="13" t="s">
        <v>138</v>
      </c>
      <c r="I640" t="s">
        <v>32</v>
      </c>
      <c r="J640" s="13" t="s">
        <v>33</v>
      </c>
      <c r="K640" s="13" t="s">
        <v>47</v>
      </c>
      <c r="L640" s="13" t="s">
        <v>48</v>
      </c>
      <c r="M640" t="s">
        <v>139</v>
      </c>
      <c r="N640">
        <v>1727</v>
      </c>
      <c r="O640" s="14">
        <v>3.6053543211892199E-2</v>
      </c>
      <c r="P640" s="14">
        <v>0.21824956033378801</v>
      </c>
      <c r="Q640" t="str">
        <f t="shared" si="18"/>
        <v>01-09</v>
      </c>
      <c r="R640" t="str">
        <f t="shared" si="19"/>
        <v>[oiPR2CiVJbf]|01-09|Male|POP_EST.T_1|CY2023Q3</v>
      </c>
    </row>
    <row r="641" spans="4:18" x14ac:dyDescent="0.2">
      <c r="D641" s="13" t="s">
        <v>104</v>
      </c>
      <c r="E641" s="13" t="s">
        <v>105</v>
      </c>
      <c r="F641" s="13" t="s">
        <v>106</v>
      </c>
      <c r="G641" s="13" t="s">
        <v>137</v>
      </c>
      <c r="H641" s="13" t="s">
        <v>138</v>
      </c>
      <c r="I641" t="s">
        <v>35</v>
      </c>
      <c r="J641" s="13" t="s">
        <v>36</v>
      </c>
      <c r="K641" s="13" t="s">
        <v>47</v>
      </c>
      <c r="L641" s="13" t="s">
        <v>48</v>
      </c>
      <c r="M641" t="s">
        <v>139</v>
      </c>
      <c r="N641">
        <v>1962</v>
      </c>
      <c r="O641" s="14">
        <v>0.61833619186654698</v>
      </c>
      <c r="P641" s="14">
        <v>0.21824956033378801</v>
      </c>
      <c r="Q641" t="str">
        <f t="shared" si="18"/>
        <v>10-14</v>
      </c>
      <c r="R641" t="str">
        <f t="shared" si="19"/>
        <v>[oiPR2CiVJbf]|10-14|Male|POP_EST.T_1|CY2023Q3</v>
      </c>
    </row>
    <row r="642" spans="4:18" x14ac:dyDescent="0.2">
      <c r="D642" s="13" t="s">
        <v>104</v>
      </c>
      <c r="E642" s="13" t="s">
        <v>105</v>
      </c>
      <c r="F642" s="13" t="s">
        <v>106</v>
      </c>
      <c r="G642" s="13" t="s">
        <v>137</v>
      </c>
      <c r="H642" s="13" t="s">
        <v>138</v>
      </c>
      <c r="I642" t="s">
        <v>37</v>
      </c>
      <c r="J642" s="13" t="s">
        <v>38</v>
      </c>
      <c r="K642" s="13" t="s">
        <v>47</v>
      </c>
      <c r="L642" s="13" t="s">
        <v>48</v>
      </c>
      <c r="M642" t="s">
        <v>139</v>
      </c>
      <c r="N642">
        <v>691</v>
      </c>
      <c r="O642" s="14">
        <v>0.16963951499201399</v>
      </c>
      <c r="P642" s="14">
        <v>0.21824956033378801</v>
      </c>
      <c r="Q642" t="str">
        <f t="shared" ref="Q642:Q705" si="20">SUBSTITUTE(SUBSTITUTE($I642,CHAR(61),""),CHAR(34),"")</f>
        <v>15-24</v>
      </c>
      <c r="R642" t="str">
        <f t="shared" ref="R642:R705" si="21">IF($D642&lt;&gt;"","["&amp;$E642&amp;"]"&amp;"|"&amp;$Q642&amp;"|"&amp;$K642&amp;"|"&amp;$G642&amp;"|"&amp;IF($G642="TX_CURR_SUBNAT.R","CY2022Q4",$M642),"")</f>
        <v>[oiPR2CiVJbf]|15-24|Male|POP_EST.T_1|CY2023Q3</v>
      </c>
    </row>
    <row r="643" spans="4:18" x14ac:dyDescent="0.2">
      <c r="D643" s="13" t="s">
        <v>104</v>
      </c>
      <c r="E643" s="13" t="s">
        <v>105</v>
      </c>
      <c r="F643" s="13" t="s">
        <v>106</v>
      </c>
      <c r="G643" s="13" t="s">
        <v>137</v>
      </c>
      <c r="H643" s="13" t="s">
        <v>138</v>
      </c>
      <c r="I643" t="s">
        <v>40</v>
      </c>
      <c r="J643" s="13" t="s">
        <v>41</v>
      </c>
      <c r="K643" s="13" t="s">
        <v>47</v>
      </c>
      <c r="L643" s="13" t="s">
        <v>48</v>
      </c>
      <c r="M643" t="s">
        <v>139</v>
      </c>
      <c r="N643">
        <v>788</v>
      </c>
      <c r="O643" s="14">
        <v>0.346690659876913</v>
      </c>
      <c r="P643" s="14">
        <v>0.21824956033378801</v>
      </c>
      <c r="Q643" t="str">
        <f t="shared" si="20"/>
        <v>25-34</v>
      </c>
      <c r="R643" t="str">
        <f t="shared" si="21"/>
        <v>[oiPR2CiVJbf]|25-34|Male|POP_EST.T_1|CY2023Q3</v>
      </c>
    </row>
    <row r="644" spans="4:18" x14ac:dyDescent="0.2">
      <c r="D644" s="13" t="s">
        <v>104</v>
      </c>
      <c r="E644" s="13" t="s">
        <v>105</v>
      </c>
      <c r="F644" s="13" t="s">
        <v>106</v>
      </c>
      <c r="G644" s="13" t="s">
        <v>137</v>
      </c>
      <c r="H644" s="13" t="s">
        <v>138</v>
      </c>
      <c r="I644" t="s">
        <v>42</v>
      </c>
      <c r="J644" s="13" t="s">
        <v>43</v>
      </c>
      <c r="K644" s="13" t="s">
        <v>47</v>
      </c>
      <c r="L644" s="13" t="s">
        <v>48</v>
      </c>
      <c r="M644" t="s">
        <v>139</v>
      </c>
      <c r="N644">
        <v>718</v>
      </c>
      <c r="O644" s="14">
        <v>0.28592383442446601</v>
      </c>
      <c r="P644" s="14">
        <v>0.21824956033378801</v>
      </c>
      <c r="Q644" t="str">
        <f t="shared" si="20"/>
        <v>35-49</v>
      </c>
      <c r="R644" t="str">
        <f t="shared" si="21"/>
        <v>[oiPR2CiVJbf]|35-49|Male|POP_EST.T_1|CY2023Q3</v>
      </c>
    </row>
    <row r="645" spans="4:18" x14ac:dyDescent="0.2">
      <c r="D645" s="13" t="s">
        <v>104</v>
      </c>
      <c r="E645" s="13" t="s">
        <v>105</v>
      </c>
      <c r="F645" s="13" t="s">
        <v>106</v>
      </c>
      <c r="G645" s="13" t="s">
        <v>137</v>
      </c>
      <c r="H645" s="13" t="s">
        <v>138</v>
      </c>
      <c r="I645" t="s">
        <v>44</v>
      </c>
      <c r="J645" s="13" t="s">
        <v>45</v>
      </c>
      <c r="K645" s="13" t="s">
        <v>47</v>
      </c>
      <c r="L645" s="13" t="s">
        <v>48</v>
      </c>
      <c r="M645" t="s">
        <v>139</v>
      </c>
      <c r="N645">
        <v>1506</v>
      </c>
      <c r="O645" s="14">
        <v>0.67331447103060804</v>
      </c>
      <c r="P645" s="14">
        <v>0.21824956033378801</v>
      </c>
      <c r="Q645" t="str">
        <f t="shared" si="20"/>
        <v>50+</v>
      </c>
      <c r="R645" t="str">
        <f t="shared" si="21"/>
        <v>[oiPR2CiVJbf]|50+|Male|POP_EST.T_1|CY2023Q3</v>
      </c>
    </row>
    <row r="646" spans="4:18" x14ac:dyDescent="0.2">
      <c r="D646" s="13" t="s">
        <v>107</v>
      </c>
      <c r="E646" s="13" t="s">
        <v>108</v>
      </c>
      <c r="F646" s="13" t="s">
        <v>109</v>
      </c>
      <c r="G646" s="13" t="s">
        <v>137</v>
      </c>
      <c r="H646" s="13" t="s">
        <v>138</v>
      </c>
      <c r="I646" t="s">
        <v>27</v>
      </c>
      <c r="J646" s="13" t="s">
        <v>28</v>
      </c>
      <c r="K646" s="13" t="s">
        <v>29</v>
      </c>
      <c r="L646" s="13" t="s">
        <v>30</v>
      </c>
      <c r="M646" t="s">
        <v>139</v>
      </c>
      <c r="N646">
        <v>1179</v>
      </c>
      <c r="O646" s="14">
        <v>0.69260840909555599</v>
      </c>
      <c r="P646" s="14">
        <v>0.43422180437482899</v>
      </c>
      <c r="Q646" t="str">
        <f t="shared" si="20"/>
        <v>&lt;01</v>
      </c>
      <c r="R646" t="str">
        <f t="shared" si="21"/>
        <v>[ul0y9diGujK]|&lt;01|Female|POP_EST.T_1|CY2023Q3</v>
      </c>
    </row>
    <row r="647" spans="4:18" x14ac:dyDescent="0.2">
      <c r="D647" s="13" t="s">
        <v>107</v>
      </c>
      <c r="E647" s="13" t="s">
        <v>108</v>
      </c>
      <c r="F647" s="13" t="s">
        <v>109</v>
      </c>
      <c r="G647" s="13" t="s">
        <v>137</v>
      </c>
      <c r="H647" s="13" t="s">
        <v>138</v>
      </c>
      <c r="I647" t="s">
        <v>32</v>
      </c>
      <c r="J647" s="13" t="s">
        <v>33</v>
      </c>
      <c r="K647" s="13" t="s">
        <v>29</v>
      </c>
      <c r="L647" s="13" t="s">
        <v>30</v>
      </c>
      <c r="M647" t="s">
        <v>139</v>
      </c>
      <c r="N647">
        <v>1188</v>
      </c>
      <c r="O647" s="14">
        <v>0.64910039235837802</v>
      </c>
      <c r="P647" s="14">
        <v>0.43422180437482899</v>
      </c>
      <c r="Q647" t="str">
        <f t="shared" si="20"/>
        <v>01-09</v>
      </c>
      <c r="R647" t="str">
        <f t="shared" si="21"/>
        <v>[ul0y9diGujK]|01-09|Female|POP_EST.T_1|CY2023Q3</v>
      </c>
    </row>
    <row r="648" spans="4:18" x14ac:dyDescent="0.2">
      <c r="D648" s="13" t="s">
        <v>107</v>
      </c>
      <c r="E648" s="13" t="s">
        <v>108</v>
      </c>
      <c r="F648" s="13" t="s">
        <v>109</v>
      </c>
      <c r="G648" s="13" t="s">
        <v>137</v>
      </c>
      <c r="H648" s="13" t="s">
        <v>138</v>
      </c>
      <c r="I648" t="s">
        <v>35</v>
      </c>
      <c r="J648" s="13" t="s">
        <v>36</v>
      </c>
      <c r="K648" s="13" t="s">
        <v>29</v>
      </c>
      <c r="L648" s="13" t="s">
        <v>30</v>
      </c>
      <c r="M648" t="s">
        <v>139</v>
      </c>
      <c r="N648">
        <v>1158</v>
      </c>
      <c r="O648" s="14">
        <v>0.24934660363942401</v>
      </c>
      <c r="P648" s="14">
        <v>0.43422180437482899</v>
      </c>
      <c r="Q648" t="str">
        <f t="shared" si="20"/>
        <v>10-14</v>
      </c>
      <c r="R648" t="str">
        <f t="shared" si="21"/>
        <v>[ul0y9diGujK]|10-14|Female|POP_EST.T_1|CY2023Q3</v>
      </c>
    </row>
    <row r="649" spans="4:18" x14ac:dyDescent="0.2">
      <c r="D649" s="13" t="s">
        <v>107</v>
      </c>
      <c r="E649" s="13" t="s">
        <v>108</v>
      </c>
      <c r="F649" s="13" t="s">
        <v>109</v>
      </c>
      <c r="G649" s="13" t="s">
        <v>137</v>
      </c>
      <c r="H649" s="13" t="s">
        <v>138</v>
      </c>
      <c r="I649" t="s">
        <v>37</v>
      </c>
      <c r="J649" s="13" t="s">
        <v>38</v>
      </c>
      <c r="K649" s="13" t="s">
        <v>29</v>
      </c>
      <c r="L649" s="13" t="s">
        <v>30</v>
      </c>
      <c r="M649" t="s">
        <v>139</v>
      </c>
      <c r="N649">
        <v>1269</v>
      </c>
      <c r="O649" s="14">
        <v>0.34184809774160402</v>
      </c>
      <c r="P649" s="14">
        <v>0.43422180437482899</v>
      </c>
      <c r="Q649" t="str">
        <f t="shared" si="20"/>
        <v>15-24</v>
      </c>
      <c r="R649" t="str">
        <f t="shared" si="21"/>
        <v>[ul0y9diGujK]|15-24|Female|POP_EST.T_1|CY2023Q3</v>
      </c>
    </row>
    <row r="650" spans="4:18" x14ac:dyDescent="0.2">
      <c r="D650" s="13" t="s">
        <v>107</v>
      </c>
      <c r="E650" s="13" t="s">
        <v>108</v>
      </c>
      <c r="F650" s="13" t="s">
        <v>109</v>
      </c>
      <c r="G650" s="13" t="s">
        <v>137</v>
      </c>
      <c r="H650" s="13" t="s">
        <v>138</v>
      </c>
      <c r="I650" t="s">
        <v>40</v>
      </c>
      <c r="J650" s="13" t="s">
        <v>41</v>
      </c>
      <c r="K650" s="13" t="s">
        <v>29</v>
      </c>
      <c r="L650" s="13" t="s">
        <v>30</v>
      </c>
      <c r="M650" t="s">
        <v>139</v>
      </c>
      <c r="N650">
        <v>1333</v>
      </c>
      <c r="O650" s="14">
        <v>0.80648040794767395</v>
      </c>
      <c r="P650" s="14">
        <v>0.43422180437482899</v>
      </c>
      <c r="Q650" t="str">
        <f t="shared" si="20"/>
        <v>25-34</v>
      </c>
      <c r="R650" t="str">
        <f t="shared" si="21"/>
        <v>[ul0y9diGujK]|25-34|Female|POP_EST.T_1|CY2023Q3</v>
      </c>
    </row>
    <row r="651" spans="4:18" x14ac:dyDescent="0.2">
      <c r="D651" s="13" t="s">
        <v>107</v>
      </c>
      <c r="E651" s="13" t="s">
        <v>108</v>
      </c>
      <c r="F651" s="13" t="s">
        <v>109</v>
      </c>
      <c r="G651" s="13" t="s">
        <v>137</v>
      </c>
      <c r="H651" s="13" t="s">
        <v>138</v>
      </c>
      <c r="I651" t="s">
        <v>42</v>
      </c>
      <c r="J651" s="13" t="s">
        <v>43</v>
      </c>
      <c r="K651" s="13" t="s">
        <v>29</v>
      </c>
      <c r="L651" s="13" t="s">
        <v>30</v>
      </c>
      <c r="M651" t="s">
        <v>139</v>
      </c>
      <c r="N651">
        <v>1642</v>
      </c>
      <c r="O651" s="14">
        <v>1.6391198383644199E-2</v>
      </c>
      <c r="P651" s="14">
        <v>0.43422180437482899</v>
      </c>
      <c r="Q651" t="str">
        <f t="shared" si="20"/>
        <v>35-49</v>
      </c>
      <c r="R651" t="str">
        <f t="shared" si="21"/>
        <v>[ul0y9diGujK]|35-49|Female|POP_EST.T_1|CY2023Q3</v>
      </c>
    </row>
    <row r="652" spans="4:18" x14ac:dyDescent="0.2">
      <c r="D652" s="13" t="s">
        <v>107</v>
      </c>
      <c r="E652" s="13" t="s">
        <v>108</v>
      </c>
      <c r="F652" s="13" t="s">
        <v>109</v>
      </c>
      <c r="G652" s="13" t="s">
        <v>137</v>
      </c>
      <c r="H652" s="13" t="s">
        <v>138</v>
      </c>
      <c r="I652" t="s">
        <v>44</v>
      </c>
      <c r="J652" s="13" t="s">
        <v>45</v>
      </c>
      <c r="K652" s="13" t="s">
        <v>29</v>
      </c>
      <c r="L652" s="13" t="s">
        <v>30</v>
      </c>
      <c r="M652" t="s">
        <v>139</v>
      </c>
      <c r="N652">
        <v>1622</v>
      </c>
      <c r="O652" s="14">
        <v>0.89994914806447901</v>
      </c>
      <c r="P652" s="14">
        <v>0.43422180437482899</v>
      </c>
      <c r="Q652" t="str">
        <f t="shared" si="20"/>
        <v>50+</v>
      </c>
      <c r="R652" t="str">
        <f t="shared" si="21"/>
        <v>[ul0y9diGujK]|50+|Female|POP_EST.T_1|CY2023Q3</v>
      </c>
    </row>
    <row r="653" spans="4:18" x14ac:dyDescent="0.2">
      <c r="D653" s="13" t="s">
        <v>107</v>
      </c>
      <c r="E653" s="13" t="s">
        <v>108</v>
      </c>
      <c r="F653" s="13" t="s">
        <v>109</v>
      </c>
      <c r="G653" s="13" t="s">
        <v>137</v>
      </c>
      <c r="H653" s="13" t="s">
        <v>138</v>
      </c>
      <c r="I653" t="s">
        <v>27</v>
      </c>
      <c r="J653" s="13" t="s">
        <v>28</v>
      </c>
      <c r="K653" s="13" t="s">
        <v>47</v>
      </c>
      <c r="L653" s="13" t="s">
        <v>48</v>
      </c>
      <c r="M653" t="s">
        <v>139</v>
      </c>
      <c r="N653">
        <v>918</v>
      </c>
      <c r="O653" s="14">
        <v>0.42853172076865997</v>
      </c>
      <c r="P653" s="14">
        <v>0.43422180437482899</v>
      </c>
      <c r="Q653" t="str">
        <f t="shared" si="20"/>
        <v>&lt;01</v>
      </c>
      <c r="R653" t="str">
        <f t="shared" si="21"/>
        <v>[ul0y9diGujK]|&lt;01|Male|POP_EST.T_1|CY2023Q3</v>
      </c>
    </row>
    <row r="654" spans="4:18" x14ac:dyDescent="0.2">
      <c r="D654" s="13" t="s">
        <v>107</v>
      </c>
      <c r="E654" s="13" t="s">
        <v>108</v>
      </c>
      <c r="F654" s="13" t="s">
        <v>109</v>
      </c>
      <c r="G654" s="13" t="s">
        <v>137</v>
      </c>
      <c r="H654" s="13" t="s">
        <v>138</v>
      </c>
      <c r="I654" t="s">
        <v>32</v>
      </c>
      <c r="J654" s="13" t="s">
        <v>33</v>
      </c>
      <c r="K654" s="13" t="s">
        <v>47</v>
      </c>
      <c r="L654" s="13" t="s">
        <v>48</v>
      </c>
      <c r="M654" t="s">
        <v>139</v>
      </c>
      <c r="N654">
        <v>684</v>
      </c>
      <c r="O654" s="14">
        <v>0.45491260662674898</v>
      </c>
      <c r="P654" s="14">
        <v>0.43422180437482899</v>
      </c>
      <c r="Q654" t="str">
        <f t="shared" si="20"/>
        <v>01-09</v>
      </c>
      <c r="R654" t="str">
        <f t="shared" si="21"/>
        <v>[ul0y9diGujK]|01-09|Male|POP_EST.T_1|CY2023Q3</v>
      </c>
    </row>
    <row r="655" spans="4:18" x14ac:dyDescent="0.2">
      <c r="D655" s="13" t="s">
        <v>107</v>
      </c>
      <c r="E655" s="13" t="s">
        <v>108</v>
      </c>
      <c r="F655" s="13" t="s">
        <v>109</v>
      </c>
      <c r="G655" s="13" t="s">
        <v>137</v>
      </c>
      <c r="H655" s="13" t="s">
        <v>138</v>
      </c>
      <c r="I655" t="s">
        <v>35</v>
      </c>
      <c r="J655" s="13" t="s">
        <v>36</v>
      </c>
      <c r="K655" s="13" t="s">
        <v>47</v>
      </c>
      <c r="L655" s="13" t="s">
        <v>48</v>
      </c>
      <c r="M655" t="s">
        <v>139</v>
      </c>
      <c r="N655">
        <v>1938</v>
      </c>
      <c r="O655" s="14">
        <v>0.83681117254309401</v>
      </c>
      <c r="P655" s="14">
        <v>0.43422180437482899</v>
      </c>
      <c r="Q655" t="str">
        <f t="shared" si="20"/>
        <v>10-14</v>
      </c>
      <c r="R655" t="str">
        <f t="shared" si="21"/>
        <v>[ul0y9diGujK]|10-14|Male|POP_EST.T_1|CY2023Q3</v>
      </c>
    </row>
    <row r="656" spans="4:18" x14ac:dyDescent="0.2">
      <c r="D656" s="13" t="s">
        <v>107</v>
      </c>
      <c r="E656" s="13" t="s">
        <v>108</v>
      </c>
      <c r="F656" s="13" t="s">
        <v>109</v>
      </c>
      <c r="G656" s="13" t="s">
        <v>137</v>
      </c>
      <c r="H656" s="13" t="s">
        <v>138</v>
      </c>
      <c r="I656" t="s">
        <v>37</v>
      </c>
      <c r="J656" s="13" t="s">
        <v>38</v>
      </c>
      <c r="K656" s="13" t="s">
        <v>47</v>
      </c>
      <c r="L656" s="13" t="s">
        <v>48</v>
      </c>
      <c r="M656" t="s">
        <v>139</v>
      </c>
      <c r="N656">
        <v>1129</v>
      </c>
      <c r="O656" s="14">
        <v>6.6492038778960705E-2</v>
      </c>
      <c r="P656" s="14">
        <v>0.43422180437482899</v>
      </c>
      <c r="Q656" t="str">
        <f t="shared" si="20"/>
        <v>15-24</v>
      </c>
      <c r="R656" t="str">
        <f t="shared" si="21"/>
        <v>[ul0y9diGujK]|15-24|Male|POP_EST.T_1|CY2023Q3</v>
      </c>
    </row>
    <row r="657" spans="4:18" x14ac:dyDescent="0.2">
      <c r="D657" s="13" t="s">
        <v>107</v>
      </c>
      <c r="E657" s="13" t="s">
        <v>108</v>
      </c>
      <c r="F657" s="13" t="s">
        <v>109</v>
      </c>
      <c r="G657" s="13" t="s">
        <v>137</v>
      </c>
      <c r="H657" s="13" t="s">
        <v>138</v>
      </c>
      <c r="I657" t="s">
        <v>40</v>
      </c>
      <c r="J657" s="13" t="s">
        <v>41</v>
      </c>
      <c r="K657" s="13" t="s">
        <v>47</v>
      </c>
      <c r="L657" s="13" t="s">
        <v>48</v>
      </c>
      <c r="M657" t="s">
        <v>139</v>
      </c>
      <c r="N657">
        <v>1064</v>
      </c>
      <c r="O657" s="14">
        <v>3.37956957519054E-2</v>
      </c>
      <c r="P657" s="14">
        <v>0.43422180437482899</v>
      </c>
      <c r="Q657" t="str">
        <f t="shared" si="20"/>
        <v>25-34</v>
      </c>
      <c r="R657" t="str">
        <f t="shared" si="21"/>
        <v>[ul0y9diGujK]|25-34|Male|POP_EST.T_1|CY2023Q3</v>
      </c>
    </row>
    <row r="658" spans="4:18" x14ac:dyDescent="0.2">
      <c r="D658" s="13" t="s">
        <v>107</v>
      </c>
      <c r="E658" s="13" t="s">
        <v>108</v>
      </c>
      <c r="F658" s="13" t="s">
        <v>109</v>
      </c>
      <c r="G658" s="13" t="s">
        <v>137</v>
      </c>
      <c r="H658" s="13" t="s">
        <v>138</v>
      </c>
      <c r="I658" t="s">
        <v>42</v>
      </c>
      <c r="J658" s="13" t="s">
        <v>43</v>
      </c>
      <c r="K658" s="13" t="s">
        <v>47</v>
      </c>
      <c r="L658" s="13" t="s">
        <v>48</v>
      </c>
      <c r="M658" t="s">
        <v>139</v>
      </c>
      <c r="N658">
        <v>1367</v>
      </c>
      <c r="O658" s="14">
        <v>0.78554049972444795</v>
      </c>
      <c r="P658" s="14">
        <v>0.43422180437482899</v>
      </c>
      <c r="Q658" t="str">
        <f t="shared" si="20"/>
        <v>35-49</v>
      </c>
      <c r="R658" t="str">
        <f t="shared" si="21"/>
        <v>[ul0y9diGujK]|35-49|Male|POP_EST.T_1|CY2023Q3</v>
      </c>
    </row>
    <row r="659" spans="4:18" x14ac:dyDescent="0.2">
      <c r="D659" s="13" t="s">
        <v>107</v>
      </c>
      <c r="E659" s="13" t="s">
        <v>108</v>
      </c>
      <c r="F659" s="13" t="s">
        <v>109</v>
      </c>
      <c r="G659" s="13" t="s">
        <v>137</v>
      </c>
      <c r="H659" s="13" t="s">
        <v>138</v>
      </c>
      <c r="I659" t="s">
        <v>44</v>
      </c>
      <c r="J659" s="13" t="s">
        <v>45</v>
      </c>
      <c r="K659" s="13" t="s">
        <v>47</v>
      </c>
      <c r="L659" s="13" t="s">
        <v>48</v>
      </c>
      <c r="M659" t="s">
        <v>139</v>
      </c>
      <c r="N659">
        <v>1767</v>
      </c>
      <c r="O659" s="14">
        <v>0.163526489399374</v>
      </c>
      <c r="P659" s="14">
        <v>0.43422180437482899</v>
      </c>
      <c r="Q659" t="str">
        <f t="shared" si="20"/>
        <v>50+</v>
      </c>
      <c r="R659" t="str">
        <f t="shared" si="21"/>
        <v>[ul0y9diGujK]|50+|Male|POP_EST.T_1|CY2023Q3</v>
      </c>
    </row>
    <row r="660" spans="4:18" x14ac:dyDescent="0.2">
      <c r="D660" s="13" t="s">
        <v>110</v>
      </c>
      <c r="E660" s="13" t="s">
        <v>111</v>
      </c>
      <c r="F660" s="13" t="s">
        <v>112</v>
      </c>
      <c r="G660" s="13" t="s">
        <v>137</v>
      </c>
      <c r="H660" s="13" t="s">
        <v>138</v>
      </c>
      <c r="I660" t="s">
        <v>27</v>
      </c>
      <c r="J660" s="13" t="s">
        <v>28</v>
      </c>
      <c r="K660" s="13" t="s">
        <v>29</v>
      </c>
      <c r="L660" s="13" t="s">
        <v>30</v>
      </c>
      <c r="M660" t="s">
        <v>139</v>
      </c>
      <c r="N660">
        <v>760</v>
      </c>
      <c r="O660" s="14">
        <v>0.17063320078887001</v>
      </c>
      <c r="P660" s="14">
        <v>0.33776879496872397</v>
      </c>
      <c r="Q660" t="str">
        <f t="shared" si="20"/>
        <v>&lt;01</v>
      </c>
      <c r="R660" t="str">
        <f t="shared" si="21"/>
        <v>[U8c0so51kT6]|&lt;01|Female|POP_EST.T_1|CY2023Q3</v>
      </c>
    </row>
    <row r="661" spans="4:18" x14ac:dyDescent="0.2">
      <c r="D661" s="13" t="s">
        <v>110</v>
      </c>
      <c r="E661" s="13" t="s">
        <v>111</v>
      </c>
      <c r="F661" s="13" t="s">
        <v>112</v>
      </c>
      <c r="G661" s="13" t="s">
        <v>137</v>
      </c>
      <c r="H661" s="13" t="s">
        <v>138</v>
      </c>
      <c r="I661" t="s">
        <v>32</v>
      </c>
      <c r="J661" s="13" t="s">
        <v>33</v>
      </c>
      <c r="K661" s="13" t="s">
        <v>29</v>
      </c>
      <c r="L661" s="13" t="s">
        <v>30</v>
      </c>
      <c r="M661" t="s">
        <v>139</v>
      </c>
      <c r="N661">
        <v>978</v>
      </c>
      <c r="O661" s="14">
        <v>0.323229794157669</v>
      </c>
      <c r="P661" s="14">
        <v>0.33776879496872397</v>
      </c>
      <c r="Q661" t="str">
        <f t="shared" si="20"/>
        <v>01-09</v>
      </c>
      <c r="R661" t="str">
        <f t="shared" si="21"/>
        <v>[U8c0so51kT6]|01-09|Female|POP_EST.T_1|CY2023Q3</v>
      </c>
    </row>
    <row r="662" spans="4:18" x14ac:dyDescent="0.2">
      <c r="D662" s="13" t="s">
        <v>110</v>
      </c>
      <c r="E662" s="13" t="s">
        <v>111</v>
      </c>
      <c r="F662" s="13" t="s">
        <v>112</v>
      </c>
      <c r="G662" s="13" t="s">
        <v>137</v>
      </c>
      <c r="H662" s="13" t="s">
        <v>138</v>
      </c>
      <c r="I662" t="s">
        <v>35</v>
      </c>
      <c r="J662" s="13" t="s">
        <v>36</v>
      </c>
      <c r="K662" s="13" t="s">
        <v>29</v>
      </c>
      <c r="L662" s="13" t="s">
        <v>30</v>
      </c>
      <c r="M662" t="s">
        <v>139</v>
      </c>
      <c r="N662">
        <v>1063</v>
      </c>
      <c r="O662" s="14">
        <v>0.97844005562365099</v>
      </c>
      <c r="P662" s="14">
        <v>0.33776879496872397</v>
      </c>
      <c r="Q662" t="str">
        <f t="shared" si="20"/>
        <v>10-14</v>
      </c>
      <c r="R662" t="str">
        <f t="shared" si="21"/>
        <v>[U8c0so51kT6]|10-14|Female|POP_EST.T_1|CY2023Q3</v>
      </c>
    </row>
    <row r="663" spans="4:18" x14ac:dyDescent="0.2">
      <c r="D663" s="13" t="s">
        <v>110</v>
      </c>
      <c r="E663" s="13" t="s">
        <v>111</v>
      </c>
      <c r="F663" s="13" t="s">
        <v>112</v>
      </c>
      <c r="G663" s="13" t="s">
        <v>137</v>
      </c>
      <c r="H663" s="13" t="s">
        <v>138</v>
      </c>
      <c r="I663" t="s">
        <v>37</v>
      </c>
      <c r="J663" s="13" t="s">
        <v>38</v>
      </c>
      <c r="K663" s="13" t="s">
        <v>29</v>
      </c>
      <c r="L663" s="13" t="s">
        <v>30</v>
      </c>
      <c r="M663" t="s">
        <v>139</v>
      </c>
      <c r="N663">
        <v>1222</v>
      </c>
      <c r="O663" s="14">
        <v>0.80302918399684098</v>
      </c>
      <c r="P663" s="14">
        <v>0.33776879496872397</v>
      </c>
      <c r="Q663" t="str">
        <f t="shared" si="20"/>
        <v>15-24</v>
      </c>
      <c r="R663" t="str">
        <f t="shared" si="21"/>
        <v>[U8c0so51kT6]|15-24|Female|POP_EST.T_1|CY2023Q3</v>
      </c>
    </row>
    <row r="664" spans="4:18" x14ac:dyDescent="0.2">
      <c r="D664" s="13" t="s">
        <v>110</v>
      </c>
      <c r="E664" s="13" t="s">
        <v>111</v>
      </c>
      <c r="F664" s="13" t="s">
        <v>112</v>
      </c>
      <c r="G664" s="13" t="s">
        <v>137</v>
      </c>
      <c r="H664" s="13" t="s">
        <v>138</v>
      </c>
      <c r="I664" t="s">
        <v>40</v>
      </c>
      <c r="J664" s="13" t="s">
        <v>41</v>
      </c>
      <c r="K664" s="13" t="s">
        <v>29</v>
      </c>
      <c r="L664" s="13" t="s">
        <v>30</v>
      </c>
      <c r="M664" t="s">
        <v>139</v>
      </c>
      <c r="N664">
        <v>1032</v>
      </c>
      <c r="O664" s="14">
        <v>0.73012116621248402</v>
      </c>
      <c r="P664" s="14">
        <v>0.33776879496872397</v>
      </c>
      <c r="Q664" t="str">
        <f t="shared" si="20"/>
        <v>25-34</v>
      </c>
      <c r="R664" t="str">
        <f t="shared" si="21"/>
        <v>[U8c0so51kT6]|25-34|Female|POP_EST.T_1|CY2023Q3</v>
      </c>
    </row>
    <row r="665" spans="4:18" x14ac:dyDescent="0.2">
      <c r="D665" s="13" t="s">
        <v>110</v>
      </c>
      <c r="E665" s="13" t="s">
        <v>111</v>
      </c>
      <c r="F665" s="13" t="s">
        <v>112</v>
      </c>
      <c r="G665" s="13" t="s">
        <v>137</v>
      </c>
      <c r="H665" s="13" t="s">
        <v>138</v>
      </c>
      <c r="I665" t="s">
        <v>42</v>
      </c>
      <c r="J665" s="13" t="s">
        <v>43</v>
      </c>
      <c r="K665" s="13" t="s">
        <v>29</v>
      </c>
      <c r="L665" s="13" t="s">
        <v>30</v>
      </c>
      <c r="M665" t="s">
        <v>139</v>
      </c>
      <c r="N665">
        <v>1445</v>
      </c>
      <c r="O665" s="14">
        <v>0.158129289047793</v>
      </c>
      <c r="P665" s="14">
        <v>0.33776879496872397</v>
      </c>
      <c r="Q665" t="str">
        <f t="shared" si="20"/>
        <v>35-49</v>
      </c>
      <c r="R665" t="str">
        <f t="shared" si="21"/>
        <v>[U8c0so51kT6]|35-49|Female|POP_EST.T_1|CY2023Q3</v>
      </c>
    </row>
    <row r="666" spans="4:18" x14ac:dyDescent="0.2">
      <c r="D666" s="13" t="s">
        <v>110</v>
      </c>
      <c r="E666" s="13" t="s">
        <v>111</v>
      </c>
      <c r="F666" s="13" t="s">
        <v>112</v>
      </c>
      <c r="G666" s="13" t="s">
        <v>137</v>
      </c>
      <c r="H666" s="13" t="s">
        <v>138</v>
      </c>
      <c r="I666" t="s">
        <v>44</v>
      </c>
      <c r="J666" s="13" t="s">
        <v>45</v>
      </c>
      <c r="K666" s="13" t="s">
        <v>29</v>
      </c>
      <c r="L666" s="13" t="s">
        <v>30</v>
      </c>
      <c r="M666" t="s">
        <v>139</v>
      </c>
      <c r="N666">
        <v>1018</v>
      </c>
      <c r="O666" s="14">
        <v>0.32651164778508202</v>
      </c>
      <c r="P666" s="14">
        <v>0.33776879496872397</v>
      </c>
      <c r="Q666" t="str">
        <f t="shared" si="20"/>
        <v>50+</v>
      </c>
      <c r="R666" t="str">
        <f t="shared" si="21"/>
        <v>[U8c0so51kT6]|50+|Female|POP_EST.T_1|CY2023Q3</v>
      </c>
    </row>
    <row r="667" spans="4:18" x14ac:dyDescent="0.2">
      <c r="D667" s="13" t="s">
        <v>110</v>
      </c>
      <c r="E667" s="13" t="s">
        <v>111</v>
      </c>
      <c r="F667" s="13" t="s">
        <v>112</v>
      </c>
      <c r="G667" s="13" t="s">
        <v>137</v>
      </c>
      <c r="H667" s="13" t="s">
        <v>138</v>
      </c>
      <c r="I667" t="s">
        <v>27</v>
      </c>
      <c r="J667" s="13" t="s">
        <v>28</v>
      </c>
      <c r="K667" s="13" t="s">
        <v>47</v>
      </c>
      <c r="L667" s="13" t="s">
        <v>48</v>
      </c>
      <c r="M667" t="s">
        <v>139</v>
      </c>
      <c r="N667">
        <v>1907</v>
      </c>
      <c r="O667" s="14">
        <v>0.65919814328663096</v>
      </c>
      <c r="P667" s="14">
        <v>0.33776879496872397</v>
      </c>
      <c r="Q667" t="str">
        <f t="shared" si="20"/>
        <v>&lt;01</v>
      </c>
      <c r="R667" t="str">
        <f t="shared" si="21"/>
        <v>[U8c0so51kT6]|&lt;01|Male|POP_EST.T_1|CY2023Q3</v>
      </c>
    </row>
    <row r="668" spans="4:18" x14ac:dyDescent="0.2">
      <c r="D668" s="13" t="s">
        <v>110</v>
      </c>
      <c r="E668" s="13" t="s">
        <v>111</v>
      </c>
      <c r="F668" s="13" t="s">
        <v>112</v>
      </c>
      <c r="G668" s="13" t="s">
        <v>137</v>
      </c>
      <c r="H668" s="13" t="s">
        <v>138</v>
      </c>
      <c r="I668" t="s">
        <v>32</v>
      </c>
      <c r="J668" s="13" t="s">
        <v>33</v>
      </c>
      <c r="K668" s="13" t="s">
        <v>47</v>
      </c>
      <c r="L668" s="13" t="s">
        <v>48</v>
      </c>
      <c r="M668" t="s">
        <v>139</v>
      </c>
      <c r="N668">
        <v>1337</v>
      </c>
      <c r="O668" s="14">
        <v>4.0320877218619003E-2</v>
      </c>
      <c r="P668" s="14">
        <v>0.33776879496872397</v>
      </c>
      <c r="Q668" t="str">
        <f t="shared" si="20"/>
        <v>01-09</v>
      </c>
      <c r="R668" t="str">
        <f t="shared" si="21"/>
        <v>[U8c0so51kT6]|01-09|Male|POP_EST.T_1|CY2023Q3</v>
      </c>
    </row>
    <row r="669" spans="4:18" x14ac:dyDescent="0.2">
      <c r="D669" s="13" t="s">
        <v>110</v>
      </c>
      <c r="E669" s="13" t="s">
        <v>111</v>
      </c>
      <c r="F669" s="13" t="s">
        <v>112</v>
      </c>
      <c r="G669" s="13" t="s">
        <v>137</v>
      </c>
      <c r="H669" s="13" t="s">
        <v>138</v>
      </c>
      <c r="I669" t="s">
        <v>35</v>
      </c>
      <c r="J669" s="13" t="s">
        <v>36</v>
      </c>
      <c r="K669" s="13" t="s">
        <v>47</v>
      </c>
      <c r="L669" s="13" t="s">
        <v>48</v>
      </c>
      <c r="M669" t="s">
        <v>139</v>
      </c>
      <c r="N669">
        <v>828</v>
      </c>
      <c r="O669" s="14">
        <v>0.67731078783981502</v>
      </c>
      <c r="P669" s="14">
        <v>0.33776879496872397</v>
      </c>
      <c r="Q669" t="str">
        <f t="shared" si="20"/>
        <v>10-14</v>
      </c>
      <c r="R669" t="str">
        <f t="shared" si="21"/>
        <v>[U8c0so51kT6]|10-14|Male|POP_EST.T_1|CY2023Q3</v>
      </c>
    </row>
    <row r="670" spans="4:18" x14ac:dyDescent="0.2">
      <c r="D670" s="13" t="s">
        <v>110</v>
      </c>
      <c r="E670" s="13" t="s">
        <v>111</v>
      </c>
      <c r="F670" s="13" t="s">
        <v>112</v>
      </c>
      <c r="G670" s="13" t="s">
        <v>137</v>
      </c>
      <c r="H670" s="13" t="s">
        <v>138</v>
      </c>
      <c r="I670" t="s">
        <v>37</v>
      </c>
      <c r="J670" s="13" t="s">
        <v>38</v>
      </c>
      <c r="K670" s="13" t="s">
        <v>47</v>
      </c>
      <c r="L670" s="13" t="s">
        <v>48</v>
      </c>
      <c r="M670" t="s">
        <v>139</v>
      </c>
      <c r="N670">
        <v>999</v>
      </c>
      <c r="O670" s="14">
        <v>0.81337042525410697</v>
      </c>
      <c r="P670" s="14">
        <v>0.33776879496872397</v>
      </c>
      <c r="Q670" t="str">
        <f t="shared" si="20"/>
        <v>15-24</v>
      </c>
      <c r="R670" t="str">
        <f t="shared" si="21"/>
        <v>[U8c0so51kT6]|15-24|Male|POP_EST.T_1|CY2023Q3</v>
      </c>
    </row>
    <row r="671" spans="4:18" x14ac:dyDescent="0.2">
      <c r="D671" s="13" t="s">
        <v>110</v>
      </c>
      <c r="E671" s="13" t="s">
        <v>111</v>
      </c>
      <c r="F671" s="13" t="s">
        <v>112</v>
      </c>
      <c r="G671" s="13" t="s">
        <v>137</v>
      </c>
      <c r="H671" s="13" t="s">
        <v>138</v>
      </c>
      <c r="I671" t="s">
        <v>40</v>
      </c>
      <c r="J671" s="13" t="s">
        <v>41</v>
      </c>
      <c r="K671" s="13" t="s">
        <v>47</v>
      </c>
      <c r="L671" s="13" t="s">
        <v>48</v>
      </c>
      <c r="M671" t="s">
        <v>139</v>
      </c>
      <c r="N671">
        <v>870</v>
      </c>
      <c r="O671" s="14">
        <v>3.8529179058969E-2</v>
      </c>
      <c r="P671" s="14">
        <v>0.33776879496872397</v>
      </c>
      <c r="Q671" t="str">
        <f t="shared" si="20"/>
        <v>25-34</v>
      </c>
      <c r="R671" t="str">
        <f t="shared" si="21"/>
        <v>[U8c0so51kT6]|25-34|Male|POP_EST.T_1|CY2023Q3</v>
      </c>
    </row>
    <row r="672" spans="4:18" x14ac:dyDescent="0.2">
      <c r="D672" s="13" t="s">
        <v>110</v>
      </c>
      <c r="E672" s="13" t="s">
        <v>111</v>
      </c>
      <c r="F672" s="13" t="s">
        <v>112</v>
      </c>
      <c r="G672" s="13" t="s">
        <v>137</v>
      </c>
      <c r="H672" s="13" t="s">
        <v>138</v>
      </c>
      <c r="I672" t="s">
        <v>42</v>
      </c>
      <c r="J672" s="13" t="s">
        <v>43</v>
      </c>
      <c r="K672" s="13" t="s">
        <v>47</v>
      </c>
      <c r="L672" s="13" t="s">
        <v>48</v>
      </c>
      <c r="M672" t="s">
        <v>139</v>
      </c>
      <c r="N672">
        <v>1906</v>
      </c>
      <c r="O672" s="14">
        <v>0.421163932653144</v>
      </c>
      <c r="P672" s="14">
        <v>0.33776879496872397</v>
      </c>
      <c r="Q672" t="str">
        <f t="shared" si="20"/>
        <v>35-49</v>
      </c>
      <c r="R672" t="str">
        <f t="shared" si="21"/>
        <v>[U8c0so51kT6]|35-49|Male|POP_EST.T_1|CY2023Q3</v>
      </c>
    </row>
    <row r="673" spans="4:18" x14ac:dyDescent="0.2">
      <c r="D673" s="13" t="s">
        <v>110</v>
      </c>
      <c r="E673" s="13" t="s">
        <v>111</v>
      </c>
      <c r="F673" s="13" t="s">
        <v>112</v>
      </c>
      <c r="G673" s="13" t="s">
        <v>137</v>
      </c>
      <c r="H673" s="13" t="s">
        <v>138</v>
      </c>
      <c r="I673" t="s">
        <v>44</v>
      </c>
      <c r="J673" s="13" t="s">
        <v>45</v>
      </c>
      <c r="K673" s="13" t="s">
        <v>47</v>
      </c>
      <c r="L673" s="13" t="s">
        <v>48</v>
      </c>
      <c r="M673" t="s">
        <v>139</v>
      </c>
      <c r="N673">
        <v>1031</v>
      </c>
      <c r="O673" s="14">
        <v>0.58724873489700302</v>
      </c>
      <c r="P673" s="14">
        <v>0.33776879496872397</v>
      </c>
      <c r="Q673" t="str">
        <f t="shared" si="20"/>
        <v>50+</v>
      </c>
      <c r="R673" t="str">
        <f t="shared" si="21"/>
        <v>[U8c0so51kT6]|50+|Male|POP_EST.T_1|CY2023Q3</v>
      </c>
    </row>
    <row r="674" spans="4:18" x14ac:dyDescent="0.2">
      <c r="D674" s="13" t="s">
        <v>113</v>
      </c>
      <c r="E674" s="13" t="s">
        <v>114</v>
      </c>
      <c r="F674" s="13" t="s">
        <v>115</v>
      </c>
      <c r="G674" s="13" t="s">
        <v>137</v>
      </c>
      <c r="H674" s="13" t="s">
        <v>138</v>
      </c>
      <c r="I674" t="s">
        <v>27</v>
      </c>
      <c r="J674" s="13" t="s">
        <v>28</v>
      </c>
      <c r="K674" s="13" t="s">
        <v>29</v>
      </c>
      <c r="L674" s="13" t="s">
        <v>30</v>
      </c>
      <c r="M674" t="s">
        <v>139</v>
      </c>
      <c r="N674">
        <v>582</v>
      </c>
      <c r="O674" s="14">
        <v>0.41178367310203601</v>
      </c>
      <c r="P674" s="14">
        <v>0.29855980910360802</v>
      </c>
      <c r="Q674" t="str">
        <f t="shared" si="20"/>
        <v>&lt;01</v>
      </c>
      <c r="R674" t="str">
        <f t="shared" si="21"/>
        <v>[rpw540fmNUz]|&lt;01|Female|POP_EST.T_1|CY2023Q3</v>
      </c>
    </row>
    <row r="675" spans="4:18" x14ac:dyDescent="0.2">
      <c r="D675" s="13" t="s">
        <v>113</v>
      </c>
      <c r="E675" s="13" t="s">
        <v>114</v>
      </c>
      <c r="F675" s="13" t="s">
        <v>115</v>
      </c>
      <c r="G675" s="13" t="s">
        <v>137</v>
      </c>
      <c r="H675" s="13" t="s">
        <v>138</v>
      </c>
      <c r="I675" t="s">
        <v>32</v>
      </c>
      <c r="J675" s="13" t="s">
        <v>33</v>
      </c>
      <c r="K675" s="13" t="s">
        <v>29</v>
      </c>
      <c r="L675" s="13" t="s">
        <v>30</v>
      </c>
      <c r="M675" t="s">
        <v>139</v>
      </c>
      <c r="N675">
        <v>754</v>
      </c>
      <c r="O675" s="14">
        <v>0.70446839276701201</v>
      </c>
      <c r="P675" s="14">
        <v>0.29855980910360802</v>
      </c>
      <c r="Q675" t="str">
        <f t="shared" si="20"/>
        <v>01-09</v>
      </c>
      <c r="R675" t="str">
        <f t="shared" si="21"/>
        <v>[rpw540fmNUz]|01-09|Female|POP_EST.T_1|CY2023Q3</v>
      </c>
    </row>
    <row r="676" spans="4:18" x14ac:dyDescent="0.2">
      <c r="D676" s="13" t="s">
        <v>113</v>
      </c>
      <c r="E676" s="13" t="s">
        <v>114</v>
      </c>
      <c r="F676" s="13" t="s">
        <v>115</v>
      </c>
      <c r="G676" s="13" t="s">
        <v>137</v>
      </c>
      <c r="H676" s="13" t="s">
        <v>138</v>
      </c>
      <c r="I676" t="s">
        <v>35</v>
      </c>
      <c r="J676" s="13" t="s">
        <v>36</v>
      </c>
      <c r="K676" s="13" t="s">
        <v>29</v>
      </c>
      <c r="L676" s="13" t="s">
        <v>30</v>
      </c>
      <c r="M676" t="s">
        <v>139</v>
      </c>
      <c r="N676">
        <v>765</v>
      </c>
      <c r="O676" s="14">
        <v>6.8107933271676302E-2</v>
      </c>
      <c r="P676" s="14">
        <v>0.29855980910360802</v>
      </c>
      <c r="Q676" t="str">
        <f t="shared" si="20"/>
        <v>10-14</v>
      </c>
      <c r="R676" t="str">
        <f t="shared" si="21"/>
        <v>[rpw540fmNUz]|10-14|Female|POP_EST.T_1|CY2023Q3</v>
      </c>
    </row>
    <row r="677" spans="4:18" x14ac:dyDescent="0.2">
      <c r="D677" s="13" t="s">
        <v>113</v>
      </c>
      <c r="E677" s="13" t="s">
        <v>114</v>
      </c>
      <c r="F677" s="13" t="s">
        <v>115</v>
      </c>
      <c r="G677" s="13" t="s">
        <v>137</v>
      </c>
      <c r="H677" s="13" t="s">
        <v>138</v>
      </c>
      <c r="I677" t="s">
        <v>37</v>
      </c>
      <c r="J677" s="13" t="s">
        <v>38</v>
      </c>
      <c r="K677" s="13" t="s">
        <v>29</v>
      </c>
      <c r="L677" s="13" t="s">
        <v>30</v>
      </c>
      <c r="M677" t="s">
        <v>139</v>
      </c>
      <c r="N677">
        <v>842</v>
      </c>
      <c r="O677" s="14">
        <v>0.82459814473986603</v>
      </c>
      <c r="P677" s="14">
        <v>0.29855980910360802</v>
      </c>
      <c r="Q677" t="str">
        <f t="shared" si="20"/>
        <v>15-24</v>
      </c>
      <c r="R677" t="str">
        <f t="shared" si="21"/>
        <v>[rpw540fmNUz]|15-24|Female|POP_EST.T_1|CY2023Q3</v>
      </c>
    </row>
    <row r="678" spans="4:18" x14ac:dyDescent="0.2">
      <c r="D678" s="13" t="s">
        <v>113</v>
      </c>
      <c r="E678" s="13" t="s">
        <v>114</v>
      </c>
      <c r="F678" s="13" t="s">
        <v>115</v>
      </c>
      <c r="G678" s="13" t="s">
        <v>137</v>
      </c>
      <c r="H678" s="13" t="s">
        <v>138</v>
      </c>
      <c r="I678" t="s">
        <v>40</v>
      </c>
      <c r="J678" s="13" t="s">
        <v>41</v>
      </c>
      <c r="K678" s="13" t="s">
        <v>29</v>
      </c>
      <c r="L678" s="13" t="s">
        <v>30</v>
      </c>
      <c r="M678" t="s">
        <v>139</v>
      </c>
      <c r="N678">
        <v>1925</v>
      </c>
      <c r="O678" s="14">
        <v>0.713016374735162</v>
      </c>
      <c r="P678" s="14">
        <v>0.29855980910360802</v>
      </c>
      <c r="Q678" t="str">
        <f t="shared" si="20"/>
        <v>25-34</v>
      </c>
      <c r="R678" t="str">
        <f t="shared" si="21"/>
        <v>[rpw540fmNUz]|25-34|Female|POP_EST.T_1|CY2023Q3</v>
      </c>
    </row>
    <row r="679" spans="4:18" x14ac:dyDescent="0.2">
      <c r="D679" s="13" t="s">
        <v>113</v>
      </c>
      <c r="E679" s="13" t="s">
        <v>114</v>
      </c>
      <c r="F679" s="13" t="s">
        <v>115</v>
      </c>
      <c r="G679" s="13" t="s">
        <v>137</v>
      </c>
      <c r="H679" s="13" t="s">
        <v>138</v>
      </c>
      <c r="I679" t="s">
        <v>42</v>
      </c>
      <c r="J679" s="13" t="s">
        <v>43</v>
      </c>
      <c r="K679" s="13" t="s">
        <v>29</v>
      </c>
      <c r="L679" s="13" t="s">
        <v>30</v>
      </c>
      <c r="M679" t="s">
        <v>139</v>
      </c>
      <c r="N679">
        <v>1282</v>
      </c>
      <c r="O679" s="14">
        <v>0.81724534463137399</v>
      </c>
      <c r="P679" s="14">
        <v>0.29855980910360802</v>
      </c>
      <c r="Q679" t="str">
        <f t="shared" si="20"/>
        <v>35-49</v>
      </c>
      <c r="R679" t="str">
        <f t="shared" si="21"/>
        <v>[rpw540fmNUz]|35-49|Female|POP_EST.T_1|CY2023Q3</v>
      </c>
    </row>
    <row r="680" spans="4:18" x14ac:dyDescent="0.2">
      <c r="D680" s="13" t="s">
        <v>113</v>
      </c>
      <c r="E680" s="13" t="s">
        <v>114</v>
      </c>
      <c r="F680" s="13" t="s">
        <v>115</v>
      </c>
      <c r="G680" s="13" t="s">
        <v>137</v>
      </c>
      <c r="H680" s="13" t="s">
        <v>138</v>
      </c>
      <c r="I680" t="s">
        <v>44</v>
      </c>
      <c r="J680" s="13" t="s">
        <v>45</v>
      </c>
      <c r="K680" s="13" t="s">
        <v>29</v>
      </c>
      <c r="L680" s="13" t="s">
        <v>30</v>
      </c>
      <c r="M680" t="s">
        <v>139</v>
      </c>
      <c r="N680">
        <v>599</v>
      </c>
      <c r="O680" s="14">
        <v>0.93381719850003697</v>
      </c>
      <c r="P680" s="14">
        <v>0.29855980910360802</v>
      </c>
      <c r="Q680" t="str">
        <f t="shared" si="20"/>
        <v>50+</v>
      </c>
      <c r="R680" t="str">
        <f t="shared" si="21"/>
        <v>[rpw540fmNUz]|50+|Female|POP_EST.T_1|CY2023Q3</v>
      </c>
    </row>
    <row r="681" spans="4:18" x14ac:dyDescent="0.2">
      <c r="D681" s="13" t="s">
        <v>113</v>
      </c>
      <c r="E681" s="13" t="s">
        <v>114</v>
      </c>
      <c r="F681" s="13" t="s">
        <v>115</v>
      </c>
      <c r="G681" s="13" t="s">
        <v>137</v>
      </c>
      <c r="H681" s="13" t="s">
        <v>138</v>
      </c>
      <c r="I681" t="s">
        <v>27</v>
      </c>
      <c r="J681" s="13" t="s">
        <v>28</v>
      </c>
      <c r="K681" s="13" t="s">
        <v>47</v>
      </c>
      <c r="L681" s="13" t="s">
        <v>48</v>
      </c>
      <c r="M681" t="s">
        <v>139</v>
      </c>
      <c r="N681">
        <v>1120</v>
      </c>
      <c r="O681" s="14">
        <v>0.60580128547735501</v>
      </c>
      <c r="P681" s="14">
        <v>0.29855980910360802</v>
      </c>
      <c r="Q681" t="str">
        <f t="shared" si="20"/>
        <v>&lt;01</v>
      </c>
      <c r="R681" t="str">
        <f t="shared" si="21"/>
        <v>[rpw540fmNUz]|&lt;01|Male|POP_EST.T_1|CY2023Q3</v>
      </c>
    </row>
    <row r="682" spans="4:18" x14ac:dyDescent="0.2">
      <c r="D682" s="13" t="s">
        <v>113</v>
      </c>
      <c r="E682" s="13" t="s">
        <v>114</v>
      </c>
      <c r="F682" s="13" t="s">
        <v>115</v>
      </c>
      <c r="G682" s="13" t="s">
        <v>137</v>
      </c>
      <c r="H682" s="13" t="s">
        <v>138</v>
      </c>
      <c r="I682" t="s">
        <v>32</v>
      </c>
      <c r="J682" s="13" t="s">
        <v>33</v>
      </c>
      <c r="K682" s="13" t="s">
        <v>47</v>
      </c>
      <c r="L682" s="13" t="s">
        <v>48</v>
      </c>
      <c r="M682" t="s">
        <v>139</v>
      </c>
      <c r="N682">
        <v>1574</v>
      </c>
      <c r="O682" s="14">
        <v>0.30368436314165598</v>
      </c>
      <c r="P682" s="14">
        <v>0.29855980910360802</v>
      </c>
      <c r="Q682" t="str">
        <f t="shared" si="20"/>
        <v>01-09</v>
      </c>
      <c r="R682" t="str">
        <f t="shared" si="21"/>
        <v>[rpw540fmNUz]|01-09|Male|POP_EST.T_1|CY2023Q3</v>
      </c>
    </row>
    <row r="683" spans="4:18" x14ac:dyDescent="0.2">
      <c r="D683" s="13" t="s">
        <v>113</v>
      </c>
      <c r="E683" s="13" t="s">
        <v>114</v>
      </c>
      <c r="F683" s="13" t="s">
        <v>115</v>
      </c>
      <c r="G683" s="13" t="s">
        <v>137</v>
      </c>
      <c r="H683" s="13" t="s">
        <v>138</v>
      </c>
      <c r="I683" t="s">
        <v>35</v>
      </c>
      <c r="J683" s="13" t="s">
        <v>36</v>
      </c>
      <c r="K683" s="13" t="s">
        <v>47</v>
      </c>
      <c r="L683" s="13" t="s">
        <v>48</v>
      </c>
      <c r="M683" t="s">
        <v>139</v>
      </c>
      <c r="N683">
        <v>1241</v>
      </c>
      <c r="O683" s="14">
        <v>0.36014693509787299</v>
      </c>
      <c r="P683" s="14">
        <v>0.29855980910360802</v>
      </c>
      <c r="Q683" t="str">
        <f t="shared" si="20"/>
        <v>10-14</v>
      </c>
      <c r="R683" t="str">
        <f t="shared" si="21"/>
        <v>[rpw540fmNUz]|10-14|Male|POP_EST.T_1|CY2023Q3</v>
      </c>
    </row>
    <row r="684" spans="4:18" x14ac:dyDescent="0.2">
      <c r="D684" s="13" t="s">
        <v>113</v>
      </c>
      <c r="E684" s="13" t="s">
        <v>114</v>
      </c>
      <c r="F684" s="13" t="s">
        <v>115</v>
      </c>
      <c r="G684" s="13" t="s">
        <v>137</v>
      </c>
      <c r="H684" s="13" t="s">
        <v>138</v>
      </c>
      <c r="I684" t="s">
        <v>37</v>
      </c>
      <c r="J684" s="13" t="s">
        <v>38</v>
      </c>
      <c r="K684" s="13" t="s">
        <v>47</v>
      </c>
      <c r="L684" s="13" t="s">
        <v>48</v>
      </c>
      <c r="M684" t="s">
        <v>139</v>
      </c>
      <c r="N684">
        <v>603</v>
      </c>
      <c r="O684" s="14">
        <v>0.88193951058201503</v>
      </c>
      <c r="P684" s="14">
        <v>0.29855980910360802</v>
      </c>
      <c r="Q684" t="str">
        <f t="shared" si="20"/>
        <v>15-24</v>
      </c>
      <c r="R684" t="str">
        <f t="shared" si="21"/>
        <v>[rpw540fmNUz]|15-24|Male|POP_EST.T_1|CY2023Q3</v>
      </c>
    </row>
    <row r="685" spans="4:18" x14ac:dyDescent="0.2">
      <c r="D685" s="13" t="s">
        <v>113</v>
      </c>
      <c r="E685" s="13" t="s">
        <v>114</v>
      </c>
      <c r="F685" s="13" t="s">
        <v>115</v>
      </c>
      <c r="G685" s="13" t="s">
        <v>137</v>
      </c>
      <c r="H685" s="13" t="s">
        <v>138</v>
      </c>
      <c r="I685" t="s">
        <v>40</v>
      </c>
      <c r="J685" s="13" t="s">
        <v>41</v>
      </c>
      <c r="K685" s="13" t="s">
        <v>47</v>
      </c>
      <c r="L685" s="13" t="s">
        <v>48</v>
      </c>
      <c r="M685" t="s">
        <v>139</v>
      </c>
      <c r="N685">
        <v>1786</v>
      </c>
      <c r="O685" s="14">
        <v>0.87716656737029597</v>
      </c>
      <c r="P685" s="14">
        <v>0.29855980910360802</v>
      </c>
      <c r="Q685" t="str">
        <f t="shared" si="20"/>
        <v>25-34</v>
      </c>
      <c r="R685" t="str">
        <f t="shared" si="21"/>
        <v>[rpw540fmNUz]|25-34|Male|POP_EST.T_1|CY2023Q3</v>
      </c>
    </row>
    <row r="686" spans="4:18" x14ac:dyDescent="0.2">
      <c r="D686" s="13" t="s">
        <v>113</v>
      </c>
      <c r="E686" s="13" t="s">
        <v>114</v>
      </c>
      <c r="F686" s="13" t="s">
        <v>115</v>
      </c>
      <c r="G686" s="13" t="s">
        <v>137</v>
      </c>
      <c r="H686" s="13" t="s">
        <v>138</v>
      </c>
      <c r="I686" t="s">
        <v>42</v>
      </c>
      <c r="J686" s="13" t="s">
        <v>43</v>
      </c>
      <c r="K686" s="13" t="s">
        <v>47</v>
      </c>
      <c r="L686" s="13" t="s">
        <v>48</v>
      </c>
      <c r="M686" t="s">
        <v>139</v>
      </c>
      <c r="N686">
        <v>1055</v>
      </c>
      <c r="O686" s="14">
        <v>0.53161556995473802</v>
      </c>
      <c r="P686" s="14">
        <v>0.29855980910360802</v>
      </c>
      <c r="Q686" t="str">
        <f t="shared" si="20"/>
        <v>35-49</v>
      </c>
      <c r="R686" t="str">
        <f t="shared" si="21"/>
        <v>[rpw540fmNUz]|35-49|Male|POP_EST.T_1|CY2023Q3</v>
      </c>
    </row>
    <row r="687" spans="4:18" x14ac:dyDescent="0.2">
      <c r="D687" s="13" t="s">
        <v>113</v>
      </c>
      <c r="E687" s="13" t="s">
        <v>114</v>
      </c>
      <c r="F687" s="13" t="s">
        <v>115</v>
      </c>
      <c r="G687" s="13" t="s">
        <v>137</v>
      </c>
      <c r="H687" s="13" t="s">
        <v>138</v>
      </c>
      <c r="I687" t="s">
        <v>44</v>
      </c>
      <c r="J687" s="13" t="s">
        <v>45</v>
      </c>
      <c r="K687" s="13" t="s">
        <v>47</v>
      </c>
      <c r="L687" s="13" t="s">
        <v>48</v>
      </c>
      <c r="M687" t="s">
        <v>139</v>
      </c>
      <c r="N687">
        <v>983</v>
      </c>
      <c r="O687" s="14">
        <v>0.808597695780918</v>
      </c>
      <c r="P687" s="14">
        <v>0.29855980910360802</v>
      </c>
      <c r="Q687" t="str">
        <f t="shared" si="20"/>
        <v>50+</v>
      </c>
      <c r="R687" t="str">
        <f t="shared" si="21"/>
        <v>[rpw540fmNUz]|50+|Male|POP_EST.T_1|CY2023Q3</v>
      </c>
    </row>
    <row r="688" spans="4:18" x14ac:dyDescent="0.2">
      <c r="D688" s="13" t="s">
        <v>116</v>
      </c>
      <c r="E688" s="13" t="s">
        <v>117</v>
      </c>
      <c r="F688" s="13" t="s">
        <v>118</v>
      </c>
      <c r="G688" s="13" t="s">
        <v>137</v>
      </c>
      <c r="H688" s="13" t="s">
        <v>138</v>
      </c>
      <c r="I688" t="s">
        <v>27</v>
      </c>
      <c r="J688" s="13" t="s">
        <v>28</v>
      </c>
      <c r="K688" s="13" t="s">
        <v>29</v>
      </c>
      <c r="L688" s="13" t="s">
        <v>30</v>
      </c>
      <c r="M688" t="s">
        <v>139</v>
      </c>
      <c r="N688">
        <v>665</v>
      </c>
      <c r="O688" s="14">
        <v>0.54321971512399603</v>
      </c>
      <c r="P688" s="14">
        <v>0.206259709550068</v>
      </c>
      <c r="Q688" t="str">
        <f t="shared" si="20"/>
        <v>&lt;01</v>
      </c>
      <c r="R688" t="str">
        <f t="shared" si="21"/>
        <v>[lPTyjLi4w3d]|&lt;01|Female|POP_EST.T_1|CY2023Q3</v>
      </c>
    </row>
    <row r="689" spans="4:18" x14ac:dyDescent="0.2">
      <c r="D689" s="13" t="s">
        <v>116</v>
      </c>
      <c r="E689" s="13" t="s">
        <v>117</v>
      </c>
      <c r="F689" s="13" t="s">
        <v>118</v>
      </c>
      <c r="G689" s="13" t="s">
        <v>137</v>
      </c>
      <c r="H689" s="13" t="s">
        <v>138</v>
      </c>
      <c r="I689" t="s">
        <v>32</v>
      </c>
      <c r="J689" s="13" t="s">
        <v>33</v>
      </c>
      <c r="K689" s="13" t="s">
        <v>29</v>
      </c>
      <c r="L689" s="13" t="s">
        <v>30</v>
      </c>
      <c r="M689" t="s">
        <v>139</v>
      </c>
      <c r="N689">
        <v>618</v>
      </c>
      <c r="O689" s="14">
        <v>0.93468101811595306</v>
      </c>
      <c r="P689" s="14">
        <v>0.206259709550068</v>
      </c>
      <c r="Q689" t="str">
        <f t="shared" si="20"/>
        <v>01-09</v>
      </c>
      <c r="R689" t="str">
        <f t="shared" si="21"/>
        <v>[lPTyjLi4w3d]|01-09|Female|POP_EST.T_1|CY2023Q3</v>
      </c>
    </row>
    <row r="690" spans="4:18" x14ac:dyDescent="0.2">
      <c r="D690" s="13" t="s">
        <v>116</v>
      </c>
      <c r="E690" s="13" t="s">
        <v>117</v>
      </c>
      <c r="F690" s="13" t="s">
        <v>118</v>
      </c>
      <c r="G690" s="13" t="s">
        <v>137</v>
      </c>
      <c r="H690" s="13" t="s">
        <v>138</v>
      </c>
      <c r="I690" t="s">
        <v>35</v>
      </c>
      <c r="J690" s="13" t="s">
        <v>36</v>
      </c>
      <c r="K690" s="13" t="s">
        <v>29</v>
      </c>
      <c r="L690" s="13" t="s">
        <v>30</v>
      </c>
      <c r="M690" t="s">
        <v>139</v>
      </c>
      <c r="N690">
        <v>767</v>
      </c>
      <c r="O690" s="14">
        <v>0.76251981453970097</v>
      </c>
      <c r="P690" s="14">
        <v>0.206259709550068</v>
      </c>
      <c r="Q690" t="str">
        <f t="shared" si="20"/>
        <v>10-14</v>
      </c>
      <c r="R690" t="str">
        <f t="shared" si="21"/>
        <v>[lPTyjLi4w3d]|10-14|Female|POP_EST.T_1|CY2023Q3</v>
      </c>
    </row>
    <row r="691" spans="4:18" x14ac:dyDescent="0.2">
      <c r="D691" s="13" t="s">
        <v>116</v>
      </c>
      <c r="E691" s="13" t="s">
        <v>117</v>
      </c>
      <c r="F691" s="13" t="s">
        <v>118</v>
      </c>
      <c r="G691" s="13" t="s">
        <v>137</v>
      </c>
      <c r="H691" s="13" t="s">
        <v>138</v>
      </c>
      <c r="I691" t="s">
        <v>37</v>
      </c>
      <c r="J691" s="13" t="s">
        <v>38</v>
      </c>
      <c r="K691" s="13" t="s">
        <v>29</v>
      </c>
      <c r="L691" s="13" t="s">
        <v>30</v>
      </c>
      <c r="M691" t="s">
        <v>139</v>
      </c>
      <c r="N691">
        <v>896</v>
      </c>
      <c r="O691" s="14">
        <v>0.30921745416708302</v>
      </c>
      <c r="P691" s="14">
        <v>0.206259709550068</v>
      </c>
      <c r="Q691" t="str">
        <f t="shared" si="20"/>
        <v>15-24</v>
      </c>
      <c r="R691" t="str">
        <f t="shared" si="21"/>
        <v>[lPTyjLi4w3d]|15-24|Female|POP_EST.T_1|CY2023Q3</v>
      </c>
    </row>
    <row r="692" spans="4:18" x14ac:dyDescent="0.2">
      <c r="D692" s="13" t="s">
        <v>116</v>
      </c>
      <c r="E692" s="13" t="s">
        <v>117</v>
      </c>
      <c r="F692" s="13" t="s">
        <v>118</v>
      </c>
      <c r="G692" s="13" t="s">
        <v>137</v>
      </c>
      <c r="H692" s="13" t="s">
        <v>138</v>
      </c>
      <c r="I692" t="s">
        <v>40</v>
      </c>
      <c r="J692" s="13" t="s">
        <v>41</v>
      </c>
      <c r="K692" s="13" t="s">
        <v>29</v>
      </c>
      <c r="L692" s="13" t="s">
        <v>30</v>
      </c>
      <c r="M692" t="s">
        <v>139</v>
      </c>
      <c r="N692">
        <v>1885</v>
      </c>
      <c r="O692" s="14">
        <v>0.64460204495117102</v>
      </c>
      <c r="P692" s="14">
        <v>0.206259709550068</v>
      </c>
      <c r="Q692" t="str">
        <f t="shared" si="20"/>
        <v>25-34</v>
      </c>
      <c r="R692" t="str">
        <f t="shared" si="21"/>
        <v>[lPTyjLi4w3d]|25-34|Female|POP_EST.T_1|CY2023Q3</v>
      </c>
    </row>
    <row r="693" spans="4:18" x14ac:dyDescent="0.2">
      <c r="D693" s="13" t="s">
        <v>116</v>
      </c>
      <c r="E693" s="13" t="s">
        <v>117</v>
      </c>
      <c r="F693" s="13" t="s">
        <v>118</v>
      </c>
      <c r="G693" s="13" t="s">
        <v>137</v>
      </c>
      <c r="H693" s="13" t="s">
        <v>138</v>
      </c>
      <c r="I693" t="s">
        <v>42</v>
      </c>
      <c r="J693" s="13" t="s">
        <v>43</v>
      </c>
      <c r="K693" s="13" t="s">
        <v>29</v>
      </c>
      <c r="L693" s="13" t="s">
        <v>30</v>
      </c>
      <c r="M693" t="s">
        <v>139</v>
      </c>
      <c r="N693">
        <v>870</v>
      </c>
      <c r="O693" s="14">
        <v>0.37554906285367901</v>
      </c>
      <c r="P693" s="14">
        <v>0.206259709550068</v>
      </c>
      <c r="Q693" t="str">
        <f t="shared" si="20"/>
        <v>35-49</v>
      </c>
      <c r="R693" t="str">
        <f t="shared" si="21"/>
        <v>[lPTyjLi4w3d]|35-49|Female|POP_EST.T_1|CY2023Q3</v>
      </c>
    </row>
    <row r="694" spans="4:18" x14ac:dyDescent="0.2">
      <c r="D694" s="13" t="s">
        <v>116</v>
      </c>
      <c r="E694" s="13" t="s">
        <v>117</v>
      </c>
      <c r="F694" s="13" t="s">
        <v>118</v>
      </c>
      <c r="G694" s="13" t="s">
        <v>137</v>
      </c>
      <c r="H694" s="13" t="s">
        <v>138</v>
      </c>
      <c r="I694" t="s">
        <v>44</v>
      </c>
      <c r="J694" s="13" t="s">
        <v>45</v>
      </c>
      <c r="K694" s="13" t="s">
        <v>29</v>
      </c>
      <c r="L694" s="13" t="s">
        <v>30</v>
      </c>
      <c r="M694" t="s">
        <v>139</v>
      </c>
      <c r="N694">
        <v>1895</v>
      </c>
      <c r="O694" s="14">
        <v>0.78809965285472605</v>
      </c>
      <c r="P694" s="14">
        <v>0.206259709550068</v>
      </c>
      <c r="Q694" t="str">
        <f t="shared" si="20"/>
        <v>50+</v>
      </c>
      <c r="R694" t="str">
        <f t="shared" si="21"/>
        <v>[lPTyjLi4w3d]|50+|Female|POP_EST.T_1|CY2023Q3</v>
      </c>
    </row>
    <row r="695" spans="4:18" x14ac:dyDescent="0.2">
      <c r="D695" s="13" t="s">
        <v>116</v>
      </c>
      <c r="E695" s="13" t="s">
        <v>117</v>
      </c>
      <c r="F695" s="13" t="s">
        <v>118</v>
      </c>
      <c r="G695" s="13" t="s">
        <v>137</v>
      </c>
      <c r="H695" s="13" t="s">
        <v>138</v>
      </c>
      <c r="I695" t="s">
        <v>27</v>
      </c>
      <c r="J695" s="13" t="s">
        <v>28</v>
      </c>
      <c r="K695" s="13" t="s">
        <v>47</v>
      </c>
      <c r="L695" s="13" t="s">
        <v>48</v>
      </c>
      <c r="M695" t="s">
        <v>139</v>
      </c>
      <c r="N695">
        <v>924</v>
      </c>
      <c r="O695" s="14">
        <v>0.56526867486536503</v>
      </c>
      <c r="P695" s="14">
        <v>0.206259709550068</v>
      </c>
      <c r="Q695" t="str">
        <f t="shared" si="20"/>
        <v>&lt;01</v>
      </c>
      <c r="R695" t="str">
        <f t="shared" si="21"/>
        <v>[lPTyjLi4w3d]|&lt;01|Male|POP_EST.T_1|CY2023Q3</v>
      </c>
    </row>
    <row r="696" spans="4:18" x14ac:dyDescent="0.2">
      <c r="D696" s="13" t="s">
        <v>116</v>
      </c>
      <c r="E696" s="13" t="s">
        <v>117</v>
      </c>
      <c r="F696" s="13" t="s">
        <v>118</v>
      </c>
      <c r="G696" s="13" t="s">
        <v>137</v>
      </c>
      <c r="H696" s="13" t="s">
        <v>138</v>
      </c>
      <c r="I696" t="s">
        <v>32</v>
      </c>
      <c r="J696" s="13" t="s">
        <v>33</v>
      </c>
      <c r="K696" s="13" t="s">
        <v>47</v>
      </c>
      <c r="L696" s="13" t="s">
        <v>48</v>
      </c>
      <c r="M696" t="s">
        <v>139</v>
      </c>
      <c r="N696">
        <v>1338</v>
      </c>
      <c r="O696" s="14">
        <v>0.72603402542881701</v>
      </c>
      <c r="P696" s="14">
        <v>0.206259709550068</v>
      </c>
      <c r="Q696" t="str">
        <f t="shared" si="20"/>
        <v>01-09</v>
      </c>
      <c r="R696" t="str">
        <f t="shared" si="21"/>
        <v>[lPTyjLi4w3d]|01-09|Male|POP_EST.T_1|CY2023Q3</v>
      </c>
    </row>
    <row r="697" spans="4:18" x14ac:dyDescent="0.2">
      <c r="D697" s="13" t="s">
        <v>116</v>
      </c>
      <c r="E697" s="13" t="s">
        <v>117</v>
      </c>
      <c r="F697" s="13" t="s">
        <v>118</v>
      </c>
      <c r="G697" s="13" t="s">
        <v>137</v>
      </c>
      <c r="H697" s="13" t="s">
        <v>138</v>
      </c>
      <c r="I697" t="s">
        <v>35</v>
      </c>
      <c r="J697" s="13" t="s">
        <v>36</v>
      </c>
      <c r="K697" s="13" t="s">
        <v>47</v>
      </c>
      <c r="L697" s="13" t="s">
        <v>48</v>
      </c>
      <c r="M697" t="s">
        <v>139</v>
      </c>
      <c r="N697">
        <v>1126</v>
      </c>
      <c r="O697" s="14">
        <v>0.73978107492439404</v>
      </c>
      <c r="P697" s="14">
        <v>0.206259709550068</v>
      </c>
      <c r="Q697" t="str">
        <f t="shared" si="20"/>
        <v>10-14</v>
      </c>
      <c r="R697" t="str">
        <f t="shared" si="21"/>
        <v>[lPTyjLi4w3d]|10-14|Male|POP_EST.T_1|CY2023Q3</v>
      </c>
    </row>
    <row r="698" spans="4:18" x14ac:dyDescent="0.2">
      <c r="D698" s="13" t="s">
        <v>116</v>
      </c>
      <c r="E698" s="13" t="s">
        <v>117</v>
      </c>
      <c r="F698" s="13" t="s">
        <v>118</v>
      </c>
      <c r="G698" s="13" t="s">
        <v>137</v>
      </c>
      <c r="H698" s="13" t="s">
        <v>138</v>
      </c>
      <c r="I698" t="s">
        <v>37</v>
      </c>
      <c r="J698" s="13" t="s">
        <v>38</v>
      </c>
      <c r="K698" s="13" t="s">
        <v>47</v>
      </c>
      <c r="L698" s="13" t="s">
        <v>48</v>
      </c>
      <c r="M698" t="s">
        <v>139</v>
      </c>
      <c r="N698">
        <v>687</v>
      </c>
      <c r="O698" s="14">
        <v>0.204273456474766</v>
      </c>
      <c r="P698" s="14">
        <v>0.206259709550068</v>
      </c>
      <c r="Q698" t="str">
        <f t="shared" si="20"/>
        <v>15-24</v>
      </c>
      <c r="R698" t="str">
        <f t="shared" si="21"/>
        <v>[lPTyjLi4w3d]|15-24|Male|POP_EST.T_1|CY2023Q3</v>
      </c>
    </row>
    <row r="699" spans="4:18" x14ac:dyDescent="0.2">
      <c r="D699" s="13" t="s">
        <v>116</v>
      </c>
      <c r="E699" s="13" t="s">
        <v>117</v>
      </c>
      <c r="F699" s="13" t="s">
        <v>118</v>
      </c>
      <c r="G699" s="13" t="s">
        <v>137</v>
      </c>
      <c r="H699" s="13" t="s">
        <v>138</v>
      </c>
      <c r="I699" t="s">
        <v>40</v>
      </c>
      <c r="J699" s="13" t="s">
        <v>41</v>
      </c>
      <c r="K699" s="13" t="s">
        <v>47</v>
      </c>
      <c r="L699" s="13" t="s">
        <v>48</v>
      </c>
      <c r="M699" t="s">
        <v>139</v>
      </c>
      <c r="N699">
        <v>1661</v>
      </c>
      <c r="O699" s="14">
        <v>0.64968381868675396</v>
      </c>
      <c r="P699" s="14">
        <v>0.206259709550068</v>
      </c>
      <c r="Q699" t="str">
        <f t="shared" si="20"/>
        <v>25-34</v>
      </c>
      <c r="R699" t="str">
        <f t="shared" si="21"/>
        <v>[lPTyjLi4w3d]|25-34|Male|POP_EST.T_1|CY2023Q3</v>
      </c>
    </row>
    <row r="700" spans="4:18" x14ac:dyDescent="0.2">
      <c r="D700" s="13" t="s">
        <v>116</v>
      </c>
      <c r="E700" s="13" t="s">
        <v>117</v>
      </c>
      <c r="F700" s="13" t="s">
        <v>118</v>
      </c>
      <c r="G700" s="13" t="s">
        <v>137</v>
      </c>
      <c r="H700" s="13" t="s">
        <v>138</v>
      </c>
      <c r="I700" t="s">
        <v>42</v>
      </c>
      <c r="J700" s="13" t="s">
        <v>43</v>
      </c>
      <c r="K700" s="13" t="s">
        <v>47</v>
      </c>
      <c r="L700" s="13" t="s">
        <v>48</v>
      </c>
      <c r="M700" t="s">
        <v>139</v>
      </c>
      <c r="N700">
        <v>1605</v>
      </c>
      <c r="O700" s="14">
        <v>0.52377027273178101</v>
      </c>
      <c r="P700" s="14">
        <v>0.206259709550068</v>
      </c>
      <c r="Q700" t="str">
        <f t="shared" si="20"/>
        <v>35-49</v>
      </c>
      <c r="R700" t="str">
        <f t="shared" si="21"/>
        <v>[lPTyjLi4w3d]|35-49|Male|POP_EST.T_1|CY2023Q3</v>
      </c>
    </row>
    <row r="701" spans="4:18" x14ac:dyDescent="0.2">
      <c r="D701" s="13" t="s">
        <v>116</v>
      </c>
      <c r="E701" s="13" t="s">
        <v>117</v>
      </c>
      <c r="F701" s="13" t="s">
        <v>118</v>
      </c>
      <c r="G701" s="13" t="s">
        <v>137</v>
      </c>
      <c r="H701" s="13" t="s">
        <v>138</v>
      </c>
      <c r="I701" t="s">
        <v>44</v>
      </c>
      <c r="J701" s="13" t="s">
        <v>45</v>
      </c>
      <c r="K701" s="13" t="s">
        <v>47</v>
      </c>
      <c r="L701" s="13" t="s">
        <v>48</v>
      </c>
      <c r="M701" t="s">
        <v>139</v>
      </c>
      <c r="N701">
        <v>527</v>
      </c>
      <c r="O701" s="14">
        <v>0.80658010370098099</v>
      </c>
      <c r="P701" s="14">
        <v>0.206259709550068</v>
      </c>
      <c r="Q701" t="str">
        <f t="shared" si="20"/>
        <v>50+</v>
      </c>
      <c r="R701" t="str">
        <f t="shared" si="21"/>
        <v>[lPTyjLi4w3d]|50+|Male|POP_EST.T_1|CY2023Q3</v>
      </c>
    </row>
    <row r="702" spans="4:18" x14ac:dyDescent="0.2">
      <c r="D702" s="13" t="s">
        <v>119</v>
      </c>
      <c r="E702" s="13" t="s">
        <v>120</v>
      </c>
      <c r="F702" s="13" t="s">
        <v>121</v>
      </c>
      <c r="G702" s="13" t="s">
        <v>137</v>
      </c>
      <c r="H702" s="13" t="s">
        <v>138</v>
      </c>
      <c r="I702" t="s">
        <v>27</v>
      </c>
      <c r="J702" s="13" t="s">
        <v>28</v>
      </c>
      <c r="K702" s="13" t="s">
        <v>29</v>
      </c>
      <c r="L702" s="13" t="s">
        <v>30</v>
      </c>
      <c r="M702" t="s">
        <v>139</v>
      </c>
      <c r="N702">
        <v>1893</v>
      </c>
      <c r="O702" s="14">
        <v>4.2457527015358203E-2</v>
      </c>
      <c r="P702" s="14">
        <v>0.43010397930629601</v>
      </c>
      <c r="Q702" t="str">
        <f t="shared" si="20"/>
        <v>&lt;01</v>
      </c>
      <c r="R702" t="str">
        <f t="shared" si="21"/>
        <v>[vA4NcHxfMBq]|&lt;01|Female|POP_EST.T_1|CY2023Q3</v>
      </c>
    </row>
    <row r="703" spans="4:18" x14ac:dyDescent="0.2">
      <c r="D703" s="13" t="s">
        <v>119</v>
      </c>
      <c r="E703" s="13" t="s">
        <v>120</v>
      </c>
      <c r="F703" s="13" t="s">
        <v>121</v>
      </c>
      <c r="G703" s="13" t="s">
        <v>137</v>
      </c>
      <c r="H703" s="13" t="s">
        <v>138</v>
      </c>
      <c r="I703" t="s">
        <v>32</v>
      </c>
      <c r="J703" s="13" t="s">
        <v>33</v>
      </c>
      <c r="K703" s="13" t="s">
        <v>29</v>
      </c>
      <c r="L703" s="13" t="s">
        <v>30</v>
      </c>
      <c r="M703" t="s">
        <v>139</v>
      </c>
      <c r="N703">
        <v>1356</v>
      </c>
      <c r="O703" s="14">
        <v>5.4974902188405401E-2</v>
      </c>
      <c r="P703" s="14">
        <v>0.43010397930629601</v>
      </c>
      <c r="Q703" t="str">
        <f t="shared" si="20"/>
        <v>01-09</v>
      </c>
      <c r="R703" t="str">
        <f t="shared" si="21"/>
        <v>[vA4NcHxfMBq]|01-09|Female|POP_EST.T_1|CY2023Q3</v>
      </c>
    </row>
    <row r="704" spans="4:18" x14ac:dyDescent="0.2">
      <c r="D704" s="13" t="s">
        <v>119</v>
      </c>
      <c r="E704" s="13" t="s">
        <v>120</v>
      </c>
      <c r="F704" s="13" t="s">
        <v>121</v>
      </c>
      <c r="G704" s="13" t="s">
        <v>137</v>
      </c>
      <c r="H704" s="13" t="s">
        <v>138</v>
      </c>
      <c r="I704" t="s">
        <v>35</v>
      </c>
      <c r="J704" s="13" t="s">
        <v>36</v>
      </c>
      <c r="K704" s="13" t="s">
        <v>29</v>
      </c>
      <c r="L704" s="13" t="s">
        <v>30</v>
      </c>
      <c r="M704" t="s">
        <v>139</v>
      </c>
      <c r="N704">
        <v>1909</v>
      </c>
      <c r="O704" s="14">
        <v>0.106049580965191</v>
      </c>
      <c r="P704" s="14">
        <v>0.43010397930629601</v>
      </c>
      <c r="Q704" t="str">
        <f t="shared" si="20"/>
        <v>10-14</v>
      </c>
      <c r="R704" t="str">
        <f t="shared" si="21"/>
        <v>[vA4NcHxfMBq]|10-14|Female|POP_EST.T_1|CY2023Q3</v>
      </c>
    </row>
    <row r="705" spans="4:18" x14ac:dyDescent="0.2">
      <c r="D705" s="13" t="s">
        <v>119</v>
      </c>
      <c r="E705" s="13" t="s">
        <v>120</v>
      </c>
      <c r="F705" s="13" t="s">
        <v>121</v>
      </c>
      <c r="G705" s="13" t="s">
        <v>137</v>
      </c>
      <c r="H705" s="13" t="s">
        <v>138</v>
      </c>
      <c r="I705" t="s">
        <v>37</v>
      </c>
      <c r="J705" s="13" t="s">
        <v>38</v>
      </c>
      <c r="K705" s="13" t="s">
        <v>29</v>
      </c>
      <c r="L705" s="13" t="s">
        <v>30</v>
      </c>
      <c r="M705" t="s">
        <v>139</v>
      </c>
      <c r="N705">
        <v>1732</v>
      </c>
      <c r="O705" s="14">
        <v>0.48125417809933402</v>
      </c>
      <c r="P705" s="14">
        <v>0.43010397930629601</v>
      </c>
      <c r="Q705" t="str">
        <f t="shared" si="20"/>
        <v>15-24</v>
      </c>
      <c r="R705" t="str">
        <f t="shared" si="21"/>
        <v>[vA4NcHxfMBq]|15-24|Female|POP_EST.T_1|CY2023Q3</v>
      </c>
    </row>
    <row r="706" spans="4:18" x14ac:dyDescent="0.2">
      <c r="D706" s="13" t="s">
        <v>119</v>
      </c>
      <c r="E706" s="13" t="s">
        <v>120</v>
      </c>
      <c r="F706" s="13" t="s">
        <v>121</v>
      </c>
      <c r="G706" s="13" t="s">
        <v>137</v>
      </c>
      <c r="H706" s="13" t="s">
        <v>138</v>
      </c>
      <c r="I706" t="s">
        <v>40</v>
      </c>
      <c r="J706" s="13" t="s">
        <v>41</v>
      </c>
      <c r="K706" s="13" t="s">
        <v>29</v>
      </c>
      <c r="L706" s="13" t="s">
        <v>30</v>
      </c>
      <c r="M706" t="s">
        <v>139</v>
      </c>
      <c r="N706">
        <v>593</v>
      </c>
      <c r="O706" s="14">
        <v>0.19620674569159699</v>
      </c>
      <c r="P706" s="14">
        <v>0.43010397930629601</v>
      </c>
      <c r="Q706" t="str">
        <f t="shared" ref="Q706:Q769" si="22">SUBSTITUTE(SUBSTITUTE($I706,CHAR(61),""),CHAR(34),"")</f>
        <v>25-34</v>
      </c>
      <c r="R706" t="str">
        <f t="shared" ref="R706:R769" si="23">IF($D706&lt;&gt;"","["&amp;$E706&amp;"]"&amp;"|"&amp;$Q706&amp;"|"&amp;$K706&amp;"|"&amp;$G706&amp;"|"&amp;IF($G706="TX_CURR_SUBNAT.R","CY2022Q4",$M706),"")</f>
        <v>[vA4NcHxfMBq]|25-34|Female|POP_EST.T_1|CY2023Q3</v>
      </c>
    </row>
    <row r="707" spans="4:18" x14ac:dyDescent="0.2">
      <c r="D707" s="13" t="s">
        <v>119</v>
      </c>
      <c r="E707" s="13" t="s">
        <v>120</v>
      </c>
      <c r="F707" s="13" t="s">
        <v>121</v>
      </c>
      <c r="G707" s="13" t="s">
        <v>137</v>
      </c>
      <c r="H707" s="13" t="s">
        <v>138</v>
      </c>
      <c r="I707" t="s">
        <v>42</v>
      </c>
      <c r="J707" s="13" t="s">
        <v>43</v>
      </c>
      <c r="K707" s="13" t="s">
        <v>29</v>
      </c>
      <c r="L707" s="13" t="s">
        <v>30</v>
      </c>
      <c r="M707" t="s">
        <v>139</v>
      </c>
      <c r="N707">
        <v>1178</v>
      </c>
      <c r="O707" s="14">
        <v>2.97107023652643E-2</v>
      </c>
      <c r="P707" s="14">
        <v>0.43010397930629601</v>
      </c>
      <c r="Q707" t="str">
        <f t="shared" si="22"/>
        <v>35-49</v>
      </c>
      <c r="R707" t="str">
        <f t="shared" si="23"/>
        <v>[vA4NcHxfMBq]|35-49|Female|POP_EST.T_1|CY2023Q3</v>
      </c>
    </row>
    <row r="708" spans="4:18" x14ac:dyDescent="0.2">
      <c r="D708" s="13" t="s">
        <v>119</v>
      </c>
      <c r="E708" s="13" t="s">
        <v>120</v>
      </c>
      <c r="F708" s="13" t="s">
        <v>121</v>
      </c>
      <c r="G708" s="13" t="s">
        <v>137</v>
      </c>
      <c r="H708" s="13" t="s">
        <v>138</v>
      </c>
      <c r="I708" t="s">
        <v>44</v>
      </c>
      <c r="J708" s="13" t="s">
        <v>45</v>
      </c>
      <c r="K708" s="13" t="s">
        <v>29</v>
      </c>
      <c r="L708" s="13" t="s">
        <v>30</v>
      </c>
      <c r="M708" t="s">
        <v>139</v>
      </c>
      <c r="N708">
        <v>1385</v>
      </c>
      <c r="O708" s="14">
        <v>0.56253254786133799</v>
      </c>
      <c r="P708" s="14">
        <v>0.43010397930629601</v>
      </c>
      <c r="Q708" t="str">
        <f t="shared" si="22"/>
        <v>50+</v>
      </c>
      <c r="R708" t="str">
        <f t="shared" si="23"/>
        <v>[vA4NcHxfMBq]|50+|Female|POP_EST.T_1|CY2023Q3</v>
      </c>
    </row>
    <row r="709" spans="4:18" x14ac:dyDescent="0.2">
      <c r="D709" s="13" t="s">
        <v>119</v>
      </c>
      <c r="E709" s="13" t="s">
        <v>120</v>
      </c>
      <c r="F709" s="13" t="s">
        <v>121</v>
      </c>
      <c r="G709" s="13" t="s">
        <v>137</v>
      </c>
      <c r="H709" s="13" t="s">
        <v>138</v>
      </c>
      <c r="I709" t="s">
        <v>27</v>
      </c>
      <c r="J709" s="13" t="s">
        <v>28</v>
      </c>
      <c r="K709" s="13" t="s">
        <v>47</v>
      </c>
      <c r="L709" s="13" t="s">
        <v>48</v>
      </c>
      <c r="M709" t="s">
        <v>139</v>
      </c>
      <c r="N709">
        <v>1917</v>
      </c>
      <c r="O709" s="14">
        <v>0.72517606825567804</v>
      </c>
      <c r="P709" s="14">
        <v>0.43010397930629601</v>
      </c>
      <c r="Q709" t="str">
        <f t="shared" si="22"/>
        <v>&lt;01</v>
      </c>
      <c r="R709" t="str">
        <f t="shared" si="23"/>
        <v>[vA4NcHxfMBq]|&lt;01|Male|POP_EST.T_1|CY2023Q3</v>
      </c>
    </row>
    <row r="710" spans="4:18" x14ac:dyDescent="0.2">
      <c r="D710" s="13" t="s">
        <v>119</v>
      </c>
      <c r="E710" s="13" t="s">
        <v>120</v>
      </c>
      <c r="F710" s="13" t="s">
        <v>121</v>
      </c>
      <c r="G710" s="13" t="s">
        <v>137</v>
      </c>
      <c r="H710" s="13" t="s">
        <v>138</v>
      </c>
      <c r="I710" t="s">
        <v>32</v>
      </c>
      <c r="J710" s="13" t="s">
        <v>33</v>
      </c>
      <c r="K710" s="13" t="s">
        <v>47</v>
      </c>
      <c r="L710" s="13" t="s">
        <v>48</v>
      </c>
      <c r="M710" t="s">
        <v>139</v>
      </c>
      <c r="N710">
        <v>1021</v>
      </c>
      <c r="O710" s="14">
        <v>0.63725254824385003</v>
      </c>
      <c r="P710" s="14">
        <v>0.43010397930629601</v>
      </c>
      <c r="Q710" t="str">
        <f t="shared" si="22"/>
        <v>01-09</v>
      </c>
      <c r="R710" t="str">
        <f t="shared" si="23"/>
        <v>[vA4NcHxfMBq]|01-09|Male|POP_EST.T_1|CY2023Q3</v>
      </c>
    </row>
    <row r="711" spans="4:18" x14ac:dyDescent="0.2">
      <c r="D711" s="13" t="s">
        <v>119</v>
      </c>
      <c r="E711" s="13" t="s">
        <v>120</v>
      </c>
      <c r="F711" s="13" t="s">
        <v>121</v>
      </c>
      <c r="G711" s="13" t="s">
        <v>137</v>
      </c>
      <c r="H711" s="13" t="s">
        <v>138</v>
      </c>
      <c r="I711" t="s">
        <v>35</v>
      </c>
      <c r="J711" s="13" t="s">
        <v>36</v>
      </c>
      <c r="K711" s="13" t="s">
        <v>47</v>
      </c>
      <c r="L711" s="13" t="s">
        <v>48</v>
      </c>
      <c r="M711" t="s">
        <v>139</v>
      </c>
      <c r="N711">
        <v>1149</v>
      </c>
      <c r="O711" s="14">
        <v>0.77511818008497402</v>
      </c>
      <c r="P711" s="14">
        <v>0.43010397930629601</v>
      </c>
      <c r="Q711" t="str">
        <f t="shared" si="22"/>
        <v>10-14</v>
      </c>
      <c r="R711" t="str">
        <f t="shared" si="23"/>
        <v>[vA4NcHxfMBq]|10-14|Male|POP_EST.T_1|CY2023Q3</v>
      </c>
    </row>
    <row r="712" spans="4:18" x14ac:dyDescent="0.2">
      <c r="D712" s="13" t="s">
        <v>119</v>
      </c>
      <c r="E712" s="13" t="s">
        <v>120</v>
      </c>
      <c r="F712" s="13" t="s">
        <v>121</v>
      </c>
      <c r="G712" s="13" t="s">
        <v>137</v>
      </c>
      <c r="H712" s="13" t="s">
        <v>138</v>
      </c>
      <c r="I712" t="s">
        <v>37</v>
      </c>
      <c r="J712" s="13" t="s">
        <v>38</v>
      </c>
      <c r="K712" s="13" t="s">
        <v>47</v>
      </c>
      <c r="L712" s="13" t="s">
        <v>48</v>
      </c>
      <c r="M712" t="s">
        <v>139</v>
      </c>
      <c r="N712">
        <v>734</v>
      </c>
      <c r="O712" s="14">
        <v>0.107622819952667</v>
      </c>
      <c r="P712" s="14">
        <v>0.43010397930629601</v>
      </c>
      <c r="Q712" t="str">
        <f t="shared" si="22"/>
        <v>15-24</v>
      </c>
      <c r="R712" t="str">
        <f t="shared" si="23"/>
        <v>[vA4NcHxfMBq]|15-24|Male|POP_EST.T_1|CY2023Q3</v>
      </c>
    </row>
    <row r="713" spans="4:18" x14ac:dyDescent="0.2">
      <c r="D713" s="13" t="s">
        <v>119</v>
      </c>
      <c r="E713" s="13" t="s">
        <v>120</v>
      </c>
      <c r="F713" s="13" t="s">
        <v>121</v>
      </c>
      <c r="G713" s="13" t="s">
        <v>137</v>
      </c>
      <c r="H713" s="13" t="s">
        <v>138</v>
      </c>
      <c r="I713" t="s">
        <v>40</v>
      </c>
      <c r="J713" s="13" t="s">
        <v>41</v>
      </c>
      <c r="K713" s="13" t="s">
        <v>47</v>
      </c>
      <c r="L713" s="13" t="s">
        <v>48</v>
      </c>
      <c r="M713" t="s">
        <v>139</v>
      </c>
      <c r="N713">
        <v>1328</v>
      </c>
      <c r="O713" s="14">
        <v>0.91371149127371598</v>
      </c>
      <c r="P713" s="14">
        <v>0.43010397930629601</v>
      </c>
      <c r="Q713" t="str">
        <f t="shared" si="22"/>
        <v>25-34</v>
      </c>
      <c r="R713" t="str">
        <f t="shared" si="23"/>
        <v>[vA4NcHxfMBq]|25-34|Male|POP_EST.T_1|CY2023Q3</v>
      </c>
    </row>
    <row r="714" spans="4:18" x14ac:dyDescent="0.2">
      <c r="D714" s="13" t="s">
        <v>119</v>
      </c>
      <c r="E714" s="13" t="s">
        <v>120</v>
      </c>
      <c r="F714" s="13" t="s">
        <v>121</v>
      </c>
      <c r="G714" s="13" t="s">
        <v>137</v>
      </c>
      <c r="H714" s="13" t="s">
        <v>138</v>
      </c>
      <c r="I714" t="s">
        <v>42</v>
      </c>
      <c r="J714" s="13" t="s">
        <v>43</v>
      </c>
      <c r="K714" s="13" t="s">
        <v>47</v>
      </c>
      <c r="L714" s="13" t="s">
        <v>48</v>
      </c>
      <c r="M714" t="s">
        <v>139</v>
      </c>
      <c r="N714">
        <v>1395</v>
      </c>
      <c r="O714" s="14">
        <v>0.97089203028008297</v>
      </c>
      <c r="P714" s="14">
        <v>0.43010397930629601</v>
      </c>
      <c r="Q714" t="str">
        <f t="shared" si="22"/>
        <v>35-49</v>
      </c>
      <c r="R714" t="str">
        <f t="shared" si="23"/>
        <v>[vA4NcHxfMBq]|35-49|Male|POP_EST.T_1|CY2023Q3</v>
      </c>
    </row>
    <row r="715" spans="4:18" x14ac:dyDescent="0.2">
      <c r="D715" s="13" t="s">
        <v>119</v>
      </c>
      <c r="E715" s="13" t="s">
        <v>120</v>
      </c>
      <c r="F715" s="13" t="s">
        <v>121</v>
      </c>
      <c r="G715" s="13" t="s">
        <v>137</v>
      </c>
      <c r="H715" s="13" t="s">
        <v>138</v>
      </c>
      <c r="I715" t="s">
        <v>44</v>
      </c>
      <c r="J715" s="13" t="s">
        <v>45</v>
      </c>
      <c r="K715" s="13" t="s">
        <v>47</v>
      </c>
      <c r="L715" s="13" t="s">
        <v>48</v>
      </c>
      <c r="M715" t="s">
        <v>139</v>
      </c>
      <c r="N715">
        <v>1270</v>
      </c>
      <c r="O715" s="14">
        <v>0.144074661657214</v>
      </c>
      <c r="P715" s="14">
        <v>0.43010397930629601</v>
      </c>
      <c r="Q715" t="str">
        <f t="shared" si="22"/>
        <v>50+</v>
      </c>
      <c r="R715" t="str">
        <f t="shared" si="23"/>
        <v>[vA4NcHxfMBq]|50+|Male|POP_EST.T_1|CY2023Q3</v>
      </c>
    </row>
    <row r="716" spans="4:18" x14ac:dyDescent="0.2">
      <c r="D716" s="13" t="s">
        <v>122</v>
      </c>
      <c r="E716" s="13" t="s">
        <v>123</v>
      </c>
      <c r="F716" s="13" t="s">
        <v>124</v>
      </c>
      <c r="G716" s="13" t="s">
        <v>137</v>
      </c>
      <c r="H716" s="13" t="s">
        <v>138</v>
      </c>
      <c r="I716" t="s">
        <v>27</v>
      </c>
      <c r="J716" s="13" t="s">
        <v>28</v>
      </c>
      <c r="K716" s="13" t="s">
        <v>29</v>
      </c>
      <c r="L716" s="13" t="s">
        <v>30</v>
      </c>
      <c r="M716" t="s">
        <v>139</v>
      </c>
      <c r="N716">
        <v>1955</v>
      </c>
      <c r="O716" s="14">
        <v>0.90485579730011501</v>
      </c>
      <c r="P716" s="14">
        <v>0.41950060334056599</v>
      </c>
      <c r="Q716" t="str">
        <f t="shared" si="22"/>
        <v>&lt;01</v>
      </c>
      <c r="R716" t="str">
        <f t="shared" si="23"/>
        <v>[E7zpfyBt7Tw]|&lt;01|Female|POP_EST.T_1|CY2023Q3</v>
      </c>
    </row>
    <row r="717" spans="4:18" x14ac:dyDescent="0.2">
      <c r="D717" s="13" t="s">
        <v>122</v>
      </c>
      <c r="E717" s="13" t="s">
        <v>123</v>
      </c>
      <c r="F717" s="13" t="s">
        <v>124</v>
      </c>
      <c r="G717" s="13" t="s">
        <v>137</v>
      </c>
      <c r="H717" s="13" t="s">
        <v>138</v>
      </c>
      <c r="I717" t="s">
        <v>32</v>
      </c>
      <c r="J717" s="13" t="s">
        <v>33</v>
      </c>
      <c r="K717" s="13" t="s">
        <v>29</v>
      </c>
      <c r="L717" s="13" t="s">
        <v>30</v>
      </c>
      <c r="M717" t="s">
        <v>139</v>
      </c>
      <c r="N717">
        <v>945</v>
      </c>
      <c r="O717" s="14">
        <v>0.71949625341221701</v>
      </c>
      <c r="P717" s="14">
        <v>0.41950060334056599</v>
      </c>
      <c r="Q717" t="str">
        <f t="shared" si="22"/>
        <v>01-09</v>
      </c>
      <c r="R717" t="str">
        <f t="shared" si="23"/>
        <v>[E7zpfyBt7Tw]|01-09|Female|POP_EST.T_1|CY2023Q3</v>
      </c>
    </row>
    <row r="718" spans="4:18" x14ac:dyDescent="0.2">
      <c r="D718" s="13" t="s">
        <v>122</v>
      </c>
      <c r="E718" s="13" t="s">
        <v>123</v>
      </c>
      <c r="F718" s="13" t="s">
        <v>124</v>
      </c>
      <c r="G718" s="13" t="s">
        <v>137</v>
      </c>
      <c r="H718" s="13" t="s">
        <v>138</v>
      </c>
      <c r="I718" t="s">
        <v>35</v>
      </c>
      <c r="J718" s="13" t="s">
        <v>36</v>
      </c>
      <c r="K718" s="13" t="s">
        <v>29</v>
      </c>
      <c r="L718" s="13" t="s">
        <v>30</v>
      </c>
      <c r="M718" t="s">
        <v>139</v>
      </c>
      <c r="N718">
        <v>830</v>
      </c>
      <c r="O718" s="14">
        <v>1.92367581184953E-2</v>
      </c>
      <c r="P718" s="14">
        <v>0.41950060334056599</v>
      </c>
      <c r="Q718" t="str">
        <f t="shared" si="22"/>
        <v>10-14</v>
      </c>
      <c r="R718" t="str">
        <f t="shared" si="23"/>
        <v>[E7zpfyBt7Tw]|10-14|Female|POP_EST.T_1|CY2023Q3</v>
      </c>
    </row>
    <row r="719" spans="4:18" x14ac:dyDescent="0.2">
      <c r="D719" s="13" t="s">
        <v>122</v>
      </c>
      <c r="E719" s="13" t="s">
        <v>123</v>
      </c>
      <c r="F719" s="13" t="s">
        <v>124</v>
      </c>
      <c r="G719" s="13" t="s">
        <v>137</v>
      </c>
      <c r="H719" s="13" t="s">
        <v>138</v>
      </c>
      <c r="I719" t="s">
        <v>37</v>
      </c>
      <c r="J719" s="13" t="s">
        <v>38</v>
      </c>
      <c r="K719" s="13" t="s">
        <v>29</v>
      </c>
      <c r="L719" s="13" t="s">
        <v>30</v>
      </c>
      <c r="M719" t="s">
        <v>139</v>
      </c>
      <c r="N719">
        <v>1878</v>
      </c>
      <c r="O719" s="14">
        <v>0.93076125415973399</v>
      </c>
      <c r="P719" s="14">
        <v>0.41950060334056599</v>
      </c>
      <c r="Q719" t="str">
        <f t="shared" si="22"/>
        <v>15-24</v>
      </c>
      <c r="R719" t="str">
        <f t="shared" si="23"/>
        <v>[E7zpfyBt7Tw]|15-24|Female|POP_EST.T_1|CY2023Q3</v>
      </c>
    </row>
    <row r="720" spans="4:18" x14ac:dyDescent="0.2">
      <c r="D720" s="13" t="s">
        <v>122</v>
      </c>
      <c r="E720" s="13" t="s">
        <v>123</v>
      </c>
      <c r="F720" s="13" t="s">
        <v>124</v>
      </c>
      <c r="G720" s="13" t="s">
        <v>137</v>
      </c>
      <c r="H720" s="13" t="s">
        <v>138</v>
      </c>
      <c r="I720" t="s">
        <v>40</v>
      </c>
      <c r="J720" s="13" t="s">
        <v>41</v>
      </c>
      <c r="K720" s="13" t="s">
        <v>29</v>
      </c>
      <c r="L720" s="13" t="s">
        <v>30</v>
      </c>
      <c r="M720" t="s">
        <v>139</v>
      </c>
      <c r="N720">
        <v>795</v>
      </c>
      <c r="O720" s="14">
        <v>0.27790044248104101</v>
      </c>
      <c r="P720" s="14">
        <v>0.41950060334056599</v>
      </c>
      <c r="Q720" t="str">
        <f t="shared" si="22"/>
        <v>25-34</v>
      </c>
      <c r="R720" t="str">
        <f t="shared" si="23"/>
        <v>[E7zpfyBt7Tw]|25-34|Female|POP_EST.T_1|CY2023Q3</v>
      </c>
    </row>
    <row r="721" spans="4:18" x14ac:dyDescent="0.2">
      <c r="D721" s="13" t="s">
        <v>122</v>
      </c>
      <c r="E721" s="13" t="s">
        <v>123</v>
      </c>
      <c r="F721" s="13" t="s">
        <v>124</v>
      </c>
      <c r="G721" s="13" t="s">
        <v>137</v>
      </c>
      <c r="H721" s="13" t="s">
        <v>138</v>
      </c>
      <c r="I721" t="s">
        <v>42</v>
      </c>
      <c r="J721" s="13" t="s">
        <v>43</v>
      </c>
      <c r="K721" s="13" t="s">
        <v>29</v>
      </c>
      <c r="L721" s="13" t="s">
        <v>30</v>
      </c>
      <c r="M721" t="s">
        <v>139</v>
      </c>
      <c r="N721">
        <v>1315</v>
      </c>
      <c r="O721" s="14">
        <v>0.818201618269086</v>
      </c>
      <c r="P721" s="14">
        <v>0.41950060334056599</v>
      </c>
      <c r="Q721" t="str">
        <f t="shared" si="22"/>
        <v>35-49</v>
      </c>
      <c r="R721" t="str">
        <f t="shared" si="23"/>
        <v>[E7zpfyBt7Tw]|35-49|Female|POP_EST.T_1|CY2023Q3</v>
      </c>
    </row>
    <row r="722" spans="4:18" x14ac:dyDescent="0.2">
      <c r="D722" s="13" t="s">
        <v>122</v>
      </c>
      <c r="E722" s="13" t="s">
        <v>123</v>
      </c>
      <c r="F722" s="13" t="s">
        <v>124</v>
      </c>
      <c r="G722" s="13" t="s">
        <v>137</v>
      </c>
      <c r="H722" s="13" t="s">
        <v>138</v>
      </c>
      <c r="I722" t="s">
        <v>44</v>
      </c>
      <c r="J722" s="13" t="s">
        <v>45</v>
      </c>
      <c r="K722" s="13" t="s">
        <v>29</v>
      </c>
      <c r="L722" s="13" t="s">
        <v>30</v>
      </c>
      <c r="M722" t="s">
        <v>139</v>
      </c>
      <c r="N722">
        <v>1406</v>
      </c>
      <c r="O722" s="14">
        <v>0.40499615529552102</v>
      </c>
      <c r="P722" s="14">
        <v>0.41950060334056599</v>
      </c>
      <c r="Q722" t="str">
        <f t="shared" si="22"/>
        <v>50+</v>
      </c>
      <c r="R722" t="str">
        <f t="shared" si="23"/>
        <v>[E7zpfyBt7Tw]|50+|Female|POP_EST.T_1|CY2023Q3</v>
      </c>
    </row>
    <row r="723" spans="4:18" x14ac:dyDescent="0.2">
      <c r="D723" s="13" t="s">
        <v>122</v>
      </c>
      <c r="E723" s="13" t="s">
        <v>123</v>
      </c>
      <c r="F723" s="13" t="s">
        <v>124</v>
      </c>
      <c r="G723" s="13" t="s">
        <v>137</v>
      </c>
      <c r="H723" s="13" t="s">
        <v>138</v>
      </c>
      <c r="I723" t="s">
        <v>27</v>
      </c>
      <c r="J723" s="13" t="s">
        <v>28</v>
      </c>
      <c r="K723" s="13" t="s">
        <v>47</v>
      </c>
      <c r="L723" s="13" t="s">
        <v>48</v>
      </c>
      <c r="M723" t="s">
        <v>139</v>
      </c>
      <c r="N723">
        <v>1695</v>
      </c>
      <c r="O723" s="14">
        <v>1.50414393283427E-3</v>
      </c>
      <c r="P723" s="14">
        <v>0.41950060334056599</v>
      </c>
      <c r="Q723" t="str">
        <f t="shared" si="22"/>
        <v>&lt;01</v>
      </c>
      <c r="R723" t="str">
        <f t="shared" si="23"/>
        <v>[E7zpfyBt7Tw]|&lt;01|Male|POP_EST.T_1|CY2023Q3</v>
      </c>
    </row>
    <row r="724" spans="4:18" x14ac:dyDescent="0.2">
      <c r="D724" s="13" t="s">
        <v>122</v>
      </c>
      <c r="E724" s="13" t="s">
        <v>123</v>
      </c>
      <c r="F724" s="13" t="s">
        <v>124</v>
      </c>
      <c r="G724" s="13" t="s">
        <v>137</v>
      </c>
      <c r="H724" s="13" t="s">
        <v>138</v>
      </c>
      <c r="I724" t="s">
        <v>32</v>
      </c>
      <c r="J724" s="13" t="s">
        <v>33</v>
      </c>
      <c r="K724" s="13" t="s">
        <v>47</v>
      </c>
      <c r="L724" s="13" t="s">
        <v>48</v>
      </c>
      <c r="M724" t="s">
        <v>139</v>
      </c>
      <c r="N724">
        <v>562</v>
      </c>
      <c r="O724" s="14">
        <v>0.65147337596863497</v>
      </c>
      <c r="P724" s="14">
        <v>0.41950060334056599</v>
      </c>
      <c r="Q724" t="str">
        <f t="shared" si="22"/>
        <v>01-09</v>
      </c>
      <c r="R724" t="str">
        <f t="shared" si="23"/>
        <v>[E7zpfyBt7Tw]|01-09|Male|POP_EST.T_1|CY2023Q3</v>
      </c>
    </row>
    <row r="725" spans="4:18" x14ac:dyDescent="0.2">
      <c r="D725" s="13" t="s">
        <v>122</v>
      </c>
      <c r="E725" s="13" t="s">
        <v>123</v>
      </c>
      <c r="F725" s="13" t="s">
        <v>124</v>
      </c>
      <c r="G725" s="13" t="s">
        <v>137</v>
      </c>
      <c r="H725" s="13" t="s">
        <v>138</v>
      </c>
      <c r="I725" t="s">
        <v>35</v>
      </c>
      <c r="J725" s="13" t="s">
        <v>36</v>
      </c>
      <c r="K725" s="13" t="s">
        <v>47</v>
      </c>
      <c r="L725" s="13" t="s">
        <v>48</v>
      </c>
      <c r="M725" t="s">
        <v>139</v>
      </c>
      <c r="N725">
        <v>882</v>
      </c>
      <c r="O725" s="14">
        <v>0.78028193442150995</v>
      </c>
      <c r="P725" s="14">
        <v>0.41950060334056599</v>
      </c>
      <c r="Q725" t="str">
        <f t="shared" si="22"/>
        <v>10-14</v>
      </c>
      <c r="R725" t="str">
        <f t="shared" si="23"/>
        <v>[E7zpfyBt7Tw]|10-14|Male|POP_EST.T_1|CY2023Q3</v>
      </c>
    </row>
    <row r="726" spans="4:18" x14ac:dyDescent="0.2">
      <c r="D726" s="13" t="s">
        <v>122</v>
      </c>
      <c r="E726" s="13" t="s">
        <v>123</v>
      </c>
      <c r="F726" s="13" t="s">
        <v>124</v>
      </c>
      <c r="G726" s="13" t="s">
        <v>137</v>
      </c>
      <c r="H726" s="13" t="s">
        <v>138</v>
      </c>
      <c r="I726" t="s">
        <v>37</v>
      </c>
      <c r="J726" s="13" t="s">
        <v>38</v>
      </c>
      <c r="K726" s="13" t="s">
        <v>47</v>
      </c>
      <c r="L726" s="13" t="s">
        <v>48</v>
      </c>
      <c r="M726" t="s">
        <v>139</v>
      </c>
      <c r="N726">
        <v>1481</v>
      </c>
      <c r="O726" s="14">
        <v>0.20864397287368799</v>
      </c>
      <c r="P726" s="14">
        <v>0.41950060334056599</v>
      </c>
      <c r="Q726" t="str">
        <f t="shared" si="22"/>
        <v>15-24</v>
      </c>
      <c r="R726" t="str">
        <f t="shared" si="23"/>
        <v>[E7zpfyBt7Tw]|15-24|Male|POP_EST.T_1|CY2023Q3</v>
      </c>
    </row>
    <row r="727" spans="4:18" x14ac:dyDescent="0.2">
      <c r="D727" s="13" t="s">
        <v>122</v>
      </c>
      <c r="E727" s="13" t="s">
        <v>123</v>
      </c>
      <c r="F727" s="13" t="s">
        <v>124</v>
      </c>
      <c r="G727" s="13" t="s">
        <v>137</v>
      </c>
      <c r="H727" s="13" t="s">
        <v>138</v>
      </c>
      <c r="I727" t="s">
        <v>40</v>
      </c>
      <c r="J727" s="13" t="s">
        <v>41</v>
      </c>
      <c r="K727" s="13" t="s">
        <v>47</v>
      </c>
      <c r="L727" s="13" t="s">
        <v>48</v>
      </c>
      <c r="M727" t="s">
        <v>139</v>
      </c>
      <c r="N727">
        <v>646</v>
      </c>
      <c r="O727" s="14">
        <v>0.81703617982566401</v>
      </c>
      <c r="P727" s="14">
        <v>0.41950060334056599</v>
      </c>
      <c r="Q727" t="str">
        <f t="shared" si="22"/>
        <v>25-34</v>
      </c>
      <c r="R727" t="str">
        <f t="shared" si="23"/>
        <v>[E7zpfyBt7Tw]|25-34|Male|POP_EST.T_1|CY2023Q3</v>
      </c>
    </row>
    <row r="728" spans="4:18" x14ac:dyDescent="0.2">
      <c r="D728" s="13" t="s">
        <v>122</v>
      </c>
      <c r="E728" s="13" t="s">
        <v>123</v>
      </c>
      <c r="F728" s="13" t="s">
        <v>124</v>
      </c>
      <c r="G728" s="13" t="s">
        <v>137</v>
      </c>
      <c r="H728" s="13" t="s">
        <v>138</v>
      </c>
      <c r="I728" t="s">
        <v>42</v>
      </c>
      <c r="J728" s="13" t="s">
        <v>43</v>
      </c>
      <c r="K728" s="13" t="s">
        <v>47</v>
      </c>
      <c r="L728" s="13" t="s">
        <v>48</v>
      </c>
      <c r="M728" t="s">
        <v>139</v>
      </c>
      <c r="N728">
        <v>1335</v>
      </c>
      <c r="O728" s="14">
        <v>0.35616398905403901</v>
      </c>
      <c r="P728" s="14">
        <v>0.41950060334056599</v>
      </c>
      <c r="Q728" t="str">
        <f t="shared" si="22"/>
        <v>35-49</v>
      </c>
      <c r="R728" t="str">
        <f t="shared" si="23"/>
        <v>[E7zpfyBt7Tw]|35-49|Male|POP_EST.T_1|CY2023Q3</v>
      </c>
    </row>
    <row r="729" spans="4:18" x14ac:dyDescent="0.2">
      <c r="D729" s="13" t="s">
        <v>122</v>
      </c>
      <c r="E729" s="13" t="s">
        <v>123</v>
      </c>
      <c r="F729" s="13" t="s">
        <v>124</v>
      </c>
      <c r="G729" s="13" t="s">
        <v>137</v>
      </c>
      <c r="H729" s="13" t="s">
        <v>138</v>
      </c>
      <c r="I729" t="s">
        <v>44</v>
      </c>
      <c r="J729" s="13" t="s">
        <v>45</v>
      </c>
      <c r="K729" s="13" t="s">
        <v>47</v>
      </c>
      <c r="L729" s="13" t="s">
        <v>48</v>
      </c>
      <c r="M729" t="s">
        <v>139</v>
      </c>
      <c r="N729">
        <v>1684</v>
      </c>
      <c r="O729" s="14">
        <v>0.39039986627176398</v>
      </c>
      <c r="P729" s="14">
        <v>0.41950060334056599</v>
      </c>
      <c r="Q729" t="str">
        <f t="shared" si="22"/>
        <v>50+</v>
      </c>
      <c r="R729" t="str">
        <f t="shared" si="23"/>
        <v>[E7zpfyBt7Tw]|50+|Male|POP_EST.T_1|CY2023Q3</v>
      </c>
    </row>
    <row r="730" spans="4:18" x14ac:dyDescent="0.2">
      <c r="D730" s="13" t="s">
        <v>125</v>
      </c>
      <c r="E730" s="13" t="s">
        <v>126</v>
      </c>
      <c r="F730" s="13" t="s">
        <v>127</v>
      </c>
      <c r="G730" s="13" t="s">
        <v>137</v>
      </c>
      <c r="H730" s="13" t="s">
        <v>138</v>
      </c>
      <c r="I730" t="s">
        <v>27</v>
      </c>
      <c r="J730" s="13" t="s">
        <v>28</v>
      </c>
      <c r="K730" s="13" t="s">
        <v>29</v>
      </c>
      <c r="L730" s="13" t="s">
        <v>30</v>
      </c>
      <c r="M730" t="s">
        <v>139</v>
      </c>
      <c r="N730">
        <v>916</v>
      </c>
      <c r="O730" s="14">
        <v>0.78682091389782705</v>
      </c>
      <c r="P730" s="14">
        <v>0.25270639033988102</v>
      </c>
      <c r="Q730" t="str">
        <f t="shared" si="22"/>
        <v>&lt;01</v>
      </c>
      <c r="R730" t="str">
        <f t="shared" si="23"/>
        <v>[ZCjuwgaMB9u]|&lt;01|Female|POP_EST.T_1|CY2023Q3</v>
      </c>
    </row>
    <row r="731" spans="4:18" x14ac:dyDescent="0.2">
      <c r="D731" s="13" t="s">
        <v>125</v>
      </c>
      <c r="E731" s="13" t="s">
        <v>126</v>
      </c>
      <c r="F731" s="13" t="s">
        <v>127</v>
      </c>
      <c r="G731" s="13" t="s">
        <v>137</v>
      </c>
      <c r="H731" s="13" t="s">
        <v>138</v>
      </c>
      <c r="I731" t="s">
        <v>32</v>
      </c>
      <c r="J731" s="13" t="s">
        <v>33</v>
      </c>
      <c r="K731" s="13" t="s">
        <v>29</v>
      </c>
      <c r="L731" s="13" t="s">
        <v>30</v>
      </c>
      <c r="M731" t="s">
        <v>139</v>
      </c>
      <c r="N731">
        <v>1677</v>
      </c>
      <c r="O731" s="14">
        <v>6.1531976331025397E-2</v>
      </c>
      <c r="P731" s="14">
        <v>0.25270639033988102</v>
      </c>
      <c r="Q731" t="str">
        <f t="shared" si="22"/>
        <v>01-09</v>
      </c>
      <c r="R731" t="str">
        <f t="shared" si="23"/>
        <v>[ZCjuwgaMB9u]|01-09|Female|POP_EST.T_1|CY2023Q3</v>
      </c>
    </row>
    <row r="732" spans="4:18" x14ac:dyDescent="0.2">
      <c r="D732" s="13" t="s">
        <v>125</v>
      </c>
      <c r="E732" s="13" t="s">
        <v>126</v>
      </c>
      <c r="F732" s="13" t="s">
        <v>127</v>
      </c>
      <c r="G732" s="13" t="s">
        <v>137</v>
      </c>
      <c r="H732" s="13" t="s">
        <v>138</v>
      </c>
      <c r="I732" t="s">
        <v>35</v>
      </c>
      <c r="J732" s="13" t="s">
        <v>36</v>
      </c>
      <c r="K732" s="13" t="s">
        <v>29</v>
      </c>
      <c r="L732" s="13" t="s">
        <v>30</v>
      </c>
      <c r="M732" t="s">
        <v>139</v>
      </c>
      <c r="N732">
        <v>1619</v>
      </c>
      <c r="O732" s="14">
        <v>0.443036761833355</v>
      </c>
      <c r="P732" s="14">
        <v>0.25270639033988102</v>
      </c>
      <c r="Q732" t="str">
        <f t="shared" si="22"/>
        <v>10-14</v>
      </c>
      <c r="R732" t="str">
        <f t="shared" si="23"/>
        <v>[ZCjuwgaMB9u]|10-14|Female|POP_EST.T_1|CY2023Q3</v>
      </c>
    </row>
    <row r="733" spans="4:18" x14ac:dyDescent="0.2">
      <c r="D733" s="13" t="s">
        <v>125</v>
      </c>
      <c r="E733" s="13" t="s">
        <v>126</v>
      </c>
      <c r="F733" s="13" t="s">
        <v>127</v>
      </c>
      <c r="G733" s="13" t="s">
        <v>137</v>
      </c>
      <c r="H733" s="13" t="s">
        <v>138</v>
      </c>
      <c r="I733" t="s">
        <v>37</v>
      </c>
      <c r="J733" s="13" t="s">
        <v>38</v>
      </c>
      <c r="K733" s="13" t="s">
        <v>29</v>
      </c>
      <c r="L733" s="13" t="s">
        <v>30</v>
      </c>
      <c r="M733" t="s">
        <v>139</v>
      </c>
      <c r="N733">
        <v>1154</v>
      </c>
      <c r="O733" s="14">
        <v>0.65692167659290102</v>
      </c>
      <c r="P733" s="14">
        <v>0.25270639033988102</v>
      </c>
      <c r="Q733" t="str">
        <f t="shared" si="22"/>
        <v>15-24</v>
      </c>
      <c r="R733" t="str">
        <f t="shared" si="23"/>
        <v>[ZCjuwgaMB9u]|15-24|Female|POP_EST.T_1|CY2023Q3</v>
      </c>
    </row>
    <row r="734" spans="4:18" x14ac:dyDescent="0.2">
      <c r="D734" s="13" t="s">
        <v>125</v>
      </c>
      <c r="E734" s="13" t="s">
        <v>126</v>
      </c>
      <c r="F734" s="13" t="s">
        <v>127</v>
      </c>
      <c r="G734" s="13" t="s">
        <v>137</v>
      </c>
      <c r="H734" s="13" t="s">
        <v>138</v>
      </c>
      <c r="I734" t="s">
        <v>40</v>
      </c>
      <c r="J734" s="13" t="s">
        <v>41</v>
      </c>
      <c r="K734" s="13" t="s">
        <v>29</v>
      </c>
      <c r="L734" s="13" t="s">
        <v>30</v>
      </c>
      <c r="M734" t="s">
        <v>139</v>
      </c>
      <c r="N734">
        <v>865</v>
      </c>
      <c r="O734" s="14">
        <v>0.48352974606677901</v>
      </c>
      <c r="P734" s="14">
        <v>0.25270639033988102</v>
      </c>
      <c r="Q734" t="str">
        <f t="shared" si="22"/>
        <v>25-34</v>
      </c>
      <c r="R734" t="str">
        <f t="shared" si="23"/>
        <v>[ZCjuwgaMB9u]|25-34|Female|POP_EST.T_1|CY2023Q3</v>
      </c>
    </row>
    <row r="735" spans="4:18" x14ac:dyDescent="0.2">
      <c r="D735" s="13" t="s">
        <v>125</v>
      </c>
      <c r="E735" s="13" t="s">
        <v>126</v>
      </c>
      <c r="F735" s="13" t="s">
        <v>127</v>
      </c>
      <c r="G735" s="13" t="s">
        <v>137</v>
      </c>
      <c r="H735" s="13" t="s">
        <v>138</v>
      </c>
      <c r="I735" t="s">
        <v>42</v>
      </c>
      <c r="J735" s="13" t="s">
        <v>43</v>
      </c>
      <c r="K735" s="13" t="s">
        <v>29</v>
      </c>
      <c r="L735" s="13" t="s">
        <v>30</v>
      </c>
      <c r="M735" t="s">
        <v>139</v>
      </c>
      <c r="N735">
        <v>1334</v>
      </c>
      <c r="O735" s="14">
        <v>0.94018283067271102</v>
      </c>
      <c r="P735" s="14">
        <v>0.25270639033988102</v>
      </c>
      <c r="Q735" t="str">
        <f t="shared" si="22"/>
        <v>35-49</v>
      </c>
      <c r="R735" t="str">
        <f t="shared" si="23"/>
        <v>[ZCjuwgaMB9u]|35-49|Female|POP_EST.T_1|CY2023Q3</v>
      </c>
    </row>
    <row r="736" spans="4:18" x14ac:dyDescent="0.2">
      <c r="D736" s="13" t="s">
        <v>125</v>
      </c>
      <c r="E736" s="13" t="s">
        <v>126</v>
      </c>
      <c r="F736" s="13" t="s">
        <v>127</v>
      </c>
      <c r="G736" s="13" t="s">
        <v>137</v>
      </c>
      <c r="H736" s="13" t="s">
        <v>138</v>
      </c>
      <c r="I736" t="s">
        <v>44</v>
      </c>
      <c r="J736" s="13" t="s">
        <v>45</v>
      </c>
      <c r="K736" s="13" t="s">
        <v>29</v>
      </c>
      <c r="L736" s="13" t="s">
        <v>30</v>
      </c>
      <c r="M736" t="s">
        <v>139</v>
      </c>
      <c r="N736">
        <v>1495</v>
      </c>
      <c r="O736" s="14">
        <v>0.61953800288029004</v>
      </c>
      <c r="P736" s="14">
        <v>0.25270639033988102</v>
      </c>
      <c r="Q736" t="str">
        <f t="shared" si="22"/>
        <v>50+</v>
      </c>
      <c r="R736" t="str">
        <f t="shared" si="23"/>
        <v>[ZCjuwgaMB9u]|50+|Female|POP_EST.T_1|CY2023Q3</v>
      </c>
    </row>
    <row r="737" spans="4:18" x14ac:dyDescent="0.2">
      <c r="D737" s="13" t="s">
        <v>125</v>
      </c>
      <c r="E737" s="13" t="s">
        <v>126</v>
      </c>
      <c r="F737" s="13" t="s">
        <v>127</v>
      </c>
      <c r="G737" s="13" t="s">
        <v>137</v>
      </c>
      <c r="H737" s="13" t="s">
        <v>138</v>
      </c>
      <c r="I737" t="s">
        <v>27</v>
      </c>
      <c r="J737" s="13" t="s">
        <v>28</v>
      </c>
      <c r="K737" s="13" t="s">
        <v>47</v>
      </c>
      <c r="L737" s="13" t="s">
        <v>48</v>
      </c>
      <c r="M737" t="s">
        <v>139</v>
      </c>
      <c r="N737">
        <v>1984</v>
      </c>
      <c r="O737" s="14">
        <v>0.36315293982625002</v>
      </c>
      <c r="P737" s="14">
        <v>0.25270639033988102</v>
      </c>
      <c r="Q737" t="str">
        <f t="shared" si="22"/>
        <v>&lt;01</v>
      </c>
      <c r="R737" t="str">
        <f t="shared" si="23"/>
        <v>[ZCjuwgaMB9u]|&lt;01|Male|POP_EST.T_1|CY2023Q3</v>
      </c>
    </row>
    <row r="738" spans="4:18" x14ac:dyDescent="0.2">
      <c r="D738" s="13" t="s">
        <v>125</v>
      </c>
      <c r="E738" s="13" t="s">
        <v>126</v>
      </c>
      <c r="F738" s="13" t="s">
        <v>127</v>
      </c>
      <c r="G738" s="13" t="s">
        <v>137</v>
      </c>
      <c r="H738" s="13" t="s">
        <v>138</v>
      </c>
      <c r="I738" t="s">
        <v>32</v>
      </c>
      <c r="J738" s="13" t="s">
        <v>33</v>
      </c>
      <c r="K738" s="13" t="s">
        <v>47</v>
      </c>
      <c r="L738" s="13" t="s">
        <v>48</v>
      </c>
      <c r="M738" t="s">
        <v>139</v>
      </c>
      <c r="N738">
        <v>1514</v>
      </c>
      <c r="O738" s="14">
        <v>0.80393094010651101</v>
      </c>
      <c r="P738" s="14">
        <v>0.25270639033988102</v>
      </c>
      <c r="Q738" t="str">
        <f t="shared" si="22"/>
        <v>01-09</v>
      </c>
      <c r="R738" t="str">
        <f t="shared" si="23"/>
        <v>[ZCjuwgaMB9u]|01-09|Male|POP_EST.T_1|CY2023Q3</v>
      </c>
    </row>
    <row r="739" spans="4:18" x14ac:dyDescent="0.2">
      <c r="D739" s="13" t="s">
        <v>125</v>
      </c>
      <c r="E739" s="13" t="s">
        <v>126</v>
      </c>
      <c r="F739" s="13" t="s">
        <v>127</v>
      </c>
      <c r="G739" s="13" t="s">
        <v>137</v>
      </c>
      <c r="H739" s="13" t="s">
        <v>138</v>
      </c>
      <c r="I739" t="s">
        <v>35</v>
      </c>
      <c r="J739" s="13" t="s">
        <v>36</v>
      </c>
      <c r="K739" s="13" t="s">
        <v>47</v>
      </c>
      <c r="L739" s="13" t="s">
        <v>48</v>
      </c>
      <c r="M739" t="s">
        <v>139</v>
      </c>
      <c r="N739">
        <v>1919</v>
      </c>
      <c r="O739" s="14">
        <v>0.84465316147543501</v>
      </c>
      <c r="P739" s="14">
        <v>0.25270639033988102</v>
      </c>
      <c r="Q739" t="str">
        <f t="shared" si="22"/>
        <v>10-14</v>
      </c>
      <c r="R739" t="str">
        <f t="shared" si="23"/>
        <v>[ZCjuwgaMB9u]|10-14|Male|POP_EST.T_1|CY2023Q3</v>
      </c>
    </row>
    <row r="740" spans="4:18" x14ac:dyDescent="0.2">
      <c r="D740" s="13" t="s">
        <v>125</v>
      </c>
      <c r="E740" s="13" t="s">
        <v>126</v>
      </c>
      <c r="F740" s="13" t="s">
        <v>127</v>
      </c>
      <c r="G740" s="13" t="s">
        <v>137</v>
      </c>
      <c r="H740" s="13" t="s">
        <v>138</v>
      </c>
      <c r="I740" t="s">
        <v>37</v>
      </c>
      <c r="J740" s="13" t="s">
        <v>38</v>
      </c>
      <c r="K740" s="13" t="s">
        <v>47</v>
      </c>
      <c r="L740" s="13" t="s">
        <v>48</v>
      </c>
      <c r="M740" t="s">
        <v>139</v>
      </c>
      <c r="N740">
        <v>1645</v>
      </c>
      <c r="O740" s="14">
        <v>0.82364788698032498</v>
      </c>
      <c r="P740" s="14">
        <v>0.25270639033988102</v>
      </c>
      <c r="Q740" t="str">
        <f t="shared" si="22"/>
        <v>15-24</v>
      </c>
      <c r="R740" t="str">
        <f t="shared" si="23"/>
        <v>[ZCjuwgaMB9u]|15-24|Male|POP_EST.T_1|CY2023Q3</v>
      </c>
    </row>
    <row r="741" spans="4:18" x14ac:dyDescent="0.2">
      <c r="D741" s="13" t="s">
        <v>125</v>
      </c>
      <c r="E741" s="13" t="s">
        <v>126</v>
      </c>
      <c r="F741" s="13" t="s">
        <v>127</v>
      </c>
      <c r="G741" s="13" t="s">
        <v>137</v>
      </c>
      <c r="H741" s="13" t="s">
        <v>138</v>
      </c>
      <c r="I741" t="s">
        <v>40</v>
      </c>
      <c r="J741" s="13" t="s">
        <v>41</v>
      </c>
      <c r="K741" s="13" t="s">
        <v>47</v>
      </c>
      <c r="L741" s="13" t="s">
        <v>48</v>
      </c>
      <c r="M741" t="s">
        <v>139</v>
      </c>
      <c r="N741">
        <v>506</v>
      </c>
      <c r="O741" s="14">
        <v>0.86141870729625203</v>
      </c>
      <c r="P741" s="14">
        <v>0.25270639033988102</v>
      </c>
      <c r="Q741" t="str">
        <f t="shared" si="22"/>
        <v>25-34</v>
      </c>
      <c r="R741" t="str">
        <f t="shared" si="23"/>
        <v>[ZCjuwgaMB9u]|25-34|Male|POP_EST.T_1|CY2023Q3</v>
      </c>
    </row>
    <row r="742" spans="4:18" x14ac:dyDescent="0.2">
      <c r="D742" s="13" t="s">
        <v>125</v>
      </c>
      <c r="E742" s="13" t="s">
        <v>126</v>
      </c>
      <c r="F742" s="13" t="s">
        <v>127</v>
      </c>
      <c r="G742" s="13" t="s">
        <v>137</v>
      </c>
      <c r="H742" s="13" t="s">
        <v>138</v>
      </c>
      <c r="I742" t="s">
        <v>42</v>
      </c>
      <c r="J742" s="13" t="s">
        <v>43</v>
      </c>
      <c r="K742" s="13" t="s">
        <v>47</v>
      </c>
      <c r="L742" s="13" t="s">
        <v>48</v>
      </c>
      <c r="M742" t="s">
        <v>139</v>
      </c>
      <c r="N742">
        <v>1305</v>
      </c>
      <c r="O742" s="14">
        <v>0.394031305564567</v>
      </c>
      <c r="P742" s="14">
        <v>0.25270639033988102</v>
      </c>
      <c r="Q742" t="str">
        <f t="shared" si="22"/>
        <v>35-49</v>
      </c>
      <c r="R742" t="str">
        <f t="shared" si="23"/>
        <v>[ZCjuwgaMB9u]|35-49|Male|POP_EST.T_1|CY2023Q3</v>
      </c>
    </row>
    <row r="743" spans="4:18" x14ac:dyDescent="0.2">
      <c r="D743" s="13" t="s">
        <v>125</v>
      </c>
      <c r="E743" s="13" t="s">
        <v>126</v>
      </c>
      <c r="F743" s="13" t="s">
        <v>127</v>
      </c>
      <c r="G743" s="13" t="s">
        <v>137</v>
      </c>
      <c r="H743" s="13" t="s">
        <v>138</v>
      </c>
      <c r="I743" t="s">
        <v>44</v>
      </c>
      <c r="J743" s="13" t="s">
        <v>45</v>
      </c>
      <c r="K743" s="13" t="s">
        <v>47</v>
      </c>
      <c r="L743" s="13" t="s">
        <v>48</v>
      </c>
      <c r="M743" t="s">
        <v>139</v>
      </c>
      <c r="N743">
        <v>534</v>
      </c>
      <c r="O743" s="14">
        <v>8.4137037163600298E-2</v>
      </c>
      <c r="P743" s="14">
        <v>0.25270639033988102</v>
      </c>
      <c r="Q743" t="str">
        <f t="shared" si="22"/>
        <v>50+</v>
      </c>
      <c r="R743" t="str">
        <f t="shared" si="23"/>
        <v>[ZCjuwgaMB9u]|50+|Male|POP_EST.T_1|CY2023Q3</v>
      </c>
    </row>
    <row r="744" spans="4:18" x14ac:dyDescent="0.2">
      <c r="D744" s="13" t="s">
        <v>128</v>
      </c>
      <c r="E744" s="13" t="s">
        <v>129</v>
      </c>
      <c r="F744" s="13" t="s">
        <v>130</v>
      </c>
      <c r="G744" s="13" t="s">
        <v>137</v>
      </c>
      <c r="H744" s="13" t="s">
        <v>138</v>
      </c>
      <c r="I744" t="s">
        <v>27</v>
      </c>
      <c r="J744" s="13" t="s">
        <v>28</v>
      </c>
      <c r="K744" s="13" t="s">
        <v>29</v>
      </c>
      <c r="L744" s="13" t="s">
        <v>30</v>
      </c>
      <c r="M744" t="s">
        <v>139</v>
      </c>
      <c r="N744">
        <v>1375</v>
      </c>
      <c r="O744" s="14">
        <v>0.47089061490260098</v>
      </c>
      <c r="P744" s="14">
        <v>0.55690808477811504</v>
      </c>
      <c r="Q744" t="str">
        <f t="shared" si="22"/>
        <v>&lt;01</v>
      </c>
      <c r="R744" t="str">
        <f t="shared" si="23"/>
        <v>[YCKiBAp8QAg]|&lt;01|Female|POP_EST.T_1|CY2023Q3</v>
      </c>
    </row>
    <row r="745" spans="4:18" x14ac:dyDescent="0.2">
      <c r="D745" s="13" t="s">
        <v>128</v>
      </c>
      <c r="E745" s="13" t="s">
        <v>129</v>
      </c>
      <c r="F745" s="13" t="s">
        <v>130</v>
      </c>
      <c r="G745" s="13" t="s">
        <v>137</v>
      </c>
      <c r="H745" s="13" t="s">
        <v>138</v>
      </c>
      <c r="I745" t="s">
        <v>32</v>
      </c>
      <c r="J745" s="13" t="s">
        <v>33</v>
      </c>
      <c r="K745" s="13" t="s">
        <v>29</v>
      </c>
      <c r="L745" s="13" t="s">
        <v>30</v>
      </c>
      <c r="M745" t="s">
        <v>139</v>
      </c>
      <c r="N745">
        <v>578</v>
      </c>
      <c r="O745" s="14">
        <v>0.35568862129002798</v>
      </c>
      <c r="P745" s="14">
        <v>0.55690808477811504</v>
      </c>
      <c r="Q745" t="str">
        <f t="shared" si="22"/>
        <v>01-09</v>
      </c>
      <c r="R745" t="str">
        <f t="shared" si="23"/>
        <v>[YCKiBAp8QAg]|01-09|Female|POP_EST.T_1|CY2023Q3</v>
      </c>
    </row>
    <row r="746" spans="4:18" x14ac:dyDescent="0.2">
      <c r="D746" s="13" t="s">
        <v>128</v>
      </c>
      <c r="E746" s="13" t="s">
        <v>129</v>
      </c>
      <c r="F746" s="13" t="s">
        <v>130</v>
      </c>
      <c r="G746" s="13" t="s">
        <v>137</v>
      </c>
      <c r="H746" s="13" t="s">
        <v>138</v>
      </c>
      <c r="I746" t="s">
        <v>35</v>
      </c>
      <c r="J746" s="13" t="s">
        <v>36</v>
      </c>
      <c r="K746" s="13" t="s">
        <v>29</v>
      </c>
      <c r="L746" s="13" t="s">
        <v>30</v>
      </c>
      <c r="M746" t="s">
        <v>139</v>
      </c>
      <c r="N746">
        <v>1523</v>
      </c>
      <c r="O746" s="14">
        <v>0.633875319268554</v>
      </c>
      <c r="P746" s="14">
        <v>0.55690808477811504</v>
      </c>
      <c r="Q746" t="str">
        <f t="shared" si="22"/>
        <v>10-14</v>
      </c>
      <c r="R746" t="str">
        <f t="shared" si="23"/>
        <v>[YCKiBAp8QAg]|10-14|Female|POP_EST.T_1|CY2023Q3</v>
      </c>
    </row>
    <row r="747" spans="4:18" x14ac:dyDescent="0.2">
      <c r="D747" s="13" t="s">
        <v>128</v>
      </c>
      <c r="E747" s="13" t="s">
        <v>129</v>
      </c>
      <c r="F747" s="13" t="s">
        <v>130</v>
      </c>
      <c r="G747" s="13" t="s">
        <v>137</v>
      </c>
      <c r="H747" s="13" t="s">
        <v>138</v>
      </c>
      <c r="I747" t="s">
        <v>37</v>
      </c>
      <c r="J747" s="13" t="s">
        <v>38</v>
      </c>
      <c r="K747" s="13" t="s">
        <v>29</v>
      </c>
      <c r="L747" s="13" t="s">
        <v>30</v>
      </c>
      <c r="M747" t="s">
        <v>139</v>
      </c>
      <c r="N747">
        <v>1599</v>
      </c>
      <c r="O747" s="14">
        <v>0.95203883899375796</v>
      </c>
      <c r="P747" s="14">
        <v>0.55690808477811504</v>
      </c>
      <c r="Q747" t="str">
        <f t="shared" si="22"/>
        <v>15-24</v>
      </c>
      <c r="R747" t="str">
        <f t="shared" si="23"/>
        <v>[YCKiBAp8QAg]|15-24|Female|POP_EST.T_1|CY2023Q3</v>
      </c>
    </row>
    <row r="748" spans="4:18" x14ac:dyDescent="0.2">
      <c r="D748" s="13" t="s">
        <v>128</v>
      </c>
      <c r="E748" s="13" t="s">
        <v>129</v>
      </c>
      <c r="F748" s="13" t="s">
        <v>130</v>
      </c>
      <c r="G748" s="13" t="s">
        <v>137</v>
      </c>
      <c r="H748" s="13" t="s">
        <v>138</v>
      </c>
      <c r="I748" t="s">
        <v>40</v>
      </c>
      <c r="J748" s="13" t="s">
        <v>41</v>
      </c>
      <c r="K748" s="13" t="s">
        <v>29</v>
      </c>
      <c r="L748" s="13" t="s">
        <v>30</v>
      </c>
      <c r="M748" t="s">
        <v>139</v>
      </c>
      <c r="N748">
        <v>1237</v>
      </c>
      <c r="O748" s="14">
        <v>6.3858152134343996E-2</v>
      </c>
      <c r="P748" s="14">
        <v>0.55690808477811504</v>
      </c>
      <c r="Q748" t="str">
        <f t="shared" si="22"/>
        <v>25-34</v>
      </c>
      <c r="R748" t="str">
        <f t="shared" si="23"/>
        <v>[YCKiBAp8QAg]|25-34|Female|POP_EST.T_1|CY2023Q3</v>
      </c>
    </row>
    <row r="749" spans="4:18" x14ac:dyDescent="0.2">
      <c r="D749" s="13" t="s">
        <v>128</v>
      </c>
      <c r="E749" s="13" t="s">
        <v>129</v>
      </c>
      <c r="F749" s="13" t="s">
        <v>130</v>
      </c>
      <c r="G749" s="13" t="s">
        <v>137</v>
      </c>
      <c r="H749" s="13" t="s">
        <v>138</v>
      </c>
      <c r="I749" t="s">
        <v>42</v>
      </c>
      <c r="J749" s="13" t="s">
        <v>43</v>
      </c>
      <c r="K749" s="13" t="s">
        <v>29</v>
      </c>
      <c r="L749" s="13" t="s">
        <v>30</v>
      </c>
      <c r="M749" t="s">
        <v>139</v>
      </c>
      <c r="N749">
        <v>1440</v>
      </c>
      <c r="O749" s="14">
        <v>0.374836141243577</v>
      </c>
      <c r="P749" s="14">
        <v>0.55690808477811504</v>
      </c>
      <c r="Q749" t="str">
        <f t="shared" si="22"/>
        <v>35-49</v>
      </c>
      <c r="R749" t="str">
        <f t="shared" si="23"/>
        <v>[YCKiBAp8QAg]|35-49|Female|POP_EST.T_1|CY2023Q3</v>
      </c>
    </row>
    <row r="750" spans="4:18" x14ac:dyDescent="0.2">
      <c r="D750" s="13" t="s">
        <v>128</v>
      </c>
      <c r="E750" s="13" t="s">
        <v>129</v>
      </c>
      <c r="F750" s="13" t="s">
        <v>130</v>
      </c>
      <c r="G750" s="13" t="s">
        <v>137</v>
      </c>
      <c r="H750" s="13" t="s">
        <v>138</v>
      </c>
      <c r="I750" t="s">
        <v>44</v>
      </c>
      <c r="J750" s="13" t="s">
        <v>45</v>
      </c>
      <c r="K750" s="13" t="s">
        <v>29</v>
      </c>
      <c r="L750" s="13" t="s">
        <v>30</v>
      </c>
      <c r="M750" t="s">
        <v>139</v>
      </c>
      <c r="N750">
        <v>728</v>
      </c>
      <c r="O750" s="14">
        <v>0.188552761683241</v>
      </c>
      <c r="P750" s="14">
        <v>0.55690808477811504</v>
      </c>
      <c r="Q750" t="str">
        <f t="shared" si="22"/>
        <v>50+</v>
      </c>
      <c r="R750" t="str">
        <f t="shared" si="23"/>
        <v>[YCKiBAp8QAg]|50+|Female|POP_EST.T_1|CY2023Q3</v>
      </c>
    </row>
    <row r="751" spans="4:18" x14ac:dyDescent="0.2">
      <c r="D751" s="13" t="s">
        <v>128</v>
      </c>
      <c r="E751" s="13" t="s">
        <v>129</v>
      </c>
      <c r="F751" s="13" t="s">
        <v>130</v>
      </c>
      <c r="G751" s="13" t="s">
        <v>137</v>
      </c>
      <c r="H751" s="13" t="s">
        <v>138</v>
      </c>
      <c r="I751" t="s">
        <v>27</v>
      </c>
      <c r="J751" s="13" t="s">
        <v>28</v>
      </c>
      <c r="K751" s="13" t="s">
        <v>47</v>
      </c>
      <c r="L751" s="13" t="s">
        <v>48</v>
      </c>
      <c r="M751" t="s">
        <v>139</v>
      </c>
      <c r="N751">
        <v>1519</v>
      </c>
      <c r="O751" s="14">
        <v>0.63198690023273196</v>
      </c>
      <c r="P751" s="14">
        <v>0.55690808477811504</v>
      </c>
      <c r="Q751" t="str">
        <f t="shared" si="22"/>
        <v>&lt;01</v>
      </c>
      <c r="R751" t="str">
        <f t="shared" si="23"/>
        <v>[YCKiBAp8QAg]|&lt;01|Male|POP_EST.T_1|CY2023Q3</v>
      </c>
    </row>
    <row r="752" spans="4:18" x14ac:dyDescent="0.2">
      <c r="D752" s="13" t="s">
        <v>128</v>
      </c>
      <c r="E752" s="13" t="s">
        <v>129</v>
      </c>
      <c r="F752" s="13" t="s">
        <v>130</v>
      </c>
      <c r="G752" s="13" t="s">
        <v>137</v>
      </c>
      <c r="H752" s="13" t="s">
        <v>138</v>
      </c>
      <c r="I752" t="s">
        <v>32</v>
      </c>
      <c r="J752" s="13" t="s">
        <v>33</v>
      </c>
      <c r="K752" s="13" t="s">
        <v>47</v>
      </c>
      <c r="L752" s="13" t="s">
        <v>48</v>
      </c>
      <c r="M752" t="s">
        <v>139</v>
      </c>
      <c r="N752">
        <v>690</v>
      </c>
      <c r="O752" s="14">
        <v>0.61289675068110205</v>
      </c>
      <c r="P752" s="14">
        <v>0.55690808477811504</v>
      </c>
      <c r="Q752" t="str">
        <f t="shared" si="22"/>
        <v>01-09</v>
      </c>
      <c r="R752" t="str">
        <f t="shared" si="23"/>
        <v>[YCKiBAp8QAg]|01-09|Male|POP_EST.T_1|CY2023Q3</v>
      </c>
    </row>
    <row r="753" spans="4:18" x14ac:dyDescent="0.2">
      <c r="D753" s="13" t="s">
        <v>128</v>
      </c>
      <c r="E753" s="13" t="s">
        <v>129</v>
      </c>
      <c r="F753" s="13" t="s">
        <v>130</v>
      </c>
      <c r="G753" s="13" t="s">
        <v>137</v>
      </c>
      <c r="H753" s="13" t="s">
        <v>138</v>
      </c>
      <c r="I753" t="s">
        <v>35</v>
      </c>
      <c r="J753" s="13" t="s">
        <v>36</v>
      </c>
      <c r="K753" s="13" t="s">
        <v>47</v>
      </c>
      <c r="L753" s="13" t="s">
        <v>48</v>
      </c>
      <c r="M753" t="s">
        <v>139</v>
      </c>
      <c r="N753">
        <v>1994</v>
      </c>
      <c r="O753" s="14">
        <v>0.64064373890869297</v>
      </c>
      <c r="P753" s="14">
        <v>0.55690808477811504</v>
      </c>
      <c r="Q753" t="str">
        <f t="shared" si="22"/>
        <v>10-14</v>
      </c>
      <c r="R753" t="str">
        <f t="shared" si="23"/>
        <v>[YCKiBAp8QAg]|10-14|Male|POP_EST.T_1|CY2023Q3</v>
      </c>
    </row>
    <row r="754" spans="4:18" x14ac:dyDescent="0.2">
      <c r="D754" s="13" t="s">
        <v>128</v>
      </c>
      <c r="E754" s="13" t="s">
        <v>129</v>
      </c>
      <c r="F754" s="13" t="s">
        <v>130</v>
      </c>
      <c r="G754" s="13" t="s">
        <v>137</v>
      </c>
      <c r="H754" s="13" t="s">
        <v>138</v>
      </c>
      <c r="I754" t="s">
        <v>37</v>
      </c>
      <c r="J754" s="13" t="s">
        <v>38</v>
      </c>
      <c r="K754" s="13" t="s">
        <v>47</v>
      </c>
      <c r="L754" s="13" t="s">
        <v>48</v>
      </c>
      <c r="M754" t="s">
        <v>139</v>
      </c>
      <c r="N754">
        <v>1953</v>
      </c>
      <c r="O754" s="14">
        <v>0.35550426528789097</v>
      </c>
      <c r="P754" s="14">
        <v>0.55690808477811504</v>
      </c>
      <c r="Q754" t="str">
        <f t="shared" si="22"/>
        <v>15-24</v>
      </c>
      <c r="R754" t="str">
        <f t="shared" si="23"/>
        <v>[YCKiBAp8QAg]|15-24|Male|POP_EST.T_1|CY2023Q3</v>
      </c>
    </row>
    <row r="755" spans="4:18" x14ac:dyDescent="0.2">
      <c r="D755" s="13" t="s">
        <v>128</v>
      </c>
      <c r="E755" s="13" t="s">
        <v>129</v>
      </c>
      <c r="F755" s="13" t="s">
        <v>130</v>
      </c>
      <c r="G755" s="13" t="s">
        <v>137</v>
      </c>
      <c r="H755" s="13" t="s">
        <v>138</v>
      </c>
      <c r="I755" t="s">
        <v>40</v>
      </c>
      <c r="J755" s="13" t="s">
        <v>41</v>
      </c>
      <c r="K755" s="13" t="s">
        <v>47</v>
      </c>
      <c r="L755" s="13" t="s">
        <v>48</v>
      </c>
      <c r="M755" t="s">
        <v>139</v>
      </c>
      <c r="N755">
        <v>1777</v>
      </c>
      <c r="O755" s="14">
        <v>2.57281290832907E-2</v>
      </c>
      <c r="P755" s="14">
        <v>0.55690808477811504</v>
      </c>
      <c r="Q755" t="str">
        <f t="shared" si="22"/>
        <v>25-34</v>
      </c>
      <c r="R755" t="str">
        <f t="shared" si="23"/>
        <v>[YCKiBAp8QAg]|25-34|Male|POP_EST.T_1|CY2023Q3</v>
      </c>
    </row>
    <row r="756" spans="4:18" x14ac:dyDescent="0.2">
      <c r="D756" s="13" t="s">
        <v>128</v>
      </c>
      <c r="E756" s="13" t="s">
        <v>129</v>
      </c>
      <c r="F756" s="13" t="s">
        <v>130</v>
      </c>
      <c r="G756" s="13" t="s">
        <v>137</v>
      </c>
      <c r="H756" s="13" t="s">
        <v>138</v>
      </c>
      <c r="I756" t="s">
        <v>42</v>
      </c>
      <c r="J756" s="13" t="s">
        <v>43</v>
      </c>
      <c r="K756" s="13" t="s">
        <v>47</v>
      </c>
      <c r="L756" s="13" t="s">
        <v>48</v>
      </c>
      <c r="M756" t="s">
        <v>139</v>
      </c>
      <c r="N756">
        <v>1337</v>
      </c>
      <c r="O756" s="14">
        <v>0.48996140155941198</v>
      </c>
      <c r="P756" s="14">
        <v>0.55690808477811504</v>
      </c>
      <c r="Q756" t="str">
        <f t="shared" si="22"/>
        <v>35-49</v>
      </c>
      <c r="R756" t="str">
        <f t="shared" si="23"/>
        <v>[YCKiBAp8QAg]|35-49|Male|POP_EST.T_1|CY2023Q3</v>
      </c>
    </row>
    <row r="757" spans="4:18" x14ac:dyDescent="0.2">
      <c r="D757" s="13" t="s">
        <v>128</v>
      </c>
      <c r="E757" s="13" t="s">
        <v>129</v>
      </c>
      <c r="F757" s="13" t="s">
        <v>130</v>
      </c>
      <c r="G757" s="13" t="s">
        <v>137</v>
      </c>
      <c r="H757" s="13" t="s">
        <v>138</v>
      </c>
      <c r="I757" t="s">
        <v>44</v>
      </c>
      <c r="J757" s="13" t="s">
        <v>45</v>
      </c>
      <c r="K757" s="13" t="s">
        <v>47</v>
      </c>
      <c r="L757" s="13" t="s">
        <v>48</v>
      </c>
      <c r="M757" t="s">
        <v>139</v>
      </c>
      <c r="N757">
        <v>610</v>
      </c>
      <c r="O757" s="14">
        <v>0.73280258337035797</v>
      </c>
      <c r="P757" s="14">
        <v>0.55690808477811504</v>
      </c>
      <c r="Q757" t="str">
        <f t="shared" si="22"/>
        <v>50+</v>
      </c>
      <c r="R757" t="str">
        <f t="shared" si="23"/>
        <v>[YCKiBAp8QAg]|50+|Male|POP_EST.T_1|CY2023Q3</v>
      </c>
    </row>
    <row r="758" spans="4:18" x14ac:dyDescent="0.2">
      <c r="D758" s="13" t="s">
        <v>131</v>
      </c>
      <c r="E758" s="13" t="s">
        <v>132</v>
      </c>
      <c r="F758" s="13" t="s">
        <v>133</v>
      </c>
      <c r="G758" s="13" t="s">
        <v>137</v>
      </c>
      <c r="H758" s="13" t="s">
        <v>138</v>
      </c>
      <c r="I758" t="s">
        <v>27</v>
      </c>
      <c r="J758" s="13" t="s">
        <v>28</v>
      </c>
      <c r="K758" s="13" t="s">
        <v>29</v>
      </c>
      <c r="L758" s="13" t="s">
        <v>30</v>
      </c>
      <c r="M758" t="s">
        <v>139</v>
      </c>
      <c r="N758">
        <v>693</v>
      </c>
      <c r="O758" s="14">
        <v>0.88371492293663301</v>
      </c>
      <c r="P758" s="14">
        <v>0.16286319401115201</v>
      </c>
      <c r="Q758" t="str">
        <f t="shared" si="22"/>
        <v>&lt;01</v>
      </c>
      <c r="R758" t="str">
        <f t="shared" si="23"/>
        <v>[JQKLKuVuY61]|&lt;01|Female|POP_EST.T_1|CY2023Q3</v>
      </c>
    </row>
    <row r="759" spans="4:18" x14ac:dyDescent="0.2">
      <c r="D759" s="13" t="s">
        <v>131</v>
      </c>
      <c r="E759" s="13" t="s">
        <v>132</v>
      </c>
      <c r="F759" s="13" t="s">
        <v>133</v>
      </c>
      <c r="G759" s="13" t="s">
        <v>137</v>
      </c>
      <c r="H759" s="13" t="s">
        <v>138</v>
      </c>
      <c r="I759" t="s">
        <v>32</v>
      </c>
      <c r="J759" s="13" t="s">
        <v>33</v>
      </c>
      <c r="K759" s="13" t="s">
        <v>29</v>
      </c>
      <c r="L759" s="13" t="s">
        <v>30</v>
      </c>
      <c r="M759" t="s">
        <v>139</v>
      </c>
      <c r="N759">
        <v>1605</v>
      </c>
      <c r="O759" s="14">
        <v>0.85102733969688404</v>
      </c>
      <c r="P759" s="14">
        <v>0.16286319401115201</v>
      </c>
      <c r="Q759" t="str">
        <f t="shared" si="22"/>
        <v>01-09</v>
      </c>
      <c r="R759" t="str">
        <f t="shared" si="23"/>
        <v>[JQKLKuVuY61]|01-09|Female|POP_EST.T_1|CY2023Q3</v>
      </c>
    </row>
    <row r="760" spans="4:18" x14ac:dyDescent="0.2">
      <c r="D760" s="13" t="s">
        <v>131</v>
      </c>
      <c r="E760" s="13" t="s">
        <v>132</v>
      </c>
      <c r="F760" s="13" t="s">
        <v>133</v>
      </c>
      <c r="G760" s="13" t="s">
        <v>137</v>
      </c>
      <c r="H760" s="13" t="s">
        <v>138</v>
      </c>
      <c r="I760" t="s">
        <v>35</v>
      </c>
      <c r="J760" s="13" t="s">
        <v>36</v>
      </c>
      <c r="K760" s="13" t="s">
        <v>29</v>
      </c>
      <c r="L760" s="13" t="s">
        <v>30</v>
      </c>
      <c r="M760" t="s">
        <v>139</v>
      </c>
      <c r="N760">
        <v>1308</v>
      </c>
      <c r="O760" s="14">
        <v>0.155415756162256</v>
      </c>
      <c r="P760" s="14">
        <v>0.16286319401115201</v>
      </c>
      <c r="Q760" t="str">
        <f t="shared" si="22"/>
        <v>10-14</v>
      </c>
      <c r="R760" t="str">
        <f t="shared" si="23"/>
        <v>[JQKLKuVuY61]|10-14|Female|POP_EST.T_1|CY2023Q3</v>
      </c>
    </row>
    <row r="761" spans="4:18" x14ac:dyDescent="0.2">
      <c r="D761" s="13" t="s">
        <v>131</v>
      </c>
      <c r="E761" s="13" t="s">
        <v>132</v>
      </c>
      <c r="F761" s="13" t="s">
        <v>133</v>
      </c>
      <c r="G761" s="13" t="s">
        <v>137</v>
      </c>
      <c r="H761" s="13" t="s">
        <v>138</v>
      </c>
      <c r="I761" t="s">
        <v>37</v>
      </c>
      <c r="J761" s="13" t="s">
        <v>38</v>
      </c>
      <c r="K761" s="13" t="s">
        <v>29</v>
      </c>
      <c r="L761" s="13" t="s">
        <v>30</v>
      </c>
      <c r="M761" t="s">
        <v>139</v>
      </c>
      <c r="N761">
        <v>1478</v>
      </c>
      <c r="O761" s="14">
        <v>0.71557005611248303</v>
      </c>
      <c r="P761" s="14">
        <v>0.16286319401115201</v>
      </c>
      <c r="Q761" t="str">
        <f t="shared" si="22"/>
        <v>15-24</v>
      </c>
      <c r="R761" t="str">
        <f t="shared" si="23"/>
        <v>[JQKLKuVuY61]|15-24|Female|POP_EST.T_1|CY2023Q3</v>
      </c>
    </row>
    <row r="762" spans="4:18" x14ac:dyDescent="0.2">
      <c r="D762" s="13" t="s">
        <v>131</v>
      </c>
      <c r="E762" s="13" t="s">
        <v>132</v>
      </c>
      <c r="F762" s="13" t="s">
        <v>133</v>
      </c>
      <c r="G762" s="13" t="s">
        <v>137</v>
      </c>
      <c r="H762" s="13" t="s">
        <v>138</v>
      </c>
      <c r="I762" t="s">
        <v>40</v>
      </c>
      <c r="J762" s="13" t="s">
        <v>41</v>
      </c>
      <c r="K762" s="13" t="s">
        <v>29</v>
      </c>
      <c r="L762" s="13" t="s">
        <v>30</v>
      </c>
      <c r="M762" t="s">
        <v>139</v>
      </c>
      <c r="N762">
        <v>657</v>
      </c>
      <c r="O762" s="14">
        <v>0.62603130983188704</v>
      </c>
      <c r="P762" s="14">
        <v>0.16286319401115201</v>
      </c>
      <c r="Q762" t="str">
        <f t="shared" si="22"/>
        <v>25-34</v>
      </c>
      <c r="R762" t="str">
        <f t="shared" si="23"/>
        <v>[JQKLKuVuY61]|25-34|Female|POP_EST.T_1|CY2023Q3</v>
      </c>
    </row>
    <row r="763" spans="4:18" x14ac:dyDescent="0.2">
      <c r="D763" s="13" t="s">
        <v>131</v>
      </c>
      <c r="E763" s="13" t="s">
        <v>132</v>
      </c>
      <c r="F763" s="13" t="s">
        <v>133</v>
      </c>
      <c r="G763" s="13" t="s">
        <v>137</v>
      </c>
      <c r="H763" s="13" t="s">
        <v>138</v>
      </c>
      <c r="I763" t="s">
        <v>42</v>
      </c>
      <c r="J763" s="13" t="s">
        <v>43</v>
      </c>
      <c r="K763" s="13" t="s">
        <v>29</v>
      </c>
      <c r="L763" s="13" t="s">
        <v>30</v>
      </c>
      <c r="M763" t="s">
        <v>139</v>
      </c>
      <c r="N763">
        <v>1514</v>
      </c>
      <c r="O763" s="14">
        <v>0.92547485162503995</v>
      </c>
      <c r="P763" s="14">
        <v>0.16286319401115201</v>
      </c>
      <c r="Q763" t="str">
        <f t="shared" si="22"/>
        <v>35-49</v>
      </c>
      <c r="R763" t="str">
        <f t="shared" si="23"/>
        <v>[JQKLKuVuY61]|35-49|Female|POP_EST.T_1|CY2023Q3</v>
      </c>
    </row>
    <row r="764" spans="4:18" x14ac:dyDescent="0.2">
      <c r="D764" s="13" t="s">
        <v>131</v>
      </c>
      <c r="E764" s="13" t="s">
        <v>132</v>
      </c>
      <c r="F764" s="13" t="s">
        <v>133</v>
      </c>
      <c r="G764" s="13" t="s">
        <v>137</v>
      </c>
      <c r="H764" s="13" t="s">
        <v>138</v>
      </c>
      <c r="I764" t="s">
        <v>44</v>
      </c>
      <c r="J764" s="13" t="s">
        <v>45</v>
      </c>
      <c r="K764" s="13" t="s">
        <v>29</v>
      </c>
      <c r="L764" s="13" t="s">
        <v>30</v>
      </c>
      <c r="M764" t="s">
        <v>139</v>
      </c>
      <c r="N764">
        <v>1737</v>
      </c>
      <c r="O764" s="14">
        <v>0.70140509423799802</v>
      </c>
      <c r="P764" s="14">
        <v>0.16286319401115201</v>
      </c>
      <c r="Q764" t="str">
        <f t="shared" si="22"/>
        <v>50+</v>
      </c>
      <c r="R764" t="str">
        <f t="shared" si="23"/>
        <v>[JQKLKuVuY61]|50+|Female|POP_EST.T_1|CY2023Q3</v>
      </c>
    </row>
    <row r="765" spans="4:18" x14ac:dyDescent="0.2">
      <c r="D765" s="13" t="s">
        <v>131</v>
      </c>
      <c r="E765" s="13" t="s">
        <v>132</v>
      </c>
      <c r="F765" s="13" t="s">
        <v>133</v>
      </c>
      <c r="G765" s="13" t="s">
        <v>137</v>
      </c>
      <c r="H765" s="13" t="s">
        <v>138</v>
      </c>
      <c r="I765" t="s">
        <v>27</v>
      </c>
      <c r="J765" s="13" t="s">
        <v>28</v>
      </c>
      <c r="K765" s="13" t="s">
        <v>47</v>
      </c>
      <c r="L765" s="13" t="s">
        <v>48</v>
      </c>
      <c r="M765" t="s">
        <v>139</v>
      </c>
      <c r="N765">
        <v>1954</v>
      </c>
      <c r="O765" s="14">
        <v>0.270470964256674</v>
      </c>
      <c r="P765" s="14">
        <v>0.16286319401115201</v>
      </c>
      <c r="Q765" t="str">
        <f t="shared" si="22"/>
        <v>&lt;01</v>
      </c>
      <c r="R765" t="str">
        <f t="shared" si="23"/>
        <v>[JQKLKuVuY61]|&lt;01|Male|POP_EST.T_1|CY2023Q3</v>
      </c>
    </row>
    <row r="766" spans="4:18" x14ac:dyDescent="0.2">
      <c r="D766" s="13" t="s">
        <v>131</v>
      </c>
      <c r="E766" s="13" t="s">
        <v>132</v>
      </c>
      <c r="F766" s="13" t="s">
        <v>133</v>
      </c>
      <c r="G766" s="13" t="s">
        <v>137</v>
      </c>
      <c r="H766" s="13" t="s">
        <v>138</v>
      </c>
      <c r="I766" t="s">
        <v>32</v>
      </c>
      <c r="J766" s="13" t="s">
        <v>33</v>
      </c>
      <c r="K766" s="13" t="s">
        <v>47</v>
      </c>
      <c r="L766" s="13" t="s">
        <v>48</v>
      </c>
      <c r="M766" t="s">
        <v>139</v>
      </c>
      <c r="N766">
        <v>613</v>
      </c>
      <c r="O766" s="14">
        <v>0.92979664844460796</v>
      </c>
      <c r="P766" s="14">
        <v>0.16286319401115201</v>
      </c>
      <c r="Q766" t="str">
        <f t="shared" si="22"/>
        <v>01-09</v>
      </c>
      <c r="R766" t="str">
        <f t="shared" si="23"/>
        <v>[JQKLKuVuY61]|01-09|Male|POP_EST.T_1|CY2023Q3</v>
      </c>
    </row>
    <row r="767" spans="4:18" x14ac:dyDescent="0.2">
      <c r="D767" s="13" t="s">
        <v>131</v>
      </c>
      <c r="E767" s="13" t="s">
        <v>132</v>
      </c>
      <c r="F767" s="13" t="s">
        <v>133</v>
      </c>
      <c r="G767" s="13" t="s">
        <v>137</v>
      </c>
      <c r="H767" s="13" t="s">
        <v>138</v>
      </c>
      <c r="I767" t="s">
        <v>35</v>
      </c>
      <c r="J767" s="13" t="s">
        <v>36</v>
      </c>
      <c r="K767" s="13" t="s">
        <v>47</v>
      </c>
      <c r="L767" s="13" t="s">
        <v>48</v>
      </c>
      <c r="M767" t="s">
        <v>139</v>
      </c>
      <c r="N767">
        <v>1779</v>
      </c>
      <c r="O767" s="14">
        <v>1.7902067862451101E-2</v>
      </c>
      <c r="P767" s="14">
        <v>0.16286319401115201</v>
      </c>
      <c r="Q767" t="str">
        <f t="shared" si="22"/>
        <v>10-14</v>
      </c>
      <c r="R767" t="str">
        <f t="shared" si="23"/>
        <v>[JQKLKuVuY61]|10-14|Male|POP_EST.T_1|CY2023Q3</v>
      </c>
    </row>
    <row r="768" spans="4:18" x14ac:dyDescent="0.2">
      <c r="D768" s="13" t="s">
        <v>131</v>
      </c>
      <c r="E768" s="13" t="s">
        <v>132</v>
      </c>
      <c r="F768" s="13" t="s">
        <v>133</v>
      </c>
      <c r="G768" s="13" t="s">
        <v>137</v>
      </c>
      <c r="H768" s="13" t="s">
        <v>138</v>
      </c>
      <c r="I768" t="s">
        <v>37</v>
      </c>
      <c r="J768" s="13" t="s">
        <v>38</v>
      </c>
      <c r="K768" s="13" t="s">
        <v>47</v>
      </c>
      <c r="L768" s="13" t="s">
        <v>48</v>
      </c>
      <c r="M768" t="s">
        <v>139</v>
      </c>
      <c r="N768">
        <v>591</v>
      </c>
      <c r="O768" s="14">
        <v>0.65349607588723302</v>
      </c>
      <c r="P768" s="14">
        <v>0.16286319401115201</v>
      </c>
      <c r="Q768" t="str">
        <f t="shared" si="22"/>
        <v>15-24</v>
      </c>
      <c r="R768" t="str">
        <f t="shared" si="23"/>
        <v>[JQKLKuVuY61]|15-24|Male|POP_EST.T_1|CY2023Q3</v>
      </c>
    </row>
    <row r="769" spans="4:18" x14ac:dyDescent="0.2">
      <c r="D769" s="13" t="s">
        <v>131</v>
      </c>
      <c r="E769" s="13" t="s">
        <v>132</v>
      </c>
      <c r="F769" s="13" t="s">
        <v>133</v>
      </c>
      <c r="G769" s="13" t="s">
        <v>137</v>
      </c>
      <c r="H769" s="13" t="s">
        <v>138</v>
      </c>
      <c r="I769" t="s">
        <v>40</v>
      </c>
      <c r="J769" s="13" t="s">
        <v>41</v>
      </c>
      <c r="K769" s="13" t="s">
        <v>47</v>
      </c>
      <c r="L769" s="13" t="s">
        <v>48</v>
      </c>
      <c r="M769" t="s">
        <v>139</v>
      </c>
      <c r="N769">
        <v>1929</v>
      </c>
      <c r="O769" s="14">
        <v>0.96539499331265699</v>
      </c>
      <c r="P769" s="14">
        <v>0.16286319401115201</v>
      </c>
      <c r="Q769" t="str">
        <f t="shared" si="22"/>
        <v>25-34</v>
      </c>
      <c r="R769" t="str">
        <f t="shared" si="23"/>
        <v>[JQKLKuVuY61]|25-34|Male|POP_EST.T_1|CY2023Q3</v>
      </c>
    </row>
    <row r="770" spans="4:18" x14ac:dyDescent="0.2">
      <c r="D770" s="13" t="s">
        <v>131</v>
      </c>
      <c r="E770" s="13" t="s">
        <v>132</v>
      </c>
      <c r="F770" s="13" t="s">
        <v>133</v>
      </c>
      <c r="G770" s="13" t="s">
        <v>137</v>
      </c>
      <c r="H770" s="13" t="s">
        <v>138</v>
      </c>
      <c r="I770" t="s">
        <v>42</v>
      </c>
      <c r="J770" s="13" t="s">
        <v>43</v>
      </c>
      <c r="K770" s="13" t="s">
        <v>47</v>
      </c>
      <c r="L770" s="13" t="s">
        <v>48</v>
      </c>
      <c r="M770" t="s">
        <v>139</v>
      </c>
      <c r="N770">
        <v>1723</v>
      </c>
      <c r="O770" s="14">
        <v>0.972197335213423</v>
      </c>
      <c r="P770" s="14">
        <v>0.16286319401115201</v>
      </c>
      <c r="Q770" t="str">
        <f t="shared" ref="Q770:Q833" si="24">SUBSTITUTE(SUBSTITUTE($I770,CHAR(61),""),CHAR(34),"")</f>
        <v>35-49</v>
      </c>
      <c r="R770" t="str">
        <f t="shared" ref="R770:R833" si="25">IF($D770&lt;&gt;"","["&amp;$E770&amp;"]"&amp;"|"&amp;$Q770&amp;"|"&amp;$K770&amp;"|"&amp;$G770&amp;"|"&amp;IF($G770="TX_CURR_SUBNAT.R","CY2022Q4",$M770),"")</f>
        <v>[JQKLKuVuY61]|35-49|Male|POP_EST.T_1|CY2023Q3</v>
      </c>
    </row>
    <row r="771" spans="4:18" x14ac:dyDescent="0.2">
      <c r="D771" s="13" t="s">
        <v>131</v>
      </c>
      <c r="E771" s="13" t="s">
        <v>132</v>
      </c>
      <c r="F771" s="13" t="s">
        <v>133</v>
      </c>
      <c r="G771" s="13" t="s">
        <v>137</v>
      </c>
      <c r="H771" s="13" t="s">
        <v>138</v>
      </c>
      <c r="I771" t="s">
        <v>44</v>
      </c>
      <c r="J771" s="13" t="s">
        <v>45</v>
      </c>
      <c r="K771" s="13" t="s">
        <v>47</v>
      </c>
      <c r="L771" s="13" t="s">
        <v>48</v>
      </c>
      <c r="M771" t="s">
        <v>139</v>
      </c>
      <c r="N771">
        <v>963</v>
      </c>
      <c r="O771" s="14">
        <v>0.98361229291185703</v>
      </c>
      <c r="P771" s="14">
        <v>0.16286319401115201</v>
      </c>
      <c r="Q771" t="str">
        <f t="shared" si="24"/>
        <v>50+</v>
      </c>
      <c r="R771" t="str">
        <f t="shared" si="25"/>
        <v>[JQKLKuVuY61]|50+|Male|POP_EST.T_1|CY2023Q3</v>
      </c>
    </row>
    <row r="772" spans="4:18" x14ac:dyDescent="0.2">
      <c r="D772" s="13" t="s">
        <v>134</v>
      </c>
      <c r="E772" s="13" t="s">
        <v>135</v>
      </c>
      <c r="F772" s="13" t="s">
        <v>136</v>
      </c>
      <c r="G772" s="13" t="s">
        <v>137</v>
      </c>
      <c r="H772" s="13" t="s">
        <v>138</v>
      </c>
      <c r="I772" t="s">
        <v>27</v>
      </c>
      <c r="J772" s="13" t="s">
        <v>28</v>
      </c>
      <c r="K772" s="13" t="s">
        <v>29</v>
      </c>
      <c r="L772" s="13" t="s">
        <v>30</v>
      </c>
      <c r="M772" t="s">
        <v>139</v>
      </c>
      <c r="N772">
        <v>1797</v>
      </c>
      <c r="O772" s="14">
        <v>0.10405598697252599</v>
      </c>
      <c r="P772" s="14">
        <v>0.95530052832327805</v>
      </c>
      <c r="Q772" t="str">
        <f t="shared" si="24"/>
        <v>&lt;01</v>
      </c>
      <c r="R772" t="str">
        <f t="shared" si="25"/>
        <v>[fiRkU6gEjLz]|&lt;01|Female|POP_EST.T_1|CY2023Q3</v>
      </c>
    </row>
    <row r="773" spans="4:18" x14ac:dyDescent="0.2">
      <c r="D773" s="13" t="s">
        <v>134</v>
      </c>
      <c r="E773" s="13" t="s">
        <v>135</v>
      </c>
      <c r="F773" s="13" t="s">
        <v>136</v>
      </c>
      <c r="G773" s="13" t="s">
        <v>137</v>
      </c>
      <c r="H773" s="13" t="s">
        <v>138</v>
      </c>
      <c r="I773" t="s">
        <v>32</v>
      </c>
      <c r="J773" s="13" t="s">
        <v>33</v>
      </c>
      <c r="K773" s="13" t="s">
        <v>29</v>
      </c>
      <c r="L773" s="13" t="s">
        <v>30</v>
      </c>
      <c r="M773" t="s">
        <v>139</v>
      </c>
      <c r="N773">
        <v>1253</v>
      </c>
      <c r="O773" s="14">
        <v>0.157674764050171</v>
      </c>
      <c r="P773" s="14">
        <v>0.95530052832327805</v>
      </c>
      <c r="Q773" t="str">
        <f t="shared" si="24"/>
        <v>01-09</v>
      </c>
      <c r="R773" t="str">
        <f t="shared" si="25"/>
        <v>[fiRkU6gEjLz]|01-09|Female|POP_EST.T_1|CY2023Q3</v>
      </c>
    </row>
    <row r="774" spans="4:18" x14ac:dyDescent="0.2">
      <c r="D774" s="13" t="s">
        <v>134</v>
      </c>
      <c r="E774" s="13" t="s">
        <v>135</v>
      </c>
      <c r="F774" s="13" t="s">
        <v>136</v>
      </c>
      <c r="G774" s="13" t="s">
        <v>137</v>
      </c>
      <c r="H774" s="13" t="s">
        <v>138</v>
      </c>
      <c r="I774" t="s">
        <v>35</v>
      </c>
      <c r="J774" s="13" t="s">
        <v>36</v>
      </c>
      <c r="K774" s="13" t="s">
        <v>29</v>
      </c>
      <c r="L774" s="13" t="s">
        <v>30</v>
      </c>
      <c r="M774" t="s">
        <v>139</v>
      </c>
      <c r="N774">
        <v>610</v>
      </c>
      <c r="O774" s="14">
        <v>0.28591740923002401</v>
      </c>
      <c r="P774" s="14">
        <v>0.95530052832327805</v>
      </c>
      <c r="Q774" t="str">
        <f t="shared" si="24"/>
        <v>10-14</v>
      </c>
      <c r="R774" t="str">
        <f t="shared" si="25"/>
        <v>[fiRkU6gEjLz]|10-14|Female|POP_EST.T_1|CY2023Q3</v>
      </c>
    </row>
    <row r="775" spans="4:18" x14ac:dyDescent="0.2">
      <c r="D775" s="13" t="s">
        <v>134</v>
      </c>
      <c r="E775" s="13" t="s">
        <v>135</v>
      </c>
      <c r="F775" s="13" t="s">
        <v>136</v>
      </c>
      <c r="G775" s="13" t="s">
        <v>137</v>
      </c>
      <c r="H775" s="13" t="s">
        <v>138</v>
      </c>
      <c r="I775" t="s">
        <v>37</v>
      </c>
      <c r="J775" s="13" t="s">
        <v>38</v>
      </c>
      <c r="K775" s="13" t="s">
        <v>29</v>
      </c>
      <c r="L775" s="13" t="s">
        <v>30</v>
      </c>
      <c r="M775" t="s">
        <v>139</v>
      </c>
      <c r="N775">
        <v>677</v>
      </c>
      <c r="O775" s="14">
        <v>0.72223354456946298</v>
      </c>
      <c r="P775" s="14">
        <v>0.95530052832327805</v>
      </c>
      <c r="Q775" t="str">
        <f t="shared" si="24"/>
        <v>15-24</v>
      </c>
      <c r="R775" t="str">
        <f t="shared" si="25"/>
        <v>[fiRkU6gEjLz]|15-24|Female|POP_EST.T_1|CY2023Q3</v>
      </c>
    </row>
    <row r="776" spans="4:18" x14ac:dyDescent="0.2">
      <c r="D776" s="13" t="s">
        <v>134</v>
      </c>
      <c r="E776" s="13" t="s">
        <v>135</v>
      </c>
      <c r="F776" s="13" t="s">
        <v>136</v>
      </c>
      <c r="G776" s="13" t="s">
        <v>137</v>
      </c>
      <c r="H776" s="13" t="s">
        <v>138</v>
      </c>
      <c r="I776" t="s">
        <v>40</v>
      </c>
      <c r="J776" s="13" t="s">
        <v>41</v>
      </c>
      <c r="K776" s="13" t="s">
        <v>29</v>
      </c>
      <c r="L776" s="13" t="s">
        <v>30</v>
      </c>
      <c r="M776" t="s">
        <v>139</v>
      </c>
      <c r="N776">
        <v>1015</v>
      </c>
      <c r="O776" s="14">
        <v>0.93794407113455203</v>
      </c>
      <c r="P776" s="14">
        <v>0.95530052832327805</v>
      </c>
      <c r="Q776" t="str">
        <f t="shared" si="24"/>
        <v>25-34</v>
      </c>
      <c r="R776" t="str">
        <f t="shared" si="25"/>
        <v>[fiRkU6gEjLz]|25-34|Female|POP_EST.T_1|CY2023Q3</v>
      </c>
    </row>
    <row r="777" spans="4:18" x14ac:dyDescent="0.2">
      <c r="D777" s="13" t="s">
        <v>134</v>
      </c>
      <c r="E777" s="13" t="s">
        <v>135</v>
      </c>
      <c r="F777" s="13" t="s">
        <v>136</v>
      </c>
      <c r="G777" s="13" t="s">
        <v>137</v>
      </c>
      <c r="H777" s="13" t="s">
        <v>138</v>
      </c>
      <c r="I777" t="s">
        <v>42</v>
      </c>
      <c r="J777" s="13" t="s">
        <v>43</v>
      </c>
      <c r="K777" s="13" t="s">
        <v>29</v>
      </c>
      <c r="L777" s="13" t="s">
        <v>30</v>
      </c>
      <c r="M777" t="s">
        <v>139</v>
      </c>
      <c r="N777">
        <v>769</v>
      </c>
      <c r="O777" s="14">
        <v>7.22277630120516E-3</v>
      </c>
      <c r="P777" s="14">
        <v>0.95530052832327805</v>
      </c>
      <c r="Q777" t="str">
        <f t="shared" si="24"/>
        <v>35-49</v>
      </c>
      <c r="R777" t="str">
        <f t="shared" si="25"/>
        <v>[fiRkU6gEjLz]|35-49|Female|POP_EST.T_1|CY2023Q3</v>
      </c>
    </row>
    <row r="778" spans="4:18" x14ac:dyDescent="0.2">
      <c r="D778" s="13" t="s">
        <v>134</v>
      </c>
      <c r="E778" s="13" t="s">
        <v>135</v>
      </c>
      <c r="F778" s="13" t="s">
        <v>136</v>
      </c>
      <c r="G778" s="13" t="s">
        <v>137</v>
      </c>
      <c r="H778" s="13" t="s">
        <v>138</v>
      </c>
      <c r="I778" t="s">
        <v>44</v>
      </c>
      <c r="J778" s="13" t="s">
        <v>45</v>
      </c>
      <c r="K778" s="13" t="s">
        <v>29</v>
      </c>
      <c r="L778" s="13" t="s">
        <v>30</v>
      </c>
      <c r="M778" t="s">
        <v>139</v>
      </c>
      <c r="N778">
        <v>1519</v>
      </c>
      <c r="O778" s="14">
        <v>6.2758270651102094E-2</v>
      </c>
      <c r="P778" s="14">
        <v>0.95530052832327805</v>
      </c>
      <c r="Q778" t="str">
        <f t="shared" si="24"/>
        <v>50+</v>
      </c>
      <c r="R778" t="str">
        <f t="shared" si="25"/>
        <v>[fiRkU6gEjLz]|50+|Female|POP_EST.T_1|CY2023Q3</v>
      </c>
    </row>
    <row r="779" spans="4:18" x14ac:dyDescent="0.2">
      <c r="D779" s="13" t="s">
        <v>134</v>
      </c>
      <c r="E779" s="13" t="s">
        <v>135</v>
      </c>
      <c r="F779" s="13" t="s">
        <v>136</v>
      </c>
      <c r="G779" s="13" t="s">
        <v>137</v>
      </c>
      <c r="H779" s="13" t="s">
        <v>138</v>
      </c>
      <c r="I779" t="s">
        <v>27</v>
      </c>
      <c r="J779" s="13" t="s">
        <v>28</v>
      </c>
      <c r="K779" s="13" t="s">
        <v>47</v>
      </c>
      <c r="L779" s="13" t="s">
        <v>48</v>
      </c>
      <c r="M779" t="s">
        <v>139</v>
      </c>
      <c r="N779">
        <v>1790</v>
      </c>
      <c r="O779" s="14">
        <v>0.82533463882282398</v>
      </c>
      <c r="P779" s="14">
        <v>0.95530052832327805</v>
      </c>
      <c r="Q779" t="str">
        <f t="shared" si="24"/>
        <v>&lt;01</v>
      </c>
      <c r="R779" t="str">
        <f t="shared" si="25"/>
        <v>[fiRkU6gEjLz]|&lt;01|Male|POP_EST.T_1|CY2023Q3</v>
      </c>
    </row>
    <row r="780" spans="4:18" x14ac:dyDescent="0.2">
      <c r="D780" s="13" t="s">
        <v>134</v>
      </c>
      <c r="E780" s="13" t="s">
        <v>135</v>
      </c>
      <c r="F780" s="13" t="s">
        <v>136</v>
      </c>
      <c r="G780" s="13" t="s">
        <v>137</v>
      </c>
      <c r="H780" s="13" t="s">
        <v>138</v>
      </c>
      <c r="I780" t="s">
        <v>32</v>
      </c>
      <c r="J780" s="13" t="s">
        <v>33</v>
      </c>
      <c r="K780" s="13" t="s">
        <v>47</v>
      </c>
      <c r="L780" s="13" t="s">
        <v>48</v>
      </c>
      <c r="M780" t="s">
        <v>139</v>
      </c>
      <c r="N780">
        <v>503</v>
      </c>
      <c r="O780" s="14">
        <v>0.66994640184566401</v>
      </c>
      <c r="P780" s="14">
        <v>0.95530052832327805</v>
      </c>
      <c r="Q780" t="str">
        <f t="shared" si="24"/>
        <v>01-09</v>
      </c>
      <c r="R780" t="str">
        <f t="shared" si="25"/>
        <v>[fiRkU6gEjLz]|01-09|Male|POP_EST.T_1|CY2023Q3</v>
      </c>
    </row>
    <row r="781" spans="4:18" x14ac:dyDescent="0.2">
      <c r="D781" s="13" t="s">
        <v>134</v>
      </c>
      <c r="E781" s="13" t="s">
        <v>135</v>
      </c>
      <c r="F781" s="13" t="s">
        <v>136</v>
      </c>
      <c r="G781" s="13" t="s">
        <v>137</v>
      </c>
      <c r="H781" s="13" t="s">
        <v>138</v>
      </c>
      <c r="I781" t="s">
        <v>35</v>
      </c>
      <c r="J781" s="13" t="s">
        <v>36</v>
      </c>
      <c r="K781" s="13" t="s">
        <v>47</v>
      </c>
      <c r="L781" s="13" t="s">
        <v>48</v>
      </c>
      <c r="M781" t="s">
        <v>139</v>
      </c>
      <c r="N781">
        <v>1127</v>
      </c>
      <c r="O781" s="14">
        <v>4.1153459111228599E-2</v>
      </c>
      <c r="P781" s="14">
        <v>0.95530052832327805</v>
      </c>
      <c r="Q781" t="str">
        <f t="shared" si="24"/>
        <v>10-14</v>
      </c>
      <c r="R781" t="str">
        <f t="shared" si="25"/>
        <v>[fiRkU6gEjLz]|10-14|Male|POP_EST.T_1|CY2023Q3</v>
      </c>
    </row>
    <row r="782" spans="4:18" x14ac:dyDescent="0.2">
      <c r="D782" s="13" t="s">
        <v>134</v>
      </c>
      <c r="E782" s="13" t="s">
        <v>135</v>
      </c>
      <c r="F782" s="13" t="s">
        <v>136</v>
      </c>
      <c r="G782" s="13" t="s">
        <v>137</v>
      </c>
      <c r="H782" s="13" t="s">
        <v>138</v>
      </c>
      <c r="I782" t="s">
        <v>37</v>
      </c>
      <c r="J782" s="13" t="s">
        <v>38</v>
      </c>
      <c r="K782" s="13" t="s">
        <v>47</v>
      </c>
      <c r="L782" s="13" t="s">
        <v>48</v>
      </c>
      <c r="M782" t="s">
        <v>139</v>
      </c>
      <c r="N782">
        <v>1940</v>
      </c>
      <c r="O782" s="14">
        <v>0.77919328515417896</v>
      </c>
      <c r="P782" s="14">
        <v>0.95530052832327805</v>
      </c>
      <c r="Q782" t="str">
        <f t="shared" si="24"/>
        <v>15-24</v>
      </c>
      <c r="R782" t="str">
        <f t="shared" si="25"/>
        <v>[fiRkU6gEjLz]|15-24|Male|POP_EST.T_1|CY2023Q3</v>
      </c>
    </row>
    <row r="783" spans="4:18" x14ac:dyDescent="0.2">
      <c r="D783" s="13" t="s">
        <v>134</v>
      </c>
      <c r="E783" s="13" t="s">
        <v>135</v>
      </c>
      <c r="F783" s="13" t="s">
        <v>136</v>
      </c>
      <c r="G783" s="13" t="s">
        <v>137</v>
      </c>
      <c r="H783" s="13" t="s">
        <v>138</v>
      </c>
      <c r="I783" t="s">
        <v>40</v>
      </c>
      <c r="J783" s="13" t="s">
        <v>41</v>
      </c>
      <c r="K783" s="13" t="s">
        <v>47</v>
      </c>
      <c r="L783" s="13" t="s">
        <v>48</v>
      </c>
      <c r="M783" t="s">
        <v>139</v>
      </c>
      <c r="N783">
        <v>1613</v>
      </c>
      <c r="O783" s="14">
        <v>0.94249583664350201</v>
      </c>
      <c r="P783" s="14">
        <v>0.95530052832327805</v>
      </c>
      <c r="Q783" t="str">
        <f t="shared" si="24"/>
        <v>25-34</v>
      </c>
      <c r="R783" t="str">
        <f t="shared" si="25"/>
        <v>[fiRkU6gEjLz]|25-34|Male|POP_EST.T_1|CY2023Q3</v>
      </c>
    </row>
    <row r="784" spans="4:18" x14ac:dyDescent="0.2">
      <c r="D784" s="13" t="s">
        <v>134</v>
      </c>
      <c r="E784" s="13" t="s">
        <v>135</v>
      </c>
      <c r="F784" s="13" t="s">
        <v>136</v>
      </c>
      <c r="G784" s="13" t="s">
        <v>137</v>
      </c>
      <c r="H784" s="13" t="s">
        <v>138</v>
      </c>
      <c r="I784" t="s">
        <v>42</v>
      </c>
      <c r="J784" s="13" t="s">
        <v>43</v>
      </c>
      <c r="K784" s="13" t="s">
        <v>47</v>
      </c>
      <c r="L784" s="13" t="s">
        <v>48</v>
      </c>
      <c r="M784" t="s">
        <v>139</v>
      </c>
      <c r="N784">
        <v>1172</v>
      </c>
      <c r="O784" s="14">
        <v>0.264979195781052</v>
      </c>
      <c r="P784" s="14">
        <v>0.95530052832327805</v>
      </c>
      <c r="Q784" t="str">
        <f t="shared" si="24"/>
        <v>35-49</v>
      </c>
      <c r="R784" t="str">
        <f t="shared" si="25"/>
        <v>[fiRkU6gEjLz]|35-49|Male|POP_EST.T_1|CY2023Q3</v>
      </c>
    </row>
    <row r="785" spans="4:18" x14ac:dyDescent="0.2">
      <c r="D785" s="13" t="s">
        <v>134</v>
      </c>
      <c r="E785" s="13" t="s">
        <v>135</v>
      </c>
      <c r="F785" s="13" t="s">
        <v>136</v>
      </c>
      <c r="G785" s="13" t="s">
        <v>137</v>
      </c>
      <c r="H785" s="13" t="s">
        <v>138</v>
      </c>
      <c r="I785" t="s">
        <v>44</v>
      </c>
      <c r="J785" s="13" t="s">
        <v>45</v>
      </c>
      <c r="K785" s="13" t="s">
        <v>47</v>
      </c>
      <c r="L785" s="13" t="s">
        <v>48</v>
      </c>
      <c r="M785" t="s">
        <v>139</v>
      </c>
      <c r="N785">
        <v>536</v>
      </c>
      <c r="O785" s="14">
        <v>5.0454461015760899E-3</v>
      </c>
      <c r="P785" s="14">
        <v>0.95530052832327805</v>
      </c>
      <c r="Q785" t="str">
        <f t="shared" si="24"/>
        <v>50+</v>
      </c>
      <c r="R785" t="str">
        <f t="shared" si="25"/>
        <v>[fiRkU6gEjLz]|50+|Male|POP_EST.T_1|CY2023Q3</v>
      </c>
    </row>
    <row r="786" spans="4:18" x14ac:dyDescent="0.2">
      <c r="D786" s="13" t="s">
        <v>22</v>
      </c>
      <c r="E786" s="13" t="s">
        <v>23</v>
      </c>
      <c r="F786" s="13" t="s">
        <v>24</v>
      </c>
      <c r="G786" s="13" t="s">
        <v>140</v>
      </c>
      <c r="H786" s="13" t="s">
        <v>141</v>
      </c>
      <c r="I786" t="s">
        <v>27</v>
      </c>
      <c r="J786" s="13" t="s">
        <v>28</v>
      </c>
      <c r="K786" s="13" t="s">
        <v>29</v>
      </c>
      <c r="L786" s="13" t="s">
        <v>30</v>
      </c>
      <c r="M786" t="s">
        <v>139</v>
      </c>
      <c r="N786">
        <v>716</v>
      </c>
      <c r="O786" s="14">
        <v>0.254671046044677</v>
      </c>
      <c r="P786" s="14">
        <v>0.40435861097648701</v>
      </c>
      <c r="Q786" t="str">
        <f t="shared" si="24"/>
        <v>&lt;01</v>
      </c>
      <c r="R786" t="str">
        <f t="shared" si="25"/>
        <v>[GkIwZrXy1h2]|&lt;01|Female|HIV_PREV.T_1|CY2023Q3</v>
      </c>
    </row>
    <row r="787" spans="4:18" x14ac:dyDescent="0.2">
      <c r="D787" s="13" t="s">
        <v>22</v>
      </c>
      <c r="E787" s="13" t="s">
        <v>23</v>
      </c>
      <c r="F787" s="13" t="s">
        <v>24</v>
      </c>
      <c r="G787" s="13" t="s">
        <v>140</v>
      </c>
      <c r="H787" s="13" t="s">
        <v>141</v>
      </c>
      <c r="I787" t="s">
        <v>32</v>
      </c>
      <c r="J787" s="13" t="s">
        <v>33</v>
      </c>
      <c r="K787" s="13" t="s">
        <v>29</v>
      </c>
      <c r="L787" s="13" t="s">
        <v>30</v>
      </c>
      <c r="M787" t="s">
        <v>139</v>
      </c>
      <c r="N787">
        <v>1189</v>
      </c>
      <c r="O787" s="14">
        <v>0.86387334391474702</v>
      </c>
      <c r="P787" s="14">
        <v>0.40435861097648701</v>
      </c>
      <c r="Q787" t="str">
        <f t="shared" si="24"/>
        <v>01-09</v>
      </c>
      <c r="R787" t="str">
        <f t="shared" si="25"/>
        <v>[GkIwZrXy1h2]|01-09|Female|HIV_PREV.T_1|CY2023Q3</v>
      </c>
    </row>
    <row r="788" spans="4:18" x14ac:dyDescent="0.2">
      <c r="D788" s="13" t="s">
        <v>22</v>
      </c>
      <c r="E788" s="13" t="s">
        <v>23</v>
      </c>
      <c r="F788" s="13" t="s">
        <v>24</v>
      </c>
      <c r="G788" s="13" t="s">
        <v>140</v>
      </c>
      <c r="H788" s="13" t="s">
        <v>141</v>
      </c>
      <c r="I788" t="s">
        <v>35</v>
      </c>
      <c r="J788" s="13" t="s">
        <v>36</v>
      </c>
      <c r="K788" s="13" t="s">
        <v>29</v>
      </c>
      <c r="L788" s="13" t="s">
        <v>30</v>
      </c>
      <c r="M788" t="s">
        <v>139</v>
      </c>
      <c r="N788">
        <v>1822</v>
      </c>
      <c r="O788" s="14">
        <v>0.62384844664484296</v>
      </c>
      <c r="P788" s="14">
        <v>0.40435861097648701</v>
      </c>
      <c r="Q788" t="str">
        <f t="shared" si="24"/>
        <v>10-14</v>
      </c>
      <c r="R788" t="str">
        <f t="shared" si="25"/>
        <v>[GkIwZrXy1h2]|10-14|Female|HIV_PREV.T_1|CY2023Q3</v>
      </c>
    </row>
    <row r="789" spans="4:18" x14ac:dyDescent="0.2">
      <c r="D789" s="13" t="s">
        <v>22</v>
      </c>
      <c r="E789" s="13" t="s">
        <v>23</v>
      </c>
      <c r="F789" s="13" t="s">
        <v>24</v>
      </c>
      <c r="G789" s="13" t="s">
        <v>140</v>
      </c>
      <c r="H789" s="13" t="s">
        <v>141</v>
      </c>
      <c r="I789" t="s">
        <v>37</v>
      </c>
      <c r="J789" s="13" t="s">
        <v>38</v>
      </c>
      <c r="K789" s="13" t="s">
        <v>29</v>
      </c>
      <c r="L789" s="13" t="s">
        <v>30</v>
      </c>
      <c r="M789" t="s">
        <v>139</v>
      </c>
      <c r="N789">
        <v>1369</v>
      </c>
      <c r="O789" s="14">
        <v>0.901290012756363</v>
      </c>
      <c r="P789" s="14">
        <v>0.40435861097648701</v>
      </c>
      <c r="Q789" t="str">
        <f t="shared" si="24"/>
        <v>15-24</v>
      </c>
      <c r="R789" t="str">
        <f t="shared" si="25"/>
        <v>[GkIwZrXy1h2]|15-24|Female|HIV_PREV.T_1|CY2023Q3</v>
      </c>
    </row>
    <row r="790" spans="4:18" x14ac:dyDescent="0.2">
      <c r="D790" s="13" t="s">
        <v>22</v>
      </c>
      <c r="E790" s="13" t="s">
        <v>23</v>
      </c>
      <c r="F790" s="13" t="s">
        <v>24</v>
      </c>
      <c r="G790" s="13" t="s">
        <v>140</v>
      </c>
      <c r="H790" s="13" t="s">
        <v>141</v>
      </c>
      <c r="I790" t="s">
        <v>40</v>
      </c>
      <c r="J790" s="13" t="s">
        <v>41</v>
      </c>
      <c r="K790" s="13" t="s">
        <v>29</v>
      </c>
      <c r="L790" s="13" t="s">
        <v>30</v>
      </c>
      <c r="M790" t="s">
        <v>139</v>
      </c>
      <c r="N790">
        <v>771</v>
      </c>
      <c r="O790" s="14">
        <v>7.6137613505125004E-2</v>
      </c>
      <c r="P790" s="14">
        <v>0.40435861097648701</v>
      </c>
      <c r="Q790" t="str">
        <f t="shared" si="24"/>
        <v>25-34</v>
      </c>
      <c r="R790" t="str">
        <f t="shared" si="25"/>
        <v>[GkIwZrXy1h2]|25-34|Female|HIV_PREV.T_1|CY2023Q3</v>
      </c>
    </row>
    <row r="791" spans="4:18" x14ac:dyDescent="0.2">
      <c r="D791" s="13" t="s">
        <v>22</v>
      </c>
      <c r="E791" s="13" t="s">
        <v>23</v>
      </c>
      <c r="F791" s="13" t="s">
        <v>24</v>
      </c>
      <c r="G791" s="13" t="s">
        <v>140</v>
      </c>
      <c r="H791" s="13" t="s">
        <v>141</v>
      </c>
      <c r="I791" t="s">
        <v>42</v>
      </c>
      <c r="J791" s="13" t="s">
        <v>43</v>
      </c>
      <c r="K791" s="13" t="s">
        <v>29</v>
      </c>
      <c r="L791" s="13" t="s">
        <v>30</v>
      </c>
      <c r="M791" t="s">
        <v>139</v>
      </c>
      <c r="N791">
        <v>1179</v>
      </c>
      <c r="O791" s="14">
        <v>0.19718226278200701</v>
      </c>
      <c r="P791" s="14">
        <v>0.40435861097648701</v>
      </c>
      <c r="Q791" t="str">
        <f t="shared" si="24"/>
        <v>35-49</v>
      </c>
      <c r="R791" t="str">
        <f t="shared" si="25"/>
        <v>[GkIwZrXy1h2]|35-49|Female|HIV_PREV.T_1|CY2023Q3</v>
      </c>
    </row>
    <row r="792" spans="4:18" x14ac:dyDescent="0.2">
      <c r="D792" s="13" t="s">
        <v>22</v>
      </c>
      <c r="E792" s="13" t="s">
        <v>23</v>
      </c>
      <c r="F792" s="13" t="s">
        <v>24</v>
      </c>
      <c r="G792" s="13" t="s">
        <v>140</v>
      </c>
      <c r="H792" s="13" t="s">
        <v>141</v>
      </c>
      <c r="I792" t="s">
        <v>44</v>
      </c>
      <c r="J792" s="13" t="s">
        <v>45</v>
      </c>
      <c r="K792" s="13" t="s">
        <v>29</v>
      </c>
      <c r="L792" s="13" t="s">
        <v>30</v>
      </c>
      <c r="M792" t="s">
        <v>139</v>
      </c>
      <c r="N792">
        <v>1183</v>
      </c>
      <c r="O792" s="14">
        <v>0.97846780181862403</v>
      </c>
      <c r="P792" s="14">
        <v>0.40435861097648701</v>
      </c>
      <c r="Q792" t="str">
        <f t="shared" si="24"/>
        <v>50+</v>
      </c>
      <c r="R792" t="str">
        <f t="shared" si="25"/>
        <v>[GkIwZrXy1h2]|50+|Female|HIV_PREV.T_1|CY2023Q3</v>
      </c>
    </row>
    <row r="793" spans="4:18" x14ac:dyDescent="0.2">
      <c r="D793" s="13" t="s">
        <v>22</v>
      </c>
      <c r="E793" s="13" t="s">
        <v>23</v>
      </c>
      <c r="F793" s="13" t="s">
        <v>24</v>
      </c>
      <c r="G793" s="13" t="s">
        <v>140</v>
      </c>
      <c r="H793" s="13" t="s">
        <v>141</v>
      </c>
      <c r="I793" t="s">
        <v>27</v>
      </c>
      <c r="J793" s="13" t="s">
        <v>28</v>
      </c>
      <c r="K793" s="13" t="s">
        <v>47</v>
      </c>
      <c r="L793" s="13" t="s">
        <v>48</v>
      </c>
      <c r="M793" t="s">
        <v>139</v>
      </c>
      <c r="N793">
        <v>1204</v>
      </c>
      <c r="O793" s="14">
        <v>0.90302697708830204</v>
      </c>
      <c r="P793" s="14">
        <v>0.40435861097648701</v>
      </c>
      <c r="Q793" t="str">
        <f t="shared" si="24"/>
        <v>&lt;01</v>
      </c>
      <c r="R793" t="str">
        <f t="shared" si="25"/>
        <v>[GkIwZrXy1h2]|&lt;01|Male|HIV_PREV.T_1|CY2023Q3</v>
      </c>
    </row>
    <row r="794" spans="4:18" x14ac:dyDescent="0.2">
      <c r="D794" s="13" t="s">
        <v>22</v>
      </c>
      <c r="E794" s="13" t="s">
        <v>23</v>
      </c>
      <c r="F794" s="13" t="s">
        <v>24</v>
      </c>
      <c r="G794" s="13" t="s">
        <v>140</v>
      </c>
      <c r="H794" s="13" t="s">
        <v>141</v>
      </c>
      <c r="I794" t="s">
        <v>32</v>
      </c>
      <c r="J794" s="13" t="s">
        <v>33</v>
      </c>
      <c r="K794" s="13" t="s">
        <v>47</v>
      </c>
      <c r="L794" s="13" t="s">
        <v>48</v>
      </c>
      <c r="M794" t="s">
        <v>139</v>
      </c>
      <c r="N794">
        <v>606</v>
      </c>
      <c r="O794" s="14">
        <v>0.279688221635297</v>
      </c>
      <c r="P794" s="14">
        <v>0.40435861097648701</v>
      </c>
      <c r="Q794" t="str">
        <f t="shared" si="24"/>
        <v>01-09</v>
      </c>
      <c r="R794" t="str">
        <f t="shared" si="25"/>
        <v>[GkIwZrXy1h2]|01-09|Male|HIV_PREV.T_1|CY2023Q3</v>
      </c>
    </row>
    <row r="795" spans="4:18" x14ac:dyDescent="0.2">
      <c r="D795" s="13" t="s">
        <v>22</v>
      </c>
      <c r="E795" s="13" t="s">
        <v>23</v>
      </c>
      <c r="F795" s="13" t="s">
        <v>24</v>
      </c>
      <c r="G795" s="13" t="s">
        <v>140</v>
      </c>
      <c r="H795" s="13" t="s">
        <v>141</v>
      </c>
      <c r="I795" t="s">
        <v>35</v>
      </c>
      <c r="J795" s="13" t="s">
        <v>36</v>
      </c>
      <c r="K795" s="13" t="s">
        <v>47</v>
      </c>
      <c r="L795" s="13" t="s">
        <v>48</v>
      </c>
      <c r="M795" t="s">
        <v>139</v>
      </c>
      <c r="N795">
        <v>1744</v>
      </c>
      <c r="O795" s="14">
        <v>0.764562132302672</v>
      </c>
      <c r="P795" s="14">
        <v>0.40435861097648701</v>
      </c>
      <c r="Q795" t="str">
        <f t="shared" si="24"/>
        <v>10-14</v>
      </c>
      <c r="R795" t="str">
        <f t="shared" si="25"/>
        <v>[GkIwZrXy1h2]|10-14|Male|HIV_PREV.T_1|CY2023Q3</v>
      </c>
    </row>
    <row r="796" spans="4:18" x14ac:dyDescent="0.2">
      <c r="D796" s="13" t="s">
        <v>22</v>
      </c>
      <c r="E796" s="13" t="s">
        <v>23</v>
      </c>
      <c r="F796" s="13" t="s">
        <v>24</v>
      </c>
      <c r="G796" s="13" t="s">
        <v>140</v>
      </c>
      <c r="H796" s="13" t="s">
        <v>141</v>
      </c>
      <c r="I796" t="s">
        <v>37</v>
      </c>
      <c r="J796" s="13" t="s">
        <v>38</v>
      </c>
      <c r="K796" s="13" t="s">
        <v>47</v>
      </c>
      <c r="L796" s="13" t="s">
        <v>48</v>
      </c>
      <c r="M796" t="s">
        <v>139</v>
      </c>
      <c r="N796">
        <v>1784</v>
      </c>
      <c r="O796" s="14">
        <v>0.44102633767761301</v>
      </c>
      <c r="P796" s="14">
        <v>0.40435861097648701</v>
      </c>
      <c r="Q796" t="str">
        <f t="shared" si="24"/>
        <v>15-24</v>
      </c>
      <c r="R796" t="str">
        <f t="shared" si="25"/>
        <v>[GkIwZrXy1h2]|15-24|Male|HIV_PREV.T_1|CY2023Q3</v>
      </c>
    </row>
    <row r="797" spans="4:18" x14ac:dyDescent="0.2">
      <c r="D797" s="13" t="s">
        <v>22</v>
      </c>
      <c r="E797" s="13" t="s">
        <v>23</v>
      </c>
      <c r="F797" s="13" t="s">
        <v>24</v>
      </c>
      <c r="G797" s="13" t="s">
        <v>140</v>
      </c>
      <c r="H797" s="13" t="s">
        <v>141</v>
      </c>
      <c r="I797" t="s">
        <v>40</v>
      </c>
      <c r="J797" s="13" t="s">
        <v>41</v>
      </c>
      <c r="K797" s="13" t="s">
        <v>47</v>
      </c>
      <c r="L797" s="13" t="s">
        <v>48</v>
      </c>
      <c r="M797" t="s">
        <v>139</v>
      </c>
      <c r="N797">
        <v>838</v>
      </c>
      <c r="O797" s="14">
        <v>0.595303491689265</v>
      </c>
      <c r="P797" s="14">
        <v>0.40435861097648701</v>
      </c>
      <c r="Q797" t="str">
        <f t="shared" si="24"/>
        <v>25-34</v>
      </c>
      <c r="R797" t="str">
        <f t="shared" si="25"/>
        <v>[GkIwZrXy1h2]|25-34|Male|HIV_PREV.T_1|CY2023Q3</v>
      </c>
    </row>
    <row r="798" spans="4:18" x14ac:dyDescent="0.2">
      <c r="D798" s="13" t="s">
        <v>22</v>
      </c>
      <c r="E798" s="13" t="s">
        <v>23</v>
      </c>
      <c r="F798" s="13" t="s">
        <v>24</v>
      </c>
      <c r="G798" s="13" t="s">
        <v>140</v>
      </c>
      <c r="H798" s="13" t="s">
        <v>141</v>
      </c>
      <c r="I798" t="s">
        <v>42</v>
      </c>
      <c r="J798" s="13" t="s">
        <v>43</v>
      </c>
      <c r="K798" s="13" t="s">
        <v>47</v>
      </c>
      <c r="L798" s="13" t="s">
        <v>48</v>
      </c>
      <c r="M798" t="s">
        <v>139</v>
      </c>
      <c r="N798">
        <v>987</v>
      </c>
      <c r="O798" s="14">
        <v>0.83067115768790201</v>
      </c>
      <c r="P798" s="14">
        <v>0.40435861097648701</v>
      </c>
      <c r="Q798" t="str">
        <f t="shared" si="24"/>
        <v>35-49</v>
      </c>
      <c r="R798" t="str">
        <f t="shared" si="25"/>
        <v>[GkIwZrXy1h2]|35-49|Male|HIV_PREV.T_1|CY2023Q3</v>
      </c>
    </row>
    <row r="799" spans="4:18" x14ac:dyDescent="0.2">
      <c r="D799" s="13" t="s">
        <v>22</v>
      </c>
      <c r="E799" s="13" t="s">
        <v>23</v>
      </c>
      <c r="F799" s="13" t="s">
        <v>24</v>
      </c>
      <c r="G799" s="13" t="s">
        <v>140</v>
      </c>
      <c r="H799" s="13" t="s">
        <v>141</v>
      </c>
      <c r="I799" t="s">
        <v>44</v>
      </c>
      <c r="J799" s="13" t="s">
        <v>45</v>
      </c>
      <c r="K799" s="13" t="s">
        <v>47</v>
      </c>
      <c r="L799" s="13" t="s">
        <v>48</v>
      </c>
      <c r="M799" t="s">
        <v>139</v>
      </c>
      <c r="N799">
        <v>1130</v>
      </c>
      <c r="O799" s="14">
        <v>0.88358730007894304</v>
      </c>
      <c r="P799" s="14">
        <v>0.40435861097648701</v>
      </c>
      <c r="Q799" t="str">
        <f t="shared" si="24"/>
        <v>50+</v>
      </c>
      <c r="R799" t="str">
        <f t="shared" si="25"/>
        <v>[GkIwZrXy1h2]|50+|Male|HIV_PREV.T_1|CY2023Q3</v>
      </c>
    </row>
    <row r="800" spans="4:18" x14ac:dyDescent="0.2">
      <c r="D800" s="13" t="s">
        <v>52</v>
      </c>
      <c r="E800" s="13" t="s">
        <v>53</v>
      </c>
      <c r="F800" s="13" t="s">
        <v>54</v>
      </c>
      <c r="G800" s="13" t="s">
        <v>140</v>
      </c>
      <c r="H800" s="13" t="s">
        <v>141</v>
      </c>
      <c r="I800" t="s">
        <v>27</v>
      </c>
      <c r="J800" s="13" t="s">
        <v>28</v>
      </c>
      <c r="K800" s="13" t="s">
        <v>29</v>
      </c>
      <c r="L800" s="13" t="s">
        <v>30</v>
      </c>
      <c r="M800" t="s">
        <v>139</v>
      </c>
      <c r="N800">
        <v>1657</v>
      </c>
      <c r="O800" s="14">
        <v>0.201950876973569</v>
      </c>
      <c r="P800" s="14">
        <v>0.61639246996492103</v>
      </c>
      <c r="Q800" t="str">
        <f t="shared" si="24"/>
        <v>&lt;01</v>
      </c>
      <c r="R800" t="str">
        <f t="shared" si="25"/>
        <v>[zphK9WV8JB4]|&lt;01|Female|HIV_PREV.T_1|CY2023Q3</v>
      </c>
    </row>
    <row r="801" spans="4:18" x14ac:dyDescent="0.2">
      <c r="D801" s="13" t="s">
        <v>52</v>
      </c>
      <c r="E801" s="13" t="s">
        <v>53</v>
      </c>
      <c r="F801" s="13" t="s">
        <v>54</v>
      </c>
      <c r="G801" s="13" t="s">
        <v>140</v>
      </c>
      <c r="H801" s="13" t="s">
        <v>141</v>
      </c>
      <c r="I801" t="s">
        <v>32</v>
      </c>
      <c r="J801" s="13" t="s">
        <v>33</v>
      </c>
      <c r="K801" s="13" t="s">
        <v>29</v>
      </c>
      <c r="L801" s="13" t="s">
        <v>30</v>
      </c>
      <c r="M801" t="s">
        <v>139</v>
      </c>
      <c r="N801">
        <v>1967</v>
      </c>
      <c r="O801" s="14">
        <v>0.83816908928565703</v>
      </c>
      <c r="P801" s="14">
        <v>0.61639246996492103</v>
      </c>
      <c r="Q801" t="str">
        <f t="shared" si="24"/>
        <v>01-09</v>
      </c>
      <c r="R801" t="str">
        <f t="shared" si="25"/>
        <v>[zphK9WV8JB4]|01-09|Female|HIV_PREV.T_1|CY2023Q3</v>
      </c>
    </row>
    <row r="802" spans="4:18" x14ac:dyDescent="0.2">
      <c r="D802" s="13" t="s">
        <v>52</v>
      </c>
      <c r="E802" s="13" t="s">
        <v>53</v>
      </c>
      <c r="F802" s="13" t="s">
        <v>54</v>
      </c>
      <c r="G802" s="13" t="s">
        <v>140</v>
      </c>
      <c r="H802" s="13" t="s">
        <v>141</v>
      </c>
      <c r="I802" t="s">
        <v>35</v>
      </c>
      <c r="J802" s="13" t="s">
        <v>36</v>
      </c>
      <c r="K802" s="13" t="s">
        <v>29</v>
      </c>
      <c r="L802" s="13" t="s">
        <v>30</v>
      </c>
      <c r="M802" t="s">
        <v>139</v>
      </c>
      <c r="N802">
        <v>1550</v>
      </c>
      <c r="O802" s="14">
        <v>0.56714212661609098</v>
      </c>
      <c r="P802" s="14">
        <v>0.61639246996492103</v>
      </c>
      <c r="Q802" t="str">
        <f t="shared" si="24"/>
        <v>10-14</v>
      </c>
      <c r="R802" t="str">
        <f t="shared" si="25"/>
        <v>[zphK9WV8JB4]|10-14|Female|HIV_PREV.T_1|CY2023Q3</v>
      </c>
    </row>
    <row r="803" spans="4:18" x14ac:dyDescent="0.2">
      <c r="D803" s="13" t="s">
        <v>52</v>
      </c>
      <c r="E803" s="13" t="s">
        <v>53</v>
      </c>
      <c r="F803" s="13" t="s">
        <v>54</v>
      </c>
      <c r="G803" s="13" t="s">
        <v>140</v>
      </c>
      <c r="H803" s="13" t="s">
        <v>141</v>
      </c>
      <c r="I803" t="s">
        <v>37</v>
      </c>
      <c r="J803" s="13" t="s">
        <v>38</v>
      </c>
      <c r="K803" s="13" t="s">
        <v>29</v>
      </c>
      <c r="L803" s="13" t="s">
        <v>30</v>
      </c>
      <c r="M803" t="s">
        <v>139</v>
      </c>
      <c r="N803">
        <v>1645</v>
      </c>
      <c r="O803" s="14">
        <v>0.803112849360332</v>
      </c>
      <c r="P803" s="14">
        <v>0.61639246996492103</v>
      </c>
      <c r="Q803" t="str">
        <f t="shared" si="24"/>
        <v>15-24</v>
      </c>
      <c r="R803" t="str">
        <f t="shared" si="25"/>
        <v>[zphK9WV8JB4]|15-24|Female|HIV_PREV.T_1|CY2023Q3</v>
      </c>
    </row>
    <row r="804" spans="4:18" x14ac:dyDescent="0.2">
      <c r="D804" s="13" t="s">
        <v>52</v>
      </c>
      <c r="E804" s="13" t="s">
        <v>53</v>
      </c>
      <c r="F804" s="13" t="s">
        <v>54</v>
      </c>
      <c r="G804" s="13" t="s">
        <v>140</v>
      </c>
      <c r="H804" s="13" t="s">
        <v>141</v>
      </c>
      <c r="I804" t="s">
        <v>40</v>
      </c>
      <c r="J804" s="13" t="s">
        <v>41</v>
      </c>
      <c r="K804" s="13" t="s">
        <v>29</v>
      </c>
      <c r="L804" s="13" t="s">
        <v>30</v>
      </c>
      <c r="M804" t="s">
        <v>139</v>
      </c>
      <c r="N804">
        <v>1117</v>
      </c>
      <c r="O804" s="14">
        <v>0.143871945794672</v>
      </c>
      <c r="P804" s="14">
        <v>0.61639246996492103</v>
      </c>
      <c r="Q804" t="str">
        <f t="shared" si="24"/>
        <v>25-34</v>
      </c>
      <c r="R804" t="str">
        <f t="shared" si="25"/>
        <v>[zphK9WV8JB4]|25-34|Female|HIV_PREV.T_1|CY2023Q3</v>
      </c>
    </row>
    <row r="805" spans="4:18" x14ac:dyDescent="0.2">
      <c r="D805" s="13" t="s">
        <v>52</v>
      </c>
      <c r="E805" s="13" t="s">
        <v>53</v>
      </c>
      <c r="F805" s="13" t="s">
        <v>54</v>
      </c>
      <c r="G805" s="13" t="s">
        <v>140</v>
      </c>
      <c r="H805" s="13" t="s">
        <v>141</v>
      </c>
      <c r="I805" t="s">
        <v>42</v>
      </c>
      <c r="J805" s="13" t="s">
        <v>43</v>
      </c>
      <c r="K805" s="13" t="s">
        <v>29</v>
      </c>
      <c r="L805" s="13" t="s">
        <v>30</v>
      </c>
      <c r="M805" t="s">
        <v>139</v>
      </c>
      <c r="N805">
        <v>590</v>
      </c>
      <c r="O805" s="14">
        <v>0.41049360367469501</v>
      </c>
      <c r="P805" s="14">
        <v>0.61639246996492103</v>
      </c>
      <c r="Q805" t="str">
        <f t="shared" si="24"/>
        <v>35-49</v>
      </c>
      <c r="R805" t="str">
        <f t="shared" si="25"/>
        <v>[zphK9WV8JB4]|35-49|Female|HIV_PREV.T_1|CY2023Q3</v>
      </c>
    </row>
    <row r="806" spans="4:18" x14ac:dyDescent="0.2">
      <c r="D806" s="13" t="s">
        <v>52</v>
      </c>
      <c r="E806" s="13" t="s">
        <v>53</v>
      </c>
      <c r="F806" s="13" t="s">
        <v>54</v>
      </c>
      <c r="G806" s="13" t="s">
        <v>140</v>
      </c>
      <c r="H806" s="13" t="s">
        <v>141</v>
      </c>
      <c r="I806" t="s">
        <v>44</v>
      </c>
      <c r="J806" s="13" t="s">
        <v>45</v>
      </c>
      <c r="K806" s="13" t="s">
        <v>29</v>
      </c>
      <c r="L806" s="13" t="s">
        <v>30</v>
      </c>
      <c r="M806" t="s">
        <v>139</v>
      </c>
      <c r="N806">
        <v>621</v>
      </c>
      <c r="O806" s="14">
        <v>4.5372648630291203E-2</v>
      </c>
      <c r="P806" s="14">
        <v>0.61639246996492103</v>
      </c>
      <c r="Q806" t="str">
        <f t="shared" si="24"/>
        <v>50+</v>
      </c>
      <c r="R806" t="str">
        <f t="shared" si="25"/>
        <v>[zphK9WV8JB4]|50+|Female|HIV_PREV.T_1|CY2023Q3</v>
      </c>
    </row>
    <row r="807" spans="4:18" x14ac:dyDescent="0.2">
      <c r="D807" s="13" t="s">
        <v>52</v>
      </c>
      <c r="E807" s="13" t="s">
        <v>53</v>
      </c>
      <c r="F807" s="13" t="s">
        <v>54</v>
      </c>
      <c r="G807" s="13" t="s">
        <v>140</v>
      </c>
      <c r="H807" s="13" t="s">
        <v>141</v>
      </c>
      <c r="I807" t="s">
        <v>27</v>
      </c>
      <c r="J807" s="13" t="s">
        <v>28</v>
      </c>
      <c r="K807" s="13" t="s">
        <v>47</v>
      </c>
      <c r="L807" s="13" t="s">
        <v>48</v>
      </c>
      <c r="M807" t="s">
        <v>139</v>
      </c>
      <c r="N807">
        <v>1982</v>
      </c>
      <c r="O807" s="14">
        <v>0.59630774427205302</v>
      </c>
      <c r="P807" s="14">
        <v>0.61639246996492103</v>
      </c>
      <c r="Q807" t="str">
        <f t="shared" si="24"/>
        <v>&lt;01</v>
      </c>
      <c r="R807" t="str">
        <f t="shared" si="25"/>
        <v>[zphK9WV8JB4]|&lt;01|Male|HIV_PREV.T_1|CY2023Q3</v>
      </c>
    </row>
    <row r="808" spans="4:18" x14ac:dyDescent="0.2">
      <c r="D808" s="13" t="s">
        <v>52</v>
      </c>
      <c r="E808" s="13" t="s">
        <v>53</v>
      </c>
      <c r="F808" s="13" t="s">
        <v>54</v>
      </c>
      <c r="G808" s="13" t="s">
        <v>140</v>
      </c>
      <c r="H808" s="13" t="s">
        <v>141</v>
      </c>
      <c r="I808" t="s">
        <v>32</v>
      </c>
      <c r="J808" s="13" t="s">
        <v>33</v>
      </c>
      <c r="K808" s="13" t="s">
        <v>47</v>
      </c>
      <c r="L808" s="13" t="s">
        <v>48</v>
      </c>
      <c r="M808" t="s">
        <v>139</v>
      </c>
      <c r="N808">
        <v>813</v>
      </c>
      <c r="O808" s="14">
        <v>0.94483885960653402</v>
      </c>
      <c r="P808" s="14">
        <v>0.61639246996492103</v>
      </c>
      <c r="Q808" t="str">
        <f t="shared" si="24"/>
        <v>01-09</v>
      </c>
      <c r="R808" t="str">
        <f t="shared" si="25"/>
        <v>[zphK9WV8JB4]|01-09|Male|HIV_PREV.T_1|CY2023Q3</v>
      </c>
    </row>
    <row r="809" spans="4:18" x14ac:dyDescent="0.2">
      <c r="D809" s="13" t="s">
        <v>52</v>
      </c>
      <c r="E809" s="13" t="s">
        <v>53</v>
      </c>
      <c r="F809" s="13" t="s">
        <v>54</v>
      </c>
      <c r="G809" s="13" t="s">
        <v>140</v>
      </c>
      <c r="H809" s="13" t="s">
        <v>141</v>
      </c>
      <c r="I809" t="s">
        <v>35</v>
      </c>
      <c r="J809" s="13" t="s">
        <v>36</v>
      </c>
      <c r="K809" s="13" t="s">
        <v>47</v>
      </c>
      <c r="L809" s="13" t="s">
        <v>48</v>
      </c>
      <c r="M809" t="s">
        <v>139</v>
      </c>
      <c r="N809">
        <v>1402</v>
      </c>
      <c r="O809" s="14">
        <v>0.296729666879401</v>
      </c>
      <c r="P809" s="14">
        <v>0.61639246996492103</v>
      </c>
      <c r="Q809" t="str">
        <f t="shared" si="24"/>
        <v>10-14</v>
      </c>
      <c r="R809" t="str">
        <f t="shared" si="25"/>
        <v>[zphK9WV8JB4]|10-14|Male|HIV_PREV.T_1|CY2023Q3</v>
      </c>
    </row>
    <row r="810" spans="4:18" x14ac:dyDescent="0.2">
      <c r="D810" s="13" t="s">
        <v>52</v>
      </c>
      <c r="E810" s="13" t="s">
        <v>53</v>
      </c>
      <c r="F810" s="13" t="s">
        <v>54</v>
      </c>
      <c r="G810" s="13" t="s">
        <v>140</v>
      </c>
      <c r="H810" s="13" t="s">
        <v>141</v>
      </c>
      <c r="I810" t="s">
        <v>37</v>
      </c>
      <c r="J810" s="13" t="s">
        <v>38</v>
      </c>
      <c r="K810" s="13" t="s">
        <v>47</v>
      </c>
      <c r="L810" s="13" t="s">
        <v>48</v>
      </c>
      <c r="M810" t="s">
        <v>139</v>
      </c>
      <c r="N810">
        <v>988</v>
      </c>
      <c r="O810" s="14">
        <v>0.108100582147017</v>
      </c>
      <c r="P810" s="14">
        <v>0.61639246996492103</v>
      </c>
      <c r="Q810" t="str">
        <f t="shared" si="24"/>
        <v>15-24</v>
      </c>
      <c r="R810" t="str">
        <f t="shared" si="25"/>
        <v>[zphK9WV8JB4]|15-24|Male|HIV_PREV.T_1|CY2023Q3</v>
      </c>
    </row>
    <row r="811" spans="4:18" x14ac:dyDescent="0.2">
      <c r="D811" s="13" t="s">
        <v>52</v>
      </c>
      <c r="E811" s="13" t="s">
        <v>53</v>
      </c>
      <c r="F811" s="13" t="s">
        <v>54</v>
      </c>
      <c r="G811" s="13" t="s">
        <v>140</v>
      </c>
      <c r="H811" s="13" t="s">
        <v>141</v>
      </c>
      <c r="I811" t="s">
        <v>40</v>
      </c>
      <c r="J811" s="13" t="s">
        <v>41</v>
      </c>
      <c r="K811" s="13" t="s">
        <v>47</v>
      </c>
      <c r="L811" s="13" t="s">
        <v>48</v>
      </c>
      <c r="M811" t="s">
        <v>139</v>
      </c>
      <c r="N811">
        <v>1243</v>
      </c>
      <c r="O811" s="14">
        <v>0.47398286312818499</v>
      </c>
      <c r="P811" s="14">
        <v>0.61639246996492103</v>
      </c>
      <c r="Q811" t="str">
        <f t="shared" si="24"/>
        <v>25-34</v>
      </c>
      <c r="R811" t="str">
        <f t="shared" si="25"/>
        <v>[zphK9WV8JB4]|25-34|Male|HIV_PREV.T_1|CY2023Q3</v>
      </c>
    </row>
    <row r="812" spans="4:18" x14ac:dyDescent="0.2">
      <c r="D812" s="13" t="s">
        <v>52</v>
      </c>
      <c r="E812" s="13" t="s">
        <v>53</v>
      </c>
      <c r="F812" s="13" t="s">
        <v>54</v>
      </c>
      <c r="G812" s="13" t="s">
        <v>140</v>
      </c>
      <c r="H812" s="13" t="s">
        <v>141</v>
      </c>
      <c r="I812" t="s">
        <v>42</v>
      </c>
      <c r="J812" s="13" t="s">
        <v>43</v>
      </c>
      <c r="K812" s="13" t="s">
        <v>47</v>
      </c>
      <c r="L812" s="13" t="s">
        <v>48</v>
      </c>
      <c r="M812" t="s">
        <v>139</v>
      </c>
      <c r="N812">
        <v>532</v>
      </c>
      <c r="O812" s="14">
        <v>0.81394169852137599</v>
      </c>
      <c r="P812" s="14">
        <v>0.61639246996492103</v>
      </c>
      <c r="Q812" t="str">
        <f t="shared" si="24"/>
        <v>35-49</v>
      </c>
      <c r="R812" t="str">
        <f t="shared" si="25"/>
        <v>[zphK9WV8JB4]|35-49|Male|HIV_PREV.T_1|CY2023Q3</v>
      </c>
    </row>
    <row r="813" spans="4:18" x14ac:dyDescent="0.2">
      <c r="D813" s="13" t="s">
        <v>52</v>
      </c>
      <c r="E813" s="13" t="s">
        <v>53</v>
      </c>
      <c r="F813" s="13" t="s">
        <v>54</v>
      </c>
      <c r="G813" s="13" t="s">
        <v>140</v>
      </c>
      <c r="H813" s="13" t="s">
        <v>141</v>
      </c>
      <c r="I813" t="s">
        <v>44</v>
      </c>
      <c r="J813" s="13" t="s">
        <v>45</v>
      </c>
      <c r="K813" s="13" t="s">
        <v>47</v>
      </c>
      <c r="L813" s="13" t="s">
        <v>48</v>
      </c>
      <c r="M813" t="s">
        <v>139</v>
      </c>
      <c r="N813">
        <v>636</v>
      </c>
      <c r="O813" s="14">
        <v>0.74047137470915902</v>
      </c>
      <c r="P813" s="14">
        <v>0.61639246996492103</v>
      </c>
      <c r="Q813" t="str">
        <f t="shared" si="24"/>
        <v>50+</v>
      </c>
      <c r="R813" t="str">
        <f t="shared" si="25"/>
        <v>[zphK9WV8JB4]|50+|Male|HIV_PREV.T_1|CY2023Q3</v>
      </c>
    </row>
    <row r="814" spans="4:18" x14ac:dyDescent="0.2">
      <c r="D814" s="13" t="s">
        <v>59</v>
      </c>
      <c r="E814" s="13" t="s">
        <v>60</v>
      </c>
      <c r="F814" s="13" t="s">
        <v>61</v>
      </c>
      <c r="G814" s="13" t="s">
        <v>140</v>
      </c>
      <c r="H814" s="13" t="s">
        <v>141</v>
      </c>
      <c r="I814" t="s">
        <v>27</v>
      </c>
      <c r="J814" s="13" t="s">
        <v>28</v>
      </c>
      <c r="K814" s="13" t="s">
        <v>29</v>
      </c>
      <c r="L814" s="13" t="s">
        <v>30</v>
      </c>
      <c r="M814" t="s">
        <v>139</v>
      </c>
      <c r="N814">
        <v>1153</v>
      </c>
      <c r="O814" s="14">
        <v>0.54901240207254898</v>
      </c>
      <c r="P814" s="14">
        <v>2.6825056178495298E-2</v>
      </c>
      <c r="Q814" t="str">
        <f t="shared" si="24"/>
        <v>&lt;01</v>
      </c>
      <c r="R814" t="str">
        <f t="shared" si="25"/>
        <v>[msW2zpIN7up]|&lt;01|Female|HIV_PREV.T_1|CY2023Q3</v>
      </c>
    </row>
    <row r="815" spans="4:18" x14ac:dyDescent="0.2">
      <c r="D815" s="13" t="s">
        <v>59</v>
      </c>
      <c r="E815" s="13" t="s">
        <v>60</v>
      </c>
      <c r="F815" s="13" t="s">
        <v>61</v>
      </c>
      <c r="G815" s="13" t="s">
        <v>140</v>
      </c>
      <c r="H815" s="13" t="s">
        <v>141</v>
      </c>
      <c r="I815" t="s">
        <v>32</v>
      </c>
      <c r="J815" s="13" t="s">
        <v>33</v>
      </c>
      <c r="K815" s="13" t="s">
        <v>29</v>
      </c>
      <c r="L815" s="13" t="s">
        <v>30</v>
      </c>
      <c r="M815" t="s">
        <v>139</v>
      </c>
      <c r="N815">
        <v>623</v>
      </c>
      <c r="O815" s="14">
        <v>0.86534371948801003</v>
      </c>
      <c r="P815" s="14">
        <v>2.6825056178495298E-2</v>
      </c>
      <c r="Q815" t="str">
        <f t="shared" si="24"/>
        <v>01-09</v>
      </c>
      <c r="R815" t="str">
        <f t="shared" si="25"/>
        <v>[msW2zpIN7up]|01-09|Female|HIV_PREV.T_1|CY2023Q3</v>
      </c>
    </row>
    <row r="816" spans="4:18" x14ac:dyDescent="0.2">
      <c r="D816" s="13" t="s">
        <v>59</v>
      </c>
      <c r="E816" s="13" t="s">
        <v>60</v>
      </c>
      <c r="F816" s="13" t="s">
        <v>61</v>
      </c>
      <c r="G816" s="13" t="s">
        <v>140</v>
      </c>
      <c r="H816" s="13" t="s">
        <v>141</v>
      </c>
      <c r="I816" t="s">
        <v>35</v>
      </c>
      <c r="J816" s="13" t="s">
        <v>36</v>
      </c>
      <c r="K816" s="13" t="s">
        <v>29</v>
      </c>
      <c r="L816" s="13" t="s">
        <v>30</v>
      </c>
      <c r="M816" t="s">
        <v>139</v>
      </c>
      <c r="N816">
        <v>1937</v>
      </c>
      <c r="O816" s="14">
        <v>0.40854217344895</v>
      </c>
      <c r="P816" s="14">
        <v>2.6825056178495298E-2</v>
      </c>
      <c r="Q816" t="str">
        <f t="shared" si="24"/>
        <v>10-14</v>
      </c>
      <c r="R816" t="str">
        <f t="shared" si="25"/>
        <v>[msW2zpIN7up]|10-14|Female|HIV_PREV.T_1|CY2023Q3</v>
      </c>
    </row>
    <row r="817" spans="4:18" x14ac:dyDescent="0.2">
      <c r="D817" s="13" t="s">
        <v>59</v>
      </c>
      <c r="E817" s="13" t="s">
        <v>60</v>
      </c>
      <c r="F817" s="13" t="s">
        <v>61</v>
      </c>
      <c r="G817" s="13" t="s">
        <v>140</v>
      </c>
      <c r="H817" s="13" t="s">
        <v>141</v>
      </c>
      <c r="I817" t="s">
        <v>37</v>
      </c>
      <c r="J817" s="13" t="s">
        <v>38</v>
      </c>
      <c r="K817" s="13" t="s">
        <v>29</v>
      </c>
      <c r="L817" s="13" t="s">
        <v>30</v>
      </c>
      <c r="M817" t="s">
        <v>139</v>
      </c>
      <c r="N817">
        <v>1947</v>
      </c>
      <c r="O817" s="14">
        <v>0.63243638793937895</v>
      </c>
      <c r="P817" s="14">
        <v>2.6825056178495298E-2</v>
      </c>
      <c r="Q817" t="str">
        <f t="shared" si="24"/>
        <v>15-24</v>
      </c>
      <c r="R817" t="str">
        <f t="shared" si="25"/>
        <v>[msW2zpIN7up]|15-24|Female|HIV_PREV.T_1|CY2023Q3</v>
      </c>
    </row>
    <row r="818" spans="4:18" x14ac:dyDescent="0.2">
      <c r="D818" s="13" t="s">
        <v>59</v>
      </c>
      <c r="E818" s="13" t="s">
        <v>60</v>
      </c>
      <c r="F818" s="13" t="s">
        <v>61</v>
      </c>
      <c r="G818" s="13" t="s">
        <v>140</v>
      </c>
      <c r="H818" s="13" t="s">
        <v>141</v>
      </c>
      <c r="I818" t="s">
        <v>40</v>
      </c>
      <c r="J818" s="13" t="s">
        <v>41</v>
      </c>
      <c r="K818" s="13" t="s">
        <v>29</v>
      </c>
      <c r="L818" s="13" t="s">
        <v>30</v>
      </c>
      <c r="M818" t="s">
        <v>139</v>
      </c>
      <c r="N818">
        <v>1128</v>
      </c>
      <c r="O818" s="14">
        <v>0.34793443931266699</v>
      </c>
      <c r="P818" s="14">
        <v>2.6825056178495298E-2</v>
      </c>
      <c r="Q818" t="str">
        <f t="shared" si="24"/>
        <v>25-34</v>
      </c>
      <c r="R818" t="str">
        <f t="shared" si="25"/>
        <v>[msW2zpIN7up]|25-34|Female|HIV_PREV.T_1|CY2023Q3</v>
      </c>
    </row>
    <row r="819" spans="4:18" x14ac:dyDescent="0.2">
      <c r="D819" s="13" t="s">
        <v>59</v>
      </c>
      <c r="E819" s="13" t="s">
        <v>60</v>
      </c>
      <c r="F819" s="13" t="s">
        <v>61</v>
      </c>
      <c r="G819" s="13" t="s">
        <v>140</v>
      </c>
      <c r="H819" s="13" t="s">
        <v>141</v>
      </c>
      <c r="I819" t="s">
        <v>42</v>
      </c>
      <c r="J819" s="13" t="s">
        <v>43</v>
      </c>
      <c r="K819" s="13" t="s">
        <v>29</v>
      </c>
      <c r="L819" s="13" t="s">
        <v>30</v>
      </c>
      <c r="M819" t="s">
        <v>139</v>
      </c>
      <c r="N819">
        <v>1962</v>
      </c>
      <c r="O819" s="14">
        <v>1.6987407580017998E-2</v>
      </c>
      <c r="P819" s="14">
        <v>2.6825056178495298E-2</v>
      </c>
      <c r="Q819" t="str">
        <f t="shared" si="24"/>
        <v>35-49</v>
      </c>
      <c r="R819" t="str">
        <f t="shared" si="25"/>
        <v>[msW2zpIN7up]|35-49|Female|HIV_PREV.T_1|CY2023Q3</v>
      </c>
    </row>
    <row r="820" spans="4:18" x14ac:dyDescent="0.2">
      <c r="D820" s="13" t="s">
        <v>59</v>
      </c>
      <c r="E820" s="13" t="s">
        <v>60</v>
      </c>
      <c r="F820" s="13" t="s">
        <v>61</v>
      </c>
      <c r="G820" s="13" t="s">
        <v>140</v>
      </c>
      <c r="H820" s="13" t="s">
        <v>141</v>
      </c>
      <c r="I820" t="s">
        <v>44</v>
      </c>
      <c r="J820" s="13" t="s">
        <v>45</v>
      </c>
      <c r="K820" s="13" t="s">
        <v>29</v>
      </c>
      <c r="L820" s="13" t="s">
        <v>30</v>
      </c>
      <c r="M820" t="s">
        <v>139</v>
      </c>
      <c r="N820">
        <v>838</v>
      </c>
      <c r="O820" s="14">
        <v>0.90115365781821299</v>
      </c>
      <c r="P820" s="14">
        <v>2.6825056178495298E-2</v>
      </c>
      <c r="Q820" t="str">
        <f t="shared" si="24"/>
        <v>50+</v>
      </c>
      <c r="R820" t="str">
        <f t="shared" si="25"/>
        <v>[msW2zpIN7up]|50+|Female|HIV_PREV.T_1|CY2023Q3</v>
      </c>
    </row>
    <row r="821" spans="4:18" x14ac:dyDescent="0.2">
      <c r="D821" s="13" t="s">
        <v>59</v>
      </c>
      <c r="E821" s="13" t="s">
        <v>60</v>
      </c>
      <c r="F821" s="13" t="s">
        <v>61</v>
      </c>
      <c r="G821" s="13" t="s">
        <v>140</v>
      </c>
      <c r="H821" s="13" t="s">
        <v>141</v>
      </c>
      <c r="I821" t="s">
        <v>27</v>
      </c>
      <c r="J821" s="13" t="s">
        <v>28</v>
      </c>
      <c r="K821" s="13" t="s">
        <v>47</v>
      </c>
      <c r="L821" s="13" t="s">
        <v>48</v>
      </c>
      <c r="M821" t="s">
        <v>139</v>
      </c>
      <c r="N821">
        <v>586</v>
      </c>
      <c r="O821" s="14">
        <v>0.92384867602959297</v>
      </c>
      <c r="P821" s="14">
        <v>2.6825056178495298E-2</v>
      </c>
      <c r="Q821" t="str">
        <f t="shared" si="24"/>
        <v>&lt;01</v>
      </c>
      <c r="R821" t="str">
        <f t="shared" si="25"/>
        <v>[msW2zpIN7up]|&lt;01|Male|HIV_PREV.T_1|CY2023Q3</v>
      </c>
    </row>
    <row r="822" spans="4:18" x14ac:dyDescent="0.2">
      <c r="D822" s="13" t="s">
        <v>59</v>
      </c>
      <c r="E822" s="13" t="s">
        <v>60</v>
      </c>
      <c r="F822" s="13" t="s">
        <v>61</v>
      </c>
      <c r="G822" s="13" t="s">
        <v>140</v>
      </c>
      <c r="H822" s="13" t="s">
        <v>141</v>
      </c>
      <c r="I822" t="s">
        <v>32</v>
      </c>
      <c r="J822" s="13" t="s">
        <v>33</v>
      </c>
      <c r="K822" s="13" t="s">
        <v>47</v>
      </c>
      <c r="L822" s="13" t="s">
        <v>48</v>
      </c>
      <c r="M822" t="s">
        <v>139</v>
      </c>
      <c r="N822">
        <v>1425</v>
      </c>
      <c r="O822" s="14">
        <v>0.47299327724613199</v>
      </c>
      <c r="P822" s="14">
        <v>2.6825056178495298E-2</v>
      </c>
      <c r="Q822" t="str">
        <f t="shared" si="24"/>
        <v>01-09</v>
      </c>
      <c r="R822" t="str">
        <f t="shared" si="25"/>
        <v>[msW2zpIN7up]|01-09|Male|HIV_PREV.T_1|CY2023Q3</v>
      </c>
    </row>
    <row r="823" spans="4:18" x14ac:dyDescent="0.2">
      <c r="D823" s="13" t="s">
        <v>59</v>
      </c>
      <c r="E823" s="13" t="s">
        <v>60</v>
      </c>
      <c r="F823" s="13" t="s">
        <v>61</v>
      </c>
      <c r="G823" s="13" t="s">
        <v>140</v>
      </c>
      <c r="H823" s="13" t="s">
        <v>141</v>
      </c>
      <c r="I823" t="s">
        <v>35</v>
      </c>
      <c r="J823" s="13" t="s">
        <v>36</v>
      </c>
      <c r="K823" s="13" t="s">
        <v>47</v>
      </c>
      <c r="L823" s="13" t="s">
        <v>48</v>
      </c>
      <c r="M823" t="s">
        <v>139</v>
      </c>
      <c r="N823">
        <v>1066</v>
      </c>
      <c r="O823" s="14">
        <v>0.65077594853937604</v>
      </c>
      <c r="P823" s="14">
        <v>2.6825056178495298E-2</v>
      </c>
      <c r="Q823" t="str">
        <f t="shared" si="24"/>
        <v>10-14</v>
      </c>
      <c r="R823" t="str">
        <f t="shared" si="25"/>
        <v>[msW2zpIN7up]|10-14|Male|HIV_PREV.T_1|CY2023Q3</v>
      </c>
    </row>
    <row r="824" spans="4:18" x14ac:dyDescent="0.2">
      <c r="D824" s="13" t="s">
        <v>59</v>
      </c>
      <c r="E824" s="13" t="s">
        <v>60</v>
      </c>
      <c r="F824" s="13" t="s">
        <v>61</v>
      </c>
      <c r="G824" s="13" t="s">
        <v>140</v>
      </c>
      <c r="H824" s="13" t="s">
        <v>141</v>
      </c>
      <c r="I824" t="s">
        <v>37</v>
      </c>
      <c r="J824" s="13" t="s">
        <v>38</v>
      </c>
      <c r="K824" s="13" t="s">
        <v>47</v>
      </c>
      <c r="L824" s="13" t="s">
        <v>48</v>
      </c>
      <c r="M824" t="s">
        <v>139</v>
      </c>
      <c r="N824">
        <v>1984</v>
      </c>
      <c r="O824" s="14">
        <v>0.20770836388692299</v>
      </c>
      <c r="P824" s="14">
        <v>2.6825056178495298E-2</v>
      </c>
      <c r="Q824" t="str">
        <f t="shared" si="24"/>
        <v>15-24</v>
      </c>
      <c r="R824" t="str">
        <f t="shared" si="25"/>
        <v>[msW2zpIN7up]|15-24|Male|HIV_PREV.T_1|CY2023Q3</v>
      </c>
    </row>
    <row r="825" spans="4:18" x14ac:dyDescent="0.2">
      <c r="D825" s="13" t="s">
        <v>59</v>
      </c>
      <c r="E825" s="13" t="s">
        <v>60</v>
      </c>
      <c r="F825" s="13" t="s">
        <v>61</v>
      </c>
      <c r="G825" s="13" t="s">
        <v>140</v>
      </c>
      <c r="H825" s="13" t="s">
        <v>141</v>
      </c>
      <c r="I825" t="s">
        <v>40</v>
      </c>
      <c r="J825" s="13" t="s">
        <v>41</v>
      </c>
      <c r="K825" s="13" t="s">
        <v>47</v>
      </c>
      <c r="L825" s="13" t="s">
        <v>48</v>
      </c>
      <c r="M825" t="s">
        <v>139</v>
      </c>
      <c r="N825">
        <v>888</v>
      </c>
      <c r="O825" s="14">
        <v>0.16281287767924399</v>
      </c>
      <c r="P825" s="14">
        <v>2.6825056178495298E-2</v>
      </c>
      <c r="Q825" t="str">
        <f t="shared" si="24"/>
        <v>25-34</v>
      </c>
      <c r="R825" t="str">
        <f t="shared" si="25"/>
        <v>[msW2zpIN7up]|25-34|Male|HIV_PREV.T_1|CY2023Q3</v>
      </c>
    </row>
    <row r="826" spans="4:18" x14ac:dyDescent="0.2">
      <c r="D826" s="13" t="s">
        <v>59</v>
      </c>
      <c r="E826" s="13" t="s">
        <v>60</v>
      </c>
      <c r="F826" s="13" t="s">
        <v>61</v>
      </c>
      <c r="G826" s="13" t="s">
        <v>140</v>
      </c>
      <c r="H826" s="13" t="s">
        <v>141</v>
      </c>
      <c r="I826" t="s">
        <v>42</v>
      </c>
      <c r="J826" s="13" t="s">
        <v>43</v>
      </c>
      <c r="K826" s="13" t="s">
        <v>47</v>
      </c>
      <c r="L826" s="13" t="s">
        <v>48</v>
      </c>
      <c r="M826" t="s">
        <v>139</v>
      </c>
      <c r="N826">
        <v>1594</v>
      </c>
      <c r="O826" s="14">
        <v>0.94858498871326402</v>
      </c>
      <c r="P826" s="14">
        <v>2.6825056178495298E-2</v>
      </c>
      <c r="Q826" t="str">
        <f t="shared" si="24"/>
        <v>35-49</v>
      </c>
      <c r="R826" t="str">
        <f t="shared" si="25"/>
        <v>[msW2zpIN7up]|35-49|Male|HIV_PREV.T_1|CY2023Q3</v>
      </c>
    </row>
    <row r="827" spans="4:18" x14ac:dyDescent="0.2">
      <c r="D827" s="13" t="s">
        <v>59</v>
      </c>
      <c r="E827" s="13" t="s">
        <v>60</v>
      </c>
      <c r="F827" s="13" t="s">
        <v>61</v>
      </c>
      <c r="G827" s="13" t="s">
        <v>140</v>
      </c>
      <c r="H827" s="13" t="s">
        <v>141</v>
      </c>
      <c r="I827" t="s">
        <v>44</v>
      </c>
      <c r="J827" s="13" t="s">
        <v>45</v>
      </c>
      <c r="K827" s="13" t="s">
        <v>47</v>
      </c>
      <c r="L827" s="13" t="s">
        <v>48</v>
      </c>
      <c r="M827" t="s">
        <v>139</v>
      </c>
      <c r="N827">
        <v>1609</v>
      </c>
      <c r="O827" s="14">
        <v>0.66710559441707995</v>
      </c>
      <c r="P827" s="14">
        <v>2.6825056178495298E-2</v>
      </c>
      <c r="Q827" t="str">
        <f t="shared" si="24"/>
        <v>50+</v>
      </c>
      <c r="R827" t="str">
        <f t="shared" si="25"/>
        <v>[msW2zpIN7up]|50+|Male|HIV_PREV.T_1|CY2023Q3</v>
      </c>
    </row>
    <row r="828" spans="4:18" x14ac:dyDescent="0.2">
      <c r="D828" s="13" t="s">
        <v>62</v>
      </c>
      <c r="E828" s="13" t="s">
        <v>63</v>
      </c>
      <c r="F828" s="13" t="s">
        <v>64</v>
      </c>
      <c r="G828" s="13" t="s">
        <v>140</v>
      </c>
      <c r="H828" s="13" t="s">
        <v>141</v>
      </c>
      <c r="I828" t="s">
        <v>27</v>
      </c>
      <c r="J828" s="13" t="s">
        <v>28</v>
      </c>
      <c r="K828" s="13" t="s">
        <v>29</v>
      </c>
      <c r="L828" s="13" t="s">
        <v>30</v>
      </c>
      <c r="M828" t="s">
        <v>139</v>
      </c>
      <c r="N828">
        <v>931</v>
      </c>
      <c r="O828" s="14">
        <v>0.53823230182752002</v>
      </c>
      <c r="P828" s="14">
        <v>0.790102193132043</v>
      </c>
      <c r="Q828" t="str">
        <f t="shared" si="24"/>
        <v>&lt;01</v>
      </c>
      <c r="R828" t="str">
        <f t="shared" si="25"/>
        <v>[kxuuIFpOXyO]|&lt;01|Female|HIV_PREV.T_1|CY2023Q3</v>
      </c>
    </row>
    <row r="829" spans="4:18" x14ac:dyDescent="0.2">
      <c r="D829" s="13" t="s">
        <v>62</v>
      </c>
      <c r="E829" s="13" t="s">
        <v>63</v>
      </c>
      <c r="F829" s="13" t="s">
        <v>64</v>
      </c>
      <c r="G829" s="13" t="s">
        <v>140</v>
      </c>
      <c r="H829" s="13" t="s">
        <v>141</v>
      </c>
      <c r="I829" t="s">
        <v>32</v>
      </c>
      <c r="J829" s="13" t="s">
        <v>33</v>
      </c>
      <c r="K829" s="13" t="s">
        <v>29</v>
      </c>
      <c r="L829" s="13" t="s">
        <v>30</v>
      </c>
      <c r="M829" t="s">
        <v>139</v>
      </c>
      <c r="N829">
        <v>589</v>
      </c>
      <c r="O829" s="14">
        <v>0.335240588057786</v>
      </c>
      <c r="P829" s="14">
        <v>0.790102193132043</v>
      </c>
      <c r="Q829" t="str">
        <f t="shared" si="24"/>
        <v>01-09</v>
      </c>
      <c r="R829" t="str">
        <f t="shared" si="25"/>
        <v>[kxuuIFpOXyO]|01-09|Female|HIV_PREV.T_1|CY2023Q3</v>
      </c>
    </row>
    <row r="830" spans="4:18" x14ac:dyDescent="0.2">
      <c r="D830" s="13" t="s">
        <v>62</v>
      </c>
      <c r="E830" s="13" t="s">
        <v>63</v>
      </c>
      <c r="F830" s="13" t="s">
        <v>64</v>
      </c>
      <c r="G830" s="13" t="s">
        <v>140</v>
      </c>
      <c r="H830" s="13" t="s">
        <v>141</v>
      </c>
      <c r="I830" t="s">
        <v>35</v>
      </c>
      <c r="J830" s="13" t="s">
        <v>36</v>
      </c>
      <c r="K830" s="13" t="s">
        <v>29</v>
      </c>
      <c r="L830" s="13" t="s">
        <v>30</v>
      </c>
      <c r="M830" t="s">
        <v>139</v>
      </c>
      <c r="N830">
        <v>1287</v>
      </c>
      <c r="O830" s="14">
        <v>0.203457827912644</v>
      </c>
      <c r="P830" s="14">
        <v>0.790102193132043</v>
      </c>
      <c r="Q830" t="str">
        <f t="shared" si="24"/>
        <v>10-14</v>
      </c>
      <c r="R830" t="str">
        <f t="shared" si="25"/>
        <v>[kxuuIFpOXyO]|10-14|Female|HIV_PREV.T_1|CY2023Q3</v>
      </c>
    </row>
    <row r="831" spans="4:18" x14ac:dyDescent="0.2">
      <c r="D831" s="13" t="s">
        <v>62</v>
      </c>
      <c r="E831" s="13" t="s">
        <v>63</v>
      </c>
      <c r="F831" s="13" t="s">
        <v>64</v>
      </c>
      <c r="G831" s="13" t="s">
        <v>140</v>
      </c>
      <c r="H831" s="13" t="s">
        <v>141</v>
      </c>
      <c r="I831" t="s">
        <v>37</v>
      </c>
      <c r="J831" s="13" t="s">
        <v>38</v>
      </c>
      <c r="K831" s="13" t="s">
        <v>29</v>
      </c>
      <c r="L831" s="13" t="s">
        <v>30</v>
      </c>
      <c r="M831" t="s">
        <v>139</v>
      </c>
      <c r="N831">
        <v>1193</v>
      </c>
      <c r="O831" s="14">
        <v>6.3406517496332498E-2</v>
      </c>
      <c r="P831" s="14">
        <v>0.790102193132043</v>
      </c>
      <c r="Q831" t="str">
        <f t="shared" si="24"/>
        <v>15-24</v>
      </c>
      <c r="R831" t="str">
        <f t="shared" si="25"/>
        <v>[kxuuIFpOXyO]|15-24|Female|HIV_PREV.T_1|CY2023Q3</v>
      </c>
    </row>
    <row r="832" spans="4:18" x14ac:dyDescent="0.2">
      <c r="D832" s="13" t="s">
        <v>62</v>
      </c>
      <c r="E832" s="13" t="s">
        <v>63</v>
      </c>
      <c r="F832" s="13" t="s">
        <v>64</v>
      </c>
      <c r="G832" s="13" t="s">
        <v>140</v>
      </c>
      <c r="H832" s="13" t="s">
        <v>141</v>
      </c>
      <c r="I832" t="s">
        <v>40</v>
      </c>
      <c r="J832" s="13" t="s">
        <v>41</v>
      </c>
      <c r="K832" s="13" t="s">
        <v>29</v>
      </c>
      <c r="L832" s="13" t="s">
        <v>30</v>
      </c>
      <c r="M832" t="s">
        <v>139</v>
      </c>
      <c r="N832">
        <v>834</v>
      </c>
      <c r="O832" s="14">
        <v>0.34086007252335498</v>
      </c>
      <c r="P832" s="14">
        <v>0.790102193132043</v>
      </c>
      <c r="Q832" t="str">
        <f t="shared" si="24"/>
        <v>25-34</v>
      </c>
      <c r="R832" t="str">
        <f t="shared" si="25"/>
        <v>[kxuuIFpOXyO]|25-34|Female|HIV_PREV.T_1|CY2023Q3</v>
      </c>
    </row>
    <row r="833" spans="4:18" x14ac:dyDescent="0.2">
      <c r="D833" s="13" t="s">
        <v>62</v>
      </c>
      <c r="E833" s="13" t="s">
        <v>63</v>
      </c>
      <c r="F833" s="13" t="s">
        <v>64</v>
      </c>
      <c r="G833" s="13" t="s">
        <v>140</v>
      </c>
      <c r="H833" s="13" t="s">
        <v>141</v>
      </c>
      <c r="I833" t="s">
        <v>42</v>
      </c>
      <c r="J833" s="13" t="s">
        <v>43</v>
      </c>
      <c r="K833" s="13" t="s">
        <v>29</v>
      </c>
      <c r="L833" s="13" t="s">
        <v>30</v>
      </c>
      <c r="M833" t="s">
        <v>139</v>
      </c>
      <c r="N833">
        <v>677</v>
      </c>
      <c r="O833" s="14">
        <v>0.25120079447515298</v>
      </c>
      <c r="P833" s="14">
        <v>0.790102193132043</v>
      </c>
      <c r="Q833" t="str">
        <f t="shared" si="24"/>
        <v>35-49</v>
      </c>
      <c r="R833" t="str">
        <f t="shared" si="25"/>
        <v>[kxuuIFpOXyO]|35-49|Female|HIV_PREV.T_1|CY2023Q3</v>
      </c>
    </row>
    <row r="834" spans="4:18" x14ac:dyDescent="0.2">
      <c r="D834" s="13" t="s">
        <v>62</v>
      </c>
      <c r="E834" s="13" t="s">
        <v>63</v>
      </c>
      <c r="F834" s="13" t="s">
        <v>64</v>
      </c>
      <c r="G834" s="13" t="s">
        <v>140</v>
      </c>
      <c r="H834" s="13" t="s">
        <v>141</v>
      </c>
      <c r="I834" t="s">
        <v>44</v>
      </c>
      <c r="J834" s="13" t="s">
        <v>45</v>
      </c>
      <c r="K834" s="13" t="s">
        <v>29</v>
      </c>
      <c r="L834" s="13" t="s">
        <v>30</v>
      </c>
      <c r="M834" t="s">
        <v>139</v>
      </c>
      <c r="N834">
        <v>1133</v>
      </c>
      <c r="O834" s="14">
        <v>0.20180914015509199</v>
      </c>
      <c r="P834" s="14">
        <v>0.790102193132043</v>
      </c>
      <c r="Q834" t="str">
        <f t="shared" ref="Q834:Q897" si="26">SUBSTITUTE(SUBSTITUTE($I834,CHAR(61),""),CHAR(34),"")</f>
        <v>50+</v>
      </c>
      <c r="R834" t="str">
        <f t="shared" ref="R834:R897" si="27">IF($D834&lt;&gt;"","["&amp;$E834&amp;"]"&amp;"|"&amp;$Q834&amp;"|"&amp;$K834&amp;"|"&amp;$G834&amp;"|"&amp;IF($G834="TX_CURR_SUBNAT.R","CY2022Q4",$M834),"")</f>
        <v>[kxuuIFpOXyO]|50+|Female|HIV_PREV.T_1|CY2023Q3</v>
      </c>
    </row>
    <row r="835" spans="4:18" x14ac:dyDescent="0.2">
      <c r="D835" s="13" t="s">
        <v>62</v>
      </c>
      <c r="E835" s="13" t="s">
        <v>63</v>
      </c>
      <c r="F835" s="13" t="s">
        <v>64</v>
      </c>
      <c r="G835" s="13" t="s">
        <v>140</v>
      </c>
      <c r="H835" s="13" t="s">
        <v>141</v>
      </c>
      <c r="I835" t="s">
        <v>27</v>
      </c>
      <c r="J835" s="13" t="s">
        <v>28</v>
      </c>
      <c r="K835" s="13" t="s">
        <v>47</v>
      </c>
      <c r="L835" s="13" t="s">
        <v>48</v>
      </c>
      <c r="M835" t="s">
        <v>139</v>
      </c>
      <c r="N835">
        <v>1569</v>
      </c>
      <c r="O835" s="14">
        <v>0.63185855094343402</v>
      </c>
      <c r="P835" s="14">
        <v>0.790102193132043</v>
      </c>
      <c r="Q835" t="str">
        <f t="shared" si="26"/>
        <v>&lt;01</v>
      </c>
      <c r="R835" t="str">
        <f t="shared" si="27"/>
        <v>[kxuuIFpOXyO]|&lt;01|Male|HIV_PREV.T_1|CY2023Q3</v>
      </c>
    </row>
    <row r="836" spans="4:18" x14ac:dyDescent="0.2">
      <c r="D836" s="13" t="s">
        <v>62</v>
      </c>
      <c r="E836" s="13" t="s">
        <v>63</v>
      </c>
      <c r="F836" s="13" t="s">
        <v>64</v>
      </c>
      <c r="G836" s="13" t="s">
        <v>140</v>
      </c>
      <c r="H836" s="13" t="s">
        <v>141</v>
      </c>
      <c r="I836" t="s">
        <v>32</v>
      </c>
      <c r="J836" s="13" t="s">
        <v>33</v>
      </c>
      <c r="K836" s="13" t="s">
        <v>47</v>
      </c>
      <c r="L836" s="13" t="s">
        <v>48</v>
      </c>
      <c r="M836" t="s">
        <v>139</v>
      </c>
      <c r="N836">
        <v>1930</v>
      </c>
      <c r="O836" s="14">
        <v>0.662273653084412</v>
      </c>
      <c r="P836" s="14">
        <v>0.790102193132043</v>
      </c>
      <c r="Q836" t="str">
        <f t="shared" si="26"/>
        <v>01-09</v>
      </c>
      <c r="R836" t="str">
        <f t="shared" si="27"/>
        <v>[kxuuIFpOXyO]|01-09|Male|HIV_PREV.T_1|CY2023Q3</v>
      </c>
    </row>
    <row r="837" spans="4:18" x14ac:dyDescent="0.2">
      <c r="D837" s="13" t="s">
        <v>62</v>
      </c>
      <c r="E837" s="13" t="s">
        <v>63</v>
      </c>
      <c r="F837" s="13" t="s">
        <v>64</v>
      </c>
      <c r="G837" s="13" t="s">
        <v>140</v>
      </c>
      <c r="H837" s="13" t="s">
        <v>141</v>
      </c>
      <c r="I837" t="s">
        <v>35</v>
      </c>
      <c r="J837" s="13" t="s">
        <v>36</v>
      </c>
      <c r="K837" s="13" t="s">
        <v>47</v>
      </c>
      <c r="L837" s="13" t="s">
        <v>48</v>
      </c>
      <c r="M837" t="s">
        <v>139</v>
      </c>
      <c r="N837">
        <v>1440</v>
      </c>
      <c r="O837" s="14">
        <v>0.98861421993933596</v>
      </c>
      <c r="P837" s="14">
        <v>0.790102193132043</v>
      </c>
      <c r="Q837" t="str">
        <f t="shared" si="26"/>
        <v>10-14</v>
      </c>
      <c r="R837" t="str">
        <f t="shared" si="27"/>
        <v>[kxuuIFpOXyO]|10-14|Male|HIV_PREV.T_1|CY2023Q3</v>
      </c>
    </row>
    <row r="838" spans="4:18" x14ac:dyDescent="0.2">
      <c r="D838" s="13" t="s">
        <v>62</v>
      </c>
      <c r="E838" s="13" t="s">
        <v>63</v>
      </c>
      <c r="F838" s="13" t="s">
        <v>64</v>
      </c>
      <c r="G838" s="13" t="s">
        <v>140</v>
      </c>
      <c r="H838" s="13" t="s">
        <v>141</v>
      </c>
      <c r="I838" t="s">
        <v>37</v>
      </c>
      <c r="J838" s="13" t="s">
        <v>38</v>
      </c>
      <c r="K838" s="13" t="s">
        <v>47</v>
      </c>
      <c r="L838" s="13" t="s">
        <v>48</v>
      </c>
      <c r="M838" t="s">
        <v>139</v>
      </c>
      <c r="N838">
        <v>1090</v>
      </c>
      <c r="O838" s="14">
        <v>0.158494761912152</v>
      </c>
      <c r="P838" s="14">
        <v>0.790102193132043</v>
      </c>
      <c r="Q838" t="str">
        <f t="shared" si="26"/>
        <v>15-24</v>
      </c>
      <c r="R838" t="str">
        <f t="shared" si="27"/>
        <v>[kxuuIFpOXyO]|15-24|Male|HIV_PREV.T_1|CY2023Q3</v>
      </c>
    </row>
    <row r="839" spans="4:18" x14ac:dyDescent="0.2">
      <c r="D839" s="13" t="s">
        <v>62</v>
      </c>
      <c r="E839" s="13" t="s">
        <v>63</v>
      </c>
      <c r="F839" s="13" t="s">
        <v>64</v>
      </c>
      <c r="G839" s="13" t="s">
        <v>140</v>
      </c>
      <c r="H839" s="13" t="s">
        <v>141</v>
      </c>
      <c r="I839" t="s">
        <v>40</v>
      </c>
      <c r="J839" s="13" t="s">
        <v>41</v>
      </c>
      <c r="K839" s="13" t="s">
        <v>47</v>
      </c>
      <c r="L839" s="13" t="s">
        <v>48</v>
      </c>
      <c r="M839" t="s">
        <v>139</v>
      </c>
      <c r="N839">
        <v>916</v>
      </c>
      <c r="O839" s="14">
        <v>0.74960418185219202</v>
      </c>
      <c r="P839" s="14">
        <v>0.790102193132043</v>
      </c>
      <c r="Q839" t="str">
        <f t="shared" si="26"/>
        <v>25-34</v>
      </c>
      <c r="R839" t="str">
        <f t="shared" si="27"/>
        <v>[kxuuIFpOXyO]|25-34|Male|HIV_PREV.T_1|CY2023Q3</v>
      </c>
    </row>
    <row r="840" spans="4:18" x14ac:dyDescent="0.2">
      <c r="D840" s="13" t="s">
        <v>62</v>
      </c>
      <c r="E840" s="13" t="s">
        <v>63</v>
      </c>
      <c r="F840" s="13" t="s">
        <v>64</v>
      </c>
      <c r="G840" s="13" t="s">
        <v>140</v>
      </c>
      <c r="H840" s="13" t="s">
        <v>141</v>
      </c>
      <c r="I840" t="s">
        <v>42</v>
      </c>
      <c r="J840" s="13" t="s">
        <v>43</v>
      </c>
      <c r="K840" s="13" t="s">
        <v>47</v>
      </c>
      <c r="L840" s="13" t="s">
        <v>48</v>
      </c>
      <c r="M840" t="s">
        <v>139</v>
      </c>
      <c r="N840">
        <v>1731</v>
      </c>
      <c r="O840" s="14">
        <v>0.74958966812118899</v>
      </c>
      <c r="P840" s="14">
        <v>0.790102193132043</v>
      </c>
      <c r="Q840" t="str">
        <f t="shared" si="26"/>
        <v>35-49</v>
      </c>
      <c r="R840" t="str">
        <f t="shared" si="27"/>
        <v>[kxuuIFpOXyO]|35-49|Male|HIV_PREV.T_1|CY2023Q3</v>
      </c>
    </row>
    <row r="841" spans="4:18" x14ac:dyDescent="0.2">
      <c r="D841" s="13" t="s">
        <v>62</v>
      </c>
      <c r="E841" s="13" t="s">
        <v>63</v>
      </c>
      <c r="F841" s="13" t="s">
        <v>64</v>
      </c>
      <c r="G841" s="13" t="s">
        <v>140</v>
      </c>
      <c r="H841" s="13" t="s">
        <v>141</v>
      </c>
      <c r="I841" t="s">
        <v>44</v>
      </c>
      <c r="J841" s="13" t="s">
        <v>45</v>
      </c>
      <c r="K841" s="13" t="s">
        <v>47</v>
      </c>
      <c r="L841" s="13" t="s">
        <v>48</v>
      </c>
      <c r="M841" t="s">
        <v>139</v>
      </c>
      <c r="N841">
        <v>908</v>
      </c>
      <c r="O841" s="14">
        <v>0.91819720785133496</v>
      </c>
      <c r="P841" s="14">
        <v>0.790102193132043</v>
      </c>
      <c r="Q841" t="str">
        <f t="shared" si="26"/>
        <v>50+</v>
      </c>
      <c r="R841" t="str">
        <f t="shared" si="27"/>
        <v>[kxuuIFpOXyO]|50+|Male|HIV_PREV.T_1|CY2023Q3</v>
      </c>
    </row>
    <row r="842" spans="4:18" x14ac:dyDescent="0.2">
      <c r="D842" s="13" t="s">
        <v>65</v>
      </c>
      <c r="E842" s="13" t="s">
        <v>66</v>
      </c>
      <c r="F842" s="13" t="s">
        <v>67</v>
      </c>
      <c r="G842" s="13" t="s">
        <v>140</v>
      </c>
      <c r="H842" s="13" t="s">
        <v>141</v>
      </c>
      <c r="I842" t="s">
        <v>27</v>
      </c>
      <c r="J842" s="13" t="s">
        <v>28</v>
      </c>
      <c r="K842" s="13" t="s">
        <v>29</v>
      </c>
      <c r="L842" s="13" t="s">
        <v>30</v>
      </c>
      <c r="M842" t="s">
        <v>139</v>
      </c>
      <c r="N842">
        <v>1042</v>
      </c>
      <c r="O842" s="14">
        <v>0.37045910046435898</v>
      </c>
      <c r="P842" s="14">
        <v>0.16460988437756899</v>
      </c>
      <c r="Q842" t="str">
        <f t="shared" si="26"/>
        <v>&lt;01</v>
      </c>
      <c r="R842" t="str">
        <f t="shared" si="27"/>
        <v>[ScR9iFKAasW]|&lt;01|Female|HIV_PREV.T_1|CY2023Q3</v>
      </c>
    </row>
    <row r="843" spans="4:18" x14ac:dyDescent="0.2">
      <c r="D843" s="13" t="s">
        <v>65</v>
      </c>
      <c r="E843" s="13" t="s">
        <v>66</v>
      </c>
      <c r="F843" s="13" t="s">
        <v>67</v>
      </c>
      <c r="G843" s="13" t="s">
        <v>140</v>
      </c>
      <c r="H843" s="13" t="s">
        <v>141</v>
      </c>
      <c r="I843" t="s">
        <v>32</v>
      </c>
      <c r="J843" s="13" t="s">
        <v>33</v>
      </c>
      <c r="K843" s="13" t="s">
        <v>29</v>
      </c>
      <c r="L843" s="13" t="s">
        <v>30</v>
      </c>
      <c r="M843" t="s">
        <v>139</v>
      </c>
      <c r="N843">
        <v>616</v>
      </c>
      <c r="O843" s="14">
        <v>0.72853186540305603</v>
      </c>
      <c r="P843" s="14">
        <v>0.16460988437756899</v>
      </c>
      <c r="Q843" t="str">
        <f t="shared" si="26"/>
        <v>01-09</v>
      </c>
      <c r="R843" t="str">
        <f t="shared" si="27"/>
        <v>[ScR9iFKAasW]|01-09|Female|HIV_PREV.T_1|CY2023Q3</v>
      </c>
    </row>
    <row r="844" spans="4:18" x14ac:dyDescent="0.2">
      <c r="D844" s="13" t="s">
        <v>65</v>
      </c>
      <c r="E844" s="13" t="s">
        <v>66</v>
      </c>
      <c r="F844" s="13" t="s">
        <v>67</v>
      </c>
      <c r="G844" s="13" t="s">
        <v>140</v>
      </c>
      <c r="H844" s="13" t="s">
        <v>141</v>
      </c>
      <c r="I844" t="s">
        <v>35</v>
      </c>
      <c r="J844" s="13" t="s">
        <v>36</v>
      </c>
      <c r="K844" s="13" t="s">
        <v>29</v>
      </c>
      <c r="L844" s="13" t="s">
        <v>30</v>
      </c>
      <c r="M844" t="s">
        <v>139</v>
      </c>
      <c r="N844">
        <v>1552</v>
      </c>
      <c r="O844" s="14">
        <v>0.87841346021741595</v>
      </c>
      <c r="P844" s="14">
        <v>0.16460988437756899</v>
      </c>
      <c r="Q844" t="str">
        <f t="shared" si="26"/>
        <v>10-14</v>
      </c>
      <c r="R844" t="str">
        <f t="shared" si="27"/>
        <v>[ScR9iFKAasW]|10-14|Female|HIV_PREV.T_1|CY2023Q3</v>
      </c>
    </row>
    <row r="845" spans="4:18" x14ac:dyDescent="0.2">
      <c r="D845" s="13" t="s">
        <v>65</v>
      </c>
      <c r="E845" s="13" t="s">
        <v>66</v>
      </c>
      <c r="F845" s="13" t="s">
        <v>67</v>
      </c>
      <c r="G845" s="13" t="s">
        <v>140</v>
      </c>
      <c r="H845" s="13" t="s">
        <v>141</v>
      </c>
      <c r="I845" t="s">
        <v>37</v>
      </c>
      <c r="J845" s="13" t="s">
        <v>38</v>
      </c>
      <c r="K845" s="13" t="s">
        <v>29</v>
      </c>
      <c r="L845" s="13" t="s">
        <v>30</v>
      </c>
      <c r="M845" t="s">
        <v>139</v>
      </c>
      <c r="N845">
        <v>1802</v>
      </c>
      <c r="O845" s="14">
        <v>0.226867008022964</v>
      </c>
      <c r="P845" s="14">
        <v>0.16460988437756899</v>
      </c>
      <c r="Q845" t="str">
        <f t="shared" si="26"/>
        <v>15-24</v>
      </c>
      <c r="R845" t="str">
        <f t="shared" si="27"/>
        <v>[ScR9iFKAasW]|15-24|Female|HIV_PREV.T_1|CY2023Q3</v>
      </c>
    </row>
    <row r="846" spans="4:18" x14ac:dyDescent="0.2">
      <c r="D846" s="13" t="s">
        <v>65</v>
      </c>
      <c r="E846" s="13" t="s">
        <v>66</v>
      </c>
      <c r="F846" s="13" t="s">
        <v>67</v>
      </c>
      <c r="G846" s="13" t="s">
        <v>140</v>
      </c>
      <c r="H846" s="13" t="s">
        <v>141</v>
      </c>
      <c r="I846" t="s">
        <v>40</v>
      </c>
      <c r="J846" s="13" t="s">
        <v>41</v>
      </c>
      <c r="K846" s="13" t="s">
        <v>29</v>
      </c>
      <c r="L846" s="13" t="s">
        <v>30</v>
      </c>
      <c r="M846" t="s">
        <v>139</v>
      </c>
      <c r="N846">
        <v>812</v>
      </c>
      <c r="O846" s="14">
        <v>0.72889059223234698</v>
      </c>
      <c r="P846" s="14">
        <v>0.16460988437756899</v>
      </c>
      <c r="Q846" t="str">
        <f t="shared" si="26"/>
        <v>25-34</v>
      </c>
      <c r="R846" t="str">
        <f t="shared" si="27"/>
        <v>[ScR9iFKAasW]|25-34|Female|HIV_PREV.T_1|CY2023Q3</v>
      </c>
    </row>
    <row r="847" spans="4:18" x14ac:dyDescent="0.2">
      <c r="D847" s="13" t="s">
        <v>65</v>
      </c>
      <c r="E847" s="13" t="s">
        <v>66</v>
      </c>
      <c r="F847" s="13" t="s">
        <v>67</v>
      </c>
      <c r="G847" s="13" t="s">
        <v>140</v>
      </c>
      <c r="H847" s="13" t="s">
        <v>141</v>
      </c>
      <c r="I847" t="s">
        <v>42</v>
      </c>
      <c r="J847" s="13" t="s">
        <v>43</v>
      </c>
      <c r="K847" s="13" t="s">
        <v>29</v>
      </c>
      <c r="L847" s="13" t="s">
        <v>30</v>
      </c>
      <c r="M847" t="s">
        <v>139</v>
      </c>
      <c r="N847">
        <v>1781</v>
      </c>
      <c r="O847" s="14">
        <v>9.52226752415299E-2</v>
      </c>
      <c r="P847" s="14">
        <v>0.16460988437756899</v>
      </c>
      <c r="Q847" t="str">
        <f t="shared" si="26"/>
        <v>35-49</v>
      </c>
      <c r="R847" t="str">
        <f t="shared" si="27"/>
        <v>[ScR9iFKAasW]|35-49|Female|HIV_PREV.T_1|CY2023Q3</v>
      </c>
    </row>
    <row r="848" spans="4:18" x14ac:dyDescent="0.2">
      <c r="D848" s="13" t="s">
        <v>65</v>
      </c>
      <c r="E848" s="13" t="s">
        <v>66</v>
      </c>
      <c r="F848" s="13" t="s">
        <v>67</v>
      </c>
      <c r="G848" s="13" t="s">
        <v>140</v>
      </c>
      <c r="H848" s="13" t="s">
        <v>141</v>
      </c>
      <c r="I848" t="s">
        <v>44</v>
      </c>
      <c r="J848" s="13" t="s">
        <v>45</v>
      </c>
      <c r="K848" s="13" t="s">
        <v>29</v>
      </c>
      <c r="L848" s="13" t="s">
        <v>30</v>
      </c>
      <c r="M848" t="s">
        <v>139</v>
      </c>
      <c r="N848">
        <v>1836</v>
      </c>
      <c r="O848" s="14">
        <v>0.469778415514156</v>
      </c>
      <c r="P848" s="14">
        <v>0.16460988437756899</v>
      </c>
      <c r="Q848" t="str">
        <f t="shared" si="26"/>
        <v>50+</v>
      </c>
      <c r="R848" t="str">
        <f t="shared" si="27"/>
        <v>[ScR9iFKAasW]|50+|Female|HIV_PREV.T_1|CY2023Q3</v>
      </c>
    </row>
    <row r="849" spans="4:18" x14ac:dyDescent="0.2">
      <c r="D849" s="13" t="s">
        <v>65</v>
      </c>
      <c r="E849" s="13" t="s">
        <v>66</v>
      </c>
      <c r="F849" s="13" t="s">
        <v>67</v>
      </c>
      <c r="G849" s="13" t="s">
        <v>140</v>
      </c>
      <c r="H849" s="13" t="s">
        <v>141</v>
      </c>
      <c r="I849" t="s">
        <v>27</v>
      </c>
      <c r="J849" s="13" t="s">
        <v>28</v>
      </c>
      <c r="K849" s="13" t="s">
        <v>47</v>
      </c>
      <c r="L849" s="13" t="s">
        <v>48</v>
      </c>
      <c r="M849" t="s">
        <v>139</v>
      </c>
      <c r="N849">
        <v>690</v>
      </c>
      <c r="O849" s="14">
        <v>0.36654104874469301</v>
      </c>
      <c r="P849" s="14">
        <v>0.16460988437756899</v>
      </c>
      <c r="Q849" t="str">
        <f t="shared" si="26"/>
        <v>&lt;01</v>
      </c>
      <c r="R849" t="str">
        <f t="shared" si="27"/>
        <v>[ScR9iFKAasW]|&lt;01|Male|HIV_PREV.T_1|CY2023Q3</v>
      </c>
    </row>
    <row r="850" spans="4:18" x14ac:dyDescent="0.2">
      <c r="D850" s="13" t="s">
        <v>65</v>
      </c>
      <c r="E850" s="13" t="s">
        <v>66</v>
      </c>
      <c r="F850" s="13" t="s">
        <v>67</v>
      </c>
      <c r="G850" s="13" t="s">
        <v>140</v>
      </c>
      <c r="H850" s="13" t="s">
        <v>141</v>
      </c>
      <c r="I850" t="s">
        <v>32</v>
      </c>
      <c r="J850" s="13" t="s">
        <v>33</v>
      </c>
      <c r="K850" s="13" t="s">
        <v>47</v>
      </c>
      <c r="L850" s="13" t="s">
        <v>48</v>
      </c>
      <c r="M850" t="s">
        <v>139</v>
      </c>
      <c r="N850">
        <v>1878</v>
      </c>
      <c r="O850" s="14">
        <v>0.69826423842459895</v>
      </c>
      <c r="P850" s="14">
        <v>0.16460988437756899</v>
      </c>
      <c r="Q850" t="str">
        <f t="shared" si="26"/>
        <v>01-09</v>
      </c>
      <c r="R850" t="str">
        <f t="shared" si="27"/>
        <v>[ScR9iFKAasW]|01-09|Male|HIV_PREV.T_1|CY2023Q3</v>
      </c>
    </row>
    <row r="851" spans="4:18" x14ac:dyDescent="0.2">
      <c r="D851" s="13" t="s">
        <v>65</v>
      </c>
      <c r="E851" s="13" t="s">
        <v>66</v>
      </c>
      <c r="F851" s="13" t="s">
        <v>67</v>
      </c>
      <c r="G851" s="13" t="s">
        <v>140</v>
      </c>
      <c r="H851" s="13" t="s">
        <v>141</v>
      </c>
      <c r="I851" t="s">
        <v>35</v>
      </c>
      <c r="J851" s="13" t="s">
        <v>36</v>
      </c>
      <c r="K851" s="13" t="s">
        <v>47</v>
      </c>
      <c r="L851" s="13" t="s">
        <v>48</v>
      </c>
      <c r="M851" t="s">
        <v>139</v>
      </c>
      <c r="N851">
        <v>1806</v>
      </c>
      <c r="O851" s="14">
        <v>0.18739623506553499</v>
      </c>
      <c r="P851" s="14">
        <v>0.16460988437756899</v>
      </c>
      <c r="Q851" t="str">
        <f t="shared" si="26"/>
        <v>10-14</v>
      </c>
      <c r="R851" t="str">
        <f t="shared" si="27"/>
        <v>[ScR9iFKAasW]|10-14|Male|HIV_PREV.T_1|CY2023Q3</v>
      </c>
    </row>
    <row r="852" spans="4:18" x14ac:dyDescent="0.2">
      <c r="D852" s="13" t="s">
        <v>65</v>
      </c>
      <c r="E852" s="13" t="s">
        <v>66</v>
      </c>
      <c r="F852" s="13" t="s">
        <v>67</v>
      </c>
      <c r="G852" s="13" t="s">
        <v>140</v>
      </c>
      <c r="H852" s="13" t="s">
        <v>141</v>
      </c>
      <c r="I852" t="s">
        <v>37</v>
      </c>
      <c r="J852" s="13" t="s">
        <v>38</v>
      </c>
      <c r="K852" s="13" t="s">
        <v>47</v>
      </c>
      <c r="L852" s="13" t="s">
        <v>48</v>
      </c>
      <c r="M852" t="s">
        <v>139</v>
      </c>
      <c r="N852">
        <v>1947</v>
      </c>
      <c r="O852" s="14">
        <v>0.60506848525255896</v>
      </c>
      <c r="P852" s="14">
        <v>0.16460988437756899</v>
      </c>
      <c r="Q852" t="str">
        <f t="shared" si="26"/>
        <v>15-24</v>
      </c>
      <c r="R852" t="str">
        <f t="shared" si="27"/>
        <v>[ScR9iFKAasW]|15-24|Male|HIV_PREV.T_1|CY2023Q3</v>
      </c>
    </row>
    <row r="853" spans="4:18" x14ac:dyDescent="0.2">
      <c r="D853" s="13" t="s">
        <v>65</v>
      </c>
      <c r="E853" s="13" t="s">
        <v>66</v>
      </c>
      <c r="F853" s="13" t="s">
        <v>67</v>
      </c>
      <c r="G853" s="13" t="s">
        <v>140</v>
      </c>
      <c r="H853" s="13" t="s">
        <v>141</v>
      </c>
      <c r="I853" t="s">
        <v>40</v>
      </c>
      <c r="J853" s="13" t="s">
        <v>41</v>
      </c>
      <c r="K853" s="13" t="s">
        <v>47</v>
      </c>
      <c r="L853" s="13" t="s">
        <v>48</v>
      </c>
      <c r="M853" t="s">
        <v>139</v>
      </c>
      <c r="N853">
        <v>1679</v>
      </c>
      <c r="O853" s="14">
        <v>9.33155650272965E-4</v>
      </c>
      <c r="P853" s="14">
        <v>0.16460988437756899</v>
      </c>
      <c r="Q853" t="str">
        <f t="shared" si="26"/>
        <v>25-34</v>
      </c>
      <c r="R853" t="str">
        <f t="shared" si="27"/>
        <v>[ScR9iFKAasW]|25-34|Male|HIV_PREV.T_1|CY2023Q3</v>
      </c>
    </row>
    <row r="854" spans="4:18" x14ac:dyDescent="0.2">
      <c r="D854" s="13" t="s">
        <v>65</v>
      </c>
      <c r="E854" s="13" t="s">
        <v>66</v>
      </c>
      <c r="F854" s="13" t="s">
        <v>67</v>
      </c>
      <c r="G854" s="13" t="s">
        <v>140</v>
      </c>
      <c r="H854" s="13" t="s">
        <v>141</v>
      </c>
      <c r="I854" t="s">
        <v>42</v>
      </c>
      <c r="J854" s="13" t="s">
        <v>43</v>
      </c>
      <c r="K854" s="13" t="s">
        <v>47</v>
      </c>
      <c r="L854" s="13" t="s">
        <v>48</v>
      </c>
      <c r="M854" t="s">
        <v>139</v>
      </c>
      <c r="N854">
        <v>727</v>
      </c>
      <c r="O854" s="14">
        <v>0.61073539964854695</v>
      </c>
      <c r="P854" s="14">
        <v>0.16460988437756899</v>
      </c>
      <c r="Q854" t="str">
        <f t="shared" si="26"/>
        <v>35-49</v>
      </c>
      <c r="R854" t="str">
        <f t="shared" si="27"/>
        <v>[ScR9iFKAasW]|35-49|Male|HIV_PREV.T_1|CY2023Q3</v>
      </c>
    </row>
    <row r="855" spans="4:18" x14ac:dyDescent="0.2">
      <c r="D855" s="13" t="s">
        <v>65</v>
      </c>
      <c r="E855" s="13" t="s">
        <v>66</v>
      </c>
      <c r="F855" s="13" t="s">
        <v>67</v>
      </c>
      <c r="G855" s="13" t="s">
        <v>140</v>
      </c>
      <c r="H855" s="13" t="s">
        <v>141</v>
      </c>
      <c r="I855" t="s">
        <v>44</v>
      </c>
      <c r="J855" s="13" t="s">
        <v>45</v>
      </c>
      <c r="K855" s="13" t="s">
        <v>47</v>
      </c>
      <c r="L855" s="13" t="s">
        <v>48</v>
      </c>
      <c r="M855" t="s">
        <v>139</v>
      </c>
      <c r="N855">
        <v>1686</v>
      </c>
      <c r="O855" s="14">
        <v>0.27359089977107898</v>
      </c>
      <c r="P855" s="14">
        <v>0.16460988437756899</v>
      </c>
      <c r="Q855" t="str">
        <f t="shared" si="26"/>
        <v>50+</v>
      </c>
      <c r="R855" t="str">
        <f t="shared" si="27"/>
        <v>[ScR9iFKAasW]|50+|Male|HIV_PREV.T_1|CY2023Q3</v>
      </c>
    </row>
    <row r="856" spans="4:18" x14ac:dyDescent="0.2">
      <c r="D856" s="13" t="s">
        <v>68</v>
      </c>
      <c r="E856" s="13" t="s">
        <v>69</v>
      </c>
      <c r="F856" s="13" t="s">
        <v>70</v>
      </c>
      <c r="G856" s="13" t="s">
        <v>140</v>
      </c>
      <c r="H856" s="13" t="s">
        <v>141</v>
      </c>
      <c r="I856" t="s">
        <v>27</v>
      </c>
      <c r="J856" s="13" t="s">
        <v>28</v>
      </c>
      <c r="K856" s="13" t="s">
        <v>29</v>
      </c>
      <c r="L856" s="13" t="s">
        <v>30</v>
      </c>
      <c r="M856" t="s">
        <v>139</v>
      </c>
      <c r="N856">
        <v>1236</v>
      </c>
      <c r="O856" s="14">
        <v>0.410585090750828</v>
      </c>
      <c r="P856" s="14">
        <v>0.19881726312451101</v>
      </c>
      <c r="Q856" t="str">
        <f t="shared" si="26"/>
        <v>&lt;01</v>
      </c>
      <c r="R856" t="str">
        <f t="shared" si="27"/>
        <v>[PekKUkKHAzY]|&lt;01|Female|HIV_PREV.T_1|CY2023Q3</v>
      </c>
    </row>
    <row r="857" spans="4:18" x14ac:dyDescent="0.2">
      <c r="D857" s="13" t="s">
        <v>68</v>
      </c>
      <c r="E857" s="13" t="s">
        <v>69</v>
      </c>
      <c r="F857" s="13" t="s">
        <v>70</v>
      </c>
      <c r="G857" s="13" t="s">
        <v>140</v>
      </c>
      <c r="H857" s="13" t="s">
        <v>141</v>
      </c>
      <c r="I857" t="s">
        <v>32</v>
      </c>
      <c r="J857" s="13" t="s">
        <v>33</v>
      </c>
      <c r="K857" s="13" t="s">
        <v>29</v>
      </c>
      <c r="L857" s="13" t="s">
        <v>30</v>
      </c>
      <c r="M857" t="s">
        <v>139</v>
      </c>
      <c r="N857">
        <v>1903</v>
      </c>
      <c r="O857" s="14">
        <v>0.60485855885781303</v>
      </c>
      <c r="P857" s="14">
        <v>0.19881726312451101</v>
      </c>
      <c r="Q857" t="str">
        <f t="shared" si="26"/>
        <v>01-09</v>
      </c>
      <c r="R857" t="str">
        <f t="shared" si="27"/>
        <v>[PekKUkKHAzY]|01-09|Female|HIV_PREV.T_1|CY2023Q3</v>
      </c>
    </row>
    <row r="858" spans="4:18" x14ac:dyDescent="0.2">
      <c r="D858" s="13" t="s">
        <v>68</v>
      </c>
      <c r="E858" s="13" t="s">
        <v>69</v>
      </c>
      <c r="F858" s="13" t="s">
        <v>70</v>
      </c>
      <c r="G858" s="13" t="s">
        <v>140</v>
      </c>
      <c r="H858" s="13" t="s">
        <v>141</v>
      </c>
      <c r="I858" t="s">
        <v>35</v>
      </c>
      <c r="J858" s="13" t="s">
        <v>36</v>
      </c>
      <c r="K858" s="13" t="s">
        <v>29</v>
      </c>
      <c r="L858" s="13" t="s">
        <v>30</v>
      </c>
      <c r="M858" t="s">
        <v>139</v>
      </c>
      <c r="N858">
        <v>945</v>
      </c>
      <c r="O858" s="14">
        <v>0.49869925412349397</v>
      </c>
      <c r="P858" s="14">
        <v>0.19881726312451101</v>
      </c>
      <c r="Q858" t="str">
        <f t="shared" si="26"/>
        <v>10-14</v>
      </c>
      <c r="R858" t="str">
        <f t="shared" si="27"/>
        <v>[PekKUkKHAzY]|10-14|Female|HIV_PREV.T_1|CY2023Q3</v>
      </c>
    </row>
    <row r="859" spans="4:18" x14ac:dyDescent="0.2">
      <c r="D859" s="13" t="s">
        <v>68</v>
      </c>
      <c r="E859" s="13" t="s">
        <v>69</v>
      </c>
      <c r="F859" s="13" t="s">
        <v>70</v>
      </c>
      <c r="G859" s="13" t="s">
        <v>140</v>
      </c>
      <c r="H859" s="13" t="s">
        <v>141</v>
      </c>
      <c r="I859" t="s">
        <v>37</v>
      </c>
      <c r="J859" s="13" t="s">
        <v>38</v>
      </c>
      <c r="K859" s="13" t="s">
        <v>29</v>
      </c>
      <c r="L859" s="13" t="s">
        <v>30</v>
      </c>
      <c r="M859" t="s">
        <v>139</v>
      </c>
      <c r="N859">
        <v>939</v>
      </c>
      <c r="O859" s="14">
        <v>0.40822095889598098</v>
      </c>
      <c r="P859" s="14">
        <v>0.19881726312451101</v>
      </c>
      <c r="Q859" t="str">
        <f t="shared" si="26"/>
        <v>15-24</v>
      </c>
      <c r="R859" t="str">
        <f t="shared" si="27"/>
        <v>[PekKUkKHAzY]|15-24|Female|HIV_PREV.T_1|CY2023Q3</v>
      </c>
    </row>
    <row r="860" spans="4:18" x14ac:dyDescent="0.2">
      <c r="D860" s="13" t="s">
        <v>68</v>
      </c>
      <c r="E860" s="13" t="s">
        <v>69</v>
      </c>
      <c r="F860" s="13" t="s">
        <v>70</v>
      </c>
      <c r="G860" s="13" t="s">
        <v>140</v>
      </c>
      <c r="H860" s="13" t="s">
        <v>141</v>
      </c>
      <c r="I860" t="s">
        <v>40</v>
      </c>
      <c r="J860" s="13" t="s">
        <v>41</v>
      </c>
      <c r="K860" s="13" t="s">
        <v>29</v>
      </c>
      <c r="L860" s="13" t="s">
        <v>30</v>
      </c>
      <c r="M860" t="s">
        <v>139</v>
      </c>
      <c r="N860">
        <v>909</v>
      </c>
      <c r="O860" s="14">
        <v>0.42017905297689101</v>
      </c>
      <c r="P860" s="14">
        <v>0.19881726312451101</v>
      </c>
      <c r="Q860" t="str">
        <f t="shared" si="26"/>
        <v>25-34</v>
      </c>
      <c r="R860" t="str">
        <f t="shared" si="27"/>
        <v>[PekKUkKHAzY]|25-34|Female|HIV_PREV.T_1|CY2023Q3</v>
      </c>
    </row>
    <row r="861" spans="4:18" x14ac:dyDescent="0.2">
      <c r="D861" s="13" t="s">
        <v>68</v>
      </c>
      <c r="E861" s="13" t="s">
        <v>69</v>
      </c>
      <c r="F861" s="13" t="s">
        <v>70</v>
      </c>
      <c r="G861" s="13" t="s">
        <v>140</v>
      </c>
      <c r="H861" s="13" t="s">
        <v>141</v>
      </c>
      <c r="I861" t="s">
        <v>42</v>
      </c>
      <c r="J861" s="13" t="s">
        <v>43</v>
      </c>
      <c r="K861" s="13" t="s">
        <v>29</v>
      </c>
      <c r="L861" s="13" t="s">
        <v>30</v>
      </c>
      <c r="M861" t="s">
        <v>139</v>
      </c>
      <c r="N861">
        <v>1692</v>
      </c>
      <c r="O861" s="14">
        <v>0.308862265199423</v>
      </c>
      <c r="P861" s="14">
        <v>0.19881726312451101</v>
      </c>
      <c r="Q861" t="str">
        <f t="shared" si="26"/>
        <v>35-49</v>
      </c>
      <c r="R861" t="str">
        <f t="shared" si="27"/>
        <v>[PekKUkKHAzY]|35-49|Female|HIV_PREV.T_1|CY2023Q3</v>
      </c>
    </row>
    <row r="862" spans="4:18" x14ac:dyDescent="0.2">
      <c r="D862" s="13" t="s">
        <v>68</v>
      </c>
      <c r="E862" s="13" t="s">
        <v>69</v>
      </c>
      <c r="F862" s="13" t="s">
        <v>70</v>
      </c>
      <c r="G862" s="13" t="s">
        <v>140</v>
      </c>
      <c r="H862" s="13" t="s">
        <v>141</v>
      </c>
      <c r="I862" t="s">
        <v>44</v>
      </c>
      <c r="J862" s="13" t="s">
        <v>45</v>
      </c>
      <c r="K862" s="13" t="s">
        <v>29</v>
      </c>
      <c r="L862" s="13" t="s">
        <v>30</v>
      </c>
      <c r="M862" t="s">
        <v>139</v>
      </c>
      <c r="N862">
        <v>1642</v>
      </c>
      <c r="O862" s="14">
        <v>0.63480527955107402</v>
      </c>
      <c r="P862" s="14">
        <v>0.19881726312451101</v>
      </c>
      <c r="Q862" t="str">
        <f t="shared" si="26"/>
        <v>50+</v>
      </c>
      <c r="R862" t="str">
        <f t="shared" si="27"/>
        <v>[PekKUkKHAzY]|50+|Female|HIV_PREV.T_1|CY2023Q3</v>
      </c>
    </row>
    <row r="863" spans="4:18" x14ac:dyDescent="0.2">
      <c r="D863" s="13" t="s">
        <v>68</v>
      </c>
      <c r="E863" s="13" t="s">
        <v>69</v>
      </c>
      <c r="F863" s="13" t="s">
        <v>70</v>
      </c>
      <c r="G863" s="13" t="s">
        <v>140</v>
      </c>
      <c r="H863" s="13" t="s">
        <v>141</v>
      </c>
      <c r="I863" t="s">
        <v>27</v>
      </c>
      <c r="J863" s="13" t="s">
        <v>28</v>
      </c>
      <c r="K863" s="13" t="s">
        <v>47</v>
      </c>
      <c r="L863" s="13" t="s">
        <v>48</v>
      </c>
      <c r="M863" t="s">
        <v>139</v>
      </c>
      <c r="N863">
        <v>1036</v>
      </c>
      <c r="O863" s="14">
        <v>0.817214315524325</v>
      </c>
      <c r="P863" s="14">
        <v>0.19881726312451101</v>
      </c>
      <c r="Q863" t="str">
        <f t="shared" si="26"/>
        <v>&lt;01</v>
      </c>
      <c r="R863" t="str">
        <f t="shared" si="27"/>
        <v>[PekKUkKHAzY]|&lt;01|Male|HIV_PREV.T_1|CY2023Q3</v>
      </c>
    </row>
    <row r="864" spans="4:18" x14ac:dyDescent="0.2">
      <c r="D864" s="13" t="s">
        <v>68</v>
      </c>
      <c r="E864" s="13" t="s">
        <v>69</v>
      </c>
      <c r="F864" s="13" t="s">
        <v>70</v>
      </c>
      <c r="G864" s="13" t="s">
        <v>140</v>
      </c>
      <c r="H864" s="13" t="s">
        <v>141</v>
      </c>
      <c r="I864" t="s">
        <v>32</v>
      </c>
      <c r="J864" s="13" t="s">
        <v>33</v>
      </c>
      <c r="K864" s="13" t="s">
        <v>47</v>
      </c>
      <c r="L864" s="13" t="s">
        <v>48</v>
      </c>
      <c r="M864" t="s">
        <v>139</v>
      </c>
      <c r="N864">
        <v>570</v>
      </c>
      <c r="O864" s="14">
        <v>0.2300344936084</v>
      </c>
      <c r="P864" s="14">
        <v>0.19881726312451101</v>
      </c>
      <c r="Q864" t="str">
        <f t="shared" si="26"/>
        <v>01-09</v>
      </c>
      <c r="R864" t="str">
        <f t="shared" si="27"/>
        <v>[PekKUkKHAzY]|01-09|Male|HIV_PREV.T_1|CY2023Q3</v>
      </c>
    </row>
    <row r="865" spans="4:18" x14ac:dyDescent="0.2">
      <c r="D865" s="13" t="s">
        <v>68</v>
      </c>
      <c r="E865" s="13" t="s">
        <v>69</v>
      </c>
      <c r="F865" s="13" t="s">
        <v>70</v>
      </c>
      <c r="G865" s="13" t="s">
        <v>140</v>
      </c>
      <c r="H865" s="13" t="s">
        <v>141</v>
      </c>
      <c r="I865" t="s">
        <v>35</v>
      </c>
      <c r="J865" s="13" t="s">
        <v>36</v>
      </c>
      <c r="K865" s="13" t="s">
        <v>47</v>
      </c>
      <c r="L865" s="13" t="s">
        <v>48</v>
      </c>
      <c r="M865" t="s">
        <v>139</v>
      </c>
      <c r="N865">
        <v>1871</v>
      </c>
      <c r="O865" s="14">
        <v>0.75318786851130404</v>
      </c>
      <c r="P865" s="14">
        <v>0.19881726312451101</v>
      </c>
      <c r="Q865" t="str">
        <f t="shared" si="26"/>
        <v>10-14</v>
      </c>
      <c r="R865" t="str">
        <f t="shared" si="27"/>
        <v>[PekKUkKHAzY]|10-14|Male|HIV_PREV.T_1|CY2023Q3</v>
      </c>
    </row>
    <row r="866" spans="4:18" x14ac:dyDescent="0.2">
      <c r="D866" s="13" t="s">
        <v>68</v>
      </c>
      <c r="E866" s="13" t="s">
        <v>69</v>
      </c>
      <c r="F866" s="13" t="s">
        <v>70</v>
      </c>
      <c r="G866" s="13" t="s">
        <v>140</v>
      </c>
      <c r="H866" s="13" t="s">
        <v>141</v>
      </c>
      <c r="I866" t="s">
        <v>37</v>
      </c>
      <c r="J866" s="13" t="s">
        <v>38</v>
      </c>
      <c r="K866" s="13" t="s">
        <v>47</v>
      </c>
      <c r="L866" s="13" t="s">
        <v>48</v>
      </c>
      <c r="M866" t="s">
        <v>139</v>
      </c>
      <c r="N866">
        <v>1526</v>
      </c>
      <c r="O866" s="14">
        <v>0.84876081673428405</v>
      </c>
      <c r="P866" s="14">
        <v>0.19881726312451101</v>
      </c>
      <c r="Q866" t="str">
        <f t="shared" si="26"/>
        <v>15-24</v>
      </c>
      <c r="R866" t="str">
        <f t="shared" si="27"/>
        <v>[PekKUkKHAzY]|15-24|Male|HIV_PREV.T_1|CY2023Q3</v>
      </c>
    </row>
    <row r="867" spans="4:18" x14ac:dyDescent="0.2">
      <c r="D867" s="13" t="s">
        <v>68</v>
      </c>
      <c r="E867" s="13" t="s">
        <v>69</v>
      </c>
      <c r="F867" s="13" t="s">
        <v>70</v>
      </c>
      <c r="G867" s="13" t="s">
        <v>140</v>
      </c>
      <c r="H867" s="13" t="s">
        <v>141</v>
      </c>
      <c r="I867" t="s">
        <v>40</v>
      </c>
      <c r="J867" s="13" t="s">
        <v>41</v>
      </c>
      <c r="K867" s="13" t="s">
        <v>47</v>
      </c>
      <c r="L867" s="13" t="s">
        <v>48</v>
      </c>
      <c r="M867" t="s">
        <v>139</v>
      </c>
      <c r="N867">
        <v>1934</v>
      </c>
      <c r="O867" s="14">
        <v>0.68939306773245301</v>
      </c>
      <c r="P867" s="14">
        <v>0.19881726312451101</v>
      </c>
      <c r="Q867" t="str">
        <f t="shared" si="26"/>
        <v>25-34</v>
      </c>
      <c r="R867" t="str">
        <f t="shared" si="27"/>
        <v>[PekKUkKHAzY]|25-34|Male|HIV_PREV.T_1|CY2023Q3</v>
      </c>
    </row>
    <row r="868" spans="4:18" x14ac:dyDescent="0.2">
      <c r="D868" s="13" t="s">
        <v>68</v>
      </c>
      <c r="E868" s="13" t="s">
        <v>69</v>
      </c>
      <c r="F868" s="13" t="s">
        <v>70</v>
      </c>
      <c r="G868" s="13" t="s">
        <v>140</v>
      </c>
      <c r="H868" s="13" t="s">
        <v>141</v>
      </c>
      <c r="I868" t="s">
        <v>42</v>
      </c>
      <c r="J868" s="13" t="s">
        <v>43</v>
      </c>
      <c r="K868" s="13" t="s">
        <v>47</v>
      </c>
      <c r="L868" s="13" t="s">
        <v>48</v>
      </c>
      <c r="M868" t="s">
        <v>139</v>
      </c>
      <c r="N868">
        <v>1076</v>
      </c>
      <c r="O868" s="14">
        <v>0.50126969162374702</v>
      </c>
      <c r="P868" s="14">
        <v>0.19881726312451101</v>
      </c>
      <c r="Q868" t="str">
        <f t="shared" si="26"/>
        <v>35-49</v>
      </c>
      <c r="R868" t="str">
        <f t="shared" si="27"/>
        <v>[PekKUkKHAzY]|35-49|Male|HIV_PREV.T_1|CY2023Q3</v>
      </c>
    </row>
    <row r="869" spans="4:18" x14ac:dyDescent="0.2">
      <c r="D869" s="13" t="s">
        <v>68</v>
      </c>
      <c r="E869" s="13" t="s">
        <v>69</v>
      </c>
      <c r="F869" s="13" t="s">
        <v>70</v>
      </c>
      <c r="G869" s="13" t="s">
        <v>140</v>
      </c>
      <c r="H869" s="13" t="s">
        <v>141</v>
      </c>
      <c r="I869" t="s">
        <v>44</v>
      </c>
      <c r="J869" s="13" t="s">
        <v>45</v>
      </c>
      <c r="K869" s="13" t="s">
        <v>47</v>
      </c>
      <c r="L869" s="13" t="s">
        <v>48</v>
      </c>
      <c r="M869" t="s">
        <v>139</v>
      </c>
      <c r="N869">
        <v>1688</v>
      </c>
      <c r="O869" s="14">
        <v>0.112396675162017</v>
      </c>
      <c r="P869" s="14">
        <v>0.19881726312451101</v>
      </c>
      <c r="Q869" t="str">
        <f t="shared" si="26"/>
        <v>50+</v>
      </c>
      <c r="R869" t="str">
        <f t="shared" si="27"/>
        <v>[PekKUkKHAzY]|50+|Male|HIV_PREV.T_1|CY2023Q3</v>
      </c>
    </row>
    <row r="870" spans="4:18" x14ac:dyDescent="0.2">
      <c r="D870" s="13" t="s">
        <v>71</v>
      </c>
      <c r="E870" s="13" t="s">
        <v>72</v>
      </c>
      <c r="F870" s="13" t="s">
        <v>73</v>
      </c>
      <c r="G870" s="13" t="s">
        <v>140</v>
      </c>
      <c r="H870" s="13" t="s">
        <v>141</v>
      </c>
      <c r="I870" t="s">
        <v>27</v>
      </c>
      <c r="J870" s="13" t="s">
        <v>28</v>
      </c>
      <c r="K870" s="13" t="s">
        <v>29</v>
      </c>
      <c r="L870" s="13" t="s">
        <v>30</v>
      </c>
      <c r="M870" t="s">
        <v>139</v>
      </c>
      <c r="N870">
        <v>1107</v>
      </c>
      <c r="O870" s="14">
        <v>0.40328812738880498</v>
      </c>
      <c r="P870" s="14">
        <v>0.28972870693542102</v>
      </c>
      <c r="Q870" t="str">
        <f t="shared" si="26"/>
        <v>&lt;01</v>
      </c>
      <c r="R870" t="str">
        <f t="shared" si="27"/>
        <v>[am530wpaGvr]|&lt;01|Female|HIV_PREV.T_1|CY2023Q3</v>
      </c>
    </row>
    <row r="871" spans="4:18" x14ac:dyDescent="0.2">
      <c r="D871" s="13" t="s">
        <v>71</v>
      </c>
      <c r="E871" s="13" t="s">
        <v>72</v>
      </c>
      <c r="F871" s="13" t="s">
        <v>73</v>
      </c>
      <c r="G871" s="13" t="s">
        <v>140</v>
      </c>
      <c r="H871" s="13" t="s">
        <v>141</v>
      </c>
      <c r="I871" t="s">
        <v>32</v>
      </c>
      <c r="J871" s="13" t="s">
        <v>33</v>
      </c>
      <c r="K871" s="13" t="s">
        <v>29</v>
      </c>
      <c r="L871" s="13" t="s">
        <v>30</v>
      </c>
      <c r="M871" t="s">
        <v>139</v>
      </c>
      <c r="N871">
        <v>1833</v>
      </c>
      <c r="O871" s="14">
        <v>0.107122624758631</v>
      </c>
      <c r="P871" s="14">
        <v>0.28972870693542102</v>
      </c>
      <c r="Q871" t="str">
        <f t="shared" si="26"/>
        <v>01-09</v>
      </c>
      <c r="R871" t="str">
        <f t="shared" si="27"/>
        <v>[am530wpaGvr]|01-09|Female|HIV_PREV.T_1|CY2023Q3</v>
      </c>
    </row>
    <row r="872" spans="4:18" x14ac:dyDescent="0.2">
      <c r="D872" s="13" t="s">
        <v>71</v>
      </c>
      <c r="E872" s="13" t="s">
        <v>72</v>
      </c>
      <c r="F872" s="13" t="s">
        <v>73</v>
      </c>
      <c r="G872" s="13" t="s">
        <v>140</v>
      </c>
      <c r="H872" s="13" t="s">
        <v>141</v>
      </c>
      <c r="I872" t="s">
        <v>35</v>
      </c>
      <c r="J872" s="13" t="s">
        <v>36</v>
      </c>
      <c r="K872" s="13" t="s">
        <v>29</v>
      </c>
      <c r="L872" s="13" t="s">
        <v>30</v>
      </c>
      <c r="M872" t="s">
        <v>139</v>
      </c>
      <c r="N872">
        <v>768</v>
      </c>
      <c r="O872" s="14">
        <v>0.52895185980014503</v>
      </c>
      <c r="P872" s="14">
        <v>0.28972870693542102</v>
      </c>
      <c r="Q872" t="str">
        <f t="shared" si="26"/>
        <v>10-14</v>
      </c>
      <c r="R872" t="str">
        <f t="shared" si="27"/>
        <v>[am530wpaGvr]|10-14|Female|HIV_PREV.T_1|CY2023Q3</v>
      </c>
    </row>
    <row r="873" spans="4:18" x14ac:dyDescent="0.2">
      <c r="D873" s="13" t="s">
        <v>71</v>
      </c>
      <c r="E873" s="13" t="s">
        <v>72</v>
      </c>
      <c r="F873" s="13" t="s">
        <v>73</v>
      </c>
      <c r="G873" s="13" t="s">
        <v>140</v>
      </c>
      <c r="H873" s="13" t="s">
        <v>141</v>
      </c>
      <c r="I873" t="s">
        <v>37</v>
      </c>
      <c r="J873" s="13" t="s">
        <v>38</v>
      </c>
      <c r="K873" s="13" t="s">
        <v>29</v>
      </c>
      <c r="L873" s="13" t="s">
        <v>30</v>
      </c>
      <c r="M873" t="s">
        <v>139</v>
      </c>
      <c r="N873">
        <v>655</v>
      </c>
      <c r="O873" s="14">
        <v>0.89526318688876905</v>
      </c>
      <c r="P873" s="14">
        <v>0.28972870693542102</v>
      </c>
      <c r="Q873" t="str">
        <f t="shared" si="26"/>
        <v>15-24</v>
      </c>
      <c r="R873" t="str">
        <f t="shared" si="27"/>
        <v>[am530wpaGvr]|15-24|Female|HIV_PREV.T_1|CY2023Q3</v>
      </c>
    </row>
    <row r="874" spans="4:18" x14ac:dyDescent="0.2">
      <c r="D874" s="13" t="s">
        <v>71</v>
      </c>
      <c r="E874" s="13" t="s">
        <v>72</v>
      </c>
      <c r="F874" s="13" t="s">
        <v>73</v>
      </c>
      <c r="G874" s="13" t="s">
        <v>140</v>
      </c>
      <c r="H874" s="13" t="s">
        <v>141</v>
      </c>
      <c r="I874" t="s">
        <v>40</v>
      </c>
      <c r="J874" s="13" t="s">
        <v>41</v>
      </c>
      <c r="K874" s="13" t="s">
        <v>29</v>
      </c>
      <c r="L874" s="13" t="s">
        <v>30</v>
      </c>
      <c r="M874" t="s">
        <v>139</v>
      </c>
      <c r="N874">
        <v>1893</v>
      </c>
      <c r="O874" s="14">
        <v>0.84430474811233602</v>
      </c>
      <c r="P874" s="14">
        <v>0.28972870693542102</v>
      </c>
      <c r="Q874" t="str">
        <f t="shared" si="26"/>
        <v>25-34</v>
      </c>
      <c r="R874" t="str">
        <f t="shared" si="27"/>
        <v>[am530wpaGvr]|25-34|Female|HIV_PREV.T_1|CY2023Q3</v>
      </c>
    </row>
    <row r="875" spans="4:18" x14ac:dyDescent="0.2">
      <c r="D875" s="13" t="s">
        <v>71</v>
      </c>
      <c r="E875" s="13" t="s">
        <v>72</v>
      </c>
      <c r="F875" s="13" t="s">
        <v>73</v>
      </c>
      <c r="G875" s="13" t="s">
        <v>140</v>
      </c>
      <c r="H875" s="13" t="s">
        <v>141</v>
      </c>
      <c r="I875" t="s">
        <v>42</v>
      </c>
      <c r="J875" s="13" t="s">
        <v>43</v>
      </c>
      <c r="K875" s="13" t="s">
        <v>29</v>
      </c>
      <c r="L875" s="13" t="s">
        <v>30</v>
      </c>
      <c r="M875" t="s">
        <v>139</v>
      </c>
      <c r="N875">
        <v>715</v>
      </c>
      <c r="O875" s="14">
        <v>0.33181320945732301</v>
      </c>
      <c r="P875" s="14">
        <v>0.28972870693542102</v>
      </c>
      <c r="Q875" t="str">
        <f t="shared" si="26"/>
        <v>35-49</v>
      </c>
      <c r="R875" t="str">
        <f t="shared" si="27"/>
        <v>[am530wpaGvr]|35-49|Female|HIV_PREV.T_1|CY2023Q3</v>
      </c>
    </row>
    <row r="876" spans="4:18" x14ac:dyDescent="0.2">
      <c r="D876" s="13" t="s">
        <v>71</v>
      </c>
      <c r="E876" s="13" t="s">
        <v>72</v>
      </c>
      <c r="F876" s="13" t="s">
        <v>73</v>
      </c>
      <c r="G876" s="13" t="s">
        <v>140</v>
      </c>
      <c r="H876" s="13" t="s">
        <v>141</v>
      </c>
      <c r="I876" t="s">
        <v>44</v>
      </c>
      <c r="J876" s="13" t="s">
        <v>45</v>
      </c>
      <c r="K876" s="13" t="s">
        <v>29</v>
      </c>
      <c r="L876" s="13" t="s">
        <v>30</v>
      </c>
      <c r="M876" t="s">
        <v>139</v>
      </c>
      <c r="N876">
        <v>928</v>
      </c>
      <c r="O876" s="14">
        <v>0.40138090983964497</v>
      </c>
      <c r="P876" s="14">
        <v>0.28972870693542102</v>
      </c>
      <c r="Q876" t="str">
        <f t="shared" si="26"/>
        <v>50+</v>
      </c>
      <c r="R876" t="str">
        <f t="shared" si="27"/>
        <v>[am530wpaGvr]|50+|Female|HIV_PREV.T_1|CY2023Q3</v>
      </c>
    </row>
    <row r="877" spans="4:18" x14ac:dyDescent="0.2">
      <c r="D877" s="13" t="s">
        <v>71</v>
      </c>
      <c r="E877" s="13" t="s">
        <v>72</v>
      </c>
      <c r="F877" s="13" t="s">
        <v>73</v>
      </c>
      <c r="G877" s="13" t="s">
        <v>140</v>
      </c>
      <c r="H877" s="13" t="s">
        <v>141</v>
      </c>
      <c r="I877" t="s">
        <v>27</v>
      </c>
      <c r="J877" s="13" t="s">
        <v>28</v>
      </c>
      <c r="K877" s="13" t="s">
        <v>47</v>
      </c>
      <c r="L877" s="13" t="s">
        <v>48</v>
      </c>
      <c r="M877" t="s">
        <v>139</v>
      </c>
      <c r="N877">
        <v>1994</v>
      </c>
      <c r="O877" s="14">
        <v>0.935463000321761</v>
      </c>
      <c r="P877" s="14">
        <v>0.28972870693542102</v>
      </c>
      <c r="Q877" t="str">
        <f t="shared" si="26"/>
        <v>&lt;01</v>
      </c>
      <c r="R877" t="str">
        <f t="shared" si="27"/>
        <v>[am530wpaGvr]|&lt;01|Male|HIV_PREV.T_1|CY2023Q3</v>
      </c>
    </row>
    <row r="878" spans="4:18" x14ac:dyDescent="0.2">
      <c r="D878" s="13" t="s">
        <v>71</v>
      </c>
      <c r="E878" s="13" t="s">
        <v>72</v>
      </c>
      <c r="F878" s="13" t="s">
        <v>73</v>
      </c>
      <c r="G878" s="13" t="s">
        <v>140</v>
      </c>
      <c r="H878" s="13" t="s">
        <v>141</v>
      </c>
      <c r="I878" t="s">
        <v>32</v>
      </c>
      <c r="J878" s="13" t="s">
        <v>33</v>
      </c>
      <c r="K878" s="13" t="s">
        <v>47</v>
      </c>
      <c r="L878" s="13" t="s">
        <v>48</v>
      </c>
      <c r="M878" t="s">
        <v>139</v>
      </c>
      <c r="N878">
        <v>550</v>
      </c>
      <c r="O878" s="14">
        <v>0.13270112033933401</v>
      </c>
      <c r="P878" s="14">
        <v>0.28972870693542102</v>
      </c>
      <c r="Q878" t="str">
        <f t="shared" si="26"/>
        <v>01-09</v>
      </c>
      <c r="R878" t="str">
        <f t="shared" si="27"/>
        <v>[am530wpaGvr]|01-09|Male|HIV_PREV.T_1|CY2023Q3</v>
      </c>
    </row>
    <row r="879" spans="4:18" x14ac:dyDescent="0.2">
      <c r="D879" s="13" t="s">
        <v>71</v>
      </c>
      <c r="E879" s="13" t="s">
        <v>72</v>
      </c>
      <c r="F879" s="13" t="s">
        <v>73</v>
      </c>
      <c r="G879" s="13" t="s">
        <v>140</v>
      </c>
      <c r="H879" s="13" t="s">
        <v>141</v>
      </c>
      <c r="I879" t="s">
        <v>35</v>
      </c>
      <c r="J879" s="13" t="s">
        <v>36</v>
      </c>
      <c r="K879" s="13" t="s">
        <v>47</v>
      </c>
      <c r="L879" s="13" t="s">
        <v>48</v>
      </c>
      <c r="M879" t="s">
        <v>139</v>
      </c>
      <c r="N879">
        <v>1383</v>
      </c>
      <c r="O879" s="14">
        <v>0.55686381668783702</v>
      </c>
      <c r="P879" s="14">
        <v>0.28972870693542102</v>
      </c>
      <c r="Q879" t="str">
        <f t="shared" si="26"/>
        <v>10-14</v>
      </c>
      <c r="R879" t="str">
        <f t="shared" si="27"/>
        <v>[am530wpaGvr]|10-14|Male|HIV_PREV.T_1|CY2023Q3</v>
      </c>
    </row>
    <row r="880" spans="4:18" x14ac:dyDescent="0.2">
      <c r="D880" s="13" t="s">
        <v>71</v>
      </c>
      <c r="E880" s="13" t="s">
        <v>72</v>
      </c>
      <c r="F880" s="13" t="s">
        <v>73</v>
      </c>
      <c r="G880" s="13" t="s">
        <v>140</v>
      </c>
      <c r="H880" s="13" t="s">
        <v>141</v>
      </c>
      <c r="I880" t="s">
        <v>37</v>
      </c>
      <c r="J880" s="13" t="s">
        <v>38</v>
      </c>
      <c r="K880" s="13" t="s">
        <v>47</v>
      </c>
      <c r="L880" s="13" t="s">
        <v>48</v>
      </c>
      <c r="M880" t="s">
        <v>139</v>
      </c>
      <c r="N880">
        <v>607</v>
      </c>
      <c r="O880" s="14">
        <v>0.67331707198172797</v>
      </c>
      <c r="P880" s="14">
        <v>0.28972870693542102</v>
      </c>
      <c r="Q880" t="str">
        <f t="shared" si="26"/>
        <v>15-24</v>
      </c>
      <c r="R880" t="str">
        <f t="shared" si="27"/>
        <v>[am530wpaGvr]|15-24|Male|HIV_PREV.T_1|CY2023Q3</v>
      </c>
    </row>
    <row r="881" spans="4:18" x14ac:dyDescent="0.2">
      <c r="D881" s="13" t="s">
        <v>71</v>
      </c>
      <c r="E881" s="13" t="s">
        <v>72</v>
      </c>
      <c r="F881" s="13" t="s">
        <v>73</v>
      </c>
      <c r="G881" s="13" t="s">
        <v>140</v>
      </c>
      <c r="H881" s="13" t="s">
        <v>141</v>
      </c>
      <c r="I881" t="s">
        <v>40</v>
      </c>
      <c r="J881" s="13" t="s">
        <v>41</v>
      </c>
      <c r="K881" s="13" t="s">
        <v>47</v>
      </c>
      <c r="L881" s="13" t="s">
        <v>48</v>
      </c>
      <c r="M881" t="s">
        <v>139</v>
      </c>
      <c r="N881">
        <v>1623</v>
      </c>
      <c r="O881" s="14">
        <v>0.26263253856450303</v>
      </c>
      <c r="P881" s="14">
        <v>0.28972870693542102</v>
      </c>
      <c r="Q881" t="str">
        <f t="shared" si="26"/>
        <v>25-34</v>
      </c>
      <c r="R881" t="str">
        <f t="shared" si="27"/>
        <v>[am530wpaGvr]|25-34|Male|HIV_PREV.T_1|CY2023Q3</v>
      </c>
    </row>
    <row r="882" spans="4:18" x14ac:dyDescent="0.2">
      <c r="D882" s="13" t="s">
        <v>71</v>
      </c>
      <c r="E882" s="13" t="s">
        <v>72</v>
      </c>
      <c r="F882" s="13" t="s">
        <v>73</v>
      </c>
      <c r="G882" s="13" t="s">
        <v>140</v>
      </c>
      <c r="H882" s="13" t="s">
        <v>141</v>
      </c>
      <c r="I882" t="s">
        <v>42</v>
      </c>
      <c r="J882" s="13" t="s">
        <v>43</v>
      </c>
      <c r="K882" s="13" t="s">
        <v>47</v>
      </c>
      <c r="L882" s="13" t="s">
        <v>48</v>
      </c>
      <c r="M882" t="s">
        <v>139</v>
      </c>
      <c r="N882">
        <v>527</v>
      </c>
      <c r="O882" s="14">
        <v>0.49542239122092702</v>
      </c>
      <c r="P882" s="14">
        <v>0.28972870693542102</v>
      </c>
      <c r="Q882" t="str">
        <f t="shared" si="26"/>
        <v>35-49</v>
      </c>
      <c r="R882" t="str">
        <f t="shared" si="27"/>
        <v>[am530wpaGvr]|35-49|Male|HIV_PREV.T_1|CY2023Q3</v>
      </c>
    </row>
    <row r="883" spans="4:18" x14ac:dyDescent="0.2">
      <c r="D883" s="13" t="s">
        <v>71</v>
      </c>
      <c r="E883" s="13" t="s">
        <v>72</v>
      </c>
      <c r="F883" s="13" t="s">
        <v>73</v>
      </c>
      <c r="G883" s="13" t="s">
        <v>140</v>
      </c>
      <c r="H883" s="13" t="s">
        <v>141</v>
      </c>
      <c r="I883" t="s">
        <v>44</v>
      </c>
      <c r="J883" s="13" t="s">
        <v>45</v>
      </c>
      <c r="K883" s="13" t="s">
        <v>47</v>
      </c>
      <c r="L883" s="13" t="s">
        <v>48</v>
      </c>
      <c r="M883" t="s">
        <v>139</v>
      </c>
      <c r="N883">
        <v>1350</v>
      </c>
      <c r="O883" s="14">
        <v>0.478334872983396</v>
      </c>
      <c r="P883" s="14">
        <v>0.28972870693542102</v>
      </c>
      <c r="Q883" t="str">
        <f t="shared" si="26"/>
        <v>50+</v>
      </c>
      <c r="R883" t="str">
        <f t="shared" si="27"/>
        <v>[am530wpaGvr]|50+|Male|HIV_PREV.T_1|CY2023Q3</v>
      </c>
    </row>
    <row r="884" spans="4:18" x14ac:dyDescent="0.2">
      <c r="D884" s="13" t="s">
        <v>74</v>
      </c>
      <c r="E884" s="13" t="s">
        <v>75</v>
      </c>
      <c r="F884" s="13" t="s">
        <v>76</v>
      </c>
      <c r="G884" s="13" t="s">
        <v>140</v>
      </c>
      <c r="H884" s="13" t="s">
        <v>141</v>
      </c>
      <c r="I884" t="s">
        <v>27</v>
      </c>
      <c r="J884" s="13" t="s">
        <v>28</v>
      </c>
      <c r="K884" s="13" t="s">
        <v>29</v>
      </c>
      <c r="L884" s="13" t="s">
        <v>30</v>
      </c>
      <c r="M884" t="s">
        <v>139</v>
      </c>
      <c r="N884">
        <v>1576</v>
      </c>
      <c r="O884" s="14">
        <v>0.14632173301652099</v>
      </c>
      <c r="P884" s="14">
        <v>0.30305550759658201</v>
      </c>
      <c r="Q884" t="str">
        <f t="shared" si="26"/>
        <v>&lt;01</v>
      </c>
      <c r="R884" t="str">
        <f t="shared" si="27"/>
        <v>[lLDyBx5XyUi]|&lt;01|Female|HIV_PREV.T_1|CY2023Q3</v>
      </c>
    </row>
    <row r="885" spans="4:18" x14ac:dyDescent="0.2">
      <c r="D885" s="13" t="s">
        <v>74</v>
      </c>
      <c r="E885" s="13" t="s">
        <v>75</v>
      </c>
      <c r="F885" s="13" t="s">
        <v>76</v>
      </c>
      <c r="G885" s="13" t="s">
        <v>140</v>
      </c>
      <c r="H885" s="13" t="s">
        <v>141</v>
      </c>
      <c r="I885" t="s">
        <v>32</v>
      </c>
      <c r="J885" s="13" t="s">
        <v>33</v>
      </c>
      <c r="K885" s="13" t="s">
        <v>29</v>
      </c>
      <c r="L885" s="13" t="s">
        <v>30</v>
      </c>
      <c r="M885" t="s">
        <v>139</v>
      </c>
      <c r="N885">
        <v>1578</v>
      </c>
      <c r="O885" s="14">
        <v>8.1633811118081198E-2</v>
      </c>
      <c r="P885" s="14">
        <v>0.30305550759658201</v>
      </c>
      <c r="Q885" t="str">
        <f t="shared" si="26"/>
        <v>01-09</v>
      </c>
      <c r="R885" t="str">
        <f t="shared" si="27"/>
        <v>[lLDyBx5XyUi]|01-09|Female|HIV_PREV.T_1|CY2023Q3</v>
      </c>
    </row>
    <row r="886" spans="4:18" x14ac:dyDescent="0.2">
      <c r="D886" s="13" t="s">
        <v>74</v>
      </c>
      <c r="E886" s="13" t="s">
        <v>75</v>
      </c>
      <c r="F886" s="13" t="s">
        <v>76</v>
      </c>
      <c r="G886" s="13" t="s">
        <v>140</v>
      </c>
      <c r="H886" s="13" t="s">
        <v>141</v>
      </c>
      <c r="I886" t="s">
        <v>35</v>
      </c>
      <c r="J886" s="13" t="s">
        <v>36</v>
      </c>
      <c r="K886" s="13" t="s">
        <v>29</v>
      </c>
      <c r="L886" s="13" t="s">
        <v>30</v>
      </c>
      <c r="M886" t="s">
        <v>139</v>
      </c>
      <c r="N886">
        <v>1133</v>
      </c>
      <c r="O886" s="14">
        <v>0.80238708783872403</v>
      </c>
      <c r="P886" s="14">
        <v>0.30305550759658201</v>
      </c>
      <c r="Q886" t="str">
        <f t="shared" si="26"/>
        <v>10-14</v>
      </c>
      <c r="R886" t="str">
        <f t="shared" si="27"/>
        <v>[lLDyBx5XyUi]|10-14|Female|HIV_PREV.T_1|CY2023Q3</v>
      </c>
    </row>
    <row r="887" spans="4:18" x14ac:dyDescent="0.2">
      <c r="D887" s="13" t="s">
        <v>74</v>
      </c>
      <c r="E887" s="13" t="s">
        <v>75</v>
      </c>
      <c r="F887" s="13" t="s">
        <v>76</v>
      </c>
      <c r="G887" s="13" t="s">
        <v>140</v>
      </c>
      <c r="H887" s="13" t="s">
        <v>141</v>
      </c>
      <c r="I887" t="s">
        <v>37</v>
      </c>
      <c r="J887" s="13" t="s">
        <v>38</v>
      </c>
      <c r="K887" s="13" t="s">
        <v>29</v>
      </c>
      <c r="L887" s="13" t="s">
        <v>30</v>
      </c>
      <c r="M887" t="s">
        <v>139</v>
      </c>
      <c r="N887">
        <v>1883</v>
      </c>
      <c r="O887" s="14">
        <v>0.53502617916092299</v>
      </c>
      <c r="P887" s="14">
        <v>0.30305550759658201</v>
      </c>
      <c r="Q887" t="str">
        <f t="shared" si="26"/>
        <v>15-24</v>
      </c>
      <c r="R887" t="str">
        <f t="shared" si="27"/>
        <v>[lLDyBx5XyUi]|15-24|Female|HIV_PREV.T_1|CY2023Q3</v>
      </c>
    </row>
    <row r="888" spans="4:18" x14ac:dyDescent="0.2">
      <c r="D888" s="13" t="s">
        <v>74</v>
      </c>
      <c r="E888" s="13" t="s">
        <v>75</v>
      </c>
      <c r="F888" s="13" t="s">
        <v>76</v>
      </c>
      <c r="G888" s="13" t="s">
        <v>140</v>
      </c>
      <c r="H888" s="13" t="s">
        <v>141</v>
      </c>
      <c r="I888" t="s">
        <v>40</v>
      </c>
      <c r="J888" s="13" t="s">
        <v>41</v>
      </c>
      <c r="K888" s="13" t="s">
        <v>29</v>
      </c>
      <c r="L888" s="13" t="s">
        <v>30</v>
      </c>
      <c r="M888" t="s">
        <v>139</v>
      </c>
      <c r="N888">
        <v>534</v>
      </c>
      <c r="O888" s="14">
        <v>0.25975068472325802</v>
      </c>
      <c r="P888" s="14">
        <v>0.30305550759658201</v>
      </c>
      <c r="Q888" t="str">
        <f t="shared" si="26"/>
        <v>25-34</v>
      </c>
      <c r="R888" t="str">
        <f t="shared" si="27"/>
        <v>[lLDyBx5XyUi]|25-34|Female|HIV_PREV.T_1|CY2023Q3</v>
      </c>
    </row>
    <row r="889" spans="4:18" x14ac:dyDescent="0.2">
      <c r="D889" s="13" t="s">
        <v>74</v>
      </c>
      <c r="E889" s="13" t="s">
        <v>75</v>
      </c>
      <c r="F889" s="13" t="s">
        <v>76</v>
      </c>
      <c r="G889" s="13" t="s">
        <v>140</v>
      </c>
      <c r="H889" s="13" t="s">
        <v>141</v>
      </c>
      <c r="I889" t="s">
        <v>42</v>
      </c>
      <c r="J889" s="13" t="s">
        <v>43</v>
      </c>
      <c r="K889" s="13" t="s">
        <v>29</v>
      </c>
      <c r="L889" s="13" t="s">
        <v>30</v>
      </c>
      <c r="M889" t="s">
        <v>139</v>
      </c>
      <c r="N889">
        <v>1134</v>
      </c>
      <c r="O889" s="14">
        <v>0.43022694997489502</v>
      </c>
      <c r="P889" s="14">
        <v>0.30305550759658201</v>
      </c>
      <c r="Q889" t="str">
        <f t="shared" si="26"/>
        <v>35-49</v>
      </c>
      <c r="R889" t="str">
        <f t="shared" si="27"/>
        <v>[lLDyBx5XyUi]|35-49|Female|HIV_PREV.T_1|CY2023Q3</v>
      </c>
    </row>
    <row r="890" spans="4:18" x14ac:dyDescent="0.2">
      <c r="D890" s="13" t="s">
        <v>74</v>
      </c>
      <c r="E890" s="13" t="s">
        <v>75</v>
      </c>
      <c r="F890" s="13" t="s">
        <v>76</v>
      </c>
      <c r="G890" s="13" t="s">
        <v>140</v>
      </c>
      <c r="H890" s="13" t="s">
        <v>141</v>
      </c>
      <c r="I890" t="s">
        <v>44</v>
      </c>
      <c r="J890" s="13" t="s">
        <v>45</v>
      </c>
      <c r="K890" s="13" t="s">
        <v>29</v>
      </c>
      <c r="L890" s="13" t="s">
        <v>30</v>
      </c>
      <c r="M890" t="s">
        <v>139</v>
      </c>
      <c r="N890">
        <v>1324</v>
      </c>
      <c r="O890" s="14">
        <v>0.31857601157389598</v>
      </c>
      <c r="P890" s="14">
        <v>0.30305550759658201</v>
      </c>
      <c r="Q890" t="str">
        <f t="shared" si="26"/>
        <v>50+</v>
      </c>
      <c r="R890" t="str">
        <f t="shared" si="27"/>
        <v>[lLDyBx5XyUi]|50+|Female|HIV_PREV.T_1|CY2023Q3</v>
      </c>
    </row>
    <row r="891" spans="4:18" x14ac:dyDescent="0.2">
      <c r="D891" s="13" t="s">
        <v>74</v>
      </c>
      <c r="E891" s="13" t="s">
        <v>75</v>
      </c>
      <c r="F891" s="13" t="s">
        <v>76</v>
      </c>
      <c r="G891" s="13" t="s">
        <v>140</v>
      </c>
      <c r="H891" s="13" t="s">
        <v>141</v>
      </c>
      <c r="I891" t="s">
        <v>27</v>
      </c>
      <c r="J891" s="13" t="s">
        <v>28</v>
      </c>
      <c r="K891" s="13" t="s">
        <v>47</v>
      </c>
      <c r="L891" s="13" t="s">
        <v>48</v>
      </c>
      <c r="M891" t="s">
        <v>139</v>
      </c>
      <c r="N891">
        <v>975</v>
      </c>
      <c r="O891" s="14">
        <v>0.97516502556391105</v>
      </c>
      <c r="P891" s="14">
        <v>0.30305550759658201</v>
      </c>
      <c r="Q891" t="str">
        <f t="shared" si="26"/>
        <v>&lt;01</v>
      </c>
      <c r="R891" t="str">
        <f t="shared" si="27"/>
        <v>[lLDyBx5XyUi]|&lt;01|Male|HIV_PREV.T_1|CY2023Q3</v>
      </c>
    </row>
    <row r="892" spans="4:18" x14ac:dyDescent="0.2">
      <c r="D892" s="13" t="s">
        <v>74</v>
      </c>
      <c r="E892" s="13" t="s">
        <v>75</v>
      </c>
      <c r="F892" s="13" t="s">
        <v>76</v>
      </c>
      <c r="G892" s="13" t="s">
        <v>140</v>
      </c>
      <c r="H892" s="13" t="s">
        <v>141</v>
      </c>
      <c r="I892" t="s">
        <v>32</v>
      </c>
      <c r="J892" s="13" t="s">
        <v>33</v>
      </c>
      <c r="K892" s="13" t="s">
        <v>47</v>
      </c>
      <c r="L892" s="13" t="s">
        <v>48</v>
      </c>
      <c r="M892" t="s">
        <v>139</v>
      </c>
      <c r="N892">
        <v>1668</v>
      </c>
      <c r="O892" s="14">
        <v>0.60281812422908798</v>
      </c>
      <c r="P892" s="14">
        <v>0.30305550759658201</v>
      </c>
      <c r="Q892" t="str">
        <f t="shared" si="26"/>
        <v>01-09</v>
      </c>
      <c r="R892" t="str">
        <f t="shared" si="27"/>
        <v>[lLDyBx5XyUi]|01-09|Male|HIV_PREV.T_1|CY2023Q3</v>
      </c>
    </row>
    <row r="893" spans="4:18" x14ac:dyDescent="0.2">
      <c r="D893" s="13" t="s">
        <v>74</v>
      </c>
      <c r="E893" s="13" t="s">
        <v>75</v>
      </c>
      <c r="F893" s="13" t="s">
        <v>76</v>
      </c>
      <c r="G893" s="13" t="s">
        <v>140</v>
      </c>
      <c r="H893" s="13" t="s">
        <v>141</v>
      </c>
      <c r="I893" t="s">
        <v>35</v>
      </c>
      <c r="J893" s="13" t="s">
        <v>36</v>
      </c>
      <c r="K893" s="13" t="s">
        <v>47</v>
      </c>
      <c r="L893" s="13" t="s">
        <v>48</v>
      </c>
      <c r="M893" t="s">
        <v>139</v>
      </c>
      <c r="N893">
        <v>1602</v>
      </c>
      <c r="O893" s="14">
        <v>0.142576140817255</v>
      </c>
      <c r="P893" s="14">
        <v>0.30305550759658201</v>
      </c>
      <c r="Q893" t="str">
        <f t="shared" si="26"/>
        <v>10-14</v>
      </c>
      <c r="R893" t="str">
        <f t="shared" si="27"/>
        <v>[lLDyBx5XyUi]|10-14|Male|HIV_PREV.T_1|CY2023Q3</v>
      </c>
    </row>
    <row r="894" spans="4:18" x14ac:dyDescent="0.2">
      <c r="D894" s="13" t="s">
        <v>74</v>
      </c>
      <c r="E894" s="13" t="s">
        <v>75</v>
      </c>
      <c r="F894" s="13" t="s">
        <v>76</v>
      </c>
      <c r="G894" s="13" t="s">
        <v>140</v>
      </c>
      <c r="H894" s="13" t="s">
        <v>141</v>
      </c>
      <c r="I894" t="s">
        <v>37</v>
      </c>
      <c r="J894" s="13" t="s">
        <v>38</v>
      </c>
      <c r="K894" s="13" t="s">
        <v>47</v>
      </c>
      <c r="L894" s="13" t="s">
        <v>48</v>
      </c>
      <c r="M894" t="s">
        <v>139</v>
      </c>
      <c r="N894">
        <v>1736</v>
      </c>
      <c r="O894" s="14">
        <v>0.91986185521818697</v>
      </c>
      <c r="P894" s="14">
        <v>0.30305550759658201</v>
      </c>
      <c r="Q894" t="str">
        <f t="shared" si="26"/>
        <v>15-24</v>
      </c>
      <c r="R894" t="str">
        <f t="shared" si="27"/>
        <v>[lLDyBx5XyUi]|15-24|Male|HIV_PREV.T_1|CY2023Q3</v>
      </c>
    </row>
    <row r="895" spans="4:18" x14ac:dyDescent="0.2">
      <c r="D895" s="13" t="s">
        <v>74</v>
      </c>
      <c r="E895" s="13" t="s">
        <v>75</v>
      </c>
      <c r="F895" s="13" t="s">
        <v>76</v>
      </c>
      <c r="G895" s="13" t="s">
        <v>140</v>
      </c>
      <c r="H895" s="13" t="s">
        <v>141</v>
      </c>
      <c r="I895" t="s">
        <v>40</v>
      </c>
      <c r="J895" s="13" t="s">
        <v>41</v>
      </c>
      <c r="K895" s="13" t="s">
        <v>47</v>
      </c>
      <c r="L895" s="13" t="s">
        <v>48</v>
      </c>
      <c r="M895" t="s">
        <v>139</v>
      </c>
      <c r="N895">
        <v>1763</v>
      </c>
      <c r="O895" s="14">
        <v>0.58446118002757397</v>
      </c>
      <c r="P895" s="14">
        <v>0.30305550759658201</v>
      </c>
      <c r="Q895" t="str">
        <f t="shared" si="26"/>
        <v>25-34</v>
      </c>
      <c r="R895" t="str">
        <f t="shared" si="27"/>
        <v>[lLDyBx5XyUi]|25-34|Male|HIV_PREV.T_1|CY2023Q3</v>
      </c>
    </row>
    <row r="896" spans="4:18" x14ac:dyDescent="0.2">
      <c r="D896" s="13" t="s">
        <v>74</v>
      </c>
      <c r="E896" s="13" t="s">
        <v>75</v>
      </c>
      <c r="F896" s="13" t="s">
        <v>76</v>
      </c>
      <c r="G896" s="13" t="s">
        <v>140</v>
      </c>
      <c r="H896" s="13" t="s">
        <v>141</v>
      </c>
      <c r="I896" t="s">
        <v>42</v>
      </c>
      <c r="J896" s="13" t="s">
        <v>43</v>
      </c>
      <c r="K896" s="13" t="s">
        <v>47</v>
      </c>
      <c r="L896" s="13" t="s">
        <v>48</v>
      </c>
      <c r="M896" t="s">
        <v>139</v>
      </c>
      <c r="N896">
        <v>1665</v>
      </c>
      <c r="O896" s="14">
        <v>0.65315791778266397</v>
      </c>
      <c r="P896" s="14">
        <v>0.30305550759658201</v>
      </c>
      <c r="Q896" t="str">
        <f t="shared" si="26"/>
        <v>35-49</v>
      </c>
      <c r="R896" t="str">
        <f t="shared" si="27"/>
        <v>[lLDyBx5XyUi]|35-49|Male|HIV_PREV.T_1|CY2023Q3</v>
      </c>
    </row>
    <row r="897" spans="4:18" x14ac:dyDescent="0.2">
      <c r="D897" s="13" t="s">
        <v>74</v>
      </c>
      <c r="E897" s="13" t="s">
        <v>75</v>
      </c>
      <c r="F897" s="13" t="s">
        <v>76</v>
      </c>
      <c r="G897" s="13" t="s">
        <v>140</v>
      </c>
      <c r="H897" s="13" t="s">
        <v>141</v>
      </c>
      <c r="I897" t="s">
        <v>44</v>
      </c>
      <c r="J897" s="13" t="s">
        <v>45</v>
      </c>
      <c r="K897" s="13" t="s">
        <v>47</v>
      </c>
      <c r="L897" s="13" t="s">
        <v>48</v>
      </c>
      <c r="M897" t="s">
        <v>139</v>
      </c>
      <c r="N897">
        <v>595</v>
      </c>
      <c r="O897" s="14">
        <v>8.0929181072860998E-2</v>
      </c>
      <c r="P897" s="14">
        <v>0.30305550759658201</v>
      </c>
      <c r="Q897" t="str">
        <f t="shared" si="26"/>
        <v>50+</v>
      </c>
      <c r="R897" t="str">
        <f t="shared" si="27"/>
        <v>[lLDyBx5XyUi]|50+|Male|HIV_PREV.T_1|CY2023Q3</v>
      </c>
    </row>
    <row r="898" spans="4:18" x14ac:dyDescent="0.2">
      <c r="D898" s="13" t="s">
        <v>77</v>
      </c>
      <c r="E898" s="13" t="s">
        <v>78</v>
      </c>
      <c r="F898" s="13" t="s">
        <v>79</v>
      </c>
      <c r="G898" s="13" t="s">
        <v>140</v>
      </c>
      <c r="H898" s="13" t="s">
        <v>141</v>
      </c>
      <c r="I898" t="s">
        <v>27</v>
      </c>
      <c r="J898" s="13" t="s">
        <v>28</v>
      </c>
      <c r="K898" s="13" t="s">
        <v>29</v>
      </c>
      <c r="L898" s="13" t="s">
        <v>30</v>
      </c>
      <c r="M898" t="s">
        <v>139</v>
      </c>
      <c r="N898">
        <v>1356</v>
      </c>
      <c r="O898" s="14">
        <v>0.97030932200141295</v>
      </c>
      <c r="P898" s="14">
        <v>0.83159798220731296</v>
      </c>
      <c r="Q898" t="str">
        <f t="shared" ref="Q898:Q961" si="28">SUBSTITUTE(SUBSTITUTE($I898,CHAR(61),""),CHAR(34),"")</f>
        <v>&lt;01</v>
      </c>
      <c r="R898" t="str">
        <f t="shared" ref="R898:R961" si="29">IF($D898&lt;&gt;"","["&amp;$E898&amp;"]"&amp;"|"&amp;$Q898&amp;"|"&amp;$K898&amp;"|"&amp;$G898&amp;"|"&amp;IF($G898="TX_CURR_SUBNAT.R","CY2022Q4",$M898),"")</f>
        <v>[TYnMSwzko3z]|&lt;01|Female|HIV_PREV.T_1|CY2023Q3</v>
      </c>
    </row>
    <row r="899" spans="4:18" x14ac:dyDescent="0.2">
      <c r="D899" s="13" t="s">
        <v>77</v>
      </c>
      <c r="E899" s="13" t="s">
        <v>78</v>
      </c>
      <c r="F899" s="13" t="s">
        <v>79</v>
      </c>
      <c r="G899" s="13" t="s">
        <v>140</v>
      </c>
      <c r="H899" s="13" t="s">
        <v>141</v>
      </c>
      <c r="I899" t="s">
        <v>32</v>
      </c>
      <c r="J899" s="13" t="s">
        <v>33</v>
      </c>
      <c r="K899" s="13" t="s">
        <v>29</v>
      </c>
      <c r="L899" s="13" t="s">
        <v>30</v>
      </c>
      <c r="M899" t="s">
        <v>139</v>
      </c>
      <c r="N899">
        <v>1689</v>
      </c>
      <c r="O899" s="14">
        <v>5.2486822009086602E-2</v>
      </c>
      <c r="P899" s="14">
        <v>0.83159798220731296</v>
      </c>
      <c r="Q899" t="str">
        <f t="shared" si="28"/>
        <v>01-09</v>
      </c>
      <c r="R899" t="str">
        <f t="shared" si="29"/>
        <v>[TYnMSwzko3z]|01-09|Female|HIV_PREV.T_1|CY2023Q3</v>
      </c>
    </row>
    <row r="900" spans="4:18" x14ac:dyDescent="0.2">
      <c r="D900" s="13" t="s">
        <v>77</v>
      </c>
      <c r="E900" s="13" t="s">
        <v>78</v>
      </c>
      <c r="F900" s="13" t="s">
        <v>79</v>
      </c>
      <c r="G900" s="13" t="s">
        <v>140</v>
      </c>
      <c r="H900" s="13" t="s">
        <v>141</v>
      </c>
      <c r="I900" t="s">
        <v>35</v>
      </c>
      <c r="J900" s="13" t="s">
        <v>36</v>
      </c>
      <c r="K900" s="13" t="s">
        <v>29</v>
      </c>
      <c r="L900" s="13" t="s">
        <v>30</v>
      </c>
      <c r="M900" t="s">
        <v>139</v>
      </c>
      <c r="N900">
        <v>1272</v>
      </c>
      <c r="O900" s="14">
        <v>0.131632292177528</v>
      </c>
      <c r="P900" s="14">
        <v>0.83159798220731296</v>
      </c>
      <c r="Q900" t="str">
        <f t="shared" si="28"/>
        <v>10-14</v>
      </c>
      <c r="R900" t="str">
        <f t="shared" si="29"/>
        <v>[TYnMSwzko3z]|10-14|Female|HIV_PREV.T_1|CY2023Q3</v>
      </c>
    </row>
    <row r="901" spans="4:18" x14ac:dyDescent="0.2">
      <c r="D901" s="13" t="s">
        <v>77</v>
      </c>
      <c r="E901" s="13" t="s">
        <v>78</v>
      </c>
      <c r="F901" s="13" t="s">
        <v>79</v>
      </c>
      <c r="G901" s="13" t="s">
        <v>140</v>
      </c>
      <c r="H901" s="13" t="s">
        <v>141</v>
      </c>
      <c r="I901" t="s">
        <v>37</v>
      </c>
      <c r="J901" s="13" t="s">
        <v>38</v>
      </c>
      <c r="K901" s="13" t="s">
        <v>29</v>
      </c>
      <c r="L901" s="13" t="s">
        <v>30</v>
      </c>
      <c r="M901" t="s">
        <v>139</v>
      </c>
      <c r="N901">
        <v>1807</v>
      </c>
      <c r="O901" s="14">
        <v>0.21908549591898899</v>
      </c>
      <c r="P901" s="14">
        <v>0.83159798220731296</v>
      </c>
      <c r="Q901" t="str">
        <f t="shared" si="28"/>
        <v>15-24</v>
      </c>
      <c r="R901" t="str">
        <f t="shared" si="29"/>
        <v>[TYnMSwzko3z]|15-24|Female|HIV_PREV.T_1|CY2023Q3</v>
      </c>
    </row>
    <row r="902" spans="4:18" x14ac:dyDescent="0.2">
      <c r="D902" s="13" t="s">
        <v>77</v>
      </c>
      <c r="E902" s="13" t="s">
        <v>78</v>
      </c>
      <c r="F902" s="13" t="s">
        <v>79</v>
      </c>
      <c r="G902" s="13" t="s">
        <v>140</v>
      </c>
      <c r="H902" s="13" t="s">
        <v>141</v>
      </c>
      <c r="I902" t="s">
        <v>40</v>
      </c>
      <c r="J902" s="13" t="s">
        <v>41</v>
      </c>
      <c r="K902" s="13" t="s">
        <v>29</v>
      </c>
      <c r="L902" s="13" t="s">
        <v>30</v>
      </c>
      <c r="M902" t="s">
        <v>139</v>
      </c>
      <c r="N902">
        <v>535</v>
      </c>
      <c r="O902" s="14">
        <v>9.1677794232964502E-2</v>
      </c>
      <c r="P902" s="14">
        <v>0.83159798220731296</v>
      </c>
      <c r="Q902" t="str">
        <f t="shared" si="28"/>
        <v>25-34</v>
      </c>
      <c r="R902" t="str">
        <f t="shared" si="29"/>
        <v>[TYnMSwzko3z]|25-34|Female|HIV_PREV.T_1|CY2023Q3</v>
      </c>
    </row>
    <row r="903" spans="4:18" x14ac:dyDescent="0.2">
      <c r="D903" s="13" t="s">
        <v>77</v>
      </c>
      <c r="E903" s="13" t="s">
        <v>78</v>
      </c>
      <c r="F903" s="13" t="s">
        <v>79</v>
      </c>
      <c r="G903" s="13" t="s">
        <v>140</v>
      </c>
      <c r="H903" s="13" t="s">
        <v>141</v>
      </c>
      <c r="I903" t="s">
        <v>42</v>
      </c>
      <c r="J903" s="13" t="s">
        <v>43</v>
      </c>
      <c r="K903" s="13" t="s">
        <v>29</v>
      </c>
      <c r="L903" s="13" t="s">
        <v>30</v>
      </c>
      <c r="M903" t="s">
        <v>139</v>
      </c>
      <c r="N903">
        <v>1940</v>
      </c>
      <c r="O903" s="14">
        <v>0.67048166785389196</v>
      </c>
      <c r="P903" s="14">
        <v>0.83159798220731296</v>
      </c>
      <c r="Q903" t="str">
        <f t="shared" si="28"/>
        <v>35-49</v>
      </c>
      <c r="R903" t="str">
        <f t="shared" si="29"/>
        <v>[TYnMSwzko3z]|35-49|Female|HIV_PREV.T_1|CY2023Q3</v>
      </c>
    </row>
    <row r="904" spans="4:18" x14ac:dyDescent="0.2">
      <c r="D904" s="13" t="s">
        <v>77</v>
      </c>
      <c r="E904" s="13" t="s">
        <v>78</v>
      </c>
      <c r="F904" s="13" t="s">
        <v>79</v>
      </c>
      <c r="G904" s="13" t="s">
        <v>140</v>
      </c>
      <c r="H904" s="13" t="s">
        <v>141</v>
      </c>
      <c r="I904" t="s">
        <v>44</v>
      </c>
      <c r="J904" s="13" t="s">
        <v>45</v>
      </c>
      <c r="K904" s="13" t="s">
        <v>29</v>
      </c>
      <c r="L904" s="13" t="s">
        <v>30</v>
      </c>
      <c r="M904" t="s">
        <v>139</v>
      </c>
      <c r="N904">
        <v>789</v>
      </c>
      <c r="O904" s="14">
        <v>0.32099157338961998</v>
      </c>
      <c r="P904" s="14">
        <v>0.83159798220731296</v>
      </c>
      <c r="Q904" t="str">
        <f t="shared" si="28"/>
        <v>50+</v>
      </c>
      <c r="R904" t="str">
        <f t="shared" si="29"/>
        <v>[TYnMSwzko3z]|50+|Female|HIV_PREV.T_1|CY2023Q3</v>
      </c>
    </row>
    <row r="905" spans="4:18" x14ac:dyDescent="0.2">
      <c r="D905" s="13" t="s">
        <v>77</v>
      </c>
      <c r="E905" s="13" t="s">
        <v>78</v>
      </c>
      <c r="F905" s="13" t="s">
        <v>79</v>
      </c>
      <c r="G905" s="13" t="s">
        <v>140</v>
      </c>
      <c r="H905" s="13" t="s">
        <v>141</v>
      </c>
      <c r="I905" t="s">
        <v>27</v>
      </c>
      <c r="J905" s="13" t="s">
        <v>28</v>
      </c>
      <c r="K905" s="13" t="s">
        <v>47</v>
      </c>
      <c r="L905" s="13" t="s">
        <v>48</v>
      </c>
      <c r="M905" t="s">
        <v>139</v>
      </c>
      <c r="N905">
        <v>1872</v>
      </c>
      <c r="O905" s="14">
        <v>0.36108655901625802</v>
      </c>
      <c r="P905" s="14">
        <v>0.83159798220731296</v>
      </c>
      <c r="Q905" t="str">
        <f t="shared" si="28"/>
        <v>&lt;01</v>
      </c>
      <c r="R905" t="str">
        <f t="shared" si="29"/>
        <v>[TYnMSwzko3z]|&lt;01|Male|HIV_PREV.T_1|CY2023Q3</v>
      </c>
    </row>
    <row r="906" spans="4:18" x14ac:dyDescent="0.2">
      <c r="D906" s="13" t="s">
        <v>77</v>
      </c>
      <c r="E906" s="13" t="s">
        <v>78</v>
      </c>
      <c r="F906" s="13" t="s">
        <v>79</v>
      </c>
      <c r="G906" s="13" t="s">
        <v>140</v>
      </c>
      <c r="H906" s="13" t="s">
        <v>141</v>
      </c>
      <c r="I906" t="s">
        <v>32</v>
      </c>
      <c r="J906" s="13" t="s">
        <v>33</v>
      </c>
      <c r="K906" s="13" t="s">
        <v>47</v>
      </c>
      <c r="L906" s="13" t="s">
        <v>48</v>
      </c>
      <c r="M906" t="s">
        <v>139</v>
      </c>
      <c r="N906">
        <v>1269</v>
      </c>
      <c r="O906" s="14">
        <v>0.66975895781070005</v>
      </c>
      <c r="P906" s="14">
        <v>0.83159798220731296</v>
      </c>
      <c r="Q906" t="str">
        <f t="shared" si="28"/>
        <v>01-09</v>
      </c>
      <c r="R906" t="str">
        <f t="shared" si="29"/>
        <v>[TYnMSwzko3z]|01-09|Male|HIV_PREV.T_1|CY2023Q3</v>
      </c>
    </row>
    <row r="907" spans="4:18" x14ac:dyDescent="0.2">
      <c r="D907" s="13" t="s">
        <v>77</v>
      </c>
      <c r="E907" s="13" t="s">
        <v>78</v>
      </c>
      <c r="F907" s="13" t="s">
        <v>79</v>
      </c>
      <c r="G907" s="13" t="s">
        <v>140</v>
      </c>
      <c r="H907" s="13" t="s">
        <v>141</v>
      </c>
      <c r="I907" t="s">
        <v>35</v>
      </c>
      <c r="J907" s="13" t="s">
        <v>36</v>
      </c>
      <c r="K907" s="13" t="s">
        <v>47</v>
      </c>
      <c r="L907" s="13" t="s">
        <v>48</v>
      </c>
      <c r="M907" t="s">
        <v>139</v>
      </c>
      <c r="N907">
        <v>1500</v>
      </c>
      <c r="O907" s="14">
        <v>0.68056043609976802</v>
      </c>
      <c r="P907" s="14">
        <v>0.83159798220731296</v>
      </c>
      <c r="Q907" t="str">
        <f t="shared" si="28"/>
        <v>10-14</v>
      </c>
      <c r="R907" t="str">
        <f t="shared" si="29"/>
        <v>[TYnMSwzko3z]|10-14|Male|HIV_PREV.T_1|CY2023Q3</v>
      </c>
    </row>
    <row r="908" spans="4:18" x14ac:dyDescent="0.2">
      <c r="D908" s="13" t="s">
        <v>77</v>
      </c>
      <c r="E908" s="13" t="s">
        <v>78</v>
      </c>
      <c r="F908" s="13" t="s">
        <v>79</v>
      </c>
      <c r="G908" s="13" t="s">
        <v>140</v>
      </c>
      <c r="H908" s="13" t="s">
        <v>141</v>
      </c>
      <c r="I908" t="s">
        <v>37</v>
      </c>
      <c r="J908" s="13" t="s">
        <v>38</v>
      </c>
      <c r="K908" s="13" t="s">
        <v>47</v>
      </c>
      <c r="L908" s="13" t="s">
        <v>48</v>
      </c>
      <c r="M908" t="s">
        <v>139</v>
      </c>
      <c r="N908">
        <v>1194</v>
      </c>
      <c r="O908" s="14">
        <v>0.75525186723098203</v>
      </c>
      <c r="P908" s="14">
        <v>0.83159798220731296</v>
      </c>
      <c r="Q908" t="str">
        <f t="shared" si="28"/>
        <v>15-24</v>
      </c>
      <c r="R908" t="str">
        <f t="shared" si="29"/>
        <v>[TYnMSwzko3z]|15-24|Male|HIV_PREV.T_1|CY2023Q3</v>
      </c>
    </row>
    <row r="909" spans="4:18" x14ac:dyDescent="0.2">
      <c r="D909" s="13" t="s">
        <v>77</v>
      </c>
      <c r="E909" s="13" t="s">
        <v>78</v>
      </c>
      <c r="F909" s="13" t="s">
        <v>79</v>
      </c>
      <c r="G909" s="13" t="s">
        <v>140</v>
      </c>
      <c r="H909" s="13" t="s">
        <v>141</v>
      </c>
      <c r="I909" t="s">
        <v>40</v>
      </c>
      <c r="J909" s="13" t="s">
        <v>41</v>
      </c>
      <c r="K909" s="13" t="s">
        <v>47</v>
      </c>
      <c r="L909" s="13" t="s">
        <v>48</v>
      </c>
      <c r="M909" t="s">
        <v>139</v>
      </c>
      <c r="N909">
        <v>1382</v>
      </c>
      <c r="O909" s="14">
        <v>0.90176913025788996</v>
      </c>
      <c r="P909" s="14">
        <v>0.83159798220731296</v>
      </c>
      <c r="Q909" t="str">
        <f t="shared" si="28"/>
        <v>25-34</v>
      </c>
      <c r="R909" t="str">
        <f t="shared" si="29"/>
        <v>[TYnMSwzko3z]|25-34|Male|HIV_PREV.T_1|CY2023Q3</v>
      </c>
    </row>
    <row r="910" spans="4:18" x14ac:dyDescent="0.2">
      <c r="D910" s="13" t="s">
        <v>77</v>
      </c>
      <c r="E910" s="13" t="s">
        <v>78</v>
      </c>
      <c r="F910" s="13" t="s">
        <v>79</v>
      </c>
      <c r="G910" s="13" t="s">
        <v>140</v>
      </c>
      <c r="H910" s="13" t="s">
        <v>141</v>
      </c>
      <c r="I910" t="s">
        <v>42</v>
      </c>
      <c r="J910" s="13" t="s">
        <v>43</v>
      </c>
      <c r="K910" s="13" t="s">
        <v>47</v>
      </c>
      <c r="L910" s="13" t="s">
        <v>48</v>
      </c>
      <c r="M910" t="s">
        <v>139</v>
      </c>
      <c r="N910">
        <v>1547</v>
      </c>
      <c r="O910" s="14">
        <v>0.66163364378735401</v>
      </c>
      <c r="P910" s="14">
        <v>0.83159798220731296</v>
      </c>
      <c r="Q910" t="str">
        <f t="shared" si="28"/>
        <v>35-49</v>
      </c>
      <c r="R910" t="str">
        <f t="shared" si="29"/>
        <v>[TYnMSwzko3z]|35-49|Male|HIV_PREV.T_1|CY2023Q3</v>
      </c>
    </row>
    <row r="911" spans="4:18" x14ac:dyDescent="0.2">
      <c r="D911" s="13" t="s">
        <v>77</v>
      </c>
      <c r="E911" s="13" t="s">
        <v>78</v>
      </c>
      <c r="F911" s="13" t="s">
        <v>79</v>
      </c>
      <c r="G911" s="13" t="s">
        <v>140</v>
      </c>
      <c r="H911" s="13" t="s">
        <v>141</v>
      </c>
      <c r="I911" t="s">
        <v>44</v>
      </c>
      <c r="J911" s="13" t="s">
        <v>45</v>
      </c>
      <c r="K911" s="13" t="s">
        <v>47</v>
      </c>
      <c r="L911" s="13" t="s">
        <v>48</v>
      </c>
      <c r="M911" t="s">
        <v>139</v>
      </c>
      <c r="N911">
        <v>769</v>
      </c>
      <c r="O911" s="14">
        <v>2.73143541999161E-2</v>
      </c>
      <c r="P911" s="14">
        <v>0.83159798220731296</v>
      </c>
      <c r="Q911" t="str">
        <f t="shared" si="28"/>
        <v>50+</v>
      </c>
      <c r="R911" t="str">
        <f t="shared" si="29"/>
        <v>[TYnMSwzko3z]|50+|Male|HIV_PREV.T_1|CY2023Q3</v>
      </c>
    </row>
    <row r="912" spans="4:18" x14ac:dyDescent="0.2">
      <c r="D912" s="13" t="s">
        <v>80</v>
      </c>
      <c r="E912" s="13" t="s">
        <v>81</v>
      </c>
      <c r="F912" s="13" t="s">
        <v>82</v>
      </c>
      <c r="G912" s="13" t="s">
        <v>140</v>
      </c>
      <c r="H912" s="13" t="s">
        <v>141</v>
      </c>
      <c r="I912" t="s">
        <v>27</v>
      </c>
      <c r="J912" s="13" t="s">
        <v>28</v>
      </c>
      <c r="K912" s="13" t="s">
        <v>29</v>
      </c>
      <c r="L912" s="13" t="s">
        <v>30</v>
      </c>
      <c r="M912" t="s">
        <v>139</v>
      </c>
      <c r="N912">
        <v>1428</v>
      </c>
      <c r="O912" s="14">
        <v>0.32280203513801098</v>
      </c>
      <c r="P912" s="14">
        <v>0.14333142153918699</v>
      </c>
      <c r="Q912" t="str">
        <f t="shared" si="28"/>
        <v>&lt;01</v>
      </c>
      <c r="R912" t="str">
        <f t="shared" si="29"/>
        <v>[ir8wuHHzoSs]|&lt;01|Female|HIV_PREV.T_1|CY2023Q3</v>
      </c>
    </row>
    <row r="913" spans="4:18" x14ac:dyDescent="0.2">
      <c r="D913" s="13" t="s">
        <v>80</v>
      </c>
      <c r="E913" s="13" t="s">
        <v>81</v>
      </c>
      <c r="F913" s="13" t="s">
        <v>82</v>
      </c>
      <c r="G913" s="13" t="s">
        <v>140</v>
      </c>
      <c r="H913" s="13" t="s">
        <v>141</v>
      </c>
      <c r="I913" t="s">
        <v>32</v>
      </c>
      <c r="J913" s="13" t="s">
        <v>33</v>
      </c>
      <c r="K913" s="13" t="s">
        <v>29</v>
      </c>
      <c r="L913" s="13" t="s">
        <v>30</v>
      </c>
      <c r="M913" t="s">
        <v>139</v>
      </c>
      <c r="N913">
        <v>1601</v>
      </c>
      <c r="O913" s="14">
        <v>0.57170429662801303</v>
      </c>
      <c r="P913" s="14">
        <v>0.14333142153918699</v>
      </c>
      <c r="Q913" t="str">
        <f t="shared" si="28"/>
        <v>01-09</v>
      </c>
      <c r="R913" t="str">
        <f t="shared" si="29"/>
        <v>[ir8wuHHzoSs]|01-09|Female|HIV_PREV.T_1|CY2023Q3</v>
      </c>
    </row>
    <row r="914" spans="4:18" x14ac:dyDescent="0.2">
      <c r="D914" s="13" t="s">
        <v>80</v>
      </c>
      <c r="E914" s="13" t="s">
        <v>81</v>
      </c>
      <c r="F914" s="13" t="s">
        <v>82</v>
      </c>
      <c r="G914" s="13" t="s">
        <v>140</v>
      </c>
      <c r="H914" s="13" t="s">
        <v>141</v>
      </c>
      <c r="I914" t="s">
        <v>35</v>
      </c>
      <c r="J914" s="13" t="s">
        <v>36</v>
      </c>
      <c r="K914" s="13" t="s">
        <v>29</v>
      </c>
      <c r="L914" s="13" t="s">
        <v>30</v>
      </c>
      <c r="M914" t="s">
        <v>139</v>
      </c>
      <c r="N914">
        <v>1085</v>
      </c>
      <c r="O914" s="14">
        <v>0.62726639001630202</v>
      </c>
      <c r="P914" s="14">
        <v>0.14333142153918699</v>
      </c>
      <c r="Q914" t="str">
        <f t="shared" si="28"/>
        <v>10-14</v>
      </c>
      <c r="R914" t="str">
        <f t="shared" si="29"/>
        <v>[ir8wuHHzoSs]|10-14|Female|HIV_PREV.T_1|CY2023Q3</v>
      </c>
    </row>
    <row r="915" spans="4:18" x14ac:dyDescent="0.2">
      <c r="D915" s="13" t="s">
        <v>80</v>
      </c>
      <c r="E915" s="13" t="s">
        <v>81</v>
      </c>
      <c r="F915" s="13" t="s">
        <v>82</v>
      </c>
      <c r="G915" s="13" t="s">
        <v>140</v>
      </c>
      <c r="H915" s="13" t="s">
        <v>141</v>
      </c>
      <c r="I915" t="s">
        <v>37</v>
      </c>
      <c r="J915" s="13" t="s">
        <v>38</v>
      </c>
      <c r="K915" s="13" t="s">
        <v>29</v>
      </c>
      <c r="L915" s="13" t="s">
        <v>30</v>
      </c>
      <c r="M915" t="s">
        <v>139</v>
      </c>
      <c r="N915">
        <v>1392</v>
      </c>
      <c r="O915" s="14">
        <v>0.47056479728780698</v>
      </c>
      <c r="P915" s="14">
        <v>0.14333142153918699</v>
      </c>
      <c r="Q915" t="str">
        <f t="shared" si="28"/>
        <v>15-24</v>
      </c>
      <c r="R915" t="str">
        <f t="shared" si="29"/>
        <v>[ir8wuHHzoSs]|15-24|Female|HIV_PREV.T_1|CY2023Q3</v>
      </c>
    </row>
    <row r="916" spans="4:18" x14ac:dyDescent="0.2">
      <c r="D916" s="13" t="s">
        <v>80</v>
      </c>
      <c r="E916" s="13" t="s">
        <v>81</v>
      </c>
      <c r="F916" s="13" t="s">
        <v>82</v>
      </c>
      <c r="G916" s="13" t="s">
        <v>140</v>
      </c>
      <c r="H916" s="13" t="s">
        <v>141</v>
      </c>
      <c r="I916" t="s">
        <v>40</v>
      </c>
      <c r="J916" s="13" t="s">
        <v>41</v>
      </c>
      <c r="K916" s="13" t="s">
        <v>29</v>
      </c>
      <c r="L916" s="13" t="s">
        <v>30</v>
      </c>
      <c r="M916" t="s">
        <v>139</v>
      </c>
      <c r="N916">
        <v>1233</v>
      </c>
      <c r="O916" s="14">
        <v>0.56533869565464601</v>
      </c>
      <c r="P916" s="14">
        <v>0.14333142153918699</v>
      </c>
      <c r="Q916" t="str">
        <f t="shared" si="28"/>
        <v>25-34</v>
      </c>
      <c r="R916" t="str">
        <f t="shared" si="29"/>
        <v>[ir8wuHHzoSs]|25-34|Female|HIV_PREV.T_1|CY2023Q3</v>
      </c>
    </row>
    <row r="917" spans="4:18" x14ac:dyDescent="0.2">
      <c r="D917" s="13" t="s">
        <v>80</v>
      </c>
      <c r="E917" s="13" t="s">
        <v>81</v>
      </c>
      <c r="F917" s="13" t="s">
        <v>82</v>
      </c>
      <c r="G917" s="13" t="s">
        <v>140</v>
      </c>
      <c r="H917" s="13" t="s">
        <v>141</v>
      </c>
      <c r="I917" t="s">
        <v>42</v>
      </c>
      <c r="J917" s="13" t="s">
        <v>43</v>
      </c>
      <c r="K917" s="13" t="s">
        <v>29</v>
      </c>
      <c r="L917" s="13" t="s">
        <v>30</v>
      </c>
      <c r="M917" t="s">
        <v>139</v>
      </c>
      <c r="N917">
        <v>1757</v>
      </c>
      <c r="O917" s="14">
        <v>3.7343801697716103E-2</v>
      </c>
      <c r="P917" s="14">
        <v>0.14333142153918699</v>
      </c>
      <c r="Q917" t="str">
        <f t="shared" si="28"/>
        <v>35-49</v>
      </c>
      <c r="R917" t="str">
        <f t="shared" si="29"/>
        <v>[ir8wuHHzoSs]|35-49|Female|HIV_PREV.T_1|CY2023Q3</v>
      </c>
    </row>
    <row r="918" spans="4:18" x14ac:dyDescent="0.2">
      <c r="D918" s="13" t="s">
        <v>80</v>
      </c>
      <c r="E918" s="13" t="s">
        <v>81</v>
      </c>
      <c r="F918" s="13" t="s">
        <v>82</v>
      </c>
      <c r="G918" s="13" t="s">
        <v>140</v>
      </c>
      <c r="H918" s="13" t="s">
        <v>141</v>
      </c>
      <c r="I918" t="s">
        <v>44</v>
      </c>
      <c r="J918" s="13" t="s">
        <v>45</v>
      </c>
      <c r="K918" s="13" t="s">
        <v>29</v>
      </c>
      <c r="L918" s="13" t="s">
        <v>30</v>
      </c>
      <c r="M918" t="s">
        <v>139</v>
      </c>
      <c r="N918">
        <v>1737</v>
      </c>
      <c r="O918" s="14">
        <v>0.177958243060857</v>
      </c>
      <c r="P918" s="14">
        <v>0.14333142153918699</v>
      </c>
      <c r="Q918" t="str">
        <f t="shared" si="28"/>
        <v>50+</v>
      </c>
      <c r="R918" t="str">
        <f t="shared" si="29"/>
        <v>[ir8wuHHzoSs]|50+|Female|HIV_PREV.T_1|CY2023Q3</v>
      </c>
    </row>
    <row r="919" spans="4:18" x14ac:dyDescent="0.2">
      <c r="D919" s="13" t="s">
        <v>80</v>
      </c>
      <c r="E919" s="13" t="s">
        <v>81</v>
      </c>
      <c r="F919" s="13" t="s">
        <v>82</v>
      </c>
      <c r="G919" s="13" t="s">
        <v>140</v>
      </c>
      <c r="H919" s="13" t="s">
        <v>141</v>
      </c>
      <c r="I919" t="s">
        <v>27</v>
      </c>
      <c r="J919" s="13" t="s">
        <v>28</v>
      </c>
      <c r="K919" s="13" t="s">
        <v>47</v>
      </c>
      <c r="L919" s="13" t="s">
        <v>48</v>
      </c>
      <c r="M919" t="s">
        <v>139</v>
      </c>
      <c r="N919">
        <v>1569</v>
      </c>
      <c r="O919" s="14">
        <v>7.3614413850009398E-3</v>
      </c>
      <c r="P919" s="14">
        <v>0.14333142153918699</v>
      </c>
      <c r="Q919" t="str">
        <f t="shared" si="28"/>
        <v>&lt;01</v>
      </c>
      <c r="R919" t="str">
        <f t="shared" si="29"/>
        <v>[ir8wuHHzoSs]|&lt;01|Male|HIV_PREV.T_1|CY2023Q3</v>
      </c>
    </row>
    <row r="920" spans="4:18" x14ac:dyDescent="0.2">
      <c r="D920" s="13" t="s">
        <v>80</v>
      </c>
      <c r="E920" s="13" t="s">
        <v>81</v>
      </c>
      <c r="F920" s="13" t="s">
        <v>82</v>
      </c>
      <c r="G920" s="13" t="s">
        <v>140</v>
      </c>
      <c r="H920" s="13" t="s">
        <v>141</v>
      </c>
      <c r="I920" t="s">
        <v>32</v>
      </c>
      <c r="J920" s="13" t="s">
        <v>33</v>
      </c>
      <c r="K920" s="13" t="s">
        <v>47</v>
      </c>
      <c r="L920" s="13" t="s">
        <v>48</v>
      </c>
      <c r="M920" t="s">
        <v>139</v>
      </c>
      <c r="N920">
        <v>1534</v>
      </c>
      <c r="O920" s="14">
        <v>0.41920118080452101</v>
      </c>
      <c r="P920" s="14">
        <v>0.14333142153918699</v>
      </c>
      <c r="Q920" t="str">
        <f t="shared" si="28"/>
        <v>01-09</v>
      </c>
      <c r="R920" t="str">
        <f t="shared" si="29"/>
        <v>[ir8wuHHzoSs]|01-09|Male|HIV_PREV.T_1|CY2023Q3</v>
      </c>
    </row>
    <row r="921" spans="4:18" x14ac:dyDescent="0.2">
      <c r="D921" s="13" t="s">
        <v>80</v>
      </c>
      <c r="E921" s="13" t="s">
        <v>81</v>
      </c>
      <c r="F921" s="13" t="s">
        <v>82</v>
      </c>
      <c r="G921" s="13" t="s">
        <v>140</v>
      </c>
      <c r="H921" s="13" t="s">
        <v>141</v>
      </c>
      <c r="I921" t="s">
        <v>35</v>
      </c>
      <c r="J921" s="13" t="s">
        <v>36</v>
      </c>
      <c r="K921" s="13" t="s">
        <v>47</v>
      </c>
      <c r="L921" s="13" t="s">
        <v>48</v>
      </c>
      <c r="M921" t="s">
        <v>139</v>
      </c>
      <c r="N921">
        <v>1481</v>
      </c>
      <c r="O921" s="14">
        <v>6.4969564788043499E-2</v>
      </c>
      <c r="P921" s="14">
        <v>0.14333142153918699</v>
      </c>
      <c r="Q921" t="str">
        <f t="shared" si="28"/>
        <v>10-14</v>
      </c>
      <c r="R921" t="str">
        <f t="shared" si="29"/>
        <v>[ir8wuHHzoSs]|10-14|Male|HIV_PREV.T_1|CY2023Q3</v>
      </c>
    </row>
    <row r="922" spans="4:18" x14ac:dyDescent="0.2">
      <c r="D922" s="13" t="s">
        <v>80</v>
      </c>
      <c r="E922" s="13" t="s">
        <v>81</v>
      </c>
      <c r="F922" s="13" t="s">
        <v>82</v>
      </c>
      <c r="G922" s="13" t="s">
        <v>140</v>
      </c>
      <c r="H922" s="13" t="s">
        <v>141</v>
      </c>
      <c r="I922" t="s">
        <v>37</v>
      </c>
      <c r="J922" s="13" t="s">
        <v>38</v>
      </c>
      <c r="K922" s="13" t="s">
        <v>47</v>
      </c>
      <c r="L922" s="13" t="s">
        <v>48</v>
      </c>
      <c r="M922" t="s">
        <v>139</v>
      </c>
      <c r="N922">
        <v>1455</v>
      </c>
      <c r="O922" s="14">
        <v>0.28085655928589398</v>
      </c>
      <c r="P922" s="14">
        <v>0.14333142153918699</v>
      </c>
      <c r="Q922" t="str">
        <f t="shared" si="28"/>
        <v>15-24</v>
      </c>
      <c r="R922" t="str">
        <f t="shared" si="29"/>
        <v>[ir8wuHHzoSs]|15-24|Male|HIV_PREV.T_1|CY2023Q3</v>
      </c>
    </row>
    <row r="923" spans="4:18" x14ac:dyDescent="0.2">
      <c r="D923" s="13" t="s">
        <v>80</v>
      </c>
      <c r="E923" s="13" t="s">
        <v>81</v>
      </c>
      <c r="F923" s="13" t="s">
        <v>82</v>
      </c>
      <c r="G923" s="13" t="s">
        <v>140</v>
      </c>
      <c r="H923" s="13" t="s">
        <v>141</v>
      </c>
      <c r="I923" t="s">
        <v>40</v>
      </c>
      <c r="J923" s="13" t="s">
        <v>41</v>
      </c>
      <c r="K923" s="13" t="s">
        <v>47</v>
      </c>
      <c r="L923" s="13" t="s">
        <v>48</v>
      </c>
      <c r="M923" t="s">
        <v>139</v>
      </c>
      <c r="N923">
        <v>1125</v>
      </c>
      <c r="O923" s="14">
        <v>0.71655554859898996</v>
      </c>
      <c r="P923" s="14">
        <v>0.14333142153918699</v>
      </c>
      <c r="Q923" t="str">
        <f t="shared" si="28"/>
        <v>25-34</v>
      </c>
      <c r="R923" t="str">
        <f t="shared" si="29"/>
        <v>[ir8wuHHzoSs]|25-34|Male|HIV_PREV.T_1|CY2023Q3</v>
      </c>
    </row>
    <row r="924" spans="4:18" x14ac:dyDescent="0.2">
      <c r="D924" s="13" t="s">
        <v>80</v>
      </c>
      <c r="E924" s="13" t="s">
        <v>81</v>
      </c>
      <c r="F924" s="13" t="s">
        <v>82</v>
      </c>
      <c r="G924" s="13" t="s">
        <v>140</v>
      </c>
      <c r="H924" s="13" t="s">
        <v>141</v>
      </c>
      <c r="I924" t="s">
        <v>42</v>
      </c>
      <c r="J924" s="13" t="s">
        <v>43</v>
      </c>
      <c r="K924" s="13" t="s">
        <v>47</v>
      </c>
      <c r="L924" s="13" t="s">
        <v>48</v>
      </c>
      <c r="M924" t="s">
        <v>139</v>
      </c>
      <c r="N924">
        <v>1724</v>
      </c>
      <c r="O924" s="14">
        <v>0.44392450805753503</v>
      </c>
      <c r="P924" s="14">
        <v>0.14333142153918699</v>
      </c>
      <c r="Q924" t="str">
        <f t="shared" si="28"/>
        <v>35-49</v>
      </c>
      <c r="R924" t="str">
        <f t="shared" si="29"/>
        <v>[ir8wuHHzoSs]|35-49|Male|HIV_PREV.T_1|CY2023Q3</v>
      </c>
    </row>
    <row r="925" spans="4:18" x14ac:dyDescent="0.2">
      <c r="D925" s="13" t="s">
        <v>80</v>
      </c>
      <c r="E925" s="13" t="s">
        <v>81</v>
      </c>
      <c r="F925" s="13" t="s">
        <v>82</v>
      </c>
      <c r="G925" s="13" t="s">
        <v>140</v>
      </c>
      <c r="H925" s="13" t="s">
        <v>141</v>
      </c>
      <c r="I925" t="s">
        <v>44</v>
      </c>
      <c r="J925" s="13" t="s">
        <v>45</v>
      </c>
      <c r="K925" s="13" t="s">
        <v>47</v>
      </c>
      <c r="L925" s="13" t="s">
        <v>48</v>
      </c>
      <c r="M925" t="s">
        <v>139</v>
      </c>
      <c r="N925">
        <v>666</v>
      </c>
      <c r="O925" s="14">
        <v>0.70871883584186401</v>
      </c>
      <c r="P925" s="14">
        <v>0.14333142153918699</v>
      </c>
      <c r="Q925" t="str">
        <f t="shared" si="28"/>
        <v>50+</v>
      </c>
      <c r="R925" t="str">
        <f t="shared" si="29"/>
        <v>[ir8wuHHzoSs]|50+|Male|HIV_PREV.T_1|CY2023Q3</v>
      </c>
    </row>
    <row r="926" spans="4:18" x14ac:dyDescent="0.2">
      <c r="D926" s="13" t="s">
        <v>83</v>
      </c>
      <c r="E926" s="13" t="s">
        <v>84</v>
      </c>
      <c r="F926" s="13" t="s">
        <v>85</v>
      </c>
      <c r="G926" s="13" t="s">
        <v>140</v>
      </c>
      <c r="H926" s="13" t="s">
        <v>141</v>
      </c>
      <c r="I926" t="s">
        <v>27</v>
      </c>
      <c r="J926" s="13" t="s">
        <v>28</v>
      </c>
      <c r="K926" s="13" t="s">
        <v>29</v>
      </c>
      <c r="L926" s="13" t="s">
        <v>30</v>
      </c>
      <c r="M926" t="s">
        <v>139</v>
      </c>
      <c r="N926">
        <v>804</v>
      </c>
      <c r="O926" s="14">
        <v>0.195689491927624</v>
      </c>
      <c r="P926" s="14">
        <v>2.9788714367896301E-2</v>
      </c>
      <c r="Q926" t="str">
        <f t="shared" si="28"/>
        <v>&lt;01</v>
      </c>
      <c r="R926" t="str">
        <f t="shared" si="29"/>
        <v>[fyEoGEPERdI]|&lt;01|Female|HIV_PREV.T_1|CY2023Q3</v>
      </c>
    </row>
    <row r="927" spans="4:18" x14ac:dyDescent="0.2">
      <c r="D927" s="13" t="s">
        <v>83</v>
      </c>
      <c r="E927" s="13" t="s">
        <v>84</v>
      </c>
      <c r="F927" s="13" t="s">
        <v>85</v>
      </c>
      <c r="G927" s="13" t="s">
        <v>140</v>
      </c>
      <c r="H927" s="13" t="s">
        <v>141</v>
      </c>
      <c r="I927" t="s">
        <v>32</v>
      </c>
      <c r="J927" s="13" t="s">
        <v>33</v>
      </c>
      <c r="K927" s="13" t="s">
        <v>29</v>
      </c>
      <c r="L927" s="13" t="s">
        <v>30</v>
      </c>
      <c r="M927" t="s">
        <v>139</v>
      </c>
      <c r="N927">
        <v>1154</v>
      </c>
      <c r="O927" s="14">
        <v>0.84149295906536303</v>
      </c>
      <c r="P927" s="14">
        <v>2.9788714367896301E-2</v>
      </c>
      <c r="Q927" t="str">
        <f t="shared" si="28"/>
        <v>01-09</v>
      </c>
      <c r="R927" t="str">
        <f t="shared" si="29"/>
        <v>[fyEoGEPERdI]|01-09|Female|HIV_PREV.T_1|CY2023Q3</v>
      </c>
    </row>
    <row r="928" spans="4:18" x14ac:dyDescent="0.2">
      <c r="D928" s="13" t="s">
        <v>83</v>
      </c>
      <c r="E928" s="13" t="s">
        <v>84</v>
      </c>
      <c r="F928" s="13" t="s">
        <v>85</v>
      </c>
      <c r="G928" s="13" t="s">
        <v>140</v>
      </c>
      <c r="H928" s="13" t="s">
        <v>141</v>
      </c>
      <c r="I928" t="s">
        <v>35</v>
      </c>
      <c r="J928" s="13" t="s">
        <v>36</v>
      </c>
      <c r="K928" s="13" t="s">
        <v>29</v>
      </c>
      <c r="L928" s="13" t="s">
        <v>30</v>
      </c>
      <c r="M928" t="s">
        <v>139</v>
      </c>
      <c r="N928">
        <v>1198</v>
      </c>
      <c r="O928" s="14">
        <v>0.63514259387739003</v>
      </c>
      <c r="P928" s="14">
        <v>2.9788714367896301E-2</v>
      </c>
      <c r="Q928" t="str">
        <f t="shared" si="28"/>
        <v>10-14</v>
      </c>
      <c r="R928" t="str">
        <f t="shared" si="29"/>
        <v>[fyEoGEPERdI]|10-14|Female|HIV_PREV.T_1|CY2023Q3</v>
      </c>
    </row>
    <row r="929" spans="4:18" x14ac:dyDescent="0.2">
      <c r="D929" s="13" t="s">
        <v>83</v>
      </c>
      <c r="E929" s="13" t="s">
        <v>84</v>
      </c>
      <c r="F929" s="13" t="s">
        <v>85</v>
      </c>
      <c r="G929" s="13" t="s">
        <v>140</v>
      </c>
      <c r="H929" s="13" t="s">
        <v>141</v>
      </c>
      <c r="I929" t="s">
        <v>37</v>
      </c>
      <c r="J929" s="13" t="s">
        <v>38</v>
      </c>
      <c r="K929" s="13" t="s">
        <v>29</v>
      </c>
      <c r="L929" s="13" t="s">
        <v>30</v>
      </c>
      <c r="M929" t="s">
        <v>139</v>
      </c>
      <c r="N929">
        <v>845</v>
      </c>
      <c r="O929" s="14">
        <v>0.44463702128268801</v>
      </c>
      <c r="P929" s="14">
        <v>2.9788714367896301E-2</v>
      </c>
      <c r="Q929" t="str">
        <f t="shared" si="28"/>
        <v>15-24</v>
      </c>
      <c r="R929" t="str">
        <f t="shared" si="29"/>
        <v>[fyEoGEPERdI]|15-24|Female|HIV_PREV.T_1|CY2023Q3</v>
      </c>
    </row>
    <row r="930" spans="4:18" x14ac:dyDescent="0.2">
      <c r="D930" s="13" t="s">
        <v>83</v>
      </c>
      <c r="E930" s="13" t="s">
        <v>84</v>
      </c>
      <c r="F930" s="13" t="s">
        <v>85</v>
      </c>
      <c r="G930" s="13" t="s">
        <v>140</v>
      </c>
      <c r="H930" s="13" t="s">
        <v>141</v>
      </c>
      <c r="I930" t="s">
        <v>40</v>
      </c>
      <c r="J930" s="13" t="s">
        <v>41</v>
      </c>
      <c r="K930" s="13" t="s">
        <v>29</v>
      </c>
      <c r="L930" s="13" t="s">
        <v>30</v>
      </c>
      <c r="M930" t="s">
        <v>139</v>
      </c>
      <c r="N930">
        <v>707</v>
      </c>
      <c r="O930" s="14">
        <v>0.98280696943402301</v>
      </c>
      <c r="P930" s="14">
        <v>2.9788714367896301E-2</v>
      </c>
      <c r="Q930" t="str">
        <f t="shared" si="28"/>
        <v>25-34</v>
      </c>
      <c r="R930" t="str">
        <f t="shared" si="29"/>
        <v>[fyEoGEPERdI]|25-34|Female|HIV_PREV.T_1|CY2023Q3</v>
      </c>
    </row>
    <row r="931" spans="4:18" x14ac:dyDescent="0.2">
      <c r="D931" s="13" t="s">
        <v>83</v>
      </c>
      <c r="E931" s="13" t="s">
        <v>84</v>
      </c>
      <c r="F931" s="13" t="s">
        <v>85</v>
      </c>
      <c r="G931" s="13" t="s">
        <v>140</v>
      </c>
      <c r="H931" s="13" t="s">
        <v>141</v>
      </c>
      <c r="I931" t="s">
        <v>42</v>
      </c>
      <c r="J931" s="13" t="s">
        <v>43</v>
      </c>
      <c r="K931" s="13" t="s">
        <v>29</v>
      </c>
      <c r="L931" s="13" t="s">
        <v>30</v>
      </c>
      <c r="M931" t="s">
        <v>139</v>
      </c>
      <c r="N931">
        <v>615</v>
      </c>
      <c r="O931" s="14">
        <v>0.104074044851586</v>
      </c>
      <c r="P931" s="14">
        <v>2.9788714367896301E-2</v>
      </c>
      <c r="Q931" t="str">
        <f t="shared" si="28"/>
        <v>35-49</v>
      </c>
      <c r="R931" t="str">
        <f t="shared" si="29"/>
        <v>[fyEoGEPERdI]|35-49|Female|HIV_PREV.T_1|CY2023Q3</v>
      </c>
    </row>
    <row r="932" spans="4:18" x14ac:dyDescent="0.2">
      <c r="D932" s="13" t="s">
        <v>83</v>
      </c>
      <c r="E932" s="13" t="s">
        <v>84</v>
      </c>
      <c r="F932" s="13" t="s">
        <v>85</v>
      </c>
      <c r="G932" s="13" t="s">
        <v>140</v>
      </c>
      <c r="H932" s="13" t="s">
        <v>141</v>
      </c>
      <c r="I932" t="s">
        <v>44</v>
      </c>
      <c r="J932" s="13" t="s">
        <v>45</v>
      </c>
      <c r="K932" s="13" t="s">
        <v>29</v>
      </c>
      <c r="L932" s="13" t="s">
        <v>30</v>
      </c>
      <c r="M932" t="s">
        <v>139</v>
      </c>
      <c r="N932">
        <v>1678</v>
      </c>
      <c r="O932" s="14">
        <v>0.53819354623556104</v>
      </c>
      <c r="P932" s="14">
        <v>2.9788714367896301E-2</v>
      </c>
      <c r="Q932" t="str">
        <f t="shared" si="28"/>
        <v>50+</v>
      </c>
      <c r="R932" t="str">
        <f t="shared" si="29"/>
        <v>[fyEoGEPERdI]|50+|Female|HIV_PREV.T_1|CY2023Q3</v>
      </c>
    </row>
    <row r="933" spans="4:18" x14ac:dyDescent="0.2">
      <c r="D933" s="13" t="s">
        <v>83</v>
      </c>
      <c r="E933" s="13" t="s">
        <v>84</v>
      </c>
      <c r="F933" s="13" t="s">
        <v>85</v>
      </c>
      <c r="G933" s="13" t="s">
        <v>140</v>
      </c>
      <c r="H933" s="13" t="s">
        <v>141</v>
      </c>
      <c r="I933" t="s">
        <v>27</v>
      </c>
      <c r="J933" s="13" t="s">
        <v>28</v>
      </c>
      <c r="K933" s="13" t="s">
        <v>47</v>
      </c>
      <c r="L933" s="13" t="s">
        <v>48</v>
      </c>
      <c r="M933" t="s">
        <v>139</v>
      </c>
      <c r="N933">
        <v>566</v>
      </c>
      <c r="O933" s="14">
        <v>0.49748833617195498</v>
      </c>
      <c r="P933" s="14">
        <v>2.9788714367896301E-2</v>
      </c>
      <c r="Q933" t="str">
        <f t="shared" si="28"/>
        <v>&lt;01</v>
      </c>
      <c r="R933" t="str">
        <f t="shared" si="29"/>
        <v>[fyEoGEPERdI]|&lt;01|Male|HIV_PREV.T_1|CY2023Q3</v>
      </c>
    </row>
    <row r="934" spans="4:18" x14ac:dyDescent="0.2">
      <c r="D934" s="13" t="s">
        <v>83</v>
      </c>
      <c r="E934" s="13" t="s">
        <v>84</v>
      </c>
      <c r="F934" s="13" t="s">
        <v>85</v>
      </c>
      <c r="G934" s="13" t="s">
        <v>140</v>
      </c>
      <c r="H934" s="13" t="s">
        <v>141</v>
      </c>
      <c r="I934" t="s">
        <v>32</v>
      </c>
      <c r="J934" s="13" t="s">
        <v>33</v>
      </c>
      <c r="K934" s="13" t="s">
        <v>47</v>
      </c>
      <c r="L934" s="13" t="s">
        <v>48</v>
      </c>
      <c r="M934" t="s">
        <v>139</v>
      </c>
      <c r="N934">
        <v>1488</v>
      </c>
      <c r="O934" s="14">
        <v>0.157327399356291</v>
      </c>
      <c r="P934" s="14">
        <v>2.9788714367896301E-2</v>
      </c>
      <c r="Q934" t="str">
        <f t="shared" si="28"/>
        <v>01-09</v>
      </c>
      <c r="R934" t="str">
        <f t="shared" si="29"/>
        <v>[fyEoGEPERdI]|01-09|Male|HIV_PREV.T_1|CY2023Q3</v>
      </c>
    </row>
    <row r="935" spans="4:18" x14ac:dyDescent="0.2">
      <c r="D935" s="13" t="s">
        <v>83</v>
      </c>
      <c r="E935" s="13" t="s">
        <v>84</v>
      </c>
      <c r="F935" s="13" t="s">
        <v>85</v>
      </c>
      <c r="G935" s="13" t="s">
        <v>140</v>
      </c>
      <c r="H935" s="13" t="s">
        <v>141</v>
      </c>
      <c r="I935" t="s">
        <v>35</v>
      </c>
      <c r="J935" s="13" t="s">
        <v>36</v>
      </c>
      <c r="K935" s="13" t="s">
        <v>47</v>
      </c>
      <c r="L935" s="13" t="s">
        <v>48</v>
      </c>
      <c r="M935" t="s">
        <v>139</v>
      </c>
      <c r="N935">
        <v>509</v>
      </c>
      <c r="O935" s="14">
        <v>0.86810187716037002</v>
      </c>
      <c r="P935" s="14">
        <v>2.9788714367896301E-2</v>
      </c>
      <c r="Q935" t="str">
        <f t="shared" si="28"/>
        <v>10-14</v>
      </c>
      <c r="R935" t="str">
        <f t="shared" si="29"/>
        <v>[fyEoGEPERdI]|10-14|Male|HIV_PREV.T_1|CY2023Q3</v>
      </c>
    </row>
    <row r="936" spans="4:18" x14ac:dyDescent="0.2">
      <c r="D936" s="13" t="s">
        <v>83</v>
      </c>
      <c r="E936" s="13" t="s">
        <v>84</v>
      </c>
      <c r="F936" s="13" t="s">
        <v>85</v>
      </c>
      <c r="G936" s="13" t="s">
        <v>140</v>
      </c>
      <c r="H936" s="13" t="s">
        <v>141</v>
      </c>
      <c r="I936" t="s">
        <v>37</v>
      </c>
      <c r="J936" s="13" t="s">
        <v>38</v>
      </c>
      <c r="K936" s="13" t="s">
        <v>47</v>
      </c>
      <c r="L936" s="13" t="s">
        <v>48</v>
      </c>
      <c r="M936" t="s">
        <v>139</v>
      </c>
      <c r="N936">
        <v>892</v>
      </c>
      <c r="O936" s="14">
        <v>0.52263823989778802</v>
      </c>
      <c r="P936" s="14">
        <v>2.9788714367896301E-2</v>
      </c>
      <c r="Q936" t="str">
        <f t="shared" si="28"/>
        <v>15-24</v>
      </c>
      <c r="R936" t="str">
        <f t="shared" si="29"/>
        <v>[fyEoGEPERdI]|15-24|Male|HIV_PREV.T_1|CY2023Q3</v>
      </c>
    </row>
    <row r="937" spans="4:18" x14ac:dyDescent="0.2">
      <c r="D937" s="13" t="s">
        <v>83</v>
      </c>
      <c r="E937" s="13" t="s">
        <v>84</v>
      </c>
      <c r="F937" s="13" t="s">
        <v>85</v>
      </c>
      <c r="G937" s="13" t="s">
        <v>140</v>
      </c>
      <c r="H937" s="13" t="s">
        <v>141</v>
      </c>
      <c r="I937" t="s">
        <v>40</v>
      </c>
      <c r="J937" s="13" t="s">
        <v>41</v>
      </c>
      <c r="K937" s="13" t="s">
        <v>47</v>
      </c>
      <c r="L937" s="13" t="s">
        <v>48</v>
      </c>
      <c r="M937" t="s">
        <v>139</v>
      </c>
      <c r="N937">
        <v>1505</v>
      </c>
      <c r="O937" s="14">
        <v>0.95339977834373701</v>
      </c>
      <c r="P937" s="14">
        <v>2.9788714367896301E-2</v>
      </c>
      <c r="Q937" t="str">
        <f t="shared" si="28"/>
        <v>25-34</v>
      </c>
      <c r="R937" t="str">
        <f t="shared" si="29"/>
        <v>[fyEoGEPERdI]|25-34|Male|HIV_PREV.T_1|CY2023Q3</v>
      </c>
    </row>
    <row r="938" spans="4:18" x14ac:dyDescent="0.2">
      <c r="D938" s="13" t="s">
        <v>83</v>
      </c>
      <c r="E938" s="13" t="s">
        <v>84</v>
      </c>
      <c r="F938" s="13" t="s">
        <v>85</v>
      </c>
      <c r="G938" s="13" t="s">
        <v>140</v>
      </c>
      <c r="H938" s="13" t="s">
        <v>141</v>
      </c>
      <c r="I938" t="s">
        <v>42</v>
      </c>
      <c r="J938" s="13" t="s">
        <v>43</v>
      </c>
      <c r="K938" s="13" t="s">
        <v>47</v>
      </c>
      <c r="L938" s="13" t="s">
        <v>48</v>
      </c>
      <c r="M938" t="s">
        <v>139</v>
      </c>
      <c r="N938">
        <v>1565</v>
      </c>
      <c r="O938" s="14">
        <v>0.26477964711375501</v>
      </c>
      <c r="P938" s="14">
        <v>2.9788714367896301E-2</v>
      </c>
      <c r="Q938" t="str">
        <f t="shared" si="28"/>
        <v>35-49</v>
      </c>
      <c r="R938" t="str">
        <f t="shared" si="29"/>
        <v>[fyEoGEPERdI]|35-49|Male|HIV_PREV.T_1|CY2023Q3</v>
      </c>
    </row>
    <row r="939" spans="4:18" x14ac:dyDescent="0.2">
      <c r="D939" s="13" t="s">
        <v>83</v>
      </c>
      <c r="E939" s="13" t="s">
        <v>84</v>
      </c>
      <c r="F939" s="13" t="s">
        <v>85</v>
      </c>
      <c r="G939" s="13" t="s">
        <v>140</v>
      </c>
      <c r="H939" s="13" t="s">
        <v>141</v>
      </c>
      <c r="I939" t="s">
        <v>44</v>
      </c>
      <c r="J939" s="13" t="s">
        <v>45</v>
      </c>
      <c r="K939" s="13" t="s">
        <v>47</v>
      </c>
      <c r="L939" s="13" t="s">
        <v>48</v>
      </c>
      <c r="M939" t="s">
        <v>139</v>
      </c>
      <c r="N939">
        <v>1933</v>
      </c>
      <c r="O939" s="14">
        <v>0.89614565391093504</v>
      </c>
      <c r="P939" s="14">
        <v>2.9788714367896301E-2</v>
      </c>
      <c r="Q939" t="str">
        <f t="shared" si="28"/>
        <v>50+</v>
      </c>
      <c r="R939" t="str">
        <f t="shared" si="29"/>
        <v>[fyEoGEPERdI]|50+|Male|HIV_PREV.T_1|CY2023Q3</v>
      </c>
    </row>
    <row r="940" spans="4:18" x14ac:dyDescent="0.2">
      <c r="D940" s="13" t="s">
        <v>86</v>
      </c>
      <c r="E940" s="13" t="s">
        <v>87</v>
      </c>
      <c r="F940" s="13" t="s">
        <v>88</v>
      </c>
      <c r="G940" s="13" t="s">
        <v>140</v>
      </c>
      <c r="H940" s="13" t="s">
        <v>141</v>
      </c>
      <c r="I940" t="s">
        <v>27</v>
      </c>
      <c r="J940" s="13" t="s">
        <v>28</v>
      </c>
      <c r="K940" s="13" t="s">
        <v>29</v>
      </c>
      <c r="L940" s="13" t="s">
        <v>30</v>
      </c>
      <c r="M940" t="s">
        <v>139</v>
      </c>
      <c r="N940">
        <v>578</v>
      </c>
      <c r="O940" s="14">
        <v>0.47740926104597697</v>
      </c>
      <c r="P940" s="14">
        <v>0.13333638082258401</v>
      </c>
      <c r="Q940" t="str">
        <f t="shared" si="28"/>
        <v>&lt;01</v>
      </c>
      <c r="R940" t="str">
        <f t="shared" si="29"/>
        <v>[cPtvxaZqXIH]|&lt;01|Female|HIV_PREV.T_1|CY2023Q3</v>
      </c>
    </row>
    <row r="941" spans="4:18" x14ac:dyDescent="0.2">
      <c r="D941" s="13" t="s">
        <v>86</v>
      </c>
      <c r="E941" s="13" t="s">
        <v>87</v>
      </c>
      <c r="F941" s="13" t="s">
        <v>88</v>
      </c>
      <c r="G941" s="13" t="s">
        <v>140</v>
      </c>
      <c r="H941" s="13" t="s">
        <v>141</v>
      </c>
      <c r="I941" t="s">
        <v>32</v>
      </c>
      <c r="J941" s="13" t="s">
        <v>33</v>
      </c>
      <c r="K941" s="13" t="s">
        <v>29</v>
      </c>
      <c r="L941" s="13" t="s">
        <v>30</v>
      </c>
      <c r="M941" t="s">
        <v>139</v>
      </c>
      <c r="N941">
        <v>1364</v>
      </c>
      <c r="O941" s="14">
        <v>0.32189249177463403</v>
      </c>
      <c r="P941" s="14">
        <v>0.13333638082258401</v>
      </c>
      <c r="Q941" t="str">
        <f t="shared" si="28"/>
        <v>01-09</v>
      </c>
      <c r="R941" t="str">
        <f t="shared" si="29"/>
        <v>[cPtvxaZqXIH]|01-09|Female|HIV_PREV.T_1|CY2023Q3</v>
      </c>
    </row>
    <row r="942" spans="4:18" x14ac:dyDescent="0.2">
      <c r="D942" s="13" t="s">
        <v>86</v>
      </c>
      <c r="E942" s="13" t="s">
        <v>87</v>
      </c>
      <c r="F942" s="13" t="s">
        <v>88</v>
      </c>
      <c r="G942" s="13" t="s">
        <v>140</v>
      </c>
      <c r="H942" s="13" t="s">
        <v>141</v>
      </c>
      <c r="I942" t="s">
        <v>35</v>
      </c>
      <c r="J942" s="13" t="s">
        <v>36</v>
      </c>
      <c r="K942" s="13" t="s">
        <v>29</v>
      </c>
      <c r="L942" s="13" t="s">
        <v>30</v>
      </c>
      <c r="M942" t="s">
        <v>139</v>
      </c>
      <c r="N942">
        <v>1834</v>
      </c>
      <c r="O942" s="14">
        <v>0.38424776867032101</v>
      </c>
      <c r="P942" s="14">
        <v>0.13333638082258401</v>
      </c>
      <c r="Q942" t="str">
        <f t="shared" si="28"/>
        <v>10-14</v>
      </c>
      <c r="R942" t="str">
        <f t="shared" si="29"/>
        <v>[cPtvxaZqXIH]|10-14|Female|HIV_PREV.T_1|CY2023Q3</v>
      </c>
    </row>
    <row r="943" spans="4:18" x14ac:dyDescent="0.2">
      <c r="D943" s="13" t="s">
        <v>86</v>
      </c>
      <c r="E943" s="13" t="s">
        <v>87</v>
      </c>
      <c r="F943" s="13" t="s">
        <v>88</v>
      </c>
      <c r="G943" s="13" t="s">
        <v>140</v>
      </c>
      <c r="H943" s="13" t="s">
        <v>141</v>
      </c>
      <c r="I943" t="s">
        <v>37</v>
      </c>
      <c r="J943" s="13" t="s">
        <v>38</v>
      </c>
      <c r="K943" s="13" t="s">
        <v>29</v>
      </c>
      <c r="L943" s="13" t="s">
        <v>30</v>
      </c>
      <c r="M943" t="s">
        <v>139</v>
      </c>
      <c r="N943">
        <v>1330</v>
      </c>
      <c r="O943" s="14">
        <v>0.81823010952211905</v>
      </c>
      <c r="P943" s="14">
        <v>0.13333638082258401</v>
      </c>
      <c r="Q943" t="str">
        <f t="shared" si="28"/>
        <v>15-24</v>
      </c>
      <c r="R943" t="str">
        <f t="shared" si="29"/>
        <v>[cPtvxaZqXIH]|15-24|Female|HIV_PREV.T_1|CY2023Q3</v>
      </c>
    </row>
    <row r="944" spans="4:18" x14ac:dyDescent="0.2">
      <c r="D944" s="13" t="s">
        <v>86</v>
      </c>
      <c r="E944" s="13" t="s">
        <v>87</v>
      </c>
      <c r="F944" s="13" t="s">
        <v>88</v>
      </c>
      <c r="G944" s="13" t="s">
        <v>140</v>
      </c>
      <c r="H944" s="13" t="s">
        <v>141</v>
      </c>
      <c r="I944" t="s">
        <v>40</v>
      </c>
      <c r="J944" s="13" t="s">
        <v>41</v>
      </c>
      <c r="K944" s="13" t="s">
        <v>29</v>
      </c>
      <c r="L944" s="13" t="s">
        <v>30</v>
      </c>
      <c r="M944" t="s">
        <v>139</v>
      </c>
      <c r="N944">
        <v>1493</v>
      </c>
      <c r="O944" s="14">
        <v>0.86530739185400296</v>
      </c>
      <c r="P944" s="14">
        <v>0.13333638082258401</v>
      </c>
      <c r="Q944" t="str">
        <f t="shared" si="28"/>
        <v>25-34</v>
      </c>
      <c r="R944" t="str">
        <f t="shared" si="29"/>
        <v>[cPtvxaZqXIH]|25-34|Female|HIV_PREV.T_1|CY2023Q3</v>
      </c>
    </row>
    <row r="945" spans="4:18" x14ac:dyDescent="0.2">
      <c r="D945" s="13" t="s">
        <v>86</v>
      </c>
      <c r="E945" s="13" t="s">
        <v>87</v>
      </c>
      <c r="F945" s="13" t="s">
        <v>88</v>
      </c>
      <c r="G945" s="13" t="s">
        <v>140</v>
      </c>
      <c r="H945" s="13" t="s">
        <v>141</v>
      </c>
      <c r="I945" t="s">
        <v>42</v>
      </c>
      <c r="J945" s="13" t="s">
        <v>43</v>
      </c>
      <c r="K945" s="13" t="s">
        <v>29</v>
      </c>
      <c r="L945" s="13" t="s">
        <v>30</v>
      </c>
      <c r="M945" t="s">
        <v>139</v>
      </c>
      <c r="N945">
        <v>1992</v>
      </c>
      <c r="O945" s="14">
        <v>0.874847137834877</v>
      </c>
      <c r="P945" s="14">
        <v>0.13333638082258401</v>
      </c>
      <c r="Q945" t="str">
        <f t="shared" si="28"/>
        <v>35-49</v>
      </c>
      <c r="R945" t="str">
        <f t="shared" si="29"/>
        <v>[cPtvxaZqXIH]|35-49|Female|HIV_PREV.T_1|CY2023Q3</v>
      </c>
    </row>
    <row r="946" spans="4:18" x14ac:dyDescent="0.2">
      <c r="D946" s="13" t="s">
        <v>86</v>
      </c>
      <c r="E946" s="13" t="s">
        <v>87</v>
      </c>
      <c r="F946" s="13" t="s">
        <v>88</v>
      </c>
      <c r="G946" s="13" t="s">
        <v>140</v>
      </c>
      <c r="H946" s="13" t="s">
        <v>141</v>
      </c>
      <c r="I946" t="s">
        <v>44</v>
      </c>
      <c r="J946" s="13" t="s">
        <v>45</v>
      </c>
      <c r="K946" s="13" t="s">
        <v>29</v>
      </c>
      <c r="L946" s="13" t="s">
        <v>30</v>
      </c>
      <c r="M946" t="s">
        <v>139</v>
      </c>
      <c r="N946">
        <v>1324</v>
      </c>
      <c r="O946" s="14">
        <v>0.94205853086896196</v>
      </c>
      <c r="P946" s="14">
        <v>0.13333638082258401</v>
      </c>
      <c r="Q946" t="str">
        <f t="shared" si="28"/>
        <v>50+</v>
      </c>
      <c r="R946" t="str">
        <f t="shared" si="29"/>
        <v>[cPtvxaZqXIH]|50+|Female|HIV_PREV.T_1|CY2023Q3</v>
      </c>
    </row>
    <row r="947" spans="4:18" x14ac:dyDescent="0.2">
      <c r="D947" s="13" t="s">
        <v>86</v>
      </c>
      <c r="E947" s="13" t="s">
        <v>87</v>
      </c>
      <c r="F947" s="13" t="s">
        <v>88</v>
      </c>
      <c r="G947" s="13" t="s">
        <v>140</v>
      </c>
      <c r="H947" s="13" t="s">
        <v>141</v>
      </c>
      <c r="I947" t="s">
        <v>27</v>
      </c>
      <c r="J947" s="13" t="s">
        <v>28</v>
      </c>
      <c r="K947" s="13" t="s">
        <v>47</v>
      </c>
      <c r="L947" s="13" t="s">
        <v>48</v>
      </c>
      <c r="M947" t="s">
        <v>139</v>
      </c>
      <c r="N947">
        <v>1009</v>
      </c>
      <c r="O947" s="14">
        <v>0.44673373154364499</v>
      </c>
      <c r="P947" s="14">
        <v>0.13333638082258401</v>
      </c>
      <c r="Q947" t="str">
        <f t="shared" si="28"/>
        <v>&lt;01</v>
      </c>
      <c r="R947" t="str">
        <f t="shared" si="29"/>
        <v>[cPtvxaZqXIH]|&lt;01|Male|HIV_PREV.T_1|CY2023Q3</v>
      </c>
    </row>
    <row r="948" spans="4:18" x14ac:dyDescent="0.2">
      <c r="D948" s="13" t="s">
        <v>86</v>
      </c>
      <c r="E948" s="13" t="s">
        <v>87</v>
      </c>
      <c r="F948" s="13" t="s">
        <v>88</v>
      </c>
      <c r="G948" s="13" t="s">
        <v>140</v>
      </c>
      <c r="H948" s="13" t="s">
        <v>141</v>
      </c>
      <c r="I948" t="s">
        <v>32</v>
      </c>
      <c r="J948" s="13" t="s">
        <v>33</v>
      </c>
      <c r="K948" s="13" t="s">
        <v>47</v>
      </c>
      <c r="L948" s="13" t="s">
        <v>48</v>
      </c>
      <c r="M948" t="s">
        <v>139</v>
      </c>
      <c r="N948">
        <v>793</v>
      </c>
      <c r="O948" s="14">
        <v>0.27054033754393503</v>
      </c>
      <c r="P948" s="14">
        <v>0.13333638082258401</v>
      </c>
      <c r="Q948" t="str">
        <f t="shared" si="28"/>
        <v>01-09</v>
      </c>
      <c r="R948" t="str">
        <f t="shared" si="29"/>
        <v>[cPtvxaZqXIH]|01-09|Male|HIV_PREV.T_1|CY2023Q3</v>
      </c>
    </row>
    <row r="949" spans="4:18" x14ac:dyDescent="0.2">
      <c r="D949" s="13" t="s">
        <v>86</v>
      </c>
      <c r="E949" s="13" t="s">
        <v>87</v>
      </c>
      <c r="F949" s="13" t="s">
        <v>88</v>
      </c>
      <c r="G949" s="13" t="s">
        <v>140</v>
      </c>
      <c r="H949" s="13" t="s">
        <v>141</v>
      </c>
      <c r="I949" t="s">
        <v>35</v>
      </c>
      <c r="J949" s="13" t="s">
        <v>36</v>
      </c>
      <c r="K949" s="13" t="s">
        <v>47</v>
      </c>
      <c r="L949" s="13" t="s">
        <v>48</v>
      </c>
      <c r="M949" t="s">
        <v>139</v>
      </c>
      <c r="N949">
        <v>1837</v>
      </c>
      <c r="O949" s="14">
        <v>0.38869465654715901</v>
      </c>
      <c r="P949" s="14">
        <v>0.13333638082258401</v>
      </c>
      <c r="Q949" t="str">
        <f t="shared" si="28"/>
        <v>10-14</v>
      </c>
      <c r="R949" t="str">
        <f t="shared" si="29"/>
        <v>[cPtvxaZqXIH]|10-14|Male|HIV_PREV.T_1|CY2023Q3</v>
      </c>
    </row>
    <row r="950" spans="4:18" x14ac:dyDescent="0.2">
      <c r="D950" s="13" t="s">
        <v>86</v>
      </c>
      <c r="E950" s="13" t="s">
        <v>87</v>
      </c>
      <c r="F950" s="13" t="s">
        <v>88</v>
      </c>
      <c r="G950" s="13" t="s">
        <v>140</v>
      </c>
      <c r="H950" s="13" t="s">
        <v>141</v>
      </c>
      <c r="I950" t="s">
        <v>37</v>
      </c>
      <c r="J950" s="13" t="s">
        <v>38</v>
      </c>
      <c r="K950" s="13" t="s">
        <v>47</v>
      </c>
      <c r="L950" s="13" t="s">
        <v>48</v>
      </c>
      <c r="M950" t="s">
        <v>139</v>
      </c>
      <c r="N950">
        <v>803</v>
      </c>
      <c r="O950" s="14">
        <v>5.7852468220516998E-2</v>
      </c>
      <c r="P950" s="14">
        <v>0.13333638082258401</v>
      </c>
      <c r="Q950" t="str">
        <f t="shared" si="28"/>
        <v>15-24</v>
      </c>
      <c r="R950" t="str">
        <f t="shared" si="29"/>
        <v>[cPtvxaZqXIH]|15-24|Male|HIV_PREV.T_1|CY2023Q3</v>
      </c>
    </row>
    <row r="951" spans="4:18" x14ac:dyDescent="0.2">
      <c r="D951" s="13" t="s">
        <v>86</v>
      </c>
      <c r="E951" s="13" t="s">
        <v>87</v>
      </c>
      <c r="F951" s="13" t="s">
        <v>88</v>
      </c>
      <c r="G951" s="13" t="s">
        <v>140</v>
      </c>
      <c r="H951" s="13" t="s">
        <v>141</v>
      </c>
      <c r="I951" t="s">
        <v>40</v>
      </c>
      <c r="J951" s="13" t="s">
        <v>41</v>
      </c>
      <c r="K951" s="13" t="s">
        <v>47</v>
      </c>
      <c r="L951" s="13" t="s">
        <v>48</v>
      </c>
      <c r="M951" t="s">
        <v>139</v>
      </c>
      <c r="N951">
        <v>660</v>
      </c>
      <c r="O951" s="14">
        <v>0.91480465093627605</v>
      </c>
      <c r="P951" s="14">
        <v>0.13333638082258401</v>
      </c>
      <c r="Q951" t="str">
        <f t="shared" si="28"/>
        <v>25-34</v>
      </c>
      <c r="R951" t="str">
        <f t="shared" si="29"/>
        <v>[cPtvxaZqXIH]|25-34|Male|HIV_PREV.T_1|CY2023Q3</v>
      </c>
    </row>
    <row r="952" spans="4:18" x14ac:dyDescent="0.2">
      <c r="D952" s="13" t="s">
        <v>86</v>
      </c>
      <c r="E952" s="13" t="s">
        <v>87</v>
      </c>
      <c r="F952" s="13" t="s">
        <v>88</v>
      </c>
      <c r="G952" s="13" t="s">
        <v>140</v>
      </c>
      <c r="H952" s="13" t="s">
        <v>141</v>
      </c>
      <c r="I952" t="s">
        <v>42</v>
      </c>
      <c r="J952" s="13" t="s">
        <v>43</v>
      </c>
      <c r="K952" s="13" t="s">
        <v>47</v>
      </c>
      <c r="L952" s="13" t="s">
        <v>48</v>
      </c>
      <c r="M952" t="s">
        <v>139</v>
      </c>
      <c r="N952">
        <v>1738</v>
      </c>
      <c r="O952" s="14">
        <v>0.25534474919550099</v>
      </c>
      <c r="P952" s="14">
        <v>0.13333638082258401</v>
      </c>
      <c r="Q952" t="str">
        <f t="shared" si="28"/>
        <v>35-49</v>
      </c>
      <c r="R952" t="str">
        <f t="shared" si="29"/>
        <v>[cPtvxaZqXIH]|35-49|Male|HIV_PREV.T_1|CY2023Q3</v>
      </c>
    </row>
    <row r="953" spans="4:18" x14ac:dyDescent="0.2">
      <c r="D953" s="13" t="s">
        <v>86</v>
      </c>
      <c r="E953" s="13" t="s">
        <v>87</v>
      </c>
      <c r="F953" s="13" t="s">
        <v>88</v>
      </c>
      <c r="G953" s="13" t="s">
        <v>140</v>
      </c>
      <c r="H953" s="13" t="s">
        <v>141</v>
      </c>
      <c r="I953" t="s">
        <v>44</v>
      </c>
      <c r="J953" s="13" t="s">
        <v>45</v>
      </c>
      <c r="K953" s="13" t="s">
        <v>47</v>
      </c>
      <c r="L953" s="13" t="s">
        <v>48</v>
      </c>
      <c r="M953" t="s">
        <v>139</v>
      </c>
      <c r="N953">
        <v>1344</v>
      </c>
      <c r="O953" s="14">
        <v>0.99344371911138296</v>
      </c>
      <c r="P953" s="14">
        <v>0.13333638082258401</v>
      </c>
      <c r="Q953" t="str">
        <f t="shared" si="28"/>
        <v>50+</v>
      </c>
      <c r="R953" t="str">
        <f t="shared" si="29"/>
        <v>[cPtvxaZqXIH]|50+|Male|HIV_PREV.T_1|CY2023Q3</v>
      </c>
    </row>
    <row r="954" spans="4:18" x14ac:dyDescent="0.2">
      <c r="D954" s="13" t="s">
        <v>89</v>
      </c>
      <c r="E954" s="13" t="s">
        <v>90</v>
      </c>
      <c r="F954" s="13" t="s">
        <v>91</v>
      </c>
      <c r="G954" s="13" t="s">
        <v>140</v>
      </c>
      <c r="H954" s="13" t="s">
        <v>141</v>
      </c>
      <c r="I954" t="s">
        <v>27</v>
      </c>
      <c r="J954" s="13" t="s">
        <v>28</v>
      </c>
      <c r="K954" s="13" t="s">
        <v>29</v>
      </c>
      <c r="L954" s="13" t="s">
        <v>30</v>
      </c>
      <c r="M954" t="s">
        <v>139</v>
      </c>
      <c r="N954">
        <v>1881</v>
      </c>
      <c r="O954" s="14">
        <v>7.9890532651916105E-2</v>
      </c>
      <c r="P954" s="14">
        <v>0.71991415042430196</v>
      </c>
      <c r="Q954" t="str">
        <f t="shared" si="28"/>
        <v>&lt;01</v>
      </c>
      <c r="R954" t="str">
        <f t="shared" si="29"/>
        <v>[AZyWpGzhcaA]|&lt;01|Female|HIV_PREV.T_1|CY2023Q3</v>
      </c>
    </row>
    <row r="955" spans="4:18" x14ac:dyDescent="0.2">
      <c r="D955" s="13" t="s">
        <v>89</v>
      </c>
      <c r="E955" s="13" t="s">
        <v>90</v>
      </c>
      <c r="F955" s="13" t="s">
        <v>91</v>
      </c>
      <c r="G955" s="13" t="s">
        <v>140</v>
      </c>
      <c r="H955" s="13" t="s">
        <v>141</v>
      </c>
      <c r="I955" t="s">
        <v>32</v>
      </c>
      <c r="J955" s="13" t="s">
        <v>33</v>
      </c>
      <c r="K955" s="13" t="s">
        <v>29</v>
      </c>
      <c r="L955" s="13" t="s">
        <v>30</v>
      </c>
      <c r="M955" t="s">
        <v>139</v>
      </c>
      <c r="N955">
        <v>691</v>
      </c>
      <c r="O955" s="14">
        <v>4.6214898582547903E-2</v>
      </c>
      <c r="P955" s="14">
        <v>0.71991415042430196</v>
      </c>
      <c r="Q955" t="str">
        <f t="shared" si="28"/>
        <v>01-09</v>
      </c>
      <c r="R955" t="str">
        <f t="shared" si="29"/>
        <v>[AZyWpGzhcaA]|01-09|Female|HIV_PREV.T_1|CY2023Q3</v>
      </c>
    </row>
    <row r="956" spans="4:18" x14ac:dyDescent="0.2">
      <c r="D956" s="13" t="s">
        <v>89</v>
      </c>
      <c r="E956" s="13" t="s">
        <v>90</v>
      </c>
      <c r="F956" s="13" t="s">
        <v>91</v>
      </c>
      <c r="G956" s="13" t="s">
        <v>140</v>
      </c>
      <c r="H956" s="13" t="s">
        <v>141</v>
      </c>
      <c r="I956" t="s">
        <v>35</v>
      </c>
      <c r="J956" s="13" t="s">
        <v>36</v>
      </c>
      <c r="K956" s="13" t="s">
        <v>29</v>
      </c>
      <c r="L956" s="13" t="s">
        <v>30</v>
      </c>
      <c r="M956" t="s">
        <v>139</v>
      </c>
      <c r="N956">
        <v>1592</v>
      </c>
      <c r="O956" s="14">
        <v>0.45349071430973698</v>
      </c>
      <c r="P956" s="14">
        <v>0.71991415042430196</v>
      </c>
      <c r="Q956" t="str">
        <f t="shared" si="28"/>
        <v>10-14</v>
      </c>
      <c r="R956" t="str">
        <f t="shared" si="29"/>
        <v>[AZyWpGzhcaA]|10-14|Female|HIV_PREV.T_1|CY2023Q3</v>
      </c>
    </row>
    <row r="957" spans="4:18" x14ac:dyDescent="0.2">
      <c r="D957" s="13" t="s">
        <v>89</v>
      </c>
      <c r="E957" s="13" t="s">
        <v>90</v>
      </c>
      <c r="F957" s="13" t="s">
        <v>91</v>
      </c>
      <c r="G957" s="13" t="s">
        <v>140</v>
      </c>
      <c r="H957" s="13" t="s">
        <v>141</v>
      </c>
      <c r="I957" t="s">
        <v>37</v>
      </c>
      <c r="J957" s="13" t="s">
        <v>38</v>
      </c>
      <c r="K957" s="13" t="s">
        <v>29</v>
      </c>
      <c r="L957" s="13" t="s">
        <v>30</v>
      </c>
      <c r="M957" t="s">
        <v>139</v>
      </c>
      <c r="N957">
        <v>1015</v>
      </c>
      <c r="O957" s="14">
        <v>0.46044037351384798</v>
      </c>
      <c r="P957" s="14">
        <v>0.71991415042430196</v>
      </c>
      <c r="Q957" t="str">
        <f t="shared" si="28"/>
        <v>15-24</v>
      </c>
      <c r="R957" t="str">
        <f t="shared" si="29"/>
        <v>[AZyWpGzhcaA]|15-24|Female|HIV_PREV.T_1|CY2023Q3</v>
      </c>
    </row>
    <row r="958" spans="4:18" x14ac:dyDescent="0.2">
      <c r="D958" s="13" t="s">
        <v>89</v>
      </c>
      <c r="E958" s="13" t="s">
        <v>90</v>
      </c>
      <c r="F958" s="13" t="s">
        <v>91</v>
      </c>
      <c r="G958" s="13" t="s">
        <v>140</v>
      </c>
      <c r="H958" s="13" t="s">
        <v>141</v>
      </c>
      <c r="I958" t="s">
        <v>40</v>
      </c>
      <c r="J958" s="13" t="s">
        <v>41</v>
      </c>
      <c r="K958" s="13" t="s">
        <v>29</v>
      </c>
      <c r="L958" s="13" t="s">
        <v>30</v>
      </c>
      <c r="M958" t="s">
        <v>139</v>
      </c>
      <c r="N958">
        <v>1352</v>
      </c>
      <c r="O958" s="14">
        <v>0.54291101358830895</v>
      </c>
      <c r="P958" s="14">
        <v>0.71991415042430196</v>
      </c>
      <c r="Q958" t="str">
        <f t="shared" si="28"/>
        <v>25-34</v>
      </c>
      <c r="R958" t="str">
        <f t="shared" si="29"/>
        <v>[AZyWpGzhcaA]|25-34|Female|HIV_PREV.T_1|CY2023Q3</v>
      </c>
    </row>
    <row r="959" spans="4:18" x14ac:dyDescent="0.2">
      <c r="D959" s="13" t="s">
        <v>89</v>
      </c>
      <c r="E959" s="13" t="s">
        <v>90</v>
      </c>
      <c r="F959" s="13" t="s">
        <v>91</v>
      </c>
      <c r="G959" s="13" t="s">
        <v>140</v>
      </c>
      <c r="H959" s="13" t="s">
        <v>141</v>
      </c>
      <c r="I959" t="s">
        <v>42</v>
      </c>
      <c r="J959" s="13" t="s">
        <v>43</v>
      </c>
      <c r="K959" s="13" t="s">
        <v>29</v>
      </c>
      <c r="L959" s="13" t="s">
        <v>30</v>
      </c>
      <c r="M959" t="s">
        <v>139</v>
      </c>
      <c r="N959">
        <v>1300</v>
      </c>
      <c r="O959" s="14">
        <v>0.26799452095292497</v>
      </c>
      <c r="P959" s="14">
        <v>0.71991415042430196</v>
      </c>
      <c r="Q959" t="str">
        <f t="shared" si="28"/>
        <v>35-49</v>
      </c>
      <c r="R959" t="str">
        <f t="shared" si="29"/>
        <v>[AZyWpGzhcaA]|35-49|Female|HIV_PREV.T_1|CY2023Q3</v>
      </c>
    </row>
    <row r="960" spans="4:18" x14ac:dyDescent="0.2">
      <c r="D960" s="13" t="s">
        <v>89</v>
      </c>
      <c r="E960" s="13" t="s">
        <v>90</v>
      </c>
      <c r="F960" s="13" t="s">
        <v>91</v>
      </c>
      <c r="G960" s="13" t="s">
        <v>140</v>
      </c>
      <c r="H960" s="13" t="s">
        <v>141</v>
      </c>
      <c r="I960" t="s">
        <v>44</v>
      </c>
      <c r="J960" s="13" t="s">
        <v>45</v>
      </c>
      <c r="K960" s="13" t="s">
        <v>29</v>
      </c>
      <c r="L960" s="13" t="s">
        <v>30</v>
      </c>
      <c r="M960" t="s">
        <v>139</v>
      </c>
      <c r="N960">
        <v>1532</v>
      </c>
      <c r="O960" s="14">
        <v>0.22377280006185199</v>
      </c>
      <c r="P960" s="14">
        <v>0.71991415042430196</v>
      </c>
      <c r="Q960" t="str">
        <f t="shared" si="28"/>
        <v>50+</v>
      </c>
      <c r="R960" t="str">
        <f t="shared" si="29"/>
        <v>[AZyWpGzhcaA]|50+|Female|HIV_PREV.T_1|CY2023Q3</v>
      </c>
    </row>
    <row r="961" spans="4:18" x14ac:dyDescent="0.2">
      <c r="D961" s="13" t="s">
        <v>89</v>
      </c>
      <c r="E961" s="13" t="s">
        <v>90</v>
      </c>
      <c r="F961" s="13" t="s">
        <v>91</v>
      </c>
      <c r="G961" s="13" t="s">
        <v>140</v>
      </c>
      <c r="H961" s="13" t="s">
        <v>141</v>
      </c>
      <c r="I961" t="s">
        <v>27</v>
      </c>
      <c r="J961" s="13" t="s">
        <v>28</v>
      </c>
      <c r="K961" s="13" t="s">
        <v>47</v>
      </c>
      <c r="L961" s="13" t="s">
        <v>48</v>
      </c>
      <c r="M961" t="s">
        <v>139</v>
      </c>
      <c r="N961">
        <v>640</v>
      </c>
      <c r="O961" s="14">
        <v>0.82907044491730597</v>
      </c>
      <c r="P961" s="14">
        <v>0.71991415042430196</v>
      </c>
      <c r="Q961" t="str">
        <f t="shared" si="28"/>
        <v>&lt;01</v>
      </c>
      <c r="R961" t="str">
        <f t="shared" si="29"/>
        <v>[AZyWpGzhcaA]|&lt;01|Male|HIV_PREV.T_1|CY2023Q3</v>
      </c>
    </row>
    <row r="962" spans="4:18" x14ac:dyDescent="0.2">
      <c r="D962" s="13" t="s">
        <v>89</v>
      </c>
      <c r="E962" s="13" t="s">
        <v>90</v>
      </c>
      <c r="F962" s="13" t="s">
        <v>91</v>
      </c>
      <c r="G962" s="13" t="s">
        <v>140</v>
      </c>
      <c r="H962" s="13" t="s">
        <v>141</v>
      </c>
      <c r="I962" t="s">
        <v>32</v>
      </c>
      <c r="J962" s="13" t="s">
        <v>33</v>
      </c>
      <c r="K962" s="13" t="s">
        <v>47</v>
      </c>
      <c r="L962" s="13" t="s">
        <v>48</v>
      </c>
      <c r="M962" t="s">
        <v>139</v>
      </c>
      <c r="N962">
        <v>1725</v>
      </c>
      <c r="O962" s="14">
        <v>0.22824397077783901</v>
      </c>
      <c r="P962" s="14">
        <v>0.71991415042430196</v>
      </c>
      <c r="Q962" t="str">
        <f t="shared" ref="Q962:Q1025" si="30">SUBSTITUTE(SUBSTITUTE($I962,CHAR(61),""),CHAR(34),"")</f>
        <v>01-09</v>
      </c>
      <c r="R962" t="str">
        <f t="shared" ref="R962:R1025" si="31">IF($D962&lt;&gt;"","["&amp;$E962&amp;"]"&amp;"|"&amp;$Q962&amp;"|"&amp;$K962&amp;"|"&amp;$G962&amp;"|"&amp;IF($G962="TX_CURR_SUBNAT.R","CY2022Q4",$M962),"")</f>
        <v>[AZyWpGzhcaA]|01-09|Male|HIV_PREV.T_1|CY2023Q3</v>
      </c>
    </row>
    <row r="963" spans="4:18" x14ac:dyDescent="0.2">
      <c r="D963" s="13" t="s">
        <v>89</v>
      </c>
      <c r="E963" s="13" t="s">
        <v>90</v>
      </c>
      <c r="F963" s="13" t="s">
        <v>91</v>
      </c>
      <c r="G963" s="13" t="s">
        <v>140</v>
      </c>
      <c r="H963" s="13" t="s">
        <v>141</v>
      </c>
      <c r="I963" t="s">
        <v>35</v>
      </c>
      <c r="J963" s="13" t="s">
        <v>36</v>
      </c>
      <c r="K963" s="13" t="s">
        <v>47</v>
      </c>
      <c r="L963" s="13" t="s">
        <v>48</v>
      </c>
      <c r="M963" t="s">
        <v>139</v>
      </c>
      <c r="N963">
        <v>1625</v>
      </c>
      <c r="O963" s="14">
        <v>0.80698979482986</v>
      </c>
      <c r="P963" s="14">
        <v>0.71991415042430196</v>
      </c>
      <c r="Q963" t="str">
        <f t="shared" si="30"/>
        <v>10-14</v>
      </c>
      <c r="R963" t="str">
        <f t="shared" si="31"/>
        <v>[AZyWpGzhcaA]|10-14|Male|HIV_PREV.T_1|CY2023Q3</v>
      </c>
    </row>
    <row r="964" spans="4:18" x14ac:dyDescent="0.2">
      <c r="D964" s="13" t="s">
        <v>89</v>
      </c>
      <c r="E964" s="13" t="s">
        <v>90</v>
      </c>
      <c r="F964" s="13" t="s">
        <v>91</v>
      </c>
      <c r="G964" s="13" t="s">
        <v>140</v>
      </c>
      <c r="H964" s="13" t="s">
        <v>141</v>
      </c>
      <c r="I964" t="s">
        <v>37</v>
      </c>
      <c r="J964" s="13" t="s">
        <v>38</v>
      </c>
      <c r="K964" s="13" t="s">
        <v>47</v>
      </c>
      <c r="L964" s="13" t="s">
        <v>48</v>
      </c>
      <c r="M964" t="s">
        <v>139</v>
      </c>
      <c r="N964">
        <v>602</v>
      </c>
      <c r="O964" s="14">
        <v>0.67718386254273399</v>
      </c>
      <c r="P964" s="14">
        <v>0.71991415042430196</v>
      </c>
      <c r="Q964" t="str">
        <f t="shared" si="30"/>
        <v>15-24</v>
      </c>
      <c r="R964" t="str">
        <f t="shared" si="31"/>
        <v>[AZyWpGzhcaA]|15-24|Male|HIV_PREV.T_1|CY2023Q3</v>
      </c>
    </row>
    <row r="965" spans="4:18" x14ac:dyDescent="0.2">
      <c r="D965" s="13" t="s">
        <v>89</v>
      </c>
      <c r="E965" s="13" t="s">
        <v>90</v>
      </c>
      <c r="F965" s="13" t="s">
        <v>91</v>
      </c>
      <c r="G965" s="13" t="s">
        <v>140</v>
      </c>
      <c r="H965" s="13" t="s">
        <v>141</v>
      </c>
      <c r="I965" t="s">
        <v>40</v>
      </c>
      <c r="J965" s="13" t="s">
        <v>41</v>
      </c>
      <c r="K965" s="13" t="s">
        <v>47</v>
      </c>
      <c r="L965" s="13" t="s">
        <v>48</v>
      </c>
      <c r="M965" t="s">
        <v>139</v>
      </c>
      <c r="N965">
        <v>1325</v>
      </c>
      <c r="O965" s="14">
        <v>0.14872495434246999</v>
      </c>
      <c r="P965" s="14">
        <v>0.71991415042430196</v>
      </c>
      <c r="Q965" t="str">
        <f t="shared" si="30"/>
        <v>25-34</v>
      </c>
      <c r="R965" t="str">
        <f t="shared" si="31"/>
        <v>[AZyWpGzhcaA]|25-34|Male|HIV_PREV.T_1|CY2023Q3</v>
      </c>
    </row>
    <row r="966" spans="4:18" x14ac:dyDescent="0.2">
      <c r="D966" s="13" t="s">
        <v>89</v>
      </c>
      <c r="E966" s="13" t="s">
        <v>90</v>
      </c>
      <c r="F966" s="13" t="s">
        <v>91</v>
      </c>
      <c r="G966" s="13" t="s">
        <v>140</v>
      </c>
      <c r="H966" s="13" t="s">
        <v>141</v>
      </c>
      <c r="I966" t="s">
        <v>42</v>
      </c>
      <c r="J966" s="13" t="s">
        <v>43</v>
      </c>
      <c r="K966" s="13" t="s">
        <v>47</v>
      </c>
      <c r="L966" s="13" t="s">
        <v>48</v>
      </c>
      <c r="M966" t="s">
        <v>139</v>
      </c>
      <c r="N966">
        <v>1176</v>
      </c>
      <c r="O966" s="14">
        <v>0.53887925483286403</v>
      </c>
      <c r="P966" s="14">
        <v>0.71991415042430196</v>
      </c>
      <c r="Q966" t="str">
        <f t="shared" si="30"/>
        <v>35-49</v>
      </c>
      <c r="R966" t="str">
        <f t="shared" si="31"/>
        <v>[AZyWpGzhcaA]|35-49|Male|HIV_PREV.T_1|CY2023Q3</v>
      </c>
    </row>
    <row r="967" spans="4:18" x14ac:dyDescent="0.2">
      <c r="D967" s="13" t="s">
        <v>89</v>
      </c>
      <c r="E967" s="13" t="s">
        <v>90</v>
      </c>
      <c r="F967" s="13" t="s">
        <v>91</v>
      </c>
      <c r="G967" s="13" t="s">
        <v>140</v>
      </c>
      <c r="H967" s="13" t="s">
        <v>141</v>
      </c>
      <c r="I967" t="s">
        <v>44</v>
      </c>
      <c r="J967" s="13" t="s">
        <v>45</v>
      </c>
      <c r="K967" s="13" t="s">
        <v>47</v>
      </c>
      <c r="L967" s="13" t="s">
        <v>48</v>
      </c>
      <c r="M967" t="s">
        <v>139</v>
      </c>
      <c r="N967">
        <v>1501</v>
      </c>
      <c r="O967" s="14">
        <v>0.91905500506982196</v>
      </c>
      <c r="P967" s="14">
        <v>0.71991415042430196</v>
      </c>
      <c r="Q967" t="str">
        <f t="shared" si="30"/>
        <v>50+</v>
      </c>
      <c r="R967" t="str">
        <f t="shared" si="31"/>
        <v>[AZyWpGzhcaA]|50+|Male|HIV_PREV.T_1|CY2023Q3</v>
      </c>
    </row>
    <row r="968" spans="4:18" x14ac:dyDescent="0.2">
      <c r="D968" s="13" t="s">
        <v>92</v>
      </c>
      <c r="E968" s="13" t="s">
        <v>93</v>
      </c>
      <c r="F968" s="13" t="s">
        <v>94</v>
      </c>
      <c r="G968" s="13" t="s">
        <v>140</v>
      </c>
      <c r="H968" s="13" t="s">
        <v>141</v>
      </c>
      <c r="I968" t="s">
        <v>27</v>
      </c>
      <c r="J968" s="13" t="s">
        <v>28</v>
      </c>
      <c r="K968" s="13" t="s">
        <v>29</v>
      </c>
      <c r="L968" s="13" t="s">
        <v>30</v>
      </c>
      <c r="M968" t="s">
        <v>139</v>
      </c>
      <c r="N968">
        <v>1869</v>
      </c>
      <c r="O968" s="14">
        <v>0.30327080958522901</v>
      </c>
      <c r="P968" s="14">
        <v>0.36227229656651599</v>
      </c>
      <c r="Q968" t="str">
        <f t="shared" si="30"/>
        <v>&lt;01</v>
      </c>
      <c r="R968" t="str">
        <f t="shared" si="31"/>
        <v>[umc2n1Z4wNv]|&lt;01|Female|HIV_PREV.T_1|CY2023Q3</v>
      </c>
    </row>
    <row r="969" spans="4:18" x14ac:dyDescent="0.2">
      <c r="D969" s="13" t="s">
        <v>92</v>
      </c>
      <c r="E969" s="13" t="s">
        <v>93</v>
      </c>
      <c r="F969" s="13" t="s">
        <v>94</v>
      </c>
      <c r="G969" s="13" t="s">
        <v>140</v>
      </c>
      <c r="H969" s="13" t="s">
        <v>141</v>
      </c>
      <c r="I969" t="s">
        <v>32</v>
      </c>
      <c r="J969" s="13" t="s">
        <v>33</v>
      </c>
      <c r="K969" s="13" t="s">
        <v>29</v>
      </c>
      <c r="L969" s="13" t="s">
        <v>30</v>
      </c>
      <c r="M969" t="s">
        <v>139</v>
      </c>
      <c r="N969">
        <v>1047</v>
      </c>
      <c r="O969" s="14">
        <v>0.82932541961781703</v>
      </c>
      <c r="P969" s="14">
        <v>0.36227229656651599</v>
      </c>
      <c r="Q969" t="str">
        <f t="shared" si="30"/>
        <v>01-09</v>
      </c>
      <c r="R969" t="str">
        <f t="shared" si="31"/>
        <v>[umc2n1Z4wNv]|01-09|Female|HIV_PREV.T_1|CY2023Q3</v>
      </c>
    </row>
    <row r="970" spans="4:18" x14ac:dyDescent="0.2">
      <c r="D970" s="13" t="s">
        <v>92</v>
      </c>
      <c r="E970" s="13" t="s">
        <v>93</v>
      </c>
      <c r="F970" s="13" t="s">
        <v>94</v>
      </c>
      <c r="G970" s="13" t="s">
        <v>140</v>
      </c>
      <c r="H970" s="13" t="s">
        <v>141</v>
      </c>
      <c r="I970" t="s">
        <v>35</v>
      </c>
      <c r="J970" s="13" t="s">
        <v>36</v>
      </c>
      <c r="K970" s="13" t="s">
        <v>29</v>
      </c>
      <c r="L970" s="13" t="s">
        <v>30</v>
      </c>
      <c r="M970" t="s">
        <v>139</v>
      </c>
      <c r="N970">
        <v>1652</v>
      </c>
      <c r="O970" s="14">
        <v>0.66760115022771105</v>
      </c>
      <c r="P970" s="14">
        <v>0.36227229656651599</v>
      </c>
      <c r="Q970" t="str">
        <f t="shared" si="30"/>
        <v>10-14</v>
      </c>
      <c r="R970" t="str">
        <f t="shared" si="31"/>
        <v>[umc2n1Z4wNv]|10-14|Female|HIV_PREV.T_1|CY2023Q3</v>
      </c>
    </row>
    <row r="971" spans="4:18" x14ac:dyDescent="0.2">
      <c r="D971" s="13" t="s">
        <v>92</v>
      </c>
      <c r="E971" s="13" t="s">
        <v>93</v>
      </c>
      <c r="F971" s="13" t="s">
        <v>94</v>
      </c>
      <c r="G971" s="13" t="s">
        <v>140</v>
      </c>
      <c r="H971" s="13" t="s">
        <v>141</v>
      </c>
      <c r="I971" t="s">
        <v>37</v>
      </c>
      <c r="J971" s="13" t="s">
        <v>38</v>
      </c>
      <c r="K971" s="13" t="s">
        <v>29</v>
      </c>
      <c r="L971" s="13" t="s">
        <v>30</v>
      </c>
      <c r="M971" t="s">
        <v>139</v>
      </c>
      <c r="N971">
        <v>1930</v>
      </c>
      <c r="O971" s="14">
        <v>0.412006072001532</v>
      </c>
      <c r="P971" s="14">
        <v>0.36227229656651599</v>
      </c>
      <c r="Q971" t="str">
        <f t="shared" si="30"/>
        <v>15-24</v>
      </c>
      <c r="R971" t="str">
        <f t="shared" si="31"/>
        <v>[umc2n1Z4wNv]|15-24|Female|HIV_PREV.T_1|CY2023Q3</v>
      </c>
    </row>
    <row r="972" spans="4:18" x14ac:dyDescent="0.2">
      <c r="D972" s="13" t="s">
        <v>92</v>
      </c>
      <c r="E972" s="13" t="s">
        <v>93</v>
      </c>
      <c r="F972" s="13" t="s">
        <v>94</v>
      </c>
      <c r="G972" s="13" t="s">
        <v>140</v>
      </c>
      <c r="H972" s="13" t="s">
        <v>141</v>
      </c>
      <c r="I972" t="s">
        <v>40</v>
      </c>
      <c r="J972" s="13" t="s">
        <v>41</v>
      </c>
      <c r="K972" s="13" t="s">
        <v>29</v>
      </c>
      <c r="L972" s="13" t="s">
        <v>30</v>
      </c>
      <c r="M972" t="s">
        <v>139</v>
      </c>
      <c r="N972">
        <v>938</v>
      </c>
      <c r="O972" s="14">
        <v>0.292132029077038</v>
      </c>
      <c r="P972" s="14">
        <v>0.36227229656651599</v>
      </c>
      <c r="Q972" t="str">
        <f t="shared" si="30"/>
        <v>25-34</v>
      </c>
      <c r="R972" t="str">
        <f t="shared" si="31"/>
        <v>[umc2n1Z4wNv]|25-34|Female|HIV_PREV.T_1|CY2023Q3</v>
      </c>
    </row>
    <row r="973" spans="4:18" x14ac:dyDescent="0.2">
      <c r="D973" s="13" t="s">
        <v>92</v>
      </c>
      <c r="E973" s="13" t="s">
        <v>93</v>
      </c>
      <c r="F973" s="13" t="s">
        <v>94</v>
      </c>
      <c r="G973" s="13" t="s">
        <v>140</v>
      </c>
      <c r="H973" s="13" t="s">
        <v>141</v>
      </c>
      <c r="I973" t="s">
        <v>42</v>
      </c>
      <c r="J973" s="13" t="s">
        <v>43</v>
      </c>
      <c r="K973" s="13" t="s">
        <v>29</v>
      </c>
      <c r="L973" s="13" t="s">
        <v>30</v>
      </c>
      <c r="M973" t="s">
        <v>139</v>
      </c>
      <c r="N973">
        <v>647</v>
      </c>
      <c r="O973" s="14">
        <v>0.377542726229876</v>
      </c>
      <c r="P973" s="14">
        <v>0.36227229656651599</v>
      </c>
      <c r="Q973" t="str">
        <f t="shared" si="30"/>
        <v>35-49</v>
      </c>
      <c r="R973" t="str">
        <f t="shared" si="31"/>
        <v>[umc2n1Z4wNv]|35-49|Female|HIV_PREV.T_1|CY2023Q3</v>
      </c>
    </row>
    <row r="974" spans="4:18" x14ac:dyDescent="0.2">
      <c r="D974" s="13" t="s">
        <v>92</v>
      </c>
      <c r="E974" s="13" t="s">
        <v>93</v>
      </c>
      <c r="F974" s="13" t="s">
        <v>94</v>
      </c>
      <c r="G974" s="13" t="s">
        <v>140</v>
      </c>
      <c r="H974" s="13" t="s">
        <v>141</v>
      </c>
      <c r="I974" t="s">
        <v>44</v>
      </c>
      <c r="J974" s="13" t="s">
        <v>45</v>
      </c>
      <c r="K974" s="13" t="s">
        <v>29</v>
      </c>
      <c r="L974" s="13" t="s">
        <v>30</v>
      </c>
      <c r="M974" t="s">
        <v>139</v>
      </c>
      <c r="N974">
        <v>1889</v>
      </c>
      <c r="O974" s="14">
        <v>0.77088585589081005</v>
      </c>
      <c r="P974" s="14">
        <v>0.36227229656651599</v>
      </c>
      <c r="Q974" t="str">
        <f t="shared" si="30"/>
        <v>50+</v>
      </c>
      <c r="R974" t="str">
        <f t="shared" si="31"/>
        <v>[umc2n1Z4wNv]|50+|Female|HIV_PREV.T_1|CY2023Q3</v>
      </c>
    </row>
    <row r="975" spans="4:18" x14ac:dyDescent="0.2">
      <c r="D975" s="13" t="s">
        <v>92</v>
      </c>
      <c r="E975" s="13" t="s">
        <v>93</v>
      </c>
      <c r="F975" s="13" t="s">
        <v>94</v>
      </c>
      <c r="G975" s="13" t="s">
        <v>140</v>
      </c>
      <c r="H975" s="13" t="s">
        <v>141</v>
      </c>
      <c r="I975" t="s">
        <v>27</v>
      </c>
      <c r="J975" s="13" t="s">
        <v>28</v>
      </c>
      <c r="K975" s="13" t="s">
        <v>47</v>
      </c>
      <c r="L975" s="13" t="s">
        <v>48</v>
      </c>
      <c r="M975" t="s">
        <v>139</v>
      </c>
      <c r="N975">
        <v>1666</v>
      </c>
      <c r="O975" s="14">
        <v>0.54285936802625701</v>
      </c>
      <c r="P975" s="14">
        <v>0.36227229656651599</v>
      </c>
      <c r="Q975" t="str">
        <f t="shared" si="30"/>
        <v>&lt;01</v>
      </c>
      <c r="R975" t="str">
        <f t="shared" si="31"/>
        <v>[umc2n1Z4wNv]|&lt;01|Male|HIV_PREV.T_1|CY2023Q3</v>
      </c>
    </row>
    <row r="976" spans="4:18" x14ac:dyDescent="0.2">
      <c r="D976" s="13" t="s">
        <v>92</v>
      </c>
      <c r="E976" s="13" t="s">
        <v>93</v>
      </c>
      <c r="F976" s="13" t="s">
        <v>94</v>
      </c>
      <c r="G976" s="13" t="s">
        <v>140</v>
      </c>
      <c r="H976" s="13" t="s">
        <v>141</v>
      </c>
      <c r="I976" t="s">
        <v>32</v>
      </c>
      <c r="J976" s="13" t="s">
        <v>33</v>
      </c>
      <c r="K976" s="13" t="s">
        <v>47</v>
      </c>
      <c r="L976" s="13" t="s">
        <v>48</v>
      </c>
      <c r="M976" t="s">
        <v>139</v>
      </c>
      <c r="N976">
        <v>1863</v>
      </c>
      <c r="O976" s="14">
        <v>9.8464013310149298E-2</v>
      </c>
      <c r="P976" s="14">
        <v>0.36227229656651599</v>
      </c>
      <c r="Q976" t="str">
        <f t="shared" si="30"/>
        <v>01-09</v>
      </c>
      <c r="R976" t="str">
        <f t="shared" si="31"/>
        <v>[umc2n1Z4wNv]|01-09|Male|HIV_PREV.T_1|CY2023Q3</v>
      </c>
    </row>
    <row r="977" spans="4:18" x14ac:dyDescent="0.2">
      <c r="D977" s="13" t="s">
        <v>92</v>
      </c>
      <c r="E977" s="13" t="s">
        <v>93</v>
      </c>
      <c r="F977" s="13" t="s">
        <v>94</v>
      </c>
      <c r="G977" s="13" t="s">
        <v>140</v>
      </c>
      <c r="H977" s="13" t="s">
        <v>141</v>
      </c>
      <c r="I977" t="s">
        <v>35</v>
      </c>
      <c r="J977" s="13" t="s">
        <v>36</v>
      </c>
      <c r="K977" s="13" t="s">
        <v>47</v>
      </c>
      <c r="L977" s="13" t="s">
        <v>48</v>
      </c>
      <c r="M977" t="s">
        <v>139</v>
      </c>
      <c r="N977">
        <v>1755</v>
      </c>
      <c r="O977" s="14">
        <v>0.64007341675460305</v>
      </c>
      <c r="P977" s="14">
        <v>0.36227229656651599</v>
      </c>
      <c r="Q977" t="str">
        <f t="shared" si="30"/>
        <v>10-14</v>
      </c>
      <c r="R977" t="str">
        <f t="shared" si="31"/>
        <v>[umc2n1Z4wNv]|10-14|Male|HIV_PREV.T_1|CY2023Q3</v>
      </c>
    </row>
    <row r="978" spans="4:18" x14ac:dyDescent="0.2">
      <c r="D978" s="13" t="s">
        <v>92</v>
      </c>
      <c r="E978" s="13" t="s">
        <v>93</v>
      </c>
      <c r="F978" s="13" t="s">
        <v>94</v>
      </c>
      <c r="G978" s="13" t="s">
        <v>140</v>
      </c>
      <c r="H978" s="13" t="s">
        <v>141</v>
      </c>
      <c r="I978" t="s">
        <v>37</v>
      </c>
      <c r="J978" s="13" t="s">
        <v>38</v>
      </c>
      <c r="K978" s="13" t="s">
        <v>47</v>
      </c>
      <c r="L978" s="13" t="s">
        <v>48</v>
      </c>
      <c r="M978" t="s">
        <v>139</v>
      </c>
      <c r="N978">
        <v>1543</v>
      </c>
      <c r="O978" s="14">
        <v>0.50562307005748197</v>
      </c>
      <c r="P978" s="14">
        <v>0.36227229656651599</v>
      </c>
      <c r="Q978" t="str">
        <f t="shared" si="30"/>
        <v>15-24</v>
      </c>
      <c r="R978" t="str">
        <f t="shared" si="31"/>
        <v>[umc2n1Z4wNv]|15-24|Male|HIV_PREV.T_1|CY2023Q3</v>
      </c>
    </row>
    <row r="979" spans="4:18" x14ac:dyDescent="0.2">
      <c r="D979" s="13" t="s">
        <v>92</v>
      </c>
      <c r="E979" s="13" t="s">
        <v>93</v>
      </c>
      <c r="F979" s="13" t="s">
        <v>94</v>
      </c>
      <c r="G979" s="13" t="s">
        <v>140</v>
      </c>
      <c r="H979" s="13" t="s">
        <v>141</v>
      </c>
      <c r="I979" t="s">
        <v>40</v>
      </c>
      <c r="J979" s="13" t="s">
        <v>41</v>
      </c>
      <c r="K979" s="13" t="s">
        <v>47</v>
      </c>
      <c r="L979" s="13" t="s">
        <v>48</v>
      </c>
      <c r="M979" t="s">
        <v>139</v>
      </c>
      <c r="N979">
        <v>688</v>
      </c>
      <c r="O979" s="14">
        <v>0.103882915573195</v>
      </c>
      <c r="P979" s="14">
        <v>0.36227229656651599</v>
      </c>
      <c r="Q979" t="str">
        <f t="shared" si="30"/>
        <v>25-34</v>
      </c>
      <c r="R979" t="str">
        <f t="shared" si="31"/>
        <v>[umc2n1Z4wNv]|25-34|Male|HIV_PREV.T_1|CY2023Q3</v>
      </c>
    </row>
    <row r="980" spans="4:18" x14ac:dyDescent="0.2">
      <c r="D980" s="13" t="s">
        <v>92</v>
      </c>
      <c r="E980" s="13" t="s">
        <v>93</v>
      </c>
      <c r="F980" s="13" t="s">
        <v>94</v>
      </c>
      <c r="G980" s="13" t="s">
        <v>140</v>
      </c>
      <c r="H980" s="13" t="s">
        <v>141</v>
      </c>
      <c r="I980" t="s">
        <v>42</v>
      </c>
      <c r="J980" s="13" t="s">
        <v>43</v>
      </c>
      <c r="K980" s="13" t="s">
        <v>47</v>
      </c>
      <c r="L980" s="13" t="s">
        <v>48</v>
      </c>
      <c r="M980" t="s">
        <v>139</v>
      </c>
      <c r="N980">
        <v>1889</v>
      </c>
      <c r="O980" s="14">
        <v>0.190253166249022</v>
      </c>
      <c r="P980" s="14">
        <v>0.36227229656651599</v>
      </c>
      <c r="Q980" t="str">
        <f t="shared" si="30"/>
        <v>35-49</v>
      </c>
      <c r="R980" t="str">
        <f t="shared" si="31"/>
        <v>[umc2n1Z4wNv]|35-49|Male|HIV_PREV.T_1|CY2023Q3</v>
      </c>
    </row>
    <row r="981" spans="4:18" x14ac:dyDescent="0.2">
      <c r="D981" s="13" t="s">
        <v>92</v>
      </c>
      <c r="E981" s="13" t="s">
        <v>93</v>
      </c>
      <c r="F981" s="13" t="s">
        <v>94</v>
      </c>
      <c r="G981" s="13" t="s">
        <v>140</v>
      </c>
      <c r="H981" s="13" t="s">
        <v>141</v>
      </c>
      <c r="I981" t="s">
        <v>44</v>
      </c>
      <c r="J981" s="13" t="s">
        <v>45</v>
      </c>
      <c r="K981" s="13" t="s">
        <v>47</v>
      </c>
      <c r="L981" s="13" t="s">
        <v>48</v>
      </c>
      <c r="M981" t="s">
        <v>139</v>
      </c>
      <c r="N981">
        <v>1556</v>
      </c>
      <c r="O981" s="14">
        <v>0.58207716955803301</v>
      </c>
      <c r="P981" s="14">
        <v>0.36227229656651599</v>
      </c>
      <c r="Q981" t="str">
        <f t="shared" si="30"/>
        <v>50+</v>
      </c>
      <c r="R981" t="str">
        <f t="shared" si="31"/>
        <v>[umc2n1Z4wNv]|50+|Male|HIV_PREV.T_1|CY2023Q3</v>
      </c>
    </row>
    <row r="982" spans="4:18" x14ac:dyDescent="0.2">
      <c r="D982" s="13" t="s">
        <v>95</v>
      </c>
      <c r="E982" s="13" t="s">
        <v>96</v>
      </c>
      <c r="F982" s="13" t="s">
        <v>97</v>
      </c>
      <c r="G982" s="13" t="s">
        <v>140</v>
      </c>
      <c r="H982" s="13" t="s">
        <v>141</v>
      </c>
      <c r="I982" t="s">
        <v>27</v>
      </c>
      <c r="J982" s="13" t="s">
        <v>28</v>
      </c>
      <c r="K982" s="13" t="s">
        <v>29</v>
      </c>
      <c r="L982" s="13" t="s">
        <v>30</v>
      </c>
      <c r="M982" t="s">
        <v>139</v>
      </c>
      <c r="N982">
        <v>1094</v>
      </c>
      <c r="O982" s="14">
        <v>0.32971401885151902</v>
      </c>
      <c r="P982" s="14">
        <v>0.60125171788968101</v>
      </c>
      <c r="Q982" t="str">
        <f t="shared" si="30"/>
        <v>&lt;01</v>
      </c>
      <c r="R982" t="str">
        <f t="shared" si="31"/>
        <v>[gwVYinjBAe9]|&lt;01|Female|HIV_PREV.T_1|CY2023Q3</v>
      </c>
    </row>
    <row r="983" spans="4:18" x14ac:dyDescent="0.2">
      <c r="D983" s="13" t="s">
        <v>95</v>
      </c>
      <c r="E983" s="13" t="s">
        <v>96</v>
      </c>
      <c r="F983" s="13" t="s">
        <v>97</v>
      </c>
      <c r="G983" s="13" t="s">
        <v>140</v>
      </c>
      <c r="H983" s="13" t="s">
        <v>141</v>
      </c>
      <c r="I983" t="s">
        <v>32</v>
      </c>
      <c r="J983" s="13" t="s">
        <v>33</v>
      </c>
      <c r="K983" s="13" t="s">
        <v>29</v>
      </c>
      <c r="L983" s="13" t="s">
        <v>30</v>
      </c>
      <c r="M983" t="s">
        <v>139</v>
      </c>
      <c r="N983">
        <v>1729</v>
      </c>
      <c r="O983" s="14">
        <v>0.11358259385451699</v>
      </c>
      <c r="P983" s="14">
        <v>0.60125171788968101</v>
      </c>
      <c r="Q983" t="str">
        <f t="shared" si="30"/>
        <v>01-09</v>
      </c>
      <c r="R983" t="str">
        <f t="shared" si="31"/>
        <v>[gwVYinjBAe9]|01-09|Female|HIV_PREV.T_1|CY2023Q3</v>
      </c>
    </row>
    <row r="984" spans="4:18" x14ac:dyDescent="0.2">
      <c r="D984" s="13" t="s">
        <v>95</v>
      </c>
      <c r="E984" s="13" t="s">
        <v>96</v>
      </c>
      <c r="F984" s="13" t="s">
        <v>97</v>
      </c>
      <c r="G984" s="13" t="s">
        <v>140</v>
      </c>
      <c r="H984" s="13" t="s">
        <v>141</v>
      </c>
      <c r="I984" t="s">
        <v>35</v>
      </c>
      <c r="J984" s="13" t="s">
        <v>36</v>
      </c>
      <c r="K984" s="13" t="s">
        <v>29</v>
      </c>
      <c r="L984" s="13" t="s">
        <v>30</v>
      </c>
      <c r="M984" t="s">
        <v>139</v>
      </c>
      <c r="N984">
        <v>685</v>
      </c>
      <c r="O984" s="14">
        <v>0.23670974443666601</v>
      </c>
      <c r="P984" s="14">
        <v>0.60125171788968101</v>
      </c>
      <c r="Q984" t="str">
        <f t="shared" si="30"/>
        <v>10-14</v>
      </c>
      <c r="R984" t="str">
        <f t="shared" si="31"/>
        <v>[gwVYinjBAe9]|10-14|Female|HIV_PREV.T_1|CY2023Q3</v>
      </c>
    </row>
    <row r="985" spans="4:18" x14ac:dyDescent="0.2">
      <c r="D985" s="13" t="s">
        <v>95</v>
      </c>
      <c r="E985" s="13" t="s">
        <v>96</v>
      </c>
      <c r="F985" s="13" t="s">
        <v>97</v>
      </c>
      <c r="G985" s="13" t="s">
        <v>140</v>
      </c>
      <c r="H985" s="13" t="s">
        <v>141</v>
      </c>
      <c r="I985" t="s">
        <v>37</v>
      </c>
      <c r="J985" s="13" t="s">
        <v>38</v>
      </c>
      <c r="K985" s="13" t="s">
        <v>29</v>
      </c>
      <c r="L985" s="13" t="s">
        <v>30</v>
      </c>
      <c r="M985" t="s">
        <v>139</v>
      </c>
      <c r="N985">
        <v>1166</v>
      </c>
      <c r="O985" s="14">
        <v>0.100599410710856</v>
      </c>
      <c r="P985" s="14">
        <v>0.60125171788968101</v>
      </c>
      <c r="Q985" t="str">
        <f t="shared" si="30"/>
        <v>15-24</v>
      </c>
      <c r="R985" t="str">
        <f t="shared" si="31"/>
        <v>[gwVYinjBAe9]|15-24|Female|HIV_PREV.T_1|CY2023Q3</v>
      </c>
    </row>
    <row r="986" spans="4:18" x14ac:dyDescent="0.2">
      <c r="D986" s="13" t="s">
        <v>95</v>
      </c>
      <c r="E986" s="13" t="s">
        <v>96</v>
      </c>
      <c r="F986" s="13" t="s">
        <v>97</v>
      </c>
      <c r="G986" s="13" t="s">
        <v>140</v>
      </c>
      <c r="H986" s="13" t="s">
        <v>141</v>
      </c>
      <c r="I986" t="s">
        <v>40</v>
      </c>
      <c r="J986" s="13" t="s">
        <v>41</v>
      </c>
      <c r="K986" s="13" t="s">
        <v>29</v>
      </c>
      <c r="L986" s="13" t="s">
        <v>30</v>
      </c>
      <c r="M986" t="s">
        <v>139</v>
      </c>
      <c r="N986">
        <v>1779</v>
      </c>
      <c r="O986" s="14">
        <v>0.99661794095300105</v>
      </c>
      <c r="P986" s="14">
        <v>0.60125171788968101</v>
      </c>
      <c r="Q986" t="str">
        <f t="shared" si="30"/>
        <v>25-34</v>
      </c>
      <c r="R986" t="str">
        <f t="shared" si="31"/>
        <v>[gwVYinjBAe9]|25-34|Female|HIV_PREV.T_1|CY2023Q3</v>
      </c>
    </row>
    <row r="987" spans="4:18" x14ac:dyDescent="0.2">
      <c r="D987" s="13" t="s">
        <v>95</v>
      </c>
      <c r="E987" s="13" t="s">
        <v>96</v>
      </c>
      <c r="F987" s="13" t="s">
        <v>97</v>
      </c>
      <c r="G987" s="13" t="s">
        <v>140</v>
      </c>
      <c r="H987" s="13" t="s">
        <v>141</v>
      </c>
      <c r="I987" t="s">
        <v>42</v>
      </c>
      <c r="J987" s="13" t="s">
        <v>43</v>
      </c>
      <c r="K987" s="13" t="s">
        <v>29</v>
      </c>
      <c r="L987" s="13" t="s">
        <v>30</v>
      </c>
      <c r="M987" t="s">
        <v>139</v>
      </c>
      <c r="N987">
        <v>1409</v>
      </c>
      <c r="O987" s="14">
        <v>0.62184552033431795</v>
      </c>
      <c r="P987" s="14">
        <v>0.60125171788968101</v>
      </c>
      <c r="Q987" t="str">
        <f t="shared" si="30"/>
        <v>35-49</v>
      </c>
      <c r="R987" t="str">
        <f t="shared" si="31"/>
        <v>[gwVYinjBAe9]|35-49|Female|HIV_PREV.T_1|CY2023Q3</v>
      </c>
    </row>
    <row r="988" spans="4:18" x14ac:dyDescent="0.2">
      <c r="D988" s="13" t="s">
        <v>95</v>
      </c>
      <c r="E988" s="13" t="s">
        <v>96</v>
      </c>
      <c r="F988" s="13" t="s">
        <v>97</v>
      </c>
      <c r="G988" s="13" t="s">
        <v>140</v>
      </c>
      <c r="H988" s="13" t="s">
        <v>141</v>
      </c>
      <c r="I988" t="s">
        <v>44</v>
      </c>
      <c r="J988" s="13" t="s">
        <v>45</v>
      </c>
      <c r="K988" s="13" t="s">
        <v>29</v>
      </c>
      <c r="L988" s="13" t="s">
        <v>30</v>
      </c>
      <c r="M988" t="s">
        <v>139</v>
      </c>
      <c r="N988">
        <v>1086</v>
      </c>
      <c r="O988" s="14">
        <v>1.91254306118935E-2</v>
      </c>
      <c r="P988" s="14">
        <v>0.60125171788968101</v>
      </c>
      <c r="Q988" t="str">
        <f t="shared" si="30"/>
        <v>50+</v>
      </c>
      <c r="R988" t="str">
        <f t="shared" si="31"/>
        <v>[gwVYinjBAe9]|50+|Female|HIV_PREV.T_1|CY2023Q3</v>
      </c>
    </row>
    <row r="989" spans="4:18" x14ac:dyDescent="0.2">
      <c r="D989" s="13" t="s">
        <v>95</v>
      </c>
      <c r="E989" s="13" t="s">
        <v>96</v>
      </c>
      <c r="F989" s="13" t="s">
        <v>97</v>
      </c>
      <c r="G989" s="13" t="s">
        <v>140</v>
      </c>
      <c r="H989" s="13" t="s">
        <v>141</v>
      </c>
      <c r="I989" t="s">
        <v>27</v>
      </c>
      <c r="J989" s="13" t="s">
        <v>28</v>
      </c>
      <c r="K989" s="13" t="s">
        <v>47</v>
      </c>
      <c r="L989" s="13" t="s">
        <v>48</v>
      </c>
      <c r="M989" t="s">
        <v>139</v>
      </c>
      <c r="N989">
        <v>867</v>
      </c>
      <c r="O989" s="14">
        <v>0.56747113307938002</v>
      </c>
      <c r="P989" s="14">
        <v>0.60125171788968101</v>
      </c>
      <c r="Q989" t="str">
        <f t="shared" si="30"/>
        <v>&lt;01</v>
      </c>
      <c r="R989" t="str">
        <f t="shared" si="31"/>
        <v>[gwVYinjBAe9]|&lt;01|Male|HIV_PREV.T_1|CY2023Q3</v>
      </c>
    </row>
    <row r="990" spans="4:18" x14ac:dyDescent="0.2">
      <c r="D990" s="13" t="s">
        <v>95</v>
      </c>
      <c r="E990" s="13" t="s">
        <v>96</v>
      </c>
      <c r="F990" s="13" t="s">
        <v>97</v>
      </c>
      <c r="G990" s="13" t="s">
        <v>140</v>
      </c>
      <c r="H990" s="13" t="s">
        <v>141</v>
      </c>
      <c r="I990" t="s">
        <v>32</v>
      </c>
      <c r="J990" s="13" t="s">
        <v>33</v>
      </c>
      <c r="K990" s="13" t="s">
        <v>47</v>
      </c>
      <c r="L990" s="13" t="s">
        <v>48</v>
      </c>
      <c r="M990" t="s">
        <v>139</v>
      </c>
      <c r="N990">
        <v>1903</v>
      </c>
      <c r="O990" s="14">
        <v>0.877943090861663</v>
      </c>
      <c r="P990" s="14">
        <v>0.60125171788968101</v>
      </c>
      <c r="Q990" t="str">
        <f t="shared" si="30"/>
        <v>01-09</v>
      </c>
      <c r="R990" t="str">
        <f t="shared" si="31"/>
        <v>[gwVYinjBAe9]|01-09|Male|HIV_PREV.T_1|CY2023Q3</v>
      </c>
    </row>
    <row r="991" spans="4:18" x14ac:dyDescent="0.2">
      <c r="D991" s="13" t="s">
        <v>95</v>
      </c>
      <c r="E991" s="13" t="s">
        <v>96</v>
      </c>
      <c r="F991" s="13" t="s">
        <v>97</v>
      </c>
      <c r="G991" s="13" t="s">
        <v>140</v>
      </c>
      <c r="H991" s="13" t="s">
        <v>141</v>
      </c>
      <c r="I991" t="s">
        <v>35</v>
      </c>
      <c r="J991" s="13" t="s">
        <v>36</v>
      </c>
      <c r="K991" s="13" t="s">
        <v>47</v>
      </c>
      <c r="L991" s="13" t="s">
        <v>48</v>
      </c>
      <c r="M991" t="s">
        <v>139</v>
      </c>
      <c r="N991">
        <v>1679</v>
      </c>
      <c r="O991" s="14">
        <v>0.29249359527602797</v>
      </c>
      <c r="P991" s="14">
        <v>0.60125171788968101</v>
      </c>
      <c r="Q991" t="str">
        <f t="shared" si="30"/>
        <v>10-14</v>
      </c>
      <c r="R991" t="str">
        <f t="shared" si="31"/>
        <v>[gwVYinjBAe9]|10-14|Male|HIV_PREV.T_1|CY2023Q3</v>
      </c>
    </row>
    <row r="992" spans="4:18" x14ac:dyDescent="0.2">
      <c r="D992" s="13" t="s">
        <v>95</v>
      </c>
      <c r="E992" s="13" t="s">
        <v>96</v>
      </c>
      <c r="F992" s="13" t="s">
        <v>97</v>
      </c>
      <c r="G992" s="13" t="s">
        <v>140</v>
      </c>
      <c r="H992" s="13" t="s">
        <v>141</v>
      </c>
      <c r="I992" t="s">
        <v>37</v>
      </c>
      <c r="J992" s="13" t="s">
        <v>38</v>
      </c>
      <c r="K992" s="13" t="s">
        <v>47</v>
      </c>
      <c r="L992" s="13" t="s">
        <v>48</v>
      </c>
      <c r="M992" t="s">
        <v>139</v>
      </c>
      <c r="N992">
        <v>545</v>
      </c>
      <c r="O992" s="14">
        <v>1.9320053048431901E-2</v>
      </c>
      <c r="P992" s="14">
        <v>0.60125171788968101</v>
      </c>
      <c r="Q992" t="str">
        <f t="shared" si="30"/>
        <v>15-24</v>
      </c>
      <c r="R992" t="str">
        <f t="shared" si="31"/>
        <v>[gwVYinjBAe9]|15-24|Male|HIV_PREV.T_1|CY2023Q3</v>
      </c>
    </row>
    <row r="993" spans="4:18" x14ac:dyDescent="0.2">
      <c r="D993" s="13" t="s">
        <v>95</v>
      </c>
      <c r="E993" s="13" t="s">
        <v>96</v>
      </c>
      <c r="F993" s="13" t="s">
        <v>97</v>
      </c>
      <c r="G993" s="13" t="s">
        <v>140</v>
      </c>
      <c r="H993" s="13" t="s">
        <v>141</v>
      </c>
      <c r="I993" t="s">
        <v>40</v>
      </c>
      <c r="J993" s="13" t="s">
        <v>41</v>
      </c>
      <c r="K993" s="13" t="s">
        <v>47</v>
      </c>
      <c r="L993" s="13" t="s">
        <v>48</v>
      </c>
      <c r="M993" t="s">
        <v>139</v>
      </c>
      <c r="N993">
        <v>1875</v>
      </c>
      <c r="O993" s="14">
        <v>4.8510166350752101E-2</v>
      </c>
      <c r="P993" s="14">
        <v>0.60125171788968101</v>
      </c>
      <c r="Q993" t="str">
        <f t="shared" si="30"/>
        <v>25-34</v>
      </c>
      <c r="R993" t="str">
        <f t="shared" si="31"/>
        <v>[gwVYinjBAe9]|25-34|Male|HIV_PREV.T_1|CY2023Q3</v>
      </c>
    </row>
    <row r="994" spans="4:18" x14ac:dyDescent="0.2">
      <c r="D994" s="13" t="s">
        <v>95</v>
      </c>
      <c r="E994" s="13" t="s">
        <v>96</v>
      </c>
      <c r="F994" s="13" t="s">
        <v>97</v>
      </c>
      <c r="G994" s="13" t="s">
        <v>140</v>
      </c>
      <c r="H994" s="13" t="s">
        <v>141</v>
      </c>
      <c r="I994" t="s">
        <v>42</v>
      </c>
      <c r="J994" s="13" t="s">
        <v>43</v>
      </c>
      <c r="K994" s="13" t="s">
        <v>47</v>
      </c>
      <c r="L994" s="13" t="s">
        <v>48</v>
      </c>
      <c r="M994" t="s">
        <v>139</v>
      </c>
      <c r="N994">
        <v>884</v>
      </c>
      <c r="O994" s="14">
        <v>0.71192651800811302</v>
      </c>
      <c r="P994" s="14">
        <v>0.60125171788968101</v>
      </c>
      <c r="Q994" t="str">
        <f t="shared" si="30"/>
        <v>35-49</v>
      </c>
      <c r="R994" t="str">
        <f t="shared" si="31"/>
        <v>[gwVYinjBAe9]|35-49|Male|HIV_PREV.T_1|CY2023Q3</v>
      </c>
    </row>
    <row r="995" spans="4:18" x14ac:dyDescent="0.2">
      <c r="D995" s="13" t="s">
        <v>95</v>
      </c>
      <c r="E995" s="13" t="s">
        <v>96</v>
      </c>
      <c r="F995" s="13" t="s">
        <v>97</v>
      </c>
      <c r="G995" s="13" t="s">
        <v>140</v>
      </c>
      <c r="H995" s="13" t="s">
        <v>141</v>
      </c>
      <c r="I995" t="s">
        <v>44</v>
      </c>
      <c r="J995" s="13" t="s">
        <v>45</v>
      </c>
      <c r="K995" s="13" t="s">
        <v>47</v>
      </c>
      <c r="L995" s="13" t="s">
        <v>48</v>
      </c>
      <c r="M995" t="s">
        <v>139</v>
      </c>
      <c r="N995">
        <v>1640</v>
      </c>
      <c r="O995" s="14">
        <v>0.481465868884698</v>
      </c>
      <c r="P995" s="14">
        <v>0.60125171788968101</v>
      </c>
      <c r="Q995" t="str">
        <f t="shared" si="30"/>
        <v>50+</v>
      </c>
      <c r="R995" t="str">
        <f t="shared" si="31"/>
        <v>[gwVYinjBAe9]|50+|Male|HIV_PREV.T_1|CY2023Q3</v>
      </c>
    </row>
    <row r="996" spans="4:18" x14ac:dyDescent="0.2">
      <c r="D996" s="13" t="s">
        <v>98</v>
      </c>
      <c r="E996" s="13" t="s">
        <v>99</v>
      </c>
      <c r="F996" s="13" t="s">
        <v>100</v>
      </c>
      <c r="G996" s="13" t="s">
        <v>140</v>
      </c>
      <c r="H996" s="13" t="s">
        <v>141</v>
      </c>
      <c r="I996" t="s">
        <v>27</v>
      </c>
      <c r="J996" s="13" t="s">
        <v>28</v>
      </c>
      <c r="K996" s="13" t="s">
        <v>29</v>
      </c>
      <c r="L996" s="13" t="s">
        <v>30</v>
      </c>
      <c r="M996" t="s">
        <v>139</v>
      </c>
      <c r="N996">
        <v>1961</v>
      </c>
      <c r="O996" s="14">
        <v>0.78138547693379201</v>
      </c>
      <c r="P996" s="14">
        <v>0.57728803809732199</v>
      </c>
      <c r="Q996" t="str">
        <f t="shared" si="30"/>
        <v>&lt;01</v>
      </c>
      <c r="R996" t="str">
        <f t="shared" si="31"/>
        <v>[mxqa3CDFmIT]|&lt;01|Female|HIV_PREV.T_1|CY2023Q3</v>
      </c>
    </row>
    <row r="997" spans="4:18" x14ac:dyDescent="0.2">
      <c r="D997" s="13" t="s">
        <v>98</v>
      </c>
      <c r="E997" s="13" t="s">
        <v>99</v>
      </c>
      <c r="F997" s="13" t="s">
        <v>100</v>
      </c>
      <c r="G997" s="13" t="s">
        <v>140</v>
      </c>
      <c r="H997" s="13" t="s">
        <v>141</v>
      </c>
      <c r="I997" t="s">
        <v>32</v>
      </c>
      <c r="J997" s="13" t="s">
        <v>33</v>
      </c>
      <c r="K997" s="13" t="s">
        <v>29</v>
      </c>
      <c r="L997" s="13" t="s">
        <v>30</v>
      </c>
      <c r="M997" t="s">
        <v>139</v>
      </c>
      <c r="N997">
        <v>1237</v>
      </c>
      <c r="O997" s="14">
        <v>0.90430915076285601</v>
      </c>
      <c r="P997" s="14">
        <v>0.57728803809732199</v>
      </c>
      <c r="Q997" t="str">
        <f t="shared" si="30"/>
        <v>01-09</v>
      </c>
      <c r="R997" t="str">
        <f t="shared" si="31"/>
        <v>[mxqa3CDFmIT]|01-09|Female|HIV_PREV.T_1|CY2023Q3</v>
      </c>
    </row>
    <row r="998" spans="4:18" x14ac:dyDescent="0.2">
      <c r="D998" s="13" t="s">
        <v>98</v>
      </c>
      <c r="E998" s="13" t="s">
        <v>99</v>
      </c>
      <c r="F998" s="13" t="s">
        <v>100</v>
      </c>
      <c r="G998" s="13" t="s">
        <v>140</v>
      </c>
      <c r="H998" s="13" t="s">
        <v>141</v>
      </c>
      <c r="I998" t="s">
        <v>35</v>
      </c>
      <c r="J998" s="13" t="s">
        <v>36</v>
      </c>
      <c r="K998" s="13" t="s">
        <v>29</v>
      </c>
      <c r="L998" s="13" t="s">
        <v>30</v>
      </c>
      <c r="M998" t="s">
        <v>139</v>
      </c>
      <c r="N998">
        <v>849</v>
      </c>
      <c r="O998" s="14">
        <v>0.36147183692082802</v>
      </c>
      <c r="P998" s="14">
        <v>0.57728803809732199</v>
      </c>
      <c r="Q998" t="str">
        <f t="shared" si="30"/>
        <v>10-14</v>
      </c>
      <c r="R998" t="str">
        <f t="shared" si="31"/>
        <v>[mxqa3CDFmIT]|10-14|Female|HIV_PREV.T_1|CY2023Q3</v>
      </c>
    </row>
    <row r="999" spans="4:18" x14ac:dyDescent="0.2">
      <c r="D999" s="13" t="s">
        <v>98</v>
      </c>
      <c r="E999" s="13" t="s">
        <v>99</v>
      </c>
      <c r="F999" s="13" t="s">
        <v>100</v>
      </c>
      <c r="G999" s="13" t="s">
        <v>140</v>
      </c>
      <c r="H999" s="13" t="s">
        <v>141</v>
      </c>
      <c r="I999" t="s">
        <v>37</v>
      </c>
      <c r="J999" s="13" t="s">
        <v>38</v>
      </c>
      <c r="K999" s="13" t="s">
        <v>29</v>
      </c>
      <c r="L999" s="13" t="s">
        <v>30</v>
      </c>
      <c r="M999" t="s">
        <v>139</v>
      </c>
      <c r="N999">
        <v>1376</v>
      </c>
      <c r="O999" s="14">
        <v>7.0930289570242194E-2</v>
      </c>
      <c r="P999" s="14">
        <v>0.57728803809732199</v>
      </c>
      <c r="Q999" t="str">
        <f t="shared" si="30"/>
        <v>15-24</v>
      </c>
      <c r="R999" t="str">
        <f t="shared" si="31"/>
        <v>[mxqa3CDFmIT]|15-24|Female|HIV_PREV.T_1|CY2023Q3</v>
      </c>
    </row>
    <row r="1000" spans="4:18" x14ac:dyDescent="0.2">
      <c r="D1000" s="13" t="s">
        <v>98</v>
      </c>
      <c r="E1000" s="13" t="s">
        <v>99</v>
      </c>
      <c r="F1000" s="13" t="s">
        <v>100</v>
      </c>
      <c r="G1000" s="13" t="s">
        <v>140</v>
      </c>
      <c r="H1000" s="13" t="s">
        <v>141</v>
      </c>
      <c r="I1000" t="s">
        <v>40</v>
      </c>
      <c r="J1000" s="13" t="s">
        <v>41</v>
      </c>
      <c r="K1000" s="13" t="s">
        <v>29</v>
      </c>
      <c r="L1000" s="13" t="s">
        <v>30</v>
      </c>
      <c r="M1000" t="s">
        <v>139</v>
      </c>
      <c r="N1000">
        <v>1300</v>
      </c>
      <c r="O1000" s="14">
        <v>0.169392831157893</v>
      </c>
      <c r="P1000" s="14">
        <v>0.57728803809732199</v>
      </c>
      <c r="Q1000" t="str">
        <f t="shared" si="30"/>
        <v>25-34</v>
      </c>
      <c r="R1000" t="str">
        <f t="shared" si="31"/>
        <v>[mxqa3CDFmIT]|25-34|Female|HIV_PREV.T_1|CY2023Q3</v>
      </c>
    </row>
    <row r="1001" spans="4:18" x14ac:dyDescent="0.2">
      <c r="D1001" s="13" t="s">
        <v>98</v>
      </c>
      <c r="E1001" s="13" t="s">
        <v>99</v>
      </c>
      <c r="F1001" s="13" t="s">
        <v>100</v>
      </c>
      <c r="G1001" s="13" t="s">
        <v>140</v>
      </c>
      <c r="H1001" s="13" t="s">
        <v>141</v>
      </c>
      <c r="I1001" t="s">
        <v>42</v>
      </c>
      <c r="J1001" s="13" t="s">
        <v>43</v>
      </c>
      <c r="K1001" s="13" t="s">
        <v>29</v>
      </c>
      <c r="L1001" s="13" t="s">
        <v>30</v>
      </c>
      <c r="M1001" t="s">
        <v>139</v>
      </c>
      <c r="N1001">
        <v>1101</v>
      </c>
      <c r="O1001" s="14">
        <v>0.46773525909520702</v>
      </c>
      <c r="P1001" s="14">
        <v>0.57728803809732199</v>
      </c>
      <c r="Q1001" t="str">
        <f t="shared" si="30"/>
        <v>35-49</v>
      </c>
      <c r="R1001" t="str">
        <f t="shared" si="31"/>
        <v>[mxqa3CDFmIT]|35-49|Female|HIV_PREV.T_1|CY2023Q3</v>
      </c>
    </row>
    <row r="1002" spans="4:18" x14ac:dyDescent="0.2">
      <c r="D1002" s="13" t="s">
        <v>98</v>
      </c>
      <c r="E1002" s="13" t="s">
        <v>99</v>
      </c>
      <c r="F1002" s="13" t="s">
        <v>100</v>
      </c>
      <c r="G1002" s="13" t="s">
        <v>140</v>
      </c>
      <c r="H1002" s="13" t="s">
        <v>141</v>
      </c>
      <c r="I1002" t="s">
        <v>44</v>
      </c>
      <c r="J1002" s="13" t="s">
        <v>45</v>
      </c>
      <c r="K1002" s="13" t="s">
        <v>29</v>
      </c>
      <c r="L1002" s="13" t="s">
        <v>30</v>
      </c>
      <c r="M1002" t="s">
        <v>139</v>
      </c>
      <c r="N1002">
        <v>1987</v>
      </c>
      <c r="O1002" s="14">
        <v>0.27948025148361899</v>
      </c>
      <c r="P1002" s="14">
        <v>0.57728803809732199</v>
      </c>
      <c r="Q1002" t="str">
        <f t="shared" si="30"/>
        <v>50+</v>
      </c>
      <c r="R1002" t="str">
        <f t="shared" si="31"/>
        <v>[mxqa3CDFmIT]|50+|Female|HIV_PREV.T_1|CY2023Q3</v>
      </c>
    </row>
    <row r="1003" spans="4:18" x14ac:dyDescent="0.2">
      <c r="D1003" s="13" t="s">
        <v>98</v>
      </c>
      <c r="E1003" s="13" t="s">
        <v>99</v>
      </c>
      <c r="F1003" s="13" t="s">
        <v>100</v>
      </c>
      <c r="G1003" s="13" t="s">
        <v>140</v>
      </c>
      <c r="H1003" s="13" t="s">
        <v>141</v>
      </c>
      <c r="I1003" t="s">
        <v>27</v>
      </c>
      <c r="J1003" s="13" t="s">
        <v>28</v>
      </c>
      <c r="K1003" s="13" t="s">
        <v>47</v>
      </c>
      <c r="L1003" s="13" t="s">
        <v>48</v>
      </c>
      <c r="M1003" t="s">
        <v>139</v>
      </c>
      <c r="N1003">
        <v>1642</v>
      </c>
      <c r="O1003" s="14">
        <v>9.7400111146271201E-2</v>
      </c>
      <c r="P1003" s="14">
        <v>0.57728803809732199</v>
      </c>
      <c r="Q1003" t="str">
        <f t="shared" si="30"/>
        <v>&lt;01</v>
      </c>
      <c r="R1003" t="str">
        <f t="shared" si="31"/>
        <v>[mxqa3CDFmIT]|&lt;01|Male|HIV_PREV.T_1|CY2023Q3</v>
      </c>
    </row>
    <row r="1004" spans="4:18" x14ac:dyDescent="0.2">
      <c r="D1004" s="13" t="s">
        <v>98</v>
      </c>
      <c r="E1004" s="13" t="s">
        <v>99</v>
      </c>
      <c r="F1004" s="13" t="s">
        <v>100</v>
      </c>
      <c r="G1004" s="13" t="s">
        <v>140</v>
      </c>
      <c r="H1004" s="13" t="s">
        <v>141</v>
      </c>
      <c r="I1004" t="s">
        <v>32</v>
      </c>
      <c r="J1004" s="13" t="s">
        <v>33</v>
      </c>
      <c r="K1004" s="13" t="s">
        <v>47</v>
      </c>
      <c r="L1004" s="13" t="s">
        <v>48</v>
      </c>
      <c r="M1004" t="s">
        <v>139</v>
      </c>
      <c r="N1004">
        <v>1387</v>
      </c>
      <c r="O1004" s="14">
        <v>0.17455945909023299</v>
      </c>
      <c r="P1004" s="14">
        <v>0.57728803809732199</v>
      </c>
      <c r="Q1004" t="str">
        <f t="shared" si="30"/>
        <v>01-09</v>
      </c>
      <c r="R1004" t="str">
        <f t="shared" si="31"/>
        <v>[mxqa3CDFmIT]|01-09|Male|HIV_PREV.T_1|CY2023Q3</v>
      </c>
    </row>
    <row r="1005" spans="4:18" x14ac:dyDescent="0.2">
      <c r="D1005" s="13" t="s">
        <v>98</v>
      </c>
      <c r="E1005" s="13" t="s">
        <v>99</v>
      </c>
      <c r="F1005" s="13" t="s">
        <v>100</v>
      </c>
      <c r="G1005" s="13" t="s">
        <v>140</v>
      </c>
      <c r="H1005" s="13" t="s">
        <v>141</v>
      </c>
      <c r="I1005" t="s">
        <v>35</v>
      </c>
      <c r="J1005" s="13" t="s">
        <v>36</v>
      </c>
      <c r="K1005" s="13" t="s">
        <v>47</v>
      </c>
      <c r="L1005" s="13" t="s">
        <v>48</v>
      </c>
      <c r="M1005" t="s">
        <v>139</v>
      </c>
      <c r="N1005">
        <v>1528</v>
      </c>
      <c r="O1005" s="14">
        <v>0.51707404199987606</v>
      </c>
      <c r="P1005" s="14">
        <v>0.57728803809732199</v>
      </c>
      <c r="Q1005" t="str">
        <f t="shared" si="30"/>
        <v>10-14</v>
      </c>
      <c r="R1005" t="str">
        <f t="shared" si="31"/>
        <v>[mxqa3CDFmIT]|10-14|Male|HIV_PREV.T_1|CY2023Q3</v>
      </c>
    </row>
    <row r="1006" spans="4:18" x14ac:dyDescent="0.2">
      <c r="D1006" s="13" t="s">
        <v>98</v>
      </c>
      <c r="E1006" s="13" t="s">
        <v>99</v>
      </c>
      <c r="F1006" s="13" t="s">
        <v>100</v>
      </c>
      <c r="G1006" s="13" t="s">
        <v>140</v>
      </c>
      <c r="H1006" s="13" t="s">
        <v>141</v>
      </c>
      <c r="I1006" t="s">
        <v>37</v>
      </c>
      <c r="J1006" s="13" t="s">
        <v>38</v>
      </c>
      <c r="K1006" s="13" t="s">
        <v>47</v>
      </c>
      <c r="L1006" s="13" t="s">
        <v>48</v>
      </c>
      <c r="M1006" t="s">
        <v>139</v>
      </c>
      <c r="N1006">
        <v>1282</v>
      </c>
      <c r="O1006" s="14">
        <v>0.136670906329527</v>
      </c>
      <c r="P1006" s="14">
        <v>0.57728803809732199</v>
      </c>
      <c r="Q1006" t="str">
        <f t="shared" si="30"/>
        <v>15-24</v>
      </c>
      <c r="R1006" t="str">
        <f t="shared" si="31"/>
        <v>[mxqa3CDFmIT]|15-24|Male|HIV_PREV.T_1|CY2023Q3</v>
      </c>
    </row>
    <row r="1007" spans="4:18" x14ac:dyDescent="0.2">
      <c r="D1007" s="13" t="s">
        <v>98</v>
      </c>
      <c r="E1007" s="13" t="s">
        <v>99</v>
      </c>
      <c r="F1007" s="13" t="s">
        <v>100</v>
      </c>
      <c r="G1007" s="13" t="s">
        <v>140</v>
      </c>
      <c r="H1007" s="13" t="s">
        <v>141</v>
      </c>
      <c r="I1007" t="s">
        <v>40</v>
      </c>
      <c r="J1007" s="13" t="s">
        <v>41</v>
      </c>
      <c r="K1007" s="13" t="s">
        <v>47</v>
      </c>
      <c r="L1007" s="13" t="s">
        <v>48</v>
      </c>
      <c r="M1007" t="s">
        <v>139</v>
      </c>
      <c r="N1007">
        <v>1886</v>
      </c>
      <c r="O1007" s="14">
        <v>0.13153623905964201</v>
      </c>
      <c r="P1007" s="14">
        <v>0.57728803809732199</v>
      </c>
      <c r="Q1007" t="str">
        <f t="shared" si="30"/>
        <v>25-34</v>
      </c>
      <c r="R1007" t="str">
        <f t="shared" si="31"/>
        <v>[mxqa3CDFmIT]|25-34|Male|HIV_PREV.T_1|CY2023Q3</v>
      </c>
    </row>
    <row r="1008" spans="4:18" x14ac:dyDescent="0.2">
      <c r="D1008" s="13" t="s">
        <v>98</v>
      </c>
      <c r="E1008" s="13" t="s">
        <v>99</v>
      </c>
      <c r="F1008" s="13" t="s">
        <v>100</v>
      </c>
      <c r="G1008" s="13" t="s">
        <v>140</v>
      </c>
      <c r="H1008" s="13" t="s">
        <v>141</v>
      </c>
      <c r="I1008" t="s">
        <v>42</v>
      </c>
      <c r="J1008" s="13" t="s">
        <v>43</v>
      </c>
      <c r="K1008" s="13" t="s">
        <v>47</v>
      </c>
      <c r="L1008" s="13" t="s">
        <v>48</v>
      </c>
      <c r="M1008" t="s">
        <v>139</v>
      </c>
      <c r="N1008">
        <v>555</v>
      </c>
      <c r="O1008" s="14">
        <v>0.258737326366827</v>
      </c>
      <c r="P1008" s="14">
        <v>0.57728803809732199</v>
      </c>
      <c r="Q1008" t="str">
        <f t="shared" si="30"/>
        <v>35-49</v>
      </c>
      <c r="R1008" t="str">
        <f t="shared" si="31"/>
        <v>[mxqa3CDFmIT]|35-49|Male|HIV_PREV.T_1|CY2023Q3</v>
      </c>
    </row>
    <row r="1009" spans="4:18" x14ac:dyDescent="0.2">
      <c r="D1009" s="13" t="s">
        <v>98</v>
      </c>
      <c r="E1009" s="13" t="s">
        <v>99</v>
      </c>
      <c r="F1009" s="13" t="s">
        <v>100</v>
      </c>
      <c r="G1009" s="13" t="s">
        <v>140</v>
      </c>
      <c r="H1009" s="13" t="s">
        <v>141</v>
      </c>
      <c r="I1009" t="s">
        <v>44</v>
      </c>
      <c r="J1009" s="13" t="s">
        <v>45</v>
      </c>
      <c r="K1009" s="13" t="s">
        <v>47</v>
      </c>
      <c r="L1009" s="13" t="s">
        <v>48</v>
      </c>
      <c r="M1009" t="s">
        <v>139</v>
      </c>
      <c r="N1009">
        <v>1517</v>
      </c>
      <c r="O1009" s="14">
        <v>0.49448142852634203</v>
      </c>
      <c r="P1009" s="14">
        <v>0.57728803809732199</v>
      </c>
      <c r="Q1009" t="str">
        <f t="shared" si="30"/>
        <v>50+</v>
      </c>
      <c r="R1009" t="str">
        <f t="shared" si="31"/>
        <v>[mxqa3CDFmIT]|50+|Male|HIV_PREV.T_1|CY2023Q3</v>
      </c>
    </row>
    <row r="1010" spans="4:18" x14ac:dyDescent="0.2">
      <c r="D1010" s="13" t="s">
        <v>101</v>
      </c>
      <c r="E1010" s="13" t="s">
        <v>102</v>
      </c>
      <c r="F1010" s="13" t="s">
        <v>103</v>
      </c>
      <c r="G1010" s="13" t="s">
        <v>140</v>
      </c>
      <c r="H1010" s="13" t="s">
        <v>141</v>
      </c>
      <c r="I1010" t="s">
        <v>27</v>
      </c>
      <c r="J1010" s="13" t="s">
        <v>28</v>
      </c>
      <c r="K1010" s="13" t="s">
        <v>29</v>
      </c>
      <c r="L1010" s="13" t="s">
        <v>30</v>
      </c>
      <c r="M1010" t="s">
        <v>139</v>
      </c>
      <c r="N1010">
        <v>1752</v>
      </c>
      <c r="O1010" s="14">
        <v>9.5490739680826706E-2</v>
      </c>
      <c r="P1010" s="14">
        <v>0.52621235931292198</v>
      </c>
      <c r="Q1010" t="str">
        <f t="shared" si="30"/>
        <v>&lt;01</v>
      </c>
      <c r="R1010" t="str">
        <f t="shared" si="31"/>
        <v>[wNqJp8oRIcF]|&lt;01|Female|HIV_PREV.T_1|CY2023Q3</v>
      </c>
    </row>
    <row r="1011" spans="4:18" x14ac:dyDescent="0.2">
      <c r="D1011" s="13" t="s">
        <v>101</v>
      </c>
      <c r="E1011" s="13" t="s">
        <v>102</v>
      </c>
      <c r="F1011" s="13" t="s">
        <v>103</v>
      </c>
      <c r="G1011" s="13" t="s">
        <v>140</v>
      </c>
      <c r="H1011" s="13" t="s">
        <v>141</v>
      </c>
      <c r="I1011" t="s">
        <v>32</v>
      </c>
      <c r="J1011" s="13" t="s">
        <v>33</v>
      </c>
      <c r="K1011" s="13" t="s">
        <v>29</v>
      </c>
      <c r="L1011" s="13" t="s">
        <v>30</v>
      </c>
      <c r="M1011" t="s">
        <v>139</v>
      </c>
      <c r="N1011">
        <v>1166</v>
      </c>
      <c r="O1011" s="14">
        <v>0.67585100093856498</v>
      </c>
      <c r="P1011" s="14">
        <v>0.52621235931292198</v>
      </c>
      <c r="Q1011" t="str">
        <f t="shared" si="30"/>
        <v>01-09</v>
      </c>
      <c r="R1011" t="str">
        <f t="shared" si="31"/>
        <v>[wNqJp8oRIcF]|01-09|Female|HIV_PREV.T_1|CY2023Q3</v>
      </c>
    </row>
    <row r="1012" spans="4:18" x14ac:dyDescent="0.2">
      <c r="D1012" s="13" t="s">
        <v>101</v>
      </c>
      <c r="E1012" s="13" t="s">
        <v>102</v>
      </c>
      <c r="F1012" s="13" t="s">
        <v>103</v>
      </c>
      <c r="G1012" s="13" t="s">
        <v>140</v>
      </c>
      <c r="H1012" s="13" t="s">
        <v>141</v>
      </c>
      <c r="I1012" t="s">
        <v>35</v>
      </c>
      <c r="J1012" s="13" t="s">
        <v>36</v>
      </c>
      <c r="K1012" s="13" t="s">
        <v>29</v>
      </c>
      <c r="L1012" s="13" t="s">
        <v>30</v>
      </c>
      <c r="M1012" t="s">
        <v>139</v>
      </c>
      <c r="N1012">
        <v>1463</v>
      </c>
      <c r="O1012" s="14">
        <v>0.43575967894867101</v>
      </c>
      <c r="P1012" s="14">
        <v>0.52621235931292198</v>
      </c>
      <c r="Q1012" t="str">
        <f t="shared" si="30"/>
        <v>10-14</v>
      </c>
      <c r="R1012" t="str">
        <f t="shared" si="31"/>
        <v>[wNqJp8oRIcF]|10-14|Female|HIV_PREV.T_1|CY2023Q3</v>
      </c>
    </row>
    <row r="1013" spans="4:18" x14ac:dyDescent="0.2">
      <c r="D1013" s="13" t="s">
        <v>101</v>
      </c>
      <c r="E1013" s="13" t="s">
        <v>102</v>
      </c>
      <c r="F1013" s="13" t="s">
        <v>103</v>
      </c>
      <c r="G1013" s="13" t="s">
        <v>140</v>
      </c>
      <c r="H1013" s="13" t="s">
        <v>141</v>
      </c>
      <c r="I1013" t="s">
        <v>37</v>
      </c>
      <c r="J1013" s="13" t="s">
        <v>38</v>
      </c>
      <c r="K1013" s="13" t="s">
        <v>29</v>
      </c>
      <c r="L1013" s="13" t="s">
        <v>30</v>
      </c>
      <c r="M1013" t="s">
        <v>139</v>
      </c>
      <c r="N1013">
        <v>1690</v>
      </c>
      <c r="O1013" s="14">
        <v>0.44843506440520298</v>
      </c>
      <c r="P1013" s="14">
        <v>0.52621235931292198</v>
      </c>
      <c r="Q1013" t="str">
        <f t="shared" si="30"/>
        <v>15-24</v>
      </c>
      <c r="R1013" t="str">
        <f t="shared" si="31"/>
        <v>[wNqJp8oRIcF]|15-24|Female|HIV_PREV.T_1|CY2023Q3</v>
      </c>
    </row>
    <row r="1014" spans="4:18" x14ac:dyDescent="0.2">
      <c r="D1014" s="13" t="s">
        <v>101</v>
      </c>
      <c r="E1014" s="13" t="s">
        <v>102</v>
      </c>
      <c r="F1014" s="13" t="s">
        <v>103</v>
      </c>
      <c r="G1014" s="13" t="s">
        <v>140</v>
      </c>
      <c r="H1014" s="13" t="s">
        <v>141</v>
      </c>
      <c r="I1014" t="s">
        <v>40</v>
      </c>
      <c r="J1014" s="13" t="s">
        <v>41</v>
      </c>
      <c r="K1014" s="13" t="s">
        <v>29</v>
      </c>
      <c r="L1014" s="13" t="s">
        <v>30</v>
      </c>
      <c r="M1014" t="s">
        <v>139</v>
      </c>
      <c r="N1014">
        <v>1468</v>
      </c>
      <c r="O1014" s="14">
        <v>0.40981132979504797</v>
      </c>
      <c r="P1014" s="14">
        <v>0.52621235931292198</v>
      </c>
      <c r="Q1014" t="str">
        <f t="shared" si="30"/>
        <v>25-34</v>
      </c>
      <c r="R1014" t="str">
        <f t="shared" si="31"/>
        <v>[wNqJp8oRIcF]|25-34|Female|HIV_PREV.T_1|CY2023Q3</v>
      </c>
    </row>
    <row r="1015" spans="4:18" x14ac:dyDescent="0.2">
      <c r="D1015" s="13" t="s">
        <v>101</v>
      </c>
      <c r="E1015" s="13" t="s">
        <v>102</v>
      </c>
      <c r="F1015" s="13" t="s">
        <v>103</v>
      </c>
      <c r="G1015" s="13" t="s">
        <v>140</v>
      </c>
      <c r="H1015" s="13" t="s">
        <v>141</v>
      </c>
      <c r="I1015" t="s">
        <v>42</v>
      </c>
      <c r="J1015" s="13" t="s">
        <v>43</v>
      </c>
      <c r="K1015" s="13" t="s">
        <v>29</v>
      </c>
      <c r="L1015" s="13" t="s">
        <v>30</v>
      </c>
      <c r="M1015" t="s">
        <v>139</v>
      </c>
      <c r="N1015">
        <v>1421</v>
      </c>
      <c r="O1015" s="14">
        <v>0.331806480884552</v>
      </c>
      <c r="P1015" s="14">
        <v>0.52621235931292198</v>
      </c>
      <c r="Q1015" t="str">
        <f t="shared" si="30"/>
        <v>35-49</v>
      </c>
      <c r="R1015" t="str">
        <f t="shared" si="31"/>
        <v>[wNqJp8oRIcF]|35-49|Female|HIV_PREV.T_1|CY2023Q3</v>
      </c>
    </row>
    <row r="1016" spans="4:18" x14ac:dyDescent="0.2">
      <c r="D1016" s="13" t="s">
        <v>101</v>
      </c>
      <c r="E1016" s="13" t="s">
        <v>102</v>
      </c>
      <c r="F1016" s="13" t="s">
        <v>103</v>
      </c>
      <c r="G1016" s="13" t="s">
        <v>140</v>
      </c>
      <c r="H1016" s="13" t="s">
        <v>141</v>
      </c>
      <c r="I1016" t="s">
        <v>44</v>
      </c>
      <c r="J1016" s="13" t="s">
        <v>45</v>
      </c>
      <c r="K1016" s="13" t="s">
        <v>29</v>
      </c>
      <c r="L1016" s="13" t="s">
        <v>30</v>
      </c>
      <c r="M1016" t="s">
        <v>139</v>
      </c>
      <c r="N1016">
        <v>1975</v>
      </c>
      <c r="O1016" s="14">
        <v>0.876455046702176</v>
      </c>
      <c r="P1016" s="14">
        <v>0.52621235931292198</v>
      </c>
      <c r="Q1016" t="str">
        <f t="shared" si="30"/>
        <v>50+</v>
      </c>
      <c r="R1016" t="str">
        <f t="shared" si="31"/>
        <v>[wNqJp8oRIcF]|50+|Female|HIV_PREV.T_1|CY2023Q3</v>
      </c>
    </row>
    <row r="1017" spans="4:18" x14ac:dyDescent="0.2">
      <c r="D1017" s="13" t="s">
        <v>101</v>
      </c>
      <c r="E1017" s="13" t="s">
        <v>102</v>
      </c>
      <c r="F1017" s="13" t="s">
        <v>103</v>
      </c>
      <c r="G1017" s="13" t="s">
        <v>140</v>
      </c>
      <c r="H1017" s="13" t="s">
        <v>141</v>
      </c>
      <c r="I1017" t="s">
        <v>27</v>
      </c>
      <c r="J1017" s="13" t="s">
        <v>28</v>
      </c>
      <c r="K1017" s="13" t="s">
        <v>47</v>
      </c>
      <c r="L1017" s="13" t="s">
        <v>48</v>
      </c>
      <c r="M1017" t="s">
        <v>139</v>
      </c>
      <c r="N1017">
        <v>1835</v>
      </c>
      <c r="O1017" s="14">
        <v>0.98052844614721801</v>
      </c>
      <c r="P1017" s="14">
        <v>0.52621235931292198</v>
      </c>
      <c r="Q1017" t="str">
        <f t="shared" si="30"/>
        <v>&lt;01</v>
      </c>
      <c r="R1017" t="str">
        <f t="shared" si="31"/>
        <v>[wNqJp8oRIcF]|&lt;01|Male|HIV_PREV.T_1|CY2023Q3</v>
      </c>
    </row>
    <row r="1018" spans="4:18" x14ac:dyDescent="0.2">
      <c r="D1018" s="13" t="s">
        <v>101</v>
      </c>
      <c r="E1018" s="13" t="s">
        <v>102</v>
      </c>
      <c r="F1018" s="13" t="s">
        <v>103</v>
      </c>
      <c r="G1018" s="13" t="s">
        <v>140</v>
      </c>
      <c r="H1018" s="13" t="s">
        <v>141</v>
      </c>
      <c r="I1018" t="s">
        <v>32</v>
      </c>
      <c r="J1018" s="13" t="s">
        <v>33</v>
      </c>
      <c r="K1018" s="13" t="s">
        <v>47</v>
      </c>
      <c r="L1018" s="13" t="s">
        <v>48</v>
      </c>
      <c r="M1018" t="s">
        <v>139</v>
      </c>
      <c r="N1018">
        <v>779</v>
      </c>
      <c r="O1018" s="14">
        <v>0.69330516853369795</v>
      </c>
      <c r="P1018" s="14">
        <v>0.52621235931292198</v>
      </c>
      <c r="Q1018" t="str">
        <f t="shared" si="30"/>
        <v>01-09</v>
      </c>
      <c r="R1018" t="str">
        <f t="shared" si="31"/>
        <v>[wNqJp8oRIcF]|01-09|Male|HIV_PREV.T_1|CY2023Q3</v>
      </c>
    </row>
    <row r="1019" spans="4:18" x14ac:dyDescent="0.2">
      <c r="D1019" s="13" t="s">
        <v>101</v>
      </c>
      <c r="E1019" s="13" t="s">
        <v>102</v>
      </c>
      <c r="F1019" s="13" t="s">
        <v>103</v>
      </c>
      <c r="G1019" s="13" t="s">
        <v>140</v>
      </c>
      <c r="H1019" s="13" t="s">
        <v>141</v>
      </c>
      <c r="I1019" t="s">
        <v>35</v>
      </c>
      <c r="J1019" s="13" t="s">
        <v>36</v>
      </c>
      <c r="K1019" s="13" t="s">
        <v>47</v>
      </c>
      <c r="L1019" s="13" t="s">
        <v>48</v>
      </c>
      <c r="M1019" t="s">
        <v>139</v>
      </c>
      <c r="N1019">
        <v>1832</v>
      </c>
      <c r="O1019" s="14">
        <v>0.29399931989610201</v>
      </c>
      <c r="P1019" s="14">
        <v>0.52621235931292198</v>
      </c>
      <c r="Q1019" t="str">
        <f t="shared" si="30"/>
        <v>10-14</v>
      </c>
      <c r="R1019" t="str">
        <f t="shared" si="31"/>
        <v>[wNqJp8oRIcF]|10-14|Male|HIV_PREV.T_1|CY2023Q3</v>
      </c>
    </row>
    <row r="1020" spans="4:18" x14ac:dyDescent="0.2">
      <c r="D1020" s="13" t="s">
        <v>101</v>
      </c>
      <c r="E1020" s="13" t="s">
        <v>102</v>
      </c>
      <c r="F1020" s="13" t="s">
        <v>103</v>
      </c>
      <c r="G1020" s="13" t="s">
        <v>140</v>
      </c>
      <c r="H1020" s="13" t="s">
        <v>141</v>
      </c>
      <c r="I1020" t="s">
        <v>37</v>
      </c>
      <c r="J1020" s="13" t="s">
        <v>38</v>
      </c>
      <c r="K1020" s="13" t="s">
        <v>47</v>
      </c>
      <c r="L1020" s="13" t="s">
        <v>48</v>
      </c>
      <c r="M1020" t="s">
        <v>139</v>
      </c>
      <c r="N1020">
        <v>709</v>
      </c>
      <c r="O1020" s="14">
        <v>0.78988297097384896</v>
      </c>
      <c r="P1020" s="14">
        <v>0.52621235931292198</v>
      </c>
      <c r="Q1020" t="str">
        <f t="shared" si="30"/>
        <v>15-24</v>
      </c>
      <c r="R1020" t="str">
        <f t="shared" si="31"/>
        <v>[wNqJp8oRIcF]|15-24|Male|HIV_PREV.T_1|CY2023Q3</v>
      </c>
    </row>
    <row r="1021" spans="4:18" x14ac:dyDescent="0.2">
      <c r="D1021" s="13" t="s">
        <v>101</v>
      </c>
      <c r="E1021" s="13" t="s">
        <v>102</v>
      </c>
      <c r="F1021" s="13" t="s">
        <v>103</v>
      </c>
      <c r="G1021" s="13" t="s">
        <v>140</v>
      </c>
      <c r="H1021" s="13" t="s">
        <v>141</v>
      </c>
      <c r="I1021" t="s">
        <v>40</v>
      </c>
      <c r="J1021" s="13" t="s">
        <v>41</v>
      </c>
      <c r="K1021" s="13" t="s">
        <v>47</v>
      </c>
      <c r="L1021" s="13" t="s">
        <v>48</v>
      </c>
      <c r="M1021" t="s">
        <v>139</v>
      </c>
      <c r="N1021">
        <v>1486</v>
      </c>
      <c r="O1021" s="14">
        <v>0.40011896309442802</v>
      </c>
      <c r="P1021" s="14">
        <v>0.52621235931292198</v>
      </c>
      <c r="Q1021" t="str">
        <f t="shared" si="30"/>
        <v>25-34</v>
      </c>
      <c r="R1021" t="str">
        <f t="shared" si="31"/>
        <v>[wNqJp8oRIcF]|25-34|Male|HIV_PREV.T_1|CY2023Q3</v>
      </c>
    </row>
    <row r="1022" spans="4:18" x14ac:dyDescent="0.2">
      <c r="D1022" s="13" t="s">
        <v>101</v>
      </c>
      <c r="E1022" s="13" t="s">
        <v>102</v>
      </c>
      <c r="F1022" s="13" t="s">
        <v>103</v>
      </c>
      <c r="G1022" s="13" t="s">
        <v>140</v>
      </c>
      <c r="H1022" s="13" t="s">
        <v>141</v>
      </c>
      <c r="I1022" t="s">
        <v>42</v>
      </c>
      <c r="J1022" s="13" t="s">
        <v>43</v>
      </c>
      <c r="K1022" s="13" t="s">
        <v>47</v>
      </c>
      <c r="L1022" s="13" t="s">
        <v>48</v>
      </c>
      <c r="M1022" t="s">
        <v>139</v>
      </c>
      <c r="N1022">
        <v>1592</v>
      </c>
      <c r="O1022" s="14">
        <v>0.44421489513479201</v>
      </c>
      <c r="P1022" s="14">
        <v>0.52621235931292198</v>
      </c>
      <c r="Q1022" t="str">
        <f t="shared" si="30"/>
        <v>35-49</v>
      </c>
      <c r="R1022" t="str">
        <f t="shared" si="31"/>
        <v>[wNqJp8oRIcF]|35-49|Male|HIV_PREV.T_1|CY2023Q3</v>
      </c>
    </row>
    <row r="1023" spans="4:18" x14ac:dyDescent="0.2">
      <c r="D1023" s="13" t="s">
        <v>101</v>
      </c>
      <c r="E1023" s="13" t="s">
        <v>102</v>
      </c>
      <c r="F1023" s="13" t="s">
        <v>103</v>
      </c>
      <c r="G1023" s="13" t="s">
        <v>140</v>
      </c>
      <c r="H1023" s="13" t="s">
        <v>141</v>
      </c>
      <c r="I1023" t="s">
        <v>44</v>
      </c>
      <c r="J1023" s="13" t="s">
        <v>45</v>
      </c>
      <c r="K1023" s="13" t="s">
        <v>47</v>
      </c>
      <c r="L1023" s="13" t="s">
        <v>48</v>
      </c>
      <c r="M1023" t="s">
        <v>139</v>
      </c>
      <c r="N1023">
        <v>1230</v>
      </c>
      <c r="O1023" s="14">
        <v>0.2358119469136</v>
      </c>
      <c r="P1023" s="14">
        <v>0.52621235931292198</v>
      </c>
      <c r="Q1023" t="str">
        <f t="shared" si="30"/>
        <v>50+</v>
      </c>
      <c r="R1023" t="str">
        <f t="shared" si="31"/>
        <v>[wNqJp8oRIcF]|50+|Male|HIV_PREV.T_1|CY2023Q3</v>
      </c>
    </row>
    <row r="1024" spans="4:18" x14ac:dyDescent="0.2">
      <c r="D1024" s="13" t="s">
        <v>104</v>
      </c>
      <c r="E1024" s="13" t="s">
        <v>105</v>
      </c>
      <c r="F1024" s="13" t="s">
        <v>106</v>
      </c>
      <c r="G1024" s="13" t="s">
        <v>140</v>
      </c>
      <c r="H1024" s="13" t="s">
        <v>141</v>
      </c>
      <c r="I1024" t="s">
        <v>27</v>
      </c>
      <c r="J1024" s="13" t="s">
        <v>28</v>
      </c>
      <c r="K1024" s="13" t="s">
        <v>29</v>
      </c>
      <c r="L1024" s="13" t="s">
        <v>30</v>
      </c>
      <c r="M1024" t="s">
        <v>139</v>
      </c>
      <c r="N1024">
        <v>522</v>
      </c>
      <c r="O1024" s="14">
        <v>0.33164245146326699</v>
      </c>
      <c r="P1024" s="14">
        <v>0.21824956033378801</v>
      </c>
      <c r="Q1024" t="str">
        <f t="shared" si="30"/>
        <v>&lt;01</v>
      </c>
      <c r="R1024" t="str">
        <f t="shared" si="31"/>
        <v>[oiPR2CiVJbf]|&lt;01|Female|HIV_PREV.T_1|CY2023Q3</v>
      </c>
    </row>
    <row r="1025" spans="4:18" x14ac:dyDescent="0.2">
      <c r="D1025" s="13" t="s">
        <v>104</v>
      </c>
      <c r="E1025" s="13" t="s">
        <v>105</v>
      </c>
      <c r="F1025" s="13" t="s">
        <v>106</v>
      </c>
      <c r="G1025" s="13" t="s">
        <v>140</v>
      </c>
      <c r="H1025" s="13" t="s">
        <v>141</v>
      </c>
      <c r="I1025" t="s">
        <v>32</v>
      </c>
      <c r="J1025" s="13" t="s">
        <v>33</v>
      </c>
      <c r="K1025" s="13" t="s">
        <v>29</v>
      </c>
      <c r="L1025" s="13" t="s">
        <v>30</v>
      </c>
      <c r="M1025" t="s">
        <v>139</v>
      </c>
      <c r="N1025">
        <v>1073</v>
      </c>
      <c r="O1025" s="14">
        <v>0.53805401688441601</v>
      </c>
      <c r="P1025" s="14">
        <v>0.21824956033378801</v>
      </c>
      <c r="Q1025" t="str">
        <f t="shared" si="30"/>
        <v>01-09</v>
      </c>
      <c r="R1025" t="str">
        <f t="shared" si="31"/>
        <v>[oiPR2CiVJbf]|01-09|Female|HIV_PREV.T_1|CY2023Q3</v>
      </c>
    </row>
    <row r="1026" spans="4:18" x14ac:dyDescent="0.2">
      <c r="D1026" s="13" t="s">
        <v>104</v>
      </c>
      <c r="E1026" s="13" t="s">
        <v>105</v>
      </c>
      <c r="F1026" s="13" t="s">
        <v>106</v>
      </c>
      <c r="G1026" s="13" t="s">
        <v>140</v>
      </c>
      <c r="H1026" s="13" t="s">
        <v>141</v>
      </c>
      <c r="I1026" t="s">
        <v>35</v>
      </c>
      <c r="J1026" s="13" t="s">
        <v>36</v>
      </c>
      <c r="K1026" s="13" t="s">
        <v>29</v>
      </c>
      <c r="L1026" s="13" t="s">
        <v>30</v>
      </c>
      <c r="M1026" t="s">
        <v>139</v>
      </c>
      <c r="N1026">
        <v>1248</v>
      </c>
      <c r="O1026" s="14">
        <v>0.97014998225495197</v>
      </c>
      <c r="P1026" s="14">
        <v>0.21824956033378801</v>
      </c>
      <c r="Q1026" t="str">
        <f t="shared" ref="Q1026:Q1089" si="32">SUBSTITUTE(SUBSTITUTE($I1026,CHAR(61),""),CHAR(34),"")</f>
        <v>10-14</v>
      </c>
      <c r="R1026" t="str">
        <f t="shared" ref="R1026:R1089" si="33">IF($D1026&lt;&gt;"","["&amp;$E1026&amp;"]"&amp;"|"&amp;$Q1026&amp;"|"&amp;$K1026&amp;"|"&amp;$G1026&amp;"|"&amp;IF($G1026="TX_CURR_SUBNAT.R","CY2022Q4",$M1026),"")</f>
        <v>[oiPR2CiVJbf]|10-14|Female|HIV_PREV.T_1|CY2023Q3</v>
      </c>
    </row>
    <row r="1027" spans="4:18" x14ac:dyDescent="0.2">
      <c r="D1027" s="13" t="s">
        <v>104</v>
      </c>
      <c r="E1027" s="13" t="s">
        <v>105</v>
      </c>
      <c r="F1027" s="13" t="s">
        <v>106</v>
      </c>
      <c r="G1027" s="13" t="s">
        <v>140</v>
      </c>
      <c r="H1027" s="13" t="s">
        <v>141</v>
      </c>
      <c r="I1027" t="s">
        <v>37</v>
      </c>
      <c r="J1027" s="13" t="s">
        <v>38</v>
      </c>
      <c r="K1027" s="13" t="s">
        <v>29</v>
      </c>
      <c r="L1027" s="13" t="s">
        <v>30</v>
      </c>
      <c r="M1027" t="s">
        <v>139</v>
      </c>
      <c r="N1027">
        <v>1019</v>
      </c>
      <c r="O1027" s="14">
        <v>0.90388421341776803</v>
      </c>
      <c r="P1027" s="14">
        <v>0.21824956033378801</v>
      </c>
      <c r="Q1027" t="str">
        <f t="shared" si="32"/>
        <v>15-24</v>
      </c>
      <c r="R1027" t="str">
        <f t="shared" si="33"/>
        <v>[oiPR2CiVJbf]|15-24|Female|HIV_PREV.T_1|CY2023Q3</v>
      </c>
    </row>
    <row r="1028" spans="4:18" x14ac:dyDescent="0.2">
      <c r="D1028" s="13" t="s">
        <v>104</v>
      </c>
      <c r="E1028" s="13" t="s">
        <v>105</v>
      </c>
      <c r="F1028" s="13" t="s">
        <v>106</v>
      </c>
      <c r="G1028" s="13" t="s">
        <v>140</v>
      </c>
      <c r="H1028" s="13" t="s">
        <v>141</v>
      </c>
      <c r="I1028" t="s">
        <v>40</v>
      </c>
      <c r="J1028" s="13" t="s">
        <v>41</v>
      </c>
      <c r="K1028" s="13" t="s">
        <v>29</v>
      </c>
      <c r="L1028" s="13" t="s">
        <v>30</v>
      </c>
      <c r="M1028" t="s">
        <v>139</v>
      </c>
      <c r="N1028">
        <v>702</v>
      </c>
      <c r="O1028" s="14">
        <v>0.70714161405339804</v>
      </c>
      <c r="P1028" s="14">
        <v>0.21824956033378801</v>
      </c>
      <c r="Q1028" t="str">
        <f t="shared" si="32"/>
        <v>25-34</v>
      </c>
      <c r="R1028" t="str">
        <f t="shared" si="33"/>
        <v>[oiPR2CiVJbf]|25-34|Female|HIV_PREV.T_1|CY2023Q3</v>
      </c>
    </row>
    <row r="1029" spans="4:18" x14ac:dyDescent="0.2">
      <c r="D1029" s="13" t="s">
        <v>104</v>
      </c>
      <c r="E1029" s="13" t="s">
        <v>105</v>
      </c>
      <c r="F1029" s="13" t="s">
        <v>106</v>
      </c>
      <c r="G1029" s="13" t="s">
        <v>140</v>
      </c>
      <c r="H1029" s="13" t="s">
        <v>141</v>
      </c>
      <c r="I1029" t="s">
        <v>42</v>
      </c>
      <c r="J1029" s="13" t="s">
        <v>43</v>
      </c>
      <c r="K1029" s="13" t="s">
        <v>29</v>
      </c>
      <c r="L1029" s="13" t="s">
        <v>30</v>
      </c>
      <c r="M1029" t="s">
        <v>139</v>
      </c>
      <c r="N1029">
        <v>948</v>
      </c>
      <c r="O1029" s="14">
        <v>0.54524288303218804</v>
      </c>
      <c r="P1029" s="14">
        <v>0.21824956033378801</v>
      </c>
      <c r="Q1029" t="str">
        <f t="shared" si="32"/>
        <v>35-49</v>
      </c>
      <c r="R1029" t="str">
        <f t="shared" si="33"/>
        <v>[oiPR2CiVJbf]|35-49|Female|HIV_PREV.T_1|CY2023Q3</v>
      </c>
    </row>
    <row r="1030" spans="4:18" x14ac:dyDescent="0.2">
      <c r="D1030" s="13" t="s">
        <v>104</v>
      </c>
      <c r="E1030" s="13" t="s">
        <v>105</v>
      </c>
      <c r="F1030" s="13" t="s">
        <v>106</v>
      </c>
      <c r="G1030" s="13" t="s">
        <v>140</v>
      </c>
      <c r="H1030" s="13" t="s">
        <v>141</v>
      </c>
      <c r="I1030" t="s">
        <v>44</v>
      </c>
      <c r="J1030" s="13" t="s">
        <v>45</v>
      </c>
      <c r="K1030" s="13" t="s">
        <v>29</v>
      </c>
      <c r="L1030" s="13" t="s">
        <v>30</v>
      </c>
      <c r="M1030" t="s">
        <v>139</v>
      </c>
      <c r="N1030">
        <v>1422</v>
      </c>
      <c r="O1030" s="14">
        <v>0.56330233090557202</v>
      </c>
      <c r="P1030" s="14">
        <v>0.21824956033378801</v>
      </c>
      <c r="Q1030" t="str">
        <f t="shared" si="32"/>
        <v>50+</v>
      </c>
      <c r="R1030" t="str">
        <f t="shared" si="33"/>
        <v>[oiPR2CiVJbf]|50+|Female|HIV_PREV.T_1|CY2023Q3</v>
      </c>
    </row>
    <row r="1031" spans="4:18" x14ac:dyDescent="0.2">
      <c r="D1031" s="13" t="s">
        <v>104</v>
      </c>
      <c r="E1031" s="13" t="s">
        <v>105</v>
      </c>
      <c r="F1031" s="13" t="s">
        <v>106</v>
      </c>
      <c r="G1031" s="13" t="s">
        <v>140</v>
      </c>
      <c r="H1031" s="13" t="s">
        <v>141</v>
      </c>
      <c r="I1031" t="s">
        <v>27</v>
      </c>
      <c r="J1031" s="13" t="s">
        <v>28</v>
      </c>
      <c r="K1031" s="13" t="s">
        <v>47</v>
      </c>
      <c r="L1031" s="13" t="s">
        <v>48</v>
      </c>
      <c r="M1031" t="s">
        <v>139</v>
      </c>
      <c r="N1031">
        <v>1228</v>
      </c>
      <c r="O1031" s="14">
        <v>0.28628219012171002</v>
      </c>
      <c r="P1031" s="14">
        <v>0.21824956033378801</v>
      </c>
      <c r="Q1031" t="str">
        <f t="shared" si="32"/>
        <v>&lt;01</v>
      </c>
      <c r="R1031" t="str">
        <f t="shared" si="33"/>
        <v>[oiPR2CiVJbf]|&lt;01|Male|HIV_PREV.T_1|CY2023Q3</v>
      </c>
    </row>
    <row r="1032" spans="4:18" x14ac:dyDescent="0.2">
      <c r="D1032" s="13" t="s">
        <v>104</v>
      </c>
      <c r="E1032" s="13" t="s">
        <v>105</v>
      </c>
      <c r="F1032" s="13" t="s">
        <v>106</v>
      </c>
      <c r="G1032" s="13" t="s">
        <v>140</v>
      </c>
      <c r="H1032" s="13" t="s">
        <v>141</v>
      </c>
      <c r="I1032" t="s">
        <v>32</v>
      </c>
      <c r="J1032" s="13" t="s">
        <v>33</v>
      </c>
      <c r="K1032" s="13" t="s">
        <v>47</v>
      </c>
      <c r="L1032" s="13" t="s">
        <v>48</v>
      </c>
      <c r="M1032" t="s">
        <v>139</v>
      </c>
      <c r="N1032">
        <v>1874</v>
      </c>
      <c r="O1032" s="14">
        <v>0.34095035609789198</v>
      </c>
      <c r="P1032" s="14">
        <v>0.21824956033378801</v>
      </c>
      <c r="Q1032" t="str">
        <f t="shared" si="32"/>
        <v>01-09</v>
      </c>
      <c r="R1032" t="str">
        <f t="shared" si="33"/>
        <v>[oiPR2CiVJbf]|01-09|Male|HIV_PREV.T_1|CY2023Q3</v>
      </c>
    </row>
    <row r="1033" spans="4:18" x14ac:dyDescent="0.2">
      <c r="D1033" s="13" t="s">
        <v>104</v>
      </c>
      <c r="E1033" s="13" t="s">
        <v>105</v>
      </c>
      <c r="F1033" s="13" t="s">
        <v>106</v>
      </c>
      <c r="G1033" s="13" t="s">
        <v>140</v>
      </c>
      <c r="H1033" s="13" t="s">
        <v>141</v>
      </c>
      <c r="I1033" t="s">
        <v>35</v>
      </c>
      <c r="J1033" s="13" t="s">
        <v>36</v>
      </c>
      <c r="K1033" s="13" t="s">
        <v>47</v>
      </c>
      <c r="L1033" s="13" t="s">
        <v>48</v>
      </c>
      <c r="M1033" t="s">
        <v>139</v>
      </c>
      <c r="N1033">
        <v>946</v>
      </c>
      <c r="O1033" s="14">
        <v>0.50954143982380595</v>
      </c>
      <c r="P1033" s="14">
        <v>0.21824956033378801</v>
      </c>
      <c r="Q1033" t="str">
        <f t="shared" si="32"/>
        <v>10-14</v>
      </c>
      <c r="R1033" t="str">
        <f t="shared" si="33"/>
        <v>[oiPR2CiVJbf]|10-14|Male|HIV_PREV.T_1|CY2023Q3</v>
      </c>
    </row>
    <row r="1034" spans="4:18" x14ac:dyDescent="0.2">
      <c r="D1034" s="13" t="s">
        <v>104</v>
      </c>
      <c r="E1034" s="13" t="s">
        <v>105</v>
      </c>
      <c r="F1034" s="13" t="s">
        <v>106</v>
      </c>
      <c r="G1034" s="13" t="s">
        <v>140</v>
      </c>
      <c r="H1034" s="13" t="s">
        <v>141</v>
      </c>
      <c r="I1034" t="s">
        <v>37</v>
      </c>
      <c r="J1034" s="13" t="s">
        <v>38</v>
      </c>
      <c r="K1034" s="13" t="s">
        <v>47</v>
      </c>
      <c r="L1034" s="13" t="s">
        <v>48</v>
      </c>
      <c r="M1034" t="s">
        <v>139</v>
      </c>
      <c r="N1034">
        <v>952</v>
      </c>
      <c r="O1034" s="14">
        <v>0.66860765265300903</v>
      </c>
      <c r="P1034" s="14">
        <v>0.21824956033378801</v>
      </c>
      <c r="Q1034" t="str">
        <f t="shared" si="32"/>
        <v>15-24</v>
      </c>
      <c r="R1034" t="str">
        <f t="shared" si="33"/>
        <v>[oiPR2CiVJbf]|15-24|Male|HIV_PREV.T_1|CY2023Q3</v>
      </c>
    </row>
    <row r="1035" spans="4:18" x14ac:dyDescent="0.2">
      <c r="D1035" s="13" t="s">
        <v>104</v>
      </c>
      <c r="E1035" s="13" t="s">
        <v>105</v>
      </c>
      <c r="F1035" s="13" t="s">
        <v>106</v>
      </c>
      <c r="G1035" s="13" t="s">
        <v>140</v>
      </c>
      <c r="H1035" s="13" t="s">
        <v>141</v>
      </c>
      <c r="I1035" t="s">
        <v>40</v>
      </c>
      <c r="J1035" s="13" t="s">
        <v>41</v>
      </c>
      <c r="K1035" s="13" t="s">
        <v>47</v>
      </c>
      <c r="L1035" s="13" t="s">
        <v>48</v>
      </c>
      <c r="M1035" t="s">
        <v>139</v>
      </c>
      <c r="N1035">
        <v>1638</v>
      </c>
      <c r="O1035" s="14">
        <v>0.20385880395770101</v>
      </c>
      <c r="P1035" s="14">
        <v>0.21824956033378801</v>
      </c>
      <c r="Q1035" t="str">
        <f t="shared" si="32"/>
        <v>25-34</v>
      </c>
      <c r="R1035" t="str">
        <f t="shared" si="33"/>
        <v>[oiPR2CiVJbf]|25-34|Male|HIV_PREV.T_1|CY2023Q3</v>
      </c>
    </row>
    <row r="1036" spans="4:18" x14ac:dyDescent="0.2">
      <c r="D1036" s="13" t="s">
        <v>104</v>
      </c>
      <c r="E1036" s="13" t="s">
        <v>105</v>
      </c>
      <c r="F1036" s="13" t="s">
        <v>106</v>
      </c>
      <c r="G1036" s="13" t="s">
        <v>140</v>
      </c>
      <c r="H1036" s="13" t="s">
        <v>141</v>
      </c>
      <c r="I1036" t="s">
        <v>42</v>
      </c>
      <c r="J1036" s="13" t="s">
        <v>43</v>
      </c>
      <c r="K1036" s="13" t="s">
        <v>47</v>
      </c>
      <c r="L1036" s="13" t="s">
        <v>48</v>
      </c>
      <c r="M1036" t="s">
        <v>139</v>
      </c>
      <c r="N1036">
        <v>679</v>
      </c>
      <c r="O1036" s="14">
        <v>0.348097561625764</v>
      </c>
      <c r="P1036" s="14">
        <v>0.21824956033378801</v>
      </c>
      <c r="Q1036" t="str">
        <f t="shared" si="32"/>
        <v>35-49</v>
      </c>
      <c r="R1036" t="str">
        <f t="shared" si="33"/>
        <v>[oiPR2CiVJbf]|35-49|Male|HIV_PREV.T_1|CY2023Q3</v>
      </c>
    </row>
    <row r="1037" spans="4:18" x14ac:dyDescent="0.2">
      <c r="D1037" s="13" t="s">
        <v>104</v>
      </c>
      <c r="E1037" s="13" t="s">
        <v>105</v>
      </c>
      <c r="F1037" s="13" t="s">
        <v>106</v>
      </c>
      <c r="G1037" s="13" t="s">
        <v>140</v>
      </c>
      <c r="H1037" s="13" t="s">
        <v>141</v>
      </c>
      <c r="I1037" t="s">
        <v>44</v>
      </c>
      <c r="J1037" s="13" t="s">
        <v>45</v>
      </c>
      <c r="K1037" s="13" t="s">
        <v>47</v>
      </c>
      <c r="L1037" s="13" t="s">
        <v>48</v>
      </c>
      <c r="M1037" t="s">
        <v>139</v>
      </c>
      <c r="N1037">
        <v>873</v>
      </c>
      <c r="O1037" s="14">
        <v>0.66516918735578701</v>
      </c>
      <c r="P1037" s="14">
        <v>0.21824956033378801</v>
      </c>
      <c r="Q1037" t="str">
        <f t="shared" si="32"/>
        <v>50+</v>
      </c>
      <c r="R1037" t="str">
        <f t="shared" si="33"/>
        <v>[oiPR2CiVJbf]|50+|Male|HIV_PREV.T_1|CY2023Q3</v>
      </c>
    </row>
    <row r="1038" spans="4:18" x14ac:dyDescent="0.2">
      <c r="D1038" s="13" t="s">
        <v>107</v>
      </c>
      <c r="E1038" s="13" t="s">
        <v>108</v>
      </c>
      <c r="F1038" s="13" t="s">
        <v>109</v>
      </c>
      <c r="G1038" s="13" t="s">
        <v>140</v>
      </c>
      <c r="H1038" s="13" t="s">
        <v>141</v>
      </c>
      <c r="I1038" t="s">
        <v>27</v>
      </c>
      <c r="J1038" s="13" t="s">
        <v>28</v>
      </c>
      <c r="K1038" s="13" t="s">
        <v>29</v>
      </c>
      <c r="L1038" s="13" t="s">
        <v>30</v>
      </c>
      <c r="M1038" t="s">
        <v>139</v>
      </c>
      <c r="N1038">
        <v>1228</v>
      </c>
      <c r="O1038" s="14">
        <v>9.7259095637127799E-2</v>
      </c>
      <c r="P1038" s="14">
        <v>0.43422180437482899</v>
      </c>
      <c r="Q1038" t="str">
        <f t="shared" si="32"/>
        <v>&lt;01</v>
      </c>
      <c r="R1038" t="str">
        <f t="shared" si="33"/>
        <v>[ul0y9diGujK]|&lt;01|Female|HIV_PREV.T_1|CY2023Q3</v>
      </c>
    </row>
    <row r="1039" spans="4:18" x14ac:dyDescent="0.2">
      <c r="D1039" s="13" t="s">
        <v>107</v>
      </c>
      <c r="E1039" s="13" t="s">
        <v>108</v>
      </c>
      <c r="F1039" s="13" t="s">
        <v>109</v>
      </c>
      <c r="G1039" s="13" t="s">
        <v>140</v>
      </c>
      <c r="H1039" s="13" t="s">
        <v>141</v>
      </c>
      <c r="I1039" t="s">
        <v>32</v>
      </c>
      <c r="J1039" s="13" t="s">
        <v>33</v>
      </c>
      <c r="K1039" s="13" t="s">
        <v>29</v>
      </c>
      <c r="L1039" s="13" t="s">
        <v>30</v>
      </c>
      <c r="M1039" t="s">
        <v>139</v>
      </c>
      <c r="N1039">
        <v>896</v>
      </c>
      <c r="O1039" s="14">
        <v>0.98569715442135897</v>
      </c>
      <c r="P1039" s="14">
        <v>0.43422180437482899</v>
      </c>
      <c r="Q1039" t="str">
        <f t="shared" si="32"/>
        <v>01-09</v>
      </c>
      <c r="R1039" t="str">
        <f t="shared" si="33"/>
        <v>[ul0y9diGujK]|01-09|Female|HIV_PREV.T_1|CY2023Q3</v>
      </c>
    </row>
    <row r="1040" spans="4:18" x14ac:dyDescent="0.2">
      <c r="D1040" s="13" t="s">
        <v>107</v>
      </c>
      <c r="E1040" s="13" t="s">
        <v>108</v>
      </c>
      <c r="F1040" s="13" t="s">
        <v>109</v>
      </c>
      <c r="G1040" s="13" t="s">
        <v>140</v>
      </c>
      <c r="H1040" s="13" t="s">
        <v>141</v>
      </c>
      <c r="I1040" t="s">
        <v>35</v>
      </c>
      <c r="J1040" s="13" t="s">
        <v>36</v>
      </c>
      <c r="K1040" s="13" t="s">
        <v>29</v>
      </c>
      <c r="L1040" s="13" t="s">
        <v>30</v>
      </c>
      <c r="M1040" t="s">
        <v>139</v>
      </c>
      <c r="N1040">
        <v>1415</v>
      </c>
      <c r="O1040" s="14">
        <v>0.10864357952959799</v>
      </c>
      <c r="P1040" s="14">
        <v>0.43422180437482899</v>
      </c>
      <c r="Q1040" t="str">
        <f t="shared" si="32"/>
        <v>10-14</v>
      </c>
      <c r="R1040" t="str">
        <f t="shared" si="33"/>
        <v>[ul0y9diGujK]|10-14|Female|HIV_PREV.T_1|CY2023Q3</v>
      </c>
    </row>
    <row r="1041" spans="4:18" x14ac:dyDescent="0.2">
      <c r="D1041" s="13" t="s">
        <v>107</v>
      </c>
      <c r="E1041" s="13" t="s">
        <v>108</v>
      </c>
      <c r="F1041" s="13" t="s">
        <v>109</v>
      </c>
      <c r="G1041" s="13" t="s">
        <v>140</v>
      </c>
      <c r="H1041" s="13" t="s">
        <v>141</v>
      </c>
      <c r="I1041" t="s">
        <v>37</v>
      </c>
      <c r="J1041" s="13" t="s">
        <v>38</v>
      </c>
      <c r="K1041" s="13" t="s">
        <v>29</v>
      </c>
      <c r="L1041" s="13" t="s">
        <v>30</v>
      </c>
      <c r="M1041" t="s">
        <v>139</v>
      </c>
      <c r="N1041">
        <v>1338</v>
      </c>
      <c r="O1041" s="14">
        <v>0.62417370476760003</v>
      </c>
      <c r="P1041" s="14">
        <v>0.43422180437482899</v>
      </c>
      <c r="Q1041" t="str">
        <f t="shared" si="32"/>
        <v>15-24</v>
      </c>
      <c r="R1041" t="str">
        <f t="shared" si="33"/>
        <v>[ul0y9diGujK]|15-24|Female|HIV_PREV.T_1|CY2023Q3</v>
      </c>
    </row>
    <row r="1042" spans="4:18" x14ac:dyDescent="0.2">
      <c r="D1042" s="13" t="s">
        <v>107</v>
      </c>
      <c r="E1042" s="13" t="s">
        <v>108</v>
      </c>
      <c r="F1042" s="13" t="s">
        <v>109</v>
      </c>
      <c r="G1042" s="13" t="s">
        <v>140</v>
      </c>
      <c r="H1042" s="13" t="s">
        <v>141</v>
      </c>
      <c r="I1042" t="s">
        <v>40</v>
      </c>
      <c r="J1042" s="13" t="s">
        <v>41</v>
      </c>
      <c r="K1042" s="13" t="s">
        <v>29</v>
      </c>
      <c r="L1042" s="13" t="s">
        <v>30</v>
      </c>
      <c r="M1042" t="s">
        <v>139</v>
      </c>
      <c r="N1042">
        <v>1486</v>
      </c>
      <c r="O1042" s="14">
        <v>0.49289034307002999</v>
      </c>
      <c r="P1042" s="14">
        <v>0.43422180437482899</v>
      </c>
      <c r="Q1042" t="str">
        <f t="shared" si="32"/>
        <v>25-34</v>
      </c>
      <c r="R1042" t="str">
        <f t="shared" si="33"/>
        <v>[ul0y9diGujK]|25-34|Female|HIV_PREV.T_1|CY2023Q3</v>
      </c>
    </row>
    <row r="1043" spans="4:18" x14ac:dyDescent="0.2">
      <c r="D1043" s="13" t="s">
        <v>107</v>
      </c>
      <c r="E1043" s="13" t="s">
        <v>108</v>
      </c>
      <c r="F1043" s="13" t="s">
        <v>109</v>
      </c>
      <c r="G1043" s="13" t="s">
        <v>140</v>
      </c>
      <c r="H1043" s="13" t="s">
        <v>141</v>
      </c>
      <c r="I1043" t="s">
        <v>42</v>
      </c>
      <c r="J1043" s="13" t="s">
        <v>43</v>
      </c>
      <c r="K1043" s="13" t="s">
        <v>29</v>
      </c>
      <c r="L1043" s="13" t="s">
        <v>30</v>
      </c>
      <c r="M1043" t="s">
        <v>139</v>
      </c>
      <c r="N1043">
        <v>1695</v>
      </c>
      <c r="O1043" s="14">
        <v>0.44528473750688102</v>
      </c>
      <c r="P1043" s="14">
        <v>0.43422180437482899</v>
      </c>
      <c r="Q1043" t="str">
        <f t="shared" si="32"/>
        <v>35-49</v>
      </c>
      <c r="R1043" t="str">
        <f t="shared" si="33"/>
        <v>[ul0y9diGujK]|35-49|Female|HIV_PREV.T_1|CY2023Q3</v>
      </c>
    </row>
    <row r="1044" spans="4:18" x14ac:dyDescent="0.2">
      <c r="D1044" s="13" t="s">
        <v>107</v>
      </c>
      <c r="E1044" s="13" t="s">
        <v>108</v>
      </c>
      <c r="F1044" s="13" t="s">
        <v>109</v>
      </c>
      <c r="G1044" s="13" t="s">
        <v>140</v>
      </c>
      <c r="H1044" s="13" t="s">
        <v>141</v>
      </c>
      <c r="I1044" t="s">
        <v>44</v>
      </c>
      <c r="J1044" s="13" t="s">
        <v>45</v>
      </c>
      <c r="K1044" s="13" t="s">
        <v>29</v>
      </c>
      <c r="L1044" s="13" t="s">
        <v>30</v>
      </c>
      <c r="M1044" t="s">
        <v>139</v>
      </c>
      <c r="N1044">
        <v>1323</v>
      </c>
      <c r="O1044" s="14">
        <v>0.59297434310428798</v>
      </c>
      <c r="P1044" s="14">
        <v>0.43422180437482899</v>
      </c>
      <c r="Q1044" t="str">
        <f t="shared" si="32"/>
        <v>50+</v>
      </c>
      <c r="R1044" t="str">
        <f t="shared" si="33"/>
        <v>[ul0y9diGujK]|50+|Female|HIV_PREV.T_1|CY2023Q3</v>
      </c>
    </row>
    <row r="1045" spans="4:18" x14ac:dyDescent="0.2">
      <c r="D1045" s="13" t="s">
        <v>107</v>
      </c>
      <c r="E1045" s="13" t="s">
        <v>108</v>
      </c>
      <c r="F1045" s="13" t="s">
        <v>109</v>
      </c>
      <c r="G1045" s="13" t="s">
        <v>140</v>
      </c>
      <c r="H1045" s="13" t="s">
        <v>141</v>
      </c>
      <c r="I1045" t="s">
        <v>27</v>
      </c>
      <c r="J1045" s="13" t="s">
        <v>28</v>
      </c>
      <c r="K1045" s="13" t="s">
        <v>47</v>
      </c>
      <c r="L1045" s="13" t="s">
        <v>48</v>
      </c>
      <c r="M1045" t="s">
        <v>139</v>
      </c>
      <c r="N1045">
        <v>717</v>
      </c>
      <c r="O1045" s="14">
        <v>0.38140745973214502</v>
      </c>
      <c r="P1045" s="14">
        <v>0.43422180437482899</v>
      </c>
      <c r="Q1045" t="str">
        <f t="shared" si="32"/>
        <v>&lt;01</v>
      </c>
      <c r="R1045" t="str">
        <f t="shared" si="33"/>
        <v>[ul0y9diGujK]|&lt;01|Male|HIV_PREV.T_1|CY2023Q3</v>
      </c>
    </row>
    <row r="1046" spans="4:18" x14ac:dyDescent="0.2">
      <c r="D1046" s="13" t="s">
        <v>107</v>
      </c>
      <c r="E1046" s="13" t="s">
        <v>108</v>
      </c>
      <c r="F1046" s="13" t="s">
        <v>109</v>
      </c>
      <c r="G1046" s="13" t="s">
        <v>140</v>
      </c>
      <c r="H1046" s="13" t="s">
        <v>141</v>
      </c>
      <c r="I1046" t="s">
        <v>32</v>
      </c>
      <c r="J1046" s="13" t="s">
        <v>33</v>
      </c>
      <c r="K1046" s="13" t="s">
        <v>47</v>
      </c>
      <c r="L1046" s="13" t="s">
        <v>48</v>
      </c>
      <c r="M1046" t="s">
        <v>139</v>
      </c>
      <c r="N1046">
        <v>603</v>
      </c>
      <c r="O1046" s="14">
        <v>0.78971465281210795</v>
      </c>
      <c r="P1046" s="14">
        <v>0.43422180437482899</v>
      </c>
      <c r="Q1046" t="str">
        <f t="shared" si="32"/>
        <v>01-09</v>
      </c>
      <c r="R1046" t="str">
        <f t="shared" si="33"/>
        <v>[ul0y9diGujK]|01-09|Male|HIV_PREV.T_1|CY2023Q3</v>
      </c>
    </row>
    <row r="1047" spans="4:18" x14ac:dyDescent="0.2">
      <c r="D1047" s="13" t="s">
        <v>107</v>
      </c>
      <c r="E1047" s="13" t="s">
        <v>108</v>
      </c>
      <c r="F1047" s="13" t="s">
        <v>109</v>
      </c>
      <c r="G1047" s="13" t="s">
        <v>140</v>
      </c>
      <c r="H1047" s="13" t="s">
        <v>141</v>
      </c>
      <c r="I1047" t="s">
        <v>35</v>
      </c>
      <c r="J1047" s="13" t="s">
        <v>36</v>
      </c>
      <c r="K1047" s="13" t="s">
        <v>47</v>
      </c>
      <c r="L1047" s="13" t="s">
        <v>48</v>
      </c>
      <c r="M1047" t="s">
        <v>139</v>
      </c>
      <c r="N1047">
        <v>1673</v>
      </c>
      <c r="O1047" s="14">
        <v>0.84895815677009501</v>
      </c>
      <c r="P1047" s="14">
        <v>0.43422180437482899</v>
      </c>
      <c r="Q1047" t="str">
        <f t="shared" si="32"/>
        <v>10-14</v>
      </c>
      <c r="R1047" t="str">
        <f t="shared" si="33"/>
        <v>[ul0y9diGujK]|10-14|Male|HIV_PREV.T_1|CY2023Q3</v>
      </c>
    </row>
    <row r="1048" spans="4:18" x14ac:dyDescent="0.2">
      <c r="D1048" s="13" t="s">
        <v>107</v>
      </c>
      <c r="E1048" s="13" t="s">
        <v>108</v>
      </c>
      <c r="F1048" s="13" t="s">
        <v>109</v>
      </c>
      <c r="G1048" s="13" t="s">
        <v>140</v>
      </c>
      <c r="H1048" s="13" t="s">
        <v>141</v>
      </c>
      <c r="I1048" t="s">
        <v>37</v>
      </c>
      <c r="J1048" s="13" t="s">
        <v>38</v>
      </c>
      <c r="K1048" s="13" t="s">
        <v>47</v>
      </c>
      <c r="L1048" s="13" t="s">
        <v>48</v>
      </c>
      <c r="M1048" t="s">
        <v>139</v>
      </c>
      <c r="N1048">
        <v>1846</v>
      </c>
      <c r="O1048" s="14">
        <v>0.82172070839442302</v>
      </c>
      <c r="P1048" s="14">
        <v>0.43422180437482899</v>
      </c>
      <c r="Q1048" t="str">
        <f t="shared" si="32"/>
        <v>15-24</v>
      </c>
      <c r="R1048" t="str">
        <f t="shared" si="33"/>
        <v>[ul0y9diGujK]|15-24|Male|HIV_PREV.T_1|CY2023Q3</v>
      </c>
    </row>
    <row r="1049" spans="4:18" x14ac:dyDescent="0.2">
      <c r="D1049" s="13" t="s">
        <v>107</v>
      </c>
      <c r="E1049" s="13" t="s">
        <v>108</v>
      </c>
      <c r="F1049" s="13" t="s">
        <v>109</v>
      </c>
      <c r="G1049" s="13" t="s">
        <v>140</v>
      </c>
      <c r="H1049" s="13" t="s">
        <v>141</v>
      </c>
      <c r="I1049" t="s">
        <v>40</v>
      </c>
      <c r="J1049" s="13" t="s">
        <v>41</v>
      </c>
      <c r="K1049" s="13" t="s">
        <v>47</v>
      </c>
      <c r="L1049" s="13" t="s">
        <v>48</v>
      </c>
      <c r="M1049" t="s">
        <v>139</v>
      </c>
      <c r="N1049">
        <v>1963</v>
      </c>
      <c r="O1049" s="14">
        <v>0.65561864455230501</v>
      </c>
      <c r="P1049" s="14">
        <v>0.43422180437482899</v>
      </c>
      <c r="Q1049" t="str">
        <f t="shared" si="32"/>
        <v>25-34</v>
      </c>
      <c r="R1049" t="str">
        <f t="shared" si="33"/>
        <v>[ul0y9diGujK]|25-34|Male|HIV_PREV.T_1|CY2023Q3</v>
      </c>
    </row>
    <row r="1050" spans="4:18" x14ac:dyDescent="0.2">
      <c r="D1050" s="13" t="s">
        <v>107</v>
      </c>
      <c r="E1050" s="13" t="s">
        <v>108</v>
      </c>
      <c r="F1050" s="13" t="s">
        <v>109</v>
      </c>
      <c r="G1050" s="13" t="s">
        <v>140</v>
      </c>
      <c r="H1050" s="13" t="s">
        <v>141</v>
      </c>
      <c r="I1050" t="s">
        <v>42</v>
      </c>
      <c r="J1050" s="13" t="s">
        <v>43</v>
      </c>
      <c r="K1050" s="13" t="s">
        <v>47</v>
      </c>
      <c r="L1050" s="13" t="s">
        <v>48</v>
      </c>
      <c r="M1050" t="s">
        <v>139</v>
      </c>
      <c r="N1050">
        <v>1812</v>
      </c>
      <c r="O1050" s="14">
        <v>0.247044793795794</v>
      </c>
      <c r="P1050" s="14">
        <v>0.43422180437482899</v>
      </c>
      <c r="Q1050" t="str">
        <f t="shared" si="32"/>
        <v>35-49</v>
      </c>
      <c r="R1050" t="str">
        <f t="shared" si="33"/>
        <v>[ul0y9diGujK]|35-49|Male|HIV_PREV.T_1|CY2023Q3</v>
      </c>
    </row>
    <row r="1051" spans="4:18" x14ac:dyDescent="0.2">
      <c r="D1051" s="13" t="s">
        <v>107</v>
      </c>
      <c r="E1051" s="13" t="s">
        <v>108</v>
      </c>
      <c r="F1051" s="13" t="s">
        <v>109</v>
      </c>
      <c r="G1051" s="13" t="s">
        <v>140</v>
      </c>
      <c r="H1051" s="13" t="s">
        <v>141</v>
      </c>
      <c r="I1051" t="s">
        <v>44</v>
      </c>
      <c r="J1051" s="13" t="s">
        <v>45</v>
      </c>
      <c r="K1051" s="13" t="s">
        <v>47</v>
      </c>
      <c r="L1051" s="13" t="s">
        <v>48</v>
      </c>
      <c r="M1051" t="s">
        <v>139</v>
      </c>
      <c r="N1051">
        <v>967</v>
      </c>
      <c r="O1051" s="14">
        <v>0.27778629935346499</v>
      </c>
      <c r="P1051" s="14">
        <v>0.43422180437482899</v>
      </c>
      <c r="Q1051" t="str">
        <f t="shared" si="32"/>
        <v>50+</v>
      </c>
      <c r="R1051" t="str">
        <f t="shared" si="33"/>
        <v>[ul0y9diGujK]|50+|Male|HIV_PREV.T_1|CY2023Q3</v>
      </c>
    </row>
    <row r="1052" spans="4:18" x14ac:dyDescent="0.2">
      <c r="D1052" s="13" t="s">
        <v>110</v>
      </c>
      <c r="E1052" s="13" t="s">
        <v>111</v>
      </c>
      <c r="F1052" s="13" t="s">
        <v>112</v>
      </c>
      <c r="G1052" s="13" t="s">
        <v>140</v>
      </c>
      <c r="H1052" s="13" t="s">
        <v>141</v>
      </c>
      <c r="I1052" t="s">
        <v>27</v>
      </c>
      <c r="J1052" s="13" t="s">
        <v>28</v>
      </c>
      <c r="K1052" s="13" t="s">
        <v>29</v>
      </c>
      <c r="L1052" s="13" t="s">
        <v>30</v>
      </c>
      <c r="M1052" t="s">
        <v>139</v>
      </c>
      <c r="N1052">
        <v>990</v>
      </c>
      <c r="O1052" s="14">
        <v>0.86195834376849201</v>
      </c>
      <c r="P1052" s="14">
        <v>0.33776879496872397</v>
      </c>
      <c r="Q1052" t="str">
        <f t="shared" si="32"/>
        <v>&lt;01</v>
      </c>
      <c r="R1052" t="str">
        <f t="shared" si="33"/>
        <v>[U8c0so51kT6]|&lt;01|Female|HIV_PREV.T_1|CY2023Q3</v>
      </c>
    </row>
    <row r="1053" spans="4:18" x14ac:dyDescent="0.2">
      <c r="D1053" s="13" t="s">
        <v>110</v>
      </c>
      <c r="E1053" s="13" t="s">
        <v>111</v>
      </c>
      <c r="F1053" s="13" t="s">
        <v>112</v>
      </c>
      <c r="G1053" s="13" t="s">
        <v>140</v>
      </c>
      <c r="H1053" s="13" t="s">
        <v>141</v>
      </c>
      <c r="I1053" t="s">
        <v>32</v>
      </c>
      <c r="J1053" s="13" t="s">
        <v>33</v>
      </c>
      <c r="K1053" s="13" t="s">
        <v>29</v>
      </c>
      <c r="L1053" s="13" t="s">
        <v>30</v>
      </c>
      <c r="M1053" t="s">
        <v>139</v>
      </c>
      <c r="N1053">
        <v>553</v>
      </c>
      <c r="O1053" s="14">
        <v>0.34149349923245598</v>
      </c>
      <c r="P1053" s="14">
        <v>0.33776879496872397</v>
      </c>
      <c r="Q1053" t="str">
        <f t="shared" si="32"/>
        <v>01-09</v>
      </c>
      <c r="R1053" t="str">
        <f t="shared" si="33"/>
        <v>[U8c0so51kT6]|01-09|Female|HIV_PREV.T_1|CY2023Q3</v>
      </c>
    </row>
    <row r="1054" spans="4:18" x14ac:dyDescent="0.2">
      <c r="D1054" s="13" t="s">
        <v>110</v>
      </c>
      <c r="E1054" s="13" t="s">
        <v>111</v>
      </c>
      <c r="F1054" s="13" t="s">
        <v>112</v>
      </c>
      <c r="G1054" s="13" t="s">
        <v>140</v>
      </c>
      <c r="H1054" s="13" t="s">
        <v>141</v>
      </c>
      <c r="I1054" t="s">
        <v>35</v>
      </c>
      <c r="J1054" s="13" t="s">
        <v>36</v>
      </c>
      <c r="K1054" s="13" t="s">
        <v>29</v>
      </c>
      <c r="L1054" s="13" t="s">
        <v>30</v>
      </c>
      <c r="M1054" t="s">
        <v>139</v>
      </c>
      <c r="N1054">
        <v>1531</v>
      </c>
      <c r="O1054" s="14">
        <v>0.25324274320155399</v>
      </c>
      <c r="P1054" s="14">
        <v>0.33776879496872397</v>
      </c>
      <c r="Q1054" t="str">
        <f t="shared" si="32"/>
        <v>10-14</v>
      </c>
      <c r="R1054" t="str">
        <f t="shared" si="33"/>
        <v>[U8c0so51kT6]|10-14|Female|HIV_PREV.T_1|CY2023Q3</v>
      </c>
    </row>
    <row r="1055" spans="4:18" x14ac:dyDescent="0.2">
      <c r="D1055" s="13" t="s">
        <v>110</v>
      </c>
      <c r="E1055" s="13" t="s">
        <v>111</v>
      </c>
      <c r="F1055" s="13" t="s">
        <v>112</v>
      </c>
      <c r="G1055" s="13" t="s">
        <v>140</v>
      </c>
      <c r="H1055" s="13" t="s">
        <v>141</v>
      </c>
      <c r="I1055" t="s">
        <v>37</v>
      </c>
      <c r="J1055" s="13" t="s">
        <v>38</v>
      </c>
      <c r="K1055" s="13" t="s">
        <v>29</v>
      </c>
      <c r="L1055" s="13" t="s">
        <v>30</v>
      </c>
      <c r="M1055" t="s">
        <v>139</v>
      </c>
      <c r="N1055">
        <v>956</v>
      </c>
      <c r="O1055" s="14">
        <v>0.45367655879817897</v>
      </c>
      <c r="P1055" s="14">
        <v>0.33776879496872397</v>
      </c>
      <c r="Q1055" t="str">
        <f t="shared" si="32"/>
        <v>15-24</v>
      </c>
      <c r="R1055" t="str">
        <f t="shared" si="33"/>
        <v>[U8c0so51kT6]|15-24|Female|HIV_PREV.T_1|CY2023Q3</v>
      </c>
    </row>
    <row r="1056" spans="4:18" x14ac:dyDescent="0.2">
      <c r="D1056" s="13" t="s">
        <v>110</v>
      </c>
      <c r="E1056" s="13" t="s">
        <v>111</v>
      </c>
      <c r="F1056" s="13" t="s">
        <v>112</v>
      </c>
      <c r="G1056" s="13" t="s">
        <v>140</v>
      </c>
      <c r="H1056" s="13" t="s">
        <v>141</v>
      </c>
      <c r="I1056" t="s">
        <v>40</v>
      </c>
      <c r="J1056" s="13" t="s">
        <v>41</v>
      </c>
      <c r="K1056" s="13" t="s">
        <v>29</v>
      </c>
      <c r="L1056" s="13" t="s">
        <v>30</v>
      </c>
      <c r="M1056" t="s">
        <v>139</v>
      </c>
      <c r="N1056">
        <v>1086</v>
      </c>
      <c r="O1056" s="14">
        <v>0.81139770755544305</v>
      </c>
      <c r="P1056" s="14">
        <v>0.33776879496872397</v>
      </c>
      <c r="Q1056" t="str">
        <f t="shared" si="32"/>
        <v>25-34</v>
      </c>
      <c r="R1056" t="str">
        <f t="shared" si="33"/>
        <v>[U8c0so51kT6]|25-34|Female|HIV_PREV.T_1|CY2023Q3</v>
      </c>
    </row>
    <row r="1057" spans="4:18" x14ac:dyDescent="0.2">
      <c r="D1057" s="13" t="s">
        <v>110</v>
      </c>
      <c r="E1057" s="13" t="s">
        <v>111</v>
      </c>
      <c r="F1057" s="13" t="s">
        <v>112</v>
      </c>
      <c r="G1057" s="13" t="s">
        <v>140</v>
      </c>
      <c r="H1057" s="13" t="s">
        <v>141</v>
      </c>
      <c r="I1057" t="s">
        <v>42</v>
      </c>
      <c r="J1057" s="13" t="s">
        <v>43</v>
      </c>
      <c r="K1057" s="13" t="s">
        <v>29</v>
      </c>
      <c r="L1057" s="13" t="s">
        <v>30</v>
      </c>
      <c r="M1057" t="s">
        <v>139</v>
      </c>
      <c r="N1057">
        <v>1441</v>
      </c>
      <c r="O1057" s="14">
        <v>0.82520520314574197</v>
      </c>
      <c r="P1057" s="14">
        <v>0.33776879496872397</v>
      </c>
      <c r="Q1057" t="str">
        <f t="shared" si="32"/>
        <v>35-49</v>
      </c>
      <c r="R1057" t="str">
        <f t="shared" si="33"/>
        <v>[U8c0so51kT6]|35-49|Female|HIV_PREV.T_1|CY2023Q3</v>
      </c>
    </row>
    <row r="1058" spans="4:18" x14ac:dyDescent="0.2">
      <c r="D1058" s="13" t="s">
        <v>110</v>
      </c>
      <c r="E1058" s="13" t="s">
        <v>111</v>
      </c>
      <c r="F1058" s="13" t="s">
        <v>112</v>
      </c>
      <c r="G1058" s="13" t="s">
        <v>140</v>
      </c>
      <c r="H1058" s="13" t="s">
        <v>141</v>
      </c>
      <c r="I1058" t="s">
        <v>44</v>
      </c>
      <c r="J1058" s="13" t="s">
        <v>45</v>
      </c>
      <c r="K1058" s="13" t="s">
        <v>29</v>
      </c>
      <c r="L1058" s="13" t="s">
        <v>30</v>
      </c>
      <c r="M1058" t="s">
        <v>139</v>
      </c>
      <c r="N1058">
        <v>1347</v>
      </c>
      <c r="O1058" s="14">
        <v>0.15061764628626401</v>
      </c>
      <c r="P1058" s="14">
        <v>0.33776879496872397</v>
      </c>
      <c r="Q1058" t="str">
        <f t="shared" si="32"/>
        <v>50+</v>
      </c>
      <c r="R1058" t="str">
        <f t="shared" si="33"/>
        <v>[U8c0so51kT6]|50+|Female|HIV_PREV.T_1|CY2023Q3</v>
      </c>
    </row>
    <row r="1059" spans="4:18" x14ac:dyDescent="0.2">
      <c r="D1059" s="13" t="s">
        <v>110</v>
      </c>
      <c r="E1059" s="13" t="s">
        <v>111</v>
      </c>
      <c r="F1059" s="13" t="s">
        <v>112</v>
      </c>
      <c r="G1059" s="13" t="s">
        <v>140</v>
      </c>
      <c r="H1059" s="13" t="s">
        <v>141</v>
      </c>
      <c r="I1059" t="s">
        <v>27</v>
      </c>
      <c r="J1059" s="13" t="s">
        <v>28</v>
      </c>
      <c r="K1059" s="13" t="s">
        <v>47</v>
      </c>
      <c r="L1059" s="13" t="s">
        <v>48</v>
      </c>
      <c r="M1059" t="s">
        <v>139</v>
      </c>
      <c r="N1059">
        <v>1443</v>
      </c>
      <c r="O1059" s="14">
        <v>0.23408274771645701</v>
      </c>
      <c r="P1059" s="14">
        <v>0.33776879496872397</v>
      </c>
      <c r="Q1059" t="str">
        <f t="shared" si="32"/>
        <v>&lt;01</v>
      </c>
      <c r="R1059" t="str">
        <f t="shared" si="33"/>
        <v>[U8c0so51kT6]|&lt;01|Male|HIV_PREV.T_1|CY2023Q3</v>
      </c>
    </row>
    <row r="1060" spans="4:18" x14ac:dyDescent="0.2">
      <c r="D1060" s="13" t="s">
        <v>110</v>
      </c>
      <c r="E1060" s="13" t="s">
        <v>111</v>
      </c>
      <c r="F1060" s="13" t="s">
        <v>112</v>
      </c>
      <c r="G1060" s="13" t="s">
        <v>140</v>
      </c>
      <c r="H1060" s="13" t="s">
        <v>141</v>
      </c>
      <c r="I1060" t="s">
        <v>32</v>
      </c>
      <c r="J1060" s="13" t="s">
        <v>33</v>
      </c>
      <c r="K1060" s="13" t="s">
        <v>47</v>
      </c>
      <c r="L1060" s="13" t="s">
        <v>48</v>
      </c>
      <c r="M1060" t="s">
        <v>139</v>
      </c>
      <c r="N1060">
        <v>892</v>
      </c>
      <c r="O1060" s="14">
        <v>0.31225789478048699</v>
      </c>
      <c r="P1060" s="14">
        <v>0.33776879496872397</v>
      </c>
      <c r="Q1060" t="str">
        <f t="shared" si="32"/>
        <v>01-09</v>
      </c>
      <c r="R1060" t="str">
        <f t="shared" si="33"/>
        <v>[U8c0so51kT6]|01-09|Male|HIV_PREV.T_1|CY2023Q3</v>
      </c>
    </row>
    <row r="1061" spans="4:18" x14ac:dyDescent="0.2">
      <c r="D1061" s="13" t="s">
        <v>110</v>
      </c>
      <c r="E1061" s="13" t="s">
        <v>111</v>
      </c>
      <c r="F1061" s="13" t="s">
        <v>112</v>
      </c>
      <c r="G1061" s="13" t="s">
        <v>140</v>
      </c>
      <c r="H1061" s="13" t="s">
        <v>141</v>
      </c>
      <c r="I1061" t="s">
        <v>35</v>
      </c>
      <c r="J1061" s="13" t="s">
        <v>36</v>
      </c>
      <c r="K1061" s="13" t="s">
        <v>47</v>
      </c>
      <c r="L1061" s="13" t="s">
        <v>48</v>
      </c>
      <c r="M1061" t="s">
        <v>139</v>
      </c>
      <c r="N1061">
        <v>717</v>
      </c>
      <c r="O1061" s="14">
        <v>0.14369683037511999</v>
      </c>
      <c r="P1061" s="14">
        <v>0.33776879496872397</v>
      </c>
      <c r="Q1061" t="str">
        <f t="shared" si="32"/>
        <v>10-14</v>
      </c>
      <c r="R1061" t="str">
        <f t="shared" si="33"/>
        <v>[U8c0so51kT6]|10-14|Male|HIV_PREV.T_1|CY2023Q3</v>
      </c>
    </row>
    <row r="1062" spans="4:18" x14ac:dyDescent="0.2">
      <c r="D1062" s="13" t="s">
        <v>110</v>
      </c>
      <c r="E1062" s="13" t="s">
        <v>111</v>
      </c>
      <c r="F1062" s="13" t="s">
        <v>112</v>
      </c>
      <c r="G1062" s="13" t="s">
        <v>140</v>
      </c>
      <c r="H1062" s="13" t="s">
        <v>141</v>
      </c>
      <c r="I1062" t="s">
        <v>37</v>
      </c>
      <c r="J1062" s="13" t="s">
        <v>38</v>
      </c>
      <c r="K1062" s="13" t="s">
        <v>47</v>
      </c>
      <c r="L1062" s="13" t="s">
        <v>48</v>
      </c>
      <c r="M1062" t="s">
        <v>139</v>
      </c>
      <c r="N1062">
        <v>1193</v>
      </c>
      <c r="O1062" s="14">
        <v>0.40736430184915701</v>
      </c>
      <c r="P1062" s="14">
        <v>0.33776879496872397</v>
      </c>
      <c r="Q1062" t="str">
        <f t="shared" si="32"/>
        <v>15-24</v>
      </c>
      <c r="R1062" t="str">
        <f t="shared" si="33"/>
        <v>[U8c0so51kT6]|15-24|Male|HIV_PREV.T_1|CY2023Q3</v>
      </c>
    </row>
    <row r="1063" spans="4:18" x14ac:dyDescent="0.2">
      <c r="D1063" s="13" t="s">
        <v>110</v>
      </c>
      <c r="E1063" s="13" t="s">
        <v>111</v>
      </c>
      <c r="F1063" s="13" t="s">
        <v>112</v>
      </c>
      <c r="G1063" s="13" t="s">
        <v>140</v>
      </c>
      <c r="H1063" s="13" t="s">
        <v>141</v>
      </c>
      <c r="I1063" t="s">
        <v>40</v>
      </c>
      <c r="J1063" s="13" t="s">
        <v>41</v>
      </c>
      <c r="K1063" s="13" t="s">
        <v>47</v>
      </c>
      <c r="L1063" s="13" t="s">
        <v>48</v>
      </c>
      <c r="M1063" t="s">
        <v>139</v>
      </c>
      <c r="N1063">
        <v>1112</v>
      </c>
      <c r="O1063" s="14">
        <v>0.32301107235252902</v>
      </c>
      <c r="P1063" s="14">
        <v>0.33776879496872397</v>
      </c>
      <c r="Q1063" t="str">
        <f t="shared" si="32"/>
        <v>25-34</v>
      </c>
      <c r="R1063" t="str">
        <f t="shared" si="33"/>
        <v>[U8c0so51kT6]|25-34|Male|HIV_PREV.T_1|CY2023Q3</v>
      </c>
    </row>
    <row r="1064" spans="4:18" x14ac:dyDescent="0.2">
      <c r="D1064" s="13" t="s">
        <v>110</v>
      </c>
      <c r="E1064" s="13" t="s">
        <v>111</v>
      </c>
      <c r="F1064" s="13" t="s">
        <v>112</v>
      </c>
      <c r="G1064" s="13" t="s">
        <v>140</v>
      </c>
      <c r="H1064" s="13" t="s">
        <v>141</v>
      </c>
      <c r="I1064" t="s">
        <v>42</v>
      </c>
      <c r="J1064" s="13" t="s">
        <v>43</v>
      </c>
      <c r="K1064" s="13" t="s">
        <v>47</v>
      </c>
      <c r="L1064" s="13" t="s">
        <v>48</v>
      </c>
      <c r="M1064" t="s">
        <v>139</v>
      </c>
      <c r="N1064">
        <v>1035</v>
      </c>
      <c r="O1064" s="14">
        <v>0.47715453477576403</v>
      </c>
      <c r="P1064" s="14">
        <v>0.33776879496872397</v>
      </c>
      <c r="Q1064" t="str">
        <f t="shared" si="32"/>
        <v>35-49</v>
      </c>
      <c r="R1064" t="str">
        <f t="shared" si="33"/>
        <v>[U8c0so51kT6]|35-49|Male|HIV_PREV.T_1|CY2023Q3</v>
      </c>
    </row>
    <row r="1065" spans="4:18" x14ac:dyDescent="0.2">
      <c r="D1065" s="13" t="s">
        <v>110</v>
      </c>
      <c r="E1065" s="13" t="s">
        <v>111</v>
      </c>
      <c r="F1065" s="13" t="s">
        <v>112</v>
      </c>
      <c r="G1065" s="13" t="s">
        <v>140</v>
      </c>
      <c r="H1065" s="13" t="s">
        <v>141</v>
      </c>
      <c r="I1065" t="s">
        <v>44</v>
      </c>
      <c r="J1065" s="13" t="s">
        <v>45</v>
      </c>
      <c r="K1065" s="13" t="s">
        <v>47</v>
      </c>
      <c r="L1065" s="13" t="s">
        <v>48</v>
      </c>
      <c r="M1065" t="s">
        <v>139</v>
      </c>
      <c r="N1065">
        <v>1776</v>
      </c>
      <c r="O1065" s="14">
        <v>0.40925740753300499</v>
      </c>
      <c r="P1065" s="14">
        <v>0.33776879496872397</v>
      </c>
      <c r="Q1065" t="str">
        <f t="shared" si="32"/>
        <v>50+</v>
      </c>
      <c r="R1065" t="str">
        <f t="shared" si="33"/>
        <v>[U8c0so51kT6]|50+|Male|HIV_PREV.T_1|CY2023Q3</v>
      </c>
    </row>
    <row r="1066" spans="4:18" x14ac:dyDescent="0.2">
      <c r="D1066" s="13" t="s">
        <v>113</v>
      </c>
      <c r="E1066" s="13" t="s">
        <v>114</v>
      </c>
      <c r="F1066" s="13" t="s">
        <v>115</v>
      </c>
      <c r="G1066" s="13" t="s">
        <v>140</v>
      </c>
      <c r="H1066" s="13" t="s">
        <v>141</v>
      </c>
      <c r="I1066" t="s">
        <v>27</v>
      </c>
      <c r="J1066" s="13" t="s">
        <v>28</v>
      </c>
      <c r="K1066" s="13" t="s">
        <v>29</v>
      </c>
      <c r="L1066" s="13" t="s">
        <v>30</v>
      </c>
      <c r="M1066" t="s">
        <v>139</v>
      </c>
      <c r="N1066">
        <v>987</v>
      </c>
      <c r="O1066" s="14">
        <v>0.82784116803668395</v>
      </c>
      <c r="P1066" s="14">
        <v>0.29855980910360802</v>
      </c>
      <c r="Q1066" t="str">
        <f t="shared" si="32"/>
        <v>&lt;01</v>
      </c>
      <c r="R1066" t="str">
        <f t="shared" si="33"/>
        <v>[rpw540fmNUz]|&lt;01|Female|HIV_PREV.T_1|CY2023Q3</v>
      </c>
    </row>
    <row r="1067" spans="4:18" x14ac:dyDescent="0.2">
      <c r="D1067" s="13" t="s">
        <v>113</v>
      </c>
      <c r="E1067" s="13" t="s">
        <v>114</v>
      </c>
      <c r="F1067" s="13" t="s">
        <v>115</v>
      </c>
      <c r="G1067" s="13" t="s">
        <v>140</v>
      </c>
      <c r="H1067" s="13" t="s">
        <v>141</v>
      </c>
      <c r="I1067" t="s">
        <v>32</v>
      </c>
      <c r="J1067" s="13" t="s">
        <v>33</v>
      </c>
      <c r="K1067" s="13" t="s">
        <v>29</v>
      </c>
      <c r="L1067" s="13" t="s">
        <v>30</v>
      </c>
      <c r="M1067" t="s">
        <v>139</v>
      </c>
      <c r="N1067">
        <v>1045</v>
      </c>
      <c r="O1067" s="14">
        <v>0.896261721616611</v>
      </c>
      <c r="P1067" s="14">
        <v>0.29855980910360802</v>
      </c>
      <c r="Q1067" t="str">
        <f t="shared" si="32"/>
        <v>01-09</v>
      </c>
      <c r="R1067" t="str">
        <f t="shared" si="33"/>
        <v>[rpw540fmNUz]|01-09|Female|HIV_PREV.T_1|CY2023Q3</v>
      </c>
    </row>
    <row r="1068" spans="4:18" x14ac:dyDescent="0.2">
      <c r="D1068" s="13" t="s">
        <v>113</v>
      </c>
      <c r="E1068" s="13" t="s">
        <v>114</v>
      </c>
      <c r="F1068" s="13" t="s">
        <v>115</v>
      </c>
      <c r="G1068" s="13" t="s">
        <v>140</v>
      </c>
      <c r="H1068" s="13" t="s">
        <v>141</v>
      </c>
      <c r="I1068" t="s">
        <v>35</v>
      </c>
      <c r="J1068" s="13" t="s">
        <v>36</v>
      </c>
      <c r="K1068" s="13" t="s">
        <v>29</v>
      </c>
      <c r="L1068" s="13" t="s">
        <v>30</v>
      </c>
      <c r="M1068" t="s">
        <v>139</v>
      </c>
      <c r="N1068">
        <v>1322</v>
      </c>
      <c r="O1068" s="14">
        <v>0.71560178347863301</v>
      </c>
      <c r="P1068" s="14">
        <v>0.29855980910360802</v>
      </c>
      <c r="Q1068" t="str">
        <f t="shared" si="32"/>
        <v>10-14</v>
      </c>
      <c r="R1068" t="str">
        <f t="shared" si="33"/>
        <v>[rpw540fmNUz]|10-14|Female|HIV_PREV.T_1|CY2023Q3</v>
      </c>
    </row>
    <row r="1069" spans="4:18" x14ac:dyDescent="0.2">
      <c r="D1069" s="13" t="s">
        <v>113</v>
      </c>
      <c r="E1069" s="13" t="s">
        <v>114</v>
      </c>
      <c r="F1069" s="13" t="s">
        <v>115</v>
      </c>
      <c r="G1069" s="13" t="s">
        <v>140</v>
      </c>
      <c r="H1069" s="13" t="s">
        <v>141</v>
      </c>
      <c r="I1069" t="s">
        <v>37</v>
      </c>
      <c r="J1069" s="13" t="s">
        <v>38</v>
      </c>
      <c r="K1069" s="13" t="s">
        <v>29</v>
      </c>
      <c r="L1069" s="13" t="s">
        <v>30</v>
      </c>
      <c r="M1069" t="s">
        <v>139</v>
      </c>
      <c r="N1069">
        <v>1646</v>
      </c>
      <c r="O1069" s="14">
        <v>4.1537292534485501E-2</v>
      </c>
      <c r="P1069" s="14">
        <v>0.29855980910360802</v>
      </c>
      <c r="Q1069" t="str">
        <f t="shared" si="32"/>
        <v>15-24</v>
      </c>
      <c r="R1069" t="str">
        <f t="shared" si="33"/>
        <v>[rpw540fmNUz]|15-24|Female|HIV_PREV.T_1|CY2023Q3</v>
      </c>
    </row>
    <row r="1070" spans="4:18" x14ac:dyDescent="0.2">
      <c r="D1070" s="13" t="s">
        <v>113</v>
      </c>
      <c r="E1070" s="13" t="s">
        <v>114</v>
      </c>
      <c r="F1070" s="13" t="s">
        <v>115</v>
      </c>
      <c r="G1070" s="13" t="s">
        <v>140</v>
      </c>
      <c r="H1070" s="13" t="s">
        <v>141</v>
      </c>
      <c r="I1070" t="s">
        <v>40</v>
      </c>
      <c r="J1070" s="13" t="s">
        <v>41</v>
      </c>
      <c r="K1070" s="13" t="s">
        <v>29</v>
      </c>
      <c r="L1070" s="13" t="s">
        <v>30</v>
      </c>
      <c r="M1070" t="s">
        <v>139</v>
      </c>
      <c r="N1070">
        <v>1535</v>
      </c>
      <c r="O1070" s="14">
        <v>0.25790325272828302</v>
      </c>
      <c r="P1070" s="14">
        <v>0.29855980910360802</v>
      </c>
      <c r="Q1070" t="str">
        <f t="shared" si="32"/>
        <v>25-34</v>
      </c>
      <c r="R1070" t="str">
        <f t="shared" si="33"/>
        <v>[rpw540fmNUz]|25-34|Female|HIV_PREV.T_1|CY2023Q3</v>
      </c>
    </row>
    <row r="1071" spans="4:18" x14ac:dyDescent="0.2">
      <c r="D1071" s="13" t="s">
        <v>113</v>
      </c>
      <c r="E1071" s="13" t="s">
        <v>114</v>
      </c>
      <c r="F1071" s="13" t="s">
        <v>115</v>
      </c>
      <c r="G1071" s="13" t="s">
        <v>140</v>
      </c>
      <c r="H1071" s="13" t="s">
        <v>141</v>
      </c>
      <c r="I1071" t="s">
        <v>42</v>
      </c>
      <c r="J1071" s="13" t="s">
        <v>43</v>
      </c>
      <c r="K1071" s="13" t="s">
        <v>29</v>
      </c>
      <c r="L1071" s="13" t="s">
        <v>30</v>
      </c>
      <c r="M1071" t="s">
        <v>139</v>
      </c>
      <c r="N1071">
        <v>701</v>
      </c>
      <c r="O1071" s="14">
        <v>0.883960120379925</v>
      </c>
      <c r="P1071" s="14">
        <v>0.29855980910360802</v>
      </c>
      <c r="Q1071" t="str">
        <f t="shared" si="32"/>
        <v>35-49</v>
      </c>
      <c r="R1071" t="str">
        <f t="shared" si="33"/>
        <v>[rpw540fmNUz]|35-49|Female|HIV_PREV.T_1|CY2023Q3</v>
      </c>
    </row>
    <row r="1072" spans="4:18" x14ac:dyDescent="0.2">
      <c r="D1072" s="13" t="s">
        <v>113</v>
      </c>
      <c r="E1072" s="13" t="s">
        <v>114</v>
      </c>
      <c r="F1072" s="13" t="s">
        <v>115</v>
      </c>
      <c r="G1072" s="13" t="s">
        <v>140</v>
      </c>
      <c r="H1072" s="13" t="s">
        <v>141</v>
      </c>
      <c r="I1072" t="s">
        <v>44</v>
      </c>
      <c r="J1072" s="13" t="s">
        <v>45</v>
      </c>
      <c r="K1072" s="13" t="s">
        <v>29</v>
      </c>
      <c r="L1072" s="13" t="s">
        <v>30</v>
      </c>
      <c r="M1072" t="s">
        <v>139</v>
      </c>
      <c r="N1072">
        <v>1864</v>
      </c>
      <c r="O1072" s="14">
        <v>2.5772702414542398E-2</v>
      </c>
      <c r="P1072" s="14">
        <v>0.29855980910360802</v>
      </c>
      <c r="Q1072" t="str">
        <f t="shared" si="32"/>
        <v>50+</v>
      </c>
      <c r="R1072" t="str">
        <f t="shared" si="33"/>
        <v>[rpw540fmNUz]|50+|Female|HIV_PREV.T_1|CY2023Q3</v>
      </c>
    </row>
    <row r="1073" spans="4:18" x14ac:dyDescent="0.2">
      <c r="D1073" s="13" t="s">
        <v>113</v>
      </c>
      <c r="E1073" s="13" t="s">
        <v>114</v>
      </c>
      <c r="F1073" s="13" t="s">
        <v>115</v>
      </c>
      <c r="G1073" s="13" t="s">
        <v>140</v>
      </c>
      <c r="H1073" s="13" t="s">
        <v>141</v>
      </c>
      <c r="I1073" t="s">
        <v>27</v>
      </c>
      <c r="J1073" s="13" t="s">
        <v>28</v>
      </c>
      <c r="K1073" s="13" t="s">
        <v>47</v>
      </c>
      <c r="L1073" s="13" t="s">
        <v>48</v>
      </c>
      <c r="M1073" t="s">
        <v>139</v>
      </c>
      <c r="N1073">
        <v>1624</v>
      </c>
      <c r="O1073" s="14">
        <v>0.32898763590492303</v>
      </c>
      <c r="P1073" s="14">
        <v>0.29855980910360802</v>
      </c>
      <c r="Q1073" t="str">
        <f t="shared" si="32"/>
        <v>&lt;01</v>
      </c>
      <c r="R1073" t="str">
        <f t="shared" si="33"/>
        <v>[rpw540fmNUz]|&lt;01|Male|HIV_PREV.T_1|CY2023Q3</v>
      </c>
    </row>
    <row r="1074" spans="4:18" x14ac:dyDescent="0.2">
      <c r="D1074" s="13" t="s">
        <v>113</v>
      </c>
      <c r="E1074" s="13" t="s">
        <v>114</v>
      </c>
      <c r="F1074" s="13" t="s">
        <v>115</v>
      </c>
      <c r="G1074" s="13" t="s">
        <v>140</v>
      </c>
      <c r="H1074" s="13" t="s">
        <v>141</v>
      </c>
      <c r="I1074" t="s">
        <v>32</v>
      </c>
      <c r="J1074" s="13" t="s">
        <v>33</v>
      </c>
      <c r="K1074" s="13" t="s">
        <v>47</v>
      </c>
      <c r="L1074" s="13" t="s">
        <v>48</v>
      </c>
      <c r="M1074" t="s">
        <v>139</v>
      </c>
      <c r="N1074">
        <v>1599</v>
      </c>
      <c r="O1074" s="14">
        <v>0.70543544599786401</v>
      </c>
      <c r="P1074" s="14">
        <v>0.29855980910360802</v>
      </c>
      <c r="Q1074" t="str">
        <f t="shared" si="32"/>
        <v>01-09</v>
      </c>
      <c r="R1074" t="str">
        <f t="shared" si="33"/>
        <v>[rpw540fmNUz]|01-09|Male|HIV_PREV.T_1|CY2023Q3</v>
      </c>
    </row>
    <row r="1075" spans="4:18" x14ac:dyDescent="0.2">
      <c r="D1075" s="13" t="s">
        <v>113</v>
      </c>
      <c r="E1075" s="13" t="s">
        <v>114</v>
      </c>
      <c r="F1075" s="13" t="s">
        <v>115</v>
      </c>
      <c r="G1075" s="13" t="s">
        <v>140</v>
      </c>
      <c r="H1075" s="13" t="s">
        <v>141</v>
      </c>
      <c r="I1075" t="s">
        <v>35</v>
      </c>
      <c r="J1075" s="13" t="s">
        <v>36</v>
      </c>
      <c r="K1075" s="13" t="s">
        <v>47</v>
      </c>
      <c r="L1075" s="13" t="s">
        <v>48</v>
      </c>
      <c r="M1075" t="s">
        <v>139</v>
      </c>
      <c r="N1075">
        <v>1872</v>
      </c>
      <c r="O1075" s="14">
        <v>0.36284345178864902</v>
      </c>
      <c r="P1075" s="14">
        <v>0.29855980910360802</v>
      </c>
      <c r="Q1075" t="str">
        <f t="shared" si="32"/>
        <v>10-14</v>
      </c>
      <c r="R1075" t="str">
        <f t="shared" si="33"/>
        <v>[rpw540fmNUz]|10-14|Male|HIV_PREV.T_1|CY2023Q3</v>
      </c>
    </row>
    <row r="1076" spans="4:18" x14ac:dyDescent="0.2">
      <c r="D1076" s="13" t="s">
        <v>113</v>
      </c>
      <c r="E1076" s="13" t="s">
        <v>114</v>
      </c>
      <c r="F1076" s="13" t="s">
        <v>115</v>
      </c>
      <c r="G1076" s="13" t="s">
        <v>140</v>
      </c>
      <c r="H1076" s="13" t="s">
        <v>141</v>
      </c>
      <c r="I1076" t="s">
        <v>37</v>
      </c>
      <c r="J1076" s="13" t="s">
        <v>38</v>
      </c>
      <c r="K1076" s="13" t="s">
        <v>47</v>
      </c>
      <c r="L1076" s="13" t="s">
        <v>48</v>
      </c>
      <c r="M1076" t="s">
        <v>139</v>
      </c>
      <c r="N1076">
        <v>1620</v>
      </c>
      <c r="O1076" s="14">
        <v>0.26632000296376601</v>
      </c>
      <c r="P1076" s="14">
        <v>0.29855980910360802</v>
      </c>
      <c r="Q1076" t="str">
        <f t="shared" si="32"/>
        <v>15-24</v>
      </c>
      <c r="R1076" t="str">
        <f t="shared" si="33"/>
        <v>[rpw540fmNUz]|15-24|Male|HIV_PREV.T_1|CY2023Q3</v>
      </c>
    </row>
    <row r="1077" spans="4:18" x14ac:dyDescent="0.2">
      <c r="D1077" s="13" t="s">
        <v>113</v>
      </c>
      <c r="E1077" s="13" t="s">
        <v>114</v>
      </c>
      <c r="F1077" s="13" t="s">
        <v>115</v>
      </c>
      <c r="G1077" s="13" t="s">
        <v>140</v>
      </c>
      <c r="H1077" s="13" t="s">
        <v>141</v>
      </c>
      <c r="I1077" t="s">
        <v>40</v>
      </c>
      <c r="J1077" s="13" t="s">
        <v>41</v>
      </c>
      <c r="K1077" s="13" t="s">
        <v>47</v>
      </c>
      <c r="L1077" s="13" t="s">
        <v>48</v>
      </c>
      <c r="M1077" t="s">
        <v>139</v>
      </c>
      <c r="N1077">
        <v>584</v>
      </c>
      <c r="O1077" s="14">
        <v>0.28106397413648698</v>
      </c>
      <c r="P1077" s="14">
        <v>0.29855980910360802</v>
      </c>
      <c r="Q1077" t="str">
        <f t="shared" si="32"/>
        <v>25-34</v>
      </c>
      <c r="R1077" t="str">
        <f t="shared" si="33"/>
        <v>[rpw540fmNUz]|25-34|Male|HIV_PREV.T_1|CY2023Q3</v>
      </c>
    </row>
    <row r="1078" spans="4:18" x14ac:dyDescent="0.2">
      <c r="D1078" s="13" t="s">
        <v>113</v>
      </c>
      <c r="E1078" s="13" t="s">
        <v>114</v>
      </c>
      <c r="F1078" s="13" t="s">
        <v>115</v>
      </c>
      <c r="G1078" s="13" t="s">
        <v>140</v>
      </c>
      <c r="H1078" s="13" t="s">
        <v>141</v>
      </c>
      <c r="I1078" t="s">
        <v>42</v>
      </c>
      <c r="J1078" s="13" t="s">
        <v>43</v>
      </c>
      <c r="K1078" s="13" t="s">
        <v>47</v>
      </c>
      <c r="L1078" s="13" t="s">
        <v>48</v>
      </c>
      <c r="M1078" t="s">
        <v>139</v>
      </c>
      <c r="N1078">
        <v>527</v>
      </c>
      <c r="O1078" s="14">
        <v>0.93628583708778002</v>
      </c>
      <c r="P1078" s="14">
        <v>0.29855980910360802</v>
      </c>
      <c r="Q1078" t="str">
        <f t="shared" si="32"/>
        <v>35-49</v>
      </c>
      <c r="R1078" t="str">
        <f t="shared" si="33"/>
        <v>[rpw540fmNUz]|35-49|Male|HIV_PREV.T_1|CY2023Q3</v>
      </c>
    </row>
    <row r="1079" spans="4:18" x14ac:dyDescent="0.2">
      <c r="D1079" s="13" t="s">
        <v>113</v>
      </c>
      <c r="E1079" s="13" t="s">
        <v>114</v>
      </c>
      <c r="F1079" s="13" t="s">
        <v>115</v>
      </c>
      <c r="G1079" s="13" t="s">
        <v>140</v>
      </c>
      <c r="H1079" s="13" t="s">
        <v>141</v>
      </c>
      <c r="I1079" t="s">
        <v>44</v>
      </c>
      <c r="J1079" s="13" t="s">
        <v>45</v>
      </c>
      <c r="K1079" s="13" t="s">
        <v>47</v>
      </c>
      <c r="L1079" s="13" t="s">
        <v>48</v>
      </c>
      <c r="M1079" t="s">
        <v>139</v>
      </c>
      <c r="N1079">
        <v>893</v>
      </c>
      <c r="O1079" s="14">
        <v>8.8752316311001805E-2</v>
      </c>
      <c r="P1079" s="14">
        <v>0.29855980910360802</v>
      </c>
      <c r="Q1079" t="str">
        <f t="shared" si="32"/>
        <v>50+</v>
      </c>
      <c r="R1079" t="str">
        <f t="shared" si="33"/>
        <v>[rpw540fmNUz]|50+|Male|HIV_PREV.T_1|CY2023Q3</v>
      </c>
    </row>
    <row r="1080" spans="4:18" x14ac:dyDescent="0.2">
      <c r="D1080" s="13" t="s">
        <v>116</v>
      </c>
      <c r="E1080" s="13" t="s">
        <v>117</v>
      </c>
      <c r="F1080" s="13" t="s">
        <v>118</v>
      </c>
      <c r="G1080" s="13" t="s">
        <v>140</v>
      </c>
      <c r="H1080" s="13" t="s">
        <v>141</v>
      </c>
      <c r="I1080" t="s">
        <v>27</v>
      </c>
      <c r="J1080" s="13" t="s">
        <v>28</v>
      </c>
      <c r="K1080" s="13" t="s">
        <v>29</v>
      </c>
      <c r="L1080" s="13" t="s">
        <v>30</v>
      </c>
      <c r="M1080" t="s">
        <v>139</v>
      </c>
      <c r="N1080">
        <v>1453</v>
      </c>
      <c r="O1080" s="14">
        <v>0.86881100386381105</v>
      </c>
      <c r="P1080" s="14">
        <v>0.206259709550068</v>
      </c>
      <c r="Q1080" t="str">
        <f t="shared" si="32"/>
        <v>&lt;01</v>
      </c>
      <c r="R1080" t="str">
        <f t="shared" si="33"/>
        <v>[lPTyjLi4w3d]|&lt;01|Female|HIV_PREV.T_1|CY2023Q3</v>
      </c>
    </row>
    <row r="1081" spans="4:18" x14ac:dyDescent="0.2">
      <c r="D1081" s="13" t="s">
        <v>116</v>
      </c>
      <c r="E1081" s="13" t="s">
        <v>117</v>
      </c>
      <c r="F1081" s="13" t="s">
        <v>118</v>
      </c>
      <c r="G1081" s="13" t="s">
        <v>140</v>
      </c>
      <c r="H1081" s="13" t="s">
        <v>141</v>
      </c>
      <c r="I1081" t="s">
        <v>32</v>
      </c>
      <c r="J1081" s="13" t="s">
        <v>33</v>
      </c>
      <c r="K1081" s="13" t="s">
        <v>29</v>
      </c>
      <c r="L1081" s="13" t="s">
        <v>30</v>
      </c>
      <c r="M1081" t="s">
        <v>139</v>
      </c>
      <c r="N1081">
        <v>660</v>
      </c>
      <c r="O1081" s="14">
        <v>0.37368636811152101</v>
      </c>
      <c r="P1081" s="14">
        <v>0.206259709550068</v>
      </c>
      <c r="Q1081" t="str">
        <f t="shared" si="32"/>
        <v>01-09</v>
      </c>
      <c r="R1081" t="str">
        <f t="shared" si="33"/>
        <v>[lPTyjLi4w3d]|01-09|Female|HIV_PREV.T_1|CY2023Q3</v>
      </c>
    </row>
    <row r="1082" spans="4:18" x14ac:dyDescent="0.2">
      <c r="D1082" s="13" t="s">
        <v>116</v>
      </c>
      <c r="E1082" s="13" t="s">
        <v>117</v>
      </c>
      <c r="F1082" s="13" t="s">
        <v>118</v>
      </c>
      <c r="G1082" s="13" t="s">
        <v>140</v>
      </c>
      <c r="H1082" s="13" t="s">
        <v>141</v>
      </c>
      <c r="I1082" t="s">
        <v>35</v>
      </c>
      <c r="J1082" s="13" t="s">
        <v>36</v>
      </c>
      <c r="K1082" s="13" t="s">
        <v>29</v>
      </c>
      <c r="L1082" s="13" t="s">
        <v>30</v>
      </c>
      <c r="M1082" t="s">
        <v>139</v>
      </c>
      <c r="N1082">
        <v>1983</v>
      </c>
      <c r="O1082" s="14">
        <v>0.75267665064893696</v>
      </c>
      <c r="P1082" s="14">
        <v>0.206259709550068</v>
      </c>
      <c r="Q1082" t="str">
        <f t="shared" si="32"/>
        <v>10-14</v>
      </c>
      <c r="R1082" t="str">
        <f t="shared" si="33"/>
        <v>[lPTyjLi4w3d]|10-14|Female|HIV_PREV.T_1|CY2023Q3</v>
      </c>
    </row>
    <row r="1083" spans="4:18" x14ac:dyDescent="0.2">
      <c r="D1083" s="13" t="s">
        <v>116</v>
      </c>
      <c r="E1083" s="13" t="s">
        <v>117</v>
      </c>
      <c r="F1083" s="13" t="s">
        <v>118</v>
      </c>
      <c r="G1083" s="13" t="s">
        <v>140</v>
      </c>
      <c r="H1083" s="13" t="s">
        <v>141</v>
      </c>
      <c r="I1083" t="s">
        <v>37</v>
      </c>
      <c r="J1083" s="13" t="s">
        <v>38</v>
      </c>
      <c r="K1083" s="13" t="s">
        <v>29</v>
      </c>
      <c r="L1083" s="13" t="s">
        <v>30</v>
      </c>
      <c r="M1083" t="s">
        <v>139</v>
      </c>
      <c r="N1083">
        <v>647</v>
      </c>
      <c r="O1083" s="14">
        <v>0.31776134762913</v>
      </c>
      <c r="P1083" s="14">
        <v>0.206259709550068</v>
      </c>
      <c r="Q1083" t="str">
        <f t="shared" si="32"/>
        <v>15-24</v>
      </c>
      <c r="R1083" t="str">
        <f t="shared" si="33"/>
        <v>[lPTyjLi4w3d]|15-24|Female|HIV_PREV.T_1|CY2023Q3</v>
      </c>
    </row>
    <row r="1084" spans="4:18" x14ac:dyDescent="0.2">
      <c r="D1084" s="13" t="s">
        <v>116</v>
      </c>
      <c r="E1084" s="13" t="s">
        <v>117</v>
      </c>
      <c r="F1084" s="13" t="s">
        <v>118</v>
      </c>
      <c r="G1084" s="13" t="s">
        <v>140</v>
      </c>
      <c r="H1084" s="13" t="s">
        <v>141</v>
      </c>
      <c r="I1084" t="s">
        <v>40</v>
      </c>
      <c r="J1084" s="13" t="s">
        <v>41</v>
      </c>
      <c r="K1084" s="13" t="s">
        <v>29</v>
      </c>
      <c r="L1084" s="13" t="s">
        <v>30</v>
      </c>
      <c r="M1084" t="s">
        <v>139</v>
      </c>
      <c r="N1084">
        <v>986</v>
      </c>
      <c r="O1084" s="14">
        <v>6.2193733407184502E-2</v>
      </c>
      <c r="P1084" s="14">
        <v>0.206259709550068</v>
      </c>
      <c r="Q1084" t="str">
        <f t="shared" si="32"/>
        <v>25-34</v>
      </c>
      <c r="R1084" t="str">
        <f t="shared" si="33"/>
        <v>[lPTyjLi4w3d]|25-34|Female|HIV_PREV.T_1|CY2023Q3</v>
      </c>
    </row>
    <row r="1085" spans="4:18" x14ac:dyDescent="0.2">
      <c r="D1085" s="13" t="s">
        <v>116</v>
      </c>
      <c r="E1085" s="13" t="s">
        <v>117</v>
      </c>
      <c r="F1085" s="13" t="s">
        <v>118</v>
      </c>
      <c r="G1085" s="13" t="s">
        <v>140</v>
      </c>
      <c r="H1085" s="13" t="s">
        <v>141</v>
      </c>
      <c r="I1085" t="s">
        <v>42</v>
      </c>
      <c r="J1085" s="13" t="s">
        <v>43</v>
      </c>
      <c r="K1085" s="13" t="s">
        <v>29</v>
      </c>
      <c r="L1085" s="13" t="s">
        <v>30</v>
      </c>
      <c r="M1085" t="s">
        <v>139</v>
      </c>
      <c r="N1085">
        <v>1716</v>
      </c>
      <c r="O1085" s="14">
        <v>0.77446270827204</v>
      </c>
      <c r="P1085" s="14">
        <v>0.206259709550068</v>
      </c>
      <c r="Q1085" t="str">
        <f t="shared" si="32"/>
        <v>35-49</v>
      </c>
      <c r="R1085" t="str">
        <f t="shared" si="33"/>
        <v>[lPTyjLi4w3d]|35-49|Female|HIV_PREV.T_1|CY2023Q3</v>
      </c>
    </row>
    <row r="1086" spans="4:18" x14ac:dyDescent="0.2">
      <c r="D1086" s="13" t="s">
        <v>116</v>
      </c>
      <c r="E1086" s="13" t="s">
        <v>117</v>
      </c>
      <c r="F1086" s="13" t="s">
        <v>118</v>
      </c>
      <c r="G1086" s="13" t="s">
        <v>140</v>
      </c>
      <c r="H1086" s="13" t="s">
        <v>141</v>
      </c>
      <c r="I1086" t="s">
        <v>44</v>
      </c>
      <c r="J1086" s="13" t="s">
        <v>45</v>
      </c>
      <c r="K1086" s="13" t="s">
        <v>29</v>
      </c>
      <c r="L1086" s="13" t="s">
        <v>30</v>
      </c>
      <c r="M1086" t="s">
        <v>139</v>
      </c>
      <c r="N1086">
        <v>932</v>
      </c>
      <c r="O1086" s="14">
        <v>0.651427743723616</v>
      </c>
      <c r="P1086" s="14">
        <v>0.206259709550068</v>
      </c>
      <c r="Q1086" t="str">
        <f t="shared" si="32"/>
        <v>50+</v>
      </c>
      <c r="R1086" t="str">
        <f t="shared" si="33"/>
        <v>[lPTyjLi4w3d]|50+|Female|HIV_PREV.T_1|CY2023Q3</v>
      </c>
    </row>
    <row r="1087" spans="4:18" x14ac:dyDescent="0.2">
      <c r="D1087" s="13" t="s">
        <v>116</v>
      </c>
      <c r="E1087" s="13" t="s">
        <v>117</v>
      </c>
      <c r="F1087" s="13" t="s">
        <v>118</v>
      </c>
      <c r="G1087" s="13" t="s">
        <v>140</v>
      </c>
      <c r="H1087" s="13" t="s">
        <v>141</v>
      </c>
      <c r="I1087" t="s">
        <v>27</v>
      </c>
      <c r="J1087" s="13" t="s">
        <v>28</v>
      </c>
      <c r="K1087" s="13" t="s">
        <v>47</v>
      </c>
      <c r="L1087" s="13" t="s">
        <v>48</v>
      </c>
      <c r="M1087" t="s">
        <v>139</v>
      </c>
      <c r="N1087">
        <v>1271</v>
      </c>
      <c r="O1087" s="14">
        <v>0.14161084103398</v>
      </c>
      <c r="P1087" s="14">
        <v>0.206259709550068</v>
      </c>
      <c r="Q1087" t="str">
        <f t="shared" si="32"/>
        <v>&lt;01</v>
      </c>
      <c r="R1087" t="str">
        <f t="shared" si="33"/>
        <v>[lPTyjLi4w3d]|&lt;01|Male|HIV_PREV.T_1|CY2023Q3</v>
      </c>
    </row>
    <row r="1088" spans="4:18" x14ac:dyDescent="0.2">
      <c r="D1088" s="13" t="s">
        <v>116</v>
      </c>
      <c r="E1088" s="13" t="s">
        <v>117</v>
      </c>
      <c r="F1088" s="13" t="s">
        <v>118</v>
      </c>
      <c r="G1088" s="13" t="s">
        <v>140</v>
      </c>
      <c r="H1088" s="13" t="s">
        <v>141</v>
      </c>
      <c r="I1088" t="s">
        <v>32</v>
      </c>
      <c r="J1088" s="13" t="s">
        <v>33</v>
      </c>
      <c r="K1088" s="13" t="s">
        <v>47</v>
      </c>
      <c r="L1088" s="13" t="s">
        <v>48</v>
      </c>
      <c r="M1088" t="s">
        <v>139</v>
      </c>
      <c r="N1088">
        <v>1049</v>
      </c>
      <c r="O1088" s="14">
        <v>0.29454166512004998</v>
      </c>
      <c r="P1088" s="14">
        <v>0.206259709550068</v>
      </c>
      <c r="Q1088" t="str">
        <f t="shared" si="32"/>
        <v>01-09</v>
      </c>
      <c r="R1088" t="str">
        <f t="shared" si="33"/>
        <v>[lPTyjLi4w3d]|01-09|Male|HIV_PREV.T_1|CY2023Q3</v>
      </c>
    </row>
    <row r="1089" spans="4:18" x14ac:dyDescent="0.2">
      <c r="D1089" s="13" t="s">
        <v>116</v>
      </c>
      <c r="E1089" s="13" t="s">
        <v>117</v>
      </c>
      <c r="F1089" s="13" t="s">
        <v>118</v>
      </c>
      <c r="G1089" s="13" t="s">
        <v>140</v>
      </c>
      <c r="H1089" s="13" t="s">
        <v>141</v>
      </c>
      <c r="I1089" t="s">
        <v>35</v>
      </c>
      <c r="J1089" s="13" t="s">
        <v>36</v>
      </c>
      <c r="K1089" s="13" t="s">
        <v>47</v>
      </c>
      <c r="L1089" s="13" t="s">
        <v>48</v>
      </c>
      <c r="M1089" t="s">
        <v>139</v>
      </c>
      <c r="N1089">
        <v>1509</v>
      </c>
      <c r="O1089" s="14">
        <v>0.112980037461966</v>
      </c>
      <c r="P1089" s="14">
        <v>0.206259709550068</v>
      </c>
      <c r="Q1089" t="str">
        <f t="shared" si="32"/>
        <v>10-14</v>
      </c>
      <c r="R1089" t="str">
        <f t="shared" si="33"/>
        <v>[lPTyjLi4w3d]|10-14|Male|HIV_PREV.T_1|CY2023Q3</v>
      </c>
    </row>
    <row r="1090" spans="4:18" x14ac:dyDescent="0.2">
      <c r="D1090" s="13" t="s">
        <v>116</v>
      </c>
      <c r="E1090" s="13" t="s">
        <v>117</v>
      </c>
      <c r="F1090" s="13" t="s">
        <v>118</v>
      </c>
      <c r="G1090" s="13" t="s">
        <v>140</v>
      </c>
      <c r="H1090" s="13" t="s">
        <v>141</v>
      </c>
      <c r="I1090" t="s">
        <v>37</v>
      </c>
      <c r="J1090" s="13" t="s">
        <v>38</v>
      </c>
      <c r="K1090" s="13" t="s">
        <v>47</v>
      </c>
      <c r="L1090" s="13" t="s">
        <v>48</v>
      </c>
      <c r="M1090" t="s">
        <v>139</v>
      </c>
      <c r="N1090">
        <v>677</v>
      </c>
      <c r="O1090" s="14">
        <v>8.9934535557404202E-2</v>
      </c>
      <c r="P1090" s="14">
        <v>0.206259709550068</v>
      </c>
      <c r="Q1090" t="str">
        <f t="shared" ref="Q1090:Q1153" si="34">SUBSTITUTE(SUBSTITUTE($I1090,CHAR(61),""),CHAR(34),"")</f>
        <v>15-24</v>
      </c>
      <c r="R1090" t="str">
        <f t="shared" ref="R1090:R1153" si="35">IF($D1090&lt;&gt;"","["&amp;$E1090&amp;"]"&amp;"|"&amp;$Q1090&amp;"|"&amp;$K1090&amp;"|"&amp;$G1090&amp;"|"&amp;IF($G1090="TX_CURR_SUBNAT.R","CY2022Q4",$M1090),"")</f>
        <v>[lPTyjLi4w3d]|15-24|Male|HIV_PREV.T_1|CY2023Q3</v>
      </c>
    </row>
    <row r="1091" spans="4:18" x14ac:dyDescent="0.2">
      <c r="D1091" s="13" t="s">
        <v>116</v>
      </c>
      <c r="E1091" s="13" t="s">
        <v>117</v>
      </c>
      <c r="F1091" s="13" t="s">
        <v>118</v>
      </c>
      <c r="G1091" s="13" t="s">
        <v>140</v>
      </c>
      <c r="H1091" s="13" t="s">
        <v>141</v>
      </c>
      <c r="I1091" t="s">
        <v>40</v>
      </c>
      <c r="J1091" s="13" t="s">
        <v>41</v>
      </c>
      <c r="K1091" s="13" t="s">
        <v>47</v>
      </c>
      <c r="L1091" s="13" t="s">
        <v>48</v>
      </c>
      <c r="M1091" t="s">
        <v>139</v>
      </c>
      <c r="N1091">
        <v>1858</v>
      </c>
      <c r="O1091" s="14">
        <v>0.93522968539036799</v>
      </c>
      <c r="P1091" s="14">
        <v>0.206259709550068</v>
      </c>
      <c r="Q1091" t="str">
        <f t="shared" si="34"/>
        <v>25-34</v>
      </c>
      <c r="R1091" t="str">
        <f t="shared" si="35"/>
        <v>[lPTyjLi4w3d]|25-34|Male|HIV_PREV.T_1|CY2023Q3</v>
      </c>
    </row>
    <row r="1092" spans="4:18" x14ac:dyDescent="0.2">
      <c r="D1092" s="13" t="s">
        <v>116</v>
      </c>
      <c r="E1092" s="13" t="s">
        <v>117</v>
      </c>
      <c r="F1092" s="13" t="s">
        <v>118</v>
      </c>
      <c r="G1092" s="13" t="s">
        <v>140</v>
      </c>
      <c r="H1092" s="13" t="s">
        <v>141</v>
      </c>
      <c r="I1092" t="s">
        <v>42</v>
      </c>
      <c r="J1092" s="13" t="s">
        <v>43</v>
      </c>
      <c r="K1092" s="13" t="s">
        <v>47</v>
      </c>
      <c r="L1092" s="13" t="s">
        <v>48</v>
      </c>
      <c r="M1092" t="s">
        <v>139</v>
      </c>
      <c r="N1092">
        <v>1212</v>
      </c>
      <c r="O1092" s="14">
        <v>0.78187450766563404</v>
      </c>
      <c r="P1092" s="14">
        <v>0.206259709550068</v>
      </c>
      <c r="Q1092" t="str">
        <f t="shared" si="34"/>
        <v>35-49</v>
      </c>
      <c r="R1092" t="str">
        <f t="shared" si="35"/>
        <v>[lPTyjLi4w3d]|35-49|Male|HIV_PREV.T_1|CY2023Q3</v>
      </c>
    </row>
    <row r="1093" spans="4:18" x14ac:dyDescent="0.2">
      <c r="D1093" s="13" t="s">
        <v>116</v>
      </c>
      <c r="E1093" s="13" t="s">
        <v>117</v>
      </c>
      <c r="F1093" s="13" t="s">
        <v>118</v>
      </c>
      <c r="G1093" s="13" t="s">
        <v>140</v>
      </c>
      <c r="H1093" s="13" t="s">
        <v>141</v>
      </c>
      <c r="I1093" t="s">
        <v>44</v>
      </c>
      <c r="J1093" s="13" t="s">
        <v>45</v>
      </c>
      <c r="K1093" s="13" t="s">
        <v>47</v>
      </c>
      <c r="L1093" s="13" t="s">
        <v>48</v>
      </c>
      <c r="M1093" t="s">
        <v>139</v>
      </c>
      <c r="N1093">
        <v>726</v>
      </c>
      <c r="O1093" s="14">
        <v>0.56272591953165796</v>
      </c>
      <c r="P1093" s="14">
        <v>0.206259709550068</v>
      </c>
      <c r="Q1093" t="str">
        <f t="shared" si="34"/>
        <v>50+</v>
      </c>
      <c r="R1093" t="str">
        <f t="shared" si="35"/>
        <v>[lPTyjLi4w3d]|50+|Male|HIV_PREV.T_1|CY2023Q3</v>
      </c>
    </row>
    <row r="1094" spans="4:18" x14ac:dyDescent="0.2">
      <c r="D1094" s="13" t="s">
        <v>119</v>
      </c>
      <c r="E1094" s="13" t="s">
        <v>120</v>
      </c>
      <c r="F1094" s="13" t="s">
        <v>121</v>
      </c>
      <c r="G1094" s="13" t="s">
        <v>140</v>
      </c>
      <c r="H1094" s="13" t="s">
        <v>141</v>
      </c>
      <c r="I1094" t="s">
        <v>27</v>
      </c>
      <c r="J1094" s="13" t="s">
        <v>28</v>
      </c>
      <c r="K1094" s="13" t="s">
        <v>29</v>
      </c>
      <c r="L1094" s="13" t="s">
        <v>30</v>
      </c>
      <c r="M1094" t="s">
        <v>139</v>
      </c>
      <c r="N1094">
        <v>1416</v>
      </c>
      <c r="O1094" s="14">
        <v>0.70030844421125904</v>
      </c>
      <c r="P1094" s="14">
        <v>0.43010397930629601</v>
      </c>
      <c r="Q1094" t="str">
        <f t="shared" si="34"/>
        <v>&lt;01</v>
      </c>
      <c r="R1094" t="str">
        <f t="shared" si="35"/>
        <v>[vA4NcHxfMBq]|&lt;01|Female|HIV_PREV.T_1|CY2023Q3</v>
      </c>
    </row>
    <row r="1095" spans="4:18" x14ac:dyDescent="0.2">
      <c r="D1095" s="13" t="s">
        <v>119</v>
      </c>
      <c r="E1095" s="13" t="s">
        <v>120</v>
      </c>
      <c r="F1095" s="13" t="s">
        <v>121</v>
      </c>
      <c r="G1095" s="13" t="s">
        <v>140</v>
      </c>
      <c r="H1095" s="13" t="s">
        <v>141</v>
      </c>
      <c r="I1095" t="s">
        <v>32</v>
      </c>
      <c r="J1095" s="13" t="s">
        <v>33</v>
      </c>
      <c r="K1095" s="13" t="s">
        <v>29</v>
      </c>
      <c r="L1095" s="13" t="s">
        <v>30</v>
      </c>
      <c r="M1095" t="s">
        <v>139</v>
      </c>
      <c r="N1095">
        <v>813</v>
      </c>
      <c r="O1095" s="14">
        <v>0.42832365003414502</v>
      </c>
      <c r="P1095" s="14">
        <v>0.43010397930629601</v>
      </c>
      <c r="Q1095" t="str">
        <f t="shared" si="34"/>
        <v>01-09</v>
      </c>
      <c r="R1095" t="str">
        <f t="shared" si="35"/>
        <v>[vA4NcHxfMBq]|01-09|Female|HIV_PREV.T_1|CY2023Q3</v>
      </c>
    </row>
    <row r="1096" spans="4:18" x14ac:dyDescent="0.2">
      <c r="D1096" s="13" t="s">
        <v>119</v>
      </c>
      <c r="E1096" s="13" t="s">
        <v>120</v>
      </c>
      <c r="F1096" s="13" t="s">
        <v>121</v>
      </c>
      <c r="G1096" s="13" t="s">
        <v>140</v>
      </c>
      <c r="H1096" s="13" t="s">
        <v>141</v>
      </c>
      <c r="I1096" t="s">
        <v>35</v>
      </c>
      <c r="J1096" s="13" t="s">
        <v>36</v>
      </c>
      <c r="K1096" s="13" t="s">
        <v>29</v>
      </c>
      <c r="L1096" s="13" t="s">
        <v>30</v>
      </c>
      <c r="M1096" t="s">
        <v>139</v>
      </c>
      <c r="N1096">
        <v>1365</v>
      </c>
      <c r="O1096" s="14">
        <v>0.94399138749577105</v>
      </c>
      <c r="P1096" s="14">
        <v>0.43010397930629601</v>
      </c>
      <c r="Q1096" t="str">
        <f t="shared" si="34"/>
        <v>10-14</v>
      </c>
      <c r="R1096" t="str">
        <f t="shared" si="35"/>
        <v>[vA4NcHxfMBq]|10-14|Female|HIV_PREV.T_1|CY2023Q3</v>
      </c>
    </row>
    <row r="1097" spans="4:18" x14ac:dyDescent="0.2">
      <c r="D1097" s="13" t="s">
        <v>119</v>
      </c>
      <c r="E1097" s="13" t="s">
        <v>120</v>
      </c>
      <c r="F1097" s="13" t="s">
        <v>121</v>
      </c>
      <c r="G1097" s="13" t="s">
        <v>140</v>
      </c>
      <c r="H1097" s="13" t="s">
        <v>141</v>
      </c>
      <c r="I1097" t="s">
        <v>37</v>
      </c>
      <c r="J1097" s="13" t="s">
        <v>38</v>
      </c>
      <c r="K1097" s="13" t="s">
        <v>29</v>
      </c>
      <c r="L1097" s="13" t="s">
        <v>30</v>
      </c>
      <c r="M1097" t="s">
        <v>139</v>
      </c>
      <c r="N1097">
        <v>1095</v>
      </c>
      <c r="O1097" s="14">
        <v>0.50074587855488095</v>
      </c>
      <c r="P1097" s="14">
        <v>0.43010397930629601</v>
      </c>
      <c r="Q1097" t="str">
        <f t="shared" si="34"/>
        <v>15-24</v>
      </c>
      <c r="R1097" t="str">
        <f t="shared" si="35"/>
        <v>[vA4NcHxfMBq]|15-24|Female|HIV_PREV.T_1|CY2023Q3</v>
      </c>
    </row>
    <row r="1098" spans="4:18" x14ac:dyDescent="0.2">
      <c r="D1098" s="13" t="s">
        <v>119</v>
      </c>
      <c r="E1098" s="13" t="s">
        <v>120</v>
      </c>
      <c r="F1098" s="13" t="s">
        <v>121</v>
      </c>
      <c r="G1098" s="13" t="s">
        <v>140</v>
      </c>
      <c r="H1098" s="13" t="s">
        <v>141</v>
      </c>
      <c r="I1098" t="s">
        <v>40</v>
      </c>
      <c r="J1098" s="13" t="s">
        <v>41</v>
      </c>
      <c r="K1098" s="13" t="s">
        <v>29</v>
      </c>
      <c r="L1098" s="13" t="s">
        <v>30</v>
      </c>
      <c r="M1098" t="s">
        <v>139</v>
      </c>
      <c r="N1098">
        <v>1543</v>
      </c>
      <c r="O1098" s="14">
        <v>0.58466600370593402</v>
      </c>
      <c r="P1098" s="14">
        <v>0.43010397930629601</v>
      </c>
      <c r="Q1098" t="str">
        <f t="shared" si="34"/>
        <v>25-34</v>
      </c>
      <c r="R1098" t="str">
        <f t="shared" si="35"/>
        <v>[vA4NcHxfMBq]|25-34|Female|HIV_PREV.T_1|CY2023Q3</v>
      </c>
    </row>
    <row r="1099" spans="4:18" x14ac:dyDescent="0.2">
      <c r="D1099" s="13" t="s">
        <v>119</v>
      </c>
      <c r="E1099" s="13" t="s">
        <v>120</v>
      </c>
      <c r="F1099" s="13" t="s">
        <v>121</v>
      </c>
      <c r="G1099" s="13" t="s">
        <v>140</v>
      </c>
      <c r="H1099" s="13" t="s">
        <v>141</v>
      </c>
      <c r="I1099" t="s">
        <v>42</v>
      </c>
      <c r="J1099" s="13" t="s">
        <v>43</v>
      </c>
      <c r="K1099" s="13" t="s">
        <v>29</v>
      </c>
      <c r="L1099" s="13" t="s">
        <v>30</v>
      </c>
      <c r="M1099" t="s">
        <v>139</v>
      </c>
      <c r="N1099">
        <v>1121</v>
      </c>
      <c r="O1099" s="14">
        <v>0.94522372889332495</v>
      </c>
      <c r="P1099" s="14">
        <v>0.43010397930629601</v>
      </c>
      <c r="Q1099" t="str">
        <f t="shared" si="34"/>
        <v>35-49</v>
      </c>
      <c r="R1099" t="str">
        <f t="shared" si="35"/>
        <v>[vA4NcHxfMBq]|35-49|Female|HIV_PREV.T_1|CY2023Q3</v>
      </c>
    </row>
    <row r="1100" spans="4:18" x14ac:dyDescent="0.2">
      <c r="D1100" s="13" t="s">
        <v>119</v>
      </c>
      <c r="E1100" s="13" t="s">
        <v>120</v>
      </c>
      <c r="F1100" s="13" t="s">
        <v>121</v>
      </c>
      <c r="G1100" s="13" t="s">
        <v>140</v>
      </c>
      <c r="H1100" s="13" t="s">
        <v>141</v>
      </c>
      <c r="I1100" t="s">
        <v>44</v>
      </c>
      <c r="J1100" s="13" t="s">
        <v>45</v>
      </c>
      <c r="K1100" s="13" t="s">
        <v>29</v>
      </c>
      <c r="L1100" s="13" t="s">
        <v>30</v>
      </c>
      <c r="M1100" t="s">
        <v>139</v>
      </c>
      <c r="N1100">
        <v>1596</v>
      </c>
      <c r="O1100" s="14">
        <v>0.50863990746438503</v>
      </c>
      <c r="P1100" s="14">
        <v>0.43010397930629601</v>
      </c>
      <c r="Q1100" t="str">
        <f t="shared" si="34"/>
        <v>50+</v>
      </c>
      <c r="R1100" t="str">
        <f t="shared" si="35"/>
        <v>[vA4NcHxfMBq]|50+|Female|HIV_PREV.T_1|CY2023Q3</v>
      </c>
    </row>
    <row r="1101" spans="4:18" x14ac:dyDescent="0.2">
      <c r="D1101" s="13" t="s">
        <v>119</v>
      </c>
      <c r="E1101" s="13" t="s">
        <v>120</v>
      </c>
      <c r="F1101" s="13" t="s">
        <v>121</v>
      </c>
      <c r="G1101" s="13" t="s">
        <v>140</v>
      </c>
      <c r="H1101" s="13" t="s">
        <v>141</v>
      </c>
      <c r="I1101" t="s">
        <v>27</v>
      </c>
      <c r="J1101" s="13" t="s">
        <v>28</v>
      </c>
      <c r="K1101" s="13" t="s">
        <v>47</v>
      </c>
      <c r="L1101" s="13" t="s">
        <v>48</v>
      </c>
      <c r="M1101" t="s">
        <v>139</v>
      </c>
      <c r="N1101">
        <v>1160</v>
      </c>
      <c r="O1101" s="14">
        <v>0.56884699896909297</v>
      </c>
      <c r="P1101" s="14">
        <v>0.43010397930629601</v>
      </c>
      <c r="Q1101" t="str">
        <f t="shared" si="34"/>
        <v>&lt;01</v>
      </c>
      <c r="R1101" t="str">
        <f t="shared" si="35"/>
        <v>[vA4NcHxfMBq]|&lt;01|Male|HIV_PREV.T_1|CY2023Q3</v>
      </c>
    </row>
    <row r="1102" spans="4:18" x14ac:dyDescent="0.2">
      <c r="D1102" s="13" t="s">
        <v>119</v>
      </c>
      <c r="E1102" s="13" t="s">
        <v>120</v>
      </c>
      <c r="F1102" s="13" t="s">
        <v>121</v>
      </c>
      <c r="G1102" s="13" t="s">
        <v>140</v>
      </c>
      <c r="H1102" s="13" t="s">
        <v>141</v>
      </c>
      <c r="I1102" t="s">
        <v>32</v>
      </c>
      <c r="J1102" s="13" t="s">
        <v>33</v>
      </c>
      <c r="K1102" s="13" t="s">
        <v>47</v>
      </c>
      <c r="L1102" s="13" t="s">
        <v>48</v>
      </c>
      <c r="M1102" t="s">
        <v>139</v>
      </c>
      <c r="N1102">
        <v>1960</v>
      </c>
      <c r="O1102" s="14">
        <v>0.68381543643772602</v>
      </c>
      <c r="P1102" s="14">
        <v>0.43010397930629601</v>
      </c>
      <c r="Q1102" t="str">
        <f t="shared" si="34"/>
        <v>01-09</v>
      </c>
      <c r="R1102" t="str">
        <f t="shared" si="35"/>
        <v>[vA4NcHxfMBq]|01-09|Male|HIV_PREV.T_1|CY2023Q3</v>
      </c>
    </row>
    <row r="1103" spans="4:18" x14ac:dyDescent="0.2">
      <c r="D1103" s="13" t="s">
        <v>119</v>
      </c>
      <c r="E1103" s="13" t="s">
        <v>120</v>
      </c>
      <c r="F1103" s="13" t="s">
        <v>121</v>
      </c>
      <c r="G1103" s="13" t="s">
        <v>140</v>
      </c>
      <c r="H1103" s="13" t="s">
        <v>141</v>
      </c>
      <c r="I1103" t="s">
        <v>35</v>
      </c>
      <c r="J1103" s="13" t="s">
        <v>36</v>
      </c>
      <c r="K1103" s="13" t="s">
        <v>47</v>
      </c>
      <c r="L1103" s="13" t="s">
        <v>48</v>
      </c>
      <c r="M1103" t="s">
        <v>139</v>
      </c>
      <c r="N1103">
        <v>601</v>
      </c>
      <c r="O1103" s="14">
        <v>0.747110962169245</v>
      </c>
      <c r="P1103" s="14">
        <v>0.43010397930629601</v>
      </c>
      <c r="Q1103" t="str">
        <f t="shared" si="34"/>
        <v>10-14</v>
      </c>
      <c r="R1103" t="str">
        <f t="shared" si="35"/>
        <v>[vA4NcHxfMBq]|10-14|Male|HIV_PREV.T_1|CY2023Q3</v>
      </c>
    </row>
    <row r="1104" spans="4:18" x14ac:dyDescent="0.2">
      <c r="D1104" s="13" t="s">
        <v>119</v>
      </c>
      <c r="E1104" s="13" t="s">
        <v>120</v>
      </c>
      <c r="F1104" s="13" t="s">
        <v>121</v>
      </c>
      <c r="G1104" s="13" t="s">
        <v>140</v>
      </c>
      <c r="H1104" s="13" t="s">
        <v>141</v>
      </c>
      <c r="I1104" t="s">
        <v>37</v>
      </c>
      <c r="J1104" s="13" t="s">
        <v>38</v>
      </c>
      <c r="K1104" s="13" t="s">
        <v>47</v>
      </c>
      <c r="L1104" s="13" t="s">
        <v>48</v>
      </c>
      <c r="M1104" t="s">
        <v>139</v>
      </c>
      <c r="N1104">
        <v>1106</v>
      </c>
      <c r="O1104" s="14">
        <v>0.21243039844557601</v>
      </c>
      <c r="P1104" s="14">
        <v>0.43010397930629601</v>
      </c>
      <c r="Q1104" t="str">
        <f t="shared" si="34"/>
        <v>15-24</v>
      </c>
      <c r="R1104" t="str">
        <f t="shared" si="35"/>
        <v>[vA4NcHxfMBq]|15-24|Male|HIV_PREV.T_1|CY2023Q3</v>
      </c>
    </row>
    <row r="1105" spans="4:18" x14ac:dyDescent="0.2">
      <c r="D1105" s="13" t="s">
        <v>119</v>
      </c>
      <c r="E1105" s="13" t="s">
        <v>120</v>
      </c>
      <c r="F1105" s="13" t="s">
        <v>121</v>
      </c>
      <c r="G1105" s="13" t="s">
        <v>140</v>
      </c>
      <c r="H1105" s="13" t="s">
        <v>141</v>
      </c>
      <c r="I1105" t="s">
        <v>40</v>
      </c>
      <c r="J1105" s="13" t="s">
        <v>41</v>
      </c>
      <c r="K1105" s="13" t="s">
        <v>47</v>
      </c>
      <c r="L1105" s="13" t="s">
        <v>48</v>
      </c>
      <c r="M1105" t="s">
        <v>139</v>
      </c>
      <c r="N1105">
        <v>1558</v>
      </c>
      <c r="O1105" s="14">
        <v>0.33335873973555902</v>
      </c>
      <c r="P1105" s="14">
        <v>0.43010397930629601</v>
      </c>
      <c r="Q1105" t="str">
        <f t="shared" si="34"/>
        <v>25-34</v>
      </c>
      <c r="R1105" t="str">
        <f t="shared" si="35"/>
        <v>[vA4NcHxfMBq]|25-34|Male|HIV_PREV.T_1|CY2023Q3</v>
      </c>
    </row>
    <row r="1106" spans="4:18" x14ac:dyDescent="0.2">
      <c r="D1106" s="13" t="s">
        <v>119</v>
      </c>
      <c r="E1106" s="13" t="s">
        <v>120</v>
      </c>
      <c r="F1106" s="13" t="s">
        <v>121</v>
      </c>
      <c r="G1106" s="13" t="s">
        <v>140</v>
      </c>
      <c r="H1106" s="13" t="s">
        <v>141</v>
      </c>
      <c r="I1106" t="s">
        <v>42</v>
      </c>
      <c r="J1106" s="13" t="s">
        <v>43</v>
      </c>
      <c r="K1106" s="13" t="s">
        <v>47</v>
      </c>
      <c r="L1106" s="13" t="s">
        <v>48</v>
      </c>
      <c r="M1106" t="s">
        <v>139</v>
      </c>
      <c r="N1106">
        <v>952</v>
      </c>
      <c r="O1106" s="14">
        <v>0.59898232645355198</v>
      </c>
      <c r="P1106" s="14">
        <v>0.43010397930629601</v>
      </c>
      <c r="Q1106" t="str">
        <f t="shared" si="34"/>
        <v>35-49</v>
      </c>
      <c r="R1106" t="str">
        <f t="shared" si="35"/>
        <v>[vA4NcHxfMBq]|35-49|Male|HIV_PREV.T_1|CY2023Q3</v>
      </c>
    </row>
    <row r="1107" spans="4:18" x14ac:dyDescent="0.2">
      <c r="D1107" s="13" t="s">
        <v>119</v>
      </c>
      <c r="E1107" s="13" t="s">
        <v>120</v>
      </c>
      <c r="F1107" s="13" t="s">
        <v>121</v>
      </c>
      <c r="G1107" s="13" t="s">
        <v>140</v>
      </c>
      <c r="H1107" s="13" t="s">
        <v>141</v>
      </c>
      <c r="I1107" t="s">
        <v>44</v>
      </c>
      <c r="J1107" s="13" t="s">
        <v>45</v>
      </c>
      <c r="K1107" s="13" t="s">
        <v>47</v>
      </c>
      <c r="L1107" s="13" t="s">
        <v>48</v>
      </c>
      <c r="M1107" t="s">
        <v>139</v>
      </c>
      <c r="N1107">
        <v>678</v>
      </c>
      <c r="O1107" s="14">
        <v>0.26709799235686699</v>
      </c>
      <c r="P1107" s="14">
        <v>0.43010397930629601</v>
      </c>
      <c r="Q1107" t="str">
        <f t="shared" si="34"/>
        <v>50+</v>
      </c>
      <c r="R1107" t="str">
        <f t="shared" si="35"/>
        <v>[vA4NcHxfMBq]|50+|Male|HIV_PREV.T_1|CY2023Q3</v>
      </c>
    </row>
    <row r="1108" spans="4:18" x14ac:dyDescent="0.2">
      <c r="D1108" s="13" t="s">
        <v>122</v>
      </c>
      <c r="E1108" s="13" t="s">
        <v>123</v>
      </c>
      <c r="F1108" s="13" t="s">
        <v>124</v>
      </c>
      <c r="G1108" s="13" t="s">
        <v>140</v>
      </c>
      <c r="H1108" s="13" t="s">
        <v>141</v>
      </c>
      <c r="I1108" t="s">
        <v>27</v>
      </c>
      <c r="J1108" s="13" t="s">
        <v>28</v>
      </c>
      <c r="K1108" s="13" t="s">
        <v>29</v>
      </c>
      <c r="L1108" s="13" t="s">
        <v>30</v>
      </c>
      <c r="M1108" t="s">
        <v>139</v>
      </c>
      <c r="N1108">
        <v>1522</v>
      </c>
      <c r="O1108" s="14">
        <v>0.73835552181117203</v>
      </c>
      <c r="P1108" s="14">
        <v>0.41950060334056599</v>
      </c>
      <c r="Q1108" t="str">
        <f t="shared" si="34"/>
        <v>&lt;01</v>
      </c>
      <c r="R1108" t="str">
        <f t="shared" si="35"/>
        <v>[E7zpfyBt7Tw]|&lt;01|Female|HIV_PREV.T_1|CY2023Q3</v>
      </c>
    </row>
    <row r="1109" spans="4:18" x14ac:dyDescent="0.2">
      <c r="D1109" s="13" t="s">
        <v>122</v>
      </c>
      <c r="E1109" s="13" t="s">
        <v>123</v>
      </c>
      <c r="F1109" s="13" t="s">
        <v>124</v>
      </c>
      <c r="G1109" s="13" t="s">
        <v>140</v>
      </c>
      <c r="H1109" s="13" t="s">
        <v>141</v>
      </c>
      <c r="I1109" t="s">
        <v>32</v>
      </c>
      <c r="J1109" s="13" t="s">
        <v>33</v>
      </c>
      <c r="K1109" s="13" t="s">
        <v>29</v>
      </c>
      <c r="L1109" s="13" t="s">
        <v>30</v>
      </c>
      <c r="M1109" t="s">
        <v>139</v>
      </c>
      <c r="N1109">
        <v>1397</v>
      </c>
      <c r="O1109" s="14">
        <v>0.86308331717736997</v>
      </c>
      <c r="P1109" s="14">
        <v>0.41950060334056599</v>
      </c>
      <c r="Q1109" t="str">
        <f t="shared" si="34"/>
        <v>01-09</v>
      </c>
      <c r="R1109" t="str">
        <f t="shared" si="35"/>
        <v>[E7zpfyBt7Tw]|01-09|Female|HIV_PREV.T_1|CY2023Q3</v>
      </c>
    </row>
    <row r="1110" spans="4:18" x14ac:dyDescent="0.2">
      <c r="D1110" s="13" t="s">
        <v>122</v>
      </c>
      <c r="E1110" s="13" t="s">
        <v>123</v>
      </c>
      <c r="F1110" s="13" t="s">
        <v>124</v>
      </c>
      <c r="G1110" s="13" t="s">
        <v>140</v>
      </c>
      <c r="H1110" s="13" t="s">
        <v>141</v>
      </c>
      <c r="I1110" t="s">
        <v>35</v>
      </c>
      <c r="J1110" s="13" t="s">
        <v>36</v>
      </c>
      <c r="K1110" s="13" t="s">
        <v>29</v>
      </c>
      <c r="L1110" s="13" t="s">
        <v>30</v>
      </c>
      <c r="M1110" t="s">
        <v>139</v>
      </c>
      <c r="N1110">
        <v>744</v>
      </c>
      <c r="O1110" s="14">
        <v>0.39986958215013102</v>
      </c>
      <c r="P1110" s="14">
        <v>0.41950060334056599</v>
      </c>
      <c r="Q1110" t="str">
        <f t="shared" si="34"/>
        <v>10-14</v>
      </c>
      <c r="R1110" t="str">
        <f t="shared" si="35"/>
        <v>[E7zpfyBt7Tw]|10-14|Female|HIV_PREV.T_1|CY2023Q3</v>
      </c>
    </row>
    <row r="1111" spans="4:18" x14ac:dyDescent="0.2">
      <c r="D1111" s="13" t="s">
        <v>122</v>
      </c>
      <c r="E1111" s="13" t="s">
        <v>123</v>
      </c>
      <c r="F1111" s="13" t="s">
        <v>124</v>
      </c>
      <c r="G1111" s="13" t="s">
        <v>140</v>
      </c>
      <c r="H1111" s="13" t="s">
        <v>141</v>
      </c>
      <c r="I1111" t="s">
        <v>37</v>
      </c>
      <c r="J1111" s="13" t="s">
        <v>38</v>
      </c>
      <c r="K1111" s="13" t="s">
        <v>29</v>
      </c>
      <c r="L1111" s="13" t="s">
        <v>30</v>
      </c>
      <c r="M1111" t="s">
        <v>139</v>
      </c>
      <c r="N1111">
        <v>717</v>
      </c>
      <c r="O1111" s="14">
        <v>5.1832937169820096E-3</v>
      </c>
      <c r="P1111" s="14">
        <v>0.41950060334056599</v>
      </c>
      <c r="Q1111" t="str">
        <f t="shared" si="34"/>
        <v>15-24</v>
      </c>
      <c r="R1111" t="str">
        <f t="shared" si="35"/>
        <v>[E7zpfyBt7Tw]|15-24|Female|HIV_PREV.T_1|CY2023Q3</v>
      </c>
    </row>
    <row r="1112" spans="4:18" x14ac:dyDescent="0.2">
      <c r="D1112" s="13" t="s">
        <v>122</v>
      </c>
      <c r="E1112" s="13" t="s">
        <v>123</v>
      </c>
      <c r="F1112" s="13" t="s">
        <v>124</v>
      </c>
      <c r="G1112" s="13" t="s">
        <v>140</v>
      </c>
      <c r="H1112" s="13" t="s">
        <v>141</v>
      </c>
      <c r="I1112" t="s">
        <v>40</v>
      </c>
      <c r="J1112" s="13" t="s">
        <v>41</v>
      </c>
      <c r="K1112" s="13" t="s">
        <v>29</v>
      </c>
      <c r="L1112" s="13" t="s">
        <v>30</v>
      </c>
      <c r="M1112" t="s">
        <v>139</v>
      </c>
      <c r="N1112">
        <v>1859</v>
      </c>
      <c r="O1112" s="14">
        <v>0.68155459663830698</v>
      </c>
      <c r="P1112" s="14">
        <v>0.41950060334056599</v>
      </c>
      <c r="Q1112" t="str">
        <f t="shared" si="34"/>
        <v>25-34</v>
      </c>
      <c r="R1112" t="str">
        <f t="shared" si="35"/>
        <v>[E7zpfyBt7Tw]|25-34|Female|HIV_PREV.T_1|CY2023Q3</v>
      </c>
    </row>
    <row r="1113" spans="4:18" x14ac:dyDescent="0.2">
      <c r="D1113" s="13" t="s">
        <v>122</v>
      </c>
      <c r="E1113" s="13" t="s">
        <v>123</v>
      </c>
      <c r="F1113" s="13" t="s">
        <v>124</v>
      </c>
      <c r="G1113" s="13" t="s">
        <v>140</v>
      </c>
      <c r="H1113" s="13" t="s">
        <v>141</v>
      </c>
      <c r="I1113" t="s">
        <v>42</v>
      </c>
      <c r="J1113" s="13" t="s">
        <v>43</v>
      </c>
      <c r="K1113" s="13" t="s">
        <v>29</v>
      </c>
      <c r="L1113" s="13" t="s">
        <v>30</v>
      </c>
      <c r="M1113" t="s">
        <v>139</v>
      </c>
      <c r="N1113">
        <v>811</v>
      </c>
      <c r="O1113" s="14">
        <v>0.35099401907063998</v>
      </c>
      <c r="P1113" s="14">
        <v>0.41950060334056599</v>
      </c>
      <c r="Q1113" t="str">
        <f t="shared" si="34"/>
        <v>35-49</v>
      </c>
      <c r="R1113" t="str">
        <f t="shared" si="35"/>
        <v>[E7zpfyBt7Tw]|35-49|Female|HIV_PREV.T_1|CY2023Q3</v>
      </c>
    </row>
    <row r="1114" spans="4:18" x14ac:dyDescent="0.2">
      <c r="D1114" s="13" t="s">
        <v>122</v>
      </c>
      <c r="E1114" s="13" t="s">
        <v>123</v>
      </c>
      <c r="F1114" s="13" t="s">
        <v>124</v>
      </c>
      <c r="G1114" s="13" t="s">
        <v>140</v>
      </c>
      <c r="H1114" s="13" t="s">
        <v>141</v>
      </c>
      <c r="I1114" t="s">
        <v>44</v>
      </c>
      <c r="J1114" s="13" t="s">
        <v>45</v>
      </c>
      <c r="K1114" s="13" t="s">
        <v>29</v>
      </c>
      <c r="L1114" s="13" t="s">
        <v>30</v>
      </c>
      <c r="M1114" t="s">
        <v>139</v>
      </c>
      <c r="N1114">
        <v>1237</v>
      </c>
      <c r="O1114" s="14">
        <v>8.1493930891156197E-2</v>
      </c>
      <c r="P1114" s="14">
        <v>0.41950060334056599</v>
      </c>
      <c r="Q1114" t="str">
        <f t="shared" si="34"/>
        <v>50+</v>
      </c>
      <c r="R1114" t="str">
        <f t="shared" si="35"/>
        <v>[E7zpfyBt7Tw]|50+|Female|HIV_PREV.T_1|CY2023Q3</v>
      </c>
    </row>
    <row r="1115" spans="4:18" x14ac:dyDescent="0.2">
      <c r="D1115" s="13" t="s">
        <v>122</v>
      </c>
      <c r="E1115" s="13" t="s">
        <v>123</v>
      </c>
      <c r="F1115" s="13" t="s">
        <v>124</v>
      </c>
      <c r="G1115" s="13" t="s">
        <v>140</v>
      </c>
      <c r="H1115" s="13" t="s">
        <v>141</v>
      </c>
      <c r="I1115" t="s">
        <v>27</v>
      </c>
      <c r="J1115" s="13" t="s">
        <v>28</v>
      </c>
      <c r="K1115" s="13" t="s">
        <v>47</v>
      </c>
      <c r="L1115" s="13" t="s">
        <v>48</v>
      </c>
      <c r="M1115" t="s">
        <v>139</v>
      </c>
      <c r="N1115">
        <v>1201</v>
      </c>
      <c r="O1115" s="14">
        <v>8.1330169923603493E-2</v>
      </c>
      <c r="P1115" s="14">
        <v>0.41950060334056599</v>
      </c>
      <c r="Q1115" t="str">
        <f t="shared" si="34"/>
        <v>&lt;01</v>
      </c>
      <c r="R1115" t="str">
        <f t="shared" si="35"/>
        <v>[E7zpfyBt7Tw]|&lt;01|Male|HIV_PREV.T_1|CY2023Q3</v>
      </c>
    </row>
    <row r="1116" spans="4:18" x14ac:dyDescent="0.2">
      <c r="D1116" s="13" t="s">
        <v>122</v>
      </c>
      <c r="E1116" s="13" t="s">
        <v>123</v>
      </c>
      <c r="F1116" s="13" t="s">
        <v>124</v>
      </c>
      <c r="G1116" s="13" t="s">
        <v>140</v>
      </c>
      <c r="H1116" s="13" t="s">
        <v>141</v>
      </c>
      <c r="I1116" t="s">
        <v>32</v>
      </c>
      <c r="J1116" s="13" t="s">
        <v>33</v>
      </c>
      <c r="K1116" s="13" t="s">
        <v>47</v>
      </c>
      <c r="L1116" s="13" t="s">
        <v>48</v>
      </c>
      <c r="M1116" t="s">
        <v>139</v>
      </c>
      <c r="N1116">
        <v>1950</v>
      </c>
      <c r="O1116" s="14">
        <v>5.2676837192848297E-2</v>
      </c>
      <c r="P1116" s="14">
        <v>0.41950060334056599</v>
      </c>
      <c r="Q1116" t="str">
        <f t="shared" si="34"/>
        <v>01-09</v>
      </c>
      <c r="R1116" t="str">
        <f t="shared" si="35"/>
        <v>[E7zpfyBt7Tw]|01-09|Male|HIV_PREV.T_1|CY2023Q3</v>
      </c>
    </row>
    <row r="1117" spans="4:18" x14ac:dyDescent="0.2">
      <c r="D1117" s="13" t="s">
        <v>122</v>
      </c>
      <c r="E1117" s="13" t="s">
        <v>123</v>
      </c>
      <c r="F1117" s="13" t="s">
        <v>124</v>
      </c>
      <c r="G1117" s="13" t="s">
        <v>140</v>
      </c>
      <c r="H1117" s="13" t="s">
        <v>141</v>
      </c>
      <c r="I1117" t="s">
        <v>35</v>
      </c>
      <c r="J1117" s="13" t="s">
        <v>36</v>
      </c>
      <c r="K1117" s="13" t="s">
        <v>47</v>
      </c>
      <c r="L1117" s="13" t="s">
        <v>48</v>
      </c>
      <c r="M1117" t="s">
        <v>139</v>
      </c>
      <c r="N1117">
        <v>992</v>
      </c>
      <c r="O1117" s="14">
        <v>0.79576371423900105</v>
      </c>
      <c r="P1117" s="14">
        <v>0.41950060334056599</v>
      </c>
      <c r="Q1117" t="str">
        <f t="shared" si="34"/>
        <v>10-14</v>
      </c>
      <c r="R1117" t="str">
        <f t="shared" si="35"/>
        <v>[E7zpfyBt7Tw]|10-14|Male|HIV_PREV.T_1|CY2023Q3</v>
      </c>
    </row>
    <row r="1118" spans="4:18" x14ac:dyDescent="0.2">
      <c r="D1118" s="13" t="s">
        <v>122</v>
      </c>
      <c r="E1118" s="13" t="s">
        <v>123</v>
      </c>
      <c r="F1118" s="13" t="s">
        <v>124</v>
      </c>
      <c r="G1118" s="13" t="s">
        <v>140</v>
      </c>
      <c r="H1118" s="13" t="s">
        <v>141</v>
      </c>
      <c r="I1118" t="s">
        <v>37</v>
      </c>
      <c r="J1118" s="13" t="s">
        <v>38</v>
      </c>
      <c r="K1118" s="13" t="s">
        <v>47</v>
      </c>
      <c r="L1118" s="13" t="s">
        <v>48</v>
      </c>
      <c r="M1118" t="s">
        <v>139</v>
      </c>
      <c r="N1118">
        <v>1363</v>
      </c>
      <c r="O1118" s="14">
        <v>2.5783722987398498E-2</v>
      </c>
      <c r="P1118" s="14">
        <v>0.41950060334056599</v>
      </c>
      <c r="Q1118" t="str">
        <f t="shared" si="34"/>
        <v>15-24</v>
      </c>
      <c r="R1118" t="str">
        <f t="shared" si="35"/>
        <v>[E7zpfyBt7Tw]|15-24|Male|HIV_PREV.T_1|CY2023Q3</v>
      </c>
    </row>
    <row r="1119" spans="4:18" x14ac:dyDescent="0.2">
      <c r="D1119" s="13" t="s">
        <v>122</v>
      </c>
      <c r="E1119" s="13" t="s">
        <v>123</v>
      </c>
      <c r="F1119" s="13" t="s">
        <v>124</v>
      </c>
      <c r="G1119" s="13" t="s">
        <v>140</v>
      </c>
      <c r="H1119" s="13" t="s">
        <v>141</v>
      </c>
      <c r="I1119" t="s">
        <v>40</v>
      </c>
      <c r="J1119" s="13" t="s">
        <v>41</v>
      </c>
      <c r="K1119" s="13" t="s">
        <v>47</v>
      </c>
      <c r="L1119" s="13" t="s">
        <v>48</v>
      </c>
      <c r="M1119" t="s">
        <v>139</v>
      </c>
      <c r="N1119">
        <v>743</v>
      </c>
      <c r="O1119" s="14">
        <v>0.41572756855748599</v>
      </c>
      <c r="P1119" s="14">
        <v>0.41950060334056599</v>
      </c>
      <c r="Q1119" t="str">
        <f t="shared" si="34"/>
        <v>25-34</v>
      </c>
      <c r="R1119" t="str">
        <f t="shared" si="35"/>
        <v>[E7zpfyBt7Tw]|25-34|Male|HIV_PREV.T_1|CY2023Q3</v>
      </c>
    </row>
    <row r="1120" spans="4:18" x14ac:dyDescent="0.2">
      <c r="D1120" s="13" t="s">
        <v>122</v>
      </c>
      <c r="E1120" s="13" t="s">
        <v>123</v>
      </c>
      <c r="F1120" s="13" t="s">
        <v>124</v>
      </c>
      <c r="G1120" s="13" t="s">
        <v>140</v>
      </c>
      <c r="H1120" s="13" t="s">
        <v>141</v>
      </c>
      <c r="I1120" t="s">
        <v>42</v>
      </c>
      <c r="J1120" s="13" t="s">
        <v>43</v>
      </c>
      <c r="K1120" s="13" t="s">
        <v>47</v>
      </c>
      <c r="L1120" s="13" t="s">
        <v>48</v>
      </c>
      <c r="M1120" t="s">
        <v>139</v>
      </c>
      <c r="N1120">
        <v>940</v>
      </c>
      <c r="O1120" s="14">
        <v>0.67853789380751595</v>
      </c>
      <c r="P1120" s="14">
        <v>0.41950060334056599</v>
      </c>
      <c r="Q1120" t="str">
        <f t="shared" si="34"/>
        <v>35-49</v>
      </c>
      <c r="R1120" t="str">
        <f t="shared" si="35"/>
        <v>[E7zpfyBt7Tw]|35-49|Male|HIV_PREV.T_1|CY2023Q3</v>
      </c>
    </row>
    <row r="1121" spans="4:18" x14ac:dyDescent="0.2">
      <c r="D1121" s="13" t="s">
        <v>122</v>
      </c>
      <c r="E1121" s="13" t="s">
        <v>123</v>
      </c>
      <c r="F1121" s="13" t="s">
        <v>124</v>
      </c>
      <c r="G1121" s="13" t="s">
        <v>140</v>
      </c>
      <c r="H1121" s="13" t="s">
        <v>141</v>
      </c>
      <c r="I1121" t="s">
        <v>44</v>
      </c>
      <c r="J1121" s="13" t="s">
        <v>45</v>
      </c>
      <c r="K1121" s="13" t="s">
        <v>47</v>
      </c>
      <c r="L1121" s="13" t="s">
        <v>48</v>
      </c>
      <c r="M1121" t="s">
        <v>139</v>
      </c>
      <c r="N1121">
        <v>575</v>
      </c>
      <c r="O1121" s="14">
        <v>0.41133726807311199</v>
      </c>
      <c r="P1121" s="14">
        <v>0.41950060334056599</v>
      </c>
      <c r="Q1121" t="str">
        <f t="shared" si="34"/>
        <v>50+</v>
      </c>
      <c r="R1121" t="str">
        <f t="shared" si="35"/>
        <v>[E7zpfyBt7Tw]|50+|Male|HIV_PREV.T_1|CY2023Q3</v>
      </c>
    </row>
    <row r="1122" spans="4:18" x14ac:dyDescent="0.2">
      <c r="D1122" s="13" t="s">
        <v>125</v>
      </c>
      <c r="E1122" s="13" t="s">
        <v>126</v>
      </c>
      <c r="F1122" s="13" t="s">
        <v>127</v>
      </c>
      <c r="G1122" s="13" t="s">
        <v>140</v>
      </c>
      <c r="H1122" s="13" t="s">
        <v>141</v>
      </c>
      <c r="I1122" t="s">
        <v>27</v>
      </c>
      <c r="J1122" s="13" t="s">
        <v>28</v>
      </c>
      <c r="K1122" s="13" t="s">
        <v>29</v>
      </c>
      <c r="L1122" s="13" t="s">
        <v>30</v>
      </c>
      <c r="M1122" t="s">
        <v>139</v>
      </c>
      <c r="N1122">
        <v>1045</v>
      </c>
      <c r="O1122" s="14">
        <v>0.62316733854822803</v>
      </c>
      <c r="P1122" s="14">
        <v>0.25270639033988102</v>
      </c>
      <c r="Q1122" t="str">
        <f t="shared" si="34"/>
        <v>&lt;01</v>
      </c>
      <c r="R1122" t="str">
        <f t="shared" si="35"/>
        <v>[ZCjuwgaMB9u]|&lt;01|Female|HIV_PREV.T_1|CY2023Q3</v>
      </c>
    </row>
    <row r="1123" spans="4:18" x14ac:dyDescent="0.2">
      <c r="D1123" s="13" t="s">
        <v>125</v>
      </c>
      <c r="E1123" s="13" t="s">
        <v>126</v>
      </c>
      <c r="F1123" s="13" t="s">
        <v>127</v>
      </c>
      <c r="G1123" s="13" t="s">
        <v>140</v>
      </c>
      <c r="H1123" s="13" t="s">
        <v>141</v>
      </c>
      <c r="I1123" t="s">
        <v>32</v>
      </c>
      <c r="J1123" s="13" t="s">
        <v>33</v>
      </c>
      <c r="K1123" s="13" t="s">
        <v>29</v>
      </c>
      <c r="L1123" s="13" t="s">
        <v>30</v>
      </c>
      <c r="M1123" t="s">
        <v>139</v>
      </c>
      <c r="N1123">
        <v>1468</v>
      </c>
      <c r="O1123" s="14">
        <v>0.233134117908776</v>
      </c>
      <c r="P1123" s="14">
        <v>0.25270639033988102</v>
      </c>
      <c r="Q1123" t="str">
        <f t="shared" si="34"/>
        <v>01-09</v>
      </c>
      <c r="R1123" t="str">
        <f t="shared" si="35"/>
        <v>[ZCjuwgaMB9u]|01-09|Female|HIV_PREV.T_1|CY2023Q3</v>
      </c>
    </row>
    <row r="1124" spans="4:18" x14ac:dyDescent="0.2">
      <c r="D1124" s="13" t="s">
        <v>125</v>
      </c>
      <c r="E1124" s="13" t="s">
        <v>126</v>
      </c>
      <c r="F1124" s="13" t="s">
        <v>127</v>
      </c>
      <c r="G1124" s="13" t="s">
        <v>140</v>
      </c>
      <c r="H1124" s="13" t="s">
        <v>141</v>
      </c>
      <c r="I1124" t="s">
        <v>35</v>
      </c>
      <c r="J1124" s="13" t="s">
        <v>36</v>
      </c>
      <c r="K1124" s="13" t="s">
        <v>29</v>
      </c>
      <c r="L1124" s="13" t="s">
        <v>30</v>
      </c>
      <c r="M1124" t="s">
        <v>139</v>
      </c>
      <c r="N1124">
        <v>1595</v>
      </c>
      <c r="O1124" s="14">
        <v>0.14768475852906701</v>
      </c>
      <c r="P1124" s="14">
        <v>0.25270639033988102</v>
      </c>
      <c r="Q1124" t="str">
        <f t="shared" si="34"/>
        <v>10-14</v>
      </c>
      <c r="R1124" t="str">
        <f t="shared" si="35"/>
        <v>[ZCjuwgaMB9u]|10-14|Female|HIV_PREV.T_1|CY2023Q3</v>
      </c>
    </row>
    <row r="1125" spans="4:18" x14ac:dyDescent="0.2">
      <c r="D1125" s="13" t="s">
        <v>125</v>
      </c>
      <c r="E1125" s="13" t="s">
        <v>126</v>
      </c>
      <c r="F1125" s="13" t="s">
        <v>127</v>
      </c>
      <c r="G1125" s="13" t="s">
        <v>140</v>
      </c>
      <c r="H1125" s="13" t="s">
        <v>141</v>
      </c>
      <c r="I1125" t="s">
        <v>37</v>
      </c>
      <c r="J1125" s="13" t="s">
        <v>38</v>
      </c>
      <c r="K1125" s="13" t="s">
        <v>29</v>
      </c>
      <c r="L1125" s="13" t="s">
        <v>30</v>
      </c>
      <c r="M1125" t="s">
        <v>139</v>
      </c>
      <c r="N1125">
        <v>974</v>
      </c>
      <c r="O1125" s="14">
        <v>0.74961795029230405</v>
      </c>
      <c r="P1125" s="14">
        <v>0.25270639033988102</v>
      </c>
      <c r="Q1125" t="str">
        <f t="shared" si="34"/>
        <v>15-24</v>
      </c>
      <c r="R1125" t="str">
        <f t="shared" si="35"/>
        <v>[ZCjuwgaMB9u]|15-24|Female|HIV_PREV.T_1|CY2023Q3</v>
      </c>
    </row>
    <row r="1126" spans="4:18" x14ac:dyDescent="0.2">
      <c r="D1126" s="13" t="s">
        <v>125</v>
      </c>
      <c r="E1126" s="13" t="s">
        <v>126</v>
      </c>
      <c r="F1126" s="13" t="s">
        <v>127</v>
      </c>
      <c r="G1126" s="13" t="s">
        <v>140</v>
      </c>
      <c r="H1126" s="13" t="s">
        <v>141</v>
      </c>
      <c r="I1126" t="s">
        <v>40</v>
      </c>
      <c r="J1126" s="13" t="s">
        <v>41</v>
      </c>
      <c r="K1126" s="13" t="s">
        <v>29</v>
      </c>
      <c r="L1126" s="13" t="s">
        <v>30</v>
      </c>
      <c r="M1126" t="s">
        <v>139</v>
      </c>
      <c r="N1126">
        <v>1175</v>
      </c>
      <c r="O1126" s="14">
        <v>0.75489396275952503</v>
      </c>
      <c r="P1126" s="14">
        <v>0.25270639033988102</v>
      </c>
      <c r="Q1126" t="str">
        <f t="shared" si="34"/>
        <v>25-34</v>
      </c>
      <c r="R1126" t="str">
        <f t="shared" si="35"/>
        <v>[ZCjuwgaMB9u]|25-34|Female|HIV_PREV.T_1|CY2023Q3</v>
      </c>
    </row>
    <row r="1127" spans="4:18" x14ac:dyDescent="0.2">
      <c r="D1127" s="13" t="s">
        <v>125</v>
      </c>
      <c r="E1127" s="13" t="s">
        <v>126</v>
      </c>
      <c r="F1127" s="13" t="s">
        <v>127</v>
      </c>
      <c r="G1127" s="13" t="s">
        <v>140</v>
      </c>
      <c r="H1127" s="13" t="s">
        <v>141</v>
      </c>
      <c r="I1127" t="s">
        <v>42</v>
      </c>
      <c r="J1127" s="13" t="s">
        <v>43</v>
      </c>
      <c r="K1127" s="13" t="s">
        <v>29</v>
      </c>
      <c r="L1127" s="13" t="s">
        <v>30</v>
      </c>
      <c r="M1127" t="s">
        <v>139</v>
      </c>
      <c r="N1127">
        <v>1895</v>
      </c>
      <c r="O1127" s="14">
        <v>0.99427648819983006</v>
      </c>
      <c r="P1127" s="14">
        <v>0.25270639033988102</v>
      </c>
      <c r="Q1127" t="str">
        <f t="shared" si="34"/>
        <v>35-49</v>
      </c>
      <c r="R1127" t="str">
        <f t="shared" si="35"/>
        <v>[ZCjuwgaMB9u]|35-49|Female|HIV_PREV.T_1|CY2023Q3</v>
      </c>
    </row>
    <row r="1128" spans="4:18" x14ac:dyDescent="0.2">
      <c r="D1128" s="13" t="s">
        <v>125</v>
      </c>
      <c r="E1128" s="13" t="s">
        <v>126</v>
      </c>
      <c r="F1128" s="13" t="s">
        <v>127</v>
      </c>
      <c r="G1128" s="13" t="s">
        <v>140</v>
      </c>
      <c r="H1128" s="13" t="s">
        <v>141</v>
      </c>
      <c r="I1128" t="s">
        <v>44</v>
      </c>
      <c r="J1128" s="13" t="s">
        <v>45</v>
      </c>
      <c r="K1128" s="13" t="s">
        <v>29</v>
      </c>
      <c r="L1128" s="13" t="s">
        <v>30</v>
      </c>
      <c r="M1128" t="s">
        <v>139</v>
      </c>
      <c r="N1128">
        <v>1443</v>
      </c>
      <c r="O1128" s="14">
        <v>0.45310574071481802</v>
      </c>
      <c r="P1128" s="14">
        <v>0.25270639033988102</v>
      </c>
      <c r="Q1128" t="str">
        <f t="shared" si="34"/>
        <v>50+</v>
      </c>
      <c r="R1128" t="str">
        <f t="shared" si="35"/>
        <v>[ZCjuwgaMB9u]|50+|Female|HIV_PREV.T_1|CY2023Q3</v>
      </c>
    </row>
    <row r="1129" spans="4:18" x14ac:dyDescent="0.2">
      <c r="D1129" s="13" t="s">
        <v>125</v>
      </c>
      <c r="E1129" s="13" t="s">
        <v>126</v>
      </c>
      <c r="F1129" s="13" t="s">
        <v>127</v>
      </c>
      <c r="G1129" s="13" t="s">
        <v>140</v>
      </c>
      <c r="H1129" s="13" t="s">
        <v>141</v>
      </c>
      <c r="I1129" t="s">
        <v>27</v>
      </c>
      <c r="J1129" s="13" t="s">
        <v>28</v>
      </c>
      <c r="K1129" s="13" t="s">
        <v>47</v>
      </c>
      <c r="L1129" s="13" t="s">
        <v>48</v>
      </c>
      <c r="M1129" t="s">
        <v>139</v>
      </c>
      <c r="N1129">
        <v>1169</v>
      </c>
      <c r="O1129" s="14">
        <v>0.74544500908814404</v>
      </c>
      <c r="P1129" s="14">
        <v>0.25270639033988102</v>
      </c>
      <c r="Q1129" t="str">
        <f t="shared" si="34"/>
        <v>&lt;01</v>
      </c>
      <c r="R1129" t="str">
        <f t="shared" si="35"/>
        <v>[ZCjuwgaMB9u]|&lt;01|Male|HIV_PREV.T_1|CY2023Q3</v>
      </c>
    </row>
    <row r="1130" spans="4:18" x14ac:dyDescent="0.2">
      <c r="D1130" s="13" t="s">
        <v>125</v>
      </c>
      <c r="E1130" s="13" t="s">
        <v>126</v>
      </c>
      <c r="F1130" s="13" t="s">
        <v>127</v>
      </c>
      <c r="G1130" s="13" t="s">
        <v>140</v>
      </c>
      <c r="H1130" s="13" t="s">
        <v>141</v>
      </c>
      <c r="I1130" t="s">
        <v>32</v>
      </c>
      <c r="J1130" s="13" t="s">
        <v>33</v>
      </c>
      <c r="K1130" s="13" t="s">
        <v>47</v>
      </c>
      <c r="L1130" s="13" t="s">
        <v>48</v>
      </c>
      <c r="M1130" t="s">
        <v>139</v>
      </c>
      <c r="N1130">
        <v>915</v>
      </c>
      <c r="O1130" s="14">
        <v>0.55869652098044797</v>
      </c>
      <c r="P1130" s="14">
        <v>0.25270639033988102</v>
      </c>
      <c r="Q1130" t="str">
        <f t="shared" si="34"/>
        <v>01-09</v>
      </c>
      <c r="R1130" t="str">
        <f t="shared" si="35"/>
        <v>[ZCjuwgaMB9u]|01-09|Male|HIV_PREV.T_1|CY2023Q3</v>
      </c>
    </row>
    <row r="1131" spans="4:18" x14ac:dyDescent="0.2">
      <c r="D1131" s="13" t="s">
        <v>125</v>
      </c>
      <c r="E1131" s="13" t="s">
        <v>126</v>
      </c>
      <c r="F1131" s="13" t="s">
        <v>127</v>
      </c>
      <c r="G1131" s="13" t="s">
        <v>140</v>
      </c>
      <c r="H1131" s="13" t="s">
        <v>141</v>
      </c>
      <c r="I1131" t="s">
        <v>35</v>
      </c>
      <c r="J1131" s="13" t="s">
        <v>36</v>
      </c>
      <c r="K1131" s="13" t="s">
        <v>47</v>
      </c>
      <c r="L1131" s="13" t="s">
        <v>48</v>
      </c>
      <c r="M1131" t="s">
        <v>139</v>
      </c>
      <c r="N1131">
        <v>919</v>
      </c>
      <c r="O1131" s="14">
        <v>0.32113838777877401</v>
      </c>
      <c r="P1131" s="14">
        <v>0.25270639033988102</v>
      </c>
      <c r="Q1131" t="str">
        <f t="shared" si="34"/>
        <v>10-14</v>
      </c>
      <c r="R1131" t="str">
        <f t="shared" si="35"/>
        <v>[ZCjuwgaMB9u]|10-14|Male|HIV_PREV.T_1|CY2023Q3</v>
      </c>
    </row>
    <row r="1132" spans="4:18" x14ac:dyDescent="0.2">
      <c r="D1132" s="13" t="s">
        <v>125</v>
      </c>
      <c r="E1132" s="13" t="s">
        <v>126</v>
      </c>
      <c r="F1132" s="13" t="s">
        <v>127</v>
      </c>
      <c r="G1132" s="13" t="s">
        <v>140</v>
      </c>
      <c r="H1132" s="13" t="s">
        <v>141</v>
      </c>
      <c r="I1132" t="s">
        <v>37</v>
      </c>
      <c r="J1132" s="13" t="s">
        <v>38</v>
      </c>
      <c r="K1132" s="13" t="s">
        <v>47</v>
      </c>
      <c r="L1132" s="13" t="s">
        <v>48</v>
      </c>
      <c r="M1132" t="s">
        <v>139</v>
      </c>
      <c r="N1132">
        <v>1915</v>
      </c>
      <c r="O1132" s="14">
        <v>0.130129929631948</v>
      </c>
      <c r="P1132" s="14">
        <v>0.25270639033988102</v>
      </c>
      <c r="Q1132" t="str">
        <f t="shared" si="34"/>
        <v>15-24</v>
      </c>
      <c r="R1132" t="str">
        <f t="shared" si="35"/>
        <v>[ZCjuwgaMB9u]|15-24|Male|HIV_PREV.T_1|CY2023Q3</v>
      </c>
    </row>
    <row r="1133" spans="4:18" x14ac:dyDescent="0.2">
      <c r="D1133" s="13" t="s">
        <v>125</v>
      </c>
      <c r="E1133" s="13" t="s">
        <v>126</v>
      </c>
      <c r="F1133" s="13" t="s">
        <v>127</v>
      </c>
      <c r="G1133" s="13" t="s">
        <v>140</v>
      </c>
      <c r="H1133" s="13" t="s">
        <v>141</v>
      </c>
      <c r="I1133" t="s">
        <v>40</v>
      </c>
      <c r="J1133" s="13" t="s">
        <v>41</v>
      </c>
      <c r="K1133" s="13" t="s">
        <v>47</v>
      </c>
      <c r="L1133" s="13" t="s">
        <v>48</v>
      </c>
      <c r="M1133" t="s">
        <v>139</v>
      </c>
      <c r="N1133">
        <v>1075</v>
      </c>
      <c r="O1133" s="14">
        <v>6.1904760077595697E-2</v>
      </c>
      <c r="P1133" s="14">
        <v>0.25270639033988102</v>
      </c>
      <c r="Q1133" t="str">
        <f t="shared" si="34"/>
        <v>25-34</v>
      </c>
      <c r="R1133" t="str">
        <f t="shared" si="35"/>
        <v>[ZCjuwgaMB9u]|25-34|Male|HIV_PREV.T_1|CY2023Q3</v>
      </c>
    </row>
    <row r="1134" spans="4:18" x14ac:dyDescent="0.2">
      <c r="D1134" s="13" t="s">
        <v>125</v>
      </c>
      <c r="E1134" s="13" t="s">
        <v>126</v>
      </c>
      <c r="F1134" s="13" t="s">
        <v>127</v>
      </c>
      <c r="G1134" s="13" t="s">
        <v>140</v>
      </c>
      <c r="H1134" s="13" t="s">
        <v>141</v>
      </c>
      <c r="I1134" t="s">
        <v>42</v>
      </c>
      <c r="J1134" s="13" t="s">
        <v>43</v>
      </c>
      <c r="K1134" s="13" t="s">
        <v>47</v>
      </c>
      <c r="L1134" s="13" t="s">
        <v>48</v>
      </c>
      <c r="M1134" t="s">
        <v>139</v>
      </c>
      <c r="N1134">
        <v>1845</v>
      </c>
      <c r="O1134" s="14">
        <v>0.51711860694922496</v>
      </c>
      <c r="P1134" s="14">
        <v>0.25270639033988102</v>
      </c>
      <c r="Q1134" t="str">
        <f t="shared" si="34"/>
        <v>35-49</v>
      </c>
      <c r="R1134" t="str">
        <f t="shared" si="35"/>
        <v>[ZCjuwgaMB9u]|35-49|Male|HIV_PREV.T_1|CY2023Q3</v>
      </c>
    </row>
    <row r="1135" spans="4:18" x14ac:dyDescent="0.2">
      <c r="D1135" s="13" t="s">
        <v>125</v>
      </c>
      <c r="E1135" s="13" t="s">
        <v>126</v>
      </c>
      <c r="F1135" s="13" t="s">
        <v>127</v>
      </c>
      <c r="G1135" s="13" t="s">
        <v>140</v>
      </c>
      <c r="H1135" s="13" t="s">
        <v>141</v>
      </c>
      <c r="I1135" t="s">
        <v>44</v>
      </c>
      <c r="J1135" s="13" t="s">
        <v>45</v>
      </c>
      <c r="K1135" s="13" t="s">
        <v>47</v>
      </c>
      <c r="L1135" s="13" t="s">
        <v>48</v>
      </c>
      <c r="M1135" t="s">
        <v>139</v>
      </c>
      <c r="N1135">
        <v>1541</v>
      </c>
      <c r="O1135" s="14">
        <v>0.83094068220816597</v>
      </c>
      <c r="P1135" s="14">
        <v>0.25270639033988102</v>
      </c>
      <c r="Q1135" t="str">
        <f t="shared" si="34"/>
        <v>50+</v>
      </c>
      <c r="R1135" t="str">
        <f t="shared" si="35"/>
        <v>[ZCjuwgaMB9u]|50+|Male|HIV_PREV.T_1|CY2023Q3</v>
      </c>
    </row>
    <row r="1136" spans="4:18" x14ac:dyDescent="0.2">
      <c r="D1136" s="13" t="s">
        <v>128</v>
      </c>
      <c r="E1136" s="13" t="s">
        <v>129</v>
      </c>
      <c r="F1136" s="13" t="s">
        <v>130</v>
      </c>
      <c r="G1136" s="13" t="s">
        <v>140</v>
      </c>
      <c r="H1136" s="13" t="s">
        <v>141</v>
      </c>
      <c r="I1136" t="s">
        <v>27</v>
      </c>
      <c r="J1136" s="13" t="s">
        <v>28</v>
      </c>
      <c r="K1136" s="13" t="s">
        <v>29</v>
      </c>
      <c r="L1136" s="13" t="s">
        <v>30</v>
      </c>
      <c r="M1136" t="s">
        <v>139</v>
      </c>
      <c r="N1136">
        <v>1108</v>
      </c>
      <c r="O1136" s="14">
        <v>0.95018192171119198</v>
      </c>
      <c r="P1136" s="14">
        <v>0.55690808477811504</v>
      </c>
      <c r="Q1136" t="str">
        <f t="shared" si="34"/>
        <v>&lt;01</v>
      </c>
      <c r="R1136" t="str">
        <f t="shared" si="35"/>
        <v>[YCKiBAp8QAg]|&lt;01|Female|HIV_PREV.T_1|CY2023Q3</v>
      </c>
    </row>
    <row r="1137" spans="4:18" x14ac:dyDescent="0.2">
      <c r="D1137" s="13" t="s">
        <v>128</v>
      </c>
      <c r="E1137" s="13" t="s">
        <v>129</v>
      </c>
      <c r="F1137" s="13" t="s">
        <v>130</v>
      </c>
      <c r="G1137" s="13" t="s">
        <v>140</v>
      </c>
      <c r="H1137" s="13" t="s">
        <v>141</v>
      </c>
      <c r="I1137" t="s">
        <v>32</v>
      </c>
      <c r="J1137" s="13" t="s">
        <v>33</v>
      </c>
      <c r="K1137" s="13" t="s">
        <v>29</v>
      </c>
      <c r="L1137" s="13" t="s">
        <v>30</v>
      </c>
      <c r="M1137" t="s">
        <v>139</v>
      </c>
      <c r="N1137">
        <v>1078</v>
      </c>
      <c r="O1137" s="14">
        <v>0.78421905240975298</v>
      </c>
      <c r="P1137" s="14">
        <v>0.55690808477811504</v>
      </c>
      <c r="Q1137" t="str">
        <f t="shared" si="34"/>
        <v>01-09</v>
      </c>
      <c r="R1137" t="str">
        <f t="shared" si="35"/>
        <v>[YCKiBAp8QAg]|01-09|Female|HIV_PREV.T_1|CY2023Q3</v>
      </c>
    </row>
    <row r="1138" spans="4:18" x14ac:dyDescent="0.2">
      <c r="D1138" s="13" t="s">
        <v>128</v>
      </c>
      <c r="E1138" s="13" t="s">
        <v>129</v>
      </c>
      <c r="F1138" s="13" t="s">
        <v>130</v>
      </c>
      <c r="G1138" s="13" t="s">
        <v>140</v>
      </c>
      <c r="H1138" s="13" t="s">
        <v>141</v>
      </c>
      <c r="I1138" t="s">
        <v>35</v>
      </c>
      <c r="J1138" s="13" t="s">
        <v>36</v>
      </c>
      <c r="K1138" s="13" t="s">
        <v>29</v>
      </c>
      <c r="L1138" s="13" t="s">
        <v>30</v>
      </c>
      <c r="M1138" t="s">
        <v>139</v>
      </c>
      <c r="N1138">
        <v>1754</v>
      </c>
      <c r="O1138" s="14">
        <v>0.87616694555617902</v>
      </c>
      <c r="P1138" s="14">
        <v>0.55690808477811504</v>
      </c>
      <c r="Q1138" t="str">
        <f t="shared" si="34"/>
        <v>10-14</v>
      </c>
      <c r="R1138" t="str">
        <f t="shared" si="35"/>
        <v>[YCKiBAp8QAg]|10-14|Female|HIV_PREV.T_1|CY2023Q3</v>
      </c>
    </row>
    <row r="1139" spans="4:18" x14ac:dyDescent="0.2">
      <c r="D1139" s="13" t="s">
        <v>128</v>
      </c>
      <c r="E1139" s="13" t="s">
        <v>129</v>
      </c>
      <c r="F1139" s="13" t="s">
        <v>130</v>
      </c>
      <c r="G1139" s="13" t="s">
        <v>140</v>
      </c>
      <c r="H1139" s="13" t="s">
        <v>141</v>
      </c>
      <c r="I1139" t="s">
        <v>37</v>
      </c>
      <c r="J1139" s="13" t="s">
        <v>38</v>
      </c>
      <c r="K1139" s="13" t="s">
        <v>29</v>
      </c>
      <c r="L1139" s="13" t="s">
        <v>30</v>
      </c>
      <c r="M1139" t="s">
        <v>139</v>
      </c>
      <c r="N1139">
        <v>1616</v>
      </c>
      <c r="O1139" s="14">
        <v>0.46608475758694101</v>
      </c>
      <c r="P1139" s="14">
        <v>0.55690808477811504</v>
      </c>
      <c r="Q1139" t="str">
        <f t="shared" si="34"/>
        <v>15-24</v>
      </c>
      <c r="R1139" t="str">
        <f t="shared" si="35"/>
        <v>[YCKiBAp8QAg]|15-24|Female|HIV_PREV.T_1|CY2023Q3</v>
      </c>
    </row>
    <row r="1140" spans="4:18" x14ac:dyDescent="0.2">
      <c r="D1140" s="13" t="s">
        <v>128</v>
      </c>
      <c r="E1140" s="13" t="s">
        <v>129</v>
      </c>
      <c r="F1140" s="13" t="s">
        <v>130</v>
      </c>
      <c r="G1140" s="13" t="s">
        <v>140</v>
      </c>
      <c r="H1140" s="13" t="s">
        <v>141</v>
      </c>
      <c r="I1140" t="s">
        <v>40</v>
      </c>
      <c r="J1140" s="13" t="s">
        <v>41</v>
      </c>
      <c r="K1140" s="13" t="s">
        <v>29</v>
      </c>
      <c r="L1140" s="13" t="s">
        <v>30</v>
      </c>
      <c r="M1140" t="s">
        <v>139</v>
      </c>
      <c r="N1140">
        <v>1905</v>
      </c>
      <c r="O1140" s="14">
        <v>0.47885808954015402</v>
      </c>
      <c r="P1140" s="14">
        <v>0.55690808477811504</v>
      </c>
      <c r="Q1140" t="str">
        <f t="shared" si="34"/>
        <v>25-34</v>
      </c>
      <c r="R1140" t="str">
        <f t="shared" si="35"/>
        <v>[YCKiBAp8QAg]|25-34|Female|HIV_PREV.T_1|CY2023Q3</v>
      </c>
    </row>
    <row r="1141" spans="4:18" x14ac:dyDescent="0.2">
      <c r="D1141" s="13" t="s">
        <v>128</v>
      </c>
      <c r="E1141" s="13" t="s">
        <v>129</v>
      </c>
      <c r="F1141" s="13" t="s">
        <v>130</v>
      </c>
      <c r="G1141" s="13" t="s">
        <v>140</v>
      </c>
      <c r="H1141" s="13" t="s">
        <v>141</v>
      </c>
      <c r="I1141" t="s">
        <v>42</v>
      </c>
      <c r="J1141" s="13" t="s">
        <v>43</v>
      </c>
      <c r="K1141" s="13" t="s">
        <v>29</v>
      </c>
      <c r="L1141" s="13" t="s">
        <v>30</v>
      </c>
      <c r="M1141" t="s">
        <v>139</v>
      </c>
      <c r="N1141">
        <v>1121</v>
      </c>
      <c r="O1141" s="14">
        <v>0.42115702433511598</v>
      </c>
      <c r="P1141" s="14">
        <v>0.55690808477811504</v>
      </c>
      <c r="Q1141" t="str">
        <f t="shared" si="34"/>
        <v>35-49</v>
      </c>
      <c r="R1141" t="str">
        <f t="shared" si="35"/>
        <v>[YCKiBAp8QAg]|35-49|Female|HIV_PREV.T_1|CY2023Q3</v>
      </c>
    </row>
    <row r="1142" spans="4:18" x14ac:dyDescent="0.2">
      <c r="D1142" s="13" t="s">
        <v>128</v>
      </c>
      <c r="E1142" s="13" t="s">
        <v>129</v>
      </c>
      <c r="F1142" s="13" t="s">
        <v>130</v>
      </c>
      <c r="G1142" s="13" t="s">
        <v>140</v>
      </c>
      <c r="H1142" s="13" t="s">
        <v>141</v>
      </c>
      <c r="I1142" t="s">
        <v>44</v>
      </c>
      <c r="J1142" s="13" t="s">
        <v>45</v>
      </c>
      <c r="K1142" s="13" t="s">
        <v>29</v>
      </c>
      <c r="L1142" s="13" t="s">
        <v>30</v>
      </c>
      <c r="M1142" t="s">
        <v>139</v>
      </c>
      <c r="N1142">
        <v>774</v>
      </c>
      <c r="O1142" s="14">
        <v>0.65542914695106402</v>
      </c>
      <c r="P1142" s="14">
        <v>0.55690808477811504</v>
      </c>
      <c r="Q1142" t="str">
        <f t="shared" si="34"/>
        <v>50+</v>
      </c>
      <c r="R1142" t="str">
        <f t="shared" si="35"/>
        <v>[YCKiBAp8QAg]|50+|Female|HIV_PREV.T_1|CY2023Q3</v>
      </c>
    </row>
    <row r="1143" spans="4:18" x14ac:dyDescent="0.2">
      <c r="D1143" s="13" t="s">
        <v>128</v>
      </c>
      <c r="E1143" s="13" t="s">
        <v>129</v>
      </c>
      <c r="F1143" s="13" t="s">
        <v>130</v>
      </c>
      <c r="G1143" s="13" t="s">
        <v>140</v>
      </c>
      <c r="H1143" s="13" t="s">
        <v>141</v>
      </c>
      <c r="I1143" t="s">
        <v>27</v>
      </c>
      <c r="J1143" s="13" t="s">
        <v>28</v>
      </c>
      <c r="K1143" s="13" t="s">
        <v>47</v>
      </c>
      <c r="L1143" s="13" t="s">
        <v>48</v>
      </c>
      <c r="M1143" t="s">
        <v>139</v>
      </c>
      <c r="N1143">
        <v>1289</v>
      </c>
      <c r="O1143" s="14">
        <v>3.3157382393255802E-2</v>
      </c>
      <c r="P1143" s="14">
        <v>0.55690808477811504</v>
      </c>
      <c r="Q1143" t="str">
        <f t="shared" si="34"/>
        <v>&lt;01</v>
      </c>
      <c r="R1143" t="str">
        <f t="shared" si="35"/>
        <v>[YCKiBAp8QAg]|&lt;01|Male|HIV_PREV.T_1|CY2023Q3</v>
      </c>
    </row>
    <row r="1144" spans="4:18" x14ac:dyDescent="0.2">
      <c r="D1144" s="13" t="s">
        <v>128</v>
      </c>
      <c r="E1144" s="13" t="s">
        <v>129</v>
      </c>
      <c r="F1144" s="13" t="s">
        <v>130</v>
      </c>
      <c r="G1144" s="13" t="s">
        <v>140</v>
      </c>
      <c r="H1144" s="13" t="s">
        <v>141</v>
      </c>
      <c r="I1144" t="s">
        <v>32</v>
      </c>
      <c r="J1144" s="13" t="s">
        <v>33</v>
      </c>
      <c r="K1144" s="13" t="s">
        <v>47</v>
      </c>
      <c r="L1144" s="13" t="s">
        <v>48</v>
      </c>
      <c r="M1144" t="s">
        <v>139</v>
      </c>
      <c r="N1144">
        <v>1159</v>
      </c>
      <c r="O1144" s="14">
        <v>0.97884587757289399</v>
      </c>
      <c r="P1144" s="14">
        <v>0.55690808477811504</v>
      </c>
      <c r="Q1144" t="str">
        <f t="shared" si="34"/>
        <v>01-09</v>
      </c>
      <c r="R1144" t="str">
        <f t="shared" si="35"/>
        <v>[YCKiBAp8QAg]|01-09|Male|HIV_PREV.T_1|CY2023Q3</v>
      </c>
    </row>
    <row r="1145" spans="4:18" x14ac:dyDescent="0.2">
      <c r="D1145" s="13" t="s">
        <v>128</v>
      </c>
      <c r="E1145" s="13" t="s">
        <v>129</v>
      </c>
      <c r="F1145" s="13" t="s">
        <v>130</v>
      </c>
      <c r="G1145" s="13" t="s">
        <v>140</v>
      </c>
      <c r="H1145" s="13" t="s">
        <v>141</v>
      </c>
      <c r="I1145" t="s">
        <v>35</v>
      </c>
      <c r="J1145" s="13" t="s">
        <v>36</v>
      </c>
      <c r="K1145" s="13" t="s">
        <v>47</v>
      </c>
      <c r="L1145" s="13" t="s">
        <v>48</v>
      </c>
      <c r="M1145" t="s">
        <v>139</v>
      </c>
      <c r="N1145">
        <v>1003</v>
      </c>
      <c r="O1145" s="14">
        <v>0.93099847179837503</v>
      </c>
      <c r="P1145" s="14">
        <v>0.55690808477811504</v>
      </c>
      <c r="Q1145" t="str">
        <f t="shared" si="34"/>
        <v>10-14</v>
      </c>
      <c r="R1145" t="str">
        <f t="shared" si="35"/>
        <v>[YCKiBAp8QAg]|10-14|Male|HIV_PREV.T_1|CY2023Q3</v>
      </c>
    </row>
    <row r="1146" spans="4:18" x14ac:dyDescent="0.2">
      <c r="D1146" s="13" t="s">
        <v>128</v>
      </c>
      <c r="E1146" s="13" t="s">
        <v>129</v>
      </c>
      <c r="F1146" s="13" t="s">
        <v>130</v>
      </c>
      <c r="G1146" s="13" t="s">
        <v>140</v>
      </c>
      <c r="H1146" s="13" t="s">
        <v>141</v>
      </c>
      <c r="I1146" t="s">
        <v>37</v>
      </c>
      <c r="J1146" s="13" t="s">
        <v>38</v>
      </c>
      <c r="K1146" s="13" t="s">
        <v>47</v>
      </c>
      <c r="L1146" s="13" t="s">
        <v>48</v>
      </c>
      <c r="M1146" t="s">
        <v>139</v>
      </c>
      <c r="N1146">
        <v>1488</v>
      </c>
      <c r="O1146" s="14">
        <v>7.4993409682065207E-2</v>
      </c>
      <c r="P1146" s="14">
        <v>0.55690808477811504</v>
      </c>
      <c r="Q1146" t="str">
        <f t="shared" si="34"/>
        <v>15-24</v>
      </c>
      <c r="R1146" t="str">
        <f t="shared" si="35"/>
        <v>[YCKiBAp8QAg]|15-24|Male|HIV_PREV.T_1|CY2023Q3</v>
      </c>
    </row>
    <row r="1147" spans="4:18" x14ac:dyDescent="0.2">
      <c r="D1147" s="13" t="s">
        <v>128</v>
      </c>
      <c r="E1147" s="13" t="s">
        <v>129</v>
      </c>
      <c r="F1147" s="13" t="s">
        <v>130</v>
      </c>
      <c r="G1147" s="13" t="s">
        <v>140</v>
      </c>
      <c r="H1147" s="13" t="s">
        <v>141</v>
      </c>
      <c r="I1147" t="s">
        <v>40</v>
      </c>
      <c r="J1147" s="13" t="s">
        <v>41</v>
      </c>
      <c r="K1147" s="13" t="s">
        <v>47</v>
      </c>
      <c r="L1147" s="13" t="s">
        <v>48</v>
      </c>
      <c r="M1147" t="s">
        <v>139</v>
      </c>
      <c r="N1147">
        <v>905</v>
      </c>
      <c r="O1147" s="14">
        <v>0.80056619876995705</v>
      </c>
      <c r="P1147" s="14">
        <v>0.55690808477811504</v>
      </c>
      <c r="Q1147" t="str">
        <f t="shared" si="34"/>
        <v>25-34</v>
      </c>
      <c r="R1147" t="str">
        <f t="shared" si="35"/>
        <v>[YCKiBAp8QAg]|25-34|Male|HIV_PREV.T_1|CY2023Q3</v>
      </c>
    </row>
    <row r="1148" spans="4:18" x14ac:dyDescent="0.2">
      <c r="D1148" s="13" t="s">
        <v>128</v>
      </c>
      <c r="E1148" s="13" t="s">
        <v>129</v>
      </c>
      <c r="F1148" s="13" t="s">
        <v>130</v>
      </c>
      <c r="G1148" s="13" t="s">
        <v>140</v>
      </c>
      <c r="H1148" s="13" t="s">
        <v>141</v>
      </c>
      <c r="I1148" t="s">
        <v>42</v>
      </c>
      <c r="J1148" s="13" t="s">
        <v>43</v>
      </c>
      <c r="K1148" s="13" t="s">
        <v>47</v>
      </c>
      <c r="L1148" s="13" t="s">
        <v>48</v>
      </c>
      <c r="M1148" t="s">
        <v>139</v>
      </c>
      <c r="N1148">
        <v>511</v>
      </c>
      <c r="O1148" s="14">
        <v>0.90699194604530897</v>
      </c>
      <c r="P1148" s="14">
        <v>0.55690808477811504</v>
      </c>
      <c r="Q1148" t="str">
        <f t="shared" si="34"/>
        <v>35-49</v>
      </c>
      <c r="R1148" t="str">
        <f t="shared" si="35"/>
        <v>[YCKiBAp8QAg]|35-49|Male|HIV_PREV.T_1|CY2023Q3</v>
      </c>
    </row>
    <row r="1149" spans="4:18" x14ac:dyDescent="0.2">
      <c r="D1149" s="13" t="s">
        <v>128</v>
      </c>
      <c r="E1149" s="13" t="s">
        <v>129</v>
      </c>
      <c r="F1149" s="13" t="s">
        <v>130</v>
      </c>
      <c r="G1149" s="13" t="s">
        <v>140</v>
      </c>
      <c r="H1149" s="13" t="s">
        <v>141</v>
      </c>
      <c r="I1149" t="s">
        <v>44</v>
      </c>
      <c r="J1149" s="13" t="s">
        <v>45</v>
      </c>
      <c r="K1149" s="13" t="s">
        <v>47</v>
      </c>
      <c r="L1149" s="13" t="s">
        <v>48</v>
      </c>
      <c r="M1149" t="s">
        <v>139</v>
      </c>
      <c r="N1149">
        <v>1395</v>
      </c>
      <c r="O1149" s="14">
        <v>7.6683430001139599E-2</v>
      </c>
      <c r="P1149" s="14">
        <v>0.55690808477811504</v>
      </c>
      <c r="Q1149" t="str">
        <f t="shared" si="34"/>
        <v>50+</v>
      </c>
      <c r="R1149" t="str">
        <f t="shared" si="35"/>
        <v>[YCKiBAp8QAg]|50+|Male|HIV_PREV.T_1|CY2023Q3</v>
      </c>
    </row>
    <row r="1150" spans="4:18" x14ac:dyDescent="0.2">
      <c r="D1150" s="13" t="s">
        <v>131</v>
      </c>
      <c r="E1150" s="13" t="s">
        <v>132</v>
      </c>
      <c r="F1150" s="13" t="s">
        <v>133</v>
      </c>
      <c r="G1150" s="13" t="s">
        <v>140</v>
      </c>
      <c r="H1150" s="13" t="s">
        <v>141</v>
      </c>
      <c r="I1150" t="s">
        <v>27</v>
      </c>
      <c r="J1150" s="13" t="s">
        <v>28</v>
      </c>
      <c r="K1150" s="13" t="s">
        <v>29</v>
      </c>
      <c r="L1150" s="13" t="s">
        <v>30</v>
      </c>
      <c r="M1150" t="s">
        <v>139</v>
      </c>
      <c r="N1150">
        <v>685</v>
      </c>
      <c r="O1150" s="14">
        <v>0.43510434729978398</v>
      </c>
      <c r="P1150" s="14">
        <v>0.16286319401115201</v>
      </c>
      <c r="Q1150" t="str">
        <f t="shared" si="34"/>
        <v>&lt;01</v>
      </c>
      <c r="R1150" t="str">
        <f t="shared" si="35"/>
        <v>[JQKLKuVuY61]|&lt;01|Female|HIV_PREV.T_1|CY2023Q3</v>
      </c>
    </row>
    <row r="1151" spans="4:18" x14ac:dyDescent="0.2">
      <c r="D1151" s="13" t="s">
        <v>131</v>
      </c>
      <c r="E1151" s="13" t="s">
        <v>132</v>
      </c>
      <c r="F1151" s="13" t="s">
        <v>133</v>
      </c>
      <c r="G1151" s="13" t="s">
        <v>140</v>
      </c>
      <c r="H1151" s="13" t="s">
        <v>141</v>
      </c>
      <c r="I1151" t="s">
        <v>32</v>
      </c>
      <c r="J1151" s="13" t="s">
        <v>33</v>
      </c>
      <c r="K1151" s="13" t="s">
        <v>29</v>
      </c>
      <c r="L1151" s="13" t="s">
        <v>30</v>
      </c>
      <c r="M1151" t="s">
        <v>139</v>
      </c>
      <c r="N1151">
        <v>952</v>
      </c>
      <c r="O1151" s="14">
        <v>0.655108493985608</v>
      </c>
      <c r="P1151" s="14">
        <v>0.16286319401115201</v>
      </c>
      <c r="Q1151" t="str">
        <f t="shared" si="34"/>
        <v>01-09</v>
      </c>
      <c r="R1151" t="str">
        <f t="shared" si="35"/>
        <v>[JQKLKuVuY61]|01-09|Female|HIV_PREV.T_1|CY2023Q3</v>
      </c>
    </row>
    <row r="1152" spans="4:18" x14ac:dyDescent="0.2">
      <c r="D1152" s="13" t="s">
        <v>131</v>
      </c>
      <c r="E1152" s="13" t="s">
        <v>132</v>
      </c>
      <c r="F1152" s="13" t="s">
        <v>133</v>
      </c>
      <c r="G1152" s="13" t="s">
        <v>140</v>
      </c>
      <c r="H1152" s="13" t="s">
        <v>141</v>
      </c>
      <c r="I1152" t="s">
        <v>35</v>
      </c>
      <c r="J1152" s="13" t="s">
        <v>36</v>
      </c>
      <c r="K1152" s="13" t="s">
        <v>29</v>
      </c>
      <c r="L1152" s="13" t="s">
        <v>30</v>
      </c>
      <c r="M1152" t="s">
        <v>139</v>
      </c>
      <c r="N1152">
        <v>1824</v>
      </c>
      <c r="O1152" s="14">
        <v>0.53139118338003799</v>
      </c>
      <c r="P1152" s="14">
        <v>0.16286319401115201</v>
      </c>
      <c r="Q1152" t="str">
        <f t="shared" si="34"/>
        <v>10-14</v>
      </c>
      <c r="R1152" t="str">
        <f t="shared" si="35"/>
        <v>[JQKLKuVuY61]|10-14|Female|HIV_PREV.T_1|CY2023Q3</v>
      </c>
    </row>
    <row r="1153" spans="4:18" x14ac:dyDescent="0.2">
      <c r="D1153" s="13" t="s">
        <v>131</v>
      </c>
      <c r="E1153" s="13" t="s">
        <v>132</v>
      </c>
      <c r="F1153" s="13" t="s">
        <v>133</v>
      </c>
      <c r="G1153" s="13" t="s">
        <v>140</v>
      </c>
      <c r="H1153" s="13" t="s">
        <v>141</v>
      </c>
      <c r="I1153" t="s">
        <v>37</v>
      </c>
      <c r="J1153" s="13" t="s">
        <v>38</v>
      </c>
      <c r="K1153" s="13" t="s">
        <v>29</v>
      </c>
      <c r="L1153" s="13" t="s">
        <v>30</v>
      </c>
      <c r="M1153" t="s">
        <v>139</v>
      </c>
      <c r="N1153">
        <v>1393</v>
      </c>
      <c r="O1153" s="14">
        <v>0.55521723837591697</v>
      </c>
      <c r="P1153" s="14">
        <v>0.16286319401115201</v>
      </c>
      <c r="Q1153" t="str">
        <f t="shared" si="34"/>
        <v>15-24</v>
      </c>
      <c r="R1153" t="str">
        <f t="shared" si="35"/>
        <v>[JQKLKuVuY61]|15-24|Female|HIV_PREV.T_1|CY2023Q3</v>
      </c>
    </row>
    <row r="1154" spans="4:18" x14ac:dyDescent="0.2">
      <c r="D1154" s="13" t="s">
        <v>131</v>
      </c>
      <c r="E1154" s="13" t="s">
        <v>132</v>
      </c>
      <c r="F1154" s="13" t="s">
        <v>133</v>
      </c>
      <c r="G1154" s="13" t="s">
        <v>140</v>
      </c>
      <c r="H1154" s="13" t="s">
        <v>141</v>
      </c>
      <c r="I1154" t="s">
        <v>40</v>
      </c>
      <c r="J1154" s="13" t="s">
        <v>41</v>
      </c>
      <c r="K1154" s="13" t="s">
        <v>29</v>
      </c>
      <c r="L1154" s="13" t="s">
        <v>30</v>
      </c>
      <c r="M1154" t="s">
        <v>139</v>
      </c>
      <c r="N1154">
        <v>1103</v>
      </c>
      <c r="O1154" s="14">
        <v>0.97740376391448103</v>
      </c>
      <c r="P1154" s="14">
        <v>0.16286319401115201</v>
      </c>
      <c r="Q1154" t="str">
        <f t="shared" ref="Q1154:Q1217" si="36">SUBSTITUTE(SUBSTITUTE($I1154,CHAR(61),""),CHAR(34),"")</f>
        <v>25-34</v>
      </c>
      <c r="R1154" t="str">
        <f t="shared" ref="R1154:R1217" si="37">IF($D1154&lt;&gt;"","["&amp;$E1154&amp;"]"&amp;"|"&amp;$Q1154&amp;"|"&amp;$K1154&amp;"|"&amp;$G1154&amp;"|"&amp;IF($G1154="TX_CURR_SUBNAT.R","CY2022Q4",$M1154),"")</f>
        <v>[JQKLKuVuY61]|25-34|Female|HIV_PREV.T_1|CY2023Q3</v>
      </c>
    </row>
    <row r="1155" spans="4:18" x14ac:dyDescent="0.2">
      <c r="D1155" s="13" t="s">
        <v>131</v>
      </c>
      <c r="E1155" s="13" t="s">
        <v>132</v>
      </c>
      <c r="F1155" s="13" t="s">
        <v>133</v>
      </c>
      <c r="G1155" s="13" t="s">
        <v>140</v>
      </c>
      <c r="H1155" s="13" t="s">
        <v>141</v>
      </c>
      <c r="I1155" t="s">
        <v>42</v>
      </c>
      <c r="J1155" s="13" t="s">
        <v>43</v>
      </c>
      <c r="K1155" s="13" t="s">
        <v>29</v>
      </c>
      <c r="L1155" s="13" t="s">
        <v>30</v>
      </c>
      <c r="M1155" t="s">
        <v>139</v>
      </c>
      <c r="N1155">
        <v>1656</v>
      </c>
      <c r="O1155" s="14">
        <v>1.4041624264791599E-2</v>
      </c>
      <c r="P1155" s="14">
        <v>0.16286319401115201</v>
      </c>
      <c r="Q1155" t="str">
        <f t="shared" si="36"/>
        <v>35-49</v>
      </c>
      <c r="R1155" t="str">
        <f t="shared" si="37"/>
        <v>[JQKLKuVuY61]|35-49|Female|HIV_PREV.T_1|CY2023Q3</v>
      </c>
    </row>
    <row r="1156" spans="4:18" x14ac:dyDescent="0.2">
      <c r="D1156" s="13" t="s">
        <v>131</v>
      </c>
      <c r="E1156" s="13" t="s">
        <v>132</v>
      </c>
      <c r="F1156" s="13" t="s">
        <v>133</v>
      </c>
      <c r="G1156" s="13" t="s">
        <v>140</v>
      </c>
      <c r="H1156" s="13" t="s">
        <v>141</v>
      </c>
      <c r="I1156" t="s">
        <v>44</v>
      </c>
      <c r="J1156" s="13" t="s">
        <v>45</v>
      </c>
      <c r="K1156" s="13" t="s">
        <v>29</v>
      </c>
      <c r="L1156" s="13" t="s">
        <v>30</v>
      </c>
      <c r="M1156" t="s">
        <v>139</v>
      </c>
      <c r="N1156">
        <v>627</v>
      </c>
      <c r="O1156" s="14">
        <v>9.6931153442710596E-2</v>
      </c>
      <c r="P1156" s="14">
        <v>0.16286319401115201</v>
      </c>
      <c r="Q1156" t="str">
        <f t="shared" si="36"/>
        <v>50+</v>
      </c>
      <c r="R1156" t="str">
        <f t="shared" si="37"/>
        <v>[JQKLKuVuY61]|50+|Female|HIV_PREV.T_1|CY2023Q3</v>
      </c>
    </row>
    <row r="1157" spans="4:18" x14ac:dyDescent="0.2">
      <c r="D1157" s="13" t="s">
        <v>131</v>
      </c>
      <c r="E1157" s="13" t="s">
        <v>132</v>
      </c>
      <c r="F1157" s="13" t="s">
        <v>133</v>
      </c>
      <c r="G1157" s="13" t="s">
        <v>140</v>
      </c>
      <c r="H1157" s="13" t="s">
        <v>141</v>
      </c>
      <c r="I1157" t="s">
        <v>27</v>
      </c>
      <c r="J1157" s="13" t="s">
        <v>28</v>
      </c>
      <c r="K1157" s="13" t="s">
        <v>47</v>
      </c>
      <c r="L1157" s="13" t="s">
        <v>48</v>
      </c>
      <c r="M1157" t="s">
        <v>139</v>
      </c>
      <c r="N1157">
        <v>1515</v>
      </c>
      <c r="O1157" s="14">
        <v>0.226099581224844</v>
      </c>
      <c r="P1157" s="14">
        <v>0.16286319401115201</v>
      </c>
      <c r="Q1157" t="str">
        <f t="shared" si="36"/>
        <v>&lt;01</v>
      </c>
      <c r="R1157" t="str">
        <f t="shared" si="37"/>
        <v>[JQKLKuVuY61]|&lt;01|Male|HIV_PREV.T_1|CY2023Q3</v>
      </c>
    </row>
    <row r="1158" spans="4:18" x14ac:dyDescent="0.2">
      <c r="D1158" s="13" t="s">
        <v>131</v>
      </c>
      <c r="E1158" s="13" t="s">
        <v>132</v>
      </c>
      <c r="F1158" s="13" t="s">
        <v>133</v>
      </c>
      <c r="G1158" s="13" t="s">
        <v>140</v>
      </c>
      <c r="H1158" s="13" t="s">
        <v>141</v>
      </c>
      <c r="I1158" t="s">
        <v>32</v>
      </c>
      <c r="J1158" s="13" t="s">
        <v>33</v>
      </c>
      <c r="K1158" s="13" t="s">
        <v>47</v>
      </c>
      <c r="L1158" s="13" t="s">
        <v>48</v>
      </c>
      <c r="M1158" t="s">
        <v>139</v>
      </c>
      <c r="N1158">
        <v>1948</v>
      </c>
      <c r="O1158" s="14">
        <v>0.34628927987068903</v>
      </c>
      <c r="P1158" s="14">
        <v>0.16286319401115201</v>
      </c>
      <c r="Q1158" t="str">
        <f t="shared" si="36"/>
        <v>01-09</v>
      </c>
      <c r="R1158" t="str">
        <f t="shared" si="37"/>
        <v>[JQKLKuVuY61]|01-09|Male|HIV_PREV.T_1|CY2023Q3</v>
      </c>
    </row>
    <row r="1159" spans="4:18" x14ac:dyDescent="0.2">
      <c r="D1159" s="13" t="s">
        <v>131</v>
      </c>
      <c r="E1159" s="13" t="s">
        <v>132</v>
      </c>
      <c r="F1159" s="13" t="s">
        <v>133</v>
      </c>
      <c r="G1159" s="13" t="s">
        <v>140</v>
      </c>
      <c r="H1159" s="13" t="s">
        <v>141</v>
      </c>
      <c r="I1159" t="s">
        <v>35</v>
      </c>
      <c r="J1159" s="13" t="s">
        <v>36</v>
      </c>
      <c r="K1159" s="13" t="s">
        <v>47</v>
      </c>
      <c r="L1159" s="13" t="s">
        <v>48</v>
      </c>
      <c r="M1159" t="s">
        <v>139</v>
      </c>
      <c r="N1159">
        <v>1227</v>
      </c>
      <c r="O1159" s="14">
        <v>9.3570053577423096E-2</v>
      </c>
      <c r="P1159" s="14">
        <v>0.16286319401115201</v>
      </c>
      <c r="Q1159" t="str">
        <f t="shared" si="36"/>
        <v>10-14</v>
      </c>
      <c r="R1159" t="str">
        <f t="shared" si="37"/>
        <v>[JQKLKuVuY61]|10-14|Male|HIV_PREV.T_1|CY2023Q3</v>
      </c>
    </row>
    <row r="1160" spans="4:18" x14ac:dyDescent="0.2">
      <c r="D1160" s="13" t="s">
        <v>131</v>
      </c>
      <c r="E1160" s="13" t="s">
        <v>132</v>
      </c>
      <c r="F1160" s="13" t="s">
        <v>133</v>
      </c>
      <c r="G1160" s="13" t="s">
        <v>140</v>
      </c>
      <c r="H1160" s="13" t="s">
        <v>141</v>
      </c>
      <c r="I1160" t="s">
        <v>37</v>
      </c>
      <c r="J1160" s="13" t="s">
        <v>38</v>
      </c>
      <c r="K1160" s="13" t="s">
        <v>47</v>
      </c>
      <c r="L1160" s="13" t="s">
        <v>48</v>
      </c>
      <c r="M1160" t="s">
        <v>139</v>
      </c>
      <c r="N1160">
        <v>604</v>
      </c>
      <c r="O1160" s="14">
        <v>0.47633259138092399</v>
      </c>
      <c r="P1160" s="14">
        <v>0.16286319401115201</v>
      </c>
      <c r="Q1160" t="str">
        <f t="shared" si="36"/>
        <v>15-24</v>
      </c>
      <c r="R1160" t="str">
        <f t="shared" si="37"/>
        <v>[JQKLKuVuY61]|15-24|Male|HIV_PREV.T_1|CY2023Q3</v>
      </c>
    </row>
    <row r="1161" spans="4:18" x14ac:dyDescent="0.2">
      <c r="D1161" s="13" t="s">
        <v>131</v>
      </c>
      <c r="E1161" s="13" t="s">
        <v>132</v>
      </c>
      <c r="F1161" s="13" t="s">
        <v>133</v>
      </c>
      <c r="G1161" s="13" t="s">
        <v>140</v>
      </c>
      <c r="H1161" s="13" t="s">
        <v>141</v>
      </c>
      <c r="I1161" t="s">
        <v>40</v>
      </c>
      <c r="J1161" s="13" t="s">
        <v>41</v>
      </c>
      <c r="K1161" s="13" t="s">
        <v>47</v>
      </c>
      <c r="L1161" s="13" t="s">
        <v>48</v>
      </c>
      <c r="M1161" t="s">
        <v>139</v>
      </c>
      <c r="N1161">
        <v>1365</v>
      </c>
      <c r="O1161" s="14">
        <v>0.180017654318362</v>
      </c>
      <c r="P1161" s="14">
        <v>0.16286319401115201</v>
      </c>
      <c r="Q1161" t="str">
        <f t="shared" si="36"/>
        <v>25-34</v>
      </c>
      <c r="R1161" t="str">
        <f t="shared" si="37"/>
        <v>[JQKLKuVuY61]|25-34|Male|HIV_PREV.T_1|CY2023Q3</v>
      </c>
    </row>
    <row r="1162" spans="4:18" x14ac:dyDescent="0.2">
      <c r="D1162" s="13" t="s">
        <v>131</v>
      </c>
      <c r="E1162" s="13" t="s">
        <v>132</v>
      </c>
      <c r="F1162" s="13" t="s">
        <v>133</v>
      </c>
      <c r="G1162" s="13" t="s">
        <v>140</v>
      </c>
      <c r="H1162" s="13" t="s">
        <v>141</v>
      </c>
      <c r="I1162" t="s">
        <v>42</v>
      </c>
      <c r="J1162" s="13" t="s">
        <v>43</v>
      </c>
      <c r="K1162" s="13" t="s">
        <v>47</v>
      </c>
      <c r="L1162" s="13" t="s">
        <v>48</v>
      </c>
      <c r="M1162" t="s">
        <v>139</v>
      </c>
      <c r="N1162">
        <v>1408</v>
      </c>
      <c r="O1162" s="14">
        <v>0.45546746463514898</v>
      </c>
      <c r="P1162" s="14">
        <v>0.16286319401115201</v>
      </c>
      <c r="Q1162" t="str">
        <f t="shared" si="36"/>
        <v>35-49</v>
      </c>
      <c r="R1162" t="str">
        <f t="shared" si="37"/>
        <v>[JQKLKuVuY61]|35-49|Male|HIV_PREV.T_1|CY2023Q3</v>
      </c>
    </row>
    <row r="1163" spans="4:18" x14ac:dyDescent="0.2">
      <c r="D1163" s="13" t="s">
        <v>131</v>
      </c>
      <c r="E1163" s="13" t="s">
        <v>132</v>
      </c>
      <c r="F1163" s="13" t="s">
        <v>133</v>
      </c>
      <c r="G1163" s="13" t="s">
        <v>140</v>
      </c>
      <c r="H1163" s="13" t="s">
        <v>141</v>
      </c>
      <c r="I1163" t="s">
        <v>44</v>
      </c>
      <c r="J1163" s="13" t="s">
        <v>45</v>
      </c>
      <c r="K1163" s="13" t="s">
        <v>47</v>
      </c>
      <c r="L1163" s="13" t="s">
        <v>48</v>
      </c>
      <c r="M1163" t="s">
        <v>139</v>
      </c>
      <c r="N1163">
        <v>580</v>
      </c>
      <c r="O1163" s="14">
        <v>0.90251017827540603</v>
      </c>
      <c r="P1163" s="14">
        <v>0.16286319401115201</v>
      </c>
      <c r="Q1163" t="str">
        <f t="shared" si="36"/>
        <v>50+</v>
      </c>
      <c r="R1163" t="str">
        <f t="shared" si="37"/>
        <v>[JQKLKuVuY61]|50+|Male|HIV_PREV.T_1|CY2023Q3</v>
      </c>
    </row>
    <row r="1164" spans="4:18" x14ac:dyDescent="0.2">
      <c r="D1164" s="13" t="s">
        <v>134</v>
      </c>
      <c r="E1164" s="13" t="s">
        <v>135</v>
      </c>
      <c r="F1164" s="13" t="s">
        <v>136</v>
      </c>
      <c r="G1164" s="13" t="s">
        <v>140</v>
      </c>
      <c r="H1164" s="13" t="s">
        <v>141</v>
      </c>
      <c r="I1164" t="s">
        <v>27</v>
      </c>
      <c r="J1164" s="13" t="s">
        <v>28</v>
      </c>
      <c r="K1164" s="13" t="s">
        <v>29</v>
      </c>
      <c r="L1164" s="13" t="s">
        <v>30</v>
      </c>
      <c r="M1164" t="s">
        <v>139</v>
      </c>
      <c r="N1164">
        <v>865</v>
      </c>
      <c r="O1164" s="14">
        <v>1.6870983876287899E-2</v>
      </c>
      <c r="P1164" s="14">
        <v>0.95530052832327805</v>
      </c>
      <c r="Q1164" t="str">
        <f t="shared" si="36"/>
        <v>&lt;01</v>
      </c>
      <c r="R1164" t="str">
        <f t="shared" si="37"/>
        <v>[fiRkU6gEjLz]|&lt;01|Female|HIV_PREV.T_1|CY2023Q3</v>
      </c>
    </row>
    <row r="1165" spans="4:18" x14ac:dyDescent="0.2">
      <c r="D1165" s="13" t="s">
        <v>134</v>
      </c>
      <c r="E1165" s="13" t="s">
        <v>135</v>
      </c>
      <c r="F1165" s="13" t="s">
        <v>136</v>
      </c>
      <c r="G1165" s="13" t="s">
        <v>140</v>
      </c>
      <c r="H1165" s="13" t="s">
        <v>141</v>
      </c>
      <c r="I1165" t="s">
        <v>32</v>
      </c>
      <c r="J1165" s="13" t="s">
        <v>33</v>
      </c>
      <c r="K1165" s="13" t="s">
        <v>29</v>
      </c>
      <c r="L1165" s="13" t="s">
        <v>30</v>
      </c>
      <c r="M1165" t="s">
        <v>139</v>
      </c>
      <c r="N1165">
        <v>1341</v>
      </c>
      <c r="O1165" s="14">
        <v>0.78257313603535295</v>
      </c>
      <c r="P1165" s="14">
        <v>0.95530052832327805</v>
      </c>
      <c r="Q1165" t="str">
        <f t="shared" si="36"/>
        <v>01-09</v>
      </c>
      <c r="R1165" t="str">
        <f t="shared" si="37"/>
        <v>[fiRkU6gEjLz]|01-09|Female|HIV_PREV.T_1|CY2023Q3</v>
      </c>
    </row>
    <row r="1166" spans="4:18" x14ac:dyDescent="0.2">
      <c r="D1166" s="13" t="s">
        <v>134</v>
      </c>
      <c r="E1166" s="13" t="s">
        <v>135</v>
      </c>
      <c r="F1166" s="13" t="s">
        <v>136</v>
      </c>
      <c r="G1166" s="13" t="s">
        <v>140</v>
      </c>
      <c r="H1166" s="13" t="s">
        <v>141</v>
      </c>
      <c r="I1166" t="s">
        <v>35</v>
      </c>
      <c r="J1166" s="13" t="s">
        <v>36</v>
      </c>
      <c r="K1166" s="13" t="s">
        <v>29</v>
      </c>
      <c r="L1166" s="13" t="s">
        <v>30</v>
      </c>
      <c r="M1166" t="s">
        <v>139</v>
      </c>
      <c r="N1166">
        <v>1056</v>
      </c>
      <c r="O1166" s="14">
        <v>0.204856708180159</v>
      </c>
      <c r="P1166" s="14">
        <v>0.95530052832327805</v>
      </c>
      <c r="Q1166" t="str">
        <f t="shared" si="36"/>
        <v>10-14</v>
      </c>
      <c r="R1166" t="str">
        <f t="shared" si="37"/>
        <v>[fiRkU6gEjLz]|10-14|Female|HIV_PREV.T_1|CY2023Q3</v>
      </c>
    </row>
    <row r="1167" spans="4:18" x14ac:dyDescent="0.2">
      <c r="D1167" s="13" t="s">
        <v>134</v>
      </c>
      <c r="E1167" s="13" t="s">
        <v>135</v>
      </c>
      <c r="F1167" s="13" t="s">
        <v>136</v>
      </c>
      <c r="G1167" s="13" t="s">
        <v>140</v>
      </c>
      <c r="H1167" s="13" t="s">
        <v>141</v>
      </c>
      <c r="I1167" t="s">
        <v>37</v>
      </c>
      <c r="J1167" s="13" t="s">
        <v>38</v>
      </c>
      <c r="K1167" s="13" t="s">
        <v>29</v>
      </c>
      <c r="L1167" s="13" t="s">
        <v>30</v>
      </c>
      <c r="M1167" t="s">
        <v>139</v>
      </c>
      <c r="N1167">
        <v>633</v>
      </c>
      <c r="O1167" s="14">
        <v>0.15212799701839699</v>
      </c>
      <c r="P1167" s="14">
        <v>0.95530052832327805</v>
      </c>
      <c r="Q1167" t="str">
        <f t="shared" si="36"/>
        <v>15-24</v>
      </c>
      <c r="R1167" t="str">
        <f t="shared" si="37"/>
        <v>[fiRkU6gEjLz]|15-24|Female|HIV_PREV.T_1|CY2023Q3</v>
      </c>
    </row>
    <row r="1168" spans="4:18" x14ac:dyDescent="0.2">
      <c r="D1168" s="13" t="s">
        <v>134</v>
      </c>
      <c r="E1168" s="13" t="s">
        <v>135</v>
      </c>
      <c r="F1168" s="13" t="s">
        <v>136</v>
      </c>
      <c r="G1168" s="13" t="s">
        <v>140</v>
      </c>
      <c r="H1168" s="13" t="s">
        <v>141</v>
      </c>
      <c r="I1168" t="s">
        <v>40</v>
      </c>
      <c r="J1168" s="13" t="s">
        <v>41</v>
      </c>
      <c r="K1168" s="13" t="s">
        <v>29</v>
      </c>
      <c r="L1168" s="13" t="s">
        <v>30</v>
      </c>
      <c r="M1168" t="s">
        <v>139</v>
      </c>
      <c r="N1168">
        <v>699</v>
      </c>
      <c r="O1168" s="14">
        <v>6.8679267307743402E-2</v>
      </c>
      <c r="P1168" s="14">
        <v>0.95530052832327805</v>
      </c>
      <c r="Q1168" t="str">
        <f t="shared" si="36"/>
        <v>25-34</v>
      </c>
      <c r="R1168" t="str">
        <f t="shared" si="37"/>
        <v>[fiRkU6gEjLz]|25-34|Female|HIV_PREV.T_1|CY2023Q3</v>
      </c>
    </row>
    <row r="1169" spans="4:18" x14ac:dyDescent="0.2">
      <c r="D1169" s="13" t="s">
        <v>134</v>
      </c>
      <c r="E1169" s="13" t="s">
        <v>135</v>
      </c>
      <c r="F1169" s="13" t="s">
        <v>136</v>
      </c>
      <c r="G1169" s="13" t="s">
        <v>140</v>
      </c>
      <c r="H1169" s="13" t="s">
        <v>141</v>
      </c>
      <c r="I1169" t="s">
        <v>42</v>
      </c>
      <c r="J1169" s="13" t="s">
        <v>43</v>
      </c>
      <c r="K1169" s="13" t="s">
        <v>29</v>
      </c>
      <c r="L1169" s="13" t="s">
        <v>30</v>
      </c>
      <c r="M1169" t="s">
        <v>139</v>
      </c>
      <c r="N1169">
        <v>546</v>
      </c>
      <c r="O1169" s="14">
        <v>0.61086848750710498</v>
      </c>
      <c r="P1169" s="14">
        <v>0.95530052832327805</v>
      </c>
      <c r="Q1169" t="str">
        <f t="shared" si="36"/>
        <v>35-49</v>
      </c>
      <c r="R1169" t="str">
        <f t="shared" si="37"/>
        <v>[fiRkU6gEjLz]|35-49|Female|HIV_PREV.T_1|CY2023Q3</v>
      </c>
    </row>
    <row r="1170" spans="4:18" x14ac:dyDescent="0.2">
      <c r="D1170" s="13" t="s">
        <v>134</v>
      </c>
      <c r="E1170" s="13" t="s">
        <v>135</v>
      </c>
      <c r="F1170" s="13" t="s">
        <v>136</v>
      </c>
      <c r="G1170" s="13" t="s">
        <v>140</v>
      </c>
      <c r="H1170" s="13" t="s">
        <v>141</v>
      </c>
      <c r="I1170" t="s">
        <v>44</v>
      </c>
      <c r="J1170" s="13" t="s">
        <v>45</v>
      </c>
      <c r="K1170" s="13" t="s">
        <v>29</v>
      </c>
      <c r="L1170" s="13" t="s">
        <v>30</v>
      </c>
      <c r="M1170" t="s">
        <v>139</v>
      </c>
      <c r="N1170">
        <v>1732</v>
      </c>
      <c r="O1170" s="14">
        <v>0.698137846309692</v>
      </c>
      <c r="P1170" s="14">
        <v>0.95530052832327805</v>
      </c>
      <c r="Q1170" t="str">
        <f t="shared" si="36"/>
        <v>50+</v>
      </c>
      <c r="R1170" t="str">
        <f t="shared" si="37"/>
        <v>[fiRkU6gEjLz]|50+|Female|HIV_PREV.T_1|CY2023Q3</v>
      </c>
    </row>
    <row r="1171" spans="4:18" x14ac:dyDescent="0.2">
      <c r="D1171" s="13" t="s">
        <v>134</v>
      </c>
      <c r="E1171" s="13" t="s">
        <v>135</v>
      </c>
      <c r="F1171" s="13" t="s">
        <v>136</v>
      </c>
      <c r="G1171" s="13" t="s">
        <v>140</v>
      </c>
      <c r="H1171" s="13" t="s">
        <v>141</v>
      </c>
      <c r="I1171" t="s">
        <v>27</v>
      </c>
      <c r="J1171" s="13" t="s">
        <v>28</v>
      </c>
      <c r="K1171" s="13" t="s">
        <v>47</v>
      </c>
      <c r="L1171" s="13" t="s">
        <v>48</v>
      </c>
      <c r="M1171" t="s">
        <v>139</v>
      </c>
      <c r="N1171">
        <v>1037</v>
      </c>
      <c r="O1171" s="14">
        <v>0.944314404157922</v>
      </c>
      <c r="P1171" s="14">
        <v>0.95530052832327805</v>
      </c>
      <c r="Q1171" t="str">
        <f t="shared" si="36"/>
        <v>&lt;01</v>
      </c>
      <c r="R1171" t="str">
        <f t="shared" si="37"/>
        <v>[fiRkU6gEjLz]|&lt;01|Male|HIV_PREV.T_1|CY2023Q3</v>
      </c>
    </row>
    <row r="1172" spans="4:18" x14ac:dyDescent="0.2">
      <c r="D1172" s="13" t="s">
        <v>134</v>
      </c>
      <c r="E1172" s="13" t="s">
        <v>135</v>
      </c>
      <c r="F1172" s="13" t="s">
        <v>136</v>
      </c>
      <c r="G1172" s="13" t="s">
        <v>140</v>
      </c>
      <c r="H1172" s="13" t="s">
        <v>141</v>
      </c>
      <c r="I1172" t="s">
        <v>32</v>
      </c>
      <c r="J1172" s="13" t="s">
        <v>33</v>
      </c>
      <c r="K1172" s="13" t="s">
        <v>47</v>
      </c>
      <c r="L1172" s="13" t="s">
        <v>48</v>
      </c>
      <c r="M1172" t="s">
        <v>139</v>
      </c>
      <c r="N1172">
        <v>1001</v>
      </c>
      <c r="O1172" s="14">
        <v>0.47228231863118703</v>
      </c>
      <c r="P1172" s="14">
        <v>0.95530052832327805</v>
      </c>
      <c r="Q1172" t="str">
        <f t="shared" si="36"/>
        <v>01-09</v>
      </c>
      <c r="R1172" t="str">
        <f t="shared" si="37"/>
        <v>[fiRkU6gEjLz]|01-09|Male|HIV_PREV.T_1|CY2023Q3</v>
      </c>
    </row>
    <row r="1173" spans="4:18" x14ac:dyDescent="0.2">
      <c r="D1173" s="13" t="s">
        <v>134</v>
      </c>
      <c r="E1173" s="13" t="s">
        <v>135</v>
      </c>
      <c r="F1173" s="13" t="s">
        <v>136</v>
      </c>
      <c r="G1173" s="13" t="s">
        <v>140</v>
      </c>
      <c r="H1173" s="13" t="s">
        <v>141</v>
      </c>
      <c r="I1173" t="s">
        <v>35</v>
      </c>
      <c r="J1173" s="13" t="s">
        <v>36</v>
      </c>
      <c r="K1173" s="13" t="s">
        <v>47</v>
      </c>
      <c r="L1173" s="13" t="s">
        <v>48</v>
      </c>
      <c r="M1173" t="s">
        <v>139</v>
      </c>
      <c r="N1173">
        <v>1662</v>
      </c>
      <c r="O1173" s="14">
        <v>0.47655718796886498</v>
      </c>
      <c r="P1173" s="14">
        <v>0.95530052832327805</v>
      </c>
      <c r="Q1173" t="str">
        <f t="shared" si="36"/>
        <v>10-14</v>
      </c>
      <c r="R1173" t="str">
        <f t="shared" si="37"/>
        <v>[fiRkU6gEjLz]|10-14|Male|HIV_PREV.T_1|CY2023Q3</v>
      </c>
    </row>
    <row r="1174" spans="4:18" x14ac:dyDescent="0.2">
      <c r="D1174" s="13" t="s">
        <v>134</v>
      </c>
      <c r="E1174" s="13" t="s">
        <v>135</v>
      </c>
      <c r="F1174" s="13" t="s">
        <v>136</v>
      </c>
      <c r="G1174" s="13" t="s">
        <v>140</v>
      </c>
      <c r="H1174" s="13" t="s">
        <v>141</v>
      </c>
      <c r="I1174" t="s">
        <v>37</v>
      </c>
      <c r="J1174" s="13" t="s">
        <v>38</v>
      </c>
      <c r="K1174" s="13" t="s">
        <v>47</v>
      </c>
      <c r="L1174" s="13" t="s">
        <v>48</v>
      </c>
      <c r="M1174" t="s">
        <v>139</v>
      </c>
      <c r="N1174">
        <v>605</v>
      </c>
      <c r="O1174" s="14">
        <v>0.641366301570088</v>
      </c>
      <c r="P1174" s="14">
        <v>0.95530052832327805</v>
      </c>
      <c r="Q1174" t="str">
        <f t="shared" si="36"/>
        <v>15-24</v>
      </c>
      <c r="R1174" t="str">
        <f t="shared" si="37"/>
        <v>[fiRkU6gEjLz]|15-24|Male|HIV_PREV.T_1|CY2023Q3</v>
      </c>
    </row>
    <row r="1175" spans="4:18" x14ac:dyDescent="0.2">
      <c r="D1175" s="13" t="s">
        <v>134</v>
      </c>
      <c r="E1175" s="13" t="s">
        <v>135</v>
      </c>
      <c r="F1175" s="13" t="s">
        <v>136</v>
      </c>
      <c r="G1175" s="13" t="s">
        <v>140</v>
      </c>
      <c r="H1175" s="13" t="s">
        <v>141</v>
      </c>
      <c r="I1175" t="s">
        <v>40</v>
      </c>
      <c r="J1175" s="13" t="s">
        <v>41</v>
      </c>
      <c r="K1175" s="13" t="s">
        <v>47</v>
      </c>
      <c r="L1175" s="13" t="s">
        <v>48</v>
      </c>
      <c r="M1175" t="s">
        <v>139</v>
      </c>
      <c r="N1175">
        <v>1909</v>
      </c>
      <c r="O1175" s="14">
        <v>0.90886889188550402</v>
      </c>
      <c r="P1175" s="14">
        <v>0.95530052832327805</v>
      </c>
      <c r="Q1175" t="str">
        <f t="shared" si="36"/>
        <v>25-34</v>
      </c>
      <c r="R1175" t="str">
        <f t="shared" si="37"/>
        <v>[fiRkU6gEjLz]|25-34|Male|HIV_PREV.T_1|CY2023Q3</v>
      </c>
    </row>
    <row r="1176" spans="4:18" x14ac:dyDescent="0.2">
      <c r="D1176" s="13" t="s">
        <v>134</v>
      </c>
      <c r="E1176" s="13" t="s">
        <v>135</v>
      </c>
      <c r="F1176" s="13" t="s">
        <v>136</v>
      </c>
      <c r="G1176" s="13" t="s">
        <v>140</v>
      </c>
      <c r="H1176" s="13" t="s">
        <v>141</v>
      </c>
      <c r="I1176" t="s">
        <v>42</v>
      </c>
      <c r="J1176" s="13" t="s">
        <v>43</v>
      </c>
      <c r="K1176" s="13" t="s">
        <v>47</v>
      </c>
      <c r="L1176" s="13" t="s">
        <v>48</v>
      </c>
      <c r="M1176" t="s">
        <v>139</v>
      </c>
      <c r="N1176">
        <v>935</v>
      </c>
      <c r="O1176" s="14">
        <v>0.79362774803303204</v>
      </c>
      <c r="P1176" s="14">
        <v>0.95530052832327805</v>
      </c>
      <c r="Q1176" t="str">
        <f t="shared" si="36"/>
        <v>35-49</v>
      </c>
      <c r="R1176" t="str">
        <f t="shared" si="37"/>
        <v>[fiRkU6gEjLz]|35-49|Male|HIV_PREV.T_1|CY2023Q3</v>
      </c>
    </row>
    <row r="1177" spans="4:18" x14ac:dyDescent="0.2">
      <c r="D1177" s="13" t="s">
        <v>134</v>
      </c>
      <c r="E1177" s="13" t="s">
        <v>135</v>
      </c>
      <c r="F1177" s="13" t="s">
        <v>136</v>
      </c>
      <c r="G1177" s="13" t="s">
        <v>140</v>
      </c>
      <c r="H1177" s="13" t="s">
        <v>141</v>
      </c>
      <c r="I1177" t="s">
        <v>44</v>
      </c>
      <c r="J1177" s="13" t="s">
        <v>45</v>
      </c>
      <c r="K1177" s="13" t="s">
        <v>47</v>
      </c>
      <c r="L1177" s="13" t="s">
        <v>48</v>
      </c>
      <c r="M1177" t="s">
        <v>139</v>
      </c>
      <c r="N1177">
        <v>1644</v>
      </c>
      <c r="O1177" s="14">
        <v>0.832647451665252</v>
      </c>
      <c r="P1177" s="14">
        <v>0.95530052832327805</v>
      </c>
      <c r="Q1177" t="str">
        <f t="shared" si="36"/>
        <v>50+</v>
      </c>
      <c r="R1177" t="str">
        <f t="shared" si="37"/>
        <v>[fiRkU6gEjLz]|50+|Male|HIV_PREV.T_1|CY2023Q3</v>
      </c>
    </row>
    <row r="1178" spans="4:18" x14ac:dyDescent="0.2">
      <c r="D1178" s="13" t="s">
        <v>22</v>
      </c>
      <c r="E1178" s="13" t="s">
        <v>23</v>
      </c>
      <c r="F1178" s="13" t="s">
        <v>24</v>
      </c>
      <c r="G1178" s="13" t="s">
        <v>142</v>
      </c>
      <c r="H1178" s="13" t="s">
        <v>143</v>
      </c>
      <c r="I1178" t="s">
        <v>27</v>
      </c>
      <c r="J1178" s="13" t="s">
        <v>28</v>
      </c>
      <c r="K1178" s="13" t="s">
        <v>29</v>
      </c>
      <c r="L1178" s="13" t="s">
        <v>30</v>
      </c>
      <c r="M1178" t="s">
        <v>139</v>
      </c>
      <c r="N1178">
        <v>1458</v>
      </c>
      <c r="O1178" s="14">
        <v>0.18081266246736</v>
      </c>
      <c r="P1178" s="14">
        <v>0.40435861097648701</v>
      </c>
      <c r="Q1178" t="str">
        <f t="shared" si="36"/>
        <v>&lt;01</v>
      </c>
      <c r="R1178" t="str">
        <f t="shared" si="37"/>
        <v>[GkIwZrXy1h2]|&lt;01|Female|PLHIV_Residents.T_1|CY2023Q3</v>
      </c>
    </row>
    <row r="1179" spans="4:18" x14ac:dyDescent="0.2">
      <c r="D1179" s="13" t="s">
        <v>22</v>
      </c>
      <c r="E1179" s="13" t="s">
        <v>23</v>
      </c>
      <c r="F1179" s="13" t="s">
        <v>24</v>
      </c>
      <c r="G1179" s="13" t="s">
        <v>142</v>
      </c>
      <c r="H1179" s="13" t="s">
        <v>143</v>
      </c>
      <c r="I1179" t="s">
        <v>32</v>
      </c>
      <c r="J1179" s="13" t="s">
        <v>33</v>
      </c>
      <c r="K1179" s="13" t="s">
        <v>29</v>
      </c>
      <c r="L1179" s="13" t="s">
        <v>30</v>
      </c>
      <c r="M1179" t="s">
        <v>139</v>
      </c>
      <c r="N1179">
        <v>1144</v>
      </c>
      <c r="O1179" s="14">
        <v>0.107515489682555</v>
      </c>
      <c r="P1179" s="14">
        <v>0.40435861097648701</v>
      </c>
      <c r="Q1179" t="str">
        <f t="shared" si="36"/>
        <v>01-09</v>
      </c>
      <c r="R1179" t="str">
        <f t="shared" si="37"/>
        <v>[GkIwZrXy1h2]|01-09|Female|PLHIV_Residents.T_1|CY2023Q3</v>
      </c>
    </row>
    <row r="1180" spans="4:18" x14ac:dyDescent="0.2">
      <c r="D1180" s="13" t="s">
        <v>22</v>
      </c>
      <c r="E1180" s="13" t="s">
        <v>23</v>
      </c>
      <c r="F1180" s="13" t="s">
        <v>24</v>
      </c>
      <c r="G1180" s="13" t="s">
        <v>142</v>
      </c>
      <c r="H1180" s="13" t="s">
        <v>143</v>
      </c>
      <c r="I1180" t="s">
        <v>35</v>
      </c>
      <c r="J1180" s="13" t="s">
        <v>36</v>
      </c>
      <c r="K1180" s="13" t="s">
        <v>29</v>
      </c>
      <c r="L1180" s="13" t="s">
        <v>30</v>
      </c>
      <c r="M1180" t="s">
        <v>139</v>
      </c>
      <c r="N1180">
        <v>1955</v>
      </c>
      <c r="O1180" s="14">
        <v>0.66811716882511996</v>
      </c>
      <c r="P1180" s="14">
        <v>0.40435861097648701</v>
      </c>
      <c r="Q1180" t="str">
        <f t="shared" si="36"/>
        <v>10-14</v>
      </c>
      <c r="R1180" t="str">
        <f t="shared" si="37"/>
        <v>[GkIwZrXy1h2]|10-14|Female|PLHIV_Residents.T_1|CY2023Q3</v>
      </c>
    </row>
    <row r="1181" spans="4:18" x14ac:dyDescent="0.2">
      <c r="D1181" s="13" t="s">
        <v>22</v>
      </c>
      <c r="E1181" s="13" t="s">
        <v>23</v>
      </c>
      <c r="F1181" s="13" t="s">
        <v>24</v>
      </c>
      <c r="G1181" s="13" t="s">
        <v>142</v>
      </c>
      <c r="H1181" s="13" t="s">
        <v>143</v>
      </c>
      <c r="I1181" t="s">
        <v>37</v>
      </c>
      <c r="J1181" s="13" t="s">
        <v>38</v>
      </c>
      <c r="K1181" s="13" t="s">
        <v>29</v>
      </c>
      <c r="L1181" s="13" t="s">
        <v>30</v>
      </c>
      <c r="M1181" t="s">
        <v>139</v>
      </c>
      <c r="N1181">
        <v>1486</v>
      </c>
      <c r="O1181" s="14">
        <v>0.71936893579550099</v>
      </c>
      <c r="P1181" s="14">
        <v>0.40435861097648701</v>
      </c>
      <c r="Q1181" t="str">
        <f t="shared" si="36"/>
        <v>15-24</v>
      </c>
      <c r="R1181" t="str">
        <f t="shared" si="37"/>
        <v>[GkIwZrXy1h2]|15-24|Female|PLHIV_Residents.T_1|CY2023Q3</v>
      </c>
    </row>
    <row r="1182" spans="4:18" x14ac:dyDescent="0.2">
      <c r="D1182" s="13" t="s">
        <v>22</v>
      </c>
      <c r="E1182" s="13" t="s">
        <v>23</v>
      </c>
      <c r="F1182" s="13" t="s">
        <v>24</v>
      </c>
      <c r="G1182" s="13" t="s">
        <v>142</v>
      </c>
      <c r="H1182" s="13" t="s">
        <v>143</v>
      </c>
      <c r="I1182" t="s">
        <v>40</v>
      </c>
      <c r="J1182" s="13" t="s">
        <v>41</v>
      </c>
      <c r="K1182" s="13" t="s">
        <v>29</v>
      </c>
      <c r="L1182" s="13" t="s">
        <v>30</v>
      </c>
      <c r="M1182" t="s">
        <v>139</v>
      </c>
      <c r="N1182">
        <v>1384</v>
      </c>
      <c r="O1182" s="14">
        <v>0.56107161217369095</v>
      </c>
      <c r="P1182" s="14">
        <v>0.40435861097648701</v>
      </c>
      <c r="Q1182" t="str">
        <f t="shared" si="36"/>
        <v>25-34</v>
      </c>
      <c r="R1182" t="str">
        <f t="shared" si="37"/>
        <v>[GkIwZrXy1h2]|25-34|Female|PLHIV_Residents.T_1|CY2023Q3</v>
      </c>
    </row>
    <row r="1183" spans="4:18" x14ac:dyDescent="0.2">
      <c r="D1183" s="13" t="s">
        <v>22</v>
      </c>
      <c r="E1183" s="13" t="s">
        <v>23</v>
      </c>
      <c r="F1183" s="13" t="s">
        <v>24</v>
      </c>
      <c r="G1183" s="13" t="s">
        <v>142</v>
      </c>
      <c r="H1183" s="13" t="s">
        <v>143</v>
      </c>
      <c r="I1183" t="s">
        <v>42</v>
      </c>
      <c r="J1183" s="13" t="s">
        <v>43</v>
      </c>
      <c r="K1183" s="13" t="s">
        <v>29</v>
      </c>
      <c r="L1183" s="13" t="s">
        <v>30</v>
      </c>
      <c r="M1183" t="s">
        <v>139</v>
      </c>
      <c r="N1183">
        <v>1672</v>
      </c>
      <c r="O1183" s="14">
        <v>0.955946661299095</v>
      </c>
      <c r="P1183" s="14">
        <v>0.40435861097648701</v>
      </c>
      <c r="Q1183" t="str">
        <f t="shared" si="36"/>
        <v>35-49</v>
      </c>
      <c r="R1183" t="str">
        <f t="shared" si="37"/>
        <v>[GkIwZrXy1h2]|35-49|Female|PLHIV_Residents.T_1|CY2023Q3</v>
      </c>
    </row>
    <row r="1184" spans="4:18" x14ac:dyDescent="0.2">
      <c r="D1184" s="13" t="s">
        <v>22</v>
      </c>
      <c r="E1184" s="13" t="s">
        <v>23</v>
      </c>
      <c r="F1184" s="13" t="s">
        <v>24</v>
      </c>
      <c r="G1184" s="13" t="s">
        <v>142</v>
      </c>
      <c r="H1184" s="13" t="s">
        <v>143</v>
      </c>
      <c r="I1184" t="s">
        <v>44</v>
      </c>
      <c r="J1184" s="13" t="s">
        <v>45</v>
      </c>
      <c r="K1184" s="13" t="s">
        <v>29</v>
      </c>
      <c r="L1184" s="13" t="s">
        <v>30</v>
      </c>
      <c r="M1184" t="s">
        <v>139</v>
      </c>
      <c r="N1184">
        <v>701</v>
      </c>
      <c r="O1184" s="14">
        <v>0.80605696397833504</v>
      </c>
      <c r="P1184" s="14">
        <v>0.40435861097648701</v>
      </c>
      <c r="Q1184" t="str">
        <f t="shared" si="36"/>
        <v>50+</v>
      </c>
      <c r="R1184" t="str">
        <f t="shared" si="37"/>
        <v>[GkIwZrXy1h2]|50+|Female|PLHIV_Residents.T_1|CY2023Q3</v>
      </c>
    </row>
    <row r="1185" spans="4:18" x14ac:dyDescent="0.2">
      <c r="D1185" s="13" t="s">
        <v>22</v>
      </c>
      <c r="E1185" s="13" t="s">
        <v>23</v>
      </c>
      <c r="F1185" s="13" t="s">
        <v>24</v>
      </c>
      <c r="G1185" s="13" t="s">
        <v>142</v>
      </c>
      <c r="H1185" s="13" t="s">
        <v>143</v>
      </c>
      <c r="I1185" t="s">
        <v>27</v>
      </c>
      <c r="J1185" s="13" t="s">
        <v>28</v>
      </c>
      <c r="K1185" s="13" t="s">
        <v>47</v>
      </c>
      <c r="L1185" s="13" t="s">
        <v>48</v>
      </c>
      <c r="M1185" t="s">
        <v>139</v>
      </c>
      <c r="N1185">
        <v>1060</v>
      </c>
      <c r="O1185" s="14">
        <v>0.67327533918432902</v>
      </c>
      <c r="P1185" s="14">
        <v>0.40435861097648701</v>
      </c>
      <c r="Q1185" t="str">
        <f t="shared" si="36"/>
        <v>&lt;01</v>
      </c>
      <c r="R1185" t="str">
        <f t="shared" si="37"/>
        <v>[GkIwZrXy1h2]|&lt;01|Male|PLHIV_Residents.T_1|CY2023Q3</v>
      </c>
    </row>
    <row r="1186" spans="4:18" x14ac:dyDescent="0.2">
      <c r="D1186" s="13" t="s">
        <v>22</v>
      </c>
      <c r="E1186" s="13" t="s">
        <v>23</v>
      </c>
      <c r="F1186" s="13" t="s">
        <v>24</v>
      </c>
      <c r="G1186" s="13" t="s">
        <v>142</v>
      </c>
      <c r="H1186" s="13" t="s">
        <v>143</v>
      </c>
      <c r="I1186" t="s">
        <v>32</v>
      </c>
      <c r="J1186" s="13" t="s">
        <v>33</v>
      </c>
      <c r="K1186" s="13" t="s">
        <v>47</v>
      </c>
      <c r="L1186" s="13" t="s">
        <v>48</v>
      </c>
      <c r="M1186" t="s">
        <v>139</v>
      </c>
      <c r="N1186">
        <v>1253</v>
      </c>
      <c r="O1186" s="14">
        <v>0.65804408700205397</v>
      </c>
      <c r="P1186" s="14">
        <v>0.40435861097648701</v>
      </c>
      <c r="Q1186" t="str">
        <f t="shared" si="36"/>
        <v>01-09</v>
      </c>
      <c r="R1186" t="str">
        <f t="shared" si="37"/>
        <v>[GkIwZrXy1h2]|01-09|Male|PLHIV_Residents.T_1|CY2023Q3</v>
      </c>
    </row>
    <row r="1187" spans="4:18" x14ac:dyDescent="0.2">
      <c r="D1187" s="13" t="s">
        <v>22</v>
      </c>
      <c r="E1187" s="13" t="s">
        <v>23</v>
      </c>
      <c r="F1187" s="13" t="s">
        <v>24</v>
      </c>
      <c r="G1187" s="13" t="s">
        <v>142</v>
      </c>
      <c r="H1187" s="13" t="s">
        <v>143</v>
      </c>
      <c r="I1187" t="s">
        <v>35</v>
      </c>
      <c r="J1187" s="13" t="s">
        <v>36</v>
      </c>
      <c r="K1187" s="13" t="s">
        <v>47</v>
      </c>
      <c r="L1187" s="13" t="s">
        <v>48</v>
      </c>
      <c r="M1187" t="s">
        <v>139</v>
      </c>
      <c r="N1187">
        <v>1655</v>
      </c>
      <c r="O1187" s="14">
        <v>0.59970090608112503</v>
      </c>
      <c r="P1187" s="14">
        <v>0.40435861097648701</v>
      </c>
      <c r="Q1187" t="str">
        <f t="shared" si="36"/>
        <v>10-14</v>
      </c>
      <c r="R1187" t="str">
        <f t="shared" si="37"/>
        <v>[GkIwZrXy1h2]|10-14|Male|PLHIV_Residents.T_1|CY2023Q3</v>
      </c>
    </row>
    <row r="1188" spans="4:18" x14ac:dyDescent="0.2">
      <c r="D1188" s="13" t="s">
        <v>22</v>
      </c>
      <c r="E1188" s="13" t="s">
        <v>23</v>
      </c>
      <c r="F1188" s="13" t="s">
        <v>24</v>
      </c>
      <c r="G1188" s="13" t="s">
        <v>142</v>
      </c>
      <c r="H1188" s="13" t="s">
        <v>143</v>
      </c>
      <c r="I1188" t="s">
        <v>37</v>
      </c>
      <c r="J1188" s="13" t="s">
        <v>38</v>
      </c>
      <c r="K1188" s="13" t="s">
        <v>47</v>
      </c>
      <c r="L1188" s="13" t="s">
        <v>48</v>
      </c>
      <c r="M1188" t="s">
        <v>139</v>
      </c>
      <c r="N1188">
        <v>1720</v>
      </c>
      <c r="O1188" s="14">
        <v>0.74179125134833201</v>
      </c>
      <c r="P1188" s="14">
        <v>0.40435861097648701</v>
      </c>
      <c r="Q1188" t="str">
        <f t="shared" si="36"/>
        <v>15-24</v>
      </c>
      <c r="R1188" t="str">
        <f t="shared" si="37"/>
        <v>[GkIwZrXy1h2]|15-24|Male|PLHIV_Residents.T_1|CY2023Q3</v>
      </c>
    </row>
    <row r="1189" spans="4:18" x14ac:dyDescent="0.2">
      <c r="D1189" s="13" t="s">
        <v>22</v>
      </c>
      <c r="E1189" s="13" t="s">
        <v>23</v>
      </c>
      <c r="F1189" s="13" t="s">
        <v>24</v>
      </c>
      <c r="G1189" s="13" t="s">
        <v>142</v>
      </c>
      <c r="H1189" s="13" t="s">
        <v>143</v>
      </c>
      <c r="I1189" t="s">
        <v>40</v>
      </c>
      <c r="J1189" s="13" t="s">
        <v>41</v>
      </c>
      <c r="K1189" s="13" t="s">
        <v>47</v>
      </c>
      <c r="L1189" s="13" t="s">
        <v>48</v>
      </c>
      <c r="M1189" t="s">
        <v>139</v>
      </c>
      <c r="N1189">
        <v>1758</v>
      </c>
      <c r="O1189" s="14">
        <v>0.56040507182478905</v>
      </c>
      <c r="P1189" s="14">
        <v>0.40435861097648701</v>
      </c>
      <c r="Q1189" t="str">
        <f t="shared" si="36"/>
        <v>25-34</v>
      </c>
      <c r="R1189" t="str">
        <f t="shared" si="37"/>
        <v>[GkIwZrXy1h2]|25-34|Male|PLHIV_Residents.T_1|CY2023Q3</v>
      </c>
    </row>
    <row r="1190" spans="4:18" x14ac:dyDescent="0.2">
      <c r="D1190" s="13" t="s">
        <v>22</v>
      </c>
      <c r="E1190" s="13" t="s">
        <v>23</v>
      </c>
      <c r="F1190" s="13" t="s">
        <v>24</v>
      </c>
      <c r="G1190" s="13" t="s">
        <v>142</v>
      </c>
      <c r="H1190" s="13" t="s">
        <v>143</v>
      </c>
      <c r="I1190" t="s">
        <v>42</v>
      </c>
      <c r="J1190" s="13" t="s">
        <v>43</v>
      </c>
      <c r="K1190" s="13" t="s">
        <v>47</v>
      </c>
      <c r="L1190" s="13" t="s">
        <v>48</v>
      </c>
      <c r="M1190" t="s">
        <v>139</v>
      </c>
      <c r="N1190">
        <v>799</v>
      </c>
      <c r="O1190" s="14">
        <v>0.43519104877486797</v>
      </c>
      <c r="P1190" s="14">
        <v>0.40435861097648701</v>
      </c>
      <c r="Q1190" t="str">
        <f t="shared" si="36"/>
        <v>35-49</v>
      </c>
      <c r="R1190" t="str">
        <f t="shared" si="37"/>
        <v>[GkIwZrXy1h2]|35-49|Male|PLHIV_Residents.T_1|CY2023Q3</v>
      </c>
    </row>
    <row r="1191" spans="4:18" x14ac:dyDescent="0.2">
      <c r="D1191" s="13" t="s">
        <v>22</v>
      </c>
      <c r="E1191" s="13" t="s">
        <v>23</v>
      </c>
      <c r="F1191" s="13" t="s">
        <v>24</v>
      </c>
      <c r="G1191" s="13" t="s">
        <v>142</v>
      </c>
      <c r="H1191" s="13" t="s">
        <v>143</v>
      </c>
      <c r="I1191" t="s">
        <v>44</v>
      </c>
      <c r="J1191" s="13" t="s">
        <v>45</v>
      </c>
      <c r="K1191" s="13" t="s">
        <v>47</v>
      </c>
      <c r="L1191" s="13" t="s">
        <v>48</v>
      </c>
      <c r="M1191" t="s">
        <v>139</v>
      </c>
      <c r="N1191">
        <v>1664</v>
      </c>
      <c r="O1191" s="14">
        <v>0.106682849815115</v>
      </c>
      <c r="P1191" s="14">
        <v>0.40435861097648701</v>
      </c>
      <c r="Q1191" t="str">
        <f t="shared" si="36"/>
        <v>50+</v>
      </c>
      <c r="R1191" t="str">
        <f t="shared" si="37"/>
        <v>[GkIwZrXy1h2]|50+|Male|PLHIV_Residents.T_1|CY2023Q3</v>
      </c>
    </row>
    <row r="1192" spans="4:18" x14ac:dyDescent="0.2">
      <c r="D1192" s="13" t="s">
        <v>52</v>
      </c>
      <c r="E1192" s="13" t="s">
        <v>53</v>
      </c>
      <c r="F1192" s="13" t="s">
        <v>54</v>
      </c>
      <c r="G1192" s="13" t="s">
        <v>142</v>
      </c>
      <c r="H1192" s="13" t="s">
        <v>143</v>
      </c>
      <c r="I1192" t="s">
        <v>27</v>
      </c>
      <c r="J1192" s="13" t="s">
        <v>28</v>
      </c>
      <c r="K1192" s="13" t="s">
        <v>29</v>
      </c>
      <c r="L1192" s="13" t="s">
        <v>30</v>
      </c>
      <c r="M1192" t="s">
        <v>139</v>
      </c>
      <c r="N1192">
        <v>1467</v>
      </c>
      <c r="O1192" s="14">
        <v>0.80168658355250999</v>
      </c>
      <c r="P1192" s="14">
        <v>0.61639246996492103</v>
      </c>
      <c r="Q1192" t="str">
        <f t="shared" si="36"/>
        <v>&lt;01</v>
      </c>
      <c r="R1192" t="str">
        <f t="shared" si="37"/>
        <v>[zphK9WV8JB4]|&lt;01|Female|PLHIV_Residents.T_1|CY2023Q3</v>
      </c>
    </row>
    <row r="1193" spans="4:18" x14ac:dyDescent="0.2">
      <c r="D1193" s="13" t="s">
        <v>52</v>
      </c>
      <c r="E1193" s="13" t="s">
        <v>53</v>
      </c>
      <c r="F1193" s="13" t="s">
        <v>54</v>
      </c>
      <c r="G1193" s="13" t="s">
        <v>142</v>
      </c>
      <c r="H1193" s="13" t="s">
        <v>143</v>
      </c>
      <c r="I1193" t="s">
        <v>32</v>
      </c>
      <c r="J1193" s="13" t="s">
        <v>33</v>
      </c>
      <c r="K1193" s="13" t="s">
        <v>29</v>
      </c>
      <c r="L1193" s="13" t="s">
        <v>30</v>
      </c>
      <c r="M1193" t="s">
        <v>139</v>
      </c>
      <c r="N1193">
        <v>1315</v>
      </c>
      <c r="O1193" s="14">
        <v>0.89027247740887105</v>
      </c>
      <c r="P1193" s="14">
        <v>0.61639246996492103</v>
      </c>
      <c r="Q1193" t="str">
        <f t="shared" si="36"/>
        <v>01-09</v>
      </c>
      <c r="R1193" t="str">
        <f t="shared" si="37"/>
        <v>[zphK9WV8JB4]|01-09|Female|PLHIV_Residents.T_1|CY2023Q3</v>
      </c>
    </row>
    <row r="1194" spans="4:18" x14ac:dyDescent="0.2">
      <c r="D1194" s="13" t="s">
        <v>52</v>
      </c>
      <c r="E1194" s="13" t="s">
        <v>53</v>
      </c>
      <c r="F1194" s="13" t="s">
        <v>54</v>
      </c>
      <c r="G1194" s="13" t="s">
        <v>142</v>
      </c>
      <c r="H1194" s="13" t="s">
        <v>143</v>
      </c>
      <c r="I1194" t="s">
        <v>35</v>
      </c>
      <c r="J1194" s="13" t="s">
        <v>36</v>
      </c>
      <c r="K1194" s="13" t="s">
        <v>29</v>
      </c>
      <c r="L1194" s="13" t="s">
        <v>30</v>
      </c>
      <c r="M1194" t="s">
        <v>139</v>
      </c>
      <c r="N1194">
        <v>739</v>
      </c>
      <c r="O1194" s="14">
        <v>0.30338148423470601</v>
      </c>
      <c r="P1194" s="14">
        <v>0.61639246996492103</v>
      </c>
      <c r="Q1194" t="str">
        <f t="shared" si="36"/>
        <v>10-14</v>
      </c>
      <c r="R1194" t="str">
        <f t="shared" si="37"/>
        <v>[zphK9WV8JB4]|10-14|Female|PLHIV_Residents.T_1|CY2023Q3</v>
      </c>
    </row>
    <row r="1195" spans="4:18" x14ac:dyDescent="0.2">
      <c r="D1195" s="13" t="s">
        <v>52</v>
      </c>
      <c r="E1195" s="13" t="s">
        <v>53</v>
      </c>
      <c r="F1195" s="13" t="s">
        <v>54</v>
      </c>
      <c r="G1195" s="13" t="s">
        <v>142</v>
      </c>
      <c r="H1195" s="13" t="s">
        <v>143</v>
      </c>
      <c r="I1195" t="s">
        <v>37</v>
      </c>
      <c r="J1195" s="13" t="s">
        <v>38</v>
      </c>
      <c r="K1195" s="13" t="s">
        <v>29</v>
      </c>
      <c r="L1195" s="13" t="s">
        <v>30</v>
      </c>
      <c r="M1195" t="s">
        <v>139</v>
      </c>
      <c r="N1195">
        <v>580</v>
      </c>
      <c r="O1195" s="14">
        <v>0.76138188201002799</v>
      </c>
      <c r="P1195" s="14">
        <v>0.61639246996492103</v>
      </c>
      <c r="Q1195" t="str">
        <f t="shared" si="36"/>
        <v>15-24</v>
      </c>
      <c r="R1195" t="str">
        <f t="shared" si="37"/>
        <v>[zphK9WV8JB4]|15-24|Female|PLHIV_Residents.T_1|CY2023Q3</v>
      </c>
    </row>
    <row r="1196" spans="4:18" x14ac:dyDescent="0.2">
      <c r="D1196" s="13" t="s">
        <v>52</v>
      </c>
      <c r="E1196" s="13" t="s">
        <v>53</v>
      </c>
      <c r="F1196" s="13" t="s">
        <v>54</v>
      </c>
      <c r="G1196" s="13" t="s">
        <v>142</v>
      </c>
      <c r="H1196" s="13" t="s">
        <v>143</v>
      </c>
      <c r="I1196" t="s">
        <v>40</v>
      </c>
      <c r="J1196" s="13" t="s">
        <v>41</v>
      </c>
      <c r="K1196" s="13" t="s">
        <v>29</v>
      </c>
      <c r="L1196" s="13" t="s">
        <v>30</v>
      </c>
      <c r="M1196" t="s">
        <v>139</v>
      </c>
      <c r="N1196">
        <v>1152</v>
      </c>
      <c r="O1196" s="14">
        <v>0.57363730669021595</v>
      </c>
      <c r="P1196" s="14">
        <v>0.61639246996492103</v>
      </c>
      <c r="Q1196" t="str">
        <f t="shared" si="36"/>
        <v>25-34</v>
      </c>
      <c r="R1196" t="str">
        <f t="shared" si="37"/>
        <v>[zphK9WV8JB4]|25-34|Female|PLHIV_Residents.T_1|CY2023Q3</v>
      </c>
    </row>
    <row r="1197" spans="4:18" x14ac:dyDescent="0.2">
      <c r="D1197" s="13" t="s">
        <v>52</v>
      </c>
      <c r="E1197" s="13" t="s">
        <v>53</v>
      </c>
      <c r="F1197" s="13" t="s">
        <v>54</v>
      </c>
      <c r="G1197" s="13" t="s">
        <v>142</v>
      </c>
      <c r="H1197" s="13" t="s">
        <v>143</v>
      </c>
      <c r="I1197" t="s">
        <v>42</v>
      </c>
      <c r="J1197" s="13" t="s">
        <v>43</v>
      </c>
      <c r="K1197" s="13" t="s">
        <v>29</v>
      </c>
      <c r="L1197" s="13" t="s">
        <v>30</v>
      </c>
      <c r="M1197" t="s">
        <v>139</v>
      </c>
      <c r="N1197">
        <v>990</v>
      </c>
      <c r="O1197" s="14">
        <v>0.312663664808497</v>
      </c>
      <c r="P1197" s="14">
        <v>0.61639246996492103</v>
      </c>
      <c r="Q1197" t="str">
        <f t="shared" si="36"/>
        <v>35-49</v>
      </c>
      <c r="R1197" t="str">
        <f t="shared" si="37"/>
        <v>[zphK9WV8JB4]|35-49|Female|PLHIV_Residents.T_1|CY2023Q3</v>
      </c>
    </row>
    <row r="1198" spans="4:18" x14ac:dyDescent="0.2">
      <c r="D1198" s="13" t="s">
        <v>52</v>
      </c>
      <c r="E1198" s="13" t="s">
        <v>53</v>
      </c>
      <c r="F1198" s="13" t="s">
        <v>54</v>
      </c>
      <c r="G1198" s="13" t="s">
        <v>142</v>
      </c>
      <c r="H1198" s="13" t="s">
        <v>143</v>
      </c>
      <c r="I1198" t="s">
        <v>44</v>
      </c>
      <c r="J1198" s="13" t="s">
        <v>45</v>
      </c>
      <c r="K1198" s="13" t="s">
        <v>29</v>
      </c>
      <c r="L1198" s="13" t="s">
        <v>30</v>
      </c>
      <c r="M1198" t="s">
        <v>139</v>
      </c>
      <c r="N1198">
        <v>859</v>
      </c>
      <c r="O1198" s="14">
        <v>0.80091665359213904</v>
      </c>
      <c r="P1198" s="14">
        <v>0.61639246996492103</v>
      </c>
      <c r="Q1198" t="str">
        <f t="shared" si="36"/>
        <v>50+</v>
      </c>
      <c r="R1198" t="str">
        <f t="shared" si="37"/>
        <v>[zphK9WV8JB4]|50+|Female|PLHIV_Residents.T_1|CY2023Q3</v>
      </c>
    </row>
    <row r="1199" spans="4:18" x14ac:dyDescent="0.2">
      <c r="D1199" s="13" t="s">
        <v>52</v>
      </c>
      <c r="E1199" s="13" t="s">
        <v>53</v>
      </c>
      <c r="F1199" s="13" t="s">
        <v>54</v>
      </c>
      <c r="G1199" s="13" t="s">
        <v>142</v>
      </c>
      <c r="H1199" s="13" t="s">
        <v>143</v>
      </c>
      <c r="I1199" t="s">
        <v>27</v>
      </c>
      <c r="J1199" s="13" t="s">
        <v>28</v>
      </c>
      <c r="K1199" s="13" t="s">
        <v>47</v>
      </c>
      <c r="L1199" s="13" t="s">
        <v>48</v>
      </c>
      <c r="M1199" t="s">
        <v>139</v>
      </c>
      <c r="N1199">
        <v>898</v>
      </c>
      <c r="O1199" s="14">
        <v>0.99082529684528697</v>
      </c>
      <c r="P1199" s="14">
        <v>0.61639246996492103</v>
      </c>
      <c r="Q1199" t="str">
        <f t="shared" si="36"/>
        <v>&lt;01</v>
      </c>
      <c r="R1199" t="str">
        <f t="shared" si="37"/>
        <v>[zphK9WV8JB4]|&lt;01|Male|PLHIV_Residents.T_1|CY2023Q3</v>
      </c>
    </row>
    <row r="1200" spans="4:18" x14ac:dyDescent="0.2">
      <c r="D1200" s="13" t="s">
        <v>52</v>
      </c>
      <c r="E1200" s="13" t="s">
        <v>53</v>
      </c>
      <c r="F1200" s="13" t="s">
        <v>54</v>
      </c>
      <c r="G1200" s="13" t="s">
        <v>142</v>
      </c>
      <c r="H1200" s="13" t="s">
        <v>143</v>
      </c>
      <c r="I1200" t="s">
        <v>32</v>
      </c>
      <c r="J1200" s="13" t="s">
        <v>33</v>
      </c>
      <c r="K1200" s="13" t="s">
        <v>47</v>
      </c>
      <c r="L1200" s="13" t="s">
        <v>48</v>
      </c>
      <c r="M1200" t="s">
        <v>139</v>
      </c>
      <c r="N1200">
        <v>1911</v>
      </c>
      <c r="O1200" s="14">
        <v>0.269352696835995</v>
      </c>
      <c r="P1200" s="14">
        <v>0.61639246996492103</v>
      </c>
      <c r="Q1200" t="str">
        <f t="shared" si="36"/>
        <v>01-09</v>
      </c>
      <c r="R1200" t="str">
        <f t="shared" si="37"/>
        <v>[zphK9WV8JB4]|01-09|Male|PLHIV_Residents.T_1|CY2023Q3</v>
      </c>
    </row>
    <row r="1201" spans="4:18" x14ac:dyDescent="0.2">
      <c r="D1201" s="13" t="s">
        <v>52</v>
      </c>
      <c r="E1201" s="13" t="s">
        <v>53</v>
      </c>
      <c r="F1201" s="13" t="s">
        <v>54</v>
      </c>
      <c r="G1201" s="13" t="s">
        <v>142</v>
      </c>
      <c r="H1201" s="13" t="s">
        <v>143</v>
      </c>
      <c r="I1201" t="s">
        <v>35</v>
      </c>
      <c r="J1201" s="13" t="s">
        <v>36</v>
      </c>
      <c r="K1201" s="13" t="s">
        <v>47</v>
      </c>
      <c r="L1201" s="13" t="s">
        <v>48</v>
      </c>
      <c r="M1201" t="s">
        <v>139</v>
      </c>
      <c r="N1201">
        <v>872</v>
      </c>
      <c r="O1201" s="14">
        <v>0.53141912515275203</v>
      </c>
      <c r="P1201" s="14">
        <v>0.61639246996492103</v>
      </c>
      <c r="Q1201" t="str">
        <f t="shared" si="36"/>
        <v>10-14</v>
      </c>
      <c r="R1201" t="str">
        <f t="shared" si="37"/>
        <v>[zphK9WV8JB4]|10-14|Male|PLHIV_Residents.T_1|CY2023Q3</v>
      </c>
    </row>
    <row r="1202" spans="4:18" x14ac:dyDescent="0.2">
      <c r="D1202" s="13" t="s">
        <v>52</v>
      </c>
      <c r="E1202" s="13" t="s">
        <v>53</v>
      </c>
      <c r="F1202" s="13" t="s">
        <v>54</v>
      </c>
      <c r="G1202" s="13" t="s">
        <v>142</v>
      </c>
      <c r="H1202" s="13" t="s">
        <v>143</v>
      </c>
      <c r="I1202" t="s">
        <v>37</v>
      </c>
      <c r="J1202" s="13" t="s">
        <v>38</v>
      </c>
      <c r="K1202" s="13" t="s">
        <v>47</v>
      </c>
      <c r="L1202" s="13" t="s">
        <v>48</v>
      </c>
      <c r="M1202" t="s">
        <v>139</v>
      </c>
      <c r="N1202">
        <v>1864</v>
      </c>
      <c r="O1202" s="14">
        <v>0.62568201730027795</v>
      </c>
      <c r="P1202" s="14">
        <v>0.61639246996492103</v>
      </c>
      <c r="Q1202" t="str">
        <f t="shared" si="36"/>
        <v>15-24</v>
      </c>
      <c r="R1202" t="str">
        <f t="shared" si="37"/>
        <v>[zphK9WV8JB4]|15-24|Male|PLHIV_Residents.T_1|CY2023Q3</v>
      </c>
    </row>
    <row r="1203" spans="4:18" x14ac:dyDescent="0.2">
      <c r="D1203" s="13" t="s">
        <v>52</v>
      </c>
      <c r="E1203" s="13" t="s">
        <v>53</v>
      </c>
      <c r="F1203" s="13" t="s">
        <v>54</v>
      </c>
      <c r="G1203" s="13" t="s">
        <v>142</v>
      </c>
      <c r="H1203" s="13" t="s">
        <v>143</v>
      </c>
      <c r="I1203" t="s">
        <v>40</v>
      </c>
      <c r="J1203" s="13" t="s">
        <v>41</v>
      </c>
      <c r="K1203" s="13" t="s">
        <v>47</v>
      </c>
      <c r="L1203" s="13" t="s">
        <v>48</v>
      </c>
      <c r="M1203" t="s">
        <v>139</v>
      </c>
      <c r="N1203">
        <v>750</v>
      </c>
      <c r="O1203" s="14">
        <v>0.40565306344069502</v>
      </c>
      <c r="P1203" s="14">
        <v>0.61639246996492103</v>
      </c>
      <c r="Q1203" t="str">
        <f t="shared" si="36"/>
        <v>25-34</v>
      </c>
      <c r="R1203" t="str">
        <f t="shared" si="37"/>
        <v>[zphK9WV8JB4]|25-34|Male|PLHIV_Residents.T_1|CY2023Q3</v>
      </c>
    </row>
    <row r="1204" spans="4:18" x14ac:dyDescent="0.2">
      <c r="D1204" s="13" t="s">
        <v>52</v>
      </c>
      <c r="E1204" s="13" t="s">
        <v>53</v>
      </c>
      <c r="F1204" s="13" t="s">
        <v>54</v>
      </c>
      <c r="G1204" s="13" t="s">
        <v>142</v>
      </c>
      <c r="H1204" s="13" t="s">
        <v>143</v>
      </c>
      <c r="I1204" t="s">
        <v>42</v>
      </c>
      <c r="J1204" s="13" t="s">
        <v>43</v>
      </c>
      <c r="K1204" s="13" t="s">
        <v>47</v>
      </c>
      <c r="L1204" s="13" t="s">
        <v>48</v>
      </c>
      <c r="M1204" t="s">
        <v>139</v>
      </c>
      <c r="N1204">
        <v>1865</v>
      </c>
      <c r="O1204" s="14">
        <v>0.96077030687592901</v>
      </c>
      <c r="P1204" s="14">
        <v>0.61639246996492103</v>
      </c>
      <c r="Q1204" t="str">
        <f t="shared" si="36"/>
        <v>35-49</v>
      </c>
      <c r="R1204" t="str">
        <f t="shared" si="37"/>
        <v>[zphK9WV8JB4]|35-49|Male|PLHIV_Residents.T_1|CY2023Q3</v>
      </c>
    </row>
    <row r="1205" spans="4:18" x14ac:dyDescent="0.2">
      <c r="D1205" s="13" t="s">
        <v>52</v>
      </c>
      <c r="E1205" s="13" t="s">
        <v>53</v>
      </c>
      <c r="F1205" s="13" t="s">
        <v>54</v>
      </c>
      <c r="G1205" s="13" t="s">
        <v>142</v>
      </c>
      <c r="H1205" s="13" t="s">
        <v>143</v>
      </c>
      <c r="I1205" t="s">
        <v>44</v>
      </c>
      <c r="J1205" s="13" t="s">
        <v>45</v>
      </c>
      <c r="K1205" s="13" t="s">
        <v>47</v>
      </c>
      <c r="L1205" s="13" t="s">
        <v>48</v>
      </c>
      <c r="M1205" t="s">
        <v>139</v>
      </c>
      <c r="N1205">
        <v>1274</v>
      </c>
      <c r="O1205" s="14">
        <v>0.75869488273747299</v>
      </c>
      <c r="P1205" s="14">
        <v>0.61639246996492103</v>
      </c>
      <c r="Q1205" t="str">
        <f t="shared" si="36"/>
        <v>50+</v>
      </c>
      <c r="R1205" t="str">
        <f t="shared" si="37"/>
        <v>[zphK9WV8JB4]|50+|Male|PLHIV_Residents.T_1|CY2023Q3</v>
      </c>
    </row>
    <row r="1206" spans="4:18" x14ac:dyDescent="0.2">
      <c r="D1206" s="13" t="s">
        <v>59</v>
      </c>
      <c r="E1206" s="13" t="s">
        <v>60</v>
      </c>
      <c r="F1206" s="13" t="s">
        <v>61</v>
      </c>
      <c r="G1206" s="13" t="s">
        <v>142</v>
      </c>
      <c r="H1206" s="13" t="s">
        <v>143</v>
      </c>
      <c r="I1206" t="s">
        <v>27</v>
      </c>
      <c r="J1206" s="13" t="s">
        <v>28</v>
      </c>
      <c r="K1206" s="13" t="s">
        <v>29</v>
      </c>
      <c r="L1206" s="13" t="s">
        <v>30</v>
      </c>
      <c r="M1206" t="s">
        <v>139</v>
      </c>
      <c r="N1206">
        <v>888</v>
      </c>
      <c r="O1206" s="14">
        <v>0.79766022716648899</v>
      </c>
      <c r="P1206" s="14">
        <v>2.6825056178495298E-2</v>
      </c>
      <c r="Q1206" t="str">
        <f t="shared" si="36"/>
        <v>&lt;01</v>
      </c>
      <c r="R1206" t="str">
        <f t="shared" si="37"/>
        <v>[msW2zpIN7up]|&lt;01|Female|PLHIV_Residents.T_1|CY2023Q3</v>
      </c>
    </row>
    <row r="1207" spans="4:18" x14ac:dyDescent="0.2">
      <c r="D1207" s="13" t="s">
        <v>59</v>
      </c>
      <c r="E1207" s="13" t="s">
        <v>60</v>
      </c>
      <c r="F1207" s="13" t="s">
        <v>61</v>
      </c>
      <c r="G1207" s="13" t="s">
        <v>142</v>
      </c>
      <c r="H1207" s="13" t="s">
        <v>143</v>
      </c>
      <c r="I1207" t="s">
        <v>32</v>
      </c>
      <c r="J1207" s="13" t="s">
        <v>33</v>
      </c>
      <c r="K1207" s="13" t="s">
        <v>29</v>
      </c>
      <c r="L1207" s="13" t="s">
        <v>30</v>
      </c>
      <c r="M1207" t="s">
        <v>139</v>
      </c>
      <c r="N1207">
        <v>1069</v>
      </c>
      <c r="O1207" s="14">
        <v>0.965228660264984</v>
      </c>
      <c r="P1207" s="14">
        <v>2.6825056178495298E-2</v>
      </c>
      <c r="Q1207" t="str">
        <f t="shared" si="36"/>
        <v>01-09</v>
      </c>
      <c r="R1207" t="str">
        <f t="shared" si="37"/>
        <v>[msW2zpIN7up]|01-09|Female|PLHIV_Residents.T_1|CY2023Q3</v>
      </c>
    </row>
    <row r="1208" spans="4:18" x14ac:dyDescent="0.2">
      <c r="D1208" s="13" t="s">
        <v>59</v>
      </c>
      <c r="E1208" s="13" t="s">
        <v>60</v>
      </c>
      <c r="F1208" s="13" t="s">
        <v>61</v>
      </c>
      <c r="G1208" s="13" t="s">
        <v>142</v>
      </c>
      <c r="H1208" s="13" t="s">
        <v>143</v>
      </c>
      <c r="I1208" t="s">
        <v>35</v>
      </c>
      <c r="J1208" s="13" t="s">
        <v>36</v>
      </c>
      <c r="K1208" s="13" t="s">
        <v>29</v>
      </c>
      <c r="L1208" s="13" t="s">
        <v>30</v>
      </c>
      <c r="M1208" t="s">
        <v>139</v>
      </c>
      <c r="N1208">
        <v>997</v>
      </c>
      <c r="O1208" s="14">
        <v>0.34729280276224</v>
      </c>
      <c r="P1208" s="14">
        <v>2.6825056178495298E-2</v>
      </c>
      <c r="Q1208" t="str">
        <f t="shared" si="36"/>
        <v>10-14</v>
      </c>
      <c r="R1208" t="str">
        <f t="shared" si="37"/>
        <v>[msW2zpIN7up]|10-14|Female|PLHIV_Residents.T_1|CY2023Q3</v>
      </c>
    </row>
    <row r="1209" spans="4:18" x14ac:dyDescent="0.2">
      <c r="D1209" s="13" t="s">
        <v>59</v>
      </c>
      <c r="E1209" s="13" t="s">
        <v>60</v>
      </c>
      <c r="F1209" s="13" t="s">
        <v>61</v>
      </c>
      <c r="G1209" s="13" t="s">
        <v>142</v>
      </c>
      <c r="H1209" s="13" t="s">
        <v>143</v>
      </c>
      <c r="I1209" t="s">
        <v>37</v>
      </c>
      <c r="J1209" s="13" t="s">
        <v>38</v>
      </c>
      <c r="K1209" s="13" t="s">
        <v>29</v>
      </c>
      <c r="L1209" s="13" t="s">
        <v>30</v>
      </c>
      <c r="M1209" t="s">
        <v>139</v>
      </c>
      <c r="N1209">
        <v>976</v>
      </c>
      <c r="O1209" s="14">
        <v>0.60785989323630896</v>
      </c>
      <c r="P1209" s="14">
        <v>2.6825056178495298E-2</v>
      </c>
      <c r="Q1209" t="str">
        <f t="shared" si="36"/>
        <v>15-24</v>
      </c>
      <c r="R1209" t="str">
        <f t="shared" si="37"/>
        <v>[msW2zpIN7up]|15-24|Female|PLHIV_Residents.T_1|CY2023Q3</v>
      </c>
    </row>
    <row r="1210" spans="4:18" x14ac:dyDescent="0.2">
      <c r="D1210" s="13" t="s">
        <v>59</v>
      </c>
      <c r="E1210" s="13" t="s">
        <v>60</v>
      </c>
      <c r="F1210" s="13" t="s">
        <v>61</v>
      </c>
      <c r="G1210" s="13" t="s">
        <v>142</v>
      </c>
      <c r="H1210" s="13" t="s">
        <v>143</v>
      </c>
      <c r="I1210" t="s">
        <v>40</v>
      </c>
      <c r="J1210" s="13" t="s">
        <v>41</v>
      </c>
      <c r="K1210" s="13" t="s">
        <v>29</v>
      </c>
      <c r="L1210" s="13" t="s">
        <v>30</v>
      </c>
      <c r="M1210" t="s">
        <v>139</v>
      </c>
      <c r="N1210">
        <v>986</v>
      </c>
      <c r="O1210" s="14">
        <v>0.198377279797569</v>
      </c>
      <c r="P1210" s="14">
        <v>2.6825056178495298E-2</v>
      </c>
      <c r="Q1210" t="str">
        <f t="shared" si="36"/>
        <v>25-34</v>
      </c>
      <c r="R1210" t="str">
        <f t="shared" si="37"/>
        <v>[msW2zpIN7up]|25-34|Female|PLHIV_Residents.T_1|CY2023Q3</v>
      </c>
    </row>
    <row r="1211" spans="4:18" x14ac:dyDescent="0.2">
      <c r="D1211" s="13" t="s">
        <v>59</v>
      </c>
      <c r="E1211" s="13" t="s">
        <v>60</v>
      </c>
      <c r="F1211" s="13" t="s">
        <v>61</v>
      </c>
      <c r="G1211" s="13" t="s">
        <v>142</v>
      </c>
      <c r="H1211" s="13" t="s">
        <v>143</v>
      </c>
      <c r="I1211" t="s">
        <v>42</v>
      </c>
      <c r="J1211" s="13" t="s">
        <v>43</v>
      </c>
      <c r="K1211" s="13" t="s">
        <v>29</v>
      </c>
      <c r="L1211" s="13" t="s">
        <v>30</v>
      </c>
      <c r="M1211" t="s">
        <v>139</v>
      </c>
      <c r="N1211">
        <v>584</v>
      </c>
      <c r="O1211" s="14">
        <v>0.54231276107020698</v>
      </c>
      <c r="P1211" s="14">
        <v>2.6825056178495298E-2</v>
      </c>
      <c r="Q1211" t="str">
        <f t="shared" si="36"/>
        <v>35-49</v>
      </c>
      <c r="R1211" t="str">
        <f t="shared" si="37"/>
        <v>[msW2zpIN7up]|35-49|Female|PLHIV_Residents.T_1|CY2023Q3</v>
      </c>
    </row>
    <row r="1212" spans="4:18" x14ac:dyDescent="0.2">
      <c r="D1212" s="13" t="s">
        <v>59</v>
      </c>
      <c r="E1212" s="13" t="s">
        <v>60</v>
      </c>
      <c r="F1212" s="13" t="s">
        <v>61</v>
      </c>
      <c r="G1212" s="13" t="s">
        <v>142</v>
      </c>
      <c r="H1212" s="13" t="s">
        <v>143</v>
      </c>
      <c r="I1212" t="s">
        <v>44</v>
      </c>
      <c r="J1212" s="13" t="s">
        <v>45</v>
      </c>
      <c r="K1212" s="13" t="s">
        <v>29</v>
      </c>
      <c r="L1212" s="13" t="s">
        <v>30</v>
      </c>
      <c r="M1212" t="s">
        <v>139</v>
      </c>
      <c r="N1212">
        <v>513</v>
      </c>
      <c r="O1212" s="14">
        <v>0.91843047668226097</v>
      </c>
      <c r="P1212" s="14">
        <v>2.6825056178495298E-2</v>
      </c>
      <c r="Q1212" t="str">
        <f t="shared" si="36"/>
        <v>50+</v>
      </c>
      <c r="R1212" t="str">
        <f t="shared" si="37"/>
        <v>[msW2zpIN7up]|50+|Female|PLHIV_Residents.T_1|CY2023Q3</v>
      </c>
    </row>
    <row r="1213" spans="4:18" x14ac:dyDescent="0.2">
      <c r="D1213" s="13" t="s">
        <v>59</v>
      </c>
      <c r="E1213" s="13" t="s">
        <v>60</v>
      </c>
      <c r="F1213" s="13" t="s">
        <v>61</v>
      </c>
      <c r="G1213" s="13" t="s">
        <v>142</v>
      </c>
      <c r="H1213" s="13" t="s">
        <v>143</v>
      </c>
      <c r="I1213" t="s">
        <v>27</v>
      </c>
      <c r="J1213" s="13" t="s">
        <v>28</v>
      </c>
      <c r="K1213" s="13" t="s">
        <v>47</v>
      </c>
      <c r="L1213" s="13" t="s">
        <v>48</v>
      </c>
      <c r="M1213" t="s">
        <v>139</v>
      </c>
      <c r="N1213">
        <v>772</v>
      </c>
      <c r="O1213" s="14">
        <v>0.55950532876886405</v>
      </c>
      <c r="P1213" s="14">
        <v>2.6825056178495298E-2</v>
      </c>
      <c r="Q1213" t="str">
        <f t="shared" si="36"/>
        <v>&lt;01</v>
      </c>
      <c r="R1213" t="str">
        <f t="shared" si="37"/>
        <v>[msW2zpIN7up]|&lt;01|Male|PLHIV_Residents.T_1|CY2023Q3</v>
      </c>
    </row>
    <row r="1214" spans="4:18" x14ac:dyDescent="0.2">
      <c r="D1214" s="13" t="s">
        <v>59</v>
      </c>
      <c r="E1214" s="13" t="s">
        <v>60</v>
      </c>
      <c r="F1214" s="13" t="s">
        <v>61</v>
      </c>
      <c r="G1214" s="13" t="s">
        <v>142</v>
      </c>
      <c r="H1214" s="13" t="s">
        <v>143</v>
      </c>
      <c r="I1214" t="s">
        <v>32</v>
      </c>
      <c r="J1214" s="13" t="s">
        <v>33</v>
      </c>
      <c r="K1214" s="13" t="s">
        <v>47</v>
      </c>
      <c r="L1214" s="13" t="s">
        <v>48</v>
      </c>
      <c r="M1214" t="s">
        <v>139</v>
      </c>
      <c r="N1214">
        <v>609</v>
      </c>
      <c r="O1214" s="14">
        <v>0.53507631178945303</v>
      </c>
      <c r="P1214" s="14">
        <v>2.6825056178495298E-2</v>
      </c>
      <c r="Q1214" t="str">
        <f t="shared" si="36"/>
        <v>01-09</v>
      </c>
      <c r="R1214" t="str">
        <f t="shared" si="37"/>
        <v>[msW2zpIN7up]|01-09|Male|PLHIV_Residents.T_1|CY2023Q3</v>
      </c>
    </row>
    <row r="1215" spans="4:18" x14ac:dyDescent="0.2">
      <c r="D1215" s="13" t="s">
        <v>59</v>
      </c>
      <c r="E1215" s="13" t="s">
        <v>60</v>
      </c>
      <c r="F1215" s="13" t="s">
        <v>61</v>
      </c>
      <c r="G1215" s="13" t="s">
        <v>142</v>
      </c>
      <c r="H1215" s="13" t="s">
        <v>143</v>
      </c>
      <c r="I1215" t="s">
        <v>35</v>
      </c>
      <c r="J1215" s="13" t="s">
        <v>36</v>
      </c>
      <c r="K1215" s="13" t="s">
        <v>47</v>
      </c>
      <c r="L1215" s="13" t="s">
        <v>48</v>
      </c>
      <c r="M1215" t="s">
        <v>139</v>
      </c>
      <c r="N1215">
        <v>773</v>
      </c>
      <c r="O1215" s="14">
        <v>0.94978460809215903</v>
      </c>
      <c r="P1215" s="14">
        <v>2.6825056178495298E-2</v>
      </c>
      <c r="Q1215" t="str">
        <f t="shared" si="36"/>
        <v>10-14</v>
      </c>
      <c r="R1215" t="str">
        <f t="shared" si="37"/>
        <v>[msW2zpIN7up]|10-14|Male|PLHIV_Residents.T_1|CY2023Q3</v>
      </c>
    </row>
    <row r="1216" spans="4:18" x14ac:dyDescent="0.2">
      <c r="D1216" s="13" t="s">
        <v>59</v>
      </c>
      <c r="E1216" s="13" t="s">
        <v>60</v>
      </c>
      <c r="F1216" s="13" t="s">
        <v>61</v>
      </c>
      <c r="G1216" s="13" t="s">
        <v>142</v>
      </c>
      <c r="H1216" s="13" t="s">
        <v>143</v>
      </c>
      <c r="I1216" t="s">
        <v>37</v>
      </c>
      <c r="J1216" s="13" t="s">
        <v>38</v>
      </c>
      <c r="K1216" s="13" t="s">
        <v>47</v>
      </c>
      <c r="L1216" s="13" t="s">
        <v>48</v>
      </c>
      <c r="M1216" t="s">
        <v>139</v>
      </c>
      <c r="N1216">
        <v>889</v>
      </c>
      <c r="O1216" s="14">
        <v>0.64925144310109295</v>
      </c>
      <c r="P1216" s="14">
        <v>2.6825056178495298E-2</v>
      </c>
      <c r="Q1216" t="str">
        <f t="shared" si="36"/>
        <v>15-24</v>
      </c>
      <c r="R1216" t="str">
        <f t="shared" si="37"/>
        <v>[msW2zpIN7up]|15-24|Male|PLHIV_Residents.T_1|CY2023Q3</v>
      </c>
    </row>
    <row r="1217" spans="4:18" x14ac:dyDescent="0.2">
      <c r="D1217" s="13" t="s">
        <v>59</v>
      </c>
      <c r="E1217" s="13" t="s">
        <v>60</v>
      </c>
      <c r="F1217" s="13" t="s">
        <v>61</v>
      </c>
      <c r="G1217" s="13" t="s">
        <v>142</v>
      </c>
      <c r="H1217" s="13" t="s">
        <v>143</v>
      </c>
      <c r="I1217" t="s">
        <v>40</v>
      </c>
      <c r="J1217" s="13" t="s">
        <v>41</v>
      </c>
      <c r="K1217" s="13" t="s">
        <v>47</v>
      </c>
      <c r="L1217" s="13" t="s">
        <v>48</v>
      </c>
      <c r="M1217" t="s">
        <v>139</v>
      </c>
      <c r="N1217">
        <v>1238</v>
      </c>
      <c r="O1217" s="14">
        <v>0.89019135921262205</v>
      </c>
      <c r="P1217" s="14">
        <v>2.6825056178495298E-2</v>
      </c>
      <c r="Q1217" t="str">
        <f t="shared" si="36"/>
        <v>25-34</v>
      </c>
      <c r="R1217" t="str">
        <f t="shared" si="37"/>
        <v>[msW2zpIN7up]|25-34|Male|PLHIV_Residents.T_1|CY2023Q3</v>
      </c>
    </row>
    <row r="1218" spans="4:18" x14ac:dyDescent="0.2">
      <c r="D1218" s="13" t="s">
        <v>59</v>
      </c>
      <c r="E1218" s="13" t="s">
        <v>60</v>
      </c>
      <c r="F1218" s="13" t="s">
        <v>61</v>
      </c>
      <c r="G1218" s="13" t="s">
        <v>142</v>
      </c>
      <c r="H1218" s="13" t="s">
        <v>143</v>
      </c>
      <c r="I1218" t="s">
        <v>42</v>
      </c>
      <c r="J1218" s="13" t="s">
        <v>43</v>
      </c>
      <c r="K1218" s="13" t="s">
        <v>47</v>
      </c>
      <c r="L1218" s="13" t="s">
        <v>48</v>
      </c>
      <c r="M1218" t="s">
        <v>139</v>
      </c>
      <c r="N1218">
        <v>1686</v>
      </c>
      <c r="O1218" s="14">
        <v>0.14341833884827801</v>
      </c>
      <c r="P1218" s="14">
        <v>2.6825056178495298E-2</v>
      </c>
      <c r="Q1218" t="str">
        <f t="shared" ref="Q1218:Q1281" si="38">SUBSTITUTE(SUBSTITUTE($I1218,CHAR(61),""),CHAR(34),"")</f>
        <v>35-49</v>
      </c>
      <c r="R1218" t="str">
        <f t="shared" ref="R1218:R1281" si="39">IF($D1218&lt;&gt;"","["&amp;$E1218&amp;"]"&amp;"|"&amp;$Q1218&amp;"|"&amp;$K1218&amp;"|"&amp;$G1218&amp;"|"&amp;IF($G1218="TX_CURR_SUBNAT.R","CY2022Q4",$M1218),"")</f>
        <v>[msW2zpIN7up]|35-49|Male|PLHIV_Residents.T_1|CY2023Q3</v>
      </c>
    </row>
    <row r="1219" spans="4:18" x14ac:dyDescent="0.2">
      <c r="D1219" s="13" t="s">
        <v>59</v>
      </c>
      <c r="E1219" s="13" t="s">
        <v>60</v>
      </c>
      <c r="F1219" s="13" t="s">
        <v>61</v>
      </c>
      <c r="G1219" s="13" t="s">
        <v>142</v>
      </c>
      <c r="H1219" s="13" t="s">
        <v>143</v>
      </c>
      <c r="I1219" t="s">
        <v>44</v>
      </c>
      <c r="J1219" s="13" t="s">
        <v>45</v>
      </c>
      <c r="K1219" s="13" t="s">
        <v>47</v>
      </c>
      <c r="L1219" s="13" t="s">
        <v>48</v>
      </c>
      <c r="M1219" t="s">
        <v>139</v>
      </c>
      <c r="N1219">
        <v>1292</v>
      </c>
      <c r="O1219" s="14">
        <v>0.31726403813809201</v>
      </c>
      <c r="P1219" s="14">
        <v>2.6825056178495298E-2</v>
      </c>
      <c r="Q1219" t="str">
        <f t="shared" si="38"/>
        <v>50+</v>
      </c>
      <c r="R1219" t="str">
        <f t="shared" si="39"/>
        <v>[msW2zpIN7up]|50+|Male|PLHIV_Residents.T_1|CY2023Q3</v>
      </c>
    </row>
    <row r="1220" spans="4:18" x14ac:dyDescent="0.2">
      <c r="D1220" s="13" t="s">
        <v>62</v>
      </c>
      <c r="E1220" s="13" t="s">
        <v>63</v>
      </c>
      <c r="F1220" s="13" t="s">
        <v>64</v>
      </c>
      <c r="G1220" s="13" t="s">
        <v>142</v>
      </c>
      <c r="H1220" s="13" t="s">
        <v>143</v>
      </c>
      <c r="I1220" t="s">
        <v>27</v>
      </c>
      <c r="J1220" s="13" t="s">
        <v>28</v>
      </c>
      <c r="K1220" s="13" t="s">
        <v>29</v>
      </c>
      <c r="L1220" s="13" t="s">
        <v>30</v>
      </c>
      <c r="M1220" t="s">
        <v>139</v>
      </c>
      <c r="N1220">
        <v>1945</v>
      </c>
      <c r="O1220" s="14">
        <v>0.472640904132277</v>
      </c>
      <c r="P1220" s="14">
        <v>0.790102193132043</v>
      </c>
      <c r="Q1220" t="str">
        <f t="shared" si="38"/>
        <v>&lt;01</v>
      </c>
      <c r="R1220" t="str">
        <f t="shared" si="39"/>
        <v>[kxuuIFpOXyO]|&lt;01|Female|PLHIV_Residents.T_1|CY2023Q3</v>
      </c>
    </row>
    <row r="1221" spans="4:18" x14ac:dyDescent="0.2">
      <c r="D1221" s="13" t="s">
        <v>62</v>
      </c>
      <c r="E1221" s="13" t="s">
        <v>63</v>
      </c>
      <c r="F1221" s="13" t="s">
        <v>64</v>
      </c>
      <c r="G1221" s="13" t="s">
        <v>142</v>
      </c>
      <c r="H1221" s="13" t="s">
        <v>143</v>
      </c>
      <c r="I1221" t="s">
        <v>32</v>
      </c>
      <c r="J1221" s="13" t="s">
        <v>33</v>
      </c>
      <c r="K1221" s="13" t="s">
        <v>29</v>
      </c>
      <c r="L1221" s="13" t="s">
        <v>30</v>
      </c>
      <c r="M1221" t="s">
        <v>139</v>
      </c>
      <c r="N1221">
        <v>1572</v>
      </c>
      <c r="O1221" s="14">
        <v>0.87929603084921804</v>
      </c>
      <c r="P1221" s="14">
        <v>0.790102193132043</v>
      </c>
      <c r="Q1221" t="str">
        <f t="shared" si="38"/>
        <v>01-09</v>
      </c>
      <c r="R1221" t="str">
        <f t="shared" si="39"/>
        <v>[kxuuIFpOXyO]|01-09|Female|PLHIV_Residents.T_1|CY2023Q3</v>
      </c>
    </row>
    <row r="1222" spans="4:18" x14ac:dyDescent="0.2">
      <c r="D1222" s="13" t="s">
        <v>62</v>
      </c>
      <c r="E1222" s="13" t="s">
        <v>63</v>
      </c>
      <c r="F1222" s="13" t="s">
        <v>64</v>
      </c>
      <c r="G1222" s="13" t="s">
        <v>142</v>
      </c>
      <c r="H1222" s="13" t="s">
        <v>143</v>
      </c>
      <c r="I1222" t="s">
        <v>35</v>
      </c>
      <c r="J1222" s="13" t="s">
        <v>36</v>
      </c>
      <c r="K1222" s="13" t="s">
        <v>29</v>
      </c>
      <c r="L1222" s="13" t="s">
        <v>30</v>
      </c>
      <c r="M1222" t="s">
        <v>139</v>
      </c>
      <c r="N1222">
        <v>1433</v>
      </c>
      <c r="O1222" s="14">
        <v>0.99553696624934696</v>
      </c>
      <c r="P1222" s="14">
        <v>0.790102193132043</v>
      </c>
      <c r="Q1222" t="str">
        <f t="shared" si="38"/>
        <v>10-14</v>
      </c>
      <c r="R1222" t="str">
        <f t="shared" si="39"/>
        <v>[kxuuIFpOXyO]|10-14|Female|PLHIV_Residents.T_1|CY2023Q3</v>
      </c>
    </row>
    <row r="1223" spans="4:18" x14ac:dyDescent="0.2">
      <c r="D1223" s="13" t="s">
        <v>62</v>
      </c>
      <c r="E1223" s="13" t="s">
        <v>63</v>
      </c>
      <c r="F1223" s="13" t="s">
        <v>64</v>
      </c>
      <c r="G1223" s="13" t="s">
        <v>142</v>
      </c>
      <c r="H1223" s="13" t="s">
        <v>143</v>
      </c>
      <c r="I1223" t="s">
        <v>37</v>
      </c>
      <c r="J1223" s="13" t="s">
        <v>38</v>
      </c>
      <c r="K1223" s="13" t="s">
        <v>29</v>
      </c>
      <c r="L1223" s="13" t="s">
        <v>30</v>
      </c>
      <c r="M1223" t="s">
        <v>139</v>
      </c>
      <c r="N1223">
        <v>963</v>
      </c>
      <c r="O1223" s="14">
        <v>0.37782389833591901</v>
      </c>
      <c r="P1223" s="14">
        <v>0.790102193132043</v>
      </c>
      <c r="Q1223" t="str">
        <f t="shared" si="38"/>
        <v>15-24</v>
      </c>
      <c r="R1223" t="str">
        <f t="shared" si="39"/>
        <v>[kxuuIFpOXyO]|15-24|Female|PLHIV_Residents.T_1|CY2023Q3</v>
      </c>
    </row>
    <row r="1224" spans="4:18" x14ac:dyDescent="0.2">
      <c r="D1224" s="13" t="s">
        <v>62</v>
      </c>
      <c r="E1224" s="13" t="s">
        <v>63</v>
      </c>
      <c r="F1224" s="13" t="s">
        <v>64</v>
      </c>
      <c r="G1224" s="13" t="s">
        <v>142</v>
      </c>
      <c r="H1224" s="13" t="s">
        <v>143</v>
      </c>
      <c r="I1224" t="s">
        <v>40</v>
      </c>
      <c r="J1224" s="13" t="s">
        <v>41</v>
      </c>
      <c r="K1224" s="13" t="s">
        <v>29</v>
      </c>
      <c r="L1224" s="13" t="s">
        <v>30</v>
      </c>
      <c r="M1224" t="s">
        <v>139</v>
      </c>
      <c r="N1224">
        <v>702</v>
      </c>
      <c r="O1224" s="14">
        <v>0.87369710253551602</v>
      </c>
      <c r="P1224" s="14">
        <v>0.790102193132043</v>
      </c>
      <c r="Q1224" t="str">
        <f t="shared" si="38"/>
        <v>25-34</v>
      </c>
      <c r="R1224" t="str">
        <f t="shared" si="39"/>
        <v>[kxuuIFpOXyO]|25-34|Female|PLHIV_Residents.T_1|CY2023Q3</v>
      </c>
    </row>
    <row r="1225" spans="4:18" x14ac:dyDescent="0.2">
      <c r="D1225" s="13" t="s">
        <v>62</v>
      </c>
      <c r="E1225" s="13" t="s">
        <v>63</v>
      </c>
      <c r="F1225" s="13" t="s">
        <v>64</v>
      </c>
      <c r="G1225" s="13" t="s">
        <v>142</v>
      </c>
      <c r="H1225" s="13" t="s">
        <v>143</v>
      </c>
      <c r="I1225" t="s">
        <v>42</v>
      </c>
      <c r="J1225" s="13" t="s">
        <v>43</v>
      </c>
      <c r="K1225" s="13" t="s">
        <v>29</v>
      </c>
      <c r="L1225" s="13" t="s">
        <v>30</v>
      </c>
      <c r="M1225" t="s">
        <v>139</v>
      </c>
      <c r="N1225">
        <v>1010</v>
      </c>
      <c r="O1225" s="14">
        <v>0.79032216593623195</v>
      </c>
      <c r="P1225" s="14">
        <v>0.790102193132043</v>
      </c>
      <c r="Q1225" t="str">
        <f t="shared" si="38"/>
        <v>35-49</v>
      </c>
      <c r="R1225" t="str">
        <f t="shared" si="39"/>
        <v>[kxuuIFpOXyO]|35-49|Female|PLHIV_Residents.T_1|CY2023Q3</v>
      </c>
    </row>
    <row r="1226" spans="4:18" x14ac:dyDescent="0.2">
      <c r="D1226" s="13" t="s">
        <v>62</v>
      </c>
      <c r="E1226" s="13" t="s">
        <v>63</v>
      </c>
      <c r="F1226" s="13" t="s">
        <v>64</v>
      </c>
      <c r="G1226" s="13" t="s">
        <v>142</v>
      </c>
      <c r="H1226" s="13" t="s">
        <v>143</v>
      </c>
      <c r="I1226" t="s">
        <v>44</v>
      </c>
      <c r="J1226" s="13" t="s">
        <v>45</v>
      </c>
      <c r="K1226" s="13" t="s">
        <v>29</v>
      </c>
      <c r="L1226" s="13" t="s">
        <v>30</v>
      </c>
      <c r="M1226" t="s">
        <v>139</v>
      </c>
      <c r="N1226">
        <v>1830</v>
      </c>
      <c r="O1226" s="14">
        <v>0.348560959566385</v>
      </c>
      <c r="P1226" s="14">
        <v>0.790102193132043</v>
      </c>
      <c r="Q1226" t="str">
        <f t="shared" si="38"/>
        <v>50+</v>
      </c>
      <c r="R1226" t="str">
        <f t="shared" si="39"/>
        <v>[kxuuIFpOXyO]|50+|Female|PLHIV_Residents.T_1|CY2023Q3</v>
      </c>
    </row>
    <row r="1227" spans="4:18" x14ac:dyDescent="0.2">
      <c r="D1227" s="13" t="s">
        <v>62</v>
      </c>
      <c r="E1227" s="13" t="s">
        <v>63</v>
      </c>
      <c r="F1227" s="13" t="s">
        <v>64</v>
      </c>
      <c r="G1227" s="13" t="s">
        <v>142</v>
      </c>
      <c r="H1227" s="13" t="s">
        <v>143</v>
      </c>
      <c r="I1227" t="s">
        <v>27</v>
      </c>
      <c r="J1227" s="13" t="s">
        <v>28</v>
      </c>
      <c r="K1227" s="13" t="s">
        <v>47</v>
      </c>
      <c r="L1227" s="13" t="s">
        <v>48</v>
      </c>
      <c r="M1227" t="s">
        <v>139</v>
      </c>
      <c r="N1227">
        <v>969</v>
      </c>
      <c r="O1227" s="14">
        <v>0.99469690304249503</v>
      </c>
      <c r="P1227" s="14">
        <v>0.790102193132043</v>
      </c>
      <c r="Q1227" t="str">
        <f t="shared" si="38"/>
        <v>&lt;01</v>
      </c>
      <c r="R1227" t="str">
        <f t="shared" si="39"/>
        <v>[kxuuIFpOXyO]|&lt;01|Male|PLHIV_Residents.T_1|CY2023Q3</v>
      </c>
    </row>
    <row r="1228" spans="4:18" x14ac:dyDescent="0.2">
      <c r="D1228" s="13" t="s">
        <v>62</v>
      </c>
      <c r="E1228" s="13" t="s">
        <v>63</v>
      </c>
      <c r="F1228" s="13" t="s">
        <v>64</v>
      </c>
      <c r="G1228" s="13" t="s">
        <v>142</v>
      </c>
      <c r="H1228" s="13" t="s">
        <v>143</v>
      </c>
      <c r="I1228" t="s">
        <v>32</v>
      </c>
      <c r="J1228" s="13" t="s">
        <v>33</v>
      </c>
      <c r="K1228" s="13" t="s">
        <v>47</v>
      </c>
      <c r="L1228" s="13" t="s">
        <v>48</v>
      </c>
      <c r="M1228" t="s">
        <v>139</v>
      </c>
      <c r="N1228">
        <v>819</v>
      </c>
      <c r="O1228" s="14">
        <v>0.116805114084855</v>
      </c>
      <c r="P1228" s="14">
        <v>0.790102193132043</v>
      </c>
      <c r="Q1228" t="str">
        <f t="shared" si="38"/>
        <v>01-09</v>
      </c>
      <c r="R1228" t="str">
        <f t="shared" si="39"/>
        <v>[kxuuIFpOXyO]|01-09|Male|PLHIV_Residents.T_1|CY2023Q3</v>
      </c>
    </row>
    <row r="1229" spans="4:18" x14ac:dyDescent="0.2">
      <c r="D1229" s="13" t="s">
        <v>62</v>
      </c>
      <c r="E1229" s="13" t="s">
        <v>63</v>
      </c>
      <c r="F1229" s="13" t="s">
        <v>64</v>
      </c>
      <c r="G1229" s="13" t="s">
        <v>142</v>
      </c>
      <c r="H1229" s="13" t="s">
        <v>143</v>
      </c>
      <c r="I1229" t="s">
        <v>35</v>
      </c>
      <c r="J1229" s="13" t="s">
        <v>36</v>
      </c>
      <c r="K1229" s="13" t="s">
        <v>47</v>
      </c>
      <c r="L1229" s="13" t="s">
        <v>48</v>
      </c>
      <c r="M1229" t="s">
        <v>139</v>
      </c>
      <c r="N1229">
        <v>839</v>
      </c>
      <c r="O1229" s="14">
        <v>0.41752886516042098</v>
      </c>
      <c r="P1229" s="14">
        <v>0.790102193132043</v>
      </c>
      <c r="Q1229" t="str">
        <f t="shared" si="38"/>
        <v>10-14</v>
      </c>
      <c r="R1229" t="str">
        <f t="shared" si="39"/>
        <v>[kxuuIFpOXyO]|10-14|Male|PLHIV_Residents.T_1|CY2023Q3</v>
      </c>
    </row>
    <row r="1230" spans="4:18" x14ac:dyDescent="0.2">
      <c r="D1230" s="13" t="s">
        <v>62</v>
      </c>
      <c r="E1230" s="13" t="s">
        <v>63</v>
      </c>
      <c r="F1230" s="13" t="s">
        <v>64</v>
      </c>
      <c r="G1230" s="13" t="s">
        <v>142</v>
      </c>
      <c r="H1230" s="13" t="s">
        <v>143</v>
      </c>
      <c r="I1230" t="s">
        <v>37</v>
      </c>
      <c r="J1230" s="13" t="s">
        <v>38</v>
      </c>
      <c r="K1230" s="13" t="s">
        <v>47</v>
      </c>
      <c r="L1230" s="13" t="s">
        <v>48</v>
      </c>
      <c r="M1230" t="s">
        <v>139</v>
      </c>
      <c r="N1230">
        <v>1113</v>
      </c>
      <c r="O1230" s="14">
        <v>0.58937927358783804</v>
      </c>
      <c r="P1230" s="14">
        <v>0.790102193132043</v>
      </c>
      <c r="Q1230" t="str">
        <f t="shared" si="38"/>
        <v>15-24</v>
      </c>
      <c r="R1230" t="str">
        <f t="shared" si="39"/>
        <v>[kxuuIFpOXyO]|15-24|Male|PLHIV_Residents.T_1|CY2023Q3</v>
      </c>
    </row>
    <row r="1231" spans="4:18" x14ac:dyDescent="0.2">
      <c r="D1231" s="13" t="s">
        <v>62</v>
      </c>
      <c r="E1231" s="13" t="s">
        <v>63</v>
      </c>
      <c r="F1231" s="13" t="s">
        <v>64</v>
      </c>
      <c r="G1231" s="13" t="s">
        <v>142</v>
      </c>
      <c r="H1231" s="13" t="s">
        <v>143</v>
      </c>
      <c r="I1231" t="s">
        <v>40</v>
      </c>
      <c r="J1231" s="13" t="s">
        <v>41</v>
      </c>
      <c r="K1231" s="13" t="s">
        <v>47</v>
      </c>
      <c r="L1231" s="13" t="s">
        <v>48</v>
      </c>
      <c r="M1231" t="s">
        <v>139</v>
      </c>
      <c r="N1231">
        <v>738</v>
      </c>
      <c r="O1231" s="14">
        <v>2.1253281738609102E-3</v>
      </c>
      <c r="P1231" s="14">
        <v>0.790102193132043</v>
      </c>
      <c r="Q1231" t="str">
        <f t="shared" si="38"/>
        <v>25-34</v>
      </c>
      <c r="R1231" t="str">
        <f t="shared" si="39"/>
        <v>[kxuuIFpOXyO]|25-34|Male|PLHIV_Residents.T_1|CY2023Q3</v>
      </c>
    </row>
    <row r="1232" spans="4:18" x14ac:dyDescent="0.2">
      <c r="D1232" s="13" t="s">
        <v>62</v>
      </c>
      <c r="E1232" s="13" t="s">
        <v>63</v>
      </c>
      <c r="F1232" s="13" t="s">
        <v>64</v>
      </c>
      <c r="G1232" s="13" t="s">
        <v>142</v>
      </c>
      <c r="H1232" s="13" t="s">
        <v>143</v>
      </c>
      <c r="I1232" t="s">
        <v>42</v>
      </c>
      <c r="J1232" s="13" t="s">
        <v>43</v>
      </c>
      <c r="K1232" s="13" t="s">
        <v>47</v>
      </c>
      <c r="L1232" s="13" t="s">
        <v>48</v>
      </c>
      <c r="M1232" t="s">
        <v>139</v>
      </c>
      <c r="N1232">
        <v>1793</v>
      </c>
      <c r="O1232" s="14">
        <v>0.55859379097819295</v>
      </c>
      <c r="P1232" s="14">
        <v>0.790102193132043</v>
      </c>
      <c r="Q1232" t="str">
        <f t="shared" si="38"/>
        <v>35-49</v>
      </c>
      <c r="R1232" t="str">
        <f t="shared" si="39"/>
        <v>[kxuuIFpOXyO]|35-49|Male|PLHIV_Residents.T_1|CY2023Q3</v>
      </c>
    </row>
    <row r="1233" spans="4:18" x14ac:dyDescent="0.2">
      <c r="D1233" s="13" t="s">
        <v>62</v>
      </c>
      <c r="E1233" s="13" t="s">
        <v>63</v>
      </c>
      <c r="F1233" s="13" t="s">
        <v>64</v>
      </c>
      <c r="G1233" s="13" t="s">
        <v>142</v>
      </c>
      <c r="H1233" s="13" t="s">
        <v>143</v>
      </c>
      <c r="I1233" t="s">
        <v>44</v>
      </c>
      <c r="J1233" s="13" t="s">
        <v>45</v>
      </c>
      <c r="K1233" s="13" t="s">
        <v>47</v>
      </c>
      <c r="L1233" s="13" t="s">
        <v>48</v>
      </c>
      <c r="M1233" t="s">
        <v>139</v>
      </c>
      <c r="N1233">
        <v>1853</v>
      </c>
      <c r="O1233" s="14">
        <v>0.91645966423675396</v>
      </c>
      <c r="P1233" s="14">
        <v>0.790102193132043</v>
      </c>
      <c r="Q1233" t="str">
        <f t="shared" si="38"/>
        <v>50+</v>
      </c>
      <c r="R1233" t="str">
        <f t="shared" si="39"/>
        <v>[kxuuIFpOXyO]|50+|Male|PLHIV_Residents.T_1|CY2023Q3</v>
      </c>
    </row>
    <row r="1234" spans="4:18" x14ac:dyDescent="0.2">
      <c r="D1234" s="13" t="s">
        <v>65</v>
      </c>
      <c r="E1234" s="13" t="s">
        <v>66</v>
      </c>
      <c r="F1234" s="13" t="s">
        <v>67</v>
      </c>
      <c r="G1234" s="13" t="s">
        <v>142</v>
      </c>
      <c r="H1234" s="13" t="s">
        <v>143</v>
      </c>
      <c r="I1234" t="s">
        <v>27</v>
      </c>
      <c r="J1234" s="13" t="s">
        <v>28</v>
      </c>
      <c r="K1234" s="13" t="s">
        <v>29</v>
      </c>
      <c r="L1234" s="13" t="s">
        <v>30</v>
      </c>
      <c r="M1234" t="s">
        <v>139</v>
      </c>
      <c r="N1234">
        <v>1031</v>
      </c>
      <c r="O1234" s="14">
        <v>0.96937417914159596</v>
      </c>
      <c r="P1234" s="14">
        <v>0.16460988437756899</v>
      </c>
      <c r="Q1234" t="str">
        <f t="shared" si="38"/>
        <v>&lt;01</v>
      </c>
      <c r="R1234" t="str">
        <f t="shared" si="39"/>
        <v>[ScR9iFKAasW]|&lt;01|Female|PLHIV_Residents.T_1|CY2023Q3</v>
      </c>
    </row>
    <row r="1235" spans="4:18" x14ac:dyDescent="0.2">
      <c r="D1235" s="13" t="s">
        <v>65</v>
      </c>
      <c r="E1235" s="13" t="s">
        <v>66</v>
      </c>
      <c r="F1235" s="13" t="s">
        <v>67</v>
      </c>
      <c r="G1235" s="13" t="s">
        <v>142</v>
      </c>
      <c r="H1235" s="13" t="s">
        <v>143</v>
      </c>
      <c r="I1235" t="s">
        <v>32</v>
      </c>
      <c r="J1235" s="13" t="s">
        <v>33</v>
      </c>
      <c r="K1235" s="13" t="s">
        <v>29</v>
      </c>
      <c r="L1235" s="13" t="s">
        <v>30</v>
      </c>
      <c r="M1235" t="s">
        <v>139</v>
      </c>
      <c r="N1235">
        <v>679</v>
      </c>
      <c r="O1235" s="14">
        <v>0.335285282460973</v>
      </c>
      <c r="P1235" s="14">
        <v>0.16460988437756899</v>
      </c>
      <c r="Q1235" t="str">
        <f t="shared" si="38"/>
        <v>01-09</v>
      </c>
      <c r="R1235" t="str">
        <f t="shared" si="39"/>
        <v>[ScR9iFKAasW]|01-09|Female|PLHIV_Residents.T_1|CY2023Q3</v>
      </c>
    </row>
    <row r="1236" spans="4:18" x14ac:dyDescent="0.2">
      <c r="D1236" s="13" t="s">
        <v>65</v>
      </c>
      <c r="E1236" s="13" t="s">
        <v>66</v>
      </c>
      <c r="F1236" s="13" t="s">
        <v>67</v>
      </c>
      <c r="G1236" s="13" t="s">
        <v>142</v>
      </c>
      <c r="H1236" s="13" t="s">
        <v>143</v>
      </c>
      <c r="I1236" t="s">
        <v>35</v>
      </c>
      <c r="J1236" s="13" t="s">
        <v>36</v>
      </c>
      <c r="K1236" s="13" t="s">
        <v>29</v>
      </c>
      <c r="L1236" s="13" t="s">
        <v>30</v>
      </c>
      <c r="M1236" t="s">
        <v>139</v>
      </c>
      <c r="N1236">
        <v>1763</v>
      </c>
      <c r="O1236" s="14">
        <v>0.53885709494352296</v>
      </c>
      <c r="P1236" s="14">
        <v>0.16460988437756899</v>
      </c>
      <c r="Q1236" t="str">
        <f t="shared" si="38"/>
        <v>10-14</v>
      </c>
      <c r="R1236" t="str">
        <f t="shared" si="39"/>
        <v>[ScR9iFKAasW]|10-14|Female|PLHIV_Residents.T_1|CY2023Q3</v>
      </c>
    </row>
    <row r="1237" spans="4:18" x14ac:dyDescent="0.2">
      <c r="D1237" s="13" t="s">
        <v>65</v>
      </c>
      <c r="E1237" s="13" t="s">
        <v>66</v>
      </c>
      <c r="F1237" s="13" t="s">
        <v>67</v>
      </c>
      <c r="G1237" s="13" t="s">
        <v>142</v>
      </c>
      <c r="H1237" s="13" t="s">
        <v>143</v>
      </c>
      <c r="I1237" t="s">
        <v>37</v>
      </c>
      <c r="J1237" s="13" t="s">
        <v>38</v>
      </c>
      <c r="K1237" s="13" t="s">
        <v>29</v>
      </c>
      <c r="L1237" s="13" t="s">
        <v>30</v>
      </c>
      <c r="M1237" t="s">
        <v>139</v>
      </c>
      <c r="N1237">
        <v>659</v>
      </c>
      <c r="O1237" s="14">
        <v>0.92151240259408995</v>
      </c>
      <c r="P1237" s="14">
        <v>0.16460988437756899</v>
      </c>
      <c r="Q1237" t="str">
        <f t="shared" si="38"/>
        <v>15-24</v>
      </c>
      <c r="R1237" t="str">
        <f t="shared" si="39"/>
        <v>[ScR9iFKAasW]|15-24|Female|PLHIV_Residents.T_1|CY2023Q3</v>
      </c>
    </row>
    <row r="1238" spans="4:18" x14ac:dyDescent="0.2">
      <c r="D1238" s="13" t="s">
        <v>65</v>
      </c>
      <c r="E1238" s="13" t="s">
        <v>66</v>
      </c>
      <c r="F1238" s="13" t="s">
        <v>67</v>
      </c>
      <c r="G1238" s="13" t="s">
        <v>142</v>
      </c>
      <c r="H1238" s="13" t="s">
        <v>143</v>
      </c>
      <c r="I1238" t="s">
        <v>40</v>
      </c>
      <c r="J1238" s="13" t="s">
        <v>41</v>
      </c>
      <c r="K1238" s="13" t="s">
        <v>29</v>
      </c>
      <c r="L1238" s="13" t="s">
        <v>30</v>
      </c>
      <c r="M1238" t="s">
        <v>139</v>
      </c>
      <c r="N1238">
        <v>1117</v>
      </c>
      <c r="O1238" s="14">
        <v>0.134483136702329</v>
      </c>
      <c r="P1238" s="14">
        <v>0.16460988437756899</v>
      </c>
      <c r="Q1238" t="str">
        <f t="shared" si="38"/>
        <v>25-34</v>
      </c>
      <c r="R1238" t="str">
        <f t="shared" si="39"/>
        <v>[ScR9iFKAasW]|25-34|Female|PLHIV_Residents.T_1|CY2023Q3</v>
      </c>
    </row>
    <row r="1239" spans="4:18" x14ac:dyDescent="0.2">
      <c r="D1239" s="13" t="s">
        <v>65</v>
      </c>
      <c r="E1239" s="13" t="s">
        <v>66</v>
      </c>
      <c r="F1239" s="13" t="s">
        <v>67</v>
      </c>
      <c r="G1239" s="13" t="s">
        <v>142</v>
      </c>
      <c r="H1239" s="13" t="s">
        <v>143</v>
      </c>
      <c r="I1239" t="s">
        <v>42</v>
      </c>
      <c r="J1239" s="13" t="s">
        <v>43</v>
      </c>
      <c r="K1239" s="13" t="s">
        <v>29</v>
      </c>
      <c r="L1239" s="13" t="s">
        <v>30</v>
      </c>
      <c r="M1239" t="s">
        <v>139</v>
      </c>
      <c r="N1239">
        <v>1674</v>
      </c>
      <c r="O1239" s="14">
        <v>0.19437540718354299</v>
      </c>
      <c r="P1239" s="14">
        <v>0.16460988437756899</v>
      </c>
      <c r="Q1239" t="str">
        <f t="shared" si="38"/>
        <v>35-49</v>
      </c>
      <c r="R1239" t="str">
        <f t="shared" si="39"/>
        <v>[ScR9iFKAasW]|35-49|Female|PLHIV_Residents.T_1|CY2023Q3</v>
      </c>
    </row>
    <row r="1240" spans="4:18" x14ac:dyDescent="0.2">
      <c r="D1240" s="13" t="s">
        <v>65</v>
      </c>
      <c r="E1240" s="13" t="s">
        <v>66</v>
      </c>
      <c r="F1240" s="13" t="s">
        <v>67</v>
      </c>
      <c r="G1240" s="13" t="s">
        <v>142</v>
      </c>
      <c r="H1240" s="13" t="s">
        <v>143</v>
      </c>
      <c r="I1240" t="s">
        <v>44</v>
      </c>
      <c r="J1240" s="13" t="s">
        <v>45</v>
      </c>
      <c r="K1240" s="13" t="s">
        <v>29</v>
      </c>
      <c r="L1240" s="13" t="s">
        <v>30</v>
      </c>
      <c r="M1240" t="s">
        <v>139</v>
      </c>
      <c r="N1240">
        <v>743</v>
      </c>
      <c r="O1240" s="14">
        <v>0.248670918866992</v>
      </c>
      <c r="P1240" s="14">
        <v>0.16460988437756899</v>
      </c>
      <c r="Q1240" t="str">
        <f t="shared" si="38"/>
        <v>50+</v>
      </c>
      <c r="R1240" t="str">
        <f t="shared" si="39"/>
        <v>[ScR9iFKAasW]|50+|Female|PLHIV_Residents.T_1|CY2023Q3</v>
      </c>
    </row>
    <row r="1241" spans="4:18" x14ac:dyDescent="0.2">
      <c r="D1241" s="13" t="s">
        <v>65</v>
      </c>
      <c r="E1241" s="13" t="s">
        <v>66</v>
      </c>
      <c r="F1241" s="13" t="s">
        <v>67</v>
      </c>
      <c r="G1241" s="13" t="s">
        <v>142</v>
      </c>
      <c r="H1241" s="13" t="s">
        <v>143</v>
      </c>
      <c r="I1241" t="s">
        <v>27</v>
      </c>
      <c r="J1241" s="13" t="s">
        <v>28</v>
      </c>
      <c r="K1241" s="13" t="s">
        <v>47</v>
      </c>
      <c r="L1241" s="13" t="s">
        <v>48</v>
      </c>
      <c r="M1241" t="s">
        <v>139</v>
      </c>
      <c r="N1241">
        <v>536</v>
      </c>
      <c r="O1241" s="14">
        <v>0.69195136637426902</v>
      </c>
      <c r="P1241" s="14">
        <v>0.16460988437756899</v>
      </c>
      <c r="Q1241" t="str">
        <f t="shared" si="38"/>
        <v>&lt;01</v>
      </c>
      <c r="R1241" t="str">
        <f t="shared" si="39"/>
        <v>[ScR9iFKAasW]|&lt;01|Male|PLHIV_Residents.T_1|CY2023Q3</v>
      </c>
    </row>
    <row r="1242" spans="4:18" x14ac:dyDescent="0.2">
      <c r="D1242" s="13" t="s">
        <v>65</v>
      </c>
      <c r="E1242" s="13" t="s">
        <v>66</v>
      </c>
      <c r="F1242" s="13" t="s">
        <v>67</v>
      </c>
      <c r="G1242" s="13" t="s">
        <v>142</v>
      </c>
      <c r="H1242" s="13" t="s">
        <v>143</v>
      </c>
      <c r="I1242" t="s">
        <v>32</v>
      </c>
      <c r="J1242" s="13" t="s">
        <v>33</v>
      </c>
      <c r="K1242" s="13" t="s">
        <v>47</v>
      </c>
      <c r="L1242" s="13" t="s">
        <v>48</v>
      </c>
      <c r="M1242" t="s">
        <v>139</v>
      </c>
      <c r="N1242">
        <v>1171</v>
      </c>
      <c r="O1242" s="14">
        <v>0.90147629007697105</v>
      </c>
      <c r="P1242" s="14">
        <v>0.16460988437756899</v>
      </c>
      <c r="Q1242" t="str">
        <f t="shared" si="38"/>
        <v>01-09</v>
      </c>
      <c r="R1242" t="str">
        <f t="shared" si="39"/>
        <v>[ScR9iFKAasW]|01-09|Male|PLHIV_Residents.T_1|CY2023Q3</v>
      </c>
    </row>
    <row r="1243" spans="4:18" x14ac:dyDescent="0.2">
      <c r="D1243" s="13" t="s">
        <v>65</v>
      </c>
      <c r="E1243" s="13" t="s">
        <v>66</v>
      </c>
      <c r="F1243" s="13" t="s">
        <v>67</v>
      </c>
      <c r="G1243" s="13" t="s">
        <v>142</v>
      </c>
      <c r="H1243" s="13" t="s">
        <v>143</v>
      </c>
      <c r="I1243" t="s">
        <v>35</v>
      </c>
      <c r="J1243" s="13" t="s">
        <v>36</v>
      </c>
      <c r="K1243" s="13" t="s">
        <v>47</v>
      </c>
      <c r="L1243" s="13" t="s">
        <v>48</v>
      </c>
      <c r="M1243" t="s">
        <v>139</v>
      </c>
      <c r="N1243">
        <v>1418</v>
      </c>
      <c r="O1243" s="14">
        <v>6.1622909270226999E-3</v>
      </c>
      <c r="P1243" s="14">
        <v>0.16460988437756899</v>
      </c>
      <c r="Q1243" t="str">
        <f t="shared" si="38"/>
        <v>10-14</v>
      </c>
      <c r="R1243" t="str">
        <f t="shared" si="39"/>
        <v>[ScR9iFKAasW]|10-14|Male|PLHIV_Residents.T_1|CY2023Q3</v>
      </c>
    </row>
    <row r="1244" spans="4:18" x14ac:dyDescent="0.2">
      <c r="D1244" s="13" t="s">
        <v>65</v>
      </c>
      <c r="E1244" s="13" t="s">
        <v>66</v>
      </c>
      <c r="F1244" s="13" t="s">
        <v>67</v>
      </c>
      <c r="G1244" s="13" t="s">
        <v>142</v>
      </c>
      <c r="H1244" s="13" t="s">
        <v>143</v>
      </c>
      <c r="I1244" t="s">
        <v>37</v>
      </c>
      <c r="J1244" s="13" t="s">
        <v>38</v>
      </c>
      <c r="K1244" s="13" t="s">
        <v>47</v>
      </c>
      <c r="L1244" s="13" t="s">
        <v>48</v>
      </c>
      <c r="M1244" t="s">
        <v>139</v>
      </c>
      <c r="N1244">
        <v>1441</v>
      </c>
      <c r="O1244" s="14">
        <v>0.34043896268121898</v>
      </c>
      <c r="P1244" s="14">
        <v>0.16460988437756899</v>
      </c>
      <c r="Q1244" t="str">
        <f t="shared" si="38"/>
        <v>15-24</v>
      </c>
      <c r="R1244" t="str">
        <f t="shared" si="39"/>
        <v>[ScR9iFKAasW]|15-24|Male|PLHIV_Residents.T_1|CY2023Q3</v>
      </c>
    </row>
    <row r="1245" spans="4:18" x14ac:dyDescent="0.2">
      <c r="D1245" s="13" t="s">
        <v>65</v>
      </c>
      <c r="E1245" s="13" t="s">
        <v>66</v>
      </c>
      <c r="F1245" s="13" t="s">
        <v>67</v>
      </c>
      <c r="G1245" s="13" t="s">
        <v>142</v>
      </c>
      <c r="H1245" s="13" t="s">
        <v>143</v>
      </c>
      <c r="I1245" t="s">
        <v>40</v>
      </c>
      <c r="J1245" s="13" t="s">
        <v>41</v>
      </c>
      <c r="K1245" s="13" t="s">
        <v>47</v>
      </c>
      <c r="L1245" s="13" t="s">
        <v>48</v>
      </c>
      <c r="M1245" t="s">
        <v>139</v>
      </c>
      <c r="N1245">
        <v>1919</v>
      </c>
      <c r="O1245" s="14">
        <v>0.77289639925584197</v>
      </c>
      <c r="P1245" s="14">
        <v>0.16460988437756899</v>
      </c>
      <c r="Q1245" t="str">
        <f t="shared" si="38"/>
        <v>25-34</v>
      </c>
      <c r="R1245" t="str">
        <f t="shared" si="39"/>
        <v>[ScR9iFKAasW]|25-34|Male|PLHIV_Residents.T_1|CY2023Q3</v>
      </c>
    </row>
    <row r="1246" spans="4:18" x14ac:dyDescent="0.2">
      <c r="D1246" s="13" t="s">
        <v>65</v>
      </c>
      <c r="E1246" s="13" t="s">
        <v>66</v>
      </c>
      <c r="F1246" s="13" t="s">
        <v>67</v>
      </c>
      <c r="G1246" s="13" t="s">
        <v>142</v>
      </c>
      <c r="H1246" s="13" t="s">
        <v>143</v>
      </c>
      <c r="I1246" t="s">
        <v>42</v>
      </c>
      <c r="J1246" s="13" t="s">
        <v>43</v>
      </c>
      <c r="K1246" s="13" t="s">
        <v>47</v>
      </c>
      <c r="L1246" s="13" t="s">
        <v>48</v>
      </c>
      <c r="M1246" t="s">
        <v>139</v>
      </c>
      <c r="N1246">
        <v>1333</v>
      </c>
      <c r="O1246" s="14">
        <v>0.68135228194296404</v>
      </c>
      <c r="P1246" s="14">
        <v>0.16460988437756899</v>
      </c>
      <c r="Q1246" t="str">
        <f t="shared" si="38"/>
        <v>35-49</v>
      </c>
      <c r="R1246" t="str">
        <f t="shared" si="39"/>
        <v>[ScR9iFKAasW]|35-49|Male|PLHIV_Residents.T_1|CY2023Q3</v>
      </c>
    </row>
    <row r="1247" spans="4:18" x14ac:dyDescent="0.2">
      <c r="D1247" s="13" t="s">
        <v>65</v>
      </c>
      <c r="E1247" s="13" t="s">
        <v>66</v>
      </c>
      <c r="F1247" s="13" t="s">
        <v>67</v>
      </c>
      <c r="G1247" s="13" t="s">
        <v>142</v>
      </c>
      <c r="H1247" s="13" t="s">
        <v>143</v>
      </c>
      <c r="I1247" t="s">
        <v>44</v>
      </c>
      <c r="J1247" s="13" t="s">
        <v>45</v>
      </c>
      <c r="K1247" s="13" t="s">
        <v>47</v>
      </c>
      <c r="L1247" s="13" t="s">
        <v>48</v>
      </c>
      <c r="M1247" t="s">
        <v>139</v>
      </c>
      <c r="N1247">
        <v>1289</v>
      </c>
      <c r="O1247" s="14">
        <v>0.54240936040878296</v>
      </c>
      <c r="P1247" s="14">
        <v>0.16460988437756899</v>
      </c>
      <c r="Q1247" t="str">
        <f t="shared" si="38"/>
        <v>50+</v>
      </c>
      <c r="R1247" t="str">
        <f t="shared" si="39"/>
        <v>[ScR9iFKAasW]|50+|Male|PLHIV_Residents.T_1|CY2023Q3</v>
      </c>
    </row>
    <row r="1248" spans="4:18" x14ac:dyDescent="0.2">
      <c r="D1248" s="13" t="s">
        <v>68</v>
      </c>
      <c r="E1248" s="13" t="s">
        <v>69</v>
      </c>
      <c r="F1248" s="13" t="s">
        <v>70</v>
      </c>
      <c r="G1248" s="13" t="s">
        <v>142</v>
      </c>
      <c r="H1248" s="13" t="s">
        <v>143</v>
      </c>
      <c r="I1248" t="s">
        <v>27</v>
      </c>
      <c r="J1248" s="13" t="s">
        <v>28</v>
      </c>
      <c r="K1248" s="13" t="s">
        <v>29</v>
      </c>
      <c r="L1248" s="13" t="s">
        <v>30</v>
      </c>
      <c r="M1248" t="s">
        <v>139</v>
      </c>
      <c r="N1248">
        <v>1518</v>
      </c>
      <c r="O1248" s="14">
        <v>0.92600835952907801</v>
      </c>
      <c r="P1248" s="14">
        <v>0.19881726312451101</v>
      </c>
      <c r="Q1248" t="str">
        <f t="shared" si="38"/>
        <v>&lt;01</v>
      </c>
      <c r="R1248" t="str">
        <f t="shared" si="39"/>
        <v>[PekKUkKHAzY]|&lt;01|Female|PLHIV_Residents.T_1|CY2023Q3</v>
      </c>
    </row>
    <row r="1249" spans="4:18" x14ac:dyDescent="0.2">
      <c r="D1249" s="13" t="s">
        <v>68</v>
      </c>
      <c r="E1249" s="13" t="s">
        <v>69</v>
      </c>
      <c r="F1249" s="13" t="s">
        <v>70</v>
      </c>
      <c r="G1249" s="13" t="s">
        <v>142</v>
      </c>
      <c r="H1249" s="13" t="s">
        <v>143</v>
      </c>
      <c r="I1249" t="s">
        <v>32</v>
      </c>
      <c r="J1249" s="13" t="s">
        <v>33</v>
      </c>
      <c r="K1249" s="13" t="s">
        <v>29</v>
      </c>
      <c r="L1249" s="13" t="s">
        <v>30</v>
      </c>
      <c r="M1249" t="s">
        <v>139</v>
      </c>
      <c r="N1249">
        <v>921</v>
      </c>
      <c r="O1249" s="14">
        <v>0.58009681454859696</v>
      </c>
      <c r="P1249" s="14">
        <v>0.19881726312451101</v>
      </c>
      <c r="Q1249" t="str">
        <f t="shared" si="38"/>
        <v>01-09</v>
      </c>
      <c r="R1249" t="str">
        <f t="shared" si="39"/>
        <v>[PekKUkKHAzY]|01-09|Female|PLHIV_Residents.T_1|CY2023Q3</v>
      </c>
    </row>
    <row r="1250" spans="4:18" x14ac:dyDescent="0.2">
      <c r="D1250" s="13" t="s">
        <v>68</v>
      </c>
      <c r="E1250" s="13" t="s">
        <v>69</v>
      </c>
      <c r="F1250" s="13" t="s">
        <v>70</v>
      </c>
      <c r="G1250" s="13" t="s">
        <v>142</v>
      </c>
      <c r="H1250" s="13" t="s">
        <v>143</v>
      </c>
      <c r="I1250" t="s">
        <v>35</v>
      </c>
      <c r="J1250" s="13" t="s">
        <v>36</v>
      </c>
      <c r="K1250" s="13" t="s">
        <v>29</v>
      </c>
      <c r="L1250" s="13" t="s">
        <v>30</v>
      </c>
      <c r="M1250" t="s">
        <v>139</v>
      </c>
      <c r="N1250">
        <v>977</v>
      </c>
      <c r="O1250" s="14">
        <v>0.96194696496240795</v>
      </c>
      <c r="P1250" s="14">
        <v>0.19881726312451101</v>
      </c>
      <c r="Q1250" t="str">
        <f t="shared" si="38"/>
        <v>10-14</v>
      </c>
      <c r="R1250" t="str">
        <f t="shared" si="39"/>
        <v>[PekKUkKHAzY]|10-14|Female|PLHIV_Residents.T_1|CY2023Q3</v>
      </c>
    </row>
    <row r="1251" spans="4:18" x14ac:dyDescent="0.2">
      <c r="D1251" s="13" t="s">
        <v>68</v>
      </c>
      <c r="E1251" s="13" t="s">
        <v>69</v>
      </c>
      <c r="F1251" s="13" t="s">
        <v>70</v>
      </c>
      <c r="G1251" s="13" t="s">
        <v>142</v>
      </c>
      <c r="H1251" s="13" t="s">
        <v>143</v>
      </c>
      <c r="I1251" t="s">
        <v>37</v>
      </c>
      <c r="J1251" s="13" t="s">
        <v>38</v>
      </c>
      <c r="K1251" s="13" t="s">
        <v>29</v>
      </c>
      <c r="L1251" s="13" t="s">
        <v>30</v>
      </c>
      <c r="M1251" t="s">
        <v>139</v>
      </c>
      <c r="N1251">
        <v>1333</v>
      </c>
      <c r="O1251" s="14">
        <v>0.61386474408209302</v>
      </c>
      <c r="P1251" s="14">
        <v>0.19881726312451101</v>
      </c>
      <c r="Q1251" t="str">
        <f t="shared" si="38"/>
        <v>15-24</v>
      </c>
      <c r="R1251" t="str">
        <f t="shared" si="39"/>
        <v>[PekKUkKHAzY]|15-24|Female|PLHIV_Residents.T_1|CY2023Q3</v>
      </c>
    </row>
    <row r="1252" spans="4:18" x14ac:dyDescent="0.2">
      <c r="D1252" s="13" t="s">
        <v>68</v>
      </c>
      <c r="E1252" s="13" t="s">
        <v>69</v>
      </c>
      <c r="F1252" s="13" t="s">
        <v>70</v>
      </c>
      <c r="G1252" s="13" t="s">
        <v>142</v>
      </c>
      <c r="H1252" s="13" t="s">
        <v>143</v>
      </c>
      <c r="I1252" t="s">
        <v>40</v>
      </c>
      <c r="J1252" s="13" t="s">
        <v>41</v>
      </c>
      <c r="K1252" s="13" t="s">
        <v>29</v>
      </c>
      <c r="L1252" s="13" t="s">
        <v>30</v>
      </c>
      <c r="M1252" t="s">
        <v>139</v>
      </c>
      <c r="N1252">
        <v>1900</v>
      </c>
      <c r="O1252" s="14">
        <v>0.41824842174537502</v>
      </c>
      <c r="P1252" s="14">
        <v>0.19881726312451101</v>
      </c>
      <c r="Q1252" t="str">
        <f t="shared" si="38"/>
        <v>25-34</v>
      </c>
      <c r="R1252" t="str">
        <f t="shared" si="39"/>
        <v>[PekKUkKHAzY]|25-34|Female|PLHIV_Residents.T_1|CY2023Q3</v>
      </c>
    </row>
    <row r="1253" spans="4:18" x14ac:dyDescent="0.2">
      <c r="D1253" s="13" t="s">
        <v>68</v>
      </c>
      <c r="E1253" s="13" t="s">
        <v>69</v>
      </c>
      <c r="F1253" s="13" t="s">
        <v>70</v>
      </c>
      <c r="G1253" s="13" t="s">
        <v>142</v>
      </c>
      <c r="H1253" s="13" t="s">
        <v>143</v>
      </c>
      <c r="I1253" t="s">
        <v>42</v>
      </c>
      <c r="J1253" s="13" t="s">
        <v>43</v>
      </c>
      <c r="K1253" s="13" t="s">
        <v>29</v>
      </c>
      <c r="L1253" s="13" t="s">
        <v>30</v>
      </c>
      <c r="M1253" t="s">
        <v>139</v>
      </c>
      <c r="N1253">
        <v>1532</v>
      </c>
      <c r="O1253" s="14">
        <v>0.49196359328925598</v>
      </c>
      <c r="P1253" s="14">
        <v>0.19881726312451101</v>
      </c>
      <c r="Q1253" t="str">
        <f t="shared" si="38"/>
        <v>35-49</v>
      </c>
      <c r="R1253" t="str">
        <f t="shared" si="39"/>
        <v>[PekKUkKHAzY]|35-49|Female|PLHIV_Residents.T_1|CY2023Q3</v>
      </c>
    </row>
    <row r="1254" spans="4:18" x14ac:dyDescent="0.2">
      <c r="D1254" s="13" t="s">
        <v>68</v>
      </c>
      <c r="E1254" s="13" t="s">
        <v>69</v>
      </c>
      <c r="F1254" s="13" t="s">
        <v>70</v>
      </c>
      <c r="G1254" s="13" t="s">
        <v>142</v>
      </c>
      <c r="H1254" s="13" t="s">
        <v>143</v>
      </c>
      <c r="I1254" t="s">
        <v>44</v>
      </c>
      <c r="J1254" s="13" t="s">
        <v>45</v>
      </c>
      <c r="K1254" s="13" t="s">
        <v>29</v>
      </c>
      <c r="L1254" s="13" t="s">
        <v>30</v>
      </c>
      <c r="M1254" t="s">
        <v>139</v>
      </c>
      <c r="N1254">
        <v>588</v>
      </c>
      <c r="O1254" s="14">
        <v>0.36791871464811299</v>
      </c>
      <c r="P1254" s="14">
        <v>0.19881726312451101</v>
      </c>
      <c r="Q1254" t="str">
        <f t="shared" si="38"/>
        <v>50+</v>
      </c>
      <c r="R1254" t="str">
        <f t="shared" si="39"/>
        <v>[PekKUkKHAzY]|50+|Female|PLHIV_Residents.T_1|CY2023Q3</v>
      </c>
    </row>
    <row r="1255" spans="4:18" x14ac:dyDescent="0.2">
      <c r="D1255" s="13" t="s">
        <v>68</v>
      </c>
      <c r="E1255" s="13" t="s">
        <v>69</v>
      </c>
      <c r="F1255" s="13" t="s">
        <v>70</v>
      </c>
      <c r="G1255" s="13" t="s">
        <v>142</v>
      </c>
      <c r="H1255" s="13" t="s">
        <v>143</v>
      </c>
      <c r="I1255" t="s">
        <v>27</v>
      </c>
      <c r="J1255" s="13" t="s">
        <v>28</v>
      </c>
      <c r="K1255" s="13" t="s">
        <v>47</v>
      </c>
      <c r="L1255" s="13" t="s">
        <v>48</v>
      </c>
      <c r="M1255" t="s">
        <v>139</v>
      </c>
      <c r="N1255">
        <v>1571</v>
      </c>
      <c r="O1255" s="14">
        <v>0.25250162743032001</v>
      </c>
      <c r="P1255" s="14">
        <v>0.19881726312451101</v>
      </c>
      <c r="Q1255" t="str">
        <f t="shared" si="38"/>
        <v>&lt;01</v>
      </c>
      <c r="R1255" t="str">
        <f t="shared" si="39"/>
        <v>[PekKUkKHAzY]|&lt;01|Male|PLHIV_Residents.T_1|CY2023Q3</v>
      </c>
    </row>
    <row r="1256" spans="4:18" x14ac:dyDescent="0.2">
      <c r="D1256" s="13" t="s">
        <v>68</v>
      </c>
      <c r="E1256" s="13" t="s">
        <v>69</v>
      </c>
      <c r="F1256" s="13" t="s">
        <v>70</v>
      </c>
      <c r="G1256" s="13" t="s">
        <v>142</v>
      </c>
      <c r="H1256" s="13" t="s">
        <v>143</v>
      </c>
      <c r="I1256" t="s">
        <v>32</v>
      </c>
      <c r="J1256" s="13" t="s">
        <v>33</v>
      </c>
      <c r="K1256" s="13" t="s">
        <v>47</v>
      </c>
      <c r="L1256" s="13" t="s">
        <v>48</v>
      </c>
      <c r="M1256" t="s">
        <v>139</v>
      </c>
      <c r="N1256">
        <v>641</v>
      </c>
      <c r="O1256" s="14">
        <v>0.64959482941776503</v>
      </c>
      <c r="P1256" s="14">
        <v>0.19881726312451101</v>
      </c>
      <c r="Q1256" t="str">
        <f t="shared" si="38"/>
        <v>01-09</v>
      </c>
      <c r="R1256" t="str">
        <f t="shared" si="39"/>
        <v>[PekKUkKHAzY]|01-09|Male|PLHIV_Residents.T_1|CY2023Q3</v>
      </c>
    </row>
    <row r="1257" spans="4:18" x14ac:dyDescent="0.2">
      <c r="D1257" s="13" t="s">
        <v>68</v>
      </c>
      <c r="E1257" s="13" t="s">
        <v>69</v>
      </c>
      <c r="F1257" s="13" t="s">
        <v>70</v>
      </c>
      <c r="G1257" s="13" t="s">
        <v>142</v>
      </c>
      <c r="H1257" s="13" t="s">
        <v>143</v>
      </c>
      <c r="I1257" t="s">
        <v>35</v>
      </c>
      <c r="J1257" s="13" t="s">
        <v>36</v>
      </c>
      <c r="K1257" s="13" t="s">
        <v>47</v>
      </c>
      <c r="L1257" s="13" t="s">
        <v>48</v>
      </c>
      <c r="M1257" t="s">
        <v>139</v>
      </c>
      <c r="N1257">
        <v>1222</v>
      </c>
      <c r="O1257" s="14">
        <v>0.32137491530738799</v>
      </c>
      <c r="P1257" s="14">
        <v>0.19881726312451101</v>
      </c>
      <c r="Q1257" t="str">
        <f t="shared" si="38"/>
        <v>10-14</v>
      </c>
      <c r="R1257" t="str">
        <f t="shared" si="39"/>
        <v>[PekKUkKHAzY]|10-14|Male|PLHIV_Residents.T_1|CY2023Q3</v>
      </c>
    </row>
    <row r="1258" spans="4:18" x14ac:dyDescent="0.2">
      <c r="D1258" s="13" t="s">
        <v>68</v>
      </c>
      <c r="E1258" s="13" t="s">
        <v>69</v>
      </c>
      <c r="F1258" s="13" t="s">
        <v>70</v>
      </c>
      <c r="G1258" s="13" t="s">
        <v>142</v>
      </c>
      <c r="H1258" s="13" t="s">
        <v>143</v>
      </c>
      <c r="I1258" t="s">
        <v>37</v>
      </c>
      <c r="J1258" s="13" t="s">
        <v>38</v>
      </c>
      <c r="K1258" s="13" t="s">
        <v>47</v>
      </c>
      <c r="L1258" s="13" t="s">
        <v>48</v>
      </c>
      <c r="M1258" t="s">
        <v>139</v>
      </c>
      <c r="N1258">
        <v>786</v>
      </c>
      <c r="O1258" s="14">
        <v>0.301724421558902</v>
      </c>
      <c r="P1258" s="14">
        <v>0.19881726312451101</v>
      </c>
      <c r="Q1258" t="str">
        <f t="shared" si="38"/>
        <v>15-24</v>
      </c>
      <c r="R1258" t="str">
        <f t="shared" si="39"/>
        <v>[PekKUkKHAzY]|15-24|Male|PLHIV_Residents.T_1|CY2023Q3</v>
      </c>
    </row>
    <row r="1259" spans="4:18" x14ac:dyDescent="0.2">
      <c r="D1259" s="13" t="s">
        <v>68</v>
      </c>
      <c r="E1259" s="13" t="s">
        <v>69</v>
      </c>
      <c r="F1259" s="13" t="s">
        <v>70</v>
      </c>
      <c r="G1259" s="13" t="s">
        <v>142</v>
      </c>
      <c r="H1259" s="13" t="s">
        <v>143</v>
      </c>
      <c r="I1259" t="s">
        <v>40</v>
      </c>
      <c r="J1259" s="13" t="s">
        <v>41</v>
      </c>
      <c r="K1259" s="13" t="s">
        <v>47</v>
      </c>
      <c r="L1259" s="13" t="s">
        <v>48</v>
      </c>
      <c r="M1259" t="s">
        <v>139</v>
      </c>
      <c r="N1259">
        <v>1515</v>
      </c>
      <c r="O1259" s="14">
        <v>0.54247657372616198</v>
      </c>
      <c r="P1259" s="14">
        <v>0.19881726312451101</v>
      </c>
      <c r="Q1259" t="str">
        <f t="shared" si="38"/>
        <v>25-34</v>
      </c>
      <c r="R1259" t="str">
        <f t="shared" si="39"/>
        <v>[PekKUkKHAzY]|25-34|Male|PLHIV_Residents.T_1|CY2023Q3</v>
      </c>
    </row>
    <row r="1260" spans="4:18" x14ac:dyDescent="0.2">
      <c r="D1260" s="13" t="s">
        <v>68</v>
      </c>
      <c r="E1260" s="13" t="s">
        <v>69</v>
      </c>
      <c r="F1260" s="13" t="s">
        <v>70</v>
      </c>
      <c r="G1260" s="13" t="s">
        <v>142</v>
      </c>
      <c r="H1260" s="13" t="s">
        <v>143</v>
      </c>
      <c r="I1260" t="s">
        <v>42</v>
      </c>
      <c r="J1260" s="13" t="s">
        <v>43</v>
      </c>
      <c r="K1260" s="13" t="s">
        <v>47</v>
      </c>
      <c r="L1260" s="13" t="s">
        <v>48</v>
      </c>
      <c r="M1260" t="s">
        <v>139</v>
      </c>
      <c r="N1260">
        <v>1176</v>
      </c>
      <c r="O1260" s="14">
        <v>0.58359466749243405</v>
      </c>
      <c r="P1260" s="14">
        <v>0.19881726312451101</v>
      </c>
      <c r="Q1260" t="str">
        <f t="shared" si="38"/>
        <v>35-49</v>
      </c>
      <c r="R1260" t="str">
        <f t="shared" si="39"/>
        <v>[PekKUkKHAzY]|35-49|Male|PLHIV_Residents.T_1|CY2023Q3</v>
      </c>
    </row>
    <row r="1261" spans="4:18" x14ac:dyDescent="0.2">
      <c r="D1261" s="13" t="s">
        <v>68</v>
      </c>
      <c r="E1261" s="13" t="s">
        <v>69</v>
      </c>
      <c r="F1261" s="13" t="s">
        <v>70</v>
      </c>
      <c r="G1261" s="13" t="s">
        <v>142</v>
      </c>
      <c r="H1261" s="13" t="s">
        <v>143</v>
      </c>
      <c r="I1261" t="s">
        <v>44</v>
      </c>
      <c r="J1261" s="13" t="s">
        <v>45</v>
      </c>
      <c r="K1261" s="13" t="s">
        <v>47</v>
      </c>
      <c r="L1261" s="13" t="s">
        <v>48</v>
      </c>
      <c r="M1261" t="s">
        <v>139</v>
      </c>
      <c r="N1261">
        <v>1191</v>
      </c>
      <c r="O1261" s="14">
        <v>0.684132948983461</v>
      </c>
      <c r="P1261" s="14">
        <v>0.19881726312451101</v>
      </c>
      <c r="Q1261" t="str">
        <f t="shared" si="38"/>
        <v>50+</v>
      </c>
      <c r="R1261" t="str">
        <f t="shared" si="39"/>
        <v>[PekKUkKHAzY]|50+|Male|PLHIV_Residents.T_1|CY2023Q3</v>
      </c>
    </row>
    <row r="1262" spans="4:18" x14ac:dyDescent="0.2">
      <c r="D1262" s="13" t="s">
        <v>71</v>
      </c>
      <c r="E1262" s="13" t="s">
        <v>72</v>
      </c>
      <c r="F1262" s="13" t="s">
        <v>73</v>
      </c>
      <c r="G1262" s="13" t="s">
        <v>142</v>
      </c>
      <c r="H1262" s="13" t="s">
        <v>143</v>
      </c>
      <c r="I1262" t="s">
        <v>27</v>
      </c>
      <c r="J1262" s="13" t="s">
        <v>28</v>
      </c>
      <c r="K1262" s="13" t="s">
        <v>29</v>
      </c>
      <c r="L1262" s="13" t="s">
        <v>30</v>
      </c>
      <c r="M1262" t="s">
        <v>139</v>
      </c>
      <c r="N1262">
        <v>868</v>
      </c>
      <c r="O1262" s="14">
        <v>0.70362148573622096</v>
      </c>
      <c r="P1262" s="14">
        <v>0.28972870693542102</v>
      </c>
      <c r="Q1262" t="str">
        <f t="shared" si="38"/>
        <v>&lt;01</v>
      </c>
      <c r="R1262" t="str">
        <f t="shared" si="39"/>
        <v>[am530wpaGvr]|&lt;01|Female|PLHIV_Residents.T_1|CY2023Q3</v>
      </c>
    </row>
    <row r="1263" spans="4:18" x14ac:dyDescent="0.2">
      <c r="D1263" s="13" t="s">
        <v>71</v>
      </c>
      <c r="E1263" s="13" t="s">
        <v>72</v>
      </c>
      <c r="F1263" s="13" t="s">
        <v>73</v>
      </c>
      <c r="G1263" s="13" t="s">
        <v>142</v>
      </c>
      <c r="H1263" s="13" t="s">
        <v>143</v>
      </c>
      <c r="I1263" t="s">
        <v>32</v>
      </c>
      <c r="J1263" s="13" t="s">
        <v>33</v>
      </c>
      <c r="K1263" s="13" t="s">
        <v>29</v>
      </c>
      <c r="L1263" s="13" t="s">
        <v>30</v>
      </c>
      <c r="M1263" t="s">
        <v>139</v>
      </c>
      <c r="N1263">
        <v>1006</v>
      </c>
      <c r="O1263" s="14">
        <v>0.62047188682481602</v>
      </c>
      <c r="P1263" s="14">
        <v>0.28972870693542102</v>
      </c>
      <c r="Q1263" t="str">
        <f t="shared" si="38"/>
        <v>01-09</v>
      </c>
      <c r="R1263" t="str">
        <f t="shared" si="39"/>
        <v>[am530wpaGvr]|01-09|Female|PLHIV_Residents.T_1|CY2023Q3</v>
      </c>
    </row>
    <row r="1264" spans="4:18" x14ac:dyDescent="0.2">
      <c r="D1264" s="13" t="s">
        <v>71</v>
      </c>
      <c r="E1264" s="13" t="s">
        <v>72</v>
      </c>
      <c r="F1264" s="13" t="s">
        <v>73</v>
      </c>
      <c r="G1264" s="13" t="s">
        <v>142</v>
      </c>
      <c r="H1264" s="13" t="s">
        <v>143</v>
      </c>
      <c r="I1264" t="s">
        <v>35</v>
      </c>
      <c r="J1264" s="13" t="s">
        <v>36</v>
      </c>
      <c r="K1264" s="13" t="s">
        <v>29</v>
      </c>
      <c r="L1264" s="13" t="s">
        <v>30</v>
      </c>
      <c r="M1264" t="s">
        <v>139</v>
      </c>
      <c r="N1264">
        <v>1774</v>
      </c>
      <c r="O1264" s="14">
        <v>0.73578246543183901</v>
      </c>
      <c r="P1264" s="14">
        <v>0.28972870693542102</v>
      </c>
      <c r="Q1264" t="str">
        <f t="shared" si="38"/>
        <v>10-14</v>
      </c>
      <c r="R1264" t="str">
        <f t="shared" si="39"/>
        <v>[am530wpaGvr]|10-14|Female|PLHIV_Residents.T_1|CY2023Q3</v>
      </c>
    </row>
    <row r="1265" spans="4:18" x14ac:dyDescent="0.2">
      <c r="D1265" s="13" t="s">
        <v>71</v>
      </c>
      <c r="E1265" s="13" t="s">
        <v>72</v>
      </c>
      <c r="F1265" s="13" t="s">
        <v>73</v>
      </c>
      <c r="G1265" s="13" t="s">
        <v>142</v>
      </c>
      <c r="H1265" s="13" t="s">
        <v>143</v>
      </c>
      <c r="I1265" t="s">
        <v>37</v>
      </c>
      <c r="J1265" s="13" t="s">
        <v>38</v>
      </c>
      <c r="K1265" s="13" t="s">
        <v>29</v>
      </c>
      <c r="L1265" s="13" t="s">
        <v>30</v>
      </c>
      <c r="M1265" t="s">
        <v>139</v>
      </c>
      <c r="N1265">
        <v>700</v>
      </c>
      <c r="O1265" s="14">
        <v>0.55177498306147799</v>
      </c>
      <c r="P1265" s="14">
        <v>0.28972870693542102</v>
      </c>
      <c r="Q1265" t="str">
        <f t="shared" si="38"/>
        <v>15-24</v>
      </c>
      <c r="R1265" t="str">
        <f t="shared" si="39"/>
        <v>[am530wpaGvr]|15-24|Female|PLHIV_Residents.T_1|CY2023Q3</v>
      </c>
    </row>
    <row r="1266" spans="4:18" x14ac:dyDescent="0.2">
      <c r="D1266" s="13" t="s">
        <v>71</v>
      </c>
      <c r="E1266" s="13" t="s">
        <v>72</v>
      </c>
      <c r="F1266" s="13" t="s">
        <v>73</v>
      </c>
      <c r="G1266" s="13" t="s">
        <v>142</v>
      </c>
      <c r="H1266" s="13" t="s">
        <v>143</v>
      </c>
      <c r="I1266" t="s">
        <v>40</v>
      </c>
      <c r="J1266" s="13" t="s">
        <v>41</v>
      </c>
      <c r="K1266" s="13" t="s">
        <v>29</v>
      </c>
      <c r="L1266" s="13" t="s">
        <v>30</v>
      </c>
      <c r="M1266" t="s">
        <v>139</v>
      </c>
      <c r="N1266">
        <v>1117</v>
      </c>
      <c r="O1266" s="14">
        <v>0.95544594712555397</v>
      </c>
      <c r="P1266" s="14">
        <v>0.28972870693542102</v>
      </c>
      <c r="Q1266" t="str">
        <f t="shared" si="38"/>
        <v>25-34</v>
      </c>
      <c r="R1266" t="str">
        <f t="shared" si="39"/>
        <v>[am530wpaGvr]|25-34|Female|PLHIV_Residents.T_1|CY2023Q3</v>
      </c>
    </row>
    <row r="1267" spans="4:18" x14ac:dyDescent="0.2">
      <c r="D1267" s="13" t="s">
        <v>71</v>
      </c>
      <c r="E1267" s="13" t="s">
        <v>72</v>
      </c>
      <c r="F1267" s="13" t="s">
        <v>73</v>
      </c>
      <c r="G1267" s="13" t="s">
        <v>142</v>
      </c>
      <c r="H1267" s="13" t="s">
        <v>143</v>
      </c>
      <c r="I1267" t="s">
        <v>42</v>
      </c>
      <c r="J1267" s="13" t="s">
        <v>43</v>
      </c>
      <c r="K1267" s="13" t="s">
        <v>29</v>
      </c>
      <c r="L1267" s="13" t="s">
        <v>30</v>
      </c>
      <c r="M1267" t="s">
        <v>139</v>
      </c>
      <c r="N1267">
        <v>1913</v>
      </c>
      <c r="O1267" s="14">
        <v>0.23477071523666401</v>
      </c>
      <c r="P1267" s="14">
        <v>0.28972870693542102</v>
      </c>
      <c r="Q1267" t="str">
        <f t="shared" si="38"/>
        <v>35-49</v>
      </c>
      <c r="R1267" t="str">
        <f t="shared" si="39"/>
        <v>[am530wpaGvr]|35-49|Female|PLHIV_Residents.T_1|CY2023Q3</v>
      </c>
    </row>
    <row r="1268" spans="4:18" x14ac:dyDescent="0.2">
      <c r="D1268" s="13" t="s">
        <v>71</v>
      </c>
      <c r="E1268" s="13" t="s">
        <v>72</v>
      </c>
      <c r="F1268" s="13" t="s">
        <v>73</v>
      </c>
      <c r="G1268" s="13" t="s">
        <v>142</v>
      </c>
      <c r="H1268" s="13" t="s">
        <v>143</v>
      </c>
      <c r="I1268" t="s">
        <v>44</v>
      </c>
      <c r="J1268" s="13" t="s">
        <v>45</v>
      </c>
      <c r="K1268" s="13" t="s">
        <v>29</v>
      </c>
      <c r="L1268" s="13" t="s">
        <v>30</v>
      </c>
      <c r="M1268" t="s">
        <v>139</v>
      </c>
      <c r="N1268">
        <v>1984</v>
      </c>
      <c r="O1268" s="14">
        <v>0.59107402712106705</v>
      </c>
      <c r="P1268" s="14">
        <v>0.28972870693542102</v>
      </c>
      <c r="Q1268" t="str">
        <f t="shared" si="38"/>
        <v>50+</v>
      </c>
      <c r="R1268" t="str">
        <f t="shared" si="39"/>
        <v>[am530wpaGvr]|50+|Female|PLHIV_Residents.T_1|CY2023Q3</v>
      </c>
    </row>
    <row r="1269" spans="4:18" x14ac:dyDescent="0.2">
      <c r="D1269" s="13" t="s">
        <v>71</v>
      </c>
      <c r="E1269" s="13" t="s">
        <v>72</v>
      </c>
      <c r="F1269" s="13" t="s">
        <v>73</v>
      </c>
      <c r="G1269" s="13" t="s">
        <v>142</v>
      </c>
      <c r="H1269" s="13" t="s">
        <v>143</v>
      </c>
      <c r="I1269" t="s">
        <v>27</v>
      </c>
      <c r="J1269" s="13" t="s">
        <v>28</v>
      </c>
      <c r="K1269" s="13" t="s">
        <v>47</v>
      </c>
      <c r="L1269" s="13" t="s">
        <v>48</v>
      </c>
      <c r="M1269" t="s">
        <v>139</v>
      </c>
      <c r="N1269">
        <v>756</v>
      </c>
      <c r="O1269" s="14">
        <v>0.81003917264752101</v>
      </c>
      <c r="P1269" s="14">
        <v>0.28972870693542102</v>
      </c>
      <c r="Q1269" t="str">
        <f t="shared" si="38"/>
        <v>&lt;01</v>
      </c>
      <c r="R1269" t="str">
        <f t="shared" si="39"/>
        <v>[am530wpaGvr]|&lt;01|Male|PLHIV_Residents.T_1|CY2023Q3</v>
      </c>
    </row>
    <row r="1270" spans="4:18" x14ac:dyDescent="0.2">
      <c r="D1270" s="13" t="s">
        <v>71</v>
      </c>
      <c r="E1270" s="13" t="s">
        <v>72</v>
      </c>
      <c r="F1270" s="13" t="s">
        <v>73</v>
      </c>
      <c r="G1270" s="13" t="s">
        <v>142</v>
      </c>
      <c r="H1270" s="13" t="s">
        <v>143</v>
      </c>
      <c r="I1270" t="s">
        <v>32</v>
      </c>
      <c r="J1270" s="13" t="s">
        <v>33</v>
      </c>
      <c r="K1270" s="13" t="s">
        <v>47</v>
      </c>
      <c r="L1270" s="13" t="s">
        <v>48</v>
      </c>
      <c r="M1270" t="s">
        <v>139</v>
      </c>
      <c r="N1270">
        <v>1762</v>
      </c>
      <c r="O1270" s="14">
        <v>0.75143951410427701</v>
      </c>
      <c r="P1270" s="14">
        <v>0.28972870693542102</v>
      </c>
      <c r="Q1270" t="str">
        <f t="shared" si="38"/>
        <v>01-09</v>
      </c>
      <c r="R1270" t="str">
        <f t="shared" si="39"/>
        <v>[am530wpaGvr]|01-09|Male|PLHIV_Residents.T_1|CY2023Q3</v>
      </c>
    </row>
    <row r="1271" spans="4:18" x14ac:dyDescent="0.2">
      <c r="D1271" s="13" t="s">
        <v>71</v>
      </c>
      <c r="E1271" s="13" t="s">
        <v>72</v>
      </c>
      <c r="F1271" s="13" t="s">
        <v>73</v>
      </c>
      <c r="G1271" s="13" t="s">
        <v>142</v>
      </c>
      <c r="H1271" s="13" t="s">
        <v>143</v>
      </c>
      <c r="I1271" t="s">
        <v>35</v>
      </c>
      <c r="J1271" s="13" t="s">
        <v>36</v>
      </c>
      <c r="K1271" s="13" t="s">
        <v>47</v>
      </c>
      <c r="L1271" s="13" t="s">
        <v>48</v>
      </c>
      <c r="M1271" t="s">
        <v>139</v>
      </c>
      <c r="N1271">
        <v>1081</v>
      </c>
      <c r="O1271" s="14">
        <v>5.8375285239890197E-2</v>
      </c>
      <c r="P1271" s="14">
        <v>0.28972870693542102</v>
      </c>
      <c r="Q1271" t="str">
        <f t="shared" si="38"/>
        <v>10-14</v>
      </c>
      <c r="R1271" t="str">
        <f t="shared" si="39"/>
        <v>[am530wpaGvr]|10-14|Male|PLHIV_Residents.T_1|CY2023Q3</v>
      </c>
    </row>
    <row r="1272" spans="4:18" x14ac:dyDescent="0.2">
      <c r="D1272" s="13" t="s">
        <v>71</v>
      </c>
      <c r="E1272" s="13" t="s">
        <v>72</v>
      </c>
      <c r="F1272" s="13" t="s">
        <v>73</v>
      </c>
      <c r="G1272" s="13" t="s">
        <v>142</v>
      </c>
      <c r="H1272" s="13" t="s">
        <v>143</v>
      </c>
      <c r="I1272" t="s">
        <v>37</v>
      </c>
      <c r="J1272" s="13" t="s">
        <v>38</v>
      </c>
      <c r="K1272" s="13" t="s">
        <v>47</v>
      </c>
      <c r="L1272" s="13" t="s">
        <v>48</v>
      </c>
      <c r="M1272" t="s">
        <v>139</v>
      </c>
      <c r="N1272">
        <v>1725</v>
      </c>
      <c r="O1272" s="14">
        <v>2.5849929079413401E-3</v>
      </c>
      <c r="P1272" s="14">
        <v>0.28972870693542102</v>
      </c>
      <c r="Q1272" t="str">
        <f t="shared" si="38"/>
        <v>15-24</v>
      </c>
      <c r="R1272" t="str">
        <f t="shared" si="39"/>
        <v>[am530wpaGvr]|15-24|Male|PLHIV_Residents.T_1|CY2023Q3</v>
      </c>
    </row>
    <row r="1273" spans="4:18" x14ac:dyDescent="0.2">
      <c r="D1273" s="13" t="s">
        <v>71</v>
      </c>
      <c r="E1273" s="13" t="s">
        <v>72</v>
      </c>
      <c r="F1273" s="13" t="s">
        <v>73</v>
      </c>
      <c r="G1273" s="13" t="s">
        <v>142</v>
      </c>
      <c r="H1273" s="13" t="s">
        <v>143</v>
      </c>
      <c r="I1273" t="s">
        <v>40</v>
      </c>
      <c r="J1273" s="13" t="s">
        <v>41</v>
      </c>
      <c r="K1273" s="13" t="s">
        <v>47</v>
      </c>
      <c r="L1273" s="13" t="s">
        <v>48</v>
      </c>
      <c r="M1273" t="s">
        <v>139</v>
      </c>
      <c r="N1273">
        <v>1246</v>
      </c>
      <c r="O1273" s="14">
        <v>5.0736178178340197E-2</v>
      </c>
      <c r="P1273" s="14">
        <v>0.28972870693542102</v>
      </c>
      <c r="Q1273" t="str">
        <f t="shared" si="38"/>
        <v>25-34</v>
      </c>
      <c r="R1273" t="str">
        <f t="shared" si="39"/>
        <v>[am530wpaGvr]|25-34|Male|PLHIV_Residents.T_1|CY2023Q3</v>
      </c>
    </row>
    <row r="1274" spans="4:18" x14ac:dyDescent="0.2">
      <c r="D1274" s="13" t="s">
        <v>71</v>
      </c>
      <c r="E1274" s="13" t="s">
        <v>72</v>
      </c>
      <c r="F1274" s="13" t="s">
        <v>73</v>
      </c>
      <c r="G1274" s="13" t="s">
        <v>142</v>
      </c>
      <c r="H1274" s="13" t="s">
        <v>143</v>
      </c>
      <c r="I1274" t="s">
        <v>42</v>
      </c>
      <c r="J1274" s="13" t="s">
        <v>43</v>
      </c>
      <c r="K1274" s="13" t="s">
        <v>47</v>
      </c>
      <c r="L1274" s="13" t="s">
        <v>48</v>
      </c>
      <c r="M1274" t="s">
        <v>139</v>
      </c>
      <c r="N1274">
        <v>919</v>
      </c>
      <c r="O1274" s="14">
        <v>0.93538258317858003</v>
      </c>
      <c r="P1274" s="14">
        <v>0.28972870693542102</v>
      </c>
      <c r="Q1274" t="str">
        <f t="shared" si="38"/>
        <v>35-49</v>
      </c>
      <c r="R1274" t="str">
        <f t="shared" si="39"/>
        <v>[am530wpaGvr]|35-49|Male|PLHIV_Residents.T_1|CY2023Q3</v>
      </c>
    </row>
    <row r="1275" spans="4:18" x14ac:dyDescent="0.2">
      <c r="D1275" s="13" t="s">
        <v>71</v>
      </c>
      <c r="E1275" s="13" t="s">
        <v>72</v>
      </c>
      <c r="F1275" s="13" t="s">
        <v>73</v>
      </c>
      <c r="G1275" s="13" t="s">
        <v>142</v>
      </c>
      <c r="H1275" s="13" t="s">
        <v>143</v>
      </c>
      <c r="I1275" t="s">
        <v>44</v>
      </c>
      <c r="J1275" s="13" t="s">
        <v>45</v>
      </c>
      <c r="K1275" s="13" t="s">
        <v>47</v>
      </c>
      <c r="L1275" s="13" t="s">
        <v>48</v>
      </c>
      <c r="M1275" t="s">
        <v>139</v>
      </c>
      <c r="N1275">
        <v>1944</v>
      </c>
      <c r="O1275" s="14">
        <v>0.27127361600287297</v>
      </c>
      <c r="P1275" s="14">
        <v>0.28972870693542102</v>
      </c>
      <c r="Q1275" t="str">
        <f t="shared" si="38"/>
        <v>50+</v>
      </c>
      <c r="R1275" t="str">
        <f t="shared" si="39"/>
        <v>[am530wpaGvr]|50+|Male|PLHIV_Residents.T_1|CY2023Q3</v>
      </c>
    </row>
    <row r="1276" spans="4:18" x14ac:dyDescent="0.2">
      <c r="D1276" s="13" t="s">
        <v>74</v>
      </c>
      <c r="E1276" s="13" t="s">
        <v>75</v>
      </c>
      <c r="F1276" s="13" t="s">
        <v>76</v>
      </c>
      <c r="G1276" s="13" t="s">
        <v>142</v>
      </c>
      <c r="H1276" s="13" t="s">
        <v>143</v>
      </c>
      <c r="I1276" t="s">
        <v>27</v>
      </c>
      <c r="J1276" s="13" t="s">
        <v>28</v>
      </c>
      <c r="K1276" s="13" t="s">
        <v>29</v>
      </c>
      <c r="L1276" s="13" t="s">
        <v>30</v>
      </c>
      <c r="M1276" t="s">
        <v>139</v>
      </c>
      <c r="N1276">
        <v>1707</v>
      </c>
      <c r="O1276" s="14">
        <v>0.70229426282457996</v>
      </c>
      <c r="P1276" s="14">
        <v>0.30305550759658201</v>
      </c>
      <c r="Q1276" t="str">
        <f t="shared" si="38"/>
        <v>&lt;01</v>
      </c>
      <c r="R1276" t="str">
        <f t="shared" si="39"/>
        <v>[lLDyBx5XyUi]|&lt;01|Female|PLHIV_Residents.T_1|CY2023Q3</v>
      </c>
    </row>
    <row r="1277" spans="4:18" x14ac:dyDescent="0.2">
      <c r="D1277" s="13" t="s">
        <v>74</v>
      </c>
      <c r="E1277" s="13" t="s">
        <v>75</v>
      </c>
      <c r="F1277" s="13" t="s">
        <v>76</v>
      </c>
      <c r="G1277" s="13" t="s">
        <v>142</v>
      </c>
      <c r="H1277" s="13" t="s">
        <v>143</v>
      </c>
      <c r="I1277" t="s">
        <v>32</v>
      </c>
      <c r="J1277" s="13" t="s">
        <v>33</v>
      </c>
      <c r="K1277" s="13" t="s">
        <v>29</v>
      </c>
      <c r="L1277" s="13" t="s">
        <v>30</v>
      </c>
      <c r="M1277" t="s">
        <v>139</v>
      </c>
      <c r="N1277">
        <v>578</v>
      </c>
      <c r="O1277" s="14">
        <v>0.10841924184933301</v>
      </c>
      <c r="P1277" s="14">
        <v>0.30305550759658201</v>
      </c>
      <c r="Q1277" t="str">
        <f t="shared" si="38"/>
        <v>01-09</v>
      </c>
      <c r="R1277" t="str">
        <f t="shared" si="39"/>
        <v>[lLDyBx5XyUi]|01-09|Female|PLHIV_Residents.T_1|CY2023Q3</v>
      </c>
    </row>
    <row r="1278" spans="4:18" x14ac:dyDescent="0.2">
      <c r="D1278" s="13" t="s">
        <v>74</v>
      </c>
      <c r="E1278" s="13" t="s">
        <v>75</v>
      </c>
      <c r="F1278" s="13" t="s">
        <v>76</v>
      </c>
      <c r="G1278" s="13" t="s">
        <v>142</v>
      </c>
      <c r="H1278" s="13" t="s">
        <v>143</v>
      </c>
      <c r="I1278" t="s">
        <v>35</v>
      </c>
      <c r="J1278" s="13" t="s">
        <v>36</v>
      </c>
      <c r="K1278" s="13" t="s">
        <v>29</v>
      </c>
      <c r="L1278" s="13" t="s">
        <v>30</v>
      </c>
      <c r="M1278" t="s">
        <v>139</v>
      </c>
      <c r="N1278">
        <v>1565</v>
      </c>
      <c r="O1278" s="14">
        <v>0.99975580605678305</v>
      </c>
      <c r="P1278" s="14">
        <v>0.30305550759658201</v>
      </c>
      <c r="Q1278" t="str">
        <f t="shared" si="38"/>
        <v>10-14</v>
      </c>
      <c r="R1278" t="str">
        <f t="shared" si="39"/>
        <v>[lLDyBx5XyUi]|10-14|Female|PLHIV_Residents.T_1|CY2023Q3</v>
      </c>
    </row>
    <row r="1279" spans="4:18" x14ac:dyDescent="0.2">
      <c r="D1279" s="13" t="s">
        <v>74</v>
      </c>
      <c r="E1279" s="13" t="s">
        <v>75</v>
      </c>
      <c r="F1279" s="13" t="s">
        <v>76</v>
      </c>
      <c r="G1279" s="13" t="s">
        <v>142</v>
      </c>
      <c r="H1279" s="13" t="s">
        <v>143</v>
      </c>
      <c r="I1279" t="s">
        <v>37</v>
      </c>
      <c r="J1279" s="13" t="s">
        <v>38</v>
      </c>
      <c r="K1279" s="13" t="s">
        <v>29</v>
      </c>
      <c r="L1279" s="13" t="s">
        <v>30</v>
      </c>
      <c r="M1279" t="s">
        <v>139</v>
      </c>
      <c r="N1279">
        <v>944</v>
      </c>
      <c r="O1279" s="14">
        <v>0.66620475589297701</v>
      </c>
      <c r="P1279" s="14">
        <v>0.30305550759658201</v>
      </c>
      <c r="Q1279" t="str">
        <f t="shared" si="38"/>
        <v>15-24</v>
      </c>
      <c r="R1279" t="str">
        <f t="shared" si="39"/>
        <v>[lLDyBx5XyUi]|15-24|Female|PLHIV_Residents.T_1|CY2023Q3</v>
      </c>
    </row>
    <row r="1280" spans="4:18" x14ac:dyDescent="0.2">
      <c r="D1280" s="13" t="s">
        <v>74</v>
      </c>
      <c r="E1280" s="13" t="s">
        <v>75</v>
      </c>
      <c r="F1280" s="13" t="s">
        <v>76</v>
      </c>
      <c r="G1280" s="13" t="s">
        <v>142</v>
      </c>
      <c r="H1280" s="13" t="s">
        <v>143</v>
      </c>
      <c r="I1280" t="s">
        <v>40</v>
      </c>
      <c r="J1280" s="13" t="s">
        <v>41</v>
      </c>
      <c r="K1280" s="13" t="s">
        <v>29</v>
      </c>
      <c r="L1280" s="13" t="s">
        <v>30</v>
      </c>
      <c r="M1280" t="s">
        <v>139</v>
      </c>
      <c r="N1280">
        <v>559</v>
      </c>
      <c r="O1280" s="14">
        <v>0.86333780852146402</v>
      </c>
      <c r="P1280" s="14">
        <v>0.30305550759658201</v>
      </c>
      <c r="Q1280" t="str">
        <f t="shared" si="38"/>
        <v>25-34</v>
      </c>
      <c r="R1280" t="str">
        <f t="shared" si="39"/>
        <v>[lLDyBx5XyUi]|25-34|Female|PLHIV_Residents.T_1|CY2023Q3</v>
      </c>
    </row>
    <row r="1281" spans="4:18" x14ac:dyDescent="0.2">
      <c r="D1281" s="13" t="s">
        <v>74</v>
      </c>
      <c r="E1281" s="13" t="s">
        <v>75</v>
      </c>
      <c r="F1281" s="13" t="s">
        <v>76</v>
      </c>
      <c r="G1281" s="13" t="s">
        <v>142</v>
      </c>
      <c r="H1281" s="13" t="s">
        <v>143</v>
      </c>
      <c r="I1281" t="s">
        <v>42</v>
      </c>
      <c r="J1281" s="13" t="s">
        <v>43</v>
      </c>
      <c r="K1281" s="13" t="s">
        <v>29</v>
      </c>
      <c r="L1281" s="13" t="s">
        <v>30</v>
      </c>
      <c r="M1281" t="s">
        <v>139</v>
      </c>
      <c r="N1281">
        <v>892</v>
      </c>
      <c r="O1281" s="14">
        <v>0.19345874129794499</v>
      </c>
      <c r="P1281" s="14">
        <v>0.30305550759658201</v>
      </c>
      <c r="Q1281" t="str">
        <f t="shared" si="38"/>
        <v>35-49</v>
      </c>
      <c r="R1281" t="str">
        <f t="shared" si="39"/>
        <v>[lLDyBx5XyUi]|35-49|Female|PLHIV_Residents.T_1|CY2023Q3</v>
      </c>
    </row>
    <row r="1282" spans="4:18" x14ac:dyDescent="0.2">
      <c r="D1282" s="13" t="s">
        <v>74</v>
      </c>
      <c r="E1282" s="13" t="s">
        <v>75</v>
      </c>
      <c r="F1282" s="13" t="s">
        <v>76</v>
      </c>
      <c r="G1282" s="13" t="s">
        <v>142</v>
      </c>
      <c r="H1282" s="13" t="s">
        <v>143</v>
      </c>
      <c r="I1282" t="s">
        <v>44</v>
      </c>
      <c r="J1282" s="13" t="s">
        <v>45</v>
      </c>
      <c r="K1282" s="13" t="s">
        <v>29</v>
      </c>
      <c r="L1282" s="13" t="s">
        <v>30</v>
      </c>
      <c r="M1282" t="s">
        <v>139</v>
      </c>
      <c r="N1282">
        <v>1752</v>
      </c>
      <c r="O1282" s="14">
        <v>0.87965059955604397</v>
      </c>
      <c r="P1282" s="14">
        <v>0.30305550759658201</v>
      </c>
      <c r="Q1282" t="str">
        <f t="shared" ref="Q1282:Q1345" si="40">SUBSTITUTE(SUBSTITUTE($I1282,CHAR(61),""),CHAR(34),"")</f>
        <v>50+</v>
      </c>
      <c r="R1282" t="str">
        <f t="shared" ref="R1282:R1345" si="41">IF($D1282&lt;&gt;"","["&amp;$E1282&amp;"]"&amp;"|"&amp;$Q1282&amp;"|"&amp;$K1282&amp;"|"&amp;$G1282&amp;"|"&amp;IF($G1282="TX_CURR_SUBNAT.R","CY2022Q4",$M1282),"")</f>
        <v>[lLDyBx5XyUi]|50+|Female|PLHIV_Residents.T_1|CY2023Q3</v>
      </c>
    </row>
    <row r="1283" spans="4:18" x14ac:dyDescent="0.2">
      <c r="D1283" s="13" t="s">
        <v>74</v>
      </c>
      <c r="E1283" s="13" t="s">
        <v>75</v>
      </c>
      <c r="F1283" s="13" t="s">
        <v>76</v>
      </c>
      <c r="G1283" s="13" t="s">
        <v>142</v>
      </c>
      <c r="H1283" s="13" t="s">
        <v>143</v>
      </c>
      <c r="I1283" t="s">
        <v>27</v>
      </c>
      <c r="J1283" s="13" t="s">
        <v>28</v>
      </c>
      <c r="K1283" s="13" t="s">
        <v>47</v>
      </c>
      <c r="L1283" s="13" t="s">
        <v>48</v>
      </c>
      <c r="M1283" t="s">
        <v>139</v>
      </c>
      <c r="N1283">
        <v>1309</v>
      </c>
      <c r="O1283" s="14">
        <v>0.64293214934878096</v>
      </c>
      <c r="P1283" s="14">
        <v>0.30305550759658201</v>
      </c>
      <c r="Q1283" t="str">
        <f t="shared" si="40"/>
        <v>&lt;01</v>
      </c>
      <c r="R1283" t="str">
        <f t="shared" si="41"/>
        <v>[lLDyBx5XyUi]|&lt;01|Male|PLHIV_Residents.T_1|CY2023Q3</v>
      </c>
    </row>
    <row r="1284" spans="4:18" x14ac:dyDescent="0.2">
      <c r="D1284" s="13" t="s">
        <v>74</v>
      </c>
      <c r="E1284" s="13" t="s">
        <v>75</v>
      </c>
      <c r="F1284" s="13" t="s">
        <v>76</v>
      </c>
      <c r="G1284" s="13" t="s">
        <v>142</v>
      </c>
      <c r="H1284" s="13" t="s">
        <v>143</v>
      </c>
      <c r="I1284" t="s">
        <v>32</v>
      </c>
      <c r="J1284" s="13" t="s">
        <v>33</v>
      </c>
      <c r="K1284" s="13" t="s">
        <v>47</v>
      </c>
      <c r="L1284" s="13" t="s">
        <v>48</v>
      </c>
      <c r="M1284" t="s">
        <v>139</v>
      </c>
      <c r="N1284">
        <v>950</v>
      </c>
      <c r="O1284" s="14">
        <v>0.44343064865097398</v>
      </c>
      <c r="P1284" s="14">
        <v>0.30305550759658201</v>
      </c>
      <c r="Q1284" t="str">
        <f t="shared" si="40"/>
        <v>01-09</v>
      </c>
      <c r="R1284" t="str">
        <f t="shared" si="41"/>
        <v>[lLDyBx5XyUi]|01-09|Male|PLHIV_Residents.T_1|CY2023Q3</v>
      </c>
    </row>
    <row r="1285" spans="4:18" x14ac:dyDescent="0.2">
      <c r="D1285" s="13" t="s">
        <v>74</v>
      </c>
      <c r="E1285" s="13" t="s">
        <v>75</v>
      </c>
      <c r="F1285" s="13" t="s">
        <v>76</v>
      </c>
      <c r="G1285" s="13" t="s">
        <v>142</v>
      </c>
      <c r="H1285" s="13" t="s">
        <v>143</v>
      </c>
      <c r="I1285" t="s">
        <v>35</v>
      </c>
      <c r="J1285" s="13" t="s">
        <v>36</v>
      </c>
      <c r="K1285" s="13" t="s">
        <v>47</v>
      </c>
      <c r="L1285" s="13" t="s">
        <v>48</v>
      </c>
      <c r="M1285" t="s">
        <v>139</v>
      </c>
      <c r="N1285">
        <v>1227</v>
      </c>
      <c r="O1285" s="14">
        <v>0.47299564420245599</v>
      </c>
      <c r="P1285" s="14">
        <v>0.30305550759658201</v>
      </c>
      <c r="Q1285" t="str">
        <f t="shared" si="40"/>
        <v>10-14</v>
      </c>
      <c r="R1285" t="str">
        <f t="shared" si="41"/>
        <v>[lLDyBx5XyUi]|10-14|Male|PLHIV_Residents.T_1|CY2023Q3</v>
      </c>
    </row>
    <row r="1286" spans="4:18" x14ac:dyDescent="0.2">
      <c r="D1286" s="13" t="s">
        <v>74</v>
      </c>
      <c r="E1286" s="13" t="s">
        <v>75</v>
      </c>
      <c r="F1286" s="13" t="s">
        <v>76</v>
      </c>
      <c r="G1286" s="13" t="s">
        <v>142</v>
      </c>
      <c r="H1286" s="13" t="s">
        <v>143</v>
      </c>
      <c r="I1286" t="s">
        <v>37</v>
      </c>
      <c r="J1286" s="13" t="s">
        <v>38</v>
      </c>
      <c r="K1286" s="13" t="s">
        <v>47</v>
      </c>
      <c r="L1286" s="13" t="s">
        <v>48</v>
      </c>
      <c r="M1286" t="s">
        <v>139</v>
      </c>
      <c r="N1286">
        <v>1168</v>
      </c>
      <c r="O1286" s="14">
        <v>0.31336045823991299</v>
      </c>
      <c r="P1286" s="14">
        <v>0.30305550759658201</v>
      </c>
      <c r="Q1286" t="str">
        <f t="shared" si="40"/>
        <v>15-24</v>
      </c>
      <c r="R1286" t="str">
        <f t="shared" si="41"/>
        <v>[lLDyBx5XyUi]|15-24|Male|PLHIV_Residents.T_1|CY2023Q3</v>
      </c>
    </row>
    <row r="1287" spans="4:18" x14ac:dyDescent="0.2">
      <c r="D1287" s="13" t="s">
        <v>74</v>
      </c>
      <c r="E1287" s="13" t="s">
        <v>75</v>
      </c>
      <c r="F1287" s="13" t="s">
        <v>76</v>
      </c>
      <c r="G1287" s="13" t="s">
        <v>142</v>
      </c>
      <c r="H1287" s="13" t="s">
        <v>143</v>
      </c>
      <c r="I1287" t="s">
        <v>40</v>
      </c>
      <c r="J1287" s="13" t="s">
        <v>41</v>
      </c>
      <c r="K1287" s="13" t="s">
        <v>47</v>
      </c>
      <c r="L1287" s="13" t="s">
        <v>48</v>
      </c>
      <c r="M1287" t="s">
        <v>139</v>
      </c>
      <c r="N1287">
        <v>1302</v>
      </c>
      <c r="O1287" s="14">
        <v>0.48923227353952797</v>
      </c>
      <c r="P1287" s="14">
        <v>0.30305550759658201</v>
      </c>
      <c r="Q1287" t="str">
        <f t="shared" si="40"/>
        <v>25-34</v>
      </c>
      <c r="R1287" t="str">
        <f t="shared" si="41"/>
        <v>[lLDyBx5XyUi]|25-34|Male|PLHIV_Residents.T_1|CY2023Q3</v>
      </c>
    </row>
    <row r="1288" spans="4:18" x14ac:dyDescent="0.2">
      <c r="D1288" s="13" t="s">
        <v>74</v>
      </c>
      <c r="E1288" s="13" t="s">
        <v>75</v>
      </c>
      <c r="F1288" s="13" t="s">
        <v>76</v>
      </c>
      <c r="G1288" s="13" t="s">
        <v>142</v>
      </c>
      <c r="H1288" s="13" t="s">
        <v>143</v>
      </c>
      <c r="I1288" t="s">
        <v>42</v>
      </c>
      <c r="J1288" s="13" t="s">
        <v>43</v>
      </c>
      <c r="K1288" s="13" t="s">
        <v>47</v>
      </c>
      <c r="L1288" s="13" t="s">
        <v>48</v>
      </c>
      <c r="M1288" t="s">
        <v>139</v>
      </c>
      <c r="N1288">
        <v>1676</v>
      </c>
      <c r="O1288" s="14">
        <v>9.0978973312303396E-2</v>
      </c>
      <c r="P1288" s="14">
        <v>0.30305550759658201</v>
      </c>
      <c r="Q1288" t="str">
        <f t="shared" si="40"/>
        <v>35-49</v>
      </c>
      <c r="R1288" t="str">
        <f t="shared" si="41"/>
        <v>[lLDyBx5XyUi]|35-49|Male|PLHIV_Residents.T_1|CY2023Q3</v>
      </c>
    </row>
    <row r="1289" spans="4:18" x14ac:dyDescent="0.2">
      <c r="D1289" s="13" t="s">
        <v>74</v>
      </c>
      <c r="E1289" s="13" t="s">
        <v>75</v>
      </c>
      <c r="F1289" s="13" t="s">
        <v>76</v>
      </c>
      <c r="G1289" s="13" t="s">
        <v>142</v>
      </c>
      <c r="H1289" s="13" t="s">
        <v>143</v>
      </c>
      <c r="I1289" t="s">
        <v>44</v>
      </c>
      <c r="J1289" s="13" t="s">
        <v>45</v>
      </c>
      <c r="K1289" s="13" t="s">
        <v>47</v>
      </c>
      <c r="L1289" s="13" t="s">
        <v>48</v>
      </c>
      <c r="M1289" t="s">
        <v>139</v>
      </c>
      <c r="N1289">
        <v>1577</v>
      </c>
      <c r="O1289" s="14">
        <v>0.58563262177631303</v>
      </c>
      <c r="P1289" s="14">
        <v>0.30305550759658201</v>
      </c>
      <c r="Q1289" t="str">
        <f t="shared" si="40"/>
        <v>50+</v>
      </c>
      <c r="R1289" t="str">
        <f t="shared" si="41"/>
        <v>[lLDyBx5XyUi]|50+|Male|PLHIV_Residents.T_1|CY2023Q3</v>
      </c>
    </row>
    <row r="1290" spans="4:18" x14ac:dyDescent="0.2">
      <c r="D1290" s="13" t="s">
        <v>77</v>
      </c>
      <c r="E1290" s="13" t="s">
        <v>78</v>
      </c>
      <c r="F1290" s="13" t="s">
        <v>79</v>
      </c>
      <c r="G1290" s="13" t="s">
        <v>142</v>
      </c>
      <c r="H1290" s="13" t="s">
        <v>143</v>
      </c>
      <c r="I1290" t="s">
        <v>27</v>
      </c>
      <c r="J1290" s="13" t="s">
        <v>28</v>
      </c>
      <c r="K1290" s="13" t="s">
        <v>29</v>
      </c>
      <c r="L1290" s="13" t="s">
        <v>30</v>
      </c>
      <c r="M1290" t="s">
        <v>139</v>
      </c>
      <c r="N1290">
        <v>1707</v>
      </c>
      <c r="O1290" s="14">
        <v>5.43632144108415E-2</v>
      </c>
      <c r="P1290" s="14">
        <v>0.83159798220731296</v>
      </c>
      <c r="Q1290" t="str">
        <f t="shared" si="40"/>
        <v>&lt;01</v>
      </c>
      <c r="R1290" t="str">
        <f t="shared" si="41"/>
        <v>[TYnMSwzko3z]|&lt;01|Female|PLHIV_Residents.T_1|CY2023Q3</v>
      </c>
    </row>
    <row r="1291" spans="4:18" x14ac:dyDescent="0.2">
      <c r="D1291" s="13" t="s">
        <v>77</v>
      </c>
      <c r="E1291" s="13" t="s">
        <v>78</v>
      </c>
      <c r="F1291" s="13" t="s">
        <v>79</v>
      </c>
      <c r="G1291" s="13" t="s">
        <v>142</v>
      </c>
      <c r="H1291" s="13" t="s">
        <v>143</v>
      </c>
      <c r="I1291" t="s">
        <v>32</v>
      </c>
      <c r="J1291" s="13" t="s">
        <v>33</v>
      </c>
      <c r="K1291" s="13" t="s">
        <v>29</v>
      </c>
      <c r="L1291" s="13" t="s">
        <v>30</v>
      </c>
      <c r="M1291" t="s">
        <v>139</v>
      </c>
      <c r="N1291">
        <v>1563</v>
      </c>
      <c r="O1291" s="14">
        <v>0.425394595600665</v>
      </c>
      <c r="P1291" s="14">
        <v>0.83159798220731296</v>
      </c>
      <c r="Q1291" t="str">
        <f t="shared" si="40"/>
        <v>01-09</v>
      </c>
      <c r="R1291" t="str">
        <f t="shared" si="41"/>
        <v>[TYnMSwzko3z]|01-09|Female|PLHIV_Residents.T_1|CY2023Q3</v>
      </c>
    </row>
    <row r="1292" spans="4:18" x14ac:dyDescent="0.2">
      <c r="D1292" s="13" t="s">
        <v>77</v>
      </c>
      <c r="E1292" s="13" t="s">
        <v>78</v>
      </c>
      <c r="F1292" s="13" t="s">
        <v>79</v>
      </c>
      <c r="G1292" s="13" t="s">
        <v>142</v>
      </c>
      <c r="H1292" s="13" t="s">
        <v>143</v>
      </c>
      <c r="I1292" t="s">
        <v>35</v>
      </c>
      <c r="J1292" s="13" t="s">
        <v>36</v>
      </c>
      <c r="K1292" s="13" t="s">
        <v>29</v>
      </c>
      <c r="L1292" s="13" t="s">
        <v>30</v>
      </c>
      <c r="M1292" t="s">
        <v>139</v>
      </c>
      <c r="N1292">
        <v>930</v>
      </c>
      <c r="O1292" s="14">
        <v>0.57521901000291098</v>
      </c>
      <c r="P1292" s="14">
        <v>0.83159798220731296</v>
      </c>
      <c r="Q1292" t="str">
        <f t="shared" si="40"/>
        <v>10-14</v>
      </c>
      <c r="R1292" t="str">
        <f t="shared" si="41"/>
        <v>[TYnMSwzko3z]|10-14|Female|PLHIV_Residents.T_1|CY2023Q3</v>
      </c>
    </row>
    <row r="1293" spans="4:18" x14ac:dyDescent="0.2">
      <c r="D1293" s="13" t="s">
        <v>77</v>
      </c>
      <c r="E1293" s="13" t="s">
        <v>78</v>
      </c>
      <c r="F1293" s="13" t="s">
        <v>79</v>
      </c>
      <c r="G1293" s="13" t="s">
        <v>142</v>
      </c>
      <c r="H1293" s="13" t="s">
        <v>143</v>
      </c>
      <c r="I1293" t="s">
        <v>37</v>
      </c>
      <c r="J1293" s="13" t="s">
        <v>38</v>
      </c>
      <c r="K1293" s="13" t="s">
        <v>29</v>
      </c>
      <c r="L1293" s="13" t="s">
        <v>30</v>
      </c>
      <c r="M1293" t="s">
        <v>139</v>
      </c>
      <c r="N1293">
        <v>1101</v>
      </c>
      <c r="O1293" s="14">
        <v>0.18554317275993501</v>
      </c>
      <c r="P1293" s="14">
        <v>0.83159798220731296</v>
      </c>
      <c r="Q1293" t="str">
        <f t="shared" si="40"/>
        <v>15-24</v>
      </c>
      <c r="R1293" t="str">
        <f t="shared" si="41"/>
        <v>[TYnMSwzko3z]|15-24|Female|PLHIV_Residents.T_1|CY2023Q3</v>
      </c>
    </row>
    <row r="1294" spans="4:18" x14ac:dyDescent="0.2">
      <c r="D1294" s="13" t="s">
        <v>77</v>
      </c>
      <c r="E1294" s="13" t="s">
        <v>78</v>
      </c>
      <c r="F1294" s="13" t="s">
        <v>79</v>
      </c>
      <c r="G1294" s="13" t="s">
        <v>142</v>
      </c>
      <c r="H1294" s="13" t="s">
        <v>143</v>
      </c>
      <c r="I1294" t="s">
        <v>40</v>
      </c>
      <c r="J1294" s="13" t="s">
        <v>41</v>
      </c>
      <c r="K1294" s="13" t="s">
        <v>29</v>
      </c>
      <c r="L1294" s="13" t="s">
        <v>30</v>
      </c>
      <c r="M1294" t="s">
        <v>139</v>
      </c>
      <c r="N1294">
        <v>1870</v>
      </c>
      <c r="O1294" s="14">
        <v>0.89230341603979502</v>
      </c>
      <c r="P1294" s="14">
        <v>0.83159798220731296</v>
      </c>
      <c r="Q1294" t="str">
        <f t="shared" si="40"/>
        <v>25-34</v>
      </c>
      <c r="R1294" t="str">
        <f t="shared" si="41"/>
        <v>[TYnMSwzko3z]|25-34|Female|PLHIV_Residents.T_1|CY2023Q3</v>
      </c>
    </row>
    <row r="1295" spans="4:18" x14ac:dyDescent="0.2">
      <c r="D1295" s="13" t="s">
        <v>77</v>
      </c>
      <c r="E1295" s="13" t="s">
        <v>78</v>
      </c>
      <c r="F1295" s="13" t="s">
        <v>79</v>
      </c>
      <c r="G1295" s="13" t="s">
        <v>142</v>
      </c>
      <c r="H1295" s="13" t="s">
        <v>143</v>
      </c>
      <c r="I1295" t="s">
        <v>42</v>
      </c>
      <c r="J1295" s="13" t="s">
        <v>43</v>
      </c>
      <c r="K1295" s="13" t="s">
        <v>29</v>
      </c>
      <c r="L1295" s="13" t="s">
        <v>30</v>
      </c>
      <c r="M1295" t="s">
        <v>139</v>
      </c>
      <c r="N1295">
        <v>1390</v>
      </c>
      <c r="O1295" s="14">
        <v>0.569225910352543</v>
      </c>
      <c r="P1295" s="14">
        <v>0.83159798220731296</v>
      </c>
      <c r="Q1295" t="str">
        <f t="shared" si="40"/>
        <v>35-49</v>
      </c>
      <c r="R1295" t="str">
        <f t="shared" si="41"/>
        <v>[TYnMSwzko3z]|35-49|Female|PLHIV_Residents.T_1|CY2023Q3</v>
      </c>
    </row>
    <row r="1296" spans="4:18" x14ac:dyDescent="0.2">
      <c r="D1296" s="13" t="s">
        <v>77</v>
      </c>
      <c r="E1296" s="13" t="s">
        <v>78</v>
      </c>
      <c r="F1296" s="13" t="s">
        <v>79</v>
      </c>
      <c r="G1296" s="13" t="s">
        <v>142</v>
      </c>
      <c r="H1296" s="13" t="s">
        <v>143</v>
      </c>
      <c r="I1296" t="s">
        <v>44</v>
      </c>
      <c r="J1296" s="13" t="s">
        <v>45</v>
      </c>
      <c r="K1296" s="13" t="s">
        <v>29</v>
      </c>
      <c r="L1296" s="13" t="s">
        <v>30</v>
      </c>
      <c r="M1296" t="s">
        <v>139</v>
      </c>
      <c r="N1296">
        <v>663</v>
      </c>
      <c r="O1296" s="14">
        <v>0.40328533784486398</v>
      </c>
      <c r="P1296" s="14">
        <v>0.83159798220731296</v>
      </c>
      <c r="Q1296" t="str">
        <f t="shared" si="40"/>
        <v>50+</v>
      </c>
      <c r="R1296" t="str">
        <f t="shared" si="41"/>
        <v>[TYnMSwzko3z]|50+|Female|PLHIV_Residents.T_1|CY2023Q3</v>
      </c>
    </row>
    <row r="1297" spans="4:18" x14ac:dyDescent="0.2">
      <c r="D1297" s="13" t="s">
        <v>77</v>
      </c>
      <c r="E1297" s="13" t="s">
        <v>78</v>
      </c>
      <c r="F1297" s="13" t="s">
        <v>79</v>
      </c>
      <c r="G1297" s="13" t="s">
        <v>142</v>
      </c>
      <c r="H1297" s="13" t="s">
        <v>143</v>
      </c>
      <c r="I1297" t="s">
        <v>27</v>
      </c>
      <c r="J1297" s="13" t="s">
        <v>28</v>
      </c>
      <c r="K1297" s="13" t="s">
        <v>47</v>
      </c>
      <c r="L1297" s="13" t="s">
        <v>48</v>
      </c>
      <c r="M1297" t="s">
        <v>139</v>
      </c>
      <c r="N1297">
        <v>978</v>
      </c>
      <c r="O1297" s="14">
        <v>0.52737133158370897</v>
      </c>
      <c r="P1297" s="14">
        <v>0.83159798220731296</v>
      </c>
      <c r="Q1297" t="str">
        <f t="shared" si="40"/>
        <v>&lt;01</v>
      </c>
      <c r="R1297" t="str">
        <f t="shared" si="41"/>
        <v>[TYnMSwzko3z]|&lt;01|Male|PLHIV_Residents.T_1|CY2023Q3</v>
      </c>
    </row>
    <row r="1298" spans="4:18" x14ac:dyDescent="0.2">
      <c r="D1298" s="13" t="s">
        <v>77</v>
      </c>
      <c r="E1298" s="13" t="s">
        <v>78</v>
      </c>
      <c r="F1298" s="13" t="s">
        <v>79</v>
      </c>
      <c r="G1298" s="13" t="s">
        <v>142</v>
      </c>
      <c r="H1298" s="13" t="s">
        <v>143</v>
      </c>
      <c r="I1298" t="s">
        <v>32</v>
      </c>
      <c r="J1298" s="13" t="s">
        <v>33</v>
      </c>
      <c r="K1298" s="13" t="s">
        <v>47</v>
      </c>
      <c r="L1298" s="13" t="s">
        <v>48</v>
      </c>
      <c r="M1298" t="s">
        <v>139</v>
      </c>
      <c r="N1298">
        <v>1801</v>
      </c>
      <c r="O1298" s="14">
        <v>0.78140953858383</v>
      </c>
      <c r="P1298" s="14">
        <v>0.83159798220731296</v>
      </c>
      <c r="Q1298" t="str">
        <f t="shared" si="40"/>
        <v>01-09</v>
      </c>
      <c r="R1298" t="str">
        <f t="shared" si="41"/>
        <v>[TYnMSwzko3z]|01-09|Male|PLHIV_Residents.T_1|CY2023Q3</v>
      </c>
    </row>
    <row r="1299" spans="4:18" x14ac:dyDescent="0.2">
      <c r="D1299" s="13" t="s">
        <v>77</v>
      </c>
      <c r="E1299" s="13" t="s">
        <v>78</v>
      </c>
      <c r="F1299" s="13" t="s">
        <v>79</v>
      </c>
      <c r="G1299" s="13" t="s">
        <v>142</v>
      </c>
      <c r="H1299" s="13" t="s">
        <v>143</v>
      </c>
      <c r="I1299" t="s">
        <v>35</v>
      </c>
      <c r="J1299" s="13" t="s">
        <v>36</v>
      </c>
      <c r="K1299" s="13" t="s">
        <v>47</v>
      </c>
      <c r="L1299" s="13" t="s">
        <v>48</v>
      </c>
      <c r="M1299" t="s">
        <v>139</v>
      </c>
      <c r="N1299">
        <v>1046</v>
      </c>
      <c r="O1299" s="14">
        <v>0.80229301610961601</v>
      </c>
      <c r="P1299" s="14">
        <v>0.83159798220731296</v>
      </c>
      <c r="Q1299" t="str">
        <f t="shared" si="40"/>
        <v>10-14</v>
      </c>
      <c r="R1299" t="str">
        <f t="shared" si="41"/>
        <v>[TYnMSwzko3z]|10-14|Male|PLHIV_Residents.T_1|CY2023Q3</v>
      </c>
    </row>
    <row r="1300" spans="4:18" x14ac:dyDescent="0.2">
      <c r="D1300" s="13" t="s">
        <v>77</v>
      </c>
      <c r="E1300" s="13" t="s">
        <v>78</v>
      </c>
      <c r="F1300" s="13" t="s">
        <v>79</v>
      </c>
      <c r="G1300" s="13" t="s">
        <v>142</v>
      </c>
      <c r="H1300" s="13" t="s">
        <v>143</v>
      </c>
      <c r="I1300" t="s">
        <v>37</v>
      </c>
      <c r="J1300" s="13" t="s">
        <v>38</v>
      </c>
      <c r="K1300" s="13" t="s">
        <v>47</v>
      </c>
      <c r="L1300" s="13" t="s">
        <v>48</v>
      </c>
      <c r="M1300" t="s">
        <v>139</v>
      </c>
      <c r="N1300">
        <v>774</v>
      </c>
      <c r="O1300" s="14">
        <v>0.67141724796965696</v>
      </c>
      <c r="P1300" s="14">
        <v>0.83159798220731296</v>
      </c>
      <c r="Q1300" t="str">
        <f t="shared" si="40"/>
        <v>15-24</v>
      </c>
      <c r="R1300" t="str">
        <f t="shared" si="41"/>
        <v>[TYnMSwzko3z]|15-24|Male|PLHIV_Residents.T_1|CY2023Q3</v>
      </c>
    </row>
    <row r="1301" spans="4:18" x14ac:dyDescent="0.2">
      <c r="D1301" s="13" t="s">
        <v>77</v>
      </c>
      <c r="E1301" s="13" t="s">
        <v>78</v>
      </c>
      <c r="F1301" s="13" t="s">
        <v>79</v>
      </c>
      <c r="G1301" s="13" t="s">
        <v>142</v>
      </c>
      <c r="H1301" s="13" t="s">
        <v>143</v>
      </c>
      <c r="I1301" t="s">
        <v>40</v>
      </c>
      <c r="J1301" s="13" t="s">
        <v>41</v>
      </c>
      <c r="K1301" s="13" t="s">
        <v>47</v>
      </c>
      <c r="L1301" s="13" t="s">
        <v>48</v>
      </c>
      <c r="M1301" t="s">
        <v>139</v>
      </c>
      <c r="N1301">
        <v>1205</v>
      </c>
      <c r="O1301" s="14">
        <v>0.33072068868205001</v>
      </c>
      <c r="P1301" s="14">
        <v>0.83159798220731296</v>
      </c>
      <c r="Q1301" t="str">
        <f t="shared" si="40"/>
        <v>25-34</v>
      </c>
      <c r="R1301" t="str">
        <f t="shared" si="41"/>
        <v>[TYnMSwzko3z]|25-34|Male|PLHIV_Residents.T_1|CY2023Q3</v>
      </c>
    </row>
    <row r="1302" spans="4:18" x14ac:dyDescent="0.2">
      <c r="D1302" s="13" t="s">
        <v>77</v>
      </c>
      <c r="E1302" s="13" t="s">
        <v>78</v>
      </c>
      <c r="F1302" s="13" t="s">
        <v>79</v>
      </c>
      <c r="G1302" s="13" t="s">
        <v>142</v>
      </c>
      <c r="H1302" s="13" t="s">
        <v>143</v>
      </c>
      <c r="I1302" t="s">
        <v>42</v>
      </c>
      <c r="J1302" s="13" t="s">
        <v>43</v>
      </c>
      <c r="K1302" s="13" t="s">
        <v>47</v>
      </c>
      <c r="L1302" s="13" t="s">
        <v>48</v>
      </c>
      <c r="M1302" t="s">
        <v>139</v>
      </c>
      <c r="N1302">
        <v>1055</v>
      </c>
      <c r="O1302" s="14">
        <v>0.95402003335766505</v>
      </c>
      <c r="P1302" s="14">
        <v>0.83159798220731296</v>
      </c>
      <c r="Q1302" t="str">
        <f t="shared" si="40"/>
        <v>35-49</v>
      </c>
      <c r="R1302" t="str">
        <f t="shared" si="41"/>
        <v>[TYnMSwzko3z]|35-49|Male|PLHIV_Residents.T_1|CY2023Q3</v>
      </c>
    </row>
    <row r="1303" spans="4:18" x14ac:dyDescent="0.2">
      <c r="D1303" s="13" t="s">
        <v>77</v>
      </c>
      <c r="E1303" s="13" t="s">
        <v>78</v>
      </c>
      <c r="F1303" s="13" t="s">
        <v>79</v>
      </c>
      <c r="G1303" s="13" t="s">
        <v>142</v>
      </c>
      <c r="H1303" s="13" t="s">
        <v>143</v>
      </c>
      <c r="I1303" t="s">
        <v>44</v>
      </c>
      <c r="J1303" s="13" t="s">
        <v>45</v>
      </c>
      <c r="K1303" s="13" t="s">
        <v>47</v>
      </c>
      <c r="L1303" s="13" t="s">
        <v>48</v>
      </c>
      <c r="M1303" t="s">
        <v>139</v>
      </c>
      <c r="N1303">
        <v>817</v>
      </c>
      <c r="O1303" s="14">
        <v>0.52891383902169797</v>
      </c>
      <c r="P1303" s="14">
        <v>0.83159798220731296</v>
      </c>
      <c r="Q1303" t="str">
        <f t="shared" si="40"/>
        <v>50+</v>
      </c>
      <c r="R1303" t="str">
        <f t="shared" si="41"/>
        <v>[TYnMSwzko3z]|50+|Male|PLHIV_Residents.T_1|CY2023Q3</v>
      </c>
    </row>
    <row r="1304" spans="4:18" x14ac:dyDescent="0.2">
      <c r="D1304" s="13" t="s">
        <v>80</v>
      </c>
      <c r="E1304" s="13" t="s">
        <v>81</v>
      </c>
      <c r="F1304" s="13" t="s">
        <v>82</v>
      </c>
      <c r="G1304" s="13" t="s">
        <v>142</v>
      </c>
      <c r="H1304" s="13" t="s">
        <v>143</v>
      </c>
      <c r="I1304" t="s">
        <v>27</v>
      </c>
      <c r="J1304" s="13" t="s">
        <v>28</v>
      </c>
      <c r="K1304" s="13" t="s">
        <v>29</v>
      </c>
      <c r="L1304" s="13" t="s">
        <v>30</v>
      </c>
      <c r="M1304" t="s">
        <v>139</v>
      </c>
      <c r="N1304">
        <v>979</v>
      </c>
      <c r="O1304" s="14">
        <v>0.45248986757360399</v>
      </c>
      <c r="P1304" s="14">
        <v>0.14333142153918699</v>
      </c>
      <c r="Q1304" t="str">
        <f t="shared" si="40"/>
        <v>&lt;01</v>
      </c>
      <c r="R1304" t="str">
        <f t="shared" si="41"/>
        <v>[ir8wuHHzoSs]|&lt;01|Female|PLHIV_Residents.T_1|CY2023Q3</v>
      </c>
    </row>
    <row r="1305" spans="4:18" x14ac:dyDescent="0.2">
      <c r="D1305" s="13" t="s">
        <v>80</v>
      </c>
      <c r="E1305" s="13" t="s">
        <v>81</v>
      </c>
      <c r="F1305" s="13" t="s">
        <v>82</v>
      </c>
      <c r="G1305" s="13" t="s">
        <v>142</v>
      </c>
      <c r="H1305" s="13" t="s">
        <v>143</v>
      </c>
      <c r="I1305" t="s">
        <v>32</v>
      </c>
      <c r="J1305" s="13" t="s">
        <v>33</v>
      </c>
      <c r="K1305" s="13" t="s">
        <v>29</v>
      </c>
      <c r="L1305" s="13" t="s">
        <v>30</v>
      </c>
      <c r="M1305" t="s">
        <v>139</v>
      </c>
      <c r="N1305">
        <v>1293</v>
      </c>
      <c r="O1305" s="14">
        <v>0.17781988577917199</v>
      </c>
      <c r="P1305" s="14">
        <v>0.14333142153918699</v>
      </c>
      <c r="Q1305" t="str">
        <f t="shared" si="40"/>
        <v>01-09</v>
      </c>
      <c r="R1305" t="str">
        <f t="shared" si="41"/>
        <v>[ir8wuHHzoSs]|01-09|Female|PLHIV_Residents.T_1|CY2023Q3</v>
      </c>
    </row>
    <row r="1306" spans="4:18" x14ac:dyDescent="0.2">
      <c r="D1306" s="13" t="s">
        <v>80</v>
      </c>
      <c r="E1306" s="13" t="s">
        <v>81</v>
      </c>
      <c r="F1306" s="13" t="s">
        <v>82</v>
      </c>
      <c r="G1306" s="13" t="s">
        <v>142</v>
      </c>
      <c r="H1306" s="13" t="s">
        <v>143</v>
      </c>
      <c r="I1306" t="s">
        <v>35</v>
      </c>
      <c r="J1306" s="13" t="s">
        <v>36</v>
      </c>
      <c r="K1306" s="13" t="s">
        <v>29</v>
      </c>
      <c r="L1306" s="13" t="s">
        <v>30</v>
      </c>
      <c r="M1306" t="s">
        <v>139</v>
      </c>
      <c r="N1306">
        <v>710</v>
      </c>
      <c r="O1306" s="14">
        <v>0.42628579423762902</v>
      </c>
      <c r="P1306" s="14">
        <v>0.14333142153918699</v>
      </c>
      <c r="Q1306" t="str">
        <f t="shared" si="40"/>
        <v>10-14</v>
      </c>
      <c r="R1306" t="str">
        <f t="shared" si="41"/>
        <v>[ir8wuHHzoSs]|10-14|Female|PLHIV_Residents.T_1|CY2023Q3</v>
      </c>
    </row>
    <row r="1307" spans="4:18" x14ac:dyDescent="0.2">
      <c r="D1307" s="13" t="s">
        <v>80</v>
      </c>
      <c r="E1307" s="13" t="s">
        <v>81</v>
      </c>
      <c r="F1307" s="13" t="s">
        <v>82</v>
      </c>
      <c r="G1307" s="13" t="s">
        <v>142</v>
      </c>
      <c r="H1307" s="13" t="s">
        <v>143</v>
      </c>
      <c r="I1307" t="s">
        <v>37</v>
      </c>
      <c r="J1307" s="13" t="s">
        <v>38</v>
      </c>
      <c r="K1307" s="13" t="s">
        <v>29</v>
      </c>
      <c r="L1307" s="13" t="s">
        <v>30</v>
      </c>
      <c r="M1307" t="s">
        <v>139</v>
      </c>
      <c r="N1307">
        <v>1216</v>
      </c>
      <c r="O1307" s="14">
        <v>4.1635831119492699E-2</v>
      </c>
      <c r="P1307" s="14">
        <v>0.14333142153918699</v>
      </c>
      <c r="Q1307" t="str">
        <f t="shared" si="40"/>
        <v>15-24</v>
      </c>
      <c r="R1307" t="str">
        <f t="shared" si="41"/>
        <v>[ir8wuHHzoSs]|15-24|Female|PLHIV_Residents.T_1|CY2023Q3</v>
      </c>
    </row>
    <row r="1308" spans="4:18" x14ac:dyDescent="0.2">
      <c r="D1308" s="13" t="s">
        <v>80</v>
      </c>
      <c r="E1308" s="13" t="s">
        <v>81</v>
      </c>
      <c r="F1308" s="13" t="s">
        <v>82</v>
      </c>
      <c r="G1308" s="13" t="s">
        <v>142</v>
      </c>
      <c r="H1308" s="13" t="s">
        <v>143</v>
      </c>
      <c r="I1308" t="s">
        <v>40</v>
      </c>
      <c r="J1308" s="13" t="s">
        <v>41</v>
      </c>
      <c r="K1308" s="13" t="s">
        <v>29</v>
      </c>
      <c r="L1308" s="13" t="s">
        <v>30</v>
      </c>
      <c r="M1308" t="s">
        <v>139</v>
      </c>
      <c r="N1308">
        <v>866</v>
      </c>
      <c r="O1308" s="14">
        <v>0.27897110604681102</v>
      </c>
      <c r="P1308" s="14">
        <v>0.14333142153918699</v>
      </c>
      <c r="Q1308" t="str">
        <f t="shared" si="40"/>
        <v>25-34</v>
      </c>
      <c r="R1308" t="str">
        <f t="shared" si="41"/>
        <v>[ir8wuHHzoSs]|25-34|Female|PLHIV_Residents.T_1|CY2023Q3</v>
      </c>
    </row>
    <row r="1309" spans="4:18" x14ac:dyDescent="0.2">
      <c r="D1309" s="13" t="s">
        <v>80</v>
      </c>
      <c r="E1309" s="13" t="s">
        <v>81</v>
      </c>
      <c r="F1309" s="13" t="s">
        <v>82</v>
      </c>
      <c r="G1309" s="13" t="s">
        <v>142</v>
      </c>
      <c r="H1309" s="13" t="s">
        <v>143</v>
      </c>
      <c r="I1309" t="s">
        <v>42</v>
      </c>
      <c r="J1309" s="13" t="s">
        <v>43</v>
      </c>
      <c r="K1309" s="13" t="s">
        <v>29</v>
      </c>
      <c r="L1309" s="13" t="s">
        <v>30</v>
      </c>
      <c r="M1309" t="s">
        <v>139</v>
      </c>
      <c r="N1309">
        <v>771</v>
      </c>
      <c r="O1309" s="14">
        <v>0.36331026861444099</v>
      </c>
      <c r="P1309" s="14">
        <v>0.14333142153918699</v>
      </c>
      <c r="Q1309" t="str">
        <f t="shared" si="40"/>
        <v>35-49</v>
      </c>
      <c r="R1309" t="str">
        <f t="shared" si="41"/>
        <v>[ir8wuHHzoSs]|35-49|Female|PLHIV_Residents.T_1|CY2023Q3</v>
      </c>
    </row>
    <row r="1310" spans="4:18" x14ac:dyDescent="0.2">
      <c r="D1310" s="13" t="s">
        <v>80</v>
      </c>
      <c r="E1310" s="13" t="s">
        <v>81</v>
      </c>
      <c r="F1310" s="13" t="s">
        <v>82</v>
      </c>
      <c r="G1310" s="13" t="s">
        <v>142</v>
      </c>
      <c r="H1310" s="13" t="s">
        <v>143</v>
      </c>
      <c r="I1310" t="s">
        <v>44</v>
      </c>
      <c r="J1310" s="13" t="s">
        <v>45</v>
      </c>
      <c r="K1310" s="13" t="s">
        <v>29</v>
      </c>
      <c r="L1310" s="13" t="s">
        <v>30</v>
      </c>
      <c r="M1310" t="s">
        <v>139</v>
      </c>
      <c r="N1310">
        <v>1552</v>
      </c>
      <c r="O1310" s="14">
        <v>0.39914671680890002</v>
      </c>
      <c r="P1310" s="14">
        <v>0.14333142153918699</v>
      </c>
      <c r="Q1310" t="str">
        <f t="shared" si="40"/>
        <v>50+</v>
      </c>
      <c r="R1310" t="str">
        <f t="shared" si="41"/>
        <v>[ir8wuHHzoSs]|50+|Female|PLHIV_Residents.T_1|CY2023Q3</v>
      </c>
    </row>
    <row r="1311" spans="4:18" x14ac:dyDescent="0.2">
      <c r="D1311" s="13" t="s">
        <v>80</v>
      </c>
      <c r="E1311" s="13" t="s">
        <v>81</v>
      </c>
      <c r="F1311" s="13" t="s">
        <v>82</v>
      </c>
      <c r="G1311" s="13" t="s">
        <v>142</v>
      </c>
      <c r="H1311" s="13" t="s">
        <v>143</v>
      </c>
      <c r="I1311" t="s">
        <v>27</v>
      </c>
      <c r="J1311" s="13" t="s">
        <v>28</v>
      </c>
      <c r="K1311" s="13" t="s">
        <v>47</v>
      </c>
      <c r="L1311" s="13" t="s">
        <v>48</v>
      </c>
      <c r="M1311" t="s">
        <v>139</v>
      </c>
      <c r="N1311">
        <v>1268</v>
      </c>
      <c r="O1311" s="14">
        <v>0.53317352570593401</v>
      </c>
      <c r="P1311" s="14">
        <v>0.14333142153918699</v>
      </c>
      <c r="Q1311" t="str">
        <f t="shared" si="40"/>
        <v>&lt;01</v>
      </c>
      <c r="R1311" t="str">
        <f t="shared" si="41"/>
        <v>[ir8wuHHzoSs]|&lt;01|Male|PLHIV_Residents.T_1|CY2023Q3</v>
      </c>
    </row>
    <row r="1312" spans="4:18" x14ac:dyDescent="0.2">
      <c r="D1312" s="13" t="s">
        <v>80</v>
      </c>
      <c r="E1312" s="13" t="s">
        <v>81</v>
      </c>
      <c r="F1312" s="13" t="s">
        <v>82</v>
      </c>
      <c r="G1312" s="13" t="s">
        <v>142</v>
      </c>
      <c r="H1312" s="13" t="s">
        <v>143</v>
      </c>
      <c r="I1312" t="s">
        <v>32</v>
      </c>
      <c r="J1312" s="13" t="s">
        <v>33</v>
      </c>
      <c r="K1312" s="13" t="s">
        <v>47</v>
      </c>
      <c r="L1312" s="13" t="s">
        <v>48</v>
      </c>
      <c r="M1312" t="s">
        <v>139</v>
      </c>
      <c r="N1312">
        <v>577</v>
      </c>
      <c r="O1312" s="14">
        <v>0.81830057734623596</v>
      </c>
      <c r="P1312" s="14">
        <v>0.14333142153918699</v>
      </c>
      <c r="Q1312" t="str">
        <f t="shared" si="40"/>
        <v>01-09</v>
      </c>
      <c r="R1312" t="str">
        <f t="shared" si="41"/>
        <v>[ir8wuHHzoSs]|01-09|Male|PLHIV_Residents.T_1|CY2023Q3</v>
      </c>
    </row>
    <row r="1313" spans="4:18" x14ac:dyDescent="0.2">
      <c r="D1313" s="13" t="s">
        <v>80</v>
      </c>
      <c r="E1313" s="13" t="s">
        <v>81</v>
      </c>
      <c r="F1313" s="13" t="s">
        <v>82</v>
      </c>
      <c r="G1313" s="13" t="s">
        <v>142</v>
      </c>
      <c r="H1313" s="13" t="s">
        <v>143</v>
      </c>
      <c r="I1313" t="s">
        <v>35</v>
      </c>
      <c r="J1313" s="13" t="s">
        <v>36</v>
      </c>
      <c r="K1313" s="13" t="s">
        <v>47</v>
      </c>
      <c r="L1313" s="13" t="s">
        <v>48</v>
      </c>
      <c r="M1313" t="s">
        <v>139</v>
      </c>
      <c r="N1313">
        <v>1991</v>
      </c>
      <c r="O1313" s="14">
        <v>0.24960655160248299</v>
      </c>
      <c r="P1313" s="14">
        <v>0.14333142153918699</v>
      </c>
      <c r="Q1313" t="str">
        <f t="shared" si="40"/>
        <v>10-14</v>
      </c>
      <c r="R1313" t="str">
        <f t="shared" si="41"/>
        <v>[ir8wuHHzoSs]|10-14|Male|PLHIV_Residents.T_1|CY2023Q3</v>
      </c>
    </row>
    <row r="1314" spans="4:18" x14ac:dyDescent="0.2">
      <c r="D1314" s="13" t="s">
        <v>80</v>
      </c>
      <c r="E1314" s="13" t="s">
        <v>81</v>
      </c>
      <c r="F1314" s="13" t="s">
        <v>82</v>
      </c>
      <c r="G1314" s="13" t="s">
        <v>142</v>
      </c>
      <c r="H1314" s="13" t="s">
        <v>143</v>
      </c>
      <c r="I1314" t="s">
        <v>37</v>
      </c>
      <c r="J1314" s="13" t="s">
        <v>38</v>
      </c>
      <c r="K1314" s="13" t="s">
        <v>47</v>
      </c>
      <c r="L1314" s="13" t="s">
        <v>48</v>
      </c>
      <c r="M1314" t="s">
        <v>139</v>
      </c>
      <c r="N1314">
        <v>1966</v>
      </c>
      <c r="O1314" s="14">
        <v>0.97654030518606305</v>
      </c>
      <c r="P1314" s="14">
        <v>0.14333142153918699</v>
      </c>
      <c r="Q1314" t="str">
        <f t="shared" si="40"/>
        <v>15-24</v>
      </c>
      <c r="R1314" t="str">
        <f t="shared" si="41"/>
        <v>[ir8wuHHzoSs]|15-24|Male|PLHIV_Residents.T_1|CY2023Q3</v>
      </c>
    </row>
    <row r="1315" spans="4:18" x14ac:dyDescent="0.2">
      <c r="D1315" s="13" t="s">
        <v>80</v>
      </c>
      <c r="E1315" s="13" t="s">
        <v>81</v>
      </c>
      <c r="F1315" s="13" t="s">
        <v>82</v>
      </c>
      <c r="G1315" s="13" t="s">
        <v>142</v>
      </c>
      <c r="H1315" s="13" t="s">
        <v>143</v>
      </c>
      <c r="I1315" t="s">
        <v>40</v>
      </c>
      <c r="J1315" s="13" t="s">
        <v>41</v>
      </c>
      <c r="K1315" s="13" t="s">
        <v>47</v>
      </c>
      <c r="L1315" s="13" t="s">
        <v>48</v>
      </c>
      <c r="M1315" t="s">
        <v>139</v>
      </c>
      <c r="N1315">
        <v>581</v>
      </c>
      <c r="O1315" s="14">
        <v>0.92375292396172903</v>
      </c>
      <c r="P1315" s="14">
        <v>0.14333142153918699</v>
      </c>
      <c r="Q1315" t="str">
        <f t="shared" si="40"/>
        <v>25-34</v>
      </c>
      <c r="R1315" t="str">
        <f t="shared" si="41"/>
        <v>[ir8wuHHzoSs]|25-34|Male|PLHIV_Residents.T_1|CY2023Q3</v>
      </c>
    </row>
    <row r="1316" spans="4:18" x14ac:dyDescent="0.2">
      <c r="D1316" s="13" t="s">
        <v>80</v>
      </c>
      <c r="E1316" s="13" t="s">
        <v>81</v>
      </c>
      <c r="F1316" s="13" t="s">
        <v>82</v>
      </c>
      <c r="G1316" s="13" t="s">
        <v>142</v>
      </c>
      <c r="H1316" s="13" t="s">
        <v>143</v>
      </c>
      <c r="I1316" t="s">
        <v>42</v>
      </c>
      <c r="J1316" s="13" t="s">
        <v>43</v>
      </c>
      <c r="K1316" s="13" t="s">
        <v>47</v>
      </c>
      <c r="L1316" s="13" t="s">
        <v>48</v>
      </c>
      <c r="M1316" t="s">
        <v>139</v>
      </c>
      <c r="N1316">
        <v>1382</v>
      </c>
      <c r="O1316" s="14">
        <v>0.44412503368221201</v>
      </c>
      <c r="P1316" s="14">
        <v>0.14333142153918699</v>
      </c>
      <c r="Q1316" t="str">
        <f t="shared" si="40"/>
        <v>35-49</v>
      </c>
      <c r="R1316" t="str">
        <f t="shared" si="41"/>
        <v>[ir8wuHHzoSs]|35-49|Male|PLHIV_Residents.T_1|CY2023Q3</v>
      </c>
    </row>
    <row r="1317" spans="4:18" x14ac:dyDescent="0.2">
      <c r="D1317" s="13" t="s">
        <v>80</v>
      </c>
      <c r="E1317" s="13" t="s">
        <v>81</v>
      </c>
      <c r="F1317" s="13" t="s">
        <v>82</v>
      </c>
      <c r="G1317" s="13" t="s">
        <v>142</v>
      </c>
      <c r="H1317" s="13" t="s">
        <v>143</v>
      </c>
      <c r="I1317" t="s">
        <v>44</v>
      </c>
      <c r="J1317" s="13" t="s">
        <v>45</v>
      </c>
      <c r="K1317" s="13" t="s">
        <v>47</v>
      </c>
      <c r="L1317" s="13" t="s">
        <v>48</v>
      </c>
      <c r="M1317" t="s">
        <v>139</v>
      </c>
      <c r="N1317">
        <v>858</v>
      </c>
      <c r="O1317" s="14">
        <v>0.25160262687131801</v>
      </c>
      <c r="P1317" s="14">
        <v>0.14333142153918699</v>
      </c>
      <c r="Q1317" t="str">
        <f t="shared" si="40"/>
        <v>50+</v>
      </c>
      <c r="R1317" t="str">
        <f t="shared" si="41"/>
        <v>[ir8wuHHzoSs]|50+|Male|PLHIV_Residents.T_1|CY2023Q3</v>
      </c>
    </row>
    <row r="1318" spans="4:18" x14ac:dyDescent="0.2">
      <c r="D1318" s="13" t="s">
        <v>83</v>
      </c>
      <c r="E1318" s="13" t="s">
        <v>84</v>
      </c>
      <c r="F1318" s="13" t="s">
        <v>85</v>
      </c>
      <c r="G1318" s="13" t="s">
        <v>142</v>
      </c>
      <c r="H1318" s="13" t="s">
        <v>143</v>
      </c>
      <c r="I1318" t="s">
        <v>27</v>
      </c>
      <c r="J1318" s="13" t="s">
        <v>28</v>
      </c>
      <c r="K1318" s="13" t="s">
        <v>29</v>
      </c>
      <c r="L1318" s="13" t="s">
        <v>30</v>
      </c>
      <c r="M1318" t="s">
        <v>139</v>
      </c>
      <c r="N1318">
        <v>1883</v>
      </c>
      <c r="O1318" s="14">
        <v>0.59000819455832199</v>
      </c>
      <c r="P1318" s="14">
        <v>2.9788714367896301E-2</v>
      </c>
      <c r="Q1318" t="str">
        <f t="shared" si="40"/>
        <v>&lt;01</v>
      </c>
      <c r="R1318" t="str">
        <f t="shared" si="41"/>
        <v>[fyEoGEPERdI]|&lt;01|Female|PLHIV_Residents.T_1|CY2023Q3</v>
      </c>
    </row>
    <row r="1319" spans="4:18" x14ac:dyDescent="0.2">
      <c r="D1319" s="13" t="s">
        <v>83</v>
      </c>
      <c r="E1319" s="13" t="s">
        <v>84</v>
      </c>
      <c r="F1319" s="13" t="s">
        <v>85</v>
      </c>
      <c r="G1319" s="13" t="s">
        <v>142</v>
      </c>
      <c r="H1319" s="13" t="s">
        <v>143</v>
      </c>
      <c r="I1319" t="s">
        <v>32</v>
      </c>
      <c r="J1319" s="13" t="s">
        <v>33</v>
      </c>
      <c r="K1319" s="13" t="s">
        <v>29</v>
      </c>
      <c r="L1319" s="13" t="s">
        <v>30</v>
      </c>
      <c r="M1319" t="s">
        <v>139</v>
      </c>
      <c r="N1319">
        <v>1921</v>
      </c>
      <c r="O1319" s="14">
        <v>0.62592685222625699</v>
      </c>
      <c r="P1319" s="14">
        <v>2.9788714367896301E-2</v>
      </c>
      <c r="Q1319" t="str">
        <f t="shared" si="40"/>
        <v>01-09</v>
      </c>
      <c r="R1319" t="str">
        <f t="shared" si="41"/>
        <v>[fyEoGEPERdI]|01-09|Female|PLHIV_Residents.T_1|CY2023Q3</v>
      </c>
    </row>
    <row r="1320" spans="4:18" x14ac:dyDescent="0.2">
      <c r="D1320" s="13" t="s">
        <v>83</v>
      </c>
      <c r="E1320" s="13" t="s">
        <v>84</v>
      </c>
      <c r="F1320" s="13" t="s">
        <v>85</v>
      </c>
      <c r="G1320" s="13" t="s">
        <v>142</v>
      </c>
      <c r="H1320" s="13" t="s">
        <v>143</v>
      </c>
      <c r="I1320" t="s">
        <v>35</v>
      </c>
      <c r="J1320" s="13" t="s">
        <v>36</v>
      </c>
      <c r="K1320" s="13" t="s">
        <v>29</v>
      </c>
      <c r="L1320" s="13" t="s">
        <v>30</v>
      </c>
      <c r="M1320" t="s">
        <v>139</v>
      </c>
      <c r="N1320">
        <v>758</v>
      </c>
      <c r="O1320" s="14">
        <v>0.48309452063404001</v>
      </c>
      <c r="P1320" s="14">
        <v>2.9788714367896301E-2</v>
      </c>
      <c r="Q1320" t="str">
        <f t="shared" si="40"/>
        <v>10-14</v>
      </c>
      <c r="R1320" t="str">
        <f t="shared" si="41"/>
        <v>[fyEoGEPERdI]|10-14|Female|PLHIV_Residents.T_1|CY2023Q3</v>
      </c>
    </row>
    <row r="1321" spans="4:18" x14ac:dyDescent="0.2">
      <c r="D1321" s="13" t="s">
        <v>83</v>
      </c>
      <c r="E1321" s="13" t="s">
        <v>84</v>
      </c>
      <c r="F1321" s="13" t="s">
        <v>85</v>
      </c>
      <c r="G1321" s="13" t="s">
        <v>142</v>
      </c>
      <c r="H1321" s="13" t="s">
        <v>143</v>
      </c>
      <c r="I1321" t="s">
        <v>37</v>
      </c>
      <c r="J1321" s="13" t="s">
        <v>38</v>
      </c>
      <c r="K1321" s="13" t="s">
        <v>29</v>
      </c>
      <c r="L1321" s="13" t="s">
        <v>30</v>
      </c>
      <c r="M1321" t="s">
        <v>139</v>
      </c>
      <c r="N1321">
        <v>1218</v>
      </c>
      <c r="O1321" s="14">
        <v>0.74600555421784498</v>
      </c>
      <c r="P1321" s="14">
        <v>2.9788714367896301E-2</v>
      </c>
      <c r="Q1321" t="str">
        <f t="shared" si="40"/>
        <v>15-24</v>
      </c>
      <c r="R1321" t="str">
        <f t="shared" si="41"/>
        <v>[fyEoGEPERdI]|15-24|Female|PLHIV_Residents.T_1|CY2023Q3</v>
      </c>
    </row>
    <row r="1322" spans="4:18" x14ac:dyDescent="0.2">
      <c r="D1322" s="13" t="s">
        <v>83</v>
      </c>
      <c r="E1322" s="13" t="s">
        <v>84</v>
      </c>
      <c r="F1322" s="13" t="s">
        <v>85</v>
      </c>
      <c r="G1322" s="13" t="s">
        <v>142</v>
      </c>
      <c r="H1322" s="13" t="s">
        <v>143</v>
      </c>
      <c r="I1322" t="s">
        <v>40</v>
      </c>
      <c r="J1322" s="13" t="s">
        <v>41</v>
      </c>
      <c r="K1322" s="13" t="s">
        <v>29</v>
      </c>
      <c r="L1322" s="13" t="s">
        <v>30</v>
      </c>
      <c r="M1322" t="s">
        <v>139</v>
      </c>
      <c r="N1322">
        <v>1661</v>
      </c>
      <c r="O1322" s="14">
        <v>0.59294742019847002</v>
      </c>
      <c r="P1322" s="14">
        <v>2.9788714367896301E-2</v>
      </c>
      <c r="Q1322" t="str">
        <f t="shared" si="40"/>
        <v>25-34</v>
      </c>
      <c r="R1322" t="str">
        <f t="shared" si="41"/>
        <v>[fyEoGEPERdI]|25-34|Female|PLHIV_Residents.T_1|CY2023Q3</v>
      </c>
    </row>
    <row r="1323" spans="4:18" x14ac:dyDescent="0.2">
      <c r="D1323" s="13" t="s">
        <v>83</v>
      </c>
      <c r="E1323" s="13" t="s">
        <v>84</v>
      </c>
      <c r="F1323" s="13" t="s">
        <v>85</v>
      </c>
      <c r="G1323" s="13" t="s">
        <v>142</v>
      </c>
      <c r="H1323" s="13" t="s">
        <v>143</v>
      </c>
      <c r="I1323" t="s">
        <v>42</v>
      </c>
      <c r="J1323" s="13" t="s">
        <v>43</v>
      </c>
      <c r="K1323" s="13" t="s">
        <v>29</v>
      </c>
      <c r="L1323" s="13" t="s">
        <v>30</v>
      </c>
      <c r="M1323" t="s">
        <v>139</v>
      </c>
      <c r="N1323">
        <v>637</v>
      </c>
      <c r="O1323" s="14">
        <v>0.18915592972189199</v>
      </c>
      <c r="P1323" s="14">
        <v>2.9788714367896301E-2</v>
      </c>
      <c r="Q1323" t="str">
        <f t="shared" si="40"/>
        <v>35-49</v>
      </c>
      <c r="R1323" t="str">
        <f t="shared" si="41"/>
        <v>[fyEoGEPERdI]|35-49|Female|PLHIV_Residents.T_1|CY2023Q3</v>
      </c>
    </row>
    <row r="1324" spans="4:18" x14ac:dyDescent="0.2">
      <c r="D1324" s="13" t="s">
        <v>83</v>
      </c>
      <c r="E1324" s="13" t="s">
        <v>84</v>
      </c>
      <c r="F1324" s="13" t="s">
        <v>85</v>
      </c>
      <c r="G1324" s="13" t="s">
        <v>142</v>
      </c>
      <c r="H1324" s="13" t="s">
        <v>143</v>
      </c>
      <c r="I1324" t="s">
        <v>44</v>
      </c>
      <c r="J1324" s="13" t="s">
        <v>45</v>
      </c>
      <c r="K1324" s="13" t="s">
        <v>29</v>
      </c>
      <c r="L1324" s="13" t="s">
        <v>30</v>
      </c>
      <c r="M1324" t="s">
        <v>139</v>
      </c>
      <c r="N1324">
        <v>547</v>
      </c>
      <c r="O1324" s="14">
        <v>1.37408832088113E-2</v>
      </c>
      <c r="P1324" s="14">
        <v>2.9788714367896301E-2</v>
      </c>
      <c r="Q1324" t="str">
        <f t="shared" si="40"/>
        <v>50+</v>
      </c>
      <c r="R1324" t="str">
        <f t="shared" si="41"/>
        <v>[fyEoGEPERdI]|50+|Female|PLHIV_Residents.T_1|CY2023Q3</v>
      </c>
    </row>
    <row r="1325" spans="4:18" x14ac:dyDescent="0.2">
      <c r="D1325" s="13" t="s">
        <v>83</v>
      </c>
      <c r="E1325" s="13" t="s">
        <v>84</v>
      </c>
      <c r="F1325" s="13" t="s">
        <v>85</v>
      </c>
      <c r="G1325" s="13" t="s">
        <v>142</v>
      </c>
      <c r="H1325" s="13" t="s">
        <v>143</v>
      </c>
      <c r="I1325" t="s">
        <v>27</v>
      </c>
      <c r="J1325" s="13" t="s">
        <v>28</v>
      </c>
      <c r="K1325" s="13" t="s">
        <v>47</v>
      </c>
      <c r="L1325" s="13" t="s">
        <v>48</v>
      </c>
      <c r="M1325" t="s">
        <v>139</v>
      </c>
      <c r="N1325">
        <v>1571</v>
      </c>
      <c r="O1325" s="14">
        <v>0.60248452541418396</v>
      </c>
      <c r="P1325" s="14">
        <v>2.9788714367896301E-2</v>
      </c>
      <c r="Q1325" t="str">
        <f t="shared" si="40"/>
        <v>&lt;01</v>
      </c>
      <c r="R1325" t="str">
        <f t="shared" si="41"/>
        <v>[fyEoGEPERdI]|&lt;01|Male|PLHIV_Residents.T_1|CY2023Q3</v>
      </c>
    </row>
    <row r="1326" spans="4:18" x14ac:dyDescent="0.2">
      <c r="D1326" s="13" t="s">
        <v>83</v>
      </c>
      <c r="E1326" s="13" t="s">
        <v>84</v>
      </c>
      <c r="F1326" s="13" t="s">
        <v>85</v>
      </c>
      <c r="G1326" s="13" t="s">
        <v>142</v>
      </c>
      <c r="H1326" s="13" t="s">
        <v>143</v>
      </c>
      <c r="I1326" t="s">
        <v>32</v>
      </c>
      <c r="J1326" s="13" t="s">
        <v>33</v>
      </c>
      <c r="K1326" s="13" t="s">
        <v>47</v>
      </c>
      <c r="L1326" s="13" t="s">
        <v>48</v>
      </c>
      <c r="M1326" t="s">
        <v>139</v>
      </c>
      <c r="N1326">
        <v>710</v>
      </c>
      <c r="O1326" s="14">
        <v>0.62464660755358603</v>
      </c>
      <c r="P1326" s="14">
        <v>2.9788714367896301E-2</v>
      </c>
      <c r="Q1326" t="str">
        <f t="shared" si="40"/>
        <v>01-09</v>
      </c>
      <c r="R1326" t="str">
        <f t="shared" si="41"/>
        <v>[fyEoGEPERdI]|01-09|Male|PLHIV_Residents.T_1|CY2023Q3</v>
      </c>
    </row>
    <row r="1327" spans="4:18" x14ac:dyDescent="0.2">
      <c r="D1327" s="13" t="s">
        <v>83</v>
      </c>
      <c r="E1327" s="13" t="s">
        <v>84</v>
      </c>
      <c r="F1327" s="13" t="s">
        <v>85</v>
      </c>
      <c r="G1327" s="13" t="s">
        <v>142</v>
      </c>
      <c r="H1327" s="13" t="s">
        <v>143</v>
      </c>
      <c r="I1327" t="s">
        <v>35</v>
      </c>
      <c r="J1327" s="13" t="s">
        <v>36</v>
      </c>
      <c r="K1327" s="13" t="s">
        <v>47</v>
      </c>
      <c r="L1327" s="13" t="s">
        <v>48</v>
      </c>
      <c r="M1327" t="s">
        <v>139</v>
      </c>
      <c r="N1327">
        <v>1965</v>
      </c>
      <c r="O1327" s="14">
        <v>0.89507045992650103</v>
      </c>
      <c r="P1327" s="14">
        <v>2.9788714367896301E-2</v>
      </c>
      <c r="Q1327" t="str">
        <f t="shared" si="40"/>
        <v>10-14</v>
      </c>
      <c r="R1327" t="str">
        <f t="shared" si="41"/>
        <v>[fyEoGEPERdI]|10-14|Male|PLHIV_Residents.T_1|CY2023Q3</v>
      </c>
    </row>
    <row r="1328" spans="4:18" x14ac:dyDescent="0.2">
      <c r="D1328" s="13" t="s">
        <v>83</v>
      </c>
      <c r="E1328" s="13" t="s">
        <v>84</v>
      </c>
      <c r="F1328" s="13" t="s">
        <v>85</v>
      </c>
      <c r="G1328" s="13" t="s">
        <v>142</v>
      </c>
      <c r="H1328" s="13" t="s">
        <v>143</v>
      </c>
      <c r="I1328" t="s">
        <v>37</v>
      </c>
      <c r="J1328" s="13" t="s">
        <v>38</v>
      </c>
      <c r="K1328" s="13" t="s">
        <v>47</v>
      </c>
      <c r="L1328" s="13" t="s">
        <v>48</v>
      </c>
      <c r="M1328" t="s">
        <v>139</v>
      </c>
      <c r="N1328">
        <v>1263</v>
      </c>
      <c r="O1328" s="14">
        <v>0.57470255275256898</v>
      </c>
      <c r="P1328" s="14">
        <v>2.9788714367896301E-2</v>
      </c>
      <c r="Q1328" t="str">
        <f t="shared" si="40"/>
        <v>15-24</v>
      </c>
      <c r="R1328" t="str">
        <f t="shared" si="41"/>
        <v>[fyEoGEPERdI]|15-24|Male|PLHIV_Residents.T_1|CY2023Q3</v>
      </c>
    </row>
    <row r="1329" spans="4:18" x14ac:dyDescent="0.2">
      <c r="D1329" s="13" t="s">
        <v>83</v>
      </c>
      <c r="E1329" s="13" t="s">
        <v>84</v>
      </c>
      <c r="F1329" s="13" t="s">
        <v>85</v>
      </c>
      <c r="G1329" s="13" t="s">
        <v>142</v>
      </c>
      <c r="H1329" s="13" t="s">
        <v>143</v>
      </c>
      <c r="I1329" t="s">
        <v>40</v>
      </c>
      <c r="J1329" s="13" t="s">
        <v>41</v>
      </c>
      <c r="K1329" s="13" t="s">
        <v>47</v>
      </c>
      <c r="L1329" s="13" t="s">
        <v>48</v>
      </c>
      <c r="M1329" t="s">
        <v>139</v>
      </c>
      <c r="N1329">
        <v>1249</v>
      </c>
      <c r="O1329" s="14">
        <v>0.25789220444858102</v>
      </c>
      <c r="P1329" s="14">
        <v>2.9788714367896301E-2</v>
      </c>
      <c r="Q1329" t="str">
        <f t="shared" si="40"/>
        <v>25-34</v>
      </c>
      <c r="R1329" t="str">
        <f t="shared" si="41"/>
        <v>[fyEoGEPERdI]|25-34|Male|PLHIV_Residents.T_1|CY2023Q3</v>
      </c>
    </row>
    <row r="1330" spans="4:18" x14ac:dyDescent="0.2">
      <c r="D1330" s="13" t="s">
        <v>83</v>
      </c>
      <c r="E1330" s="13" t="s">
        <v>84</v>
      </c>
      <c r="F1330" s="13" t="s">
        <v>85</v>
      </c>
      <c r="G1330" s="13" t="s">
        <v>142</v>
      </c>
      <c r="H1330" s="13" t="s">
        <v>143</v>
      </c>
      <c r="I1330" t="s">
        <v>42</v>
      </c>
      <c r="J1330" s="13" t="s">
        <v>43</v>
      </c>
      <c r="K1330" s="13" t="s">
        <v>47</v>
      </c>
      <c r="L1330" s="13" t="s">
        <v>48</v>
      </c>
      <c r="M1330" t="s">
        <v>139</v>
      </c>
      <c r="N1330">
        <v>1892</v>
      </c>
      <c r="O1330" s="14">
        <v>0.92245894321240496</v>
      </c>
      <c r="P1330" s="14">
        <v>2.9788714367896301E-2</v>
      </c>
      <c r="Q1330" t="str">
        <f t="shared" si="40"/>
        <v>35-49</v>
      </c>
      <c r="R1330" t="str">
        <f t="shared" si="41"/>
        <v>[fyEoGEPERdI]|35-49|Male|PLHIV_Residents.T_1|CY2023Q3</v>
      </c>
    </row>
    <row r="1331" spans="4:18" x14ac:dyDescent="0.2">
      <c r="D1331" s="13" t="s">
        <v>83</v>
      </c>
      <c r="E1331" s="13" t="s">
        <v>84</v>
      </c>
      <c r="F1331" s="13" t="s">
        <v>85</v>
      </c>
      <c r="G1331" s="13" t="s">
        <v>142</v>
      </c>
      <c r="H1331" s="13" t="s">
        <v>143</v>
      </c>
      <c r="I1331" t="s">
        <v>44</v>
      </c>
      <c r="J1331" s="13" t="s">
        <v>45</v>
      </c>
      <c r="K1331" s="13" t="s">
        <v>47</v>
      </c>
      <c r="L1331" s="13" t="s">
        <v>48</v>
      </c>
      <c r="M1331" t="s">
        <v>139</v>
      </c>
      <c r="N1331">
        <v>1788</v>
      </c>
      <c r="O1331" s="14">
        <v>0.44780787057243299</v>
      </c>
      <c r="P1331" s="14">
        <v>2.9788714367896301E-2</v>
      </c>
      <c r="Q1331" t="str">
        <f t="shared" si="40"/>
        <v>50+</v>
      </c>
      <c r="R1331" t="str">
        <f t="shared" si="41"/>
        <v>[fyEoGEPERdI]|50+|Male|PLHIV_Residents.T_1|CY2023Q3</v>
      </c>
    </row>
    <row r="1332" spans="4:18" x14ac:dyDescent="0.2">
      <c r="D1332" s="13" t="s">
        <v>86</v>
      </c>
      <c r="E1332" s="13" t="s">
        <v>87</v>
      </c>
      <c r="F1332" s="13" t="s">
        <v>88</v>
      </c>
      <c r="G1332" s="13" t="s">
        <v>142</v>
      </c>
      <c r="H1332" s="13" t="s">
        <v>143</v>
      </c>
      <c r="I1332" t="s">
        <v>27</v>
      </c>
      <c r="J1332" s="13" t="s">
        <v>28</v>
      </c>
      <c r="K1332" s="13" t="s">
        <v>29</v>
      </c>
      <c r="L1332" s="13" t="s">
        <v>30</v>
      </c>
      <c r="M1332" t="s">
        <v>139</v>
      </c>
      <c r="N1332">
        <v>1627</v>
      </c>
      <c r="O1332" s="14">
        <v>0.91149153560399998</v>
      </c>
      <c r="P1332" s="14">
        <v>0.13333638082258401</v>
      </c>
      <c r="Q1332" t="str">
        <f t="shared" si="40"/>
        <v>&lt;01</v>
      </c>
      <c r="R1332" t="str">
        <f t="shared" si="41"/>
        <v>[cPtvxaZqXIH]|&lt;01|Female|PLHIV_Residents.T_1|CY2023Q3</v>
      </c>
    </row>
    <row r="1333" spans="4:18" x14ac:dyDescent="0.2">
      <c r="D1333" s="13" t="s">
        <v>86</v>
      </c>
      <c r="E1333" s="13" t="s">
        <v>87</v>
      </c>
      <c r="F1333" s="13" t="s">
        <v>88</v>
      </c>
      <c r="G1333" s="13" t="s">
        <v>142</v>
      </c>
      <c r="H1333" s="13" t="s">
        <v>143</v>
      </c>
      <c r="I1333" t="s">
        <v>32</v>
      </c>
      <c r="J1333" s="13" t="s">
        <v>33</v>
      </c>
      <c r="K1333" s="13" t="s">
        <v>29</v>
      </c>
      <c r="L1333" s="13" t="s">
        <v>30</v>
      </c>
      <c r="M1333" t="s">
        <v>139</v>
      </c>
      <c r="N1333">
        <v>1651</v>
      </c>
      <c r="O1333" s="14">
        <v>0.24596086028031999</v>
      </c>
      <c r="P1333" s="14">
        <v>0.13333638082258401</v>
      </c>
      <c r="Q1333" t="str">
        <f t="shared" si="40"/>
        <v>01-09</v>
      </c>
      <c r="R1333" t="str">
        <f t="shared" si="41"/>
        <v>[cPtvxaZqXIH]|01-09|Female|PLHIV_Residents.T_1|CY2023Q3</v>
      </c>
    </row>
    <row r="1334" spans="4:18" x14ac:dyDescent="0.2">
      <c r="D1334" s="13" t="s">
        <v>86</v>
      </c>
      <c r="E1334" s="13" t="s">
        <v>87</v>
      </c>
      <c r="F1334" s="13" t="s">
        <v>88</v>
      </c>
      <c r="G1334" s="13" t="s">
        <v>142</v>
      </c>
      <c r="H1334" s="13" t="s">
        <v>143</v>
      </c>
      <c r="I1334" t="s">
        <v>35</v>
      </c>
      <c r="J1334" s="13" t="s">
        <v>36</v>
      </c>
      <c r="K1334" s="13" t="s">
        <v>29</v>
      </c>
      <c r="L1334" s="13" t="s">
        <v>30</v>
      </c>
      <c r="M1334" t="s">
        <v>139</v>
      </c>
      <c r="N1334">
        <v>1184</v>
      </c>
      <c r="O1334" s="14">
        <v>0.72505359002389003</v>
      </c>
      <c r="P1334" s="14">
        <v>0.13333638082258401</v>
      </c>
      <c r="Q1334" t="str">
        <f t="shared" si="40"/>
        <v>10-14</v>
      </c>
      <c r="R1334" t="str">
        <f t="shared" si="41"/>
        <v>[cPtvxaZqXIH]|10-14|Female|PLHIV_Residents.T_1|CY2023Q3</v>
      </c>
    </row>
    <row r="1335" spans="4:18" x14ac:dyDescent="0.2">
      <c r="D1335" s="13" t="s">
        <v>86</v>
      </c>
      <c r="E1335" s="13" t="s">
        <v>87</v>
      </c>
      <c r="F1335" s="13" t="s">
        <v>88</v>
      </c>
      <c r="G1335" s="13" t="s">
        <v>142</v>
      </c>
      <c r="H1335" s="13" t="s">
        <v>143</v>
      </c>
      <c r="I1335" t="s">
        <v>37</v>
      </c>
      <c r="J1335" s="13" t="s">
        <v>38</v>
      </c>
      <c r="K1335" s="13" t="s">
        <v>29</v>
      </c>
      <c r="L1335" s="13" t="s">
        <v>30</v>
      </c>
      <c r="M1335" t="s">
        <v>139</v>
      </c>
      <c r="N1335">
        <v>554</v>
      </c>
      <c r="O1335" s="14">
        <v>0.60827619931660604</v>
      </c>
      <c r="P1335" s="14">
        <v>0.13333638082258401</v>
      </c>
      <c r="Q1335" t="str">
        <f t="shared" si="40"/>
        <v>15-24</v>
      </c>
      <c r="R1335" t="str">
        <f t="shared" si="41"/>
        <v>[cPtvxaZqXIH]|15-24|Female|PLHIV_Residents.T_1|CY2023Q3</v>
      </c>
    </row>
    <row r="1336" spans="4:18" x14ac:dyDescent="0.2">
      <c r="D1336" s="13" t="s">
        <v>86</v>
      </c>
      <c r="E1336" s="13" t="s">
        <v>87</v>
      </c>
      <c r="F1336" s="13" t="s">
        <v>88</v>
      </c>
      <c r="G1336" s="13" t="s">
        <v>142</v>
      </c>
      <c r="H1336" s="13" t="s">
        <v>143</v>
      </c>
      <c r="I1336" t="s">
        <v>40</v>
      </c>
      <c r="J1336" s="13" t="s">
        <v>41</v>
      </c>
      <c r="K1336" s="13" t="s">
        <v>29</v>
      </c>
      <c r="L1336" s="13" t="s">
        <v>30</v>
      </c>
      <c r="M1336" t="s">
        <v>139</v>
      </c>
      <c r="N1336">
        <v>752</v>
      </c>
      <c r="O1336" s="14">
        <v>0.74292324553243805</v>
      </c>
      <c r="P1336" s="14">
        <v>0.13333638082258401</v>
      </c>
      <c r="Q1336" t="str">
        <f t="shared" si="40"/>
        <v>25-34</v>
      </c>
      <c r="R1336" t="str">
        <f t="shared" si="41"/>
        <v>[cPtvxaZqXIH]|25-34|Female|PLHIV_Residents.T_1|CY2023Q3</v>
      </c>
    </row>
    <row r="1337" spans="4:18" x14ac:dyDescent="0.2">
      <c r="D1337" s="13" t="s">
        <v>86</v>
      </c>
      <c r="E1337" s="13" t="s">
        <v>87</v>
      </c>
      <c r="F1337" s="13" t="s">
        <v>88</v>
      </c>
      <c r="G1337" s="13" t="s">
        <v>142</v>
      </c>
      <c r="H1337" s="13" t="s">
        <v>143</v>
      </c>
      <c r="I1337" t="s">
        <v>42</v>
      </c>
      <c r="J1337" s="13" t="s">
        <v>43</v>
      </c>
      <c r="K1337" s="13" t="s">
        <v>29</v>
      </c>
      <c r="L1337" s="13" t="s">
        <v>30</v>
      </c>
      <c r="M1337" t="s">
        <v>139</v>
      </c>
      <c r="N1337">
        <v>1245</v>
      </c>
      <c r="O1337" s="14">
        <v>9.6515099750831695E-2</v>
      </c>
      <c r="P1337" s="14">
        <v>0.13333638082258401</v>
      </c>
      <c r="Q1337" t="str">
        <f t="shared" si="40"/>
        <v>35-49</v>
      </c>
      <c r="R1337" t="str">
        <f t="shared" si="41"/>
        <v>[cPtvxaZqXIH]|35-49|Female|PLHIV_Residents.T_1|CY2023Q3</v>
      </c>
    </row>
    <row r="1338" spans="4:18" x14ac:dyDescent="0.2">
      <c r="D1338" s="13" t="s">
        <v>86</v>
      </c>
      <c r="E1338" s="13" t="s">
        <v>87</v>
      </c>
      <c r="F1338" s="13" t="s">
        <v>88</v>
      </c>
      <c r="G1338" s="13" t="s">
        <v>142</v>
      </c>
      <c r="H1338" s="13" t="s">
        <v>143</v>
      </c>
      <c r="I1338" t="s">
        <v>44</v>
      </c>
      <c r="J1338" s="13" t="s">
        <v>45</v>
      </c>
      <c r="K1338" s="13" t="s">
        <v>29</v>
      </c>
      <c r="L1338" s="13" t="s">
        <v>30</v>
      </c>
      <c r="M1338" t="s">
        <v>139</v>
      </c>
      <c r="N1338">
        <v>1906</v>
      </c>
      <c r="O1338" s="14">
        <v>0.595004598842934</v>
      </c>
      <c r="P1338" s="14">
        <v>0.13333638082258401</v>
      </c>
      <c r="Q1338" t="str">
        <f t="shared" si="40"/>
        <v>50+</v>
      </c>
      <c r="R1338" t="str">
        <f t="shared" si="41"/>
        <v>[cPtvxaZqXIH]|50+|Female|PLHIV_Residents.T_1|CY2023Q3</v>
      </c>
    </row>
    <row r="1339" spans="4:18" x14ac:dyDescent="0.2">
      <c r="D1339" s="13" t="s">
        <v>86</v>
      </c>
      <c r="E1339" s="13" t="s">
        <v>87</v>
      </c>
      <c r="F1339" s="13" t="s">
        <v>88</v>
      </c>
      <c r="G1339" s="13" t="s">
        <v>142</v>
      </c>
      <c r="H1339" s="13" t="s">
        <v>143</v>
      </c>
      <c r="I1339" t="s">
        <v>27</v>
      </c>
      <c r="J1339" s="13" t="s">
        <v>28</v>
      </c>
      <c r="K1339" s="13" t="s">
        <v>47</v>
      </c>
      <c r="L1339" s="13" t="s">
        <v>48</v>
      </c>
      <c r="M1339" t="s">
        <v>139</v>
      </c>
      <c r="N1339">
        <v>1245</v>
      </c>
      <c r="O1339" s="14">
        <v>0.11009176028892401</v>
      </c>
      <c r="P1339" s="14">
        <v>0.13333638082258401</v>
      </c>
      <c r="Q1339" t="str">
        <f t="shared" si="40"/>
        <v>&lt;01</v>
      </c>
      <c r="R1339" t="str">
        <f t="shared" si="41"/>
        <v>[cPtvxaZqXIH]|&lt;01|Male|PLHIV_Residents.T_1|CY2023Q3</v>
      </c>
    </row>
    <row r="1340" spans="4:18" x14ac:dyDescent="0.2">
      <c r="D1340" s="13" t="s">
        <v>86</v>
      </c>
      <c r="E1340" s="13" t="s">
        <v>87</v>
      </c>
      <c r="F1340" s="13" t="s">
        <v>88</v>
      </c>
      <c r="G1340" s="13" t="s">
        <v>142</v>
      </c>
      <c r="H1340" s="13" t="s">
        <v>143</v>
      </c>
      <c r="I1340" t="s">
        <v>32</v>
      </c>
      <c r="J1340" s="13" t="s">
        <v>33</v>
      </c>
      <c r="K1340" s="13" t="s">
        <v>47</v>
      </c>
      <c r="L1340" s="13" t="s">
        <v>48</v>
      </c>
      <c r="M1340" t="s">
        <v>139</v>
      </c>
      <c r="N1340">
        <v>1440</v>
      </c>
      <c r="O1340" s="14">
        <v>0.15130845224484801</v>
      </c>
      <c r="P1340" s="14">
        <v>0.13333638082258401</v>
      </c>
      <c r="Q1340" t="str">
        <f t="shared" si="40"/>
        <v>01-09</v>
      </c>
      <c r="R1340" t="str">
        <f t="shared" si="41"/>
        <v>[cPtvxaZqXIH]|01-09|Male|PLHIV_Residents.T_1|CY2023Q3</v>
      </c>
    </row>
    <row r="1341" spans="4:18" x14ac:dyDescent="0.2">
      <c r="D1341" s="13" t="s">
        <v>86</v>
      </c>
      <c r="E1341" s="13" t="s">
        <v>87</v>
      </c>
      <c r="F1341" s="13" t="s">
        <v>88</v>
      </c>
      <c r="G1341" s="13" t="s">
        <v>142</v>
      </c>
      <c r="H1341" s="13" t="s">
        <v>143</v>
      </c>
      <c r="I1341" t="s">
        <v>35</v>
      </c>
      <c r="J1341" s="13" t="s">
        <v>36</v>
      </c>
      <c r="K1341" s="13" t="s">
        <v>47</v>
      </c>
      <c r="L1341" s="13" t="s">
        <v>48</v>
      </c>
      <c r="M1341" t="s">
        <v>139</v>
      </c>
      <c r="N1341">
        <v>748</v>
      </c>
      <c r="O1341" s="14">
        <v>0.28733489383012101</v>
      </c>
      <c r="P1341" s="14">
        <v>0.13333638082258401</v>
      </c>
      <c r="Q1341" t="str">
        <f t="shared" si="40"/>
        <v>10-14</v>
      </c>
      <c r="R1341" t="str">
        <f t="shared" si="41"/>
        <v>[cPtvxaZqXIH]|10-14|Male|PLHIV_Residents.T_1|CY2023Q3</v>
      </c>
    </row>
    <row r="1342" spans="4:18" x14ac:dyDescent="0.2">
      <c r="D1342" s="13" t="s">
        <v>86</v>
      </c>
      <c r="E1342" s="13" t="s">
        <v>87</v>
      </c>
      <c r="F1342" s="13" t="s">
        <v>88</v>
      </c>
      <c r="G1342" s="13" t="s">
        <v>142</v>
      </c>
      <c r="H1342" s="13" t="s">
        <v>143</v>
      </c>
      <c r="I1342" t="s">
        <v>37</v>
      </c>
      <c r="J1342" s="13" t="s">
        <v>38</v>
      </c>
      <c r="K1342" s="13" t="s">
        <v>47</v>
      </c>
      <c r="L1342" s="13" t="s">
        <v>48</v>
      </c>
      <c r="M1342" t="s">
        <v>139</v>
      </c>
      <c r="N1342">
        <v>1339</v>
      </c>
      <c r="O1342" s="14">
        <v>0.82530154404230405</v>
      </c>
      <c r="P1342" s="14">
        <v>0.13333638082258401</v>
      </c>
      <c r="Q1342" t="str">
        <f t="shared" si="40"/>
        <v>15-24</v>
      </c>
      <c r="R1342" t="str">
        <f t="shared" si="41"/>
        <v>[cPtvxaZqXIH]|15-24|Male|PLHIV_Residents.T_1|CY2023Q3</v>
      </c>
    </row>
    <row r="1343" spans="4:18" x14ac:dyDescent="0.2">
      <c r="D1343" s="13" t="s">
        <v>86</v>
      </c>
      <c r="E1343" s="13" t="s">
        <v>87</v>
      </c>
      <c r="F1343" s="13" t="s">
        <v>88</v>
      </c>
      <c r="G1343" s="13" t="s">
        <v>142</v>
      </c>
      <c r="H1343" s="13" t="s">
        <v>143</v>
      </c>
      <c r="I1343" t="s">
        <v>40</v>
      </c>
      <c r="J1343" s="13" t="s">
        <v>41</v>
      </c>
      <c r="K1343" s="13" t="s">
        <v>47</v>
      </c>
      <c r="L1343" s="13" t="s">
        <v>48</v>
      </c>
      <c r="M1343" t="s">
        <v>139</v>
      </c>
      <c r="N1343">
        <v>1553</v>
      </c>
      <c r="O1343" s="14">
        <v>0.90656706760637495</v>
      </c>
      <c r="P1343" s="14">
        <v>0.13333638082258401</v>
      </c>
      <c r="Q1343" t="str">
        <f t="shared" si="40"/>
        <v>25-34</v>
      </c>
      <c r="R1343" t="str">
        <f t="shared" si="41"/>
        <v>[cPtvxaZqXIH]|25-34|Male|PLHIV_Residents.T_1|CY2023Q3</v>
      </c>
    </row>
    <row r="1344" spans="4:18" x14ac:dyDescent="0.2">
      <c r="D1344" s="13" t="s">
        <v>86</v>
      </c>
      <c r="E1344" s="13" t="s">
        <v>87</v>
      </c>
      <c r="F1344" s="13" t="s">
        <v>88</v>
      </c>
      <c r="G1344" s="13" t="s">
        <v>142</v>
      </c>
      <c r="H1344" s="13" t="s">
        <v>143</v>
      </c>
      <c r="I1344" t="s">
        <v>42</v>
      </c>
      <c r="J1344" s="13" t="s">
        <v>43</v>
      </c>
      <c r="K1344" s="13" t="s">
        <v>47</v>
      </c>
      <c r="L1344" s="13" t="s">
        <v>48</v>
      </c>
      <c r="M1344" t="s">
        <v>139</v>
      </c>
      <c r="N1344">
        <v>1147</v>
      </c>
      <c r="O1344" s="14">
        <v>0.23860367643646899</v>
      </c>
      <c r="P1344" s="14">
        <v>0.13333638082258401</v>
      </c>
      <c r="Q1344" t="str">
        <f t="shared" si="40"/>
        <v>35-49</v>
      </c>
      <c r="R1344" t="str">
        <f t="shared" si="41"/>
        <v>[cPtvxaZqXIH]|35-49|Male|PLHIV_Residents.T_1|CY2023Q3</v>
      </c>
    </row>
    <row r="1345" spans="4:18" x14ac:dyDescent="0.2">
      <c r="D1345" s="13" t="s">
        <v>86</v>
      </c>
      <c r="E1345" s="13" t="s">
        <v>87</v>
      </c>
      <c r="F1345" s="13" t="s">
        <v>88</v>
      </c>
      <c r="G1345" s="13" t="s">
        <v>142</v>
      </c>
      <c r="H1345" s="13" t="s">
        <v>143</v>
      </c>
      <c r="I1345" t="s">
        <v>44</v>
      </c>
      <c r="J1345" s="13" t="s">
        <v>45</v>
      </c>
      <c r="K1345" s="13" t="s">
        <v>47</v>
      </c>
      <c r="L1345" s="13" t="s">
        <v>48</v>
      </c>
      <c r="M1345" t="s">
        <v>139</v>
      </c>
      <c r="N1345">
        <v>505</v>
      </c>
      <c r="O1345" s="14">
        <v>0.823396687628701</v>
      </c>
      <c r="P1345" s="14">
        <v>0.13333638082258401</v>
      </c>
      <c r="Q1345" t="str">
        <f t="shared" si="40"/>
        <v>50+</v>
      </c>
      <c r="R1345" t="str">
        <f t="shared" si="41"/>
        <v>[cPtvxaZqXIH]|50+|Male|PLHIV_Residents.T_1|CY2023Q3</v>
      </c>
    </row>
    <row r="1346" spans="4:18" x14ac:dyDescent="0.2">
      <c r="D1346" s="13" t="s">
        <v>89</v>
      </c>
      <c r="E1346" s="13" t="s">
        <v>90</v>
      </c>
      <c r="F1346" s="13" t="s">
        <v>91</v>
      </c>
      <c r="G1346" s="13" t="s">
        <v>142</v>
      </c>
      <c r="H1346" s="13" t="s">
        <v>143</v>
      </c>
      <c r="I1346" t="s">
        <v>27</v>
      </c>
      <c r="J1346" s="13" t="s">
        <v>28</v>
      </c>
      <c r="K1346" s="13" t="s">
        <v>29</v>
      </c>
      <c r="L1346" s="13" t="s">
        <v>30</v>
      </c>
      <c r="M1346" t="s">
        <v>139</v>
      </c>
      <c r="N1346">
        <v>1212</v>
      </c>
      <c r="O1346" s="14">
        <v>0.14324227115139401</v>
      </c>
      <c r="P1346" s="14">
        <v>0.71991415042430196</v>
      </c>
      <c r="Q1346" t="str">
        <f t="shared" ref="Q1346:Q1409" si="42">SUBSTITUTE(SUBSTITUTE($I1346,CHAR(61),""),CHAR(34),"")</f>
        <v>&lt;01</v>
      </c>
      <c r="R1346" t="str">
        <f t="shared" ref="R1346:R1409" si="43">IF($D1346&lt;&gt;"","["&amp;$E1346&amp;"]"&amp;"|"&amp;$Q1346&amp;"|"&amp;$K1346&amp;"|"&amp;$G1346&amp;"|"&amp;IF($G1346="TX_CURR_SUBNAT.R","CY2022Q4",$M1346),"")</f>
        <v>[AZyWpGzhcaA]|&lt;01|Female|PLHIV_Residents.T_1|CY2023Q3</v>
      </c>
    </row>
    <row r="1347" spans="4:18" x14ac:dyDescent="0.2">
      <c r="D1347" s="13" t="s">
        <v>89</v>
      </c>
      <c r="E1347" s="13" t="s">
        <v>90</v>
      </c>
      <c r="F1347" s="13" t="s">
        <v>91</v>
      </c>
      <c r="G1347" s="13" t="s">
        <v>142</v>
      </c>
      <c r="H1347" s="13" t="s">
        <v>143</v>
      </c>
      <c r="I1347" t="s">
        <v>32</v>
      </c>
      <c r="J1347" s="13" t="s">
        <v>33</v>
      </c>
      <c r="K1347" s="13" t="s">
        <v>29</v>
      </c>
      <c r="L1347" s="13" t="s">
        <v>30</v>
      </c>
      <c r="M1347" t="s">
        <v>139</v>
      </c>
      <c r="N1347">
        <v>1539</v>
      </c>
      <c r="O1347" s="14">
        <v>0.20944558852352199</v>
      </c>
      <c r="P1347" s="14">
        <v>0.71991415042430196</v>
      </c>
      <c r="Q1347" t="str">
        <f t="shared" si="42"/>
        <v>01-09</v>
      </c>
      <c r="R1347" t="str">
        <f t="shared" si="43"/>
        <v>[AZyWpGzhcaA]|01-09|Female|PLHIV_Residents.T_1|CY2023Q3</v>
      </c>
    </row>
    <row r="1348" spans="4:18" x14ac:dyDescent="0.2">
      <c r="D1348" s="13" t="s">
        <v>89</v>
      </c>
      <c r="E1348" s="13" t="s">
        <v>90</v>
      </c>
      <c r="F1348" s="13" t="s">
        <v>91</v>
      </c>
      <c r="G1348" s="13" t="s">
        <v>142</v>
      </c>
      <c r="H1348" s="13" t="s">
        <v>143</v>
      </c>
      <c r="I1348" t="s">
        <v>35</v>
      </c>
      <c r="J1348" s="13" t="s">
        <v>36</v>
      </c>
      <c r="K1348" s="13" t="s">
        <v>29</v>
      </c>
      <c r="L1348" s="13" t="s">
        <v>30</v>
      </c>
      <c r="M1348" t="s">
        <v>139</v>
      </c>
      <c r="N1348">
        <v>849</v>
      </c>
      <c r="O1348" s="14">
        <v>0.73391115036793098</v>
      </c>
      <c r="P1348" s="14">
        <v>0.71991415042430196</v>
      </c>
      <c r="Q1348" t="str">
        <f t="shared" si="42"/>
        <v>10-14</v>
      </c>
      <c r="R1348" t="str">
        <f t="shared" si="43"/>
        <v>[AZyWpGzhcaA]|10-14|Female|PLHIV_Residents.T_1|CY2023Q3</v>
      </c>
    </row>
    <row r="1349" spans="4:18" x14ac:dyDescent="0.2">
      <c r="D1349" s="13" t="s">
        <v>89</v>
      </c>
      <c r="E1349" s="13" t="s">
        <v>90</v>
      </c>
      <c r="F1349" s="13" t="s">
        <v>91</v>
      </c>
      <c r="G1349" s="13" t="s">
        <v>142</v>
      </c>
      <c r="H1349" s="13" t="s">
        <v>143</v>
      </c>
      <c r="I1349" t="s">
        <v>37</v>
      </c>
      <c r="J1349" s="13" t="s">
        <v>38</v>
      </c>
      <c r="K1349" s="13" t="s">
        <v>29</v>
      </c>
      <c r="L1349" s="13" t="s">
        <v>30</v>
      </c>
      <c r="M1349" t="s">
        <v>139</v>
      </c>
      <c r="N1349">
        <v>1888</v>
      </c>
      <c r="O1349" s="14">
        <v>0.200759967789054</v>
      </c>
      <c r="P1349" s="14">
        <v>0.71991415042430196</v>
      </c>
      <c r="Q1349" t="str">
        <f t="shared" si="42"/>
        <v>15-24</v>
      </c>
      <c r="R1349" t="str">
        <f t="shared" si="43"/>
        <v>[AZyWpGzhcaA]|15-24|Female|PLHIV_Residents.T_1|CY2023Q3</v>
      </c>
    </row>
    <row r="1350" spans="4:18" x14ac:dyDescent="0.2">
      <c r="D1350" s="13" t="s">
        <v>89</v>
      </c>
      <c r="E1350" s="13" t="s">
        <v>90</v>
      </c>
      <c r="F1350" s="13" t="s">
        <v>91</v>
      </c>
      <c r="G1350" s="13" t="s">
        <v>142</v>
      </c>
      <c r="H1350" s="13" t="s">
        <v>143</v>
      </c>
      <c r="I1350" t="s">
        <v>40</v>
      </c>
      <c r="J1350" s="13" t="s">
        <v>41</v>
      </c>
      <c r="K1350" s="13" t="s">
        <v>29</v>
      </c>
      <c r="L1350" s="13" t="s">
        <v>30</v>
      </c>
      <c r="M1350" t="s">
        <v>139</v>
      </c>
      <c r="N1350">
        <v>569</v>
      </c>
      <c r="O1350" s="14">
        <v>0.26826437446288798</v>
      </c>
      <c r="P1350" s="14">
        <v>0.71991415042430196</v>
      </c>
      <c r="Q1350" t="str">
        <f t="shared" si="42"/>
        <v>25-34</v>
      </c>
      <c r="R1350" t="str">
        <f t="shared" si="43"/>
        <v>[AZyWpGzhcaA]|25-34|Female|PLHIV_Residents.T_1|CY2023Q3</v>
      </c>
    </row>
    <row r="1351" spans="4:18" x14ac:dyDescent="0.2">
      <c r="D1351" s="13" t="s">
        <v>89</v>
      </c>
      <c r="E1351" s="13" t="s">
        <v>90</v>
      </c>
      <c r="F1351" s="13" t="s">
        <v>91</v>
      </c>
      <c r="G1351" s="13" t="s">
        <v>142</v>
      </c>
      <c r="H1351" s="13" t="s">
        <v>143</v>
      </c>
      <c r="I1351" t="s">
        <v>42</v>
      </c>
      <c r="J1351" s="13" t="s">
        <v>43</v>
      </c>
      <c r="K1351" s="13" t="s">
        <v>29</v>
      </c>
      <c r="L1351" s="13" t="s">
        <v>30</v>
      </c>
      <c r="M1351" t="s">
        <v>139</v>
      </c>
      <c r="N1351">
        <v>911</v>
      </c>
      <c r="O1351" s="14">
        <v>0.74115546769462504</v>
      </c>
      <c r="P1351" s="14">
        <v>0.71991415042430196</v>
      </c>
      <c r="Q1351" t="str">
        <f t="shared" si="42"/>
        <v>35-49</v>
      </c>
      <c r="R1351" t="str">
        <f t="shared" si="43"/>
        <v>[AZyWpGzhcaA]|35-49|Female|PLHIV_Residents.T_1|CY2023Q3</v>
      </c>
    </row>
    <row r="1352" spans="4:18" x14ac:dyDescent="0.2">
      <c r="D1352" s="13" t="s">
        <v>89</v>
      </c>
      <c r="E1352" s="13" t="s">
        <v>90</v>
      </c>
      <c r="F1352" s="13" t="s">
        <v>91</v>
      </c>
      <c r="G1352" s="13" t="s">
        <v>142</v>
      </c>
      <c r="H1352" s="13" t="s">
        <v>143</v>
      </c>
      <c r="I1352" t="s">
        <v>44</v>
      </c>
      <c r="J1352" s="13" t="s">
        <v>45</v>
      </c>
      <c r="K1352" s="13" t="s">
        <v>29</v>
      </c>
      <c r="L1352" s="13" t="s">
        <v>30</v>
      </c>
      <c r="M1352" t="s">
        <v>139</v>
      </c>
      <c r="N1352">
        <v>1072</v>
      </c>
      <c r="O1352" s="14">
        <v>3.17209751810879E-2</v>
      </c>
      <c r="P1352" s="14">
        <v>0.71991415042430196</v>
      </c>
      <c r="Q1352" t="str">
        <f t="shared" si="42"/>
        <v>50+</v>
      </c>
      <c r="R1352" t="str">
        <f t="shared" si="43"/>
        <v>[AZyWpGzhcaA]|50+|Female|PLHIV_Residents.T_1|CY2023Q3</v>
      </c>
    </row>
    <row r="1353" spans="4:18" x14ac:dyDescent="0.2">
      <c r="D1353" s="13" t="s">
        <v>89</v>
      </c>
      <c r="E1353" s="13" t="s">
        <v>90</v>
      </c>
      <c r="F1353" s="13" t="s">
        <v>91</v>
      </c>
      <c r="G1353" s="13" t="s">
        <v>142</v>
      </c>
      <c r="H1353" s="13" t="s">
        <v>143</v>
      </c>
      <c r="I1353" t="s">
        <v>27</v>
      </c>
      <c r="J1353" s="13" t="s">
        <v>28</v>
      </c>
      <c r="K1353" s="13" t="s">
        <v>47</v>
      </c>
      <c r="L1353" s="13" t="s">
        <v>48</v>
      </c>
      <c r="M1353" t="s">
        <v>139</v>
      </c>
      <c r="N1353">
        <v>685</v>
      </c>
      <c r="O1353" s="14">
        <v>0.78322954638861098</v>
      </c>
      <c r="P1353" s="14">
        <v>0.71991415042430196</v>
      </c>
      <c r="Q1353" t="str">
        <f t="shared" si="42"/>
        <v>&lt;01</v>
      </c>
      <c r="R1353" t="str">
        <f t="shared" si="43"/>
        <v>[AZyWpGzhcaA]|&lt;01|Male|PLHIV_Residents.T_1|CY2023Q3</v>
      </c>
    </row>
    <row r="1354" spans="4:18" x14ac:dyDescent="0.2">
      <c r="D1354" s="13" t="s">
        <v>89</v>
      </c>
      <c r="E1354" s="13" t="s">
        <v>90</v>
      </c>
      <c r="F1354" s="13" t="s">
        <v>91</v>
      </c>
      <c r="G1354" s="13" t="s">
        <v>142</v>
      </c>
      <c r="H1354" s="13" t="s">
        <v>143</v>
      </c>
      <c r="I1354" t="s">
        <v>32</v>
      </c>
      <c r="J1354" s="13" t="s">
        <v>33</v>
      </c>
      <c r="K1354" s="13" t="s">
        <v>47</v>
      </c>
      <c r="L1354" s="13" t="s">
        <v>48</v>
      </c>
      <c r="M1354" t="s">
        <v>139</v>
      </c>
      <c r="N1354">
        <v>1806</v>
      </c>
      <c r="O1354" s="14">
        <v>0.94781110133044399</v>
      </c>
      <c r="P1354" s="14">
        <v>0.71991415042430196</v>
      </c>
      <c r="Q1354" t="str">
        <f t="shared" si="42"/>
        <v>01-09</v>
      </c>
      <c r="R1354" t="str">
        <f t="shared" si="43"/>
        <v>[AZyWpGzhcaA]|01-09|Male|PLHIV_Residents.T_1|CY2023Q3</v>
      </c>
    </row>
    <row r="1355" spans="4:18" x14ac:dyDescent="0.2">
      <c r="D1355" s="13" t="s">
        <v>89</v>
      </c>
      <c r="E1355" s="13" t="s">
        <v>90</v>
      </c>
      <c r="F1355" s="13" t="s">
        <v>91</v>
      </c>
      <c r="G1355" s="13" t="s">
        <v>142</v>
      </c>
      <c r="H1355" s="13" t="s">
        <v>143</v>
      </c>
      <c r="I1355" t="s">
        <v>35</v>
      </c>
      <c r="J1355" s="13" t="s">
        <v>36</v>
      </c>
      <c r="K1355" s="13" t="s">
        <v>47</v>
      </c>
      <c r="L1355" s="13" t="s">
        <v>48</v>
      </c>
      <c r="M1355" t="s">
        <v>139</v>
      </c>
      <c r="N1355">
        <v>1452</v>
      </c>
      <c r="O1355" s="14">
        <v>0.34614647552370997</v>
      </c>
      <c r="P1355" s="14">
        <v>0.71991415042430196</v>
      </c>
      <c r="Q1355" t="str">
        <f t="shared" si="42"/>
        <v>10-14</v>
      </c>
      <c r="R1355" t="str">
        <f t="shared" si="43"/>
        <v>[AZyWpGzhcaA]|10-14|Male|PLHIV_Residents.T_1|CY2023Q3</v>
      </c>
    </row>
    <row r="1356" spans="4:18" x14ac:dyDescent="0.2">
      <c r="D1356" s="13" t="s">
        <v>89</v>
      </c>
      <c r="E1356" s="13" t="s">
        <v>90</v>
      </c>
      <c r="F1356" s="13" t="s">
        <v>91</v>
      </c>
      <c r="G1356" s="13" t="s">
        <v>142</v>
      </c>
      <c r="H1356" s="13" t="s">
        <v>143</v>
      </c>
      <c r="I1356" t="s">
        <v>37</v>
      </c>
      <c r="J1356" s="13" t="s">
        <v>38</v>
      </c>
      <c r="K1356" s="13" t="s">
        <v>47</v>
      </c>
      <c r="L1356" s="13" t="s">
        <v>48</v>
      </c>
      <c r="M1356" t="s">
        <v>139</v>
      </c>
      <c r="N1356">
        <v>1426</v>
      </c>
      <c r="O1356" s="14">
        <v>0.101110917516053</v>
      </c>
      <c r="P1356" s="14">
        <v>0.71991415042430196</v>
      </c>
      <c r="Q1356" t="str">
        <f t="shared" si="42"/>
        <v>15-24</v>
      </c>
      <c r="R1356" t="str">
        <f t="shared" si="43"/>
        <v>[AZyWpGzhcaA]|15-24|Male|PLHIV_Residents.T_1|CY2023Q3</v>
      </c>
    </row>
    <row r="1357" spans="4:18" x14ac:dyDescent="0.2">
      <c r="D1357" s="13" t="s">
        <v>89</v>
      </c>
      <c r="E1357" s="13" t="s">
        <v>90</v>
      </c>
      <c r="F1357" s="13" t="s">
        <v>91</v>
      </c>
      <c r="G1357" s="13" t="s">
        <v>142</v>
      </c>
      <c r="H1357" s="13" t="s">
        <v>143</v>
      </c>
      <c r="I1357" t="s">
        <v>40</v>
      </c>
      <c r="J1357" s="13" t="s">
        <v>41</v>
      </c>
      <c r="K1357" s="13" t="s">
        <v>47</v>
      </c>
      <c r="L1357" s="13" t="s">
        <v>48</v>
      </c>
      <c r="M1357" t="s">
        <v>139</v>
      </c>
      <c r="N1357">
        <v>1038</v>
      </c>
      <c r="O1357" s="14">
        <v>0.21093578240834199</v>
      </c>
      <c r="P1357" s="14">
        <v>0.71991415042430196</v>
      </c>
      <c r="Q1357" t="str">
        <f t="shared" si="42"/>
        <v>25-34</v>
      </c>
      <c r="R1357" t="str">
        <f t="shared" si="43"/>
        <v>[AZyWpGzhcaA]|25-34|Male|PLHIV_Residents.T_1|CY2023Q3</v>
      </c>
    </row>
    <row r="1358" spans="4:18" x14ac:dyDescent="0.2">
      <c r="D1358" s="13" t="s">
        <v>89</v>
      </c>
      <c r="E1358" s="13" t="s">
        <v>90</v>
      </c>
      <c r="F1358" s="13" t="s">
        <v>91</v>
      </c>
      <c r="G1358" s="13" t="s">
        <v>142</v>
      </c>
      <c r="H1358" s="13" t="s">
        <v>143</v>
      </c>
      <c r="I1358" t="s">
        <v>42</v>
      </c>
      <c r="J1358" s="13" t="s">
        <v>43</v>
      </c>
      <c r="K1358" s="13" t="s">
        <v>47</v>
      </c>
      <c r="L1358" s="13" t="s">
        <v>48</v>
      </c>
      <c r="M1358" t="s">
        <v>139</v>
      </c>
      <c r="N1358">
        <v>1971</v>
      </c>
      <c r="O1358" s="14">
        <v>0.85642259684391298</v>
      </c>
      <c r="P1358" s="14">
        <v>0.71991415042430196</v>
      </c>
      <c r="Q1358" t="str">
        <f t="shared" si="42"/>
        <v>35-49</v>
      </c>
      <c r="R1358" t="str">
        <f t="shared" si="43"/>
        <v>[AZyWpGzhcaA]|35-49|Male|PLHIV_Residents.T_1|CY2023Q3</v>
      </c>
    </row>
    <row r="1359" spans="4:18" x14ac:dyDescent="0.2">
      <c r="D1359" s="13" t="s">
        <v>89</v>
      </c>
      <c r="E1359" s="13" t="s">
        <v>90</v>
      </c>
      <c r="F1359" s="13" t="s">
        <v>91</v>
      </c>
      <c r="G1359" s="13" t="s">
        <v>142</v>
      </c>
      <c r="H1359" s="13" t="s">
        <v>143</v>
      </c>
      <c r="I1359" t="s">
        <v>44</v>
      </c>
      <c r="J1359" s="13" t="s">
        <v>45</v>
      </c>
      <c r="K1359" s="13" t="s">
        <v>47</v>
      </c>
      <c r="L1359" s="13" t="s">
        <v>48</v>
      </c>
      <c r="M1359" t="s">
        <v>139</v>
      </c>
      <c r="N1359">
        <v>911</v>
      </c>
      <c r="O1359" s="14">
        <v>0.118011347483844</v>
      </c>
      <c r="P1359" s="14">
        <v>0.71991415042430196</v>
      </c>
      <c r="Q1359" t="str">
        <f t="shared" si="42"/>
        <v>50+</v>
      </c>
      <c r="R1359" t="str">
        <f t="shared" si="43"/>
        <v>[AZyWpGzhcaA]|50+|Male|PLHIV_Residents.T_1|CY2023Q3</v>
      </c>
    </row>
    <row r="1360" spans="4:18" x14ac:dyDescent="0.2">
      <c r="D1360" s="13" t="s">
        <v>92</v>
      </c>
      <c r="E1360" s="13" t="s">
        <v>93</v>
      </c>
      <c r="F1360" s="13" t="s">
        <v>94</v>
      </c>
      <c r="G1360" s="13" t="s">
        <v>142</v>
      </c>
      <c r="H1360" s="13" t="s">
        <v>143</v>
      </c>
      <c r="I1360" t="s">
        <v>27</v>
      </c>
      <c r="J1360" s="13" t="s">
        <v>28</v>
      </c>
      <c r="K1360" s="13" t="s">
        <v>29</v>
      </c>
      <c r="L1360" s="13" t="s">
        <v>30</v>
      </c>
      <c r="M1360" t="s">
        <v>139</v>
      </c>
      <c r="N1360">
        <v>1812</v>
      </c>
      <c r="O1360" s="14">
        <v>0.52297858567908395</v>
      </c>
      <c r="P1360" s="14">
        <v>0.36227229656651599</v>
      </c>
      <c r="Q1360" t="str">
        <f t="shared" si="42"/>
        <v>&lt;01</v>
      </c>
      <c r="R1360" t="str">
        <f t="shared" si="43"/>
        <v>[umc2n1Z4wNv]|&lt;01|Female|PLHIV_Residents.T_1|CY2023Q3</v>
      </c>
    </row>
    <row r="1361" spans="4:18" x14ac:dyDescent="0.2">
      <c r="D1361" s="13" t="s">
        <v>92</v>
      </c>
      <c r="E1361" s="13" t="s">
        <v>93</v>
      </c>
      <c r="F1361" s="13" t="s">
        <v>94</v>
      </c>
      <c r="G1361" s="13" t="s">
        <v>142</v>
      </c>
      <c r="H1361" s="13" t="s">
        <v>143</v>
      </c>
      <c r="I1361" t="s">
        <v>32</v>
      </c>
      <c r="J1361" s="13" t="s">
        <v>33</v>
      </c>
      <c r="K1361" s="13" t="s">
        <v>29</v>
      </c>
      <c r="L1361" s="13" t="s">
        <v>30</v>
      </c>
      <c r="M1361" t="s">
        <v>139</v>
      </c>
      <c r="N1361">
        <v>805</v>
      </c>
      <c r="O1361" s="14">
        <v>0.37196577875874898</v>
      </c>
      <c r="P1361" s="14">
        <v>0.36227229656651599</v>
      </c>
      <c r="Q1361" t="str">
        <f t="shared" si="42"/>
        <v>01-09</v>
      </c>
      <c r="R1361" t="str">
        <f t="shared" si="43"/>
        <v>[umc2n1Z4wNv]|01-09|Female|PLHIV_Residents.T_1|CY2023Q3</v>
      </c>
    </row>
    <row r="1362" spans="4:18" x14ac:dyDescent="0.2">
      <c r="D1362" s="13" t="s">
        <v>92</v>
      </c>
      <c r="E1362" s="13" t="s">
        <v>93</v>
      </c>
      <c r="F1362" s="13" t="s">
        <v>94</v>
      </c>
      <c r="G1362" s="13" t="s">
        <v>142</v>
      </c>
      <c r="H1362" s="13" t="s">
        <v>143</v>
      </c>
      <c r="I1362" t="s">
        <v>35</v>
      </c>
      <c r="J1362" s="13" t="s">
        <v>36</v>
      </c>
      <c r="K1362" s="13" t="s">
        <v>29</v>
      </c>
      <c r="L1362" s="13" t="s">
        <v>30</v>
      </c>
      <c r="M1362" t="s">
        <v>139</v>
      </c>
      <c r="N1362">
        <v>852</v>
      </c>
      <c r="O1362" s="14">
        <v>0.309636757709086</v>
      </c>
      <c r="P1362" s="14">
        <v>0.36227229656651599</v>
      </c>
      <c r="Q1362" t="str">
        <f t="shared" si="42"/>
        <v>10-14</v>
      </c>
      <c r="R1362" t="str">
        <f t="shared" si="43"/>
        <v>[umc2n1Z4wNv]|10-14|Female|PLHIV_Residents.T_1|CY2023Q3</v>
      </c>
    </row>
    <row r="1363" spans="4:18" x14ac:dyDescent="0.2">
      <c r="D1363" s="13" t="s">
        <v>92</v>
      </c>
      <c r="E1363" s="13" t="s">
        <v>93</v>
      </c>
      <c r="F1363" s="13" t="s">
        <v>94</v>
      </c>
      <c r="G1363" s="13" t="s">
        <v>142</v>
      </c>
      <c r="H1363" s="13" t="s">
        <v>143</v>
      </c>
      <c r="I1363" t="s">
        <v>37</v>
      </c>
      <c r="J1363" s="13" t="s">
        <v>38</v>
      </c>
      <c r="K1363" s="13" t="s">
        <v>29</v>
      </c>
      <c r="L1363" s="13" t="s">
        <v>30</v>
      </c>
      <c r="M1363" t="s">
        <v>139</v>
      </c>
      <c r="N1363">
        <v>1970</v>
      </c>
      <c r="O1363" s="14">
        <v>0.77482658717781305</v>
      </c>
      <c r="P1363" s="14">
        <v>0.36227229656651599</v>
      </c>
      <c r="Q1363" t="str">
        <f t="shared" si="42"/>
        <v>15-24</v>
      </c>
      <c r="R1363" t="str">
        <f t="shared" si="43"/>
        <v>[umc2n1Z4wNv]|15-24|Female|PLHIV_Residents.T_1|CY2023Q3</v>
      </c>
    </row>
    <row r="1364" spans="4:18" x14ac:dyDescent="0.2">
      <c r="D1364" s="13" t="s">
        <v>92</v>
      </c>
      <c r="E1364" s="13" t="s">
        <v>93</v>
      </c>
      <c r="F1364" s="13" t="s">
        <v>94</v>
      </c>
      <c r="G1364" s="13" t="s">
        <v>142</v>
      </c>
      <c r="H1364" s="13" t="s">
        <v>143</v>
      </c>
      <c r="I1364" t="s">
        <v>40</v>
      </c>
      <c r="J1364" s="13" t="s">
        <v>41</v>
      </c>
      <c r="K1364" s="13" t="s">
        <v>29</v>
      </c>
      <c r="L1364" s="13" t="s">
        <v>30</v>
      </c>
      <c r="M1364" t="s">
        <v>139</v>
      </c>
      <c r="N1364">
        <v>720</v>
      </c>
      <c r="O1364" s="14">
        <v>0.94160699937492598</v>
      </c>
      <c r="P1364" s="14">
        <v>0.36227229656651599</v>
      </c>
      <c r="Q1364" t="str">
        <f t="shared" si="42"/>
        <v>25-34</v>
      </c>
      <c r="R1364" t="str">
        <f t="shared" si="43"/>
        <v>[umc2n1Z4wNv]|25-34|Female|PLHIV_Residents.T_1|CY2023Q3</v>
      </c>
    </row>
    <row r="1365" spans="4:18" x14ac:dyDescent="0.2">
      <c r="D1365" s="13" t="s">
        <v>92</v>
      </c>
      <c r="E1365" s="13" t="s">
        <v>93</v>
      </c>
      <c r="F1365" s="13" t="s">
        <v>94</v>
      </c>
      <c r="G1365" s="13" t="s">
        <v>142</v>
      </c>
      <c r="H1365" s="13" t="s">
        <v>143</v>
      </c>
      <c r="I1365" t="s">
        <v>42</v>
      </c>
      <c r="J1365" s="13" t="s">
        <v>43</v>
      </c>
      <c r="K1365" s="13" t="s">
        <v>29</v>
      </c>
      <c r="L1365" s="13" t="s">
        <v>30</v>
      </c>
      <c r="M1365" t="s">
        <v>139</v>
      </c>
      <c r="N1365">
        <v>1123</v>
      </c>
      <c r="O1365" s="14">
        <v>0.177367096068338</v>
      </c>
      <c r="P1365" s="14">
        <v>0.36227229656651599</v>
      </c>
      <c r="Q1365" t="str">
        <f t="shared" si="42"/>
        <v>35-49</v>
      </c>
      <c r="R1365" t="str">
        <f t="shared" si="43"/>
        <v>[umc2n1Z4wNv]|35-49|Female|PLHIV_Residents.T_1|CY2023Q3</v>
      </c>
    </row>
    <row r="1366" spans="4:18" x14ac:dyDescent="0.2">
      <c r="D1366" s="13" t="s">
        <v>92</v>
      </c>
      <c r="E1366" s="13" t="s">
        <v>93</v>
      </c>
      <c r="F1366" s="13" t="s">
        <v>94</v>
      </c>
      <c r="G1366" s="13" t="s">
        <v>142</v>
      </c>
      <c r="H1366" s="13" t="s">
        <v>143</v>
      </c>
      <c r="I1366" t="s">
        <v>44</v>
      </c>
      <c r="J1366" s="13" t="s">
        <v>45</v>
      </c>
      <c r="K1366" s="13" t="s">
        <v>29</v>
      </c>
      <c r="L1366" s="13" t="s">
        <v>30</v>
      </c>
      <c r="M1366" t="s">
        <v>139</v>
      </c>
      <c r="N1366">
        <v>1399</v>
      </c>
      <c r="O1366" s="14">
        <v>0.703739075921476</v>
      </c>
      <c r="P1366" s="14">
        <v>0.36227229656651599</v>
      </c>
      <c r="Q1366" t="str">
        <f t="shared" si="42"/>
        <v>50+</v>
      </c>
      <c r="R1366" t="str">
        <f t="shared" si="43"/>
        <v>[umc2n1Z4wNv]|50+|Female|PLHIV_Residents.T_1|CY2023Q3</v>
      </c>
    </row>
    <row r="1367" spans="4:18" x14ac:dyDescent="0.2">
      <c r="D1367" s="13" t="s">
        <v>92</v>
      </c>
      <c r="E1367" s="13" t="s">
        <v>93</v>
      </c>
      <c r="F1367" s="13" t="s">
        <v>94</v>
      </c>
      <c r="G1367" s="13" t="s">
        <v>142</v>
      </c>
      <c r="H1367" s="13" t="s">
        <v>143</v>
      </c>
      <c r="I1367" t="s">
        <v>27</v>
      </c>
      <c r="J1367" s="13" t="s">
        <v>28</v>
      </c>
      <c r="K1367" s="13" t="s">
        <v>47</v>
      </c>
      <c r="L1367" s="13" t="s">
        <v>48</v>
      </c>
      <c r="M1367" t="s">
        <v>139</v>
      </c>
      <c r="N1367">
        <v>1029</v>
      </c>
      <c r="O1367" s="14">
        <v>0.62253826204687401</v>
      </c>
      <c r="P1367" s="14">
        <v>0.36227229656651599</v>
      </c>
      <c r="Q1367" t="str">
        <f t="shared" si="42"/>
        <v>&lt;01</v>
      </c>
      <c r="R1367" t="str">
        <f t="shared" si="43"/>
        <v>[umc2n1Z4wNv]|&lt;01|Male|PLHIV_Residents.T_1|CY2023Q3</v>
      </c>
    </row>
    <row r="1368" spans="4:18" x14ac:dyDescent="0.2">
      <c r="D1368" s="13" t="s">
        <v>92</v>
      </c>
      <c r="E1368" s="13" t="s">
        <v>93</v>
      </c>
      <c r="F1368" s="13" t="s">
        <v>94</v>
      </c>
      <c r="G1368" s="13" t="s">
        <v>142</v>
      </c>
      <c r="H1368" s="13" t="s">
        <v>143</v>
      </c>
      <c r="I1368" t="s">
        <v>32</v>
      </c>
      <c r="J1368" s="13" t="s">
        <v>33</v>
      </c>
      <c r="K1368" s="13" t="s">
        <v>47</v>
      </c>
      <c r="L1368" s="13" t="s">
        <v>48</v>
      </c>
      <c r="M1368" t="s">
        <v>139</v>
      </c>
      <c r="N1368">
        <v>1758</v>
      </c>
      <c r="O1368" s="14">
        <v>0.24305427353829101</v>
      </c>
      <c r="P1368" s="14">
        <v>0.36227229656651599</v>
      </c>
      <c r="Q1368" t="str">
        <f t="shared" si="42"/>
        <v>01-09</v>
      </c>
      <c r="R1368" t="str">
        <f t="shared" si="43"/>
        <v>[umc2n1Z4wNv]|01-09|Male|PLHIV_Residents.T_1|CY2023Q3</v>
      </c>
    </row>
    <row r="1369" spans="4:18" x14ac:dyDescent="0.2">
      <c r="D1369" s="13" t="s">
        <v>92</v>
      </c>
      <c r="E1369" s="13" t="s">
        <v>93</v>
      </c>
      <c r="F1369" s="13" t="s">
        <v>94</v>
      </c>
      <c r="G1369" s="13" t="s">
        <v>142</v>
      </c>
      <c r="H1369" s="13" t="s">
        <v>143</v>
      </c>
      <c r="I1369" t="s">
        <v>35</v>
      </c>
      <c r="J1369" s="13" t="s">
        <v>36</v>
      </c>
      <c r="K1369" s="13" t="s">
        <v>47</v>
      </c>
      <c r="L1369" s="13" t="s">
        <v>48</v>
      </c>
      <c r="M1369" t="s">
        <v>139</v>
      </c>
      <c r="N1369">
        <v>1192</v>
      </c>
      <c r="O1369" s="14">
        <v>0.24742059875279701</v>
      </c>
      <c r="P1369" s="14">
        <v>0.36227229656651599</v>
      </c>
      <c r="Q1369" t="str">
        <f t="shared" si="42"/>
        <v>10-14</v>
      </c>
      <c r="R1369" t="str">
        <f t="shared" si="43"/>
        <v>[umc2n1Z4wNv]|10-14|Male|PLHIV_Residents.T_1|CY2023Q3</v>
      </c>
    </row>
    <row r="1370" spans="4:18" x14ac:dyDescent="0.2">
      <c r="D1370" s="13" t="s">
        <v>92</v>
      </c>
      <c r="E1370" s="13" t="s">
        <v>93</v>
      </c>
      <c r="F1370" s="13" t="s">
        <v>94</v>
      </c>
      <c r="G1370" s="13" t="s">
        <v>142</v>
      </c>
      <c r="H1370" s="13" t="s">
        <v>143</v>
      </c>
      <c r="I1370" t="s">
        <v>37</v>
      </c>
      <c r="J1370" s="13" t="s">
        <v>38</v>
      </c>
      <c r="K1370" s="13" t="s">
        <v>47</v>
      </c>
      <c r="L1370" s="13" t="s">
        <v>48</v>
      </c>
      <c r="M1370" t="s">
        <v>139</v>
      </c>
      <c r="N1370">
        <v>1793</v>
      </c>
      <c r="O1370" s="14">
        <v>0.51205706130713202</v>
      </c>
      <c r="P1370" s="14">
        <v>0.36227229656651599</v>
      </c>
      <c r="Q1370" t="str">
        <f t="shared" si="42"/>
        <v>15-24</v>
      </c>
      <c r="R1370" t="str">
        <f t="shared" si="43"/>
        <v>[umc2n1Z4wNv]|15-24|Male|PLHIV_Residents.T_1|CY2023Q3</v>
      </c>
    </row>
    <row r="1371" spans="4:18" x14ac:dyDescent="0.2">
      <c r="D1371" s="13" t="s">
        <v>92</v>
      </c>
      <c r="E1371" s="13" t="s">
        <v>93</v>
      </c>
      <c r="F1371" s="13" t="s">
        <v>94</v>
      </c>
      <c r="G1371" s="13" t="s">
        <v>142</v>
      </c>
      <c r="H1371" s="13" t="s">
        <v>143</v>
      </c>
      <c r="I1371" t="s">
        <v>40</v>
      </c>
      <c r="J1371" s="13" t="s">
        <v>41</v>
      </c>
      <c r="K1371" s="13" t="s">
        <v>47</v>
      </c>
      <c r="L1371" s="13" t="s">
        <v>48</v>
      </c>
      <c r="M1371" t="s">
        <v>139</v>
      </c>
      <c r="N1371">
        <v>879</v>
      </c>
      <c r="O1371" s="14">
        <v>0.58782050269655906</v>
      </c>
      <c r="P1371" s="14">
        <v>0.36227229656651599</v>
      </c>
      <c r="Q1371" t="str">
        <f t="shared" si="42"/>
        <v>25-34</v>
      </c>
      <c r="R1371" t="str">
        <f t="shared" si="43"/>
        <v>[umc2n1Z4wNv]|25-34|Male|PLHIV_Residents.T_1|CY2023Q3</v>
      </c>
    </row>
    <row r="1372" spans="4:18" x14ac:dyDescent="0.2">
      <c r="D1372" s="13" t="s">
        <v>92</v>
      </c>
      <c r="E1372" s="13" t="s">
        <v>93</v>
      </c>
      <c r="F1372" s="13" t="s">
        <v>94</v>
      </c>
      <c r="G1372" s="13" t="s">
        <v>142</v>
      </c>
      <c r="H1372" s="13" t="s">
        <v>143</v>
      </c>
      <c r="I1372" t="s">
        <v>42</v>
      </c>
      <c r="J1372" s="13" t="s">
        <v>43</v>
      </c>
      <c r="K1372" s="13" t="s">
        <v>47</v>
      </c>
      <c r="L1372" s="13" t="s">
        <v>48</v>
      </c>
      <c r="M1372" t="s">
        <v>139</v>
      </c>
      <c r="N1372">
        <v>1469</v>
      </c>
      <c r="O1372" s="14">
        <v>0.68165045441128302</v>
      </c>
      <c r="P1372" s="14">
        <v>0.36227229656651599</v>
      </c>
      <c r="Q1372" t="str">
        <f t="shared" si="42"/>
        <v>35-49</v>
      </c>
      <c r="R1372" t="str">
        <f t="shared" si="43"/>
        <v>[umc2n1Z4wNv]|35-49|Male|PLHIV_Residents.T_1|CY2023Q3</v>
      </c>
    </row>
    <row r="1373" spans="4:18" x14ac:dyDescent="0.2">
      <c r="D1373" s="13" t="s">
        <v>92</v>
      </c>
      <c r="E1373" s="13" t="s">
        <v>93</v>
      </c>
      <c r="F1373" s="13" t="s">
        <v>94</v>
      </c>
      <c r="G1373" s="13" t="s">
        <v>142</v>
      </c>
      <c r="H1373" s="13" t="s">
        <v>143</v>
      </c>
      <c r="I1373" t="s">
        <v>44</v>
      </c>
      <c r="J1373" s="13" t="s">
        <v>45</v>
      </c>
      <c r="K1373" s="13" t="s">
        <v>47</v>
      </c>
      <c r="L1373" s="13" t="s">
        <v>48</v>
      </c>
      <c r="M1373" t="s">
        <v>139</v>
      </c>
      <c r="N1373">
        <v>1309</v>
      </c>
      <c r="O1373" s="14">
        <v>0.66941539430990804</v>
      </c>
      <c r="P1373" s="14">
        <v>0.36227229656651599</v>
      </c>
      <c r="Q1373" t="str">
        <f t="shared" si="42"/>
        <v>50+</v>
      </c>
      <c r="R1373" t="str">
        <f t="shared" si="43"/>
        <v>[umc2n1Z4wNv]|50+|Male|PLHIV_Residents.T_1|CY2023Q3</v>
      </c>
    </row>
    <row r="1374" spans="4:18" x14ac:dyDescent="0.2">
      <c r="D1374" s="13" t="s">
        <v>95</v>
      </c>
      <c r="E1374" s="13" t="s">
        <v>96</v>
      </c>
      <c r="F1374" s="13" t="s">
        <v>97</v>
      </c>
      <c r="G1374" s="13" t="s">
        <v>142</v>
      </c>
      <c r="H1374" s="13" t="s">
        <v>143</v>
      </c>
      <c r="I1374" t="s">
        <v>27</v>
      </c>
      <c r="J1374" s="13" t="s">
        <v>28</v>
      </c>
      <c r="K1374" s="13" t="s">
        <v>29</v>
      </c>
      <c r="L1374" s="13" t="s">
        <v>30</v>
      </c>
      <c r="M1374" t="s">
        <v>139</v>
      </c>
      <c r="N1374">
        <v>1571</v>
      </c>
      <c r="O1374" s="14">
        <v>0.478115307632834</v>
      </c>
      <c r="P1374" s="14">
        <v>0.60125171788968101</v>
      </c>
      <c r="Q1374" t="str">
        <f t="shared" si="42"/>
        <v>&lt;01</v>
      </c>
      <c r="R1374" t="str">
        <f t="shared" si="43"/>
        <v>[gwVYinjBAe9]|&lt;01|Female|PLHIV_Residents.T_1|CY2023Q3</v>
      </c>
    </row>
    <row r="1375" spans="4:18" x14ac:dyDescent="0.2">
      <c r="D1375" s="13" t="s">
        <v>95</v>
      </c>
      <c r="E1375" s="13" t="s">
        <v>96</v>
      </c>
      <c r="F1375" s="13" t="s">
        <v>97</v>
      </c>
      <c r="G1375" s="13" t="s">
        <v>142</v>
      </c>
      <c r="H1375" s="13" t="s">
        <v>143</v>
      </c>
      <c r="I1375" t="s">
        <v>32</v>
      </c>
      <c r="J1375" s="13" t="s">
        <v>33</v>
      </c>
      <c r="K1375" s="13" t="s">
        <v>29</v>
      </c>
      <c r="L1375" s="13" t="s">
        <v>30</v>
      </c>
      <c r="M1375" t="s">
        <v>139</v>
      </c>
      <c r="N1375">
        <v>513</v>
      </c>
      <c r="O1375" s="14">
        <v>0.73507902608253095</v>
      </c>
      <c r="P1375" s="14">
        <v>0.60125171788968101</v>
      </c>
      <c r="Q1375" t="str">
        <f t="shared" si="42"/>
        <v>01-09</v>
      </c>
      <c r="R1375" t="str">
        <f t="shared" si="43"/>
        <v>[gwVYinjBAe9]|01-09|Female|PLHIV_Residents.T_1|CY2023Q3</v>
      </c>
    </row>
    <row r="1376" spans="4:18" x14ac:dyDescent="0.2">
      <c r="D1376" s="13" t="s">
        <v>95</v>
      </c>
      <c r="E1376" s="13" t="s">
        <v>96</v>
      </c>
      <c r="F1376" s="13" t="s">
        <v>97</v>
      </c>
      <c r="G1376" s="13" t="s">
        <v>142</v>
      </c>
      <c r="H1376" s="13" t="s">
        <v>143</v>
      </c>
      <c r="I1376" t="s">
        <v>35</v>
      </c>
      <c r="J1376" s="13" t="s">
        <v>36</v>
      </c>
      <c r="K1376" s="13" t="s">
        <v>29</v>
      </c>
      <c r="L1376" s="13" t="s">
        <v>30</v>
      </c>
      <c r="M1376" t="s">
        <v>139</v>
      </c>
      <c r="N1376">
        <v>1068</v>
      </c>
      <c r="O1376" s="14">
        <v>0.30415959400124798</v>
      </c>
      <c r="P1376" s="14">
        <v>0.60125171788968101</v>
      </c>
      <c r="Q1376" t="str">
        <f t="shared" si="42"/>
        <v>10-14</v>
      </c>
      <c r="R1376" t="str">
        <f t="shared" si="43"/>
        <v>[gwVYinjBAe9]|10-14|Female|PLHIV_Residents.T_1|CY2023Q3</v>
      </c>
    </row>
    <row r="1377" spans="4:18" x14ac:dyDescent="0.2">
      <c r="D1377" s="13" t="s">
        <v>95</v>
      </c>
      <c r="E1377" s="13" t="s">
        <v>96</v>
      </c>
      <c r="F1377" s="13" t="s">
        <v>97</v>
      </c>
      <c r="G1377" s="13" t="s">
        <v>142</v>
      </c>
      <c r="H1377" s="13" t="s">
        <v>143</v>
      </c>
      <c r="I1377" t="s">
        <v>37</v>
      </c>
      <c r="J1377" s="13" t="s">
        <v>38</v>
      </c>
      <c r="K1377" s="13" t="s">
        <v>29</v>
      </c>
      <c r="L1377" s="13" t="s">
        <v>30</v>
      </c>
      <c r="M1377" t="s">
        <v>139</v>
      </c>
      <c r="N1377">
        <v>1810</v>
      </c>
      <c r="O1377" s="14">
        <v>0.31301375804469</v>
      </c>
      <c r="P1377" s="14">
        <v>0.60125171788968101</v>
      </c>
      <c r="Q1377" t="str">
        <f t="shared" si="42"/>
        <v>15-24</v>
      </c>
      <c r="R1377" t="str">
        <f t="shared" si="43"/>
        <v>[gwVYinjBAe9]|15-24|Female|PLHIV_Residents.T_1|CY2023Q3</v>
      </c>
    </row>
    <row r="1378" spans="4:18" x14ac:dyDescent="0.2">
      <c r="D1378" s="13" t="s">
        <v>95</v>
      </c>
      <c r="E1378" s="13" t="s">
        <v>96</v>
      </c>
      <c r="F1378" s="13" t="s">
        <v>97</v>
      </c>
      <c r="G1378" s="13" t="s">
        <v>142</v>
      </c>
      <c r="H1378" s="13" t="s">
        <v>143</v>
      </c>
      <c r="I1378" t="s">
        <v>40</v>
      </c>
      <c r="J1378" s="13" t="s">
        <v>41</v>
      </c>
      <c r="K1378" s="13" t="s">
        <v>29</v>
      </c>
      <c r="L1378" s="13" t="s">
        <v>30</v>
      </c>
      <c r="M1378" t="s">
        <v>139</v>
      </c>
      <c r="N1378">
        <v>1880</v>
      </c>
      <c r="O1378" s="14">
        <v>0.17361714551225299</v>
      </c>
      <c r="P1378" s="14">
        <v>0.60125171788968101</v>
      </c>
      <c r="Q1378" t="str">
        <f t="shared" si="42"/>
        <v>25-34</v>
      </c>
      <c r="R1378" t="str">
        <f t="shared" si="43"/>
        <v>[gwVYinjBAe9]|25-34|Female|PLHIV_Residents.T_1|CY2023Q3</v>
      </c>
    </row>
    <row r="1379" spans="4:18" x14ac:dyDescent="0.2">
      <c r="D1379" t="s">
        <v>95</v>
      </c>
      <c r="E1379" t="s">
        <v>96</v>
      </c>
      <c r="F1379" t="s">
        <v>97</v>
      </c>
      <c r="G1379" t="s">
        <v>142</v>
      </c>
      <c r="H1379" t="s">
        <v>143</v>
      </c>
      <c r="I1379" t="s">
        <v>42</v>
      </c>
      <c r="J1379" t="s">
        <v>43</v>
      </c>
      <c r="K1379" t="s">
        <v>29</v>
      </c>
      <c r="L1379" t="s">
        <v>30</v>
      </c>
      <c r="M1379" t="s">
        <v>139</v>
      </c>
      <c r="N1379">
        <v>681</v>
      </c>
      <c r="O1379" s="14">
        <v>0.45226455619558698</v>
      </c>
      <c r="P1379" s="14">
        <v>0.60125171788968101</v>
      </c>
      <c r="Q1379" t="str">
        <f t="shared" si="42"/>
        <v>35-49</v>
      </c>
      <c r="R1379" t="str">
        <f t="shared" si="43"/>
        <v>[gwVYinjBAe9]|35-49|Female|PLHIV_Residents.T_1|CY2023Q3</v>
      </c>
    </row>
    <row r="1380" spans="4:18" x14ac:dyDescent="0.2">
      <c r="D1380" t="s">
        <v>95</v>
      </c>
      <c r="E1380" t="s">
        <v>96</v>
      </c>
      <c r="F1380" t="s">
        <v>97</v>
      </c>
      <c r="G1380" t="s">
        <v>142</v>
      </c>
      <c r="H1380" t="s">
        <v>143</v>
      </c>
      <c r="I1380" t="s">
        <v>44</v>
      </c>
      <c r="J1380" t="s">
        <v>45</v>
      </c>
      <c r="K1380" t="s">
        <v>29</v>
      </c>
      <c r="L1380" t="s">
        <v>30</v>
      </c>
      <c r="M1380" t="s">
        <v>139</v>
      </c>
      <c r="N1380">
        <v>1724</v>
      </c>
      <c r="O1380" s="14">
        <v>0.25242632976733098</v>
      </c>
      <c r="P1380" s="14">
        <v>0.60125171788968101</v>
      </c>
      <c r="Q1380" t="str">
        <f t="shared" si="42"/>
        <v>50+</v>
      </c>
      <c r="R1380" t="str">
        <f t="shared" si="43"/>
        <v>[gwVYinjBAe9]|50+|Female|PLHIV_Residents.T_1|CY2023Q3</v>
      </c>
    </row>
    <row r="1381" spans="4:18" x14ac:dyDescent="0.2">
      <c r="D1381" t="s">
        <v>95</v>
      </c>
      <c r="E1381" t="s">
        <v>96</v>
      </c>
      <c r="F1381" t="s">
        <v>97</v>
      </c>
      <c r="G1381" t="s">
        <v>142</v>
      </c>
      <c r="H1381" t="s">
        <v>143</v>
      </c>
      <c r="I1381" t="s">
        <v>27</v>
      </c>
      <c r="J1381" t="s">
        <v>28</v>
      </c>
      <c r="K1381" t="s">
        <v>47</v>
      </c>
      <c r="L1381" t="s">
        <v>48</v>
      </c>
      <c r="M1381" t="s">
        <v>139</v>
      </c>
      <c r="N1381">
        <v>1650</v>
      </c>
      <c r="O1381" s="14">
        <v>0.22281866800040001</v>
      </c>
      <c r="P1381" s="14">
        <v>0.60125171788968101</v>
      </c>
      <c r="Q1381" t="str">
        <f t="shared" si="42"/>
        <v>&lt;01</v>
      </c>
      <c r="R1381" t="str">
        <f t="shared" si="43"/>
        <v>[gwVYinjBAe9]|&lt;01|Male|PLHIV_Residents.T_1|CY2023Q3</v>
      </c>
    </row>
    <row r="1382" spans="4:18" x14ac:dyDescent="0.2">
      <c r="D1382" t="s">
        <v>95</v>
      </c>
      <c r="E1382" t="s">
        <v>96</v>
      </c>
      <c r="F1382" t="s">
        <v>97</v>
      </c>
      <c r="G1382" t="s">
        <v>142</v>
      </c>
      <c r="H1382" t="s">
        <v>143</v>
      </c>
      <c r="I1382" t="s">
        <v>32</v>
      </c>
      <c r="J1382" t="s">
        <v>33</v>
      </c>
      <c r="K1382" t="s">
        <v>47</v>
      </c>
      <c r="L1382" t="s">
        <v>48</v>
      </c>
      <c r="M1382" t="s">
        <v>139</v>
      </c>
      <c r="N1382">
        <v>1661</v>
      </c>
      <c r="O1382" s="14">
        <v>0.59555864264257297</v>
      </c>
      <c r="P1382" s="14">
        <v>0.60125171788968101</v>
      </c>
      <c r="Q1382" t="str">
        <f t="shared" si="42"/>
        <v>01-09</v>
      </c>
      <c r="R1382" t="str">
        <f t="shared" si="43"/>
        <v>[gwVYinjBAe9]|01-09|Male|PLHIV_Residents.T_1|CY2023Q3</v>
      </c>
    </row>
    <row r="1383" spans="4:18" x14ac:dyDescent="0.2">
      <c r="D1383" t="s">
        <v>95</v>
      </c>
      <c r="E1383" t="s">
        <v>96</v>
      </c>
      <c r="F1383" t="s">
        <v>97</v>
      </c>
      <c r="G1383" t="s">
        <v>142</v>
      </c>
      <c r="H1383" t="s">
        <v>143</v>
      </c>
      <c r="I1383" t="s">
        <v>35</v>
      </c>
      <c r="J1383" t="s">
        <v>36</v>
      </c>
      <c r="K1383" t="s">
        <v>47</v>
      </c>
      <c r="L1383" t="s">
        <v>48</v>
      </c>
      <c r="M1383" t="s">
        <v>139</v>
      </c>
      <c r="N1383">
        <v>1167</v>
      </c>
      <c r="O1383" s="14">
        <v>0.22603480075485999</v>
      </c>
      <c r="P1383" s="14">
        <v>0.60125171788968101</v>
      </c>
      <c r="Q1383" t="str">
        <f t="shared" si="42"/>
        <v>10-14</v>
      </c>
      <c r="R1383" t="str">
        <f t="shared" si="43"/>
        <v>[gwVYinjBAe9]|10-14|Male|PLHIV_Residents.T_1|CY2023Q3</v>
      </c>
    </row>
    <row r="1384" spans="4:18" x14ac:dyDescent="0.2">
      <c r="D1384" t="s">
        <v>95</v>
      </c>
      <c r="E1384" t="s">
        <v>96</v>
      </c>
      <c r="F1384" t="s">
        <v>97</v>
      </c>
      <c r="G1384" t="s">
        <v>142</v>
      </c>
      <c r="H1384" t="s">
        <v>143</v>
      </c>
      <c r="I1384" t="s">
        <v>37</v>
      </c>
      <c r="J1384" t="s">
        <v>38</v>
      </c>
      <c r="K1384" t="s">
        <v>47</v>
      </c>
      <c r="L1384" t="s">
        <v>48</v>
      </c>
      <c r="M1384" t="s">
        <v>139</v>
      </c>
      <c r="N1384">
        <v>722</v>
      </c>
      <c r="O1384" s="14">
        <v>0.209789735497907</v>
      </c>
      <c r="P1384" s="14">
        <v>0.60125171788968101</v>
      </c>
      <c r="Q1384" t="str">
        <f t="shared" si="42"/>
        <v>15-24</v>
      </c>
      <c r="R1384" t="str">
        <f t="shared" si="43"/>
        <v>[gwVYinjBAe9]|15-24|Male|PLHIV_Residents.T_1|CY2023Q3</v>
      </c>
    </row>
    <row r="1385" spans="4:18" x14ac:dyDescent="0.2">
      <c r="D1385" t="s">
        <v>95</v>
      </c>
      <c r="E1385" t="s">
        <v>96</v>
      </c>
      <c r="F1385" t="s">
        <v>97</v>
      </c>
      <c r="G1385" t="s">
        <v>142</v>
      </c>
      <c r="H1385" t="s">
        <v>143</v>
      </c>
      <c r="I1385" t="s">
        <v>40</v>
      </c>
      <c r="J1385" t="s">
        <v>41</v>
      </c>
      <c r="K1385" t="s">
        <v>47</v>
      </c>
      <c r="L1385" t="s">
        <v>48</v>
      </c>
      <c r="M1385" t="s">
        <v>139</v>
      </c>
      <c r="N1385">
        <v>836</v>
      </c>
      <c r="O1385" s="14">
        <v>0.767317434540018</v>
      </c>
      <c r="P1385" s="14">
        <v>0.60125171788968101</v>
      </c>
      <c r="Q1385" t="str">
        <f t="shared" si="42"/>
        <v>25-34</v>
      </c>
      <c r="R1385" t="str">
        <f t="shared" si="43"/>
        <v>[gwVYinjBAe9]|25-34|Male|PLHIV_Residents.T_1|CY2023Q3</v>
      </c>
    </row>
    <row r="1386" spans="4:18" x14ac:dyDescent="0.2">
      <c r="D1386" t="s">
        <v>95</v>
      </c>
      <c r="E1386" t="s">
        <v>96</v>
      </c>
      <c r="F1386" t="s">
        <v>97</v>
      </c>
      <c r="G1386" t="s">
        <v>142</v>
      </c>
      <c r="H1386" t="s">
        <v>143</v>
      </c>
      <c r="I1386" t="s">
        <v>42</v>
      </c>
      <c r="J1386" t="s">
        <v>43</v>
      </c>
      <c r="K1386" t="s">
        <v>47</v>
      </c>
      <c r="L1386" t="s">
        <v>48</v>
      </c>
      <c r="M1386" t="s">
        <v>139</v>
      </c>
      <c r="N1386">
        <v>1644</v>
      </c>
      <c r="O1386" s="14">
        <v>0.70276764826849103</v>
      </c>
      <c r="P1386" s="14">
        <v>0.60125171788968101</v>
      </c>
      <c r="Q1386" t="str">
        <f t="shared" si="42"/>
        <v>35-49</v>
      </c>
      <c r="R1386" t="str">
        <f t="shared" si="43"/>
        <v>[gwVYinjBAe9]|35-49|Male|PLHIV_Residents.T_1|CY2023Q3</v>
      </c>
    </row>
    <row r="1387" spans="4:18" x14ac:dyDescent="0.2">
      <c r="D1387" t="s">
        <v>95</v>
      </c>
      <c r="E1387" t="s">
        <v>96</v>
      </c>
      <c r="F1387" t="s">
        <v>97</v>
      </c>
      <c r="G1387" t="s">
        <v>142</v>
      </c>
      <c r="H1387" t="s">
        <v>143</v>
      </c>
      <c r="I1387" t="s">
        <v>44</v>
      </c>
      <c r="J1387" t="s">
        <v>45</v>
      </c>
      <c r="K1387" t="s">
        <v>47</v>
      </c>
      <c r="L1387" t="s">
        <v>48</v>
      </c>
      <c r="M1387" t="s">
        <v>139</v>
      </c>
      <c r="N1387">
        <v>1774</v>
      </c>
      <c r="O1387" s="14">
        <v>0.65986588899977505</v>
      </c>
      <c r="P1387" s="14">
        <v>0.60125171788968101</v>
      </c>
      <c r="Q1387" t="str">
        <f t="shared" si="42"/>
        <v>50+</v>
      </c>
      <c r="R1387" t="str">
        <f t="shared" si="43"/>
        <v>[gwVYinjBAe9]|50+|Male|PLHIV_Residents.T_1|CY2023Q3</v>
      </c>
    </row>
    <row r="1388" spans="4:18" x14ac:dyDescent="0.2">
      <c r="D1388" t="s">
        <v>98</v>
      </c>
      <c r="E1388" t="s">
        <v>99</v>
      </c>
      <c r="F1388" t="s">
        <v>100</v>
      </c>
      <c r="G1388" t="s">
        <v>142</v>
      </c>
      <c r="H1388" t="s">
        <v>143</v>
      </c>
      <c r="I1388" t="s">
        <v>27</v>
      </c>
      <c r="J1388" t="s">
        <v>28</v>
      </c>
      <c r="K1388" t="s">
        <v>29</v>
      </c>
      <c r="L1388" t="s">
        <v>30</v>
      </c>
      <c r="M1388" t="s">
        <v>139</v>
      </c>
      <c r="N1388">
        <v>1831</v>
      </c>
      <c r="O1388" s="14">
        <v>0.95732108294032503</v>
      </c>
      <c r="P1388" s="14">
        <v>0.57728803809732199</v>
      </c>
      <c r="Q1388" t="str">
        <f t="shared" si="42"/>
        <v>&lt;01</v>
      </c>
      <c r="R1388" t="str">
        <f t="shared" si="43"/>
        <v>[mxqa3CDFmIT]|&lt;01|Female|PLHIV_Residents.T_1|CY2023Q3</v>
      </c>
    </row>
    <row r="1389" spans="4:18" x14ac:dyDescent="0.2">
      <c r="D1389" t="s">
        <v>98</v>
      </c>
      <c r="E1389" t="s">
        <v>99</v>
      </c>
      <c r="F1389" t="s">
        <v>100</v>
      </c>
      <c r="G1389" t="s">
        <v>142</v>
      </c>
      <c r="H1389" t="s">
        <v>143</v>
      </c>
      <c r="I1389" t="s">
        <v>32</v>
      </c>
      <c r="J1389" t="s">
        <v>33</v>
      </c>
      <c r="K1389" t="s">
        <v>29</v>
      </c>
      <c r="L1389" t="s">
        <v>30</v>
      </c>
      <c r="M1389" t="s">
        <v>139</v>
      </c>
      <c r="N1389">
        <v>511</v>
      </c>
      <c r="O1389" s="14">
        <v>3.2778928754851201E-2</v>
      </c>
      <c r="P1389" s="14">
        <v>0.57728803809732199</v>
      </c>
      <c r="Q1389" t="str">
        <f t="shared" si="42"/>
        <v>01-09</v>
      </c>
      <c r="R1389" t="str">
        <f t="shared" si="43"/>
        <v>[mxqa3CDFmIT]|01-09|Female|PLHIV_Residents.T_1|CY2023Q3</v>
      </c>
    </row>
    <row r="1390" spans="4:18" x14ac:dyDescent="0.2">
      <c r="D1390" t="s">
        <v>98</v>
      </c>
      <c r="E1390" t="s">
        <v>99</v>
      </c>
      <c r="F1390" t="s">
        <v>100</v>
      </c>
      <c r="G1390" t="s">
        <v>142</v>
      </c>
      <c r="H1390" t="s">
        <v>143</v>
      </c>
      <c r="I1390" t="s">
        <v>35</v>
      </c>
      <c r="J1390" t="s">
        <v>36</v>
      </c>
      <c r="K1390" t="s">
        <v>29</v>
      </c>
      <c r="L1390" t="s">
        <v>30</v>
      </c>
      <c r="M1390" t="s">
        <v>139</v>
      </c>
      <c r="N1390">
        <v>979</v>
      </c>
      <c r="O1390" s="14">
        <v>0.91482771560549703</v>
      </c>
      <c r="P1390" s="14">
        <v>0.57728803809732199</v>
      </c>
      <c r="Q1390" t="str">
        <f t="shared" si="42"/>
        <v>10-14</v>
      </c>
      <c r="R1390" t="str">
        <f t="shared" si="43"/>
        <v>[mxqa3CDFmIT]|10-14|Female|PLHIV_Residents.T_1|CY2023Q3</v>
      </c>
    </row>
    <row r="1391" spans="4:18" x14ac:dyDescent="0.2">
      <c r="D1391" t="s">
        <v>98</v>
      </c>
      <c r="E1391" t="s">
        <v>99</v>
      </c>
      <c r="F1391" t="s">
        <v>100</v>
      </c>
      <c r="G1391" t="s">
        <v>142</v>
      </c>
      <c r="H1391" t="s">
        <v>143</v>
      </c>
      <c r="I1391" t="s">
        <v>37</v>
      </c>
      <c r="J1391" t="s">
        <v>38</v>
      </c>
      <c r="K1391" t="s">
        <v>29</v>
      </c>
      <c r="L1391" t="s">
        <v>30</v>
      </c>
      <c r="M1391" t="s">
        <v>139</v>
      </c>
      <c r="N1391">
        <v>1864</v>
      </c>
      <c r="O1391" s="14">
        <v>8.7279931176453801E-2</v>
      </c>
      <c r="P1391" s="14">
        <v>0.57728803809732199</v>
      </c>
      <c r="Q1391" t="str">
        <f t="shared" si="42"/>
        <v>15-24</v>
      </c>
      <c r="R1391" t="str">
        <f t="shared" si="43"/>
        <v>[mxqa3CDFmIT]|15-24|Female|PLHIV_Residents.T_1|CY2023Q3</v>
      </c>
    </row>
    <row r="1392" spans="4:18" x14ac:dyDescent="0.2">
      <c r="D1392" t="s">
        <v>98</v>
      </c>
      <c r="E1392" t="s">
        <v>99</v>
      </c>
      <c r="F1392" t="s">
        <v>100</v>
      </c>
      <c r="G1392" t="s">
        <v>142</v>
      </c>
      <c r="H1392" t="s">
        <v>143</v>
      </c>
      <c r="I1392" t="s">
        <v>40</v>
      </c>
      <c r="J1392" t="s">
        <v>41</v>
      </c>
      <c r="K1392" t="s">
        <v>29</v>
      </c>
      <c r="L1392" t="s">
        <v>30</v>
      </c>
      <c r="M1392" t="s">
        <v>139</v>
      </c>
      <c r="N1392">
        <v>807</v>
      </c>
      <c r="O1392" s="14">
        <v>0.30568614555522799</v>
      </c>
      <c r="P1392" s="14">
        <v>0.57728803809732199</v>
      </c>
      <c r="Q1392" t="str">
        <f t="shared" si="42"/>
        <v>25-34</v>
      </c>
      <c r="R1392" t="str">
        <f t="shared" si="43"/>
        <v>[mxqa3CDFmIT]|25-34|Female|PLHIV_Residents.T_1|CY2023Q3</v>
      </c>
    </row>
    <row r="1393" spans="4:18" x14ac:dyDescent="0.2">
      <c r="D1393" t="s">
        <v>98</v>
      </c>
      <c r="E1393" t="s">
        <v>99</v>
      </c>
      <c r="F1393" t="s">
        <v>100</v>
      </c>
      <c r="G1393" t="s">
        <v>142</v>
      </c>
      <c r="H1393" t="s">
        <v>143</v>
      </c>
      <c r="I1393" t="s">
        <v>42</v>
      </c>
      <c r="J1393" t="s">
        <v>43</v>
      </c>
      <c r="K1393" t="s">
        <v>29</v>
      </c>
      <c r="L1393" t="s">
        <v>30</v>
      </c>
      <c r="M1393" t="s">
        <v>139</v>
      </c>
      <c r="N1393">
        <v>566</v>
      </c>
      <c r="O1393" s="14">
        <v>0.41329558286815898</v>
      </c>
      <c r="P1393" s="14">
        <v>0.57728803809732199</v>
      </c>
      <c r="Q1393" t="str">
        <f t="shared" si="42"/>
        <v>35-49</v>
      </c>
      <c r="R1393" t="str">
        <f t="shared" si="43"/>
        <v>[mxqa3CDFmIT]|35-49|Female|PLHIV_Residents.T_1|CY2023Q3</v>
      </c>
    </row>
    <row r="1394" spans="4:18" x14ac:dyDescent="0.2">
      <c r="D1394" t="s">
        <v>98</v>
      </c>
      <c r="E1394" t="s">
        <v>99</v>
      </c>
      <c r="F1394" t="s">
        <v>100</v>
      </c>
      <c r="G1394" t="s">
        <v>142</v>
      </c>
      <c r="H1394" t="s">
        <v>143</v>
      </c>
      <c r="I1394" t="s">
        <v>44</v>
      </c>
      <c r="J1394" t="s">
        <v>45</v>
      </c>
      <c r="K1394" t="s">
        <v>29</v>
      </c>
      <c r="L1394" t="s">
        <v>30</v>
      </c>
      <c r="M1394" t="s">
        <v>139</v>
      </c>
      <c r="N1394">
        <v>1804</v>
      </c>
      <c r="O1394" s="14">
        <v>0.59055735450238001</v>
      </c>
      <c r="P1394" s="14">
        <v>0.57728803809732199</v>
      </c>
      <c r="Q1394" t="str">
        <f t="shared" si="42"/>
        <v>50+</v>
      </c>
      <c r="R1394" t="str">
        <f t="shared" si="43"/>
        <v>[mxqa3CDFmIT]|50+|Female|PLHIV_Residents.T_1|CY2023Q3</v>
      </c>
    </row>
    <row r="1395" spans="4:18" x14ac:dyDescent="0.2">
      <c r="D1395" t="s">
        <v>98</v>
      </c>
      <c r="E1395" t="s">
        <v>99</v>
      </c>
      <c r="F1395" t="s">
        <v>100</v>
      </c>
      <c r="G1395" t="s">
        <v>142</v>
      </c>
      <c r="H1395" t="s">
        <v>143</v>
      </c>
      <c r="I1395" t="s">
        <v>27</v>
      </c>
      <c r="J1395" t="s">
        <v>28</v>
      </c>
      <c r="K1395" t="s">
        <v>47</v>
      </c>
      <c r="L1395" t="s">
        <v>48</v>
      </c>
      <c r="M1395" t="s">
        <v>139</v>
      </c>
      <c r="N1395">
        <v>1935</v>
      </c>
      <c r="O1395" s="14">
        <v>0.87571195466443896</v>
      </c>
      <c r="P1395" s="14">
        <v>0.57728803809732199</v>
      </c>
      <c r="Q1395" t="str">
        <f t="shared" si="42"/>
        <v>&lt;01</v>
      </c>
      <c r="R1395" t="str">
        <f t="shared" si="43"/>
        <v>[mxqa3CDFmIT]|&lt;01|Male|PLHIV_Residents.T_1|CY2023Q3</v>
      </c>
    </row>
    <row r="1396" spans="4:18" x14ac:dyDescent="0.2">
      <c r="D1396" t="s">
        <v>98</v>
      </c>
      <c r="E1396" t="s">
        <v>99</v>
      </c>
      <c r="F1396" t="s">
        <v>100</v>
      </c>
      <c r="G1396" t="s">
        <v>142</v>
      </c>
      <c r="H1396" t="s">
        <v>143</v>
      </c>
      <c r="I1396" t="s">
        <v>32</v>
      </c>
      <c r="J1396" t="s">
        <v>33</v>
      </c>
      <c r="K1396" t="s">
        <v>47</v>
      </c>
      <c r="L1396" t="s">
        <v>48</v>
      </c>
      <c r="M1396" t="s">
        <v>139</v>
      </c>
      <c r="N1396">
        <v>1762</v>
      </c>
      <c r="O1396" s="14">
        <v>0.112749056424946</v>
      </c>
      <c r="P1396" s="14">
        <v>0.57728803809732199</v>
      </c>
      <c r="Q1396" t="str">
        <f t="shared" si="42"/>
        <v>01-09</v>
      </c>
      <c r="R1396" t="str">
        <f t="shared" si="43"/>
        <v>[mxqa3CDFmIT]|01-09|Male|PLHIV_Residents.T_1|CY2023Q3</v>
      </c>
    </row>
    <row r="1397" spans="4:18" x14ac:dyDescent="0.2">
      <c r="D1397" t="s">
        <v>98</v>
      </c>
      <c r="E1397" t="s">
        <v>99</v>
      </c>
      <c r="F1397" t="s">
        <v>100</v>
      </c>
      <c r="G1397" t="s">
        <v>142</v>
      </c>
      <c r="H1397" t="s">
        <v>143</v>
      </c>
      <c r="I1397" t="s">
        <v>35</v>
      </c>
      <c r="J1397" t="s">
        <v>36</v>
      </c>
      <c r="K1397" t="s">
        <v>47</v>
      </c>
      <c r="L1397" t="s">
        <v>48</v>
      </c>
      <c r="M1397" t="s">
        <v>139</v>
      </c>
      <c r="N1397">
        <v>943</v>
      </c>
      <c r="O1397" s="14">
        <v>0.56885365862399295</v>
      </c>
      <c r="P1397" s="14">
        <v>0.57728803809732199</v>
      </c>
      <c r="Q1397" t="str">
        <f t="shared" si="42"/>
        <v>10-14</v>
      </c>
      <c r="R1397" t="str">
        <f t="shared" si="43"/>
        <v>[mxqa3CDFmIT]|10-14|Male|PLHIV_Residents.T_1|CY2023Q3</v>
      </c>
    </row>
    <row r="1398" spans="4:18" x14ac:dyDescent="0.2">
      <c r="D1398" t="s">
        <v>98</v>
      </c>
      <c r="E1398" t="s">
        <v>99</v>
      </c>
      <c r="F1398" t="s">
        <v>100</v>
      </c>
      <c r="G1398" t="s">
        <v>142</v>
      </c>
      <c r="H1398" t="s">
        <v>143</v>
      </c>
      <c r="I1398" t="s">
        <v>37</v>
      </c>
      <c r="J1398" t="s">
        <v>38</v>
      </c>
      <c r="K1398" t="s">
        <v>47</v>
      </c>
      <c r="L1398" t="s">
        <v>48</v>
      </c>
      <c r="M1398" t="s">
        <v>139</v>
      </c>
      <c r="N1398">
        <v>1721</v>
      </c>
      <c r="O1398" s="14">
        <v>0.45746242580935398</v>
      </c>
      <c r="P1398" s="14">
        <v>0.57728803809732199</v>
      </c>
      <c r="Q1398" t="str">
        <f t="shared" si="42"/>
        <v>15-24</v>
      </c>
      <c r="R1398" t="str">
        <f t="shared" si="43"/>
        <v>[mxqa3CDFmIT]|15-24|Male|PLHIV_Residents.T_1|CY2023Q3</v>
      </c>
    </row>
    <row r="1399" spans="4:18" x14ac:dyDescent="0.2">
      <c r="D1399" t="s">
        <v>98</v>
      </c>
      <c r="E1399" t="s">
        <v>99</v>
      </c>
      <c r="F1399" t="s">
        <v>100</v>
      </c>
      <c r="G1399" t="s">
        <v>142</v>
      </c>
      <c r="H1399" t="s">
        <v>143</v>
      </c>
      <c r="I1399" t="s">
        <v>40</v>
      </c>
      <c r="J1399" t="s">
        <v>41</v>
      </c>
      <c r="K1399" t="s">
        <v>47</v>
      </c>
      <c r="L1399" t="s">
        <v>48</v>
      </c>
      <c r="M1399" t="s">
        <v>139</v>
      </c>
      <c r="N1399">
        <v>709</v>
      </c>
      <c r="O1399" s="14">
        <v>0.198020678479224</v>
      </c>
      <c r="P1399" s="14">
        <v>0.57728803809732199</v>
      </c>
      <c r="Q1399" t="str">
        <f t="shared" si="42"/>
        <v>25-34</v>
      </c>
      <c r="R1399" t="str">
        <f t="shared" si="43"/>
        <v>[mxqa3CDFmIT]|25-34|Male|PLHIV_Residents.T_1|CY2023Q3</v>
      </c>
    </row>
    <row r="1400" spans="4:18" x14ac:dyDescent="0.2">
      <c r="D1400" t="s">
        <v>98</v>
      </c>
      <c r="E1400" t="s">
        <v>99</v>
      </c>
      <c r="F1400" t="s">
        <v>100</v>
      </c>
      <c r="G1400" t="s">
        <v>142</v>
      </c>
      <c r="H1400" t="s">
        <v>143</v>
      </c>
      <c r="I1400" t="s">
        <v>42</v>
      </c>
      <c r="J1400" t="s">
        <v>43</v>
      </c>
      <c r="K1400" t="s">
        <v>47</v>
      </c>
      <c r="L1400" t="s">
        <v>48</v>
      </c>
      <c r="M1400" t="s">
        <v>139</v>
      </c>
      <c r="N1400">
        <v>835</v>
      </c>
      <c r="O1400" s="14">
        <v>0.26603571930900199</v>
      </c>
      <c r="P1400" s="14">
        <v>0.57728803809732199</v>
      </c>
      <c r="Q1400" t="str">
        <f t="shared" si="42"/>
        <v>35-49</v>
      </c>
      <c r="R1400" t="str">
        <f t="shared" si="43"/>
        <v>[mxqa3CDFmIT]|35-49|Male|PLHIV_Residents.T_1|CY2023Q3</v>
      </c>
    </row>
    <row r="1401" spans="4:18" x14ac:dyDescent="0.2">
      <c r="D1401" t="s">
        <v>98</v>
      </c>
      <c r="E1401" t="s">
        <v>99</v>
      </c>
      <c r="F1401" t="s">
        <v>100</v>
      </c>
      <c r="G1401" t="s">
        <v>142</v>
      </c>
      <c r="H1401" t="s">
        <v>143</v>
      </c>
      <c r="I1401" t="s">
        <v>44</v>
      </c>
      <c r="J1401" t="s">
        <v>45</v>
      </c>
      <c r="K1401" t="s">
        <v>47</v>
      </c>
      <c r="L1401" t="s">
        <v>48</v>
      </c>
      <c r="M1401" t="s">
        <v>139</v>
      </c>
      <c r="N1401">
        <v>1219</v>
      </c>
      <c r="O1401" s="14">
        <v>0.588594543747604</v>
      </c>
      <c r="P1401" s="14">
        <v>0.57728803809732199</v>
      </c>
      <c r="Q1401" t="str">
        <f t="shared" si="42"/>
        <v>50+</v>
      </c>
      <c r="R1401" t="str">
        <f t="shared" si="43"/>
        <v>[mxqa3CDFmIT]|50+|Male|PLHIV_Residents.T_1|CY2023Q3</v>
      </c>
    </row>
    <row r="1402" spans="4:18" x14ac:dyDescent="0.2">
      <c r="D1402" t="s">
        <v>101</v>
      </c>
      <c r="E1402" t="s">
        <v>102</v>
      </c>
      <c r="F1402" t="s">
        <v>103</v>
      </c>
      <c r="G1402" t="s">
        <v>142</v>
      </c>
      <c r="H1402" t="s">
        <v>143</v>
      </c>
      <c r="I1402" t="s">
        <v>27</v>
      </c>
      <c r="J1402" t="s">
        <v>28</v>
      </c>
      <c r="K1402" t="s">
        <v>29</v>
      </c>
      <c r="L1402" t="s">
        <v>30</v>
      </c>
      <c r="M1402" t="s">
        <v>139</v>
      </c>
      <c r="N1402">
        <v>1676</v>
      </c>
      <c r="O1402" s="14">
        <v>0.65927426354028296</v>
      </c>
      <c r="P1402" s="14">
        <v>0.52621235931292198</v>
      </c>
      <c r="Q1402" t="str">
        <f t="shared" si="42"/>
        <v>&lt;01</v>
      </c>
      <c r="R1402" t="str">
        <f t="shared" si="43"/>
        <v>[wNqJp8oRIcF]|&lt;01|Female|PLHIV_Residents.T_1|CY2023Q3</v>
      </c>
    </row>
    <row r="1403" spans="4:18" x14ac:dyDescent="0.2">
      <c r="D1403" t="s">
        <v>101</v>
      </c>
      <c r="E1403" t="s">
        <v>102</v>
      </c>
      <c r="F1403" t="s">
        <v>103</v>
      </c>
      <c r="G1403" t="s">
        <v>142</v>
      </c>
      <c r="H1403" t="s">
        <v>143</v>
      </c>
      <c r="I1403" t="s">
        <v>32</v>
      </c>
      <c r="J1403" t="s">
        <v>33</v>
      </c>
      <c r="K1403" t="s">
        <v>29</v>
      </c>
      <c r="L1403" t="s">
        <v>30</v>
      </c>
      <c r="M1403" t="s">
        <v>139</v>
      </c>
      <c r="N1403">
        <v>1764</v>
      </c>
      <c r="O1403" s="14">
        <v>0.54148284764960397</v>
      </c>
      <c r="P1403" s="14">
        <v>0.52621235931292198</v>
      </c>
      <c r="Q1403" t="str">
        <f t="shared" si="42"/>
        <v>01-09</v>
      </c>
      <c r="R1403" t="str">
        <f t="shared" si="43"/>
        <v>[wNqJp8oRIcF]|01-09|Female|PLHIV_Residents.T_1|CY2023Q3</v>
      </c>
    </row>
    <row r="1404" spans="4:18" x14ac:dyDescent="0.2">
      <c r="D1404" t="s">
        <v>101</v>
      </c>
      <c r="E1404" t="s">
        <v>102</v>
      </c>
      <c r="F1404" t="s">
        <v>103</v>
      </c>
      <c r="G1404" t="s">
        <v>142</v>
      </c>
      <c r="H1404" t="s">
        <v>143</v>
      </c>
      <c r="I1404" t="s">
        <v>35</v>
      </c>
      <c r="J1404" t="s">
        <v>36</v>
      </c>
      <c r="K1404" t="s">
        <v>29</v>
      </c>
      <c r="L1404" t="s">
        <v>30</v>
      </c>
      <c r="M1404" t="s">
        <v>139</v>
      </c>
      <c r="N1404">
        <v>998</v>
      </c>
      <c r="O1404" s="14">
        <v>0.258367798058316</v>
      </c>
      <c r="P1404" s="14">
        <v>0.52621235931292198</v>
      </c>
      <c r="Q1404" t="str">
        <f t="shared" si="42"/>
        <v>10-14</v>
      </c>
      <c r="R1404" t="str">
        <f t="shared" si="43"/>
        <v>[wNqJp8oRIcF]|10-14|Female|PLHIV_Residents.T_1|CY2023Q3</v>
      </c>
    </row>
    <row r="1405" spans="4:18" x14ac:dyDescent="0.2">
      <c r="D1405" t="s">
        <v>101</v>
      </c>
      <c r="E1405" t="s">
        <v>102</v>
      </c>
      <c r="F1405" t="s">
        <v>103</v>
      </c>
      <c r="G1405" t="s">
        <v>142</v>
      </c>
      <c r="H1405" t="s">
        <v>143</v>
      </c>
      <c r="I1405" t="s">
        <v>37</v>
      </c>
      <c r="J1405" t="s">
        <v>38</v>
      </c>
      <c r="K1405" t="s">
        <v>29</v>
      </c>
      <c r="L1405" t="s">
        <v>30</v>
      </c>
      <c r="M1405" t="s">
        <v>139</v>
      </c>
      <c r="N1405">
        <v>1378</v>
      </c>
      <c r="O1405" s="14">
        <v>0.750184229575098</v>
      </c>
      <c r="P1405" s="14">
        <v>0.52621235931292198</v>
      </c>
      <c r="Q1405" t="str">
        <f t="shared" si="42"/>
        <v>15-24</v>
      </c>
      <c r="R1405" t="str">
        <f t="shared" si="43"/>
        <v>[wNqJp8oRIcF]|15-24|Female|PLHIV_Residents.T_1|CY2023Q3</v>
      </c>
    </row>
    <row r="1406" spans="4:18" x14ac:dyDescent="0.2">
      <c r="D1406" t="s">
        <v>101</v>
      </c>
      <c r="E1406" t="s">
        <v>102</v>
      </c>
      <c r="F1406" t="s">
        <v>103</v>
      </c>
      <c r="G1406" t="s">
        <v>142</v>
      </c>
      <c r="H1406" t="s">
        <v>143</v>
      </c>
      <c r="I1406" t="s">
        <v>40</v>
      </c>
      <c r="J1406" t="s">
        <v>41</v>
      </c>
      <c r="K1406" t="s">
        <v>29</v>
      </c>
      <c r="L1406" t="s">
        <v>30</v>
      </c>
      <c r="M1406" t="s">
        <v>139</v>
      </c>
      <c r="N1406">
        <v>1011</v>
      </c>
      <c r="O1406" s="14">
        <v>0.67468825378455199</v>
      </c>
      <c r="P1406" s="14">
        <v>0.52621235931292198</v>
      </c>
      <c r="Q1406" t="str">
        <f t="shared" si="42"/>
        <v>25-34</v>
      </c>
      <c r="R1406" t="str">
        <f t="shared" si="43"/>
        <v>[wNqJp8oRIcF]|25-34|Female|PLHIV_Residents.T_1|CY2023Q3</v>
      </c>
    </row>
    <row r="1407" spans="4:18" x14ac:dyDescent="0.2">
      <c r="D1407" t="s">
        <v>101</v>
      </c>
      <c r="E1407" t="s">
        <v>102</v>
      </c>
      <c r="F1407" t="s">
        <v>103</v>
      </c>
      <c r="G1407" t="s">
        <v>142</v>
      </c>
      <c r="H1407" t="s">
        <v>143</v>
      </c>
      <c r="I1407" t="s">
        <v>42</v>
      </c>
      <c r="J1407" t="s">
        <v>43</v>
      </c>
      <c r="K1407" t="s">
        <v>29</v>
      </c>
      <c r="L1407" t="s">
        <v>30</v>
      </c>
      <c r="M1407" t="s">
        <v>139</v>
      </c>
      <c r="N1407">
        <v>1311</v>
      </c>
      <c r="O1407" s="14">
        <v>0.91377733927220095</v>
      </c>
      <c r="P1407" s="14">
        <v>0.52621235931292198</v>
      </c>
      <c r="Q1407" t="str">
        <f t="shared" si="42"/>
        <v>35-49</v>
      </c>
      <c r="R1407" t="str">
        <f t="shared" si="43"/>
        <v>[wNqJp8oRIcF]|35-49|Female|PLHIV_Residents.T_1|CY2023Q3</v>
      </c>
    </row>
    <row r="1408" spans="4:18" x14ac:dyDescent="0.2">
      <c r="D1408" t="s">
        <v>101</v>
      </c>
      <c r="E1408" t="s">
        <v>102</v>
      </c>
      <c r="F1408" t="s">
        <v>103</v>
      </c>
      <c r="G1408" t="s">
        <v>142</v>
      </c>
      <c r="H1408" t="s">
        <v>143</v>
      </c>
      <c r="I1408" t="s">
        <v>44</v>
      </c>
      <c r="J1408" t="s">
        <v>45</v>
      </c>
      <c r="K1408" t="s">
        <v>29</v>
      </c>
      <c r="L1408" t="s">
        <v>30</v>
      </c>
      <c r="M1408" t="s">
        <v>139</v>
      </c>
      <c r="N1408">
        <v>539</v>
      </c>
      <c r="O1408" s="14">
        <v>4.5951460255309898E-2</v>
      </c>
      <c r="P1408" s="14">
        <v>0.52621235931292198</v>
      </c>
      <c r="Q1408" t="str">
        <f t="shared" si="42"/>
        <v>50+</v>
      </c>
      <c r="R1408" t="str">
        <f t="shared" si="43"/>
        <v>[wNqJp8oRIcF]|50+|Female|PLHIV_Residents.T_1|CY2023Q3</v>
      </c>
    </row>
    <row r="1409" spans="4:18" x14ac:dyDescent="0.2">
      <c r="D1409" t="s">
        <v>101</v>
      </c>
      <c r="E1409" t="s">
        <v>102</v>
      </c>
      <c r="F1409" t="s">
        <v>103</v>
      </c>
      <c r="G1409" t="s">
        <v>142</v>
      </c>
      <c r="H1409" t="s">
        <v>143</v>
      </c>
      <c r="I1409" t="s">
        <v>27</v>
      </c>
      <c r="J1409" t="s">
        <v>28</v>
      </c>
      <c r="K1409" t="s">
        <v>47</v>
      </c>
      <c r="L1409" t="s">
        <v>48</v>
      </c>
      <c r="M1409" t="s">
        <v>139</v>
      </c>
      <c r="N1409">
        <v>1909</v>
      </c>
      <c r="O1409" s="14">
        <v>0.73400871246121802</v>
      </c>
      <c r="P1409" s="14">
        <v>0.52621235931292198</v>
      </c>
      <c r="Q1409" t="str">
        <f t="shared" si="42"/>
        <v>&lt;01</v>
      </c>
      <c r="R1409" t="str">
        <f t="shared" si="43"/>
        <v>[wNqJp8oRIcF]|&lt;01|Male|PLHIV_Residents.T_1|CY2023Q3</v>
      </c>
    </row>
    <row r="1410" spans="4:18" x14ac:dyDescent="0.2">
      <c r="D1410" t="s">
        <v>101</v>
      </c>
      <c r="E1410" t="s">
        <v>102</v>
      </c>
      <c r="F1410" t="s">
        <v>103</v>
      </c>
      <c r="G1410" t="s">
        <v>142</v>
      </c>
      <c r="H1410" t="s">
        <v>143</v>
      </c>
      <c r="I1410" t="s">
        <v>32</v>
      </c>
      <c r="J1410" t="s">
        <v>33</v>
      </c>
      <c r="K1410" t="s">
        <v>47</v>
      </c>
      <c r="L1410" t="s">
        <v>48</v>
      </c>
      <c r="M1410" t="s">
        <v>139</v>
      </c>
      <c r="N1410">
        <v>559</v>
      </c>
      <c r="O1410" s="14">
        <v>0.261791823199019</v>
      </c>
      <c r="P1410" s="14">
        <v>0.52621235931292198</v>
      </c>
      <c r="Q1410" t="str">
        <f t="shared" ref="Q1410:Q1473" si="44">SUBSTITUTE(SUBSTITUTE($I1410,CHAR(61),""),CHAR(34),"")</f>
        <v>01-09</v>
      </c>
      <c r="R1410" t="str">
        <f t="shared" ref="R1410:R1473" si="45">IF($D1410&lt;&gt;"","["&amp;$E1410&amp;"]"&amp;"|"&amp;$Q1410&amp;"|"&amp;$K1410&amp;"|"&amp;$G1410&amp;"|"&amp;IF($G1410="TX_CURR_SUBNAT.R","CY2022Q4",$M1410),"")</f>
        <v>[wNqJp8oRIcF]|01-09|Male|PLHIV_Residents.T_1|CY2023Q3</v>
      </c>
    </row>
    <row r="1411" spans="4:18" x14ac:dyDescent="0.2">
      <c r="D1411" t="s">
        <v>101</v>
      </c>
      <c r="E1411" t="s">
        <v>102</v>
      </c>
      <c r="F1411" t="s">
        <v>103</v>
      </c>
      <c r="G1411" t="s">
        <v>142</v>
      </c>
      <c r="H1411" t="s">
        <v>143</v>
      </c>
      <c r="I1411" t="s">
        <v>35</v>
      </c>
      <c r="J1411" t="s">
        <v>36</v>
      </c>
      <c r="K1411" t="s">
        <v>47</v>
      </c>
      <c r="L1411" t="s">
        <v>48</v>
      </c>
      <c r="M1411" t="s">
        <v>139</v>
      </c>
      <c r="N1411">
        <v>1831</v>
      </c>
      <c r="O1411" s="14">
        <v>0.72204115707427297</v>
      </c>
      <c r="P1411" s="14">
        <v>0.52621235931292198</v>
      </c>
      <c r="Q1411" t="str">
        <f t="shared" si="44"/>
        <v>10-14</v>
      </c>
      <c r="R1411" t="str">
        <f t="shared" si="45"/>
        <v>[wNqJp8oRIcF]|10-14|Male|PLHIV_Residents.T_1|CY2023Q3</v>
      </c>
    </row>
    <row r="1412" spans="4:18" x14ac:dyDescent="0.2">
      <c r="D1412" t="s">
        <v>101</v>
      </c>
      <c r="E1412" t="s">
        <v>102</v>
      </c>
      <c r="F1412" t="s">
        <v>103</v>
      </c>
      <c r="G1412" t="s">
        <v>142</v>
      </c>
      <c r="H1412" t="s">
        <v>143</v>
      </c>
      <c r="I1412" t="s">
        <v>37</v>
      </c>
      <c r="J1412" t="s">
        <v>38</v>
      </c>
      <c r="K1412" t="s">
        <v>47</v>
      </c>
      <c r="L1412" t="s">
        <v>48</v>
      </c>
      <c r="M1412" t="s">
        <v>139</v>
      </c>
      <c r="N1412">
        <v>1121</v>
      </c>
      <c r="O1412" s="14">
        <v>0.80406283354386698</v>
      </c>
      <c r="P1412" s="14">
        <v>0.52621235931292198</v>
      </c>
      <c r="Q1412" t="str">
        <f t="shared" si="44"/>
        <v>15-24</v>
      </c>
      <c r="R1412" t="str">
        <f t="shared" si="45"/>
        <v>[wNqJp8oRIcF]|15-24|Male|PLHIV_Residents.T_1|CY2023Q3</v>
      </c>
    </row>
    <row r="1413" spans="4:18" x14ac:dyDescent="0.2">
      <c r="D1413" t="s">
        <v>101</v>
      </c>
      <c r="E1413" t="s">
        <v>102</v>
      </c>
      <c r="F1413" t="s">
        <v>103</v>
      </c>
      <c r="G1413" t="s">
        <v>142</v>
      </c>
      <c r="H1413" t="s">
        <v>143</v>
      </c>
      <c r="I1413" t="s">
        <v>40</v>
      </c>
      <c r="J1413" t="s">
        <v>41</v>
      </c>
      <c r="K1413" t="s">
        <v>47</v>
      </c>
      <c r="L1413" t="s">
        <v>48</v>
      </c>
      <c r="M1413" t="s">
        <v>139</v>
      </c>
      <c r="N1413">
        <v>1301</v>
      </c>
      <c r="O1413" s="14">
        <v>0.61246645008213796</v>
      </c>
      <c r="P1413" s="14">
        <v>0.52621235931292198</v>
      </c>
      <c r="Q1413" t="str">
        <f t="shared" si="44"/>
        <v>25-34</v>
      </c>
      <c r="R1413" t="str">
        <f t="shared" si="45"/>
        <v>[wNqJp8oRIcF]|25-34|Male|PLHIV_Residents.T_1|CY2023Q3</v>
      </c>
    </row>
    <row r="1414" spans="4:18" x14ac:dyDescent="0.2">
      <c r="D1414" t="s">
        <v>101</v>
      </c>
      <c r="E1414" t="s">
        <v>102</v>
      </c>
      <c r="F1414" t="s">
        <v>103</v>
      </c>
      <c r="G1414" t="s">
        <v>142</v>
      </c>
      <c r="H1414" t="s">
        <v>143</v>
      </c>
      <c r="I1414" t="s">
        <v>42</v>
      </c>
      <c r="J1414" t="s">
        <v>43</v>
      </c>
      <c r="K1414" t="s">
        <v>47</v>
      </c>
      <c r="L1414" t="s">
        <v>48</v>
      </c>
      <c r="M1414" t="s">
        <v>139</v>
      </c>
      <c r="N1414">
        <v>531</v>
      </c>
      <c r="O1414" s="14">
        <v>0.38028308143839201</v>
      </c>
      <c r="P1414" s="14">
        <v>0.52621235931292198</v>
      </c>
      <c r="Q1414" t="str">
        <f t="shared" si="44"/>
        <v>35-49</v>
      </c>
      <c r="R1414" t="str">
        <f t="shared" si="45"/>
        <v>[wNqJp8oRIcF]|35-49|Male|PLHIV_Residents.T_1|CY2023Q3</v>
      </c>
    </row>
    <row r="1415" spans="4:18" x14ac:dyDescent="0.2">
      <c r="D1415" t="s">
        <v>101</v>
      </c>
      <c r="E1415" t="s">
        <v>102</v>
      </c>
      <c r="F1415" t="s">
        <v>103</v>
      </c>
      <c r="G1415" t="s">
        <v>142</v>
      </c>
      <c r="H1415" t="s">
        <v>143</v>
      </c>
      <c r="I1415" t="s">
        <v>44</v>
      </c>
      <c r="J1415" t="s">
        <v>45</v>
      </c>
      <c r="K1415" t="s">
        <v>47</v>
      </c>
      <c r="L1415" t="s">
        <v>48</v>
      </c>
      <c r="M1415" t="s">
        <v>139</v>
      </c>
      <c r="N1415">
        <v>1509</v>
      </c>
      <c r="O1415" s="14">
        <v>0.96930570853874098</v>
      </c>
      <c r="P1415" s="14">
        <v>0.52621235931292198</v>
      </c>
      <c r="Q1415" t="str">
        <f t="shared" si="44"/>
        <v>50+</v>
      </c>
      <c r="R1415" t="str">
        <f t="shared" si="45"/>
        <v>[wNqJp8oRIcF]|50+|Male|PLHIV_Residents.T_1|CY2023Q3</v>
      </c>
    </row>
    <row r="1416" spans="4:18" x14ac:dyDescent="0.2">
      <c r="D1416" t="s">
        <v>104</v>
      </c>
      <c r="E1416" t="s">
        <v>105</v>
      </c>
      <c r="F1416" t="s">
        <v>106</v>
      </c>
      <c r="G1416" t="s">
        <v>142</v>
      </c>
      <c r="H1416" t="s">
        <v>143</v>
      </c>
      <c r="I1416" t="s">
        <v>27</v>
      </c>
      <c r="J1416" t="s">
        <v>28</v>
      </c>
      <c r="K1416" t="s">
        <v>29</v>
      </c>
      <c r="L1416" t="s">
        <v>30</v>
      </c>
      <c r="M1416" t="s">
        <v>139</v>
      </c>
      <c r="N1416">
        <v>1750</v>
      </c>
      <c r="O1416" s="14">
        <v>0.92313639377243795</v>
      </c>
      <c r="P1416" s="14">
        <v>0.21824956033378801</v>
      </c>
      <c r="Q1416" t="str">
        <f t="shared" si="44"/>
        <v>&lt;01</v>
      </c>
      <c r="R1416" t="str">
        <f t="shared" si="45"/>
        <v>[oiPR2CiVJbf]|&lt;01|Female|PLHIV_Residents.T_1|CY2023Q3</v>
      </c>
    </row>
    <row r="1417" spans="4:18" x14ac:dyDescent="0.2">
      <c r="D1417" t="s">
        <v>104</v>
      </c>
      <c r="E1417" t="s">
        <v>105</v>
      </c>
      <c r="F1417" t="s">
        <v>106</v>
      </c>
      <c r="G1417" t="s">
        <v>142</v>
      </c>
      <c r="H1417" t="s">
        <v>143</v>
      </c>
      <c r="I1417" t="s">
        <v>32</v>
      </c>
      <c r="J1417" t="s">
        <v>33</v>
      </c>
      <c r="K1417" t="s">
        <v>29</v>
      </c>
      <c r="L1417" t="s">
        <v>30</v>
      </c>
      <c r="M1417" t="s">
        <v>139</v>
      </c>
      <c r="N1417">
        <v>1434</v>
      </c>
      <c r="O1417" s="14">
        <v>0.69837812450714398</v>
      </c>
      <c r="P1417" s="14">
        <v>0.21824956033378801</v>
      </c>
      <c r="Q1417" t="str">
        <f t="shared" si="44"/>
        <v>01-09</v>
      </c>
      <c r="R1417" t="str">
        <f t="shared" si="45"/>
        <v>[oiPR2CiVJbf]|01-09|Female|PLHIV_Residents.T_1|CY2023Q3</v>
      </c>
    </row>
    <row r="1418" spans="4:18" x14ac:dyDescent="0.2">
      <c r="D1418" t="s">
        <v>104</v>
      </c>
      <c r="E1418" t="s">
        <v>105</v>
      </c>
      <c r="F1418" t="s">
        <v>106</v>
      </c>
      <c r="G1418" t="s">
        <v>142</v>
      </c>
      <c r="H1418" t="s">
        <v>143</v>
      </c>
      <c r="I1418" t="s">
        <v>35</v>
      </c>
      <c r="J1418" t="s">
        <v>36</v>
      </c>
      <c r="K1418" t="s">
        <v>29</v>
      </c>
      <c r="L1418" t="s">
        <v>30</v>
      </c>
      <c r="M1418" t="s">
        <v>139</v>
      </c>
      <c r="N1418">
        <v>1647</v>
      </c>
      <c r="O1418" s="14">
        <v>0.263856563251466</v>
      </c>
      <c r="P1418" s="14">
        <v>0.21824956033378801</v>
      </c>
      <c r="Q1418" t="str">
        <f t="shared" si="44"/>
        <v>10-14</v>
      </c>
      <c r="R1418" t="str">
        <f t="shared" si="45"/>
        <v>[oiPR2CiVJbf]|10-14|Female|PLHIV_Residents.T_1|CY2023Q3</v>
      </c>
    </row>
    <row r="1419" spans="4:18" x14ac:dyDescent="0.2">
      <c r="D1419" t="s">
        <v>104</v>
      </c>
      <c r="E1419" t="s">
        <v>105</v>
      </c>
      <c r="F1419" t="s">
        <v>106</v>
      </c>
      <c r="G1419" t="s">
        <v>142</v>
      </c>
      <c r="H1419" t="s">
        <v>143</v>
      </c>
      <c r="I1419" t="s">
        <v>37</v>
      </c>
      <c r="J1419" t="s">
        <v>38</v>
      </c>
      <c r="K1419" t="s">
        <v>29</v>
      </c>
      <c r="L1419" t="s">
        <v>30</v>
      </c>
      <c r="M1419" t="s">
        <v>139</v>
      </c>
      <c r="N1419">
        <v>1623</v>
      </c>
      <c r="O1419" s="14">
        <v>0.49013555306009898</v>
      </c>
      <c r="P1419" s="14">
        <v>0.21824956033378801</v>
      </c>
      <c r="Q1419" t="str">
        <f t="shared" si="44"/>
        <v>15-24</v>
      </c>
      <c r="R1419" t="str">
        <f t="shared" si="45"/>
        <v>[oiPR2CiVJbf]|15-24|Female|PLHIV_Residents.T_1|CY2023Q3</v>
      </c>
    </row>
    <row r="1420" spans="4:18" x14ac:dyDescent="0.2">
      <c r="D1420" t="s">
        <v>104</v>
      </c>
      <c r="E1420" t="s">
        <v>105</v>
      </c>
      <c r="F1420" t="s">
        <v>106</v>
      </c>
      <c r="G1420" t="s">
        <v>142</v>
      </c>
      <c r="H1420" t="s">
        <v>143</v>
      </c>
      <c r="I1420" t="s">
        <v>40</v>
      </c>
      <c r="J1420" t="s">
        <v>41</v>
      </c>
      <c r="K1420" t="s">
        <v>29</v>
      </c>
      <c r="L1420" t="s">
        <v>30</v>
      </c>
      <c r="M1420" t="s">
        <v>139</v>
      </c>
      <c r="N1420">
        <v>1635</v>
      </c>
      <c r="O1420" s="14">
        <v>0.69754055631347001</v>
      </c>
      <c r="P1420" s="14">
        <v>0.21824956033378801</v>
      </c>
      <c r="Q1420" t="str">
        <f t="shared" si="44"/>
        <v>25-34</v>
      </c>
      <c r="R1420" t="str">
        <f t="shared" si="45"/>
        <v>[oiPR2CiVJbf]|25-34|Female|PLHIV_Residents.T_1|CY2023Q3</v>
      </c>
    </row>
    <row r="1421" spans="4:18" x14ac:dyDescent="0.2">
      <c r="D1421" t="s">
        <v>104</v>
      </c>
      <c r="E1421" t="s">
        <v>105</v>
      </c>
      <c r="F1421" t="s">
        <v>106</v>
      </c>
      <c r="G1421" t="s">
        <v>142</v>
      </c>
      <c r="H1421" t="s">
        <v>143</v>
      </c>
      <c r="I1421" t="s">
        <v>42</v>
      </c>
      <c r="J1421" t="s">
        <v>43</v>
      </c>
      <c r="K1421" t="s">
        <v>29</v>
      </c>
      <c r="L1421" t="s">
        <v>30</v>
      </c>
      <c r="M1421" t="s">
        <v>139</v>
      </c>
      <c r="N1421">
        <v>921</v>
      </c>
      <c r="O1421" s="14">
        <v>0.29893407528288701</v>
      </c>
      <c r="P1421" s="14">
        <v>0.21824956033378801</v>
      </c>
      <c r="Q1421" t="str">
        <f t="shared" si="44"/>
        <v>35-49</v>
      </c>
      <c r="R1421" t="str">
        <f t="shared" si="45"/>
        <v>[oiPR2CiVJbf]|35-49|Female|PLHIV_Residents.T_1|CY2023Q3</v>
      </c>
    </row>
    <row r="1422" spans="4:18" x14ac:dyDescent="0.2">
      <c r="D1422" t="s">
        <v>104</v>
      </c>
      <c r="E1422" t="s">
        <v>105</v>
      </c>
      <c r="F1422" t="s">
        <v>106</v>
      </c>
      <c r="G1422" t="s">
        <v>142</v>
      </c>
      <c r="H1422" t="s">
        <v>143</v>
      </c>
      <c r="I1422" t="s">
        <v>44</v>
      </c>
      <c r="J1422" t="s">
        <v>45</v>
      </c>
      <c r="K1422" t="s">
        <v>29</v>
      </c>
      <c r="L1422" t="s">
        <v>30</v>
      </c>
      <c r="M1422" t="s">
        <v>139</v>
      </c>
      <c r="N1422">
        <v>660</v>
      </c>
      <c r="O1422" s="14">
        <v>0.61171902110800103</v>
      </c>
      <c r="P1422" s="14">
        <v>0.21824956033378801</v>
      </c>
      <c r="Q1422" t="str">
        <f t="shared" si="44"/>
        <v>50+</v>
      </c>
      <c r="R1422" t="str">
        <f t="shared" si="45"/>
        <v>[oiPR2CiVJbf]|50+|Female|PLHIV_Residents.T_1|CY2023Q3</v>
      </c>
    </row>
    <row r="1423" spans="4:18" x14ac:dyDescent="0.2">
      <c r="D1423" t="s">
        <v>104</v>
      </c>
      <c r="E1423" t="s">
        <v>105</v>
      </c>
      <c r="F1423" t="s">
        <v>106</v>
      </c>
      <c r="G1423" t="s">
        <v>142</v>
      </c>
      <c r="H1423" t="s">
        <v>143</v>
      </c>
      <c r="I1423" t="s">
        <v>27</v>
      </c>
      <c r="J1423" t="s">
        <v>28</v>
      </c>
      <c r="K1423" t="s">
        <v>47</v>
      </c>
      <c r="L1423" t="s">
        <v>48</v>
      </c>
      <c r="M1423" t="s">
        <v>139</v>
      </c>
      <c r="N1423">
        <v>1713</v>
      </c>
      <c r="O1423" s="14">
        <v>0.85541304433718302</v>
      </c>
      <c r="P1423" s="14">
        <v>0.21824956033378801</v>
      </c>
      <c r="Q1423" t="str">
        <f t="shared" si="44"/>
        <v>&lt;01</v>
      </c>
      <c r="R1423" t="str">
        <f t="shared" si="45"/>
        <v>[oiPR2CiVJbf]|&lt;01|Male|PLHIV_Residents.T_1|CY2023Q3</v>
      </c>
    </row>
    <row r="1424" spans="4:18" x14ac:dyDescent="0.2">
      <c r="D1424" t="s">
        <v>104</v>
      </c>
      <c r="E1424" t="s">
        <v>105</v>
      </c>
      <c r="F1424" t="s">
        <v>106</v>
      </c>
      <c r="G1424" t="s">
        <v>142</v>
      </c>
      <c r="H1424" t="s">
        <v>143</v>
      </c>
      <c r="I1424" t="s">
        <v>32</v>
      </c>
      <c r="J1424" t="s">
        <v>33</v>
      </c>
      <c r="K1424" t="s">
        <v>47</v>
      </c>
      <c r="L1424" t="s">
        <v>48</v>
      </c>
      <c r="M1424" t="s">
        <v>139</v>
      </c>
      <c r="N1424">
        <v>1090</v>
      </c>
      <c r="O1424" s="14">
        <v>0.18747014622204</v>
      </c>
      <c r="P1424" s="14">
        <v>0.21824956033378801</v>
      </c>
      <c r="Q1424" t="str">
        <f t="shared" si="44"/>
        <v>01-09</v>
      </c>
      <c r="R1424" t="str">
        <f t="shared" si="45"/>
        <v>[oiPR2CiVJbf]|01-09|Male|PLHIV_Residents.T_1|CY2023Q3</v>
      </c>
    </row>
    <row r="1425" spans="4:18" x14ac:dyDescent="0.2">
      <c r="D1425" t="s">
        <v>104</v>
      </c>
      <c r="E1425" t="s">
        <v>105</v>
      </c>
      <c r="F1425" t="s">
        <v>106</v>
      </c>
      <c r="G1425" t="s">
        <v>142</v>
      </c>
      <c r="H1425" t="s">
        <v>143</v>
      </c>
      <c r="I1425" t="s">
        <v>35</v>
      </c>
      <c r="J1425" t="s">
        <v>36</v>
      </c>
      <c r="K1425" t="s">
        <v>47</v>
      </c>
      <c r="L1425" t="s">
        <v>48</v>
      </c>
      <c r="M1425" t="s">
        <v>139</v>
      </c>
      <c r="N1425">
        <v>1993</v>
      </c>
      <c r="O1425" s="14">
        <v>0.108979957178235</v>
      </c>
      <c r="P1425" s="14">
        <v>0.21824956033378801</v>
      </c>
      <c r="Q1425" t="str">
        <f t="shared" si="44"/>
        <v>10-14</v>
      </c>
      <c r="R1425" t="str">
        <f t="shared" si="45"/>
        <v>[oiPR2CiVJbf]|10-14|Male|PLHIV_Residents.T_1|CY2023Q3</v>
      </c>
    </row>
    <row r="1426" spans="4:18" x14ac:dyDescent="0.2">
      <c r="D1426" t="s">
        <v>104</v>
      </c>
      <c r="E1426" t="s">
        <v>105</v>
      </c>
      <c r="F1426" t="s">
        <v>106</v>
      </c>
      <c r="G1426" t="s">
        <v>142</v>
      </c>
      <c r="H1426" t="s">
        <v>143</v>
      </c>
      <c r="I1426" t="s">
        <v>37</v>
      </c>
      <c r="J1426" t="s">
        <v>38</v>
      </c>
      <c r="K1426" t="s">
        <v>47</v>
      </c>
      <c r="L1426" t="s">
        <v>48</v>
      </c>
      <c r="M1426" t="s">
        <v>139</v>
      </c>
      <c r="N1426">
        <v>869</v>
      </c>
      <c r="O1426" s="14">
        <v>0.52880646381527197</v>
      </c>
      <c r="P1426" s="14">
        <v>0.21824956033378801</v>
      </c>
      <c r="Q1426" t="str">
        <f t="shared" si="44"/>
        <v>15-24</v>
      </c>
      <c r="R1426" t="str">
        <f t="shared" si="45"/>
        <v>[oiPR2CiVJbf]|15-24|Male|PLHIV_Residents.T_1|CY2023Q3</v>
      </c>
    </row>
    <row r="1427" spans="4:18" x14ac:dyDescent="0.2">
      <c r="D1427" t="s">
        <v>104</v>
      </c>
      <c r="E1427" t="s">
        <v>105</v>
      </c>
      <c r="F1427" t="s">
        <v>106</v>
      </c>
      <c r="G1427" t="s">
        <v>142</v>
      </c>
      <c r="H1427" t="s">
        <v>143</v>
      </c>
      <c r="I1427" t="s">
        <v>40</v>
      </c>
      <c r="J1427" t="s">
        <v>41</v>
      </c>
      <c r="K1427" t="s">
        <v>47</v>
      </c>
      <c r="L1427" t="s">
        <v>48</v>
      </c>
      <c r="M1427" t="s">
        <v>139</v>
      </c>
      <c r="N1427">
        <v>1164</v>
      </c>
      <c r="O1427" s="14">
        <v>0.85450505395419896</v>
      </c>
      <c r="P1427" s="14">
        <v>0.21824956033378801</v>
      </c>
      <c r="Q1427" t="str">
        <f t="shared" si="44"/>
        <v>25-34</v>
      </c>
      <c r="R1427" t="str">
        <f t="shared" si="45"/>
        <v>[oiPR2CiVJbf]|25-34|Male|PLHIV_Residents.T_1|CY2023Q3</v>
      </c>
    </row>
    <row r="1428" spans="4:18" x14ac:dyDescent="0.2">
      <c r="D1428" t="s">
        <v>104</v>
      </c>
      <c r="E1428" t="s">
        <v>105</v>
      </c>
      <c r="F1428" t="s">
        <v>106</v>
      </c>
      <c r="G1428" t="s">
        <v>142</v>
      </c>
      <c r="H1428" t="s">
        <v>143</v>
      </c>
      <c r="I1428" t="s">
        <v>42</v>
      </c>
      <c r="J1428" t="s">
        <v>43</v>
      </c>
      <c r="K1428" t="s">
        <v>47</v>
      </c>
      <c r="L1428" t="s">
        <v>48</v>
      </c>
      <c r="M1428" t="s">
        <v>139</v>
      </c>
      <c r="N1428">
        <v>909</v>
      </c>
      <c r="O1428" s="14">
        <v>0.263467455981299</v>
      </c>
      <c r="P1428" s="14">
        <v>0.21824956033378801</v>
      </c>
      <c r="Q1428" t="str">
        <f t="shared" si="44"/>
        <v>35-49</v>
      </c>
      <c r="R1428" t="str">
        <f t="shared" si="45"/>
        <v>[oiPR2CiVJbf]|35-49|Male|PLHIV_Residents.T_1|CY2023Q3</v>
      </c>
    </row>
    <row r="1429" spans="4:18" x14ac:dyDescent="0.2">
      <c r="D1429" t="s">
        <v>104</v>
      </c>
      <c r="E1429" t="s">
        <v>105</v>
      </c>
      <c r="F1429" t="s">
        <v>106</v>
      </c>
      <c r="G1429" t="s">
        <v>142</v>
      </c>
      <c r="H1429" t="s">
        <v>143</v>
      </c>
      <c r="I1429" t="s">
        <v>44</v>
      </c>
      <c r="J1429" t="s">
        <v>45</v>
      </c>
      <c r="K1429" t="s">
        <v>47</v>
      </c>
      <c r="L1429" t="s">
        <v>48</v>
      </c>
      <c r="M1429" t="s">
        <v>139</v>
      </c>
      <c r="N1429">
        <v>537</v>
      </c>
      <c r="O1429" s="14">
        <v>6.8507346557453302E-2</v>
      </c>
      <c r="P1429" s="14">
        <v>0.21824956033378801</v>
      </c>
      <c r="Q1429" t="str">
        <f t="shared" si="44"/>
        <v>50+</v>
      </c>
      <c r="R1429" t="str">
        <f t="shared" si="45"/>
        <v>[oiPR2CiVJbf]|50+|Male|PLHIV_Residents.T_1|CY2023Q3</v>
      </c>
    </row>
    <row r="1430" spans="4:18" x14ac:dyDescent="0.2">
      <c r="D1430" t="s">
        <v>107</v>
      </c>
      <c r="E1430" t="s">
        <v>108</v>
      </c>
      <c r="F1430" t="s">
        <v>109</v>
      </c>
      <c r="G1430" t="s">
        <v>142</v>
      </c>
      <c r="H1430" t="s">
        <v>143</v>
      </c>
      <c r="I1430" t="s">
        <v>27</v>
      </c>
      <c r="J1430" t="s">
        <v>28</v>
      </c>
      <c r="K1430" t="s">
        <v>29</v>
      </c>
      <c r="L1430" t="s">
        <v>30</v>
      </c>
      <c r="M1430" t="s">
        <v>139</v>
      </c>
      <c r="N1430">
        <v>1887</v>
      </c>
      <c r="O1430" s="14">
        <v>0.52521296055056199</v>
      </c>
      <c r="P1430" s="14">
        <v>0.43422180437482899</v>
      </c>
      <c r="Q1430" t="str">
        <f t="shared" si="44"/>
        <v>&lt;01</v>
      </c>
      <c r="R1430" t="str">
        <f t="shared" si="45"/>
        <v>[ul0y9diGujK]|&lt;01|Female|PLHIV_Residents.T_1|CY2023Q3</v>
      </c>
    </row>
    <row r="1431" spans="4:18" x14ac:dyDescent="0.2">
      <c r="D1431" t="s">
        <v>107</v>
      </c>
      <c r="E1431" t="s">
        <v>108</v>
      </c>
      <c r="F1431" t="s">
        <v>109</v>
      </c>
      <c r="G1431" t="s">
        <v>142</v>
      </c>
      <c r="H1431" t="s">
        <v>143</v>
      </c>
      <c r="I1431" t="s">
        <v>32</v>
      </c>
      <c r="J1431" t="s">
        <v>33</v>
      </c>
      <c r="K1431" t="s">
        <v>29</v>
      </c>
      <c r="L1431" t="s">
        <v>30</v>
      </c>
      <c r="M1431" t="s">
        <v>139</v>
      </c>
      <c r="N1431">
        <v>1523</v>
      </c>
      <c r="O1431" s="14">
        <v>0.176500001223758</v>
      </c>
      <c r="P1431" s="14">
        <v>0.43422180437482899</v>
      </c>
      <c r="Q1431" t="str">
        <f t="shared" si="44"/>
        <v>01-09</v>
      </c>
      <c r="R1431" t="str">
        <f t="shared" si="45"/>
        <v>[ul0y9diGujK]|01-09|Female|PLHIV_Residents.T_1|CY2023Q3</v>
      </c>
    </row>
    <row r="1432" spans="4:18" x14ac:dyDescent="0.2">
      <c r="D1432" t="s">
        <v>107</v>
      </c>
      <c r="E1432" t="s">
        <v>108</v>
      </c>
      <c r="F1432" t="s">
        <v>109</v>
      </c>
      <c r="G1432" t="s">
        <v>142</v>
      </c>
      <c r="H1432" t="s">
        <v>143</v>
      </c>
      <c r="I1432" t="s">
        <v>35</v>
      </c>
      <c r="J1432" t="s">
        <v>36</v>
      </c>
      <c r="K1432" t="s">
        <v>29</v>
      </c>
      <c r="L1432" t="s">
        <v>30</v>
      </c>
      <c r="M1432" t="s">
        <v>139</v>
      </c>
      <c r="N1432">
        <v>1543</v>
      </c>
      <c r="O1432" s="14">
        <v>0.198180941864848</v>
      </c>
      <c r="P1432" s="14">
        <v>0.43422180437482899</v>
      </c>
      <c r="Q1432" t="str">
        <f t="shared" si="44"/>
        <v>10-14</v>
      </c>
      <c r="R1432" t="str">
        <f t="shared" si="45"/>
        <v>[ul0y9diGujK]|10-14|Female|PLHIV_Residents.T_1|CY2023Q3</v>
      </c>
    </row>
    <row r="1433" spans="4:18" x14ac:dyDescent="0.2">
      <c r="D1433" t="s">
        <v>107</v>
      </c>
      <c r="E1433" t="s">
        <v>108</v>
      </c>
      <c r="F1433" t="s">
        <v>109</v>
      </c>
      <c r="G1433" t="s">
        <v>142</v>
      </c>
      <c r="H1433" t="s">
        <v>143</v>
      </c>
      <c r="I1433" t="s">
        <v>37</v>
      </c>
      <c r="J1433" t="s">
        <v>38</v>
      </c>
      <c r="K1433" t="s">
        <v>29</v>
      </c>
      <c r="L1433" t="s">
        <v>30</v>
      </c>
      <c r="M1433" t="s">
        <v>139</v>
      </c>
      <c r="N1433">
        <v>1344</v>
      </c>
      <c r="O1433" s="14">
        <v>0.35633671144023499</v>
      </c>
      <c r="P1433" s="14">
        <v>0.43422180437482899</v>
      </c>
      <c r="Q1433" t="str">
        <f t="shared" si="44"/>
        <v>15-24</v>
      </c>
      <c r="R1433" t="str">
        <f t="shared" si="45"/>
        <v>[ul0y9diGujK]|15-24|Female|PLHIV_Residents.T_1|CY2023Q3</v>
      </c>
    </row>
    <row r="1434" spans="4:18" x14ac:dyDescent="0.2">
      <c r="D1434" t="s">
        <v>107</v>
      </c>
      <c r="E1434" t="s">
        <v>108</v>
      </c>
      <c r="F1434" t="s">
        <v>109</v>
      </c>
      <c r="G1434" t="s">
        <v>142</v>
      </c>
      <c r="H1434" t="s">
        <v>143</v>
      </c>
      <c r="I1434" t="s">
        <v>40</v>
      </c>
      <c r="J1434" t="s">
        <v>41</v>
      </c>
      <c r="K1434" t="s">
        <v>29</v>
      </c>
      <c r="L1434" t="s">
        <v>30</v>
      </c>
      <c r="M1434" t="s">
        <v>139</v>
      </c>
      <c r="N1434">
        <v>1266</v>
      </c>
      <c r="O1434" s="14">
        <v>0.72837294684722997</v>
      </c>
      <c r="P1434" s="14">
        <v>0.43422180437482899</v>
      </c>
      <c r="Q1434" t="str">
        <f t="shared" si="44"/>
        <v>25-34</v>
      </c>
      <c r="R1434" t="str">
        <f t="shared" si="45"/>
        <v>[ul0y9diGujK]|25-34|Female|PLHIV_Residents.T_1|CY2023Q3</v>
      </c>
    </row>
    <row r="1435" spans="4:18" x14ac:dyDescent="0.2">
      <c r="D1435" t="s">
        <v>107</v>
      </c>
      <c r="E1435" t="s">
        <v>108</v>
      </c>
      <c r="F1435" t="s">
        <v>109</v>
      </c>
      <c r="G1435" t="s">
        <v>142</v>
      </c>
      <c r="H1435" t="s">
        <v>143</v>
      </c>
      <c r="I1435" t="s">
        <v>42</v>
      </c>
      <c r="J1435" t="s">
        <v>43</v>
      </c>
      <c r="K1435" t="s">
        <v>29</v>
      </c>
      <c r="L1435" t="s">
        <v>30</v>
      </c>
      <c r="M1435" t="s">
        <v>139</v>
      </c>
      <c r="N1435">
        <v>509</v>
      </c>
      <c r="O1435" s="14">
        <v>5.6764530483633301E-2</v>
      </c>
      <c r="P1435" s="14">
        <v>0.43422180437482899</v>
      </c>
      <c r="Q1435" t="str">
        <f t="shared" si="44"/>
        <v>35-49</v>
      </c>
      <c r="R1435" t="str">
        <f t="shared" si="45"/>
        <v>[ul0y9diGujK]|35-49|Female|PLHIV_Residents.T_1|CY2023Q3</v>
      </c>
    </row>
    <row r="1436" spans="4:18" x14ac:dyDescent="0.2">
      <c r="D1436" t="s">
        <v>107</v>
      </c>
      <c r="E1436" t="s">
        <v>108</v>
      </c>
      <c r="F1436" t="s">
        <v>109</v>
      </c>
      <c r="G1436" t="s">
        <v>142</v>
      </c>
      <c r="H1436" t="s">
        <v>143</v>
      </c>
      <c r="I1436" t="s">
        <v>44</v>
      </c>
      <c r="J1436" t="s">
        <v>45</v>
      </c>
      <c r="K1436" t="s">
        <v>29</v>
      </c>
      <c r="L1436" t="s">
        <v>30</v>
      </c>
      <c r="M1436" t="s">
        <v>139</v>
      </c>
      <c r="N1436">
        <v>1795</v>
      </c>
      <c r="O1436" s="14">
        <v>0.62796917767263905</v>
      </c>
      <c r="P1436" s="14">
        <v>0.43422180437482899</v>
      </c>
      <c r="Q1436" t="str">
        <f t="shared" si="44"/>
        <v>50+</v>
      </c>
      <c r="R1436" t="str">
        <f t="shared" si="45"/>
        <v>[ul0y9diGujK]|50+|Female|PLHIV_Residents.T_1|CY2023Q3</v>
      </c>
    </row>
    <row r="1437" spans="4:18" x14ac:dyDescent="0.2">
      <c r="D1437" t="s">
        <v>107</v>
      </c>
      <c r="E1437" t="s">
        <v>108</v>
      </c>
      <c r="F1437" t="s">
        <v>109</v>
      </c>
      <c r="G1437" t="s">
        <v>142</v>
      </c>
      <c r="H1437" t="s">
        <v>143</v>
      </c>
      <c r="I1437" t="s">
        <v>27</v>
      </c>
      <c r="J1437" t="s">
        <v>28</v>
      </c>
      <c r="K1437" t="s">
        <v>47</v>
      </c>
      <c r="L1437" t="s">
        <v>48</v>
      </c>
      <c r="M1437" t="s">
        <v>139</v>
      </c>
      <c r="N1437">
        <v>790</v>
      </c>
      <c r="O1437" s="14">
        <v>0.67235250654630396</v>
      </c>
      <c r="P1437" s="14">
        <v>0.43422180437482899</v>
      </c>
      <c r="Q1437" t="str">
        <f t="shared" si="44"/>
        <v>&lt;01</v>
      </c>
      <c r="R1437" t="str">
        <f t="shared" si="45"/>
        <v>[ul0y9diGujK]|&lt;01|Male|PLHIV_Residents.T_1|CY2023Q3</v>
      </c>
    </row>
    <row r="1438" spans="4:18" x14ac:dyDescent="0.2">
      <c r="D1438" t="s">
        <v>107</v>
      </c>
      <c r="E1438" t="s">
        <v>108</v>
      </c>
      <c r="F1438" t="s">
        <v>109</v>
      </c>
      <c r="G1438" t="s">
        <v>142</v>
      </c>
      <c r="H1438" t="s">
        <v>143</v>
      </c>
      <c r="I1438" t="s">
        <v>32</v>
      </c>
      <c r="J1438" t="s">
        <v>33</v>
      </c>
      <c r="K1438" t="s">
        <v>47</v>
      </c>
      <c r="L1438" t="s">
        <v>48</v>
      </c>
      <c r="M1438" t="s">
        <v>139</v>
      </c>
      <c r="N1438">
        <v>819</v>
      </c>
      <c r="O1438" s="14">
        <v>0.94245122023858097</v>
      </c>
      <c r="P1438" s="14">
        <v>0.43422180437482899</v>
      </c>
      <c r="Q1438" t="str">
        <f t="shared" si="44"/>
        <v>01-09</v>
      </c>
      <c r="R1438" t="str">
        <f t="shared" si="45"/>
        <v>[ul0y9diGujK]|01-09|Male|PLHIV_Residents.T_1|CY2023Q3</v>
      </c>
    </row>
    <row r="1439" spans="4:18" x14ac:dyDescent="0.2">
      <c r="D1439" t="s">
        <v>107</v>
      </c>
      <c r="E1439" t="s">
        <v>108</v>
      </c>
      <c r="F1439" t="s">
        <v>109</v>
      </c>
      <c r="G1439" t="s">
        <v>142</v>
      </c>
      <c r="H1439" t="s">
        <v>143</v>
      </c>
      <c r="I1439" t="s">
        <v>35</v>
      </c>
      <c r="J1439" t="s">
        <v>36</v>
      </c>
      <c r="K1439" t="s">
        <v>47</v>
      </c>
      <c r="L1439" t="s">
        <v>48</v>
      </c>
      <c r="M1439" t="s">
        <v>139</v>
      </c>
      <c r="N1439">
        <v>1353</v>
      </c>
      <c r="O1439" s="14">
        <v>2.4900997057557099E-2</v>
      </c>
      <c r="P1439" s="14">
        <v>0.43422180437482899</v>
      </c>
      <c r="Q1439" t="str">
        <f t="shared" si="44"/>
        <v>10-14</v>
      </c>
      <c r="R1439" t="str">
        <f t="shared" si="45"/>
        <v>[ul0y9diGujK]|10-14|Male|PLHIV_Residents.T_1|CY2023Q3</v>
      </c>
    </row>
    <row r="1440" spans="4:18" x14ac:dyDescent="0.2">
      <c r="D1440" t="s">
        <v>107</v>
      </c>
      <c r="E1440" t="s">
        <v>108</v>
      </c>
      <c r="F1440" t="s">
        <v>109</v>
      </c>
      <c r="G1440" t="s">
        <v>142</v>
      </c>
      <c r="H1440" t="s">
        <v>143</v>
      </c>
      <c r="I1440" t="s">
        <v>37</v>
      </c>
      <c r="J1440" t="s">
        <v>38</v>
      </c>
      <c r="K1440" t="s">
        <v>47</v>
      </c>
      <c r="L1440" t="s">
        <v>48</v>
      </c>
      <c r="M1440" t="s">
        <v>139</v>
      </c>
      <c r="N1440">
        <v>1759</v>
      </c>
      <c r="O1440" s="14">
        <v>0.170289648231119</v>
      </c>
      <c r="P1440" s="14">
        <v>0.43422180437482899</v>
      </c>
      <c r="Q1440" t="str">
        <f t="shared" si="44"/>
        <v>15-24</v>
      </c>
      <c r="R1440" t="str">
        <f t="shared" si="45"/>
        <v>[ul0y9diGujK]|15-24|Male|PLHIV_Residents.T_1|CY2023Q3</v>
      </c>
    </row>
    <row r="1441" spans="4:18" x14ac:dyDescent="0.2">
      <c r="D1441" t="s">
        <v>107</v>
      </c>
      <c r="E1441" t="s">
        <v>108</v>
      </c>
      <c r="F1441" t="s">
        <v>109</v>
      </c>
      <c r="G1441" t="s">
        <v>142</v>
      </c>
      <c r="H1441" t="s">
        <v>143</v>
      </c>
      <c r="I1441" t="s">
        <v>40</v>
      </c>
      <c r="J1441" t="s">
        <v>41</v>
      </c>
      <c r="K1441" t="s">
        <v>47</v>
      </c>
      <c r="L1441" t="s">
        <v>48</v>
      </c>
      <c r="M1441" t="s">
        <v>139</v>
      </c>
      <c r="N1441">
        <v>1549</v>
      </c>
      <c r="O1441" s="14">
        <v>0.96603724639862798</v>
      </c>
      <c r="P1441" s="14">
        <v>0.43422180437482899</v>
      </c>
      <c r="Q1441" t="str">
        <f t="shared" si="44"/>
        <v>25-34</v>
      </c>
      <c r="R1441" t="str">
        <f t="shared" si="45"/>
        <v>[ul0y9diGujK]|25-34|Male|PLHIV_Residents.T_1|CY2023Q3</v>
      </c>
    </row>
    <row r="1442" spans="4:18" x14ac:dyDescent="0.2">
      <c r="D1442" t="s">
        <v>107</v>
      </c>
      <c r="E1442" t="s">
        <v>108</v>
      </c>
      <c r="F1442" t="s">
        <v>109</v>
      </c>
      <c r="G1442" t="s">
        <v>142</v>
      </c>
      <c r="H1442" t="s">
        <v>143</v>
      </c>
      <c r="I1442" t="s">
        <v>42</v>
      </c>
      <c r="J1442" t="s">
        <v>43</v>
      </c>
      <c r="K1442" t="s">
        <v>47</v>
      </c>
      <c r="L1442" t="s">
        <v>48</v>
      </c>
      <c r="M1442" t="s">
        <v>139</v>
      </c>
      <c r="N1442">
        <v>996</v>
      </c>
      <c r="O1442" s="14">
        <v>0.559955398086458</v>
      </c>
      <c r="P1442" s="14">
        <v>0.43422180437482899</v>
      </c>
      <c r="Q1442" t="str">
        <f t="shared" si="44"/>
        <v>35-49</v>
      </c>
      <c r="R1442" t="str">
        <f t="shared" si="45"/>
        <v>[ul0y9diGujK]|35-49|Male|PLHIV_Residents.T_1|CY2023Q3</v>
      </c>
    </row>
    <row r="1443" spans="4:18" x14ac:dyDescent="0.2">
      <c r="D1443" t="s">
        <v>107</v>
      </c>
      <c r="E1443" t="s">
        <v>108</v>
      </c>
      <c r="F1443" t="s">
        <v>109</v>
      </c>
      <c r="G1443" t="s">
        <v>142</v>
      </c>
      <c r="H1443" t="s">
        <v>143</v>
      </c>
      <c r="I1443" t="s">
        <v>44</v>
      </c>
      <c r="J1443" t="s">
        <v>45</v>
      </c>
      <c r="K1443" t="s">
        <v>47</v>
      </c>
      <c r="L1443" t="s">
        <v>48</v>
      </c>
      <c r="M1443" t="s">
        <v>139</v>
      </c>
      <c r="N1443">
        <v>505</v>
      </c>
      <c r="O1443" s="14">
        <v>0.15424424246884899</v>
      </c>
      <c r="P1443" s="14">
        <v>0.43422180437482899</v>
      </c>
      <c r="Q1443" t="str">
        <f t="shared" si="44"/>
        <v>50+</v>
      </c>
      <c r="R1443" t="str">
        <f t="shared" si="45"/>
        <v>[ul0y9diGujK]|50+|Male|PLHIV_Residents.T_1|CY2023Q3</v>
      </c>
    </row>
    <row r="1444" spans="4:18" x14ac:dyDescent="0.2">
      <c r="D1444" t="s">
        <v>110</v>
      </c>
      <c r="E1444" t="s">
        <v>111</v>
      </c>
      <c r="F1444" t="s">
        <v>112</v>
      </c>
      <c r="G1444" t="s">
        <v>142</v>
      </c>
      <c r="H1444" t="s">
        <v>143</v>
      </c>
      <c r="I1444" t="s">
        <v>27</v>
      </c>
      <c r="J1444" t="s">
        <v>28</v>
      </c>
      <c r="K1444" t="s">
        <v>29</v>
      </c>
      <c r="L1444" t="s">
        <v>30</v>
      </c>
      <c r="M1444" t="s">
        <v>139</v>
      </c>
      <c r="N1444">
        <v>546</v>
      </c>
      <c r="O1444" s="14">
        <v>0.37904704106040299</v>
      </c>
      <c r="P1444" s="14">
        <v>0.33776879496872397</v>
      </c>
      <c r="Q1444" t="str">
        <f t="shared" si="44"/>
        <v>&lt;01</v>
      </c>
      <c r="R1444" t="str">
        <f t="shared" si="45"/>
        <v>[U8c0so51kT6]|&lt;01|Female|PLHIV_Residents.T_1|CY2023Q3</v>
      </c>
    </row>
    <row r="1445" spans="4:18" x14ac:dyDescent="0.2">
      <c r="D1445" t="s">
        <v>110</v>
      </c>
      <c r="E1445" t="s">
        <v>111</v>
      </c>
      <c r="F1445" t="s">
        <v>112</v>
      </c>
      <c r="G1445" t="s">
        <v>142</v>
      </c>
      <c r="H1445" t="s">
        <v>143</v>
      </c>
      <c r="I1445" t="s">
        <v>32</v>
      </c>
      <c r="J1445" t="s">
        <v>33</v>
      </c>
      <c r="K1445" t="s">
        <v>29</v>
      </c>
      <c r="L1445" t="s">
        <v>30</v>
      </c>
      <c r="M1445" t="s">
        <v>139</v>
      </c>
      <c r="N1445">
        <v>1190</v>
      </c>
      <c r="O1445" s="14">
        <v>0.55901083652861405</v>
      </c>
      <c r="P1445" s="14">
        <v>0.33776879496872397</v>
      </c>
      <c r="Q1445" t="str">
        <f t="shared" si="44"/>
        <v>01-09</v>
      </c>
      <c r="R1445" t="str">
        <f t="shared" si="45"/>
        <v>[U8c0so51kT6]|01-09|Female|PLHIV_Residents.T_1|CY2023Q3</v>
      </c>
    </row>
    <row r="1446" spans="4:18" x14ac:dyDescent="0.2">
      <c r="D1446" t="s">
        <v>110</v>
      </c>
      <c r="E1446" t="s">
        <v>111</v>
      </c>
      <c r="F1446" t="s">
        <v>112</v>
      </c>
      <c r="G1446" t="s">
        <v>142</v>
      </c>
      <c r="H1446" t="s">
        <v>143</v>
      </c>
      <c r="I1446" t="s">
        <v>35</v>
      </c>
      <c r="J1446" t="s">
        <v>36</v>
      </c>
      <c r="K1446" t="s">
        <v>29</v>
      </c>
      <c r="L1446" t="s">
        <v>30</v>
      </c>
      <c r="M1446" t="s">
        <v>139</v>
      </c>
      <c r="N1446">
        <v>1316</v>
      </c>
      <c r="O1446" s="14">
        <v>0.25161571870558003</v>
      </c>
      <c r="P1446" s="14">
        <v>0.33776879496872397</v>
      </c>
      <c r="Q1446" t="str">
        <f t="shared" si="44"/>
        <v>10-14</v>
      </c>
      <c r="R1446" t="str">
        <f t="shared" si="45"/>
        <v>[U8c0so51kT6]|10-14|Female|PLHIV_Residents.T_1|CY2023Q3</v>
      </c>
    </row>
    <row r="1447" spans="4:18" x14ac:dyDescent="0.2">
      <c r="D1447" t="s">
        <v>110</v>
      </c>
      <c r="E1447" t="s">
        <v>111</v>
      </c>
      <c r="F1447" t="s">
        <v>112</v>
      </c>
      <c r="G1447" t="s">
        <v>142</v>
      </c>
      <c r="H1447" t="s">
        <v>143</v>
      </c>
      <c r="I1447" t="s">
        <v>37</v>
      </c>
      <c r="J1447" t="s">
        <v>38</v>
      </c>
      <c r="K1447" t="s">
        <v>29</v>
      </c>
      <c r="L1447" t="s">
        <v>30</v>
      </c>
      <c r="M1447" t="s">
        <v>139</v>
      </c>
      <c r="N1447">
        <v>1201</v>
      </c>
      <c r="O1447" s="14">
        <v>0.53686827048659302</v>
      </c>
      <c r="P1447" s="14">
        <v>0.33776879496872397</v>
      </c>
      <c r="Q1447" t="str">
        <f t="shared" si="44"/>
        <v>15-24</v>
      </c>
      <c r="R1447" t="str">
        <f t="shared" si="45"/>
        <v>[U8c0so51kT6]|15-24|Female|PLHIV_Residents.T_1|CY2023Q3</v>
      </c>
    </row>
    <row r="1448" spans="4:18" x14ac:dyDescent="0.2">
      <c r="D1448" t="s">
        <v>110</v>
      </c>
      <c r="E1448" t="s">
        <v>111</v>
      </c>
      <c r="F1448" t="s">
        <v>112</v>
      </c>
      <c r="G1448" t="s">
        <v>142</v>
      </c>
      <c r="H1448" t="s">
        <v>143</v>
      </c>
      <c r="I1448" t="s">
        <v>40</v>
      </c>
      <c r="J1448" t="s">
        <v>41</v>
      </c>
      <c r="K1448" t="s">
        <v>29</v>
      </c>
      <c r="L1448" t="s">
        <v>30</v>
      </c>
      <c r="M1448" t="s">
        <v>139</v>
      </c>
      <c r="N1448">
        <v>1775</v>
      </c>
      <c r="O1448" s="14">
        <v>0.228801805526018</v>
      </c>
      <c r="P1448" s="14">
        <v>0.33776879496872397</v>
      </c>
      <c r="Q1448" t="str">
        <f t="shared" si="44"/>
        <v>25-34</v>
      </c>
      <c r="R1448" t="str">
        <f t="shared" si="45"/>
        <v>[U8c0so51kT6]|25-34|Female|PLHIV_Residents.T_1|CY2023Q3</v>
      </c>
    </row>
    <row r="1449" spans="4:18" x14ac:dyDescent="0.2">
      <c r="D1449" t="s">
        <v>110</v>
      </c>
      <c r="E1449" t="s">
        <v>111</v>
      </c>
      <c r="F1449" t="s">
        <v>112</v>
      </c>
      <c r="G1449" t="s">
        <v>142</v>
      </c>
      <c r="H1449" t="s">
        <v>143</v>
      </c>
      <c r="I1449" t="s">
        <v>42</v>
      </c>
      <c r="J1449" t="s">
        <v>43</v>
      </c>
      <c r="K1449" t="s">
        <v>29</v>
      </c>
      <c r="L1449" t="s">
        <v>30</v>
      </c>
      <c r="M1449" t="s">
        <v>139</v>
      </c>
      <c r="N1449">
        <v>1014</v>
      </c>
      <c r="O1449" s="14">
        <v>0.93670350266620495</v>
      </c>
      <c r="P1449" s="14">
        <v>0.33776879496872397</v>
      </c>
      <c r="Q1449" t="str">
        <f t="shared" si="44"/>
        <v>35-49</v>
      </c>
      <c r="R1449" t="str">
        <f t="shared" si="45"/>
        <v>[U8c0so51kT6]|35-49|Female|PLHIV_Residents.T_1|CY2023Q3</v>
      </c>
    </row>
    <row r="1450" spans="4:18" x14ac:dyDescent="0.2">
      <c r="D1450" t="s">
        <v>110</v>
      </c>
      <c r="E1450" t="s">
        <v>111</v>
      </c>
      <c r="F1450" t="s">
        <v>112</v>
      </c>
      <c r="G1450" t="s">
        <v>142</v>
      </c>
      <c r="H1450" t="s">
        <v>143</v>
      </c>
      <c r="I1450" t="s">
        <v>44</v>
      </c>
      <c r="J1450" t="s">
        <v>45</v>
      </c>
      <c r="K1450" t="s">
        <v>29</v>
      </c>
      <c r="L1450" t="s">
        <v>30</v>
      </c>
      <c r="M1450" t="s">
        <v>139</v>
      </c>
      <c r="N1450">
        <v>509</v>
      </c>
      <c r="O1450" s="14">
        <v>0.18639626307412999</v>
      </c>
      <c r="P1450" s="14">
        <v>0.33776879496872397</v>
      </c>
      <c r="Q1450" t="str">
        <f t="shared" si="44"/>
        <v>50+</v>
      </c>
      <c r="R1450" t="str">
        <f t="shared" si="45"/>
        <v>[U8c0so51kT6]|50+|Female|PLHIV_Residents.T_1|CY2023Q3</v>
      </c>
    </row>
    <row r="1451" spans="4:18" x14ac:dyDescent="0.2">
      <c r="D1451" t="s">
        <v>110</v>
      </c>
      <c r="E1451" t="s">
        <v>111</v>
      </c>
      <c r="F1451" t="s">
        <v>112</v>
      </c>
      <c r="G1451" t="s">
        <v>142</v>
      </c>
      <c r="H1451" t="s">
        <v>143</v>
      </c>
      <c r="I1451" t="s">
        <v>27</v>
      </c>
      <c r="J1451" t="s">
        <v>28</v>
      </c>
      <c r="K1451" t="s">
        <v>47</v>
      </c>
      <c r="L1451" t="s">
        <v>48</v>
      </c>
      <c r="M1451" t="s">
        <v>139</v>
      </c>
      <c r="N1451">
        <v>858</v>
      </c>
      <c r="O1451" s="14">
        <v>0.41648086463101203</v>
      </c>
      <c r="P1451" s="14">
        <v>0.33776879496872397</v>
      </c>
      <c r="Q1451" t="str">
        <f t="shared" si="44"/>
        <v>&lt;01</v>
      </c>
      <c r="R1451" t="str">
        <f t="shared" si="45"/>
        <v>[U8c0so51kT6]|&lt;01|Male|PLHIV_Residents.T_1|CY2023Q3</v>
      </c>
    </row>
    <row r="1452" spans="4:18" x14ac:dyDescent="0.2">
      <c r="D1452" t="s">
        <v>110</v>
      </c>
      <c r="E1452" t="s">
        <v>111</v>
      </c>
      <c r="F1452" t="s">
        <v>112</v>
      </c>
      <c r="G1452" t="s">
        <v>142</v>
      </c>
      <c r="H1452" t="s">
        <v>143</v>
      </c>
      <c r="I1452" t="s">
        <v>32</v>
      </c>
      <c r="J1452" t="s">
        <v>33</v>
      </c>
      <c r="K1452" t="s">
        <v>47</v>
      </c>
      <c r="L1452" t="s">
        <v>48</v>
      </c>
      <c r="M1452" t="s">
        <v>139</v>
      </c>
      <c r="N1452">
        <v>626</v>
      </c>
      <c r="O1452" s="14">
        <v>0.74428535345941804</v>
      </c>
      <c r="P1452" s="14">
        <v>0.33776879496872397</v>
      </c>
      <c r="Q1452" t="str">
        <f t="shared" si="44"/>
        <v>01-09</v>
      </c>
      <c r="R1452" t="str">
        <f t="shared" si="45"/>
        <v>[U8c0so51kT6]|01-09|Male|PLHIV_Residents.T_1|CY2023Q3</v>
      </c>
    </row>
    <row r="1453" spans="4:18" x14ac:dyDescent="0.2">
      <c r="D1453" t="s">
        <v>110</v>
      </c>
      <c r="E1453" t="s">
        <v>111</v>
      </c>
      <c r="F1453" t="s">
        <v>112</v>
      </c>
      <c r="G1453" t="s">
        <v>142</v>
      </c>
      <c r="H1453" t="s">
        <v>143</v>
      </c>
      <c r="I1453" t="s">
        <v>35</v>
      </c>
      <c r="J1453" t="s">
        <v>36</v>
      </c>
      <c r="K1453" t="s">
        <v>47</v>
      </c>
      <c r="L1453" t="s">
        <v>48</v>
      </c>
      <c r="M1453" t="s">
        <v>139</v>
      </c>
      <c r="N1453">
        <v>716</v>
      </c>
      <c r="O1453" s="14">
        <v>0.44859718810766902</v>
      </c>
      <c r="P1453" s="14">
        <v>0.33776879496872397</v>
      </c>
      <c r="Q1453" t="str">
        <f t="shared" si="44"/>
        <v>10-14</v>
      </c>
      <c r="R1453" t="str">
        <f t="shared" si="45"/>
        <v>[U8c0so51kT6]|10-14|Male|PLHIV_Residents.T_1|CY2023Q3</v>
      </c>
    </row>
    <row r="1454" spans="4:18" x14ac:dyDescent="0.2">
      <c r="D1454" t="s">
        <v>110</v>
      </c>
      <c r="E1454" t="s">
        <v>111</v>
      </c>
      <c r="F1454" t="s">
        <v>112</v>
      </c>
      <c r="G1454" t="s">
        <v>142</v>
      </c>
      <c r="H1454" t="s">
        <v>143</v>
      </c>
      <c r="I1454" t="s">
        <v>37</v>
      </c>
      <c r="J1454" t="s">
        <v>38</v>
      </c>
      <c r="K1454" t="s">
        <v>47</v>
      </c>
      <c r="L1454" t="s">
        <v>48</v>
      </c>
      <c r="M1454" t="s">
        <v>139</v>
      </c>
      <c r="N1454">
        <v>1233</v>
      </c>
      <c r="O1454" s="14">
        <v>0.91613158234395098</v>
      </c>
      <c r="P1454" s="14">
        <v>0.33776879496872397</v>
      </c>
      <c r="Q1454" t="str">
        <f t="shared" si="44"/>
        <v>15-24</v>
      </c>
      <c r="R1454" t="str">
        <f t="shared" si="45"/>
        <v>[U8c0so51kT6]|15-24|Male|PLHIV_Residents.T_1|CY2023Q3</v>
      </c>
    </row>
    <row r="1455" spans="4:18" x14ac:dyDescent="0.2">
      <c r="D1455" t="s">
        <v>110</v>
      </c>
      <c r="E1455" t="s">
        <v>111</v>
      </c>
      <c r="F1455" t="s">
        <v>112</v>
      </c>
      <c r="G1455" t="s">
        <v>142</v>
      </c>
      <c r="H1455" t="s">
        <v>143</v>
      </c>
      <c r="I1455" t="s">
        <v>40</v>
      </c>
      <c r="J1455" t="s">
        <v>41</v>
      </c>
      <c r="K1455" t="s">
        <v>47</v>
      </c>
      <c r="L1455" t="s">
        <v>48</v>
      </c>
      <c r="M1455" t="s">
        <v>139</v>
      </c>
      <c r="N1455">
        <v>1119</v>
      </c>
      <c r="O1455" s="14">
        <v>0.21736438549123699</v>
      </c>
      <c r="P1455" s="14">
        <v>0.33776879496872397</v>
      </c>
      <c r="Q1455" t="str">
        <f t="shared" si="44"/>
        <v>25-34</v>
      </c>
      <c r="R1455" t="str">
        <f t="shared" si="45"/>
        <v>[U8c0so51kT6]|25-34|Male|PLHIV_Residents.T_1|CY2023Q3</v>
      </c>
    </row>
    <row r="1456" spans="4:18" x14ac:dyDescent="0.2">
      <c r="D1456" t="s">
        <v>110</v>
      </c>
      <c r="E1456" t="s">
        <v>111</v>
      </c>
      <c r="F1456" t="s">
        <v>112</v>
      </c>
      <c r="G1456" t="s">
        <v>142</v>
      </c>
      <c r="H1456" t="s">
        <v>143</v>
      </c>
      <c r="I1456" t="s">
        <v>42</v>
      </c>
      <c r="J1456" t="s">
        <v>43</v>
      </c>
      <c r="K1456" t="s">
        <v>47</v>
      </c>
      <c r="L1456" t="s">
        <v>48</v>
      </c>
      <c r="M1456" t="s">
        <v>139</v>
      </c>
      <c r="N1456">
        <v>1228</v>
      </c>
      <c r="O1456" s="14">
        <v>0.185069226659834</v>
      </c>
      <c r="P1456" s="14">
        <v>0.33776879496872397</v>
      </c>
      <c r="Q1456" t="str">
        <f t="shared" si="44"/>
        <v>35-49</v>
      </c>
      <c r="R1456" t="str">
        <f t="shared" si="45"/>
        <v>[U8c0so51kT6]|35-49|Male|PLHIV_Residents.T_1|CY2023Q3</v>
      </c>
    </row>
    <row r="1457" spans="4:18" x14ac:dyDescent="0.2">
      <c r="D1457" t="s">
        <v>110</v>
      </c>
      <c r="E1457" t="s">
        <v>111</v>
      </c>
      <c r="F1457" t="s">
        <v>112</v>
      </c>
      <c r="G1457" t="s">
        <v>142</v>
      </c>
      <c r="H1457" t="s">
        <v>143</v>
      </c>
      <c r="I1457" t="s">
        <v>44</v>
      </c>
      <c r="J1457" t="s">
        <v>45</v>
      </c>
      <c r="K1457" t="s">
        <v>47</v>
      </c>
      <c r="L1457" t="s">
        <v>48</v>
      </c>
      <c r="M1457" t="s">
        <v>139</v>
      </c>
      <c r="N1457">
        <v>1523</v>
      </c>
      <c r="O1457" s="14">
        <v>0.116465563885868</v>
      </c>
      <c r="P1457" s="14">
        <v>0.33776879496872397</v>
      </c>
      <c r="Q1457" t="str">
        <f t="shared" si="44"/>
        <v>50+</v>
      </c>
      <c r="R1457" t="str">
        <f t="shared" si="45"/>
        <v>[U8c0so51kT6]|50+|Male|PLHIV_Residents.T_1|CY2023Q3</v>
      </c>
    </row>
    <row r="1458" spans="4:18" x14ac:dyDescent="0.2">
      <c r="D1458" t="s">
        <v>113</v>
      </c>
      <c r="E1458" t="s">
        <v>114</v>
      </c>
      <c r="F1458" t="s">
        <v>115</v>
      </c>
      <c r="G1458" t="s">
        <v>142</v>
      </c>
      <c r="H1458" t="s">
        <v>143</v>
      </c>
      <c r="I1458" t="s">
        <v>27</v>
      </c>
      <c r="J1458" t="s">
        <v>28</v>
      </c>
      <c r="K1458" t="s">
        <v>29</v>
      </c>
      <c r="L1458" t="s">
        <v>30</v>
      </c>
      <c r="M1458" t="s">
        <v>139</v>
      </c>
      <c r="N1458">
        <v>1683</v>
      </c>
      <c r="O1458" s="14">
        <v>0.16360495798289801</v>
      </c>
      <c r="P1458" s="14">
        <v>0.29855980910360802</v>
      </c>
      <c r="Q1458" t="str">
        <f t="shared" si="44"/>
        <v>&lt;01</v>
      </c>
      <c r="R1458" t="str">
        <f t="shared" si="45"/>
        <v>[rpw540fmNUz]|&lt;01|Female|PLHIV_Residents.T_1|CY2023Q3</v>
      </c>
    </row>
    <row r="1459" spans="4:18" x14ac:dyDescent="0.2">
      <c r="D1459" t="s">
        <v>113</v>
      </c>
      <c r="E1459" t="s">
        <v>114</v>
      </c>
      <c r="F1459" t="s">
        <v>115</v>
      </c>
      <c r="G1459" t="s">
        <v>142</v>
      </c>
      <c r="H1459" t="s">
        <v>143</v>
      </c>
      <c r="I1459" t="s">
        <v>32</v>
      </c>
      <c r="J1459" t="s">
        <v>33</v>
      </c>
      <c r="K1459" t="s">
        <v>29</v>
      </c>
      <c r="L1459" t="s">
        <v>30</v>
      </c>
      <c r="M1459" t="s">
        <v>139</v>
      </c>
      <c r="N1459">
        <v>624</v>
      </c>
      <c r="O1459" s="14">
        <v>0.43890755623578998</v>
      </c>
      <c r="P1459" s="14">
        <v>0.29855980910360802</v>
      </c>
      <c r="Q1459" t="str">
        <f t="shared" si="44"/>
        <v>01-09</v>
      </c>
      <c r="R1459" t="str">
        <f t="shared" si="45"/>
        <v>[rpw540fmNUz]|01-09|Female|PLHIV_Residents.T_1|CY2023Q3</v>
      </c>
    </row>
    <row r="1460" spans="4:18" x14ac:dyDescent="0.2">
      <c r="D1460" t="s">
        <v>113</v>
      </c>
      <c r="E1460" t="s">
        <v>114</v>
      </c>
      <c r="F1460" t="s">
        <v>115</v>
      </c>
      <c r="G1460" t="s">
        <v>142</v>
      </c>
      <c r="H1460" t="s">
        <v>143</v>
      </c>
      <c r="I1460" t="s">
        <v>35</v>
      </c>
      <c r="J1460" t="s">
        <v>36</v>
      </c>
      <c r="K1460" t="s">
        <v>29</v>
      </c>
      <c r="L1460" t="s">
        <v>30</v>
      </c>
      <c r="M1460" t="s">
        <v>139</v>
      </c>
      <c r="N1460">
        <v>1647</v>
      </c>
      <c r="O1460" s="14">
        <v>0.15037144394591501</v>
      </c>
      <c r="P1460" s="14">
        <v>0.29855980910360802</v>
      </c>
      <c r="Q1460" t="str">
        <f t="shared" si="44"/>
        <v>10-14</v>
      </c>
      <c r="R1460" t="str">
        <f t="shared" si="45"/>
        <v>[rpw540fmNUz]|10-14|Female|PLHIV_Residents.T_1|CY2023Q3</v>
      </c>
    </row>
    <row r="1461" spans="4:18" x14ac:dyDescent="0.2">
      <c r="D1461" t="s">
        <v>113</v>
      </c>
      <c r="E1461" t="s">
        <v>114</v>
      </c>
      <c r="F1461" t="s">
        <v>115</v>
      </c>
      <c r="G1461" t="s">
        <v>142</v>
      </c>
      <c r="H1461" t="s">
        <v>143</v>
      </c>
      <c r="I1461" t="s">
        <v>37</v>
      </c>
      <c r="J1461" t="s">
        <v>38</v>
      </c>
      <c r="K1461" t="s">
        <v>29</v>
      </c>
      <c r="L1461" t="s">
        <v>30</v>
      </c>
      <c r="M1461" t="s">
        <v>139</v>
      </c>
      <c r="N1461">
        <v>1059</v>
      </c>
      <c r="O1461" s="14">
        <v>0.53467241558246303</v>
      </c>
      <c r="P1461" s="14">
        <v>0.29855980910360802</v>
      </c>
      <c r="Q1461" t="str">
        <f t="shared" si="44"/>
        <v>15-24</v>
      </c>
      <c r="R1461" t="str">
        <f t="shared" si="45"/>
        <v>[rpw540fmNUz]|15-24|Female|PLHIV_Residents.T_1|CY2023Q3</v>
      </c>
    </row>
    <row r="1462" spans="4:18" x14ac:dyDescent="0.2">
      <c r="D1462" t="s">
        <v>113</v>
      </c>
      <c r="E1462" t="s">
        <v>114</v>
      </c>
      <c r="F1462" t="s">
        <v>115</v>
      </c>
      <c r="G1462" t="s">
        <v>142</v>
      </c>
      <c r="H1462" t="s">
        <v>143</v>
      </c>
      <c r="I1462" t="s">
        <v>40</v>
      </c>
      <c r="J1462" t="s">
        <v>41</v>
      </c>
      <c r="K1462" t="s">
        <v>29</v>
      </c>
      <c r="L1462" t="s">
        <v>30</v>
      </c>
      <c r="M1462" t="s">
        <v>139</v>
      </c>
      <c r="N1462">
        <v>1199</v>
      </c>
      <c r="O1462" s="14">
        <v>0.307149423286319</v>
      </c>
      <c r="P1462" s="14">
        <v>0.29855980910360802</v>
      </c>
      <c r="Q1462" t="str">
        <f t="shared" si="44"/>
        <v>25-34</v>
      </c>
      <c r="R1462" t="str">
        <f t="shared" si="45"/>
        <v>[rpw540fmNUz]|25-34|Female|PLHIV_Residents.T_1|CY2023Q3</v>
      </c>
    </row>
    <row r="1463" spans="4:18" x14ac:dyDescent="0.2">
      <c r="D1463" t="s">
        <v>113</v>
      </c>
      <c r="E1463" t="s">
        <v>114</v>
      </c>
      <c r="F1463" t="s">
        <v>115</v>
      </c>
      <c r="G1463" t="s">
        <v>142</v>
      </c>
      <c r="H1463" t="s">
        <v>143</v>
      </c>
      <c r="I1463" t="s">
        <v>42</v>
      </c>
      <c r="J1463" t="s">
        <v>43</v>
      </c>
      <c r="K1463" t="s">
        <v>29</v>
      </c>
      <c r="L1463" t="s">
        <v>30</v>
      </c>
      <c r="M1463" t="s">
        <v>139</v>
      </c>
      <c r="N1463">
        <v>1355</v>
      </c>
      <c r="O1463" s="14">
        <v>0.87837147712707497</v>
      </c>
      <c r="P1463" s="14">
        <v>0.29855980910360802</v>
      </c>
      <c r="Q1463" t="str">
        <f t="shared" si="44"/>
        <v>35-49</v>
      </c>
      <c r="R1463" t="str">
        <f t="shared" si="45"/>
        <v>[rpw540fmNUz]|35-49|Female|PLHIV_Residents.T_1|CY2023Q3</v>
      </c>
    </row>
    <row r="1464" spans="4:18" x14ac:dyDescent="0.2">
      <c r="D1464" t="s">
        <v>113</v>
      </c>
      <c r="E1464" t="s">
        <v>114</v>
      </c>
      <c r="F1464" t="s">
        <v>115</v>
      </c>
      <c r="G1464" t="s">
        <v>142</v>
      </c>
      <c r="H1464" t="s">
        <v>143</v>
      </c>
      <c r="I1464" t="s">
        <v>44</v>
      </c>
      <c r="J1464" t="s">
        <v>45</v>
      </c>
      <c r="K1464" t="s">
        <v>29</v>
      </c>
      <c r="L1464" t="s">
        <v>30</v>
      </c>
      <c r="M1464" t="s">
        <v>139</v>
      </c>
      <c r="N1464">
        <v>1867</v>
      </c>
      <c r="O1464" s="14">
        <v>0.150480751413852</v>
      </c>
      <c r="P1464" s="14">
        <v>0.29855980910360802</v>
      </c>
      <c r="Q1464" t="str">
        <f t="shared" si="44"/>
        <v>50+</v>
      </c>
      <c r="R1464" t="str">
        <f t="shared" si="45"/>
        <v>[rpw540fmNUz]|50+|Female|PLHIV_Residents.T_1|CY2023Q3</v>
      </c>
    </row>
    <row r="1465" spans="4:18" x14ac:dyDescent="0.2">
      <c r="D1465" t="s">
        <v>113</v>
      </c>
      <c r="E1465" t="s">
        <v>114</v>
      </c>
      <c r="F1465" t="s">
        <v>115</v>
      </c>
      <c r="G1465" t="s">
        <v>142</v>
      </c>
      <c r="H1465" t="s">
        <v>143</v>
      </c>
      <c r="I1465" t="s">
        <v>27</v>
      </c>
      <c r="J1465" t="s">
        <v>28</v>
      </c>
      <c r="K1465" t="s">
        <v>47</v>
      </c>
      <c r="L1465" t="s">
        <v>48</v>
      </c>
      <c r="M1465" t="s">
        <v>139</v>
      </c>
      <c r="N1465">
        <v>1994</v>
      </c>
      <c r="O1465" s="14">
        <v>0.295933772111312</v>
      </c>
      <c r="P1465" s="14">
        <v>0.29855980910360802</v>
      </c>
      <c r="Q1465" t="str">
        <f t="shared" si="44"/>
        <v>&lt;01</v>
      </c>
      <c r="R1465" t="str">
        <f t="shared" si="45"/>
        <v>[rpw540fmNUz]|&lt;01|Male|PLHIV_Residents.T_1|CY2023Q3</v>
      </c>
    </row>
    <row r="1466" spans="4:18" x14ac:dyDescent="0.2">
      <c r="D1466" t="s">
        <v>113</v>
      </c>
      <c r="E1466" t="s">
        <v>114</v>
      </c>
      <c r="F1466" t="s">
        <v>115</v>
      </c>
      <c r="G1466" t="s">
        <v>142</v>
      </c>
      <c r="H1466" t="s">
        <v>143</v>
      </c>
      <c r="I1466" t="s">
        <v>32</v>
      </c>
      <c r="J1466" t="s">
        <v>33</v>
      </c>
      <c r="K1466" t="s">
        <v>47</v>
      </c>
      <c r="L1466" t="s">
        <v>48</v>
      </c>
      <c r="M1466" t="s">
        <v>139</v>
      </c>
      <c r="N1466">
        <v>811</v>
      </c>
      <c r="O1466" s="14">
        <v>0.26147875213064298</v>
      </c>
      <c r="P1466" s="14">
        <v>0.29855980910360802</v>
      </c>
      <c r="Q1466" t="str">
        <f t="shared" si="44"/>
        <v>01-09</v>
      </c>
      <c r="R1466" t="str">
        <f t="shared" si="45"/>
        <v>[rpw540fmNUz]|01-09|Male|PLHIV_Residents.T_1|CY2023Q3</v>
      </c>
    </row>
    <row r="1467" spans="4:18" x14ac:dyDescent="0.2">
      <c r="D1467" t="s">
        <v>113</v>
      </c>
      <c r="E1467" t="s">
        <v>114</v>
      </c>
      <c r="F1467" t="s">
        <v>115</v>
      </c>
      <c r="G1467" t="s">
        <v>142</v>
      </c>
      <c r="H1467" t="s">
        <v>143</v>
      </c>
      <c r="I1467" t="s">
        <v>35</v>
      </c>
      <c r="J1467" t="s">
        <v>36</v>
      </c>
      <c r="K1467" t="s">
        <v>47</v>
      </c>
      <c r="L1467" t="s">
        <v>48</v>
      </c>
      <c r="M1467" t="s">
        <v>139</v>
      </c>
      <c r="N1467">
        <v>777</v>
      </c>
      <c r="O1467" s="14">
        <v>0.374892164953053</v>
      </c>
      <c r="P1467" s="14">
        <v>0.29855980910360802</v>
      </c>
      <c r="Q1467" t="str">
        <f t="shared" si="44"/>
        <v>10-14</v>
      </c>
      <c r="R1467" t="str">
        <f t="shared" si="45"/>
        <v>[rpw540fmNUz]|10-14|Male|PLHIV_Residents.T_1|CY2023Q3</v>
      </c>
    </row>
    <row r="1468" spans="4:18" x14ac:dyDescent="0.2">
      <c r="D1468" t="s">
        <v>113</v>
      </c>
      <c r="E1468" t="s">
        <v>114</v>
      </c>
      <c r="F1468" t="s">
        <v>115</v>
      </c>
      <c r="G1468" t="s">
        <v>142</v>
      </c>
      <c r="H1468" t="s">
        <v>143</v>
      </c>
      <c r="I1468" t="s">
        <v>37</v>
      </c>
      <c r="J1468" t="s">
        <v>38</v>
      </c>
      <c r="K1468" t="s">
        <v>47</v>
      </c>
      <c r="L1468" t="s">
        <v>48</v>
      </c>
      <c r="M1468" t="s">
        <v>139</v>
      </c>
      <c r="N1468">
        <v>1937</v>
      </c>
      <c r="O1468" s="14">
        <v>0.61670597433112595</v>
      </c>
      <c r="P1468" s="14">
        <v>0.29855980910360802</v>
      </c>
      <c r="Q1468" t="str">
        <f t="shared" si="44"/>
        <v>15-24</v>
      </c>
      <c r="R1468" t="str">
        <f t="shared" si="45"/>
        <v>[rpw540fmNUz]|15-24|Male|PLHIV_Residents.T_1|CY2023Q3</v>
      </c>
    </row>
    <row r="1469" spans="4:18" x14ac:dyDescent="0.2">
      <c r="D1469" t="s">
        <v>113</v>
      </c>
      <c r="E1469" t="s">
        <v>114</v>
      </c>
      <c r="F1469" t="s">
        <v>115</v>
      </c>
      <c r="G1469" t="s">
        <v>142</v>
      </c>
      <c r="H1469" t="s">
        <v>143</v>
      </c>
      <c r="I1469" t="s">
        <v>40</v>
      </c>
      <c r="J1469" t="s">
        <v>41</v>
      </c>
      <c r="K1469" t="s">
        <v>47</v>
      </c>
      <c r="L1469" t="s">
        <v>48</v>
      </c>
      <c r="M1469" t="s">
        <v>139</v>
      </c>
      <c r="N1469">
        <v>1010</v>
      </c>
      <c r="O1469" s="14">
        <v>0.71527223614975799</v>
      </c>
      <c r="P1469" s="14">
        <v>0.29855980910360802</v>
      </c>
      <c r="Q1469" t="str">
        <f t="shared" si="44"/>
        <v>25-34</v>
      </c>
      <c r="R1469" t="str">
        <f t="shared" si="45"/>
        <v>[rpw540fmNUz]|25-34|Male|PLHIV_Residents.T_1|CY2023Q3</v>
      </c>
    </row>
    <row r="1470" spans="4:18" x14ac:dyDescent="0.2">
      <c r="D1470" t="s">
        <v>113</v>
      </c>
      <c r="E1470" t="s">
        <v>114</v>
      </c>
      <c r="F1470" t="s">
        <v>115</v>
      </c>
      <c r="G1470" t="s">
        <v>142</v>
      </c>
      <c r="H1470" t="s">
        <v>143</v>
      </c>
      <c r="I1470" t="s">
        <v>42</v>
      </c>
      <c r="J1470" t="s">
        <v>43</v>
      </c>
      <c r="K1470" t="s">
        <v>47</v>
      </c>
      <c r="L1470" t="s">
        <v>48</v>
      </c>
      <c r="M1470" t="s">
        <v>139</v>
      </c>
      <c r="N1470">
        <v>1261</v>
      </c>
      <c r="O1470" s="14">
        <v>0.97336492897011295</v>
      </c>
      <c r="P1470" s="14">
        <v>0.29855980910360802</v>
      </c>
      <c r="Q1470" t="str">
        <f t="shared" si="44"/>
        <v>35-49</v>
      </c>
      <c r="R1470" t="str">
        <f t="shared" si="45"/>
        <v>[rpw540fmNUz]|35-49|Male|PLHIV_Residents.T_1|CY2023Q3</v>
      </c>
    </row>
    <row r="1471" spans="4:18" x14ac:dyDescent="0.2">
      <c r="D1471" t="s">
        <v>113</v>
      </c>
      <c r="E1471" t="s">
        <v>114</v>
      </c>
      <c r="F1471" t="s">
        <v>115</v>
      </c>
      <c r="G1471" t="s">
        <v>142</v>
      </c>
      <c r="H1471" t="s">
        <v>143</v>
      </c>
      <c r="I1471" t="s">
        <v>44</v>
      </c>
      <c r="J1471" t="s">
        <v>45</v>
      </c>
      <c r="K1471" t="s">
        <v>47</v>
      </c>
      <c r="L1471" t="s">
        <v>48</v>
      </c>
      <c r="M1471" t="s">
        <v>139</v>
      </c>
      <c r="N1471">
        <v>931</v>
      </c>
      <c r="O1471" s="14">
        <v>0.89361208770424105</v>
      </c>
      <c r="P1471" s="14">
        <v>0.29855980910360802</v>
      </c>
      <c r="Q1471" t="str">
        <f t="shared" si="44"/>
        <v>50+</v>
      </c>
      <c r="R1471" t="str">
        <f t="shared" si="45"/>
        <v>[rpw540fmNUz]|50+|Male|PLHIV_Residents.T_1|CY2023Q3</v>
      </c>
    </row>
    <row r="1472" spans="4:18" x14ac:dyDescent="0.2">
      <c r="D1472" t="s">
        <v>116</v>
      </c>
      <c r="E1472" t="s">
        <v>117</v>
      </c>
      <c r="F1472" t="s">
        <v>118</v>
      </c>
      <c r="G1472" t="s">
        <v>142</v>
      </c>
      <c r="H1472" t="s">
        <v>143</v>
      </c>
      <c r="I1472" t="s">
        <v>27</v>
      </c>
      <c r="J1472" t="s">
        <v>28</v>
      </c>
      <c r="K1472" t="s">
        <v>29</v>
      </c>
      <c r="L1472" t="s">
        <v>30</v>
      </c>
      <c r="M1472" t="s">
        <v>139</v>
      </c>
      <c r="N1472">
        <v>822</v>
      </c>
      <c r="O1472" s="14">
        <v>0.42854000371880802</v>
      </c>
      <c r="P1472" s="14">
        <v>0.206259709550068</v>
      </c>
      <c r="Q1472" t="str">
        <f t="shared" si="44"/>
        <v>&lt;01</v>
      </c>
      <c r="R1472" t="str">
        <f t="shared" si="45"/>
        <v>[lPTyjLi4w3d]|&lt;01|Female|PLHIV_Residents.T_1|CY2023Q3</v>
      </c>
    </row>
    <row r="1473" spans="4:18" x14ac:dyDescent="0.2">
      <c r="D1473" t="s">
        <v>116</v>
      </c>
      <c r="E1473" t="s">
        <v>117</v>
      </c>
      <c r="F1473" t="s">
        <v>118</v>
      </c>
      <c r="G1473" t="s">
        <v>142</v>
      </c>
      <c r="H1473" t="s">
        <v>143</v>
      </c>
      <c r="I1473" t="s">
        <v>32</v>
      </c>
      <c r="J1473" t="s">
        <v>33</v>
      </c>
      <c r="K1473" t="s">
        <v>29</v>
      </c>
      <c r="L1473" t="s">
        <v>30</v>
      </c>
      <c r="M1473" t="s">
        <v>139</v>
      </c>
      <c r="N1473">
        <v>1102</v>
      </c>
      <c r="O1473" s="14">
        <v>0.484103281516582</v>
      </c>
      <c r="P1473" s="14">
        <v>0.206259709550068</v>
      </c>
      <c r="Q1473" t="str">
        <f t="shared" si="44"/>
        <v>01-09</v>
      </c>
      <c r="R1473" t="str">
        <f t="shared" si="45"/>
        <v>[lPTyjLi4w3d]|01-09|Female|PLHIV_Residents.T_1|CY2023Q3</v>
      </c>
    </row>
    <row r="1474" spans="4:18" x14ac:dyDescent="0.2">
      <c r="D1474" t="s">
        <v>116</v>
      </c>
      <c r="E1474" t="s">
        <v>117</v>
      </c>
      <c r="F1474" t="s">
        <v>118</v>
      </c>
      <c r="G1474" t="s">
        <v>142</v>
      </c>
      <c r="H1474" t="s">
        <v>143</v>
      </c>
      <c r="I1474" t="s">
        <v>35</v>
      </c>
      <c r="J1474" t="s">
        <v>36</v>
      </c>
      <c r="K1474" t="s">
        <v>29</v>
      </c>
      <c r="L1474" t="s">
        <v>30</v>
      </c>
      <c r="M1474" t="s">
        <v>139</v>
      </c>
      <c r="N1474">
        <v>1947</v>
      </c>
      <c r="O1474" s="14">
        <v>0.48700228170491799</v>
      </c>
      <c r="P1474" s="14">
        <v>0.206259709550068</v>
      </c>
      <c r="Q1474" t="str">
        <f t="shared" ref="Q1474:Q1537" si="46">SUBSTITUTE(SUBSTITUTE($I1474,CHAR(61),""),CHAR(34),"")</f>
        <v>10-14</v>
      </c>
      <c r="R1474" t="str">
        <f t="shared" ref="R1474:R1537" si="47">IF($D1474&lt;&gt;"","["&amp;$E1474&amp;"]"&amp;"|"&amp;$Q1474&amp;"|"&amp;$K1474&amp;"|"&amp;$G1474&amp;"|"&amp;IF($G1474="TX_CURR_SUBNAT.R","CY2022Q4",$M1474),"")</f>
        <v>[lPTyjLi4w3d]|10-14|Female|PLHIV_Residents.T_1|CY2023Q3</v>
      </c>
    </row>
    <row r="1475" spans="4:18" x14ac:dyDescent="0.2">
      <c r="D1475" t="s">
        <v>116</v>
      </c>
      <c r="E1475" t="s">
        <v>117</v>
      </c>
      <c r="F1475" t="s">
        <v>118</v>
      </c>
      <c r="G1475" t="s">
        <v>142</v>
      </c>
      <c r="H1475" t="s">
        <v>143</v>
      </c>
      <c r="I1475" t="s">
        <v>37</v>
      </c>
      <c r="J1475" t="s">
        <v>38</v>
      </c>
      <c r="K1475" t="s">
        <v>29</v>
      </c>
      <c r="L1475" t="s">
        <v>30</v>
      </c>
      <c r="M1475" t="s">
        <v>139</v>
      </c>
      <c r="N1475">
        <v>997</v>
      </c>
      <c r="O1475" s="14">
        <v>0.87358442437835004</v>
      </c>
      <c r="P1475" s="14">
        <v>0.206259709550068</v>
      </c>
      <c r="Q1475" t="str">
        <f t="shared" si="46"/>
        <v>15-24</v>
      </c>
      <c r="R1475" t="str">
        <f t="shared" si="47"/>
        <v>[lPTyjLi4w3d]|15-24|Female|PLHIV_Residents.T_1|CY2023Q3</v>
      </c>
    </row>
    <row r="1476" spans="4:18" x14ac:dyDescent="0.2">
      <c r="D1476" t="s">
        <v>116</v>
      </c>
      <c r="E1476" t="s">
        <v>117</v>
      </c>
      <c r="F1476" t="s">
        <v>118</v>
      </c>
      <c r="G1476" t="s">
        <v>142</v>
      </c>
      <c r="H1476" t="s">
        <v>143</v>
      </c>
      <c r="I1476" t="s">
        <v>40</v>
      </c>
      <c r="J1476" t="s">
        <v>41</v>
      </c>
      <c r="K1476" t="s">
        <v>29</v>
      </c>
      <c r="L1476" t="s">
        <v>30</v>
      </c>
      <c r="M1476" t="s">
        <v>139</v>
      </c>
      <c r="N1476">
        <v>1040</v>
      </c>
      <c r="O1476" s="14">
        <v>0.98563929297961295</v>
      </c>
      <c r="P1476" s="14">
        <v>0.206259709550068</v>
      </c>
      <c r="Q1476" t="str">
        <f t="shared" si="46"/>
        <v>25-34</v>
      </c>
      <c r="R1476" t="str">
        <f t="shared" si="47"/>
        <v>[lPTyjLi4w3d]|25-34|Female|PLHIV_Residents.T_1|CY2023Q3</v>
      </c>
    </row>
    <row r="1477" spans="4:18" x14ac:dyDescent="0.2">
      <c r="D1477" t="s">
        <v>116</v>
      </c>
      <c r="E1477" t="s">
        <v>117</v>
      </c>
      <c r="F1477" t="s">
        <v>118</v>
      </c>
      <c r="G1477" t="s">
        <v>142</v>
      </c>
      <c r="H1477" t="s">
        <v>143</v>
      </c>
      <c r="I1477" t="s">
        <v>42</v>
      </c>
      <c r="J1477" t="s">
        <v>43</v>
      </c>
      <c r="K1477" t="s">
        <v>29</v>
      </c>
      <c r="L1477" t="s">
        <v>30</v>
      </c>
      <c r="M1477" t="s">
        <v>139</v>
      </c>
      <c r="N1477">
        <v>1267</v>
      </c>
      <c r="O1477" s="14">
        <v>0.21859616436995599</v>
      </c>
      <c r="P1477" s="14">
        <v>0.206259709550068</v>
      </c>
      <c r="Q1477" t="str">
        <f t="shared" si="46"/>
        <v>35-49</v>
      </c>
      <c r="R1477" t="str">
        <f t="shared" si="47"/>
        <v>[lPTyjLi4w3d]|35-49|Female|PLHIV_Residents.T_1|CY2023Q3</v>
      </c>
    </row>
    <row r="1478" spans="4:18" x14ac:dyDescent="0.2">
      <c r="D1478" t="s">
        <v>116</v>
      </c>
      <c r="E1478" t="s">
        <v>117</v>
      </c>
      <c r="F1478" t="s">
        <v>118</v>
      </c>
      <c r="G1478" t="s">
        <v>142</v>
      </c>
      <c r="H1478" t="s">
        <v>143</v>
      </c>
      <c r="I1478" t="s">
        <v>44</v>
      </c>
      <c r="J1478" t="s">
        <v>45</v>
      </c>
      <c r="K1478" t="s">
        <v>29</v>
      </c>
      <c r="L1478" t="s">
        <v>30</v>
      </c>
      <c r="M1478" t="s">
        <v>139</v>
      </c>
      <c r="N1478">
        <v>1310</v>
      </c>
      <c r="O1478" s="14">
        <v>0.66829630243591998</v>
      </c>
      <c r="P1478" s="14">
        <v>0.206259709550068</v>
      </c>
      <c r="Q1478" t="str">
        <f t="shared" si="46"/>
        <v>50+</v>
      </c>
      <c r="R1478" t="str">
        <f t="shared" si="47"/>
        <v>[lPTyjLi4w3d]|50+|Female|PLHIV_Residents.T_1|CY2023Q3</v>
      </c>
    </row>
    <row r="1479" spans="4:18" x14ac:dyDescent="0.2">
      <c r="D1479" t="s">
        <v>116</v>
      </c>
      <c r="E1479" t="s">
        <v>117</v>
      </c>
      <c r="F1479" t="s">
        <v>118</v>
      </c>
      <c r="G1479" t="s">
        <v>142</v>
      </c>
      <c r="H1479" t="s">
        <v>143</v>
      </c>
      <c r="I1479" t="s">
        <v>27</v>
      </c>
      <c r="J1479" t="s">
        <v>28</v>
      </c>
      <c r="K1479" t="s">
        <v>47</v>
      </c>
      <c r="L1479" t="s">
        <v>48</v>
      </c>
      <c r="M1479" t="s">
        <v>139</v>
      </c>
      <c r="N1479">
        <v>1706</v>
      </c>
      <c r="O1479" s="14">
        <v>0.16766790370456899</v>
      </c>
      <c r="P1479" s="14">
        <v>0.206259709550068</v>
      </c>
      <c r="Q1479" t="str">
        <f t="shared" si="46"/>
        <v>&lt;01</v>
      </c>
      <c r="R1479" t="str">
        <f t="shared" si="47"/>
        <v>[lPTyjLi4w3d]|&lt;01|Male|PLHIV_Residents.T_1|CY2023Q3</v>
      </c>
    </row>
    <row r="1480" spans="4:18" x14ac:dyDescent="0.2">
      <c r="D1480" t="s">
        <v>116</v>
      </c>
      <c r="E1480" t="s">
        <v>117</v>
      </c>
      <c r="F1480" t="s">
        <v>118</v>
      </c>
      <c r="G1480" t="s">
        <v>142</v>
      </c>
      <c r="H1480" t="s">
        <v>143</v>
      </c>
      <c r="I1480" t="s">
        <v>32</v>
      </c>
      <c r="J1480" t="s">
        <v>33</v>
      </c>
      <c r="K1480" t="s">
        <v>47</v>
      </c>
      <c r="L1480" t="s">
        <v>48</v>
      </c>
      <c r="M1480" t="s">
        <v>139</v>
      </c>
      <c r="N1480">
        <v>543</v>
      </c>
      <c r="O1480" s="14">
        <v>3.7861033109947997E-2</v>
      </c>
      <c r="P1480" s="14">
        <v>0.206259709550068</v>
      </c>
      <c r="Q1480" t="str">
        <f t="shared" si="46"/>
        <v>01-09</v>
      </c>
      <c r="R1480" t="str">
        <f t="shared" si="47"/>
        <v>[lPTyjLi4w3d]|01-09|Male|PLHIV_Residents.T_1|CY2023Q3</v>
      </c>
    </row>
    <row r="1481" spans="4:18" x14ac:dyDescent="0.2">
      <c r="D1481" t="s">
        <v>116</v>
      </c>
      <c r="E1481" t="s">
        <v>117</v>
      </c>
      <c r="F1481" t="s">
        <v>118</v>
      </c>
      <c r="G1481" t="s">
        <v>142</v>
      </c>
      <c r="H1481" t="s">
        <v>143</v>
      </c>
      <c r="I1481" t="s">
        <v>35</v>
      </c>
      <c r="J1481" t="s">
        <v>36</v>
      </c>
      <c r="K1481" t="s">
        <v>47</v>
      </c>
      <c r="L1481" t="s">
        <v>48</v>
      </c>
      <c r="M1481" t="s">
        <v>139</v>
      </c>
      <c r="N1481">
        <v>1493</v>
      </c>
      <c r="O1481" s="14">
        <v>0.61125986999832105</v>
      </c>
      <c r="P1481" s="14">
        <v>0.206259709550068</v>
      </c>
      <c r="Q1481" t="str">
        <f t="shared" si="46"/>
        <v>10-14</v>
      </c>
      <c r="R1481" t="str">
        <f t="shared" si="47"/>
        <v>[lPTyjLi4w3d]|10-14|Male|PLHIV_Residents.T_1|CY2023Q3</v>
      </c>
    </row>
    <row r="1482" spans="4:18" x14ac:dyDescent="0.2">
      <c r="D1482" t="s">
        <v>116</v>
      </c>
      <c r="E1482" t="s">
        <v>117</v>
      </c>
      <c r="F1482" t="s">
        <v>118</v>
      </c>
      <c r="G1482" t="s">
        <v>142</v>
      </c>
      <c r="H1482" t="s">
        <v>143</v>
      </c>
      <c r="I1482" t="s">
        <v>37</v>
      </c>
      <c r="J1482" t="s">
        <v>38</v>
      </c>
      <c r="K1482" t="s">
        <v>47</v>
      </c>
      <c r="L1482" t="s">
        <v>48</v>
      </c>
      <c r="M1482" t="s">
        <v>139</v>
      </c>
      <c r="N1482">
        <v>1799</v>
      </c>
      <c r="O1482" s="14">
        <v>0.85472217923961602</v>
      </c>
      <c r="P1482" s="14">
        <v>0.206259709550068</v>
      </c>
      <c r="Q1482" t="str">
        <f t="shared" si="46"/>
        <v>15-24</v>
      </c>
      <c r="R1482" t="str">
        <f t="shared" si="47"/>
        <v>[lPTyjLi4w3d]|15-24|Male|PLHIV_Residents.T_1|CY2023Q3</v>
      </c>
    </row>
    <row r="1483" spans="4:18" x14ac:dyDescent="0.2">
      <c r="D1483" t="s">
        <v>116</v>
      </c>
      <c r="E1483" t="s">
        <v>117</v>
      </c>
      <c r="F1483" t="s">
        <v>118</v>
      </c>
      <c r="G1483" t="s">
        <v>142</v>
      </c>
      <c r="H1483" t="s">
        <v>143</v>
      </c>
      <c r="I1483" t="s">
        <v>40</v>
      </c>
      <c r="J1483" t="s">
        <v>41</v>
      </c>
      <c r="K1483" t="s">
        <v>47</v>
      </c>
      <c r="L1483" t="s">
        <v>48</v>
      </c>
      <c r="M1483" t="s">
        <v>139</v>
      </c>
      <c r="N1483">
        <v>1310</v>
      </c>
      <c r="O1483" s="14">
        <v>0.207235092530027</v>
      </c>
      <c r="P1483" s="14">
        <v>0.206259709550068</v>
      </c>
      <c r="Q1483" t="str">
        <f t="shared" si="46"/>
        <v>25-34</v>
      </c>
      <c r="R1483" t="str">
        <f t="shared" si="47"/>
        <v>[lPTyjLi4w3d]|25-34|Male|PLHIV_Residents.T_1|CY2023Q3</v>
      </c>
    </row>
    <row r="1484" spans="4:18" x14ac:dyDescent="0.2">
      <c r="D1484" t="s">
        <v>116</v>
      </c>
      <c r="E1484" t="s">
        <v>117</v>
      </c>
      <c r="F1484" t="s">
        <v>118</v>
      </c>
      <c r="G1484" t="s">
        <v>142</v>
      </c>
      <c r="H1484" t="s">
        <v>143</v>
      </c>
      <c r="I1484" t="s">
        <v>42</v>
      </c>
      <c r="J1484" t="s">
        <v>43</v>
      </c>
      <c r="K1484" t="s">
        <v>47</v>
      </c>
      <c r="L1484" t="s">
        <v>48</v>
      </c>
      <c r="M1484" t="s">
        <v>139</v>
      </c>
      <c r="N1484">
        <v>1374</v>
      </c>
      <c r="O1484" s="14">
        <v>0.62045385828241695</v>
      </c>
      <c r="P1484" s="14">
        <v>0.206259709550068</v>
      </c>
      <c r="Q1484" t="str">
        <f t="shared" si="46"/>
        <v>35-49</v>
      </c>
      <c r="R1484" t="str">
        <f t="shared" si="47"/>
        <v>[lPTyjLi4w3d]|35-49|Male|PLHIV_Residents.T_1|CY2023Q3</v>
      </c>
    </row>
    <row r="1485" spans="4:18" x14ac:dyDescent="0.2">
      <c r="D1485" t="s">
        <v>116</v>
      </c>
      <c r="E1485" t="s">
        <v>117</v>
      </c>
      <c r="F1485" t="s">
        <v>118</v>
      </c>
      <c r="G1485" t="s">
        <v>142</v>
      </c>
      <c r="H1485" t="s">
        <v>143</v>
      </c>
      <c r="I1485" t="s">
        <v>44</v>
      </c>
      <c r="J1485" t="s">
        <v>45</v>
      </c>
      <c r="K1485" t="s">
        <v>47</v>
      </c>
      <c r="L1485" t="s">
        <v>48</v>
      </c>
      <c r="M1485" t="s">
        <v>139</v>
      </c>
      <c r="N1485">
        <v>557</v>
      </c>
      <c r="O1485" s="14">
        <v>0.75870959251187697</v>
      </c>
      <c r="P1485" s="14">
        <v>0.206259709550068</v>
      </c>
      <c r="Q1485" t="str">
        <f t="shared" si="46"/>
        <v>50+</v>
      </c>
      <c r="R1485" t="str">
        <f t="shared" si="47"/>
        <v>[lPTyjLi4w3d]|50+|Male|PLHIV_Residents.T_1|CY2023Q3</v>
      </c>
    </row>
    <row r="1486" spans="4:18" x14ac:dyDescent="0.2">
      <c r="D1486" t="s">
        <v>119</v>
      </c>
      <c r="E1486" t="s">
        <v>120</v>
      </c>
      <c r="F1486" t="s">
        <v>121</v>
      </c>
      <c r="G1486" t="s">
        <v>142</v>
      </c>
      <c r="H1486" t="s">
        <v>143</v>
      </c>
      <c r="I1486" t="s">
        <v>27</v>
      </c>
      <c r="J1486" t="s">
        <v>28</v>
      </c>
      <c r="K1486" t="s">
        <v>29</v>
      </c>
      <c r="L1486" t="s">
        <v>30</v>
      </c>
      <c r="M1486" t="s">
        <v>139</v>
      </c>
      <c r="N1486">
        <v>1384</v>
      </c>
      <c r="O1486" s="14">
        <v>0.97948519210331098</v>
      </c>
      <c r="P1486" s="14">
        <v>0.43010397930629601</v>
      </c>
      <c r="Q1486" t="str">
        <f t="shared" si="46"/>
        <v>&lt;01</v>
      </c>
      <c r="R1486" t="str">
        <f t="shared" si="47"/>
        <v>[vA4NcHxfMBq]|&lt;01|Female|PLHIV_Residents.T_1|CY2023Q3</v>
      </c>
    </row>
    <row r="1487" spans="4:18" x14ac:dyDescent="0.2">
      <c r="D1487" t="s">
        <v>119</v>
      </c>
      <c r="E1487" t="s">
        <v>120</v>
      </c>
      <c r="F1487" t="s">
        <v>121</v>
      </c>
      <c r="G1487" t="s">
        <v>142</v>
      </c>
      <c r="H1487" t="s">
        <v>143</v>
      </c>
      <c r="I1487" t="s">
        <v>32</v>
      </c>
      <c r="J1487" t="s">
        <v>33</v>
      </c>
      <c r="K1487" t="s">
        <v>29</v>
      </c>
      <c r="L1487" t="s">
        <v>30</v>
      </c>
      <c r="M1487" t="s">
        <v>139</v>
      </c>
      <c r="N1487">
        <v>949</v>
      </c>
      <c r="O1487" s="14">
        <v>0.58856507949531101</v>
      </c>
      <c r="P1487" s="14">
        <v>0.43010397930629601</v>
      </c>
      <c r="Q1487" t="str">
        <f t="shared" si="46"/>
        <v>01-09</v>
      </c>
      <c r="R1487" t="str">
        <f t="shared" si="47"/>
        <v>[vA4NcHxfMBq]|01-09|Female|PLHIV_Residents.T_1|CY2023Q3</v>
      </c>
    </row>
    <row r="1488" spans="4:18" x14ac:dyDescent="0.2">
      <c r="D1488" t="s">
        <v>119</v>
      </c>
      <c r="E1488" t="s">
        <v>120</v>
      </c>
      <c r="F1488" t="s">
        <v>121</v>
      </c>
      <c r="G1488" t="s">
        <v>142</v>
      </c>
      <c r="H1488" t="s">
        <v>143</v>
      </c>
      <c r="I1488" t="s">
        <v>35</v>
      </c>
      <c r="J1488" t="s">
        <v>36</v>
      </c>
      <c r="K1488" t="s">
        <v>29</v>
      </c>
      <c r="L1488" t="s">
        <v>30</v>
      </c>
      <c r="M1488" t="s">
        <v>139</v>
      </c>
      <c r="N1488">
        <v>507</v>
      </c>
      <c r="O1488" s="14">
        <v>0.67534460639581095</v>
      </c>
      <c r="P1488" s="14">
        <v>0.43010397930629601</v>
      </c>
      <c r="Q1488" t="str">
        <f t="shared" si="46"/>
        <v>10-14</v>
      </c>
      <c r="R1488" t="str">
        <f t="shared" si="47"/>
        <v>[vA4NcHxfMBq]|10-14|Female|PLHIV_Residents.T_1|CY2023Q3</v>
      </c>
    </row>
    <row r="1489" spans="4:18" x14ac:dyDescent="0.2">
      <c r="D1489" t="s">
        <v>119</v>
      </c>
      <c r="E1489" t="s">
        <v>120</v>
      </c>
      <c r="F1489" t="s">
        <v>121</v>
      </c>
      <c r="G1489" t="s">
        <v>142</v>
      </c>
      <c r="H1489" t="s">
        <v>143</v>
      </c>
      <c r="I1489" t="s">
        <v>37</v>
      </c>
      <c r="J1489" t="s">
        <v>38</v>
      </c>
      <c r="K1489" t="s">
        <v>29</v>
      </c>
      <c r="L1489" t="s">
        <v>30</v>
      </c>
      <c r="M1489" t="s">
        <v>139</v>
      </c>
      <c r="N1489">
        <v>1143</v>
      </c>
      <c r="O1489" s="14">
        <v>0.53810332994908106</v>
      </c>
      <c r="P1489" s="14">
        <v>0.43010397930629601</v>
      </c>
      <c r="Q1489" t="str">
        <f t="shared" si="46"/>
        <v>15-24</v>
      </c>
      <c r="R1489" t="str">
        <f t="shared" si="47"/>
        <v>[vA4NcHxfMBq]|15-24|Female|PLHIV_Residents.T_1|CY2023Q3</v>
      </c>
    </row>
    <row r="1490" spans="4:18" x14ac:dyDescent="0.2">
      <c r="D1490" t="s">
        <v>119</v>
      </c>
      <c r="E1490" t="s">
        <v>120</v>
      </c>
      <c r="F1490" t="s">
        <v>121</v>
      </c>
      <c r="G1490" t="s">
        <v>142</v>
      </c>
      <c r="H1490" t="s">
        <v>143</v>
      </c>
      <c r="I1490" t="s">
        <v>40</v>
      </c>
      <c r="J1490" t="s">
        <v>41</v>
      </c>
      <c r="K1490" t="s">
        <v>29</v>
      </c>
      <c r="L1490" t="s">
        <v>30</v>
      </c>
      <c r="M1490" t="s">
        <v>139</v>
      </c>
      <c r="N1490">
        <v>578</v>
      </c>
      <c r="O1490" s="14">
        <v>0.23016364988870899</v>
      </c>
      <c r="P1490" s="14">
        <v>0.43010397930629601</v>
      </c>
      <c r="Q1490" t="str">
        <f t="shared" si="46"/>
        <v>25-34</v>
      </c>
      <c r="R1490" t="str">
        <f t="shared" si="47"/>
        <v>[vA4NcHxfMBq]|25-34|Female|PLHIV_Residents.T_1|CY2023Q3</v>
      </c>
    </row>
    <row r="1491" spans="4:18" x14ac:dyDescent="0.2">
      <c r="D1491" t="s">
        <v>119</v>
      </c>
      <c r="E1491" t="s">
        <v>120</v>
      </c>
      <c r="F1491" t="s">
        <v>121</v>
      </c>
      <c r="G1491" t="s">
        <v>142</v>
      </c>
      <c r="H1491" t="s">
        <v>143</v>
      </c>
      <c r="I1491" t="s">
        <v>42</v>
      </c>
      <c r="J1491" t="s">
        <v>43</v>
      </c>
      <c r="K1491" t="s">
        <v>29</v>
      </c>
      <c r="L1491" t="s">
        <v>30</v>
      </c>
      <c r="M1491" t="s">
        <v>139</v>
      </c>
      <c r="N1491">
        <v>1799</v>
      </c>
      <c r="O1491" s="14">
        <v>0.29594631912186697</v>
      </c>
      <c r="P1491" s="14">
        <v>0.43010397930629601</v>
      </c>
      <c r="Q1491" t="str">
        <f t="shared" si="46"/>
        <v>35-49</v>
      </c>
      <c r="R1491" t="str">
        <f t="shared" si="47"/>
        <v>[vA4NcHxfMBq]|35-49|Female|PLHIV_Residents.T_1|CY2023Q3</v>
      </c>
    </row>
    <row r="1492" spans="4:18" x14ac:dyDescent="0.2">
      <c r="D1492" t="s">
        <v>119</v>
      </c>
      <c r="E1492" t="s">
        <v>120</v>
      </c>
      <c r="F1492" t="s">
        <v>121</v>
      </c>
      <c r="G1492" t="s">
        <v>142</v>
      </c>
      <c r="H1492" t="s">
        <v>143</v>
      </c>
      <c r="I1492" t="s">
        <v>44</v>
      </c>
      <c r="J1492" t="s">
        <v>45</v>
      </c>
      <c r="K1492" t="s">
        <v>29</v>
      </c>
      <c r="L1492" t="s">
        <v>30</v>
      </c>
      <c r="M1492" t="s">
        <v>139</v>
      </c>
      <c r="N1492">
        <v>1478</v>
      </c>
      <c r="O1492" s="14">
        <v>0.95321259857155405</v>
      </c>
      <c r="P1492" s="14">
        <v>0.43010397930629601</v>
      </c>
      <c r="Q1492" t="str">
        <f t="shared" si="46"/>
        <v>50+</v>
      </c>
      <c r="R1492" t="str">
        <f t="shared" si="47"/>
        <v>[vA4NcHxfMBq]|50+|Female|PLHIV_Residents.T_1|CY2023Q3</v>
      </c>
    </row>
    <row r="1493" spans="4:18" x14ac:dyDescent="0.2">
      <c r="D1493" t="s">
        <v>119</v>
      </c>
      <c r="E1493" t="s">
        <v>120</v>
      </c>
      <c r="F1493" t="s">
        <v>121</v>
      </c>
      <c r="G1493" t="s">
        <v>142</v>
      </c>
      <c r="H1493" t="s">
        <v>143</v>
      </c>
      <c r="I1493" t="s">
        <v>27</v>
      </c>
      <c r="J1493" t="s">
        <v>28</v>
      </c>
      <c r="K1493" t="s">
        <v>47</v>
      </c>
      <c r="L1493" t="s">
        <v>48</v>
      </c>
      <c r="M1493" t="s">
        <v>139</v>
      </c>
      <c r="N1493">
        <v>1248</v>
      </c>
      <c r="O1493" s="14">
        <v>0.218958417652175</v>
      </c>
      <c r="P1493" s="14">
        <v>0.43010397930629601</v>
      </c>
      <c r="Q1493" t="str">
        <f t="shared" si="46"/>
        <v>&lt;01</v>
      </c>
      <c r="R1493" t="str">
        <f t="shared" si="47"/>
        <v>[vA4NcHxfMBq]|&lt;01|Male|PLHIV_Residents.T_1|CY2023Q3</v>
      </c>
    </row>
    <row r="1494" spans="4:18" x14ac:dyDescent="0.2">
      <c r="D1494" t="s">
        <v>119</v>
      </c>
      <c r="E1494" t="s">
        <v>120</v>
      </c>
      <c r="F1494" t="s">
        <v>121</v>
      </c>
      <c r="G1494" t="s">
        <v>142</v>
      </c>
      <c r="H1494" t="s">
        <v>143</v>
      </c>
      <c r="I1494" t="s">
        <v>32</v>
      </c>
      <c r="J1494" t="s">
        <v>33</v>
      </c>
      <c r="K1494" t="s">
        <v>47</v>
      </c>
      <c r="L1494" t="s">
        <v>48</v>
      </c>
      <c r="M1494" t="s">
        <v>139</v>
      </c>
      <c r="N1494">
        <v>1896</v>
      </c>
      <c r="O1494" s="14">
        <v>0.51300517935305801</v>
      </c>
      <c r="P1494" s="14">
        <v>0.43010397930629601</v>
      </c>
      <c r="Q1494" t="str">
        <f t="shared" si="46"/>
        <v>01-09</v>
      </c>
      <c r="R1494" t="str">
        <f t="shared" si="47"/>
        <v>[vA4NcHxfMBq]|01-09|Male|PLHIV_Residents.T_1|CY2023Q3</v>
      </c>
    </row>
    <row r="1495" spans="4:18" x14ac:dyDescent="0.2">
      <c r="D1495" t="s">
        <v>119</v>
      </c>
      <c r="E1495" t="s">
        <v>120</v>
      </c>
      <c r="F1495" t="s">
        <v>121</v>
      </c>
      <c r="G1495" t="s">
        <v>142</v>
      </c>
      <c r="H1495" t="s">
        <v>143</v>
      </c>
      <c r="I1495" t="s">
        <v>35</v>
      </c>
      <c r="J1495" t="s">
        <v>36</v>
      </c>
      <c r="K1495" t="s">
        <v>47</v>
      </c>
      <c r="L1495" t="s">
        <v>48</v>
      </c>
      <c r="M1495" t="s">
        <v>139</v>
      </c>
      <c r="N1495">
        <v>1249</v>
      </c>
      <c r="O1495" s="14">
        <v>0.30642073461785901</v>
      </c>
      <c r="P1495" s="14">
        <v>0.43010397930629601</v>
      </c>
      <c r="Q1495" t="str">
        <f t="shared" si="46"/>
        <v>10-14</v>
      </c>
      <c r="R1495" t="str">
        <f t="shared" si="47"/>
        <v>[vA4NcHxfMBq]|10-14|Male|PLHIV_Residents.T_1|CY2023Q3</v>
      </c>
    </row>
    <row r="1496" spans="4:18" x14ac:dyDescent="0.2">
      <c r="D1496" t="s">
        <v>119</v>
      </c>
      <c r="E1496" t="s">
        <v>120</v>
      </c>
      <c r="F1496" t="s">
        <v>121</v>
      </c>
      <c r="G1496" t="s">
        <v>142</v>
      </c>
      <c r="H1496" t="s">
        <v>143</v>
      </c>
      <c r="I1496" t="s">
        <v>37</v>
      </c>
      <c r="J1496" t="s">
        <v>38</v>
      </c>
      <c r="K1496" t="s">
        <v>47</v>
      </c>
      <c r="L1496" t="s">
        <v>48</v>
      </c>
      <c r="M1496" t="s">
        <v>139</v>
      </c>
      <c r="N1496">
        <v>1358</v>
      </c>
      <c r="O1496" s="14">
        <v>0.40118774864822598</v>
      </c>
      <c r="P1496" s="14">
        <v>0.43010397930629601</v>
      </c>
      <c r="Q1496" t="str">
        <f t="shared" si="46"/>
        <v>15-24</v>
      </c>
      <c r="R1496" t="str">
        <f t="shared" si="47"/>
        <v>[vA4NcHxfMBq]|15-24|Male|PLHIV_Residents.T_1|CY2023Q3</v>
      </c>
    </row>
    <row r="1497" spans="4:18" x14ac:dyDescent="0.2">
      <c r="D1497" t="s">
        <v>119</v>
      </c>
      <c r="E1497" t="s">
        <v>120</v>
      </c>
      <c r="F1497" t="s">
        <v>121</v>
      </c>
      <c r="G1497" t="s">
        <v>142</v>
      </c>
      <c r="H1497" t="s">
        <v>143</v>
      </c>
      <c r="I1497" t="s">
        <v>40</v>
      </c>
      <c r="J1497" t="s">
        <v>41</v>
      </c>
      <c r="K1497" t="s">
        <v>47</v>
      </c>
      <c r="L1497" t="s">
        <v>48</v>
      </c>
      <c r="M1497" t="s">
        <v>139</v>
      </c>
      <c r="N1497">
        <v>872</v>
      </c>
      <c r="O1497" s="14">
        <v>0.252078891033307</v>
      </c>
      <c r="P1497" s="14">
        <v>0.43010397930629601</v>
      </c>
      <c r="Q1497" t="str">
        <f t="shared" si="46"/>
        <v>25-34</v>
      </c>
      <c r="R1497" t="str">
        <f t="shared" si="47"/>
        <v>[vA4NcHxfMBq]|25-34|Male|PLHIV_Residents.T_1|CY2023Q3</v>
      </c>
    </row>
    <row r="1498" spans="4:18" x14ac:dyDescent="0.2">
      <c r="D1498" t="s">
        <v>119</v>
      </c>
      <c r="E1498" t="s">
        <v>120</v>
      </c>
      <c r="F1498" t="s">
        <v>121</v>
      </c>
      <c r="G1498" t="s">
        <v>142</v>
      </c>
      <c r="H1498" t="s">
        <v>143</v>
      </c>
      <c r="I1498" t="s">
        <v>42</v>
      </c>
      <c r="J1498" t="s">
        <v>43</v>
      </c>
      <c r="K1498" t="s">
        <v>47</v>
      </c>
      <c r="L1498" t="s">
        <v>48</v>
      </c>
      <c r="M1498" t="s">
        <v>139</v>
      </c>
      <c r="N1498">
        <v>1671</v>
      </c>
      <c r="O1498" s="14">
        <v>4.6145392116159201E-3</v>
      </c>
      <c r="P1498" s="14">
        <v>0.43010397930629601</v>
      </c>
      <c r="Q1498" t="str">
        <f t="shared" si="46"/>
        <v>35-49</v>
      </c>
      <c r="R1498" t="str">
        <f t="shared" si="47"/>
        <v>[vA4NcHxfMBq]|35-49|Male|PLHIV_Residents.T_1|CY2023Q3</v>
      </c>
    </row>
    <row r="1499" spans="4:18" x14ac:dyDescent="0.2">
      <c r="D1499" t="s">
        <v>119</v>
      </c>
      <c r="E1499" t="s">
        <v>120</v>
      </c>
      <c r="F1499" t="s">
        <v>121</v>
      </c>
      <c r="G1499" t="s">
        <v>142</v>
      </c>
      <c r="H1499" t="s">
        <v>143</v>
      </c>
      <c r="I1499" t="s">
        <v>44</v>
      </c>
      <c r="J1499" t="s">
        <v>45</v>
      </c>
      <c r="K1499" t="s">
        <v>47</v>
      </c>
      <c r="L1499" t="s">
        <v>48</v>
      </c>
      <c r="M1499" t="s">
        <v>139</v>
      </c>
      <c r="N1499">
        <v>548</v>
      </c>
      <c r="O1499" s="14">
        <v>0.132812818745151</v>
      </c>
      <c r="P1499" s="14">
        <v>0.43010397930629601</v>
      </c>
      <c r="Q1499" t="str">
        <f t="shared" si="46"/>
        <v>50+</v>
      </c>
      <c r="R1499" t="str">
        <f t="shared" si="47"/>
        <v>[vA4NcHxfMBq]|50+|Male|PLHIV_Residents.T_1|CY2023Q3</v>
      </c>
    </row>
    <row r="1500" spans="4:18" x14ac:dyDescent="0.2">
      <c r="D1500" t="s">
        <v>122</v>
      </c>
      <c r="E1500" t="s">
        <v>123</v>
      </c>
      <c r="F1500" t="s">
        <v>124</v>
      </c>
      <c r="G1500" t="s">
        <v>142</v>
      </c>
      <c r="H1500" t="s">
        <v>143</v>
      </c>
      <c r="I1500" t="s">
        <v>27</v>
      </c>
      <c r="J1500" t="s">
        <v>28</v>
      </c>
      <c r="K1500" t="s">
        <v>29</v>
      </c>
      <c r="L1500" t="s">
        <v>30</v>
      </c>
      <c r="M1500" t="s">
        <v>139</v>
      </c>
      <c r="N1500">
        <v>682</v>
      </c>
      <c r="O1500" s="14">
        <v>0.27923389780335101</v>
      </c>
      <c r="P1500" s="14">
        <v>0.41950060334056599</v>
      </c>
      <c r="Q1500" t="str">
        <f t="shared" si="46"/>
        <v>&lt;01</v>
      </c>
      <c r="R1500" t="str">
        <f t="shared" si="47"/>
        <v>[E7zpfyBt7Tw]|&lt;01|Female|PLHIV_Residents.T_1|CY2023Q3</v>
      </c>
    </row>
    <row r="1501" spans="4:18" x14ac:dyDescent="0.2">
      <c r="D1501" t="s">
        <v>122</v>
      </c>
      <c r="E1501" t="s">
        <v>123</v>
      </c>
      <c r="F1501" t="s">
        <v>124</v>
      </c>
      <c r="G1501" t="s">
        <v>142</v>
      </c>
      <c r="H1501" t="s">
        <v>143</v>
      </c>
      <c r="I1501" t="s">
        <v>32</v>
      </c>
      <c r="J1501" t="s">
        <v>33</v>
      </c>
      <c r="K1501" t="s">
        <v>29</v>
      </c>
      <c r="L1501" t="s">
        <v>30</v>
      </c>
      <c r="M1501" t="s">
        <v>139</v>
      </c>
      <c r="N1501">
        <v>774</v>
      </c>
      <c r="O1501" s="14">
        <v>0.60818011313676801</v>
      </c>
      <c r="P1501" s="14">
        <v>0.41950060334056599</v>
      </c>
      <c r="Q1501" t="str">
        <f t="shared" si="46"/>
        <v>01-09</v>
      </c>
      <c r="R1501" t="str">
        <f t="shared" si="47"/>
        <v>[E7zpfyBt7Tw]|01-09|Female|PLHIV_Residents.T_1|CY2023Q3</v>
      </c>
    </row>
    <row r="1502" spans="4:18" x14ac:dyDescent="0.2">
      <c r="D1502" t="s">
        <v>122</v>
      </c>
      <c r="E1502" t="s">
        <v>123</v>
      </c>
      <c r="F1502" t="s">
        <v>124</v>
      </c>
      <c r="G1502" t="s">
        <v>142</v>
      </c>
      <c r="H1502" t="s">
        <v>143</v>
      </c>
      <c r="I1502" t="s">
        <v>35</v>
      </c>
      <c r="J1502" t="s">
        <v>36</v>
      </c>
      <c r="K1502" t="s">
        <v>29</v>
      </c>
      <c r="L1502" t="s">
        <v>30</v>
      </c>
      <c r="M1502" t="s">
        <v>139</v>
      </c>
      <c r="N1502">
        <v>1261</v>
      </c>
      <c r="O1502" s="14">
        <v>9.0620879549533101E-2</v>
      </c>
      <c r="P1502" s="14">
        <v>0.41950060334056599</v>
      </c>
      <c r="Q1502" t="str">
        <f t="shared" si="46"/>
        <v>10-14</v>
      </c>
      <c r="R1502" t="str">
        <f t="shared" si="47"/>
        <v>[E7zpfyBt7Tw]|10-14|Female|PLHIV_Residents.T_1|CY2023Q3</v>
      </c>
    </row>
    <row r="1503" spans="4:18" x14ac:dyDescent="0.2">
      <c r="D1503" t="s">
        <v>122</v>
      </c>
      <c r="E1503" t="s">
        <v>123</v>
      </c>
      <c r="F1503" t="s">
        <v>124</v>
      </c>
      <c r="G1503" t="s">
        <v>142</v>
      </c>
      <c r="H1503" t="s">
        <v>143</v>
      </c>
      <c r="I1503" t="s">
        <v>37</v>
      </c>
      <c r="J1503" t="s">
        <v>38</v>
      </c>
      <c r="K1503" t="s">
        <v>29</v>
      </c>
      <c r="L1503" t="s">
        <v>30</v>
      </c>
      <c r="M1503" t="s">
        <v>139</v>
      </c>
      <c r="N1503">
        <v>1578</v>
      </c>
      <c r="O1503" s="14">
        <v>0.13327072048559799</v>
      </c>
      <c r="P1503" s="14">
        <v>0.41950060334056599</v>
      </c>
      <c r="Q1503" t="str">
        <f t="shared" si="46"/>
        <v>15-24</v>
      </c>
      <c r="R1503" t="str">
        <f t="shared" si="47"/>
        <v>[E7zpfyBt7Tw]|15-24|Female|PLHIV_Residents.T_1|CY2023Q3</v>
      </c>
    </row>
    <row r="1504" spans="4:18" x14ac:dyDescent="0.2">
      <c r="D1504" t="s">
        <v>122</v>
      </c>
      <c r="E1504" t="s">
        <v>123</v>
      </c>
      <c r="F1504" t="s">
        <v>124</v>
      </c>
      <c r="G1504" t="s">
        <v>142</v>
      </c>
      <c r="H1504" t="s">
        <v>143</v>
      </c>
      <c r="I1504" t="s">
        <v>40</v>
      </c>
      <c r="J1504" t="s">
        <v>41</v>
      </c>
      <c r="K1504" t="s">
        <v>29</v>
      </c>
      <c r="L1504" t="s">
        <v>30</v>
      </c>
      <c r="M1504" t="s">
        <v>139</v>
      </c>
      <c r="N1504">
        <v>1824</v>
      </c>
      <c r="O1504" s="14">
        <v>0.48451193980872598</v>
      </c>
      <c r="P1504" s="14">
        <v>0.41950060334056599</v>
      </c>
      <c r="Q1504" t="str">
        <f t="shared" si="46"/>
        <v>25-34</v>
      </c>
      <c r="R1504" t="str">
        <f t="shared" si="47"/>
        <v>[E7zpfyBt7Tw]|25-34|Female|PLHIV_Residents.T_1|CY2023Q3</v>
      </c>
    </row>
    <row r="1505" spans="4:18" x14ac:dyDescent="0.2">
      <c r="D1505" t="s">
        <v>122</v>
      </c>
      <c r="E1505" t="s">
        <v>123</v>
      </c>
      <c r="F1505" t="s">
        <v>124</v>
      </c>
      <c r="G1505" t="s">
        <v>142</v>
      </c>
      <c r="H1505" t="s">
        <v>143</v>
      </c>
      <c r="I1505" t="s">
        <v>42</v>
      </c>
      <c r="J1505" t="s">
        <v>43</v>
      </c>
      <c r="K1505" t="s">
        <v>29</v>
      </c>
      <c r="L1505" t="s">
        <v>30</v>
      </c>
      <c r="M1505" t="s">
        <v>139</v>
      </c>
      <c r="N1505">
        <v>1103</v>
      </c>
      <c r="O1505" s="14">
        <v>0.62259987043216802</v>
      </c>
      <c r="P1505" s="14">
        <v>0.41950060334056599</v>
      </c>
      <c r="Q1505" t="str">
        <f t="shared" si="46"/>
        <v>35-49</v>
      </c>
      <c r="R1505" t="str">
        <f t="shared" si="47"/>
        <v>[E7zpfyBt7Tw]|35-49|Female|PLHIV_Residents.T_1|CY2023Q3</v>
      </c>
    </row>
    <row r="1506" spans="4:18" x14ac:dyDescent="0.2">
      <c r="D1506" t="s">
        <v>122</v>
      </c>
      <c r="E1506" t="s">
        <v>123</v>
      </c>
      <c r="F1506" t="s">
        <v>124</v>
      </c>
      <c r="G1506" t="s">
        <v>142</v>
      </c>
      <c r="H1506" t="s">
        <v>143</v>
      </c>
      <c r="I1506" t="s">
        <v>44</v>
      </c>
      <c r="J1506" t="s">
        <v>45</v>
      </c>
      <c r="K1506" t="s">
        <v>29</v>
      </c>
      <c r="L1506" t="s">
        <v>30</v>
      </c>
      <c r="M1506" t="s">
        <v>139</v>
      </c>
      <c r="N1506">
        <v>1707</v>
      </c>
      <c r="O1506" s="14">
        <v>0.87757456139661405</v>
      </c>
      <c r="P1506" s="14">
        <v>0.41950060334056599</v>
      </c>
      <c r="Q1506" t="str">
        <f t="shared" si="46"/>
        <v>50+</v>
      </c>
      <c r="R1506" t="str">
        <f t="shared" si="47"/>
        <v>[E7zpfyBt7Tw]|50+|Female|PLHIV_Residents.T_1|CY2023Q3</v>
      </c>
    </row>
    <row r="1507" spans="4:18" x14ac:dyDescent="0.2">
      <c r="D1507" t="s">
        <v>122</v>
      </c>
      <c r="E1507" t="s">
        <v>123</v>
      </c>
      <c r="F1507" t="s">
        <v>124</v>
      </c>
      <c r="G1507" t="s">
        <v>142</v>
      </c>
      <c r="H1507" t="s">
        <v>143</v>
      </c>
      <c r="I1507" t="s">
        <v>27</v>
      </c>
      <c r="J1507" t="s">
        <v>28</v>
      </c>
      <c r="K1507" t="s">
        <v>47</v>
      </c>
      <c r="L1507" t="s">
        <v>48</v>
      </c>
      <c r="M1507" t="s">
        <v>139</v>
      </c>
      <c r="N1507">
        <v>690</v>
      </c>
      <c r="O1507" s="14">
        <v>0.50187893072143197</v>
      </c>
      <c r="P1507" s="14">
        <v>0.41950060334056599</v>
      </c>
      <c r="Q1507" t="str">
        <f t="shared" si="46"/>
        <v>&lt;01</v>
      </c>
      <c r="R1507" t="str">
        <f t="shared" si="47"/>
        <v>[E7zpfyBt7Tw]|&lt;01|Male|PLHIV_Residents.T_1|CY2023Q3</v>
      </c>
    </row>
    <row r="1508" spans="4:18" x14ac:dyDescent="0.2">
      <c r="D1508" t="s">
        <v>122</v>
      </c>
      <c r="E1508" t="s">
        <v>123</v>
      </c>
      <c r="F1508" t="s">
        <v>124</v>
      </c>
      <c r="G1508" t="s">
        <v>142</v>
      </c>
      <c r="H1508" t="s">
        <v>143</v>
      </c>
      <c r="I1508" t="s">
        <v>32</v>
      </c>
      <c r="J1508" t="s">
        <v>33</v>
      </c>
      <c r="K1508" t="s">
        <v>47</v>
      </c>
      <c r="L1508" t="s">
        <v>48</v>
      </c>
      <c r="M1508" t="s">
        <v>139</v>
      </c>
      <c r="N1508">
        <v>1748</v>
      </c>
      <c r="O1508" s="14">
        <v>0.45133126643486299</v>
      </c>
      <c r="P1508" s="14">
        <v>0.41950060334056599</v>
      </c>
      <c r="Q1508" t="str">
        <f t="shared" si="46"/>
        <v>01-09</v>
      </c>
      <c r="R1508" t="str">
        <f t="shared" si="47"/>
        <v>[E7zpfyBt7Tw]|01-09|Male|PLHIV_Residents.T_1|CY2023Q3</v>
      </c>
    </row>
    <row r="1509" spans="4:18" x14ac:dyDescent="0.2">
      <c r="D1509" t="s">
        <v>122</v>
      </c>
      <c r="E1509" t="s">
        <v>123</v>
      </c>
      <c r="F1509" t="s">
        <v>124</v>
      </c>
      <c r="G1509" t="s">
        <v>142</v>
      </c>
      <c r="H1509" t="s">
        <v>143</v>
      </c>
      <c r="I1509" t="s">
        <v>35</v>
      </c>
      <c r="J1509" t="s">
        <v>36</v>
      </c>
      <c r="K1509" t="s">
        <v>47</v>
      </c>
      <c r="L1509" t="s">
        <v>48</v>
      </c>
      <c r="M1509" t="s">
        <v>139</v>
      </c>
      <c r="N1509">
        <v>597</v>
      </c>
      <c r="O1509" s="14">
        <v>0.96472227317281101</v>
      </c>
      <c r="P1509" s="14">
        <v>0.41950060334056599</v>
      </c>
      <c r="Q1509" t="str">
        <f t="shared" si="46"/>
        <v>10-14</v>
      </c>
      <c r="R1509" t="str">
        <f t="shared" si="47"/>
        <v>[E7zpfyBt7Tw]|10-14|Male|PLHIV_Residents.T_1|CY2023Q3</v>
      </c>
    </row>
    <row r="1510" spans="4:18" x14ac:dyDescent="0.2">
      <c r="D1510" t="s">
        <v>122</v>
      </c>
      <c r="E1510" t="s">
        <v>123</v>
      </c>
      <c r="F1510" t="s">
        <v>124</v>
      </c>
      <c r="G1510" t="s">
        <v>142</v>
      </c>
      <c r="H1510" t="s">
        <v>143</v>
      </c>
      <c r="I1510" t="s">
        <v>37</v>
      </c>
      <c r="J1510" t="s">
        <v>38</v>
      </c>
      <c r="K1510" t="s">
        <v>47</v>
      </c>
      <c r="L1510" t="s">
        <v>48</v>
      </c>
      <c r="M1510" t="s">
        <v>139</v>
      </c>
      <c r="N1510">
        <v>694</v>
      </c>
      <c r="O1510" s="14">
        <v>0.104725224664435</v>
      </c>
      <c r="P1510" s="14">
        <v>0.41950060334056599</v>
      </c>
      <c r="Q1510" t="str">
        <f t="shared" si="46"/>
        <v>15-24</v>
      </c>
      <c r="R1510" t="str">
        <f t="shared" si="47"/>
        <v>[E7zpfyBt7Tw]|15-24|Male|PLHIV_Residents.T_1|CY2023Q3</v>
      </c>
    </row>
    <row r="1511" spans="4:18" x14ac:dyDescent="0.2">
      <c r="D1511" t="s">
        <v>122</v>
      </c>
      <c r="E1511" t="s">
        <v>123</v>
      </c>
      <c r="F1511" t="s">
        <v>124</v>
      </c>
      <c r="G1511" t="s">
        <v>142</v>
      </c>
      <c r="H1511" t="s">
        <v>143</v>
      </c>
      <c r="I1511" t="s">
        <v>40</v>
      </c>
      <c r="J1511" t="s">
        <v>41</v>
      </c>
      <c r="K1511" t="s">
        <v>47</v>
      </c>
      <c r="L1511" t="s">
        <v>48</v>
      </c>
      <c r="M1511" t="s">
        <v>139</v>
      </c>
      <c r="N1511">
        <v>1363</v>
      </c>
      <c r="O1511" s="14">
        <v>0.50328658404760096</v>
      </c>
      <c r="P1511" s="14">
        <v>0.41950060334056599</v>
      </c>
      <c r="Q1511" t="str">
        <f t="shared" si="46"/>
        <v>25-34</v>
      </c>
      <c r="R1511" t="str">
        <f t="shared" si="47"/>
        <v>[E7zpfyBt7Tw]|25-34|Male|PLHIV_Residents.T_1|CY2023Q3</v>
      </c>
    </row>
    <row r="1512" spans="4:18" x14ac:dyDescent="0.2">
      <c r="D1512" t="s">
        <v>122</v>
      </c>
      <c r="E1512" t="s">
        <v>123</v>
      </c>
      <c r="F1512" t="s">
        <v>124</v>
      </c>
      <c r="G1512" t="s">
        <v>142</v>
      </c>
      <c r="H1512" t="s">
        <v>143</v>
      </c>
      <c r="I1512" t="s">
        <v>42</v>
      </c>
      <c r="J1512" t="s">
        <v>43</v>
      </c>
      <c r="K1512" t="s">
        <v>47</v>
      </c>
      <c r="L1512" t="s">
        <v>48</v>
      </c>
      <c r="M1512" t="s">
        <v>139</v>
      </c>
      <c r="N1512">
        <v>1217</v>
      </c>
      <c r="O1512" s="14">
        <v>0.23194729816168499</v>
      </c>
      <c r="P1512" s="14">
        <v>0.41950060334056599</v>
      </c>
      <c r="Q1512" t="str">
        <f t="shared" si="46"/>
        <v>35-49</v>
      </c>
      <c r="R1512" t="str">
        <f t="shared" si="47"/>
        <v>[E7zpfyBt7Tw]|35-49|Male|PLHIV_Residents.T_1|CY2023Q3</v>
      </c>
    </row>
    <row r="1513" spans="4:18" x14ac:dyDescent="0.2">
      <c r="D1513" t="s">
        <v>122</v>
      </c>
      <c r="E1513" t="s">
        <v>123</v>
      </c>
      <c r="F1513" t="s">
        <v>124</v>
      </c>
      <c r="G1513" t="s">
        <v>142</v>
      </c>
      <c r="H1513" t="s">
        <v>143</v>
      </c>
      <c r="I1513" t="s">
        <v>44</v>
      </c>
      <c r="J1513" t="s">
        <v>45</v>
      </c>
      <c r="K1513" t="s">
        <v>47</v>
      </c>
      <c r="L1513" t="s">
        <v>48</v>
      </c>
      <c r="M1513" t="s">
        <v>139</v>
      </c>
      <c r="N1513">
        <v>1431</v>
      </c>
      <c r="O1513" s="14">
        <v>0.56325418176129505</v>
      </c>
      <c r="P1513" s="14">
        <v>0.41950060334056599</v>
      </c>
      <c r="Q1513" t="str">
        <f t="shared" si="46"/>
        <v>50+</v>
      </c>
      <c r="R1513" t="str">
        <f t="shared" si="47"/>
        <v>[E7zpfyBt7Tw]|50+|Male|PLHIV_Residents.T_1|CY2023Q3</v>
      </c>
    </row>
    <row r="1514" spans="4:18" x14ac:dyDescent="0.2">
      <c r="D1514" t="s">
        <v>125</v>
      </c>
      <c r="E1514" t="s">
        <v>126</v>
      </c>
      <c r="F1514" t="s">
        <v>127</v>
      </c>
      <c r="G1514" t="s">
        <v>142</v>
      </c>
      <c r="H1514" t="s">
        <v>143</v>
      </c>
      <c r="I1514" t="s">
        <v>27</v>
      </c>
      <c r="J1514" t="s">
        <v>28</v>
      </c>
      <c r="K1514" t="s">
        <v>29</v>
      </c>
      <c r="L1514" t="s">
        <v>30</v>
      </c>
      <c r="M1514" t="s">
        <v>139</v>
      </c>
      <c r="N1514">
        <v>1113</v>
      </c>
      <c r="O1514" s="14">
        <v>0.241344748297706</v>
      </c>
      <c r="P1514" s="14">
        <v>0.25270639033988102</v>
      </c>
      <c r="Q1514" t="str">
        <f t="shared" si="46"/>
        <v>&lt;01</v>
      </c>
      <c r="R1514" t="str">
        <f t="shared" si="47"/>
        <v>[ZCjuwgaMB9u]|&lt;01|Female|PLHIV_Residents.T_1|CY2023Q3</v>
      </c>
    </row>
    <row r="1515" spans="4:18" x14ac:dyDescent="0.2">
      <c r="D1515" t="s">
        <v>125</v>
      </c>
      <c r="E1515" t="s">
        <v>126</v>
      </c>
      <c r="F1515" t="s">
        <v>127</v>
      </c>
      <c r="G1515" t="s">
        <v>142</v>
      </c>
      <c r="H1515" t="s">
        <v>143</v>
      </c>
      <c r="I1515" t="s">
        <v>32</v>
      </c>
      <c r="J1515" t="s">
        <v>33</v>
      </c>
      <c r="K1515" t="s">
        <v>29</v>
      </c>
      <c r="L1515" t="s">
        <v>30</v>
      </c>
      <c r="M1515" t="s">
        <v>139</v>
      </c>
      <c r="N1515">
        <v>1159</v>
      </c>
      <c r="O1515" s="14">
        <v>0.71603297954425205</v>
      </c>
      <c r="P1515" s="14">
        <v>0.25270639033988102</v>
      </c>
      <c r="Q1515" t="str">
        <f t="shared" si="46"/>
        <v>01-09</v>
      </c>
      <c r="R1515" t="str">
        <f t="shared" si="47"/>
        <v>[ZCjuwgaMB9u]|01-09|Female|PLHIV_Residents.T_1|CY2023Q3</v>
      </c>
    </row>
    <row r="1516" spans="4:18" x14ac:dyDescent="0.2">
      <c r="D1516" t="s">
        <v>125</v>
      </c>
      <c r="E1516" t="s">
        <v>126</v>
      </c>
      <c r="F1516" t="s">
        <v>127</v>
      </c>
      <c r="G1516" t="s">
        <v>142</v>
      </c>
      <c r="H1516" t="s">
        <v>143</v>
      </c>
      <c r="I1516" t="s">
        <v>35</v>
      </c>
      <c r="J1516" t="s">
        <v>36</v>
      </c>
      <c r="K1516" t="s">
        <v>29</v>
      </c>
      <c r="L1516" t="s">
        <v>30</v>
      </c>
      <c r="M1516" t="s">
        <v>139</v>
      </c>
      <c r="N1516">
        <v>1382</v>
      </c>
      <c r="O1516" s="14">
        <v>0.62422126508317899</v>
      </c>
      <c r="P1516" s="14">
        <v>0.25270639033988102</v>
      </c>
      <c r="Q1516" t="str">
        <f t="shared" si="46"/>
        <v>10-14</v>
      </c>
      <c r="R1516" t="str">
        <f t="shared" si="47"/>
        <v>[ZCjuwgaMB9u]|10-14|Female|PLHIV_Residents.T_1|CY2023Q3</v>
      </c>
    </row>
    <row r="1517" spans="4:18" x14ac:dyDescent="0.2">
      <c r="D1517" t="s">
        <v>125</v>
      </c>
      <c r="E1517" t="s">
        <v>126</v>
      </c>
      <c r="F1517" t="s">
        <v>127</v>
      </c>
      <c r="G1517" t="s">
        <v>142</v>
      </c>
      <c r="H1517" t="s">
        <v>143</v>
      </c>
      <c r="I1517" t="s">
        <v>37</v>
      </c>
      <c r="J1517" t="s">
        <v>38</v>
      </c>
      <c r="K1517" t="s">
        <v>29</v>
      </c>
      <c r="L1517" t="s">
        <v>30</v>
      </c>
      <c r="M1517" t="s">
        <v>139</v>
      </c>
      <c r="N1517">
        <v>1050</v>
      </c>
      <c r="O1517" s="14">
        <v>0.60780317569151499</v>
      </c>
      <c r="P1517" s="14">
        <v>0.25270639033988102</v>
      </c>
      <c r="Q1517" t="str">
        <f t="shared" si="46"/>
        <v>15-24</v>
      </c>
      <c r="R1517" t="str">
        <f t="shared" si="47"/>
        <v>[ZCjuwgaMB9u]|15-24|Female|PLHIV_Residents.T_1|CY2023Q3</v>
      </c>
    </row>
    <row r="1518" spans="4:18" x14ac:dyDescent="0.2">
      <c r="D1518" t="s">
        <v>125</v>
      </c>
      <c r="E1518" t="s">
        <v>126</v>
      </c>
      <c r="F1518" t="s">
        <v>127</v>
      </c>
      <c r="G1518" t="s">
        <v>142</v>
      </c>
      <c r="H1518" t="s">
        <v>143</v>
      </c>
      <c r="I1518" t="s">
        <v>40</v>
      </c>
      <c r="J1518" t="s">
        <v>41</v>
      </c>
      <c r="K1518" t="s">
        <v>29</v>
      </c>
      <c r="L1518" t="s">
        <v>30</v>
      </c>
      <c r="M1518" t="s">
        <v>139</v>
      </c>
      <c r="N1518">
        <v>949</v>
      </c>
      <c r="O1518" s="14">
        <v>0.69531527953222405</v>
      </c>
      <c r="P1518" s="14">
        <v>0.25270639033988102</v>
      </c>
      <c r="Q1518" t="str">
        <f t="shared" si="46"/>
        <v>25-34</v>
      </c>
      <c r="R1518" t="str">
        <f t="shared" si="47"/>
        <v>[ZCjuwgaMB9u]|25-34|Female|PLHIV_Residents.T_1|CY2023Q3</v>
      </c>
    </row>
    <row r="1519" spans="4:18" x14ac:dyDescent="0.2">
      <c r="D1519" t="s">
        <v>125</v>
      </c>
      <c r="E1519" t="s">
        <v>126</v>
      </c>
      <c r="F1519" t="s">
        <v>127</v>
      </c>
      <c r="G1519" t="s">
        <v>142</v>
      </c>
      <c r="H1519" t="s">
        <v>143</v>
      </c>
      <c r="I1519" t="s">
        <v>42</v>
      </c>
      <c r="J1519" t="s">
        <v>43</v>
      </c>
      <c r="K1519" t="s">
        <v>29</v>
      </c>
      <c r="L1519" t="s">
        <v>30</v>
      </c>
      <c r="M1519" t="s">
        <v>139</v>
      </c>
      <c r="N1519">
        <v>1692</v>
      </c>
      <c r="O1519" s="14">
        <v>0.92279992438852798</v>
      </c>
      <c r="P1519" s="14">
        <v>0.25270639033988102</v>
      </c>
      <c r="Q1519" t="str">
        <f t="shared" si="46"/>
        <v>35-49</v>
      </c>
      <c r="R1519" t="str">
        <f t="shared" si="47"/>
        <v>[ZCjuwgaMB9u]|35-49|Female|PLHIV_Residents.T_1|CY2023Q3</v>
      </c>
    </row>
    <row r="1520" spans="4:18" x14ac:dyDescent="0.2">
      <c r="D1520" t="s">
        <v>125</v>
      </c>
      <c r="E1520" t="s">
        <v>126</v>
      </c>
      <c r="F1520" t="s">
        <v>127</v>
      </c>
      <c r="G1520" t="s">
        <v>142</v>
      </c>
      <c r="H1520" t="s">
        <v>143</v>
      </c>
      <c r="I1520" t="s">
        <v>44</v>
      </c>
      <c r="J1520" t="s">
        <v>45</v>
      </c>
      <c r="K1520" t="s">
        <v>29</v>
      </c>
      <c r="L1520" t="s">
        <v>30</v>
      </c>
      <c r="M1520" t="s">
        <v>139</v>
      </c>
      <c r="N1520">
        <v>1640</v>
      </c>
      <c r="O1520" s="14">
        <v>0.168163202470168</v>
      </c>
      <c r="P1520" s="14">
        <v>0.25270639033988102</v>
      </c>
      <c r="Q1520" t="str">
        <f t="shared" si="46"/>
        <v>50+</v>
      </c>
      <c r="R1520" t="str">
        <f t="shared" si="47"/>
        <v>[ZCjuwgaMB9u]|50+|Female|PLHIV_Residents.T_1|CY2023Q3</v>
      </c>
    </row>
    <row r="1521" spans="4:18" x14ac:dyDescent="0.2">
      <c r="D1521" t="s">
        <v>125</v>
      </c>
      <c r="E1521" t="s">
        <v>126</v>
      </c>
      <c r="F1521" t="s">
        <v>127</v>
      </c>
      <c r="G1521" t="s">
        <v>142</v>
      </c>
      <c r="H1521" t="s">
        <v>143</v>
      </c>
      <c r="I1521" t="s">
        <v>27</v>
      </c>
      <c r="J1521" t="s">
        <v>28</v>
      </c>
      <c r="K1521" t="s">
        <v>47</v>
      </c>
      <c r="L1521" t="s">
        <v>48</v>
      </c>
      <c r="M1521" t="s">
        <v>139</v>
      </c>
      <c r="N1521">
        <v>988</v>
      </c>
      <c r="O1521" s="14">
        <v>0.78614939260296501</v>
      </c>
      <c r="P1521" s="14">
        <v>0.25270639033988102</v>
      </c>
      <c r="Q1521" t="str">
        <f t="shared" si="46"/>
        <v>&lt;01</v>
      </c>
      <c r="R1521" t="str">
        <f t="shared" si="47"/>
        <v>[ZCjuwgaMB9u]|&lt;01|Male|PLHIV_Residents.T_1|CY2023Q3</v>
      </c>
    </row>
    <row r="1522" spans="4:18" x14ac:dyDescent="0.2">
      <c r="D1522" t="s">
        <v>125</v>
      </c>
      <c r="E1522" t="s">
        <v>126</v>
      </c>
      <c r="F1522" t="s">
        <v>127</v>
      </c>
      <c r="G1522" t="s">
        <v>142</v>
      </c>
      <c r="H1522" t="s">
        <v>143</v>
      </c>
      <c r="I1522" t="s">
        <v>32</v>
      </c>
      <c r="J1522" t="s">
        <v>33</v>
      </c>
      <c r="K1522" t="s">
        <v>47</v>
      </c>
      <c r="L1522" t="s">
        <v>48</v>
      </c>
      <c r="M1522" t="s">
        <v>139</v>
      </c>
      <c r="N1522">
        <v>706</v>
      </c>
      <c r="O1522" s="14">
        <v>0.76048443187028203</v>
      </c>
      <c r="P1522" s="14">
        <v>0.25270639033988102</v>
      </c>
      <c r="Q1522" t="str">
        <f t="shared" si="46"/>
        <v>01-09</v>
      </c>
      <c r="R1522" t="str">
        <f t="shared" si="47"/>
        <v>[ZCjuwgaMB9u]|01-09|Male|PLHIV_Residents.T_1|CY2023Q3</v>
      </c>
    </row>
    <row r="1523" spans="4:18" x14ac:dyDescent="0.2">
      <c r="D1523" t="s">
        <v>125</v>
      </c>
      <c r="E1523" t="s">
        <v>126</v>
      </c>
      <c r="F1523" t="s">
        <v>127</v>
      </c>
      <c r="G1523" t="s">
        <v>142</v>
      </c>
      <c r="H1523" t="s">
        <v>143</v>
      </c>
      <c r="I1523" t="s">
        <v>35</v>
      </c>
      <c r="J1523" t="s">
        <v>36</v>
      </c>
      <c r="K1523" t="s">
        <v>47</v>
      </c>
      <c r="L1523" t="s">
        <v>48</v>
      </c>
      <c r="M1523" t="s">
        <v>139</v>
      </c>
      <c r="N1523">
        <v>824</v>
      </c>
      <c r="O1523" s="14">
        <v>0.22896596766076999</v>
      </c>
      <c r="P1523" s="14">
        <v>0.25270639033988102</v>
      </c>
      <c r="Q1523" t="str">
        <f t="shared" si="46"/>
        <v>10-14</v>
      </c>
      <c r="R1523" t="str">
        <f t="shared" si="47"/>
        <v>[ZCjuwgaMB9u]|10-14|Male|PLHIV_Residents.T_1|CY2023Q3</v>
      </c>
    </row>
    <row r="1524" spans="4:18" x14ac:dyDescent="0.2">
      <c r="D1524" t="s">
        <v>125</v>
      </c>
      <c r="E1524" t="s">
        <v>126</v>
      </c>
      <c r="F1524" t="s">
        <v>127</v>
      </c>
      <c r="G1524" t="s">
        <v>142</v>
      </c>
      <c r="H1524" t="s">
        <v>143</v>
      </c>
      <c r="I1524" t="s">
        <v>37</v>
      </c>
      <c r="J1524" t="s">
        <v>38</v>
      </c>
      <c r="K1524" t="s">
        <v>47</v>
      </c>
      <c r="L1524" t="s">
        <v>48</v>
      </c>
      <c r="M1524" t="s">
        <v>139</v>
      </c>
      <c r="N1524">
        <v>1986</v>
      </c>
      <c r="O1524" s="14">
        <v>0.92493935720995102</v>
      </c>
      <c r="P1524" s="14">
        <v>0.25270639033988102</v>
      </c>
      <c r="Q1524" t="str">
        <f t="shared" si="46"/>
        <v>15-24</v>
      </c>
      <c r="R1524" t="str">
        <f t="shared" si="47"/>
        <v>[ZCjuwgaMB9u]|15-24|Male|PLHIV_Residents.T_1|CY2023Q3</v>
      </c>
    </row>
    <row r="1525" spans="4:18" x14ac:dyDescent="0.2">
      <c r="D1525" t="s">
        <v>125</v>
      </c>
      <c r="E1525" t="s">
        <v>126</v>
      </c>
      <c r="F1525" t="s">
        <v>127</v>
      </c>
      <c r="G1525" t="s">
        <v>142</v>
      </c>
      <c r="H1525" t="s">
        <v>143</v>
      </c>
      <c r="I1525" t="s">
        <v>40</v>
      </c>
      <c r="J1525" t="s">
        <v>41</v>
      </c>
      <c r="K1525" t="s">
        <v>47</v>
      </c>
      <c r="L1525" t="s">
        <v>48</v>
      </c>
      <c r="M1525" t="s">
        <v>139</v>
      </c>
      <c r="N1525">
        <v>1989</v>
      </c>
      <c r="O1525" s="14">
        <v>0.30979150277562401</v>
      </c>
      <c r="P1525" s="14">
        <v>0.25270639033988102</v>
      </c>
      <c r="Q1525" t="str">
        <f t="shared" si="46"/>
        <v>25-34</v>
      </c>
      <c r="R1525" t="str">
        <f t="shared" si="47"/>
        <v>[ZCjuwgaMB9u]|25-34|Male|PLHIV_Residents.T_1|CY2023Q3</v>
      </c>
    </row>
    <row r="1526" spans="4:18" x14ac:dyDescent="0.2">
      <c r="D1526" t="s">
        <v>125</v>
      </c>
      <c r="E1526" t="s">
        <v>126</v>
      </c>
      <c r="F1526" t="s">
        <v>127</v>
      </c>
      <c r="G1526" t="s">
        <v>142</v>
      </c>
      <c r="H1526" t="s">
        <v>143</v>
      </c>
      <c r="I1526" t="s">
        <v>42</v>
      </c>
      <c r="J1526" t="s">
        <v>43</v>
      </c>
      <c r="K1526" t="s">
        <v>47</v>
      </c>
      <c r="L1526" t="s">
        <v>48</v>
      </c>
      <c r="M1526" t="s">
        <v>139</v>
      </c>
      <c r="N1526">
        <v>1179</v>
      </c>
      <c r="O1526" s="14">
        <v>0.13951990962959801</v>
      </c>
      <c r="P1526" s="14">
        <v>0.25270639033988102</v>
      </c>
      <c r="Q1526" t="str">
        <f t="shared" si="46"/>
        <v>35-49</v>
      </c>
      <c r="R1526" t="str">
        <f t="shared" si="47"/>
        <v>[ZCjuwgaMB9u]|35-49|Male|PLHIV_Residents.T_1|CY2023Q3</v>
      </c>
    </row>
    <row r="1527" spans="4:18" x14ac:dyDescent="0.2">
      <c r="D1527" t="s">
        <v>125</v>
      </c>
      <c r="E1527" t="s">
        <v>126</v>
      </c>
      <c r="F1527" t="s">
        <v>127</v>
      </c>
      <c r="G1527" t="s">
        <v>142</v>
      </c>
      <c r="H1527" t="s">
        <v>143</v>
      </c>
      <c r="I1527" t="s">
        <v>44</v>
      </c>
      <c r="J1527" t="s">
        <v>45</v>
      </c>
      <c r="K1527" t="s">
        <v>47</v>
      </c>
      <c r="L1527" t="s">
        <v>48</v>
      </c>
      <c r="M1527" t="s">
        <v>139</v>
      </c>
      <c r="N1527">
        <v>1844</v>
      </c>
      <c r="O1527" s="14">
        <v>0.654138378566131</v>
      </c>
      <c r="P1527" s="14">
        <v>0.25270639033988102</v>
      </c>
      <c r="Q1527" t="str">
        <f t="shared" si="46"/>
        <v>50+</v>
      </c>
      <c r="R1527" t="str">
        <f t="shared" si="47"/>
        <v>[ZCjuwgaMB9u]|50+|Male|PLHIV_Residents.T_1|CY2023Q3</v>
      </c>
    </row>
    <row r="1528" spans="4:18" x14ac:dyDescent="0.2">
      <c r="D1528" t="s">
        <v>128</v>
      </c>
      <c r="E1528" t="s">
        <v>129</v>
      </c>
      <c r="F1528" t="s">
        <v>130</v>
      </c>
      <c r="G1528" t="s">
        <v>142</v>
      </c>
      <c r="H1528" t="s">
        <v>143</v>
      </c>
      <c r="I1528" t="s">
        <v>27</v>
      </c>
      <c r="J1528" t="s">
        <v>28</v>
      </c>
      <c r="K1528" t="s">
        <v>29</v>
      </c>
      <c r="L1528" t="s">
        <v>30</v>
      </c>
      <c r="M1528" t="s">
        <v>139</v>
      </c>
      <c r="N1528">
        <v>1529</v>
      </c>
      <c r="O1528" s="14">
        <v>0.916745062218979</v>
      </c>
      <c r="P1528" s="14">
        <v>0.55690808477811504</v>
      </c>
      <c r="Q1528" t="str">
        <f t="shared" si="46"/>
        <v>&lt;01</v>
      </c>
      <c r="R1528" t="str">
        <f t="shared" si="47"/>
        <v>[YCKiBAp8QAg]|&lt;01|Female|PLHIV_Residents.T_1|CY2023Q3</v>
      </c>
    </row>
    <row r="1529" spans="4:18" x14ac:dyDescent="0.2">
      <c r="D1529" t="s">
        <v>128</v>
      </c>
      <c r="E1529" t="s">
        <v>129</v>
      </c>
      <c r="F1529" t="s">
        <v>130</v>
      </c>
      <c r="G1529" t="s">
        <v>142</v>
      </c>
      <c r="H1529" t="s">
        <v>143</v>
      </c>
      <c r="I1529" t="s">
        <v>32</v>
      </c>
      <c r="J1529" t="s">
        <v>33</v>
      </c>
      <c r="K1529" t="s">
        <v>29</v>
      </c>
      <c r="L1529" t="s">
        <v>30</v>
      </c>
      <c r="M1529" t="s">
        <v>139</v>
      </c>
      <c r="N1529">
        <v>1485</v>
      </c>
      <c r="O1529" s="14">
        <v>1.51514480821788E-2</v>
      </c>
      <c r="P1529" s="14">
        <v>0.55690808477811504</v>
      </c>
      <c r="Q1529" t="str">
        <f t="shared" si="46"/>
        <v>01-09</v>
      </c>
      <c r="R1529" t="str">
        <f t="shared" si="47"/>
        <v>[YCKiBAp8QAg]|01-09|Female|PLHIV_Residents.T_1|CY2023Q3</v>
      </c>
    </row>
    <row r="1530" spans="4:18" x14ac:dyDescent="0.2">
      <c r="D1530" t="s">
        <v>128</v>
      </c>
      <c r="E1530" t="s">
        <v>129</v>
      </c>
      <c r="F1530" t="s">
        <v>130</v>
      </c>
      <c r="G1530" t="s">
        <v>142</v>
      </c>
      <c r="H1530" t="s">
        <v>143</v>
      </c>
      <c r="I1530" t="s">
        <v>35</v>
      </c>
      <c r="J1530" t="s">
        <v>36</v>
      </c>
      <c r="K1530" t="s">
        <v>29</v>
      </c>
      <c r="L1530" t="s">
        <v>30</v>
      </c>
      <c r="M1530" t="s">
        <v>139</v>
      </c>
      <c r="N1530">
        <v>668</v>
      </c>
      <c r="O1530" s="14">
        <v>0.99324371572583903</v>
      </c>
      <c r="P1530" s="14">
        <v>0.55690808477811504</v>
      </c>
      <c r="Q1530" t="str">
        <f t="shared" si="46"/>
        <v>10-14</v>
      </c>
      <c r="R1530" t="str">
        <f t="shared" si="47"/>
        <v>[YCKiBAp8QAg]|10-14|Female|PLHIV_Residents.T_1|CY2023Q3</v>
      </c>
    </row>
    <row r="1531" spans="4:18" x14ac:dyDescent="0.2">
      <c r="D1531" t="s">
        <v>128</v>
      </c>
      <c r="E1531" t="s">
        <v>129</v>
      </c>
      <c r="F1531" t="s">
        <v>130</v>
      </c>
      <c r="G1531" t="s">
        <v>142</v>
      </c>
      <c r="H1531" t="s">
        <v>143</v>
      </c>
      <c r="I1531" t="s">
        <v>37</v>
      </c>
      <c r="J1531" t="s">
        <v>38</v>
      </c>
      <c r="K1531" t="s">
        <v>29</v>
      </c>
      <c r="L1531" t="s">
        <v>30</v>
      </c>
      <c r="M1531" t="s">
        <v>139</v>
      </c>
      <c r="N1531">
        <v>1471</v>
      </c>
      <c r="O1531" s="14">
        <v>0.35167658887803599</v>
      </c>
      <c r="P1531" s="14">
        <v>0.55690808477811504</v>
      </c>
      <c r="Q1531" t="str">
        <f t="shared" si="46"/>
        <v>15-24</v>
      </c>
      <c r="R1531" t="str">
        <f t="shared" si="47"/>
        <v>[YCKiBAp8QAg]|15-24|Female|PLHIV_Residents.T_1|CY2023Q3</v>
      </c>
    </row>
    <row r="1532" spans="4:18" x14ac:dyDescent="0.2">
      <c r="D1532" t="s">
        <v>128</v>
      </c>
      <c r="E1532" t="s">
        <v>129</v>
      </c>
      <c r="F1532" t="s">
        <v>130</v>
      </c>
      <c r="G1532" t="s">
        <v>142</v>
      </c>
      <c r="H1532" t="s">
        <v>143</v>
      </c>
      <c r="I1532" t="s">
        <v>40</v>
      </c>
      <c r="J1532" t="s">
        <v>41</v>
      </c>
      <c r="K1532" t="s">
        <v>29</v>
      </c>
      <c r="L1532" t="s">
        <v>30</v>
      </c>
      <c r="M1532" t="s">
        <v>139</v>
      </c>
      <c r="N1532">
        <v>1817</v>
      </c>
      <c r="O1532" s="14">
        <v>0.63024753937497702</v>
      </c>
      <c r="P1532" s="14">
        <v>0.55690808477811504</v>
      </c>
      <c r="Q1532" t="str">
        <f t="shared" si="46"/>
        <v>25-34</v>
      </c>
      <c r="R1532" t="str">
        <f t="shared" si="47"/>
        <v>[YCKiBAp8QAg]|25-34|Female|PLHIV_Residents.T_1|CY2023Q3</v>
      </c>
    </row>
    <row r="1533" spans="4:18" x14ac:dyDescent="0.2">
      <c r="D1533" t="s">
        <v>128</v>
      </c>
      <c r="E1533" t="s">
        <v>129</v>
      </c>
      <c r="F1533" t="s">
        <v>130</v>
      </c>
      <c r="G1533" t="s">
        <v>142</v>
      </c>
      <c r="H1533" t="s">
        <v>143</v>
      </c>
      <c r="I1533" t="s">
        <v>42</v>
      </c>
      <c r="J1533" t="s">
        <v>43</v>
      </c>
      <c r="K1533" t="s">
        <v>29</v>
      </c>
      <c r="L1533" t="s">
        <v>30</v>
      </c>
      <c r="M1533" t="s">
        <v>139</v>
      </c>
      <c r="N1533">
        <v>674</v>
      </c>
      <c r="O1533" s="14">
        <v>0.43594125309027698</v>
      </c>
      <c r="P1533" s="14">
        <v>0.55690808477811504</v>
      </c>
      <c r="Q1533" t="str">
        <f t="shared" si="46"/>
        <v>35-49</v>
      </c>
      <c r="R1533" t="str">
        <f t="shared" si="47"/>
        <v>[YCKiBAp8QAg]|35-49|Female|PLHIV_Residents.T_1|CY2023Q3</v>
      </c>
    </row>
    <row r="1534" spans="4:18" x14ac:dyDescent="0.2">
      <c r="D1534" t="s">
        <v>128</v>
      </c>
      <c r="E1534" t="s">
        <v>129</v>
      </c>
      <c r="F1534" t="s">
        <v>130</v>
      </c>
      <c r="G1534" t="s">
        <v>142</v>
      </c>
      <c r="H1534" t="s">
        <v>143</v>
      </c>
      <c r="I1534" t="s">
        <v>44</v>
      </c>
      <c r="J1534" t="s">
        <v>45</v>
      </c>
      <c r="K1534" t="s">
        <v>29</v>
      </c>
      <c r="L1534" t="s">
        <v>30</v>
      </c>
      <c r="M1534" t="s">
        <v>139</v>
      </c>
      <c r="N1534">
        <v>1424</v>
      </c>
      <c r="O1534" s="14">
        <v>0.34158758004195999</v>
      </c>
      <c r="P1534" s="14">
        <v>0.55690808477811504</v>
      </c>
      <c r="Q1534" t="str">
        <f t="shared" si="46"/>
        <v>50+</v>
      </c>
      <c r="R1534" t="str">
        <f t="shared" si="47"/>
        <v>[YCKiBAp8QAg]|50+|Female|PLHIV_Residents.T_1|CY2023Q3</v>
      </c>
    </row>
    <row r="1535" spans="4:18" x14ac:dyDescent="0.2">
      <c r="D1535" t="s">
        <v>128</v>
      </c>
      <c r="E1535" t="s">
        <v>129</v>
      </c>
      <c r="F1535" t="s">
        <v>130</v>
      </c>
      <c r="G1535" t="s">
        <v>142</v>
      </c>
      <c r="H1535" t="s">
        <v>143</v>
      </c>
      <c r="I1535" t="s">
        <v>27</v>
      </c>
      <c r="J1535" t="s">
        <v>28</v>
      </c>
      <c r="K1535" t="s">
        <v>47</v>
      </c>
      <c r="L1535" t="s">
        <v>48</v>
      </c>
      <c r="M1535" t="s">
        <v>139</v>
      </c>
      <c r="N1535">
        <v>519</v>
      </c>
      <c r="O1535" s="14">
        <v>0.34420408774167299</v>
      </c>
      <c r="P1535" s="14">
        <v>0.55690808477811504</v>
      </c>
      <c r="Q1535" t="str">
        <f t="shared" si="46"/>
        <v>&lt;01</v>
      </c>
      <c r="R1535" t="str">
        <f t="shared" si="47"/>
        <v>[YCKiBAp8QAg]|&lt;01|Male|PLHIV_Residents.T_1|CY2023Q3</v>
      </c>
    </row>
    <row r="1536" spans="4:18" x14ac:dyDescent="0.2">
      <c r="D1536" t="s">
        <v>128</v>
      </c>
      <c r="E1536" t="s">
        <v>129</v>
      </c>
      <c r="F1536" t="s">
        <v>130</v>
      </c>
      <c r="G1536" t="s">
        <v>142</v>
      </c>
      <c r="H1536" t="s">
        <v>143</v>
      </c>
      <c r="I1536" t="s">
        <v>32</v>
      </c>
      <c r="J1536" t="s">
        <v>33</v>
      </c>
      <c r="K1536" t="s">
        <v>47</v>
      </c>
      <c r="L1536" t="s">
        <v>48</v>
      </c>
      <c r="M1536" t="s">
        <v>139</v>
      </c>
      <c r="N1536">
        <v>1990</v>
      </c>
      <c r="O1536" s="14">
        <v>0.48792547732591601</v>
      </c>
      <c r="P1536" s="14">
        <v>0.55690808477811504</v>
      </c>
      <c r="Q1536" t="str">
        <f t="shared" si="46"/>
        <v>01-09</v>
      </c>
      <c r="R1536" t="str">
        <f t="shared" si="47"/>
        <v>[YCKiBAp8QAg]|01-09|Male|PLHIV_Residents.T_1|CY2023Q3</v>
      </c>
    </row>
    <row r="1537" spans="4:18" x14ac:dyDescent="0.2">
      <c r="D1537" t="s">
        <v>128</v>
      </c>
      <c r="E1537" t="s">
        <v>129</v>
      </c>
      <c r="F1537" t="s">
        <v>130</v>
      </c>
      <c r="G1537" t="s">
        <v>142</v>
      </c>
      <c r="H1537" t="s">
        <v>143</v>
      </c>
      <c r="I1537" t="s">
        <v>35</v>
      </c>
      <c r="J1537" t="s">
        <v>36</v>
      </c>
      <c r="K1537" t="s">
        <v>47</v>
      </c>
      <c r="L1537" t="s">
        <v>48</v>
      </c>
      <c r="M1537" t="s">
        <v>139</v>
      </c>
      <c r="N1537">
        <v>1694</v>
      </c>
      <c r="O1537" s="14">
        <v>0.23048774641938499</v>
      </c>
      <c r="P1537" s="14">
        <v>0.55690808477811504</v>
      </c>
      <c r="Q1537" t="str">
        <f t="shared" si="46"/>
        <v>10-14</v>
      </c>
      <c r="R1537" t="str">
        <f t="shared" si="47"/>
        <v>[YCKiBAp8QAg]|10-14|Male|PLHIV_Residents.T_1|CY2023Q3</v>
      </c>
    </row>
    <row r="1538" spans="4:18" x14ac:dyDescent="0.2">
      <c r="D1538" t="s">
        <v>128</v>
      </c>
      <c r="E1538" t="s">
        <v>129</v>
      </c>
      <c r="F1538" t="s">
        <v>130</v>
      </c>
      <c r="G1538" t="s">
        <v>142</v>
      </c>
      <c r="H1538" t="s">
        <v>143</v>
      </c>
      <c r="I1538" t="s">
        <v>37</v>
      </c>
      <c r="J1538" t="s">
        <v>38</v>
      </c>
      <c r="K1538" t="s">
        <v>47</v>
      </c>
      <c r="L1538" t="s">
        <v>48</v>
      </c>
      <c r="M1538" t="s">
        <v>139</v>
      </c>
      <c r="N1538">
        <v>602</v>
      </c>
      <c r="O1538" s="14">
        <v>0.97105757798999504</v>
      </c>
      <c r="P1538" s="14">
        <v>0.55690808477811504</v>
      </c>
      <c r="Q1538" t="str">
        <f t="shared" ref="Q1538:Q1601" si="48">SUBSTITUTE(SUBSTITUTE($I1538,CHAR(61),""),CHAR(34),"")</f>
        <v>15-24</v>
      </c>
      <c r="R1538" t="str">
        <f t="shared" ref="R1538:R1601" si="49">IF($D1538&lt;&gt;"","["&amp;$E1538&amp;"]"&amp;"|"&amp;$Q1538&amp;"|"&amp;$K1538&amp;"|"&amp;$G1538&amp;"|"&amp;IF($G1538="TX_CURR_SUBNAT.R","CY2022Q4",$M1538),"")</f>
        <v>[YCKiBAp8QAg]|15-24|Male|PLHIV_Residents.T_1|CY2023Q3</v>
      </c>
    </row>
    <row r="1539" spans="4:18" x14ac:dyDescent="0.2">
      <c r="D1539" t="s">
        <v>128</v>
      </c>
      <c r="E1539" t="s">
        <v>129</v>
      </c>
      <c r="F1539" t="s">
        <v>130</v>
      </c>
      <c r="G1539" t="s">
        <v>142</v>
      </c>
      <c r="H1539" t="s">
        <v>143</v>
      </c>
      <c r="I1539" t="s">
        <v>40</v>
      </c>
      <c r="J1539" t="s">
        <v>41</v>
      </c>
      <c r="K1539" t="s">
        <v>47</v>
      </c>
      <c r="L1539" t="s">
        <v>48</v>
      </c>
      <c r="M1539" t="s">
        <v>139</v>
      </c>
      <c r="N1539">
        <v>608</v>
      </c>
      <c r="O1539" s="14">
        <v>0.55282658128999196</v>
      </c>
      <c r="P1539" s="14">
        <v>0.55690808477811504</v>
      </c>
      <c r="Q1539" t="str">
        <f t="shared" si="48"/>
        <v>25-34</v>
      </c>
      <c r="R1539" t="str">
        <f t="shared" si="49"/>
        <v>[YCKiBAp8QAg]|25-34|Male|PLHIV_Residents.T_1|CY2023Q3</v>
      </c>
    </row>
    <row r="1540" spans="4:18" x14ac:dyDescent="0.2">
      <c r="D1540" t="s">
        <v>128</v>
      </c>
      <c r="E1540" t="s">
        <v>129</v>
      </c>
      <c r="F1540" t="s">
        <v>130</v>
      </c>
      <c r="G1540" t="s">
        <v>142</v>
      </c>
      <c r="H1540" t="s">
        <v>143</v>
      </c>
      <c r="I1540" t="s">
        <v>42</v>
      </c>
      <c r="J1540" t="s">
        <v>43</v>
      </c>
      <c r="K1540" t="s">
        <v>47</v>
      </c>
      <c r="L1540" t="s">
        <v>48</v>
      </c>
      <c r="M1540" t="s">
        <v>139</v>
      </c>
      <c r="N1540">
        <v>1478</v>
      </c>
      <c r="O1540" s="14">
        <v>0.60012188251130305</v>
      </c>
      <c r="P1540" s="14">
        <v>0.55690808477811504</v>
      </c>
      <c r="Q1540" t="str">
        <f t="shared" si="48"/>
        <v>35-49</v>
      </c>
      <c r="R1540" t="str">
        <f t="shared" si="49"/>
        <v>[YCKiBAp8QAg]|35-49|Male|PLHIV_Residents.T_1|CY2023Q3</v>
      </c>
    </row>
    <row r="1541" spans="4:18" x14ac:dyDescent="0.2">
      <c r="D1541" t="s">
        <v>128</v>
      </c>
      <c r="E1541" t="s">
        <v>129</v>
      </c>
      <c r="F1541" t="s">
        <v>130</v>
      </c>
      <c r="G1541" t="s">
        <v>142</v>
      </c>
      <c r="H1541" t="s">
        <v>143</v>
      </c>
      <c r="I1541" t="s">
        <v>44</v>
      </c>
      <c r="J1541" t="s">
        <v>45</v>
      </c>
      <c r="K1541" t="s">
        <v>47</v>
      </c>
      <c r="L1541" t="s">
        <v>48</v>
      </c>
      <c r="M1541" t="s">
        <v>139</v>
      </c>
      <c r="N1541">
        <v>1605</v>
      </c>
      <c r="O1541" s="14">
        <v>0.853378621395677</v>
      </c>
      <c r="P1541" s="14">
        <v>0.55690808477811504</v>
      </c>
      <c r="Q1541" t="str">
        <f t="shared" si="48"/>
        <v>50+</v>
      </c>
      <c r="R1541" t="str">
        <f t="shared" si="49"/>
        <v>[YCKiBAp8QAg]|50+|Male|PLHIV_Residents.T_1|CY2023Q3</v>
      </c>
    </row>
    <row r="1542" spans="4:18" x14ac:dyDescent="0.2">
      <c r="D1542" t="s">
        <v>131</v>
      </c>
      <c r="E1542" t="s">
        <v>132</v>
      </c>
      <c r="F1542" t="s">
        <v>133</v>
      </c>
      <c r="G1542" t="s">
        <v>142</v>
      </c>
      <c r="H1542" t="s">
        <v>143</v>
      </c>
      <c r="I1542" t="s">
        <v>27</v>
      </c>
      <c r="J1542" t="s">
        <v>28</v>
      </c>
      <c r="K1542" t="s">
        <v>29</v>
      </c>
      <c r="L1542" t="s">
        <v>30</v>
      </c>
      <c r="M1542" t="s">
        <v>139</v>
      </c>
      <c r="N1542">
        <v>1790</v>
      </c>
      <c r="O1542" s="14">
        <v>0.22700511803850501</v>
      </c>
      <c r="P1542" s="14">
        <v>0.16286319401115201</v>
      </c>
      <c r="Q1542" t="str">
        <f t="shared" si="48"/>
        <v>&lt;01</v>
      </c>
      <c r="R1542" t="str">
        <f t="shared" si="49"/>
        <v>[JQKLKuVuY61]|&lt;01|Female|PLHIV_Residents.T_1|CY2023Q3</v>
      </c>
    </row>
    <row r="1543" spans="4:18" x14ac:dyDescent="0.2">
      <c r="D1543" t="s">
        <v>131</v>
      </c>
      <c r="E1543" t="s">
        <v>132</v>
      </c>
      <c r="F1543" t="s">
        <v>133</v>
      </c>
      <c r="G1543" t="s">
        <v>142</v>
      </c>
      <c r="H1543" t="s">
        <v>143</v>
      </c>
      <c r="I1543" t="s">
        <v>32</v>
      </c>
      <c r="J1543" t="s">
        <v>33</v>
      </c>
      <c r="K1543" t="s">
        <v>29</v>
      </c>
      <c r="L1543" t="s">
        <v>30</v>
      </c>
      <c r="M1543" t="s">
        <v>139</v>
      </c>
      <c r="N1543">
        <v>1340</v>
      </c>
      <c r="O1543" s="14">
        <v>0.31731835543178</v>
      </c>
      <c r="P1543" s="14">
        <v>0.16286319401115201</v>
      </c>
      <c r="Q1543" t="str">
        <f t="shared" si="48"/>
        <v>01-09</v>
      </c>
      <c r="R1543" t="str">
        <f t="shared" si="49"/>
        <v>[JQKLKuVuY61]|01-09|Female|PLHIV_Residents.T_1|CY2023Q3</v>
      </c>
    </row>
    <row r="1544" spans="4:18" x14ac:dyDescent="0.2">
      <c r="D1544" t="s">
        <v>131</v>
      </c>
      <c r="E1544" t="s">
        <v>132</v>
      </c>
      <c r="F1544" t="s">
        <v>133</v>
      </c>
      <c r="G1544" t="s">
        <v>142</v>
      </c>
      <c r="H1544" t="s">
        <v>143</v>
      </c>
      <c r="I1544" t="s">
        <v>35</v>
      </c>
      <c r="J1544" t="s">
        <v>36</v>
      </c>
      <c r="K1544" t="s">
        <v>29</v>
      </c>
      <c r="L1544" t="s">
        <v>30</v>
      </c>
      <c r="M1544" t="s">
        <v>139</v>
      </c>
      <c r="N1544">
        <v>1543</v>
      </c>
      <c r="O1544" s="14">
        <v>1.4253726461902301E-2</v>
      </c>
      <c r="P1544" s="14">
        <v>0.16286319401115201</v>
      </c>
      <c r="Q1544" t="str">
        <f t="shared" si="48"/>
        <v>10-14</v>
      </c>
      <c r="R1544" t="str">
        <f t="shared" si="49"/>
        <v>[JQKLKuVuY61]|10-14|Female|PLHIV_Residents.T_1|CY2023Q3</v>
      </c>
    </row>
    <row r="1545" spans="4:18" x14ac:dyDescent="0.2">
      <c r="D1545" t="s">
        <v>131</v>
      </c>
      <c r="E1545" t="s">
        <v>132</v>
      </c>
      <c r="F1545" t="s">
        <v>133</v>
      </c>
      <c r="G1545" t="s">
        <v>142</v>
      </c>
      <c r="H1545" t="s">
        <v>143</v>
      </c>
      <c r="I1545" t="s">
        <v>37</v>
      </c>
      <c r="J1545" t="s">
        <v>38</v>
      </c>
      <c r="K1545" t="s">
        <v>29</v>
      </c>
      <c r="L1545" t="s">
        <v>30</v>
      </c>
      <c r="M1545" t="s">
        <v>139</v>
      </c>
      <c r="N1545">
        <v>754</v>
      </c>
      <c r="O1545" s="14">
        <v>0.19756187568418701</v>
      </c>
      <c r="P1545" s="14">
        <v>0.16286319401115201</v>
      </c>
      <c r="Q1545" t="str">
        <f t="shared" si="48"/>
        <v>15-24</v>
      </c>
      <c r="R1545" t="str">
        <f t="shared" si="49"/>
        <v>[JQKLKuVuY61]|15-24|Female|PLHIV_Residents.T_1|CY2023Q3</v>
      </c>
    </row>
    <row r="1546" spans="4:18" x14ac:dyDescent="0.2">
      <c r="D1546" t="s">
        <v>131</v>
      </c>
      <c r="E1546" t="s">
        <v>132</v>
      </c>
      <c r="F1546" t="s">
        <v>133</v>
      </c>
      <c r="G1546" t="s">
        <v>142</v>
      </c>
      <c r="H1546" t="s">
        <v>143</v>
      </c>
      <c r="I1546" t="s">
        <v>40</v>
      </c>
      <c r="J1546" t="s">
        <v>41</v>
      </c>
      <c r="K1546" t="s">
        <v>29</v>
      </c>
      <c r="L1546" t="s">
        <v>30</v>
      </c>
      <c r="M1546" t="s">
        <v>139</v>
      </c>
      <c r="N1546">
        <v>1728</v>
      </c>
      <c r="O1546" s="14">
        <v>0.403790974756703</v>
      </c>
      <c r="P1546" s="14">
        <v>0.16286319401115201</v>
      </c>
      <c r="Q1546" t="str">
        <f t="shared" si="48"/>
        <v>25-34</v>
      </c>
      <c r="R1546" t="str">
        <f t="shared" si="49"/>
        <v>[JQKLKuVuY61]|25-34|Female|PLHIV_Residents.T_1|CY2023Q3</v>
      </c>
    </row>
    <row r="1547" spans="4:18" x14ac:dyDescent="0.2">
      <c r="D1547" t="s">
        <v>131</v>
      </c>
      <c r="E1547" t="s">
        <v>132</v>
      </c>
      <c r="F1547" t="s">
        <v>133</v>
      </c>
      <c r="G1547" t="s">
        <v>142</v>
      </c>
      <c r="H1547" t="s">
        <v>143</v>
      </c>
      <c r="I1547" t="s">
        <v>42</v>
      </c>
      <c r="J1547" t="s">
        <v>43</v>
      </c>
      <c r="K1547" t="s">
        <v>29</v>
      </c>
      <c r="L1547" t="s">
        <v>30</v>
      </c>
      <c r="M1547" t="s">
        <v>139</v>
      </c>
      <c r="N1547">
        <v>1443</v>
      </c>
      <c r="O1547" s="14">
        <v>0.82589882588945296</v>
      </c>
      <c r="P1547" s="14">
        <v>0.16286319401115201</v>
      </c>
      <c r="Q1547" t="str">
        <f t="shared" si="48"/>
        <v>35-49</v>
      </c>
      <c r="R1547" t="str">
        <f t="shared" si="49"/>
        <v>[JQKLKuVuY61]|35-49|Female|PLHIV_Residents.T_1|CY2023Q3</v>
      </c>
    </row>
    <row r="1548" spans="4:18" x14ac:dyDescent="0.2">
      <c r="D1548" t="s">
        <v>131</v>
      </c>
      <c r="E1548" t="s">
        <v>132</v>
      </c>
      <c r="F1548" t="s">
        <v>133</v>
      </c>
      <c r="G1548" t="s">
        <v>142</v>
      </c>
      <c r="H1548" t="s">
        <v>143</v>
      </c>
      <c r="I1548" t="s">
        <v>44</v>
      </c>
      <c r="J1548" t="s">
        <v>45</v>
      </c>
      <c r="K1548" t="s">
        <v>29</v>
      </c>
      <c r="L1548" t="s">
        <v>30</v>
      </c>
      <c r="M1548" t="s">
        <v>139</v>
      </c>
      <c r="N1548">
        <v>1745</v>
      </c>
      <c r="O1548" s="14">
        <v>0.63989308336749695</v>
      </c>
      <c r="P1548" s="14">
        <v>0.16286319401115201</v>
      </c>
      <c r="Q1548" t="str">
        <f t="shared" si="48"/>
        <v>50+</v>
      </c>
      <c r="R1548" t="str">
        <f t="shared" si="49"/>
        <v>[JQKLKuVuY61]|50+|Female|PLHIV_Residents.T_1|CY2023Q3</v>
      </c>
    </row>
    <row r="1549" spans="4:18" x14ac:dyDescent="0.2">
      <c r="D1549" t="s">
        <v>131</v>
      </c>
      <c r="E1549" t="s">
        <v>132</v>
      </c>
      <c r="F1549" t="s">
        <v>133</v>
      </c>
      <c r="G1549" t="s">
        <v>142</v>
      </c>
      <c r="H1549" t="s">
        <v>143</v>
      </c>
      <c r="I1549" t="s">
        <v>27</v>
      </c>
      <c r="J1549" t="s">
        <v>28</v>
      </c>
      <c r="K1549" t="s">
        <v>47</v>
      </c>
      <c r="L1549" t="s">
        <v>48</v>
      </c>
      <c r="M1549" t="s">
        <v>139</v>
      </c>
      <c r="N1549">
        <v>672</v>
      </c>
      <c r="O1549" s="14">
        <v>0.86038460209965695</v>
      </c>
      <c r="P1549" s="14">
        <v>0.16286319401115201</v>
      </c>
      <c r="Q1549" t="str">
        <f t="shared" si="48"/>
        <v>&lt;01</v>
      </c>
      <c r="R1549" t="str">
        <f t="shared" si="49"/>
        <v>[JQKLKuVuY61]|&lt;01|Male|PLHIV_Residents.T_1|CY2023Q3</v>
      </c>
    </row>
    <row r="1550" spans="4:18" x14ac:dyDescent="0.2">
      <c r="D1550" t="s">
        <v>131</v>
      </c>
      <c r="E1550" t="s">
        <v>132</v>
      </c>
      <c r="F1550" t="s">
        <v>133</v>
      </c>
      <c r="G1550" t="s">
        <v>142</v>
      </c>
      <c r="H1550" t="s">
        <v>143</v>
      </c>
      <c r="I1550" t="s">
        <v>32</v>
      </c>
      <c r="J1550" t="s">
        <v>33</v>
      </c>
      <c r="K1550" t="s">
        <v>47</v>
      </c>
      <c r="L1550" t="s">
        <v>48</v>
      </c>
      <c r="M1550" t="s">
        <v>139</v>
      </c>
      <c r="N1550">
        <v>1442</v>
      </c>
      <c r="O1550" s="14">
        <v>0.99030546844005596</v>
      </c>
      <c r="P1550" s="14">
        <v>0.16286319401115201</v>
      </c>
      <c r="Q1550" t="str">
        <f t="shared" si="48"/>
        <v>01-09</v>
      </c>
      <c r="R1550" t="str">
        <f t="shared" si="49"/>
        <v>[JQKLKuVuY61]|01-09|Male|PLHIV_Residents.T_1|CY2023Q3</v>
      </c>
    </row>
    <row r="1551" spans="4:18" x14ac:dyDescent="0.2">
      <c r="D1551" t="s">
        <v>131</v>
      </c>
      <c r="E1551" t="s">
        <v>132</v>
      </c>
      <c r="F1551" t="s">
        <v>133</v>
      </c>
      <c r="G1551" t="s">
        <v>142</v>
      </c>
      <c r="H1551" t="s">
        <v>143</v>
      </c>
      <c r="I1551" t="s">
        <v>35</v>
      </c>
      <c r="J1551" t="s">
        <v>36</v>
      </c>
      <c r="K1551" t="s">
        <v>47</v>
      </c>
      <c r="L1551" t="s">
        <v>48</v>
      </c>
      <c r="M1551" t="s">
        <v>139</v>
      </c>
      <c r="N1551">
        <v>1012</v>
      </c>
      <c r="O1551" s="14">
        <v>0.32169121177867099</v>
      </c>
      <c r="P1551" s="14">
        <v>0.16286319401115201</v>
      </c>
      <c r="Q1551" t="str">
        <f t="shared" si="48"/>
        <v>10-14</v>
      </c>
      <c r="R1551" t="str">
        <f t="shared" si="49"/>
        <v>[JQKLKuVuY61]|10-14|Male|PLHIV_Residents.T_1|CY2023Q3</v>
      </c>
    </row>
    <row r="1552" spans="4:18" x14ac:dyDescent="0.2">
      <c r="D1552" t="s">
        <v>131</v>
      </c>
      <c r="E1552" t="s">
        <v>132</v>
      </c>
      <c r="F1552" t="s">
        <v>133</v>
      </c>
      <c r="G1552" t="s">
        <v>142</v>
      </c>
      <c r="H1552" t="s">
        <v>143</v>
      </c>
      <c r="I1552" t="s">
        <v>37</v>
      </c>
      <c r="J1552" t="s">
        <v>38</v>
      </c>
      <c r="K1552" t="s">
        <v>47</v>
      </c>
      <c r="L1552" t="s">
        <v>48</v>
      </c>
      <c r="M1552" t="s">
        <v>139</v>
      </c>
      <c r="N1552">
        <v>1076</v>
      </c>
      <c r="O1552" s="14">
        <v>0.69189102831296601</v>
      </c>
      <c r="P1552" s="14">
        <v>0.16286319401115201</v>
      </c>
      <c r="Q1552" t="str">
        <f t="shared" si="48"/>
        <v>15-24</v>
      </c>
      <c r="R1552" t="str">
        <f t="shared" si="49"/>
        <v>[JQKLKuVuY61]|15-24|Male|PLHIV_Residents.T_1|CY2023Q3</v>
      </c>
    </row>
    <row r="1553" spans="4:18" x14ac:dyDescent="0.2">
      <c r="D1553" t="s">
        <v>131</v>
      </c>
      <c r="E1553" t="s">
        <v>132</v>
      </c>
      <c r="F1553" t="s">
        <v>133</v>
      </c>
      <c r="G1553" t="s">
        <v>142</v>
      </c>
      <c r="H1553" t="s">
        <v>143</v>
      </c>
      <c r="I1553" t="s">
        <v>40</v>
      </c>
      <c r="J1553" t="s">
        <v>41</v>
      </c>
      <c r="K1553" t="s">
        <v>47</v>
      </c>
      <c r="L1553" t="s">
        <v>48</v>
      </c>
      <c r="M1553" t="s">
        <v>139</v>
      </c>
      <c r="N1553">
        <v>1061</v>
      </c>
      <c r="O1553" s="14">
        <v>0.56900502438656997</v>
      </c>
      <c r="P1553" s="14">
        <v>0.16286319401115201</v>
      </c>
      <c r="Q1553" t="str">
        <f t="shared" si="48"/>
        <v>25-34</v>
      </c>
      <c r="R1553" t="str">
        <f t="shared" si="49"/>
        <v>[JQKLKuVuY61]|25-34|Male|PLHIV_Residents.T_1|CY2023Q3</v>
      </c>
    </row>
    <row r="1554" spans="4:18" x14ac:dyDescent="0.2">
      <c r="D1554" t="s">
        <v>131</v>
      </c>
      <c r="E1554" t="s">
        <v>132</v>
      </c>
      <c r="F1554" t="s">
        <v>133</v>
      </c>
      <c r="G1554" t="s">
        <v>142</v>
      </c>
      <c r="H1554" t="s">
        <v>143</v>
      </c>
      <c r="I1554" t="s">
        <v>42</v>
      </c>
      <c r="J1554" t="s">
        <v>43</v>
      </c>
      <c r="K1554" t="s">
        <v>47</v>
      </c>
      <c r="L1554" t="s">
        <v>48</v>
      </c>
      <c r="M1554" t="s">
        <v>139</v>
      </c>
      <c r="N1554">
        <v>779</v>
      </c>
      <c r="O1554" s="14">
        <v>0.506998806959018</v>
      </c>
      <c r="P1554" s="14">
        <v>0.16286319401115201</v>
      </c>
      <c r="Q1554" t="str">
        <f t="shared" si="48"/>
        <v>35-49</v>
      </c>
      <c r="R1554" t="str">
        <f t="shared" si="49"/>
        <v>[JQKLKuVuY61]|35-49|Male|PLHIV_Residents.T_1|CY2023Q3</v>
      </c>
    </row>
    <row r="1555" spans="4:18" x14ac:dyDescent="0.2">
      <c r="D1555" t="s">
        <v>131</v>
      </c>
      <c r="E1555" t="s">
        <v>132</v>
      </c>
      <c r="F1555" t="s">
        <v>133</v>
      </c>
      <c r="G1555" t="s">
        <v>142</v>
      </c>
      <c r="H1555" t="s">
        <v>143</v>
      </c>
      <c r="I1555" t="s">
        <v>44</v>
      </c>
      <c r="J1555" t="s">
        <v>45</v>
      </c>
      <c r="K1555" t="s">
        <v>47</v>
      </c>
      <c r="L1555" t="s">
        <v>48</v>
      </c>
      <c r="M1555" t="s">
        <v>139</v>
      </c>
      <c r="N1555">
        <v>943</v>
      </c>
      <c r="O1555" s="14">
        <v>0.685622479300946</v>
      </c>
      <c r="P1555" s="14">
        <v>0.16286319401115201</v>
      </c>
      <c r="Q1555" t="str">
        <f t="shared" si="48"/>
        <v>50+</v>
      </c>
      <c r="R1555" t="str">
        <f t="shared" si="49"/>
        <v>[JQKLKuVuY61]|50+|Male|PLHIV_Residents.T_1|CY2023Q3</v>
      </c>
    </row>
    <row r="1556" spans="4:18" x14ac:dyDescent="0.2">
      <c r="D1556" t="s">
        <v>134</v>
      </c>
      <c r="E1556" t="s">
        <v>135</v>
      </c>
      <c r="F1556" t="s">
        <v>136</v>
      </c>
      <c r="G1556" t="s">
        <v>142</v>
      </c>
      <c r="H1556" t="s">
        <v>143</v>
      </c>
      <c r="I1556" t="s">
        <v>27</v>
      </c>
      <c r="J1556" t="s">
        <v>28</v>
      </c>
      <c r="K1556" t="s">
        <v>29</v>
      </c>
      <c r="L1556" t="s">
        <v>30</v>
      </c>
      <c r="M1556" t="s">
        <v>139</v>
      </c>
      <c r="N1556">
        <v>1801</v>
      </c>
      <c r="O1556" s="14">
        <v>0.60788547550328098</v>
      </c>
      <c r="P1556" s="14">
        <v>0.95530052832327805</v>
      </c>
      <c r="Q1556" t="str">
        <f t="shared" si="48"/>
        <v>&lt;01</v>
      </c>
      <c r="R1556" t="str">
        <f t="shared" si="49"/>
        <v>[fiRkU6gEjLz]|&lt;01|Female|PLHIV_Residents.T_1|CY2023Q3</v>
      </c>
    </row>
    <row r="1557" spans="4:18" x14ac:dyDescent="0.2">
      <c r="D1557" t="s">
        <v>134</v>
      </c>
      <c r="E1557" t="s">
        <v>135</v>
      </c>
      <c r="F1557" t="s">
        <v>136</v>
      </c>
      <c r="G1557" t="s">
        <v>142</v>
      </c>
      <c r="H1557" t="s">
        <v>143</v>
      </c>
      <c r="I1557" t="s">
        <v>32</v>
      </c>
      <c r="J1557" t="s">
        <v>33</v>
      </c>
      <c r="K1557" t="s">
        <v>29</v>
      </c>
      <c r="L1557" t="s">
        <v>30</v>
      </c>
      <c r="M1557" t="s">
        <v>139</v>
      </c>
      <c r="N1557">
        <v>914</v>
      </c>
      <c r="O1557" s="14">
        <v>0.706637413939461</v>
      </c>
      <c r="P1557" s="14">
        <v>0.95530052832327805</v>
      </c>
      <c r="Q1557" t="str">
        <f t="shared" si="48"/>
        <v>01-09</v>
      </c>
      <c r="R1557" t="str">
        <f t="shared" si="49"/>
        <v>[fiRkU6gEjLz]|01-09|Female|PLHIV_Residents.T_1|CY2023Q3</v>
      </c>
    </row>
    <row r="1558" spans="4:18" x14ac:dyDescent="0.2">
      <c r="D1558" t="s">
        <v>134</v>
      </c>
      <c r="E1558" t="s">
        <v>135</v>
      </c>
      <c r="F1558" t="s">
        <v>136</v>
      </c>
      <c r="G1558" t="s">
        <v>142</v>
      </c>
      <c r="H1558" t="s">
        <v>143</v>
      </c>
      <c r="I1558" t="s">
        <v>35</v>
      </c>
      <c r="J1558" t="s">
        <v>36</v>
      </c>
      <c r="K1558" t="s">
        <v>29</v>
      </c>
      <c r="L1558" t="s">
        <v>30</v>
      </c>
      <c r="M1558" t="s">
        <v>139</v>
      </c>
      <c r="N1558">
        <v>1818</v>
      </c>
      <c r="O1558" s="14">
        <v>1.6078080516308501E-2</v>
      </c>
      <c r="P1558" s="14">
        <v>0.95530052832327805</v>
      </c>
      <c r="Q1558" t="str">
        <f t="shared" si="48"/>
        <v>10-14</v>
      </c>
      <c r="R1558" t="str">
        <f t="shared" si="49"/>
        <v>[fiRkU6gEjLz]|10-14|Female|PLHIV_Residents.T_1|CY2023Q3</v>
      </c>
    </row>
    <row r="1559" spans="4:18" x14ac:dyDescent="0.2">
      <c r="D1559" t="s">
        <v>134</v>
      </c>
      <c r="E1559" t="s">
        <v>135</v>
      </c>
      <c r="F1559" t="s">
        <v>136</v>
      </c>
      <c r="G1559" t="s">
        <v>142</v>
      </c>
      <c r="H1559" t="s">
        <v>143</v>
      </c>
      <c r="I1559" t="s">
        <v>37</v>
      </c>
      <c r="J1559" t="s">
        <v>38</v>
      </c>
      <c r="K1559" t="s">
        <v>29</v>
      </c>
      <c r="L1559" t="s">
        <v>30</v>
      </c>
      <c r="M1559" t="s">
        <v>139</v>
      </c>
      <c r="N1559">
        <v>1764</v>
      </c>
      <c r="O1559" s="14">
        <v>0.395954815670848</v>
      </c>
      <c r="P1559" s="14">
        <v>0.95530052832327805</v>
      </c>
      <c r="Q1559" t="str">
        <f t="shared" si="48"/>
        <v>15-24</v>
      </c>
      <c r="R1559" t="str">
        <f t="shared" si="49"/>
        <v>[fiRkU6gEjLz]|15-24|Female|PLHIV_Residents.T_1|CY2023Q3</v>
      </c>
    </row>
    <row r="1560" spans="4:18" x14ac:dyDescent="0.2">
      <c r="D1560" t="s">
        <v>134</v>
      </c>
      <c r="E1560" t="s">
        <v>135</v>
      </c>
      <c r="F1560" t="s">
        <v>136</v>
      </c>
      <c r="G1560" t="s">
        <v>142</v>
      </c>
      <c r="H1560" t="s">
        <v>143</v>
      </c>
      <c r="I1560" t="s">
        <v>40</v>
      </c>
      <c r="J1560" t="s">
        <v>41</v>
      </c>
      <c r="K1560" t="s">
        <v>29</v>
      </c>
      <c r="L1560" t="s">
        <v>30</v>
      </c>
      <c r="M1560" t="s">
        <v>139</v>
      </c>
      <c r="N1560">
        <v>1103</v>
      </c>
      <c r="O1560" s="14">
        <v>0.853495507035404</v>
      </c>
      <c r="P1560" s="14">
        <v>0.95530052832327805</v>
      </c>
      <c r="Q1560" t="str">
        <f t="shared" si="48"/>
        <v>25-34</v>
      </c>
      <c r="R1560" t="str">
        <f t="shared" si="49"/>
        <v>[fiRkU6gEjLz]|25-34|Female|PLHIV_Residents.T_1|CY2023Q3</v>
      </c>
    </row>
    <row r="1561" spans="4:18" x14ac:dyDescent="0.2">
      <c r="D1561" t="s">
        <v>134</v>
      </c>
      <c r="E1561" t="s">
        <v>135</v>
      </c>
      <c r="F1561" t="s">
        <v>136</v>
      </c>
      <c r="G1561" t="s">
        <v>142</v>
      </c>
      <c r="H1561" t="s">
        <v>143</v>
      </c>
      <c r="I1561" t="s">
        <v>42</v>
      </c>
      <c r="J1561" t="s">
        <v>43</v>
      </c>
      <c r="K1561" t="s">
        <v>29</v>
      </c>
      <c r="L1561" t="s">
        <v>30</v>
      </c>
      <c r="M1561" t="s">
        <v>139</v>
      </c>
      <c r="N1561">
        <v>762</v>
      </c>
      <c r="O1561" s="14">
        <v>6.9006261415779604E-2</v>
      </c>
      <c r="P1561" s="14">
        <v>0.95530052832327805</v>
      </c>
      <c r="Q1561" t="str">
        <f t="shared" si="48"/>
        <v>35-49</v>
      </c>
      <c r="R1561" t="str">
        <f t="shared" si="49"/>
        <v>[fiRkU6gEjLz]|35-49|Female|PLHIV_Residents.T_1|CY2023Q3</v>
      </c>
    </row>
    <row r="1562" spans="4:18" x14ac:dyDescent="0.2">
      <c r="D1562" t="s">
        <v>134</v>
      </c>
      <c r="E1562" t="s">
        <v>135</v>
      </c>
      <c r="F1562" t="s">
        <v>136</v>
      </c>
      <c r="G1562" t="s">
        <v>142</v>
      </c>
      <c r="H1562" t="s">
        <v>143</v>
      </c>
      <c r="I1562" t="s">
        <v>44</v>
      </c>
      <c r="J1562" t="s">
        <v>45</v>
      </c>
      <c r="K1562" t="s">
        <v>29</v>
      </c>
      <c r="L1562" t="s">
        <v>30</v>
      </c>
      <c r="M1562" t="s">
        <v>139</v>
      </c>
      <c r="N1562">
        <v>1415</v>
      </c>
      <c r="O1562" s="14">
        <v>0.58971166983246803</v>
      </c>
      <c r="P1562" s="14">
        <v>0.95530052832327805</v>
      </c>
      <c r="Q1562" t="str">
        <f t="shared" si="48"/>
        <v>50+</v>
      </c>
      <c r="R1562" t="str">
        <f t="shared" si="49"/>
        <v>[fiRkU6gEjLz]|50+|Female|PLHIV_Residents.T_1|CY2023Q3</v>
      </c>
    </row>
    <row r="1563" spans="4:18" x14ac:dyDescent="0.2">
      <c r="D1563" t="s">
        <v>134</v>
      </c>
      <c r="E1563" t="s">
        <v>135</v>
      </c>
      <c r="F1563" t="s">
        <v>136</v>
      </c>
      <c r="G1563" t="s">
        <v>142</v>
      </c>
      <c r="H1563" t="s">
        <v>143</v>
      </c>
      <c r="I1563" t="s">
        <v>27</v>
      </c>
      <c r="J1563" t="s">
        <v>28</v>
      </c>
      <c r="K1563" t="s">
        <v>47</v>
      </c>
      <c r="L1563" t="s">
        <v>48</v>
      </c>
      <c r="M1563" t="s">
        <v>139</v>
      </c>
      <c r="N1563">
        <v>537</v>
      </c>
      <c r="O1563" s="14">
        <v>0.534631005255505</v>
      </c>
      <c r="P1563" s="14">
        <v>0.95530052832327805</v>
      </c>
      <c r="Q1563" t="str">
        <f t="shared" si="48"/>
        <v>&lt;01</v>
      </c>
      <c r="R1563" t="str">
        <f t="shared" si="49"/>
        <v>[fiRkU6gEjLz]|&lt;01|Male|PLHIV_Residents.T_1|CY2023Q3</v>
      </c>
    </row>
    <row r="1564" spans="4:18" x14ac:dyDescent="0.2">
      <c r="D1564" t="s">
        <v>134</v>
      </c>
      <c r="E1564" t="s">
        <v>135</v>
      </c>
      <c r="F1564" t="s">
        <v>136</v>
      </c>
      <c r="G1564" t="s">
        <v>142</v>
      </c>
      <c r="H1564" t="s">
        <v>143</v>
      </c>
      <c r="I1564" t="s">
        <v>32</v>
      </c>
      <c r="J1564" t="s">
        <v>33</v>
      </c>
      <c r="K1564" t="s">
        <v>47</v>
      </c>
      <c r="L1564" t="s">
        <v>48</v>
      </c>
      <c r="M1564" t="s">
        <v>139</v>
      </c>
      <c r="N1564">
        <v>1518</v>
      </c>
      <c r="O1564" s="14">
        <v>0.23564888979308299</v>
      </c>
      <c r="P1564" s="14">
        <v>0.95530052832327805</v>
      </c>
      <c r="Q1564" t="str">
        <f t="shared" si="48"/>
        <v>01-09</v>
      </c>
      <c r="R1564" t="str">
        <f t="shared" si="49"/>
        <v>[fiRkU6gEjLz]|01-09|Male|PLHIV_Residents.T_1|CY2023Q3</v>
      </c>
    </row>
    <row r="1565" spans="4:18" x14ac:dyDescent="0.2">
      <c r="D1565" t="s">
        <v>134</v>
      </c>
      <c r="E1565" t="s">
        <v>135</v>
      </c>
      <c r="F1565" t="s">
        <v>136</v>
      </c>
      <c r="G1565" t="s">
        <v>142</v>
      </c>
      <c r="H1565" t="s">
        <v>143</v>
      </c>
      <c r="I1565" t="s">
        <v>35</v>
      </c>
      <c r="J1565" t="s">
        <v>36</v>
      </c>
      <c r="K1565" t="s">
        <v>47</v>
      </c>
      <c r="L1565" t="s">
        <v>48</v>
      </c>
      <c r="M1565" t="s">
        <v>139</v>
      </c>
      <c r="N1565">
        <v>784</v>
      </c>
      <c r="O1565" s="14">
        <v>3.7613523425534402E-2</v>
      </c>
      <c r="P1565" s="14">
        <v>0.95530052832327805</v>
      </c>
      <c r="Q1565" t="str">
        <f t="shared" si="48"/>
        <v>10-14</v>
      </c>
      <c r="R1565" t="str">
        <f t="shared" si="49"/>
        <v>[fiRkU6gEjLz]|10-14|Male|PLHIV_Residents.T_1|CY2023Q3</v>
      </c>
    </row>
    <row r="1566" spans="4:18" x14ac:dyDescent="0.2">
      <c r="D1566" t="s">
        <v>134</v>
      </c>
      <c r="E1566" t="s">
        <v>135</v>
      </c>
      <c r="F1566" t="s">
        <v>136</v>
      </c>
      <c r="G1566" t="s">
        <v>142</v>
      </c>
      <c r="H1566" t="s">
        <v>143</v>
      </c>
      <c r="I1566" t="s">
        <v>37</v>
      </c>
      <c r="J1566" t="s">
        <v>38</v>
      </c>
      <c r="K1566" t="s">
        <v>47</v>
      </c>
      <c r="L1566" t="s">
        <v>48</v>
      </c>
      <c r="M1566" t="s">
        <v>139</v>
      </c>
      <c r="N1566">
        <v>1494</v>
      </c>
      <c r="O1566" s="14">
        <v>0.19731638999655801</v>
      </c>
      <c r="P1566" s="14">
        <v>0.95530052832327805</v>
      </c>
      <c r="Q1566" t="str">
        <f t="shared" si="48"/>
        <v>15-24</v>
      </c>
      <c r="R1566" t="str">
        <f t="shared" si="49"/>
        <v>[fiRkU6gEjLz]|15-24|Male|PLHIV_Residents.T_1|CY2023Q3</v>
      </c>
    </row>
    <row r="1567" spans="4:18" x14ac:dyDescent="0.2">
      <c r="D1567" t="s">
        <v>134</v>
      </c>
      <c r="E1567" t="s">
        <v>135</v>
      </c>
      <c r="F1567" t="s">
        <v>136</v>
      </c>
      <c r="G1567" t="s">
        <v>142</v>
      </c>
      <c r="H1567" t="s">
        <v>143</v>
      </c>
      <c r="I1567" t="s">
        <v>40</v>
      </c>
      <c r="J1567" t="s">
        <v>41</v>
      </c>
      <c r="K1567" t="s">
        <v>47</v>
      </c>
      <c r="L1567" t="s">
        <v>48</v>
      </c>
      <c r="M1567" t="s">
        <v>139</v>
      </c>
      <c r="N1567">
        <v>1960</v>
      </c>
      <c r="O1567" s="14">
        <v>0.42685655271634498</v>
      </c>
      <c r="P1567" s="14">
        <v>0.95530052832327805</v>
      </c>
      <c r="Q1567" t="str">
        <f t="shared" si="48"/>
        <v>25-34</v>
      </c>
      <c r="R1567" t="str">
        <f t="shared" si="49"/>
        <v>[fiRkU6gEjLz]|25-34|Male|PLHIV_Residents.T_1|CY2023Q3</v>
      </c>
    </row>
    <row r="1568" spans="4:18" x14ac:dyDescent="0.2">
      <c r="D1568" t="s">
        <v>134</v>
      </c>
      <c r="E1568" t="s">
        <v>135</v>
      </c>
      <c r="F1568" t="s">
        <v>136</v>
      </c>
      <c r="G1568" t="s">
        <v>142</v>
      </c>
      <c r="H1568" t="s">
        <v>143</v>
      </c>
      <c r="I1568" t="s">
        <v>42</v>
      </c>
      <c r="J1568" t="s">
        <v>43</v>
      </c>
      <c r="K1568" t="s">
        <v>47</v>
      </c>
      <c r="L1568" t="s">
        <v>48</v>
      </c>
      <c r="M1568" t="s">
        <v>139</v>
      </c>
      <c r="N1568">
        <v>1717</v>
      </c>
      <c r="O1568" s="14">
        <v>0.49696076801046701</v>
      </c>
      <c r="P1568" s="14">
        <v>0.95530052832327805</v>
      </c>
      <c r="Q1568" t="str">
        <f t="shared" si="48"/>
        <v>35-49</v>
      </c>
      <c r="R1568" t="str">
        <f t="shared" si="49"/>
        <v>[fiRkU6gEjLz]|35-49|Male|PLHIV_Residents.T_1|CY2023Q3</v>
      </c>
    </row>
    <row r="1569" spans="4:18" x14ac:dyDescent="0.2">
      <c r="D1569" t="s">
        <v>134</v>
      </c>
      <c r="E1569" t="s">
        <v>135</v>
      </c>
      <c r="F1569" t="s">
        <v>136</v>
      </c>
      <c r="G1569" t="s">
        <v>142</v>
      </c>
      <c r="H1569" t="s">
        <v>143</v>
      </c>
      <c r="I1569" t="s">
        <v>44</v>
      </c>
      <c r="J1569" t="s">
        <v>45</v>
      </c>
      <c r="K1569" t="s">
        <v>47</v>
      </c>
      <c r="L1569" t="s">
        <v>48</v>
      </c>
      <c r="M1569" t="s">
        <v>139</v>
      </c>
      <c r="N1569">
        <v>1780</v>
      </c>
      <c r="O1569" s="14">
        <v>0.75414921971969295</v>
      </c>
      <c r="P1569" s="14">
        <v>0.95530052832327805</v>
      </c>
      <c r="Q1569" t="str">
        <f t="shared" si="48"/>
        <v>50+</v>
      </c>
      <c r="R1569" t="str">
        <f t="shared" si="49"/>
        <v>[fiRkU6gEjLz]|50+|Male|PLHIV_Residents.T_1|CY2023Q3</v>
      </c>
    </row>
    <row r="1570" spans="4:18" x14ac:dyDescent="0.2">
      <c r="D1570" t="s">
        <v>22</v>
      </c>
      <c r="E1570" t="s">
        <v>23</v>
      </c>
      <c r="F1570" t="s">
        <v>24</v>
      </c>
      <c r="G1570" t="s">
        <v>144</v>
      </c>
      <c r="H1570" t="s">
        <v>144</v>
      </c>
      <c r="I1570" t="s">
        <v>27</v>
      </c>
      <c r="J1570" t="s">
        <v>28</v>
      </c>
      <c r="K1570" t="s">
        <v>29</v>
      </c>
      <c r="L1570" t="s">
        <v>30</v>
      </c>
      <c r="M1570" t="s">
        <v>139</v>
      </c>
      <c r="N1570">
        <v>1533</v>
      </c>
      <c r="O1570" s="14">
        <v>0.64397796895354997</v>
      </c>
      <c r="P1570" s="14">
        <v>0.40435861097648701</v>
      </c>
      <c r="Q1570" t="str">
        <f t="shared" si="48"/>
        <v>&lt;01</v>
      </c>
      <c r="R1570" t="str">
        <f t="shared" si="49"/>
        <v>[GkIwZrXy1h2]|&lt;01|Female|PopART.Rt.T_1|CY2023Q3</v>
      </c>
    </row>
    <row r="1571" spans="4:18" x14ac:dyDescent="0.2">
      <c r="D1571" t="s">
        <v>22</v>
      </c>
      <c r="E1571" t="s">
        <v>23</v>
      </c>
      <c r="F1571" t="s">
        <v>24</v>
      </c>
      <c r="G1571" t="s">
        <v>144</v>
      </c>
      <c r="H1571" t="s">
        <v>144</v>
      </c>
      <c r="I1571" t="s">
        <v>32</v>
      </c>
      <c r="J1571" t="s">
        <v>33</v>
      </c>
      <c r="K1571" t="s">
        <v>29</v>
      </c>
      <c r="L1571" t="s">
        <v>30</v>
      </c>
      <c r="M1571" t="s">
        <v>139</v>
      </c>
      <c r="N1571">
        <v>1608</v>
      </c>
      <c r="O1571" s="14">
        <v>0.28975071106105998</v>
      </c>
      <c r="P1571" s="14">
        <v>0.40435861097648701</v>
      </c>
      <c r="Q1571" t="str">
        <f t="shared" si="48"/>
        <v>01-09</v>
      </c>
      <c r="R1571" t="str">
        <f t="shared" si="49"/>
        <v>[GkIwZrXy1h2]|01-09|Female|PopART.Rt.T_1|CY2023Q3</v>
      </c>
    </row>
    <row r="1572" spans="4:18" x14ac:dyDescent="0.2">
      <c r="D1572" t="s">
        <v>22</v>
      </c>
      <c r="E1572" t="s">
        <v>23</v>
      </c>
      <c r="F1572" t="s">
        <v>24</v>
      </c>
      <c r="G1572" t="s">
        <v>144</v>
      </c>
      <c r="H1572" t="s">
        <v>144</v>
      </c>
      <c r="I1572" t="s">
        <v>35</v>
      </c>
      <c r="J1572" t="s">
        <v>36</v>
      </c>
      <c r="K1572" t="s">
        <v>29</v>
      </c>
      <c r="L1572" t="s">
        <v>30</v>
      </c>
      <c r="M1572" t="s">
        <v>139</v>
      </c>
      <c r="N1572">
        <v>1803</v>
      </c>
      <c r="O1572" s="14">
        <v>0.19276128965430001</v>
      </c>
      <c r="P1572" s="14">
        <v>0.40435861097648701</v>
      </c>
      <c r="Q1572" t="str">
        <f t="shared" si="48"/>
        <v>10-14</v>
      </c>
      <c r="R1572" t="str">
        <f t="shared" si="49"/>
        <v>[GkIwZrXy1h2]|10-14|Female|PopART.Rt.T_1|CY2023Q3</v>
      </c>
    </row>
    <row r="1573" spans="4:18" x14ac:dyDescent="0.2">
      <c r="D1573" t="s">
        <v>22</v>
      </c>
      <c r="E1573" t="s">
        <v>23</v>
      </c>
      <c r="F1573" t="s">
        <v>24</v>
      </c>
      <c r="G1573" t="s">
        <v>144</v>
      </c>
      <c r="H1573" t="s">
        <v>144</v>
      </c>
      <c r="I1573" t="s">
        <v>37</v>
      </c>
      <c r="J1573" t="s">
        <v>38</v>
      </c>
      <c r="K1573" t="s">
        <v>29</v>
      </c>
      <c r="L1573" t="s">
        <v>30</v>
      </c>
      <c r="M1573" t="s">
        <v>139</v>
      </c>
      <c r="N1573">
        <v>1790</v>
      </c>
      <c r="O1573" s="14">
        <v>0.75257378187961899</v>
      </c>
      <c r="P1573" s="14">
        <v>0.40435861097648701</v>
      </c>
      <c r="Q1573" t="str">
        <f t="shared" si="48"/>
        <v>15-24</v>
      </c>
      <c r="R1573" t="str">
        <f t="shared" si="49"/>
        <v>[GkIwZrXy1h2]|15-24|Female|PopART.Rt.T_1|CY2023Q3</v>
      </c>
    </row>
    <row r="1574" spans="4:18" x14ac:dyDescent="0.2">
      <c r="D1574" t="s">
        <v>22</v>
      </c>
      <c r="E1574" t="s">
        <v>23</v>
      </c>
      <c r="F1574" t="s">
        <v>24</v>
      </c>
      <c r="G1574" t="s">
        <v>144</v>
      </c>
      <c r="H1574" t="s">
        <v>144</v>
      </c>
      <c r="I1574" t="s">
        <v>40</v>
      </c>
      <c r="J1574" t="s">
        <v>41</v>
      </c>
      <c r="K1574" t="s">
        <v>29</v>
      </c>
      <c r="L1574" t="s">
        <v>30</v>
      </c>
      <c r="M1574" t="s">
        <v>139</v>
      </c>
      <c r="N1574">
        <v>739</v>
      </c>
      <c r="O1574" s="14">
        <v>0.63416230236180104</v>
      </c>
      <c r="P1574" s="14">
        <v>0.40435861097648701</v>
      </c>
      <c r="Q1574" t="str">
        <f t="shared" si="48"/>
        <v>25-34</v>
      </c>
      <c r="R1574" t="str">
        <f t="shared" si="49"/>
        <v>[GkIwZrXy1h2]|25-34|Female|PopART.Rt.T_1|CY2023Q3</v>
      </c>
    </row>
    <row r="1575" spans="4:18" x14ac:dyDescent="0.2">
      <c r="D1575" t="s">
        <v>22</v>
      </c>
      <c r="E1575" t="s">
        <v>23</v>
      </c>
      <c r="F1575" t="s">
        <v>24</v>
      </c>
      <c r="G1575" t="s">
        <v>144</v>
      </c>
      <c r="H1575" t="s">
        <v>144</v>
      </c>
      <c r="I1575" t="s">
        <v>42</v>
      </c>
      <c r="J1575" t="s">
        <v>43</v>
      </c>
      <c r="K1575" t="s">
        <v>29</v>
      </c>
      <c r="L1575" t="s">
        <v>30</v>
      </c>
      <c r="M1575" t="s">
        <v>139</v>
      </c>
      <c r="N1575">
        <v>1516</v>
      </c>
      <c r="O1575" s="14">
        <v>0.63697307789698199</v>
      </c>
      <c r="P1575" s="14">
        <v>0.40435861097648701</v>
      </c>
      <c r="Q1575" t="str">
        <f t="shared" si="48"/>
        <v>35-49</v>
      </c>
      <c r="R1575" t="str">
        <f t="shared" si="49"/>
        <v>[GkIwZrXy1h2]|35-49|Female|PopART.Rt.T_1|CY2023Q3</v>
      </c>
    </row>
    <row r="1576" spans="4:18" x14ac:dyDescent="0.2">
      <c r="D1576" t="s">
        <v>22</v>
      </c>
      <c r="E1576" t="s">
        <v>23</v>
      </c>
      <c r="F1576" t="s">
        <v>24</v>
      </c>
      <c r="G1576" t="s">
        <v>144</v>
      </c>
      <c r="H1576" t="s">
        <v>144</v>
      </c>
      <c r="I1576" t="s">
        <v>44</v>
      </c>
      <c r="J1576" t="s">
        <v>45</v>
      </c>
      <c r="K1576" t="s">
        <v>29</v>
      </c>
      <c r="L1576" t="s">
        <v>30</v>
      </c>
      <c r="M1576" t="s">
        <v>139</v>
      </c>
      <c r="N1576">
        <v>868</v>
      </c>
      <c r="O1576" s="14">
        <v>0.39203837607055902</v>
      </c>
      <c r="P1576" s="14">
        <v>0.40435861097648701</v>
      </c>
      <c r="Q1576" t="str">
        <f t="shared" si="48"/>
        <v>50+</v>
      </c>
      <c r="R1576" t="str">
        <f t="shared" si="49"/>
        <v>[GkIwZrXy1h2]|50+|Female|PopART.Rt.T_1|CY2023Q3</v>
      </c>
    </row>
    <row r="1577" spans="4:18" x14ac:dyDescent="0.2">
      <c r="D1577" t="s">
        <v>22</v>
      </c>
      <c r="E1577" t="s">
        <v>23</v>
      </c>
      <c r="F1577" t="s">
        <v>24</v>
      </c>
      <c r="G1577" t="s">
        <v>144</v>
      </c>
      <c r="H1577" t="s">
        <v>144</v>
      </c>
      <c r="I1577" t="s">
        <v>27</v>
      </c>
      <c r="J1577" t="s">
        <v>28</v>
      </c>
      <c r="K1577" t="s">
        <v>47</v>
      </c>
      <c r="L1577" t="s">
        <v>48</v>
      </c>
      <c r="M1577" t="s">
        <v>139</v>
      </c>
      <c r="N1577">
        <v>791</v>
      </c>
      <c r="O1577" s="14">
        <v>0.98154746484942701</v>
      </c>
      <c r="P1577" s="14">
        <v>0.40435861097648701</v>
      </c>
      <c r="Q1577" t="str">
        <f t="shared" si="48"/>
        <v>&lt;01</v>
      </c>
      <c r="R1577" t="str">
        <f t="shared" si="49"/>
        <v>[GkIwZrXy1h2]|&lt;01|Male|PopART.Rt.T_1|CY2023Q3</v>
      </c>
    </row>
    <row r="1578" spans="4:18" x14ac:dyDescent="0.2">
      <c r="D1578" t="s">
        <v>22</v>
      </c>
      <c r="E1578" t="s">
        <v>23</v>
      </c>
      <c r="F1578" t="s">
        <v>24</v>
      </c>
      <c r="G1578" t="s">
        <v>144</v>
      </c>
      <c r="H1578" t="s">
        <v>144</v>
      </c>
      <c r="I1578" t="s">
        <v>32</v>
      </c>
      <c r="J1578" t="s">
        <v>33</v>
      </c>
      <c r="K1578" t="s">
        <v>47</v>
      </c>
      <c r="L1578" t="s">
        <v>48</v>
      </c>
      <c r="M1578" t="s">
        <v>139</v>
      </c>
      <c r="N1578">
        <v>1392</v>
      </c>
      <c r="O1578" s="14">
        <v>7.0267964852973805E-2</v>
      </c>
      <c r="P1578" s="14">
        <v>0.40435861097648701</v>
      </c>
      <c r="Q1578" t="str">
        <f t="shared" si="48"/>
        <v>01-09</v>
      </c>
      <c r="R1578" t="str">
        <f t="shared" si="49"/>
        <v>[GkIwZrXy1h2]|01-09|Male|PopART.Rt.T_1|CY2023Q3</v>
      </c>
    </row>
    <row r="1579" spans="4:18" x14ac:dyDescent="0.2">
      <c r="D1579" t="s">
        <v>22</v>
      </c>
      <c r="E1579" t="s">
        <v>23</v>
      </c>
      <c r="F1579" t="s">
        <v>24</v>
      </c>
      <c r="G1579" t="s">
        <v>144</v>
      </c>
      <c r="H1579" t="s">
        <v>144</v>
      </c>
      <c r="I1579" t="s">
        <v>35</v>
      </c>
      <c r="J1579" t="s">
        <v>36</v>
      </c>
      <c r="K1579" t="s">
        <v>47</v>
      </c>
      <c r="L1579" t="s">
        <v>48</v>
      </c>
      <c r="M1579" t="s">
        <v>139</v>
      </c>
      <c r="N1579">
        <v>1825</v>
      </c>
      <c r="O1579" s="14">
        <v>0.16186760226264599</v>
      </c>
      <c r="P1579" s="14">
        <v>0.40435861097648701</v>
      </c>
      <c r="Q1579" t="str">
        <f t="shared" si="48"/>
        <v>10-14</v>
      </c>
      <c r="R1579" t="str">
        <f t="shared" si="49"/>
        <v>[GkIwZrXy1h2]|10-14|Male|PopART.Rt.T_1|CY2023Q3</v>
      </c>
    </row>
    <row r="1580" spans="4:18" x14ac:dyDescent="0.2">
      <c r="D1580" t="s">
        <v>22</v>
      </c>
      <c r="E1580" t="s">
        <v>23</v>
      </c>
      <c r="F1580" t="s">
        <v>24</v>
      </c>
      <c r="G1580" t="s">
        <v>144</v>
      </c>
      <c r="H1580" t="s">
        <v>144</v>
      </c>
      <c r="I1580" t="s">
        <v>37</v>
      </c>
      <c r="J1580" t="s">
        <v>38</v>
      </c>
      <c r="K1580" t="s">
        <v>47</v>
      </c>
      <c r="L1580" t="s">
        <v>48</v>
      </c>
      <c r="M1580" t="s">
        <v>139</v>
      </c>
      <c r="N1580">
        <v>690</v>
      </c>
      <c r="O1580" s="14">
        <v>0.36929901433177298</v>
      </c>
      <c r="P1580" s="14">
        <v>0.40435861097648701</v>
      </c>
      <c r="Q1580" t="str">
        <f t="shared" si="48"/>
        <v>15-24</v>
      </c>
      <c r="R1580" t="str">
        <f t="shared" si="49"/>
        <v>[GkIwZrXy1h2]|15-24|Male|PopART.Rt.T_1|CY2023Q3</v>
      </c>
    </row>
    <row r="1581" spans="4:18" x14ac:dyDescent="0.2">
      <c r="D1581" t="s">
        <v>22</v>
      </c>
      <c r="E1581" t="s">
        <v>23</v>
      </c>
      <c r="F1581" t="s">
        <v>24</v>
      </c>
      <c r="G1581" t="s">
        <v>144</v>
      </c>
      <c r="H1581" t="s">
        <v>144</v>
      </c>
      <c r="I1581" t="s">
        <v>40</v>
      </c>
      <c r="J1581" t="s">
        <v>41</v>
      </c>
      <c r="K1581" t="s">
        <v>47</v>
      </c>
      <c r="L1581" t="s">
        <v>48</v>
      </c>
      <c r="M1581" t="s">
        <v>139</v>
      </c>
      <c r="N1581">
        <v>647</v>
      </c>
      <c r="O1581" s="14">
        <v>9.0861376374959904E-2</v>
      </c>
      <c r="P1581" s="14">
        <v>0.40435861097648701</v>
      </c>
      <c r="Q1581" t="str">
        <f t="shared" si="48"/>
        <v>25-34</v>
      </c>
      <c r="R1581" t="str">
        <f t="shared" si="49"/>
        <v>[GkIwZrXy1h2]|25-34|Male|PopART.Rt.T_1|CY2023Q3</v>
      </c>
    </row>
    <row r="1582" spans="4:18" x14ac:dyDescent="0.2">
      <c r="D1582" t="s">
        <v>22</v>
      </c>
      <c r="E1582" t="s">
        <v>23</v>
      </c>
      <c r="F1582" t="s">
        <v>24</v>
      </c>
      <c r="G1582" t="s">
        <v>144</v>
      </c>
      <c r="H1582" t="s">
        <v>144</v>
      </c>
      <c r="I1582" t="s">
        <v>42</v>
      </c>
      <c r="J1582" t="s">
        <v>43</v>
      </c>
      <c r="K1582" t="s">
        <v>47</v>
      </c>
      <c r="L1582" t="s">
        <v>48</v>
      </c>
      <c r="M1582" t="s">
        <v>139</v>
      </c>
      <c r="N1582">
        <v>1192</v>
      </c>
      <c r="O1582" s="14">
        <v>0.293234953423962</v>
      </c>
      <c r="P1582" s="14">
        <v>0.40435861097648701</v>
      </c>
      <c r="Q1582" t="str">
        <f t="shared" si="48"/>
        <v>35-49</v>
      </c>
      <c r="R1582" t="str">
        <f t="shared" si="49"/>
        <v>[GkIwZrXy1h2]|35-49|Male|PopART.Rt.T_1|CY2023Q3</v>
      </c>
    </row>
    <row r="1583" spans="4:18" x14ac:dyDescent="0.2">
      <c r="D1583" t="s">
        <v>22</v>
      </c>
      <c r="E1583" t="s">
        <v>23</v>
      </c>
      <c r="F1583" t="s">
        <v>24</v>
      </c>
      <c r="G1583" t="s">
        <v>144</v>
      </c>
      <c r="H1583" t="s">
        <v>144</v>
      </c>
      <c r="I1583" t="s">
        <v>44</v>
      </c>
      <c r="J1583" t="s">
        <v>45</v>
      </c>
      <c r="K1583" t="s">
        <v>47</v>
      </c>
      <c r="L1583" t="s">
        <v>48</v>
      </c>
      <c r="M1583" t="s">
        <v>139</v>
      </c>
      <c r="N1583">
        <v>1816</v>
      </c>
      <c r="O1583" s="14">
        <v>0.82389642833732102</v>
      </c>
      <c r="P1583" s="14">
        <v>0.40435861097648701</v>
      </c>
      <c r="Q1583" t="str">
        <f t="shared" si="48"/>
        <v>50+</v>
      </c>
      <c r="R1583" t="str">
        <f t="shared" si="49"/>
        <v>[GkIwZrXy1h2]|50+|Male|PopART.Rt.T_1|CY2023Q3</v>
      </c>
    </row>
    <row r="1584" spans="4:18" x14ac:dyDescent="0.2">
      <c r="D1584" t="s">
        <v>52</v>
      </c>
      <c r="E1584" t="s">
        <v>53</v>
      </c>
      <c r="F1584" t="s">
        <v>54</v>
      </c>
      <c r="G1584" t="s">
        <v>144</v>
      </c>
      <c r="H1584" t="s">
        <v>144</v>
      </c>
      <c r="I1584" t="s">
        <v>27</v>
      </c>
      <c r="J1584" t="s">
        <v>28</v>
      </c>
      <c r="K1584" t="s">
        <v>29</v>
      </c>
      <c r="L1584" t="s">
        <v>30</v>
      </c>
      <c r="M1584" t="s">
        <v>139</v>
      </c>
      <c r="N1584">
        <v>1798</v>
      </c>
      <c r="O1584" s="14">
        <v>0.77122005051933196</v>
      </c>
      <c r="P1584" s="14">
        <v>0.61639246996492103</v>
      </c>
      <c r="Q1584" t="str">
        <f t="shared" si="48"/>
        <v>&lt;01</v>
      </c>
      <c r="R1584" t="str">
        <f t="shared" si="49"/>
        <v>[zphK9WV8JB4]|&lt;01|Female|PopART.Rt.T_1|CY2023Q3</v>
      </c>
    </row>
    <row r="1585" spans="4:18" x14ac:dyDescent="0.2">
      <c r="D1585" t="s">
        <v>52</v>
      </c>
      <c r="E1585" t="s">
        <v>53</v>
      </c>
      <c r="F1585" t="s">
        <v>54</v>
      </c>
      <c r="G1585" t="s">
        <v>144</v>
      </c>
      <c r="H1585" t="s">
        <v>144</v>
      </c>
      <c r="I1585" t="s">
        <v>32</v>
      </c>
      <c r="J1585" t="s">
        <v>33</v>
      </c>
      <c r="K1585" t="s">
        <v>29</v>
      </c>
      <c r="L1585" t="s">
        <v>30</v>
      </c>
      <c r="M1585" t="s">
        <v>139</v>
      </c>
      <c r="N1585">
        <v>1089</v>
      </c>
      <c r="O1585" s="14">
        <v>0.51017719972878695</v>
      </c>
      <c r="P1585" s="14">
        <v>0.61639246996492103</v>
      </c>
      <c r="Q1585" t="str">
        <f t="shared" si="48"/>
        <v>01-09</v>
      </c>
      <c r="R1585" t="str">
        <f t="shared" si="49"/>
        <v>[zphK9WV8JB4]|01-09|Female|PopART.Rt.T_1|CY2023Q3</v>
      </c>
    </row>
    <row r="1586" spans="4:18" x14ac:dyDescent="0.2">
      <c r="D1586" t="s">
        <v>52</v>
      </c>
      <c r="E1586" t="s">
        <v>53</v>
      </c>
      <c r="F1586" t="s">
        <v>54</v>
      </c>
      <c r="G1586" t="s">
        <v>144</v>
      </c>
      <c r="H1586" t="s">
        <v>144</v>
      </c>
      <c r="I1586" t="s">
        <v>35</v>
      </c>
      <c r="J1586" t="s">
        <v>36</v>
      </c>
      <c r="K1586" t="s">
        <v>29</v>
      </c>
      <c r="L1586" t="s">
        <v>30</v>
      </c>
      <c r="M1586" t="s">
        <v>139</v>
      </c>
      <c r="N1586">
        <v>1756</v>
      </c>
      <c r="O1586" s="14">
        <v>0.323414681479335</v>
      </c>
      <c r="P1586" s="14">
        <v>0.61639246996492103</v>
      </c>
      <c r="Q1586" t="str">
        <f t="shared" si="48"/>
        <v>10-14</v>
      </c>
      <c r="R1586" t="str">
        <f t="shared" si="49"/>
        <v>[zphK9WV8JB4]|10-14|Female|PopART.Rt.T_1|CY2023Q3</v>
      </c>
    </row>
    <row r="1587" spans="4:18" x14ac:dyDescent="0.2">
      <c r="D1587" t="s">
        <v>52</v>
      </c>
      <c r="E1587" t="s">
        <v>53</v>
      </c>
      <c r="F1587" t="s">
        <v>54</v>
      </c>
      <c r="G1587" t="s">
        <v>144</v>
      </c>
      <c r="H1587" t="s">
        <v>144</v>
      </c>
      <c r="I1587" t="s">
        <v>37</v>
      </c>
      <c r="J1587" t="s">
        <v>38</v>
      </c>
      <c r="K1587" t="s">
        <v>29</v>
      </c>
      <c r="L1587" t="s">
        <v>30</v>
      </c>
      <c r="M1587" t="s">
        <v>139</v>
      </c>
      <c r="N1587">
        <v>1568</v>
      </c>
      <c r="O1587" s="14">
        <v>0.67645892617292702</v>
      </c>
      <c r="P1587" s="14">
        <v>0.61639246996492103</v>
      </c>
      <c r="Q1587" t="str">
        <f t="shared" si="48"/>
        <v>15-24</v>
      </c>
      <c r="R1587" t="str">
        <f t="shared" si="49"/>
        <v>[zphK9WV8JB4]|15-24|Female|PopART.Rt.T_1|CY2023Q3</v>
      </c>
    </row>
    <row r="1588" spans="4:18" x14ac:dyDescent="0.2">
      <c r="D1588" t="s">
        <v>52</v>
      </c>
      <c r="E1588" t="s">
        <v>53</v>
      </c>
      <c r="F1588" t="s">
        <v>54</v>
      </c>
      <c r="G1588" t="s">
        <v>144</v>
      </c>
      <c r="H1588" t="s">
        <v>144</v>
      </c>
      <c r="I1588" t="s">
        <v>40</v>
      </c>
      <c r="J1588" t="s">
        <v>41</v>
      </c>
      <c r="K1588" t="s">
        <v>29</v>
      </c>
      <c r="L1588" t="s">
        <v>30</v>
      </c>
      <c r="M1588" t="s">
        <v>139</v>
      </c>
      <c r="N1588">
        <v>1569</v>
      </c>
      <c r="O1588" s="14">
        <v>0.349675155244768</v>
      </c>
      <c r="P1588" s="14">
        <v>0.61639246996492103</v>
      </c>
      <c r="Q1588" t="str">
        <f t="shared" si="48"/>
        <v>25-34</v>
      </c>
      <c r="R1588" t="str">
        <f t="shared" si="49"/>
        <v>[zphK9WV8JB4]|25-34|Female|PopART.Rt.T_1|CY2023Q3</v>
      </c>
    </row>
    <row r="1589" spans="4:18" x14ac:dyDescent="0.2">
      <c r="D1589" t="s">
        <v>52</v>
      </c>
      <c r="E1589" t="s">
        <v>53</v>
      </c>
      <c r="F1589" t="s">
        <v>54</v>
      </c>
      <c r="G1589" t="s">
        <v>144</v>
      </c>
      <c r="H1589" t="s">
        <v>144</v>
      </c>
      <c r="I1589" t="s">
        <v>42</v>
      </c>
      <c r="J1589" t="s">
        <v>43</v>
      </c>
      <c r="K1589" t="s">
        <v>29</v>
      </c>
      <c r="L1589" t="s">
        <v>30</v>
      </c>
      <c r="M1589" t="s">
        <v>139</v>
      </c>
      <c r="N1589">
        <v>606</v>
      </c>
      <c r="O1589" s="14">
        <v>0.47382195107638803</v>
      </c>
      <c r="P1589" s="14">
        <v>0.61639246996492103</v>
      </c>
      <c r="Q1589" t="str">
        <f t="shared" si="48"/>
        <v>35-49</v>
      </c>
      <c r="R1589" t="str">
        <f t="shared" si="49"/>
        <v>[zphK9WV8JB4]|35-49|Female|PopART.Rt.T_1|CY2023Q3</v>
      </c>
    </row>
    <row r="1590" spans="4:18" x14ac:dyDescent="0.2">
      <c r="D1590" t="s">
        <v>52</v>
      </c>
      <c r="E1590" t="s">
        <v>53</v>
      </c>
      <c r="F1590" t="s">
        <v>54</v>
      </c>
      <c r="G1590" t="s">
        <v>144</v>
      </c>
      <c r="H1590" t="s">
        <v>144</v>
      </c>
      <c r="I1590" t="s">
        <v>44</v>
      </c>
      <c r="J1590" t="s">
        <v>45</v>
      </c>
      <c r="K1590" t="s">
        <v>29</v>
      </c>
      <c r="L1590" t="s">
        <v>30</v>
      </c>
      <c r="M1590" t="s">
        <v>139</v>
      </c>
      <c r="N1590">
        <v>838</v>
      </c>
      <c r="O1590" s="14">
        <v>0.15840723249130001</v>
      </c>
      <c r="P1590" s="14">
        <v>0.61639246996492103</v>
      </c>
      <c r="Q1590" t="str">
        <f t="shared" si="48"/>
        <v>50+</v>
      </c>
      <c r="R1590" t="str">
        <f t="shared" si="49"/>
        <v>[zphK9WV8JB4]|50+|Female|PopART.Rt.T_1|CY2023Q3</v>
      </c>
    </row>
    <row r="1591" spans="4:18" x14ac:dyDescent="0.2">
      <c r="D1591" t="s">
        <v>52</v>
      </c>
      <c r="E1591" t="s">
        <v>53</v>
      </c>
      <c r="F1591" t="s">
        <v>54</v>
      </c>
      <c r="G1591" t="s">
        <v>144</v>
      </c>
      <c r="H1591" t="s">
        <v>144</v>
      </c>
      <c r="I1591" t="s">
        <v>27</v>
      </c>
      <c r="J1591" t="s">
        <v>28</v>
      </c>
      <c r="K1591" t="s">
        <v>47</v>
      </c>
      <c r="L1591" t="s">
        <v>48</v>
      </c>
      <c r="M1591" t="s">
        <v>139</v>
      </c>
      <c r="N1591">
        <v>1907</v>
      </c>
      <c r="O1591" s="14">
        <v>0.41608346207067398</v>
      </c>
      <c r="P1591" s="14">
        <v>0.61639246996492103</v>
      </c>
      <c r="Q1591" t="str">
        <f t="shared" si="48"/>
        <v>&lt;01</v>
      </c>
      <c r="R1591" t="str">
        <f t="shared" si="49"/>
        <v>[zphK9WV8JB4]|&lt;01|Male|PopART.Rt.T_1|CY2023Q3</v>
      </c>
    </row>
    <row r="1592" spans="4:18" x14ac:dyDescent="0.2">
      <c r="D1592" t="s">
        <v>52</v>
      </c>
      <c r="E1592" t="s">
        <v>53</v>
      </c>
      <c r="F1592" t="s">
        <v>54</v>
      </c>
      <c r="G1592" t="s">
        <v>144</v>
      </c>
      <c r="H1592" t="s">
        <v>144</v>
      </c>
      <c r="I1592" t="s">
        <v>32</v>
      </c>
      <c r="J1592" t="s">
        <v>33</v>
      </c>
      <c r="K1592" t="s">
        <v>47</v>
      </c>
      <c r="L1592" t="s">
        <v>48</v>
      </c>
      <c r="M1592" t="s">
        <v>139</v>
      </c>
      <c r="N1592">
        <v>961</v>
      </c>
      <c r="O1592" s="14">
        <v>0.59725655103102304</v>
      </c>
      <c r="P1592" s="14">
        <v>0.61639246996492103</v>
      </c>
      <c r="Q1592" t="str">
        <f t="shared" si="48"/>
        <v>01-09</v>
      </c>
      <c r="R1592" t="str">
        <f t="shared" si="49"/>
        <v>[zphK9WV8JB4]|01-09|Male|PopART.Rt.T_1|CY2023Q3</v>
      </c>
    </row>
    <row r="1593" spans="4:18" x14ac:dyDescent="0.2">
      <c r="D1593" t="s">
        <v>52</v>
      </c>
      <c r="E1593" t="s">
        <v>53</v>
      </c>
      <c r="F1593" t="s">
        <v>54</v>
      </c>
      <c r="G1593" t="s">
        <v>144</v>
      </c>
      <c r="H1593" t="s">
        <v>144</v>
      </c>
      <c r="I1593" t="s">
        <v>35</v>
      </c>
      <c r="J1593" t="s">
        <v>36</v>
      </c>
      <c r="K1593" t="s">
        <v>47</v>
      </c>
      <c r="L1593" t="s">
        <v>48</v>
      </c>
      <c r="M1593" t="s">
        <v>139</v>
      </c>
      <c r="N1593">
        <v>617</v>
      </c>
      <c r="O1593" s="14">
        <v>0.1253185600508</v>
      </c>
      <c r="P1593" s="14">
        <v>0.61639246996492103</v>
      </c>
      <c r="Q1593" t="str">
        <f t="shared" si="48"/>
        <v>10-14</v>
      </c>
      <c r="R1593" t="str">
        <f t="shared" si="49"/>
        <v>[zphK9WV8JB4]|10-14|Male|PopART.Rt.T_1|CY2023Q3</v>
      </c>
    </row>
    <row r="1594" spans="4:18" x14ac:dyDescent="0.2">
      <c r="D1594" t="s">
        <v>52</v>
      </c>
      <c r="E1594" t="s">
        <v>53</v>
      </c>
      <c r="F1594" t="s">
        <v>54</v>
      </c>
      <c r="G1594" t="s">
        <v>144</v>
      </c>
      <c r="H1594" t="s">
        <v>144</v>
      </c>
      <c r="I1594" t="s">
        <v>37</v>
      </c>
      <c r="J1594" t="s">
        <v>38</v>
      </c>
      <c r="K1594" t="s">
        <v>47</v>
      </c>
      <c r="L1594" t="s">
        <v>48</v>
      </c>
      <c r="M1594" t="s">
        <v>139</v>
      </c>
      <c r="N1594">
        <v>1202</v>
      </c>
      <c r="O1594" s="14">
        <v>3.9825104642659398E-2</v>
      </c>
      <c r="P1594" s="14">
        <v>0.61639246996492103</v>
      </c>
      <c r="Q1594" t="str">
        <f t="shared" si="48"/>
        <v>15-24</v>
      </c>
      <c r="R1594" t="str">
        <f t="shared" si="49"/>
        <v>[zphK9WV8JB4]|15-24|Male|PopART.Rt.T_1|CY2023Q3</v>
      </c>
    </row>
    <row r="1595" spans="4:18" x14ac:dyDescent="0.2">
      <c r="D1595" t="s">
        <v>52</v>
      </c>
      <c r="E1595" t="s">
        <v>53</v>
      </c>
      <c r="F1595" t="s">
        <v>54</v>
      </c>
      <c r="G1595" t="s">
        <v>144</v>
      </c>
      <c r="H1595" t="s">
        <v>144</v>
      </c>
      <c r="I1595" t="s">
        <v>40</v>
      </c>
      <c r="J1595" t="s">
        <v>41</v>
      </c>
      <c r="K1595" t="s">
        <v>47</v>
      </c>
      <c r="L1595" t="s">
        <v>48</v>
      </c>
      <c r="M1595" t="s">
        <v>139</v>
      </c>
      <c r="N1595">
        <v>1826</v>
      </c>
      <c r="O1595" s="14">
        <v>0.56672932393848896</v>
      </c>
      <c r="P1595" s="14">
        <v>0.61639246996492103</v>
      </c>
      <c r="Q1595" t="str">
        <f t="shared" si="48"/>
        <v>25-34</v>
      </c>
      <c r="R1595" t="str">
        <f t="shared" si="49"/>
        <v>[zphK9WV8JB4]|25-34|Male|PopART.Rt.T_1|CY2023Q3</v>
      </c>
    </row>
    <row r="1596" spans="4:18" x14ac:dyDescent="0.2">
      <c r="D1596" t="s">
        <v>52</v>
      </c>
      <c r="E1596" t="s">
        <v>53</v>
      </c>
      <c r="F1596" t="s">
        <v>54</v>
      </c>
      <c r="G1596" t="s">
        <v>144</v>
      </c>
      <c r="H1596" t="s">
        <v>144</v>
      </c>
      <c r="I1596" t="s">
        <v>42</v>
      </c>
      <c r="J1596" t="s">
        <v>43</v>
      </c>
      <c r="K1596" t="s">
        <v>47</v>
      </c>
      <c r="L1596" t="s">
        <v>48</v>
      </c>
      <c r="M1596" t="s">
        <v>139</v>
      </c>
      <c r="N1596">
        <v>1724</v>
      </c>
      <c r="O1596" s="14">
        <v>0.62974218255840198</v>
      </c>
      <c r="P1596" s="14">
        <v>0.61639246996492103</v>
      </c>
      <c r="Q1596" t="str">
        <f t="shared" si="48"/>
        <v>35-49</v>
      </c>
      <c r="R1596" t="str">
        <f t="shared" si="49"/>
        <v>[zphK9WV8JB4]|35-49|Male|PopART.Rt.T_1|CY2023Q3</v>
      </c>
    </row>
    <row r="1597" spans="4:18" x14ac:dyDescent="0.2">
      <c r="D1597" t="s">
        <v>52</v>
      </c>
      <c r="E1597" t="s">
        <v>53</v>
      </c>
      <c r="F1597" t="s">
        <v>54</v>
      </c>
      <c r="G1597" t="s">
        <v>144</v>
      </c>
      <c r="H1597" t="s">
        <v>144</v>
      </c>
      <c r="I1597" t="s">
        <v>44</v>
      </c>
      <c r="J1597" t="s">
        <v>45</v>
      </c>
      <c r="K1597" t="s">
        <v>47</v>
      </c>
      <c r="L1597" t="s">
        <v>48</v>
      </c>
      <c r="M1597" t="s">
        <v>139</v>
      </c>
      <c r="N1597">
        <v>1591</v>
      </c>
      <c r="O1597" s="14">
        <v>0.95021682488731996</v>
      </c>
      <c r="P1597" s="14">
        <v>0.61639246996492103</v>
      </c>
      <c r="Q1597" t="str">
        <f t="shared" si="48"/>
        <v>50+</v>
      </c>
      <c r="R1597" t="str">
        <f t="shared" si="49"/>
        <v>[zphK9WV8JB4]|50+|Male|PopART.Rt.T_1|CY2023Q3</v>
      </c>
    </row>
    <row r="1598" spans="4:18" x14ac:dyDescent="0.2">
      <c r="D1598" t="s">
        <v>59</v>
      </c>
      <c r="E1598" t="s">
        <v>60</v>
      </c>
      <c r="F1598" t="s">
        <v>61</v>
      </c>
      <c r="G1598" t="s">
        <v>144</v>
      </c>
      <c r="H1598" t="s">
        <v>144</v>
      </c>
      <c r="I1598" t="s">
        <v>27</v>
      </c>
      <c r="J1598" t="s">
        <v>28</v>
      </c>
      <c r="K1598" t="s">
        <v>29</v>
      </c>
      <c r="L1598" t="s">
        <v>30</v>
      </c>
      <c r="M1598" t="s">
        <v>139</v>
      </c>
      <c r="N1598">
        <v>740</v>
      </c>
      <c r="O1598" s="14">
        <v>0.75577781070023797</v>
      </c>
      <c r="P1598" s="14">
        <v>2.6825056178495298E-2</v>
      </c>
      <c r="Q1598" t="str">
        <f t="shared" si="48"/>
        <v>&lt;01</v>
      </c>
      <c r="R1598" t="str">
        <f t="shared" si="49"/>
        <v>[msW2zpIN7up]|&lt;01|Female|PopART.Rt.T_1|CY2023Q3</v>
      </c>
    </row>
    <row r="1599" spans="4:18" x14ac:dyDescent="0.2">
      <c r="D1599" t="s">
        <v>59</v>
      </c>
      <c r="E1599" t="s">
        <v>60</v>
      </c>
      <c r="F1599" t="s">
        <v>61</v>
      </c>
      <c r="G1599" t="s">
        <v>144</v>
      </c>
      <c r="H1599" t="s">
        <v>144</v>
      </c>
      <c r="I1599" t="s">
        <v>32</v>
      </c>
      <c r="J1599" t="s">
        <v>33</v>
      </c>
      <c r="K1599" t="s">
        <v>29</v>
      </c>
      <c r="L1599" t="s">
        <v>30</v>
      </c>
      <c r="M1599" t="s">
        <v>139</v>
      </c>
      <c r="N1599">
        <v>772</v>
      </c>
      <c r="O1599" s="14">
        <v>0.36339433118700998</v>
      </c>
      <c r="P1599" s="14">
        <v>2.6825056178495298E-2</v>
      </c>
      <c r="Q1599" t="str">
        <f t="shared" si="48"/>
        <v>01-09</v>
      </c>
      <c r="R1599" t="str">
        <f t="shared" si="49"/>
        <v>[msW2zpIN7up]|01-09|Female|PopART.Rt.T_1|CY2023Q3</v>
      </c>
    </row>
    <row r="1600" spans="4:18" x14ac:dyDescent="0.2">
      <c r="D1600" t="s">
        <v>59</v>
      </c>
      <c r="E1600" t="s">
        <v>60</v>
      </c>
      <c r="F1600" t="s">
        <v>61</v>
      </c>
      <c r="G1600" t="s">
        <v>144</v>
      </c>
      <c r="H1600" t="s">
        <v>144</v>
      </c>
      <c r="I1600" t="s">
        <v>35</v>
      </c>
      <c r="J1600" t="s">
        <v>36</v>
      </c>
      <c r="K1600" t="s">
        <v>29</v>
      </c>
      <c r="L1600" t="s">
        <v>30</v>
      </c>
      <c r="M1600" t="s">
        <v>139</v>
      </c>
      <c r="N1600">
        <v>842</v>
      </c>
      <c r="O1600" s="14">
        <v>0.25656863488256898</v>
      </c>
      <c r="P1600" s="14">
        <v>2.6825056178495298E-2</v>
      </c>
      <c r="Q1600" t="str">
        <f t="shared" si="48"/>
        <v>10-14</v>
      </c>
      <c r="R1600" t="str">
        <f t="shared" si="49"/>
        <v>[msW2zpIN7up]|10-14|Female|PopART.Rt.T_1|CY2023Q3</v>
      </c>
    </row>
    <row r="1601" spans="4:18" x14ac:dyDescent="0.2">
      <c r="D1601" t="s">
        <v>59</v>
      </c>
      <c r="E1601" t="s">
        <v>60</v>
      </c>
      <c r="F1601" t="s">
        <v>61</v>
      </c>
      <c r="G1601" t="s">
        <v>144</v>
      </c>
      <c r="H1601" t="s">
        <v>144</v>
      </c>
      <c r="I1601" t="s">
        <v>37</v>
      </c>
      <c r="J1601" t="s">
        <v>38</v>
      </c>
      <c r="K1601" t="s">
        <v>29</v>
      </c>
      <c r="L1601" t="s">
        <v>30</v>
      </c>
      <c r="M1601" t="s">
        <v>139</v>
      </c>
      <c r="N1601">
        <v>1176</v>
      </c>
      <c r="O1601" s="14">
        <v>0.70617797388695203</v>
      </c>
      <c r="P1601" s="14">
        <v>2.6825056178495298E-2</v>
      </c>
      <c r="Q1601" t="str">
        <f t="shared" si="48"/>
        <v>15-24</v>
      </c>
      <c r="R1601" t="str">
        <f t="shared" si="49"/>
        <v>[msW2zpIN7up]|15-24|Female|PopART.Rt.T_1|CY2023Q3</v>
      </c>
    </row>
    <row r="1602" spans="4:18" x14ac:dyDescent="0.2">
      <c r="D1602" t="s">
        <v>59</v>
      </c>
      <c r="E1602" t="s">
        <v>60</v>
      </c>
      <c r="F1602" t="s">
        <v>61</v>
      </c>
      <c r="G1602" t="s">
        <v>144</v>
      </c>
      <c r="H1602" t="s">
        <v>144</v>
      </c>
      <c r="I1602" t="s">
        <v>40</v>
      </c>
      <c r="J1602" t="s">
        <v>41</v>
      </c>
      <c r="K1602" t="s">
        <v>29</v>
      </c>
      <c r="L1602" t="s">
        <v>30</v>
      </c>
      <c r="M1602" t="s">
        <v>139</v>
      </c>
      <c r="N1602">
        <v>1721</v>
      </c>
      <c r="O1602" s="14">
        <v>0.61416680412366997</v>
      </c>
      <c r="P1602" s="14">
        <v>2.6825056178495298E-2</v>
      </c>
      <c r="Q1602" t="str">
        <f t="shared" ref="Q1602:Q1665" si="50">SUBSTITUTE(SUBSTITUTE($I1602,CHAR(61),""),CHAR(34),"")</f>
        <v>25-34</v>
      </c>
      <c r="R1602" t="str">
        <f t="shared" ref="R1602:R1665" si="51">IF($D1602&lt;&gt;"","["&amp;$E1602&amp;"]"&amp;"|"&amp;$Q1602&amp;"|"&amp;$K1602&amp;"|"&amp;$G1602&amp;"|"&amp;IF($G1602="TX_CURR_SUBNAT.R","CY2022Q4",$M1602),"")</f>
        <v>[msW2zpIN7up]|25-34|Female|PopART.Rt.T_1|CY2023Q3</v>
      </c>
    </row>
    <row r="1603" spans="4:18" x14ac:dyDescent="0.2">
      <c r="D1603" t="s">
        <v>59</v>
      </c>
      <c r="E1603" t="s">
        <v>60</v>
      </c>
      <c r="F1603" t="s">
        <v>61</v>
      </c>
      <c r="G1603" t="s">
        <v>144</v>
      </c>
      <c r="H1603" t="s">
        <v>144</v>
      </c>
      <c r="I1603" t="s">
        <v>42</v>
      </c>
      <c r="J1603" t="s">
        <v>43</v>
      </c>
      <c r="K1603" t="s">
        <v>29</v>
      </c>
      <c r="L1603" t="s">
        <v>30</v>
      </c>
      <c r="M1603" t="s">
        <v>139</v>
      </c>
      <c r="N1603">
        <v>1206</v>
      </c>
      <c r="O1603" s="14">
        <v>1.4715246157720701E-2</v>
      </c>
      <c r="P1603" s="14">
        <v>2.6825056178495298E-2</v>
      </c>
      <c r="Q1603" t="str">
        <f t="shared" si="50"/>
        <v>35-49</v>
      </c>
      <c r="R1603" t="str">
        <f t="shared" si="51"/>
        <v>[msW2zpIN7up]|35-49|Female|PopART.Rt.T_1|CY2023Q3</v>
      </c>
    </row>
    <row r="1604" spans="4:18" x14ac:dyDescent="0.2">
      <c r="D1604" t="s">
        <v>59</v>
      </c>
      <c r="E1604" t="s">
        <v>60</v>
      </c>
      <c r="F1604" t="s">
        <v>61</v>
      </c>
      <c r="G1604" t="s">
        <v>144</v>
      </c>
      <c r="H1604" t="s">
        <v>144</v>
      </c>
      <c r="I1604" t="s">
        <v>44</v>
      </c>
      <c r="J1604" t="s">
        <v>45</v>
      </c>
      <c r="K1604" t="s">
        <v>29</v>
      </c>
      <c r="L1604" t="s">
        <v>30</v>
      </c>
      <c r="M1604" t="s">
        <v>139</v>
      </c>
      <c r="N1604">
        <v>1991</v>
      </c>
      <c r="O1604" s="14">
        <v>0.82003964902833104</v>
      </c>
      <c r="P1604" s="14">
        <v>2.6825056178495298E-2</v>
      </c>
      <c r="Q1604" t="str">
        <f t="shared" si="50"/>
        <v>50+</v>
      </c>
      <c r="R1604" t="str">
        <f t="shared" si="51"/>
        <v>[msW2zpIN7up]|50+|Female|PopART.Rt.T_1|CY2023Q3</v>
      </c>
    </row>
    <row r="1605" spans="4:18" x14ac:dyDescent="0.2">
      <c r="D1605" t="s">
        <v>59</v>
      </c>
      <c r="E1605" t="s">
        <v>60</v>
      </c>
      <c r="F1605" t="s">
        <v>61</v>
      </c>
      <c r="G1605" t="s">
        <v>144</v>
      </c>
      <c r="H1605" t="s">
        <v>144</v>
      </c>
      <c r="I1605" t="s">
        <v>27</v>
      </c>
      <c r="J1605" t="s">
        <v>28</v>
      </c>
      <c r="K1605" t="s">
        <v>47</v>
      </c>
      <c r="L1605" t="s">
        <v>48</v>
      </c>
      <c r="M1605" t="s">
        <v>139</v>
      </c>
      <c r="N1605">
        <v>696</v>
      </c>
      <c r="O1605" s="14">
        <v>0.48555421503260698</v>
      </c>
      <c r="P1605" s="14">
        <v>2.6825056178495298E-2</v>
      </c>
      <c r="Q1605" t="str">
        <f t="shared" si="50"/>
        <v>&lt;01</v>
      </c>
      <c r="R1605" t="str">
        <f t="shared" si="51"/>
        <v>[msW2zpIN7up]|&lt;01|Male|PopART.Rt.T_1|CY2023Q3</v>
      </c>
    </row>
    <row r="1606" spans="4:18" x14ac:dyDescent="0.2">
      <c r="D1606" t="s">
        <v>59</v>
      </c>
      <c r="E1606" t="s">
        <v>60</v>
      </c>
      <c r="F1606" t="s">
        <v>61</v>
      </c>
      <c r="G1606" t="s">
        <v>144</v>
      </c>
      <c r="H1606" t="s">
        <v>144</v>
      </c>
      <c r="I1606" t="s">
        <v>32</v>
      </c>
      <c r="J1606" t="s">
        <v>33</v>
      </c>
      <c r="K1606" t="s">
        <v>47</v>
      </c>
      <c r="L1606" t="s">
        <v>48</v>
      </c>
      <c r="M1606" t="s">
        <v>139</v>
      </c>
      <c r="N1606">
        <v>554</v>
      </c>
      <c r="O1606" s="14">
        <v>0.67194093484431505</v>
      </c>
      <c r="P1606" s="14">
        <v>2.6825056178495298E-2</v>
      </c>
      <c r="Q1606" t="str">
        <f t="shared" si="50"/>
        <v>01-09</v>
      </c>
      <c r="R1606" t="str">
        <f t="shared" si="51"/>
        <v>[msW2zpIN7up]|01-09|Male|PopART.Rt.T_1|CY2023Q3</v>
      </c>
    </row>
    <row r="1607" spans="4:18" x14ac:dyDescent="0.2">
      <c r="D1607" t="s">
        <v>59</v>
      </c>
      <c r="E1607" t="s">
        <v>60</v>
      </c>
      <c r="F1607" t="s">
        <v>61</v>
      </c>
      <c r="G1607" t="s">
        <v>144</v>
      </c>
      <c r="H1607" t="s">
        <v>144</v>
      </c>
      <c r="I1607" t="s">
        <v>35</v>
      </c>
      <c r="J1607" t="s">
        <v>36</v>
      </c>
      <c r="K1607" t="s">
        <v>47</v>
      </c>
      <c r="L1607" t="s">
        <v>48</v>
      </c>
      <c r="M1607" t="s">
        <v>139</v>
      </c>
      <c r="N1607">
        <v>751</v>
      </c>
      <c r="O1607" s="14">
        <v>0.73429645225405704</v>
      </c>
      <c r="P1607" s="14">
        <v>2.6825056178495298E-2</v>
      </c>
      <c r="Q1607" t="str">
        <f t="shared" si="50"/>
        <v>10-14</v>
      </c>
      <c r="R1607" t="str">
        <f t="shared" si="51"/>
        <v>[msW2zpIN7up]|10-14|Male|PopART.Rt.T_1|CY2023Q3</v>
      </c>
    </row>
    <row r="1608" spans="4:18" x14ac:dyDescent="0.2">
      <c r="D1608" t="s">
        <v>59</v>
      </c>
      <c r="E1608" t="s">
        <v>60</v>
      </c>
      <c r="F1608" t="s">
        <v>61</v>
      </c>
      <c r="G1608" t="s">
        <v>144</v>
      </c>
      <c r="H1608" t="s">
        <v>144</v>
      </c>
      <c r="I1608" t="s">
        <v>37</v>
      </c>
      <c r="J1608" t="s">
        <v>38</v>
      </c>
      <c r="K1608" t="s">
        <v>47</v>
      </c>
      <c r="L1608" t="s">
        <v>48</v>
      </c>
      <c r="M1608" t="s">
        <v>139</v>
      </c>
      <c r="N1608">
        <v>1321</v>
      </c>
      <c r="O1608" s="14">
        <v>3.7979785585775999E-2</v>
      </c>
      <c r="P1608" s="14">
        <v>2.6825056178495298E-2</v>
      </c>
      <c r="Q1608" t="str">
        <f t="shared" si="50"/>
        <v>15-24</v>
      </c>
      <c r="R1608" t="str">
        <f t="shared" si="51"/>
        <v>[msW2zpIN7up]|15-24|Male|PopART.Rt.T_1|CY2023Q3</v>
      </c>
    </row>
    <row r="1609" spans="4:18" x14ac:dyDescent="0.2">
      <c r="D1609" t="s">
        <v>59</v>
      </c>
      <c r="E1609" t="s">
        <v>60</v>
      </c>
      <c r="F1609" t="s">
        <v>61</v>
      </c>
      <c r="G1609" t="s">
        <v>144</v>
      </c>
      <c r="H1609" t="s">
        <v>144</v>
      </c>
      <c r="I1609" t="s">
        <v>40</v>
      </c>
      <c r="J1609" t="s">
        <v>41</v>
      </c>
      <c r="K1609" t="s">
        <v>47</v>
      </c>
      <c r="L1609" t="s">
        <v>48</v>
      </c>
      <c r="M1609" t="s">
        <v>139</v>
      </c>
      <c r="N1609">
        <v>509</v>
      </c>
      <c r="O1609" s="14">
        <v>8.7822463363409001E-2</v>
      </c>
      <c r="P1609" s="14">
        <v>2.6825056178495298E-2</v>
      </c>
      <c r="Q1609" t="str">
        <f t="shared" si="50"/>
        <v>25-34</v>
      </c>
      <c r="R1609" t="str">
        <f t="shared" si="51"/>
        <v>[msW2zpIN7up]|25-34|Male|PopART.Rt.T_1|CY2023Q3</v>
      </c>
    </row>
    <row r="1610" spans="4:18" x14ac:dyDescent="0.2">
      <c r="D1610" t="s">
        <v>59</v>
      </c>
      <c r="E1610" t="s">
        <v>60</v>
      </c>
      <c r="F1610" t="s">
        <v>61</v>
      </c>
      <c r="G1610" t="s">
        <v>144</v>
      </c>
      <c r="H1610" t="s">
        <v>144</v>
      </c>
      <c r="I1610" t="s">
        <v>42</v>
      </c>
      <c r="J1610" t="s">
        <v>43</v>
      </c>
      <c r="K1610" t="s">
        <v>47</v>
      </c>
      <c r="L1610" t="s">
        <v>48</v>
      </c>
      <c r="M1610" t="s">
        <v>139</v>
      </c>
      <c r="N1610">
        <v>1338</v>
      </c>
      <c r="O1610" s="14">
        <v>0.47578807920217497</v>
      </c>
      <c r="P1610" s="14">
        <v>2.6825056178495298E-2</v>
      </c>
      <c r="Q1610" t="str">
        <f t="shared" si="50"/>
        <v>35-49</v>
      </c>
      <c r="R1610" t="str">
        <f t="shared" si="51"/>
        <v>[msW2zpIN7up]|35-49|Male|PopART.Rt.T_1|CY2023Q3</v>
      </c>
    </row>
    <row r="1611" spans="4:18" x14ac:dyDescent="0.2">
      <c r="D1611" t="s">
        <v>59</v>
      </c>
      <c r="E1611" t="s">
        <v>60</v>
      </c>
      <c r="F1611" t="s">
        <v>61</v>
      </c>
      <c r="G1611" t="s">
        <v>144</v>
      </c>
      <c r="H1611" t="s">
        <v>144</v>
      </c>
      <c r="I1611" t="s">
        <v>44</v>
      </c>
      <c r="J1611" t="s">
        <v>45</v>
      </c>
      <c r="K1611" t="s">
        <v>47</v>
      </c>
      <c r="L1611" t="s">
        <v>48</v>
      </c>
      <c r="M1611" t="s">
        <v>139</v>
      </c>
      <c r="N1611">
        <v>716</v>
      </c>
      <c r="O1611" s="14">
        <v>0.27648236020468198</v>
      </c>
      <c r="P1611" s="14">
        <v>2.6825056178495298E-2</v>
      </c>
      <c r="Q1611" t="str">
        <f t="shared" si="50"/>
        <v>50+</v>
      </c>
      <c r="R1611" t="str">
        <f t="shared" si="51"/>
        <v>[msW2zpIN7up]|50+|Male|PopART.Rt.T_1|CY2023Q3</v>
      </c>
    </row>
    <row r="1612" spans="4:18" x14ac:dyDescent="0.2">
      <c r="D1612" t="s">
        <v>62</v>
      </c>
      <c r="E1612" t="s">
        <v>63</v>
      </c>
      <c r="F1612" t="s">
        <v>64</v>
      </c>
      <c r="G1612" t="s">
        <v>144</v>
      </c>
      <c r="H1612" t="s">
        <v>144</v>
      </c>
      <c r="I1612" t="s">
        <v>27</v>
      </c>
      <c r="J1612" t="s">
        <v>28</v>
      </c>
      <c r="K1612" t="s">
        <v>29</v>
      </c>
      <c r="L1612" t="s">
        <v>30</v>
      </c>
      <c r="M1612" t="s">
        <v>139</v>
      </c>
      <c r="N1612">
        <v>765</v>
      </c>
      <c r="O1612" s="14">
        <v>5.4457123158499599E-2</v>
      </c>
      <c r="P1612" s="14">
        <v>0.790102193132043</v>
      </c>
      <c r="Q1612" t="str">
        <f t="shared" si="50"/>
        <v>&lt;01</v>
      </c>
      <c r="R1612" t="str">
        <f t="shared" si="51"/>
        <v>[kxuuIFpOXyO]|&lt;01|Female|PopART.Rt.T_1|CY2023Q3</v>
      </c>
    </row>
    <row r="1613" spans="4:18" x14ac:dyDescent="0.2">
      <c r="D1613" t="s">
        <v>62</v>
      </c>
      <c r="E1613" t="s">
        <v>63</v>
      </c>
      <c r="F1613" t="s">
        <v>64</v>
      </c>
      <c r="G1613" t="s">
        <v>144</v>
      </c>
      <c r="H1613" t="s">
        <v>144</v>
      </c>
      <c r="I1613" t="s">
        <v>32</v>
      </c>
      <c r="J1613" t="s">
        <v>33</v>
      </c>
      <c r="K1613" t="s">
        <v>29</v>
      </c>
      <c r="L1613" t="s">
        <v>30</v>
      </c>
      <c r="M1613" t="s">
        <v>139</v>
      </c>
      <c r="N1613">
        <v>1421</v>
      </c>
      <c r="O1613" s="14">
        <v>0.68324787192977998</v>
      </c>
      <c r="P1613" s="14">
        <v>0.790102193132043</v>
      </c>
      <c r="Q1613" t="str">
        <f t="shared" si="50"/>
        <v>01-09</v>
      </c>
      <c r="R1613" t="str">
        <f t="shared" si="51"/>
        <v>[kxuuIFpOXyO]|01-09|Female|PopART.Rt.T_1|CY2023Q3</v>
      </c>
    </row>
    <row r="1614" spans="4:18" x14ac:dyDescent="0.2">
      <c r="D1614" t="s">
        <v>62</v>
      </c>
      <c r="E1614" t="s">
        <v>63</v>
      </c>
      <c r="F1614" t="s">
        <v>64</v>
      </c>
      <c r="G1614" t="s">
        <v>144</v>
      </c>
      <c r="H1614" t="s">
        <v>144</v>
      </c>
      <c r="I1614" t="s">
        <v>35</v>
      </c>
      <c r="J1614" t="s">
        <v>36</v>
      </c>
      <c r="K1614" t="s">
        <v>29</v>
      </c>
      <c r="L1614" t="s">
        <v>30</v>
      </c>
      <c r="M1614" t="s">
        <v>139</v>
      </c>
      <c r="N1614">
        <v>911</v>
      </c>
      <c r="O1614" s="14">
        <v>0.50484213884919904</v>
      </c>
      <c r="P1614" s="14">
        <v>0.790102193132043</v>
      </c>
      <c r="Q1614" t="str">
        <f t="shared" si="50"/>
        <v>10-14</v>
      </c>
      <c r="R1614" t="str">
        <f t="shared" si="51"/>
        <v>[kxuuIFpOXyO]|10-14|Female|PopART.Rt.T_1|CY2023Q3</v>
      </c>
    </row>
    <row r="1615" spans="4:18" x14ac:dyDescent="0.2">
      <c r="D1615" t="s">
        <v>62</v>
      </c>
      <c r="E1615" t="s">
        <v>63</v>
      </c>
      <c r="F1615" t="s">
        <v>64</v>
      </c>
      <c r="G1615" t="s">
        <v>144</v>
      </c>
      <c r="H1615" t="s">
        <v>144</v>
      </c>
      <c r="I1615" t="s">
        <v>37</v>
      </c>
      <c r="J1615" t="s">
        <v>38</v>
      </c>
      <c r="K1615" t="s">
        <v>29</v>
      </c>
      <c r="L1615" t="s">
        <v>30</v>
      </c>
      <c r="M1615" t="s">
        <v>139</v>
      </c>
      <c r="N1615">
        <v>1889</v>
      </c>
      <c r="O1615" s="14">
        <v>0.74984095431864295</v>
      </c>
      <c r="P1615" s="14">
        <v>0.790102193132043</v>
      </c>
      <c r="Q1615" t="str">
        <f t="shared" si="50"/>
        <v>15-24</v>
      </c>
      <c r="R1615" t="str">
        <f t="shared" si="51"/>
        <v>[kxuuIFpOXyO]|15-24|Female|PopART.Rt.T_1|CY2023Q3</v>
      </c>
    </row>
    <row r="1616" spans="4:18" x14ac:dyDescent="0.2">
      <c r="D1616" t="s">
        <v>62</v>
      </c>
      <c r="E1616" t="s">
        <v>63</v>
      </c>
      <c r="F1616" t="s">
        <v>64</v>
      </c>
      <c r="G1616" t="s">
        <v>144</v>
      </c>
      <c r="H1616" t="s">
        <v>144</v>
      </c>
      <c r="I1616" t="s">
        <v>40</v>
      </c>
      <c r="J1616" t="s">
        <v>41</v>
      </c>
      <c r="K1616" t="s">
        <v>29</v>
      </c>
      <c r="L1616" t="s">
        <v>30</v>
      </c>
      <c r="M1616" t="s">
        <v>139</v>
      </c>
      <c r="N1616">
        <v>1744</v>
      </c>
      <c r="O1616" s="14">
        <v>0.234198787016794</v>
      </c>
      <c r="P1616" s="14">
        <v>0.790102193132043</v>
      </c>
      <c r="Q1616" t="str">
        <f t="shared" si="50"/>
        <v>25-34</v>
      </c>
      <c r="R1616" t="str">
        <f t="shared" si="51"/>
        <v>[kxuuIFpOXyO]|25-34|Female|PopART.Rt.T_1|CY2023Q3</v>
      </c>
    </row>
    <row r="1617" spans="4:18" x14ac:dyDescent="0.2">
      <c r="D1617" t="s">
        <v>62</v>
      </c>
      <c r="E1617" t="s">
        <v>63</v>
      </c>
      <c r="F1617" t="s">
        <v>64</v>
      </c>
      <c r="G1617" t="s">
        <v>144</v>
      </c>
      <c r="H1617" t="s">
        <v>144</v>
      </c>
      <c r="I1617" t="s">
        <v>42</v>
      </c>
      <c r="J1617" t="s">
        <v>43</v>
      </c>
      <c r="K1617" t="s">
        <v>29</v>
      </c>
      <c r="L1617" t="s">
        <v>30</v>
      </c>
      <c r="M1617" t="s">
        <v>139</v>
      </c>
      <c r="N1617">
        <v>647</v>
      </c>
      <c r="O1617" s="14">
        <v>0.12078494601883</v>
      </c>
      <c r="P1617" s="14">
        <v>0.790102193132043</v>
      </c>
      <c r="Q1617" t="str">
        <f t="shared" si="50"/>
        <v>35-49</v>
      </c>
      <c r="R1617" t="str">
        <f t="shared" si="51"/>
        <v>[kxuuIFpOXyO]|35-49|Female|PopART.Rt.T_1|CY2023Q3</v>
      </c>
    </row>
    <row r="1618" spans="4:18" x14ac:dyDescent="0.2">
      <c r="D1618" t="s">
        <v>62</v>
      </c>
      <c r="E1618" t="s">
        <v>63</v>
      </c>
      <c r="F1618" t="s">
        <v>64</v>
      </c>
      <c r="G1618" t="s">
        <v>144</v>
      </c>
      <c r="H1618" t="s">
        <v>144</v>
      </c>
      <c r="I1618" t="s">
        <v>44</v>
      </c>
      <c r="J1618" t="s">
        <v>45</v>
      </c>
      <c r="K1618" t="s">
        <v>29</v>
      </c>
      <c r="L1618" t="s">
        <v>30</v>
      </c>
      <c r="M1618" t="s">
        <v>139</v>
      </c>
      <c r="N1618">
        <v>1492</v>
      </c>
      <c r="O1618" s="14">
        <v>0.23343119653873101</v>
      </c>
      <c r="P1618" s="14">
        <v>0.790102193132043</v>
      </c>
      <c r="Q1618" t="str">
        <f t="shared" si="50"/>
        <v>50+</v>
      </c>
      <c r="R1618" t="str">
        <f t="shared" si="51"/>
        <v>[kxuuIFpOXyO]|50+|Female|PopART.Rt.T_1|CY2023Q3</v>
      </c>
    </row>
    <row r="1619" spans="4:18" x14ac:dyDescent="0.2">
      <c r="D1619" t="s">
        <v>62</v>
      </c>
      <c r="E1619" t="s">
        <v>63</v>
      </c>
      <c r="F1619" t="s">
        <v>64</v>
      </c>
      <c r="G1619" t="s">
        <v>144</v>
      </c>
      <c r="H1619" t="s">
        <v>144</v>
      </c>
      <c r="I1619" t="s">
        <v>27</v>
      </c>
      <c r="J1619" t="s">
        <v>28</v>
      </c>
      <c r="K1619" t="s">
        <v>47</v>
      </c>
      <c r="L1619" t="s">
        <v>48</v>
      </c>
      <c r="M1619" t="s">
        <v>139</v>
      </c>
      <c r="N1619">
        <v>1304</v>
      </c>
      <c r="O1619" s="14">
        <v>0.329753740690649</v>
      </c>
      <c r="P1619" s="14">
        <v>0.790102193132043</v>
      </c>
      <c r="Q1619" t="str">
        <f t="shared" si="50"/>
        <v>&lt;01</v>
      </c>
      <c r="R1619" t="str">
        <f t="shared" si="51"/>
        <v>[kxuuIFpOXyO]|&lt;01|Male|PopART.Rt.T_1|CY2023Q3</v>
      </c>
    </row>
    <row r="1620" spans="4:18" x14ac:dyDescent="0.2">
      <c r="D1620" t="s">
        <v>62</v>
      </c>
      <c r="E1620" t="s">
        <v>63</v>
      </c>
      <c r="F1620" t="s">
        <v>64</v>
      </c>
      <c r="G1620" t="s">
        <v>144</v>
      </c>
      <c r="H1620" t="s">
        <v>144</v>
      </c>
      <c r="I1620" t="s">
        <v>32</v>
      </c>
      <c r="J1620" t="s">
        <v>33</v>
      </c>
      <c r="K1620" t="s">
        <v>47</v>
      </c>
      <c r="L1620" t="s">
        <v>48</v>
      </c>
      <c r="M1620" t="s">
        <v>139</v>
      </c>
      <c r="N1620">
        <v>1003</v>
      </c>
      <c r="O1620" s="14">
        <v>0.10504915472119999</v>
      </c>
      <c r="P1620" s="14">
        <v>0.790102193132043</v>
      </c>
      <c r="Q1620" t="str">
        <f t="shared" si="50"/>
        <v>01-09</v>
      </c>
      <c r="R1620" t="str">
        <f t="shared" si="51"/>
        <v>[kxuuIFpOXyO]|01-09|Male|PopART.Rt.T_1|CY2023Q3</v>
      </c>
    </row>
    <row r="1621" spans="4:18" x14ac:dyDescent="0.2">
      <c r="D1621" t="s">
        <v>62</v>
      </c>
      <c r="E1621" t="s">
        <v>63</v>
      </c>
      <c r="F1621" t="s">
        <v>64</v>
      </c>
      <c r="G1621" t="s">
        <v>144</v>
      </c>
      <c r="H1621" t="s">
        <v>144</v>
      </c>
      <c r="I1621" t="s">
        <v>35</v>
      </c>
      <c r="J1621" t="s">
        <v>36</v>
      </c>
      <c r="K1621" t="s">
        <v>47</v>
      </c>
      <c r="L1621" t="s">
        <v>48</v>
      </c>
      <c r="M1621" t="s">
        <v>139</v>
      </c>
      <c r="N1621">
        <v>1496</v>
      </c>
      <c r="O1621" s="14">
        <v>6.5496722701937002E-2</v>
      </c>
      <c r="P1621" s="14">
        <v>0.790102193132043</v>
      </c>
      <c r="Q1621" t="str">
        <f t="shared" si="50"/>
        <v>10-14</v>
      </c>
      <c r="R1621" t="str">
        <f t="shared" si="51"/>
        <v>[kxuuIFpOXyO]|10-14|Male|PopART.Rt.T_1|CY2023Q3</v>
      </c>
    </row>
    <row r="1622" spans="4:18" x14ac:dyDescent="0.2">
      <c r="D1622" t="s">
        <v>62</v>
      </c>
      <c r="E1622" t="s">
        <v>63</v>
      </c>
      <c r="F1622" t="s">
        <v>64</v>
      </c>
      <c r="G1622" t="s">
        <v>144</v>
      </c>
      <c r="H1622" t="s">
        <v>144</v>
      </c>
      <c r="I1622" t="s">
        <v>37</v>
      </c>
      <c r="J1622" t="s">
        <v>38</v>
      </c>
      <c r="K1622" t="s">
        <v>47</v>
      </c>
      <c r="L1622" t="s">
        <v>48</v>
      </c>
      <c r="M1622" t="s">
        <v>139</v>
      </c>
      <c r="N1622">
        <v>742</v>
      </c>
      <c r="O1622" s="14">
        <v>0.211536976974458</v>
      </c>
      <c r="P1622" s="14">
        <v>0.790102193132043</v>
      </c>
      <c r="Q1622" t="str">
        <f t="shared" si="50"/>
        <v>15-24</v>
      </c>
      <c r="R1622" t="str">
        <f t="shared" si="51"/>
        <v>[kxuuIFpOXyO]|15-24|Male|PopART.Rt.T_1|CY2023Q3</v>
      </c>
    </row>
    <row r="1623" spans="4:18" x14ac:dyDescent="0.2">
      <c r="D1623" t="s">
        <v>62</v>
      </c>
      <c r="E1623" t="s">
        <v>63</v>
      </c>
      <c r="F1623" t="s">
        <v>64</v>
      </c>
      <c r="G1623" t="s">
        <v>144</v>
      </c>
      <c r="H1623" t="s">
        <v>144</v>
      </c>
      <c r="I1623" t="s">
        <v>40</v>
      </c>
      <c r="J1623" t="s">
        <v>41</v>
      </c>
      <c r="K1623" t="s">
        <v>47</v>
      </c>
      <c r="L1623" t="s">
        <v>48</v>
      </c>
      <c r="M1623" t="s">
        <v>139</v>
      </c>
      <c r="N1623">
        <v>539</v>
      </c>
      <c r="O1623" s="14">
        <v>0.67560678720474199</v>
      </c>
      <c r="P1623" s="14">
        <v>0.790102193132043</v>
      </c>
      <c r="Q1623" t="str">
        <f t="shared" si="50"/>
        <v>25-34</v>
      </c>
      <c r="R1623" t="str">
        <f t="shared" si="51"/>
        <v>[kxuuIFpOXyO]|25-34|Male|PopART.Rt.T_1|CY2023Q3</v>
      </c>
    </row>
    <row r="1624" spans="4:18" x14ac:dyDescent="0.2">
      <c r="D1624" t="s">
        <v>62</v>
      </c>
      <c r="E1624" t="s">
        <v>63</v>
      </c>
      <c r="F1624" t="s">
        <v>64</v>
      </c>
      <c r="G1624" t="s">
        <v>144</v>
      </c>
      <c r="H1624" t="s">
        <v>144</v>
      </c>
      <c r="I1624" t="s">
        <v>42</v>
      </c>
      <c r="J1624" t="s">
        <v>43</v>
      </c>
      <c r="K1624" t="s">
        <v>47</v>
      </c>
      <c r="L1624" t="s">
        <v>48</v>
      </c>
      <c r="M1624" t="s">
        <v>139</v>
      </c>
      <c r="N1624">
        <v>1493</v>
      </c>
      <c r="O1624" s="14">
        <v>0.17229048814624501</v>
      </c>
      <c r="P1624" s="14">
        <v>0.790102193132043</v>
      </c>
      <c r="Q1624" t="str">
        <f t="shared" si="50"/>
        <v>35-49</v>
      </c>
      <c r="R1624" t="str">
        <f t="shared" si="51"/>
        <v>[kxuuIFpOXyO]|35-49|Male|PopART.Rt.T_1|CY2023Q3</v>
      </c>
    </row>
    <row r="1625" spans="4:18" x14ac:dyDescent="0.2">
      <c r="D1625" t="s">
        <v>62</v>
      </c>
      <c r="E1625" t="s">
        <v>63</v>
      </c>
      <c r="F1625" t="s">
        <v>64</v>
      </c>
      <c r="G1625" t="s">
        <v>144</v>
      </c>
      <c r="H1625" t="s">
        <v>144</v>
      </c>
      <c r="I1625" t="s">
        <v>44</v>
      </c>
      <c r="J1625" t="s">
        <v>45</v>
      </c>
      <c r="K1625" t="s">
        <v>47</v>
      </c>
      <c r="L1625" t="s">
        <v>48</v>
      </c>
      <c r="M1625" t="s">
        <v>139</v>
      </c>
      <c r="N1625">
        <v>1145</v>
      </c>
      <c r="O1625" s="14">
        <v>0.454550757771358</v>
      </c>
      <c r="P1625" s="14">
        <v>0.790102193132043</v>
      </c>
      <c r="Q1625" t="str">
        <f t="shared" si="50"/>
        <v>50+</v>
      </c>
      <c r="R1625" t="str">
        <f t="shared" si="51"/>
        <v>[kxuuIFpOXyO]|50+|Male|PopART.Rt.T_1|CY2023Q3</v>
      </c>
    </row>
    <row r="1626" spans="4:18" x14ac:dyDescent="0.2">
      <c r="D1626" t="s">
        <v>65</v>
      </c>
      <c r="E1626" t="s">
        <v>66</v>
      </c>
      <c r="F1626" t="s">
        <v>67</v>
      </c>
      <c r="G1626" t="s">
        <v>144</v>
      </c>
      <c r="H1626" t="s">
        <v>144</v>
      </c>
      <c r="I1626" t="s">
        <v>27</v>
      </c>
      <c r="J1626" t="s">
        <v>28</v>
      </c>
      <c r="K1626" t="s">
        <v>29</v>
      </c>
      <c r="L1626" t="s">
        <v>30</v>
      </c>
      <c r="M1626" t="s">
        <v>139</v>
      </c>
      <c r="N1626">
        <v>1087</v>
      </c>
      <c r="O1626" s="14">
        <v>5.2135777659714201E-2</v>
      </c>
      <c r="P1626" s="14">
        <v>0.16460988437756899</v>
      </c>
      <c r="Q1626" t="str">
        <f t="shared" si="50"/>
        <v>&lt;01</v>
      </c>
      <c r="R1626" t="str">
        <f t="shared" si="51"/>
        <v>[ScR9iFKAasW]|&lt;01|Female|PopART.Rt.T_1|CY2023Q3</v>
      </c>
    </row>
    <row r="1627" spans="4:18" x14ac:dyDescent="0.2">
      <c r="D1627" t="s">
        <v>65</v>
      </c>
      <c r="E1627" t="s">
        <v>66</v>
      </c>
      <c r="F1627" t="s">
        <v>67</v>
      </c>
      <c r="G1627" t="s">
        <v>144</v>
      </c>
      <c r="H1627" t="s">
        <v>144</v>
      </c>
      <c r="I1627" t="s">
        <v>32</v>
      </c>
      <c r="J1627" t="s">
        <v>33</v>
      </c>
      <c r="K1627" t="s">
        <v>29</v>
      </c>
      <c r="L1627" t="s">
        <v>30</v>
      </c>
      <c r="M1627" t="s">
        <v>139</v>
      </c>
      <c r="N1627">
        <v>997</v>
      </c>
      <c r="O1627" s="14">
        <v>0.81656814320012905</v>
      </c>
      <c r="P1627" s="14">
        <v>0.16460988437756899</v>
      </c>
      <c r="Q1627" t="str">
        <f t="shared" si="50"/>
        <v>01-09</v>
      </c>
      <c r="R1627" t="str">
        <f t="shared" si="51"/>
        <v>[ScR9iFKAasW]|01-09|Female|PopART.Rt.T_1|CY2023Q3</v>
      </c>
    </row>
    <row r="1628" spans="4:18" x14ac:dyDescent="0.2">
      <c r="D1628" t="s">
        <v>65</v>
      </c>
      <c r="E1628" t="s">
        <v>66</v>
      </c>
      <c r="F1628" t="s">
        <v>67</v>
      </c>
      <c r="G1628" t="s">
        <v>144</v>
      </c>
      <c r="H1628" t="s">
        <v>144</v>
      </c>
      <c r="I1628" t="s">
        <v>35</v>
      </c>
      <c r="J1628" t="s">
        <v>36</v>
      </c>
      <c r="K1628" t="s">
        <v>29</v>
      </c>
      <c r="L1628" t="s">
        <v>30</v>
      </c>
      <c r="M1628" t="s">
        <v>139</v>
      </c>
      <c r="N1628">
        <v>1545</v>
      </c>
      <c r="O1628" s="14">
        <v>3.7704587448388299E-3</v>
      </c>
      <c r="P1628" s="14">
        <v>0.16460988437756899</v>
      </c>
      <c r="Q1628" t="str">
        <f t="shared" si="50"/>
        <v>10-14</v>
      </c>
      <c r="R1628" t="str">
        <f t="shared" si="51"/>
        <v>[ScR9iFKAasW]|10-14|Female|PopART.Rt.T_1|CY2023Q3</v>
      </c>
    </row>
    <row r="1629" spans="4:18" x14ac:dyDescent="0.2">
      <c r="D1629" t="s">
        <v>65</v>
      </c>
      <c r="E1629" t="s">
        <v>66</v>
      </c>
      <c r="F1629" t="s">
        <v>67</v>
      </c>
      <c r="G1629" t="s">
        <v>144</v>
      </c>
      <c r="H1629" t="s">
        <v>144</v>
      </c>
      <c r="I1629" t="s">
        <v>37</v>
      </c>
      <c r="J1629" t="s">
        <v>38</v>
      </c>
      <c r="K1629" t="s">
        <v>29</v>
      </c>
      <c r="L1629" t="s">
        <v>30</v>
      </c>
      <c r="M1629" t="s">
        <v>139</v>
      </c>
      <c r="N1629">
        <v>1520</v>
      </c>
      <c r="O1629" s="14">
        <v>0.58650941587984595</v>
      </c>
      <c r="P1629" s="14">
        <v>0.16460988437756899</v>
      </c>
      <c r="Q1629" t="str">
        <f t="shared" si="50"/>
        <v>15-24</v>
      </c>
      <c r="R1629" t="str">
        <f t="shared" si="51"/>
        <v>[ScR9iFKAasW]|15-24|Female|PopART.Rt.T_1|CY2023Q3</v>
      </c>
    </row>
    <row r="1630" spans="4:18" x14ac:dyDescent="0.2">
      <c r="D1630" t="s">
        <v>65</v>
      </c>
      <c r="E1630" t="s">
        <v>66</v>
      </c>
      <c r="F1630" t="s">
        <v>67</v>
      </c>
      <c r="G1630" t="s">
        <v>144</v>
      </c>
      <c r="H1630" t="s">
        <v>144</v>
      </c>
      <c r="I1630" t="s">
        <v>40</v>
      </c>
      <c r="J1630" t="s">
        <v>41</v>
      </c>
      <c r="K1630" t="s">
        <v>29</v>
      </c>
      <c r="L1630" t="s">
        <v>30</v>
      </c>
      <c r="M1630" t="s">
        <v>139</v>
      </c>
      <c r="N1630">
        <v>1656</v>
      </c>
      <c r="O1630" s="14">
        <v>0.80160446441732303</v>
      </c>
      <c r="P1630" s="14">
        <v>0.16460988437756899</v>
      </c>
      <c r="Q1630" t="str">
        <f t="shared" si="50"/>
        <v>25-34</v>
      </c>
      <c r="R1630" t="str">
        <f t="shared" si="51"/>
        <v>[ScR9iFKAasW]|25-34|Female|PopART.Rt.T_1|CY2023Q3</v>
      </c>
    </row>
    <row r="1631" spans="4:18" x14ac:dyDescent="0.2">
      <c r="D1631" t="s">
        <v>65</v>
      </c>
      <c r="E1631" t="s">
        <v>66</v>
      </c>
      <c r="F1631" t="s">
        <v>67</v>
      </c>
      <c r="G1631" t="s">
        <v>144</v>
      </c>
      <c r="H1631" t="s">
        <v>144</v>
      </c>
      <c r="I1631" t="s">
        <v>42</v>
      </c>
      <c r="J1631" t="s">
        <v>43</v>
      </c>
      <c r="K1631" t="s">
        <v>29</v>
      </c>
      <c r="L1631" t="s">
        <v>30</v>
      </c>
      <c r="M1631" t="s">
        <v>139</v>
      </c>
      <c r="N1631">
        <v>1181</v>
      </c>
      <c r="O1631" s="14">
        <v>0.27235824335366499</v>
      </c>
      <c r="P1631" s="14">
        <v>0.16460988437756899</v>
      </c>
      <c r="Q1631" t="str">
        <f t="shared" si="50"/>
        <v>35-49</v>
      </c>
      <c r="R1631" t="str">
        <f t="shared" si="51"/>
        <v>[ScR9iFKAasW]|35-49|Female|PopART.Rt.T_1|CY2023Q3</v>
      </c>
    </row>
    <row r="1632" spans="4:18" x14ac:dyDescent="0.2">
      <c r="D1632" t="s">
        <v>65</v>
      </c>
      <c r="E1632" t="s">
        <v>66</v>
      </c>
      <c r="F1632" t="s">
        <v>67</v>
      </c>
      <c r="G1632" t="s">
        <v>144</v>
      </c>
      <c r="H1632" t="s">
        <v>144</v>
      </c>
      <c r="I1632" t="s">
        <v>44</v>
      </c>
      <c r="J1632" t="s">
        <v>45</v>
      </c>
      <c r="K1632" t="s">
        <v>29</v>
      </c>
      <c r="L1632" t="s">
        <v>30</v>
      </c>
      <c r="M1632" t="s">
        <v>139</v>
      </c>
      <c r="N1632">
        <v>1925</v>
      </c>
      <c r="O1632" s="14">
        <v>0.40914096380583898</v>
      </c>
      <c r="P1632" s="14">
        <v>0.16460988437756899</v>
      </c>
      <c r="Q1632" t="str">
        <f t="shared" si="50"/>
        <v>50+</v>
      </c>
      <c r="R1632" t="str">
        <f t="shared" si="51"/>
        <v>[ScR9iFKAasW]|50+|Female|PopART.Rt.T_1|CY2023Q3</v>
      </c>
    </row>
    <row r="1633" spans="4:18" x14ac:dyDescent="0.2">
      <c r="D1633" t="s">
        <v>65</v>
      </c>
      <c r="E1633" t="s">
        <v>66</v>
      </c>
      <c r="F1633" t="s">
        <v>67</v>
      </c>
      <c r="G1633" t="s">
        <v>144</v>
      </c>
      <c r="H1633" t="s">
        <v>144</v>
      </c>
      <c r="I1633" t="s">
        <v>27</v>
      </c>
      <c r="J1633" t="s">
        <v>28</v>
      </c>
      <c r="K1633" t="s">
        <v>47</v>
      </c>
      <c r="L1633" t="s">
        <v>48</v>
      </c>
      <c r="M1633" t="s">
        <v>139</v>
      </c>
      <c r="N1633">
        <v>1798</v>
      </c>
      <c r="O1633" s="14">
        <v>1.9320916850119801E-2</v>
      </c>
      <c r="P1633" s="14">
        <v>0.16460988437756899</v>
      </c>
      <c r="Q1633" t="str">
        <f t="shared" si="50"/>
        <v>&lt;01</v>
      </c>
      <c r="R1633" t="str">
        <f t="shared" si="51"/>
        <v>[ScR9iFKAasW]|&lt;01|Male|PopART.Rt.T_1|CY2023Q3</v>
      </c>
    </row>
    <row r="1634" spans="4:18" x14ac:dyDescent="0.2">
      <c r="D1634" t="s">
        <v>65</v>
      </c>
      <c r="E1634" t="s">
        <v>66</v>
      </c>
      <c r="F1634" t="s">
        <v>67</v>
      </c>
      <c r="G1634" t="s">
        <v>144</v>
      </c>
      <c r="H1634" t="s">
        <v>144</v>
      </c>
      <c r="I1634" t="s">
        <v>32</v>
      </c>
      <c r="J1634" t="s">
        <v>33</v>
      </c>
      <c r="K1634" t="s">
        <v>47</v>
      </c>
      <c r="L1634" t="s">
        <v>48</v>
      </c>
      <c r="M1634" t="s">
        <v>139</v>
      </c>
      <c r="N1634">
        <v>1709</v>
      </c>
      <c r="O1634" s="14">
        <v>0.960806706221774</v>
      </c>
      <c r="P1634" s="14">
        <v>0.16460988437756899</v>
      </c>
      <c r="Q1634" t="str">
        <f t="shared" si="50"/>
        <v>01-09</v>
      </c>
      <c r="R1634" t="str">
        <f t="shared" si="51"/>
        <v>[ScR9iFKAasW]|01-09|Male|PopART.Rt.T_1|CY2023Q3</v>
      </c>
    </row>
    <row r="1635" spans="4:18" x14ac:dyDescent="0.2">
      <c r="D1635" t="s">
        <v>65</v>
      </c>
      <c r="E1635" t="s">
        <v>66</v>
      </c>
      <c r="F1635" t="s">
        <v>67</v>
      </c>
      <c r="G1635" t="s">
        <v>144</v>
      </c>
      <c r="H1635" t="s">
        <v>144</v>
      </c>
      <c r="I1635" t="s">
        <v>35</v>
      </c>
      <c r="J1635" t="s">
        <v>36</v>
      </c>
      <c r="K1635" t="s">
        <v>47</v>
      </c>
      <c r="L1635" t="s">
        <v>48</v>
      </c>
      <c r="M1635" t="s">
        <v>139</v>
      </c>
      <c r="N1635">
        <v>1220</v>
      </c>
      <c r="O1635" s="14">
        <v>0.53830959717743099</v>
      </c>
      <c r="P1635" s="14">
        <v>0.16460988437756899</v>
      </c>
      <c r="Q1635" t="str">
        <f t="shared" si="50"/>
        <v>10-14</v>
      </c>
      <c r="R1635" t="str">
        <f t="shared" si="51"/>
        <v>[ScR9iFKAasW]|10-14|Male|PopART.Rt.T_1|CY2023Q3</v>
      </c>
    </row>
    <row r="1636" spans="4:18" x14ac:dyDescent="0.2">
      <c r="D1636" t="s">
        <v>65</v>
      </c>
      <c r="E1636" t="s">
        <v>66</v>
      </c>
      <c r="F1636" t="s">
        <v>67</v>
      </c>
      <c r="G1636" t="s">
        <v>144</v>
      </c>
      <c r="H1636" t="s">
        <v>144</v>
      </c>
      <c r="I1636" t="s">
        <v>37</v>
      </c>
      <c r="J1636" t="s">
        <v>38</v>
      </c>
      <c r="K1636" t="s">
        <v>47</v>
      </c>
      <c r="L1636" t="s">
        <v>48</v>
      </c>
      <c r="M1636" t="s">
        <v>139</v>
      </c>
      <c r="N1636">
        <v>590</v>
      </c>
      <c r="O1636" s="14">
        <v>0.26883401651866701</v>
      </c>
      <c r="P1636" s="14">
        <v>0.16460988437756899</v>
      </c>
      <c r="Q1636" t="str">
        <f t="shared" si="50"/>
        <v>15-24</v>
      </c>
      <c r="R1636" t="str">
        <f t="shared" si="51"/>
        <v>[ScR9iFKAasW]|15-24|Male|PopART.Rt.T_1|CY2023Q3</v>
      </c>
    </row>
    <row r="1637" spans="4:18" x14ac:dyDescent="0.2">
      <c r="D1637" t="s">
        <v>65</v>
      </c>
      <c r="E1637" t="s">
        <v>66</v>
      </c>
      <c r="F1637" t="s">
        <v>67</v>
      </c>
      <c r="G1637" t="s">
        <v>144</v>
      </c>
      <c r="H1637" t="s">
        <v>144</v>
      </c>
      <c r="I1637" t="s">
        <v>40</v>
      </c>
      <c r="J1637" t="s">
        <v>41</v>
      </c>
      <c r="K1637" t="s">
        <v>47</v>
      </c>
      <c r="L1637" t="s">
        <v>48</v>
      </c>
      <c r="M1637" t="s">
        <v>139</v>
      </c>
      <c r="N1637">
        <v>1520</v>
      </c>
      <c r="O1637" s="14">
        <v>0.424245810136199</v>
      </c>
      <c r="P1637" s="14">
        <v>0.16460988437756899</v>
      </c>
      <c r="Q1637" t="str">
        <f t="shared" si="50"/>
        <v>25-34</v>
      </c>
      <c r="R1637" t="str">
        <f t="shared" si="51"/>
        <v>[ScR9iFKAasW]|25-34|Male|PopART.Rt.T_1|CY2023Q3</v>
      </c>
    </row>
    <row r="1638" spans="4:18" x14ac:dyDescent="0.2">
      <c r="D1638" t="s">
        <v>65</v>
      </c>
      <c r="E1638" t="s">
        <v>66</v>
      </c>
      <c r="F1638" t="s">
        <v>67</v>
      </c>
      <c r="G1638" t="s">
        <v>144</v>
      </c>
      <c r="H1638" t="s">
        <v>144</v>
      </c>
      <c r="I1638" t="s">
        <v>42</v>
      </c>
      <c r="J1638" t="s">
        <v>43</v>
      </c>
      <c r="K1638" t="s">
        <v>47</v>
      </c>
      <c r="L1638" t="s">
        <v>48</v>
      </c>
      <c r="M1638" t="s">
        <v>139</v>
      </c>
      <c r="N1638">
        <v>1735</v>
      </c>
      <c r="O1638" s="14">
        <v>5.6476945988833897E-2</v>
      </c>
      <c r="P1638" s="14">
        <v>0.16460988437756899</v>
      </c>
      <c r="Q1638" t="str">
        <f t="shared" si="50"/>
        <v>35-49</v>
      </c>
      <c r="R1638" t="str">
        <f t="shared" si="51"/>
        <v>[ScR9iFKAasW]|35-49|Male|PopART.Rt.T_1|CY2023Q3</v>
      </c>
    </row>
    <row r="1639" spans="4:18" x14ac:dyDescent="0.2">
      <c r="D1639" t="s">
        <v>65</v>
      </c>
      <c r="E1639" t="s">
        <v>66</v>
      </c>
      <c r="F1639" t="s">
        <v>67</v>
      </c>
      <c r="G1639" t="s">
        <v>144</v>
      </c>
      <c r="H1639" t="s">
        <v>144</v>
      </c>
      <c r="I1639" t="s">
        <v>44</v>
      </c>
      <c r="J1639" t="s">
        <v>45</v>
      </c>
      <c r="K1639" t="s">
        <v>47</v>
      </c>
      <c r="L1639" t="s">
        <v>48</v>
      </c>
      <c r="M1639" t="s">
        <v>139</v>
      </c>
      <c r="N1639">
        <v>1820</v>
      </c>
      <c r="O1639" s="14">
        <v>0.51075111259706296</v>
      </c>
      <c r="P1639" s="14">
        <v>0.16460988437756899</v>
      </c>
      <c r="Q1639" t="str">
        <f t="shared" si="50"/>
        <v>50+</v>
      </c>
      <c r="R1639" t="str">
        <f t="shared" si="51"/>
        <v>[ScR9iFKAasW]|50+|Male|PopART.Rt.T_1|CY2023Q3</v>
      </c>
    </row>
    <row r="1640" spans="4:18" x14ac:dyDescent="0.2">
      <c r="D1640" t="s">
        <v>68</v>
      </c>
      <c r="E1640" t="s">
        <v>69</v>
      </c>
      <c r="F1640" t="s">
        <v>70</v>
      </c>
      <c r="G1640" t="s">
        <v>144</v>
      </c>
      <c r="H1640" t="s">
        <v>144</v>
      </c>
      <c r="I1640" t="s">
        <v>27</v>
      </c>
      <c r="J1640" t="s">
        <v>28</v>
      </c>
      <c r="K1640" t="s">
        <v>29</v>
      </c>
      <c r="L1640" t="s">
        <v>30</v>
      </c>
      <c r="M1640" t="s">
        <v>139</v>
      </c>
      <c r="N1640">
        <v>1725</v>
      </c>
      <c r="O1640" s="14">
        <v>0.61405268753878794</v>
      </c>
      <c r="P1640" s="14">
        <v>0.19881726312451101</v>
      </c>
      <c r="Q1640" t="str">
        <f t="shared" si="50"/>
        <v>&lt;01</v>
      </c>
      <c r="R1640" t="str">
        <f t="shared" si="51"/>
        <v>[PekKUkKHAzY]|&lt;01|Female|PopART.Rt.T_1|CY2023Q3</v>
      </c>
    </row>
    <row r="1641" spans="4:18" x14ac:dyDescent="0.2">
      <c r="D1641" t="s">
        <v>68</v>
      </c>
      <c r="E1641" t="s">
        <v>69</v>
      </c>
      <c r="F1641" t="s">
        <v>70</v>
      </c>
      <c r="G1641" t="s">
        <v>144</v>
      </c>
      <c r="H1641" t="s">
        <v>144</v>
      </c>
      <c r="I1641" t="s">
        <v>32</v>
      </c>
      <c r="J1641" t="s">
        <v>33</v>
      </c>
      <c r="K1641" t="s">
        <v>29</v>
      </c>
      <c r="L1641" t="s">
        <v>30</v>
      </c>
      <c r="M1641" t="s">
        <v>139</v>
      </c>
      <c r="N1641">
        <v>1993</v>
      </c>
      <c r="O1641" s="14">
        <v>0.43403645767830301</v>
      </c>
      <c r="P1641" s="14">
        <v>0.19881726312451101</v>
      </c>
      <c r="Q1641" t="str">
        <f t="shared" si="50"/>
        <v>01-09</v>
      </c>
      <c r="R1641" t="str">
        <f t="shared" si="51"/>
        <v>[PekKUkKHAzY]|01-09|Female|PopART.Rt.T_1|CY2023Q3</v>
      </c>
    </row>
    <row r="1642" spans="4:18" x14ac:dyDescent="0.2">
      <c r="D1642" t="s">
        <v>68</v>
      </c>
      <c r="E1642" t="s">
        <v>69</v>
      </c>
      <c r="F1642" t="s">
        <v>70</v>
      </c>
      <c r="G1642" t="s">
        <v>144</v>
      </c>
      <c r="H1642" t="s">
        <v>144</v>
      </c>
      <c r="I1642" t="s">
        <v>35</v>
      </c>
      <c r="J1642" t="s">
        <v>36</v>
      </c>
      <c r="K1642" t="s">
        <v>29</v>
      </c>
      <c r="L1642" t="s">
        <v>30</v>
      </c>
      <c r="M1642" t="s">
        <v>139</v>
      </c>
      <c r="N1642">
        <v>1044</v>
      </c>
      <c r="O1642" s="14">
        <v>0.53337296703830395</v>
      </c>
      <c r="P1642" s="14">
        <v>0.19881726312451101</v>
      </c>
      <c r="Q1642" t="str">
        <f t="shared" si="50"/>
        <v>10-14</v>
      </c>
      <c r="R1642" t="str">
        <f t="shared" si="51"/>
        <v>[PekKUkKHAzY]|10-14|Female|PopART.Rt.T_1|CY2023Q3</v>
      </c>
    </row>
    <row r="1643" spans="4:18" x14ac:dyDescent="0.2">
      <c r="D1643" t="s">
        <v>68</v>
      </c>
      <c r="E1643" t="s">
        <v>69</v>
      </c>
      <c r="F1643" t="s">
        <v>70</v>
      </c>
      <c r="G1643" t="s">
        <v>144</v>
      </c>
      <c r="H1643" t="s">
        <v>144</v>
      </c>
      <c r="I1643" t="s">
        <v>37</v>
      </c>
      <c r="J1643" t="s">
        <v>38</v>
      </c>
      <c r="K1643" t="s">
        <v>29</v>
      </c>
      <c r="L1643" t="s">
        <v>30</v>
      </c>
      <c r="M1643" t="s">
        <v>139</v>
      </c>
      <c r="N1643">
        <v>1089</v>
      </c>
      <c r="O1643" s="14">
        <v>0.58625784306786999</v>
      </c>
      <c r="P1643" s="14">
        <v>0.19881726312451101</v>
      </c>
      <c r="Q1643" t="str">
        <f t="shared" si="50"/>
        <v>15-24</v>
      </c>
      <c r="R1643" t="str">
        <f t="shared" si="51"/>
        <v>[PekKUkKHAzY]|15-24|Female|PopART.Rt.T_1|CY2023Q3</v>
      </c>
    </row>
    <row r="1644" spans="4:18" x14ac:dyDescent="0.2">
      <c r="D1644" t="s">
        <v>68</v>
      </c>
      <c r="E1644" t="s">
        <v>69</v>
      </c>
      <c r="F1644" t="s">
        <v>70</v>
      </c>
      <c r="G1644" t="s">
        <v>144</v>
      </c>
      <c r="H1644" t="s">
        <v>144</v>
      </c>
      <c r="I1644" t="s">
        <v>40</v>
      </c>
      <c r="J1644" t="s">
        <v>41</v>
      </c>
      <c r="K1644" t="s">
        <v>29</v>
      </c>
      <c r="L1644" t="s">
        <v>30</v>
      </c>
      <c r="M1644" t="s">
        <v>139</v>
      </c>
      <c r="N1644">
        <v>835</v>
      </c>
      <c r="O1644" s="14">
        <v>0.26789105474017599</v>
      </c>
      <c r="P1644" s="14">
        <v>0.19881726312451101</v>
      </c>
      <c r="Q1644" t="str">
        <f t="shared" si="50"/>
        <v>25-34</v>
      </c>
      <c r="R1644" t="str">
        <f t="shared" si="51"/>
        <v>[PekKUkKHAzY]|25-34|Female|PopART.Rt.T_1|CY2023Q3</v>
      </c>
    </row>
    <row r="1645" spans="4:18" x14ac:dyDescent="0.2">
      <c r="D1645" t="s">
        <v>68</v>
      </c>
      <c r="E1645" t="s">
        <v>69</v>
      </c>
      <c r="F1645" t="s">
        <v>70</v>
      </c>
      <c r="G1645" t="s">
        <v>144</v>
      </c>
      <c r="H1645" t="s">
        <v>144</v>
      </c>
      <c r="I1645" t="s">
        <v>42</v>
      </c>
      <c r="J1645" t="s">
        <v>43</v>
      </c>
      <c r="K1645" t="s">
        <v>29</v>
      </c>
      <c r="L1645" t="s">
        <v>30</v>
      </c>
      <c r="M1645" t="s">
        <v>139</v>
      </c>
      <c r="N1645">
        <v>1942</v>
      </c>
      <c r="O1645" s="14">
        <v>4.35446323826909E-2</v>
      </c>
      <c r="P1645" s="14">
        <v>0.19881726312451101</v>
      </c>
      <c r="Q1645" t="str">
        <f t="shared" si="50"/>
        <v>35-49</v>
      </c>
      <c r="R1645" t="str">
        <f t="shared" si="51"/>
        <v>[PekKUkKHAzY]|35-49|Female|PopART.Rt.T_1|CY2023Q3</v>
      </c>
    </row>
    <row r="1646" spans="4:18" x14ac:dyDescent="0.2">
      <c r="D1646" t="s">
        <v>68</v>
      </c>
      <c r="E1646" t="s">
        <v>69</v>
      </c>
      <c r="F1646" t="s">
        <v>70</v>
      </c>
      <c r="G1646" t="s">
        <v>144</v>
      </c>
      <c r="H1646" t="s">
        <v>144</v>
      </c>
      <c r="I1646" t="s">
        <v>44</v>
      </c>
      <c r="J1646" t="s">
        <v>45</v>
      </c>
      <c r="K1646" t="s">
        <v>29</v>
      </c>
      <c r="L1646" t="s">
        <v>30</v>
      </c>
      <c r="M1646" t="s">
        <v>139</v>
      </c>
      <c r="N1646">
        <v>873</v>
      </c>
      <c r="O1646" s="14">
        <v>0.12611974868923401</v>
      </c>
      <c r="P1646" s="14">
        <v>0.19881726312451101</v>
      </c>
      <c r="Q1646" t="str">
        <f t="shared" si="50"/>
        <v>50+</v>
      </c>
      <c r="R1646" t="str">
        <f t="shared" si="51"/>
        <v>[PekKUkKHAzY]|50+|Female|PopART.Rt.T_1|CY2023Q3</v>
      </c>
    </row>
    <row r="1647" spans="4:18" x14ac:dyDescent="0.2">
      <c r="D1647" t="s">
        <v>68</v>
      </c>
      <c r="E1647" t="s">
        <v>69</v>
      </c>
      <c r="F1647" t="s">
        <v>70</v>
      </c>
      <c r="G1647" t="s">
        <v>144</v>
      </c>
      <c r="H1647" t="s">
        <v>144</v>
      </c>
      <c r="I1647" t="s">
        <v>27</v>
      </c>
      <c r="J1647" t="s">
        <v>28</v>
      </c>
      <c r="K1647" t="s">
        <v>47</v>
      </c>
      <c r="L1647" t="s">
        <v>48</v>
      </c>
      <c r="M1647" t="s">
        <v>139</v>
      </c>
      <c r="N1647">
        <v>1935</v>
      </c>
      <c r="O1647" s="14">
        <v>0.95236331340856895</v>
      </c>
      <c r="P1647" s="14">
        <v>0.19881726312451101</v>
      </c>
      <c r="Q1647" t="str">
        <f t="shared" si="50"/>
        <v>&lt;01</v>
      </c>
      <c r="R1647" t="str">
        <f t="shared" si="51"/>
        <v>[PekKUkKHAzY]|&lt;01|Male|PopART.Rt.T_1|CY2023Q3</v>
      </c>
    </row>
    <row r="1648" spans="4:18" x14ac:dyDescent="0.2">
      <c r="D1648" t="s">
        <v>68</v>
      </c>
      <c r="E1648" t="s">
        <v>69</v>
      </c>
      <c r="F1648" t="s">
        <v>70</v>
      </c>
      <c r="G1648" t="s">
        <v>144</v>
      </c>
      <c r="H1648" t="s">
        <v>144</v>
      </c>
      <c r="I1648" t="s">
        <v>32</v>
      </c>
      <c r="J1648" t="s">
        <v>33</v>
      </c>
      <c r="K1648" t="s">
        <v>47</v>
      </c>
      <c r="L1648" t="s">
        <v>48</v>
      </c>
      <c r="M1648" t="s">
        <v>139</v>
      </c>
      <c r="N1648">
        <v>1004</v>
      </c>
      <c r="O1648" s="14">
        <v>0.48989386972971299</v>
      </c>
      <c r="P1648" s="14">
        <v>0.19881726312451101</v>
      </c>
      <c r="Q1648" t="str">
        <f t="shared" si="50"/>
        <v>01-09</v>
      </c>
      <c r="R1648" t="str">
        <f t="shared" si="51"/>
        <v>[PekKUkKHAzY]|01-09|Male|PopART.Rt.T_1|CY2023Q3</v>
      </c>
    </row>
    <row r="1649" spans="4:18" x14ac:dyDescent="0.2">
      <c r="D1649" t="s">
        <v>68</v>
      </c>
      <c r="E1649" t="s">
        <v>69</v>
      </c>
      <c r="F1649" t="s">
        <v>70</v>
      </c>
      <c r="G1649" t="s">
        <v>144</v>
      </c>
      <c r="H1649" t="s">
        <v>144</v>
      </c>
      <c r="I1649" t="s">
        <v>35</v>
      </c>
      <c r="J1649" t="s">
        <v>36</v>
      </c>
      <c r="K1649" t="s">
        <v>47</v>
      </c>
      <c r="L1649" t="s">
        <v>48</v>
      </c>
      <c r="M1649" t="s">
        <v>139</v>
      </c>
      <c r="N1649">
        <v>1312</v>
      </c>
      <c r="O1649" s="14">
        <v>0.287536831339821</v>
      </c>
      <c r="P1649" s="14">
        <v>0.19881726312451101</v>
      </c>
      <c r="Q1649" t="str">
        <f t="shared" si="50"/>
        <v>10-14</v>
      </c>
      <c r="R1649" t="str">
        <f t="shared" si="51"/>
        <v>[PekKUkKHAzY]|10-14|Male|PopART.Rt.T_1|CY2023Q3</v>
      </c>
    </row>
    <row r="1650" spans="4:18" x14ac:dyDescent="0.2">
      <c r="D1650" t="s">
        <v>68</v>
      </c>
      <c r="E1650" t="s">
        <v>69</v>
      </c>
      <c r="F1650" t="s">
        <v>70</v>
      </c>
      <c r="G1650" t="s">
        <v>144</v>
      </c>
      <c r="H1650" t="s">
        <v>144</v>
      </c>
      <c r="I1650" t="s">
        <v>37</v>
      </c>
      <c r="J1650" t="s">
        <v>38</v>
      </c>
      <c r="K1650" t="s">
        <v>47</v>
      </c>
      <c r="L1650" t="s">
        <v>48</v>
      </c>
      <c r="M1650" t="s">
        <v>139</v>
      </c>
      <c r="N1650">
        <v>911</v>
      </c>
      <c r="O1650" s="14">
        <v>0.52139596827328205</v>
      </c>
      <c r="P1650" s="14">
        <v>0.19881726312451101</v>
      </c>
      <c r="Q1650" t="str">
        <f t="shared" si="50"/>
        <v>15-24</v>
      </c>
      <c r="R1650" t="str">
        <f t="shared" si="51"/>
        <v>[PekKUkKHAzY]|15-24|Male|PopART.Rt.T_1|CY2023Q3</v>
      </c>
    </row>
    <row r="1651" spans="4:18" x14ac:dyDescent="0.2">
      <c r="D1651" t="s">
        <v>68</v>
      </c>
      <c r="E1651" t="s">
        <v>69</v>
      </c>
      <c r="F1651" t="s">
        <v>70</v>
      </c>
      <c r="G1651" t="s">
        <v>144</v>
      </c>
      <c r="H1651" t="s">
        <v>144</v>
      </c>
      <c r="I1651" t="s">
        <v>40</v>
      </c>
      <c r="J1651" t="s">
        <v>41</v>
      </c>
      <c r="K1651" t="s">
        <v>47</v>
      </c>
      <c r="L1651" t="s">
        <v>48</v>
      </c>
      <c r="M1651" t="s">
        <v>139</v>
      </c>
      <c r="N1651">
        <v>707</v>
      </c>
      <c r="O1651" s="14">
        <v>0.505042004864663</v>
      </c>
      <c r="P1651" s="14">
        <v>0.19881726312451101</v>
      </c>
      <c r="Q1651" t="str">
        <f t="shared" si="50"/>
        <v>25-34</v>
      </c>
      <c r="R1651" t="str">
        <f t="shared" si="51"/>
        <v>[PekKUkKHAzY]|25-34|Male|PopART.Rt.T_1|CY2023Q3</v>
      </c>
    </row>
    <row r="1652" spans="4:18" x14ac:dyDescent="0.2">
      <c r="D1652" t="s">
        <v>68</v>
      </c>
      <c r="E1652" t="s">
        <v>69</v>
      </c>
      <c r="F1652" t="s">
        <v>70</v>
      </c>
      <c r="G1652" t="s">
        <v>144</v>
      </c>
      <c r="H1652" t="s">
        <v>144</v>
      </c>
      <c r="I1652" t="s">
        <v>42</v>
      </c>
      <c r="J1652" t="s">
        <v>43</v>
      </c>
      <c r="K1652" t="s">
        <v>47</v>
      </c>
      <c r="L1652" t="s">
        <v>48</v>
      </c>
      <c r="M1652" t="s">
        <v>139</v>
      </c>
      <c r="N1652">
        <v>1114</v>
      </c>
      <c r="O1652" s="14">
        <v>0.573030528379604</v>
      </c>
      <c r="P1652" s="14">
        <v>0.19881726312451101</v>
      </c>
      <c r="Q1652" t="str">
        <f t="shared" si="50"/>
        <v>35-49</v>
      </c>
      <c r="R1652" t="str">
        <f t="shared" si="51"/>
        <v>[PekKUkKHAzY]|35-49|Male|PopART.Rt.T_1|CY2023Q3</v>
      </c>
    </row>
    <row r="1653" spans="4:18" x14ac:dyDescent="0.2">
      <c r="D1653" t="s">
        <v>68</v>
      </c>
      <c r="E1653" t="s">
        <v>69</v>
      </c>
      <c r="F1653" t="s">
        <v>70</v>
      </c>
      <c r="G1653" t="s">
        <v>144</v>
      </c>
      <c r="H1653" t="s">
        <v>144</v>
      </c>
      <c r="I1653" t="s">
        <v>44</v>
      </c>
      <c r="J1653" t="s">
        <v>45</v>
      </c>
      <c r="K1653" t="s">
        <v>47</v>
      </c>
      <c r="L1653" t="s">
        <v>48</v>
      </c>
      <c r="M1653" t="s">
        <v>139</v>
      </c>
      <c r="N1653">
        <v>1974</v>
      </c>
      <c r="O1653" s="14">
        <v>0.995747552486137</v>
      </c>
      <c r="P1653" s="14">
        <v>0.19881726312451101</v>
      </c>
      <c r="Q1653" t="str">
        <f t="shared" si="50"/>
        <v>50+</v>
      </c>
      <c r="R1653" t="str">
        <f t="shared" si="51"/>
        <v>[PekKUkKHAzY]|50+|Male|PopART.Rt.T_1|CY2023Q3</v>
      </c>
    </row>
    <row r="1654" spans="4:18" x14ac:dyDescent="0.2">
      <c r="D1654" t="s">
        <v>71</v>
      </c>
      <c r="E1654" t="s">
        <v>72</v>
      </c>
      <c r="F1654" t="s">
        <v>73</v>
      </c>
      <c r="G1654" t="s">
        <v>144</v>
      </c>
      <c r="H1654" t="s">
        <v>144</v>
      </c>
      <c r="I1654" t="s">
        <v>27</v>
      </c>
      <c r="J1654" t="s">
        <v>28</v>
      </c>
      <c r="K1654" t="s">
        <v>29</v>
      </c>
      <c r="L1654" t="s">
        <v>30</v>
      </c>
      <c r="M1654" t="s">
        <v>139</v>
      </c>
      <c r="N1654">
        <v>1782</v>
      </c>
      <c r="O1654" s="14">
        <v>0.86374940839596104</v>
      </c>
      <c r="P1654" s="14">
        <v>0.28972870693542102</v>
      </c>
      <c r="Q1654" t="str">
        <f t="shared" si="50"/>
        <v>&lt;01</v>
      </c>
      <c r="R1654" t="str">
        <f t="shared" si="51"/>
        <v>[am530wpaGvr]|&lt;01|Female|PopART.Rt.T_1|CY2023Q3</v>
      </c>
    </row>
    <row r="1655" spans="4:18" x14ac:dyDescent="0.2">
      <c r="D1655" t="s">
        <v>71</v>
      </c>
      <c r="E1655" t="s">
        <v>72</v>
      </c>
      <c r="F1655" t="s">
        <v>73</v>
      </c>
      <c r="G1655" t="s">
        <v>144</v>
      </c>
      <c r="H1655" t="s">
        <v>144</v>
      </c>
      <c r="I1655" t="s">
        <v>32</v>
      </c>
      <c r="J1655" t="s">
        <v>33</v>
      </c>
      <c r="K1655" t="s">
        <v>29</v>
      </c>
      <c r="L1655" t="s">
        <v>30</v>
      </c>
      <c r="M1655" t="s">
        <v>139</v>
      </c>
      <c r="N1655">
        <v>527</v>
      </c>
      <c r="O1655" s="14">
        <v>0.56640215800143801</v>
      </c>
      <c r="P1655" s="14">
        <v>0.28972870693542102</v>
      </c>
      <c r="Q1655" t="str">
        <f t="shared" si="50"/>
        <v>01-09</v>
      </c>
      <c r="R1655" t="str">
        <f t="shared" si="51"/>
        <v>[am530wpaGvr]|01-09|Female|PopART.Rt.T_1|CY2023Q3</v>
      </c>
    </row>
    <row r="1656" spans="4:18" x14ac:dyDescent="0.2">
      <c r="D1656" t="s">
        <v>71</v>
      </c>
      <c r="E1656" t="s">
        <v>72</v>
      </c>
      <c r="F1656" t="s">
        <v>73</v>
      </c>
      <c r="G1656" t="s">
        <v>144</v>
      </c>
      <c r="H1656" t="s">
        <v>144</v>
      </c>
      <c r="I1656" t="s">
        <v>35</v>
      </c>
      <c r="J1656" t="s">
        <v>36</v>
      </c>
      <c r="K1656" t="s">
        <v>29</v>
      </c>
      <c r="L1656" t="s">
        <v>30</v>
      </c>
      <c r="M1656" t="s">
        <v>139</v>
      </c>
      <c r="N1656">
        <v>1730</v>
      </c>
      <c r="O1656" s="14">
        <v>0.67907614889554702</v>
      </c>
      <c r="P1656" s="14">
        <v>0.28972870693542102</v>
      </c>
      <c r="Q1656" t="str">
        <f t="shared" si="50"/>
        <v>10-14</v>
      </c>
      <c r="R1656" t="str">
        <f t="shared" si="51"/>
        <v>[am530wpaGvr]|10-14|Female|PopART.Rt.T_1|CY2023Q3</v>
      </c>
    </row>
    <row r="1657" spans="4:18" x14ac:dyDescent="0.2">
      <c r="D1657" t="s">
        <v>71</v>
      </c>
      <c r="E1657" t="s">
        <v>72</v>
      </c>
      <c r="F1657" t="s">
        <v>73</v>
      </c>
      <c r="G1657" t="s">
        <v>144</v>
      </c>
      <c r="H1657" t="s">
        <v>144</v>
      </c>
      <c r="I1657" t="s">
        <v>37</v>
      </c>
      <c r="J1657" t="s">
        <v>38</v>
      </c>
      <c r="K1657" t="s">
        <v>29</v>
      </c>
      <c r="L1657" t="s">
        <v>30</v>
      </c>
      <c r="M1657" t="s">
        <v>139</v>
      </c>
      <c r="N1657">
        <v>1897</v>
      </c>
      <c r="O1657" s="14">
        <v>0.59204476559534702</v>
      </c>
      <c r="P1657" s="14">
        <v>0.28972870693542102</v>
      </c>
      <c r="Q1657" t="str">
        <f t="shared" si="50"/>
        <v>15-24</v>
      </c>
      <c r="R1657" t="str">
        <f t="shared" si="51"/>
        <v>[am530wpaGvr]|15-24|Female|PopART.Rt.T_1|CY2023Q3</v>
      </c>
    </row>
    <row r="1658" spans="4:18" x14ac:dyDescent="0.2">
      <c r="D1658" t="s">
        <v>71</v>
      </c>
      <c r="E1658" t="s">
        <v>72</v>
      </c>
      <c r="F1658" t="s">
        <v>73</v>
      </c>
      <c r="G1658" t="s">
        <v>144</v>
      </c>
      <c r="H1658" t="s">
        <v>144</v>
      </c>
      <c r="I1658" t="s">
        <v>40</v>
      </c>
      <c r="J1658" t="s">
        <v>41</v>
      </c>
      <c r="K1658" t="s">
        <v>29</v>
      </c>
      <c r="L1658" t="s">
        <v>30</v>
      </c>
      <c r="M1658" t="s">
        <v>139</v>
      </c>
      <c r="N1658">
        <v>1115</v>
      </c>
      <c r="O1658" s="14">
        <v>0.88826328353024997</v>
      </c>
      <c r="P1658" s="14">
        <v>0.28972870693542102</v>
      </c>
      <c r="Q1658" t="str">
        <f t="shared" si="50"/>
        <v>25-34</v>
      </c>
      <c r="R1658" t="str">
        <f t="shared" si="51"/>
        <v>[am530wpaGvr]|25-34|Female|PopART.Rt.T_1|CY2023Q3</v>
      </c>
    </row>
    <row r="1659" spans="4:18" x14ac:dyDescent="0.2">
      <c r="D1659" t="s">
        <v>71</v>
      </c>
      <c r="E1659" t="s">
        <v>72</v>
      </c>
      <c r="F1659" t="s">
        <v>73</v>
      </c>
      <c r="G1659" t="s">
        <v>144</v>
      </c>
      <c r="H1659" t="s">
        <v>144</v>
      </c>
      <c r="I1659" t="s">
        <v>42</v>
      </c>
      <c r="J1659" t="s">
        <v>43</v>
      </c>
      <c r="K1659" t="s">
        <v>29</v>
      </c>
      <c r="L1659" t="s">
        <v>30</v>
      </c>
      <c r="M1659" t="s">
        <v>139</v>
      </c>
      <c r="N1659">
        <v>1338</v>
      </c>
      <c r="O1659" s="14">
        <v>0.75819604331627499</v>
      </c>
      <c r="P1659" s="14">
        <v>0.28972870693542102</v>
      </c>
      <c r="Q1659" t="str">
        <f t="shared" si="50"/>
        <v>35-49</v>
      </c>
      <c r="R1659" t="str">
        <f t="shared" si="51"/>
        <v>[am530wpaGvr]|35-49|Female|PopART.Rt.T_1|CY2023Q3</v>
      </c>
    </row>
    <row r="1660" spans="4:18" x14ac:dyDescent="0.2">
      <c r="D1660" t="s">
        <v>71</v>
      </c>
      <c r="E1660" t="s">
        <v>72</v>
      </c>
      <c r="F1660" t="s">
        <v>73</v>
      </c>
      <c r="G1660" t="s">
        <v>144</v>
      </c>
      <c r="H1660" t="s">
        <v>144</v>
      </c>
      <c r="I1660" t="s">
        <v>44</v>
      </c>
      <c r="J1660" t="s">
        <v>45</v>
      </c>
      <c r="K1660" t="s">
        <v>29</v>
      </c>
      <c r="L1660" t="s">
        <v>30</v>
      </c>
      <c r="M1660" t="s">
        <v>139</v>
      </c>
      <c r="N1660">
        <v>1518</v>
      </c>
      <c r="O1660" s="14">
        <v>0.533412467222661</v>
      </c>
      <c r="P1660" s="14">
        <v>0.28972870693542102</v>
      </c>
      <c r="Q1660" t="str">
        <f t="shared" si="50"/>
        <v>50+</v>
      </c>
      <c r="R1660" t="str">
        <f t="shared" si="51"/>
        <v>[am530wpaGvr]|50+|Female|PopART.Rt.T_1|CY2023Q3</v>
      </c>
    </row>
    <row r="1661" spans="4:18" x14ac:dyDescent="0.2">
      <c r="D1661" t="s">
        <v>71</v>
      </c>
      <c r="E1661" t="s">
        <v>72</v>
      </c>
      <c r="F1661" t="s">
        <v>73</v>
      </c>
      <c r="G1661" t="s">
        <v>144</v>
      </c>
      <c r="H1661" t="s">
        <v>144</v>
      </c>
      <c r="I1661" t="s">
        <v>27</v>
      </c>
      <c r="J1661" t="s">
        <v>28</v>
      </c>
      <c r="K1661" t="s">
        <v>47</v>
      </c>
      <c r="L1661" t="s">
        <v>48</v>
      </c>
      <c r="M1661" t="s">
        <v>139</v>
      </c>
      <c r="N1661">
        <v>626</v>
      </c>
      <c r="O1661" s="14">
        <v>0.40830108174122898</v>
      </c>
      <c r="P1661" s="14">
        <v>0.28972870693542102</v>
      </c>
      <c r="Q1661" t="str">
        <f t="shared" si="50"/>
        <v>&lt;01</v>
      </c>
      <c r="R1661" t="str">
        <f t="shared" si="51"/>
        <v>[am530wpaGvr]|&lt;01|Male|PopART.Rt.T_1|CY2023Q3</v>
      </c>
    </row>
    <row r="1662" spans="4:18" x14ac:dyDescent="0.2">
      <c r="D1662" t="s">
        <v>71</v>
      </c>
      <c r="E1662" t="s">
        <v>72</v>
      </c>
      <c r="F1662" t="s">
        <v>73</v>
      </c>
      <c r="G1662" t="s">
        <v>144</v>
      </c>
      <c r="H1662" t="s">
        <v>144</v>
      </c>
      <c r="I1662" t="s">
        <v>32</v>
      </c>
      <c r="J1662" t="s">
        <v>33</v>
      </c>
      <c r="K1662" t="s">
        <v>47</v>
      </c>
      <c r="L1662" t="s">
        <v>48</v>
      </c>
      <c r="M1662" t="s">
        <v>139</v>
      </c>
      <c r="N1662">
        <v>1346</v>
      </c>
      <c r="O1662" s="14">
        <v>3.3222057623788701E-2</v>
      </c>
      <c r="P1662" s="14">
        <v>0.28972870693542102</v>
      </c>
      <c r="Q1662" t="str">
        <f t="shared" si="50"/>
        <v>01-09</v>
      </c>
      <c r="R1662" t="str">
        <f t="shared" si="51"/>
        <v>[am530wpaGvr]|01-09|Male|PopART.Rt.T_1|CY2023Q3</v>
      </c>
    </row>
    <row r="1663" spans="4:18" x14ac:dyDescent="0.2">
      <c r="D1663" t="s">
        <v>71</v>
      </c>
      <c r="E1663" t="s">
        <v>72</v>
      </c>
      <c r="F1663" t="s">
        <v>73</v>
      </c>
      <c r="G1663" t="s">
        <v>144</v>
      </c>
      <c r="H1663" t="s">
        <v>144</v>
      </c>
      <c r="I1663" t="s">
        <v>35</v>
      </c>
      <c r="J1663" t="s">
        <v>36</v>
      </c>
      <c r="K1663" t="s">
        <v>47</v>
      </c>
      <c r="L1663" t="s">
        <v>48</v>
      </c>
      <c r="M1663" t="s">
        <v>139</v>
      </c>
      <c r="N1663">
        <v>1385</v>
      </c>
      <c r="O1663" s="14">
        <v>0.50010471348650798</v>
      </c>
      <c r="P1663" s="14">
        <v>0.28972870693542102</v>
      </c>
      <c r="Q1663" t="str">
        <f t="shared" si="50"/>
        <v>10-14</v>
      </c>
      <c r="R1663" t="str">
        <f t="shared" si="51"/>
        <v>[am530wpaGvr]|10-14|Male|PopART.Rt.T_1|CY2023Q3</v>
      </c>
    </row>
    <row r="1664" spans="4:18" x14ac:dyDescent="0.2">
      <c r="D1664" t="s">
        <v>71</v>
      </c>
      <c r="E1664" t="s">
        <v>72</v>
      </c>
      <c r="F1664" t="s">
        <v>73</v>
      </c>
      <c r="G1664" t="s">
        <v>144</v>
      </c>
      <c r="H1664" t="s">
        <v>144</v>
      </c>
      <c r="I1664" t="s">
        <v>37</v>
      </c>
      <c r="J1664" t="s">
        <v>38</v>
      </c>
      <c r="K1664" t="s">
        <v>47</v>
      </c>
      <c r="L1664" t="s">
        <v>48</v>
      </c>
      <c r="M1664" t="s">
        <v>139</v>
      </c>
      <c r="N1664">
        <v>1256</v>
      </c>
      <c r="O1664" s="14">
        <v>2.5800367118790701E-2</v>
      </c>
      <c r="P1664" s="14">
        <v>0.28972870693542102</v>
      </c>
      <c r="Q1664" t="str">
        <f t="shared" si="50"/>
        <v>15-24</v>
      </c>
      <c r="R1664" t="str">
        <f t="shared" si="51"/>
        <v>[am530wpaGvr]|15-24|Male|PopART.Rt.T_1|CY2023Q3</v>
      </c>
    </row>
    <row r="1665" spans="4:18" x14ac:dyDescent="0.2">
      <c r="D1665" t="s">
        <v>71</v>
      </c>
      <c r="E1665" t="s">
        <v>72</v>
      </c>
      <c r="F1665" t="s">
        <v>73</v>
      </c>
      <c r="G1665" t="s">
        <v>144</v>
      </c>
      <c r="H1665" t="s">
        <v>144</v>
      </c>
      <c r="I1665" t="s">
        <v>40</v>
      </c>
      <c r="J1665" t="s">
        <v>41</v>
      </c>
      <c r="K1665" t="s">
        <v>47</v>
      </c>
      <c r="L1665" t="s">
        <v>48</v>
      </c>
      <c r="M1665" t="s">
        <v>139</v>
      </c>
      <c r="N1665">
        <v>506</v>
      </c>
      <c r="O1665" s="14">
        <v>8.3272111602127594E-2</v>
      </c>
      <c r="P1665" s="14">
        <v>0.28972870693542102</v>
      </c>
      <c r="Q1665" t="str">
        <f t="shared" si="50"/>
        <v>25-34</v>
      </c>
      <c r="R1665" t="str">
        <f t="shared" si="51"/>
        <v>[am530wpaGvr]|25-34|Male|PopART.Rt.T_1|CY2023Q3</v>
      </c>
    </row>
    <row r="1666" spans="4:18" x14ac:dyDescent="0.2">
      <c r="D1666" t="s">
        <v>71</v>
      </c>
      <c r="E1666" t="s">
        <v>72</v>
      </c>
      <c r="F1666" t="s">
        <v>73</v>
      </c>
      <c r="G1666" t="s">
        <v>144</v>
      </c>
      <c r="H1666" t="s">
        <v>144</v>
      </c>
      <c r="I1666" t="s">
        <v>42</v>
      </c>
      <c r="J1666" t="s">
        <v>43</v>
      </c>
      <c r="K1666" t="s">
        <v>47</v>
      </c>
      <c r="L1666" t="s">
        <v>48</v>
      </c>
      <c r="M1666" t="s">
        <v>139</v>
      </c>
      <c r="N1666">
        <v>697</v>
      </c>
      <c r="O1666" s="14">
        <v>0.39994485350325698</v>
      </c>
      <c r="P1666" s="14">
        <v>0.28972870693542102</v>
      </c>
      <c r="Q1666" t="str">
        <f t="shared" ref="Q1666:Q1729" si="52">SUBSTITUTE(SUBSTITUTE($I1666,CHAR(61),""),CHAR(34),"")</f>
        <v>35-49</v>
      </c>
      <c r="R1666" t="str">
        <f t="shared" ref="R1666:R1729" si="53">IF($D1666&lt;&gt;"","["&amp;$E1666&amp;"]"&amp;"|"&amp;$Q1666&amp;"|"&amp;$K1666&amp;"|"&amp;$G1666&amp;"|"&amp;IF($G1666="TX_CURR_SUBNAT.R","CY2022Q4",$M1666),"")</f>
        <v>[am530wpaGvr]|35-49|Male|PopART.Rt.T_1|CY2023Q3</v>
      </c>
    </row>
    <row r="1667" spans="4:18" x14ac:dyDescent="0.2">
      <c r="D1667" t="s">
        <v>71</v>
      </c>
      <c r="E1667" t="s">
        <v>72</v>
      </c>
      <c r="F1667" t="s">
        <v>73</v>
      </c>
      <c r="G1667" t="s">
        <v>144</v>
      </c>
      <c r="H1667" t="s">
        <v>144</v>
      </c>
      <c r="I1667" t="s">
        <v>44</v>
      </c>
      <c r="J1667" t="s">
        <v>45</v>
      </c>
      <c r="K1667" t="s">
        <v>47</v>
      </c>
      <c r="L1667" t="s">
        <v>48</v>
      </c>
      <c r="M1667" t="s">
        <v>139</v>
      </c>
      <c r="N1667">
        <v>1977</v>
      </c>
      <c r="O1667" s="14">
        <v>0.95638702367432404</v>
      </c>
      <c r="P1667" s="14">
        <v>0.28972870693542102</v>
      </c>
      <c r="Q1667" t="str">
        <f t="shared" si="52"/>
        <v>50+</v>
      </c>
      <c r="R1667" t="str">
        <f t="shared" si="53"/>
        <v>[am530wpaGvr]|50+|Male|PopART.Rt.T_1|CY2023Q3</v>
      </c>
    </row>
    <row r="1668" spans="4:18" x14ac:dyDescent="0.2">
      <c r="D1668" t="s">
        <v>74</v>
      </c>
      <c r="E1668" t="s">
        <v>75</v>
      </c>
      <c r="F1668" t="s">
        <v>76</v>
      </c>
      <c r="G1668" t="s">
        <v>144</v>
      </c>
      <c r="H1668" t="s">
        <v>144</v>
      </c>
      <c r="I1668" t="s">
        <v>27</v>
      </c>
      <c r="J1668" t="s">
        <v>28</v>
      </c>
      <c r="K1668" t="s">
        <v>29</v>
      </c>
      <c r="L1668" t="s">
        <v>30</v>
      </c>
      <c r="M1668" t="s">
        <v>139</v>
      </c>
      <c r="N1668">
        <v>1031</v>
      </c>
      <c r="O1668" s="14">
        <v>0.104103398509324</v>
      </c>
      <c r="P1668" s="14">
        <v>0.30305550759658201</v>
      </c>
      <c r="Q1668" t="str">
        <f t="shared" si="52"/>
        <v>&lt;01</v>
      </c>
      <c r="R1668" t="str">
        <f t="shared" si="53"/>
        <v>[lLDyBx5XyUi]|&lt;01|Female|PopART.Rt.T_1|CY2023Q3</v>
      </c>
    </row>
    <row r="1669" spans="4:18" x14ac:dyDescent="0.2">
      <c r="D1669" t="s">
        <v>74</v>
      </c>
      <c r="E1669" t="s">
        <v>75</v>
      </c>
      <c r="F1669" t="s">
        <v>76</v>
      </c>
      <c r="G1669" t="s">
        <v>144</v>
      </c>
      <c r="H1669" t="s">
        <v>144</v>
      </c>
      <c r="I1669" t="s">
        <v>32</v>
      </c>
      <c r="J1669" t="s">
        <v>33</v>
      </c>
      <c r="K1669" t="s">
        <v>29</v>
      </c>
      <c r="L1669" t="s">
        <v>30</v>
      </c>
      <c r="M1669" t="s">
        <v>139</v>
      </c>
      <c r="N1669">
        <v>1235</v>
      </c>
      <c r="O1669" s="14">
        <v>0.60526462225243405</v>
      </c>
      <c r="P1669" s="14">
        <v>0.30305550759658201</v>
      </c>
      <c r="Q1669" t="str">
        <f t="shared" si="52"/>
        <v>01-09</v>
      </c>
      <c r="R1669" t="str">
        <f t="shared" si="53"/>
        <v>[lLDyBx5XyUi]|01-09|Female|PopART.Rt.T_1|CY2023Q3</v>
      </c>
    </row>
    <row r="1670" spans="4:18" x14ac:dyDescent="0.2">
      <c r="D1670" t="s">
        <v>74</v>
      </c>
      <c r="E1670" t="s">
        <v>75</v>
      </c>
      <c r="F1670" t="s">
        <v>76</v>
      </c>
      <c r="G1670" t="s">
        <v>144</v>
      </c>
      <c r="H1670" t="s">
        <v>144</v>
      </c>
      <c r="I1670" t="s">
        <v>35</v>
      </c>
      <c r="J1670" t="s">
        <v>36</v>
      </c>
      <c r="K1670" t="s">
        <v>29</v>
      </c>
      <c r="L1670" t="s">
        <v>30</v>
      </c>
      <c r="M1670" t="s">
        <v>139</v>
      </c>
      <c r="N1670">
        <v>1988</v>
      </c>
      <c r="O1670" s="14">
        <v>0.21968065504916001</v>
      </c>
      <c r="P1670" s="14">
        <v>0.30305550759658201</v>
      </c>
      <c r="Q1670" t="str">
        <f t="shared" si="52"/>
        <v>10-14</v>
      </c>
      <c r="R1670" t="str">
        <f t="shared" si="53"/>
        <v>[lLDyBx5XyUi]|10-14|Female|PopART.Rt.T_1|CY2023Q3</v>
      </c>
    </row>
    <row r="1671" spans="4:18" x14ac:dyDescent="0.2">
      <c r="D1671" t="s">
        <v>74</v>
      </c>
      <c r="E1671" t="s">
        <v>75</v>
      </c>
      <c r="F1671" t="s">
        <v>76</v>
      </c>
      <c r="G1671" t="s">
        <v>144</v>
      </c>
      <c r="H1671" t="s">
        <v>144</v>
      </c>
      <c r="I1671" t="s">
        <v>37</v>
      </c>
      <c r="J1671" t="s">
        <v>38</v>
      </c>
      <c r="K1671" t="s">
        <v>29</v>
      </c>
      <c r="L1671" t="s">
        <v>30</v>
      </c>
      <c r="M1671" t="s">
        <v>139</v>
      </c>
      <c r="N1671">
        <v>1449</v>
      </c>
      <c r="O1671" s="14">
        <v>0.13803319353610299</v>
      </c>
      <c r="P1671" s="14">
        <v>0.30305550759658201</v>
      </c>
      <c r="Q1671" t="str">
        <f t="shared" si="52"/>
        <v>15-24</v>
      </c>
      <c r="R1671" t="str">
        <f t="shared" si="53"/>
        <v>[lLDyBx5XyUi]|15-24|Female|PopART.Rt.T_1|CY2023Q3</v>
      </c>
    </row>
    <row r="1672" spans="4:18" x14ac:dyDescent="0.2">
      <c r="D1672" t="s">
        <v>74</v>
      </c>
      <c r="E1672" t="s">
        <v>75</v>
      </c>
      <c r="F1672" t="s">
        <v>76</v>
      </c>
      <c r="G1672" t="s">
        <v>144</v>
      </c>
      <c r="H1672" t="s">
        <v>144</v>
      </c>
      <c r="I1672" t="s">
        <v>40</v>
      </c>
      <c r="J1672" t="s">
        <v>41</v>
      </c>
      <c r="K1672" t="s">
        <v>29</v>
      </c>
      <c r="L1672" t="s">
        <v>30</v>
      </c>
      <c r="M1672" t="s">
        <v>139</v>
      </c>
      <c r="N1672">
        <v>1569</v>
      </c>
      <c r="O1672" s="14">
        <v>0.35323125054128501</v>
      </c>
      <c r="P1672" s="14">
        <v>0.30305550759658201</v>
      </c>
      <c r="Q1672" t="str">
        <f t="shared" si="52"/>
        <v>25-34</v>
      </c>
      <c r="R1672" t="str">
        <f t="shared" si="53"/>
        <v>[lLDyBx5XyUi]|25-34|Female|PopART.Rt.T_1|CY2023Q3</v>
      </c>
    </row>
    <row r="1673" spans="4:18" x14ac:dyDescent="0.2">
      <c r="D1673" t="s">
        <v>74</v>
      </c>
      <c r="E1673" t="s">
        <v>75</v>
      </c>
      <c r="F1673" t="s">
        <v>76</v>
      </c>
      <c r="G1673" t="s">
        <v>144</v>
      </c>
      <c r="H1673" t="s">
        <v>144</v>
      </c>
      <c r="I1673" t="s">
        <v>42</v>
      </c>
      <c r="J1673" t="s">
        <v>43</v>
      </c>
      <c r="K1673" t="s">
        <v>29</v>
      </c>
      <c r="L1673" t="s">
        <v>30</v>
      </c>
      <c r="M1673" t="s">
        <v>139</v>
      </c>
      <c r="N1673">
        <v>982</v>
      </c>
      <c r="O1673" s="14">
        <v>0.77938026352785506</v>
      </c>
      <c r="P1673" s="14">
        <v>0.30305550759658201</v>
      </c>
      <c r="Q1673" t="str">
        <f t="shared" si="52"/>
        <v>35-49</v>
      </c>
      <c r="R1673" t="str">
        <f t="shared" si="53"/>
        <v>[lLDyBx5XyUi]|35-49|Female|PopART.Rt.T_1|CY2023Q3</v>
      </c>
    </row>
    <row r="1674" spans="4:18" x14ac:dyDescent="0.2">
      <c r="D1674" t="s">
        <v>74</v>
      </c>
      <c r="E1674" t="s">
        <v>75</v>
      </c>
      <c r="F1674" t="s">
        <v>76</v>
      </c>
      <c r="G1674" t="s">
        <v>144</v>
      </c>
      <c r="H1674" t="s">
        <v>144</v>
      </c>
      <c r="I1674" t="s">
        <v>44</v>
      </c>
      <c r="J1674" t="s">
        <v>45</v>
      </c>
      <c r="K1674" t="s">
        <v>29</v>
      </c>
      <c r="L1674" t="s">
        <v>30</v>
      </c>
      <c r="M1674" t="s">
        <v>139</v>
      </c>
      <c r="N1674">
        <v>596</v>
      </c>
      <c r="O1674" s="14">
        <v>0.121691958978772</v>
      </c>
      <c r="P1674" s="14">
        <v>0.30305550759658201</v>
      </c>
      <c r="Q1674" t="str">
        <f t="shared" si="52"/>
        <v>50+</v>
      </c>
      <c r="R1674" t="str">
        <f t="shared" si="53"/>
        <v>[lLDyBx5XyUi]|50+|Female|PopART.Rt.T_1|CY2023Q3</v>
      </c>
    </row>
    <row r="1675" spans="4:18" x14ac:dyDescent="0.2">
      <c r="D1675" t="s">
        <v>74</v>
      </c>
      <c r="E1675" t="s">
        <v>75</v>
      </c>
      <c r="F1675" t="s">
        <v>76</v>
      </c>
      <c r="G1675" t="s">
        <v>144</v>
      </c>
      <c r="H1675" t="s">
        <v>144</v>
      </c>
      <c r="I1675" t="s">
        <v>27</v>
      </c>
      <c r="J1675" t="s">
        <v>28</v>
      </c>
      <c r="K1675" t="s">
        <v>47</v>
      </c>
      <c r="L1675" t="s">
        <v>48</v>
      </c>
      <c r="M1675" t="s">
        <v>139</v>
      </c>
      <c r="N1675">
        <v>1316</v>
      </c>
      <c r="O1675" s="14">
        <v>0.194984494475648</v>
      </c>
      <c r="P1675" s="14">
        <v>0.30305550759658201</v>
      </c>
      <c r="Q1675" t="str">
        <f t="shared" si="52"/>
        <v>&lt;01</v>
      </c>
      <c r="R1675" t="str">
        <f t="shared" si="53"/>
        <v>[lLDyBx5XyUi]|&lt;01|Male|PopART.Rt.T_1|CY2023Q3</v>
      </c>
    </row>
    <row r="1676" spans="4:18" x14ac:dyDescent="0.2">
      <c r="D1676" t="s">
        <v>74</v>
      </c>
      <c r="E1676" t="s">
        <v>75</v>
      </c>
      <c r="F1676" t="s">
        <v>76</v>
      </c>
      <c r="G1676" t="s">
        <v>144</v>
      </c>
      <c r="H1676" t="s">
        <v>144</v>
      </c>
      <c r="I1676" t="s">
        <v>32</v>
      </c>
      <c r="J1676" t="s">
        <v>33</v>
      </c>
      <c r="K1676" t="s">
        <v>47</v>
      </c>
      <c r="L1676" t="s">
        <v>48</v>
      </c>
      <c r="M1676" t="s">
        <v>139</v>
      </c>
      <c r="N1676">
        <v>685</v>
      </c>
      <c r="O1676" s="14">
        <v>4.4097925536334501E-2</v>
      </c>
      <c r="P1676" s="14">
        <v>0.30305550759658201</v>
      </c>
      <c r="Q1676" t="str">
        <f t="shared" si="52"/>
        <v>01-09</v>
      </c>
      <c r="R1676" t="str">
        <f t="shared" si="53"/>
        <v>[lLDyBx5XyUi]|01-09|Male|PopART.Rt.T_1|CY2023Q3</v>
      </c>
    </row>
    <row r="1677" spans="4:18" x14ac:dyDescent="0.2">
      <c r="D1677" t="s">
        <v>74</v>
      </c>
      <c r="E1677" t="s">
        <v>75</v>
      </c>
      <c r="F1677" t="s">
        <v>76</v>
      </c>
      <c r="G1677" t="s">
        <v>144</v>
      </c>
      <c r="H1677" t="s">
        <v>144</v>
      </c>
      <c r="I1677" t="s">
        <v>35</v>
      </c>
      <c r="J1677" t="s">
        <v>36</v>
      </c>
      <c r="K1677" t="s">
        <v>47</v>
      </c>
      <c r="L1677" t="s">
        <v>48</v>
      </c>
      <c r="M1677" t="s">
        <v>139</v>
      </c>
      <c r="N1677">
        <v>1681</v>
      </c>
      <c r="O1677" s="14">
        <v>0.69283956871368002</v>
      </c>
      <c r="P1677" s="14">
        <v>0.30305550759658201</v>
      </c>
      <c r="Q1677" t="str">
        <f t="shared" si="52"/>
        <v>10-14</v>
      </c>
      <c r="R1677" t="str">
        <f t="shared" si="53"/>
        <v>[lLDyBx5XyUi]|10-14|Male|PopART.Rt.T_1|CY2023Q3</v>
      </c>
    </row>
    <row r="1678" spans="4:18" x14ac:dyDescent="0.2">
      <c r="D1678" t="s">
        <v>74</v>
      </c>
      <c r="E1678" t="s">
        <v>75</v>
      </c>
      <c r="F1678" t="s">
        <v>76</v>
      </c>
      <c r="G1678" t="s">
        <v>144</v>
      </c>
      <c r="H1678" t="s">
        <v>144</v>
      </c>
      <c r="I1678" t="s">
        <v>37</v>
      </c>
      <c r="J1678" t="s">
        <v>38</v>
      </c>
      <c r="K1678" t="s">
        <v>47</v>
      </c>
      <c r="L1678" t="s">
        <v>48</v>
      </c>
      <c r="M1678" t="s">
        <v>139</v>
      </c>
      <c r="N1678">
        <v>1416</v>
      </c>
      <c r="O1678" s="14">
        <v>0.597377168247476</v>
      </c>
      <c r="P1678" s="14">
        <v>0.30305550759658201</v>
      </c>
      <c r="Q1678" t="str">
        <f t="shared" si="52"/>
        <v>15-24</v>
      </c>
      <c r="R1678" t="str">
        <f t="shared" si="53"/>
        <v>[lLDyBx5XyUi]|15-24|Male|PopART.Rt.T_1|CY2023Q3</v>
      </c>
    </row>
    <row r="1679" spans="4:18" x14ac:dyDescent="0.2">
      <c r="D1679" t="s">
        <v>74</v>
      </c>
      <c r="E1679" t="s">
        <v>75</v>
      </c>
      <c r="F1679" t="s">
        <v>76</v>
      </c>
      <c r="G1679" t="s">
        <v>144</v>
      </c>
      <c r="H1679" t="s">
        <v>144</v>
      </c>
      <c r="I1679" t="s">
        <v>40</v>
      </c>
      <c r="J1679" t="s">
        <v>41</v>
      </c>
      <c r="K1679" t="s">
        <v>47</v>
      </c>
      <c r="L1679" t="s">
        <v>48</v>
      </c>
      <c r="M1679" t="s">
        <v>139</v>
      </c>
      <c r="N1679">
        <v>926</v>
      </c>
      <c r="O1679" s="14">
        <v>5.2968971431255298E-7</v>
      </c>
      <c r="P1679" s="14">
        <v>0.30305550759658201</v>
      </c>
      <c r="Q1679" t="str">
        <f t="shared" si="52"/>
        <v>25-34</v>
      </c>
      <c r="R1679" t="str">
        <f t="shared" si="53"/>
        <v>[lLDyBx5XyUi]|25-34|Male|PopART.Rt.T_1|CY2023Q3</v>
      </c>
    </row>
    <row r="1680" spans="4:18" x14ac:dyDescent="0.2">
      <c r="D1680" t="s">
        <v>74</v>
      </c>
      <c r="E1680" t="s">
        <v>75</v>
      </c>
      <c r="F1680" t="s">
        <v>76</v>
      </c>
      <c r="G1680" t="s">
        <v>144</v>
      </c>
      <c r="H1680" t="s">
        <v>144</v>
      </c>
      <c r="I1680" t="s">
        <v>42</v>
      </c>
      <c r="J1680" t="s">
        <v>43</v>
      </c>
      <c r="K1680" t="s">
        <v>47</v>
      </c>
      <c r="L1680" t="s">
        <v>48</v>
      </c>
      <c r="M1680" t="s">
        <v>139</v>
      </c>
      <c r="N1680">
        <v>1820</v>
      </c>
      <c r="O1680" s="14">
        <v>0.89390967041253999</v>
      </c>
      <c r="P1680" s="14">
        <v>0.30305550759658201</v>
      </c>
      <c r="Q1680" t="str">
        <f t="shared" si="52"/>
        <v>35-49</v>
      </c>
      <c r="R1680" t="str">
        <f t="shared" si="53"/>
        <v>[lLDyBx5XyUi]|35-49|Male|PopART.Rt.T_1|CY2023Q3</v>
      </c>
    </row>
    <row r="1681" spans="4:18" x14ac:dyDescent="0.2">
      <c r="D1681" t="s">
        <v>74</v>
      </c>
      <c r="E1681" t="s">
        <v>75</v>
      </c>
      <c r="F1681" t="s">
        <v>76</v>
      </c>
      <c r="G1681" t="s">
        <v>144</v>
      </c>
      <c r="H1681" t="s">
        <v>144</v>
      </c>
      <c r="I1681" t="s">
        <v>44</v>
      </c>
      <c r="J1681" t="s">
        <v>45</v>
      </c>
      <c r="K1681" t="s">
        <v>47</v>
      </c>
      <c r="L1681" t="s">
        <v>48</v>
      </c>
      <c r="M1681" t="s">
        <v>139</v>
      </c>
      <c r="N1681">
        <v>1818</v>
      </c>
      <c r="O1681" s="14">
        <v>0.97856400837190405</v>
      </c>
      <c r="P1681" s="14">
        <v>0.30305550759658201</v>
      </c>
      <c r="Q1681" t="str">
        <f t="shared" si="52"/>
        <v>50+</v>
      </c>
      <c r="R1681" t="str">
        <f t="shared" si="53"/>
        <v>[lLDyBx5XyUi]|50+|Male|PopART.Rt.T_1|CY2023Q3</v>
      </c>
    </row>
    <row r="1682" spans="4:18" x14ac:dyDescent="0.2">
      <c r="D1682" t="s">
        <v>77</v>
      </c>
      <c r="E1682" t="s">
        <v>78</v>
      </c>
      <c r="F1682" t="s">
        <v>79</v>
      </c>
      <c r="G1682" t="s">
        <v>144</v>
      </c>
      <c r="H1682" t="s">
        <v>144</v>
      </c>
      <c r="I1682" t="s">
        <v>27</v>
      </c>
      <c r="J1682" t="s">
        <v>28</v>
      </c>
      <c r="K1682" t="s">
        <v>29</v>
      </c>
      <c r="L1682" t="s">
        <v>30</v>
      </c>
      <c r="M1682" t="s">
        <v>139</v>
      </c>
      <c r="N1682">
        <v>681</v>
      </c>
      <c r="O1682" s="14">
        <v>8.0467594088986502E-2</v>
      </c>
      <c r="P1682" s="14">
        <v>0.83159798220731296</v>
      </c>
      <c r="Q1682" t="str">
        <f t="shared" si="52"/>
        <v>&lt;01</v>
      </c>
      <c r="R1682" t="str">
        <f t="shared" si="53"/>
        <v>[TYnMSwzko3z]|&lt;01|Female|PopART.Rt.T_1|CY2023Q3</v>
      </c>
    </row>
    <row r="1683" spans="4:18" x14ac:dyDescent="0.2">
      <c r="D1683" t="s">
        <v>77</v>
      </c>
      <c r="E1683" t="s">
        <v>78</v>
      </c>
      <c r="F1683" t="s">
        <v>79</v>
      </c>
      <c r="G1683" t="s">
        <v>144</v>
      </c>
      <c r="H1683" t="s">
        <v>144</v>
      </c>
      <c r="I1683" t="s">
        <v>32</v>
      </c>
      <c r="J1683" t="s">
        <v>33</v>
      </c>
      <c r="K1683" t="s">
        <v>29</v>
      </c>
      <c r="L1683" t="s">
        <v>30</v>
      </c>
      <c r="M1683" t="s">
        <v>139</v>
      </c>
      <c r="N1683">
        <v>885</v>
      </c>
      <c r="O1683" s="14">
        <v>0.23139154259115499</v>
      </c>
      <c r="P1683" s="14">
        <v>0.83159798220731296</v>
      </c>
      <c r="Q1683" t="str">
        <f t="shared" si="52"/>
        <v>01-09</v>
      </c>
      <c r="R1683" t="str">
        <f t="shared" si="53"/>
        <v>[TYnMSwzko3z]|01-09|Female|PopART.Rt.T_1|CY2023Q3</v>
      </c>
    </row>
    <row r="1684" spans="4:18" x14ac:dyDescent="0.2">
      <c r="D1684" t="s">
        <v>77</v>
      </c>
      <c r="E1684" t="s">
        <v>78</v>
      </c>
      <c r="F1684" t="s">
        <v>79</v>
      </c>
      <c r="G1684" t="s">
        <v>144</v>
      </c>
      <c r="H1684" t="s">
        <v>144</v>
      </c>
      <c r="I1684" t="s">
        <v>35</v>
      </c>
      <c r="J1684" t="s">
        <v>36</v>
      </c>
      <c r="K1684" t="s">
        <v>29</v>
      </c>
      <c r="L1684" t="s">
        <v>30</v>
      </c>
      <c r="M1684" t="s">
        <v>139</v>
      </c>
      <c r="N1684">
        <v>1635</v>
      </c>
      <c r="O1684" s="14">
        <v>0.33743198099546101</v>
      </c>
      <c r="P1684" s="14">
        <v>0.83159798220731296</v>
      </c>
      <c r="Q1684" t="str">
        <f t="shared" si="52"/>
        <v>10-14</v>
      </c>
      <c r="R1684" t="str">
        <f t="shared" si="53"/>
        <v>[TYnMSwzko3z]|10-14|Female|PopART.Rt.T_1|CY2023Q3</v>
      </c>
    </row>
    <row r="1685" spans="4:18" x14ac:dyDescent="0.2">
      <c r="D1685" t="s">
        <v>77</v>
      </c>
      <c r="E1685" t="s">
        <v>78</v>
      </c>
      <c r="F1685" t="s">
        <v>79</v>
      </c>
      <c r="G1685" t="s">
        <v>144</v>
      </c>
      <c r="H1685" t="s">
        <v>144</v>
      </c>
      <c r="I1685" t="s">
        <v>37</v>
      </c>
      <c r="J1685" t="s">
        <v>38</v>
      </c>
      <c r="K1685" t="s">
        <v>29</v>
      </c>
      <c r="L1685" t="s">
        <v>30</v>
      </c>
      <c r="M1685" t="s">
        <v>139</v>
      </c>
      <c r="N1685">
        <v>756</v>
      </c>
      <c r="O1685" s="14">
        <v>0.61972239613532998</v>
      </c>
      <c r="P1685" s="14">
        <v>0.83159798220731296</v>
      </c>
      <c r="Q1685" t="str">
        <f t="shared" si="52"/>
        <v>15-24</v>
      </c>
      <c r="R1685" t="str">
        <f t="shared" si="53"/>
        <v>[TYnMSwzko3z]|15-24|Female|PopART.Rt.T_1|CY2023Q3</v>
      </c>
    </row>
    <row r="1686" spans="4:18" x14ac:dyDescent="0.2">
      <c r="D1686" t="s">
        <v>77</v>
      </c>
      <c r="E1686" t="s">
        <v>78</v>
      </c>
      <c r="F1686" t="s">
        <v>79</v>
      </c>
      <c r="G1686" t="s">
        <v>144</v>
      </c>
      <c r="H1686" t="s">
        <v>144</v>
      </c>
      <c r="I1686" t="s">
        <v>40</v>
      </c>
      <c r="J1686" t="s">
        <v>41</v>
      </c>
      <c r="K1686" t="s">
        <v>29</v>
      </c>
      <c r="L1686" t="s">
        <v>30</v>
      </c>
      <c r="M1686" t="s">
        <v>139</v>
      </c>
      <c r="N1686">
        <v>742</v>
      </c>
      <c r="O1686" s="14">
        <v>0.427447129040956</v>
      </c>
      <c r="P1686" s="14">
        <v>0.83159798220731296</v>
      </c>
      <c r="Q1686" t="str">
        <f t="shared" si="52"/>
        <v>25-34</v>
      </c>
      <c r="R1686" t="str">
        <f t="shared" si="53"/>
        <v>[TYnMSwzko3z]|25-34|Female|PopART.Rt.T_1|CY2023Q3</v>
      </c>
    </row>
    <row r="1687" spans="4:18" x14ac:dyDescent="0.2">
      <c r="D1687" t="s">
        <v>77</v>
      </c>
      <c r="E1687" t="s">
        <v>78</v>
      </c>
      <c r="F1687" t="s">
        <v>79</v>
      </c>
      <c r="G1687" t="s">
        <v>144</v>
      </c>
      <c r="H1687" t="s">
        <v>144</v>
      </c>
      <c r="I1687" t="s">
        <v>42</v>
      </c>
      <c r="J1687" t="s">
        <v>43</v>
      </c>
      <c r="K1687" t="s">
        <v>29</v>
      </c>
      <c r="L1687" t="s">
        <v>30</v>
      </c>
      <c r="M1687" t="s">
        <v>139</v>
      </c>
      <c r="N1687">
        <v>1197</v>
      </c>
      <c r="O1687" s="14">
        <v>0.86008198442868899</v>
      </c>
      <c r="P1687" s="14">
        <v>0.83159798220731296</v>
      </c>
      <c r="Q1687" t="str">
        <f t="shared" si="52"/>
        <v>35-49</v>
      </c>
      <c r="R1687" t="str">
        <f t="shared" si="53"/>
        <v>[TYnMSwzko3z]|35-49|Female|PopART.Rt.T_1|CY2023Q3</v>
      </c>
    </row>
    <row r="1688" spans="4:18" x14ac:dyDescent="0.2">
      <c r="D1688" t="s">
        <v>77</v>
      </c>
      <c r="E1688" t="s">
        <v>78</v>
      </c>
      <c r="F1688" t="s">
        <v>79</v>
      </c>
      <c r="G1688" t="s">
        <v>144</v>
      </c>
      <c r="H1688" t="s">
        <v>144</v>
      </c>
      <c r="I1688" t="s">
        <v>44</v>
      </c>
      <c r="J1688" t="s">
        <v>45</v>
      </c>
      <c r="K1688" t="s">
        <v>29</v>
      </c>
      <c r="L1688" t="s">
        <v>30</v>
      </c>
      <c r="M1688" t="s">
        <v>139</v>
      </c>
      <c r="N1688">
        <v>1953</v>
      </c>
      <c r="O1688" s="14">
        <v>0.56703637097962201</v>
      </c>
      <c r="P1688" s="14">
        <v>0.83159798220731296</v>
      </c>
      <c r="Q1688" t="str">
        <f t="shared" si="52"/>
        <v>50+</v>
      </c>
      <c r="R1688" t="str">
        <f t="shared" si="53"/>
        <v>[TYnMSwzko3z]|50+|Female|PopART.Rt.T_1|CY2023Q3</v>
      </c>
    </row>
    <row r="1689" spans="4:18" x14ac:dyDescent="0.2">
      <c r="D1689" t="s">
        <v>77</v>
      </c>
      <c r="E1689" t="s">
        <v>78</v>
      </c>
      <c r="F1689" t="s">
        <v>79</v>
      </c>
      <c r="G1689" t="s">
        <v>144</v>
      </c>
      <c r="H1689" t="s">
        <v>144</v>
      </c>
      <c r="I1689" t="s">
        <v>27</v>
      </c>
      <c r="J1689" t="s">
        <v>28</v>
      </c>
      <c r="K1689" t="s">
        <v>47</v>
      </c>
      <c r="L1689" t="s">
        <v>48</v>
      </c>
      <c r="M1689" t="s">
        <v>139</v>
      </c>
      <c r="N1689">
        <v>524</v>
      </c>
      <c r="O1689" s="14">
        <v>0.42159972153603997</v>
      </c>
      <c r="P1689" s="14">
        <v>0.83159798220731296</v>
      </c>
      <c r="Q1689" t="str">
        <f t="shared" si="52"/>
        <v>&lt;01</v>
      </c>
      <c r="R1689" t="str">
        <f t="shared" si="53"/>
        <v>[TYnMSwzko3z]|&lt;01|Male|PopART.Rt.T_1|CY2023Q3</v>
      </c>
    </row>
    <row r="1690" spans="4:18" x14ac:dyDescent="0.2">
      <c r="D1690" t="s">
        <v>77</v>
      </c>
      <c r="E1690" t="s">
        <v>78</v>
      </c>
      <c r="F1690" t="s">
        <v>79</v>
      </c>
      <c r="G1690" t="s">
        <v>144</v>
      </c>
      <c r="H1690" t="s">
        <v>144</v>
      </c>
      <c r="I1690" t="s">
        <v>32</v>
      </c>
      <c r="J1690" t="s">
        <v>33</v>
      </c>
      <c r="K1690" t="s">
        <v>47</v>
      </c>
      <c r="L1690" t="s">
        <v>48</v>
      </c>
      <c r="M1690" t="s">
        <v>139</v>
      </c>
      <c r="N1690">
        <v>1751</v>
      </c>
      <c r="O1690" s="14">
        <v>0.56731796707026705</v>
      </c>
      <c r="P1690" s="14">
        <v>0.83159798220731296</v>
      </c>
      <c r="Q1690" t="str">
        <f t="shared" si="52"/>
        <v>01-09</v>
      </c>
      <c r="R1690" t="str">
        <f t="shared" si="53"/>
        <v>[TYnMSwzko3z]|01-09|Male|PopART.Rt.T_1|CY2023Q3</v>
      </c>
    </row>
    <row r="1691" spans="4:18" x14ac:dyDescent="0.2">
      <c r="D1691" t="s">
        <v>77</v>
      </c>
      <c r="E1691" t="s">
        <v>78</v>
      </c>
      <c r="F1691" t="s">
        <v>79</v>
      </c>
      <c r="G1691" t="s">
        <v>144</v>
      </c>
      <c r="H1691" t="s">
        <v>144</v>
      </c>
      <c r="I1691" t="s">
        <v>35</v>
      </c>
      <c r="J1691" t="s">
        <v>36</v>
      </c>
      <c r="K1691" t="s">
        <v>47</v>
      </c>
      <c r="L1691" t="s">
        <v>48</v>
      </c>
      <c r="M1691" t="s">
        <v>139</v>
      </c>
      <c r="N1691">
        <v>685</v>
      </c>
      <c r="O1691" s="14">
        <v>2.2469301708042601E-2</v>
      </c>
      <c r="P1691" s="14">
        <v>0.83159798220731296</v>
      </c>
      <c r="Q1691" t="str">
        <f t="shared" si="52"/>
        <v>10-14</v>
      </c>
      <c r="R1691" t="str">
        <f t="shared" si="53"/>
        <v>[TYnMSwzko3z]|10-14|Male|PopART.Rt.T_1|CY2023Q3</v>
      </c>
    </row>
    <row r="1692" spans="4:18" x14ac:dyDescent="0.2">
      <c r="D1692" t="s">
        <v>77</v>
      </c>
      <c r="E1692" t="s">
        <v>78</v>
      </c>
      <c r="F1692" t="s">
        <v>79</v>
      </c>
      <c r="G1692" t="s">
        <v>144</v>
      </c>
      <c r="H1692" t="s">
        <v>144</v>
      </c>
      <c r="I1692" t="s">
        <v>37</v>
      </c>
      <c r="J1692" t="s">
        <v>38</v>
      </c>
      <c r="K1692" t="s">
        <v>47</v>
      </c>
      <c r="L1692" t="s">
        <v>48</v>
      </c>
      <c r="M1692" t="s">
        <v>139</v>
      </c>
      <c r="N1692">
        <v>1565</v>
      </c>
      <c r="O1692" s="14">
        <v>0.30611555301584298</v>
      </c>
      <c r="P1692" s="14">
        <v>0.83159798220731296</v>
      </c>
      <c r="Q1692" t="str">
        <f t="shared" si="52"/>
        <v>15-24</v>
      </c>
      <c r="R1692" t="str">
        <f t="shared" si="53"/>
        <v>[TYnMSwzko3z]|15-24|Male|PopART.Rt.T_1|CY2023Q3</v>
      </c>
    </row>
    <row r="1693" spans="4:18" x14ac:dyDescent="0.2">
      <c r="D1693" t="s">
        <v>77</v>
      </c>
      <c r="E1693" t="s">
        <v>78</v>
      </c>
      <c r="F1693" t="s">
        <v>79</v>
      </c>
      <c r="G1693" t="s">
        <v>144</v>
      </c>
      <c r="H1693" t="s">
        <v>144</v>
      </c>
      <c r="I1693" t="s">
        <v>40</v>
      </c>
      <c r="J1693" t="s">
        <v>41</v>
      </c>
      <c r="K1693" t="s">
        <v>47</v>
      </c>
      <c r="L1693" t="s">
        <v>48</v>
      </c>
      <c r="M1693" t="s">
        <v>139</v>
      </c>
      <c r="N1693">
        <v>1897</v>
      </c>
      <c r="O1693" s="14">
        <v>0.89606249984353803</v>
      </c>
      <c r="P1693" s="14">
        <v>0.83159798220731296</v>
      </c>
      <c r="Q1693" t="str">
        <f t="shared" si="52"/>
        <v>25-34</v>
      </c>
      <c r="R1693" t="str">
        <f t="shared" si="53"/>
        <v>[TYnMSwzko3z]|25-34|Male|PopART.Rt.T_1|CY2023Q3</v>
      </c>
    </row>
    <row r="1694" spans="4:18" x14ac:dyDescent="0.2">
      <c r="D1694" t="s">
        <v>77</v>
      </c>
      <c r="E1694" t="s">
        <v>78</v>
      </c>
      <c r="F1694" t="s">
        <v>79</v>
      </c>
      <c r="G1694" t="s">
        <v>144</v>
      </c>
      <c r="H1694" t="s">
        <v>144</v>
      </c>
      <c r="I1694" t="s">
        <v>42</v>
      </c>
      <c r="J1694" t="s">
        <v>43</v>
      </c>
      <c r="K1694" t="s">
        <v>47</v>
      </c>
      <c r="L1694" t="s">
        <v>48</v>
      </c>
      <c r="M1694" t="s">
        <v>139</v>
      </c>
      <c r="N1694">
        <v>1776</v>
      </c>
      <c r="O1694" s="14">
        <v>0.429635618347675</v>
      </c>
      <c r="P1694" s="14">
        <v>0.83159798220731296</v>
      </c>
      <c r="Q1694" t="str">
        <f t="shared" si="52"/>
        <v>35-49</v>
      </c>
      <c r="R1694" t="str">
        <f t="shared" si="53"/>
        <v>[TYnMSwzko3z]|35-49|Male|PopART.Rt.T_1|CY2023Q3</v>
      </c>
    </row>
    <row r="1695" spans="4:18" x14ac:dyDescent="0.2">
      <c r="D1695" t="s">
        <v>77</v>
      </c>
      <c r="E1695" t="s">
        <v>78</v>
      </c>
      <c r="F1695" t="s">
        <v>79</v>
      </c>
      <c r="G1695" t="s">
        <v>144</v>
      </c>
      <c r="H1695" t="s">
        <v>144</v>
      </c>
      <c r="I1695" t="s">
        <v>44</v>
      </c>
      <c r="J1695" t="s">
        <v>45</v>
      </c>
      <c r="K1695" t="s">
        <v>47</v>
      </c>
      <c r="L1695" t="s">
        <v>48</v>
      </c>
      <c r="M1695" t="s">
        <v>139</v>
      </c>
      <c r="N1695">
        <v>1772</v>
      </c>
      <c r="O1695" s="14">
        <v>0.32512787729501702</v>
      </c>
      <c r="P1695" s="14">
        <v>0.83159798220731296</v>
      </c>
      <c r="Q1695" t="str">
        <f t="shared" si="52"/>
        <v>50+</v>
      </c>
      <c r="R1695" t="str">
        <f t="shared" si="53"/>
        <v>[TYnMSwzko3z]|50+|Male|PopART.Rt.T_1|CY2023Q3</v>
      </c>
    </row>
    <row r="1696" spans="4:18" x14ac:dyDescent="0.2">
      <c r="D1696" t="s">
        <v>80</v>
      </c>
      <c r="E1696" t="s">
        <v>81</v>
      </c>
      <c r="F1696" t="s">
        <v>82</v>
      </c>
      <c r="G1696" t="s">
        <v>144</v>
      </c>
      <c r="H1696" t="s">
        <v>144</v>
      </c>
      <c r="I1696" t="s">
        <v>27</v>
      </c>
      <c r="J1696" t="s">
        <v>28</v>
      </c>
      <c r="K1696" t="s">
        <v>29</v>
      </c>
      <c r="L1696" t="s">
        <v>30</v>
      </c>
      <c r="M1696" t="s">
        <v>139</v>
      </c>
      <c r="N1696">
        <v>1856</v>
      </c>
      <c r="O1696" s="14">
        <v>0.307016692589968</v>
      </c>
      <c r="P1696" s="14">
        <v>0.14333142153918699</v>
      </c>
      <c r="Q1696" t="str">
        <f t="shared" si="52"/>
        <v>&lt;01</v>
      </c>
      <c r="R1696" t="str">
        <f t="shared" si="53"/>
        <v>[ir8wuHHzoSs]|&lt;01|Female|PopART.Rt.T_1|CY2023Q3</v>
      </c>
    </row>
    <row r="1697" spans="4:18" x14ac:dyDescent="0.2">
      <c r="D1697" t="s">
        <v>80</v>
      </c>
      <c r="E1697" t="s">
        <v>81</v>
      </c>
      <c r="F1697" t="s">
        <v>82</v>
      </c>
      <c r="G1697" t="s">
        <v>144</v>
      </c>
      <c r="H1697" t="s">
        <v>144</v>
      </c>
      <c r="I1697" t="s">
        <v>32</v>
      </c>
      <c r="J1697" t="s">
        <v>33</v>
      </c>
      <c r="K1697" t="s">
        <v>29</v>
      </c>
      <c r="L1697" t="s">
        <v>30</v>
      </c>
      <c r="M1697" t="s">
        <v>139</v>
      </c>
      <c r="N1697">
        <v>670</v>
      </c>
      <c r="O1697" s="14">
        <v>5.11810285970569E-2</v>
      </c>
      <c r="P1697" s="14">
        <v>0.14333142153918699</v>
      </c>
      <c r="Q1697" t="str">
        <f t="shared" si="52"/>
        <v>01-09</v>
      </c>
      <c r="R1697" t="str">
        <f t="shared" si="53"/>
        <v>[ir8wuHHzoSs]|01-09|Female|PopART.Rt.T_1|CY2023Q3</v>
      </c>
    </row>
    <row r="1698" spans="4:18" x14ac:dyDescent="0.2">
      <c r="D1698" t="s">
        <v>80</v>
      </c>
      <c r="E1698" t="s">
        <v>81</v>
      </c>
      <c r="F1698" t="s">
        <v>82</v>
      </c>
      <c r="G1698" t="s">
        <v>144</v>
      </c>
      <c r="H1698" t="s">
        <v>144</v>
      </c>
      <c r="I1698" t="s">
        <v>35</v>
      </c>
      <c r="J1698" t="s">
        <v>36</v>
      </c>
      <c r="K1698" t="s">
        <v>29</v>
      </c>
      <c r="L1698" t="s">
        <v>30</v>
      </c>
      <c r="M1698" t="s">
        <v>139</v>
      </c>
      <c r="N1698">
        <v>698</v>
      </c>
      <c r="O1698" s="14">
        <v>0.334904862102121</v>
      </c>
      <c r="P1698" s="14">
        <v>0.14333142153918699</v>
      </c>
      <c r="Q1698" t="str">
        <f t="shared" si="52"/>
        <v>10-14</v>
      </c>
      <c r="R1698" t="str">
        <f t="shared" si="53"/>
        <v>[ir8wuHHzoSs]|10-14|Female|PopART.Rt.T_1|CY2023Q3</v>
      </c>
    </row>
    <row r="1699" spans="4:18" x14ac:dyDescent="0.2">
      <c r="D1699" t="s">
        <v>80</v>
      </c>
      <c r="E1699" t="s">
        <v>81</v>
      </c>
      <c r="F1699" t="s">
        <v>82</v>
      </c>
      <c r="G1699" t="s">
        <v>144</v>
      </c>
      <c r="H1699" t="s">
        <v>144</v>
      </c>
      <c r="I1699" t="s">
        <v>37</v>
      </c>
      <c r="J1699" t="s">
        <v>38</v>
      </c>
      <c r="K1699" t="s">
        <v>29</v>
      </c>
      <c r="L1699" t="s">
        <v>30</v>
      </c>
      <c r="M1699" t="s">
        <v>139</v>
      </c>
      <c r="N1699">
        <v>1157</v>
      </c>
      <c r="O1699" s="14">
        <v>0.87123503326438401</v>
      </c>
      <c r="P1699" s="14">
        <v>0.14333142153918699</v>
      </c>
      <c r="Q1699" t="str">
        <f t="shared" si="52"/>
        <v>15-24</v>
      </c>
      <c r="R1699" t="str">
        <f t="shared" si="53"/>
        <v>[ir8wuHHzoSs]|15-24|Female|PopART.Rt.T_1|CY2023Q3</v>
      </c>
    </row>
    <row r="1700" spans="4:18" x14ac:dyDescent="0.2">
      <c r="D1700" t="s">
        <v>80</v>
      </c>
      <c r="E1700" t="s">
        <v>81</v>
      </c>
      <c r="F1700" t="s">
        <v>82</v>
      </c>
      <c r="G1700" t="s">
        <v>144</v>
      </c>
      <c r="H1700" t="s">
        <v>144</v>
      </c>
      <c r="I1700" t="s">
        <v>40</v>
      </c>
      <c r="J1700" t="s">
        <v>41</v>
      </c>
      <c r="K1700" t="s">
        <v>29</v>
      </c>
      <c r="L1700" t="s">
        <v>30</v>
      </c>
      <c r="M1700" t="s">
        <v>139</v>
      </c>
      <c r="N1700">
        <v>1496</v>
      </c>
      <c r="O1700" s="14">
        <v>0.85808249190449704</v>
      </c>
      <c r="P1700" s="14">
        <v>0.14333142153918699</v>
      </c>
      <c r="Q1700" t="str">
        <f t="shared" si="52"/>
        <v>25-34</v>
      </c>
      <c r="R1700" t="str">
        <f t="shared" si="53"/>
        <v>[ir8wuHHzoSs]|25-34|Female|PopART.Rt.T_1|CY2023Q3</v>
      </c>
    </row>
    <row r="1701" spans="4:18" x14ac:dyDescent="0.2">
      <c r="D1701" t="s">
        <v>80</v>
      </c>
      <c r="E1701" t="s">
        <v>81</v>
      </c>
      <c r="F1701" t="s">
        <v>82</v>
      </c>
      <c r="G1701" t="s">
        <v>144</v>
      </c>
      <c r="H1701" t="s">
        <v>144</v>
      </c>
      <c r="I1701" t="s">
        <v>42</v>
      </c>
      <c r="J1701" t="s">
        <v>43</v>
      </c>
      <c r="K1701" t="s">
        <v>29</v>
      </c>
      <c r="L1701" t="s">
        <v>30</v>
      </c>
      <c r="M1701" t="s">
        <v>139</v>
      </c>
      <c r="N1701">
        <v>522</v>
      </c>
      <c r="O1701" s="14">
        <v>0.110738391755149</v>
      </c>
      <c r="P1701" s="14">
        <v>0.14333142153918699</v>
      </c>
      <c r="Q1701" t="str">
        <f t="shared" si="52"/>
        <v>35-49</v>
      </c>
      <c r="R1701" t="str">
        <f t="shared" si="53"/>
        <v>[ir8wuHHzoSs]|35-49|Female|PopART.Rt.T_1|CY2023Q3</v>
      </c>
    </row>
    <row r="1702" spans="4:18" x14ac:dyDescent="0.2">
      <c r="D1702" t="s">
        <v>80</v>
      </c>
      <c r="E1702" t="s">
        <v>81</v>
      </c>
      <c r="F1702" t="s">
        <v>82</v>
      </c>
      <c r="G1702" t="s">
        <v>144</v>
      </c>
      <c r="H1702" t="s">
        <v>144</v>
      </c>
      <c r="I1702" t="s">
        <v>44</v>
      </c>
      <c r="J1702" t="s">
        <v>45</v>
      </c>
      <c r="K1702" t="s">
        <v>29</v>
      </c>
      <c r="L1702" t="s">
        <v>30</v>
      </c>
      <c r="M1702" t="s">
        <v>139</v>
      </c>
      <c r="N1702">
        <v>1763</v>
      </c>
      <c r="O1702" s="14">
        <v>0.60162062081508305</v>
      </c>
      <c r="P1702" s="14">
        <v>0.14333142153918699</v>
      </c>
      <c r="Q1702" t="str">
        <f t="shared" si="52"/>
        <v>50+</v>
      </c>
      <c r="R1702" t="str">
        <f t="shared" si="53"/>
        <v>[ir8wuHHzoSs]|50+|Female|PopART.Rt.T_1|CY2023Q3</v>
      </c>
    </row>
    <row r="1703" spans="4:18" x14ac:dyDescent="0.2">
      <c r="D1703" t="s">
        <v>80</v>
      </c>
      <c r="E1703" t="s">
        <v>81</v>
      </c>
      <c r="F1703" t="s">
        <v>82</v>
      </c>
      <c r="G1703" t="s">
        <v>144</v>
      </c>
      <c r="H1703" t="s">
        <v>144</v>
      </c>
      <c r="I1703" t="s">
        <v>27</v>
      </c>
      <c r="J1703" t="s">
        <v>28</v>
      </c>
      <c r="K1703" t="s">
        <v>47</v>
      </c>
      <c r="L1703" t="s">
        <v>48</v>
      </c>
      <c r="M1703" t="s">
        <v>139</v>
      </c>
      <c r="N1703">
        <v>1942</v>
      </c>
      <c r="O1703" s="14">
        <v>0.82834464544430397</v>
      </c>
      <c r="P1703" s="14">
        <v>0.14333142153918699</v>
      </c>
      <c r="Q1703" t="str">
        <f t="shared" si="52"/>
        <v>&lt;01</v>
      </c>
      <c r="R1703" t="str">
        <f t="shared" si="53"/>
        <v>[ir8wuHHzoSs]|&lt;01|Male|PopART.Rt.T_1|CY2023Q3</v>
      </c>
    </row>
    <row r="1704" spans="4:18" x14ac:dyDescent="0.2">
      <c r="D1704" t="s">
        <v>80</v>
      </c>
      <c r="E1704" t="s">
        <v>81</v>
      </c>
      <c r="F1704" t="s">
        <v>82</v>
      </c>
      <c r="G1704" t="s">
        <v>144</v>
      </c>
      <c r="H1704" t="s">
        <v>144</v>
      </c>
      <c r="I1704" t="s">
        <v>32</v>
      </c>
      <c r="J1704" t="s">
        <v>33</v>
      </c>
      <c r="K1704" t="s">
        <v>47</v>
      </c>
      <c r="L1704" t="s">
        <v>48</v>
      </c>
      <c r="M1704" t="s">
        <v>139</v>
      </c>
      <c r="N1704">
        <v>602</v>
      </c>
      <c r="O1704" s="14">
        <v>0.89362353482283696</v>
      </c>
      <c r="P1704" s="14">
        <v>0.14333142153918699</v>
      </c>
      <c r="Q1704" t="str">
        <f t="shared" si="52"/>
        <v>01-09</v>
      </c>
      <c r="R1704" t="str">
        <f t="shared" si="53"/>
        <v>[ir8wuHHzoSs]|01-09|Male|PopART.Rt.T_1|CY2023Q3</v>
      </c>
    </row>
    <row r="1705" spans="4:18" x14ac:dyDescent="0.2">
      <c r="D1705" t="s">
        <v>80</v>
      </c>
      <c r="E1705" t="s">
        <v>81</v>
      </c>
      <c r="F1705" t="s">
        <v>82</v>
      </c>
      <c r="G1705" t="s">
        <v>144</v>
      </c>
      <c r="H1705" t="s">
        <v>144</v>
      </c>
      <c r="I1705" t="s">
        <v>35</v>
      </c>
      <c r="J1705" t="s">
        <v>36</v>
      </c>
      <c r="K1705" t="s">
        <v>47</v>
      </c>
      <c r="L1705" t="s">
        <v>48</v>
      </c>
      <c r="M1705" t="s">
        <v>139</v>
      </c>
      <c r="N1705">
        <v>1493</v>
      </c>
      <c r="O1705" s="14">
        <v>0.722231707535684</v>
      </c>
      <c r="P1705" s="14">
        <v>0.14333142153918699</v>
      </c>
      <c r="Q1705" t="str">
        <f t="shared" si="52"/>
        <v>10-14</v>
      </c>
      <c r="R1705" t="str">
        <f t="shared" si="53"/>
        <v>[ir8wuHHzoSs]|10-14|Male|PopART.Rt.T_1|CY2023Q3</v>
      </c>
    </row>
    <row r="1706" spans="4:18" x14ac:dyDescent="0.2">
      <c r="D1706" t="s">
        <v>80</v>
      </c>
      <c r="E1706" t="s">
        <v>81</v>
      </c>
      <c r="F1706" t="s">
        <v>82</v>
      </c>
      <c r="G1706" t="s">
        <v>144</v>
      </c>
      <c r="H1706" t="s">
        <v>144</v>
      </c>
      <c r="I1706" t="s">
        <v>37</v>
      </c>
      <c r="J1706" t="s">
        <v>38</v>
      </c>
      <c r="K1706" t="s">
        <v>47</v>
      </c>
      <c r="L1706" t="s">
        <v>48</v>
      </c>
      <c r="M1706" t="s">
        <v>139</v>
      </c>
      <c r="N1706">
        <v>802</v>
      </c>
      <c r="O1706" s="14">
        <v>7.4550930410623606E-2</v>
      </c>
      <c r="P1706" s="14">
        <v>0.14333142153918699</v>
      </c>
      <c r="Q1706" t="str">
        <f t="shared" si="52"/>
        <v>15-24</v>
      </c>
      <c r="R1706" t="str">
        <f t="shared" si="53"/>
        <v>[ir8wuHHzoSs]|15-24|Male|PopART.Rt.T_1|CY2023Q3</v>
      </c>
    </row>
    <row r="1707" spans="4:18" x14ac:dyDescent="0.2">
      <c r="D1707" t="s">
        <v>80</v>
      </c>
      <c r="E1707" t="s">
        <v>81</v>
      </c>
      <c r="F1707" t="s">
        <v>82</v>
      </c>
      <c r="G1707" t="s">
        <v>144</v>
      </c>
      <c r="H1707" t="s">
        <v>144</v>
      </c>
      <c r="I1707" t="s">
        <v>40</v>
      </c>
      <c r="J1707" t="s">
        <v>41</v>
      </c>
      <c r="K1707" t="s">
        <v>47</v>
      </c>
      <c r="L1707" t="s">
        <v>48</v>
      </c>
      <c r="M1707" t="s">
        <v>139</v>
      </c>
      <c r="N1707">
        <v>1361</v>
      </c>
      <c r="O1707" s="14">
        <v>0.27160189044661798</v>
      </c>
      <c r="P1707" s="14">
        <v>0.14333142153918699</v>
      </c>
      <c r="Q1707" t="str">
        <f t="shared" si="52"/>
        <v>25-34</v>
      </c>
      <c r="R1707" t="str">
        <f t="shared" si="53"/>
        <v>[ir8wuHHzoSs]|25-34|Male|PopART.Rt.T_1|CY2023Q3</v>
      </c>
    </row>
    <row r="1708" spans="4:18" x14ac:dyDescent="0.2">
      <c r="D1708" t="s">
        <v>80</v>
      </c>
      <c r="E1708" t="s">
        <v>81</v>
      </c>
      <c r="F1708" t="s">
        <v>82</v>
      </c>
      <c r="G1708" t="s">
        <v>144</v>
      </c>
      <c r="H1708" t="s">
        <v>144</v>
      </c>
      <c r="I1708" t="s">
        <v>42</v>
      </c>
      <c r="J1708" t="s">
        <v>43</v>
      </c>
      <c r="K1708" t="s">
        <v>47</v>
      </c>
      <c r="L1708" t="s">
        <v>48</v>
      </c>
      <c r="M1708" t="s">
        <v>139</v>
      </c>
      <c r="N1708">
        <v>1800</v>
      </c>
      <c r="O1708" s="14">
        <v>0.260101679246873</v>
      </c>
      <c r="P1708" s="14">
        <v>0.14333142153918699</v>
      </c>
      <c r="Q1708" t="str">
        <f t="shared" si="52"/>
        <v>35-49</v>
      </c>
      <c r="R1708" t="str">
        <f t="shared" si="53"/>
        <v>[ir8wuHHzoSs]|35-49|Male|PopART.Rt.T_1|CY2023Q3</v>
      </c>
    </row>
    <row r="1709" spans="4:18" x14ac:dyDescent="0.2">
      <c r="D1709" t="s">
        <v>80</v>
      </c>
      <c r="E1709" t="s">
        <v>81</v>
      </c>
      <c r="F1709" t="s">
        <v>82</v>
      </c>
      <c r="G1709" t="s">
        <v>144</v>
      </c>
      <c r="H1709" t="s">
        <v>144</v>
      </c>
      <c r="I1709" t="s">
        <v>44</v>
      </c>
      <c r="J1709" t="s">
        <v>45</v>
      </c>
      <c r="K1709" t="s">
        <v>47</v>
      </c>
      <c r="L1709" t="s">
        <v>48</v>
      </c>
      <c r="M1709" t="s">
        <v>139</v>
      </c>
      <c r="N1709">
        <v>1036</v>
      </c>
      <c r="O1709" s="14">
        <v>0.37393248942680701</v>
      </c>
      <c r="P1709" s="14">
        <v>0.14333142153918699</v>
      </c>
      <c r="Q1709" t="str">
        <f t="shared" si="52"/>
        <v>50+</v>
      </c>
      <c r="R1709" t="str">
        <f t="shared" si="53"/>
        <v>[ir8wuHHzoSs]|50+|Male|PopART.Rt.T_1|CY2023Q3</v>
      </c>
    </row>
    <row r="1710" spans="4:18" x14ac:dyDescent="0.2">
      <c r="D1710" t="s">
        <v>83</v>
      </c>
      <c r="E1710" t="s">
        <v>84</v>
      </c>
      <c r="F1710" t="s">
        <v>85</v>
      </c>
      <c r="G1710" t="s">
        <v>144</v>
      </c>
      <c r="H1710" t="s">
        <v>144</v>
      </c>
      <c r="I1710" t="s">
        <v>27</v>
      </c>
      <c r="J1710" t="s">
        <v>28</v>
      </c>
      <c r="K1710" t="s">
        <v>29</v>
      </c>
      <c r="L1710" t="s">
        <v>30</v>
      </c>
      <c r="M1710" t="s">
        <v>139</v>
      </c>
      <c r="N1710">
        <v>1272</v>
      </c>
      <c r="O1710" s="14">
        <v>3.9849575841799399E-2</v>
      </c>
      <c r="P1710" s="14">
        <v>2.9788714367896301E-2</v>
      </c>
      <c r="Q1710" t="str">
        <f t="shared" si="52"/>
        <v>&lt;01</v>
      </c>
      <c r="R1710" t="str">
        <f t="shared" si="53"/>
        <v>[fyEoGEPERdI]|&lt;01|Female|PopART.Rt.T_1|CY2023Q3</v>
      </c>
    </row>
    <row r="1711" spans="4:18" x14ac:dyDescent="0.2">
      <c r="D1711" t="s">
        <v>83</v>
      </c>
      <c r="E1711" t="s">
        <v>84</v>
      </c>
      <c r="F1711" t="s">
        <v>85</v>
      </c>
      <c r="G1711" t="s">
        <v>144</v>
      </c>
      <c r="H1711" t="s">
        <v>144</v>
      </c>
      <c r="I1711" t="s">
        <v>32</v>
      </c>
      <c r="J1711" t="s">
        <v>33</v>
      </c>
      <c r="K1711" t="s">
        <v>29</v>
      </c>
      <c r="L1711" t="s">
        <v>30</v>
      </c>
      <c r="M1711" t="s">
        <v>139</v>
      </c>
      <c r="N1711">
        <v>1618</v>
      </c>
      <c r="O1711" s="14">
        <v>0.53919901093468103</v>
      </c>
      <c r="P1711" s="14">
        <v>2.9788714367896301E-2</v>
      </c>
      <c r="Q1711" t="str">
        <f t="shared" si="52"/>
        <v>01-09</v>
      </c>
      <c r="R1711" t="str">
        <f t="shared" si="53"/>
        <v>[fyEoGEPERdI]|01-09|Female|PopART.Rt.T_1|CY2023Q3</v>
      </c>
    </row>
    <row r="1712" spans="4:18" x14ac:dyDescent="0.2">
      <c r="D1712" t="s">
        <v>83</v>
      </c>
      <c r="E1712" t="s">
        <v>84</v>
      </c>
      <c r="F1712" t="s">
        <v>85</v>
      </c>
      <c r="G1712" t="s">
        <v>144</v>
      </c>
      <c r="H1712" t="s">
        <v>144</v>
      </c>
      <c r="I1712" t="s">
        <v>35</v>
      </c>
      <c r="J1712" t="s">
        <v>36</v>
      </c>
      <c r="K1712" t="s">
        <v>29</v>
      </c>
      <c r="L1712" t="s">
        <v>30</v>
      </c>
      <c r="M1712" t="s">
        <v>139</v>
      </c>
      <c r="N1712">
        <v>1522</v>
      </c>
      <c r="O1712" s="14">
        <v>0.55204105796292402</v>
      </c>
      <c r="P1712" s="14">
        <v>2.9788714367896301E-2</v>
      </c>
      <c r="Q1712" t="str">
        <f t="shared" si="52"/>
        <v>10-14</v>
      </c>
      <c r="R1712" t="str">
        <f t="shared" si="53"/>
        <v>[fyEoGEPERdI]|10-14|Female|PopART.Rt.T_1|CY2023Q3</v>
      </c>
    </row>
    <row r="1713" spans="4:18" x14ac:dyDescent="0.2">
      <c r="D1713" t="s">
        <v>83</v>
      </c>
      <c r="E1713" t="s">
        <v>84</v>
      </c>
      <c r="F1713" t="s">
        <v>85</v>
      </c>
      <c r="G1713" t="s">
        <v>144</v>
      </c>
      <c r="H1713" t="s">
        <v>144</v>
      </c>
      <c r="I1713" t="s">
        <v>37</v>
      </c>
      <c r="J1713" t="s">
        <v>38</v>
      </c>
      <c r="K1713" t="s">
        <v>29</v>
      </c>
      <c r="L1713" t="s">
        <v>30</v>
      </c>
      <c r="M1713" t="s">
        <v>139</v>
      </c>
      <c r="N1713">
        <v>654</v>
      </c>
      <c r="O1713" s="14">
        <v>0.92593461647629705</v>
      </c>
      <c r="P1713" s="14">
        <v>2.9788714367896301E-2</v>
      </c>
      <c r="Q1713" t="str">
        <f t="shared" si="52"/>
        <v>15-24</v>
      </c>
      <c r="R1713" t="str">
        <f t="shared" si="53"/>
        <v>[fyEoGEPERdI]|15-24|Female|PopART.Rt.T_1|CY2023Q3</v>
      </c>
    </row>
    <row r="1714" spans="4:18" x14ac:dyDescent="0.2">
      <c r="D1714" t="s">
        <v>83</v>
      </c>
      <c r="E1714" t="s">
        <v>84</v>
      </c>
      <c r="F1714" t="s">
        <v>85</v>
      </c>
      <c r="G1714" t="s">
        <v>144</v>
      </c>
      <c r="H1714" t="s">
        <v>144</v>
      </c>
      <c r="I1714" t="s">
        <v>40</v>
      </c>
      <c r="J1714" t="s">
        <v>41</v>
      </c>
      <c r="K1714" t="s">
        <v>29</v>
      </c>
      <c r="L1714" t="s">
        <v>30</v>
      </c>
      <c r="M1714" t="s">
        <v>139</v>
      </c>
      <c r="N1714">
        <v>1525</v>
      </c>
      <c r="O1714" s="14">
        <v>0.324429953237996</v>
      </c>
      <c r="P1714" s="14">
        <v>2.9788714367896301E-2</v>
      </c>
      <c r="Q1714" t="str">
        <f t="shared" si="52"/>
        <v>25-34</v>
      </c>
      <c r="R1714" t="str">
        <f t="shared" si="53"/>
        <v>[fyEoGEPERdI]|25-34|Female|PopART.Rt.T_1|CY2023Q3</v>
      </c>
    </row>
    <row r="1715" spans="4:18" x14ac:dyDescent="0.2">
      <c r="D1715" t="s">
        <v>83</v>
      </c>
      <c r="E1715" t="s">
        <v>84</v>
      </c>
      <c r="F1715" t="s">
        <v>85</v>
      </c>
      <c r="G1715" t="s">
        <v>144</v>
      </c>
      <c r="H1715" t="s">
        <v>144</v>
      </c>
      <c r="I1715" t="s">
        <v>42</v>
      </c>
      <c r="J1715" t="s">
        <v>43</v>
      </c>
      <c r="K1715" t="s">
        <v>29</v>
      </c>
      <c r="L1715" t="s">
        <v>30</v>
      </c>
      <c r="M1715" t="s">
        <v>139</v>
      </c>
      <c r="N1715">
        <v>1588</v>
      </c>
      <c r="O1715" s="14">
        <v>0.87246493389830004</v>
      </c>
      <c r="P1715" s="14">
        <v>2.9788714367896301E-2</v>
      </c>
      <c r="Q1715" t="str">
        <f t="shared" si="52"/>
        <v>35-49</v>
      </c>
      <c r="R1715" t="str">
        <f t="shared" si="53"/>
        <v>[fyEoGEPERdI]|35-49|Female|PopART.Rt.T_1|CY2023Q3</v>
      </c>
    </row>
    <row r="1716" spans="4:18" x14ac:dyDescent="0.2">
      <c r="D1716" t="s">
        <v>83</v>
      </c>
      <c r="E1716" t="s">
        <v>84</v>
      </c>
      <c r="F1716" t="s">
        <v>85</v>
      </c>
      <c r="G1716" t="s">
        <v>144</v>
      </c>
      <c r="H1716" t="s">
        <v>144</v>
      </c>
      <c r="I1716" t="s">
        <v>44</v>
      </c>
      <c r="J1716" t="s">
        <v>45</v>
      </c>
      <c r="K1716" t="s">
        <v>29</v>
      </c>
      <c r="L1716" t="s">
        <v>30</v>
      </c>
      <c r="M1716" t="s">
        <v>139</v>
      </c>
      <c r="N1716">
        <v>1194</v>
      </c>
      <c r="O1716" s="14">
        <v>0.98520952509716198</v>
      </c>
      <c r="P1716" s="14">
        <v>2.9788714367896301E-2</v>
      </c>
      <c r="Q1716" t="str">
        <f t="shared" si="52"/>
        <v>50+</v>
      </c>
      <c r="R1716" t="str">
        <f t="shared" si="53"/>
        <v>[fyEoGEPERdI]|50+|Female|PopART.Rt.T_1|CY2023Q3</v>
      </c>
    </row>
    <row r="1717" spans="4:18" x14ac:dyDescent="0.2">
      <c r="D1717" t="s">
        <v>83</v>
      </c>
      <c r="E1717" t="s">
        <v>84</v>
      </c>
      <c r="F1717" t="s">
        <v>85</v>
      </c>
      <c r="G1717" t="s">
        <v>144</v>
      </c>
      <c r="H1717" t="s">
        <v>144</v>
      </c>
      <c r="I1717" t="s">
        <v>27</v>
      </c>
      <c r="J1717" t="s">
        <v>28</v>
      </c>
      <c r="K1717" t="s">
        <v>47</v>
      </c>
      <c r="L1717" t="s">
        <v>48</v>
      </c>
      <c r="M1717" t="s">
        <v>139</v>
      </c>
      <c r="N1717">
        <v>892</v>
      </c>
      <c r="O1717" s="14">
        <v>0.243719130987301</v>
      </c>
      <c r="P1717" s="14">
        <v>2.9788714367896301E-2</v>
      </c>
      <c r="Q1717" t="str">
        <f t="shared" si="52"/>
        <v>&lt;01</v>
      </c>
      <c r="R1717" t="str">
        <f t="shared" si="53"/>
        <v>[fyEoGEPERdI]|&lt;01|Male|PopART.Rt.T_1|CY2023Q3</v>
      </c>
    </row>
    <row r="1718" spans="4:18" x14ac:dyDescent="0.2">
      <c r="D1718" t="s">
        <v>83</v>
      </c>
      <c r="E1718" t="s">
        <v>84</v>
      </c>
      <c r="F1718" t="s">
        <v>85</v>
      </c>
      <c r="G1718" t="s">
        <v>144</v>
      </c>
      <c r="H1718" t="s">
        <v>144</v>
      </c>
      <c r="I1718" t="s">
        <v>32</v>
      </c>
      <c r="J1718" t="s">
        <v>33</v>
      </c>
      <c r="K1718" t="s">
        <v>47</v>
      </c>
      <c r="L1718" t="s">
        <v>48</v>
      </c>
      <c r="M1718" t="s">
        <v>139</v>
      </c>
      <c r="N1718">
        <v>1864</v>
      </c>
      <c r="O1718" s="14">
        <v>0.30145471496507498</v>
      </c>
      <c r="P1718" s="14">
        <v>2.9788714367896301E-2</v>
      </c>
      <c r="Q1718" t="str">
        <f t="shared" si="52"/>
        <v>01-09</v>
      </c>
      <c r="R1718" t="str">
        <f t="shared" si="53"/>
        <v>[fyEoGEPERdI]|01-09|Male|PopART.Rt.T_1|CY2023Q3</v>
      </c>
    </row>
    <row r="1719" spans="4:18" x14ac:dyDescent="0.2">
      <c r="D1719" t="s">
        <v>83</v>
      </c>
      <c r="E1719" t="s">
        <v>84</v>
      </c>
      <c r="F1719" t="s">
        <v>85</v>
      </c>
      <c r="G1719" t="s">
        <v>144</v>
      </c>
      <c r="H1719" t="s">
        <v>144</v>
      </c>
      <c r="I1719" t="s">
        <v>35</v>
      </c>
      <c r="J1719" t="s">
        <v>36</v>
      </c>
      <c r="K1719" t="s">
        <v>47</v>
      </c>
      <c r="L1719" t="s">
        <v>48</v>
      </c>
      <c r="M1719" t="s">
        <v>139</v>
      </c>
      <c r="N1719">
        <v>1355</v>
      </c>
      <c r="O1719" s="14">
        <v>0.30510901194065798</v>
      </c>
      <c r="P1719" s="14">
        <v>2.9788714367896301E-2</v>
      </c>
      <c r="Q1719" t="str">
        <f t="shared" si="52"/>
        <v>10-14</v>
      </c>
      <c r="R1719" t="str">
        <f t="shared" si="53"/>
        <v>[fyEoGEPERdI]|10-14|Male|PopART.Rt.T_1|CY2023Q3</v>
      </c>
    </row>
    <row r="1720" spans="4:18" x14ac:dyDescent="0.2">
      <c r="D1720" t="s">
        <v>83</v>
      </c>
      <c r="E1720" t="s">
        <v>84</v>
      </c>
      <c r="F1720" t="s">
        <v>85</v>
      </c>
      <c r="G1720" t="s">
        <v>144</v>
      </c>
      <c r="H1720" t="s">
        <v>144</v>
      </c>
      <c r="I1720" t="s">
        <v>37</v>
      </c>
      <c r="J1720" t="s">
        <v>38</v>
      </c>
      <c r="K1720" t="s">
        <v>47</v>
      </c>
      <c r="L1720" t="s">
        <v>48</v>
      </c>
      <c r="M1720" t="s">
        <v>139</v>
      </c>
      <c r="N1720">
        <v>1449</v>
      </c>
      <c r="O1720" s="14">
        <v>0.62487753387540601</v>
      </c>
      <c r="P1720" s="14">
        <v>2.9788714367896301E-2</v>
      </c>
      <c r="Q1720" t="str">
        <f t="shared" si="52"/>
        <v>15-24</v>
      </c>
      <c r="R1720" t="str">
        <f t="shared" si="53"/>
        <v>[fyEoGEPERdI]|15-24|Male|PopART.Rt.T_1|CY2023Q3</v>
      </c>
    </row>
    <row r="1721" spans="4:18" x14ac:dyDescent="0.2">
      <c r="D1721" t="s">
        <v>83</v>
      </c>
      <c r="E1721" t="s">
        <v>84</v>
      </c>
      <c r="F1721" t="s">
        <v>85</v>
      </c>
      <c r="G1721" t="s">
        <v>144</v>
      </c>
      <c r="H1721" t="s">
        <v>144</v>
      </c>
      <c r="I1721" t="s">
        <v>40</v>
      </c>
      <c r="J1721" t="s">
        <v>41</v>
      </c>
      <c r="K1721" t="s">
        <v>47</v>
      </c>
      <c r="L1721" t="s">
        <v>48</v>
      </c>
      <c r="M1721" t="s">
        <v>139</v>
      </c>
      <c r="N1721">
        <v>1332</v>
      </c>
      <c r="O1721" s="14">
        <v>0.15310184354893899</v>
      </c>
      <c r="P1721" s="14">
        <v>2.9788714367896301E-2</v>
      </c>
      <c r="Q1721" t="str">
        <f t="shared" si="52"/>
        <v>25-34</v>
      </c>
      <c r="R1721" t="str">
        <f t="shared" si="53"/>
        <v>[fyEoGEPERdI]|25-34|Male|PopART.Rt.T_1|CY2023Q3</v>
      </c>
    </row>
    <row r="1722" spans="4:18" x14ac:dyDescent="0.2">
      <c r="D1722" t="s">
        <v>83</v>
      </c>
      <c r="E1722" t="s">
        <v>84</v>
      </c>
      <c r="F1722" t="s">
        <v>85</v>
      </c>
      <c r="G1722" t="s">
        <v>144</v>
      </c>
      <c r="H1722" t="s">
        <v>144</v>
      </c>
      <c r="I1722" t="s">
        <v>42</v>
      </c>
      <c r="J1722" t="s">
        <v>43</v>
      </c>
      <c r="K1722" t="s">
        <v>47</v>
      </c>
      <c r="L1722" t="s">
        <v>48</v>
      </c>
      <c r="M1722" t="s">
        <v>139</v>
      </c>
      <c r="N1722">
        <v>1946</v>
      </c>
      <c r="O1722" s="14">
        <v>0.40414734580554101</v>
      </c>
      <c r="P1722" s="14">
        <v>2.9788714367896301E-2</v>
      </c>
      <c r="Q1722" t="str">
        <f t="shared" si="52"/>
        <v>35-49</v>
      </c>
      <c r="R1722" t="str">
        <f t="shared" si="53"/>
        <v>[fyEoGEPERdI]|35-49|Male|PopART.Rt.T_1|CY2023Q3</v>
      </c>
    </row>
    <row r="1723" spans="4:18" x14ac:dyDescent="0.2">
      <c r="D1723" t="s">
        <v>83</v>
      </c>
      <c r="E1723" t="s">
        <v>84</v>
      </c>
      <c r="F1723" t="s">
        <v>85</v>
      </c>
      <c r="G1723" t="s">
        <v>144</v>
      </c>
      <c r="H1723" t="s">
        <v>144</v>
      </c>
      <c r="I1723" t="s">
        <v>44</v>
      </c>
      <c r="J1723" t="s">
        <v>45</v>
      </c>
      <c r="K1723" t="s">
        <v>47</v>
      </c>
      <c r="L1723" t="s">
        <v>48</v>
      </c>
      <c r="M1723" t="s">
        <v>139</v>
      </c>
      <c r="N1723">
        <v>794</v>
      </c>
      <c r="O1723" s="14">
        <v>0.40151263796724401</v>
      </c>
      <c r="P1723" s="14">
        <v>2.9788714367896301E-2</v>
      </c>
      <c r="Q1723" t="str">
        <f t="shared" si="52"/>
        <v>50+</v>
      </c>
      <c r="R1723" t="str">
        <f t="shared" si="53"/>
        <v>[fyEoGEPERdI]|50+|Male|PopART.Rt.T_1|CY2023Q3</v>
      </c>
    </row>
    <row r="1724" spans="4:18" x14ac:dyDescent="0.2">
      <c r="D1724" t="s">
        <v>86</v>
      </c>
      <c r="E1724" t="s">
        <v>87</v>
      </c>
      <c r="F1724" t="s">
        <v>88</v>
      </c>
      <c r="G1724" t="s">
        <v>144</v>
      </c>
      <c r="H1724" t="s">
        <v>144</v>
      </c>
      <c r="I1724" t="s">
        <v>27</v>
      </c>
      <c r="J1724" t="s">
        <v>28</v>
      </c>
      <c r="K1724" t="s">
        <v>29</v>
      </c>
      <c r="L1724" t="s">
        <v>30</v>
      </c>
      <c r="M1724" t="s">
        <v>139</v>
      </c>
      <c r="N1724">
        <v>1144</v>
      </c>
      <c r="O1724" s="14">
        <v>0.30988827091641702</v>
      </c>
      <c r="P1724" s="14">
        <v>0.13333638082258401</v>
      </c>
      <c r="Q1724" t="str">
        <f t="shared" si="52"/>
        <v>&lt;01</v>
      </c>
      <c r="R1724" t="str">
        <f t="shared" si="53"/>
        <v>[cPtvxaZqXIH]|&lt;01|Female|PopART.Rt.T_1|CY2023Q3</v>
      </c>
    </row>
    <row r="1725" spans="4:18" x14ac:dyDescent="0.2">
      <c r="D1725" t="s">
        <v>86</v>
      </c>
      <c r="E1725" t="s">
        <v>87</v>
      </c>
      <c r="F1725" t="s">
        <v>88</v>
      </c>
      <c r="G1725" t="s">
        <v>144</v>
      </c>
      <c r="H1725" t="s">
        <v>144</v>
      </c>
      <c r="I1725" t="s">
        <v>32</v>
      </c>
      <c r="J1725" t="s">
        <v>33</v>
      </c>
      <c r="K1725" t="s">
        <v>29</v>
      </c>
      <c r="L1725" t="s">
        <v>30</v>
      </c>
      <c r="M1725" t="s">
        <v>139</v>
      </c>
      <c r="N1725">
        <v>1171</v>
      </c>
      <c r="O1725" s="14">
        <v>0.191826183116063</v>
      </c>
      <c r="P1725" s="14">
        <v>0.13333638082258401</v>
      </c>
      <c r="Q1725" t="str">
        <f t="shared" si="52"/>
        <v>01-09</v>
      </c>
      <c r="R1725" t="str">
        <f t="shared" si="53"/>
        <v>[cPtvxaZqXIH]|01-09|Female|PopART.Rt.T_1|CY2023Q3</v>
      </c>
    </row>
    <row r="1726" spans="4:18" x14ac:dyDescent="0.2">
      <c r="D1726" t="s">
        <v>86</v>
      </c>
      <c r="E1726" t="s">
        <v>87</v>
      </c>
      <c r="F1726" t="s">
        <v>88</v>
      </c>
      <c r="G1726" t="s">
        <v>144</v>
      </c>
      <c r="H1726" t="s">
        <v>144</v>
      </c>
      <c r="I1726" t="s">
        <v>35</v>
      </c>
      <c r="J1726" t="s">
        <v>36</v>
      </c>
      <c r="K1726" t="s">
        <v>29</v>
      </c>
      <c r="L1726" t="s">
        <v>30</v>
      </c>
      <c r="M1726" t="s">
        <v>139</v>
      </c>
      <c r="N1726">
        <v>1487</v>
      </c>
      <c r="O1726" s="14">
        <v>0.90883298194967199</v>
      </c>
      <c r="P1726" s="14">
        <v>0.13333638082258401</v>
      </c>
      <c r="Q1726" t="str">
        <f t="shared" si="52"/>
        <v>10-14</v>
      </c>
      <c r="R1726" t="str">
        <f t="shared" si="53"/>
        <v>[cPtvxaZqXIH]|10-14|Female|PopART.Rt.T_1|CY2023Q3</v>
      </c>
    </row>
    <row r="1727" spans="4:18" x14ac:dyDescent="0.2">
      <c r="D1727" t="s">
        <v>86</v>
      </c>
      <c r="E1727" t="s">
        <v>87</v>
      </c>
      <c r="F1727" t="s">
        <v>88</v>
      </c>
      <c r="G1727" t="s">
        <v>144</v>
      </c>
      <c r="H1727" t="s">
        <v>144</v>
      </c>
      <c r="I1727" t="s">
        <v>37</v>
      </c>
      <c r="J1727" t="s">
        <v>38</v>
      </c>
      <c r="K1727" t="s">
        <v>29</v>
      </c>
      <c r="L1727" t="s">
        <v>30</v>
      </c>
      <c r="M1727" t="s">
        <v>139</v>
      </c>
      <c r="N1727">
        <v>1022</v>
      </c>
      <c r="O1727" s="14">
        <v>0.71186030795797695</v>
      </c>
      <c r="P1727" s="14">
        <v>0.13333638082258401</v>
      </c>
      <c r="Q1727" t="str">
        <f t="shared" si="52"/>
        <v>15-24</v>
      </c>
      <c r="R1727" t="str">
        <f t="shared" si="53"/>
        <v>[cPtvxaZqXIH]|15-24|Female|PopART.Rt.T_1|CY2023Q3</v>
      </c>
    </row>
    <row r="1728" spans="4:18" x14ac:dyDescent="0.2">
      <c r="D1728" t="s">
        <v>86</v>
      </c>
      <c r="E1728" t="s">
        <v>87</v>
      </c>
      <c r="F1728" t="s">
        <v>88</v>
      </c>
      <c r="G1728" t="s">
        <v>144</v>
      </c>
      <c r="H1728" t="s">
        <v>144</v>
      </c>
      <c r="I1728" t="s">
        <v>40</v>
      </c>
      <c r="J1728" t="s">
        <v>41</v>
      </c>
      <c r="K1728" t="s">
        <v>29</v>
      </c>
      <c r="L1728" t="s">
        <v>30</v>
      </c>
      <c r="M1728" t="s">
        <v>139</v>
      </c>
      <c r="N1728">
        <v>1236</v>
      </c>
      <c r="O1728" s="14">
        <v>0.24862272827886001</v>
      </c>
      <c r="P1728" s="14">
        <v>0.13333638082258401</v>
      </c>
      <c r="Q1728" t="str">
        <f t="shared" si="52"/>
        <v>25-34</v>
      </c>
      <c r="R1728" t="str">
        <f t="shared" si="53"/>
        <v>[cPtvxaZqXIH]|25-34|Female|PopART.Rt.T_1|CY2023Q3</v>
      </c>
    </row>
    <row r="1729" spans="4:18" x14ac:dyDescent="0.2">
      <c r="D1729" t="s">
        <v>86</v>
      </c>
      <c r="E1729" t="s">
        <v>87</v>
      </c>
      <c r="F1729" t="s">
        <v>88</v>
      </c>
      <c r="G1729" t="s">
        <v>144</v>
      </c>
      <c r="H1729" t="s">
        <v>144</v>
      </c>
      <c r="I1729" t="s">
        <v>42</v>
      </c>
      <c r="J1729" t="s">
        <v>43</v>
      </c>
      <c r="K1729" t="s">
        <v>29</v>
      </c>
      <c r="L1729" t="s">
        <v>30</v>
      </c>
      <c r="M1729" t="s">
        <v>139</v>
      </c>
      <c r="N1729">
        <v>1838</v>
      </c>
      <c r="O1729" s="14">
        <v>4.0784579236060402E-2</v>
      </c>
      <c r="P1729" s="14">
        <v>0.13333638082258401</v>
      </c>
      <c r="Q1729" t="str">
        <f t="shared" si="52"/>
        <v>35-49</v>
      </c>
      <c r="R1729" t="str">
        <f t="shared" si="53"/>
        <v>[cPtvxaZqXIH]|35-49|Female|PopART.Rt.T_1|CY2023Q3</v>
      </c>
    </row>
    <row r="1730" spans="4:18" x14ac:dyDescent="0.2">
      <c r="D1730" t="s">
        <v>86</v>
      </c>
      <c r="E1730" t="s">
        <v>87</v>
      </c>
      <c r="F1730" t="s">
        <v>88</v>
      </c>
      <c r="G1730" t="s">
        <v>144</v>
      </c>
      <c r="H1730" t="s">
        <v>144</v>
      </c>
      <c r="I1730" t="s">
        <v>44</v>
      </c>
      <c r="J1730" t="s">
        <v>45</v>
      </c>
      <c r="K1730" t="s">
        <v>29</v>
      </c>
      <c r="L1730" t="s">
        <v>30</v>
      </c>
      <c r="M1730" t="s">
        <v>139</v>
      </c>
      <c r="N1730">
        <v>1027</v>
      </c>
      <c r="O1730" s="14">
        <v>0.983346610330045</v>
      </c>
      <c r="P1730" s="14">
        <v>0.13333638082258401</v>
      </c>
      <c r="Q1730" t="str">
        <f t="shared" ref="Q1730:Q1793" si="54">SUBSTITUTE(SUBSTITUTE($I1730,CHAR(61),""),CHAR(34),"")</f>
        <v>50+</v>
      </c>
      <c r="R1730" t="str">
        <f t="shared" ref="R1730:R1793" si="55">IF($D1730&lt;&gt;"","["&amp;$E1730&amp;"]"&amp;"|"&amp;$Q1730&amp;"|"&amp;$K1730&amp;"|"&amp;$G1730&amp;"|"&amp;IF($G1730="TX_CURR_SUBNAT.R","CY2022Q4",$M1730),"")</f>
        <v>[cPtvxaZqXIH]|50+|Female|PopART.Rt.T_1|CY2023Q3</v>
      </c>
    </row>
    <row r="1731" spans="4:18" x14ac:dyDescent="0.2">
      <c r="D1731" t="s">
        <v>86</v>
      </c>
      <c r="E1731" t="s">
        <v>87</v>
      </c>
      <c r="F1731" t="s">
        <v>88</v>
      </c>
      <c r="G1731" t="s">
        <v>144</v>
      </c>
      <c r="H1731" t="s">
        <v>144</v>
      </c>
      <c r="I1731" t="s">
        <v>27</v>
      </c>
      <c r="J1731" t="s">
        <v>28</v>
      </c>
      <c r="K1731" t="s">
        <v>47</v>
      </c>
      <c r="L1731" t="s">
        <v>48</v>
      </c>
      <c r="M1731" t="s">
        <v>139</v>
      </c>
      <c r="N1731">
        <v>1489</v>
      </c>
      <c r="O1731" s="14">
        <v>0.972548971418291</v>
      </c>
      <c r="P1731" s="14">
        <v>0.13333638082258401</v>
      </c>
      <c r="Q1731" t="str">
        <f t="shared" si="54"/>
        <v>&lt;01</v>
      </c>
      <c r="R1731" t="str">
        <f t="shared" si="55"/>
        <v>[cPtvxaZqXIH]|&lt;01|Male|PopART.Rt.T_1|CY2023Q3</v>
      </c>
    </row>
    <row r="1732" spans="4:18" x14ac:dyDescent="0.2">
      <c r="D1732" t="s">
        <v>86</v>
      </c>
      <c r="E1732" t="s">
        <v>87</v>
      </c>
      <c r="F1732" t="s">
        <v>88</v>
      </c>
      <c r="G1732" t="s">
        <v>144</v>
      </c>
      <c r="H1732" t="s">
        <v>144</v>
      </c>
      <c r="I1732" t="s">
        <v>32</v>
      </c>
      <c r="J1732" t="s">
        <v>33</v>
      </c>
      <c r="K1732" t="s">
        <v>47</v>
      </c>
      <c r="L1732" t="s">
        <v>48</v>
      </c>
      <c r="M1732" t="s">
        <v>139</v>
      </c>
      <c r="N1732">
        <v>1417</v>
      </c>
      <c r="O1732" s="14">
        <v>8.4415340563282398E-2</v>
      </c>
      <c r="P1732" s="14">
        <v>0.13333638082258401</v>
      </c>
      <c r="Q1732" t="str">
        <f t="shared" si="54"/>
        <v>01-09</v>
      </c>
      <c r="R1732" t="str">
        <f t="shared" si="55"/>
        <v>[cPtvxaZqXIH]|01-09|Male|PopART.Rt.T_1|CY2023Q3</v>
      </c>
    </row>
    <row r="1733" spans="4:18" x14ac:dyDescent="0.2">
      <c r="D1733" t="s">
        <v>86</v>
      </c>
      <c r="E1733" t="s">
        <v>87</v>
      </c>
      <c r="F1733" t="s">
        <v>88</v>
      </c>
      <c r="G1733" t="s">
        <v>144</v>
      </c>
      <c r="H1733" t="s">
        <v>144</v>
      </c>
      <c r="I1733" t="s">
        <v>35</v>
      </c>
      <c r="J1733" t="s">
        <v>36</v>
      </c>
      <c r="K1733" t="s">
        <v>47</v>
      </c>
      <c r="L1733" t="s">
        <v>48</v>
      </c>
      <c r="M1733" t="s">
        <v>139</v>
      </c>
      <c r="N1733">
        <v>1518</v>
      </c>
      <c r="O1733" s="14">
        <v>0.70292572095058903</v>
      </c>
      <c r="P1733" s="14">
        <v>0.13333638082258401</v>
      </c>
      <c r="Q1733" t="str">
        <f t="shared" si="54"/>
        <v>10-14</v>
      </c>
      <c r="R1733" t="str">
        <f t="shared" si="55"/>
        <v>[cPtvxaZqXIH]|10-14|Male|PopART.Rt.T_1|CY2023Q3</v>
      </c>
    </row>
    <row r="1734" spans="4:18" x14ac:dyDescent="0.2">
      <c r="D1734" t="s">
        <v>86</v>
      </c>
      <c r="E1734" t="s">
        <v>87</v>
      </c>
      <c r="F1734" t="s">
        <v>88</v>
      </c>
      <c r="G1734" t="s">
        <v>144</v>
      </c>
      <c r="H1734" t="s">
        <v>144</v>
      </c>
      <c r="I1734" t="s">
        <v>37</v>
      </c>
      <c r="J1734" t="s">
        <v>38</v>
      </c>
      <c r="K1734" t="s">
        <v>47</v>
      </c>
      <c r="L1734" t="s">
        <v>48</v>
      </c>
      <c r="M1734" t="s">
        <v>139</v>
      </c>
      <c r="N1734">
        <v>569</v>
      </c>
      <c r="O1734" s="14">
        <v>0.888811340555549</v>
      </c>
      <c r="P1734" s="14">
        <v>0.13333638082258401</v>
      </c>
      <c r="Q1734" t="str">
        <f t="shared" si="54"/>
        <v>15-24</v>
      </c>
      <c r="R1734" t="str">
        <f t="shared" si="55"/>
        <v>[cPtvxaZqXIH]|15-24|Male|PopART.Rt.T_1|CY2023Q3</v>
      </c>
    </row>
    <row r="1735" spans="4:18" x14ac:dyDescent="0.2">
      <c r="D1735" t="s">
        <v>86</v>
      </c>
      <c r="E1735" t="s">
        <v>87</v>
      </c>
      <c r="F1735" t="s">
        <v>88</v>
      </c>
      <c r="G1735" t="s">
        <v>144</v>
      </c>
      <c r="H1735" t="s">
        <v>144</v>
      </c>
      <c r="I1735" t="s">
        <v>40</v>
      </c>
      <c r="J1735" t="s">
        <v>41</v>
      </c>
      <c r="K1735" t="s">
        <v>47</v>
      </c>
      <c r="L1735" t="s">
        <v>48</v>
      </c>
      <c r="M1735" t="s">
        <v>139</v>
      </c>
      <c r="N1735">
        <v>751</v>
      </c>
      <c r="O1735" s="14">
        <v>0.385553776519373</v>
      </c>
      <c r="P1735" s="14">
        <v>0.13333638082258401</v>
      </c>
      <c r="Q1735" t="str">
        <f t="shared" si="54"/>
        <v>25-34</v>
      </c>
      <c r="R1735" t="str">
        <f t="shared" si="55"/>
        <v>[cPtvxaZqXIH]|25-34|Male|PopART.Rt.T_1|CY2023Q3</v>
      </c>
    </row>
    <row r="1736" spans="4:18" x14ac:dyDescent="0.2">
      <c r="D1736" t="s">
        <v>86</v>
      </c>
      <c r="E1736" t="s">
        <v>87</v>
      </c>
      <c r="F1736" t="s">
        <v>88</v>
      </c>
      <c r="G1736" t="s">
        <v>144</v>
      </c>
      <c r="H1736" t="s">
        <v>144</v>
      </c>
      <c r="I1736" t="s">
        <v>42</v>
      </c>
      <c r="J1736" t="s">
        <v>43</v>
      </c>
      <c r="K1736" t="s">
        <v>47</v>
      </c>
      <c r="L1736" t="s">
        <v>48</v>
      </c>
      <c r="M1736" t="s">
        <v>139</v>
      </c>
      <c r="N1736">
        <v>771</v>
      </c>
      <c r="O1736" s="14">
        <v>0.62255160743370697</v>
      </c>
      <c r="P1736" s="14">
        <v>0.13333638082258401</v>
      </c>
      <c r="Q1736" t="str">
        <f t="shared" si="54"/>
        <v>35-49</v>
      </c>
      <c r="R1736" t="str">
        <f t="shared" si="55"/>
        <v>[cPtvxaZqXIH]|35-49|Male|PopART.Rt.T_1|CY2023Q3</v>
      </c>
    </row>
    <row r="1737" spans="4:18" x14ac:dyDescent="0.2">
      <c r="D1737" t="s">
        <v>86</v>
      </c>
      <c r="E1737" t="s">
        <v>87</v>
      </c>
      <c r="F1737" t="s">
        <v>88</v>
      </c>
      <c r="G1737" t="s">
        <v>144</v>
      </c>
      <c r="H1737" t="s">
        <v>144</v>
      </c>
      <c r="I1737" t="s">
        <v>44</v>
      </c>
      <c r="J1737" t="s">
        <v>45</v>
      </c>
      <c r="K1737" t="s">
        <v>47</v>
      </c>
      <c r="L1737" t="s">
        <v>48</v>
      </c>
      <c r="M1737" t="s">
        <v>139</v>
      </c>
      <c r="N1737">
        <v>1897</v>
      </c>
      <c r="O1737" s="14">
        <v>1.4919021632522299E-2</v>
      </c>
      <c r="P1737" s="14">
        <v>0.13333638082258401</v>
      </c>
      <c r="Q1737" t="str">
        <f t="shared" si="54"/>
        <v>50+</v>
      </c>
      <c r="R1737" t="str">
        <f t="shared" si="55"/>
        <v>[cPtvxaZqXIH]|50+|Male|PopART.Rt.T_1|CY2023Q3</v>
      </c>
    </row>
    <row r="1738" spans="4:18" x14ac:dyDescent="0.2">
      <c r="D1738" t="s">
        <v>89</v>
      </c>
      <c r="E1738" t="s">
        <v>90</v>
      </c>
      <c r="F1738" t="s">
        <v>91</v>
      </c>
      <c r="G1738" t="s">
        <v>144</v>
      </c>
      <c r="H1738" t="s">
        <v>144</v>
      </c>
      <c r="I1738" t="s">
        <v>27</v>
      </c>
      <c r="J1738" t="s">
        <v>28</v>
      </c>
      <c r="K1738" t="s">
        <v>29</v>
      </c>
      <c r="L1738" t="s">
        <v>30</v>
      </c>
      <c r="M1738" t="s">
        <v>139</v>
      </c>
      <c r="N1738">
        <v>1004</v>
      </c>
      <c r="O1738" s="14">
        <v>0.37248220224864798</v>
      </c>
      <c r="P1738" s="14">
        <v>0.71991415042430196</v>
      </c>
      <c r="Q1738" t="str">
        <f t="shared" si="54"/>
        <v>&lt;01</v>
      </c>
      <c r="R1738" t="str">
        <f t="shared" si="55"/>
        <v>[AZyWpGzhcaA]|&lt;01|Female|PopART.Rt.T_1|CY2023Q3</v>
      </c>
    </row>
    <row r="1739" spans="4:18" x14ac:dyDescent="0.2">
      <c r="D1739" t="s">
        <v>89</v>
      </c>
      <c r="E1739" t="s">
        <v>90</v>
      </c>
      <c r="F1739" t="s">
        <v>91</v>
      </c>
      <c r="G1739" t="s">
        <v>144</v>
      </c>
      <c r="H1739" t="s">
        <v>144</v>
      </c>
      <c r="I1739" t="s">
        <v>32</v>
      </c>
      <c r="J1739" t="s">
        <v>33</v>
      </c>
      <c r="K1739" t="s">
        <v>29</v>
      </c>
      <c r="L1739" t="s">
        <v>30</v>
      </c>
      <c r="M1739" t="s">
        <v>139</v>
      </c>
      <c r="N1739">
        <v>1930</v>
      </c>
      <c r="O1739" s="14">
        <v>0.26636087778024398</v>
      </c>
      <c r="P1739" s="14">
        <v>0.71991415042430196</v>
      </c>
      <c r="Q1739" t="str">
        <f t="shared" si="54"/>
        <v>01-09</v>
      </c>
      <c r="R1739" t="str">
        <f t="shared" si="55"/>
        <v>[AZyWpGzhcaA]|01-09|Female|PopART.Rt.T_1|CY2023Q3</v>
      </c>
    </row>
    <row r="1740" spans="4:18" x14ac:dyDescent="0.2">
      <c r="D1740" t="s">
        <v>89</v>
      </c>
      <c r="E1740" t="s">
        <v>90</v>
      </c>
      <c r="F1740" t="s">
        <v>91</v>
      </c>
      <c r="G1740" t="s">
        <v>144</v>
      </c>
      <c r="H1740" t="s">
        <v>144</v>
      </c>
      <c r="I1740" t="s">
        <v>35</v>
      </c>
      <c r="J1740" t="s">
        <v>36</v>
      </c>
      <c r="K1740" t="s">
        <v>29</v>
      </c>
      <c r="L1740" t="s">
        <v>30</v>
      </c>
      <c r="M1740" t="s">
        <v>139</v>
      </c>
      <c r="N1740">
        <v>858</v>
      </c>
      <c r="O1740" s="14">
        <v>0.83739594416692897</v>
      </c>
      <c r="P1740" s="14">
        <v>0.71991415042430196</v>
      </c>
      <c r="Q1740" t="str">
        <f t="shared" si="54"/>
        <v>10-14</v>
      </c>
      <c r="R1740" t="str">
        <f t="shared" si="55"/>
        <v>[AZyWpGzhcaA]|10-14|Female|PopART.Rt.T_1|CY2023Q3</v>
      </c>
    </row>
    <row r="1741" spans="4:18" x14ac:dyDescent="0.2">
      <c r="D1741" t="s">
        <v>89</v>
      </c>
      <c r="E1741" t="s">
        <v>90</v>
      </c>
      <c r="F1741" t="s">
        <v>91</v>
      </c>
      <c r="G1741" t="s">
        <v>144</v>
      </c>
      <c r="H1741" t="s">
        <v>144</v>
      </c>
      <c r="I1741" t="s">
        <v>37</v>
      </c>
      <c r="J1741" t="s">
        <v>38</v>
      </c>
      <c r="K1741" t="s">
        <v>29</v>
      </c>
      <c r="L1741" t="s">
        <v>30</v>
      </c>
      <c r="M1741" t="s">
        <v>139</v>
      </c>
      <c r="N1741">
        <v>515</v>
      </c>
      <c r="O1741" s="14">
        <v>0.93171702907420695</v>
      </c>
      <c r="P1741" s="14">
        <v>0.71991415042430196</v>
      </c>
      <c r="Q1741" t="str">
        <f t="shared" si="54"/>
        <v>15-24</v>
      </c>
      <c r="R1741" t="str">
        <f t="shared" si="55"/>
        <v>[AZyWpGzhcaA]|15-24|Female|PopART.Rt.T_1|CY2023Q3</v>
      </c>
    </row>
    <row r="1742" spans="4:18" x14ac:dyDescent="0.2">
      <c r="D1742" t="s">
        <v>89</v>
      </c>
      <c r="E1742" t="s">
        <v>90</v>
      </c>
      <c r="F1742" t="s">
        <v>91</v>
      </c>
      <c r="G1742" t="s">
        <v>144</v>
      </c>
      <c r="H1742" t="s">
        <v>144</v>
      </c>
      <c r="I1742" t="s">
        <v>40</v>
      </c>
      <c r="J1742" t="s">
        <v>41</v>
      </c>
      <c r="K1742" t="s">
        <v>29</v>
      </c>
      <c r="L1742" t="s">
        <v>30</v>
      </c>
      <c r="M1742" t="s">
        <v>139</v>
      </c>
      <c r="N1742">
        <v>1966</v>
      </c>
      <c r="O1742" s="14">
        <v>0.17418355168774699</v>
      </c>
      <c r="P1742" s="14">
        <v>0.71991415042430196</v>
      </c>
      <c r="Q1742" t="str">
        <f t="shared" si="54"/>
        <v>25-34</v>
      </c>
      <c r="R1742" t="str">
        <f t="shared" si="55"/>
        <v>[AZyWpGzhcaA]|25-34|Female|PopART.Rt.T_1|CY2023Q3</v>
      </c>
    </row>
    <row r="1743" spans="4:18" x14ac:dyDescent="0.2">
      <c r="D1743" t="s">
        <v>89</v>
      </c>
      <c r="E1743" t="s">
        <v>90</v>
      </c>
      <c r="F1743" t="s">
        <v>91</v>
      </c>
      <c r="G1743" t="s">
        <v>144</v>
      </c>
      <c r="H1743" t="s">
        <v>144</v>
      </c>
      <c r="I1743" t="s">
        <v>42</v>
      </c>
      <c r="J1743" t="s">
        <v>43</v>
      </c>
      <c r="K1743" t="s">
        <v>29</v>
      </c>
      <c r="L1743" t="s">
        <v>30</v>
      </c>
      <c r="M1743" t="s">
        <v>139</v>
      </c>
      <c r="N1743">
        <v>643</v>
      </c>
      <c r="O1743" s="14">
        <v>0.76782764261588499</v>
      </c>
      <c r="P1743" s="14">
        <v>0.71991415042430196</v>
      </c>
      <c r="Q1743" t="str">
        <f t="shared" si="54"/>
        <v>35-49</v>
      </c>
      <c r="R1743" t="str">
        <f t="shared" si="55"/>
        <v>[AZyWpGzhcaA]|35-49|Female|PopART.Rt.T_1|CY2023Q3</v>
      </c>
    </row>
    <row r="1744" spans="4:18" x14ac:dyDescent="0.2">
      <c r="D1744" t="s">
        <v>89</v>
      </c>
      <c r="E1744" t="s">
        <v>90</v>
      </c>
      <c r="F1744" t="s">
        <v>91</v>
      </c>
      <c r="G1744" t="s">
        <v>144</v>
      </c>
      <c r="H1744" t="s">
        <v>144</v>
      </c>
      <c r="I1744" t="s">
        <v>44</v>
      </c>
      <c r="J1744" t="s">
        <v>45</v>
      </c>
      <c r="K1744" t="s">
        <v>29</v>
      </c>
      <c r="L1744" t="s">
        <v>30</v>
      </c>
      <c r="M1744" t="s">
        <v>139</v>
      </c>
      <c r="N1744">
        <v>660</v>
      </c>
      <c r="O1744" s="14">
        <v>2.3909237701445801E-2</v>
      </c>
      <c r="P1744" s="14">
        <v>0.71991415042430196</v>
      </c>
      <c r="Q1744" t="str">
        <f t="shared" si="54"/>
        <v>50+</v>
      </c>
      <c r="R1744" t="str">
        <f t="shared" si="55"/>
        <v>[AZyWpGzhcaA]|50+|Female|PopART.Rt.T_1|CY2023Q3</v>
      </c>
    </row>
    <row r="1745" spans="4:18" x14ac:dyDescent="0.2">
      <c r="D1745" t="s">
        <v>89</v>
      </c>
      <c r="E1745" t="s">
        <v>90</v>
      </c>
      <c r="F1745" t="s">
        <v>91</v>
      </c>
      <c r="G1745" t="s">
        <v>144</v>
      </c>
      <c r="H1745" t="s">
        <v>144</v>
      </c>
      <c r="I1745" t="s">
        <v>27</v>
      </c>
      <c r="J1745" t="s">
        <v>28</v>
      </c>
      <c r="K1745" t="s">
        <v>47</v>
      </c>
      <c r="L1745" t="s">
        <v>48</v>
      </c>
      <c r="M1745" t="s">
        <v>139</v>
      </c>
      <c r="N1745">
        <v>1982</v>
      </c>
      <c r="O1745" s="14">
        <v>0.330226194346324</v>
      </c>
      <c r="P1745" s="14">
        <v>0.71991415042430196</v>
      </c>
      <c r="Q1745" t="str">
        <f t="shared" si="54"/>
        <v>&lt;01</v>
      </c>
      <c r="R1745" t="str">
        <f t="shared" si="55"/>
        <v>[AZyWpGzhcaA]|&lt;01|Male|PopART.Rt.T_1|CY2023Q3</v>
      </c>
    </row>
    <row r="1746" spans="4:18" x14ac:dyDescent="0.2">
      <c r="D1746" t="s">
        <v>89</v>
      </c>
      <c r="E1746" t="s">
        <v>90</v>
      </c>
      <c r="F1746" t="s">
        <v>91</v>
      </c>
      <c r="G1746" t="s">
        <v>144</v>
      </c>
      <c r="H1746" t="s">
        <v>144</v>
      </c>
      <c r="I1746" t="s">
        <v>32</v>
      </c>
      <c r="J1746" t="s">
        <v>33</v>
      </c>
      <c r="K1746" t="s">
        <v>47</v>
      </c>
      <c r="L1746" t="s">
        <v>48</v>
      </c>
      <c r="M1746" t="s">
        <v>139</v>
      </c>
      <c r="N1746">
        <v>517</v>
      </c>
      <c r="O1746" s="14">
        <v>0.90758826187811803</v>
      </c>
      <c r="P1746" s="14">
        <v>0.71991415042430196</v>
      </c>
      <c r="Q1746" t="str">
        <f t="shared" si="54"/>
        <v>01-09</v>
      </c>
      <c r="R1746" t="str">
        <f t="shared" si="55"/>
        <v>[AZyWpGzhcaA]|01-09|Male|PopART.Rt.T_1|CY2023Q3</v>
      </c>
    </row>
    <row r="1747" spans="4:18" x14ac:dyDescent="0.2">
      <c r="D1747" t="s">
        <v>89</v>
      </c>
      <c r="E1747" t="s">
        <v>90</v>
      </c>
      <c r="F1747" t="s">
        <v>91</v>
      </c>
      <c r="G1747" t="s">
        <v>144</v>
      </c>
      <c r="H1747" t="s">
        <v>144</v>
      </c>
      <c r="I1747" t="s">
        <v>35</v>
      </c>
      <c r="J1747" t="s">
        <v>36</v>
      </c>
      <c r="K1747" t="s">
        <v>47</v>
      </c>
      <c r="L1747" t="s">
        <v>48</v>
      </c>
      <c r="M1747" t="s">
        <v>139</v>
      </c>
      <c r="N1747">
        <v>1896</v>
      </c>
      <c r="O1747" s="14">
        <v>1.95776345208287E-2</v>
      </c>
      <c r="P1747" s="14">
        <v>0.71991415042430196</v>
      </c>
      <c r="Q1747" t="str">
        <f t="shared" si="54"/>
        <v>10-14</v>
      </c>
      <c r="R1747" t="str">
        <f t="shared" si="55"/>
        <v>[AZyWpGzhcaA]|10-14|Male|PopART.Rt.T_1|CY2023Q3</v>
      </c>
    </row>
    <row r="1748" spans="4:18" x14ac:dyDescent="0.2">
      <c r="D1748" t="s">
        <v>89</v>
      </c>
      <c r="E1748" t="s">
        <v>90</v>
      </c>
      <c r="F1748" t="s">
        <v>91</v>
      </c>
      <c r="G1748" t="s">
        <v>144</v>
      </c>
      <c r="H1748" t="s">
        <v>144</v>
      </c>
      <c r="I1748" t="s">
        <v>37</v>
      </c>
      <c r="J1748" t="s">
        <v>38</v>
      </c>
      <c r="K1748" t="s">
        <v>47</v>
      </c>
      <c r="L1748" t="s">
        <v>48</v>
      </c>
      <c r="M1748" t="s">
        <v>139</v>
      </c>
      <c r="N1748">
        <v>1031</v>
      </c>
      <c r="O1748" s="14">
        <v>0.81236574519425597</v>
      </c>
      <c r="P1748" s="14">
        <v>0.71991415042430196</v>
      </c>
      <c r="Q1748" t="str">
        <f t="shared" si="54"/>
        <v>15-24</v>
      </c>
      <c r="R1748" t="str">
        <f t="shared" si="55"/>
        <v>[AZyWpGzhcaA]|15-24|Male|PopART.Rt.T_1|CY2023Q3</v>
      </c>
    </row>
    <row r="1749" spans="4:18" x14ac:dyDescent="0.2">
      <c r="D1749" t="s">
        <v>89</v>
      </c>
      <c r="E1749" t="s">
        <v>90</v>
      </c>
      <c r="F1749" t="s">
        <v>91</v>
      </c>
      <c r="G1749" t="s">
        <v>144</v>
      </c>
      <c r="H1749" t="s">
        <v>144</v>
      </c>
      <c r="I1749" t="s">
        <v>40</v>
      </c>
      <c r="J1749" t="s">
        <v>41</v>
      </c>
      <c r="K1749" t="s">
        <v>47</v>
      </c>
      <c r="L1749" t="s">
        <v>48</v>
      </c>
      <c r="M1749" t="s">
        <v>139</v>
      </c>
      <c r="N1749">
        <v>1376</v>
      </c>
      <c r="O1749" s="14">
        <v>0.24862549779936699</v>
      </c>
      <c r="P1749" s="14">
        <v>0.71991415042430196</v>
      </c>
      <c r="Q1749" t="str">
        <f t="shared" si="54"/>
        <v>25-34</v>
      </c>
      <c r="R1749" t="str">
        <f t="shared" si="55"/>
        <v>[AZyWpGzhcaA]|25-34|Male|PopART.Rt.T_1|CY2023Q3</v>
      </c>
    </row>
    <row r="1750" spans="4:18" x14ac:dyDescent="0.2">
      <c r="D1750" t="s">
        <v>89</v>
      </c>
      <c r="E1750" t="s">
        <v>90</v>
      </c>
      <c r="F1750" t="s">
        <v>91</v>
      </c>
      <c r="G1750" t="s">
        <v>144</v>
      </c>
      <c r="H1750" t="s">
        <v>144</v>
      </c>
      <c r="I1750" t="s">
        <v>42</v>
      </c>
      <c r="J1750" t="s">
        <v>43</v>
      </c>
      <c r="K1750" t="s">
        <v>47</v>
      </c>
      <c r="L1750" t="s">
        <v>48</v>
      </c>
      <c r="M1750" t="s">
        <v>139</v>
      </c>
      <c r="N1750">
        <v>1029</v>
      </c>
      <c r="O1750" s="14">
        <v>0.35657452559098601</v>
      </c>
      <c r="P1750" s="14">
        <v>0.71991415042430196</v>
      </c>
      <c r="Q1750" t="str">
        <f t="shared" si="54"/>
        <v>35-49</v>
      </c>
      <c r="R1750" t="str">
        <f t="shared" si="55"/>
        <v>[AZyWpGzhcaA]|35-49|Male|PopART.Rt.T_1|CY2023Q3</v>
      </c>
    </row>
    <row r="1751" spans="4:18" x14ac:dyDescent="0.2">
      <c r="D1751" t="s">
        <v>89</v>
      </c>
      <c r="E1751" t="s">
        <v>90</v>
      </c>
      <c r="F1751" t="s">
        <v>91</v>
      </c>
      <c r="G1751" t="s">
        <v>144</v>
      </c>
      <c r="H1751" t="s">
        <v>144</v>
      </c>
      <c r="I1751" t="s">
        <v>44</v>
      </c>
      <c r="J1751" t="s">
        <v>45</v>
      </c>
      <c r="K1751" t="s">
        <v>47</v>
      </c>
      <c r="L1751" t="s">
        <v>48</v>
      </c>
      <c r="M1751" t="s">
        <v>139</v>
      </c>
      <c r="N1751">
        <v>1796</v>
      </c>
      <c r="O1751" s="14">
        <v>0.80124261183664203</v>
      </c>
      <c r="P1751" s="14">
        <v>0.71991415042430196</v>
      </c>
      <c r="Q1751" t="str">
        <f t="shared" si="54"/>
        <v>50+</v>
      </c>
      <c r="R1751" t="str">
        <f t="shared" si="55"/>
        <v>[AZyWpGzhcaA]|50+|Male|PopART.Rt.T_1|CY2023Q3</v>
      </c>
    </row>
    <row r="1752" spans="4:18" x14ac:dyDescent="0.2">
      <c r="D1752" t="s">
        <v>92</v>
      </c>
      <c r="E1752" t="s">
        <v>93</v>
      </c>
      <c r="F1752" t="s">
        <v>94</v>
      </c>
      <c r="G1752" t="s">
        <v>144</v>
      </c>
      <c r="H1752" t="s">
        <v>144</v>
      </c>
      <c r="I1752" t="s">
        <v>27</v>
      </c>
      <c r="J1752" t="s">
        <v>28</v>
      </c>
      <c r="K1752" t="s">
        <v>29</v>
      </c>
      <c r="L1752" t="s">
        <v>30</v>
      </c>
      <c r="M1752" t="s">
        <v>139</v>
      </c>
      <c r="N1752">
        <v>921</v>
      </c>
      <c r="O1752" s="14">
        <v>0.47374446736648701</v>
      </c>
      <c r="P1752" s="14">
        <v>0.36227229656651599</v>
      </c>
      <c r="Q1752" t="str">
        <f t="shared" si="54"/>
        <v>&lt;01</v>
      </c>
      <c r="R1752" t="str">
        <f t="shared" si="55"/>
        <v>[umc2n1Z4wNv]|&lt;01|Female|PopART.Rt.T_1|CY2023Q3</v>
      </c>
    </row>
    <row r="1753" spans="4:18" x14ac:dyDescent="0.2">
      <c r="D1753" t="s">
        <v>92</v>
      </c>
      <c r="E1753" t="s">
        <v>93</v>
      </c>
      <c r="F1753" t="s">
        <v>94</v>
      </c>
      <c r="G1753" t="s">
        <v>144</v>
      </c>
      <c r="H1753" t="s">
        <v>144</v>
      </c>
      <c r="I1753" t="s">
        <v>32</v>
      </c>
      <c r="J1753" t="s">
        <v>33</v>
      </c>
      <c r="K1753" t="s">
        <v>29</v>
      </c>
      <c r="L1753" t="s">
        <v>30</v>
      </c>
      <c r="M1753" t="s">
        <v>139</v>
      </c>
      <c r="N1753">
        <v>1611</v>
      </c>
      <c r="O1753" s="14">
        <v>0.96643758518621303</v>
      </c>
      <c r="P1753" s="14">
        <v>0.36227229656651599</v>
      </c>
      <c r="Q1753" t="str">
        <f t="shared" si="54"/>
        <v>01-09</v>
      </c>
      <c r="R1753" t="str">
        <f t="shared" si="55"/>
        <v>[umc2n1Z4wNv]|01-09|Female|PopART.Rt.T_1|CY2023Q3</v>
      </c>
    </row>
    <row r="1754" spans="4:18" x14ac:dyDescent="0.2">
      <c r="D1754" t="s">
        <v>92</v>
      </c>
      <c r="E1754" t="s">
        <v>93</v>
      </c>
      <c r="F1754" t="s">
        <v>94</v>
      </c>
      <c r="G1754" t="s">
        <v>144</v>
      </c>
      <c r="H1754" t="s">
        <v>144</v>
      </c>
      <c r="I1754" t="s">
        <v>35</v>
      </c>
      <c r="J1754" t="s">
        <v>36</v>
      </c>
      <c r="K1754" t="s">
        <v>29</v>
      </c>
      <c r="L1754" t="s">
        <v>30</v>
      </c>
      <c r="M1754" t="s">
        <v>139</v>
      </c>
      <c r="N1754">
        <v>1670</v>
      </c>
      <c r="O1754" s="14">
        <v>0.207805201178417</v>
      </c>
      <c r="P1754" s="14">
        <v>0.36227229656651599</v>
      </c>
      <c r="Q1754" t="str">
        <f t="shared" si="54"/>
        <v>10-14</v>
      </c>
      <c r="R1754" t="str">
        <f t="shared" si="55"/>
        <v>[umc2n1Z4wNv]|10-14|Female|PopART.Rt.T_1|CY2023Q3</v>
      </c>
    </row>
    <row r="1755" spans="4:18" x14ac:dyDescent="0.2">
      <c r="D1755" t="s">
        <v>92</v>
      </c>
      <c r="E1755" t="s">
        <v>93</v>
      </c>
      <c r="F1755" t="s">
        <v>94</v>
      </c>
      <c r="G1755" t="s">
        <v>144</v>
      </c>
      <c r="H1755" t="s">
        <v>144</v>
      </c>
      <c r="I1755" t="s">
        <v>37</v>
      </c>
      <c r="J1755" t="s">
        <v>38</v>
      </c>
      <c r="K1755" t="s">
        <v>29</v>
      </c>
      <c r="L1755" t="s">
        <v>30</v>
      </c>
      <c r="M1755" t="s">
        <v>139</v>
      </c>
      <c r="N1755">
        <v>1660</v>
      </c>
      <c r="O1755" s="14">
        <v>0.17694789753295501</v>
      </c>
      <c r="P1755" s="14">
        <v>0.36227229656651599</v>
      </c>
      <c r="Q1755" t="str">
        <f t="shared" si="54"/>
        <v>15-24</v>
      </c>
      <c r="R1755" t="str">
        <f t="shared" si="55"/>
        <v>[umc2n1Z4wNv]|15-24|Female|PopART.Rt.T_1|CY2023Q3</v>
      </c>
    </row>
    <row r="1756" spans="4:18" x14ac:dyDescent="0.2">
      <c r="D1756" t="s">
        <v>92</v>
      </c>
      <c r="E1756" t="s">
        <v>93</v>
      </c>
      <c r="F1756" t="s">
        <v>94</v>
      </c>
      <c r="G1756" t="s">
        <v>144</v>
      </c>
      <c r="H1756" t="s">
        <v>144</v>
      </c>
      <c r="I1756" t="s">
        <v>40</v>
      </c>
      <c r="J1756" t="s">
        <v>41</v>
      </c>
      <c r="K1756" t="s">
        <v>29</v>
      </c>
      <c r="L1756" t="s">
        <v>30</v>
      </c>
      <c r="M1756" t="s">
        <v>139</v>
      </c>
      <c r="N1756">
        <v>1980</v>
      </c>
      <c r="O1756" s="14">
        <v>6.6711783874779898E-2</v>
      </c>
      <c r="P1756" s="14">
        <v>0.36227229656651599</v>
      </c>
      <c r="Q1756" t="str">
        <f t="shared" si="54"/>
        <v>25-34</v>
      </c>
      <c r="R1756" t="str">
        <f t="shared" si="55"/>
        <v>[umc2n1Z4wNv]|25-34|Female|PopART.Rt.T_1|CY2023Q3</v>
      </c>
    </row>
    <row r="1757" spans="4:18" x14ac:dyDescent="0.2">
      <c r="D1757" t="s">
        <v>92</v>
      </c>
      <c r="E1757" t="s">
        <v>93</v>
      </c>
      <c r="F1757" t="s">
        <v>94</v>
      </c>
      <c r="G1757" t="s">
        <v>144</v>
      </c>
      <c r="H1757" t="s">
        <v>144</v>
      </c>
      <c r="I1757" t="s">
        <v>42</v>
      </c>
      <c r="J1757" t="s">
        <v>43</v>
      </c>
      <c r="K1757" t="s">
        <v>29</v>
      </c>
      <c r="L1757" t="s">
        <v>30</v>
      </c>
      <c r="M1757" t="s">
        <v>139</v>
      </c>
      <c r="N1757">
        <v>783</v>
      </c>
      <c r="O1757" s="14">
        <v>0.16988463001325699</v>
      </c>
      <c r="P1757" s="14">
        <v>0.36227229656651599</v>
      </c>
      <c r="Q1757" t="str">
        <f t="shared" si="54"/>
        <v>35-49</v>
      </c>
      <c r="R1757" t="str">
        <f t="shared" si="55"/>
        <v>[umc2n1Z4wNv]|35-49|Female|PopART.Rt.T_1|CY2023Q3</v>
      </c>
    </row>
    <row r="1758" spans="4:18" x14ac:dyDescent="0.2">
      <c r="D1758" t="s">
        <v>92</v>
      </c>
      <c r="E1758" t="s">
        <v>93</v>
      </c>
      <c r="F1758" t="s">
        <v>94</v>
      </c>
      <c r="G1758" t="s">
        <v>144</v>
      </c>
      <c r="H1758" t="s">
        <v>144</v>
      </c>
      <c r="I1758" t="s">
        <v>44</v>
      </c>
      <c r="J1758" t="s">
        <v>45</v>
      </c>
      <c r="K1758" t="s">
        <v>29</v>
      </c>
      <c r="L1758" t="s">
        <v>30</v>
      </c>
      <c r="M1758" t="s">
        <v>139</v>
      </c>
      <c r="N1758">
        <v>1352</v>
      </c>
      <c r="O1758" s="14">
        <v>0.94803986395709205</v>
      </c>
      <c r="P1758" s="14">
        <v>0.36227229656651599</v>
      </c>
      <c r="Q1758" t="str">
        <f t="shared" si="54"/>
        <v>50+</v>
      </c>
      <c r="R1758" t="str">
        <f t="shared" si="55"/>
        <v>[umc2n1Z4wNv]|50+|Female|PopART.Rt.T_1|CY2023Q3</v>
      </c>
    </row>
    <row r="1759" spans="4:18" x14ac:dyDescent="0.2">
      <c r="D1759" t="s">
        <v>92</v>
      </c>
      <c r="E1759" t="s">
        <v>93</v>
      </c>
      <c r="F1759" t="s">
        <v>94</v>
      </c>
      <c r="G1759" t="s">
        <v>144</v>
      </c>
      <c r="H1759" t="s">
        <v>144</v>
      </c>
      <c r="I1759" t="s">
        <v>27</v>
      </c>
      <c r="J1759" t="s">
        <v>28</v>
      </c>
      <c r="K1759" t="s">
        <v>47</v>
      </c>
      <c r="L1759" t="s">
        <v>48</v>
      </c>
      <c r="M1759" t="s">
        <v>139</v>
      </c>
      <c r="N1759">
        <v>818</v>
      </c>
      <c r="O1759" s="14">
        <v>0.16800545458681901</v>
      </c>
      <c r="P1759" s="14">
        <v>0.36227229656651599</v>
      </c>
      <c r="Q1759" t="str">
        <f t="shared" si="54"/>
        <v>&lt;01</v>
      </c>
      <c r="R1759" t="str">
        <f t="shared" si="55"/>
        <v>[umc2n1Z4wNv]|&lt;01|Male|PopART.Rt.T_1|CY2023Q3</v>
      </c>
    </row>
    <row r="1760" spans="4:18" x14ac:dyDescent="0.2">
      <c r="D1760" t="s">
        <v>92</v>
      </c>
      <c r="E1760" t="s">
        <v>93</v>
      </c>
      <c r="F1760" t="s">
        <v>94</v>
      </c>
      <c r="G1760" t="s">
        <v>144</v>
      </c>
      <c r="H1760" t="s">
        <v>144</v>
      </c>
      <c r="I1760" t="s">
        <v>32</v>
      </c>
      <c r="J1760" t="s">
        <v>33</v>
      </c>
      <c r="K1760" t="s">
        <v>47</v>
      </c>
      <c r="L1760" t="s">
        <v>48</v>
      </c>
      <c r="M1760" t="s">
        <v>139</v>
      </c>
      <c r="N1760">
        <v>1664</v>
      </c>
      <c r="O1760" s="14">
        <v>0.152021982474253</v>
      </c>
      <c r="P1760" s="14">
        <v>0.36227229656651599</v>
      </c>
      <c r="Q1760" t="str">
        <f t="shared" si="54"/>
        <v>01-09</v>
      </c>
      <c r="R1760" t="str">
        <f t="shared" si="55"/>
        <v>[umc2n1Z4wNv]|01-09|Male|PopART.Rt.T_1|CY2023Q3</v>
      </c>
    </row>
    <row r="1761" spans="4:18" x14ac:dyDescent="0.2">
      <c r="D1761" t="s">
        <v>92</v>
      </c>
      <c r="E1761" t="s">
        <v>93</v>
      </c>
      <c r="F1761" t="s">
        <v>94</v>
      </c>
      <c r="G1761" t="s">
        <v>144</v>
      </c>
      <c r="H1761" t="s">
        <v>144</v>
      </c>
      <c r="I1761" t="s">
        <v>35</v>
      </c>
      <c r="J1761" t="s">
        <v>36</v>
      </c>
      <c r="K1761" t="s">
        <v>47</v>
      </c>
      <c r="L1761" t="s">
        <v>48</v>
      </c>
      <c r="M1761" t="s">
        <v>139</v>
      </c>
      <c r="N1761">
        <v>692</v>
      </c>
      <c r="O1761" s="14">
        <v>0.40832583955489099</v>
      </c>
      <c r="P1761" s="14">
        <v>0.36227229656651599</v>
      </c>
      <c r="Q1761" t="str">
        <f t="shared" si="54"/>
        <v>10-14</v>
      </c>
      <c r="R1761" t="str">
        <f t="shared" si="55"/>
        <v>[umc2n1Z4wNv]|10-14|Male|PopART.Rt.T_1|CY2023Q3</v>
      </c>
    </row>
    <row r="1762" spans="4:18" x14ac:dyDescent="0.2">
      <c r="D1762" t="s">
        <v>92</v>
      </c>
      <c r="E1762" t="s">
        <v>93</v>
      </c>
      <c r="F1762" t="s">
        <v>94</v>
      </c>
      <c r="G1762" t="s">
        <v>144</v>
      </c>
      <c r="H1762" t="s">
        <v>144</v>
      </c>
      <c r="I1762" t="s">
        <v>37</v>
      </c>
      <c r="J1762" t="s">
        <v>38</v>
      </c>
      <c r="K1762" t="s">
        <v>47</v>
      </c>
      <c r="L1762" t="s">
        <v>48</v>
      </c>
      <c r="M1762" t="s">
        <v>139</v>
      </c>
      <c r="N1762">
        <v>1023</v>
      </c>
      <c r="O1762" s="14">
        <v>0.97611898137256503</v>
      </c>
      <c r="P1762" s="14">
        <v>0.36227229656651599</v>
      </c>
      <c r="Q1762" t="str">
        <f t="shared" si="54"/>
        <v>15-24</v>
      </c>
      <c r="R1762" t="str">
        <f t="shared" si="55"/>
        <v>[umc2n1Z4wNv]|15-24|Male|PopART.Rt.T_1|CY2023Q3</v>
      </c>
    </row>
    <row r="1763" spans="4:18" x14ac:dyDescent="0.2">
      <c r="D1763" t="s">
        <v>92</v>
      </c>
      <c r="E1763" t="s">
        <v>93</v>
      </c>
      <c r="F1763" t="s">
        <v>94</v>
      </c>
      <c r="G1763" t="s">
        <v>144</v>
      </c>
      <c r="H1763" t="s">
        <v>144</v>
      </c>
      <c r="I1763" t="s">
        <v>40</v>
      </c>
      <c r="J1763" t="s">
        <v>41</v>
      </c>
      <c r="K1763" t="s">
        <v>47</v>
      </c>
      <c r="L1763" t="s">
        <v>48</v>
      </c>
      <c r="M1763" t="s">
        <v>139</v>
      </c>
      <c r="N1763">
        <v>1972</v>
      </c>
      <c r="O1763" s="14">
        <v>0.69376247189939</v>
      </c>
      <c r="P1763" s="14">
        <v>0.36227229656651599</v>
      </c>
      <c r="Q1763" t="str">
        <f t="shared" si="54"/>
        <v>25-34</v>
      </c>
      <c r="R1763" t="str">
        <f t="shared" si="55"/>
        <v>[umc2n1Z4wNv]|25-34|Male|PopART.Rt.T_1|CY2023Q3</v>
      </c>
    </row>
    <row r="1764" spans="4:18" x14ac:dyDescent="0.2">
      <c r="D1764" t="s">
        <v>92</v>
      </c>
      <c r="E1764" t="s">
        <v>93</v>
      </c>
      <c r="F1764" t="s">
        <v>94</v>
      </c>
      <c r="G1764" t="s">
        <v>144</v>
      </c>
      <c r="H1764" t="s">
        <v>144</v>
      </c>
      <c r="I1764" t="s">
        <v>42</v>
      </c>
      <c r="J1764" t="s">
        <v>43</v>
      </c>
      <c r="K1764" t="s">
        <v>47</v>
      </c>
      <c r="L1764" t="s">
        <v>48</v>
      </c>
      <c r="M1764" t="s">
        <v>139</v>
      </c>
      <c r="N1764">
        <v>849</v>
      </c>
      <c r="O1764" s="14">
        <v>0.189129530685022</v>
      </c>
      <c r="P1764" s="14">
        <v>0.36227229656651599</v>
      </c>
      <c r="Q1764" t="str">
        <f t="shared" si="54"/>
        <v>35-49</v>
      </c>
      <c r="R1764" t="str">
        <f t="shared" si="55"/>
        <v>[umc2n1Z4wNv]|35-49|Male|PopART.Rt.T_1|CY2023Q3</v>
      </c>
    </row>
    <row r="1765" spans="4:18" x14ac:dyDescent="0.2">
      <c r="D1765" t="s">
        <v>92</v>
      </c>
      <c r="E1765" t="s">
        <v>93</v>
      </c>
      <c r="F1765" t="s">
        <v>94</v>
      </c>
      <c r="G1765" t="s">
        <v>144</v>
      </c>
      <c r="H1765" t="s">
        <v>144</v>
      </c>
      <c r="I1765" t="s">
        <v>44</v>
      </c>
      <c r="J1765" t="s">
        <v>45</v>
      </c>
      <c r="K1765" t="s">
        <v>47</v>
      </c>
      <c r="L1765" t="s">
        <v>48</v>
      </c>
      <c r="M1765" t="s">
        <v>139</v>
      </c>
      <c r="N1765">
        <v>996</v>
      </c>
      <c r="O1765" s="14">
        <v>5.4197034332901196E-3</v>
      </c>
      <c r="P1765" s="14">
        <v>0.36227229656651599</v>
      </c>
      <c r="Q1765" t="str">
        <f t="shared" si="54"/>
        <v>50+</v>
      </c>
      <c r="R1765" t="str">
        <f t="shared" si="55"/>
        <v>[umc2n1Z4wNv]|50+|Male|PopART.Rt.T_1|CY2023Q3</v>
      </c>
    </row>
    <row r="1766" spans="4:18" x14ac:dyDescent="0.2">
      <c r="D1766" t="s">
        <v>95</v>
      </c>
      <c r="E1766" t="s">
        <v>96</v>
      </c>
      <c r="F1766" t="s">
        <v>97</v>
      </c>
      <c r="G1766" t="s">
        <v>144</v>
      </c>
      <c r="H1766" t="s">
        <v>144</v>
      </c>
      <c r="I1766" t="s">
        <v>27</v>
      </c>
      <c r="J1766" t="s">
        <v>28</v>
      </c>
      <c r="K1766" t="s">
        <v>29</v>
      </c>
      <c r="L1766" t="s">
        <v>30</v>
      </c>
      <c r="M1766" t="s">
        <v>139</v>
      </c>
      <c r="N1766">
        <v>626</v>
      </c>
      <c r="O1766" s="14">
        <v>0.85197529522702098</v>
      </c>
      <c r="P1766" s="14">
        <v>0.60125171788968101</v>
      </c>
      <c r="Q1766" t="str">
        <f t="shared" si="54"/>
        <v>&lt;01</v>
      </c>
      <c r="R1766" t="str">
        <f t="shared" si="55"/>
        <v>[gwVYinjBAe9]|&lt;01|Female|PopART.Rt.T_1|CY2023Q3</v>
      </c>
    </row>
    <row r="1767" spans="4:18" x14ac:dyDescent="0.2">
      <c r="D1767" t="s">
        <v>95</v>
      </c>
      <c r="E1767" t="s">
        <v>96</v>
      </c>
      <c r="F1767" t="s">
        <v>97</v>
      </c>
      <c r="G1767" t="s">
        <v>144</v>
      </c>
      <c r="H1767" t="s">
        <v>144</v>
      </c>
      <c r="I1767" t="s">
        <v>32</v>
      </c>
      <c r="J1767" t="s">
        <v>33</v>
      </c>
      <c r="K1767" t="s">
        <v>29</v>
      </c>
      <c r="L1767" t="s">
        <v>30</v>
      </c>
      <c r="M1767" t="s">
        <v>139</v>
      </c>
      <c r="N1767">
        <v>606</v>
      </c>
      <c r="O1767" s="14">
        <v>0.20092092943377801</v>
      </c>
      <c r="P1767" s="14">
        <v>0.60125171788968101</v>
      </c>
      <c r="Q1767" t="str">
        <f t="shared" si="54"/>
        <v>01-09</v>
      </c>
      <c r="R1767" t="str">
        <f t="shared" si="55"/>
        <v>[gwVYinjBAe9]|01-09|Female|PopART.Rt.T_1|CY2023Q3</v>
      </c>
    </row>
    <row r="1768" spans="4:18" x14ac:dyDescent="0.2">
      <c r="D1768" t="s">
        <v>95</v>
      </c>
      <c r="E1768" t="s">
        <v>96</v>
      </c>
      <c r="F1768" t="s">
        <v>97</v>
      </c>
      <c r="G1768" t="s">
        <v>144</v>
      </c>
      <c r="H1768" t="s">
        <v>144</v>
      </c>
      <c r="I1768" t="s">
        <v>35</v>
      </c>
      <c r="J1768" t="s">
        <v>36</v>
      </c>
      <c r="K1768" t="s">
        <v>29</v>
      </c>
      <c r="L1768" t="s">
        <v>30</v>
      </c>
      <c r="M1768" t="s">
        <v>139</v>
      </c>
      <c r="N1768">
        <v>574</v>
      </c>
      <c r="O1768" s="14">
        <v>0.82613707403652403</v>
      </c>
      <c r="P1768" s="14">
        <v>0.60125171788968101</v>
      </c>
      <c r="Q1768" t="str">
        <f t="shared" si="54"/>
        <v>10-14</v>
      </c>
      <c r="R1768" t="str">
        <f t="shared" si="55"/>
        <v>[gwVYinjBAe9]|10-14|Female|PopART.Rt.T_1|CY2023Q3</v>
      </c>
    </row>
    <row r="1769" spans="4:18" x14ac:dyDescent="0.2">
      <c r="D1769" t="s">
        <v>95</v>
      </c>
      <c r="E1769" t="s">
        <v>96</v>
      </c>
      <c r="F1769" t="s">
        <v>97</v>
      </c>
      <c r="G1769" t="s">
        <v>144</v>
      </c>
      <c r="H1769" t="s">
        <v>144</v>
      </c>
      <c r="I1769" t="s">
        <v>37</v>
      </c>
      <c r="J1769" t="s">
        <v>38</v>
      </c>
      <c r="K1769" t="s">
        <v>29</v>
      </c>
      <c r="L1769" t="s">
        <v>30</v>
      </c>
      <c r="M1769" t="s">
        <v>139</v>
      </c>
      <c r="N1769">
        <v>1569</v>
      </c>
      <c r="O1769" s="14">
        <v>0.83982527861371603</v>
      </c>
      <c r="P1769" s="14">
        <v>0.60125171788968101</v>
      </c>
      <c r="Q1769" t="str">
        <f t="shared" si="54"/>
        <v>15-24</v>
      </c>
      <c r="R1769" t="str">
        <f t="shared" si="55"/>
        <v>[gwVYinjBAe9]|15-24|Female|PopART.Rt.T_1|CY2023Q3</v>
      </c>
    </row>
    <row r="1770" spans="4:18" x14ac:dyDescent="0.2">
      <c r="D1770" t="s">
        <v>95</v>
      </c>
      <c r="E1770" t="s">
        <v>96</v>
      </c>
      <c r="F1770" t="s">
        <v>97</v>
      </c>
      <c r="G1770" t="s">
        <v>144</v>
      </c>
      <c r="H1770" t="s">
        <v>144</v>
      </c>
      <c r="I1770" t="s">
        <v>40</v>
      </c>
      <c r="J1770" t="s">
        <v>41</v>
      </c>
      <c r="K1770" t="s">
        <v>29</v>
      </c>
      <c r="L1770" t="s">
        <v>30</v>
      </c>
      <c r="M1770" t="s">
        <v>139</v>
      </c>
      <c r="N1770">
        <v>1438</v>
      </c>
      <c r="O1770" s="14">
        <v>0.72193377721123397</v>
      </c>
      <c r="P1770" s="14">
        <v>0.60125171788968101</v>
      </c>
      <c r="Q1770" t="str">
        <f t="shared" si="54"/>
        <v>25-34</v>
      </c>
      <c r="R1770" t="str">
        <f t="shared" si="55"/>
        <v>[gwVYinjBAe9]|25-34|Female|PopART.Rt.T_1|CY2023Q3</v>
      </c>
    </row>
    <row r="1771" spans="4:18" x14ac:dyDescent="0.2">
      <c r="D1771" t="s">
        <v>95</v>
      </c>
      <c r="E1771" t="s">
        <v>96</v>
      </c>
      <c r="F1771" t="s">
        <v>97</v>
      </c>
      <c r="G1771" t="s">
        <v>144</v>
      </c>
      <c r="H1771" t="s">
        <v>144</v>
      </c>
      <c r="I1771" t="s">
        <v>42</v>
      </c>
      <c r="J1771" t="s">
        <v>43</v>
      </c>
      <c r="K1771" t="s">
        <v>29</v>
      </c>
      <c r="L1771" t="s">
        <v>30</v>
      </c>
      <c r="M1771" t="s">
        <v>139</v>
      </c>
      <c r="N1771">
        <v>969</v>
      </c>
      <c r="O1771" s="14">
        <v>0.42211183439940198</v>
      </c>
      <c r="P1771" s="14">
        <v>0.60125171788968101</v>
      </c>
      <c r="Q1771" t="str">
        <f t="shared" si="54"/>
        <v>35-49</v>
      </c>
      <c r="R1771" t="str">
        <f t="shared" si="55"/>
        <v>[gwVYinjBAe9]|35-49|Female|PopART.Rt.T_1|CY2023Q3</v>
      </c>
    </row>
    <row r="1772" spans="4:18" x14ac:dyDescent="0.2">
      <c r="D1772" t="s">
        <v>95</v>
      </c>
      <c r="E1772" t="s">
        <v>96</v>
      </c>
      <c r="F1772" t="s">
        <v>97</v>
      </c>
      <c r="G1772" t="s">
        <v>144</v>
      </c>
      <c r="H1772" t="s">
        <v>144</v>
      </c>
      <c r="I1772" t="s">
        <v>44</v>
      </c>
      <c r="J1772" t="s">
        <v>45</v>
      </c>
      <c r="K1772" t="s">
        <v>29</v>
      </c>
      <c r="L1772" t="s">
        <v>30</v>
      </c>
      <c r="M1772" t="s">
        <v>139</v>
      </c>
      <c r="N1772">
        <v>1649</v>
      </c>
      <c r="O1772" s="14">
        <v>0.17698257858864999</v>
      </c>
      <c r="P1772" s="14">
        <v>0.60125171788968101</v>
      </c>
      <c r="Q1772" t="str">
        <f t="shared" si="54"/>
        <v>50+</v>
      </c>
      <c r="R1772" t="str">
        <f t="shared" si="55"/>
        <v>[gwVYinjBAe9]|50+|Female|PopART.Rt.T_1|CY2023Q3</v>
      </c>
    </row>
    <row r="1773" spans="4:18" x14ac:dyDescent="0.2">
      <c r="D1773" t="s">
        <v>95</v>
      </c>
      <c r="E1773" t="s">
        <v>96</v>
      </c>
      <c r="F1773" t="s">
        <v>97</v>
      </c>
      <c r="G1773" t="s">
        <v>144</v>
      </c>
      <c r="H1773" t="s">
        <v>144</v>
      </c>
      <c r="I1773" t="s">
        <v>27</v>
      </c>
      <c r="J1773" t="s">
        <v>28</v>
      </c>
      <c r="K1773" t="s">
        <v>47</v>
      </c>
      <c r="L1773" t="s">
        <v>48</v>
      </c>
      <c r="M1773" t="s">
        <v>139</v>
      </c>
      <c r="N1773">
        <v>546</v>
      </c>
      <c r="O1773" s="14">
        <v>0.85849948949180499</v>
      </c>
      <c r="P1773" s="14">
        <v>0.60125171788968101</v>
      </c>
      <c r="Q1773" t="str">
        <f t="shared" si="54"/>
        <v>&lt;01</v>
      </c>
      <c r="R1773" t="str">
        <f t="shared" si="55"/>
        <v>[gwVYinjBAe9]|&lt;01|Male|PopART.Rt.T_1|CY2023Q3</v>
      </c>
    </row>
    <row r="1774" spans="4:18" x14ac:dyDescent="0.2">
      <c r="D1774" t="s">
        <v>95</v>
      </c>
      <c r="E1774" t="s">
        <v>96</v>
      </c>
      <c r="F1774" t="s">
        <v>97</v>
      </c>
      <c r="G1774" t="s">
        <v>144</v>
      </c>
      <c r="H1774" t="s">
        <v>144</v>
      </c>
      <c r="I1774" t="s">
        <v>32</v>
      </c>
      <c r="J1774" t="s">
        <v>33</v>
      </c>
      <c r="K1774" t="s">
        <v>47</v>
      </c>
      <c r="L1774" t="s">
        <v>48</v>
      </c>
      <c r="M1774" t="s">
        <v>139</v>
      </c>
      <c r="N1774">
        <v>1144</v>
      </c>
      <c r="O1774" s="14">
        <v>0.91216710139997303</v>
      </c>
      <c r="P1774" s="14">
        <v>0.60125171788968101</v>
      </c>
      <c r="Q1774" t="str">
        <f t="shared" si="54"/>
        <v>01-09</v>
      </c>
      <c r="R1774" t="str">
        <f t="shared" si="55"/>
        <v>[gwVYinjBAe9]|01-09|Male|PopART.Rt.T_1|CY2023Q3</v>
      </c>
    </row>
    <row r="1775" spans="4:18" x14ac:dyDescent="0.2">
      <c r="D1775" t="s">
        <v>95</v>
      </c>
      <c r="E1775" t="s">
        <v>96</v>
      </c>
      <c r="F1775" t="s">
        <v>97</v>
      </c>
      <c r="G1775" t="s">
        <v>144</v>
      </c>
      <c r="H1775" t="s">
        <v>144</v>
      </c>
      <c r="I1775" t="s">
        <v>35</v>
      </c>
      <c r="J1775" t="s">
        <v>36</v>
      </c>
      <c r="K1775" t="s">
        <v>47</v>
      </c>
      <c r="L1775" t="s">
        <v>48</v>
      </c>
      <c r="M1775" t="s">
        <v>139</v>
      </c>
      <c r="N1775">
        <v>1598</v>
      </c>
      <c r="O1775" s="14">
        <v>0.97459793486632396</v>
      </c>
      <c r="P1775" s="14">
        <v>0.60125171788968101</v>
      </c>
      <c r="Q1775" t="str">
        <f t="shared" si="54"/>
        <v>10-14</v>
      </c>
      <c r="R1775" t="str">
        <f t="shared" si="55"/>
        <v>[gwVYinjBAe9]|10-14|Male|PopART.Rt.T_1|CY2023Q3</v>
      </c>
    </row>
    <row r="1776" spans="4:18" x14ac:dyDescent="0.2">
      <c r="D1776" t="s">
        <v>95</v>
      </c>
      <c r="E1776" t="s">
        <v>96</v>
      </c>
      <c r="F1776" t="s">
        <v>97</v>
      </c>
      <c r="G1776" t="s">
        <v>144</v>
      </c>
      <c r="H1776" t="s">
        <v>144</v>
      </c>
      <c r="I1776" t="s">
        <v>37</v>
      </c>
      <c r="J1776" t="s">
        <v>38</v>
      </c>
      <c r="K1776" t="s">
        <v>47</v>
      </c>
      <c r="L1776" t="s">
        <v>48</v>
      </c>
      <c r="M1776" t="s">
        <v>139</v>
      </c>
      <c r="N1776">
        <v>760</v>
      </c>
      <c r="O1776" s="14">
        <v>0.48722683102823799</v>
      </c>
      <c r="P1776" s="14">
        <v>0.60125171788968101</v>
      </c>
      <c r="Q1776" t="str">
        <f t="shared" si="54"/>
        <v>15-24</v>
      </c>
      <c r="R1776" t="str">
        <f t="shared" si="55"/>
        <v>[gwVYinjBAe9]|15-24|Male|PopART.Rt.T_1|CY2023Q3</v>
      </c>
    </row>
    <row r="1777" spans="4:18" x14ac:dyDescent="0.2">
      <c r="D1777" t="s">
        <v>95</v>
      </c>
      <c r="E1777" t="s">
        <v>96</v>
      </c>
      <c r="F1777" t="s">
        <v>97</v>
      </c>
      <c r="G1777" t="s">
        <v>144</v>
      </c>
      <c r="H1777" t="s">
        <v>144</v>
      </c>
      <c r="I1777" t="s">
        <v>40</v>
      </c>
      <c r="J1777" t="s">
        <v>41</v>
      </c>
      <c r="K1777" t="s">
        <v>47</v>
      </c>
      <c r="L1777" t="s">
        <v>48</v>
      </c>
      <c r="M1777" t="s">
        <v>139</v>
      </c>
      <c r="N1777">
        <v>1491</v>
      </c>
      <c r="O1777" s="14">
        <v>0.27289560367353299</v>
      </c>
      <c r="P1777" s="14">
        <v>0.60125171788968101</v>
      </c>
      <c r="Q1777" t="str">
        <f t="shared" si="54"/>
        <v>25-34</v>
      </c>
      <c r="R1777" t="str">
        <f t="shared" si="55"/>
        <v>[gwVYinjBAe9]|25-34|Male|PopART.Rt.T_1|CY2023Q3</v>
      </c>
    </row>
    <row r="1778" spans="4:18" x14ac:dyDescent="0.2">
      <c r="D1778" t="s">
        <v>95</v>
      </c>
      <c r="E1778" t="s">
        <v>96</v>
      </c>
      <c r="F1778" t="s">
        <v>97</v>
      </c>
      <c r="G1778" t="s">
        <v>144</v>
      </c>
      <c r="H1778" t="s">
        <v>144</v>
      </c>
      <c r="I1778" t="s">
        <v>42</v>
      </c>
      <c r="J1778" t="s">
        <v>43</v>
      </c>
      <c r="K1778" t="s">
        <v>47</v>
      </c>
      <c r="L1778" t="s">
        <v>48</v>
      </c>
      <c r="M1778" t="s">
        <v>139</v>
      </c>
      <c r="N1778">
        <v>1386</v>
      </c>
      <c r="O1778" s="14">
        <v>0.47986951493658098</v>
      </c>
      <c r="P1778" s="14">
        <v>0.60125171788968101</v>
      </c>
      <c r="Q1778" t="str">
        <f t="shared" si="54"/>
        <v>35-49</v>
      </c>
      <c r="R1778" t="str">
        <f t="shared" si="55"/>
        <v>[gwVYinjBAe9]|35-49|Male|PopART.Rt.T_1|CY2023Q3</v>
      </c>
    </row>
    <row r="1779" spans="4:18" x14ac:dyDescent="0.2">
      <c r="D1779" t="s">
        <v>95</v>
      </c>
      <c r="E1779" t="s">
        <v>96</v>
      </c>
      <c r="F1779" t="s">
        <v>97</v>
      </c>
      <c r="G1779" t="s">
        <v>144</v>
      </c>
      <c r="H1779" t="s">
        <v>144</v>
      </c>
      <c r="I1779" t="s">
        <v>44</v>
      </c>
      <c r="J1779" t="s">
        <v>45</v>
      </c>
      <c r="K1779" t="s">
        <v>47</v>
      </c>
      <c r="L1779" t="s">
        <v>48</v>
      </c>
      <c r="M1779" t="s">
        <v>139</v>
      </c>
      <c r="N1779">
        <v>1199</v>
      </c>
      <c r="O1779" s="14">
        <v>0.15989015600644099</v>
      </c>
      <c r="P1779" s="14">
        <v>0.60125171788968101</v>
      </c>
      <c r="Q1779" t="str">
        <f t="shared" si="54"/>
        <v>50+</v>
      </c>
      <c r="R1779" t="str">
        <f t="shared" si="55"/>
        <v>[gwVYinjBAe9]|50+|Male|PopART.Rt.T_1|CY2023Q3</v>
      </c>
    </row>
    <row r="1780" spans="4:18" x14ac:dyDescent="0.2">
      <c r="D1780" t="s">
        <v>98</v>
      </c>
      <c r="E1780" t="s">
        <v>99</v>
      </c>
      <c r="F1780" t="s">
        <v>100</v>
      </c>
      <c r="G1780" t="s">
        <v>144</v>
      </c>
      <c r="H1780" t="s">
        <v>144</v>
      </c>
      <c r="I1780" t="s">
        <v>27</v>
      </c>
      <c r="J1780" t="s">
        <v>28</v>
      </c>
      <c r="K1780" t="s">
        <v>29</v>
      </c>
      <c r="L1780" t="s">
        <v>30</v>
      </c>
      <c r="M1780" t="s">
        <v>139</v>
      </c>
      <c r="N1780">
        <v>1198</v>
      </c>
      <c r="O1780" s="14">
        <v>0.60382428509183195</v>
      </c>
      <c r="P1780" s="14">
        <v>0.57728803809732199</v>
      </c>
      <c r="Q1780" t="str">
        <f t="shared" si="54"/>
        <v>&lt;01</v>
      </c>
      <c r="R1780" t="str">
        <f t="shared" si="55"/>
        <v>[mxqa3CDFmIT]|&lt;01|Female|PopART.Rt.T_1|CY2023Q3</v>
      </c>
    </row>
    <row r="1781" spans="4:18" x14ac:dyDescent="0.2">
      <c r="D1781" t="s">
        <v>98</v>
      </c>
      <c r="E1781" t="s">
        <v>99</v>
      </c>
      <c r="F1781" t="s">
        <v>100</v>
      </c>
      <c r="G1781" t="s">
        <v>144</v>
      </c>
      <c r="H1781" t="s">
        <v>144</v>
      </c>
      <c r="I1781" t="s">
        <v>32</v>
      </c>
      <c r="J1781" t="s">
        <v>33</v>
      </c>
      <c r="K1781" t="s">
        <v>29</v>
      </c>
      <c r="L1781" t="s">
        <v>30</v>
      </c>
      <c r="M1781" t="s">
        <v>139</v>
      </c>
      <c r="N1781">
        <v>1393</v>
      </c>
      <c r="O1781" s="14">
        <v>7.0594883291050806E-2</v>
      </c>
      <c r="P1781" s="14">
        <v>0.57728803809732199</v>
      </c>
      <c r="Q1781" t="str">
        <f t="shared" si="54"/>
        <v>01-09</v>
      </c>
      <c r="R1781" t="str">
        <f t="shared" si="55"/>
        <v>[mxqa3CDFmIT]|01-09|Female|PopART.Rt.T_1|CY2023Q3</v>
      </c>
    </row>
    <row r="1782" spans="4:18" x14ac:dyDescent="0.2">
      <c r="D1782" t="s">
        <v>98</v>
      </c>
      <c r="E1782" t="s">
        <v>99</v>
      </c>
      <c r="F1782" t="s">
        <v>100</v>
      </c>
      <c r="G1782" t="s">
        <v>144</v>
      </c>
      <c r="H1782" t="s">
        <v>144</v>
      </c>
      <c r="I1782" t="s">
        <v>35</v>
      </c>
      <c r="J1782" t="s">
        <v>36</v>
      </c>
      <c r="K1782" t="s">
        <v>29</v>
      </c>
      <c r="L1782" t="s">
        <v>30</v>
      </c>
      <c r="M1782" t="s">
        <v>139</v>
      </c>
      <c r="N1782">
        <v>628</v>
      </c>
      <c r="O1782" s="14">
        <v>0.163099541794509</v>
      </c>
      <c r="P1782" s="14">
        <v>0.57728803809732199</v>
      </c>
      <c r="Q1782" t="str">
        <f t="shared" si="54"/>
        <v>10-14</v>
      </c>
      <c r="R1782" t="str">
        <f t="shared" si="55"/>
        <v>[mxqa3CDFmIT]|10-14|Female|PopART.Rt.T_1|CY2023Q3</v>
      </c>
    </row>
    <row r="1783" spans="4:18" x14ac:dyDescent="0.2">
      <c r="D1783" t="s">
        <v>98</v>
      </c>
      <c r="E1783" t="s">
        <v>99</v>
      </c>
      <c r="F1783" t="s">
        <v>100</v>
      </c>
      <c r="G1783" t="s">
        <v>144</v>
      </c>
      <c r="H1783" t="s">
        <v>144</v>
      </c>
      <c r="I1783" t="s">
        <v>37</v>
      </c>
      <c r="J1783" t="s">
        <v>38</v>
      </c>
      <c r="K1783" t="s">
        <v>29</v>
      </c>
      <c r="L1783" t="s">
        <v>30</v>
      </c>
      <c r="M1783" t="s">
        <v>139</v>
      </c>
      <c r="N1783">
        <v>534</v>
      </c>
      <c r="O1783" s="14">
        <v>0.71132600796408996</v>
      </c>
      <c r="P1783" s="14">
        <v>0.57728803809732199</v>
      </c>
      <c r="Q1783" t="str">
        <f t="shared" si="54"/>
        <v>15-24</v>
      </c>
      <c r="R1783" t="str">
        <f t="shared" si="55"/>
        <v>[mxqa3CDFmIT]|15-24|Female|PopART.Rt.T_1|CY2023Q3</v>
      </c>
    </row>
    <row r="1784" spans="4:18" x14ac:dyDescent="0.2">
      <c r="D1784" t="s">
        <v>98</v>
      </c>
      <c r="E1784" t="s">
        <v>99</v>
      </c>
      <c r="F1784" t="s">
        <v>100</v>
      </c>
      <c r="G1784" t="s">
        <v>144</v>
      </c>
      <c r="H1784" t="s">
        <v>144</v>
      </c>
      <c r="I1784" t="s">
        <v>40</v>
      </c>
      <c r="J1784" t="s">
        <v>41</v>
      </c>
      <c r="K1784" t="s">
        <v>29</v>
      </c>
      <c r="L1784" t="s">
        <v>30</v>
      </c>
      <c r="M1784" t="s">
        <v>139</v>
      </c>
      <c r="N1784">
        <v>553</v>
      </c>
      <c r="O1784" s="14">
        <v>0.47544881119392801</v>
      </c>
      <c r="P1784" s="14">
        <v>0.57728803809732199</v>
      </c>
      <c r="Q1784" t="str">
        <f t="shared" si="54"/>
        <v>25-34</v>
      </c>
      <c r="R1784" t="str">
        <f t="shared" si="55"/>
        <v>[mxqa3CDFmIT]|25-34|Female|PopART.Rt.T_1|CY2023Q3</v>
      </c>
    </row>
    <row r="1785" spans="4:18" x14ac:dyDescent="0.2">
      <c r="D1785" t="s">
        <v>98</v>
      </c>
      <c r="E1785" t="s">
        <v>99</v>
      </c>
      <c r="F1785" t="s">
        <v>100</v>
      </c>
      <c r="G1785" t="s">
        <v>144</v>
      </c>
      <c r="H1785" t="s">
        <v>144</v>
      </c>
      <c r="I1785" t="s">
        <v>42</v>
      </c>
      <c r="J1785" t="s">
        <v>43</v>
      </c>
      <c r="K1785" t="s">
        <v>29</v>
      </c>
      <c r="L1785" t="s">
        <v>30</v>
      </c>
      <c r="M1785" t="s">
        <v>139</v>
      </c>
      <c r="N1785">
        <v>1227</v>
      </c>
      <c r="O1785" s="14">
        <v>7.0198375033214702E-2</v>
      </c>
      <c r="P1785" s="14">
        <v>0.57728803809732199</v>
      </c>
      <c r="Q1785" t="str">
        <f t="shared" si="54"/>
        <v>35-49</v>
      </c>
      <c r="R1785" t="str">
        <f t="shared" si="55"/>
        <v>[mxqa3CDFmIT]|35-49|Female|PopART.Rt.T_1|CY2023Q3</v>
      </c>
    </row>
    <row r="1786" spans="4:18" x14ac:dyDescent="0.2">
      <c r="D1786" t="s">
        <v>98</v>
      </c>
      <c r="E1786" t="s">
        <v>99</v>
      </c>
      <c r="F1786" t="s">
        <v>100</v>
      </c>
      <c r="G1786" t="s">
        <v>144</v>
      </c>
      <c r="H1786" t="s">
        <v>144</v>
      </c>
      <c r="I1786" t="s">
        <v>44</v>
      </c>
      <c r="J1786" t="s">
        <v>45</v>
      </c>
      <c r="K1786" t="s">
        <v>29</v>
      </c>
      <c r="L1786" t="s">
        <v>30</v>
      </c>
      <c r="M1786" t="s">
        <v>139</v>
      </c>
      <c r="N1786">
        <v>673</v>
      </c>
      <c r="O1786" s="14">
        <v>0.95076837297529004</v>
      </c>
      <c r="P1786" s="14">
        <v>0.57728803809732199</v>
      </c>
      <c r="Q1786" t="str">
        <f t="shared" si="54"/>
        <v>50+</v>
      </c>
      <c r="R1786" t="str">
        <f t="shared" si="55"/>
        <v>[mxqa3CDFmIT]|50+|Female|PopART.Rt.T_1|CY2023Q3</v>
      </c>
    </row>
    <row r="1787" spans="4:18" x14ac:dyDescent="0.2">
      <c r="D1787" t="s">
        <v>98</v>
      </c>
      <c r="E1787" t="s">
        <v>99</v>
      </c>
      <c r="F1787" t="s">
        <v>100</v>
      </c>
      <c r="G1787" t="s">
        <v>144</v>
      </c>
      <c r="H1787" t="s">
        <v>144</v>
      </c>
      <c r="I1787" t="s">
        <v>27</v>
      </c>
      <c r="J1787" t="s">
        <v>28</v>
      </c>
      <c r="K1787" t="s">
        <v>47</v>
      </c>
      <c r="L1787" t="s">
        <v>48</v>
      </c>
      <c r="M1787" t="s">
        <v>139</v>
      </c>
      <c r="N1787">
        <v>993</v>
      </c>
      <c r="O1787" s="14">
        <v>0.107957678847015</v>
      </c>
      <c r="P1787" s="14">
        <v>0.57728803809732199</v>
      </c>
      <c r="Q1787" t="str">
        <f t="shared" si="54"/>
        <v>&lt;01</v>
      </c>
      <c r="R1787" t="str">
        <f t="shared" si="55"/>
        <v>[mxqa3CDFmIT]|&lt;01|Male|PopART.Rt.T_1|CY2023Q3</v>
      </c>
    </row>
    <row r="1788" spans="4:18" x14ac:dyDescent="0.2">
      <c r="D1788" t="s">
        <v>98</v>
      </c>
      <c r="E1788" t="s">
        <v>99</v>
      </c>
      <c r="F1788" t="s">
        <v>100</v>
      </c>
      <c r="G1788" t="s">
        <v>144</v>
      </c>
      <c r="H1788" t="s">
        <v>144</v>
      </c>
      <c r="I1788" t="s">
        <v>32</v>
      </c>
      <c r="J1788" t="s">
        <v>33</v>
      </c>
      <c r="K1788" t="s">
        <v>47</v>
      </c>
      <c r="L1788" t="s">
        <v>48</v>
      </c>
      <c r="M1788" t="s">
        <v>139</v>
      </c>
      <c r="N1788">
        <v>1471</v>
      </c>
      <c r="O1788" s="14">
        <v>0.88748333440162197</v>
      </c>
      <c r="P1788" s="14">
        <v>0.57728803809732199</v>
      </c>
      <c r="Q1788" t="str">
        <f t="shared" si="54"/>
        <v>01-09</v>
      </c>
      <c r="R1788" t="str">
        <f t="shared" si="55"/>
        <v>[mxqa3CDFmIT]|01-09|Male|PopART.Rt.T_1|CY2023Q3</v>
      </c>
    </row>
    <row r="1789" spans="4:18" x14ac:dyDescent="0.2">
      <c r="D1789" t="s">
        <v>98</v>
      </c>
      <c r="E1789" t="s">
        <v>99</v>
      </c>
      <c r="F1789" t="s">
        <v>100</v>
      </c>
      <c r="G1789" t="s">
        <v>144</v>
      </c>
      <c r="H1789" t="s">
        <v>144</v>
      </c>
      <c r="I1789" t="s">
        <v>35</v>
      </c>
      <c r="J1789" t="s">
        <v>36</v>
      </c>
      <c r="K1789" t="s">
        <v>47</v>
      </c>
      <c r="L1789" t="s">
        <v>48</v>
      </c>
      <c r="M1789" t="s">
        <v>139</v>
      </c>
      <c r="N1789">
        <v>936</v>
      </c>
      <c r="O1789" s="14">
        <v>0.69614833826199196</v>
      </c>
      <c r="P1789" s="14">
        <v>0.57728803809732199</v>
      </c>
      <c r="Q1789" t="str">
        <f t="shared" si="54"/>
        <v>10-14</v>
      </c>
      <c r="R1789" t="str">
        <f t="shared" si="55"/>
        <v>[mxqa3CDFmIT]|10-14|Male|PopART.Rt.T_1|CY2023Q3</v>
      </c>
    </row>
    <row r="1790" spans="4:18" x14ac:dyDescent="0.2">
      <c r="D1790" t="s">
        <v>98</v>
      </c>
      <c r="E1790" t="s">
        <v>99</v>
      </c>
      <c r="F1790" t="s">
        <v>100</v>
      </c>
      <c r="G1790" t="s">
        <v>144</v>
      </c>
      <c r="H1790" t="s">
        <v>144</v>
      </c>
      <c r="I1790" t="s">
        <v>37</v>
      </c>
      <c r="J1790" t="s">
        <v>38</v>
      </c>
      <c r="K1790" t="s">
        <v>47</v>
      </c>
      <c r="L1790" t="s">
        <v>48</v>
      </c>
      <c r="M1790" t="s">
        <v>139</v>
      </c>
      <c r="N1790">
        <v>1085</v>
      </c>
      <c r="O1790" s="14">
        <v>0.38867952395230498</v>
      </c>
      <c r="P1790" s="14">
        <v>0.57728803809732199</v>
      </c>
      <c r="Q1790" t="str">
        <f t="shared" si="54"/>
        <v>15-24</v>
      </c>
      <c r="R1790" t="str">
        <f t="shared" si="55"/>
        <v>[mxqa3CDFmIT]|15-24|Male|PopART.Rt.T_1|CY2023Q3</v>
      </c>
    </row>
    <row r="1791" spans="4:18" x14ac:dyDescent="0.2">
      <c r="D1791" t="s">
        <v>98</v>
      </c>
      <c r="E1791" t="s">
        <v>99</v>
      </c>
      <c r="F1791" t="s">
        <v>100</v>
      </c>
      <c r="G1791" t="s">
        <v>144</v>
      </c>
      <c r="H1791" t="s">
        <v>144</v>
      </c>
      <c r="I1791" t="s">
        <v>40</v>
      </c>
      <c r="J1791" t="s">
        <v>41</v>
      </c>
      <c r="K1791" t="s">
        <v>47</v>
      </c>
      <c r="L1791" t="s">
        <v>48</v>
      </c>
      <c r="M1791" t="s">
        <v>139</v>
      </c>
      <c r="N1791">
        <v>1673</v>
      </c>
      <c r="O1791" s="14">
        <v>0.26860295422375202</v>
      </c>
      <c r="P1791" s="14">
        <v>0.57728803809732199</v>
      </c>
      <c r="Q1791" t="str">
        <f t="shared" si="54"/>
        <v>25-34</v>
      </c>
      <c r="R1791" t="str">
        <f t="shared" si="55"/>
        <v>[mxqa3CDFmIT]|25-34|Male|PopART.Rt.T_1|CY2023Q3</v>
      </c>
    </row>
    <row r="1792" spans="4:18" x14ac:dyDescent="0.2">
      <c r="D1792" t="s">
        <v>98</v>
      </c>
      <c r="E1792" t="s">
        <v>99</v>
      </c>
      <c r="F1792" t="s">
        <v>100</v>
      </c>
      <c r="G1792" t="s">
        <v>144</v>
      </c>
      <c r="H1792" t="s">
        <v>144</v>
      </c>
      <c r="I1792" t="s">
        <v>42</v>
      </c>
      <c r="J1792" t="s">
        <v>43</v>
      </c>
      <c r="K1792" t="s">
        <v>47</v>
      </c>
      <c r="L1792" t="s">
        <v>48</v>
      </c>
      <c r="M1792" t="s">
        <v>139</v>
      </c>
      <c r="N1792">
        <v>1340</v>
      </c>
      <c r="O1792" s="14">
        <v>0.96875420259311795</v>
      </c>
      <c r="P1792" s="14">
        <v>0.57728803809732199</v>
      </c>
      <c r="Q1792" t="str">
        <f t="shared" si="54"/>
        <v>35-49</v>
      </c>
      <c r="R1792" t="str">
        <f t="shared" si="55"/>
        <v>[mxqa3CDFmIT]|35-49|Male|PopART.Rt.T_1|CY2023Q3</v>
      </c>
    </row>
    <row r="1793" spans="4:18" x14ac:dyDescent="0.2">
      <c r="D1793" t="s">
        <v>98</v>
      </c>
      <c r="E1793" t="s">
        <v>99</v>
      </c>
      <c r="F1793" t="s">
        <v>100</v>
      </c>
      <c r="G1793" t="s">
        <v>144</v>
      </c>
      <c r="H1793" t="s">
        <v>144</v>
      </c>
      <c r="I1793" t="s">
        <v>44</v>
      </c>
      <c r="J1793" t="s">
        <v>45</v>
      </c>
      <c r="K1793" t="s">
        <v>47</v>
      </c>
      <c r="L1793" t="s">
        <v>48</v>
      </c>
      <c r="M1793" t="s">
        <v>139</v>
      </c>
      <c r="N1793">
        <v>747</v>
      </c>
      <c r="O1793" s="14">
        <v>0.88923762692138597</v>
      </c>
      <c r="P1793" s="14">
        <v>0.57728803809732199</v>
      </c>
      <c r="Q1793" t="str">
        <f t="shared" si="54"/>
        <v>50+</v>
      </c>
      <c r="R1793" t="str">
        <f t="shared" si="55"/>
        <v>[mxqa3CDFmIT]|50+|Male|PopART.Rt.T_1|CY2023Q3</v>
      </c>
    </row>
    <row r="1794" spans="4:18" x14ac:dyDescent="0.2">
      <c r="D1794" t="s">
        <v>101</v>
      </c>
      <c r="E1794" t="s">
        <v>102</v>
      </c>
      <c r="F1794" t="s">
        <v>103</v>
      </c>
      <c r="G1794" t="s">
        <v>144</v>
      </c>
      <c r="H1794" t="s">
        <v>144</v>
      </c>
      <c r="I1794" t="s">
        <v>27</v>
      </c>
      <c r="J1794" t="s">
        <v>28</v>
      </c>
      <c r="K1794" t="s">
        <v>29</v>
      </c>
      <c r="L1794" t="s">
        <v>30</v>
      </c>
      <c r="M1794" t="s">
        <v>139</v>
      </c>
      <c r="N1794">
        <v>1315</v>
      </c>
      <c r="O1794" s="14">
        <v>8.4045949857682004E-2</v>
      </c>
      <c r="P1794" s="14">
        <v>0.52621235931292198</v>
      </c>
      <c r="Q1794" t="str">
        <f t="shared" ref="Q1794:Q1857" si="56">SUBSTITUTE(SUBSTITUTE($I1794,CHAR(61),""),CHAR(34),"")</f>
        <v>&lt;01</v>
      </c>
      <c r="R1794" t="str">
        <f t="shared" ref="R1794:R1857" si="57">IF($D1794&lt;&gt;"","["&amp;$E1794&amp;"]"&amp;"|"&amp;$Q1794&amp;"|"&amp;$K1794&amp;"|"&amp;$G1794&amp;"|"&amp;IF($G1794="TX_CURR_SUBNAT.R","CY2022Q4",$M1794),"")</f>
        <v>[wNqJp8oRIcF]|&lt;01|Female|PopART.Rt.T_1|CY2023Q3</v>
      </c>
    </row>
    <row r="1795" spans="4:18" x14ac:dyDescent="0.2">
      <c r="D1795" t="s">
        <v>101</v>
      </c>
      <c r="E1795" t="s">
        <v>102</v>
      </c>
      <c r="F1795" t="s">
        <v>103</v>
      </c>
      <c r="G1795" t="s">
        <v>144</v>
      </c>
      <c r="H1795" t="s">
        <v>144</v>
      </c>
      <c r="I1795" t="s">
        <v>32</v>
      </c>
      <c r="J1795" t="s">
        <v>33</v>
      </c>
      <c r="K1795" t="s">
        <v>29</v>
      </c>
      <c r="L1795" t="s">
        <v>30</v>
      </c>
      <c r="M1795" t="s">
        <v>139</v>
      </c>
      <c r="N1795">
        <v>1944</v>
      </c>
      <c r="O1795" s="14">
        <v>0.181224942905828</v>
      </c>
      <c r="P1795" s="14">
        <v>0.52621235931292198</v>
      </c>
      <c r="Q1795" t="str">
        <f t="shared" si="56"/>
        <v>01-09</v>
      </c>
      <c r="R1795" t="str">
        <f t="shared" si="57"/>
        <v>[wNqJp8oRIcF]|01-09|Female|PopART.Rt.T_1|CY2023Q3</v>
      </c>
    </row>
    <row r="1796" spans="4:18" x14ac:dyDescent="0.2">
      <c r="D1796" t="s">
        <v>101</v>
      </c>
      <c r="E1796" t="s">
        <v>102</v>
      </c>
      <c r="F1796" t="s">
        <v>103</v>
      </c>
      <c r="G1796" t="s">
        <v>144</v>
      </c>
      <c r="H1796" t="s">
        <v>144</v>
      </c>
      <c r="I1796" t="s">
        <v>35</v>
      </c>
      <c r="J1796" t="s">
        <v>36</v>
      </c>
      <c r="K1796" t="s">
        <v>29</v>
      </c>
      <c r="L1796" t="s">
        <v>30</v>
      </c>
      <c r="M1796" t="s">
        <v>139</v>
      </c>
      <c r="N1796">
        <v>918</v>
      </c>
      <c r="O1796" s="14">
        <v>0.66677575767971597</v>
      </c>
      <c r="P1796" s="14">
        <v>0.52621235931292198</v>
      </c>
      <c r="Q1796" t="str">
        <f t="shared" si="56"/>
        <v>10-14</v>
      </c>
      <c r="R1796" t="str">
        <f t="shared" si="57"/>
        <v>[wNqJp8oRIcF]|10-14|Female|PopART.Rt.T_1|CY2023Q3</v>
      </c>
    </row>
    <row r="1797" spans="4:18" x14ac:dyDescent="0.2">
      <c r="D1797" t="s">
        <v>101</v>
      </c>
      <c r="E1797" t="s">
        <v>102</v>
      </c>
      <c r="F1797" t="s">
        <v>103</v>
      </c>
      <c r="G1797" t="s">
        <v>144</v>
      </c>
      <c r="H1797" t="s">
        <v>144</v>
      </c>
      <c r="I1797" t="s">
        <v>37</v>
      </c>
      <c r="J1797" t="s">
        <v>38</v>
      </c>
      <c r="K1797" t="s">
        <v>29</v>
      </c>
      <c r="L1797" t="s">
        <v>30</v>
      </c>
      <c r="M1797" t="s">
        <v>139</v>
      </c>
      <c r="N1797">
        <v>1427</v>
      </c>
      <c r="O1797" s="14">
        <v>0.33484434732236001</v>
      </c>
      <c r="P1797" s="14">
        <v>0.52621235931292198</v>
      </c>
      <c r="Q1797" t="str">
        <f t="shared" si="56"/>
        <v>15-24</v>
      </c>
      <c r="R1797" t="str">
        <f t="shared" si="57"/>
        <v>[wNqJp8oRIcF]|15-24|Female|PopART.Rt.T_1|CY2023Q3</v>
      </c>
    </row>
    <row r="1798" spans="4:18" x14ac:dyDescent="0.2">
      <c r="D1798" t="s">
        <v>101</v>
      </c>
      <c r="E1798" t="s">
        <v>102</v>
      </c>
      <c r="F1798" t="s">
        <v>103</v>
      </c>
      <c r="G1798" t="s">
        <v>144</v>
      </c>
      <c r="H1798" t="s">
        <v>144</v>
      </c>
      <c r="I1798" t="s">
        <v>40</v>
      </c>
      <c r="J1798" t="s">
        <v>41</v>
      </c>
      <c r="K1798" t="s">
        <v>29</v>
      </c>
      <c r="L1798" t="s">
        <v>30</v>
      </c>
      <c r="M1798" t="s">
        <v>139</v>
      </c>
      <c r="N1798">
        <v>935</v>
      </c>
      <c r="O1798" s="14">
        <v>0.830048497766256</v>
      </c>
      <c r="P1798" s="14">
        <v>0.52621235931292198</v>
      </c>
      <c r="Q1798" t="str">
        <f t="shared" si="56"/>
        <v>25-34</v>
      </c>
      <c r="R1798" t="str">
        <f t="shared" si="57"/>
        <v>[wNqJp8oRIcF]|25-34|Female|PopART.Rt.T_1|CY2023Q3</v>
      </c>
    </row>
    <row r="1799" spans="4:18" x14ac:dyDescent="0.2">
      <c r="D1799" t="s">
        <v>101</v>
      </c>
      <c r="E1799" t="s">
        <v>102</v>
      </c>
      <c r="F1799" t="s">
        <v>103</v>
      </c>
      <c r="G1799" t="s">
        <v>144</v>
      </c>
      <c r="H1799" t="s">
        <v>144</v>
      </c>
      <c r="I1799" t="s">
        <v>42</v>
      </c>
      <c r="J1799" t="s">
        <v>43</v>
      </c>
      <c r="K1799" t="s">
        <v>29</v>
      </c>
      <c r="L1799" t="s">
        <v>30</v>
      </c>
      <c r="M1799" t="s">
        <v>139</v>
      </c>
      <c r="N1799">
        <v>1672</v>
      </c>
      <c r="O1799" s="14">
        <v>0.425208022119477</v>
      </c>
      <c r="P1799" s="14">
        <v>0.52621235931292198</v>
      </c>
      <c r="Q1799" t="str">
        <f t="shared" si="56"/>
        <v>35-49</v>
      </c>
      <c r="R1799" t="str">
        <f t="shared" si="57"/>
        <v>[wNqJp8oRIcF]|35-49|Female|PopART.Rt.T_1|CY2023Q3</v>
      </c>
    </row>
    <row r="1800" spans="4:18" x14ac:dyDescent="0.2">
      <c r="D1800" t="s">
        <v>101</v>
      </c>
      <c r="E1800" t="s">
        <v>102</v>
      </c>
      <c r="F1800" t="s">
        <v>103</v>
      </c>
      <c r="G1800" t="s">
        <v>144</v>
      </c>
      <c r="H1800" t="s">
        <v>144</v>
      </c>
      <c r="I1800" t="s">
        <v>44</v>
      </c>
      <c r="J1800" t="s">
        <v>45</v>
      </c>
      <c r="K1800" t="s">
        <v>29</v>
      </c>
      <c r="L1800" t="s">
        <v>30</v>
      </c>
      <c r="M1800" t="s">
        <v>139</v>
      </c>
      <c r="N1800">
        <v>1191</v>
      </c>
      <c r="O1800" s="14">
        <v>0.67917333659715995</v>
      </c>
      <c r="P1800" s="14">
        <v>0.52621235931292198</v>
      </c>
      <c r="Q1800" t="str">
        <f t="shared" si="56"/>
        <v>50+</v>
      </c>
      <c r="R1800" t="str">
        <f t="shared" si="57"/>
        <v>[wNqJp8oRIcF]|50+|Female|PopART.Rt.T_1|CY2023Q3</v>
      </c>
    </row>
    <row r="1801" spans="4:18" x14ac:dyDescent="0.2">
      <c r="D1801" t="s">
        <v>101</v>
      </c>
      <c r="E1801" t="s">
        <v>102</v>
      </c>
      <c r="F1801" t="s">
        <v>103</v>
      </c>
      <c r="G1801" t="s">
        <v>144</v>
      </c>
      <c r="H1801" t="s">
        <v>144</v>
      </c>
      <c r="I1801" t="s">
        <v>27</v>
      </c>
      <c r="J1801" t="s">
        <v>28</v>
      </c>
      <c r="K1801" t="s">
        <v>47</v>
      </c>
      <c r="L1801" t="s">
        <v>48</v>
      </c>
      <c r="M1801" t="s">
        <v>139</v>
      </c>
      <c r="N1801">
        <v>1250</v>
      </c>
      <c r="O1801" s="14">
        <v>0.89709500921890095</v>
      </c>
      <c r="P1801" s="14">
        <v>0.52621235931292198</v>
      </c>
      <c r="Q1801" t="str">
        <f t="shared" si="56"/>
        <v>&lt;01</v>
      </c>
      <c r="R1801" t="str">
        <f t="shared" si="57"/>
        <v>[wNqJp8oRIcF]|&lt;01|Male|PopART.Rt.T_1|CY2023Q3</v>
      </c>
    </row>
    <row r="1802" spans="4:18" x14ac:dyDescent="0.2">
      <c r="D1802" t="s">
        <v>101</v>
      </c>
      <c r="E1802" t="s">
        <v>102</v>
      </c>
      <c r="F1802" t="s">
        <v>103</v>
      </c>
      <c r="G1802" t="s">
        <v>144</v>
      </c>
      <c r="H1802" t="s">
        <v>144</v>
      </c>
      <c r="I1802" t="s">
        <v>32</v>
      </c>
      <c r="J1802" t="s">
        <v>33</v>
      </c>
      <c r="K1802" t="s">
        <v>47</v>
      </c>
      <c r="L1802" t="s">
        <v>48</v>
      </c>
      <c r="M1802" t="s">
        <v>139</v>
      </c>
      <c r="N1802">
        <v>582</v>
      </c>
      <c r="O1802" s="14">
        <v>9.7011766396462903E-2</v>
      </c>
      <c r="P1802" s="14">
        <v>0.52621235931292198</v>
      </c>
      <c r="Q1802" t="str">
        <f t="shared" si="56"/>
        <v>01-09</v>
      </c>
      <c r="R1802" t="str">
        <f t="shared" si="57"/>
        <v>[wNqJp8oRIcF]|01-09|Male|PopART.Rt.T_1|CY2023Q3</v>
      </c>
    </row>
    <row r="1803" spans="4:18" x14ac:dyDescent="0.2">
      <c r="D1803" t="s">
        <v>101</v>
      </c>
      <c r="E1803" t="s">
        <v>102</v>
      </c>
      <c r="F1803" t="s">
        <v>103</v>
      </c>
      <c r="G1803" t="s">
        <v>144</v>
      </c>
      <c r="H1803" t="s">
        <v>144</v>
      </c>
      <c r="I1803" t="s">
        <v>35</v>
      </c>
      <c r="J1803" t="s">
        <v>36</v>
      </c>
      <c r="K1803" t="s">
        <v>47</v>
      </c>
      <c r="L1803" t="s">
        <v>48</v>
      </c>
      <c r="M1803" t="s">
        <v>139</v>
      </c>
      <c r="N1803">
        <v>1859</v>
      </c>
      <c r="O1803" s="14">
        <v>0.51493233465589605</v>
      </c>
      <c r="P1803" s="14">
        <v>0.52621235931292198</v>
      </c>
      <c r="Q1803" t="str">
        <f t="shared" si="56"/>
        <v>10-14</v>
      </c>
      <c r="R1803" t="str">
        <f t="shared" si="57"/>
        <v>[wNqJp8oRIcF]|10-14|Male|PopART.Rt.T_1|CY2023Q3</v>
      </c>
    </row>
    <row r="1804" spans="4:18" x14ac:dyDescent="0.2">
      <c r="D1804" t="s">
        <v>101</v>
      </c>
      <c r="E1804" t="s">
        <v>102</v>
      </c>
      <c r="F1804" t="s">
        <v>103</v>
      </c>
      <c r="G1804" t="s">
        <v>144</v>
      </c>
      <c r="H1804" t="s">
        <v>144</v>
      </c>
      <c r="I1804" t="s">
        <v>37</v>
      </c>
      <c r="J1804" t="s">
        <v>38</v>
      </c>
      <c r="K1804" t="s">
        <v>47</v>
      </c>
      <c r="L1804" t="s">
        <v>48</v>
      </c>
      <c r="M1804" t="s">
        <v>139</v>
      </c>
      <c r="N1804">
        <v>636</v>
      </c>
      <c r="O1804" s="14">
        <v>0.95338645228184804</v>
      </c>
      <c r="P1804" s="14">
        <v>0.52621235931292198</v>
      </c>
      <c r="Q1804" t="str">
        <f t="shared" si="56"/>
        <v>15-24</v>
      </c>
      <c r="R1804" t="str">
        <f t="shared" si="57"/>
        <v>[wNqJp8oRIcF]|15-24|Male|PopART.Rt.T_1|CY2023Q3</v>
      </c>
    </row>
    <row r="1805" spans="4:18" x14ac:dyDescent="0.2">
      <c r="D1805" t="s">
        <v>101</v>
      </c>
      <c r="E1805" t="s">
        <v>102</v>
      </c>
      <c r="F1805" t="s">
        <v>103</v>
      </c>
      <c r="G1805" t="s">
        <v>144</v>
      </c>
      <c r="H1805" t="s">
        <v>144</v>
      </c>
      <c r="I1805" t="s">
        <v>40</v>
      </c>
      <c r="J1805" t="s">
        <v>41</v>
      </c>
      <c r="K1805" t="s">
        <v>47</v>
      </c>
      <c r="L1805" t="s">
        <v>48</v>
      </c>
      <c r="M1805" t="s">
        <v>139</v>
      </c>
      <c r="N1805">
        <v>635</v>
      </c>
      <c r="O1805" s="14">
        <v>0.498190157115459</v>
      </c>
      <c r="P1805" s="14">
        <v>0.52621235931292198</v>
      </c>
      <c r="Q1805" t="str">
        <f t="shared" si="56"/>
        <v>25-34</v>
      </c>
      <c r="R1805" t="str">
        <f t="shared" si="57"/>
        <v>[wNqJp8oRIcF]|25-34|Male|PopART.Rt.T_1|CY2023Q3</v>
      </c>
    </row>
    <row r="1806" spans="4:18" x14ac:dyDescent="0.2">
      <c r="D1806" t="s">
        <v>101</v>
      </c>
      <c r="E1806" t="s">
        <v>102</v>
      </c>
      <c r="F1806" t="s">
        <v>103</v>
      </c>
      <c r="G1806" t="s">
        <v>144</v>
      </c>
      <c r="H1806" t="s">
        <v>144</v>
      </c>
      <c r="I1806" t="s">
        <v>42</v>
      </c>
      <c r="J1806" t="s">
        <v>43</v>
      </c>
      <c r="K1806" t="s">
        <v>47</v>
      </c>
      <c r="L1806" t="s">
        <v>48</v>
      </c>
      <c r="M1806" t="s">
        <v>139</v>
      </c>
      <c r="N1806">
        <v>1010</v>
      </c>
      <c r="O1806" s="14">
        <v>0.259016105206683</v>
      </c>
      <c r="P1806" s="14">
        <v>0.52621235931292198</v>
      </c>
      <c r="Q1806" t="str">
        <f t="shared" si="56"/>
        <v>35-49</v>
      </c>
      <c r="R1806" t="str">
        <f t="shared" si="57"/>
        <v>[wNqJp8oRIcF]|35-49|Male|PopART.Rt.T_1|CY2023Q3</v>
      </c>
    </row>
    <row r="1807" spans="4:18" x14ac:dyDescent="0.2">
      <c r="D1807" t="s">
        <v>101</v>
      </c>
      <c r="E1807" t="s">
        <v>102</v>
      </c>
      <c r="F1807" t="s">
        <v>103</v>
      </c>
      <c r="G1807" t="s">
        <v>144</v>
      </c>
      <c r="H1807" t="s">
        <v>144</v>
      </c>
      <c r="I1807" t="s">
        <v>44</v>
      </c>
      <c r="J1807" t="s">
        <v>45</v>
      </c>
      <c r="K1807" t="s">
        <v>47</v>
      </c>
      <c r="L1807" t="s">
        <v>48</v>
      </c>
      <c r="M1807" t="s">
        <v>139</v>
      </c>
      <c r="N1807">
        <v>1772</v>
      </c>
      <c r="O1807" s="14">
        <v>3.2173151616007097E-2</v>
      </c>
      <c r="P1807" s="14">
        <v>0.52621235931292198</v>
      </c>
      <c r="Q1807" t="str">
        <f t="shared" si="56"/>
        <v>50+</v>
      </c>
      <c r="R1807" t="str">
        <f t="shared" si="57"/>
        <v>[wNqJp8oRIcF]|50+|Male|PopART.Rt.T_1|CY2023Q3</v>
      </c>
    </row>
    <row r="1808" spans="4:18" x14ac:dyDescent="0.2">
      <c r="D1808" t="s">
        <v>104</v>
      </c>
      <c r="E1808" t="s">
        <v>105</v>
      </c>
      <c r="F1808" t="s">
        <v>106</v>
      </c>
      <c r="G1808" t="s">
        <v>144</v>
      </c>
      <c r="H1808" t="s">
        <v>144</v>
      </c>
      <c r="I1808" t="s">
        <v>27</v>
      </c>
      <c r="J1808" t="s">
        <v>28</v>
      </c>
      <c r="K1808" t="s">
        <v>29</v>
      </c>
      <c r="L1808" t="s">
        <v>30</v>
      </c>
      <c r="M1808" t="s">
        <v>139</v>
      </c>
      <c r="N1808">
        <v>1367</v>
      </c>
      <c r="O1808" s="14">
        <v>0.30094123003072998</v>
      </c>
      <c r="P1808" s="14">
        <v>0.21824956033378801</v>
      </c>
      <c r="Q1808" t="str">
        <f t="shared" si="56"/>
        <v>&lt;01</v>
      </c>
      <c r="R1808" t="str">
        <f t="shared" si="57"/>
        <v>[oiPR2CiVJbf]|&lt;01|Female|PopART.Rt.T_1|CY2023Q3</v>
      </c>
    </row>
    <row r="1809" spans="4:18" x14ac:dyDescent="0.2">
      <c r="D1809" t="s">
        <v>104</v>
      </c>
      <c r="E1809" t="s">
        <v>105</v>
      </c>
      <c r="F1809" t="s">
        <v>106</v>
      </c>
      <c r="G1809" t="s">
        <v>144</v>
      </c>
      <c r="H1809" t="s">
        <v>144</v>
      </c>
      <c r="I1809" t="s">
        <v>32</v>
      </c>
      <c r="J1809" t="s">
        <v>33</v>
      </c>
      <c r="K1809" t="s">
        <v>29</v>
      </c>
      <c r="L1809" t="s">
        <v>30</v>
      </c>
      <c r="M1809" t="s">
        <v>139</v>
      </c>
      <c r="N1809">
        <v>607</v>
      </c>
      <c r="O1809" s="14">
        <v>0.32961431285366399</v>
      </c>
      <c r="P1809" s="14">
        <v>0.21824956033378801</v>
      </c>
      <c r="Q1809" t="str">
        <f t="shared" si="56"/>
        <v>01-09</v>
      </c>
      <c r="R1809" t="str">
        <f t="shared" si="57"/>
        <v>[oiPR2CiVJbf]|01-09|Female|PopART.Rt.T_1|CY2023Q3</v>
      </c>
    </row>
    <row r="1810" spans="4:18" x14ac:dyDescent="0.2">
      <c r="D1810" t="s">
        <v>104</v>
      </c>
      <c r="E1810" t="s">
        <v>105</v>
      </c>
      <c r="F1810" t="s">
        <v>106</v>
      </c>
      <c r="G1810" t="s">
        <v>144</v>
      </c>
      <c r="H1810" t="s">
        <v>144</v>
      </c>
      <c r="I1810" t="s">
        <v>35</v>
      </c>
      <c r="J1810" t="s">
        <v>36</v>
      </c>
      <c r="K1810" t="s">
        <v>29</v>
      </c>
      <c r="L1810" t="s">
        <v>30</v>
      </c>
      <c r="M1810" t="s">
        <v>139</v>
      </c>
      <c r="N1810">
        <v>1675</v>
      </c>
      <c r="O1810" s="14">
        <v>0.803520855493844</v>
      </c>
      <c r="P1810" s="14">
        <v>0.21824956033378801</v>
      </c>
      <c r="Q1810" t="str">
        <f t="shared" si="56"/>
        <v>10-14</v>
      </c>
      <c r="R1810" t="str">
        <f t="shared" si="57"/>
        <v>[oiPR2CiVJbf]|10-14|Female|PopART.Rt.T_1|CY2023Q3</v>
      </c>
    </row>
    <row r="1811" spans="4:18" x14ac:dyDescent="0.2">
      <c r="D1811" t="s">
        <v>104</v>
      </c>
      <c r="E1811" t="s">
        <v>105</v>
      </c>
      <c r="F1811" t="s">
        <v>106</v>
      </c>
      <c r="G1811" t="s">
        <v>144</v>
      </c>
      <c r="H1811" t="s">
        <v>144</v>
      </c>
      <c r="I1811" t="s">
        <v>37</v>
      </c>
      <c r="J1811" t="s">
        <v>38</v>
      </c>
      <c r="K1811" t="s">
        <v>29</v>
      </c>
      <c r="L1811" t="s">
        <v>30</v>
      </c>
      <c r="M1811" t="s">
        <v>139</v>
      </c>
      <c r="N1811">
        <v>1181</v>
      </c>
      <c r="O1811" s="14">
        <v>0.96787442429922499</v>
      </c>
      <c r="P1811" s="14">
        <v>0.21824956033378801</v>
      </c>
      <c r="Q1811" t="str">
        <f t="shared" si="56"/>
        <v>15-24</v>
      </c>
      <c r="R1811" t="str">
        <f t="shared" si="57"/>
        <v>[oiPR2CiVJbf]|15-24|Female|PopART.Rt.T_1|CY2023Q3</v>
      </c>
    </row>
    <row r="1812" spans="4:18" x14ac:dyDescent="0.2">
      <c r="D1812" t="s">
        <v>104</v>
      </c>
      <c r="E1812" t="s">
        <v>105</v>
      </c>
      <c r="F1812" t="s">
        <v>106</v>
      </c>
      <c r="G1812" t="s">
        <v>144</v>
      </c>
      <c r="H1812" t="s">
        <v>144</v>
      </c>
      <c r="I1812" t="s">
        <v>40</v>
      </c>
      <c r="J1812" t="s">
        <v>41</v>
      </c>
      <c r="K1812" t="s">
        <v>29</v>
      </c>
      <c r="L1812" t="s">
        <v>30</v>
      </c>
      <c r="M1812" t="s">
        <v>139</v>
      </c>
      <c r="N1812">
        <v>873</v>
      </c>
      <c r="O1812" s="14">
        <v>0.55203402298502602</v>
      </c>
      <c r="P1812" s="14">
        <v>0.21824956033378801</v>
      </c>
      <c r="Q1812" t="str">
        <f t="shared" si="56"/>
        <v>25-34</v>
      </c>
      <c r="R1812" t="str">
        <f t="shared" si="57"/>
        <v>[oiPR2CiVJbf]|25-34|Female|PopART.Rt.T_1|CY2023Q3</v>
      </c>
    </row>
    <row r="1813" spans="4:18" x14ac:dyDescent="0.2">
      <c r="D1813" t="s">
        <v>104</v>
      </c>
      <c r="E1813" t="s">
        <v>105</v>
      </c>
      <c r="F1813" t="s">
        <v>106</v>
      </c>
      <c r="G1813" t="s">
        <v>144</v>
      </c>
      <c r="H1813" t="s">
        <v>144</v>
      </c>
      <c r="I1813" t="s">
        <v>42</v>
      </c>
      <c r="J1813" t="s">
        <v>43</v>
      </c>
      <c r="K1813" t="s">
        <v>29</v>
      </c>
      <c r="L1813" t="s">
        <v>30</v>
      </c>
      <c r="M1813" t="s">
        <v>139</v>
      </c>
      <c r="N1813">
        <v>1122</v>
      </c>
      <c r="O1813" s="14">
        <v>0.36391510302200902</v>
      </c>
      <c r="P1813" s="14">
        <v>0.21824956033378801</v>
      </c>
      <c r="Q1813" t="str">
        <f t="shared" si="56"/>
        <v>35-49</v>
      </c>
      <c r="R1813" t="str">
        <f t="shared" si="57"/>
        <v>[oiPR2CiVJbf]|35-49|Female|PopART.Rt.T_1|CY2023Q3</v>
      </c>
    </row>
    <row r="1814" spans="4:18" x14ac:dyDescent="0.2">
      <c r="D1814" t="s">
        <v>104</v>
      </c>
      <c r="E1814" t="s">
        <v>105</v>
      </c>
      <c r="F1814" t="s">
        <v>106</v>
      </c>
      <c r="G1814" t="s">
        <v>144</v>
      </c>
      <c r="H1814" t="s">
        <v>144</v>
      </c>
      <c r="I1814" t="s">
        <v>44</v>
      </c>
      <c r="J1814" t="s">
        <v>45</v>
      </c>
      <c r="K1814" t="s">
        <v>29</v>
      </c>
      <c r="L1814" t="s">
        <v>30</v>
      </c>
      <c r="M1814" t="s">
        <v>139</v>
      </c>
      <c r="N1814">
        <v>1159</v>
      </c>
      <c r="O1814" s="14">
        <v>0.56061707553453699</v>
      </c>
      <c r="P1814" s="14">
        <v>0.21824956033378801</v>
      </c>
      <c r="Q1814" t="str">
        <f t="shared" si="56"/>
        <v>50+</v>
      </c>
      <c r="R1814" t="str">
        <f t="shared" si="57"/>
        <v>[oiPR2CiVJbf]|50+|Female|PopART.Rt.T_1|CY2023Q3</v>
      </c>
    </row>
    <row r="1815" spans="4:18" x14ac:dyDescent="0.2">
      <c r="D1815" t="s">
        <v>104</v>
      </c>
      <c r="E1815" t="s">
        <v>105</v>
      </c>
      <c r="F1815" t="s">
        <v>106</v>
      </c>
      <c r="G1815" t="s">
        <v>144</v>
      </c>
      <c r="H1815" t="s">
        <v>144</v>
      </c>
      <c r="I1815" t="s">
        <v>27</v>
      </c>
      <c r="J1815" t="s">
        <v>28</v>
      </c>
      <c r="K1815" t="s">
        <v>47</v>
      </c>
      <c r="L1815" t="s">
        <v>48</v>
      </c>
      <c r="M1815" t="s">
        <v>139</v>
      </c>
      <c r="N1815">
        <v>1311</v>
      </c>
      <c r="O1815" s="14">
        <v>0.59633083851076696</v>
      </c>
      <c r="P1815" s="14">
        <v>0.21824956033378801</v>
      </c>
      <c r="Q1815" t="str">
        <f t="shared" si="56"/>
        <v>&lt;01</v>
      </c>
      <c r="R1815" t="str">
        <f t="shared" si="57"/>
        <v>[oiPR2CiVJbf]|&lt;01|Male|PopART.Rt.T_1|CY2023Q3</v>
      </c>
    </row>
    <row r="1816" spans="4:18" x14ac:dyDescent="0.2">
      <c r="D1816" t="s">
        <v>104</v>
      </c>
      <c r="E1816" t="s">
        <v>105</v>
      </c>
      <c r="F1816" t="s">
        <v>106</v>
      </c>
      <c r="G1816" t="s">
        <v>144</v>
      </c>
      <c r="H1816" t="s">
        <v>144</v>
      </c>
      <c r="I1816" t="s">
        <v>32</v>
      </c>
      <c r="J1816" t="s">
        <v>33</v>
      </c>
      <c r="K1816" t="s">
        <v>47</v>
      </c>
      <c r="L1816" t="s">
        <v>48</v>
      </c>
      <c r="M1816" t="s">
        <v>139</v>
      </c>
      <c r="N1816">
        <v>1387</v>
      </c>
      <c r="O1816" s="14">
        <v>0.113565583014861</v>
      </c>
      <c r="P1816" s="14">
        <v>0.21824956033378801</v>
      </c>
      <c r="Q1816" t="str">
        <f t="shared" si="56"/>
        <v>01-09</v>
      </c>
      <c r="R1816" t="str">
        <f t="shared" si="57"/>
        <v>[oiPR2CiVJbf]|01-09|Male|PopART.Rt.T_1|CY2023Q3</v>
      </c>
    </row>
    <row r="1817" spans="4:18" x14ac:dyDescent="0.2">
      <c r="D1817" t="s">
        <v>104</v>
      </c>
      <c r="E1817" t="s">
        <v>105</v>
      </c>
      <c r="F1817" t="s">
        <v>106</v>
      </c>
      <c r="G1817" t="s">
        <v>144</v>
      </c>
      <c r="H1817" t="s">
        <v>144</v>
      </c>
      <c r="I1817" t="s">
        <v>35</v>
      </c>
      <c r="J1817" t="s">
        <v>36</v>
      </c>
      <c r="K1817" t="s">
        <v>47</v>
      </c>
      <c r="L1817" t="s">
        <v>48</v>
      </c>
      <c r="M1817" t="s">
        <v>139</v>
      </c>
      <c r="N1817">
        <v>1851</v>
      </c>
      <c r="O1817" s="14">
        <v>0.93704280140809704</v>
      </c>
      <c r="P1817" s="14">
        <v>0.21824956033378801</v>
      </c>
      <c r="Q1817" t="str">
        <f t="shared" si="56"/>
        <v>10-14</v>
      </c>
      <c r="R1817" t="str">
        <f t="shared" si="57"/>
        <v>[oiPR2CiVJbf]|10-14|Male|PopART.Rt.T_1|CY2023Q3</v>
      </c>
    </row>
    <row r="1818" spans="4:18" x14ac:dyDescent="0.2">
      <c r="D1818" t="s">
        <v>104</v>
      </c>
      <c r="E1818" t="s">
        <v>105</v>
      </c>
      <c r="F1818" t="s">
        <v>106</v>
      </c>
      <c r="G1818" t="s">
        <v>144</v>
      </c>
      <c r="H1818" t="s">
        <v>144</v>
      </c>
      <c r="I1818" t="s">
        <v>37</v>
      </c>
      <c r="J1818" t="s">
        <v>38</v>
      </c>
      <c r="K1818" t="s">
        <v>47</v>
      </c>
      <c r="L1818" t="s">
        <v>48</v>
      </c>
      <c r="M1818" t="s">
        <v>139</v>
      </c>
      <c r="N1818">
        <v>1765</v>
      </c>
      <c r="O1818" s="14">
        <v>6.8836949998512906E-2</v>
      </c>
      <c r="P1818" s="14">
        <v>0.21824956033378801</v>
      </c>
      <c r="Q1818" t="str">
        <f t="shared" si="56"/>
        <v>15-24</v>
      </c>
      <c r="R1818" t="str">
        <f t="shared" si="57"/>
        <v>[oiPR2CiVJbf]|15-24|Male|PopART.Rt.T_1|CY2023Q3</v>
      </c>
    </row>
    <row r="1819" spans="4:18" x14ac:dyDescent="0.2">
      <c r="D1819" t="s">
        <v>104</v>
      </c>
      <c r="E1819" t="s">
        <v>105</v>
      </c>
      <c r="F1819" t="s">
        <v>106</v>
      </c>
      <c r="G1819" t="s">
        <v>144</v>
      </c>
      <c r="H1819" t="s">
        <v>144</v>
      </c>
      <c r="I1819" t="s">
        <v>40</v>
      </c>
      <c r="J1819" t="s">
        <v>41</v>
      </c>
      <c r="K1819" t="s">
        <v>47</v>
      </c>
      <c r="L1819" t="s">
        <v>48</v>
      </c>
      <c r="M1819" t="s">
        <v>139</v>
      </c>
      <c r="N1819">
        <v>759</v>
      </c>
      <c r="O1819" s="14">
        <v>0.65656940639019001</v>
      </c>
      <c r="P1819" s="14">
        <v>0.21824956033378801</v>
      </c>
      <c r="Q1819" t="str">
        <f t="shared" si="56"/>
        <v>25-34</v>
      </c>
      <c r="R1819" t="str">
        <f t="shared" si="57"/>
        <v>[oiPR2CiVJbf]|25-34|Male|PopART.Rt.T_1|CY2023Q3</v>
      </c>
    </row>
    <row r="1820" spans="4:18" x14ac:dyDescent="0.2">
      <c r="D1820" t="s">
        <v>104</v>
      </c>
      <c r="E1820" t="s">
        <v>105</v>
      </c>
      <c r="F1820" t="s">
        <v>106</v>
      </c>
      <c r="G1820" t="s">
        <v>144</v>
      </c>
      <c r="H1820" t="s">
        <v>144</v>
      </c>
      <c r="I1820" t="s">
        <v>42</v>
      </c>
      <c r="J1820" t="s">
        <v>43</v>
      </c>
      <c r="K1820" t="s">
        <v>47</v>
      </c>
      <c r="L1820" t="s">
        <v>48</v>
      </c>
      <c r="M1820" t="s">
        <v>139</v>
      </c>
      <c r="N1820">
        <v>1258</v>
      </c>
      <c r="O1820" s="14">
        <v>0.16162198036909101</v>
      </c>
      <c r="P1820" s="14">
        <v>0.21824956033378801</v>
      </c>
      <c r="Q1820" t="str">
        <f t="shared" si="56"/>
        <v>35-49</v>
      </c>
      <c r="R1820" t="str">
        <f t="shared" si="57"/>
        <v>[oiPR2CiVJbf]|35-49|Male|PopART.Rt.T_1|CY2023Q3</v>
      </c>
    </row>
    <row r="1821" spans="4:18" x14ac:dyDescent="0.2">
      <c r="D1821" t="s">
        <v>104</v>
      </c>
      <c r="E1821" t="s">
        <v>105</v>
      </c>
      <c r="F1821" t="s">
        <v>106</v>
      </c>
      <c r="G1821" t="s">
        <v>144</v>
      </c>
      <c r="H1821" t="s">
        <v>144</v>
      </c>
      <c r="I1821" t="s">
        <v>44</v>
      </c>
      <c r="J1821" t="s">
        <v>45</v>
      </c>
      <c r="K1821" t="s">
        <v>47</v>
      </c>
      <c r="L1821" t="s">
        <v>48</v>
      </c>
      <c r="M1821" t="s">
        <v>139</v>
      </c>
      <c r="N1821">
        <v>1792</v>
      </c>
      <c r="O1821" s="14">
        <v>0.256210383959115</v>
      </c>
      <c r="P1821" s="14">
        <v>0.21824956033378801</v>
      </c>
      <c r="Q1821" t="str">
        <f t="shared" si="56"/>
        <v>50+</v>
      </c>
      <c r="R1821" t="str">
        <f t="shared" si="57"/>
        <v>[oiPR2CiVJbf]|50+|Male|PopART.Rt.T_1|CY2023Q3</v>
      </c>
    </row>
    <row r="1822" spans="4:18" x14ac:dyDescent="0.2">
      <c r="D1822" t="s">
        <v>107</v>
      </c>
      <c r="E1822" t="s">
        <v>108</v>
      </c>
      <c r="F1822" t="s">
        <v>109</v>
      </c>
      <c r="G1822" t="s">
        <v>144</v>
      </c>
      <c r="H1822" t="s">
        <v>144</v>
      </c>
      <c r="I1822" t="s">
        <v>27</v>
      </c>
      <c r="J1822" t="s">
        <v>28</v>
      </c>
      <c r="K1822" t="s">
        <v>29</v>
      </c>
      <c r="L1822" t="s">
        <v>30</v>
      </c>
      <c r="M1822" t="s">
        <v>139</v>
      </c>
      <c r="N1822">
        <v>1051</v>
      </c>
      <c r="O1822" s="14">
        <v>5.2734445082023698E-2</v>
      </c>
      <c r="P1822" s="14">
        <v>0.43422180437482899</v>
      </c>
      <c r="Q1822" t="str">
        <f t="shared" si="56"/>
        <v>&lt;01</v>
      </c>
      <c r="R1822" t="str">
        <f t="shared" si="57"/>
        <v>[ul0y9diGujK]|&lt;01|Female|PopART.Rt.T_1|CY2023Q3</v>
      </c>
    </row>
    <row r="1823" spans="4:18" x14ac:dyDescent="0.2">
      <c r="D1823" t="s">
        <v>107</v>
      </c>
      <c r="E1823" t="s">
        <v>108</v>
      </c>
      <c r="F1823" t="s">
        <v>109</v>
      </c>
      <c r="G1823" t="s">
        <v>144</v>
      </c>
      <c r="H1823" t="s">
        <v>144</v>
      </c>
      <c r="I1823" t="s">
        <v>32</v>
      </c>
      <c r="J1823" t="s">
        <v>33</v>
      </c>
      <c r="K1823" t="s">
        <v>29</v>
      </c>
      <c r="L1823" t="s">
        <v>30</v>
      </c>
      <c r="M1823" t="s">
        <v>139</v>
      </c>
      <c r="N1823">
        <v>1921</v>
      </c>
      <c r="O1823" s="14">
        <v>0.44697296433150802</v>
      </c>
      <c r="P1823" s="14">
        <v>0.43422180437482899</v>
      </c>
      <c r="Q1823" t="str">
        <f t="shared" si="56"/>
        <v>01-09</v>
      </c>
      <c r="R1823" t="str">
        <f t="shared" si="57"/>
        <v>[ul0y9diGujK]|01-09|Female|PopART.Rt.T_1|CY2023Q3</v>
      </c>
    </row>
    <row r="1824" spans="4:18" x14ac:dyDescent="0.2">
      <c r="D1824" t="s">
        <v>107</v>
      </c>
      <c r="E1824" t="s">
        <v>108</v>
      </c>
      <c r="F1824" t="s">
        <v>109</v>
      </c>
      <c r="G1824" t="s">
        <v>144</v>
      </c>
      <c r="H1824" t="s">
        <v>144</v>
      </c>
      <c r="I1824" t="s">
        <v>35</v>
      </c>
      <c r="J1824" t="s">
        <v>36</v>
      </c>
      <c r="K1824" t="s">
        <v>29</v>
      </c>
      <c r="L1824" t="s">
        <v>30</v>
      </c>
      <c r="M1824" t="s">
        <v>139</v>
      </c>
      <c r="N1824">
        <v>680</v>
      </c>
      <c r="O1824" s="14">
        <v>0.63896215939894296</v>
      </c>
      <c r="P1824" s="14">
        <v>0.43422180437482899</v>
      </c>
      <c r="Q1824" t="str">
        <f t="shared" si="56"/>
        <v>10-14</v>
      </c>
      <c r="R1824" t="str">
        <f t="shared" si="57"/>
        <v>[ul0y9diGujK]|10-14|Female|PopART.Rt.T_1|CY2023Q3</v>
      </c>
    </row>
    <row r="1825" spans="4:18" x14ac:dyDescent="0.2">
      <c r="D1825" t="s">
        <v>107</v>
      </c>
      <c r="E1825" t="s">
        <v>108</v>
      </c>
      <c r="F1825" t="s">
        <v>109</v>
      </c>
      <c r="G1825" t="s">
        <v>144</v>
      </c>
      <c r="H1825" t="s">
        <v>144</v>
      </c>
      <c r="I1825" t="s">
        <v>37</v>
      </c>
      <c r="J1825" t="s">
        <v>38</v>
      </c>
      <c r="K1825" t="s">
        <v>29</v>
      </c>
      <c r="L1825" t="s">
        <v>30</v>
      </c>
      <c r="M1825" t="s">
        <v>139</v>
      </c>
      <c r="N1825">
        <v>1462</v>
      </c>
      <c r="O1825" s="14">
        <v>0.16829659300856301</v>
      </c>
      <c r="P1825" s="14">
        <v>0.43422180437482899</v>
      </c>
      <c r="Q1825" t="str">
        <f t="shared" si="56"/>
        <v>15-24</v>
      </c>
      <c r="R1825" t="str">
        <f t="shared" si="57"/>
        <v>[ul0y9diGujK]|15-24|Female|PopART.Rt.T_1|CY2023Q3</v>
      </c>
    </row>
    <row r="1826" spans="4:18" x14ac:dyDescent="0.2">
      <c r="D1826" t="s">
        <v>107</v>
      </c>
      <c r="E1826" t="s">
        <v>108</v>
      </c>
      <c r="F1826" t="s">
        <v>109</v>
      </c>
      <c r="G1826" t="s">
        <v>144</v>
      </c>
      <c r="H1826" t="s">
        <v>144</v>
      </c>
      <c r="I1826" t="s">
        <v>40</v>
      </c>
      <c r="J1826" t="s">
        <v>41</v>
      </c>
      <c r="K1826" t="s">
        <v>29</v>
      </c>
      <c r="L1826" t="s">
        <v>30</v>
      </c>
      <c r="M1826" t="s">
        <v>139</v>
      </c>
      <c r="N1826">
        <v>1158</v>
      </c>
      <c r="O1826" s="14">
        <v>0.82284401846118305</v>
      </c>
      <c r="P1826" s="14">
        <v>0.43422180437482899</v>
      </c>
      <c r="Q1826" t="str">
        <f t="shared" si="56"/>
        <v>25-34</v>
      </c>
      <c r="R1826" t="str">
        <f t="shared" si="57"/>
        <v>[ul0y9diGujK]|25-34|Female|PopART.Rt.T_1|CY2023Q3</v>
      </c>
    </row>
    <row r="1827" spans="4:18" x14ac:dyDescent="0.2">
      <c r="D1827" t="s">
        <v>107</v>
      </c>
      <c r="E1827" t="s">
        <v>108</v>
      </c>
      <c r="F1827" t="s">
        <v>109</v>
      </c>
      <c r="G1827" t="s">
        <v>144</v>
      </c>
      <c r="H1827" t="s">
        <v>144</v>
      </c>
      <c r="I1827" t="s">
        <v>42</v>
      </c>
      <c r="J1827" t="s">
        <v>43</v>
      </c>
      <c r="K1827" t="s">
        <v>29</v>
      </c>
      <c r="L1827" t="s">
        <v>30</v>
      </c>
      <c r="M1827" t="s">
        <v>139</v>
      </c>
      <c r="N1827">
        <v>508</v>
      </c>
      <c r="O1827" s="14">
        <v>0.35484624980017498</v>
      </c>
      <c r="P1827" s="14">
        <v>0.43422180437482899</v>
      </c>
      <c r="Q1827" t="str">
        <f t="shared" si="56"/>
        <v>35-49</v>
      </c>
      <c r="R1827" t="str">
        <f t="shared" si="57"/>
        <v>[ul0y9diGujK]|35-49|Female|PopART.Rt.T_1|CY2023Q3</v>
      </c>
    </row>
    <row r="1828" spans="4:18" x14ac:dyDescent="0.2">
      <c r="D1828" t="s">
        <v>107</v>
      </c>
      <c r="E1828" t="s">
        <v>108</v>
      </c>
      <c r="F1828" t="s">
        <v>109</v>
      </c>
      <c r="G1828" t="s">
        <v>144</v>
      </c>
      <c r="H1828" t="s">
        <v>144</v>
      </c>
      <c r="I1828" t="s">
        <v>44</v>
      </c>
      <c r="J1828" t="s">
        <v>45</v>
      </c>
      <c r="K1828" t="s">
        <v>29</v>
      </c>
      <c r="L1828" t="s">
        <v>30</v>
      </c>
      <c r="M1828" t="s">
        <v>139</v>
      </c>
      <c r="N1828">
        <v>574</v>
      </c>
      <c r="O1828" s="14">
        <v>0.60891427285969302</v>
      </c>
      <c r="P1828" s="14">
        <v>0.43422180437482899</v>
      </c>
      <c r="Q1828" t="str">
        <f t="shared" si="56"/>
        <v>50+</v>
      </c>
      <c r="R1828" t="str">
        <f t="shared" si="57"/>
        <v>[ul0y9diGujK]|50+|Female|PopART.Rt.T_1|CY2023Q3</v>
      </c>
    </row>
    <row r="1829" spans="4:18" x14ac:dyDescent="0.2">
      <c r="D1829" t="s">
        <v>107</v>
      </c>
      <c r="E1829" t="s">
        <v>108</v>
      </c>
      <c r="F1829" t="s">
        <v>109</v>
      </c>
      <c r="G1829" t="s">
        <v>144</v>
      </c>
      <c r="H1829" t="s">
        <v>144</v>
      </c>
      <c r="I1829" t="s">
        <v>27</v>
      </c>
      <c r="J1829" t="s">
        <v>28</v>
      </c>
      <c r="K1829" t="s">
        <v>47</v>
      </c>
      <c r="L1829" t="s">
        <v>48</v>
      </c>
      <c r="M1829" t="s">
        <v>139</v>
      </c>
      <c r="N1829">
        <v>585</v>
      </c>
      <c r="O1829" s="14">
        <v>0.29206375125795597</v>
      </c>
      <c r="P1829" s="14">
        <v>0.43422180437482899</v>
      </c>
      <c r="Q1829" t="str">
        <f t="shared" si="56"/>
        <v>&lt;01</v>
      </c>
      <c r="R1829" t="str">
        <f t="shared" si="57"/>
        <v>[ul0y9diGujK]|&lt;01|Male|PopART.Rt.T_1|CY2023Q3</v>
      </c>
    </row>
    <row r="1830" spans="4:18" x14ac:dyDescent="0.2">
      <c r="D1830" t="s">
        <v>107</v>
      </c>
      <c r="E1830" t="s">
        <v>108</v>
      </c>
      <c r="F1830" t="s">
        <v>109</v>
      </c>
      <c r="G1830" t="s">
        <v>144</v>
      </c>
      <c r="H1830" t="s">
        <v>144</v>
      </c>
      <c r="I1830" t="s">
        <v>32</v>
      </c>
      <c r="J1830" t="s">
        <v>33</v>
      </c>
      <c r="K1830" t="s">
        <v>47</v>
      </c>
      <c r="L1830" t="s">
        <v>48</v>
      </c>
      <c r="M1830" t="s">
        <v>139</v>
      </c>
      <c r="N1830">
        <v>1426</v>
      </c>
      <c r="O1830" s="14">
        <v>0.43971091811545199</v>
      </c>
      <c r="P1830" s="14">
        <v>0.43422180437482899</v>
      </c>
      <c r="Q1830" t="str">
        <f t="shared" si="56"/>
        <v>01-09</v>
      </c>
      <c r="R1830" t="str">
        <f t="shared" si="57"/>
        <v>[ul0y9diGujK]|01-09|Male|PopART.Rt.T_1|CY2023Q3</v>
      </c>
    </row>
    <row r="1831" spans="4:18" x14ac:dyDescent="0.2">
      <c r="D1831" t="s">
        <v>107</v>
      </c>
      <c r="E1831" t="s">
        <v>108</v>
      </c>
      <c r="F1831" t="s">
        <v>109</v>
      </c>
      <c r="G1831" t="s">
        <v>144</v>
      </c>
      <c r="H1831" t="s">
        <v>144</v>
      </c>
      <c r="I1831" t="s">
        <v>35</v>
      </c>
      <c r="J1831" t="s">
        <v>36</v>
      </c>
      <c r="K1831" t="s">
        <v>47</v>
      </c>
      <c r="L1831" t="s">
        <v>48</v>
      </c>
      <c r="M1831" t="s">
        <v>139</v>
      </c>
      <c r="N1831">
        <v>1575</v>
      </c>
      <c r="O1831" s="14">
        <v>5.7163547724485397E-2</v>
      </c>
      <c r="P1831" s="14">
        <v>0.43422180437482899</v>
      </c>
      <c r="Q1831" t="str">
        <f t="shared" si="56"/>
        <v>10-14</v>
      </c>
      <c r="R1831" t="str">
        <f t="shared" si="57"/>
        <v>[ul0y9diGujK]|10-14|Male|PopART.Rt.T_1|CY2023Q3</v>
      </c>
    </row>
    <row r="1832" spans="4:18" x14ac:dyDescent="0.2">
      <c r="D1832" t="s">
        <v>107</v>
      </c>
      <c r="E1832" t="s">
        <v>108</v>
      </c>
      <c r="F1832" t="s">
        <v>109</v>
      </c>
      <c r="G1832" t="s">
        <v>144</v>
      </c>
      <c r="H1832" t="s">
        <v>144</v>
      </c>
      <c r="I1832" t="s">
        <v>37</v>
      </c>
      <c r="J1832" t="s">
        <v>38</v>
      </c>
      <c r="K1832" t="s">
        <v>47</v>
      </c>
      <c r="L1832" t="s">
        <v>48</v>
      </c>
      <c r="M1832" t="s">
        <v>139</v>
      </c>
      <c r="N1832">
        <v>1208</v>
      </c>
      <c r="O1832" s="14">
        <v>0.38582308473996801</v>
      </c>
      <c r="P1832" s="14">
        <v>0.43422180437482899</v>
      </c>
      <c r="Q1832" t="str">
        <f t="shared" si="56"/>
        <v>15-24</v>
      </c>
      <c r="R1832" t="str">
        <f t="shared" si="57"/>
        <v>[ul0y9diGujK]|15-24|Male|PopART.Rt.T_1|CY2023Q3</v>
      </c>
    </row>
    <row r="1833" spans="4:18" x14ac:dyDescent="0.2">
      <c r="D1833" t="s">
        <v>107</v>
      </c>
      <c r="E1833" t="s">
        <v>108</v>
      </c>
      <c r="F1833" t="s">
        <v>109</v>
      </c>
      <c r="G1833" t="s">
        <v>144</v>
      </c>
      <c r="H1833" t="s">
        <v>144</v>
      </c>
      <c r="I1833" t="s">
        <v>40</v>
      </c>
      <c r="J1833" t="s">
        <v>41</v>
      </c>
      <c r="K1833" t="s">
        <v>47</v>
      </c>
      <c r="L1833" t="s">
        <v>48</v>
      </c>
      <c r="M1833" t="s">
        <v>139</v>
      </c>
      <c r="N1833">
        <v>1667</v>
      </c>
      <c r="O1833" s="14">
        <v>0.31214461568743002</v>
      </c>
      <c r="P1833" s="14">
        <v>0.43422180437482899</v>
      </c>
      <c r="Q1833" t="str">
        <f t="shared" si="56"/>
        <v>25-34</v>
      </c>
      <c r="R1833" t="str">
        <f t="shared" si="57"/>
        <v>[ul0y9diGujK]|25-34|Male|PopART.Rt.T_1|CY2023Q3</v>
      </c>
    </row>
    <row r="1834" spans="4:18" x14ac:dyDescent="0.2">
      <c r="D1834" t="s">
        <v>107</v>
      </c>
      <c r="E1834" t="s">
        <v>108</v>
      </c>
      <c r="F1834" t="s">
        <v>109</v>
      </c>
      <c r="G1834" t="s">
        <v>144</v>
      </c>
      <c r="H1834" t="s">
        <v>144</v>
      </c>
      <c r="I1834" t="s">
        <v>42</v>
      </c>
      <c r="J1834" t="s">
        <v>43</v>
      </c>
      <c r="K1834" t="s">
        <v>47</v>
      </c>
      <c r="L1834" t="s">
        <v>48</v>
      </c>
      <c r="M1834" t="s">
        <v>139</v>
      </c>
      <c r="N1834">
        <v>835</v>
      </c>
      <c r="O1834" s="14">
        <v>0.87532935035415005</v>
      </c>
      <c r="P1834" s="14">
        <v>0.43422180437482899</v>
      </c>
      <c r="Q1834" t="str">
        <f t="shared" si="56"/>
        <v>35-49</v>
      </c>
      <c r="R1834" t="str">
        <f t="shared" si="57"/>
        <v>[ul0y9diGujK]|35-49|Male|PopART.Rt.T_1|CY2023Q3</v>
      </c>
    </row>
    <row r="1835" spans="4:18" x14ac:dyDescent="0.2">
      <c r="D1835" t="s">
        <v>107</v>
      </c>
      <c r="E1835" t="s">
        <v>108</v>
      </c>
      <c r="F1835" t="s">
        <v>109</v>
      </c>
      <c r="G1835" t="s">
        <v>144</v>
      </c>
      <c r="H1835" t="s">
        <v>144</v>
      </c>
      <c r="I1835" t="s">
        <v>44</v>
      </c>
      <c r="J1835" t="s">
        <v>45</v>
      </c>
      <c r="K1835" t="s">
        <v>47</v>
      </c>
      <c r="L1835" t="s">
        <v>48</v>
      </c>
      <c r="M1835" t="s">
        <v>139</v>
      </c>
      <c r="N1835">
        <v>1826</v>
      </c>
      <c r="O1835" s="14">
        <v>0.178081936435774</v>
      </c>
      <c r="P1835" s="14">
        <v>0.43422180437482899</v>
      </c>
      <c r="Q1835" t="str">
        <f t="shared" si="56"/>
        <v>50+</v>
      </c>
      <c r="R1835" t="str">
        <f t="shared" si="57"/>
        <v>[ul0y9diGujK]|50+|Male|PopART.Rt.T_1|CY2023Q3</v>
      </c>
    </row>
    <row r="1836" spans="4:18" x14ac:dyDescent="0.2">
      <c r="D1836" t="s">
        <v>110</v>
      </c>
      <c r="E1836" t="s">
        <v>111</v>
      </c>
      <c r="F1836" t="s">
        <v>112</v>
      </c>
      <c r="G1836" t="s">
        <v>144</v>
      </c>
      <c r="H1836" t="s">
        <v>144</v>
      </c>
      <c r="I1836" t="s">
        <v>27</v>
      </c>
      <c r="J1836" t="s">
        <v>28</v>
      </c>
      <c r="K1836" t="s">
        <v>29</v>
      </c>
      <c r="L1836" t="s">
        <v>30</v>
      </c>
      <c r="M1836" t="s">
        <v>139</v>
      </c>
      <c r="N1836">
        <v>1666</v>
      </c>
      <c r="O1836" s="14">
        <v>0.56129423389211297</v>
      </c>
      <c r="P1836" s="14">
        <v>0.33776879496872397</v>
      </c>
      <c r="Q1836" t="str">
        <f t="shared" si="56"/>
        <v>&lt;01</v>
      </c>
      <c r="R1836" t="str">
        <f t="shared" si="57"/>
        <v>[U8c0so51kT6]|&lt;01|Female|PopART.Rt.T_1|CY2023Q3</v>
      </c>
    </row>
    <row r="1837" spans="4:18" x14ac:dyDescent="0.2">
      <c r="D1837" t="s">
        <v>110</v>
      </c>
      <c r="E1837" t="s">
        <v>111</v>
      </c>
      <c r="F1837" t="s">
        <v>112</v>
      </c>
      <c r="G1837" t="s">
        <v>144</v>
      </c>
      <c r="H1837" t="s">
        <v>144</v>
      </c>
      <c r="I1837" t="s">
        <v>32</v>
      </c>
      <c r="J1837" t="s">
        <v>33</v>
      </c>
      <c r="K1837" t="s">
        <v>29</v>
      </c>
      <c r="L1837" t="s">
        <v>30</v>
      </c>
      <c r="M1837" t="s">
        <v>139</v>
      </c>
      <c r="N1837">
        <v>1437</v>
      </c>
      <c r="O1837" s="14">
        <v>0.70451643248088702</v>
      </c>
      <c r="P1837" s="14">
        <v>0.33776879496872397</v>
      </c>
      <c r="Q1837" t="str">
        <f t="shared" si="56"/>
        <v>01-09</v>
      </c>
      <c r="R1837" t="str">
        <f t="shared" si="57"/>
        <v>[U8c0so51kT6]|01-09|Female|PopART.Rt.T_1|CY2023Q3</v>
      </c>
    </row>
    <row r="1838" spans="4:18" x14ac:dyDescent="0.2">
      <c r="D1838" t="s">
        <v>110</v>
      </c>
      <c r="E1838" t="s">
        <v>111</v>
      </c>
      <c r="F1838" t="s">
        <v>112</v>
      </c>
      <c r="G1838" t="s">
        <v>144</v>
      </c>
      <c r="H1838" t="s">
        <v>144</v>
      </c>
      <c r="I1838" t="s">
        <v>35</v>
      </c>
      <c r="J1838" t="s">
        <v>36</v>
      </c>
      <c r="K1838" t="s">
        <v>29</v>
      </c>
      <c r="L1838" t="s">
        <v>30</v>
      </c>
      <c r="M1838" t="s">
        <v>139</v>
      </c>
      <c r="N1838">
        <v>1243</v>
      </c>
      <c r="O1838" s="14">
        <v>0.23326448071747999</v>
      </c>
      <c r="P1838" s="14">
        <v>0.33776879496872397</v>
      </c>
      <c r="Q1838" t="str">
        <f t="shared" si="56"/>
        <v>10-14</v>
      </c>
      <c r="R1838" t="str">
        <f t="shared" si="57"/>
        <v>[U8c0so51kT6]|10-14|Female|PopART.Rt.T_1|CY2023Q3</v>
      </c>
    </row>
    <row r="1839" spans="4:18" x14ac:dyDescent="0.2">
      <c r="D1839" t="s">
        <v>110</v>
      </c>
      <c r="E1839" t="s">
        <v>111</v>
      </c>
      <c r="F1839" t="s">
        <v>112</v>
      </c>
      <c r="G1839" t="s">
        <v>144</v>
      </c>
      <c r="H1839" t="s">
        <v>144</v>
      </c>
      <c r="I1839" t="s">
        <v>37</v>
      </c>
      <c r="J1839" t="s">
        <v>38</v>
      </c>
      <c r="K1839" t="s">
        <v>29</v>
      </c>
      <c r="L1839" t="s">
        <v>30</v>
      </c>
      <c r="M1839" t="s">
        <v>139</v>
      </c>
      <c r="N1839">
        <v>800</v>
      </c>
      <c r="O1839" s="14">
        <v>0.55537608359009005</v>
      </c>
      <c r="P1839" s="14">
        <v>0.33776879496872397</v>
      </c>
      <c r="Q1839" t="str">
        <f t="shared" si="56"/>
        <v>15-24</v>
      </c>
      <c r="R1839" t="str">
        <f t="shared" si="57"/>
        <v>[U8c0so51kT6]|15-24|Female|PopART.Rt.T_1|CY2023Q3</v>
      </c>
    </row>
    <row r="1840" spans="4:18" x14ac:dyDescent="0.2">
      <c r="D1840" t="s">
        <v>110</v>
      </c>
      <c r="E1840" t="s">
        <v>111</v>
      </c>
      <c r="F1840" t="s">
        <v>112</v>
      </c>
      <c r="G1840" t="s">
        <v>144</v>
      </c>
      <c r="H1840" t="s">
        <v>144</v>
      </c>
      <c r="I1840" t="s">
        <v>40</v>
      </c>
      <c r="J1840" t="s">
        <v>41</v>
      </c>
      <c r="K1840" t="s">
        <v>29</v>
      </c>
      <c r="L1840" t="s">
        <v>30</v>
      </c>
      <c r="M1840" t="s">
        <v>139</v>
      </c>
      <c r="N1840">
        <v>885</v>
      </c>
      <c r="O1840" s="14">
        <v>0.67464330932125405</v>
      </c>
      <c r="P1840" s="14">
        <v>0.33776879496872397</v>
      </c>
      <c r="Q1840" t="str">
        <f t="shared" si="56"/>
        <v>25-34</v>
      </c>
      <c r="R1840" t="str">
        <f t="shared" si="57"/>
        <v>[U8c0so51kT6]|25-34|Female|PopART.Rt.T_1|CY2023Q3</v>
      </c>
    </row>
    <row r="1841" spans="4:18" x14ac:dyDescent="0.2">
      <c r="D1841" t="s">
        <v>110</v>
      </c>
      <c r="E1841" t="s">
        <v>111</v>
      </c>
      <c r="F1841" t="s">
        <v>112</v>
      </c>
      <c r="G1841" t="s">
        <v>144</v>
      </c>
      <c r="H1841" t="s">
        <v>144</v>
      </c>
      <c r="I1841" t="s">
        <v>42</v>
      </c>
      <c r="J1841" t="s">
        <v>43</v>
      </c>
      <c r="K1841" t="s">
        <v>29</v>
      </c>
      <c r="L1841" t="s">
        <v>30</v>
      </c>
      <c r="M1841" t="s">
        <v>139</v>
      </c>
      <c r="N1841">
        <v>1024</v>
      </c>
      <c r="O1841" s="14">
        <v>7.0078607648611096E-2</v>
      </c>
      <c r="P1841" s="14">
        <v>0.33776879496872397</v>
      </c>
      <c r="Q1841" t="str">
        <f t="shared" si="56"/>
        <v>35-49</v>
      </c>
      <c r="R1841" t="str">
        <f t="shared" si="57"/>
        <v>[U8c0so51kT6]|35-49|Female|PopART.Rt.T_1|CY2023Q3</v>
      </c>
    </row>
    <row r="1842" spans="4:18" x14ac:dyDescent="0.2">
      <c r="D1842" t="s">
        <v>110</v>
      </c>
      <c r="E1842" t="s">
        <v>111</v>
      </c>
      <c r="F1842" t="s">
        <v>112</v>
      </c>
      <c r="G1842" t="s">
        <v>144</v>
      </c>
      <c r="H1842" t="s">
        <v>144</v>
      </c>
      <c r="I1842" t="s">
        <v>44</v>
      </c>
      <c r="J1842" t="s">
        <v>45</v>
      </c>
      <c r="K1842" t="s">
        <v>29</v>
      </c>
      <c r="L1842" t="s">
        <v>30</v>
      </c>
      <c r="M1842" t="s">
        <v>139</v>
      </c>
      <c r="N1842">
        <v>1469</v>
      </c>
      <c r="O1842" s="14">
        <v>0.47059787018224603</v>
      </c>
      <c r="P1842" s="14">
        <v>0.33776879496872397</v>
      </c>
      <c r="Q1842" t="str">
        <f t="shared" si="56"/>
        <v>50+</v>
      </c>
      <c r="R1842" t="str">
        <f t="shared" si="57"/>
        <v>[U8c0so51kT6]|50+|Female|PopART.Rt.T_1|CY2023Q3</v>
      </c>
    </row>
    <row r="1843" spans="4:18" x14ac:dyDescent="0.2">
      <c r="D1843" t="s">
        <v>110</v>
      </c>
      <c r="E1843" t="s">
        <v>111</v>
      </c>
      <c r="F1843" t="s">
        <v>112</v>
      </c>
      <c r="G1843" t="s">
        <v>144</v>
      </c>
      <c r="H1843" t="s">
        <v>144</v>
      </c>
      <c r="I1843" t="s">
        <v>27</v>
      </c>
      <c r="J1843" t="s">
        <v>28</v>
      </c>
      <c r="K1843" t="s">
        <v>47</v>
      </c>
      <c r="L1843" t="s">
        <v>48</v>
      </c>
      <c r="M1843" t="s">
        <v>139</v>
      </c>
      <c r="N1843">
        <v>1378</v>
      </c>
      <c r="O1843" s="14">
        <v>0.58557265321724095</v>
      </c>
      <c r="P1843" s="14">
        <v>0.33776879496872397</v>
      </c>
      <c r="Q1843" t="str">
        <f t="shared" si="56"/>
        <v>&lt;01</v>
      </c>
      <c r="R1843" t="str">
        <f t="shared" si="57"/>
        <v>[U8c0so51kT6]|&lt;01|Male|PopART.Rt.T_1|CY2023Q3</v>
      </c>
    </row>
    <row r="1844" spans="4:18" x14ac:dyDescent="0.2">
      <c r="D1844" t="s">
        <v>110</v>
      </c>
      <c r="E1844" t="s">
        <v>111</v>
      </c>
      <c r="F1844" t="s">
        <v>112</v>
      </c>
      <c r="G1844" t="s">
        <v>144</v>
      </c>
      <c r="H1844" t="s">
        <v>144</v>
      </c>
      <c r="I1844" t="s">
        <v>32</v>
      </c>
      <c r="J1844" t="s">
        <v>33</v>
      </c>
      <c r="K1844" t="s">
        <v>47</v>
      </c>
      <c r="L1844" t="s">
        <v>48</v>
      </c>
      <c r="M1844" t="s">
        <v>139</v>
      </c>
      <c r="N1844">
        <v>522</v>
      </c>
      <c r="O1844" s="14">
        <v>0.105504798470065</v>
      </c>
      <c r="P1844" s="14">
        <v>0.33776879496872397</v>
      </c>
      <c r="Q1844" t="str">
        <f t="shared" si="56"/>
        <v>01-09</v>
      </c>
      <c r="R1844" t="str">
        <f t="shared" si="57"/>
        <v>[U8c0so51kT6]|01-09|Male|PopART.Rt.T_1|CY2023Q3</v>
      </c>
    </row>
    <row r="1845" spans="4:18" x14ac:dyDescent="0.2">
      <c r="D1845" t="s">
        <v>110</v>
      </c>
      <c r="E1845" t="s">
        <v>111</v>
      </c>
      <c r="F1845" t="s">
        <v>112</v>
      </c>
      <c r="G1845" t="s">
        <v>144</v>
      </c>
      <c r="H1845" t="s">
        <v>144</v>
      </c>
      <c r="I1845" t="s">
        <v>35</v>
      </c>
      <c r="J1845" t="s">
        <v>36</v>
      </c>
      <c r="K1845" t="s">
        <v>47</v>
      </c>
      <c r="L1845" t="s">
        <v>48</v>
      </c>
      <c r="M1845" t="s">
        <v>139</v>
      </c>
      <c r="N1845">
        <v>915</v>
      </c>
      <c r="O1845" s="14">
        <v>0.64218356739729598</v>
      </c>
      <c r="P1845" s="14">
        <v>0.33776879496872397</v>
      </c>
      <c r="Q1845" t="str">
        <f t="shared" si="56"/>
        <v>10-14</v>
      </c>
      <c r="R1845" t="str">
        <f t="shared" si="57"/>
        <v>[U8c0so51kT6]|10-14|Male|PopART.Rt.T_1|CY2023Q3</v>
      </c>
    </row>
    <row r="1846" spans="4:18" x14ac:dyDescent="0.2">
      <c r="D1846" t="s">
        <v>110</v>
      </c>
      <c r="E1846" t="s">
        <v>111</v>
      </c>
      <c r="F1846" t="s">
        <v>112</v>
      </c>
      <c r="G1846" t="s">
        <v>144</v>
      </c>
      <c r="H1846" t="s">
        <v>144</v>
      </c>
      <c r="I1846" t="s">
        <v>37</v>
      </c>
      <c r="J1846" t="s">
        <v>38</v>
      </c>
      <c r="K1846" t="s">
        <v>47</v>
      </c>
      <c r="L1846" t="s">
        <v>48</v>
      </c>
      <c r="M1846" t="s">
        <v>139</v>
      </c>
      <c r="N1846">
        <v>1268</v>
      </c>
      <c r="O1846" s="14">
        <v>0.67361899884417697</v>
      </c>
      <c r="P1846" s="14">
        <v>0.33776879496872397</v>
      </c>
      <c r="Q1846" t="str">
        <f t="shared" si="56"/>
        <v>15-24</v>
      </c>
      <c r="R1846" t="str">
        <f t="shared" si="57"/>
        <v>[U8c0so51kT6]|15-24|Male|PopART.Rt.T_1|CY2023Q3</v>
      </c>
    </row>
    <row r="1847" spans="4:18" x14ac:dyDescent="0.2">
      <c r="D1847" t="s">
        <v>110</v>
      </c>
      <c r="E1847" t="s">
        <v>111</v>
      </c>
      <c r="F1847" t="s">
        <v>112</v>
      </c>
      <c r="G1847" t="s">
        <v>144</v>
      </c>
      <c r="H1847" t="s">
        <v>144</v>
      </c>
      <c r="I1847" t="s">
        <v>40</v>
      </c>
      <c r="J1847" t="s">
        <v>41</v>
      </c>
      <c r="K1847" t="s">
        <v>47</v>
      </c>
      <c r="L1847" t="s">
        <v>48</v>
      </c>
      <c r="M1847" t="s">
        <v>139</v>
      </c>
      <c r="N1847">
        <v>1897</v>
      </c>
      <c r="O1847" s="14">
        <v>0.59192520147189498</v>
      </c>
      <c r="P1847" s="14">
        <v>0.33776879496872397</v>
      </c>
      <c r="Q1847" t="str">
        <f t="shared" si="56"/>
        <v>25-34</v>
      </c>
      <c r="R1847" t="str">
        <f t="shared" si="57"/>
        <v>[U8c0so51kT6]|25-34|Male|PopART.Rt.T_1|CY2023Q3</v>
      </c>
    </row>
    <row r="1848" spans="4:18" x14ac:dyDescent="0.2">
      <c r="D1848" t="s">
        <v>110</v>
      </c>
      <c r="E1848" t="s">
        <v>111</v>
      </c>
      <c r="F1848" t="s">
        <v>112</v>
      </c>
      <c r="G1848" t="s">
        <v>144</v>
      </c>
      <c r="H1848" t="s">
        <v>144</v>
      </c>
      <c r="I1848" t="s">
        <v>42</v>
      </c>
      <c r="J1848" t="s">
        <v>43</v>
      </c>
      <c r="K1848" t="s">
        <v>47</v>
      </c>
      <c r="L1848" t="s">
        <v>48</v>
      </c>
      <c r="M1848" t="s">
        <v>139</v>
      </c>
      <c r="N1848">
        <v>506</v>
      </c>
      <c r="O1848" s="14">
        <v>0.55129928910173498</v>
      </c>
      <c r="P1848" s="14">
        <v>0.33776879496872397</v>
      </c>
      <c r="Q1848" t="str">
        <f t="shared" si="56"/>
        <v>35-49</v>
      </c>
      <c r="R1848" t="str">
        <f t="shared" si="57"/>
        <v>[U8c0so51kT6]|35-49|Male|PopART.Rt.T_1|CY2023Q3</v>
      </c>
    </row>
    <row r="1849" spans="4:18" x14ac:dyDescent="0.2">
      <c r="D1849" t="s">
        <v>110</v>
      </c>
      <c r="E1849" t="s">
        <v>111</v>
      </c>
      <c r="F1849" t="s">
        <v>112</v>
      </c>
      <c r="G1849" t="s">
        <v>144</v>
      </c>
      <c r="H1849" t="s">
        <v>144</v>
      </c>
      <c r="I1849" t="s">
        <v>44</v>
      </c>
      <c r="J1849" t="s">
        <v>45</v>
      </c>
      <c r="K1849" t="s">
        <v>47</v>
      </c>
      <c r="L1849" t="s">
        <v>48</v>
      </c>
      <c r="M1849" t="s">
        <v>139</v>
      </c>
      <c r="N1849">
        <v>1963</v>
      </c>
      <c r="O1849" s="14">
        <v>0.53148214425891604</v>
      </c>
      <c r="P1849" s="14">
        <v>0.33776879496872397</v>
      </c>
      <c r="Q1849" t="str">
        <f t="shared" si="56"/>
        <v>50+</v>
      </c>
      <c r="R1849" t="str">
        <f t="shared" si="57"/>
        <v>[U8c0so51kT6]|50+|Male|PopART.Rt.T_1|CY2023Q3</v>
      </c>
    </row>
    <row r="1850" spans="4:18" x14ac:dyDescent="0.2">
      <c r="D1850" t="s">
        <v>113</v>
      </c>
      <c r="E1850" t="s">
        <v>114</v>
      </c>
      <c r="F1850" t="s">
        <v>115</v>
      </c>
      <c r="G1850" t="s">
        <v>144</v>
      </c>
      <c r="H1850" t="s">
        <v>144</v>
      </c>
      <c r="I1850" t="s">
        <v>27</v>
      </c>
      <c r="J1850" t="s">
        <v>28</v>
      </c>
      <c r="K1850" t="s">
        <v>29</v>
      </c>
      <c r="L1850" t="s">
        <v>30</v>
      </c>
      <c r="M1850" t="s">
        <v>139</v>
      </c>
      <c r="N1850">
        <v>1246</v>
      </c>
      <c r="O1850" s="14">
        <v>0.26334020541980901</v>
      </c>
      <c r="P1850" s="14">
        <v>0.29855980910360802</v>
      </c>
      <c r="Q1850" t="str">
        <f t="shared" si="56"/>
        <v>&lt;01</v>
      </c>
      <c r="R1850" t="str">
        <f t="shared" si="57"/>
        <v>[rpw540fmNUz]|&lt;01|Female|PopART.Rt.T_1|CY2023Q3</v>
      </c>
    </row>
    <row r="1851" spans="4:18" x14ac:dyDescent="0.2">
      <c r="D1851" t="s">
        <v>113</v>
      </c>
      <c r="E1851" t="s">
        <v>114</v>
      </c>
      <c r="F1851" t="s">
        <v>115</v>
      </c>
      <c r="G1851" t="s">
        <v>144</v>
      </c>
      <c r="H1851" t="s">
        <v>144</v>
      </c>
      <c r="I1851" t="s">
        <v>32</v>
      </c>
      <c r="J1851" t="s">
        <v>33</v>
      </c>
      <c r="K1851" t="s">
        <v>29</v>
      </c>
      <c r="L1851" t="s">
        <v>30</v>
      </c>
      <c r="M1851" t="s">
        <v>139</v>
      </c>
      <c r="N1851">
        <v>1844</v>
      </c>
      <c r="O1851" s="14">
        <v>0.97242543706670403</v>
      </c>
      <c r="P1851" s="14">
        <v>0.29855980910360802</v>
      </c>
      <c r="Q1851" t="str">
        <f t="shared" si="56"/>
        <v>01-09</v>
      </c>
      <c r="R1851" t="str">
        <f t="shared" si="57"/>
        <v>[rpw540fmNUz]|01-09|Female|PopART.Rt.T_1|CY2023Q3</v>
      </c>
    </row>
    <row r="1852" spans="4:18" x14ac:dyDescent="0.2">
      <c r="D1852" t="s">
        <v>113</v>
      </c>
      <c r="E1852" t="s">
        <v>114</v>
      </c>
      <c r="F1852" t="s">
        <v>115</v>
      </c>
      <c r="G1852" t="s">
        <v>144</v>
      </c>
      <c r="H1852" t="s">
        <v>144</v>
      </c>
      <c r="I1852" t="s">
        <v>35</v>
      </c>
      <c r="J1852" t="s">
        <v>36</v>
      </c>
      <c r="K1852" t="s">
        <v>29</v>
      </c>
      <c r="L1852" t="s">
        <v>30</v>
      </c>
      <c r="M1852" t="s">
        <v>139</v>
      </c>
      <c r="N1852">
        <v>767</v>
      </c>
      <c r="O1852" s="14">
        <v>0.369553684722632</v>
      </c>
      <c r="P1852" s="14">
        <v>0.29855980910360802</v>
      </c>
      <c r="Q1852" t="str">
        <f t="shared" si="56"/>
        <v>10-14</v>
      </c>
      <c r="R1852" t="str">
        <f t="shared" si="57"/>
        <v>[rpw540fmNUz]|10-14|Female|PopART.Rt.T_1|CY2023Q3</v>
      </c>
    </row>
    <row r="1853" spans="4:18" x14ac:dyDescent="0.2">
      <c r="D1853" t="s">
        <v>113</v>
      </c>
      <c r="E1853" t="s">
        <v>114</v>
      </c>
      <c r="F1853" t="s">
        <v>115</v>
      </c>
      <c r="G1853" t="s">
        <v>144</v>
      </c>
      <c r="H1853" t="s">
        <v>144</v>
      </c>
      <c r="I1853" t="s">
        <v>37</v>
      </c>
      <c r="J1853" t="s">
        <v>38</v>
      </c>
      <c r="K1853" t="s">
        <v>29</v>
      </c>
      <c r="L1853" t="s">
        <v>30</v>
      </c>
      <c r="M1853" t="s">
        <v>139</v>
      </c>
      <c r="N1853">
        <v>1877</v>
      </c>
      <c r="O1853" s="14">
        <v>0.68470170628279403</v>
      </c>
      <c r="P1853" s="14">
        <v>0.29855980910360802</v>
      </c>
      <c r="Q1853" t="str">
        <f t="shared" si="56"/>
        <v>15-24</v>
      </c>
      <c r="R1853" t="str">
        <f t="shared" si="57"/>
        <v>[rpw540fmNUz]|15-24|Female|PopART.Rt.T_1|CY2023Q3</v>
      </c>
    </row>
    <row r="1854" spans="4:18" x14ac:dyDescent="0.2">
      <c r="D1854" t="s">
        <v>113</v>
      </c>
      <c r="E1854" t="s">
        <v>114</v>
      </c>
      <c r="F1854" t="s">
        <v>115</v>
      </c>
      <c r="G1854" t="s">
        <v>144</v>
      </c>
      <c r="H1854" t="s">
        <v>144</v>
      </c>
      <c r="I1854" t="s">
        <v>40</v>
      </c>
      <c r="J1854" t="s">
        <v>41</v>
      </c>
      <c r="K1854" t="s">
        <v>29</v>
      </c>
      <c r="L1854" t="s">
        <v>30</v>
      </c>
      <c r="M1854" t="s">
        <v>139</v>
      </c>
      <c r="N1854">
        <v>1848</v>
      </c>
      <c r="O1854" s="14">
        <v>2.97677118796855E-2</v>
      </c>
      <c r="P1854" s="14">
        <v>0.29855980910360802</v>
      </c>
      <c r="Q1854" t="str">
        <f t="shared" si="56"/>
        <v>25-34</v>
      </c>
      <c r="R1854" t="str">
        <f t="shared" si="57"/>
        <v>[rpw540fmNUz]|25-34|Female|PopART.Rt.T_1|CY2023Q3</v>
      </c>
    </row>
    <row r="1855" spans="4:18" x14ac:dyDescent="0.2">
      <c r="D1855" t="s">
        <v>113</v>
      </c>
      <c r="E1855" t="s">
        <v>114</v>
      </c>
      <c r="F1855" t="s">
        <v>115</v>
      </c>
      <c r="G1855" t="s">
        <v>144</v>
      </c>
      <c r="H1855" t="s">
        <v>144</v>
      </c>
      <c r="I1855" t="s">
        <v>42</v>
      </c>
      <c r="J1855" t="s">
        <v>43</v>
      </c>
      <c r="K1855" t="s">
        <v>29</v>
      </c>
      <c r="L1855" t="s">
        <v>30</v>
      </c>
      <c r="M1855" t="s">
        <v>139</v>
      </c>
      <c r="N1855">
        <v>1027</v>
      </c>
      <c r="O1855" s="14">
        <v>0.33140852674841897</v>
      </c>
      <c r="P1855" s="14">
        <v>0.29855980910360802</v>
      </c>
      <c r="Q1855" t="str">
        <f t="shared" si="56"/>
        <v>35-49</v>
      </c>
      <c r="R1855" t="str">
        <f t="shared" si="57"/>
        <v>[rpw540fmNUz]|35-49|Female|PopART.Rt.T_1|CY2023Q3</v>
      </c>
    </row>
    <row r="1856" spans="4:18" x14ac:dyDescent="0.2">
      <c r="D1856" t="s">
        <v>113</v>
      </c>
      <c r="E1856" t="s">
        <v>114</v>
      </c>
      <c r="F1856" t="s">
        <v>115</v>
      </c>
      <c r="G1856" t="s">
        <v>144</v>
      </c>
      <c r="H1856" t="s">
        <v>144</v>
      </c>
      <c r="I1856" t="s">
        <v>44</v>
      </c>
      <c r="J1856" t="s">
        <v>45</v>
      </c>
      <c r="K1856" t="s">
        <v>29</v>
      </c>
      <c r="L1856" t="s">
        <v>30</v>
      </c>
      <c r="M1856" t="s">
        <v>139</v>
      </c>
      <c r="N1856">
        <v>1564</v>
      </c>
      <c r="O1856" s="14">
        <v>0.427761203609407</v>
      </c>
      <c r="P1856" s="14">
        <v>0.29855980910360802</v>
      </c>
      <c r="Q1856" t="str">
        <f t="shared" si="56"/>
        <v>50+</v>
      </c>
      <c r="R1856" t="str">
        <f t="shared" si="57"/>
        <v>[rpw540fmNUz]|50+|Female|PopART.Rt.T_1|CY2023Q3</v>
      </c>
    </row>
    <row r="1857" spans="4:18" x14ac:dyDescent="0.2">
      <c r="D1857" t="s">
        <v>113</v>
      </c>
      <c r="E1857" t="s">
        <v>114</v>
      </c>
      <c r="F1857" t="s">
        <v>115</v>
      </c>
      <c r="G1857" t="s">
        <v>144</v>
      </c>
      <c r="H1857" t="s">
        <v>144</v>
      </c>
      <c r="I1857" t="s">
        <v>27</v>
      </c>
      <c r="J1857" t="s">
        <v>28</v>
      </c>
      <c r="K1857" t="s">
        <v>47</v>
      </c>
      <c r="L1857" t="s">
        <v>48</v>
      </c>
      <c r="M1857" t="s">
        <v>139</v>
      </c>
      <c r="N1857">
        <v>790</v>
      </c>
      <c r="O1857" s="14">
        <v>0.26127109047956798</v>
      </c>
      <c r="P1857" s="14">
        <v>0.29855980910360802</v>
      </c>
      <c r="Q1857" t="str">
        <f t="shared" si="56"/>
        <v>&lt;01</v>
      </c>
      <c r="R1857" t="str">
        <f t="shared" si="57"/>
        <v>[rpw540fmNUz]|&lt;01|Male|PopART.Rt.T_1|CY2023Q3</v>
      </c>
    </row>
    <row r="1858" spans="4:18" x14ac:dyDescent="0.2">
      <c r="D1858" t="s">
        <v>113</v>
      </c>
      <c r="E1858" t="s">
        <v>114</v>
      </c>
      <c r="F1858" t="s">
        <v>115</v>
      </c>
      <c r="G1858" t="s">
        <v>144</v>
      </c>
      <c r="H1858" t="s">
        <v>144</v>
      </c>
      <c r="I1858" t="s">
        <v>32</v>
      </c>
      <c r="J1858" t="s">
        <v>33</v>
      </c>
      <c r="K1858" t="s">
        <v>47</v>
      </c>
      <c r="L1858" t="s">
        <v>48</v>
      </c>
      <c r="M1858" t="s">
        <v>139</v>
      </c>
      <c r="N1858">
        <v>928</v>
      </c>
      <c r="O1858" s="14">
        <v>0.114873361773789</v>
      </c>
      <c r="P1858" s="14">
        <v>0.29855980910360802</v>
      </c>
      <c r="Q1858" t="str">
        <f t="shared" ref="Q1858:Q1921" si="58">SUBSTITUTE(SUBSTITUTE($I1858,CHAR(61),""),CHAR(34),"")</f>
        <v>01-09</v>
      </c>
      <c r="R1858" t="str">
        <f t="shared" ref="R1858:R1921" si="59">IF($D1858&lt;&gt;"","["&amp;$E1858&amp;"]"&amp;"|"&amp;$Q1858&amp;"|"&amp;$K1858&amp;"|"&amp;$G1858&amp;"|"&amp;IF($G1858="TX_CURR_SUBNAT.R","CY2022Q4",$M1858),"")</f>
        <v>[rpw540fmNUz]|01-09|Male|PopART.Rt.T_1|CY2023Q3</v>
      </c>
    </row>
    <row r="1859" spans="4:18" x14ac:dyDescent="0.2">
      <c r="D1859" t="s">
        <v>113</v>
      </c>
      <c r="E1859" t="s">
        <v>114</v>
      </c>
      <c r="F1859" t="s">
        <v>115</v>
      </c>
      <c r="G1859" t="s">
        <v>144</v>
      </c>
      <c r="H1859" t="s">
        <v>144</v>
      </c>
      <c r="I1859" t="s">
        <v>35</v>
      </c>
      <c r="J1859" t="s">
        <v>36</v>
      </c>
      <c r="K1859" t="s">
        <v>47</v>
      </c>
      <c r="L1859" t="s">
        <v>48</v>
      </c>
      <c r="M1859" t="s">
        <v>139</v>
      </c>
      <c r="N1859">
        <v>1797</v>
      </c>
      <c r="O1859" s="14">
        <v>0.119222813053057</v>
      </c>
      <c r="P1859" s="14">
        <v>0.29855980910360802</v>
      </c>
      <c r="Q1859" t="str">
        <f t="shared" si="58"/>
        <v>10-14</v>
      </c>
      <c r="R1859" t="str">
        <f t="shared" si="59"/>
        <v>[rpw540fmNUz]|10-14|Male|PopART.Rt.T_1|CY2023Q3</v>
      </c>
    </row>
    <row r="1860" spans="4:18" x14ac:dyDescent="0.2">
      <c r="D1860" t="s">
        <v>113</v>
      </c>
      <c r="E1860" t="s">
        <v>114</v>
      </c>
      <c r="F1860" t="s">
        <v>115</v>
      </c>
      <c r="G1860" t="s">
        <v>144</v>
      </c>
      <c r="H1860" t="s">
        <v>144</v>
      </c>
      <c r="I1860" t="s">
        <v>37</v>
      </c>
      <c r="J1860" t="s">
        <v>38</v>
      </c>
      <c r="K1860" t="s">
        <v>47</v>
      </c>
      <c r="L1860" t="s">
        <v>48</v>
      </c>
      <c r="M1860" t="s">
        <v>139</v>
      </c>
      <c r="N1860">
        <v>1525</v>
      </c>
      <c r="O1860" s="14">
        <v>0.20102640846744199</v>
      </c>
      <c r="P1860" s="14">
        <v>0.29855980910360802</v>
      </c>
      <c r="Q1860" t="str">
        <f t="shared" si="58"/>
        <v>15-24</v>
      </c>
      <c r="R1860" t="str">
        <f t="shared" si="59"/>
        <v>[rpw540fmNUz]|15-24|Male|PopART.Rt.T_1|CY2023Q3</v>
      </c>
    </row>
    <row r="1861" spans="4:18" x14ac:dyDescent="0.2">
      <c r="D1861" t="s">
        <v>113</v>
      </c>
      <c r="E1861" t="s">
        <v>114</v>
      </c>
      <c r="F1861" t="s">
        <v>115</v>
      </c>
      <c r="G1861" t="s">
        <v>144</v>
      </c>
      <c r="H1861" t="s">
        <v>144</v>
      </c>
      <c r="I1861" t="s">
        <v>40</v>
      </c>
      <c r="J1861" t="s">
        <v>41</v>
      </c>
      <c r="K1861" t="s">
        <v>47</v>
      </c>
      <c r="L1861" t="s">
        <v>48</v>
      </c>
      <c r="M1861" t="s">
        <v>139</v>
      </c>
      <c r="N1861">
        <v>1838</v>
      </c>
      <c r="O1861" s="14">
        <v>0.92070872685871996</v>
      </c>
      <c r="P1861" s="14">
        <v>0.29855980910360802</v>
      </c>
      <c r="Q1861" t="str">
        <f t="shared" si="58"/>
        <v>25-34</v>
      </c>
      <c r="R1861" t="str">
        <f t="shared" si="59"/>
        <v>[rpw540fmNUz]|25-34|Male|PopART.Rt.T_1|CY2023Q3</v>
      </c>
    </row>
    <row r="1862" spans="4:18" x14ac:dyDescent="0.2">
      <c r="D1862" t="s">
        <v>113</v>
      </c>
      <c r="E1862" t="s">
        <v>114</v>
      </c>
      <c r="F1862" t="s">
        <v>115</v>
      </c>
      <c r="G1862" t="s">
        <v>144</v>
      </c>
      <c r="H1862" t="s">
        <v>144</v>
      </c>
      <c r="I1862" t="s">
        <v>42</v>
      </c>
      <c r="J1862" t="s">
        <v>43</v>
      </c>
      <c r="K1862" t="s">
        <v>47</v>
      </c>
      <c r="L1862" t="s">
        <v>48</v>
      </c>
      <c r="M1862" t="s">
        <v>139</v>
      </c>
      <c r="N1862">
        <v>1346</v>
      </c>
      <c r="O1862" s="14">
        <v>7.8052279073744998E-2</v>
      </c>
      <c r="P1862" s="14">
        <v>0.29855980910360802</v>
      </c>
      <c r="Q1862" t="str">
        <f t="shared" si="58"/>
        <v>35-49</v>
      </c>
      <c r="R1862" t="str">
        <f t="shared" si="59"/>
        <v>[rpw540fmNUz]|35-49|Male|PopART.Rt.T_1|CY2023Q3</v>
      </c>
    </row>
    <row r="1863" spans="4:18" x14ac:dyDescent="0.2">
      <c r="D1863" t="s">
        <v>113</v>
      </c>
      <c r="E1863" t="s">
        <v>114</v>
      </c>
      <c r="F1863" t="s">
        <v>115</v>
      </c>
      <c r="G1863" t="s">
        <v>144</v>
      </c>
      <c r="H1863" t="s">
        <v>144</v>
      </c>
      <c r="I1863" t="s">
        <v>44</v>
      </c>
      <c r="J1863" t="s">
        <v>45</v>
      </c>
      <c r="K1863" t="s">
        <v>47</v>
      </c>
      <c r="L1863" t="s">
        <v>48</v>
      </c>
      <c r="M1863" t="s">
        <v>139</v>
      </c>
      <c r="N1863">
        <v>1286</v>
      </c>
      <c r="O1863" s="14">
        <v>0.458914070622995</v>
      </c>
      <c r="P1863" s="14">
        <v>0.29855980910360802</v>
      </c>
      <c r="Q1863" t="str">
        <f t="shared" si="58"/>
        <v>50+</v>
      </c>
      <c r="R1863" t="str">
        <f t="shared" si="59"/>
        <v>[rpw540fmNUz]|50+|Male|PopART.Rt.T_1|CY2023Q3</v>
      </c>
    </row>
    <row r="1864" spans="4:18" x14ac:dyDescent="0.2">
      <c r="D1864" t="s">
        <v>116</v>
      </c>
      <c r="E1864" t="s">
        <v>117</v>
      </c>
      <c r="F1864" t="s">
        <v>118</v>
      </c>
      <c r="G1864" t="s">
        <v>144</v>
      </c>
      <c r="H1864" t="s">
        <v>144</v>
      </c>
      <c r="I1864" t="s">
        <v>27</v>
      </c>
      <c r="J1864" t="s">
        <v>28</v>
      </c>
      <c r="K1864" t="s">
        <v>29</v>
      </c>
      <c r="L1864" t="s">
        <v>30</v>
      </c>
      <c r="M1864" t="s">
        <v>139</v>
      </c>
      <c r="N1864">
        <v>858</v>
      </c>
      <c r="O1864" s="14">
        <v>0.74851667112670806</v>
      </c>
      <c r="P1864" s="14">
        <v>0.206259709550068</v>
      </c>
      <c r="Q1864" t="str">
        <f t="shared" si="58"/>
        <v>&lt;01</v>
      </c>
      <c r="R1864" t="str">
        <f t="shared" si="59"/>
        <v>[lPTyjLi4w3d]|&lt;01|Female|PopART.Rt.T_1|CY2023Q3</v>
      </c>
    </row>
    <row r="1865" spans="4:18" x14ac:dyDescent="0.2">
      <c r="D1865" t="s">
        <v>116</v>
      </c>
      <c r="E1865" t="s">
        <v>117</v>
      </c>
      <c r="F1865" t="s">
        <v>118</v>
      </c>
      <c r="G1865" t="s">
        <v>144</v>
      </c>
      <c r="H1865" t="s">
        <v>144</v>
      </c>
      <c r="I1865" t="s">
        <v>32</v>
      </c>
      <c r="J1865" t="s">
        <v>33</v>
      </c>
      <c r="K1865" t="s">
        <v>29</v>
      </c>
      <c r="L1865" t="s">
        <v>30</v>
      </c>
      <c r="M1865" t="s">
        <v>139</v>
      </c>
      <c r="N1865">
        <v>754</v>
      </c>
      <c r="O1865" s="14">
        <v>0.97602316876873396</v>
      </c>
      <c r="P1865" s="14">
        <v>0.206259709550068</v>
      </c>
      <c r="Q1865" t="str">
        <f t="shared" si="58"/>
        <v>01-09</v>
      </c>
      <c r="R1865" t="str">
        <f t="shared" si="59"/>
        <v>[lPTyjLi4w3d]|01-09|Female|PopART.Rt.T_1|CY2023Q3</v>
      </c>
    </row>
    <row r="1866" spans="4:18" x14ac:dyDescent="0.2">
      <c r="D1866" t="s">
        <v>116</v>
      </c>
      <c r="E1866" t="s">
        <v>117</v>
      </c>
      <c r="F1866" t="s">
        <v>118</v>
      </c>
      <c r="G1866" t="s">
        <v>144</v>
      </c>
      <c r="H1866" t="s">
        <v>144</v>
      </c>
      <c r="I1866" t="s">
        <v>35</v>
      </c>
      <c r="J1866" t="s">
        <v>36</v>
      </c>
      <c r="K1866" t="s">
        <v>29</v>
      </c>
      <c r="L1866" t="s">
        <v>30</v>
      </c>
      <c r="M1866" t="s">
        <v>139</v>
      </c>
      <c r="N1866">
        <v>1448</v>
      </c>
      <c r="O1866" s="14">
        <v>0.68615150032564998</v>
      </c>
      <c r="P1866" s="14">
        <v>0.206259709550068</v>
      </c>
      <c r="Q1866" t="str">
        <f t="shared" si="58"/>
        <v>10-14</v>
      </c>
      <c r="R1866" t="str">
        <f t="shared" si="59"/>
        <v>[lPTyjLi4w3d]|10-14|Female|PopART.Rt.T_1|CY2023Q3</v>
      </c>
    </row>
    <row r="1867" spans="4:18" x14ac:dyDescent="0.2">
      <c r="D1867" t="s">
        <v>116</v>
      </c>
      <c r="E1867" t="s">
        <v>117</v>
      </c>
      <c r="F1867" t="s">
        <v>118</v>
      </c>
      <c r="G1867" t="s">
        <v>144</v>
      </c>
      <c r="H1867" t="s">
        <v>144</v>
      </c>
      <c r="I1867" t="s">
        <v>37</v>
      </c>
      <c r="J1867" t="s">
        <v>38</v>
      </c>
      <c r="K1867" t="s">
        <v>29</v>
      </c>
      <c r="L1867" t="s">
        <v>30</v>
      </c>
      <c r="M1867" t="s">
        <v>139</v>
      </c>
      <c r="N1867">
        <v>1175</v>
      </c>
      <c r="O1867" s="14">
        <v>0.56769177736714505</v>
      </c>
      <c r="P1867" s="14">
        <v>0.206259709550068</v>
      </c>
      <c r="Q1867" t="str">
        <f t="shared" si="58"/>
        <v>15-24</v>
      </c>
      <c r="R1867" t="str">
        <f t="shared" si="59"/>
        <v>[lPTyjLi4w3d]|15-24|Female|PopART.Rt.T_1|CY2023Q3</v>
      </c>
    </row>
    <row r="1868" spans="4:18" x14ac:dyDescent="0.2">
      <c r="D1868" t="s">
        <v>116</v>
      </c>
      <c r="E1868" t="s">
        <v>117</v>
      </c>
      <c r="F1868" t="s">
        <v>118</v>
      </c>
      <c r="G1868" t="s">
        <v>144</v>
      </c>
      <c r="H1868" t="s">
        <v>144</v>
      </c>
      <c r="I1868" t="s">
        <v>40</v>
      </c>
      <c r="J1868" t="s">
        <v>41</v>
      </c>
      <c r="K1868" t="s">
        <v>29</v>
      </c>
      <c r="L1868" t="s">
        <v>30</v>
      </c>
      <c r="M1868" t="s">
        <v>139</v>
      </c>
      <c r="N1868">
        <v>1520</v>
      </c>
      <c r="O1868" s="14">
        <v>6.3369199866428999E-2</v>
      </c>
      <c r="P1868" s="14">
        <v>0.206259709550068</v>
      </c>
      <c r="Q1868" t="str">
        <f t="shared" si="58"/>
        <v>25-34</v>
      </c>
      <c r="R1868" t="str">
        <f t="shared" si="59"/>
        <v>[lPTyjLi4w3d]|25-34|Female|PopART.Rt.T_1|CY2023Q3</v>
      </c>
    </row>
    <row r="1869" spans="4:18" x14ac:dyDescent="0.2">
      <c r="D1869" t="s">
        <v>116</v>
      </c>
      <c r="E1869" t="s">
        <v>117</v>
      </c>
      <c r="F1869" t="s">
        <v>118</v>
      </c>
      <c r="G1869" t="s">
        <v>144</v>
      </c>
      <c r="H1869" t="s">
        <v>144</v>
      </c>
      <c r="I1869" t="s">
        <v>42</v>
      </c>
      <c r="J1869" t="s">
        <v>43</v>
      </c>
      <c r="K1869" t="s">
        <v>29</v>
      </c>
      <c r="L1869" t="s">
        <v>30</v>
      </c>
      <c r="M1869" t="s">
        <v>139</v>
      </c>
      <c r="N1869">
        <v>971</v>
      </c>
      <c r="O1869" s="14">
        <v>0.56255525606684398</v>
      </c>
      <c r="P1869" s="14">
        <v>0.206259709550068</v>
      </c>
      <c r="Q1869" t="str">
        <f t="shared" si="58"/>
        <v>35-49</v>
      </c>
      <c r="R1869" t="str">
        <f t="shared" si="59"/>
        <v>[lPTyjLi4w3d]|35-49|Female|PopART.Rt.T_1|CY2023Q3</v>
      </c>
    </row>
    <row r="1870" spans="4:18" x14ac:dyDescent="0.2">
      <c r="D1870" t="s">
        <v>116</v>
      </c>
      <c r="E1870" t="s">
        <v>117</v>
      </c>
      <c r="F1870" t="s">
        <v>118</v>
      </c>
      <c r="G1870" t="s">
        <v>144</v>
      </c>
      <c r="H1870" t="s">
        <v>144</v>
      </c>
      <c r="I1870" t="s">
        <v>44</v>
      </c>
      <c r="J1870" t="s">
        <v>45</v>
      </c>
      <c r="K1870" t="s">
        <v>29</v>
      </c>
      <c r="L1870" t="s">
        <v>30</v>
      </c>
      <c r="M1870" t="s">
        <v>139</v>
      </c>
      <c r="N1870">
        <v>1370</v>
      </c>
      <c r="O1870" s="14">
        <v>0.82586836372502104</v>
      </c>
      <c r="P1870" s="14">
        <v>0.206259709550068</v>
      </c>
      <c r="Q1870" t="str">
        <f t="shared" si="58"/>
        <v>50+</v>
      </c>
      <c r="R1870" t="str">
        <f t="shared" si="59"/>
        <v>[lPTyjLi4w3d]|50+|Female|PopART.Rt.T_1|CY2023Q3</v>
      </c>
    </row>
    <row r="1871" spans="4:18" x14ac:dyDescent="0.2">
      <c r="D1871" t="s">
        <v>116</v>
      </c>
      <c r="E1871" t="s">
        <v>117</v>
      </c>
      <c r="F1871" t="s">
        <v>118</v>
      </c>
      <c r="G1871" t="s">
        <v>144</v>
      </c>
      <c r="H1871" t="s">
        <v>144</v>
      </c>
      <c r="I1871" t="s">
        <v>27</v>
      </c>
      <c r="J1871" t="s">
        <v>28</v>
      </c>
      <c r="K1871" t="s">
        <v>47</v>
      </c>
      <c r="L1871" t="s">
        <v>48</v>
      </c>
      <c r="M1871" t="s">
        <v>139</v>
      </c>
      <c r="N1871">
        <v>1472</v>
      </c>
      <c r="O1871" s="14">
        <v>0.81820025597698998</v>
      </c>
      <c r="P1871" s="14">
        <v>0.206259709550068</v>
      </c>
      <c r="Q1871" t="str">
        <f t="shared" si="58"/>
        <v>&lt;01</v>
      </c>
      <c r="R1871" t="str">
        <f t="shared" si="59"/>
        <v>[lPTyjLi4w3d]|&lt;01|Male|PopART.Rt.T_1|CY2023Q3</v>
      </c>
    </row>
    <row r="1872" spans="4:18" x14ac:dyDescent="0.2">
      <c r="D1872" t="s">
        <v>116</v>
      </c>
      <c r="E1872" t="s">
        <v>117</v>
      </c>
      <c r="F1872" t="s">
        <v>118</v>
      </c>
      <c r="G1872" t="s">
        <v>144</v>
      </c>
      <c r="H1872" t="s">
        <v>144</v>
      </c>
      <c r="I1872" t="s">
        <v>32</v>
      </c>
      <c r="J1872" t="s">
        <v>33</v>
      </c>
      <c r="K1872" t="s">
        <v>47</v>
      </c>
      <c r="L1872" t="s">
        <v>48</v>
      </c>
      <c r="M1872" t="s">
        <v>139</v>
      </c>
      <c r="N1872">
        <v>796</v>
      </c>
      <c r="O1872" s="14">
        <v>0.62830054108053401</v>
      </c>
      <c r="P1872" s="14">
        <v>0.206259709550068</v>
      </c>
      <c r="Q1872" t="str">
        <f t="shared" si="58"/>
        <v>01-09</v>
      </c>
      <c r="R1872" t="str">
        <f t="shared" si="59"/>
        <v>[lPTyjLi4w3d]|01-09|Male|PopART.Rt.T_1|CY2023Q3</v>
      </c>
    </row>
    <row r="1873" spans="4:18" x14ac:dyDescent="0.2">
      <c r="D1873" t="s">
        <v>116</v>
      </c>
      <c r="E1873" t="s">
        <v>117</v>
      </c>
      <c r="F1873" t="s">
        <v>118</v>
      </c>
      <c r="G1873" t="s">
        <v>144</v>
      </c>
      <c r="H1873" t="s">
        <v>144</v>
      </c>
      <c r="I1873" t="s">
        <v>35</v>
      </c>
      <c r="J1873" t="s">
        <v>36</v>
      </c>
      <c r="K1873" t="s">
        <v>47</v>
      </c>
      <c r="L1873" t="s">
        <v>48</v>
      </c>
      <c r="M1873" t="s">
        <v>139</v>
      </c>
      <c r="N1873">
        <v>1149</v>
      </c>
      <c r="O1873" s="14">
        <v>0.93533063051290799</v>
      </c>
      <c r="P1873" s="14">
        <v>0.206259709550068</v>
      </c>
      <c r="Q1873" t="str">
        <f t="shared" si="58"/>
        <v>10-14</v>
      </c>
      <c r="R1873" t="str">
        <f t="shared" si="59"/>
        <v>[lPTyjLi4w3d]|10-14|Male|PopART.Rt.T_1|CY2023Q3</v>
      </c>
    </row>
    <row r="1874" spans="4:18" x14ac:dyDescent="0.2">
      <c r="D1874" t="s">
        <v>116</v>
      </c>
      <c r="E1874" t="s">
        <v>117</v>
      </c>
      <c r="F1874" t="s">
        <v>118</v>
      </c>
      <c r="G1874" t="s">
        <v>144</v>
      </c>
      <c r="H1874" t="s">
        <v>144</v>
      </c>
      <c r="I1874" t="s">
        <v>37</v>
      </c>
      <c r="J1874" t="s">
        <v>38</v>
      </c>
      <c r="K1874" t="s">
        <v>47</v>
      </c>
      <c r="L1874" t="s">
        <v>48</v>
      </c>
      <c r="M1874" t="s">
        <v>139</v>
      </c>
      <c r="N1874">
        <v>1548</v>
      </c>
      <c r="O1874" s="14">
        <v>0.370693868258968</v>
      </c>
      <c r="P1874" s="14">
        <v>0.206259709550068</v>
      </c>
      <c r="Q1874" t="str">
        <f t="shared" si="58"/>
        <v>15-24</v>
      </c>
      <c r="R1874" t="str">
        <f t="shared" si="59"/>
        <v>[lPTyjLi4w3d]|15-24|Male|PopART.Rt.T_1|CY2023Q3</v>
      </c>
    </row>
    <row r="1875" spans="4:18" x14ac:dyDescent="0.2">
      <c r="D1875" t="s">
        <v>116</v>
      </c>
      <c r="E1875" t="s">
        <v>117</v>
      </c>
      <c r="F1875" t="s">
        <v>118</v>
      </c>
      <c r="G1875" t="s">
        <v>144</v>
      </c>
      <c r="H1875" t="s">
        <v>144</v>
      </c>
      <c r="I1875" t="s">
        <v>40</v>
      </c>
      <c r="J1875" t="s">
        <v>41</v>
      </c>
      <c r="K1875" t="s">
        <v>47</v>
      </c>
      <c r="L1875" t="s">
        <v>48</v>
      </c>
      <c r="M1875" t="s">
        <v>139</v>
      </c>
      <c r="N1875">
        <v>1048</v>
      </c>
      <c r="O1875" s="14">
        <v>0.93132848874665797</v>
      </c>
      <c r="P1875" s="14">
        <v>0.206259709550068</v>
      </c>
      <c r="Q1875" t="str">
        <f t="shared" si="58"/>
        <v>25-34</v>
      </c>
      <c r="R1875" t="str">
        <f t="shared" si="59"/>
        <v>[lPTyjLi4w3d]|25-34|Male|PopART.Rt.T_1|CY2023Q3</v>
      </c>
    </row>
    <row r="1876" spans="4:18" x14ac:dyDescent="0.2">
      <c r="D1876" t="s">
        <v>116</v>
      </c>
      <c r="E1876" t="s">
        <v>117</v>
      </c>
      <c r="F1876" t="s">
        <v>118</v>
      </c>
      <c r="G1876" t="s">
        <v>144</v>
      </c>
      <c r="H1876" t="s">
        <v>144</v>
      </c>
      <c r="I1876" t="s">
        <v>42</v>
      </c>
      <c r="J1876" t="s">
        <v>43</v>
      </c>
      <c r="K1876" t="s">
        <v>47</v>
      </c>
      <c r="L1876" t="s">
        <v>48</v>
      </c>
      <c r="M1876" t="s">
        <v>139</v>
      </c>
      <c r="N1876">
        <v>1836</v>
      </c>
      <c r="O1876" s="14">
        <v>0.38302959850989299</v>
      </c>
      <c r="P1876" s="14">
        <v>0.206259709550068</v>
      </c>
      <c r="Q1876" t="str">
        <f t="shared" si="58"/>
        <v>35-49</v>
      </c>
      <c r="R1876" t="str">
        <f t="shared" si="59"/>
        <v>[lPTyjLi4w3d]|35-49|Male|PopART.Rt.T_1|CY2023Q3</v>
      </c>
    </row>
    <row r="1877" spans="4:18" x14ac:dyDescent="0.2">
      <c r="D1877" t="s">
        <v>116</v>
      </c>
      <c r="E1877" t="s">
        <v>117</v>
      </c>
      <c r="F1877" t="s">
        <v>118</v>
      </c>
      <c r="G1877" t="s">
        <v>144</v>
      </c>
      <c r="H1877" t="s">
        <v>144</v>
      </c>
      <c r="I1877" t="s">
        <v>44</v>
      </c>
      <c r="J1877" t="s">
        <v>45</v>
      </c>
      <c r="K1877" t="s">
        <v>47</v>
      </c>
      <c r="L1877" t="s">
        <v>48</v>
      </c>
      <c r="M1877" t="s">
        <v>139</v>
      </c>
      <c r="N1877">
        <v>1898</v>
      </c>
      <c r="O1877" s="14">
        <v>0.18714658473618301</v>
      </c>
      <c r="P1877" s="14">
        <v>0.206259709550068</v>
      </c>
      <c r="Q1877" t="str">
        <f t="shared" si="58"/>
        <v>50+</v>
      </c>
      <c r="R1877" t="str">
        <f t="shared" si="59"/>
        <v>[lPTyjLi4w3d]|50+|Male|PopART.Rt.T_1|CY2023Q3</v>
      </c>
    </row>
    <row r="1878" spans="4:18" x14ac:dyDescent="0.2">
      <c r="D1878" t="s">
        <v>119</v>
      </c>
      <c r="E1878" t="s">
        <v>120</v>
      </c>
      <c r="F1878" t="s">
        <v>121</v>
      </c>
      <c r="G1878" t="s">
        <v>144</v>
      </c>
      <c r="H1878" t="s">
        <v>144</v>
      </c>
      <c r="I1878" t="s">
        <v>27</v>
      </c>
      <c r="J1878" t="s">
        <v>28</v>
      </c>
      <c r="K1878" t="s">
        <v>29</v>
      </c>
      <c r="L1878" t="s">
        <v>30</v>
      </c>
      <c r="M1878" t="s">
        <v>139</v>
      </c>
      <c r="N1878">
        <v>1980</v>
      </c>
      <c r="O1878" s="14">
        <v>0.18709256150759801</v>
      </c>
      <c r="P1878" s="14">
        <v>0.43010397930629601</v>
      </c>
      <c r="Q1878" t="str">
        <f t="shared" si="58"/>
        <v>&lt;01</v>
      </c>
      <c r="R1878" t="str">
        <f t="shared" si="59"/>
        <v>[vA4NcHxfMBq]|&lt;01|Female|PopART.Rt.T_1|CY2023Q3</v>
      </c>
    </row>
    <row r="1879" spans="4:18" x14ac:dyDescent="0.2">
      <c r="D1879" t="s">
        <v>119</v>
      </c>
      <c r="E1879" t="s">
        <v>120</v>
      </c>
      <c r="F1879" t="s">
        <v>121</v>
      </c>
      <c r="G1879" t="s">
        <v>144</v>
      </c>
      <c r="H1879" t="s">
        <v>144</v>
      </c>
      <c r="I1879" t="s">
        <v>32</v>
      </c>
      <c r="J1879" t="s">
        <v>33</v>
      </c>
      <c r="K1879" t="s">
        <v>29</v>
      </c>
      <c r="L1879" t="s">
        <v>30</v>
      </c>
      <c r="M1879" t="s">
        <v>139</v>
      </c>
      <c r="N1879">
        <v>1961</v>
      </c>
      <c r="O1879" s="14">
        <v>0.77653245651163205</v>
      </c>
      <c r="P1879" s="14">
        <v>0.43010397930629601</v>
      </c>
      <c r="Q1879" t="str">
        <f t="shared" si="58"/>
        <v>01-09</v>
      </c>
      <c r="R1879" t="str">
        <f t="shared" si="59"/>
        <v>[vA4NcHxfMBq]|01-09|Female|PopART.Rt.T_1|CY2023Q3</v>
      </c>
    </row>
    <row r="1880" spans="4:18" x14ac:dyDescent="0.2">
      <c r="D1880" t="s">
        <v>119</v>
      </c>
      <c r="E1880" t="s">
        <v>120</v>
      </c>
      <c r="F1880" t="s">
        <v>121</v>
      </c>
      <c r="G1880" t="s">
        <v>144</v>
      </c>
      <c r="H1880" t="s">
        <v>144</v>
      </c>
      <c r="I1880" t="s">
        <v>35</v>
      </c>
      <c r="J1880" t="s">
        <v>36</v>
      </c>
      <c r="K1880" t="s">
        <v>29</v>
      </c>
      <c r="L1880" t="s">
        <v>30</v>
      </c>
      <c r="M1880" t="s">
        <v>139</v>
      </c>
      <c r="N1880">
        <v>1946</v>
      </c>
      <c r="O1880" s="14">
        <v>1.7769849859178101E-2</v>
      </c>
      <c r="P1880" s="14">
        <v>0.43010397930629601</v>
      </c>
      <c r="Q1880" t="str">
        <f t="shared" si="58"/>
        <v>10-14</v>
      </c>
      <c r="R1880" t="str">
        <f t="shared" si="59"/>
        <v>[vA4NcHxfMBq]|10-14|Female|PopART.Rt.T_1|CY2023Q3</v>
      </c>
    </row>
    <row r="1881" spans="4:18" x14ac:dyDescent="0.2">
      <c r="D1881" t="s">
        <v>119</v>
      </c>
      <c r="E1881" t="s">
        <v>120</v>
      </c>
      <c r="F1881" t="s">
        <v>121</v>
      </c>
      <c r="G1881" t="s">
        <v>144</v>
      </c>
      <c r="H1881" t="s">
        <v>144</v>
      </c>
      <c r="I1881" t="s">
        <v>37</v>
      </c>
      <c r="J1881" t="s">
        <v>38</v>
      </c>
      <c r="K1881" t="s">
        <v>29</v>
      </c>
      <c r="L1881" t="s">
        <v>30</v>
      </c>
      <c r="M1881" t="s">
        <v>139</v>
      </c>
      <c r="N1881">
        <v>765</v>
      </c>
      <c r="O1881" s="14">
        <v>0.54661506810225502</v>
      </c>
      <c r="P1881" s="14">
        <v>0.43010397930629601</v>
      </c>
      <c r="Q1881" t="str">
        <f t="shared" si="58"/>
        <v>15-24</v>
      </c>
      <c r="R1881" t="str">
        <f t="shared" si="59"/>
        <v>[vA4NcHxfMBq]|15-24|Female|PopART.Rt.T_1|CY2023Q3</v>
      </c>
    </row>
    <row r="1882" spans="4:18" x14ac:dyDescent="0.2">
      <c r="D1882" t="s">
        <v>119</v>
      </c>
      <c r="E1882" t="s">
        <v>120</v>
      </c>
      <c r="F1882" t="s">
        <v>121</v>
      </c>
      <c r="G1882" t="s">
        <v>144</v>
      </c>
      <c r="H1882" t="s">
        <v>144</v>
      </c>
      <c r="I1882" t="s">
        <v>40</v>
      </c>
      <c r="J1882" t="s">
        <v>41</v>
      </c>
      <c r="K1882" t="s">
        <v>29</v>
      </c>
      <c r="L1882" t="s">
        <v>30</v>
      </c>
      <c r="M1882" t="s">
        <v>139</v>
      </c>
      <c r="N1882">
        <v>1569</v>
      </c>
      <c r="O1882" s="14">
        <v>0.864395897602662</v>
      </c>
      <c r="P1882" s="14">
        <v>0.43010397930629601</v>
      </c>
      <c r="Q1882" t="str">
        <f t="shared" si="58"/>
        <v>25-34</v>
      </c>
      <c r="R1882" t="str">
        <f t="shared" si="59"/>
        <v>[vA4NcHxfMBq]|25-34|Female|PopART.Rt.T_1|CY2023Q3</v>
      </c>
    </row>
    <row r="1883" spans="4:18" x14ac:dyDescent="0.2">
      <c r="D1883" t="s">
        <v>119</v>
      </c>
      <c r="E1883" t="s">
        <v>120</v>
      </c>
      <c r="F1883" t="s">
        <v>121</v>
      </c>
      <c r="G1883" t="s">
        <v>144</v>
      </c>
      <c r="H1883" t="s">
        <v>144</v>
      </c>
      <c r="I1883" t="s">
        <v>42</v>
      </c>
      <c r="J1883" t="s">
        <v>43</v>
      </c>
      <c r="K1883" t="s">
        <v>29</v>
      </c>
      <c r="L1883" t="s">
        <v>30</v>
      </c>
      <c r="M1883" t="s">
        <v>139</v>
      </c>
      <c r="N1883">
        <v>918</v>
      </c>
      <c r="O1883" s="14">
        <v>0.76723472424782801</v>
      </c>
      <c r="P1883" s="14">
        <v>0.43010397930629601</v>
      </c>
      <c r="Q1883" t="str">
        <f t="shared" si="58"/>
        <v>35-49</v>
      </c>
      <c r="R1883" t="str">
        <f t="shared" si="59"/>
        <v>[vA4NcHxfMBq]|35-49|Female|PopART.Rt.T_1|CY2023Q3</v>
      </c>
    </row>
    <row r="1884" spans="4:18" x14ac:dyDescent="0.2">
      <c r="D1884" t="s">
        <v>119</v>
      </c>
      <c r="E1884" t="s">
        <v>120</v>
      </c>
      <c r="F1884" t="s">
        <v>121</v>
      </c>
      <c r="G1884" t="s">
        <v>144</v>
      </c>
      <c r="H1884" t="s">
        <v>144</v>
      </c>
      <c r="I1884" t="s">
        <v>44</v>
      </c>
      <c r="J1884" t="s">
        <v>45</v>
      </c>
      <c r="K1884" t="s">
        <v>29</v>
      </c>
      <c r="L1884" t="s">
        <v>30</v>
      </c>
      <c r="M1884" t="s">
        <v>139</v>
      </c>
      <c r="N1884">
        <v>1687</v>
      </c>
      <c r="O1884" s="14">
        <v>0.44353993027471</v>
      </c>
      <c r="P1884" s="14">
        <v>0.43010397930629601</v>
      </c>
      <c r="Q1884" t="str">
        <f t="shared" si="58"/>
        <v>50+</v>
      </c>
      <c r="R1884" t="str">
        <f t="shared" si="59"/>
        <v>[vA4NcHxfMBq]|50+|Female|PopART.Rt.T_1|CY2023Q3</v>
      </c>
    </row>
    <row r="1885" spans="4:18" x14ac:dyDescent="0.2">
      <c r="D1885" t="s">
        <v>119</v>
      </c>
      <c r="E1885" t="s">
        <v>120</v>
      </c>
      <c r="F1885" t="s">
        <v>121</v>
      </c>
      <c r="G1885" t="s">
        <v>144</v>
      </c>
      <c r="H1885" t="s">
        <v>144</v>
      </c>
      <c r="I1885" t="s">
        <v>27</v>
      </c>
      <c r="J1885" t="s">
        <v>28</v>
      </c>
      <c r="K1885" t="s">
        <v>47</v>
      </c>
      <c r="L1885" t="s">
        <v>48</v>
      </c>
      <c r="M1885" t="s">
        <v>139</v>
      </c>
      <c r="N1885">
        <v>1336</v>
      </c>
      <c r="O1885" s="14">
        <v>0.23015732737258099</v>
      </c>
      <c r="P1885" s="14">
        <v>0.43010397930629601</v>
      </c>
      <c r="Q1885" t="str">
        <f t="shared" si="58"/>
        <v>&lt;01</v>
      </c>
      <c r="R1885" t="str">
        <f t="shared" si="59"/>
        <v>[vA4NcHxfMBq]|&lt;01|Male|PopART.Rt.T_1|CY2023Q3</v>
      </c>
    </row>
    <row r="1886" spans="4:18" x14ac:dyDescent="0.2">
      <c r="D1886" t="s">
        <v>119</v>
      </c>
      <c r="E1886" t="s">
        <v>120</v>
      </c>
      <c r="F1886" t="s">
        <v>121</v>
      </c>
      <c r="G1886" t="s">
        <v>144</v>
      </c>
      <c r="H1886" t="s">
        <v>144</v>
      </c>
      <c r="I1886" t="s">
        <v>32</v>
      </c>
      <c r="J1886" t="s">
        <v>33</v>
      </c>
      <c r="K1886" t="s">
        <v>47</v>
      </c>
      <c r="L1886" t="s">
        <v>48</v>
      </c>
      <c r="M1886" t="s">
        <v>139</v>
      </c>
      <c r="N1886">
        <v>996</v>
      </c>
      <c r="O1886" s="14">
        <v>0.151072445092723</v>
      </c>
      <c r="P1886" s="14">
        <v>0.43010397930629601</v>
      </c>
      <c r="Q1886" t="str">
        <f t="shared" si="58"/>
        <v>01-09</v>
      </c>
      <c r="R1886" t="str">
        <f t="shared" si="59"/>
        <v>[vA4NcHxfMBq]|01-09|Male|PopART.Rt.T_1|CY2023Q3</v>
      </c>
    </row>
    <row r="1887" spans="4:18" x14ac:dyDescent="0.2">
      <c r="D1887" t="s">
        <v>119</v>
      </c>
      <c r="E1887" t="s">
        <v>120</v>
      </c>
      <c r="F1887" t="s">
        <v>121</v>
      </c>
      <c r="G1887" t="s">
        <v>144</v>
      </c>
      <c r="H1887" t="s">
        <v>144</v>
      </c>
      <c r="I1887" t="s">
        <v>35</v>
      </c>
      <c r="J1887" t="s">
        <v>36</v>
      </c>
      <c r="K1887" t="s">
        <v>47</v>
      </c>
      <c r="L1887" t="s">
        <v>48</v>
      </c>
      <c r="M1887" t="s">
        <v>139</v>
      </c>
      <c r="N1887">
        <v>802</v>
      </c>
      <c r="O1887" s="14">
        <v>0.69153398694470503</v>
      </c>
      <c r="P1887" s="14">
        <v>0.43010397930629601</v>
      </c>
      <c r="Q1887" t="str">
        <f t="shared" si="58"/>
        <v>10-14</v>
      </c>
      <c r="R1887" t="str">
        <f t="shared" si="59"/>
        <v>[vA4NcHxfMBq]|10-14|Male|PopART.Rt.T_1|CY2023Q3</v>
      </c>
    </row>
    <row r="1888" spans="4:18" x14ac:dyDescent="0.2">
      <c r="D1888" t="s">
        <v>119</v>
      </c>
      <c r="E1888" t="s">
        <v>120</v>
      </c>
      <c r="F1888" t="s">
        <v>121</v>
      </c>
      <c r="G1888" t="s">
        <v>144</v>
      </c>
      <c r="H1888" t="s">
        <v>144</v>
      </c>
      <c r="I1888" t="s">
        <v>37</v>
      </c>
      <c r="J1888" t="s">
        <v>38</v>
      </c>
      <c r="K1888" t="s">
        <v>47</v>
      </c>
      <c r="L1888" t="s">
        <v>48</v>
      </c>
      <c r="M1888" t="s">
        <v>139</v>
      </c>
      <c r="N1888">
        <v>1946</v>
      </c>
      <c r="O1888" s="14">
        <v>0.90632999199442599</v>
      </c>
      <c r="P1888" s="14">
        <v>0.43010397930629601</v>
      </c>
      <c r="Q1888" t="str">
        <f t="shared" si="58"/>
        <v>15-24</v>
      </c>
      <c r="R1888" t="str">
        <f t="shared" si="59"/>
        <v>[vA4NcHxfMBq]|15-24|Male|PopART.Rt.T_1|CY2023Q3</v>
      </c>
    </row>
    <row r="1889" spans="4:18" x14ac:dyDescent="0.2">
      <c r="D1889" t="s">
        <v>119</v>
      </c>
      <c r="E1889" t="s">
        <v>120</v>
      </c>
      <c r="F1889" t="s">
        <v>121</v>
      </c>
      <c r="G1889" t="s">
        <v>144</v>
      </c>
      <c r="H1889" t="s">
        <v>144</v>
      </c>
      <c r="I1889" t="s">
        <v>40</v>
      </c>
      <c r="J1889" t="s">
        <v>41</v>
      </c>
      <c r="K1889" t="s">
        <v>47</v>
      </c>
      <c r="L1889" t="s">
        <v>48</v>
      </c>
      <c r="M1889" t="s">
        <v>139</v>
      </c>
      <c r="N1889">
        <v>1023</v>
      </c>
      <c r="O1889" s="14">
        <v>0.82730540772899996</v>
      </c>
      <c r="P1889" s="14">
        <v>0.43010397930629601</v>
      </c>
      <c r="Q1889" t="str">
        <f t="shared" si="58"/>
        <v>25-34</v>
      </c>
      <c r="R1889" t="str">
        <f t="shared" si="59"/>
        <v>[vA4NcHxfMBq]|25-34|Male|PopART.Rt.T_1|CY2023Q3</v>
      </c>
    </row>
    <row r="1890" spans="4:18" x14ac:dyDescent="0.2">
      <c r="D1890" t="s">
        <v>119</v>
      </c>
      <c r="E1890" t="s">
        <v>120</v>
      </c>
      <c r="F1890" t="s">
        <v>121</v>
      </c>
      <c r="G1890" t="s">
        <v>144</v>
      </c>
      <c r="H1890" t="s">
        <v>144</v>
      </c>
      <c r="I1890" t="s">
        <v>42</v>
      </c>
      <c r="J1890" t="s">
        <v>43</v>
      </c>
      <c r="K1890" t="s">
        <v>47</v>
      </c>
      <c r="L1890" t="s">
        <v>48</v>
      </c>
      <c r="M1890" t="s">
        <v>139</v>
      </c>
      <c r="N1890">
        <v>1021</v>
      </c>
      <c r="O1890" s="14">
        <v>0.39662938727997199</v>
      </c>
      <c r="P1890" s="14">
        <v>0.43010397930629601</v>
      </c>
      <c r="Q1890" t="str">
        <f t="shared" si="58"/>
        <v>35-49</v>
      </c>
      <c r="R1890" t="str">
        <f t="shared" si="59"/>
        <v>[vA4NcHxfMBq]|35-49|Male|PopART.Rt.T_1|CY2023Q3</v>
      </c>
    </row>
    <row r="1891" spans="4:18" x14ac:dyDescent="0.2">
      <c r="D1891" t="s">
        <v>119</v>
      </c>
      <c r="E1891" t="s">
        <v>120</v>
      </c>
      <c r="F1891" t="s">
        <v>121</v>
      </c>
      <c r="G1891" t="s">
        <v>144</v>
      </c>
      <c r="H1891" t="s">
        <v>144</v>
      </c>
      <c r="I1891" t="s">
        <v>44</v>
      </c>
      <c r="J1891" t="s">
        <v>45</v>
      </c>
      <c r="K1891" t="s">
        <v>47</v>
      </c>
      <c r="L1891" t="s">
        <v>48</v>
      </c>
      <c r="M1891" t="s">
        <v>139</v>
      </c>
      <c r="N1891">
        <v>1119</v>
      </c>
      <c r="O1891" s="14">
        <v>2.2482885746285299E-2</v>
      </c>
      <c r="P1891" s="14">
        <v>0.43010397930629601</v>
      </c>
      <c r="Q1891" t="str">
        <f t="shared" si="58"/>
        <v>50+</v>
      </c>
      <c r="R1891" t="str">
        <f t="shared" si="59"/>
        <v>[vA4NcHxfMBq]|50+|Male|PopART.Rt.T_1|CY2023Q3</v>
      </c>
    </row>
    <row r="1892" spans="4:18" x14ac:dyDescent="0.2">
      <c r="D1892" t="s">
        <v>122</v>
      </c>
      <c r="E1892" t="s">
        <v>123</v>
      </c>
      <c r="F1892" t="s">
        <v>124</v>
      </c>
      <c r="G1892" t="s">
        <v>144</v>
      </c>
      <c r="H1892" t="s">
        <v>144</v>
      </c>
      <c r="I1892" t="s">
        <v>27</v>
      </c>
      <c r="J1892" t="s">
        <v>28</v>
      </c>
      <c r="K1892" t="s">
        <v>29</v>
      </c>
      <c r="L1892" t="s">
        <v>30</v>
      </c>
      <c r="M1892" t="s">
        <v>139</v>
      </c>
      <c r="N1892">
        <v>1328</v>
      </c>
      <c r="O1892" s="14">
        <v>0.25637863762676699</v>
      </c>
      <c r="P1892" s="14">
        <v>0.41950060334056599</v>
      </c>
      <c r="Q1892" t="str">
        <f t="shared" si="58"/>
        <v>&lt;01</v>
      </c>
      <c r="R1892" t="str">
        <f t="shared" si="59"/>
        <v>[E7zpfyBt7Tw]|&lt;01|Female|PopART.Rt.T_1|CY2023Q3</v>
      </c>
    </row>
    <row r="1893" spans="4:18" x14ac:dyDescent="0.2">
      <c r="D1893" t="s">
        <v>122</v>
      </c>
      <c r="E1893" t="s">
        <v>123</v>
      </c>
      <c r="F1893" t="s">
        <v>124</v>
      </c>
      <c r="G1893" t="s">
        <v>144</v>
      </c>
      <c r="H1893" t="s">
        <v>144</v>
      </c>
      <c r="I1893" t="s">
        <v>32</v>
      </c>
      <c r="J1893" t="s">
        <v>33</v>
      </c>
      <c r="K1893" t="s">
        <v>29</v>
      </c>
      <c r="L1893" t="s">
        <v>30</v>
      </c>
      <c r="M1893" t="s">
        <v>139</v>
      </c>
      <c r="N1893">
        <v>675</v>
      </c>
      <c r="O1893" s="14">
        <v>0.62571563944220498</v>
      </c>
      <c r="P1893" s="14">
        <v>0.41950060334056599</v>
      </c>
      <c r="Q1893" t="str">
        <f t="shared" si="58"/>
        <v>01-09</v>
      </c>
      <c r="R1893" t="str">
        <f t="shared" si="59"/>
        <v>[E7zpfyBt7Tw]|01-09|Female|PopART.Rt.T_1|CY2023Q3</v>
      </c>
    </row>
    <row r="1894" spans="4:18" x14ac:dyDescent="0.2">
      <c r="D1894" t="s">
        <v>122</v>
      </c>
      <c r="E1894" t="s">
        <v>123</v>
      </c>
      <c r="F1894" t="s">
        <v>124</v>
      </c>
      <c r="G1894" t="s">
        <v>144</v>
      </c>
      <c r="H1894" t="s">
        <v>144</v>
      </c>
      <c r="I1894" t="s">
        <v>35</v>
      </c>
      <c r="J1894" t="s">
        <v>36</v>
      </c>
      <c r="K1894" t="s">
        <v>29</v>
      </c>
      <c r="L1894" t="s">
        <v>30</v>
      </c>
      <c r="M1894" t="s">
        <v>139</v>
      </c>
      <c r="N1894">
        <v>1348</v>
      </c>
      <c r="O1894" s="14">
        <v>0.87366291950456798</v>
      </c>
      <c r="P1894" s="14">
        <v>0.41950060334056599</v>
      </c>
      <c r="Q1894" t="str">
        <f t="shared" si="58"/>
        <v>10-14</v>
      </c>
      <c r="R1894" t="str">
        <f t="shared" si="59"/>
        <v>[E7zpfyBt7Tw]|10-14|Female|PopART.Rt.T_1|CY2023Q3</v>
      </c>
    </row>
    <row r="1895" spans="4:18" x14ac:dyDescent="0.2">
      <c r="D1895" t="s">
        <v>122</v>
      </c>
      <c r="E1895" t="s">
        <v>123</v>
      </c>
      <c r="F1895" t="s">
        <v>124</v>
      </c>
      <c r="G1895" t="s">
        <v>144</v>
      </c>
      <c r="H1895" t="s">
        <v>144</v>
      </c>
      <c r="I1895" t="s">
        <v>37</v>
      </c>
      <c r="J1895" t="s">
        <v>38</v>
      </c>
      <c r="K1895" t="s">
        <v>29</v>
      </c>
      <c r="L1895" t="s">
        <v>30</v>
      </c>
      <c r="M1895" t="s">
        <v>139</v>
      </c>
      <c r="N1895">
        <v>1731</v>
      </c>
      <c r="O1895" s="14">
        <v>0.61650631111115195</v>
      </c>
      <c r="P1895" s="14">
        <v>0.41950060334056599</v>
      </c>
      <c r="Q1895" t="str">
        <f t="shared" si="58"/>
        <v>15-24</v>
      </c>
      <c r="R1895" t="str">
        <f t="shared" si="59"/>
        <v>[E7zpfyBt7Tw]|15-24|Female|PopART.Rt.T_1|CY2023Q3</v>
      </c>
    </row>
    <row r="1896" spans="4:18" x14ac:dyDescent="0.2">
      <c r="D1896" t="s">
        <v>122</v>
      </c>
      <c r="E1896" t="s">
        <v>123</v>
      </c>
      <c r="F1896" t="s">
        <v>124</v>
      </c>
      <c r="G1896" t="s">
        <v>144</v>
      </c>
      <c r="H1896" t="s">
        <v>144</v>
      </c>
      <c r="I1896" t="s">
        <v>40</v>
      </c>
      <c r="J1896" t="s">
        <v>41</v>
      </c>
      <c r="K1896" t="s">
        <v>29</v>
      </c>
      <c r="L1896" t="s">
        <v>30</v>
      </c>
      <c r="M1896" t="s">
        <v>139</v>
      </c>
      <c r="N1896">
        <v>2000</v>
      </c>
      <c r="O1896" s="14">
        <v>0.23160685133188999</v>
      </c>
      <c r="P1896" s="14">
        <v>0.41950060334056599</v>
      </c>
      <c r="Q1896" t="str">
        <f t="shared" si="58"/>
        <v>25-34</v>
      </c>
      <c r="R1896" t="str">
        <f t="shared" si="59"/>
        <v>[E7zpfyBt7Tw]|25-34|Female|PopART.Rt.T_1|CY2023Q3</v>
      </c>
    </row>
    <row r="1897" spans="4:18" x14ac:dyDescent="0.2">
      <c r="D1897" t="s">
        <v>122</v>
      </c>
      <c r="E1897" t="s">
        <v>123</v>
      </c>
      <c r="F1897" t="s">
        <v>124</v>
      </c>
      <c r="G1897" t="s">
        <v>144</v>
      </c>
      <c r="H1897" t="s">
        <v>144</v>
      </c>
      <c r="I1897" t="s">
        <v>42</v>
      </c>
      <c r="J1897" t="s">
        <v>43</v>
      </c>
      <c r="K1897" t="s">
        <v>29</v>
      </c>
      <c r="L1897" t="s">
        <v>30</v>
      </c>
      <c r="M1897" t="s">
        <v>139</v>
      </c>
      <c r="N1897">
        <v>665</v>
      </c>
      <c r="O1897" s="14">
        <v>0.78116980264894698</v>
      </c>
      <c r="P1897" s="14">
        <v>0.41950060334056599</v>
      </c>
      <c r="Q1897" t="str">
        <f t="shared" si="58"/>
        <v>35-49</v>
      </c>
      <c r="R1897" t="str">
        <f t="shared" si="59"/>
        <v>[E7zpfyBt7Tw]|35-49|Female|PopART.Rt.T_1|CY2023Q3</v>
      </c>
    </row>
    <row r="1898" spans="4:18" x14ac:dyDescent="0.2">
      <c r="D1898" t="s">
        <v>122</v>
      </c>
      <c r="E1898" t="s">
        <v>123</v>
      </c>
      <c r="F1898" t="s">
        <v>124</v>
      </c>
      <c r="G1898" t="s">
        <v>144</v>
      </c>
      <c r="H1898" t="s">
        <v>144</v>
      </c>
      <c r="I1898" t="s">
        <v>44</v>
      </c>
      <c r="J1898" t="s">
        <v>45</v>
      </c>
      <c r="K1898" t="s">
        <v>29</v>
      </c>
      <c r="L1898" t="s">
        <v>30</v>
      </c>
      <c r="M1898" t="s">
        <v>139</v>
      </c>
      <c r="N1898">
        <v>1564</v>
      </c>
      <c r="O1898" s="14">
        <v>0.42785812099464199</v>
      </c>
      <c r="P1898" s="14">
        <v>0.41950060334056599</v>
      </c>
      <c r="Q1898" t="str">
        <f t="shared" si="58"/>
        <v>50+</v>
      </c>
      <c r="R1898" t="str">
        <f t="shared" si="59"/>
        <v>[E7zpfyBt7Tw]|50+|Female|PopART.Rt.T_1|CY2023Q3</v>
      </c>
    </row>
    <row r="1899" spans="4:18" x14ac:dyDescent="0.2">
      <c r="D1899" t="s">
        <v>122</v>
      </c>
      <c r="E1899" t="s">
        <v>123</v>
      </c>
      <c r="F1899" t="s">
        <v>124</v>
      </c>
      <c r="G1899" t="s">
        <v>144</v>
      </c>
      <c r="H1899" t="s">
        <v>144</v>
      </c>
      <c r="I1899" t="s">
        <v>27</v>
      </c>
      <c r="J1899" t="s">
        <v>28</v>
      </c>
      <c r="K1899" t="s">
        <v>47</v>
      </c>
      <c r="L1899" t="s">
        <v>48</v>
      </c>
      <c r="M1899" t="s">
        <v>139</v>
      </c>
      <c r="N1899">
        <v>1561</v>
      </c>
      <c r="O1899" s="14">
        <v>8.2516172435134594E-2</v>
      </c>
      <c r="P1899" s="14">
        <v>0.41950060334056599</v>
      </c>
      <c r="Q1899" t="str">
        <f t="shared" si="58"/>
        <v>&lt;01</v>
      </c>
      <c r="R1899" t="str">
        <f t="shared" si="59"/>
        <v>[E7zpfyBt7Tw]|&lt;01|Male|PopART.Rt.T_1|CY2023Q3</v>
      </c>
    </row>
    <row r="1900" spans="4:18" x14ac:dyDescent="0.2">
      <c r="D1900" t="s">
        <v>122</v>
      </c>
      <c r="E1900" t="s">
        <v>123</v>
      </c>
      <c r="F1900" t="s">
        <v>124</v>
      </c>
      <c r="G1900" t="s">
        <v>144</v>
      </c>
      <c r="H1900" t="s">
        <v>144</v>
      </c>
      <c r="I1900" t="s">
        <v>32</v>
      </c>
      <c r="J1900" t="s">
        <v>33</v>
      </c>
      <c r="K1900" t="s">
        <v>47</v>
      </c>
      <c r="L1900" t="s">
        <v>48</v>
      </c>
      <c r="M1900" t="s">
        <v>139</v>
      </c>
      <c r="N1900">
        <v>1609</v>
      </c>
      <c r="O1900" s="14">
        <v>0.15280444035306601</v>
      </c>
      <c r="P1900" s="14">
        <v>0.41950060334056599</v>
      </c>
      <c r="Q1900" t="str">
        <f t="shared" si="58"/>
        <v>01-09</v>
      </c>
      <c r="R1900" t="str">
        <f t="shared" si="59"/>
        <v>[E7zpfyBt7Tw]|01-09|Male|PopART.Rt.T_1|CY2023Q3</v>
      </c>
    </row>
    <row r="1901" spans="4:18" x14ac:dyDescent="0.2">
      <c r="D1901" t="s">
        <v>122</v>
      </c>
      <c r="E1901" t="s">
        <v>123</v>
      </c>
      <c r="F1901" t="s">
        <v>124</v>
      </c>
      <c r="G1901" t="s">
        <v>144</v>
      </c>
      <c r="H1901" t="s">
        <v>144</v>
      </c>
      <c r="I1901" t="s">
        <v>35</v>
      </c>
      <c r="J1901" t="s">
        <v>36</v>
      </c>
      <c r="K1901" t="s">
        <v>47</v>
      </c>
      <c r="L1901" t="s">
        <v>48</v>
      </c>
      <c r="M1901" t="s">
        <v>139</v>
      </c>
      <c r="N1901">
        <v>1570</v>
      </c>
      <c r="O1901" s="14">
        <v>0.70923680928535804</v>
      </c>
      <c r="P1901" s="14">
        <v>0.41950060334056599</v>
      </c>
      <c r="Q1901" t="str">
        <f t="shared" si="58"/>
        <v>10-14</v>
      </c>
      <c r="R1901" t="str">
        <f t="shared" si="59"/>
        <v>[E7zpfyBt7Tw]|10-14|Male|PopART.Rt.T_1|CY2023Q3</v>
      </c>
    </row>
    <row r="1902" spans="4:18" x14ac:dyDescent="0.2">
      <c r="D1902" t="s">
        <v>122</v>
      </c>
      <c r="E1902" t="s">
        <v>123</v>
      </c>
      <c r="F1902" t="s">
        <v>124</v>
      </c>
      <c r="G1902" t="s">
        <v>144</v>
      </c>
      <c r="H1902" t="s">
        <v>144</v>
      </c>
      <c r="I1902" t="s">
        <v>37</v>
      </c>
      <c r="J1902" t="s">
        <v>38</v>
      </c>
      <c r="K1902" t="s">
        <v>47</v>
      </c>
      <c r="L1902" t="s">
        <v>48</v>
      </c>
      <c r="M1902" t="s">
        <v>139</v>
      </c>
      <c r="N1902">
        <v>953</v>
      </c>
      <c r="O1902" s="14">
        <v>0.73937934474088296</v>
      </c>
      <c r="P1902" s="14">
        <v>0.41950060334056599</v>
      </c>
      <c r="Q1902" t="str">
        <f t="shared" si="58"/>
        <v>15-24</v>
      </c>
      <c r="R1902" t="str">
        <f t="shared" si="59"/>
        <v>[E7zpfyBt7Tw]|15-24|Male|PopART.Rt.T_1|CY2023Q3</v>
      </c>
    </row>
    <row r="1903" spans="4:18" x14ac:dyDescent="0.2">
      <c r="D1903" t="s">
        <v>122</v>
      </c>
      <c r="E1903" t="s">
        <v>123</v>
      </c>
      <c r="F1903" t="s">
        <v>124</v>
      </c>
      <c r="G1903" t="s">
        <v>144</v>
      </c>
      <c r="H1903" t="s">
        <v>144</v>
      </c>
      <c r="I1903" t="s">
        <v>40</v>
      </c>
      <c r="J1903" t="s">
        <v>41</v>
      </c>
      <c r="K1903" t="s">
        <v>47</v>
      </c>
      <c r="L1903" t="s">
        <v>48</v>
      </c>
      <c r="M1903" t="s">
        <v>139</v>
      </c>
      <c r="N1903">
        <v>1023</v>
      </c>
      <c r="O1903" s="14">
        <v>0.84641395951621201</v>
      </c>
      <c r="P1903" s="14">
        <v>0.41950060334056599</v>
      </c>
      <c r="Q1903" t="str">
        <f t="shared" si="58"/>
        <v>25-34</v>
      </c>
      <c r="R1903" t="str">
        <f t="shared" si="59"/>
        <v>[E7zpfyBt7Tw]|25-34|Male|PopART.Rt.T_1|CY2023Q3</v>
      </c>
    </row>
    <row r="1904" spans="4:18" x14ac:dyDescent="0.2">
      <c r="D1904" t="s">
        <v>122</v>
      </c>
      <c r="E1904" t="s">
        <v>123</v>
      </c>
      <c r="F1904" t="s">
        <v>124</v>
      </c>
      <c r="G1904" t="s">
        <v>144</v>
      </c>
      <c r="H1904" t="s">
        <v>144</v>
      </c>
      <c r="I1904" t="s">
        <v>42</v>
      </c>
      <c r="J1904" t="s">
        <v>43</v>
      </c>
      <c r="K1904" t="s">
        <v>47</v>
      </c>
      <c r="L1904" t="s">
        <v>48</v>
      </c>
      <c r="M1904" t="s">
        <v>139</v>
      </c>
      <c r="N1904">
        <v>1819</v>
      </c>
      <c r="O1904" s="14">
        <v>0.98718343093060001</v>
      </c>
      <c r="P1904" s="14">
        <v>0.41950060334056599</v>
      </c>
      <c r="Q1904" t="str">
        <f t="shared" si="58"/>
        <v>35-49</v>
      </c>
      <c r="R1904" t="str">
        <f t="shared" si="59"/>
        <v>[E7zpfyBt7Tw]|35-49|Male|PopART.Rt.T_1|CY2023Q3</v>
      </c>
    </row>
    <row r="1905" spans="4:18" x14ac:dyDescent="0.2">
      <c r="D1905" t="s">
        <v>122</v>
      </c>
      <c r="E1905" t="s">
        <v>123</v>
      </c>
      <c r="F1905" t="s">
        <v>124</v>
      </c>
      <c r="G1905" t="s">
        <v>144</v>
      </c>
      <c r="H1905" t="s">
        <v>144</v>
      </c>
      <c r="I1905" t="s">
        <v>44</v>
      </c>
      <c r="J1905" t="s">
        <v>45</v>
      </c>
      <c r="K1905" t="s">
        <v>47</v>
      </c>
      <c r="L1905" t="s">
        <v>48</v>
      </c>
      <c r="M1905" t="s">
        <v>139</v>
      </c>
      <c r="N1905">
        <v>1677</v>
      </c>
      <c r="O1905" s="14">
        <v>0.11363246035762101</v>
      </c>
      <c r="P1905" s="14">
        <v>0.41950060334056599</v>
      </c>
      <c r="Q1905" t="str">
        <f t="shared" si="58"/>
        <v>50+</v>
      </c>
      <c r="R1905" t="str">
        <f t="shared" si="59"/>
        <v>[E7zpfyBt7Tw]|50+|Male|PopART.Rt.T_1|CY2023Q3</v>
      </c>
    </row>
    <row r="1906" spans="4:18" x14ac:dyDescent="0.2">
      <c r="D1906" t="s">
        <v>125</v>
      </c>
      <c r="E1906" t="s">
        <v>126</v>
      </c>
      <c r="F1906" t="s">
        <v>127</v>
      </c>
      <c r="G1906" t="s">
        <v>144</v>
      </c>
      <c r="H1906" t="s">
        <v>144</v>
      </c>
      <c r="I1906" t="s">
        <v>27</v>
      </c>
      <c r="J1906" t="s">
        <v>28</v>
      </c>
      <c r="K1906" t="s">
        <v>29</v>
      </c>
      <c r="L1906" t="s">
        <v>30</v>
      </c>
      <c r="M1906" t="s">
        <v>139</v>
      </c>
      <c r="N1906">
        <v>1383</v>
      </c>
      <c r="O1906" s="14">
        <v>0.36277656489983201</v>
      </c>
      <c r="P1906" s="14">
        <v>0.25270639033988102</v>
      </c>
      <c r="Q1906" t="str">
        <f t="shared" si="58"/>
        <v>&lt;01</v>
      </c>
      <c r="R1906" t="str">
        <f t="shared" si="59"/>
        <v>[ZCjuwgaMB9u]|&lt;01|Female|PopART.Rt.T_1|CY2023Q3</v>
      </c>
    </row>
    <row r="1907" spans="4:18" x14ac:dyDescent="0.2">
      <c r="D1907" t="s">
        <v>125</v>
      </c>
      <c r="E1907" t="s">
        <v>126</v>
      </c>
      <c r="F1907" t="s">
        <v>127</v>
      </c>
      <c r="G1907" t="s">
        <v>144</v>
      </c>
      <c r="H1907" t="s">
        <v>144</v>
      </c>
      <c r="I1907" t="s">
        <v>32</v>
      </c>
      <c r="J1907" t="s">
        <v>33</v>
      </c>
      <c r="K1907" t="s">
        <v>29</v>
      </c>
      <c r="L1907" t="s">
        <v>30</v>
      </c>
      <c r="M1907" t="s">
        <v>139</v>
      </c>
      <c r="N1907">
        <v>827</v>
      </c>
      <c r="O1907" s="14">
        <v>0.84292661165818605</v>
      </c>
      <c r="P1907" s="14">
        <v>0.25270639033988102</v>
      </c>
      <c r="Q1907" t="str">
        <f t="shared" si="58"/>
        <v>01-09</v>
      </c>
      <c r="R1907" t="str">
        <f t="shared" si="59"/>
        <v>[ZCjuwgaMB9u]|01-09|Female|PopART.Rt.T_1|CY2023Q3</v>
      </c>
    </row>
    <row r="1908" spans="4:18" x14ac:dyDescent="0.2">
      <c r="D1908" t="s">
        <v>125</v>
      </c>
      <c r="E1908" t="s">
        <v>126</v>
      </c>
      <c r="F1908" t="s">
        <v>127</v>
      </c>
      <c r="G1908" t="s">
        <v>144</v>
      </c>
      <c r="H1908" t="s">
        <v>144</v>
      </c>
      <c r="I1908" t="s">
        <v>35</v>
      </c>
      <c r="J1908" t="s">
        <v>36</v>
      </c>
      <c r="K1908" t="s">
        <v>29</v>
      </c>
      <c r="L1908" t="s">
        <v>30</v>
      </c>
      <c r="M1908" t="s">
        <v>139</v>
      </c>
      <c r="N1908">
        <v>1054</v>
      </c>
      <c r="O1908" s="14">
        <v>0.36354183685034502</v>
      </c>
      <c r="P1908" s="14">
        <v>0.25270639033988102</v>
      </c>
      <c r="Q1908" t="str">
        <f t="shared" si="58"/>
        <v>10-14</v>
      </c>
      <c r="R1908" t="str">
        <f t="shared" si="59"/>
        <v>[ZCjuwgaMB9u]|10-14|Female|PopART.Rt.T_1|CY2023Q3</v>
      </c>
    </row>
    <row r="1909" spans="4:18" x14ac:dyDescent="0.2">
      <c r="D1909" t="s">
        <v>125</v>
      </c>
      <c r="E1909" t="s">
        <v>126</v>
      </c>
      <c r="F1909" t="s">
        <v>127</v>
      </c>
      <c r="G1909" t="s">
        <v>144</v>
      </c>
      <c r="H1909" t="s">
        <v>144</v>
      </c>
      <c r="I1909" t="s">
        <v>37</v>
      </c>
      <c r="J1909" t="s">
        <v>38</v>
      </c>
      <c r="K1909" t="s">
        <v>29</v>
      </c>
      <c r="L1909" t="s">
        <v>30</v>
      </c>
      <c r="M1909" t="s">
        <v>139</v>
      </c>
      <c r="N1909">
        <v>953</v>
      </c>
      <c r="O1909" s="14">
        <v>0.23650746466591999</v>
      </c>
      <c r="P1909" s="14">
        <v>0.25270639033988102</v>
      </c>
      <c r="Q1909" t="str">
        <f t="shared" si="58"/>
        <v>15-24</v>
      </c>
      <c r="R1909" t="str">
        <f t="shared" si="59"/>
        <v>[ZCjuwgaMB9u]|15-24|Female|PopART.Rt.T_1|CY2023Q3</v>
      </c>
    </row>
    <row r="1910" spans="4:18" x14ac:dyDescent="0.2">
      <c r="D1910" t="s">
        <v>125</v>
      </c>
      <c r="E1910" t="s">
        <v>126</v>
      </c>
      <c r="F1910" t="s">
        <v>127</v>
      </c>
      <c r="G1910" t="s">
        <v>144</v>
      </c>
      <c r="H1910" t="s">
        <v>144</v>
      </c>
      <c r="I1910" t="s">
        <v>40</v>
      </c>
      <c r="J1910" t="s">
        <v>41</v>
      </c>
      <c r="K1910" t="s">
        <v>29</v>
      </c>
      <c r="L1910" t="s">
        <v>30</v>
      </c>
      <c r="M1910" t="s">
        <v>139</v>
      </c>
      <c r="N1910">
        <v>507</v>
      </c>
      <c r="O1910" s="14">
        <v>0.35681831184774598</v>
      </c>
      <c r="P1910" s="14">
        <v>0.25270639033988102</v>
      </c>
      <c r="Q1910" t="str">
        <f t="shared" si="58"/>
        <v>25-34</v>
      </c>
      <c r="R1910" t="str">
        <f t="shared" si="59"/>
        <v>[ZCjuwgaMB9u]|25-34|Female|PopART.Rt.T_1|CY2023Q3</v>
      </c>
    </row>
    <row r="1911" spans="4:18" x14ac:dyDescent="0.2">
      <c r="D1911" t="s">
        <v>125</v>
      </c>
      <c r="E1911" t="s">
        <v>126</v>
      </c>
      <c r="F1911" t="s">
        <v>127</v>
      </c>
      <c r="G1911" t="s">
        <v>144</v>
      </c>
      <c r="H1911" t="s">
        <v>144</v>
      </c>
      <c r="I1911" t="s">
        <v>42</v>
      </c>
      <c r="J1911" t="s">
        <v>43</v>
      </c>
      <c r="K1911" t="s">
        <v>29</v>
      </c>
      <c r="L1911" t="s">
        <v>30</v>
      </c>
      <c r="M1911" t="s">
        <v>139</v>
      </c>
      <c r="N1911">
        <v>727</v>
      </c>
      <c r="O1911" s="14">
        <v>0.45578993274830298</v>
      </c>
      <c r="P1911" s="14">
        <v>0.25270639033988102</v>
      </c>
      <c r="Q1911" t="str">
        <f t="shared" si="58"/>
        <v>35-49</v>
      </c>
      <c r="R1911" t="str">
        <f t="shared" si="59"/>
        <v>[ZCjuwgaMB9u]|35-49|Female|PopART.Rt.T_1|CY2023Q3</v>
      </c>
    </row>
    <row r="1912" spans="4:18" x14ac:dyDescent="0.2">
      <c r="D1912" t="s">
        <v>125</v>
      </c>
      <c r="E1912" t="s">
        <v>126</v>
      </c>
      <c r="F1912" t="s">
        <v>127</v>
      </c>
      <c r="G1912" t="s">
        <v>144</v>
      </c>
      <c r="H1912" t="s">
        <v>144</v>
      </c>
      <c r="I1912" t="s">
        <v>44</v>
      </c>
      <c r="J1912" t="s">
        <v>45</v>
      </c>
      <c r="K1912" t="s">
        <v>29</v>
      </c>
      <c r="L1912" t="s">
        <v>30</v>
      </c>
      <c r="M1912" t="s">
        <v>139</v>
      </c>
      <c r="N1912">
        <v>1261</v>
      </c>
      <c r="O1912" s="14">
        <v>0.97786402259953298</v>
      </c>
      <c r="P1912" s="14">
        <v>0.25270639033988102</v>
      </c>
      <c r="Q1912" t="str">
        <f t="shared" si="58"/>
        <v>50+</v>
      </c>
      <c r="R1912" t="str">
        <f t="shared" si="59"/>
        <v>[ZCjuwgaMB9u]|50+|Female|PopART.Rt.T_1|CY2023Q3</v>
      </c>
    </row>
    <row r="1913" spans="4:18" x14ac:dyDescent="0.2">
      <c r="D1913" t="s">
        <v>125</v>
      </c>
      <c r="E1913" t="s">
        <v>126</v>
      </c>
      <c r="F1913" t="s">
        <v>127</v>
      </c>
      <c r="G1913" t="s">
        <v>144</v>
      </c>
      <c r="H1913" t="s">
        <v>144</v>
      </c>
      <c r="I1913" t="s">
        <v>27</v>
      </c>
      <c r="J1913" t="s">
        <v>28</v>
      </c>
      <c r="K1913" t="s">
        <v>47</v>
      </c>
      <c r="L1913" t="s">
        <v>48</v>
      </c>
      <c r="M1913" t="s">
        <v>139</v>
      </c>
      <c r="N1913">
        <v>1685</v>
      </c>
      <c r="O1913" s="14">
        <v>0.16789083206094799</v>
      </c>
      <c r="P1913" s="14">
        <v>0.25270639033988102</v>
      </c>
      <c r="Q1913" t="str">
        <f t="shared" si="58"/>
        <v>&lt;01</v>
      </c>
      <c r="R1913" t="str">
        <f t="shared" si="59"/>
        <v>[ZCjuwgaMB9u]|&lt;01|Male|PopART.Rt.T_1|CY2023Q3</v>
      </c>
    </row>
    <row r="1914" spans="4:18" x14ac:dyDescent="0.2">
      <c r="D1914" t="s">
        <v>125</v>
      </c>
      <c r="E1914" t="s">
        <v>126</v>
      </c>
      <c r="F1914" t="s">
        <v>127</v>
      </c>
      <c r="G1914" t="s">
        <v>144</v>
      </c>
      <c r="H1914" t="s">
        <v>144</v>
      </c>
      <c r="I1914" t="s">
        <v>32</v>
      </c>
      <c r="J1914" t="s">
        <v>33</v>
      </c>
      <c r="K1914" t="s">
        <v>47</v>
      </c>
      <c r="L1914" t="s">
        <v>48</v>
      </c>
      <c r="M1914" t="s">
        <v>139</v>
      </c>
      <c r="N1914">
        <v>1106</v>
      </c>
      <c r="O1914" s="14">
        <v>0.91024420526810002</v>
      </c>
      <c r="P1914" s="14">
        <v>0.25270639033988102</v>
      </c>
      <c r="Q1914" t="str">
        <f t="shared" si="58"/>
        <v>01-09</v>
      </c>
      <c r="R1914" t="str">
        <f t="shared" si="59"/>
        <v>[ZCjuwgaMB9u]|01-09|Male|PopART.Rt.T_1|CY2023Q3</v>
      </c>
    </row>
    <row r="1915" spans="4:18" x14ac:dyDescent="0.2">
      <c r="D1915" t="s">
        <v>125</v>
      </c>
      <c r="E1915" t="s">
        <v>126</v>
      </c>
      <c r="F1915" t="s">
        <v>127</v>
      </c>
      <c r="G1915" t="s">
        <v>144</v>
      </c>
      <c r="H1915" t="s">
        <v>144</v>
      </c>
      <c r="I1915" t="s">
        <v>35</v>
      </c>
      <c r="J1915" t="s">
        <v>36</v>
      </c>
      <c r="K1915" t="s">
        <v>47</v>
      </c>
      <c r="L1915" t="s">
        <v>48</v>
      </c>
      <c r="M1915" t="s">
        <v>139</v>
      </c>
      <c r="N1915">
        <v>1917</v>
      </c>
      <c r="O1915" s="14">
        <v>0.44192474032752199</v>
      </c>
      <c r="P1915" s="14">
        <v>0.25270639033988102</v>
      </c>
      <c r="Q1915" t="str">
        <f t="shared" si="58"/>
        <v>10-14</v>
      </c>
      <c r="R1915" t="str">
        <f t="shared" si="59"/>
        <v>[ZCjuwgaMB9u]|10-14|Male|PopART.Rt.T_1|CY2023Q3</v>
      </c>
    </row>
    <row r="1916" spans="4:18" x14ac:dyDescent="0.2">
      <c r="D1916" t="s">
        <v>125</v>
      </c>
      <c r="E1916" t="s">
        <v>126</v>
      </c>
      <c r="F1916" t="s">
        <v>127</v>
      </c>
      <c r="G1916" t="s">
        <v>144</v>
      </c>
      <c r="H1916" t="s">
        <v>144</v>
      </c>
      <c r="I1916" t="s">
        <v>37</v>
      </c>
      <c r="J1916" t="s">
        <v>38</v>
      </c>
      <c r="K1916" t="s">
        <v>47</v>
      </c>
      <c r="L1916" t="s">
        <v>48</v>
      </c>
      <c r="M1916" t="s">
        <v>139</v>
      </c>
      <c r="N1916">
        <v>1116</v>
      </c>
      <c r="O1916" s="14">
        <v>0.93507568212226</v>
      </c>
      <c r="P1916" s="14">
        <v>0.25270639033988102</v>
      </c>
      <c r="Q1916" t="str">
        <f t="shared" si="58"/>
        <v>15-24</v>
      </c>
      <c r="R1916" t="str">
        <f t="shared" si="59"/>
        <v>[ZCjuwgaMB9u]|15-24|Male|PopART.Rt.T_1|CY2023Q3</v>
      </c>
    </row>
    <row r="1917" spans="4:18" x14ac:dyDescent="0.2">
      <c r="D1917" t="s">
        <v>125</v>
      </c>
      <c r="E1917" t="s">
        <v>126</v>
      </c>
      <c r="F1917" t="s">
        <v>127</v>
      </c>
      <c r="G1917" t="s">
        <v>144</v>
      </c>
      <c r="H1917" t="s">
        <v>144</v>
      </c>
      <c r="I1917" t="s">
        <v>40</v>
      </c>
      <c r="J1917" t="s">
        <v>41</v>
      </c>
      <c r="K1917" t="s">
        <v>47</v>
      </c>
      <c r="L1917" t="s">
        <v>48</v>
      </c>
      <c r="M1917" t="s">
        <v>139</v>
      </c>
      <c r="N1917">
        <v>1520</v>
      </c>
      <c r="O1917" s="14">
        <v>0.86357554886490095</v>
      </c>
      <c r="P1917" s="14">
        <v>0.25270639033988102</v>
      </c>
      <c r="Q1917" t="str">
        <f t="shared" si="58"/>
        <v>25-34</v>
      </c>
      <c r="R1917" t="str">
        <f t="shared" si="59"/>
        <v>[ZCjuwgaMB9u]|25-34|Male|PopART.Rt.T_1|CY2023Q3</v>
      </c>
    </row>
    <row r="1918" spans="4:18" x14ac:dyDescent="0.2">
      <c r="D1918" t="s">
        <v>125</v>
      </c>
      <c r="E1918" t="s">
        <v>126</v>
      </c>
      <c r="F1918" t="s">
        <v>127</v>
      </c>
      <c r="G1918" t="s">
        <v>144</v>
      </c>
      <c r="H1918" t="s">
        <v>144</v>
      </c>
      <c r="I1918" t="s">
        <v>42</v>
      </c>
      <c r="J1918" t="s">
        <v>43</v>
      </c>
      <c r="K1918" t="s">
        <v>47</v>
      </c>
      <c r="L1918" t="s">
        <v>48</v>
      </c>
      <c r="M1918" t="s">
        <v>139</v>
      </c>
      <c r="N1918">
        <v>1913</v>
      </c>
      <c r="O1918" s="14">
        <v>9.6707507269456996E-2</v>
      </c>
      <c r="P1918" s="14">
        <v>0.25270639033988102</v>
      </c>
      <c r="Q1918" t="str">
        <f t="shared" si="58"/>
        <v>35-49</v>
      </c>
      <c r="R1918" t="str">
        <f t="shared" si="59"/>
        <v>[ZCjuwgaMB9u]|35-49|Male|PopART.Rt.T_1|CY2023Q3</v>
      </c>
    </row>
    <row r="1919" spans="4:18" x14ac:dyDescent="0.2">
      <c r="D1919" t="s">
        <v>125</v>
      </c>
      <c r="E1919" t="s">
        <v>126</v>
      </c>
      <c r="F1919" t="s">
        <v>127</v>
      </c>
      <c r="G1919" t="s">
        <v>144</v>
      </c>
      <c r="H1919" t="s">
        <v>144</v>
      </c>
      <c r="I1919" t="s">
        <v>44</v>
      </c>
      <c r="J1919" t="s">
        <v>45</v>
      </c>
      <c r="K1919" t="s">
        <v>47</v>
      </c>
      <c r="L1919" t="s">
        <v>48</v>
      </c>
      <c r="M1919" t="s">
        <v>139</v>
      </c>
      <c r="N1919">
        <v>1918</v>
      </c>
      <c r="O1919" s="14">
        <v>0.708871291251853</v>
      </c>
      <c r="P1919" s="14">
        <v>0.25270639033988102</v>
      </c>
      <c r="Q1919" t="str">
        <f t="shared" si="58"/>
        <v>50+</v>
      </c>
      <c r="R1919" t="str">
        <f t="shared" si="59"/>
        <v>[ZCjuwgaMB9u]|50+|Male|PopART.Rt.T_1|CY2023Q3</v>
      </c>
    </row>
    <row r="1920" spans="4:18" x14ac:dyDescent="0.2">
      <c r="D1920" t="s">
        <v>128</v>
      </c>
      <c r="E1920" t="s">
        <v>129</v>
      </c>
      <c r="F1920" t="s">
        <v>130</v>
      </c>
      <c r="G1920" t="s">
        <v>144</v>
      </c>
      <c r="H1920" t="s">
        <v>144</v>
      </c>
      <c r="I1920" t="s">
        <v>27</v>
      </c>
      <c r="J1920" t="s">
        <v>28</v>
      </c>
      <c r="K1920" t="s">
        <v>29</v>
      </c>
      <c r="L1920" t="s">
        <v>30</v>
      </c>
      <c r="M1920" t="s">
        <v>139</v>
      </c>
      <c r="N1920">
        <v>1904</v>
      </c>
      <c r="O1920" s="14">
        <v>0.221747229574248</v>
      </c>
      <c r="P1920" s="14">
        <v>0.55690808477811504</v>
      </c>
      <c r="Q1920" t="str">
        <f t="shared" si="58"/>
        <v>&lt;01</v>
      </c>
      <c r="R1920" t="str">
        <f t="shared" si="59"/>
        <v>[YCKiBAp8QAg]|&lt;01|Female|PopART.Rt.T_1|CY2023Q3</v>
      </c>
    </row>
    <row r="1921" spans="4:18" x14ac:dyDescent="0.2">
      <c r="D1921" t="s">
        <v>128</v>
      </c>
      <c r="E1921" t="s">
        <v>129</v>
      </c>
      <c r="F1921" t="s">
        <v>130</v>
      </c>
      <c r="G1921" t="s">
        <v>144</v>
      </c>
      <c r="H1921" t="s">
        <v>144</v>
      </c>
      <c r="I1921" t="s">
        <v>32</v>
      </c>
      <c r="J1921" t="s">
        <v>33</v>
      </c>
      <c r="K1921" t="s">
        <v>29</v>
      </c>
      <c r="L1921" t="s">
        <v>30</v>
      </c>
      <c r="M1921" t="s">
        <v>139</v>
      </c>
      <c r="N1921">
        <v>1192</v>
      </c>
      <c r="O1921" s="14">
        <v>0.73801887454464998</v>
      </c>
      <c r="P1921" s="14">
        <v>0.55690808477811504</v>
      </c>
      <c r="Q1921" t="str">
        <f t="shared" si="58"/>
        <v>01-09</v>
      </c>
      <c r="R1921" t="str">
        <f t="shared" si="59"/>
        <v>[YCKiBAp8QAg]|01-09|Female|PopART.Rt.T_1|CY2023Q3</v>
      </c>
    </row>
    <row r="1922" spans="4:18" x14ac:dyDescent="0.2">
      <c r="D1922" t="s">
        <v>128</v>
      </c>
      <c r="E1922" t="s">
        <v>129</v>
      </c>
      <c r="F1922" t="s">
        <v>130</v>
      </c>
      <c r="G1922" t="s">
        <v>144</v>
      </c>
      <c r="H1922" t="s">
        <v>144</v>
      </c>
      <c r="I1922" t="s">
        <v>35</v>
      </c>
      <c r="J1922" t="s">
        <v>36</v>
      </c>
      <c r="K1922" t="s">
        <v>29</v>
      </c>
      <c r="L1922" t="s">
        <v>30</v>
      </c>
      <c r="M1922" t="s">
        <v>139</v>
      </c>
      <c r="N1922">
        <v>1913</v>
      </c>
      <c r="O1922" s="14">
        <v>0.32797322049736999</v>
      </c>
      <c r="P1922" s="14">
        <v>0.55690808477811504</v>
      </c>
      <c r="Q1922" t="str">
        <f t="shared" ref="Q1922:Q1985" si="60">SUBSTITUTE(SUBSTITUTE($I1922,CHAR(61),""),CHAR(34),"")</f>
        <v>10-14</v>
      </c>
      <c r="R1922" t="str">
        <f t="shared" ref="R1922:R1985" si="61">IF($D1922&lt;&gt;"","["&amp;$E1922&amp;"]"&amp;"|"&amp;$Q1922&amp;"|"&amp;$K1922&amp;"|"&amp;$G1922&amp;"|"&amp;IF($G1922="TX_CURR_SUBNAT.R","CY2022Q4",$M1922),"")</f>
        <v>[YCKiBAp8QAg]|10-14|Female|PopART.Rt.T_1|CY2023Q3</v>
      </c>
    </row>
    <row r="1923" spans="4:18" x14ac:dyDescent="0.2">
      <c r="D1923" t="s">
        <v>128</v>
      </c>
      <c r="E1923" t="s">
        <v>129</v>
      </c>
      <c r="F1923" t="s">
        <v>130</v>
      </c>
      <c r="G1923" t="s">
        <v>144</v>
      </c>
      <c r="H1923" t="s">
        <v>144</v>
      </c>
      <c r="I1923" t="s">
        <v>37</v>
      </c>
      <c r="J1923" t="s">
        <v>38</v>
      </c>
      <c r="K1923" t="s">
        <v>29</v>
      </c>
      <c r="L1923" t="s">
        <v>30</v>
      </c>
      <c r="M1923" t="s">
        <v>139</v>
      </c>
      <c r="N1923">
        <v>607</v>
      </c>
      <c r="O1923" s="14">
        <v>0.92190748546272505</v>
      </c>
      <c r="P1923" s="14">
        <v>0.55690808477811504</v>
      </c>
      <c r="Q1923" t="str">
        <f t="shared" si="60"/>
        <v>15-24</v>
      </c>
      <c r="R1923" t="str">
        <f t="shared" si="61"/>
        <v>[YCKiBAp8QAg]|15-24|Female|PopART.Rt.T_1|CY2023Q3</v>
      </c>
    </row>
    <row r="1924" spans="4:18" x14ac:dyDescent="0.2">
      <c r="D1924" t="s">
        <v>128</v>
      </c>
      <c r="E1924" t="s">
        <v>129</v>
      </c>
      <c r="F1924" t="s">
        <v>130</v>
      </c>
      <c r="G1924" t="s">
        <v>144</v>
      </c>
      <c r="H1924" t="s">
        <v>144</v>
      </c>
      <c r="I1924" t="s">
        <v>40</v>
      </c>
      <c r="J1924" t="s">
        <v>41</v>
      </c>
      <c r="K1924" t="s">
        <v>29</v>
      </c>
      <c r="L1924" t="s">
        <v>30</v>
      </c>
      <c r="M1924" t="s">
        <v>139</v>
      </c>
      <c r="N1924">
        <v>990</v>
      </c>
      <c r="O1924" s="14">
        <v>0.97028189385309804</v>
      </c>
      <c r="P1924" s="14">
        <v>0.55690808477811504</v>
      </c>
      <c r="Q1924" t="str">
        <f t="shared" si="60"/>
        <v>25-34</v>
      </c>
      <c r="R1924" t="str">
        <f t="shared" si="61"/>
        <v>[YCKiBAp8QAg]|25-34|Female|PopART.Rt.T_1|CY2023Q3</v>
      </c>
    </row>
    <row r="1925" spans="4:18" x14ac:dyDescent="0.2">
      <c r="D1925" t="s">
        <v>128</v>
      </c>
      <c r="E1925" t="s">
        <v>129</v>
      </c>
      <c r="F1925" t="s">
        <v>130</v>
      </c>
      <c r="G1925" t="s">
        <v>144</v>
      </c>
      <c r="H1925" t="s">
        <v>144</v>
      </c>
      <c r="I1925" t="s">
        <v>42</v>
      </c>
      <c r="J1925" t="s">
        <v>43</v>
      </c>
      <c r="K1925" t="s">
        <v>29</v>
      </c>
      <c r="L1925" t="s">
        <v>30</v>
      </c>
      <c r="M1925" t="s">
        <v>139</v>
      </c>
      <c r="N1925">
        <v>667</v>
      </c>
      <c r="O1925" s="14">
        <v>0.88626167946495105</v>
      </c>
      <c r="P1925" s="14">
        <v>0.55690808477811504</v>
      </c>
      <c r="Q1925" t="str">
        <f t="shared" si="60"/>
        <v>35-49</v>
      </c>
      <c r="R1925" t="str">
        <f t="shared" si="61"/>
        <v>[YCKiBAp8QAg]|35-49|Female|PopART.Rt.T_1|CY2023Q3</v>
      </c>
    </row>
    <row r="1926" spans="4:18" x14ac:dyDescent="0.2">
      <c r="D1926" t="s">
        <v>128</v>
      </c>
      <c r="E1926" t="s">
        <v>129</v>
      </c>
      <c r="F1926" t="s">
        <v>130</v>
      </c>
      <c r="G1926" t="s">
        <v>144</v>
      </c>
      <c r="H1926" t="s">
        <v>144</v>
      </c>
      <c r="I1926" t="s">
        <v>44</v>
      </c>
      <c r="J1926" t="s">
        <v>45</v>
      </c>
      <c r="K1926" t="s">
        <v>29</v>
      </c>
      <c r="L1926" t="s">
        <v>30</v>
      </c>
      <c r="M1926" t="s">
        <v>139</v>
      </c>
      <c r="N1926">
        <v>842</v>
      </c>
      <c r="O1926" s="14">
        <v>0.14101003855466801</v>
      </c>
      <c r="P1926" s="14">
        <v>0.55690808477811504</v>
      </c>
      <c r="Q1926" t="str">
        <f t="shared" si="60"/>
        <v>50+</v>
      </c>
      <c r="R1926" t="str">
        <f t="shared" si="61"/>
        <v>[YCKiBAp8QAg]|50+|Female|PopART.Rt.T_1|CY2023Q3</v>
      </c>
    </row>
    <row r="1927" spans="4:18" x14ac:dyDescent="0.2">
      <c r="D1927" t="s">
        <v>128</v>
      </c>
      <c r="E1927" t="s">
        <v>129</v>
      </c>
      <c r="F1927" t="s">
        <v>130</v>
      </c>
      <c r="G1927" t="s">
        <v>144</v>
      </c>
      <c r="H1927" t="s">
        <v>144</v>
      </c>
      <c r="I1927" t="s">
        <v>27</v>
      </c>
      <c r="J1927" t="s">
        <v>28</v>
      </c>
      <c r="K1927" t="s">
        <v>47</v>
      </c>
      <c r="L1927" t="s">
        <v>48</v>
      </c>
      <c r="M1927" t="s">
        <v>139</v>
      </c>
      <c r="N1927">
        <v>809</v>
      </c>
      <c r="O1927" s="14">
        <v>0.23641391564160599</v>
      </c>
      <c r="P1927" s="14">
        <v>0.55690808477811504</v>
      </c>
      <c r="Q1927" t="str">
        <f t="shared" si="60"/>
        <v>&lt;01</v>
      </c>
      <c r="R1927" t="str">
        <f t="shared" si="61"/>
        <v>[YCKiBAp8QAg]|&lt;01|Male|PopART.Rt.T_1|CY2023Q3</v>
      </c>
    </row>
    <row r="1928" spans="4:18" x14ac:dyDescent="0.2">
      <c r="D1928" t="s">
        <v>128</v>
      </c>
      <c r="E1928" t="s">
        <v>129</v>
      </c>
      <c r="F1928" t="s">
        <v>130</v>
      </c>
      <c r="G1928" t="s">
        <v>144</v>
      </c>
      <c r="H1928" t="s">
        <v>144</v>
      </c>
      <c r="I1928" t="s">
        <v>32</v>
      </c>
      <c r="J1928" t="s">
        <v>33</v>
      </c>
      <c r="K1928" t="s">
        <v>47</v>
      </c>
      <c r="L1928" t="s">
        <v>48</v>
      </c>
      <c r="M1928" t="s">
        <v>139</v>
      </c>
      <c r="N1928">
        <v>1659</v>
      </c>
      <c r="O1928" s="14">
        <v>0.50927536701783505</v>
      </c>
      <c r="P1928" s="14">
        <v>0.55690808477811504</v>
      </c>
      <c r="Q1928" t="str">
        <f t="shared" si="60"/>
        <v>01-09</v>
      </c>
      <c r="R1928" t="str">
        <f t="shared" si="61"/>
        <v>[YCKiBAp8QAg]|01-09|Male|PopART.Rt.T_1|CY2023Q3</v>
      </c>
    </row>
    <row r="1929" spans="4:18" x14ac:dyDescent="0.2">
      <c r="D1929" t="s">
        <v>128</v>
      </c>
      <c r="E1929" t="s">
        <v>129</v>
      </c>
      <c r="F1929" t="s">
        <v>130</v>
      </c>
      <c r="G1929" t="s">
        <v>144</v>
      </c>
      <c r="H1929" t="s">
        <v>144</v>
      </c>
      <c r="I1929" t="s">
        <v>35</v>
      </c>
      <c r="J1929" t="s">
        <v>36</v>
      </c>
      <c r="K1929" t="s">
        <v>47</v>
      </c>
      <c r="L1929" t="s">
        <v>48</v>
      </c>
      <c r="M1929" t="s">
        <v>139</v>
      </c>
      <c r="N1929">
        <v>854</v>
      </c>
      <c r="O1929" s="14">
        <v>0.72771064052358303</v>
      </c>
      <c r="P1929" s="14">
        <v>0.55690808477811504</v>
      </c>
      <c r="Q1929" t="str">
        <f t="shared" si="60"/>
        <v>10-14</v>
      </c>
      <c r="R1929" t="str">
        <f t="shared" si="61"/>
        <v>[YCKiBAp8QAg]|10-14|Male|PopART.Rt.T_1|CY2023Q3</v>
      </c>
    </row>
    <row r="1930" spans="4:18" x14ac:dyDescent="0.2">
      <c r="D1930" t="s">
        <v>128</v>
      </c>
      <c r="E1930" t="s">
        <v>129</v>
      </c>
      <c r="F1930" t="s">
        <v>130</v>
      </c>
      <c r="G1930" t="s">
        <v>144</v>
      </c>
      <c r="H1930" t="s">
        <v>144</v>
      </c>
      <c r="I1930" t="s">
        <v>37</v>
      </c>
      <c r="J1930" t="s">
        <v>38</v>
      </c>
      <c r="K1930" t="s">
        <v>47</v>
      </c>
      <c r="L1930" t="s">
        <v>48</v>
      </c>
      <c r="M1930" t="s">
        <v>139</v>
      </c>
      <c r="N1930">
        <v>1020</v>
      </c>
      <c r="O1930" s="14">
        <v>0.52067623124457896</v>
      </c>
      <c r="P1930" s="14">
        <v>0.55690808477811504</v>
      </c>
      <c r="Q1930" t="str">
        <f t="shared" si="60"/>
        <v>15-24</v>
      </c>
      <c r="R1930" t="str">
        <f t="shared" si="61"/>
        <v>[YCKiBAp8QAg]|15-24|Male|PopART.Rt.T_1|CY2023Q3</v>
      </c>
    </row>
    <row r="1931" spans="4:18" x14ac:dyDescent="0.2">
      <c r="D1931" t="s">
        <v>128</v>
      </c>
      <c r="E1931" t="s">
        <v>129</v>
      </c>
      <c r="F1931" t="s">
        <v>130</v>
      </c>
      <c r="G1931" t="s">
        <v>144</v>
      </c>
      <c r="H1931" t="s">
        <v>144</v>
      </c>
      <c r="I1931" t="s">
        <v>40</v>
      </c>
      <c r="J1931" t="s">
        <v>41</v>
      </c>
      <c r="K1931" t="s">
        <v>47</v>
      </c>
      <c r="L1931" t="s">
        <v>48</v>
      </c>
      <c r="M1931" t="s">
        <v>139</v>
      </c>
      <c r="N1931">
        <v>1603</v>
      </c>
      <c r="O1931" s="14">
        <v>0.97999323066323996</v>
      </c>
      <c r="P1931" s="14">
        <v>0.55690808477811504</v>
      </c>
      <c r="Q1931" t="str">
        <f t="shared" si="60"/>
        <v>25-34</v>
      </c>
      <c r="R1931" t="str">
        <f t="shared" si="61"/>
        <v>[YCKiBAp8QAg]|25-34|Male|PopART.Rt.T_1|CY2023Q3</v>
      </c>
    </row>
    <row r="1932" spans="4:18" x14ac:dyDescent="0.2">
      <c r="D1932" t="s">
        <v>128</v>
      </c>
      <c r="E1932" t="s">
        <v>129</v>
      </c>
      <c r="F1932" t="s">
        <v>130</v>
      </c>
      <c r="G1932" t="s">
        <v>144</v>
      </c>
      <c r="H1932" t="s">
        <v>144</v>
      </c>
      <c r="I1932" t="s">
        <v>42</v>
      </c>
      <c r="J1932" t="s">
        <v>43</v>
      </c>
      <c r="K1932" t="s">
        <v>47</v>
      </c>
      <c r="L1932" t="s">
        <v>48</v>
      </c>
      <c r="M1932" t="s">
        <v>139</v>
      </c>
      <c r="N1932">
        <v>1398</v>
      </c>
      <c r="O1932" s="14">
        <v>0.51618790836073503</v>
      </c>
      <c r="P1932" s="14">
        <v>0.55690808477811504</v>
      </c>
      <c r="Q1932" t="str">
        <f t="shared" si="60"/>
        <v>35-49</v>
      </c>
      <c r="R1932" t="str">
        <f t="shared" si="61"/>
        <v>[YCKiBAp8QAg]|35-49|Male|PopART.Rt.T_1|CY2023Q3</v>
      </c>
    </row>
    <row r="1933" spans="4:18" x14ac:dyDescent="0.2">
      <c r="D1933" t="s">
        <v>128</v>
      </c>
      <c r="E1933" t="s">
        <v>129</v>
      </c>
      <c r="F1933" t="s">
        <v>130</v>
      </c>
      <c r="G1933" t="s">
        <v>144</v>
      </c>
      <c r="H1933" t="s">
        <v>144</v>
      </c>
      <c r="I1933" t="s">
        <v>44</v>
      </c>
      <c r="J1933" t="s">
        <v>45</v>
      </c>
      <c r="K1933" t="s">
        <v>47</v>
      </c>
      <c r="L1933" t="s">
        <v>48</v>
      </c>
      <c r="M1933" t="s">
        <v>139</v>
      </c>
      <c r="N1933">
        <v>1711</v>
      </c>
      <c r="O1933" s="14">
        <v>0.64877058565616597</v>
      </c>
      <c r="P1933" s="14">
        <v>0.55690808477811504</v>
      </c>
      <c r="Q1933" t="str">
        <f t="shared" si="60"/>
        <v>50+</v>
      </c>
      <c r="R1933" t="str">
        <f t="shared" si="61"/>
        <v>[YCKiBAp8QAg]|50+|Male|PopART.Rt.T_1|CY2023Q3</v>
      </c>
    </row>
    <row r="1934" spans="4:18" x14ac:dyDescent="0.2">
      <c r="D1934" t="s">
        <v>131</v>
      </c>
      <c r="E1934" t="s">
        <v>132</v>
      </c>
      <c r="F1934" t="s">
        <v>133</v>
      </c>
      <c r="G1934" t="s">
        <v>144</v>
      </c>
      <c r="H1934" t="s">
        <v>144</v>
      </c>
      <c r="I1934" t="s">
        <v>27</v>
      </c>
      <c r="J1934" t="s">
        <v>28</v>
      </c>
      <c r="K1934" t="s">
        <v>29</v>
      </c>
      <c r="L1934" t="s">
        <v>30</v>
      </c>
      <c r="M1934" t="s">
        <v>139</v>
      </c>
      <c r="N1934">
        <v>931</v>
      </c>
      <c r="O1934" s="14">
        <v>5.6771497707813999E-2</v>
      </c>
      <c r="P1934" s="14">
        <v>0.16286319401115201</v>
      </c>
      <c r="Q1934" t="str">
        <f t="shared" si="60"/>
        <v>&lt;01</v>
      </c>
      <c r="R1934" t="str">
        <f t="shared" si="61"/>
        <v>[JQKLKuVuY61]|&lt;01|Female|PopART.Rt.T_1|CY2023Q3</v>
      </c>
    </row>
    <row r="1935" spans="4:18" x14ac:dyDescent="0.2">
      <c r="D1935" t="s">
        <v>131</v>
      </c>
      <c r="E1935" t="s">
        <v>132</v>
      </c>
      <c r="F1935" t="s">
        <v>133</v>
      </c>
      <c r="G1935" t="s">
        <v>144</v>
      </c>
      <c r="H1935" t="s">
        <v>144</v>
      </c>
      <c r="I1935" t="s">
        <v>32</v>
      </c>
      <c r="J1935" t="s">
        <v>33</v>
      </c>
      <c r="K1935" t="s">
        <v>29</v>
      </c>
      <c r="L1935" t="s">
        <v>30</v>
      </c>
      <c r="M1935" t="s">
        <v>139</v>
      </c>
      <c r="N1935">
        <v>1209</v>
      </c>
      <c r="O1935" s="14">
        <v>0.35059840814210502</v>
      </c>
      <c r="P1935" s="14">
        <v>0.16286319401115201</v>
      </c>
      <c r="Q1935" t="str">
        <f t="shared" si="60"/>
        <v>01-09</v>
      </c>
      <c r="R1935" t="str">
        <f t="shared" si="61"/>
        <v>[JQKLKuVuY61]|01-09|Female|PopART.Rt.T_1|CY2023Q3</v>
      </c>
    </row>
    <row r="1936" spans="4:18" x14ac:dyDescent="0.2">
      <c r="D1936" t="s">
        <v>131</v>
      </c>
      <c r="E1936" t="s">
        <v>132</v>
      </c>
      <c r="F1936" t="s">
        <v>133</v>
      </c>
      <c r="G1936" t="s">
        <v>144</v>
      </c>
      <c r="H1936" t="s">
        <v>144</v>
      </c>
      <c r="I1936" t="s">
        <v>35</v>
      </c>
      <c r="J1936" t="s">
        <v>36</v>
      </c>
      <c r="K1936" t="s">
        <v>29</v>
      </c>
      <c r="L1936" t="s">
        <v>30</v>
      </c>
      <c r="M1936" t="s">
        <v>139</v>
      </c>
      <c r="N1936">
        <v>1612</v>
      </c>
      <c r="O1936" s="14">
        <v>0.65152869606390595</v>
      </c>
      <c r="P1936" s="14">
        <v>0.16286319401115201</v>
      </c>
      <c r="Q1936" t="str">
        <f t="shared" si="60"/>
        <v>10-14</v>
      </c>
      <c r="R1936" t="str">
        <f t="shared" si="61"/>
        <v>[JQKLKuVuY61]|10-14|Female|PopART.Rt.T_1|CY2023Q3</v>
      </c>
    </row>
    <row r="1937" spans="4:18" x14ac:dyDescent="0.2">
      <c r="D1937" t="s">
        <v>131</v>
      </c>
      <c r="E1937" t="s">
        <v>132</v>
      </c>
      <c r="F1937" t="s">
        <v>133</v>
      </c>
      <c r="G1937" t="s">
        <v>144</v>
      </c>
      <c r="H1937" t="s">
        <v>144</v>
      </c>
      <c r="I1937" t="s">
        <v>37</v>
      </c>
      <c r="J1937" t="s">
        <v>38</v>
      </c>
      <c r="K1937" t="s">
        <v>29</v>
      </c>
      <c r="L1937" t="s">
        <v>30</v>
      </c>
      <c r="M1937" t="s">
        <v>139</v>
      </c>
      <c r="N1937">
        <v>1973</v>
      </c>
      <c r="O1937" s="14">
        <v>0.48158067301847002</v>
      </c>
      <c r="P1937" s="14">
        <v>0.16286319401115201</v>
      </c>
      <c r="Q1937" t="str">
        <f t="shared" si="60"/>
        <v>15-24</v>
      </c>
      <c r="R1937" t="str">
        <f t="shared" si="61"/>
        <v>[JQKLKuVuY61]|15-24|Female|PopART.Rt.T_1|CY2023Q3</v>
      </c>
    </row>
    <row r="1938" spans="4:18" x14ac:dyDescent="0.2">
      <c r="D1938" t="s">
        <v>131</v>
      </c>
      <c r="E1938" t="s">
        <v>132</v>
      </c>
      <c r="F1938" t="s">
        <v>133</v>
      </c>
      <c r="G1938" t="s">
        <v>144</v>
      </c>
      <c r="H1938" t="s">
        <v>144</v>
      </c>
      <c r="I1938" t="s">
        <v>40</v>
      </c>
      <c r="J1938" t="s">
        <v>41</v>
      </c>
      <c r="K1938" t="s">
        <v>29</v>
      </c>
      <c r="L1938" t="s">
        <v>30</v>
      </c>
      <c r="M1938" t="s">
        <v>139</v>
      </c>
      <c r="N1938">
        <v>1159</v>
      </c>
      <c r="O1938" s="14">
        <v>0.362043803092092</v>
      </c>
      <c r="P1938" s="14">
        <v>0.16286319401115201</v>
      </c>
      <c r="Q1938" t="str">
        <f t="shared" si="60"/>
        <v>25-34</v>
      </c>
      <c r="R1938" t="str">
        <f t="shared" si="61"/>
        <v>[JQKLKuVuY61]|25-34|Female|PopART.Rt.T_1|CY2023Q3</v>
      </c>
    </row>
    <row r="1939" spans="4:18" x14ac:dyDescent="0.2">
      <c r="D1939" t="s">
        <v>131</v>
      </c>
      <c r="E1939" t="s">
        <v>132</v>
      </c>
      <c r="F1939" t="s">
        <v>133</v>
      </c>
      <c r="G1939" t="s">
        <v>144</v>
      </c>
      <c r="H1939" t="s">
        <v>144</v>
      </c>
      <c r="I1939" t="s">
        <v>42</v>
      </c>
      <c r="J1939" t="s">
        <v>43</v>
      </c>
      <c r="K1939" t="s">
        <v>29</v>
      </c>
      <c r="L1939" t="s">
        <v>30</v>
      </c>
      <c r="M1939" t="s">
        <v>139</v>
      </c>
      <c r="N1939">
        <v>1063</v>
      </c>
      <c r="O1939" s="14">
        <v>2.1693331189453598E-2</v>
      </c>
      <c r="P1939" s="14">
        <v>0.16286319401115201</v>
      </c>
      <c r="Q1939" t="str">
        <f t="shared" si="60"/>
        <v>35-49</v>
      </c>
      <c r="R1939" t="str">
        <f t="shared" si="61"/>
        <v>[JQKLKuVuY61]|35-49|Female|PopART.Rt.T_1|CY2023Q3</v>
      </c>
    </row>
    <row r="1940" spans="4:18" x14ac:dyDescent="0.2">
      <c r="D1940" t="s">
        <v>131</v>
      </c>
      <c r="E1940" t="s">
        <v>132</v>
      </c>
      <c r="F1940" t="s">
        <v>133</v>
      </c>
      <c r="G1940" t="s">
        <v>144</v>
      </c>
      <c r="H1940" t="s">
        <v>144</v>
      </c>
      <c r="I1940" t="s">
        <v>44</v>
      </c>
      <c r="J1940" t="s">
        <v>45</v>
      </c>
      <c r="K1940" t="s">
        <v>29</v>
      </c>
      <c r="L1940" t="s">
        <v>30</v>
      </c>
      <c r="M1940" t="s">
        <v>139</v>
      </c>
      <c r="N1940">
        <v>1446</v>
      </c>
      <c r="O1940" s="14">
        <v>0.18957503489218699</v>
      </c>
      <c r="P1940" s="14">
        <v>0.16286319401115201</v>
      </c>
      <c r="Q1940" t="str">
        <f t="shared" si="60"/>
        <v>50+</v>
      </c>
      <c r="R1940" t="str">
        <f t="shared" si="61"/>
        <v>[JQKLKuVuY61]|50+|Female|PopART.Rt.T_1|CY2023Q3</v>
      </c>
    </row>
    <row r="1941" spans="4:18" x14ac:dyDescent="0.2">
      <c r="D1941" t="s">
        <v>131</v>
      </c>
      <c r="E1941" t="s">
        <v>132</v>
      </c>
      <c r="F1941" t="s">
        <v>133</v>
      </c>
      <c r="G1941" t="s">
        <v>144</v>
      </c>
      <c r="H1941" t="s">
        <v>144</v>
      </c>
      <c r="I1941" t="s">
        <v>27</v>
      </c>
      <c r="J1941" t="s">
        <v>28</v>
      </c>
      <c r="K1941" t="s">
        <v>47</v>
      </c>
      <c r="L1941" t="s">
        <v>48</v>
      </c>
      <c r="M1941" t="s">
        <v>139</v>
      </c>
      <c r="N1941">
        <v>1980</v>
      </c>
      <c r="O1941" s="14">
        <v>0.87110989703796804</v>
      </c>
      <c r="P1941" s="14">
        <v>0.16286319401115201</v>
      </c>
      <c r="Q1941" t="str">
        <f t="shared" si="60"/>
        <v>&lt;01</v>
      </c>
      <c r="R1941" t="str">
        <f t="shared" si="61"/>
        <v>[JQKLKuVuY61]|&lt;01|Male|PopART.Rt.T_1|CY2023Q3</v>
      </c>
    </row>
    <row r="1942" spans="4:18" x14ac:dyDescent="0.2">
      <c r="D1942" t="s">
        <v>131</v>
      </c>
      <c r="E1942" t="s">
        <v>132</v>
      </c>
      <c r="F1942" t="s">
        <v>133</v>
      </c>
      <c r="G1942" t="s">
        <v>144</v>
      </c>
      <c r="H1942" t="s">
        <v>144</v>
      </c>
      <c r="I1942" t="s">
        <v>32</v>
      </c>
      <c r="J1942" t="s">
        <v>33</v>
      </c>
      <c r="K1942" t="s">
        <v>47</v>
      </c>
      <c r="L1942" t="s">
        <v>48</v>
      </c>
      <c r="M1942" t="s">
        <v>139</v>
      </c>
      <c r="N1942">
        <v>1599</v>
      </c>
      <c r="O1942" s="14">
        <v>0.47860672115348302</v>
      </c>
      <c r="P1942" s="14">
        <v>0.16286319401115201</v>
      </c>
      <c r="Q1942" t="str">
        <f t="shared" si="60"/>
        <v>01-09</v>
      </c>
      <c r="R1942" t="str">
        <f t="shared" si="61"/>
        <v>[JQKLKuVuY61]|01-09|Male|PopART.Rt.T_1|CY2023Q3</v>
      </c>
    </row>
    <row r="1943" spans="4:18" x14ac:dyDescent="0.2">
      <c r="D1943" t="s">
        <v>131</v>
      </c>
      <c r="E1943" t="s">
        <v>132</v>
      </c>
      <c r="F1943" t="s">
        <v>133</v>
      </c>
      <c r="G1943" t="s">
        <v>144</v>
      </c>
      <c r="H1943" t="s">
        <v>144</v>
      </c>
      <c r="I1943" t="s">
        <v>35</v>
      </c>
      <c r="J1943" t="s">
        <v>36</v>
      </c>
      <c r="K1943" t="s">
        <v>47</v>
      </c>
      <c r="L1943" t="s">
        <v>48</v>
      </c>
      <c r="M1943" t="s">
        <v>139</v>
      </c>
      <c r="N1943">
        <v>1885</v>
      </c>
      <c r="O1943" s="14">
        <v>0.99929050658829499</v>
      </c>
      <c r="P1943" s="14">
        <v>0.16286319401115201</v>
      </c>
      <c r="Q1943" t="str">
        <f t="shared" si="60"/>
        <v>10-14</v>
      </c>
      <c r="R1943" t="str">
        <f t="shared" si="61"/>
        <v>[JQKLKuVuY61]|10-14|Male|PopART.Rt.T_1|CY2023Q3</v>
      </c>
    </row>
    <row r="1944" spans="4:18" x14ac:dyDescent="0.2">
      <c r="D1944" t="s">
        <v>131</v>
      </c>
      <c r="E1944" t="s">
        <v>132</v>
      </c>
      <c r="F1944" t="s">
        <v>133</v>
      </c>
      <c r="G1944" t="s">
        <v>144</v>
      </c>
      <c r="H1944" t="s">
        <v>144</v>
      </c>
      <c r="I1944" t="s">
        <v>37</v>
      </c>
      <c r="J1944" t="s">
        <v>38</v>
      </c>
      <c r="K1944" t="s">
        <v>47</v>
      </c>
      <c r="L1944" t="s">
        <v>48</v>
      </c>
      <c r="M1944" t="s">
        <v>139</v>
      </c>
      <c r="N1944">
        <v>1382</v>
      </c>
      <c r="O1944" s="14">
        <v>0.105587722267956</v>
      </c>
      <c r="P1944" s="14">
        <v>0.16286319401115201</v>
      </c>
      <c r="Q1944" t="str">
        <f t="shared" si="60"/>
        <v>15-24</v>
      </c>
      <c r="R1944" t="str">
        <f t="shared" si="61"/>
        <v>[JQKLKuVuY61]|15-24|Male|PopART.Rt.T_1|CY2023Q3</v>
      </c>
    </row>
    <row r="1945" spans="4:18" x14ac:dyDescent="0.2">
      <c r="D1945" t="s">
        <v>131</v>
      </c>
      <c r="E1945" t="s">
        <v>132</v>
      </c>
      <c r="F1945" t="s">
        <v>133</v>
      </c>
      <c r="G1945" t="s">
        <v>144</v>
      </c>
      <c r="H1945" t="s">
        <v>144</v>
      </c>
      <c r="I1945" t="s">
        <v>40</v>
      </c>
      <c r="J1945" t="s">
        <v>41</v>
      </c>
      <c r="K1945" t="s">
        <v>47</v>
      </c>
      <c r="L1945" t="s">
        <v>48</v>
      </c>
      <c r="M1945" t="s">
        <v>139</v>
      </c>
      <c r="N1945">
        <v>1340</v>
      </c>
      <c r="O1945" s="14">
        <v>0.128333972301334</v>
      </c>
      <c r="P1945" s="14">
        <v>0.16286319401115201</v>
      </c>
      <c r="Q1945" t="str">
        <f t="shared" si="60"/>
        <v>25-34</v>
      </c>
      <c r="R1945" t="str">
        <f t="shared" si="61"/>
        <v>[JQKLKuVuY61]|25-34|Male|PopART.Rt.T_1|CY2023Q3</v>
      </c>
    </row>
    <row r="1946" spans="4:18" x14ac:dyDescent="0.2">
      <c r="D1946" t="s">
        <v>131</v>
      </c>
      <c r="E1946" t="s">
        <v>132</v>
      </c>
      <c r="F1946" t="s">
        <v>133</v>
      </c>
      <c r="G1946" t="s">
        <v>144</v>
      </c>
      <c r="H1946" t="s">
        <v>144</v>
      </c>
      <c r="I1946" t="s">
        <v>42</v>
      </c>
      <c r="J1946" t="s">
        <v>43</v>
      </c>
      <c r="K1946" t="s">
        <v>47</v>
      </c>
      <c r="L1946" t="s">
        <v>48</v>
      </c>
      <c r="M1946" t="s">
        <v>139</v>
      </c>
      <c r="N1946">
        <v>1735</v>
      </c>
      <c r="O1946" s="14">
        <v>7.1456193691119593E-2</v>
      </c>
      <c r="P1946" s="14">
        <v>0.16286319401115201</v>
      </c>
      <c r="Q1946" t="str">
        <f t="shared" si="60"/>
        <v>35-49</v>
      </c>
      <c r="R1946" t="str">
        <f t="shared" si="61"/>
        <v>[JQKLKuVuY61]|35-49|Male|PopART.Rt.T_1|CY2023Q3</v>
      </c>
    </row>
    <row r="1947" spans="4:18" x14ac:dyDescent="0.2">
      <c r="D1947" t="s">
        <v>131</v>
      </c>
      <c r="E1947" t="s">
        <v>132</v>
      </c>
      <c r="F1947" t="s">
        <v>133</v>
      </c>
      <c r="G1947" t="s">
        <v>144</v>
      </c>
      <c r="H1947" t="s">
        <v>144</v>
      </c>
      <c r="I1947" t="s">
        <v>44</v>
      </c>
      <c r="J1947" t="s">
        <v>45</v>
      </c>
      <c r="K1947" t="s">
        <v>47</v>
      </c>
      <c r="L1947" t="s">
        <v>48</v>
      </c>
      <c r="M1947" t="s">
        <v>139</v>
      </c>
      <c r="N1947">
        <v>501</v>
      </c>
      <c r="O1947" s="14">
        <v>0.97980233980342701</v>
      </c>
      <c r="P1947" s="14">
        <v>0.16286319401115201</v>
      </c>
      <c r="Q1947" t="str">
        <f t="shared" si="60"/>
        <v>50+</v>
      </c>
      <c r="R1947" t="str">
        <f t="shared" si="61"/>
        <v>[JQKLKuVuY61]|50+|Male|PopART.Rt.T_1|CY2023Q3</v>
      </c>
    </row>
    <row r="1948" spans="4:18" x14ac:dyDescent="0.2">
      <c r="D1948" t="s">
        <v>134</v>
      </c>
      <c r="E1948" t="s">
        <v>135</v>
      </c>
      <c r="F1948" t="s">
        <v>136</v>
      </c>
      <c r="G1948" t="s">
        <v>144</v>
      </c>
      <c r="H1948" t="s">
        <v>144</v>
      </c>
      <c r="I1948" t="s">
        <v>27</v>
      </c>
      <c r="J1948" t="s">
        <v>28</v>
      </c>
      <c r="K1948" t="s">
        <v>29</v>
      </c>
      <c r="L1948" t="s">
        <v>30</v>
      </c>
      <c r="M1948" t="s">
        <v>139</v>
      </c>
      <c r="N1948">
        <v>794</v>
      </c>
      <c r="O1948" s="14">
        <v>0.61389427795074902</v>
      </c>
      <c r="P1948" s="14">
        <v>0.95530052832327805</v>
      </c>
      <c r="Q1948" t="str">
        <f t="shared" si="60"/>
        <v>&lt;01</v>
      </c>
      <c r="R1948" t="str">
        <f t="shared" si="61"/>
        <v>[fiRkU6gEjLz]|&lt;01|Female|PopART.Rt.T_1|CY2023Q3</v>
      </c>
    </row>
    <row r="1949" spans="4:18" x14ac:dyDescent="0.2">
      <c r="D1949" t="s">
        <v>134</v>
      </c>
      <c r="E1949" t="s">
        <v>135</v>
      </c>
      <c r="F1949" t="s">
        <v>136</v>
      </c>
      <c r="G1949" t="s">
        <v>144</v>
      </c>
      <c r="H1949" t="s">
        <v>144</v>
      </c>
      <c r="I1949" t="s">
        <v>32</v>
      </c>
      <c r="J1949" t="s">
        <v>33</v>
      </c>
      <c r="K1949" t="s">
        <v>29</v>
      </c>
      <c r="L1949" t="s">
        <v>30</v>
      </c>
      <c r="M1949" t="s">
        <v>139</v>
      </c>
      <c r="N1949">
        <v>1045</v>
      </c>
      <c r="O1949" s="14">
        <v>0.417417236370966</v>
      </c>
      <c r="P1949" s="14">
        <v>0.95530052832327805</v>
      </c>
      <c r="Q1949" t="str">
        <f t="shared" si="60"/>
        <v>01-09</v>
      </c>
      <c r="R1949" t="str">
        <f t="shared" si="61"/>
        <v>[fiRkU6gEjLz]|01-09|Female|PopART.Rt.T_1|CY2023Q3</v>
      </c>
    </row>
    <row r="1950" spans="4:18" x14ac:dyDescent="0.2">
      <c r="D1950" t="s">
        <v>134</v>
      </c>
      <c r="E1950" t="s">
        <v>135</v>
      </c>
      <c r="F1950" t="s">
        <v>136</v>
      </c>
      <c r="G1950" t="s">
        <v>144</v>
      </c>
      <c r="H1950" t="s">
        <v>144</v>
      </c>
      <c r="I1950" t="s">
        <v>35</v>
      </c>
      <c r="J1950" t="s">
        <v>36</v>
      </c>
      <c r="K1950" t="s">
        <v>29</v>
      </c>
      <c r="L1950" t="s">
        <v>30</v>
      </c>
      <c r="M1950" t="s">
        <v>139</v>
      </c>
      <c r="N1950">
        <v>1332</v>
      </c>
      <c r="O1950" s="14">
        <v>9.8966380814090399E-2</v>
      </c>
      <c r="P1950" s="14">
        <v>0.95530052832327805</v>
      </c>
      <c r="Q1950" t="str">
        <f t="shared" si="60"/>
        <v>10-14</v>
      </c>
      <c r="R1950" t="str">
        <f t="shared" si="61"/>
        <v>[fiRkU6gEjLz]|10-14|Female|PopART.Rt.T_1|CY2023Q3</v>
      </c>
    </row>
    <row r="1951" spans="4:18" x14ac:dyDescent="0.2">
      <c r="D1951" t="s">
        <v>134</v>
      </c>
      <c r="E1951" t="s">
        <v>135</v>
      </c>
      <c r="F1951" t="s">
        <v>136</v>
      </c>
      <c r="G1951" t="s">
        <v>144</v>
      </c>
      <c r="H1951" t="s">
        <v>144</v>
      </c>
      <c r="I1951" t="s">
        <v>37</v>
      </c>
      <c r="J1951" t="s">
        <v>38</v>
      </c>
      <c r="K1951" t="s">
        <v>29</v>
      </c>
      <c r="L1951" t="s">
        <v>30</v>
      </c>
      <c r="M1951" t="s">
        <v>139</v>
      </c>
      <c r="N1951">
        <v>630</v>
      </c>
      <c r="O1951" s="14">
        <v>0.52832119516096998</v>
      </c>
      <c r="P1951" s="14">
        <v>0.95530052832327805</v>
      </c>
      <c r="Q1951" t="str">
        <f t="shared" si="60"/>
        <v>15-24</v>
      </c>
      <c r="R1951" t="str">
        <f t="shared" si="61"/>
        <v>[fiRkU6gEjLz]|15-24|Female|PopART.Rt.T_1|CY2023Q3</v>
      </c>
    </row>
    <row r="1952" spans="4:18" x14ac:dyDescent="0.2">
      <c r="D1952" t="s">
        <v>134</v>
      </c>
      <c r="E1952" t="s">
        <v>135</v>
      </c>
      <c r="F1952" t="s">
        <v>136</v>
      </c>
      <c r="G1952" t="s">
        <v>144</v>
      </c>
      <c r="H1952" t="s">
        <v>144</v>
      </c>
      <c r="I1952" t="s">
        <v>40</v>
      </c>
      <c r="J1952" t="s">
        <v>41</v>
      </c>
      <c r="K1952" t="s">
        <v>29</v>
      </c>
      <c r="L1952" t="s">
        <v>30</v>
      </c>
      <c r="M1952" t="s">
        <v>139</v>
      </c>
      <c r="N1952">
        <v>1180</v>
      </c>
      <c r="O1952" s="14">
        <v>0.64610262797214102</v>
      </c>
      <c r="P1952" s="14">
        <v>0.95530052832327805</v>
      </c>
      <c r="Q1952" t="str">
        <f t="shared" si="60"/>
        <v>25-34</v>
      </c>
      <c r="R1952" t="str">
        <f t="shared" si="61"/>
        <v>[fiRkU6gEjLz]|25-34|Female|PopART.Rt.T_1|CY2023Q3</v>
      </c>
    </row>
    <row r="1953" spans="4:18" x14ac:dyDescent="0.2">
      <c r="D1953" t="s">
        <v>134</v>
      </c>
      <c r="E1953" t="s">
        <v>135</v>
      </c>
      <c r="F1953" t="s">
        <v>136</v>
      </c>
      <c r="G1953" t="s">
        <v>144</v>
      </c>
      <c r="H1953" t="s">
        <v>144</v>
      </c>
      <c r="I1953" t="s">
        <v>42</v>
      </c>
      <c r="J1953" t="s">
        <v>43</v>
      </c>
      <c r="K1953" t="s">
        <v>29</v>
      </c>
      <c r="L1953" t="s">
        <v>30</v>
      </c>
      <c r="M1953" t="s">
        <v>139</v>
      </c>
      <c r="N1953">
        <v>711</v>
      </c>
      <c r="O1953" s="14">
        <v>0.77461840375326596</v>
      </c>
      <c r="P1953" s="14">
        <v>0.95530052832327805</v>
      </c>
      <c r="Q1953" t="str">
        <f t="shared" si="60"/>
        <v>35-49</v>
      </c>
      <c r="R1953" t="str">
        <f t="shared" si="61"/>
        <v>[fiRkU6gEjLz]|35-49|Female|PopART.Rt.T_1|CY2023Q3</v>
      </c>
    </row>
    <row r="1954" spans="4:18" x14ac:dyDescent="0.2">
      <c r="D1954" t="s">
        <v>134</v>
      </c>
      <c r="E1954" t="s">
        <v>135</v>
      </c>
      <c r="F1954" t="s">
        <v>136</v>
      </c>
      <c r="G1954" t="s">
        <v>144</v>
      </c>
      <c r="H1954" t="s">
        <v>144</v>
      </c>
      <c r="I1954" t="s">
        <v>44</v>
      </c>
      <c r="J1954" t="s">
        <v>45</v>
      </c>
      <c r="K1954" t="s">
        <v>29</v>
      </c>
      <c r="L1954" t="s">
        <v>30</v>
      </c>
      <c r="M1954" t="s">
        <v>139</v>
      </c>
      <c r="N1954">
        <v>1492</v>
      </c>
      <c r="O1954" s="14">
        <v>0.84735857020132199</v>
      </c>
      <c r="P1954" s="14">
        <v>0.95530052832327805</v>
      </c>
      <c r="Q1954" t="str">
        <f t="shared" si="60"/>
        <v>50+</v>
      </c>
      <c r="R1954" t="str">
        <f t="shared" si="61"/>
        <v>[fiRkU6gEjLz]|50+|Female|PopART.Rt.T_1|CY2023Q3</v>
      </c>
    </row>
    <row r="1955" spans="4:18" x14ac:dyDescent="0.2">
      <c r="D1955" t="s">
        <v>134</v>
      </c>
      <c r="E1955" t="s">
        <v>135</v>
      </c>
      <c r="F1955" t="s">
        <v>136</v>
      </c>
      <c r="G1955" t="s">
        <v>144</v>
      </c>
      <c r="H1955" t="s">
        <v>144</v>
      </c>
      <c r="I1955" t="s">
        <v>27</v>
      </c>
      <c r="J1955" t="s">
        <v>28</v>
      </c>
      <c r="K1955" t="s">
        <v>47</v>
      </c>
      <c r="L1955" t="s">
        <v>48</v>
      </c>
      <c r="M1955" t="s">
        <v>139</v>
      </c>
      <c r="N1955">
        <v>1616</v>
      </c>
      <c r="O1955" s="14">
        <v>8.6567375343292993E-2</v>
      </c>
      <c r="P1955" s="14">
        <v>0.95530052832327805</v>
      </c>
      <c r="Q1955" t="str">
        <f t="shared" si="60"/>
        <v>&lt;01</v>
      </c>
      <c r="R1955" t="str">
        <f t="shared" si="61"/>
        <v>[fiRkU6gEjLz]|&lt;01|Male|PopART.Rt.T_1|CY2023Q3</v>
      </c>
    </row>
    <row r="1956" spans="4:18" x14ac:dyDescent="0.2">
      <c r="D1956" t="s">
        <v>134</v>
      </c>
      <c r="E1956" t="s">
        <v>135</v>
      </c>
      <c r="F1956" t="s">
        <v>136</v>
      </c>
      <c r="G1956" t="s">
        <v>144</v>
      </c>
      <c r="H1956" t="s">
        <v>144</v>
      </c>
      <c r="I1956" t="s">
        <v>32</v>
      </c>
      <c r="J1956" t="s">
        <v>33</v>
      </c>
      <c r="K1956" t="s">
        <v>47</v>
      </c>
      <c r="L1956" t="s">
        <v>48</v>
      </c>
      <c r="M1956" t="s">
        <v>139</v>
      </c>
      <c r="N1956">
        <v>1936</v>
      </c>
      <c r="O1956" s="14">
        <v>0.33899285667575901</v>
      </c>
      <c r="P1956" s="14">
        <v>0.95530052832327805</v>
      </c>
      <c r="Q1956" t="str">
        <f t="shared" si="60"/>
        <v>01-09</v>
      </c>
      <c r="R1956" t="str">
        <f t="shared" si="61"/>
        <v>[fiRkU6gEjLz]|01-09|Male|PopART.Rt.T_1|CY2023Q3</v>
      </c>
    </row>
    <row r="1957" spans="4:18" x14ac:dyDescent="0.2">
      <c r="D1957" t="s">
        <v>134</v>
      </c>
      <c r="E1957" t="s">
        <v>135</v>
      </c>
      <c r="F1957" t="s">
        <v>136</v>
      </c>
      <c r="G1957" t="s">
        <v>144</v>
      </c>
      <c r="H1957" t="s">
        <v>144</v>
      </c>
      <c r="I1957" t="s">
        <v>35</v>
      </c>
      <c r="J1957" t="s">
        <v>36</v>
      </c>
      <c r="K1957" t="s">
        <v>47</v>
      </c>
      <c r="L1957" t="s">
        <v>48</v>
      </c>
      <c r="M1957" t="s">
        <v>139</v>
      </c>
      <c r="N1957">
        <v>1561</v>
      </c>
      <c r="O1957" s="14">
        <v>0.48852565465495001</v>
      </c>
      <c r="P1957" s="14">
        <v>0.95530052832327805</v>
      </c>
      <c r="Q1957" t="str">
        <f t="shared" si="60"/>
        <v>10-14</v>
      </c>
      <c r="R1957" t="str">
        <f t="shared" si="61"/>
        <v>[fiRkU6gEjLz]|10-14|Male|PopART.Rt.T_1|CY2023Q3</v>
      </c>
    </row>
    <row r="1958" spans="4:18" x14ac:dyDescent="0.2">
      <c r="D1958" t="s">
        <v>134</v>
      </c>
      <c r="E1958" t="s">
        <v>135</v>
      </c>
      <c r="F1958" t="s">
        <v>136</v>
      </c>
      <c r="G1958" t="s">
        <v>144</v>
      </c>
      <c r="H1958" t="s">
        <v>144</v>
      </c>
      <c r="I1958" t="s">
        <v>37</v>
      </c>
      <c r="J1958" t="s">
        <v>38</v>
      </c>
      <c r="K1958" t="s">
        <v>47</v>
      </c>
      <c r="L1958" t="s">
        <v>48</v>
      </c>
      <c r="M1958" t="s">
        <v>139</v>
      </c>
      <c r="N1958">
        <v>1616</v>
      </c>
      <c r="O1958" s="14">
        <v>0.99385576765052996</v>
      </c>
      <c r="P1958" s="14">
        <v>0.95530052832327805</v>
      </c>
      <c r="Q1958" t="str">
        <f t="shared" si="60"/>
        <v>15-24</v>
      </c>
      <c r="R1958" t="str">
        <f t="shared" si="61"/>
        <v>[fiRkU6gEjLz]|15-24|Male|PopART.Rt.T_1|CY2023Q3</v>
      </c>
    </row>
    <row r="1959" spans="4:18" x14ac:dyDescent="0.2">
      <c r="D1959" t="s">
        <v>134</v>
      </c>
      <c r="E1959" t="s">
        <v>135</v>
      </c>
      <c r="F1959" t="s">
        <v>136</v>
      </c>
      <c r="G1959" t="s">
        <v>144</v>
      </c>
      <c r="H1959" t="s">
        <v>144</v>
      </c>
      <c r="I1959" t="s">
        <v>40</v>
      </c>
      <c r="J1959" t="s">
        <v>41</v>
      </c>
      <c r="K1959" t="s">
        <v>47</v>
      </c>
      <c r="L1959" t="s">
        <v>48</v>
      </c>
      <c r="M1959" t="s">
        <v>139</v>
      </c>
      <c r="N1959">
        <v>1790</v>
      </c>
      <c r="O1959" s="14">
        <v>9.8054046509787399E-2</v>
      </c>
      <c r="P1959" s="14">
        <v>0.95530052832327805</v>
      </c>
      <c r="Q1959" t="str">
        <f t="shared" si="60"/>
        <v>25-34</v>
      </c>
      <c r="R1959" t="str">
        <f t="shared" si="61"/>
        <v>[fiRkU6gEjLz]|25-34|Male|PopART.Rt.T_1|CY2023Q3</v>
      </c>
    </row>
    <row r="1960" spans="4:18" x14ac:dyDescent="0.2">
      <c r="D1960" t="s">
        <v>134</v>
      </c>
      <c r="E1960" t="s">
        <v>135</v>
      </c>
      <c r="F1960" t="s">
        <v>136</v>
      </c>
      <c r="G1960" t="s">
        <v>144</v>
      </c>
      <c r="H1960" t="s">
        <v>144</v>
      </c>
      <c r="I1960" t="s">
        <v>42</v>
      </c>
      <c r="J1960" t="s">
        <v>43</v>
      </c>
      <c r="K1960" t="s">
        <v>47</v>
      </c>
      <c r="L1960" t="s">
        <v>48</v>
      </c>
      <c r="M1960" t="s">
        <v>139</v>
      </c>
      <c r="N1960">
        <v>670</v>
      </c>
      <c r="O1960" s="14">
        <v>0.64034822070971098</v>
      </c>
      <c r="P1960" s="14">
        <v>0.95530052832327805</v>
      </c>
      <c r="Q1960" t="str">
        <f t="shared" si="60"/>
        <v>35-49</v>
      </c>
      <c r="R1960" t="str">
        <f t="shared" si="61"/>
        <v>[fiRkU6gEjLz]|35-49|Male|PopART.Rt.T_1|CY2023Q3</v>
      </c>
    </row>
    <row r="1961" spans="4:18" x14ac:dyDescent="0.2">
      <c r="D1961" t="s">
        <v>134</v>
      </c>
      <c r="E1961" t="s">
        <v>135</v>
      </c>
      <c r="F1961" t="s">
        <v>136</v>
      </c>
      <c r="G1961" t="s">
        <v>144</v>
      </c>
      <c r="H1961" t="s">
        <v>144</v>
      </c>
      <c r="I1961" t="s">
        <v>44</v>
      </c>
      <c r="J1961" t="s">
        <v>45</v>
      </c>
      <c r="K1961" t="s">
        <v>47</v>
      </c>
      <c r="L1961" t="s">
        <v>48</v>
      </c>
      <c r="M1961" t="s">
        <v>139</v>
      </c>
      <c r="N1961">
        <v>1011</v>
      </c>
      <c r="O1961" s="14">
        <v>0.35426660603843602</v>
      </c>
      <c r="P1961" s="14">
        <v>0.95530052832327805</v>
      </c>
      <c r="Q1961" t="str">
        <f t="shared" si="60"/>
        <v>50+</v>
      </c>
      <c r="R1961" t="str">
        <f t="shared" si="61"/>
        <v>[fiRkU6gEjLz]|50+|Male|PopART.Rt.T_1|CY2023Q3</v>
      </c>
    </row>
    <row r="1962" spans="4:18" x14ac:dyDescent="0.2">
      <c r="D1962" t="s">
        <v>22</v>
      </c>
      <c r="E1962" t="s">
        <v>23</v>
      </c>
      <c r="F1962" t="s">
        <v>24</v>
      </c>
      <c r="G1962" t="s">
        <v>145</v>
      </c>
      <c r="H1962" t="s">
        <v>146</v>
      </c>
      <c r="I1962" t="s">
        <v>27</v>
      </c>
      <c r="J1962" t="s">
        <v>28</v>
      </c>
      <c r="K1962" t="s">
        <v>29</v>
      </c>
      <c r="L1962" t="s">
        <v>30</v>
      </c>
      <c r="M1962" t="s">
        <v>139</v>
      </c>
      <c r="N1962">
        <v>1539</v>
      </c>
      <c r="O1962" s="14">
        <v>0.51993368659168504</v>
      </c>
      <c r="P1962" s="14">
        <v>0.40435861097648701</v>
      </c>
      <c r="Q1962" t="str">
        <f t="shared" si="60"/>
        <v>&lt;01</v>
      </c>
      <c r="R1962" t="str">
        <f t="shared" si="61"/>
        <v>[GkIwZrXy1h2]|&lt;01|Female|TX_CURR_SUBNAT.T_1|CY2023Q3</v>
      </c>
    </row>
    <row r="1963" spans="4:18" x14ac:dyDescent="0.2">
      <c r="D1963" t="s">
        <v>22</v>
      </c>
      <c r="E1963" t="s">
        <v>23</v>
      </c>
      <c r="F1963" t="s">
        <v>24</v>
      </c>
      <c r="G1963" t="s">
        <v>145</v>
      </c>
      <c r="H1963" t="s">
        <v>146</v>
      </c>
      <c r="I1963" t="s">
        <v>32</v>
      </c>
      <c r="J1963" t="s">
        <v>33</v>
      </c>
      <c r="K1963" t="s">
        <v>29</v>
      </c>
      <c r="L1963" t="s">
        <v>30</v>
      </c>
      <c r="M1963" t="s">
        <v>139</v>
      </c>
      <c r="N1963">
        <v>1181</v>
      </c>
      <c r="O1963" s="14">
        <v>0.433553562965244</v>
      </c>
      <c r="P1963" s="14">
        <v>0.40435861097648701</v>
      </c>
      <c r="Q1963" t="str">
        <f t="shared" si="60"/>
        <v>01-09</v>
      </c>
      <c r="R1963" t="str">
        <f t="shared" si="61"/>
        <v>[GkIwZrXy1h2]|01-09|Female|TX_CURR_SUBNAT.T_1|CY2023Q3</v>
      </c>
    </row>
    <row r="1964" spans="4:18" x14ac:dyDescent="0.2">
      <c r="D1964" t="s">
        <v>22</v>
      </c>
      <c r="E1964" t="s">
        <v>23</v>
      </c>
      <c r="F1964" t="s">
        <v>24</v>
      </c>
      <c r="G1964" t="s">
        <v>145</v>
      </c>
      <c r="H1964" t="s">
        <v>146</v>
      </c>
      <c r="I1964" t="s">
        <v>35</v>
      </c>
      <c r="J1964" t="s">
        <v>36</v>
      </c>
      <c r="K1964" t="s">
        <v>29</v>
      </c>
      <c r="L1964" t="s">
        <v>30</v>
      </c>
      <c r="M1964" t="s">
        <v>139</v>
      </c>
      <c r="N1964">
        <v>1055</v>
      </c>
      <c r="O1964" s="14">
        <v>0.41782378149218902</v>
      </c>
      <c r="P1964" s="14">
        <v>0.40435861097648701</v>
      </c>
      <c r="Q1964" t="str">
        <f t="shared" si="60"/>
        <v>10-14</v>
      </c>
      <c r="R1964" t="str">
        <f t="shared" si="61"/>
        <v>[GkIwZrXy1h2]|10-14|Female|TX_CURR_SUBNAT.T_1|CY2023Q3</v>
      </c>
    </row>
    <row r="1965" spans="4:18" x14ac:dyDescent="0.2">
      <c r="D1965" t="s">
        <v>22</v>
      </c>
      <c r="E1965" t="s">
        <v>23</v>
      </c>
      <c r="F1965" t="s">
        <v>24</v>
      </c>
      <c r="G1965" t="s">
        <v>145</v>
      </c>
      <c r="H1965" t="s">
        <v>146</v>
      </c>
      <c r="I1965" t="s">
        <v>37</v>
      </c>
      <c r="J1965" t="s">
        <v>38</v>
      </c>
      <c r="K1965" t="s">
        <v>29</v>
      </c>
      <c r="L1965" t="s">
        <v>30</v>
      </c>
      <c r="M1965" t="s">
        <v>139</v>
      </c>
      <c r="N1965">
        <v>1814</v>
      </c>
      <c r="O1965" s="14">
        <v>0.80296517489478003</v>
      </c>
      <c r="P1965" s="14">
        <v>0.40435861097648701</v>
      </c>
      <c r="Q1965" t="str">
        <f t="shared" si="60"/>
        <v>15-24</v>
      </c>
      <c r="R1965" t="str">
        <f t="shared" si="61"/>
        <v>[GkIwZrXy1h2]|15-24|Female|TX_CURR_SUBNAT.T_1|CY2023Q3</v>
      </c>
    </row>
    <row r="1966" spans="4:18" x14ac:dyDescent="0.2">
      <c r="D1966" t="s">
        <v>22</v>
      </c>
      <c r="E1966" t="s">
        <v>23</v>
      </c>
      <c r="F1966" t="s">
        <v>24</v>
      </c>
      <c r="G1966" t="s">
        <v>145</v>
      </c>
      <c r="H1966" t="s">
        <v>146</v>
      </c>
      <c r="I1966" t="s">
        <v>40</v>
      </c>
      <c r="J1966" t="s">
        <v>41</v>
      </c>
      <c r="K1966" t="s">
        <v>29</v>
      </c>
      <c r="L1966" t="s">
        <v>30</v>
      </c>
      <c r="M1966" t="s">
        <v>139</v>
      </c>
      <c r="N1966">
        <v>1268</v>
      </c>
      <c r="O1966" s="14">
        <v>0.96380599122494504</v>
      </c>
      <c r="P1966" s="14">
        <v>0.40435861097648701</v>
      </c>
      <c r="Q1966" t="str">
        <f t="shared" si="60"/>
        <v>25-34</v>
      </c>
      <c r="R1966" t="str">
        <f t="shared" si="61"/>
        <v>[GkIwZrXy1h2]|25-34|Female|TX_CURR_SUBNAT.T_1|CY2023Q3</v>
      </c>
    </row>
    <row r="1967" spans="4:18" x14ac:dyDescent="0.2">
      <c r="D1967" t="s">
        <v>22</v>
      </c>
      <c r="E1967" t="s">
        <v>23</v>
      </c>
      <c r="F1967" t="s">
        <v>24</v>
      </c>
      <c r="G1967" t="s">
        <v>145</v>
      </c>
      <c r="H1967" t="s">
        <v>146</v>
      </c>
      <c r="I1967" t="s">
        <v>42</v>
      </c>
      <c r="J1967" t="s">
        <v>43</v>
      </c>
      <c r="K1967" t="s">
        <v>29</v>
      </c>
      <c r="L1967" t="s">
        <v>30</v>
      </c>
      <c r="M1967" t="s">
        <v>139</v>
      </c>
      <c r="N1967">
        <v>786</v>
      </c>
      <c r="O1967" s="14">
        <v>0.76196459727361798</v>
      </c>
      <c r="P1967" s="14">
        <v>0.40435861097648701</v>
      </c>
      <c r="Q1967" t="str">
        <f t="shared" si="60"/>
        <v>35-49</v>
      </c>
      <c r="R1967" t="str">
        <f t="shared" si="61"/>
        <v>[GkIwZrXy1h2]|35-49|Female|TX_CURR_SUBNAT.T_1|CY2023Q3</v>
      </c>
    </row>
    <row r="1968" spans="4:18" x14ac:dyDescent="0.2">
      <c r="D1968" t="s">
        <v>22</v>
      </c>
      <c r="E1968" t="s">
        <v>23</v>
      </c>
      <c r="F1968" t="s">
        <v>24</v>
      </c>
      <c r="G1968" t="s">
        <v>145</v>
      </c>
      <c r="H1968" t="s">
        <v>146</v>
      </c>
      <c r="I1968" t="s">
        <v>44</v>
      </c>
      <c r="J1968" t="s">
        <v>45</v>
      </c>
      <c r="K1968" t="s">
        <v>29</v>
      </c>
      <c r="L1968" t="s">
        <v>30</v>
      </c>
      <c r="M1968" t="s">
        <v>139</v>
      </c>
      <c r="N1968">
        <v>1050</v>
      </c>
      <c r="O1968" s="14">
        <v>0.836556478403509</v>
      </c>
      <c r="P1968" s="14">
        <v>0.40435861097648701</v>
      </c>
      <c r="Q1968" t="str">
        <f t="shared" si="60"/>
        <v>50+</v>
      </c>
      <c r="R1968" t="str">
        <f t="shared" si="61"/>
        <v>[GkIwZrXy1h2]|50+|Female|TX_CURR_SUBNAT.T_1|CY2023Q3</v>
      </c>
    </row>
    <row r="1969" spans="4:18" x14ac:dyDescent="0.2">
      <c r="D1969" t="s">
        <v>22</v>
      </c>
      <c r="E1969" t="s">
        <v>23</v>
      </c>
      <c r="F1969" t="s">
        <v>24</v>
      </c>
      <c r="G1969" t="s">
        <v>145</v>
      </c>
      <c r="H1969" t="s">
        <v>146</v>
      </c>
      <c r="I1969" t="s">
        <v>27</v>
      </c>
      <c r="J1969" t="s">
        <v>28</v>
      </c>
      <c r="K1969" t="s">
        <v>47</v>
      </c>
      <c r="L1969" t="s">
        <v>48</v>
      </c>
      <c r="M1969" t="s">
        <v>139</v>
      </c>
      <c r="N1969">
        <v>901</v>
      </c>
      <c r="O1969" s="14">
        <v>2.3104534484446001E-3</v>
      </c>
      <c r="P1969" s="14">
        <v>0.40435861097648701</v>
      </c>
      <c r="Q1969" t="str">
        <f t="shared" si="60"/>
        <v>&lt;01</v>
      </c>
      <c r="R1969" t="str">
        <f t="shared" si="61"/>
        <v>[GkIwZrXy1h2]|&lt;01|Male|TX_CURR_SUBNAT.T_1|CY2023Q3</v>
      </c>
    </row>
    <row r="1970" spans="4:18" x14ac:dyDescent="0.2">
      <c r="D1970" t="s">
        <v>22</v>
      </c>
      <c r="E1970" t="s">
        <v>23</v>
      </c>
      <c r="F1970" t="s">
        <v>24</v>
      </c>
      <c r="G1970" t="s">
        <v>145</v>
      </c>
      <c r="H1970" t="s">
        <v>146</v>
      </c>
      <c r="I1970" t="s">
        <v>32</v>
      </c>
      <c r="J1970" t="s">
        <v>33</v>
      </c>
      <c r="K1970" t="s">
        <v>47</v>
      </c>
      <c r="L1970" t="s">
        <v>48</v>
      </c>
      <c r="M1970" t="s">
        <v>139</v>
      </c>
      <c r="N1970">
        <v>611</v>
      </c>
      <c r="O1970" s="14">
        <v>0.74557359633036002</v>
      </c>
      <c r="P1970" s="14">
        <v>0.40435861097648701</v>
      </c>
      <c r="Q1970" t="str">
        <f t="shared" si="60"/>
        <v>01-09</v>
      </c>
      <c r="R1970" t="str">
        <f t="shared" si="61"/>
        <v>[GkIwZrXy1h2]|01-09|Male|TX_CURR_SUBNAT.T_1|CY2023Q3</v>
      </c>
    </row>
    <row r="1971" spans="4:18" x14ac:dyDescent="0.2">
      <c r="D1971" t="s">
        <v>22</v>
      </c>
      <c r="E1971" t="s">
        <v>23</v>
      </c>
      <c r="F1971" t="s">
        <v>24</v>
      </c>
      <c r="G1971" t="s">
        <v>145</v>
      </c>
      <c r="H1971" t="s">
        <v>146</v>
      </c>
      <c r="I1971" t="s">
        <v>35</v>
      </c>
      <c r="J1971" t="s">
        <v>36</v>
      </c>
      <c r="K1971" t="s">
        <v>47</v>
      </c>
      <c r="L1971" t="s">
        <v>48</v>
      </c>
      <c r="M1971" t="s">
        <v>139</v>
      </c>
      <c r="N1971">
        <v>1614</v>
      </c>
      <c r="O1971" s="14">
        <v>0.82955457852222003</v>
      </c>
      <c r="P1971" s="14">
        <v>0.40435861097648701</v>
      </c>
      <c r="Q1971" t="str">
        <f t="shared" si="60"/>
        <v>10-14</v>
      </c>
      <c r="R1971" t="str">
        <f t="shared" si="61"/>
        <v>[GkIwZrXy1h2]|10-14|Male|TX_CURR_SUBNAT.T_1|CY2023Q3</v>
      </c>
    </row>
    <row r="1972" spans="4:18" x14ac:dyDescent="0.2">
      <c r="D1972" t="s">
        <v>22</v>
      </c>
      <c r="E1972" t="s">
        <v>23</v>
      </c>
      <c r="F1972" t="s">
        <v>24</v>
      </c>
      <c r="G1972" t="s">
        <v>145</v>
      </c>
      <c r="H1972" t="s">
        <v>146</v>
      </c>
      <c r="I1972" t="s">
        <v>37</v>
      </c>
      <c r="J1972" t="s">
        <v>38</v>
      </c>
      <c r="K1972" t="s">
        <v>47</v>
      </c>
      <c r="L1972" t="s">
        <v>48</v>
      </c>
      <c r="M1972" t="s">
        <v>139</v>
      </c>
      <c r="N1972">
        <v>515</v>
      </c>
      <c r="O1972" s="14">
        <v>0.32072467636316998</v>
      </c>
      <c r="P1972" s="14">
        <v>0.40435861097648701</v>
      </c>
      <c r="Q1972" t="str">
        <f t="shared" si="60"/>
        <v>15-24</v>
      </c>
      <c r="R1972" t="str">
        <f t="shared" si="61"/>
        <v>[GkIwZrXy1h2]|15-24|Male|TX_CURR_SUBNAT.T_1|CY2023Q3</v>
      </c>
    </row>
    <row r="1973" spans="4:18" x14ac:dyDescent="0.2">
      <c r="D1973" t="s">
        <v>22</v>
      </c>
      <c r="E1973" t="s">
        <v>23</v>
      </c>
      <c r="F1973" t="s">
        <v>24</v>
      </c>
      <c r="G1973" t="s">
        <v>145</v>
      </c>
      <c r="H1973" t="s">
        <v>146</v>
      </c>
      <c r="I1973" t="s">
        <v>40</v>
      </c>
      <c r="J1973" t="s">
        <v>41</v>
      </c>
      <c r="K1973" t="s">
        <v>47</v>
      </c>
      <c r="L1973" t="s">
        <v>48</v>
      </c>
      <c r="M1973" t="s">
        <v>139</v>
      </c>
      <c r="N1973">
        <v>1146</v>
      </c>
      <c r="O1973" s="14">
        <v>4.9243989866226898E-2</v>
      </c>
      <c r="P1973" s="14">
        <v>0.40435861097648701</v>
      </c>
      <c r="Q1973" t="str">
        <f t="shared" si="60"/>
        <v>25-34</v>
      </c>
      <c r="R1973" t="str">
        <f t="shared" si="61"/>
        <v>[GkIwZrXy1h2]|25-34|Male|TX_CURR_SUBNAT.T_1|CY2023Q3</v>
      </c>
    </row>
    <row r="1974" spans="4:18" x14ac:dyDescent="0.2">
      <c r="D1974" t="s">
        <v>22</v>
      </c>
      <c r="E1974" t="s">
        <v>23</v>
      </c>
      <c r="F1974" t="s">
        <v>24</v>
      </c>
      <c r="G1974" t="s">
        <v>145</v>
      </c>
      <c r="H1974" t="s">
        <v>146</v>
      </c>
      <c r="I1974" t="s">
        <v>42</v>
      </c>
      <c r="J1974" t="s">
        <v>43</v>
      </c>
      <c r="K1974" t="s">
        <v>47</v>
      </c>
      <c r="L1974" t="s">
        <v>48</v>
      </c>
      <c r="M1974" t="s">
        <v>139</v>
      </c>
      <c r="N1974">
        <v>1938</v>
      </c>
      <c r="O1974" s="14">
        <v>0.48419111710973101</v>
      </c>
      <c r="P1974" s="14">
        <v>0.40435861097648701</v>
      </c>
      <c r="Q1974" t="str">
        <f t="shared" si="60"/>
        <v>35-49</v>
      </c>
      <c r="R1974" t="str">
        <f t="shared" si="61"/>
        <v>[GkIwZrXy1h2]|35-49|Male|TX_CURR_SUBNAT.T_1|CY2023Q3</v>
      </c>
    </row>
    <row r="1975" spans="4:18" x14ac:dyDescent="0.2">
      <c r="D1975" t="s">
        <v>22</v>
      </c>
      <c r="E1975" t="s">
        <v>23</v>
      </c>
      <c r="F1975" t="s">
        <v>24</v>
      </c>
      <c r="G1975" t="s">
        <v>145</v>
      </c>
      <c r="H1975" t="s">
        <v>146</v>
      </c>
      <c r="I1975" t="s">
        <v>44</v>
      </c>
      <c r="J1975" t="s">
        <v>45</v>
      </c>
      <c r="K1975" t="s">
        <v>47</v>
      </c>
      <c r="L1975" t="s">
        <v>48</v>
      </c>
      <c r="M1975" t="s">
        <v>139</v>
      </c>
      <c r="N1975">
        <v>1126</v>
      </c>
      <c r="O1975" s="14">
        <v>0.322263905545697</v>
      </c>
      <c r="P1975" s="14">
        <v>0.40435861097648701</v>
      </c>
      <c r="Q1975" t="str">
        <f t="shared" si="60"/>
        <v>50+</v>
      </c>
      <c r="R1975" t="str">
        <f t="shared" si="61"/>
        <v>[GkIwZrXy1h2]|50+|Male|TX_CURR_SUBNAT.T_1|CY2023Q3</v>
      </c>
    </row>
    <row r="1976" spans="4:18" x14ac:dyDescent="0.2">
      <c r="D1976" t="s">
        <v>52</v>
      </c>
      <c r="E1976" t="s">
        <v>53</v>
      </c>
      <c r="F1976" t="s">
        <v>54</v>
      </c>
      <c r="G1976" t="s">
        <v>145</v>
      </c>
      <c r="H1976" t="s">
        <v>146</v>
      </c>
      <c r="I1976" t="s">
        <v>27</v>
      </c>
      <c r="J1976" t="s">
        <v>28</v>
      </c>
      <c r="K1976" t="s">
        <v>29</v>
      </c>
      <c r="L1976" t="s">
        <v>30</v>
      </c>
      <c r="M1976" t="s">
        <v>139</v>
      </c>
      <c r="N1976">
        <v>1798</v>
      </c>
      <c r="O1976" s="14">
        <v>0.39259139588102698</v>
      </c>
      <c r="P1976" s="14">
        <v>0.61639246996492103</v>
      </c>
      <c r="Q1976" t="str">
        <f t="shared" si="60"/>
        <v>&lt;01</v>
      </c>
      <c r="R1976" t="str">
        <f t="shared" si="61"/>
        <v>[zphK9WV8JB4]|&lt;01|Female|TX_CURR_SUBNAT.T_1|CY2023Q3</v>
      </c>
    </row>
    <row r="1977" spans="4:18" x14ac:dyDescent="0.2">
      <c r="D1977" t="s">
        <v>52</v>
      </c>
      <c r="E1977" t="s">
        <v>53</v>
      </c>
      <c r="F1977" t="s">
        <v>54</v>
      </c>
      <c r="G1977" t="s">
        <v>145</v>
      </c>
      <c r="H1977" t="s">
        <v>146</v>
      </c>
      <c r="I1977" t="s">
        <v>32</v>
      </c>
      <c r="J1977" t="s">
        <v>33</v>
      </c>
      <c r="K1977" t="s">
        <v>29</v>
      </c>
      <c r="L1977" t="s">
        <v>30</v>
      </c>
      <c r="M1977" t="s">
        <v>139</v>
      </c>
      <c r="N1977">
        <v>1031</v>
      </c>
      <c r="O1977" s="14">
        <v>0.58071533311158396</v>
      </c>
      <c r="P1977" s="14">
        <v>0.61639246996492103</v>
      </c>
      <c r="Q1977" t="str">
        <f t="shared" si="60"/>
        <v>01-09</v>
      </c>
      <c r="R1977" t="str">
        <f t="shared" si="61"/>
        <v>[zphK9WV8JB4]|01-09|Female|TX_CURR_SUBNAT.T_1|CY2023Q3</v>
      </c>
    </row>
    <row r="1978" spans="4:18" x14ac:dyDescent="0.2">
      <c r="D1978" t="s">
        <v>52</v>
      </c>
      <c r="E1978" t="s">
        <v>53</v>
      </c>
      <c r="F1978" t="s">
        <v>54</v>
      </c>
      <c r="G1978" t="s">
        <v>145</v>
      </c>
      <c r="H1978" t="s">
        <v>146</v>
      </c>
      <c r="I1978" t="s">
        <v>35</v>
      </c>
      <c r="J1978" t="s">
        <v>36</v>
      </c>
      <c r="K1978" t="s">
        <v>29</v>
      </c>
      <c r="L1978" t="s">
        <v>30</v>
      </c>
      <c r="M1978" t="s">
        <v>139</v>
      </c>
      <c r="N1978">
        <v>820</v>
      </c>
      <c r="O1978" s="14">
        <v>0.19195003202184999</v>
      </c>
      <c r="P1978" s="14">
        <v>0.61639246996492103</v>
      </c>
      <c r="Q1978" t="str">
        <f t="shared" si="60"/>
        <v>10-14</v>
      </c>
      <c r="R1978" t="str">
        <f t="shared" si="61"/>
        <v>[zphK9WV8JB4]|10-14|Female|TX_CURR_SUBNAT.T_1|CY2023Q3</v>
      </c>
    </row>
    <row r="1979" spans="4:18" x14ac:dyDescent="0.2">
      <c r="D1979" t="s">
        <v>52</v>
      </c>
      <c r="E1979" t="s">
        <v>53</v>
      </c>
      <c r="F1979" t="s">
        <v>54</v>
      </c>
      <c r="G1979" t="s">
        <v>145</v>
      </c>
      <c r="H1979" t="s">
        <v>146</v>
      </c>
      <c r="I1979" t="s">
        <v>37</v>
      </c>
      <c r="J1979" t="s">
        <v>38</v>
      </c>
      <c r="K1979" t="s">
        <v>29</v>
      </c>
      <c r="L1979" t="s">
        <v>30</v>
      </c>
      <c r="M1979" t="s">
        <v>139</v>
      </c>
      <c r="N1979">
        <v>1168</v>
      </c>
      <c r="O1979" s="14">
        <v>0.43590275384485699</v>
      </c>
      <c r="P1979" s="14">
        <v>0.61639246996492103</v>
      </c>
      <c r="Q1979" t="str">
        <f t="shared" si="60"/>
        <v>15-24</v>
      </c>
      <c r="R1979" t="str">
        <f t="shared" si="61"/>
        <v>[zphK9WV8JB4]|15-24|Female|TX_CURR_SUBNAT.T_1|CY2023Q3</v>
      </c>
    </row>
    <row r="1980" spans="4:18" x14ac:dyDescent="0.2">
      <c r="D1980" t="s">
        <v>52</v>
      </c>
      <c r="E1980" t="s">
        <v>53</v>
      </c>
      <c r="F1980" t="s">
        <v>54</v>
      </c>
      <c r="G1980" t="s">
        <v>145</v>
      </c>
      <c r="H1980" t="s">
        <v>146</v>
      </c>
      <c r="I1980" t="s">
        <v>40</v>
      </c>
      <c r="J1980" t="s">
        <v>41</v>
      </c>
      <c r="K1980" t="s">
        <v>29</v>
      </c>
      <c r="L1980" t="s">
        <v>30</v>
      </c>
      <c r="M1980" t="s">
        <v>139</v>
      </c>
      <c r="N1980">
        <v>1240</v>
      </c>
      <c r="O1980" s="14">
        <v>0.22385121136903799</v>
      </c>
      <c r="P1980" s="14">
        <v>0.61639246996492103</v>
      </c>
      <c r="Q1980" t="str">
        <f t="shared" si="60"/>
        <v>25-34</v>
      </c>
      <c r="R1980" t="str">
        <f t="shared" si="61"/>
        <v>[zphK9WV8JB4]|25-34|Female|TX_CURR_SUBNAT.T_1|CY2023Q3</v>
      </c>
    </row>
    <row r="1981" spans="4:18" x14ac:dyDescent="0.2">
      <c r="D1981" t="s">
        <v>52</v>
      </c>
      <c r="E1981" t="s">
        <v>53</v>
      </c>
      <c r="F1981" t="s">
        <v>54</v>
      </c>
      <c r="G1981" t="s">
        <v>145</v>
      </c>
      <c r="H1981" t="s">
        <v>146</v>
      </c>
      <c r="I1981" t="s">
        <v>42</v>
      </c>
      <c r="J1981" t="s">
        <v>43</v>
      </c>
      <c r="K1981" t="s">
        <v>29</v>
      </c>
      <c r="L1981" t="s">
        <v>30</v>
      </c>
      <c r="M1981" t="s">
        <v>139</v>
      </c>
      <c r="N1981">
        <v>773</v>
      </c>
      <c r="O1981" s="14">
        <v>0.57244054484181095</v>
      </c>
      <c r="P1981" s="14">
        <v>0.61639246996492103</v>
      </c>
      <c r="Q1981" t="str">
        <f t="shared" si="60"/>
        <v>35-49</v>
      </c>
      <c r="R1981" t="str">
        <f t="shared" si="61"/>
        <v>[zphK9WV8JB4]|35-49|Female|TX_CURR_SUBNAT.T_1|CY2023Q3</v>
      </c>
    </row>
    <row r="1982" spans="4:18" x14ac:dyDescent="0.2">
      <c r="D1982" t="s">
        <v>52</v>
      </c>
      <c r="E1982" t="s">
        <v>53</v>
      </c>
      <c r="F1982" t="s">
        <v>54</v>
      </c>
      <c r="G1982" t="s">
        <v>145</v>
      </c>
      <c r="H1982" t="s">
        <v>146</v>
      </c>
      <c r="I1982" t="s">
        <v>44</v>
      </c>
      <c r="J1982" t="s">
        <v>45</v>
      </c>
      <c r="K1982" t="s">
        <v>29</v>
      </c>
      <c r="L1982" t="s">
        <v>30</v>
      </c>
      <c r="M1982" t="s">
        <v>139</v>
      </c>
      <c r="N1982">
        <v>1336</v>
      </c>
      <c r="O1982" s="14">
        <v>0.41488165687769701</v>
      </c>
      <c r="P1982" s="14">
        <v>0.61639246996492103</v>
      </c>
      <c r="Q1982" t="str">
        <f t="shared" si="60"/>
        <v>50+</v>
      </c>
      <c r="R1982" t="str">
        <f t="shared" si="61"/>
        <v>[zphK9WV8JB4]|50+|Female|TX_CURR_SUBNAT.T_1|CY2023Q3</v>
      </c>
    </row>
    <row r="1983" spans="4:18" x14ac:dyDescent="0.2">
      <c r="D1983" t="s">
        <v>52</v>
      </c>
      <c r="E1983" t="s">
        <v>53</v>
      </c>
      <c r="F1983" t="s">
        <v>54</v>
      </c>
      <c r="G1983" t="s">
        <v>145</v>
      </c>
      <c r="H1983" t="s">
        <v>146</v>
      </c>
      <c r="I1983" t="s">
        <v>27</v>
      </c>
      <c r="J1983" t="s">
        <v>28</v>
      </c>
      <c r="K1983" t="s">
        <v>47</v>
      </c>
      <c r="L1983" t="s">
        <v>48</v>
      </c>
      <c r="M1983" t="s">
        <v>139</v>
      </c>
      <c r="N1983">
        <v>1290</v>
      </c>
      <c r="O1983" s="14">
        <v>0.52643456566147495</v>
      </c>
      <c r="P1983" s="14">
        <v>0.61639246996492103</v>
      </c>
      <c r="Q1983" t="str">
        <f t="shared" si="60"/>
        <v>&lt;01</v>
      </c>
      <c r="R1983" t="str">
        <f t="shared" si="61"/>
        <v>[zphK9WV8JB4]|&lt;01|Male|TX_CURR_SUBNAT.T_1|CY2023Q3</v>
      </c>
    </row>
    <row r="1984" spans="4:18" x14ac:dyDescent="0.2">
      <c r="D1984" t="s">
        <v>52</v>
      </c>
      <c r="E1984" t="s">
        <v>53</v>
      </c>
      <c r="F1984" t="s">
        <v>54</v>
      </c>
      <c r="G1984" t="s">
        <v>145</v>
      </c>
      <c r="H1984" t="s">
        <v>146</v>
      </c>
      <c r="I1984" t="s">
        <v>32</v>
      </c>
      <c r="J1984" t="s">
        <v>33</v>
      </c>
      <c r="K1984" t="s">
        <v>47</v>
      </c>
      <c r="L1984" t="s">
        <v>48</v>
      </c>
      <c r="M1984" t="s">
        <v>139</v>
      </c>
      <c r="N1984">
        <v>1275</v>
      </c>
      <c r="O1984" s="14">
        <v>0.676735967863351</v>
      </c>
      <c r="P1984" s="14">
        <v>0.61639246996492103</v>
      </c>
      <c r="Q1984" t="str">
        <f t="shared" si="60"/>
        <v>01-09</v>
      </c>
      <c r="R1984" t="str">
        <f t="shared" si="61"/>
        <v>[zphK9WV8JB4]|01-09|Male|TX_CURR_SUBNAT.T_1|CY2023Q3</v>
      </c>
    </row>
    <row r="1985" spans="4:18" x14ac:dyDescent="0.2">
      <c r="D1985" t="s">
        <v>52</v>
      </c>
      <c r="E1985" t="s">
        <v>53</v>
      </c>
      <c r="F1985" t="s">
        <v>54</v>
      </c>
      <c r="G1985" t="s">
        <v>145</v>
      </c>
      <c r="H1985" t="s">
        <v>146</v>
      </c>
      <c r="I1985" t="s">
        <v>35</v>
      </c>
      <c r="J1985" t="s">
        <v>36</v>
      </c>
      <c r="K1985" t="s">
        <v>47</v>
      </c>
      <c r="L1985" t="s">
        <v>48</v>
      </c>
      <c r="M1985" t="s">
        <v>139</v>
      </c>
      <c r="N1985">
        <v>637</v>
      </c>
      <c r="O1985" s="14">
        <v>0.212970226537436</v>
      </c>
      <c r="P1985" s="14">
        <v>0.61639246996492103</v>
      </c>
      <c r="Q1985" t="str">
        <f t="shared" si="60"/>
        <v>10-14</v>
      </c>
      <c r="R1985" t="str">
        <f t="shared" si="61"/>
        <v>[zphK9WV8JB4]|10-14|Male|TX_CURR_SUBNAT.T_1|CY2023Q3</v>
      </c>
    </row>
    <row r="1986" spans="4:18" x14ac:dyDescent="0.2">
      <c r="D1986" t="s">
        <v>52</v>
      </c>
      <c r="E1986" t="s">
        <v>53</v>
      </c>
      <c r="F1986" t="s">
        <v>54</v>
      </c>
      <c r="G1986" t="s">
        <v>145</v>
      </c>
      <c r="H1986" t="s">
        <v>146</v>
      </c>
      <c r="I1986" t="s">
        <v>37</v>
      </c>
      <c r="J1986" t="s">
        <v>38</v>
      </c>
      <c r="K1986" t="s">
        <v>47</v>
      </c>
      <c r="L1986" t="s">
        <v>48</v>
      </c>
      <c r="M1986" t="s">
        <v>139</v>
      </c>
      <c r="N1986">
        <v>1932</v>
      </c>
      <c r="O1986" s="14">
        <v>0.598741251276806</v>
      </c>
      <c r="P1986" s="14">
        <v>0.61639246996492103</v>
      </c>
      <c r="Q1986" t="str">
        <f t="shared" ref="Q1986:Q2049" si="62">SUBSTITUTE(SUBSTITUTE($I1986,CHAR(61),""),CHAR(34),"")</f>
        <v>15-24</v>
      </c>
      <c r="R1986" t="str">
        <f t="shared" ref="R1986:R2049" si="63">IF($D1986&lt;&gt;"","["&amp;$E1986&amp;"]"&amp;"|"&amp;$Q1986&amp;"|"&amp;$K1986&amp;"|"&amp;$G1986&amp;"|"&amp;IF($G1986="TX_CURR_SUBNAT.R","CY2022Q4",$M1986),"")</f>
        <v>[zphK9WV8JB4]|15-24|Male|TX_CURR_SUBNAT.T_1|CY2023Q3</v>
      </c>
    </row>
    <row r="1987" spans="4:18" x14ac:dyDescent="0.2">
      <c r="D1987" t="s">
        <v>52</v>
      </c>
      <c r="E1987" t="s">
        <v>53</v>
      </c>
      <c r="F1987" t="s">
        <v>54</v>
      </c>
      <c r="G1987" t="s">
        <v>145</v>
      </c>
      <c r="H1987" t="s">
        <v>146</v>
      </c>
      <c r="I1987" t="s">
        <v>40</v>
      </c>
      <c r="J1987" t="s">
        <v>41</v>
      </c>
      <c r="K1987" t="s">
        <v>47</v>
      </c>
      <c r="L1987" t="s">
        <v>48</v>
      </c>
      <c r="M1987" t="s">
        <v>139</v>
      </c>
      <c r="N1987">
        <v>1138</v>
      </c>
      <c r="O1987" s="14">
        <v>0.28811060450971099</v>
      </c>
      <c r="P1987" s="14">
        <v>0.61639246996492103</v>
      </c>
      <c r="Q1987" t="str">
        <f t="shared" si="62"/>
        <v>25-34</v>
      </c>
      <c r="R1987" t="str">
        <f t="shared" si="63"/>
        <v>[zphK9WV8JB4]|25-34|Male|TX_CURR_SUBNAT.T_1|CY2023Q3</v>
      </c>
    </row>
    <row r="1988" spans="4:18" x14ac:dyDescent="0.2">
      <c r="D1988" t="s">
        <v>52</v>
      </c>
      <c r="E1988" t="s">
        <v>53</v>
      </c>
      <c r="F1988" t="s">
        <v>54</v>
      </c>
      <c r="G1988" t="s">
        <v>145</v>
      </c>
      <c r="H1988" t="s">
        <v>146</v>
      </c>
      <c r="I1988" t="s">
        <v>42</v>
      </c>
      <c r="J1988" t="s">
        <v>43</v>
      </c>
      <c r="K1988" t="s">
        <v>47</v>
      </c>
      <c r="L1988" t="s">
        <v>48</v>
      </c>
      <c r="M1988" t="s">
        <v>139</v>
      </c>
      <c r="N1988">
        <v>1148</v>
      </c>
      <c r="O1988" s="14">
        <v>0.91809426620602597</v>
      </c>
      <c r="P1988" s="14">
        <v>0.61639246996492103</v>
      </c>
      <c r="Q1988" t="str">
        <f t="shared" si="62"/>
        <v>35-49</v>
      </c>
      <c r="R1988" t="str">
        <f t="shared" si="63"/>
        <v>[zphK9WV8JB4]|35-49|Male|TX_CURR_SUBNAT.T_1|CY2023Q3</v>
      </c>
    </row>
    <row r="1989" spans="4:18" x14ac:dyDescent="0.2">
      <c r="D1989" t="s">
        <v>52</v>
      </c>
      <c r="E1989" t="s">
        <v>53</v>
      </c>
      <c r="F1989" t="s">
        <v>54</v>
      </c>
      <c r="G1989" t="s">
        <v>145</v>
      </c>
      <c r="H1989" t="s">
        <v>146</v>
      </c>
      <c r="I1989" t="s">
        <v>44</v>
      </c>
      <c r="J1989" t="s">
        <v>45</v>
      </c>
      <c r="K1989" t="s">
        <v>47</v>
      </c>
      <c r="L1989" t="s">
        <v>48</v>
      </c>
      <c r="M1989" t="s">
        <v>139</v>
      </c>
      <c r="N1989">
        <v>1982</v>
      </c>
      <c r="O1989" s="14">
        <v>0.69551449851132896</v>
      </c>
      <c r="P1989" s="14">
        <v>0.61639246996492103</v>
      </c>
      <c r="Q1989" t="str">
        <f t="shared" si="62"/>
        <v>50+</v>
      </c>
      <c r="R1989" t="str">
        <f t="shared" si="63"/>
        <v>[zphK9WV8JB4]|50+|Male|TX_CURR_SUBNAT.T_1|CY2023Q3</v>
      </c>
    </row>
    <row r="1990" spans="4:18" x14ac:dyDescent="0.2">
      <c r="D1990" t="s">
        <v>59</v>
      </c>
      <c r="E1990" t="s">
        <v>60</v>
      </c>
      <c r="F1990" t="s">
        <v>61</v>
      </c>
      <c r="G1990" t="s">
        <v>145</v>
      </c>
      <c r="H1990" t="s">
        <v>146</v>
      </c>
      <c r="I1990" t="s">
        <v>27</v>
      </c>
      <c r="J1990" t="s">
        <v>28</v>
      </c>
      <c r="K1990" t="s">
        <v>29</v>
      </c>
      <c r="L1990" t="s">
        <v>30</v>
      </c>
      <c r="M1990" t="s">
        <v>139</v>
      </c>
      <c r="N1990">
        <v>1700</v>
      </c>
      <c r="O1990" s="14">
        <v>0.47451076237484802</v>
      </c>
      <c r="P1990" s="14">
        <v>2.6825056178495298E-2</v>
      </c>
      <c r="Q1990" t="str">
        <f t="shared" si="62"/>
        <v>&lt;01</v>
      </c>
      <c r="R1990" t="str">
        <f t="shared" si="63"/>
        <v>[msW2zpIN7up]|&lt;01|Female|TX_CURR_SUBNAT.T_1|CY2023Q3</v>
      </c>
    </row>
    <row r="1991" spans="4:18" x14ac:dyDescent="0.2">
      <c r="D1991" t="s">
        <v>59</v>
      </c>
      <c r="E1991" t="s">
        <v>60</v>
      </c>
      <c r="F1991" t="s">
        <v>61</v>
      </c>
      <c r="G1991" t="s">
        <v>145</v>
      </c>
      <c r="H1991" t="s">
        <v>146</v>
      </c>
      <c r="I1991" t="s">
        <v>32</v>
      </c>
      <c r="J1991" t="s">
        <v>33</v>
      </c>
      <c r="K1991" t="s">
        <v>29</v>
      </c>
      <c r="L1991" t="s">
        <v>30</v>
      </c>
      <c r="M1991" t="s">
        <v>139</v>
      </c>
      <c r="N1991">
        <v>1536</v>
      </c>
      <c r="O1991" s="14">
        <v>0.322032704018056</v>
      </c>
      <c r="P1991" s="14">
        <v>2.6825056178495298E-2</v>
      </c>
      <c r="Q1991" t="str">
        <f t="shared" si="62"/>
        <v>01-09</v>
      </c>
      <c r="R1991" t="str">
        <f t="shared" si="63"/>
        <v>[msW2zpIN7up]|01-09|Female|TX_CURR_SUBNAT.T_1|CY2023Q3</v>
      </c>
    </row>
    <row r="1992" spans="4:18" x14ac:dyDescent="0.2">
      <c r="D1992" t="s">
        <v>59</v>
      </c>
      <c r="E1992" t="s">
        <v>60</v>
      </c>
      <c r="F1992" t="s">
        <v>61</v>
      </c>
      <c r="G1992" t="s">
        <v>145</v>
      </c>
      <c r="H1992" t="s">
        <v>146</v>
      </c>
      <c r="I1992" t="s">
        <v>35</v>
      </c>
      <c r="J1992" t="s">
        <v>36</v>
      </c>
      <c r="K1992" t="s">
        <v>29</v>
      </c>
      <c r="L1992" t="s">
        <v>30</v>
      </c>
      <c r="M1992" t="s">
        <v>139</v>
      </c>
      <c r="N1992">
        <v>922</v>
      </c>
      <c r="O1992" s="14">
        <v>0.69240514724515401</v>
      </c>
      <c r="P1992" s="14">
        <v>2.6825056178495298E-2</v>
      </c>
      <c r="Q1992" t="str">
        <f t="shared" si="62"/>
        <v>10-14</v>
      </c>
      <c r="R1992" t="str">
        <f t="shared" si="63"/>
        <v>[msW2zpIN7up]|10-14|Female|TX_CURR_SUBNAT.T_1|CY2023Q3</v>
      </c>
    </row>
    <row r="1993" spans="4:18" x14ac:dyDescent="0.2">
      <c r="D1993" t="s">
        <v>59</v>
      </c>
      <c r="E1993" t="s">
        <v>60</v>
      </c>
      <c r="F1993" t="s">
        <v>61</v>
      </c>
      <c r="G1993" t="s">
        <v>145</v>
      </c>
      <c r="H1993" t="s">
        <v>146</v>
      </c>
      <c r="I1993" t="s">
        <v>37</v>
      </c>
      <c r="J1993" t="s">
        <v>38</v>
      </c>
      <c r="K1993" t="s">
        <v>29</v>
      </c>
      <c r="L1993" t="s">
        <v>30</v>
      </c>
      <c r="M1993" t="s">
        <v>139</v>
      </c>
      <c r="N1993">
        <v>1397</v>
      </c>
      <c r="O1993" s="14">
        <v>0.304976804880425</v>
      </c>
      <c r="P1993" s="14">
        <v>2.6825056178495298E-2</v>
      </c>
      <c r="Q1993" t="str">
        <f t="shared" si="62"/>
        <v>15-24</v>
      </c>
      <c r="R1993" t="str">
        <f t="shared" si="63"/>
        <v>[msW2zpIN7up]|15-24|Female|TX_CURR_SUBNAT.T_1|CY2023Q3</v>
      </c>
    </row>
    <row r="1994" spans="4:18" x14ac:dyDescent="0.2">
      <c r="D1994" t="s">
        <v>59</v>
      </c>
      <c r="E1994" t="s">
        <v>60</v>
      </c>
      <c r="F1994" t="s">
        <v>61</v>
      </c>
      <c r="G1994" t="s">
        <v>145</v>
      </c>
      <c r="H1994" t="s">
        <v>146</v>
      </c>
      <c r="I1994" t="s">
        <v>40</v>
      </c>
      <c r="J1994" t="s">
        <v>41</v>
      </c>
      <c r="K1994" t="s">
        <v>29</v>
      </c>
      <c r="L1994" t="s">
        <v>30</v>
      </c>
      <c r="M1994" t="s">
        <v>139</v>
      </c>
      <c r="N1994">
        <v>961</v>
      </c>
      <c r="O1994" s="14">
        <v>0.56094568339176498</v>
      </c>
      <c r="P1994" s="14">
        <v>2.6825056178495298E-2</v>
      </c>
      <c r="Q1994" t="str">
        <f t="shared" si="62"/>
        <v>25-34</v>
      </c>
      <c r="R1994" t="str">
        <f t="shared" si="63"/>
        <v>[msW2zpIN7up]|25-34|Female|TX_CURR_SUBNAT.T_1|CY2023Q3</v>
      </c>
    </row>
    <row r="1995" spans="4:18" x14ac:dyDescent="0.2">
      <c r="D1995" t="s">
        <v>59</v>
      </c>
      <c r="E1995" t="s">
        <v>60</v>
      </c>
      <c r="F1995" t="s">
        <v>61</v>
      </c>
      <c r="G1995" t="s">
        <v>145</v>
      </c>
      <c r="H1995" t="s">
        <v>146</v>
      </c>
      <c r="I1995" t="s">
        <v>42</v>
      </c>
      <c r="J1995" t="s">
        <v>43</v>
      </c>
      <c r="K1995" t="s">
        <v>29</v>
      </c>
      <c r="L1995" t="s">
        <v>30</v>
      </c>
      <c r="M1995" t="s">
        <v>139</v>
      </c>
      <c r="N1995">
        <v>1881</v>
      </c>
      <c r="O1995" s="14">
        <v>0.52884230855852399</v>
      </c>
      <c r="P1995" s="14">
        <v>2.6825056178495298E-2</v>
      </c>
      <c r="Q1995" t="str">
        <f t="shared" si="62"/>
        <v>35-49</v>
      </c>
      <c r="R1995" t="str">
        <f t="shared" si="63"/>
        <v>[msW2zpIN7up]|35-49|Female|TX_CURR_SUBNAT.T_1|CY2023Q3</v>
      </c>
    </row>
    <row r="1996" spans="4:18" x14ac:dyDescent="0.2">
      <c r="D1996" t="s">
        <v>59</v>
      </c>
      <c r="E1996" t="s">
        <v>60</v>
      </c>
      <c r="F1996" t="s">
        <v>61</v>
      </c>
      <c r="G1996" t="s">
        <v>145</v>
      </c>
      <c r="H1996" t="s">
        <v>146</v>
      </c>
      <c r="I1996" t="s">
        <v>44</v>
      </c>
      <c r="J1996" t="s">
        <v>45</v>
      </c>
      <c r="K1996" t="s">
        <v>29</v>
      </c>
      <c r="L1996" t="s">
        <v>30</v>
      </c>
      <c r="M1996" t="s">
        <v>139</v>
      </c>
      <c r="N1996">
        <v>1509</v>
      </c>
      <c r="O1996" s="14">
        <v>0.52587624802254096</v>
      </c>
      <c r="P1996" s="14">
        <v>2.6825056178495298E-2</v>
      </c>
      <c r="Q1996" t="str">
        <f t="shared" si="62"/>
        <v>50+</v>
      </c>
      <c r="R1996" t="str">
        <f t="shared" si="63"/>
        <v>[msW2zpIN7up]|50+|Female|TX_CURR_SUBNAT.T_1|CY2023Q3</v>
      </c>
    </row>
    <row r="1997" spans="4:18" x14ac:dyDescent="0.2">
      <c r="D1997" t="s">
        <v>59</v>
      </c>
      <c r="E1997" t="s">
        <v>60</v>
      </c>
      <c r="F1997" t="s">
        <v>61</v>
      </c>
      <c r="G1997" t="s">
        <v>145</v>
      </c>
      <c r="H1997" t="s">
        <v>146</v>
      </c>
      <c r="I1997" t="s">
        <v>27</v>
      </c>
      <c r="J1997" t="s">
        <v>28</v>
      </c>
      <c r="K1997" t="s">
        <v>47</v>
      </c>
      <c r="L1997" t="s">
        <v>48</v>
      </c>
      <c r="M1997" t="s">
        <v>139</v>
      </c>
      <c r="N1997">
        <v>1129</v>
      </c>
      <c r="O1997" s="14">
        <v>0.74774843500927102</v>
      </c>
      <c r="P1997" s="14">
        <v>2.6825056178495298E-2</v>
      </c>
      <c r="Q1997" t="str">
        <f t="shared" si="62"/>
        <v>&lt;01</v>
      </c>
      <c r="R1997" t="str">
        <f t="shared" si="63"/>
        <v>[msW2zpIN7up]|&lt;01|Male|TX_CURR_SUBNAT.T_1|CY2023Q3</v>
      </c>
    </row>
    <row r="1998" spans="4:18" x14ac:dyDescent="0.2">
      <c r="D1998" t="s">
        <v>59</v>
      </c>
      <c r="E1998" t="s">
        <v>60</v>
      </c>
      <c r="F1998" t="s">
        <v>61</v>
      </c>
      <c r="G1998" t="s">
        <v>145</v>
      </c>
      <c r="H1998" t="s">
        <v>146</v>
      </c>
      <c r="I1998" t="s">
        <v>32</v>
      </c>
      <c r="J1998" t="s">
        <v>33</v>
      </c>
      <c r="K1998" t="s">
        <v>47</v>
      </c>
      <c r="L1998" t="s">
        <v>48</v>
      </c>
      <c r="M1998" t="s">
        <v>139</v>
      </c>
      <c r="N1998">
        <v>1377</v>
      </c>
      <c r="O1998" s="14">
        <v>0.31742335599847099</v>
      </c>
      <c r="P1998" s="14">
        <v>2.6825056178495298E-2</v>
      </c>
      <c r="Q1998" t="str">
        <f t="shared" si="62"/>
        <v>01-09</v>
      </c>
      <c r="R1998" t="str">
        <f t="shared" si="63"/>
        <v>[msW2zpIN7up]|01-09|Male|TX_CURR_SUBNAT.T_1|CY2023Q3</v>
      </c>
    </row>
    <row r="1999" spans="4:18" x14ac:dyDescent="0.2">
      <c r="D1999" t="s">
        <v>59</v>
      </c>
      <c r="E1999" t="s">
        <v>60</v>
      </c>
      <c r="F1999" t="s">
        <v>61</v>
      </c>
      <c r="G1999" t="s">
        <v>145</v>
      </c>
      <c r="H1999" t="s">
        <v>146</v>
      </c>
      <c r="I1999" t="s">
        <v>35</v>
      </c>
      <c r="J1999" t="s">
        <v>36</v>
      </c>
      <c r="K1999" t="s">
        <v>47</v>
      </c>
      <c r="L1999" t="s">
        <v>48</v>
      </c>
      <c r="M1999" t="s">
        <v>139</v>
      </c>
      <c r="N1999">
        <v>855</v>
      </c>
      <c r="O1999" s="14">
        <v>0.54717067303136002</v>
      </c>
      <c r="P1999" s="14">
        <v>2.6825056178495298E-2</v>
      </c>
      <c r="Q1999" t="str">
        <f t="shared" si="62"/>
        <v>10-14</v>
      </c>
      <c r="R1999" t="str">
        <f t="shared" si="63"/>
        <v>[msW2zpIN7up]|10-14|Male|TX_CURR_SUBNAT.T_1|CY2023Q3</v>
      </c>
    </row>
    <row r="2000" spans="4:18" x14ac:dyDescent="0.2">
      <c r="D2000" t="s">
        <v>59</v>
      </c>
      <c r="E2000" t="s">
        <v>60</v>
      </c>
      <c r="F2000" t="s">
        <v>61</v>
      </c>
      <c r="G2000" t="s">
        <v>145</v>
      </c>
      <c r="H2000" t="s">
        <v>146</v>
      </c>
      <c r="I2000" t="s">
        <v>37</v>
      </c>
      <c r="J2000" t="s">
        <v>38</v>
      </c>
      <c r="K2000" t="s">
        <v>47</v>
      </c>
      <c r="L2000" t="s">
        <v>48</v>
      </c>
      <c r="M2000" t="s">
        <v>139</v>
      </c>
      <c r="N2000">
        <v>1301</v>
      </c>
      <c r="O2000" s="14">
        <v>0.85622565634548697</v>
      </c>
      <c r="P2000" s="14">
        <v>2.6825056178495298E-2</v>
      </c>
      <c r="Q2000" t="str">
        <f t="shared" si="62"/>
        <v>15-24</v>
      </c>
      <c r="R2000" t="str">
        <f t="shared" si="63"/>
        <v>[msW2zpIN7up]|15-24|Male|TX_CURR_SUBNAT.T_1|CY2023Q3</v>
      </c>
    </row>
    <row r="2001" spans="4:18" x14ac:dyDescent="0.2">
      <c r="D2001" t="s">
        <v>59</v>
      </c>
      <c r="E2001" t="s">
        <v>60</v>
      </c>
      <c r="F2001" t="s">
        <v>61</v>
      </c>
      <c r="G2001" t="s">
        <v>145</v>
      </c>
      <c r="H2001" t="s">
        <v>146</v>
      </c>
      <c r="I2001" t="s">
        <v>40</v>
      </c>
      <c r="J2001" t="s">
        <v>41</v>
      </c>
      <c r="K2001" t="s">
        <v>47</v>
      </c>
      <c r="L2001" t="s">
        <v>48</v>
      </c>
      <c r="M2001" t="s">
        <v>139</v>
      </c>
      <c r="N2001">
        <v>1135</v>
      </c>
      <c r="O2001" s="14">
        <v>0.50273936428129695</v>
      </c>
      <c r="P2001" s="14">
        <v>2.6825056178495298E-2</v>
      </c>
      <c r="Q2001" t="str">
        <f t="shared" si="62"/>
        <v>25-34</v>
      </c>
      <c r="R2001" t="str">
        <f t="shared" si="63"/>
        <v>[msW2zpIN7up]|25-34|Male|TX_CURR_SUBNAT.T_1|CY2023Q3</v>
      </c>
    </row>
    <row r="2002" spans="4:18" x14ac:dyDescent="0.2">
      <c r="D2002" t="s">
        <v>59</v>
      </c>
      <c r="E2002" t="s">
        <v>60</v>
      </c>
      <c r="F2002" t="s">
        <v>61</v>
      </c>
      <c r="G2002" t="s">
        <v>145</v>
      </c>
      <c r="H2002" t="s">
        <v>146</v>
      </c>
      <c r="I2002" t="s">
        <v>42</v>
      </c>
      <c r="J2002" t="s">
        <v>43</v>
      </c>
      <c r="K2002" t="s">
        <v>47</v>
      </c>
      <c r="L2002" t="s">
        <v>48</v>
      </c>
      <c r="M2002" t="s">
        <v>139</v>
      </c>
      <c r="N2002">
        <v>1942</v>
      </c>
      <c r="O2002" s="14">
        <v>0.69288524589501299</v>
      </c>
      <c r="P2002" s="14">
        <v>2.6825056178495298E-2</v>
      </c>
      <c r="Q2002" t="str">
        <f t="shared" si="62"/>
        <v>35-49</v>
      </c>
      <c r="R2002" t="str">
        <f t="shared" si="63"/>
        <v>[msW2zpIN7up]|35-49|Male|TX_CURR_SUBNAT.T_1|CY2023Q3</v>
      </c>
    </row>
    <row r="2003" spans="4:18" x14ac:dyDescent="0.2">
      <c r="D2003" t="s">
        <v>59</v>
      </c>
      <c r="E2003" t="s">
        <v>60</v>
      </c>
      <c r="F2003" t="s">
        <v>61</v>
      </c>
      <c r="G2003" t="s">
        <v>145</v>
      </c>
      <c r="H2003" t="s">
        <v>146</v>
      </c>
      <c r="I2003" t="s">
        <v>44</v>
      </c>
      <c r="J2003" t="s">
        <v>45</v>
      </c>
      <c r="K2003" t="s">
        <v>47</v>
      </c>
      <c r="L2003" t="s">
        <v>48</v>
      </c>
      <c r="M2003" t="s">
        <v>139</v>
      </c>
      <c r="N2003">
        <v>1636</v>
      </c>
      <c r="O2003" s="14">
        <v>0.48770614317618299</v>
      </c>
      <c r="P2003" s="14">
        <v>2.6825056178495298E-2</v>
      </c>
      <c r="Q2003" t="str">
        <f t="shared" si="62"/>
        <v>50+</v>
      </c>
      <c r="R2003" t="str">
        <f t="shared" si="63"/>
        <v>[msW2zpIN7up]|50+|Male|TX_CURR_SUBNAT.T_1|CY2023Q3</v>
      </c>
    </row>
    <row r="2004" spans="4:18" x14ac:dyDescent="0.2">
      <c r="D2004" t="s">
        <v>62</v>
      </c>
      <c r="E2004" t="s">
        <v>63</v>
      </c>
      <c r="F2004" t="s">
        <v>64</v>
      </c>
      <c r="G2004" t="s">
        <v>145</v>
      </c>
      <c r="H2004" t="s">
        <v>146</v>
      </c>
      <c r="I2004" t="s">
        <v>27</v>
      </c>
      <c r="J2004" t="s">
        <v>28</v>
      </c>
      <c r="K2004" t="s">
        <v>29</v>
      </c>
      <c r="L2004" t="s">
        <v>30</v>
      </c>
      <c r="M2004" t="s">
        <v>139</v>
      </c>
      <c r="N2004">
        <v>741</v>
      </c>
      <c r="O2004" s="14">
        <v>0.53902772814035405</v>
      </c>
      <c r="P2004" s="14">
        <v>0.790102193132043</v>
      </c>
      <c r="Q2004" t="str">
        <f t="shared" si="62"/>
        <v>&lt;01</v>
      </c>
      <c r="R2004" t="str">
        <f t="shared" si="63"/>
        <v>[kxuuIFpOXyO]|&lt;01|Female|TX_CURR_SUBNAT.T_1|CY2023Q3</v>
      </c>
    </row>
    <row r="2005" spans="4:18" x14ac:dyDescent="0.2">
      <c r="D2005" t="s">
        <v>62</v>
      </c>
      <c r="E2005" t="s">
        <v>63</v>
      </c>
      <c r="F2005" t="s">
        <v>64</v>
      </c>
      <c r="G2005" t="s">
        <v>145</v>
      </c>
      <c r="H2005" t="s">
        <v>146</v>
      </c>
      <c r="I2005" t="s">
        <v>32</v>
      </c>
      <c r="J2005" t="s">
        <v>33</v>
      </c>
      <c r="K2005" t="s">
        <v>29</v>
      </c>
      <c r="L2005" t="s">
        <v>30</v>
      </c>
      <c r="M2005" t="s">
        <v>139</v>
      </c>
      <c r="N2005">
        <v>1318</v>
      </c>
      <c r="O2005" s="14">
        <v>0.60896310466341697</v>
      </c>
      <c r="P2005" s="14">
        <v>0.790102193132043</v>
      </c>
      <c r="Q2005" t="str">
        <f t="shared" si="62"/>
        <v>01-09</v>
      </c>
      <c r="R2005" t="str">
        <f t="shared" si="63"/>
        <v>[kxuuIFpOXyO]|01-09|Female|TX_CURR_SUBNAT.T_1|CY2023Q3</v>
      </c>
    </row>
    <row r="2006" spans="4:18" x14ac:dyDescent="0.2">
      <c r="D2006" t="s">
        <v>62</v>
      </c>
      <c r="E2006" t="s">
        <v>63</v>
      </c>
      <c r="F2006" t="s">
        <v>64</v>
      </c>
      <c r="G2006" t="s">
        <v>145</v>
      </c>
      <c r="H2006" t="s">
        <v>146</v>
      </c>
      <c r="I2006" t="s">
        <v>35</v>
      </c>
      <c r="J2006" t="s">
        <v>36</v>
      </c>
      <c r="K2006" t="s">
        <v>29</v>
      </c>
      <c r="L2006" t="s">
        <v>30</v>
      </c>
      <c r="M2006" t="s">
        <v>139</v>
      </c>
      <c r="N2006">
        <v>851</v>
      </c>
      <c r="O2006" s="14">
        <v>0.76249250024557103</v>
      </c>
      <c r="P2006" s="14">
        <v>0.790102193132043</v>
      </c>
      <c r="Q2006" t="str">
        <f t="shared" si="62"/>
        <v>10-14</v>
      </c>
      <c r="R2006" t="str">
        <f t="shared" si="63"/>
        <v>[kxuuIFpOXyO]|10-14|Female|TX_CURR_SUBNAT.T_1|CY2023Q3</v>
      </c>
    </row>
    <row r="2007" spans="4:18" x14ac:dyDescent="0.2">
      <c r="D2007" t="s">
        <v>62</v>
      </c>
      <c r="E2007" t="s">
        <v>63</v>
      </c>
      <c r="F2007" t="s">
        <v>64</v>
      </c>
      <c r="G2007" t="s">
        <v>145</v>
      </c>
      <c r="H2007" t="s">
        <v>146</v>
      </c>
      <c r="I2007" t="s">
        <v>37</v>
      </c>
      <c r="J2007" t="s">
        <v>38</v>
      </c>
      <c r="K2007" t="s">
        <v>29</v>
      </c>
      <c r="L2007" t="s">
        <v>30</v>
      </c>
      <c r="M2007" t="s">
        <v>139</v>
      </c>
      <c r="N2007">
        <v>647</v>
      </c>
      <c r="O2007" s="14">
        <v>0.53162477654404905</v>
      </c>
      <c r="P2007" s="14">
        <v>0.790102193132043</v>
      </c>
      <c r="Q2007" t="str">
        <f t="shared" si="62"/>
        <v>15-24</v>
      </c>
      <c r="R2007" t="str">
        <f t="shared" si="63"/>
        <v>[kxuuIFpOXyO]|15-24|Female|TX_CURR_SUBNAT.T_1|CY2023Q3</v>
      </c>
    </row>
    <row r="2008" spans="4:18" x14ac:dyDescent="0.2">
      <c r="D2008" t="s">
        <v>62</v>
      </c>
      <c r="E2008" t="s">
        <v>63</v>
      </c>
      <c r="F2008" t="s">
        <v>64</v>
      </c>
      <c r="G2008" t="s">
        <v>145</v>
      </c>
      <c r="H2008" t="s">
        <v>146</v>
      </c>
      <c r="I2008" t="s">
        <v>40</v>
      </c>
      <c r="J2008" t="s">
        <v>41</v>
      </c>
      <c r="K2008" t="s">
        <v>29</v>
      </c>
      <c r="L2008" t="s">
        <v>30</v>
      </c>
      <c r="M2008" t="s">
        <v>139</v>
      </c>
      <c r="N2008">
        <v>1943</v>
      </c>
      <c r="O2008" s="14">
        <v>0.68804894457571197</v>
      </c>
      <c r="P2008" s="14">
        <v>0.790102193132043</v>
      </c>
      <c r="Q2008" t="str">
        <f t="shared" si="62"/>
        <v>25-34</v>
      </c>
      <c r="R2008" t="str">
        <f t="shared" si="63"/>
        <v>[kxuuIFpOXyO]|25-34|Female|TX_CURR_SUBNAT.T_1|CY2023Q3</v>
      </c>
    </row>
    <row r="2009" spans="4:18" x14ac:dyDescent="0.2">
      <c r="D2009" t="s">
        <v>62</v>
      </c>
      <c r="E2009" t="s">
        <v>63</v>
      </c>
      <c r="F2009" t="s">
        <v>64</v>
      </c>
      <c r="G2009" t="s">
        <v>145</v>
      </c>
      <c r="H2009" t="s">
        <v>146</v>
      </c>
      <c r="I2009" t="s">
        <v>42</v>
      </c>
      <c r="J2009" t="s">
        <v>43</v>
      </c>
      <c r="K2009" t="s">
        <v>29</v>
      </c>
      <c r="L2009" t="s">
        <v>30</v>
      </c>
      <c r="M2009" t="s">
        <v>139</v>
      </c>
      <c r="N2009">
        <v>1767</v>
      </c>
      <c r="O2009" s="14">
        <v>0.917350432602689</v>
      </c>
      <c r="P2009" s="14">
        <v>0.790102193132043</v>
      </c>
      <c r="Q2009" t="str">
        <f t="shared" si="62"/>
        <v>35-49</v>
      </c>
      <c r="R2009" t="str">
        <f t="shared" si="63"/>
        <v>[kxuuIFpOXyO]|35-49|Female|TX_CURR_SUBNAT.T_1|CY2023Q3</v>
      </c>
    </row>
    <row r="2010" spans="4:18" x14ac:dyDescent="0.2">
      <c r="D2010" t="s">
        <v>62</v>
      </c>
      <c r="E2010" t="s">
        <v>63</v>
      </c>
      <c r="F2010" t="s">
        <v>64</v>
      </c>
      <c r="G2010" t="s">
        <v>145</v>
      </c>
      <c r="H2010" t="s">
        <v>146</v>
      </c>
      <c r="I2010" t="s">
        <v>44</v>
      </c>
      <c r="J2010" t="s">
        <v>45</v>
      </c>
      <c r="K2010" t="s">
        <v>29</v>
      </c>
      <c r="L2010" t="s">
        <v>30</v>
      </c>
      <c r="M2010" t="s">
        <v>139</v>
      </c>
      <c r="N2010">
        <v>1686</v>
      </c>
      <c r="O2010" s="14">
        <v>0.70652566500939395</v>
      </c>
      <c r="P2010" s="14">
        <v>0.790102193132043</v>
      </c>
      <c r="Q2010" t="str">
        <f t="shared" si="62"/>
        <v>50+</v>
      </c>
      <c r="R2010" t="str">
        <f t="shared" si="63"/>
        <v>[kxuuIFpOXyO]|50+|Female|TX_CURR_SUBNAT.T_1|CY2023Q3</v>
      </c>
    </row>
    <row r="2011" spans="4:18" x14ac:dyDescent="0.2">
      <c r="D2011" t="s">
        <v>62</v>
      </c>
      <c r="E2011" t="s">
        <v>63</v>
      </c>
      <c r="F2011" t="s">
        <v>64</v>
      </c>
      <c r="G2011" t="s">
        <v>145</v>
      </c>
      <c r="H2011" t="s">
        <v>146</v>
      </c>
      <c r="I2011" t="s">
        <v>27</v>
      </c>
      <c r="J2011" t="s">
        <v>28</v>
      </c>
      <c r="K2011" t="s">
        <v>47</v>
      </c>
      <c r="L2011" t="s">
        <v>48</v>
      </c>
      <c r="M2011" t="s">
        <v>139</v>
      </c>
      <c r="N2011">
        <v>742</v>
      </c>
      <c r="O2011" s="14">
        <v>0.54907775158062599</v>
      </c>
      <c r="P2011" s="14">
        <v>0.790102193132043</v>
      </c>
      <c r="Q2011" t="str">
        <f t="shared" si="62"/>
        <v>&lt;01</v>
      </c>
      <c r="R2011" t="str">
        <f t="shared" si="63"/>
        <v>[kxuuIFpOXyO]|&lt;01|Male|TX_CURR_SUBNAT.T_1|CY2023Q3</v>
      </c>
    </row>
    <row r="2012" spans="4:18" x14ac:dyDescent="0.2">
      <c r="D2012" t="s">
        <v>62</v>
      </c>
      <c r="E2012" t="s">
        <v>63</v>
      </c>
      <c r="F2012" t="s">
        <v>64</v>
      </c>
      <c r="G2012" t="s">
        <v>145</v>
      </c>
      <c r="H2012" t="s">
        <v>146</v>
      </c>
      <c r="I2012" t="s">
        <v>32</v>
      </c>
      <c r="J2012" t="s">
        <v>33</v>
      </c>
      <c r="K2012" t="s">
        <v>47</v>
      </c>
      <c r="L2012" t="s">
        <v>48</v>
      </c>
      <c r="M2012" t="s">
        <v>139</v>
      </c>
      <c r="N2012">
        <v>1923</v>
      </c>
      <c r="O2012" s="14">
        <v>0.81182205653749395</v>
      </c>
      <c r="P2012" s="14">
        <v>0.790102193132043</v>
      </c>
      <c r="Q2012" t="str">
        <f t="shared" si="62"/>
        <v>01-09</v>
      </c>
      <c r="R2012" t="str">
        <f t="shared" si="63"/>
        <v>[kxuuIFpOXyO]|01-09|Male|TX_CURR_SUBNAT.T_1|CY2023Q3</v>
      </c>
    </row>
    <row r="2013" spans="4:18" x14ac:dyDescent="0.2">
      <c r="D2013" t="s">
        <v>62</v>
      </c>
      <c r="E2013" t="s">
        <v>63</v>
      </c>
      <c r="F2013" t="s">
        <v>64</v>
      </c>
      <c r="G2013" t="s">
        <v>145</v>
      </c>
      <c r="H2013" t="s">
        <v>146</v>
      </c>
      <c r="I2013" t="s">
        <v>35</v>
      </c>
      <c r="J2013" t="s">
        <v>36</v>
      </c>
      <c r="K2013" t="s">
        <v>47</v>
      </c>
      <c r="L2013" t="s">
        <v>48</v>
      </c>
      <c r="M2013" t="s">
        <v>139</v>
      </c>
      <c r="N2013">
        <v>1262</v>
      </c>
      <c r="O2013" s="14">
        <v>0.886094675865024</v>
      </c>
      <c r="P2013" s="14">
        <v>0.790102193132043</v>
      </c>
      <c r="Q2013" t="str">
        <f t="shared" si="62"/>
        <v>10-14</v>
      </c>
      <c r="R2013" t="str">
        <f t="shared" si="63"/>
        <v>[kxuuIFpOXyO]|10-14|Male|TX_CURR_SUBNAT.T_1|CY2023Q3</v>
      </c>
    </row>
    <row r="2014" spans="4:18" x14ac:dyDescent="0.2">
      <c r="D2014" t="s">
        <v>62</v>
      </c>
      <c r="E2014" t="s">
        <v>63</v>
      </c>
      <c r="F2014" t="s">
        <v>64</v>
      </c>
      <c r="G2014" t="s">
        <v>145</v>
      </c>
      <c r="H2014" t="s">
        <v>146</v>
      </c>
      <c r="I2014" t="s">
        <v>37</v>
      </c>
      <c r="J2014" t="s">
        <v>38</v>
      </c>
      <c r="K2014" t="s">
        <v>47</v>
      </c>
      <c r="L2014" t="s">
        <v>48</v>
      </c>
      <c r="M2014" t="s">
        <v>139</v>
      </c>
      <c r="N2014">
        <v>1632</v>
      </c>
      <c r="O2014" s="14">
        <v>9.1679660370573401E-2</v>
      </c>
      <c r="P2014" s="14">
        <v>0.790102193132043</v>
      </c>
      <c r="Q2014" t="str">
        <f t="shared" si="62"/>
        <v>15-24</v>
      </c>
      <c r="R2014" t="str">
        <f t="shared" si="63"/>
        <v>[kxuuIFpOXyO]|15-24|Male|TX_CURR_SUBNAT.T_1|CY2023Q3</v>
      </c>
    </row>
    <row r="2015" spans="4:18" x14ac:dyDescent="0.2">
      <c r="D2015" t="s">
        <v>62</v>
      </c>
      <c r="E2015" t="s">
        <v>63</v>
      </c>
      <c r="F2015" t="s">
        <v>64</v>
      </c>
      <c r="G2015" t="s">
        <v>145</v>
      </c>
      <c r="H2015" t="s">
        <v>146</v>
      </c>
      <c r="I2015" t="s">
        <v>40</v>
      </c>
      <c r="J2015" t="s">
        <v>41</v>
      </c>
      <c r="K2015" t="s">
        <v>47</v>
      </c>
      <c r="L2015" t="s">
        <v>48</v>
      </c>
      <c r="M2015" t="s">
        <v>139</v>
      </c>
      <c r="N2015">
        <v>890</v>
      </c>
      <c r="O2015" s="14">
        <v>0.207951349904761</v>
      </c>
      <c r="P2015" s="14">
        <v>0.790102193132043</v>
      </c>
      <c r="Q2015" t="str">
        <f t="shared" si="62"/>
        <v>25-34</v>
      </c>
      <c r="R2015" t="str">
        <f t="shared" si="63"/>
        <v>[kxuuIFpOXyO]|25-34|Male|TX_CURR_SUBNAT.T_1|CY2023Q3</v>
      </c>
    </row>
    <row r="2016" spans="4:18" x14ac:dyDescent="0.2">
      <c r="D2016" t="s">
        <v>62</v>
      </c>
      <c r="E2016" t="s">
        <v>63</v>
      </c>
      <c r="F2016" t="s">
        <v>64</v>
      </c>
      <c r="G2016" t="s">
        <v>145</v>
      </c>
      <c r="H2016" t="s">
        <v>146</v>
      </c>
      <c r="I2016" t="s">
        <v>42</v>
      </c>
      <c r="J2016" t="s">
        <v>43</v>
      </c>
      <c r="K2016" t="s">
        <v>47</v>
      </c>
      <c r="L2016" t="s">
        <v>48</v>
      </c>
      <c r="M2016" t="s">
        <v>139</v>
      </c>
      <c r="N2016">
        <v>956</v>
      </c>
      <c r="O2016" s="14">
        <v>0.72680183779448304</v>
      </c>
      <c r="P2016" s="14">
        <v>0.790102193132043</v>
      </c>
      <c r="Q2016" t="str">
        <f t="shared" si="62"/>
        <v>35-49</v>
      </c>
      <c r="R2016" t="str">
        <f t="shared" si="63"/>
        <v>[kxuuIFpOXyO]|35-49|Male|TX_CURR_SUBNAT.T_1|CY2023Q3</v>
      </c>
    </row>
    <row r="2017" spans="4:18" x14ac:dyDescent="0.2">
      <c r="D2017" t="s">
        <v>62</v>
      </c>
      <c r="E2017" t="s">
        <v>63</v>
      </c>
      <c r="F2017" t="s">
        <v>64</v>
      </c>
      <c r="G2017" t="s">
        <v>145</v>
      </c>
      <c r="H2017" t="s">
        <v>146</v>
      </c>
      <c r="I2017" t="s">
        <v>44</v>
      </c>
      <c r="J2017" t="s">
        <v>45</v>
      </c>
      <c r="K2017" t="s">
        <v>47</v>
      </c>
      <c r="L2017" t="s">
        <v>48</v>
      </c>
      <c r="M2017" t="s">
        <v>139</v>
      </c>
      <c r="N2017">
        <v>1458</v>
      </c>
      <c r="O2017" s="14">
        <v>0.65168441133573696</v>
      </c>
      <c r="P2017" s="14">
        <v>0.790102193132043</v>
      </c>
      <c r="Q2017" t="str">
        <f t="shared" si="62"/>
        <v>50+</v>
      </c>
      <c r="R2017" t="str">
        <f t="shared" si="63"/>
        <v>[kxuuIFpOXyO]|50+|Male|TX_CURR_SUBNAT.T_1|CY2023Q3</v>
      </c>
    </row>
    <row r="2018" spans="4:18" x14ac:dyDescent="0.2">
      <c r="D2018" t="s">
        <v>65</v>
      </c>
      <c r="E2018" t="s">
        <v>66</v>
      </c>
      <c r="F2018" t="s">
        <v>67</v>
      </c>
      <c r="G2018" t="s">
        <v>145</v>
      </c>
      <c r="H2018" t="s">
        <v>146</v>
      </c>
      <c r="I2018" t="s">
        <v>27</v>
      </c>
      <c r="J2018" t="s">
        <v>28</v>
      </c>
      <c r="K2018" t="s">
        <v>29</v>
      </c>
      <c r="L2018" t="s">
        <v>30</v>
      </c>
      <c r="M2018" t="s">
        <v>139</v>
      </c>
      <c r="N2018">
        <v>1384</v>
      </c>
      <c r="O2018" s="14">
        <v>0.61194271268323097</v>
      </c>
      <c r="P2018" s="14">
        <v>0.16460988437756899</v>
      </c>
      <c r="Q2018" t="str">
        <f t="shared" si="62"/>
        <v>&lt;01</v>
      </c>
      <c r="R2018" t="str">
        <f t="shared" si="63"/>
        <v>[ScR9iFKAasW]|&lt;01|Female|TX_CURR_SUBNAT.T_1|CY2023Q3</v>
      </c>
    </row>
    <row r="2019" spans="4:18" x14ac:dyDescent="0.2">
      <c r="D2019" t="s">
        <v>65</v>
      </c>
      <c r="E2019" t="s">
        <v>66</v>
      </c>
      <c r="F2019" t="s">
        <v>67</v>
      </c>
      <c r="G2019" t="s">
        <v>145</v>
      </c>
      <c r="H2019" t="s">
        <v>146</v>
      </c>
      <c r="I2019" t="s">
        <v>32</v>
      </c>
      <c r="J2019" t="s">
        <v>33</v>
      </c>
      <c r="K2019" t="s">
        <v>29</v>
      </c>
      <c r="L2019" t="s">
        <v>30</v>
      </c>
      <c r="M2019" t="s">
        <v>139</v>
      </c>
      <c r="N2019">
        <v>1259</v>
      </c>
      <c r="O2019" s="14">
        <v>0.61681709159165599</v>
      </c>
      <c r="P2019" s="14">
        <v>0.16460988437756899</v>
      </c>
      <c r="Q2019" t="str">
        <f t="shared" si="62"/>
        <v>01-09</v>
      </c>
      <c r="R2019" t="str">
        <f t="shared" si="63"/>
        <v>[ScR9iFKAasW]|01-09|Female|TX_CURR_SUBNAT.T_1|CY2023Q3</v>
      </c>
    </row>
    <row r="2020" spans="4:18" x14ac:dyDescent="0.2">
      <c r="D2020" t="s">
        <v>65</v>
      </c>
      <c r="E2020" t="s">
        <v>66</v>
      </c>
      <c r="F2020" t="s">
        <v>67</v>
      </c>
      <c r="G2020" t="s">
        <v>145</v>
      </c>
      <c r="H2020" t="s">
        <v>146</v>
      </c>
      <c r="I2020" t="s">
        <v>35</v>
      </c>
      <c r="J2020" t="s">
        <v>36</v>
      </c>
      <c r="K2020" t="s">
        <v>29</v>
      </c>
      <c r="L2020" t="s">
        <v>30</v>
      </c>
      <c r="M2020" t="s">
        <v>139</v>
      </c>
      <c r="N2020">
        <v>1466</v>
      </c>
      <c r="O2020" s="14">
        <v>0.30121500929817602</v>
      </c>
      <c r="P2020" s="14">
        <v>0.16460988437756899</v>
      </c>
      <c r="Q2020" t="str">
        <f t="shared" si="62"/>
        <v>10-14</v>
      </c>
      <c r="R2020" t="str">
        <f t="shared" si="63"/>
        <v>[ScR9iFKAasW]|10-14|Female|TX_CURR_SUBNAT.T_1|CY2023Q3</v>
      </c>
    </row>
    <row r="2021" spans="4:18" x14ac:dyDescent="0.2">
      <c r="D2021" t="s">
        <v>65</v>
      </c>
      <c r="E2021" t="s">
        <v>66</v>
      </c>
      <c r="F2021" t="s">
        <v>67</v>
      </c>
      <c r="G2021" t="s">
        <v>145</v>
      </c>
      <c r="H2021" t="s">
        <v>146</v>
      </c>
      <c r="I2021" t="s">
        <v>37</v>
      </c>
      <c r="J2021" t="s">
        <v>38</v>
      </c>
      <c r="K2021" t="s">
        <v>29</v>
      </c>
      <c r="L2021" t="s">
        <v>30</v>
      </c>
      <c r="M2021" t="s">
        <v>139</v>
      </c>
      <c r="N2021">
        <v>563</v>
      </c>
      <c r="O2021" s="14">
        <v>0.16784974280744799</v>
      </c>
      <c r="P2021" s="14">
        <v>0.16460988437756899</v>
      </c>
      <c r="Q2021" t="str">
        <f t="shared" si="62"/>
        <v>15-24</v>
      </c>
      <c r="R2021" t="str">
        <f t="shared" si="63"/>
        <v>[ScR9iFKAasW]|15-24|Female|TX_CURR_SUBNAT.T_1|CY2023Q3</v>
      </c>
    </row>
    <row r="2022" spans="4:18" x14ac:dyDescent="0.2">
      <c r="D2022" t="s">
        <v>65</v>
      </c>
      <c r="E2022" t="s">
        <v>66</v>
      </c>
      <c r="F2022" t="s">
        <v>67</v>
      </c>
      <c r="G2022" t="s">
        <v>145</v>
      </c>
      <c r="H2022" t="s">
        <v>146</v>
      </c>
      <c r="I2022" t="s">
        <v>40</v>
      </c>
      <c r="J2022" t="s">
        <v>41</v>
      </c>
      <c r="K2022" t="s">
        <v>29</v>
      </c>
      <c r="L2022" t="s">
        <v>30</v>
      </c>
      <c r="M2022" t="s">
        <v>139</v>
      </c>
      <c r="N2022">
        <v>1500</v>
      </c>
      <c r="O2022" s="14">
        <v>0.73939779005013395</v>
      </c>
      <c r="P2022" s="14">
        <v>0.16460988437756899</v>
      </c>
      <c r="Q2022" t="str">
        <f t="shared" si="62"/>
        <v>25-34</v>
      </c>
      <c r="R2022" t="str">
        <f t="shared" si="63"/>
        <v>[ScR9iFKAasW]|25-34|Female|TX_CURR_SUBNAT.T_1|CY2023Q3</v>
      </c>
    </row>
    <row r="2023" spans="4:18" x14ac:dyDescent="0.2">
      <c r="D2023" t="s">
        <v>65</v>
      </c>
      <c r="E2023" t="s">
        <v>66</v>
      </c>
      <c r="F2023" t="s">
        <v>67</v>
      </c>
      <c r="G2023" t="s">
        <v>145</v>
      </c>
      <c r="H2023" t="s">
        <v>146</v>
      </c>
      <c r="I2023" t="s">
        <v>42</v>
      </c>
      <c r="J2023" t="s">
        <v>43</v>
      </c>
      <c r="K2023" t="s">
        <v>29</v>
      </c>
      <c r="L2023" t="s">
        <v>30</v>
      </c>
      <c r="M2023" t="s">
        <v>139</v>
      </c>
      <c r="N2023">
        <v>1104</v>
      </c>
      <c r="O2023" s="14">
        <v>0.34724415093660399</v>
      </c>
      <c r="P2023" s="14">
        <v>0.16460988437756899</v>
      </c>
      <c r="Q2023" t="str">
        <f t="shared" si="62"/>
        <v>35-49</v>
      </c>
      <c r="R2023" t="str">
        <f t="shared" si="63"/>
        <v>[ScR9iFKAasW]|35-49|Female|TX_CURR_SUBNAT.T_1|CY2023Q3</v>
      </c>
    </row>
    <row r="2024" spans="4:18" x14ac:dyDescent="0.2">
      <c r="D2024" t="s">
        <v>65</v>
      </c>
      <c r="E2024" t="s">
        <v>66</v>
      </c>
      <c r="F2024" t="s">
        <v>67</v>
      </c>
      <c r="G2024" t="s">
        <v>145</v>
      </c>
      <c r="H2024" t="s">
        <v>146</v>
      </c>
      <c r="I2024" t="s">
        <v>44</v>
      </c>
      <c r="J2024" t="s">
        <v>45</v>
      </c>
      <c r="K2024" t="s">
        <v>29</v>
      </c>
      <c r="L2024" t="s">
        <v>30</v>
      </c>
      <c r="M2024" t="s">
        <v>139</v>
      </c>
      <c r="N2024">
        <v>1370</v>
      </c>
      <c r="O2024" s="14">
        <v>0.35071726725436703</v>
      </c>
      <c r="P2024" s="14">
        <v>0.16460988437756899</v>
      </c>
      <c r="Q2024" t="str">
        <f t="shared" si="62"/>
        <v>50+</v>
      </c>
      <c r="R2024" t="str">
        <f t="shared" si="63"/>
        <v>[ScR9iFKAasW]|50+|Female|TX_CURR_SUBNAT.T_1|CY2023Q3</v>
      </c>
    </row>
    <row r="2025" spans="4:18" x14ac:dyDescent="0.2">
      <c r="D2025" t="s">
        <v>65</v>
      </c>
      <c r="E2025" t="s">
        <v>66</v>
      </c>
      <c r="F2025" t="s">
        <v>67</v>
      </c>
      <c r="G2025" t="s">
        <v>145</v>
      </c>
      <c r="H2025" t="s">
        <v>146</v>
      </c>
      <c r="I2025" t="s">
        <v>27</v>
      </c>
      <c r="J2025" t="s">
        <v>28</v>
      </c>
      <c r="K2025" t="s">
        <v>47</v>
      </c>
      <c r="L2025" t="s">
        <v>48</v>
      </c>
      <c r="M2025" t="s">
        <v>139</v>
      </c>
      <c r="N2025">
        <v>1782</v>
      </c>
      <c r="O2025" s="14">
        <v>0.46746549266390502</v>
      </c>
      <c r="P2025" s="14">
        <v>0.16460988437756899</v>
      </c>
      <c r="Q2025" t="str">
        <f t="shared" si="62"/>
        <v>&lt;01</v>
      </c>
      <c r="R2025" t="str">
        <f t="shared" si="63"/>
        <v>[ScR9iFKAasW]|&lt;01|Male|TX_CURR_SUBNAT.T_1|CY2023Q3</v>
      </c>
    </row>
    <row r="2026" spans="4:18" x14ac:dyDescent="0.2">
      <c r="D2026" t="s">
        <v>65</v>
      </c>
      <c r="E2026" t="s">
        <v>66</v>
      </c>
      <c r="F2026" t="s">
        <v>67</v>
      </c>
      <c r="G2026" t="s">
        <v>145</v>
      </c>
      <c r="H2026" t="s">
        <v>146</v>
      </c>
      <c r="I2026" t="s">
        <v>32</v>
      </c>
      <c r="J2026" t="s">
        <v>33</v>
      </c>
      <c r="K2026" t="s">
        <v>47</v>
      </c>
      <c r="L2026" t="s">
        <v>48</v>
      </c>
      <c r="M2026" t="s">
        <v>139</v>
      </c>
      <c r="N2026">
        <v>1097</v>
      </c>
      <c r="O2026" s="14">
        <v>0.21950917085632701</v>
      </c>
      <c r="P2026" s="14">
        <v>0.16460988437756899</v>
      </c>
      <c r="Q2026" t="str">
        <f t="shared" si="62"/>
        <v>01-09</v>
      </c>
      <c r="R2026" t="str">
        <f t="shared" si="63"/>
        <v>[ScR9iFKAasW]|01-09|Male|TX_CURR_SUBNAT.T_1|CY2023Q3</v>
      </c>
    </row>
    <row r="2027" spans="4:18" x14ac:dyDescent="0.2">
      <c r="D2027" t="s">
        <v>65</v>
      </c>
      <c r="E2027" t="s">
        <v>66</v>
      </c>
      <c r="F2027" t="s">
        <v>67</v>
      </c>
      <c r="G2027" t="s">
        <v>145</v>
      </c>
      <c r="H2027" t="s">
        <v>146</v>
      </c>
      <c r="I2027" t="s">
        <v>35</v>
      </c>
      <c r="J2027" t="s">
        <v>36</v>
      </c>
      <c r="K2027" t="s">
        <v>47</v>
      </c>
      <c r="L2027" t="s">
        <v>48</v>
      </c>
      <c r="M2027" t="s">
        <v>139</v>
      </c>
      <c r="N2027">
        <v>1274</v>
      </c>
      <c r="O2027" s="14">
        <v>0.30252514756284699</v>
      </c>
      <c r="P2027" s="14">
        <v>0.16460988437756899</v>
      </c>
      <c r="Q2027" t="str">
        <f t="shared" si="62"/>
        <v>10-14</v>
      </c>
      <c r="R2027" t="str">
        <f t="shared" si="63"/>
        <v>[ScR9iFKAasW]|10-14|Male|TX_CURR_SUBNAT.T_1|CY2023Q3</v>
      </c>
    </row>
    <row r="2028" spans="4:18" x14ac:dyDescent="0.2">
      <c r="D2028" t="s">
        <v>65</v>
      </c>
      <c r="E2028" t="s">
        <v>66</v>
      </c>
      <c r="F2028" t="s">
        <v>67</v>
      </c>
      <c r="G2028" t="s">
        <v>145</v>
      </c>
      <c r="H2028" t="s">
        <v>146</v>
      </c>
      <c r="I2028" t="s">
        <v>37</v>
      </c>
      <c r="J2028" t="s">
        <v>38</v>
      </c>
      <c r="K2028" t="s">
        <v>47</v>
      </c>
      <c r="L2028" t="s">
        <v>48</v>
      </c>
      <c r="M2028" t="s">
        <v>139</v>
      </c>
      <c r="N2028">
        <v>822</v>
      </c>
      <c r="O2028" s="14">
        <v>0.43628213042393299</v>
      </c>
      <c r="P2028" s="14">
        <v>0.16460988437756899</v>
      </c>
      <c r="Q2028" t="str">
        <f t="shared" si="62"/>
        <v>15-24</v>
      </c>
      <c r="R2028" t="str">
        <f t="shared" si="63"/>
        <v>[ScR9iFKAasW]|15-24|Male|TX_CURR_SUBNAT.T_1|CY2023Q3</v>
      </c>
    </row>
    <row r="2029" spans="4:18" x14ac:dyDescent="0.2">
      <c r="D2029" t="s">
        <v>65</v>
      </c>
      <c r="E2029" t="s">
        <v>66</v>
      </c>
      <c r="F2029" t="s">
        <v>67</v>
      </c>
      <c r="G2029" t="s">
        <v>145</v>
      </c>
      <c r="H2029" t="s">
        <v>146</v>
      </c>
      <c r="I2029" t="s">
        <v>40</v>
      </c>
      <c r="J2029" t="s">
        <v>41</v>
      </c>
      <c r="K2029" t="s">
        <v>47</v>
      </c>
      <c r="L2029" t="s">
        <v>48</v>
      </c>
      <c r="M2029" t="s">
        <v>139</v>
      </c>
      <c r="N2029">
        <v>1927</v>
      </c>
      <c r="O2029" s="14">
        <v>0.81101375678554199</v>
      </c>
      <c r="P2029" s="14">
        <v>0.16460988437756899</v>
      </c>
      <c r="Q2029" t="str">
        <f t="shared" si="62"/>
        <v>25-34</v>
      </c>
      <c r="R2029" t="str">
        <f t="shared" si="63"/>
        <v>[ScR9iFKAasW]|25-34|Male|TX_CURR_SUBNAT.T_1|CY2023Q3</v>
      </c>
    </row>
    <row r="2030" spans="4:18" x14ac:dyDescent="0.2">
      <c r="D2030" t="s">
        <v>65</v>
      </c>
      <c r="E2030" t="s">
        <v>66</v>
      </c>
      <c r="F2030" t="s">
        <v>67</v>
      </c>
      <c r="G2030" t="s">
        <v>145</v>
      </c>
      <c r="H2030" t="s">
        <v>146</v>
      </c>
      <c r="I2030" t="s">
        <v>42</v>
      </c>
      <c r="J2030" t="s">
        <v>43</v>
      </c>
      <c r="K2030" t="s">
        <v>47</v>
      </c>
      <c r="L2030" t="s">
        <v>48</v>
      </c>
      <c r="M2030" t="s">
        <v>139</v>
      </c>
      <c r="N2030">
        <v>1900</v>
      </c>
      <c r="O2030" s="14">
        <v>0.52584961219690696</v>
      </c>
      <c r="P2030" s="14">
        <v>0.16460988437756899</v>
      </c>
      <c r="Q2030" t="str">
        <f t="shared" si="62"/>
        <v>35-49</v>
      </c>
      <c r="R2030" t="str">
        <f t="shared" si="63"/>
        <v>[ScR9iFKAasW]|35-49|Male|TX_CURR_SUBNAT.T_1|CY2023Q3</v>
      </c>
    </row>
    <row r="2031" spans="4:18" x14ac:dyDescent="0.2">
      <c r="D2031" t="s">
        <v>65</v>
      </c>
      <c r="E2031" t="s">
        <v>66</v>
      </c>
      <c r="F2031" t="s">
        <v>67</v>
      </c>
      <c r="G2031" t="s">
        <v>145</v>
      </c>
      <c r="H2031" t="s">
        <v>146</v>
      </c>
      <c r="I2031" t="s">
        <v>44</v>
      </c>
      <c r="J2031" t="s">
        <v>45</v>
      </c>
      <c r="K2031" t="s">
        <v>47</v>
      </c>
      <c r="L2031" t="s">
        <v>48</v>
      </c>
      <c r="M2031" t="s">
        <v>139</v>
      </c>
      <c r="N2031">
        <v>1663</v>
      </c>
      <c r="O2031" s="14">
        <v>0.22043453133665</v>
      </c>
      <c r="P2031" s="14">
        <v>0.16460988437756899</v>
      </c>
      <c r="Q2031" t="str">
        <f t="shared" si="62"/>
        <v>50+</v>
      </c>
      <c r="R2031" t="str">
        <f t="shared" si="63"/>
        <v>[ScR9iFKAasW]|50+|Male|TX_CURR_SUBNAT.T_1|CY2023Q3</v>
      </c>
    </row>
    <row r="2032" spans="4:18" x14ac:dyDescent="0.2">
      <c r="D2032" t="s">
        <v>68</v>
      </c>
      <c r="E2032" t="s">
        <v>69</v>
      </c>
      <c r="F2032" t="s">
        <v>70</v>
      </c>
      <c r="G2032" t="s">
        <v>145</v>
      </c>
      <c r="H2032" t="s">
        <v>146</v>
      </c>
      <c r="I2032" t="s">
        <v>27</v>
      </c>
      <c r="J2032" t="s">
        <v>28</v>
      </c>
      <c r="K2032" t="s">
        <v>29</v>
      </c>
      <c r="L2032" t="s">
        <v>30</v>
      </c>
      <c r="M2032" t="s">
        <v>139</v>
      </c>
      <c r="N2032">
        <v>1173</v>
      </c>
      <c r="O2032" s="14">
        <v>8.3259534556418699E-2</v>
      </c>
      <c r="P2032" s="14">
        <v>0.19881726312451101</v>
      </c>
      <c r="Q2032" t="str">
        <f t="shared" si="62"/>
        <v>&lt;01</v>
      </c>
      <c r="R2032" t="str">
        <f t="shared" si="63"/>
        <v>[PekKUkKHAzY]|&lt;01|Female|TX_CURR_SUBNAT.T_1|CY2023Q3</v>
      </c>
    </row>
    <row r="2033" spans="4:18" x14ac:dyDescent="0.2">
      <c r="D2033" t="s">
        <v>68</v>
      </c>
      <c r="E2033" t="s">
        <v>69</v>
      </c>
      <c r="F2033" t="s">
        <v>70</v>
      </c>
      <c r="G2033" t="s">
        <v>145</v>
      </c>
      <c r="H2033" t="s">
        <v>146</v>
      </c>
      <c r="I2033" t="s">
        <v>32</v>
      </c>
      <c r="J2033" t="s">
        <v>33</v>
      </c>
      <c r="K2033" t="s">
        <v>29</v>
      </c>
      <c r="L2033" t="s">
        <v>30</v>
      </c>
      <c r="M2033" t="s">
        <v>139</v>
      </c>
      <c r="N2033">
        <v>1571</v>
      </c>
      <c r="O2033" s="14">
        <v>0.730006685247645</v>
      </c>
      <c r="P2033" s="14">
        <v>0.19881726312451101</v>
      </c>
      <c r="Q2033" t="str">
        <f t="shared" si="62"/>
        <v>01-09</v>
      </c>
      <c r="R2033" t="str">
        <f t="shared" si="63"/>
        <v>[PekKUkKHAzY]|01-09|Female|TX_CURR_SUBNAT.T_1|CY2023Q3</v>
      </c>
    </row>
    <row r="2034" spans="4:18" x14ac:dyDescent="0.2">
      <c r="D2034" t="s">
        <v>68</v>
      </c>
      <c r="E2034" t="s">
        <v>69</v>
      </c>
      <c r="F2034" t="s">
        <v>70</v>
      </c>
      <c r="G2034" t="s">
        <v>145</v>
      </c>
      <c r="H2034" t="s">
        <v>146</v>
      </c>
      <c r="I2034" t="s">
        <v>35</v>
      </c>
      <c r="J2034" t="s">
        <v>36</v>
      </c>
      <c r="K2034" t="s">
        <v>29</v>
      </c>
      <c r="L2034" t="s">
        <v>30</v>
      </c>
      <c r="M2034" t="s">
        <v>139</v>
      </c>
      <c r="N2034">
        <v>1555</v>
      </c>
      <c r="O2034" s="14">
        <v>0.52634956571273495</v>
      </c>
      <c r="P2034" s="14">
        <v>0.19881726312451101</v>
      </c>
      <c r="Q2034" t="str">
        <f t="shared" si="62"/>
        <v>10-14</v>
      </c>
      <c r="R2034" t="str">
        <f t="shared" si="63"/>
        <v>[PekKUkKHAzY]|10-14|Female|TX_CURR_SUBNAT.T_1|CY2023Q3</v>
      </c>
    </row>
    <row r="2035" spans="4:18" x14ac:dyDescent="0.2">
      <c r="D2035" t="s">
        <v>68</v>
      </c>
      <c r="E2035" t="s">
        <v>69</v>
      </c>
      <c r="F2035" t="s">
        <v>70</v>
      </c>
      <c r="G2035" t="s">
        <v>145</v>
      </c>
      <c r="H2035" t="s">
        <v>146</v>
      </c>
      <c r="I2035" t="s">
        <v>37</v>
      </c>
      <c r="J2035" t="s">
        <v>38</v>
      </c>
      <c r="K2035" t="s">
        <v>29</v>
      </c>
      <c r="L2035" t="s">
        <v>30</v>
      </c>
      <c r="M2035" t="s">
        <v>139</v>
      </c>
      <c r="N2035">
        <v>1869</v>
      </c>
      <c r="O2035" s="14">
        <v>0.185063028242439</v>
      </c>
      <c r="P2035" s="14">
        <v>0.19881726312451101</v>
      </c>
      <c r="Q2035" t="str">
        <f t="shared" si="62"/>
        <v>15-24</v>
      </c>
      <c r="R2035" t="str">
        <f t="shared" si="63"/>
        <v>[PekKUkKHAzY]|15-24|Female|TX_CURR_SUBNAT.T_1|CY2023Q3</v>
      </c>
    </row>
    <row r="2036" spans="4:18" x14ac:dyDescent="0.2">
      <c r="D2036" t="s">
        <v>68</v>
      </c>
      <c r="E2036" t="s">
        <v>69</v>
      </c>
      <c r="F2036" t="s">
        <v>70</v>
      </c>
      <c r="G2036" t="s">
        <v>145</v>
      </c>
      <c r="H2036" t="s">
        <v>146</v>
      </c>
      <c r="I2036" t="s">
        <v>40</v>
      </c>
      <c r="J2036" t="s">
        <v>41</v>
      </c>
      <c r="K2036" t="s">
        <v>29</v>
      </c>
      <c r="L2036" t="s">
        <v>30</v>
      </c>
      <c r="M2036" t="s">
        <v>139</v>
      </c>
      <c r="N2036">
        <v>1045</v>
      </c>
      <c r="O2036" s="14">
        <v>0.15323521406389801</v>
      </c>
      <c r="P2036" s="14">
        <v>0.19881726312451101</v>
      </c>
      <c r="Q2036" t="str">
        <f t="shared" si="62"/>
        <v>25-34</v>
      </c>
      <c r="R2036" t="str">
        <f t="shared" si="63"/>
        <v>[PekKUkKHAzY]|25-34|Female|TX_CURR_SUBNAT.T_1|CY2023Q3</v>
      </c>
    </row>
    <row r="2037" spans="4:18" x14ac:dyDescent="0.2">
      <c r="D2037" t="s">
        <v>68</v>
      </c>
      <c r="E2037" t="s">
        <v>69</v>
      </c>
      <c r="F2037" t="s">
        <v>70</v>
      </c>
      <c r="G2037" t="s">
        <v>145</v>
      </c>
      <c r="H2037" t="s">
        <v>146</v>
      </c>
      <c r="I2037" t="s">
        <v>42</v>
      </c>
      <c r="J2037" t="s">
        <v>43</v>
      </c>
      <c r="K2037" t="s">
        <v>29</v>
      </c>
      <c r="L2037" t="s">
        <v>30</v>
      </c>
      <c r="M2037" t="s">
        <v>139</v>
      </c>
      <c r="N2037">
        <v>1435</v>
      </c>
      <c r="O2037" s="14">
        <v>6.5639244392514201E-2</v>
      </c>
      <c r="P2037" s="14">
        <v>0.19881726312451101</v>
      </c>
      <c r="Q2037" t="str">
        <f t="shared" si="62"/>
        <v>35-49</v>
      </c>
      <c r="R2037" t="str">
        <f t="shared" si="63"/>
        <v>[PekKUkKHAzY]|35-49|Female|TX_CURR_SUBNAT.T_1|CY2023Q3</v>
      </c>
    </row>
    <row r="2038" spans="4:18" x14ac:dyDescent="0.2">
      <c r="D2038" t="s">
        <v>68</v>
      </c>
      <c r="E2038" t="s">
        <v>69</v>
      </c>
      <c r="F2038" t="s">
        <v>70</v>
      </c>
      <c r="G2038" t="s">
        <v>145</v>
      </c>
      <c r="H2038" t="s">
        <v>146</v>
      </c>
      <c r="I2038" t="s">
        <v>44</v>
      </c>
      <c r="J2038" t="s">
        <v>45</v>
      </c>
      <c r="K2038" t="s">
        <v>29</v>
      </c>
      <c r="L2038" t="s">
        <v>30</v>
      </c>
      <c r="M2038" t="s">
        <v>139</v>
      </c>
      <c r="N2038">
        <v>1587</v>
      </c>
      <c r="O2038" s="14">
        <v>0.889684838941321</v>
      </c>
      <c r="P2038" s="14">
        <v>0.19881726312451101</v>
      </c>
      <c r="Q2038" t="str">
        <f t="shared" si="62"/>
        <v>50+</v>
      </c>
      <c r="R2038" t="str">
        <f t="shared" si="63"/>
        <v>[PekKUkKHAzY]|50+|Female|TX_CURR_SUBNAT.T_1|CY2023Q3</v>
      </c>
    </row>
    <row r="2039" spans="4:18" x14ac:dyDescent="0.2">
      <c r="D2039" t="s">
        <v>68</v>
      </c>
      <c r="E2039" t="s">
        <v>69</v>
      </c>
      <c r="F2039" t="s">
        <v>70</v>
      </c>
      <c r="G2039" t="s">
        <v>145</v>
      </c>
      <c r="H2039" t="s">
        <v>146</v>
      </c>
      <c r="I2039" t="s">
        <v>27</v>
      </c>
      <c r="J2039" t="s">
        <v>28</v>
      </c>
      <c r="K2039" t="s">
        <v>47</v>
      </c>
      <c r="L2039" t="s">
        <v>48</v>
      </c>
      <c r="M2039" t="s">
        <v>139</v>
      </c>
      <c r="N2039">
        <v>590</v>
      </c>
      <c r="O2039" s="14">
        <v>1.9704885780811299E-2</v>
      </c>
      <c r="P2039" s="14">
        <v>0.19881726312451101</v>
      </c>
      <c r="Q2039" t="str">
        <f t="shared" si="62"/>
        <v>&lt;01</v>
      </c>
      <c r="R2039" t="str">
        <f t="shared" si="63"/>
        <v>[PekKUkKHAzY]|&lt;01|Male|TX_CURR_SUBNAT.T_1|CY2023Q3</v>
      </c>
    </row>
    <row r="2040" spans="4:18" x14ac:dyDescent="0.2">
      <c r="D2040" t="s">
        <v>68</v>
      </c>
      <c r="E2040" t="s">
        <v>69</v>
      </c>
      <c r="F2040" t="s">
        <v>70</v>
      </c>
      <c r="G2040" t="s">
        <v>145</v>
      </c>
      <c r="H2040" t="s">
        <v>146</v>
      </c>
      <c r="I2040" t="s">
        <v>32</v>
      </c>
      <c r="J2040" t="s">
        <v>33</v>
      </c>
      <c r="K2040" t="s">
        <v>47</v>
      </c>
      <c r="L2040" t="s">
        <v>48</v>
      </c>
      <c r="M2040" t="s">
        <v>139</v>
      </c>
      <c r="N2040">
        <v>1542</v>
      </c>
      <c r="O2040" s="14">
        <v>0.21089209546335</v>
      </c>
      <c r="P2040" s="14">
        <v>0.19881726312451101</v>
      </c>
      <c r="Q2040" t="str">
        <f t="shared" si="62"/>
        <v>01-09</v>
      </c>
      <c r="R2040" t="str">
        <f t="shared" si="63"/>
        <v>[PekKUkKHAzY]|01-09|Male|TX_CURR_SUBNAT.T_1|CY2023Q3</v>
      </c>
    </row>
    <row r="2041" spans="4:18" x14ac:dyDescent="0.2">
      <c r="D2041" t="s">
        <v>68</v>
      </c>
      <c r="E2041" t="s">
        <v>69</v>
      </c>
      <c r="F2041" t="s">
        <v>70</v>
      </c>
      <c r="G2041" t="s">
        <v>145</v>
      </c>
      <c r="H2041" t="s">
        <v>146</v>
      </c>
      <c r="I2041" t="s">
        <v>35</v>
      </c>
      <c r="J2041" t="s">
        <v>36</v>
      </c>
      <c r="K2041" t="s">
        <v>47</v>
      </c>
      <c r="L2041" t="s">
        <v>48</v>
      </c>
      <c r="M2041" t="s">
        <v>139</v>
      </c>
      <c r="N2041">
        <v>1876</v>
      </c>
      <c r="O2041" s="14">
        <v>0.25660906429402502</v>
      </c>
      <c r="P2041" s="14">
        <v>0.19881726312451101</v>
      </c>
      <c r="Q2041" t="str">
        <f t="shared" si="62"/>
        <v>10-14</v>
      </c>
      <c r="R2041" t="str">
        <f t="shared" si="63"/>
        <v>[PekKUkKHAzY]|10-14|Male|TX_CURR_SUBNAT.T_1|CY2023Q3</v>
      </c>
    </row>
    <row r="2042" spans="4:18" x14ac:dyDescent="0.2">
      <c r="D2042" t="s">
        <v>68</v>
      </c>
      <c r="E2042" t="s">
        <v>69</v>
      </c>
      <c r="F2042" t="s">
        <v>70</v>
      </c>
      <c r="G2042" t="s">
        <v>145</v>
      </c>
      <c r="H2042" t="s">
        <v>146</v>
      </c>
      <c r="I2042" t="s">
        <v>37</v>
      </c>
      <c r="J2042" t="s">
        <v>38</v>
      </c>
      <c r="K2042" t="s">
        <v>47</v>
      </c>
      <c r="L2042" t="s">
        <v>48</v>
      </c>
      <c r="M2042" t="s">
        <v>139</v>
      </c>
      <c r="N2042">
        <v>1120</v>
      </c>
      <c r="O2042" s="14">
        <v>0.81358317076228603</v>
      </c>
      <c r="P2042" s="14">
        <v>0.19881726312451101</v>
      </c>
      <c r="Q2042" t="str">
        <f t="shared" si="62"/>
        <v>15-24</v>
      </c>
      <c r="R2042" t="str">
        <f t="shared" si="63"/>
        <v>[PekKUkKHAzY]|15-24|Male|TX_CURR_SUBNAT.T_1|CY2023Q3</v>
      </c>
    </row>
    <row r="2043" spans="4:18" x14ac:dyDescent="0.2">
      <c r="D2043" t="s">
        <v>68</v>
      </c>
      <c r="E2043" t="s">
        <v>69</v>
      </c>
      <c r="F2043" t="s">
        <v>70</v>
      </c>
      <c r="G2043" t="s">
        <v>145</v>
      </c>
      <c r="H2043" t="s">
        <v>146</v>
      </c>
      <c r="I2043" t="s">
        <v>40</v>
      </c>
      <c r="J2043" t="s">
        <v>41</v>
      </c>
      <c r="K2043" t="s">
        <v>47</v>
      </c>
      <c r="L2043" t="s">
        <v>48</v>
      </c>
      <c r="M2043" t="s">
        <v>139</v>
      </c>
      <c r="N2043">
        <v>1762</v>
      </c>
      <c r="O2043" s="14">
        <v>0.84952619927935302</v>
      </c>
      <c r="P2043" s="14">
        <v>0.19881726312451101</v>
      </c>
      <c r="Q2043" t="str">
        <f t="shared" si="62"/>
        <v>25-34</v>
      </c>
      <c r="R2043" t="str">
        <f t="shared" si="63"/>
        <v>[PekKUkKHAzY]|25-34|Male|TX_CURR_SUBNAT.T_1|CY2023Q3</v>
      </c>
    </row>
    <row r="2044" spans="4:18" x14ac:dyDescent="0.2">
      <c r="D2044" t="s">
        <v>68</v>
      </c>
      <c r="E2044" t="s">
        <v>69</v>
      </c>
      <c r="F2044" t="s">
        <v>70</v>
      </c>
      <c r="G2044" t="s">
        <v>145</v>
      </c>
      <c r="H2044" t="s">
        <v>146</v>
      </c>
      <c r="I2044" t="s">
        <v>42</v>
      </c>
      <c r="J2044" t="s">
        <v>43</v>
      </c>
      <c r="K2044" t="s">
        <v>47</v>
      </c>
      <c r="L2044" t="s">
        <v>48</v>
      </c>
      <c r="M2044" t="s">
        <v>139</v>
      </c>
      <c r="N2044">
        <v>1855</v>
      </c>
      <c r="O2044" s="14">
        <v>0.67462668032385398</v>
      </c>
      <c r="P2044" s="14">
        <v>0.19881726312451101</v>
      </c>
      <c r="Q2044" t="str">
        <f t="shared" si="62"/>
        <v>35-49</v>
      </c>
      <c r="R2044" t="str">
        <f t="shared" si="63"/>
        <v>[PekKUkKHAzY]|35-49|Male|TX_CURR_SUBNAT.T_1|CY2023Q3</v>
      </c>
    </row>
    <row r="2045" spans="4:18" x14ac:dyDescent="0.2">
      <c r="D2045" t="s">
        <v>68</v>
      </c>
      <c r="E2045" t="s">
        <v>69</v>
      </c>
      <c r="F2045" t="s">
        <v>70</v>
      </c>
      <c r="G2045" t="s">
        <v>145</v>
      </c>
      <c r="H2045" t="s">
        <v>146</v>
      </c>
      <c r="I2045" t="s">
        <v>44</v>
      </c>
      <c r="J2045" t="s">
        <v>45</v>
      </c>
      <c r="K2045" t="s">
        <v>47</v>
      </c>
      <c r="L2045" t="s">
        <v>48</v>
      </c>
      <c r="M2045" t="s">
        <v>139</v>
      </c>
      <c r="N2045">
        <v>1805</v>
      </c>
      <c r="O2045" s="14">
        <v>0.41871598036959801</v>
      </c>
      <c r="P2045" s="14">
        <v>0.19881726312451101</v>
      </c>
      <c r="Q2045" t="str">
        <f t="shared" si="62"/>
        <v>50+</v>
      </c>
      <c r="R2045" t="str">
        <f t="shared" si="63"/>
        <v>[PekKUkKHAzY]|50+|Male|TX_CURR_SUBNAT.T_1|CY2023Q3</v>
      </c>
    </row>
    <row r="2046" spans="4:18" x14ac:dyDescent="0.2">
      <c r="D2046" t="s">
        <v>71</v>
      </c>
      <c r="E2046" t="s">
        <v>72</v>
      </c>
      <c r="F2046" t="s">
        <v>73</v>
      </c>
      <c r="G2046" t="s">
        <v>145</v>
      </c>
      <c r="H2046" t="s">
        <v>146</v>
      </c>
      <c r="I2046" t="s">
        <v>27</v>
      </c>
      <c r="J2046" t="s">
        <v>28</v>
      </c>
      <c r="K2046" t="s">
        <v>29</v>
      </c>
      <c r="L2046" t="s">
        <v>30</v>
      </c>
      <c r="M2046" t="s">
        <v>139</v>
      </c>
      <c r="N2046">
        <v>747</v>
      </c>
      <c r="O2046" s="14">
        <v>8.6632278747856603E-2</v>
      </c>
      <c r="P2046" s="14">
        <v>0.28972870693542102</v>
      </c>
      <c r="Q2046" t="str">
        <f t="shared" si="62"/>
        <v>&lt;01</v>
      </c>
      <c r="R2046" t="str">
        <f t="shared" si="63"/>
        <v>[am530wpaGvr]|&lt;01|Female|TX_CURR_SUBNAT.T_1|CY2023Q3</v>
      </c>
    </row>
    <row r="2047" spans="4:18" x14ac:dyDescent="0.2">
      <c r="D2047" t="s">
        <v>71</v>
      </c>
      <c r="E2047" t="s">
        <v>72</v>
      </c>
      <c r="F2047" t="s">
        <v>73</v>
      </c>
      <c r="G2047" t="s">
        <v>145</v>
      </c>
      <c r="H2047" t="s">
        <v>146</v>
      </c>
      <c r="I2047" t="s">
        <v>32</v>
      </c>
      <c r="J2047" t="s">
        <v>33</v>
      </c>
      <c r="K2047" t="s">
        <v>29</v>
      </c>
      <c r="L2047" t="s">
        <v>30</v>
      </c>
      <c r="M2047" t="s">
        <v>139</v>
      </c>
      <c r="N2047">
        <v>1666</v>
      </c>
      <c r="O2047" s="14">
        <v>0.14322006003931201</v>
      </c>
      <c r="P2047" s="14">
        <v>0.28972870693542102</v>
      </c>
      <c r="Q2047" t="str">
        <f t="shared" si="62"/>
        <v>01-09</v>
      </c>
      <c r="R2047" t="str">
        <f t="shared" si="63"/>
        <v>[am530wpaGvr]|01-09|Female|TX_CURR_SUBNAT.T_1|CY2023Q3</v>
      </c>
    </row>
    <row r="2048" spans="4:18" x14ac:dyDescent="0.2">
      <c r="D2048" t="s">
        <v>71</v>
      </c>
      <c r="E2048" t="s">
        <v>72</v>
      </c>
      <c r="F2048" t="s">
        <v>73</v>
      </c>
      <c r="G2048" t="s">
        <v>145</v>
      </c>
      <c r="H2048" t="s">
        <v>146</v>
      </c>
      <c r="I2048" t="s">
        <v>35</v>
      </c>
      <c r="J2048" t="s">
        <v>36</v>
      </c>
      <c r="K2048" t="s">
        <v>29</v>
      </c>
      <c r="L2048" t="s">
        <v>30</v>
      </c>
      <c r="M2048" t="s">
        <v>139</v>
      </c>
      <c r="N2048">
        <v>822</v>
      </c>
      <c r="O2048" s="14">
        <v>0.126819143071771</v>
      </c>
      <c r="P2048" s="14">
        <v>0.28972870693542102</v>
      </c>
      <c r="Q2048" t="str">
        <f t="shared" si="62"/>
        <v>10-14</v>
      </c>
      <c r="R2048" t="str">
        <f t="shared" si="63"/>
        <v>[am530wpaGvr]|10-14|Female|TX_CURR_SUBNAT.T_1|CY2023Q3</v>
      </c>
    </row>
    <row r="2049" spans="4:18" x14ac:dyDescent="0.2">
      <c r="D2049" t="s">
        <v>71</v>
      </c>
      <c r="E2049" t="s">
        <v>72</v>
      </c>
      <c r="F2049" t="s">
        <v>73</v>
      </c>
      <c r="G2049" t="s">
        <v>145</v>
      </c>
      <c r="H2049" t="s">
        <v>146</v>
      </c>
      <c r="I2049" t="s">
        <v>37</v>
      </c>
      <c r="J2049" t="s">
        <v>38</v>
      </c>
      <c r="K2049" t="s">
        <v>29</v>
      </c>
      <c r="L2049" t="s">
        <v>30</v>
      </c>
      <c r="M2049" t="s">
        <v>139</v>
      </c>
      <c r="N2049">
        <v>1039</v>
      </c>
      <c r="O2049" s="14">
        <v>0.71500308043323502</v>
      </c>
      <c r="P2049" s="14">
        <v>0.28972870693542102</v>
      </c>
      <c r="Q2049" t="str">
        <f t="shared" si="62"/>
        <v>15-24</v>
      </c>
      <c r="R2049" t="str">
        <f t="shared" si="63"/>
        <v>[am530wpaGvr]|15-24|Female|TX_CURR_SUBNAT.T_1|CY2023Q3</v>
      </c>
    </row>
    <row r="2050" spans="4:18" x14ac:dyDescent="0.2">
      <c r="D2050" t="s">
        <v>71</v>
      </c>
      <c r="E2050" t="s">
        <v>72</v>
      </c>
      <c r="F2050" t="s">
        <v>73</v>
      </c>
      <c r="G2050" t="s">
        <v>145</v>
      </c>
      <c r="H2050" t="s">
        <v>146</v>
      </c>
      <c r="I2050" t="s">
        <v>40</v>
      </c>
      <c r="J2050" t="s">
        <v>41</v>
      </c>
      <c r="K2050" t="s">
        <v>29</v>
      </c>
      <c r="L2050" t="s">
        <v>30</v>
      </c>
      <c r="M2050" t="s">
        <v>139</v>
      </c>
      <c r="N2050">
        <v>1932</v>
      </c>
      <c r="O2050" s="14">
        <v>0.416745153255761</v>
      </c>
      <c r="P2050" s="14">
        <v>0.28972870693542102</v>
      </c>
      <c r="Q2050" t="str">
        <f t="shared" ref="Q2050:Q2113" si="64">SUBSTITUTE(SUBSTITUTE($I2050,CHAR(61),""),CHAR(34),"")</f>
        <v>25-34</v>
      </c>
      <c r="R2050" t="str">
        <f t="shared" ref="R2050:R2113" si="65">IF($D2050&lt;&gt;"","["&amp;$E2050&amp;"]"&amp;"|"&amp;$Q2050&amp;"|"&amp;$K2050&amp;"|"&amp;$G2050&amp;"|"&amp;IF($G2050="TX_CURR_SUBNAT.R","CY2022Q4",$M2050),"")</f>
        <v>[am530wpaGvr]|25-34|Female|TX_CURR_SUBNAT.T_1|CY2023Q3</v>
      </c>
    </row>
    <row r="2051" spans="4:18" x14ac:dyDescent="0.2">
      <c r="D2051" t="s">
        <v>71</v>
      </c>
      <c r="E2051" t="s">
        <v>72</v>
      </c>
      <c r="F2051" t="s">
        <v>73</v>
      </c>
      <c r="G2051" t="s">
        <v>145</v>
      </c>
      <c r="H2051" t="s">
        <v>146</v>
      </c>
      <c r="I2051" t="s">
        <v>42</v>
      </c>
      <c r="J2051" t="s">
        <v>43</v>
      </c>
      <c r="K2051" t="s">
        <v>29</v>
      </c>
      <c r="L2051" t="s">
        <v>30</v>
      </c>
      <c r="M2051" t="s">
        <v>139</v>
      </c>
      <c r="N2051">
        <v>1606</v>
      </c>
      <c r="O2051" s="14">
        <v>0.93915571994148195</v>
      </c>
      <c r="P2051" s="14">
        <v>0.28972870693542102</v>
      </c>
      <c r="Q2051" t="str">
        <f t="shared" si="64"/>
        <v>35-49</v>
      </c>
      <c r="R2051" t="str">
        <f t="shared" si="65"/>
        <v>[am530wpaGvr]|35-49|Female|TX_CURR_SUBNAT.T_1|CY2023Q3</v>
      </c>
    </row>
    <row r="2052" spans="4:18" x14ac:dyDescent="0.2">
      <c r="D2052" t="s">
        <v>71</v>
      </c>
      <c r="E2052" t="s">
        <v>72</v>
      </c>
      <c r="F2052" t="s">
        <v>73</v>
      </c>
      <c r="G2052" t="s">
        <v>145</v>
      </c>
      <c r="H2052" t="s">
        <v>146</v>
      </c>
      <c r="I2052" t="s">
        <v>44</v>
      </c>
      <c r="J2052" t="s">
        <v>45</v>
      </c>
      <c r="K2052" t="s">
        <v>29</v>
      </c>
      <c r="L2052" t="s">
        <v>30</v>
      </c>
      <c r="M2052" t="s">
        <v>139</v>
      </c>
      <c r="N2052">
        <v>726</v>
      </c>
      <c r="O2052" s="14">
        <v>7.6397838070988697E-2</v>
      </c>
      <c r="P2052" s="14">
        <v>0.28972870693542102</v>
      </c>
      <c r="Q2052" t="str">
        <f t="shared" si="64"/>
        <v>50+</v>
      </c>
      <c r="R2052" t="str">
        <f t="shared" si="65"/>
        <v>[am530wpaGvr]|50+|Female|TX_CURR_SUBNAT.T_1|CY2023Q3</v>
      </c>
    </row>
    <row r="2053" spans="4:18" x14ac:dyDescent="0.2">
      <c r="D2053" t="s">
        <v>71</v>
      </c>
      <c r="E2053" t="s">
        <v>72</v>
      </c>
      <c r="F2053" t="s">
        <v>73</v>
      </c>
      <c r="G2053" t="s">
        <v>145</v>
      </c>
      <c r="H2053" t="s">
        <v>146</v>
      </c>
      <c r="I2053" t="s">
        <v>27</v>
      </c>
      <c r="J2053" t="s">
        <v>28</v>
      </c>
      <c r="K2053" t="s">
        <v>47</v>
      </c>
      <c r="L2053" t="s">
        <v>48</v>
      </c>
      <c r="M2053" t="s">
        <v>139</v>
      </c>
      <c r="N2053">
        <v>1950</v>
      </c>
      <c r="O2053" s="14">
        <v>0.80700578005053103</v>
      </c>
      <c r="P2053" s="14">
        <v>0.28972870693542102</v>
      </c>
      <c r="Q2053" t="str">
        <f t="shared" si="64"/>
        <v>&lt;01</v>
      </c>
      <c r="R2053" t="str">
        <f t="shared" si="65"/>
        <v>[am530wpaGvr]|&lt;01|Male|TX_CURR_SUBNAT.T_1|CY2023Q3</v>
      </c>
    </row>
    <row r="2054" spans="4:18" x14ac:dyDescent="0.2">
      <c r="D2054" t="s">
        <v>71</v>
      </c>
      <c r="E2054" t="s">
        <v>72</v>
      </c>
      <c r="F2054" t="s">
        <v>73</v>
      </c>
      <c r="G2054" t="s">
        <v>145</v>
      </c>
      <c r="H2054" t="s">
        <v>146</v>
      </c>
      <c r="I2054" t="s">
        <v>32</v>
      </c>
      <c r="J2054" t="s">
        <v>33</v>
      </c>
      <c r="K2054" t="s">
        <v>47</v>
      </c>
      <c r="L2054" t="s">
        <v>48</v>
      </c>
      <c r="M2054" t="s">
        <v>139</v>
      </c>
      <c r="N2054">
        <v>898</v>
      </c>
      <c r="O2054" s="14">
        <v>2.6134769432246699E-2</v>
      </c>
      <c r="P2054" s="14">
        <v>0.28972870693542102</v>
      </c>
      <c r="Q2054" t="str">
        <f t="shared" si="64"/>
        <v>01-09</v>
      </c>
      <c r="R2054" t="str">
        <f t="shared" si="65"/>
        <v>[am530wpaGvr]|01-09|Male|TX_CURR_SUBNAT.T_1|CY2023Q3</v>
      </c>
    </row>
    <row r="2055" spans="4:18" x14ac:dyDescent="0.2">
      <c r="D2055" t="s">
        <v>71</v>
      </c>
      <c r="E2055" t="s">
        <v>72</v>
      </c>
      <c r="F2055" t="s">
        <v>73</v>
      </c>
      <c r="G2055" t="s">
        <v>145</v>
      </c>
      <c r="H2055" t="s">
        <v>146</v>
      </c>
      <c r="I2055" t="s">
        <v>35</v>
      </c>
      <c r="J2055" t="s">
        <v>36</v>
      </c>
      <c r="K2055" t="s">
        <v>47</v>
      </c>
      <c r="L2055" t="s">
        <v>48</v>
      </c>
      <c r="M2055" t="s">
        <v>139</v>
      </c>
      <c r="N2055">
        <v>739</v>
      </c>
      <c r="O2055" s="14">
        <v>0.492535821627825</v>
      </c>
      <c r="P2055" s="14">
        <v>0.28972870693542102</v>
      </c>
      <c r="Q2055" t="str">
        <f t="shared" si="64"/>
        <v>10-14</v>
      </c>
      <c r="R2055" t="str">
        <f t="shared" si="65"/>
        <v>[am530wpaGvr]|10-14|Male|TX_CURR_SUBNAT.T_1|CY2023Q3</v>
      </c>
    </row>
    <row r="2056" spans="4:18" x14ac:dyDescent="0.2">
      <c r="D2056" t="s">
        <v>71</v>
      </c>
      <c r="E2056" t="s">
        <v>72</v>
      </c>
      <c r="F2056" t="s">
        <v>73</v>
      </c>
      <c r="G2056" t="s">
        <v>145</v>
      </c>
      <c r="H2056" t="s">
        <v>146</v>
      </c>
      <c r="I2056" t="s">
        <v>37</v>
      </c>
      <c r="J2056" t="s">
        <v>38</v>
      </c>
      <c r="K2056" t="s">
        <v>47</v>
      </c>
      <c r="L2056" t="s">
        <v>48</v>
      </c>
      <c r="M2056" t="s">
        <v>139</v>
      </c>
      <c r="N2056">
        <v>1469</v>
      </c>
      <c r="O2056" s="14">
        <v>0.18689875700510999</v>
      </c>
      <c r="P2056" s="14">
        <v>0.28972870693542102</v>
      </c>
      <c r="Q2056" t="str">
        <f t="shared" si="64"/>
        <v>15-24</v>
      </c>
      <c r="R2056" t="str">
        <f t="shared" si="65"/>
        <v>[am530wpaGvr]|15-24|Male|TX_CURR_SUBNAT.T_1|CY2023Q3</v>
      </c>
    </row>
    <row r="2057" spans="4:18" x14ac:dyDescent="0.2">
      <c r="D2057" t="s">
        <v>71</v>
      </c>
      <c r="E2057" t="s">
        <v>72</v>
      </c>
      <c r="F2057" t="s">
        <v>73</v>
      </c>
      <c r="G2057" t="s">
        <v>145</v>
      </c>
      <c r="H2057" t="s">
        <v>146</v>
      </c>
      <c r="I2057" t="s">
        <v>40</v>
      </c>
      <c r="J2057" t="s">
        <v>41</v>
      </c>
      <c r="K2057" t="s">
        <v>47</v>
      </c>
      <c r="L2057" t="s">
        <v>48</v>
      </c>
      <c r="M2057" t="s">
        <v>139</v>
      </c>
      <c r="N2057">
        <v>582</v>
      </c>
      <c r="O2057" s="14">
        <v>0.15664812293835001</v>
      </c>
      <c r="P2057" s="14">
        <v>0.28972870693542102</v>
      </c>
      <c r="Q2057" t="str">
        <f t="shared" si="64"/>
        <v>25-34</v>
      </c>
      <c r="R2057" t="str">
        <f t="shared" si="65"/>
        <v>[am530wpaGvr]|25-34|Male|TX_CURR_SUBNAT.T_1|CY2023Q3</v>
      </c>
    </row>
    <row r="2058" spans="4:18" x14ac:dyDescent="0.2">
      <c r="D2058" t="s">
        <v>71</v>
      </c>
      <c r="E2058" t="s">
        <v>72</v>
      </c>
      <c r="F2058" t="s">
        <v>73</v>
      </c>
      <c r="G2058" t="s">
        <v>145</v>
      </c>
      <c r="H2058" t="s">
        <v>146</v>
      </c>
      <c r="I2058" t="s">
        <v>42</v>
      </c>
      <c r="J2058" t="s">
        <v>43</v>
      </c>
      <c r="K2058" t="s">
        <v>47</v>
      </c>
      <c r="L2058" t="s">
        <v>48</v>
      </c>
      <c r="M2058" t="s">
        <v>139</v>
      </c>
      <c r="N2058">
        <v>1906</v>
      </c>
      <c r="O2058" s="14">
        <v>0.30016316496767098</v>
      </c>
      <c r="P2058" s="14">
        <v>0.28972870693542102</v>
      </c>
      <c r="Q2058" t="str">
        <f t="shared" si="64"/>
        <v>35-49</v>
      </c>
      <c r="R2058" t="str">
        <f t="shared" si="65"/>
        <v>[am530wpaGvr]|35-49|Male|TX_CURR_SUBNAT.T_1|CY2023Q3</v>
      </c>
    </row>
    <row r="2059" spans="4:18" x14ac:dyDescent="0.2">
      <c r="D2059" t="s">
        <v>71</v>
      </c>
      <c r="E2059" t="s">
        <v>72</v>
      </c>
      <c r="F2059" t="s">
        <v>73</v>
      </c>
      <c r="G2059" t="s">
        <v>145</v>
      </c>
      <c r="H2059" t="s">
        <v>146</v>
      </c>
      <c r="I2059" t="s">
        <v>44</v>
      </c>
      <c r="J2059" t="s">
        <v>45</v>
      </c>
      <c r="K2059" t="s">
        <v>47</v>
      </c>
      <c r="L2059" t="s">
        <v>48</v>
      </c>
      <c r="M2059" t="s">
        <v>139</v>
      </c>
      <c r="N2059">
        <v>1075</v>
      </c>
      <c r="O2059" s="14">
        <v>0.38499784376472201</v>
      </c>
      <c r="P2059" s="14">
        <v>0.28972870693542102</v>
      </c>
      <c r="Q2059" t="str">
        <f t="shared" si="64"/>
        <v>50+</v>
      </c>
      <c r="R2059" t="str">
        <f t="shared" si="65"/>
        <v>[am530wpaGvr]|50+|Male|TX_CURR_SUBNAT.T_1|CY2023Q3</v>
      </c>
    </row>
    <row r="2060" spans="4:18" x14ac:dyDescent="0.2">
      <c r="D2060" t="s">
        <v>74</v>
      </c>
      <c r="E2060" t="s">
        <v>75</v>
      </c>
      <c r="F2060" t="s">
        <v>76</v>
      </c>
      <c r="G2060" t="s">
        <v>145</v>
      </c>
      <c r="H2060" t="s">
        <v>146</v>
      </c>
      <c r="I2060" t="s">
        <v>27</v>
      </c>
      <c r="J2060" t="s">
        <v>28</v>
      </c>
      <c r="K2060" t="s">
        <v>29</v>
      </c>
      <c r="L2060" t="s">
        <v>30</v>
      </c>
      <c r="M2060" t="s">
        <v>139</v>
      </c>
      <c r="N2060">
        <v>1941</v>
      </c>
      <c r="O2060" s="14">
        <v>0.62993609486147795</v>
      </c>
      <c r="P2060" s="14">
        <v>0.30305550759658201</v>
      </c>
      <c r="Q2060" t="str">
        <f t="shared" si="64"/>
        <v>&lt;01</v>
      </c>
      <c r="R2060" t="str">
        <f t="shared" si="65"/>
        <v>[lLDyBx5XyUi]|&lt;01|Female|TX_CURR_SUBNAT.T_1|CY2023Q3</v>
      </c>
    </row>
    <row r="2061" spans="4:18" x14ac:dyDescent="0.2">
      <c r="D2061" t="s">
        <v>74</v>
      </c>
      <c r="E2061" t="s">
        <v>75</v>
      </c>
      <c r="F2061" t="s">
        <v>76</v>
      </c>
      <c r="G2061" t="s">
        <v>145</v>
      </c>
      <c r="H2061" t="s">
        <v>146</v>
      </c>
      <c r="I2061" t="s">
        <v>32</v>
      </c>
      <c r="J2061" t="s">
        <v>33</v>
      </c>
      <c r="K2061" t="s">
        <v>29</v>
      </c>
      <c r="L2061" t="s">
        <v>30</v>
      </c>
      <c r="M2061" t="s">
        <v>139</v>
      </c>
      <c r="N2061">
        <v>1972</v>
      </c>
      <c r="O2061" s="14">
        <v>5.2523490972816902E-2</v>
      </c>
      <c r="P2061" s="14">
        <v>0.30305550759658201</v>
      </c>
      <c r="Q2061" t="str">
        <f t="shared" si="64"/>
        <v>01-09</v>
      </c>
      <c r="R2061" t="str">
        <f t="shared" si="65"/>
        <v>[lLDyBx5XyUi]|01-09|Female|TX_CURR_SUBNAT.T_1|CY2023Q3</v>
      </c>
    </row>
    <row r="2062" spans="4:18" x14ac:dyDescent="0.2">
      <c r="D2062" t="s">
        <v>74</v>
      </c>
      <c r="E2062" t="s">
        <v>75</v>
      </c>
      <c r="F2062" t="s">
        <v>76</v>
      </c>
      <c r="G2062" t="s">
        <v>145</v>
      </c>
      <c r="H2062" t="s">
        <v>146</v>
      </c>
      <c r="I2062" t="s">
        <v>35</v>
      </c>
      <c r="J2062" t="s">
        <v>36</v>
      </c>
      <c r="K2062" t="s">
        <v>29</v>
      </c>
      <c r="L2062" t="s">
        <v>30</v>
      </c>
      <c r="M2062" t="s">
        <v>139</v>
      </c>
      <c r="N2062">
        <v>879</v>
      </c>
      <c r="O2062" s="14">
        <v>0.682147611165419</v>
      </c>
      <c r="P2062" s="14">
        <v>0.30305550759658201</v>
      </c>
      <c r="Q2062" t="str">
        <f t="shared" si="64"/>
        <v>10-14</v>
      </c>
      <c r="R2062" t="str">
        <f t="shared" si="65"/>
        <v>[lLDyBx5XyUi]|10-14|Female|TX_CURR_SUBNAT.T_1|CY2023Q3</v>
      </c>
    </row>
    <row r="2063" spans="4:18" x14ac:dyDescent="0.2">
      <c r="D2063" t="s">
        <v>74</v>
      </c>
      <c r="E2063" t="s">
        <v>75</v>
      </c>
      <c r="F2063" t="s">
        <v>76</v>
      </c>
      <c r="G2063" t="s">
        <v>145</v>
      </c>
      <c r="H2063" t="s">
        <v>146</v>
      </c>
      <c r="I2063" t="s">
        <v>37</v>
      </c>
      <c r="J2063" t="s">
        <v>38</v>
      </c>
      <c r="K2063" t="s">
        <v>29</v>
      </c>
      <c r="L2063" t="s">
        <v>30</v>
      </c>
      <c r="M2063" t="s">
        <v>139</v>
      </c>
      <c r="N2063">
        <v>1475</v>
      </c>
      <c r="O2063" s="14">
        <v>3.8469854509457897E-2</v>
      </c>
      <c r="P2063" s="14">
        <v>0.30305550759658201</v>
      </c>
      <c r="Q2063" t="str">
        <f t="shared" si="64"/>
        <v>15-24</v>
      </c>
      <c r="R2063" t="str">
        <f t="shared" si="65"/>
        <v>[lLDyBx5XyUi]|15-24|Female|TX_CURR_SUBNAT.T_1|CY2023Q3</v>
      </c>
    </row>
    <row r="2064" spans="4:18" x14ac:dyDescent="0.2">
      <c r="D2064" t="s">
        <v>74</v>
      </c>
      <c r="E2064" t="s">
        <v>75</v>
      </c>
      <c r="F2064" t="s">
        <v>76</v>
      </c>
      <c r="G2064" t="s">
        <v>145</v>
      </c>
      <c r="H2064" t="s">
        <v>146</v>
      </c>
      <c r="I2064" t="s">
        <v>40</v>
      </c>
      <c r="J2064" t="s">
        <v>41</v>
      </c>
      <c r="K2064" t="s">
        <v>29</v>
      </c>
      <c r="L2064" t="s">
        <v>30</v>
      </c>
      <c r="M2064" t="s">
        <v>139</v>
      </c>
      <c r="N2064">
        <v>931</v>
      </c>
      <c r="O2064" s="14">
        <v>0.46516089001670502</v>
      </c>
      <c r="P2064" s="14">
        <v>0.30305550759658201</v>
      </c>
      <c r="Q2064" t="str">
        <f t="shared" si="64"/>
        <v>25-34</v>
      </c>
      <c r="R2064" t="str">
        <f t="shared" si="65"/>
        <v>[lLDyBx5XyUi]|25-34|Female|TX_CURR_SUBNAT.T_1|CY2023Q3</v>
      </c>
    </row>
    <row r="2065" spans="4:18" x14ac:dyDescent="0.2">
      <c r="D2065" t="s">
        <v>74</v>
      </c>
      <c r="E2065" t="s">
        <v>75</v>
      </c>
      <c r="F2065" t="s">
        <v>76</v>
      </c>
      <c r="G2065" t="s">
        <v>145</v>
      </c>
      <c r="H2065" t="s">
        <v>146</v>
      </c>
      <c r="I2065" t="s">
        <v>42</v>
      </c>
      <c r="J2065" t="s">
        <v>43</v>
      </c>
      <c r="K2065" t="s">
        <v>29</v>
      </c>
      <c r="L2065" t="s">
        <v>30</v>
      </c>
      <c r="M2065" t="s">
        <v>139</v>
      </c>
      <c r="N2065">
        <v>1338</v>
      </c>
      <c r="O2065" s="14">
        <v>0.27021915954537701</v>
      </c>
      <c r="P2065" s="14">
        <v>0.30305550759658201</v>
      </c>
      <c r="Q2065" t="str">
        <f t="shared" si="64"/>
        <v>35-49</v>
      </c>
      <c r="R2065" t="str">
        <f t="shared" si="65"/>
        <v>[lLDyBx5XyUi]|35-49|Female|TX_CURR_SUBNAT.T_1|CY2023Q3</v>
      </c>
    </row>
    <row r="2066" spans="4:18" x14ac:dyDescent="0.2">
      <c r="D2066" t="s">
        <v>74</v>
      </c>
      <c r="E2066" t="s">
        <v>75</v>
      </c>
      <c r="F2066" t="s">
        <v>76</v>
      </c>
      <c r="G2066" t="s">
        <v>145</v>
      </c>
      <c r="H2066" t="s">
        <v>146</v>
      </c>
      <c r="I2066" t="s">
        <v>44</v>
      </c>
      <c r="J2066" t="s">
        <v>45</v>
      </c>
      <c r="K2066" t="s">
        <v>29</v>
      </c>
      <c r="L2066" t="s">
        <v>30</v>
      </c>
      <c r="M2066" t="s">
        <v>139</v>
      </c>
      <c r="N2066">
        <v>799</v>
      </c>
      <c r="O2066" s="14">
        <v>0.28695130697451499</v>
      </c>
      <c r="P2066" s="14">
        <v>0.30305550759658201</v>
      </c>
      <c r="Q2066" t="str">
        <f t="shared" si="64"/>
        <v>50+</v>
      </c>
      <c r="R2066" t="str">
        <f t="shared" si="65"/>
        <v>[lLDyBx5XyUi]|50+|Female|TX_CURR_SUBNAT.T_1|CY2023Q3</v>
      </c>
    </row>
    <row r="2067" spans="4:18" x14ac:dyDescent="0.2">
      <c r="D2067" t="s">
        <v>74</v>
      </c>
      <c r="E2067" t="s">
        <v>75</v>
      </c>
      <c r="F2067" t="s">
        <v>76</v>
      </c>
      <c r="G2067" t="s">
        <v>145</v>
      </c>
      <c r="H2067" t="s">
        <v>146</v>
      </c>
      <c r="I2067" t="s">
        <v>27</v>
      </c>
      <c r="J2067" t="s">
        <v>28</v>
      </c>
      <c r="K2067" t="s">
        <v>47</v>
      </c>
      <c r="L2067" t="s">
        <v>48</v>
      </c>
      <c r="M2067" t="s">
        <v>139</v>
      </c>
      <c r="N2067">
        <v>1416</v>
      </c>
      <c r="O2067" s="14">
        <v>0.45165258087217802</v>
      </c>
      <c r="P2067" s="14">
        <v>0.30305550759658201</v>
      </c>
      <c r="Q2067" t="str">
        <f t="shared" si="64"/>
        <v>&lt;01</v>
      </c>
      <c r="R2067" t="str">
        <f t="shared" si="65"/>
        <v>[lLDyBx5XyUi]|&lt;01|Male|TX_CURR_SUBNAT.T_1|CY2023Q3</v>
      </c>
    </row>
    <row r="2068" spans="4:18" x14ac:dyDescent="0.2">
      <c r="D2068" t="s">
        <v>74</v>
      </c>
      <c r="E2068" t="s">
        <v>75</v>
      </c>
      <c r="F2068" t="s">
        <v>76</v>
      </c>
      <c r="G2068" t="s">
        <v>145</v>
      </c>
      <c r="H2068" t="s">
        <v>146</v>
      </c>
      <c r="I2068" t="s">
        <v>32</v>
      </c>
      <c r="J2068" t="s">
        <v>33</v>
      </c>
      <c r="K2068" t="s">
        <v>47</v>
      </c>
      <c r="L2068" t="s">
        <v>48</v>
      </c>
      <c r="M2068" t="s">
        <v>139</v>
      </c>
      <c r="N2068">
        <v>996</v>
      </c>
      <c r="O2068" s="14">
        <v>0.41667916369624403</v>
      </c>
      <c r="P2068" s="14">
        <v>0.30305550759658201</v>
      </c>
      <c r="Q2068" t="str">
        <f t="shared" si="64"/>
        <v>01-09</v>
      </c>
      <c r="R2068" t="str">
        <f t="shared" si="65"/>
        <v>[lLDyBx5XyUi]|01-09|Male|TX_CURR_SUBNAT.T_1|CY2023Q3</v>
      </c>
    </row>
    <row r="2069" spans="4:18" x14ac:dyDescent="0.2">
      <c r="D2069" t="s">
        <v>74</v>
      </c>
      <c r="E2069" t="s">
        <v>75</v>
      </c>
      <c r="F2069" t="s">
        <v>76</v>
      </c>
      <c r="G2069" t="s">
        <v>145</v>
      </c>
      <c r="H2069" t="s">
        <v>146</v>
      </c>
      <c r="I2069" t="s">
        <v>35</v>
      </c>
      <c r="J2069" t="s">
        <v>36</v>
      </c>
      <c r="K2069" t="s">
        <v>47</v>
      </c>
      <c r="L2069" t="s">
        <v>48</v>
      </c>
      <c r="M2069" t="s">
        <v>139</v>
      </c>
      <c r="N2069">
        <v>1912</v>
      </c>
      <c r="O2069" s="14">
        <v>0.49832259258255401</v>
      </c>
      <c r="P2069" s="14">
        <v>0.30305550759658201</v>
      </c>
      <c r="Q2069" t="str">
        <f t="shared" si="64"/>
        <v>10-14</v>
      </c>
      <c r="R2069" t="str">
        <f t="shared" si="65"/>
        <v>[lLDyBx5XyUi]|10-14|Male|TX_CURR_SUBNAT.T_1|CY2023Q3</v>
      </c>
    </row>
    <row r="2070" spans="4:18" x14ac:dyDescent="0.2">
      <c r="D2070" t="s">
        <v>74</v>
      </c>
      <c r="E2070" t="s">
        <v>75</v>
      </c>
      <c r="F2070" t="s">
        <v>76</v>
      </c>
      <c r="G2070" t="s">
        <v>145</v>
      </c>
      <c r="H2070" t="s">
        <v>146</v>
      </c>
      <c r="I2070" t="s">
        <v>37</v>
      </c>
      <c r="J2070" t="s">
        <v>38</v>
      </c>
      <c r="K2070" t="s">
        <v>47</v>
      </c>
      <c r="L2070" t="s">
        <v>48</v>
      </c>
      <c r="M2070" t="s">
        <v>139</v>
      </c>
      <c r="N2070">
        <v>1721</v>
      </c>
      <c r="O2070" s="14">
        <v>0.15146356215700499</v>
      </c>
      <c r="P2070" s="14">
        <v>0.30305550759658201</v>
      </c>
      <c r="Q2070" t="str">
        <f t="shared" si="64"/>
        <v>15-24</v>
      </c>
      <c r="R2070" t="str">
        <f t="shared" si="65"/>
        <v>[lLDyBx5XyUi]|15-24|Male|TX_CURR_SUBNAT.T_1|CY2023Q3</v>
      </c>
    </row>
    <row r="2071" spans="4:18" x14ac:dyDescent="0.2">
      <c r="D2071" t="s">
        <v>74</v>
      </c>
      <c r="E2071" t="s">
        <v>75</v>
      </c>
      <c r="F2071" t="s">
        <v>76</v>
      </c>
      <c r="G2071" t="s">
        <v>145</v>
      </c>
      <c r="H2071" t="s">
        <v>146</v>
      </c>
      <c r="I2071" t="s">
        <v>40</v>
      </c>
      <c r="J2071" t="s">
        <v>41</v>
      </c>
      <c r="K2071" t="s">
        <v>47</v>
      </c>
      <c r="L2071" t="s">
        <v>48</v>
      </c>
      <c r="M2071" t="s">
        <v>139</v>
      </c>
      <c r="N2071">
        <v>988</v>
      </c>
      <c r="O2071" s="14">
        <v>0.914088827790692</v>
      </c>
      <c r="P2071" s="14">
        <v>0.30305550759658201</v>
      </c>
      <c r="Q2071" t="str">
        <f t="shared" si="64"/>
        <v>25-34</v>
      </c>
      <c r="R2071" t="str">
        <f t="shared" si="65"/>
        <v>[lLDyBx5XyUi]|25-34|Male|TX_CURR_SUBNAT.T_1|CY2023Q3</v>
      </c>
    </row>
    <row r="2072" spans="4:18" x14ac:dyDescent="0.2">
      <c r="D2072" t="s">
        <v>74</v>
      </c>
      <c r="E2072" t="s">
        <v>75</v>
      </c>
      <c r="F2072" t="s">
        <v>76</v>
      </c>
      <c r="G2072" t="s">
        <v>145</v>
      </c>
      <c r="H2072" t="s">
        <v>146</v>
      </c>
      <c r="I2072" t="s">
        <v>42</v>
      </c>
      <c r="J2072" t="s">
        <v>43</v>
      </c>
      <c r="K2072" t="s">
        <v>47</v>
      </c>
      <c r="L2072" t="s">
        <v>48</v>
      </c>
      <c r="M2072" t="s">
        <v>139</v>
      </c>
      <c r="N2072">
        <v>1457</v>
      </c>
      <c r="O2072" s="14">
        <v>0.33757641469128402</v>
      </c>
      <c r="P2072" s="14">
        <v>0.30305550759658201</v>
      </c>
      <c r="Q2072" t="str">
        <f t="shared" si="64"/>
        <v>35-49</v>
      </c>
      <c r="R2072" t="str">
        <f t="shared" si="65"/>
        <v>[lLDyBx5XyUi]|35-49|Male|TX_CURR_SUBNAT.T_1|CY2023Q3</v>
      </c>
    </row>
    <row r="2073" spans="4:18" x14ac:dyDescent="0.2">
      <c r="D2073" t="s">
        <v>74</v>
      </c>
      <c r="E2073" t="s">
        <v>75</v>
      </c>
      <c r="F2073" t="s">
        <v>76</v>
      </c>
      <c r="G2073" t="s">
        <v>145</v>
      </c>
      <c r="H2073" t="s">
        <v>146</v>
      </c>
      <c r="I2073" t="s">
        <v>44</v>
      </c>
      <c r="J2073" t="s">
        <v>45</v>
      </c>
      <c r="K2073" t="s">
        <v>47</v>
      </c>
      <c r="L2073" t="s">
        <v>48</v>
      </c>
      <c r="M2073" t="s">
        <v>139</v>
      </c>
      <c r="N2073">
        <v>1851</v>
      </c>
      <c r="O2073" s="14">
        <v>0.78109118691645596</v>
      </c>
      <c r="P2073" s="14">
        <v>0.30305550759658201</v>
      </c>
      <c r="Q2073" t="str">
        <f t="shared" si="64"/>
        <v>50+</v>
      </c>
      <c r="R2073" t="str">
        <f t="shared" si="65"/>
        <v>[lLDyBx5XyUi]|50+|Male|TX_CURR_SUBNAT.T_1|CY2023Q3</v>
      </c>
    </row>
    <row r="2074" spans="4:18" x14ac:dyDescent="0.2">
      <c r="D2074" t="s">
        <v>77</v>
      </c>
      <c r="E2074" t="s">
        <v>78</v>
      </c>
      <c r="F2074" t="s">
        <v>79</v>
      </c>
      <c r="G2074" t="s">
        <v>145</v>
      </c>
      <c r="H2074" t="s">
        <v>146</v>
      </c>
      <c r="I2074" t="s">
        <v>27</v>
      </c>
      <c r="J2074" t="s">
        <v>28</v>
      </c>
      <c r="K2074" t="s">
        <v>29</v>
      </c>
      <c r="L2074" t="s">
        <v>30</v>
      </c>
      <c r="M2074" t="s">
        <v>139</v>
      </c>
      <c r="N2074">
        <v>1658</v>
      </c>
      <c r="O2074" s="14">
        <v>0.25856784358620599</v>
      </c>
      <c r="P2074" s="14">
        <v>0.83159798220731296</v>
      </c>
      <c r="Q2074" t="str">
        <f t="shared" si="64"/>
        <v>&lt;01</v>
      </c>
      <c r="R2074" t="str">
        <f t="shared" si="65"/>
        <v>[TYnMSwzko3z]|&lt;01|Female|TX_CURR_SUBNAT.T_1|CY2023Q3</v>
      </c>
    </row>
    <row r="2075" spans="4:18" x14ac:dyDescent="0.2">
      <c r="D2075" t="s">
        <v>77</v>
      </c>
      <c r="E2075" t="s">
        <v>78</v>
      </c>
      <c r="F2075" t="s">
        <v>79</v>
      </c>
      <c r="G2075" t="s">
        <v>145</v>
      </c>
      <c r="H2075" t="s">
        <v>146</v>
      </c>
      <c r="I2075" t="s">
        <v>32</v>
      </c>
      <c r="J2075" t="s">
        <v>33</v>
      </c>
      <c r="K2075" t="s">
        <v>29</v>
      </c>
      <c r="L2075" t="s">
        <v>30</v>
      </c>
      <c r="M2075" t="s">
        <v>139</v>
      </c>
      <c r="N2075">
        <v>1993</v>
      </c>
      <c r="O2075" s="14">
        <v>0.62577759730629601</v>
      </c>
      <c r="P2075" s="14">
        <v>0.83159798220731296</v>
      </c>
      <c r="Q2075" t="str">
        <f t="shared" si="64"/>
        <v>01-09</v>
      </c>
      <c r="R2075" t="str">
        <f t="shared" si="65"/>
        <v>[TYnMSwzko3z]|01-09|Female|TX_CURR_SUBNAT.T_1|CY2023Q3</v>
      </c>
    </row>
    <row r="2076" spans="4:18" x14ac:dyDescent="0.2">
      <c r="D2076" t="s">
        <v>77</v>
      </c>
      <c r="E2076" t="s">
        <v>78</v>
      </c>
      <c r="F2076" t="s">
        <v>79</v>
      </c>
      <c r="G2076" t="s">
        <v>145</v>
      </c>
      <c r="H2076" t="s">
        <v>146</v>
      </c>
      <c r="I2076" t="s">
        <v>35</v>
      </c>
      <c r="J2076" t="s">
        <v>36</v>
      </c>
      <c r="K2076" t="s">
        <v>29</v>
      </c>
      <c r="L2076" t="s">
        <v>30</v>
      </c>
      <c r="M2076" t="s">
        <v>139</v>
      </c>
      <c r="N2076">
        <v>1136</v>
      </c>
      <c r="O2076" s="14">
        <v>0.51721843890845798</v>
      </c>
      <c r="P2076" s="14">
        <v>0.83159798220731296</v>
      </c>
      <c r="Q2076" t="str">
        <f t="shared" si="64"/>
        <v>10-14</v>
      </c>
      <c r="R2076" t="str">
        <f t="shared" si="65"/>
        <v>[TYnMSwzko3z]|10-14|Female|TX_CURR_SUBNAT.T_1|CY2023Q3</v>
      </c>
    </row>
    <row r="2077" spans="4:18" x14ac:dyDescent="0.2">
      <c r="D2077" t="s">
        <v>77</v>
      </c>
      <c r="E2077" t="s">
        <v>78</v>
      </c>
      <c r="F2077" t="s">
        <v>79</v>
      </c>
      <c r="G2077" t="s">
        <v>145</v>
      </c>
      <c r="H2077" t="s">
        <v>146</v>
      </c>
      <c r="I2077" t="s">
        <v>37</v>
      </c>
      <c r="J2077" t="s">
        <v>38</v>
      </c>
      <c r="K2077" t="s">
        <v>29</v>
      </c>
      <c r="L2077" t="s">
        <v>30</v>
      </c>
      <c r="M2077" t="s">
        <v>139</v>
      </c>
      <c r="N2077">
        <v>517</v>
      </c>
      <c r="O2077" s="14">
        <v>0.16036881646141399</v>
      </c>
      <c r="P2077" s="14">
        <v>0.83159798220731296</v>
      </c>
      <c r="Q2077" t="str">
        <f t="shared" si="64"/>
        <v>15-24</v>
      </c>
      <c r="R2077" t="str">
        <f t="shared" si="65"/>
        <v>[TYnMSwzko3z]|15-24|Female|TX_CURR_SUBNAT.T_1|CY2023Q3</v>
      </c>
    </row>
    <row r="2078" spans="4:18" x14ac:dyDescent="0.2">
      <c r="D2078" t="s">
        <v>77</v>
      </c>
      <c r="E2078" t="s">
        <v>78</v>
      </c>
      <c r="F2078" t="s">
        <v>79</v>
      </c>
      <c r="G2078" t="s">
        <v>145</v>
      </c>
      <c r="H2078" t="s">
        <v>146</v>
      </c>
      <c r="I2078" t="s">
        <v>40</v>
      </c>
      <c r="J2078" t="s">
        <v>41</v>
      </c>
      <c r="K2078" t="s">
        <v>29</v>
      </c>
      <c r="L2078" t="s">
        <v>30</v>
      </c>
      <c r="M2078" t="s">
        <v>139</v>
      </c>
      <c r="N2078">
        <v>1140</v>
      </c>
      <c r="O2078" s="14">
        <v>0.287451092153788</v>
      </c>
      <c r="P2078" s="14">
        <v>0.83159798220731296</v>
      </c>
      <c r="Q2078" t="str">
        <f t="shared" si="64"/>
        <v>25-34</v>
      </c>
      <c r="R2078" t="str">
        <f t="shared" si="65"/>
        <v>[TYnMSwzko3z]|25-34|Female|TX_CURR_SUBNAT.T_1|CY2023Q3</v>
      </c>
    </row>
    <row r="2079" spans="4:18" x14ac:dyDescent="0.2">
      <c r="D2079" t="s">
        <v>77</v>
      </c>
      <c r="E2079" t="s">
        <v>78</v>
      </c>
      <c r="F2079" t="s">
        <v>79</v>
      </c>
      <c r="G2079" t="s">
        <v>145</v>
      </c>
      <c r="H2079" t="s">
        <v>146</v>
      </c>
      <c r="I2079" t="s">
        <v>42</v>
      </c>
      <c r="J2079" t="s">
        <v>43</v>
      </c>
      <c r="K2079" t="s">
        <v>29</v>
      </c>
      <c r="L2079" t="s">
        <v>30</v>
      </c>
      <c r="M2079" t="s">
        <v>139</v>
      </c>
      <c r="N2079">
        <v>1271</v>
      </c>
      <c r="O2079" s="14">
        <v>0.95581973413936805</v>
      </c>
      <c r="P2079" s="14">
        <v>0.83159798220731296</v>
      </c>
      <c r="Q2079" t="str">
        <f t="shared" si="64"/>
        <v>35-49</v>
      </c>
      <c r="R2079" t="str">
        <f t="shared" si="65"/>
        <v>[TYnMSwzko3z]|35-49|Female|TX_CURR_SUBNAT.T_1|CY2023Q3</v>
      </c>
    </row>
    <row r="2080" spans="4:18" x14ac:dyDescent="0.2">
      <c r="D2080" t="s">
        <v>77</v>
      </c>
      <c r="E2080" t="s">
        <v>78</v>
      </c>
      <c r="F2080" t="s">
        <v>79</v>
      </c>
      <c r="G2080" t="s">
        <v>145</v>
      </c>
      <c r="H2080" t="s">
        <v>146</v>
      </c>
      <c r="I2080" t="s">
        <v>44</v>
      </c>
      <c r="J2080" t="s">
        <v>45</v>
      </c>
      <c r="K2080" t="s">
        <v>29</v>
      </c>
      <c r="L2080" t="s">
        <v>30</v>
      </c>
      <c r="M2080" t="s">
        <v>139</v>
      </c>
      <c r="N2080">
        <v>1456</v>
      </c>
      <c r="O2080" s="14">
        <v>0.46949716680683201</v>
      </c>
      <c r="P2080" s="14">
        <v>0.83159798220731296</v>
      </c>
      <c r="Q2080" t="str">
        <f t="shared" si="64"/>
        <v>50+</v>
      </c>
      <c r="R2080" t="str">
        <f t="shared" si="65"/>
        <v>[TYnMSwzko3z]|50+|Female|TX_CURR_SUBNAT.T_1|CY2023Q3</v>
      </c>
    </row>
    <row r="2081" spans="4:18" x14ac:dyDescent="0.2">
      <c r="D2081" t="s">
        <v>77</v>
      </c>
      <c r="E2081" t="s">
        <v>78</v>
      </c>
      <c r="F2081" t="s">
        <v>79</v>
      </c>
      <c r="G2081" t="s">
        <v>145</v>
      </c>
      <c r="H2081" t="s">
        <v>146</v>
      </c>
      <c r="I2081" t="s">
        <v>27</v>
      </c>
      <c r="J2081" t="s">
        <v>28</v>
      </c>
      <c r="K2081" t="s">
        <v>47</v>
      </c>
      <c r="L2081" t="s">
        <v>48</v>
      </c>
      <c r="M2081" t="s">
        <v>139</v>
      </c>
      <c r="N2081">
        <v>666</v>
      </c>
      <c r="O2081" s="14">
        <v>0.61600962257944003</v>
      </c>
      <c r="P2081" s="14">
        <v>0.83159798220731296</v>
      </c>
      <c r="Q2081" t="str">
        <f t="shared" si="64"/>
        <v>&lt;01</v>
      </c>
      <c r="R2081" t="str">
        <f t="shared" si="65"/>
        <v>[TYnMSwzko3z]|&lt;01|Male|TX_CURR_SUBNAT.T_1|CY2023Q3</v>
      </c>
    </row>
    <row r="2082" spans="4:18" x14ac:dyDescent="0.2">
      <c r="D2082" t="s">
        <v>77</v>
      </c>
      <c r="E2082" t="s">
        <v>78</v>
      </c>
      <c r="F2082" t="s">
        <v>79</v>
      </c>
      <c r="G2082" t="s">
        <v>145</v>
      </c>
      <c r="H2082" t="s">
        <v>146</v>
      </c>
      <c r="I2082" t="s">
        <v>32</v>
      </c>
      <c r="J2082" t="s">
        <v>33</v>
      </c>
      <c r="K2082" t="s">
        <v>47</v>
      </c>
      <c r="L2082" t="s">
        <v>48</v>
      </c>
      <c r="M2082" t="s">
        <v>139</v>
      </c>
      <c r="N2082">
        <v>1445</v>
      </c>
      <c r="O2082" s="14">
        <v>0.530268850969151</v>
      </c>
      <c r="P2082" s="14">
        <v>0.83159798220731296</v>
      </c>
      <c r="Q2082" t="str">
        <f t="shared" si="64"/>
        <v>01-09</v>
      </c>
      <c r="R2082" t="str">
        <f t="shared" si="65"/>
        <v>[TYnMSwzko3z]|01-09|Male|TX_CURR_SUBNAT.T_1|CY2023Q3</v>
      </c>
    </row>
    <row r="2083" spans="4:18" x14ac:dyDescent="0.2">
      <c r="D2083" t="s">
        <v>77</v>
      </c>
      <c r="E2083" t="s">
        <v>78</v>
      </c>
      <c r="F2083" t="s">
        <v>79</v>
      </c>
      <c r="G2083" t="s">
        <v>145</v>
      </c>
      <c r="H2083" t="s">
        <v>146</v>
      </c>
      <c r="I2083" t="s">
        <v>35</v>
      </c>
      <c r="J2083" t="s">
        <v>36</v>
      </c>
      <c r="K2083" t="s">
        <v>47</v>
      </c>
      <c r="L2083" t="s">
        <v>48</v>
      </c>
      <c r="M2083" t="s">
        <v>139</v>
      </c>
      <c r="N2083">
        <v>1805</v>
      </c>
      <c r="O2083" s="14">
        <v>0.70359109784476503</v>
      </c>
      <c r="P2083" s="14">
        <v>0.83159798220731296</v>
      </c>
      <c r="Q2083" t="str">
        <f t="shared" si="64"/>
        <v>10-14</v>
      </c>
      <c r="R2083" t="str">
        <f t="shared" si="65"/>
        <v>[TYnMSwzko3z]|10-14|Male|TX_CURR_SUBNAT.T_1|CY2023Q3</v>
      </c>
    </row>
    <row r="2084" spans="4:18" x14ac:dyDescent="0.2">
      <c r="D2084" t="s">
        <v>77</v>
      </c>
      <c r="E2084" t="s">
        <v>78</v>
      </c>
      <c r="F2084" t="s">
        <v>79</v>
      </c>
      <c r="G2084" t="s">
        <v>145</v>
      </c>
      <c r="H2084" t="s">
        <v>146</v>
      </c>
      <c r="I2084" t="s">
        <v>37</v>
      </c>
      <c r="J2084" t="s">
        <v>38</v>
      </c>
      <c r="K2084" t="s">
        <v>47</v>
      </c>
      <c r="L2084" t="s">
        <v>48</v>
      </c>
      <c r="M2084" t="s">
        <v>139</v>
      </c>
      <c r="N2084">
        <v>856</v>
      </c>
      <c r="O2084" s="14">
        <v>0.93328415253199604</v>
      </c>
      <c r="P2084" s="14">
        <v>0.83159798220731296</v>
      </c>
      <c r="Q2084" t="str">
        <f t="shared" si="64"/>
        <v>15-24</v>
      </c>
      <c r="R2084" t="str">
        <f t="shared" si="65"/>
        <v>[TYnMSwzko3z]|15-24|Male|TX_CURR_SUBNAT.T_1|CY2023Q3</v>
      </c>
    </row>
    <row r="2085" spans="4:18" x14ac:dyDescent="0.2">
      <c r="D2085" t="s">
        <v>77</v>
      </c>
      <c r="E2085" t="s">
        <v>78</v>
      </c>
      <c r="F2085" t="s">
        <v>79</v>
      </c>
      <c r="G2085" t="s">
        <v>145</v>
      </c>
      <c r="H2085" t="s">
        <v>146</v>
      </c>
      <c r="I2085" t="s">
        <v>40</v>
      </c>
      <c r="J2085" t="s">
        <v>41</v>
      </c>
      <c r="K2085" t="s">
        <v>47</v>
      </c>
      <c r="L2085" t="s">
        <v>48</v>
      </c>
      <c r="M2085" t="s">
        <v>139</v>
      </c>
      <c r="N2085">
        <v>575</v>
      </c>
      <c r="O2085" s="14">
        <v>0.31069269636645902</v>
      </c>
      <c r="P2085" s="14">
        <v>0.83159798220731296</v>
      </c>
      <c r="Q2085" t="str">
        <f t="shared" si="64"/>
        <v>25-34</v>
      </c>
      <c r="R2085" t="str">
        <f t="shared" si="65"/>
        <v>[TYnMSwzko3z]|25-34|Male|TX_CURR_SUBNAT.T_1|CY2023Q3</v>
      </c>
    </row>
    <row r="2086" spans="4:18" x14ac:dyDescent="0.2">
      <c r="D2086" t="s">
        <v>77</v>
      </c>
      <c r="E2086" t="s">
        <v>78</v>
      </c>
      <c r="F2086" t="s">
        <v>79</v>
      </c>
      <c r="G2086" t="s">
        <v>145</v>
      </c>
      <c r="H2086" t="s">
        <v>146</v>
      </c>
      <c r="I2086" t="s">
        <v>42</v>
      </c>
      <c r="J2086" t="s">
        <v>43</v>
      </c>
      <c r="K2086" t="s">
        <v>47</v>
      </c>
      <c r="L2086" t="s">
        <v>48</v>
      </c>
      <c r="M2086" t="s">
        <v>139</v>
      </c>
      <c r="N2086">
        <v>1762</v>
      </c>
      <c r="O2086" s="14">
        <v>0.918930194806308</v>
      </c>
      <c r="P2086" s="14">
        <v>0.83159798220731296</v>
      </c>
      <c r="Q2086" t="str">
        <f t="shared" si="64"/>
        <v>35-49</v>
      </c>
      <c r="R2086" t="str">
        <f t="shared" si="65"/>
        <v>[TYnMSwzko3z]|35-49|Male|TX_CURR_SUBNAT.T_1|CY2023Q3</v>
      </c>
    </row>
    <row r="2087" spans="4:18" x14ac:dyDescent="0.2">
      <c r="D2087" t="s">
        <v>77</v>
      </c>
      <c r="E2087" t="s">
        <v>78</v>
      </c>
      <c r="F2087" t="s">
        <v>79</v>
      </c>
      <c r="G2087" t="s">
        <v>145</v>
      </c>
      <c r="H2087" t="s">
        <v>146</v>
      </c>
      <c r="I2087" t="s">
        <v>44</v>
      </c>
      <c r="J2087" t="s">
        <v>45</v>
      </c>
      <c r="K2087" t="s">
        <v>47</v>
      </c>
      <c r="L2087" t="s">
        <v>48</v>
      </c>
      <c r="M2087" t="s">
        <v>139</v>
      </c>
      <c r="N2087">
        <v>971</v>
      </c>
      <c r="O2087" s="14">
        <v>0.58321544807404302</v>
      </c>
      <c r="P2087" s="14">
        <v>0.83159798220731296</v>
      </c>
      <c r="Q2087" t="str">
        <f t="shared" si="64"/>
        <v>50+</v>
      </c>
      <c r="R2087" t="str">
        <f t="shared" si="65"/>
        <v>[TYnMSwzko3z]|50+|Male|TX_CURR_SUBNAT.T_1|CY2023Q3</v>
      </c>
    </row>
    <row r="2088" spans="4:18" x14ac:dyDescent="0.2">
      <c r="D2088" t="s">
        <v>80</v>
      </c>
      <c r="E2088" t="s">
        <v>81</v>
      </c>
      <c r="F2088" t="s">
        <v>82</v>
      </c>
      <c r="G2088" t="s">
        <v>145</v>
      </c>
      <c r="H2088" t="s">
        <v>146</v>
      </c>
      <c r="I2088" t="s">
        <v>27</v>
      </c>
      <c r="J2088" t="s">
        <v>28</v>
      </c>
      <c r="K2088" t="s">
        <v>29</v>
      </c>
      <c r="L2088" t="s">
        <v>30</v>
      </c>
      <c r="M2088" t="s">
        <v>139</v>
      </c>
      <c r="N2088">
        <v>647</v>
      </c>
      <c r="O2088" s="14">
        <v>0.78734943247400202</v>
      </c>
      <c r="P2088" s="14">
        <v>0.14333142153918699</v>
      </c>
      <c r="Q2088" t="str">
        <f t="shared" si="64"/>
        <v>&lt;01</v>
      </c>
      <c r="R2088" t="str">
        <f t="shared" si="65"/>
        <v>[ir8wuHHzoSs]|&lt;01|Female|TX_CURR_SUBNAT.T_1|CY2023Q3</v>
      </c>
    </row>
    <row r="2089" spans="4:18" x14ac:dyDescent="0.2">
      <c r="D2089" t="s">
        <v>80</v>
      </c>
      <c r="E2089" t="s">
        <v>81</v>
      </c>
      <c r="F2089" t="s">
        <v>82</v>
      </c>
      <c r="G2089" t="s">
        <v>145</v>
      </c>
      <c r="H2089" t="s">
        <v>146</v>
      </c>
      <c r="I2089" t="s">
        <v>32</v>
      </c>
      <c r="J2089" t="s">
        <v>33</v>
      </c>
      <c r="K2089" t="s">
        <v>29</v>
      </c>
      <c r="L2089" t="s">
        <v>30</v>
      </c>
      <c r="M2089" t="s">
        <v>139</v>
      </c>
      <c r="N2089">
        <v>1959</v>
      </c>
      <c r="O2089" s="14">
        <v>0.46131154103204602</v>
      </c>
      <c r="P2089" s="14">
        <v>0.14333142153918699</v>
      </c>
      <c r="Q2089" t="str">
        <f t="shared" si="64"/>
        <v>01-09</v>
      </c>
      <c r="R2089" t="str">
        <f t="shared" si="65"/>
        <v>[ir8wuHHzoSs]|01-09|Female|TX_CURR_SUBNAT.T_1|CY2023Q3</v>
      </c>
    </row>
    <row r="2090" spans="4:18" x14ac:dyDescent="0.2">
      <c r="D2090" t="s">
        <v>80</v>
      </c>
      <c r="E2090" t="s">
        <v>81</v>
      </c>
      <c r="F2090" t="s">
        <v>82</v>
      </c>
      <c r="G2090" t="s">
        <v>145</v>
      </c>
      <c r="H2090" t="s">
        <v>146</v>
      </c>
      <c r="I2090" t="s">
        <v>35</v>
      </c>
      <c r="J2090" t="s">
        <v>36</v>
      </c>
      <c r="K2090" t="s">
        <v>29</v>
      </c>
      <c r="L2090" t="s">
        <v>30</v>
      </c>
      <c r="M2090" t="s">
        <v>139</v>
      </c>
      <c r="N2090">
        <v>1579</v>
      </c>
      <c r="O2090" s="14">
        <v>0.49023572029545898</v>
      </c>
      <c r="P2090" s="14">
        <v>0.14333142153918699</v>
      </c>
      <c r="Q2090" t="str">
        <f t="shared" si="64"/>
        <v>10-14</v>
      </c>
      <c r="R2090" t="str">
        <f t="shared" si="65"/>
        <v>[ir8wuHHzoSs]|10-14|Female|TX_CURR_SUBNAT.T_1|CY2023Q3</v>
      </c>
    </row>
    <row r="2091" spans="4:18" x14ac:dyDescent="0.2">
      <c r="D2091" t="s">
        <v>80</v>
      </c>
      <c r="E2091" t="s">
        <v>81</v>
      </c>
      <c r="F2091" t="s">
        <v>82</v>
      </c>
      <c r="G2091" t="s">
        <v>145</v>
      </c>
      <c r="H2091" t="s">
        <v>146</v>
      </c>
      <c r="I2091" t="s">
        <v>37</v>
      </c>
      <c r="J2091" t="s">
        <v>38</v>
      </c>
      <c r="K2091" t="s">
        <v>29</v>
      </c>
      <c r="L2091" t="s">
        <v>30</v>
      </c>
      <c r="M2091" t="s">
        <v>139</v>
      </c>
      <c r="N2091">
        <v>1718</v>
      </c>
      <c r="O2091" s="14">
        <v>2.0385282812640099E-2</v>
      </c>
      <c r="P2091" s="14">
        <v>0.14333142153918699</v>
      </c>
      <c r="Q2091" t="str">
        <f t="shared" si="64"/>
        <v>15-24</v>
      </c>
      <c r="R2091" t="str">
        <f t="shared" si="65"/>
        <v>[ir8wuHHzoSs]|15-24|Female|TX_CURR_SUBNAT.T_1|CY2023Q3</v>
      </c>
    </row>
    <row r="2092" spans="4:18" x14ac:dyDescent="0.2">
      <c r="D2092" t="s">
        <v>80</v>
      </c>
      <c r="E2092" t="s">
        <v>81</v>
      </c>
      <c r="F2092" t="s">
        <v>82</v>
      </c>
      <c r="G2092" t="s">
        <v>145</v>
      </c>
      <c r="H2092" t="s">
        <v>146</v>
      </c>
      <c r="I2092" t="s">
        <v>40</v>
      </c>
      <c r="J2092" t="s">
        <v>41</v>
      </c>
      <c r="K2092" t="s">
        <v>29</v>
      </c>
      <c r="L2092" t="s">
        <v>30</v>
      </c>
      <c r="M2092" t="s">
        <v>139</v>
      </c>
      <c r="N2092">
        <v>577</v>
      </c>
      <c r="O2092" s="14">
        <v>0.38514693244360398</v>
      </c>
      <c r="P2092" s="14">
        <v>0.14333142153918699</v>
      </c>
      <c r="Q2092" t="str">
        <f t="shared" si="64"/>
        <v>25-34</v>
      </c>
      <c r="R2092" t="str">
        <f t="shared" si="65"/>
        <v>[ir8wuHHzoSs]|25-34|Female|TX_CURR_SUBNAT.T_1|CY2023Q3</v>
      </c>
    </row>
    <row r="2093" spans="4:18" x14ac:dyDescent="0.2">
      <c r="D2093" t="s">
        <v>80</v>
      </c>
      <c r="E2093" t="s">
        <v>81</v>
      </c>
      <c r="F2093" t="s">
        <v>82</v>
      </c>
      <c r="G2093" t="s">
        <v>145</v>
      </c>
      <c r="H2093" t="s">
        <v>146</v>
      </c>
      <c r="I2093" t="s">
        <v>42</v>
      </c>
      <c r="J2093" t="s">
        <v>43</v>
      </c>
      <c r="K2093" t="s">
        <v>29</v>
      </c>
      <c r="L2093" t="s">
        <v>30</v>
      </c>
      <c r="M2093" t="s">
        <v>139</v>
      </c>
      <c r="N2093">
        <v>1095</v>
      </c>
      <c r="O2093" s="14">
        <v>0.58448781957849905</v>
      </c>
      <c r="P2093" s="14">
        <v>0.14333142153918699</v>
      </c>
      <c r="Q2093" t="str">
        <f t="shared" si="64"/>
        <v>35-49</v>
      </c>
      <c r="R2093" t="str">
        <f t="shared" si="65"/>
        <v>[ir8wuHHzoSs]|35-49|Female|TX_CURR_SUBNAT.T_1|CY2023Q3</v>
      </c>
    </row>
    <row r="2094" spans="4:18" x14ac:dyDescent="0.2">
      <c r="D2094" t="s">
        <v>80</v>
      </c>
      <c r="E2094" t="s">
        <v>81</v>
      </c>
      <c r="F2094" t="s">
        <v>82</v>
      </c>
      <c r="G2094" t="s">
        <v>145</v>
      </c>
      <c r="H2094" t="s">
        <v>146</v>
      </c>
      <c r="I2094" t="s">
        <v>44</v>
      </c>
      <c r="J2094" t="s">
        <v>45</v>
      </c>
      <c r="K2094" t="s">
        <v>29</v>
      </c>
      <c r="L2094" t="s">
        <v>30</v>
      </c>
      <c r="M2094" t="s">
        <v>139</v>
      </c>
      <c r="N2094">
        <v>1236</v>
      </c>
      <c r="O2094" s="14">
        <v>0.49567070300690802</v>
      </c>
      <c r="P2094" s="14">
        <v>0.14333142153918699</v>
      </c>
      <c r="Q2094" t="str">
        <f t="shared" si="64"/>
        <v>50+</v>
      </c>
      <c r="R2094" t="str">
        <f t="shared" si="65"/>
        <v>[ir8wuHHzoSs]|50+|Female|TX_CURR_SUBNAT.T_1|CY2023Q3</v>
      </c>
    </row>
    <row r="2095" spans="4:18" x14ac:dyDescent="0.2">
      <c r="D2095" t="s">
        <v>80</v>
      </c>
      <c r="E2095" t="s">
        <v>81</v>
      </c>
      <c r="F2095" t="s">
        <v>82</v>
      </c>
      <c r="G2095" t="s">
        <v>145</v>
      </c>
      <c r="H2095" t="s">
        <v>146</v>
      </c>
      <c r="I2095" t="s">
        <v>27</v>
      </c>
      <c r="J2095" t="s">
        <v>28</v>
      </c>
      <c r="K2095" t="s">
        <v>47</v>
      </c>
      <c r="L2095" t="s">
        <v>48</v>
      </c>
      <c r="M2095" t="s">
        <v>139</v>
      </c>
      <c r="N2095">
        <v>954</v>
      </c>
      <c r="O2095" s="14">
        <v>0.75690188817679904</v>
      </c>
      <c r="P2095" s="14">
        <v>0.14333142153918699</v>
      </c>
      <c r="Q2095" t="str">
        <f t="shared" si="64"/>
        <v>&lt;01</v>
      </c>
      <c r="R2095" t="str">
        <f t="shared" si="65"/>
        <v>[ir8wuHHzoSs]|&lt;01|Male|TX_CURR_SUBNAT.T_1|CY2023Q3</v>
      </c>
    </row>
    <row r="2096" spans="4:18" x14ac:dyDescent="0.2">
      <c r="D2096" t="s">
        <v>80</v>
      </c>
      <c r="E2096" t="s">
        <v>81</v>
      </c>
      <c r="F2096" t="s">
        <v>82</v>
      </c>
      <c r="G2096" t="s">
        <v>145</v>
      </c>
      <c r="H2096" t="s">
        <v>146</v>
      </c>
      <c r="I2096" t="s">
        <v>32</v>
      </c>
      <c r="J2096" t="s">
        <v>33</v>
      </c>
      <c r="K2096" t="s">
        <v>47</v>
      </c>
      <c r="L2096" t="s">
        <v>48</v>
      </c>
      <c r="M2096" t="s">
        <v>139</v>
      </c>
      <c r="N2096">
        <v>1651</v>
      </c>
      <c r="O2096" s="14">
        <v>0.51988674188032702</v>
      </c>
      <c r="P2096" s="14">
        <v>0.14333142153918699</v>
      </c>
      <c r="Q2096" t="str">
        <f t="shared" si="64"/>
        <v>01-09</v>
      </c>
      <c r="R2096" t="str">
        <f t="shared" si="65"/>
        <v>[ir8wuHHzoSs]|01-09|Male|TX_CURR_SUBNAT.T_1|CY2023Q3</v>
      </c>
    </row>
    <row r="2097" spans="4:18" x14ac:dyDescent="0.2">
      <c r="D2097" t="s">
        <v>80</v>
      </c>
      <c r="E2097" t="s">
        <v>81</v>
      </c>
      <c r="F2097" t="s">
        <v>82</v>
      </c>
      <c r="G2097" t="s">
        <v>145</v>
      </c>
      <c r="H2097" t="s">
        <v>146</v>
      </c>
      <c r="I2097" t="s">
        <v>35</v>
      </c>
      <c r="J2097" t="s">
        <v>36</v>
      </c>
      <c r="K2097" t="s">
        <v>47</v>
      </c>
      <c r="L2097" t="s">
        <v>48</v>
      </c>
      <c r="M2097" t="s">
        <v>139</v>
      </c>
      <c r="N2097">
        <v>1419</v>
      </c>
      <c r="O2097" s="14">
        <v>0.169831252191216</v>
      </c>
      <c r="P2097" s="14">
        <v>0.14333142153918699</v>
      </c>
      <c r="Q2097" t="str">
        <f t="shared" si="64"/>
        <v>10-14</v>
      </c>
      <c r="R2097" t="str">
        <f t="shared" si="65"/>
        <v>[ir8wuHHzoSs]|10-14|Male|TX_CURR_SUBNAT.T_1|CY2023Q3</v>
      </c>
    </row>
    <row r="2098" spans="4:18" x14ac:dyDescent="0.2">
      <c r="D2098" t="s">
        <v>80</v>
      </c>
      <c r="E2098" t="s">
        <v>81</v>
      </c>
      <c r="F2098" t="s">
        <v>82</v>
      </c>
      <c r="G2098" t="s">
        <v>145</v>
      </c>
      <c r="H2098" t="s">
        <v>146</v>
      </c>
      <c r="I2098" t="s">
        <v>37</v>
      </c>
      <c r="J2098" t="s">
        <v>38</v>
      </c>
      <c r="K2098" t="s">
        <v>47</v>
      </c>
      <c r="L2098" t="s">
        <v>48</v>
      </c>
      <c r="M2098" t="s">
        <v>139</v>
      </c>
      <c r="N2098">
        <v>1401</v>
      </c>
      <c r="O2098" s="14">
        <v>0.860904889879748</v>
      </c>
      <c r="P2098" s="14">
        <v>0.14333142153918699</v>
      </c>
      <c r="Q2098" t="str">
        <f t="shared" si="64"/>
        <v>15-24</v>
      </c>
      <c r="R2098" t="str">
        <f t="shared" si="65"/>
        <v>[ir8wuHHzoSs]|15-24|Male|TX_CURR_SUBNAT.T_1|CY2023Q3</v>
      </c>
    </row>
    <row r="2099" spans="4:18" x14ac:dyDescent="0.2">
      <c r="D2099" t="s">
        <v>80</v>
      </c>
      <c r="E2099" t="s">
        <v>81</v>
      </c>
      <c r="F2099" t="s">
        <v>82</v>
      </c>
      <c r="G2099" t="s">
        <v>145</v>
      </c>
      <c r="H2099" t="s">
        <v>146</v>
      </c>
      <c r="I2099" t="s">
        <v>40</v>
      </c>
      <c r="J2099" t="s">
        <v>41</v>
      </c>
      <c r="K2099" t="s">
        <v>47</v>
      </c>
      <c r="L2099" t="s">
        <v>48</v>
      </c>
      <c r="M2099" t="s">
        <v>139</v>
      </c>
      <c r="N2099">
        <v>991</v>
      </c>
      <c r="O2099" s="14">
        <v>0.96042286045849301</v>
      </c>
      <c r="P2099" s="14">
        <v>0.14333142153918699</v>
      </c>
      <c r="Q2099" t="str">
        <f t="shared" si="64"/>
        <v>25-34</v>
      </c>
      <c r="R2099" t="str">
        <f t="shared" si="65"/>
        <v>[ir8wuHHzoSs]|25-34|Male|TX_CURR_SUBNAT.T_1|CY2023Q3</v>
      </c>
    </row>
    <row r="2100" spans="4:18" x14ac:dyDescent="0.2">
      <c r="D2100" t="s">
        <v>80</v>
      </c>
      <c r="E2100" t="s">
        <v>81</v>
      </c>
      <c r="F2100" t="s">
        <v>82</v>
      </c>
      <c r="G2100" t="s">
        <v>145</v>
      </c>
      <c r="H2100" t="s">
        <v>146</v>
      </c>
      <c r="I2100" t="s">
        <v>42</v>
      </c>
      <c r="J2100" t="s">
        <v>43</v>
      </c>
      <c r="K2100" t="s">
        <v>47</v>
      </c>
      <c r="L2100" t="s">
        <v>48</v>
      </c>
      <c r="M2100" t="s">
        <v>139</v>
      </c>
      <c r="N2100">
        <v>1985</v>
      </c>
      <c r="O2100" s="14">
        <v>0.43820320814847902</v>
      </c>
      <c r="P2100" s="14">
        <v>0.14333142153918699</v>
      </c>
      <c r="Q2100" t="str">
        <f t="shared" si="64"/>
        <v>35-49</v>
      </c>
      <c r="R2100" t="str">
        <f t="shared" si="65"/>
        <v>[ir8wuHHzoSs]|35-49|Male|TX_CURR_SUBNAT.T_1|CY2023Q3</v>
      </c>
    </row>
    <row r="2101" spans="4:18" x14ac:dyDescent="0.2">
      <c r="D2101" t="s">
        <v>80</v>
      </c>
      <c r="E2101" t="s">
        <v>81</v>
      </c>
      <c r="F2101" t="s">
        <v>82</v>
      </c>
      <c r="G2101" t="s">
        <v>145</v>
      </c>
      <c r="H2101" t="s">
        <v>146</v>
      </c>
      <c r="I2101" t="s">
        <v>44</v>
      </c>
      <c r="J2101" t="s">
        <v>45</v>
      </c>
      <c r="K2101" t="s">
        <v>47</v>
      </c>
      <c r="L2101" t="s">
        <v>48</v>
      </c>
      <c r="M2101" t="s">
        <v>139</v>
      </c>
      <c r="N2101">
        <v>1557</v>
      </c>
      <c r="O2101" s="14">
        <v>0.13841094821691499</v>
      </c>
      <c r="P2101" s="14">
        <v>0.14333142153918699</v>
      </c>
      <c r="Q2101" t="str">
        <f t="shared" si="64"/>
        <v>50+</v>
      </c>
      <c r="R2101" t="str">
        <f t="shared" si="65"/>
        <v>[ir8wuHHzoSs]|50+|Male|TX_CURR_SUBNAT.T_1|CY2023Q3</v>
      </c>
    </row>
    <row r="2102" spans="4:18" x14ac:dyDescent="0.2">
      <c r="D2102" t="s">
        <v>83</v>
      </c>
      <c r="E2102" t="s">
        <v>84</v>
      </c>
      <c r="F2102" t="s">
        <v>85</v>
      </c>
      <c r="G2102" t="s">
        <v>145</v>
      </c>
      <c r="H2102" t="s">
        <v>146</v>
      </c>
      <c r="I2102" t="s">
        <v>27</v>
      </c>
      <c r="J2102" t="s">
        <v>28</v>
      </c>
      <c r="K2102" t="s">
        <v>29</v>
      </c>
      <c r="L2102" t="s">
        <v>30</v>
      </c>
      <c r="M2102" t="s">
        <v>139</v>
      </c>
      <c r="N2102">
        <v>1987</v>
      </c>
      <c r="O2102" s="14">
        <v>4.5688536483794499E-2</v>
      </c>
      <c r="P2102" s="14">
        <v>2.9788714367896301E-2</v>
      </c>
      <c r="Q2102" t="str">
        <f t="shared" si="64"/>
        <v>&lt;01</v>
      </c>
      <c r="R2102" t="str">
        <f t="shared" si="65"/>
        <v>[fyEoGEPERdI]|&lt;01|Female|TX_CURR_SUBNAT.T_1|CY2023Q3</v>
      </c>
    </row>
    <row r="2103" spans="4:18" x14ac:dyDescent="0.2">
      <c r="D2103" t="s">
        <v>83</v>
      </c>
      <c r="E2103" t="s">
        <v>84</v>
      </c>
      <c r="F2103" t="s">
        <v>85</v>
      </c>
      <c r="G2103" t="s">
        <v>145</v>
      </c>
      <c r="H2103" t="s">
        <v>146</v>
      </c>
      <c r="I2103" t="s">
        <v>32</v>
      </c>
      <c r="J2103" t="s">
        <v>33</v>
      </c>
      <c r="K2103" t="s">
        <v>29</v>
      </c>
      <c r="L2103" t="s">
        <v>30</v>
      </c>
      <c r="M2103" t="s">
        <v>139</v>
      </c>
      <c r="N2103">
        <v>1934</v>
      </c>
      <c r="O2103" s="14">
        <v>0.42075540963560298</v>
      </c>
      <c r="P2103" s="14">
        <v>2.9788714367896301E-2</v>
      </c>
      <c r="Q2103" t="str">
        <f t="shared" si="64"/>
        <v>01-09</v>
      </c>
      <c r="R2103" t="str">
        <f t="shared" si="65"/>
        <v>[fyEoGEPERdI]|01-09|Female|TX_CURR_SUBNAT.T_1|CY2023Q3</v>
      </c>
    </row>
    <row r="2104" spans="4:18" x14ac:dyDescent="0.2">
      <c r="D2104" t="s">
        <v>83</v>
      </c>
      <c r="E2104" t="s">
        <v>84</v>
      </c>
      <c r="F2104" t="s">
        <v>85</v>
      </c>
      <c r="G2104" t="s">
        <v>145</v>
      </c>
      <c r="H2104" t="s">
        <v>146</v>
      </c>
      <c r="I2104" t="s">
        <v>35</v>
      </c>
      <c r="J2104" t="s">
        <v>36</v>
      </c>
      <c r="K2104" t="s">
        <v>29</v>
      </c>
      <c r="L2104" t="s">
        <v>30</v>
      </c>
      <c r="M2104" t="s">
        <v>139</v>
      </c>
      <c r="N2104">
        <v>1900</v>
      </c>
      <c r="O2104" s="14">
        <v>0.96372520597651601</v>
      </c>
      <c r="P2104" s="14">
        <v>2.9788714367896301E-2</v>
      </c>
      <c r="Q2104" t="str">
        <f t="shared" si="64"/>
        <v>10-14</v>
      </c>
      <c r="R2104" t="str">
        <f t="shared" si="65"/>
        <v>[fyEoGEPERdI]|10-14|Female|TX_CURR_SUBNAT.T_1|CY2023Q3</v>
      </c>
    </row>
    <row r="2105" spans="4:18" x14ac:dyDescent="0.2">
      <c r="D2105" t="s">
        <v>83</v>
      </c>
      <c r="E2105" t="s">
        <v>84</v>
      </c>
      <c r="F2105" t="s">
        <v>85</v>
      </c>
      <c r="G2105" t="s">
        <v>145</v>
      </c>
      <c r="H2105" t="s">
        <v>146</v>
      </c>
      <c r="I2105" t="s">
        <v>37</v>
      </c>
      <c r="J2105" t="s">
        <v>38</v>
      </c>
      <c r="K2105" t="s">
        <v>29</v>
      </c>
      <c r="L2105" t="s">
        <v>30</v>
      </c>
      <c r="M2105" t="s">
        <v>139</v>
      </c>
      <c r="N2105">
        <v>1673</v>
      </c>
      <c r="O2105" s="14">
        <v>0.50921064009890005</v>
      </c>
      <c r="P2105" s="14">
        <v>2.9788714367896301E-2</v>
      </c>
      <c r="Q2105" t="str">
        <f t="shared" si="64"/>
        <v>15-24</v>
      </c>
      <c r="R2105" t="str">
        <f t="shared" si="65"/>
        <v>[fyEoGEPERdI]|15-24|Female|TX_CURR_SUBNAT.T_1|CY2023Q3</v>
      </c>
    </row>
    <row r="2106" spans="4:18" x14ac:dyDescent="0.2">
      <c r="D2106" t="s">
        <v>83</v>
      </c>
      <c r="E2106" t="s">
        <v>84</v>
      </c>
      <c r="F2106" t="s">
        <v>85</v>
      </c>
      <c r="G2106" t="s">
        <v>145</v>
      </c>
      <c r="H2106" t="s">
        <v>146</v>
      </c>
      <c r="I2106" t="s">
        <v>40</v>
      </c>
      <c r="J2106" t="s">
        <v>41</v>
      </c>
      <c r="K2106" t="s">
        <v>29</v>
      </c>
      <c r="L2106" t="s">
        <v>30</v>
      </c>
      <c r="M2106" t="s">
        <v>139</v>
      </c>
      <c r="N2106">
        <v>1176</v>
      </c>
      <c r="O2106" s="14">
        <v>0.77560790465213403</v>
      </c>
      <c r="P2106" s="14">
        <v>2.9788714367896301E-2</v>
      </c>
      <c r="Q2106" t="str">
        <f t="shared" si="64"/>
        <v>25-34</v>
      </c>
      <c r="R2106" t="str">
        <f t="shared" si="65"/>
        <v>[fyEoGEPERdI]|25-34|Female|TX_CURR_SUBNAT.T_1|CY2023Q3</v>
      </c>
    </row>
    <row r="2107" spans="4:18" x14ac:dyDescent="0.2">
      <c r="D2107" t="s">
        <v>83</v>
      </c>
      <c r="E2107" t="s">
        <v>84</v>
      </c>
      <c r="F2107" t="s">
        <v>85</v>
      </c>
      <c r="G2107" t="s">
        <v>145</v>
      </c>
      <c r="H2107" t="s">
        <v>146</v>
      </c>
      <c r="I2107" t="s">
        <v>42</v>
      </c>
      <c r="J2107" t="s">
        <v>43</v>
      </c>
      <c r="K2107" t="s">
        <v>29</v>
      </c>
      <c r="L2107" t="s">
        <v>30</v>
      </c>
      <c r="M2107" t="s">
        <v>139</v>
      </c>
      <c r="N2107">
        <v>1370</v>
      </c>
      <c r="O2107" s="14">
        <v>0.80928613920696102</v>
      </c>
      <c r="P2107" s="14">
        <v>2.9788714367896301E-2</v>
      </c>
      <c r="Q2107" t="str">
        <f t="shared" si="64"/>
        <v>35-49</v>
      </c>
      <c r="R2107" t="str">
        <f t="shared" si="65"/>
        <v>[fyEoGEPERdI]|35-49|Female|TX_CURR_SUBNAT.T_1|CY2023Q3</v>
      </c>
    </row>
    <row r="2108" spans="4:18" x14ac:dyDescent="0.2">
      <c r="D2108" t="s">
        <v>83</v>
      </c>
      <c r="E2108" t="s">
        <v>84</v>
      </c>
      <c r="F2108" t="s">
        <v>85</v>
      </c>
      <c r="G2108" t="s">
        <v>145</v>
      </c>
      <c r="H2108" t="s">
        <v>146</v>
      </c>
      <c r="I2108" t="s">
        <v>44</v>
      </c>
      <c r="J2108" t="s">
        <v>45</v>
      </c>
      <c r="K2108" t="s">
        <v>29</v>
      </c>
      <c r="L2108" t="s">
        <v>30</v>
      </c>
      <c r="M2108" t="s">
        <v>139</v>
      </c>
      <c r="N2108">
        <v>1101</v>
      </c>
      <c r="O2108" s="14">
        <v>0.21808071737177701</v>
      </c>
      <c r="P2108" s="14">
        <v>2.9788714367896301E-2</v>
      </c>
      <c r="Q2108" t="str">
        <f t="shared" si="64"/>
        <v>50+</v>
      </c>
      <c r="R2108" t="str">
        <f t="shared" si="65"/>
        <v>[fyEoGEPERdI]|50+|Female|TX_CURR_SUBNAT.T_1|CY2023Q3</v>
      </c>
    </row>
    <row r="2109" spans="4:18" x14ac:dyDescent="0.2">
      <c r="D2109" t="s">
        <v>83</v>
      </c>
      <c r="E2109" t="s">
        <v>84</v>
      </c>
      <c r="F2109" t="s">
        <v>85</v>
      </c>
      <c r="G2109" t="s">
        <v>145</v>
      </c>
      <c r="H2109" t="s">
        <v>146</v>
      </c>
      <c r="I2109" t="s">
        <v>27</v>
      </c>
      <c r="J2109" t="s">
        <v>28</v>
      </c>
      <c r="K2109" t="s">
        <v>47</v>
      </c>
      <c r="L2109" t="s">
        <v>48</v>
      </c>
      <c r="M2109" t="s">
        <v>139</v>
      </c>
      <c r="N2109">
        <v>1047</v>
      </c>
      <c r="O2109" s="14">
        <v>0.804434484103695</v>
      </c>
      <c r="P2109" s="14">
        <v>2.9788714367896301E-2</v>
      </c>
      <c r="Q2109" t="str">
        <f t="shared" si="64"/>
        <v>&lt;01</v>
      </c>
      <c r="R2109" t="str">
        <f t="shared" si="65"/>
        <v>[fyEoGEPERdI]|&lt;01|Male|TX_CURR_SUBNAT.T_1|CY2023Q3</v>
      </c>
    </row>
    <row r="2110" spans="4:18" x14ac:dyDescent="0.2">
      <c r="D2110" t="s">
        <v>83</v>
      </c>
      <c r="E2110" t="s">
        <v>84</v>
      </c>
      <c r="F2110" t="s">
        <v>85</v>
      </c>
      <c r="G2110" t="s">
        <v>145</v>
      </c>
      <c r="H2110" t="s">
        <v>146</v>
      </c>
      <c r="I2110" t="s">
        <v>32</v>
      </c>
      <c r="J2110" t="s">
        <v>33</v>
      </c>
      <c r="K2110" t="s">
        <v>47</v>
      </c>
      <c r="L2110" t="s">
        <v>48</v>
      </c>
      <c r="M2110" t="s">
        <v>139</v>
      </c>
      <c r="N2110">
        <v>948</v>
      </c>
      <c r="O2110" s="14">
        <v>2.0278584677725999E-2</v>
      </c>
      <c r="P2110" s="14">
        <v>2.9788714367896301E-2</v>
      </c>
      <c r="Q2110" t="str">
        <f t="shared" si="64"/>
        <v>01-09</v>
      </c>
      <c r="R2110" t="str">
        <f t="shared" si="65"/>
        <v>[fyEoGEPERdI]|01-09|Male|TX_CURR_SUBNAT.T_1|CY2023Q3</v>
      </c>
    </row>
    <row r="2111" spans="4:18" x14ac:dyDescent="0.2">
      <c r="D2111" t="s">
        <v>83</v>
      </c>
      <c r="E2111" t="s">
        <v>84</v>
      </c>
      <c r="F2111" t="s">
        <v>85</v>
      </c>
      <c r="G2111" t="s">
        <v>145</v>
      </c>
      <c r="H2111" t="s">
        <v>146</v>
      </c>
      <c r="I2111" t="s">
        <v>35</v>
      </c>
      <c r="J2111" t="s">
        <v>36</v>
      </c>
      <c r="K2111" t="s">
        <v>47</v>
      </c>
      <c r="L2111" t="s">
        <v>48</v>
      </c>
      <c r="M2111" t="s">
        <v>139</v>
      </c>
      <c r="N2111">
        <v>982</v>
      </c>
      <c r="O2111" s="14">
        <v>0.28340135142207101</v>
      </c>
      <c r="P2111" s="14">
        <v>2.9788714367896301E-2</v>
      </c>
      <c r="Q2111" t="str">
        <f t="shared" si="64"/>
        <v>10-14</v>
      </c>
      <c r="R2111" t="str">
        <f t="shared" si="65"/>
        <v>[fyEoGEPERdI]|10-14|Male|TX_CURR_SUBNAT.T_1|CY2023Q3</v>
      </c>
    </row>
    <row r="2112" spans="4:18" x14ac:dyDescent="0.2">
      <c r="D2112" t="s">
        <v>83</v>
      </c>
      <c r="E2112" t="s">
        <v>84</v>
      </c>
      <c r="F2112" t="s">
        <v>85</v>
      </c>
      <c r="G2112" t="s">
        <v>145</v>
      </c>
      <c r="H2112" t="s">
        <v>146</v>
      </c>
      <c r="I2112" t="s">
        <v>37</v>
      </c>
      <c r="J2112" t="s">
        <v>38</v>
      </c>
      <c r="K2112" t="s">
        <v>47</v>
      </c>
      <c r="L2112" t="s">
        <v>48</v>
      </c>
      <c r="M2112" t="s">
        <v>139</v>
      </c>
      <c r="N2112">
        <v>505</v>
      </c>
      <c r="O2112" s="14">
        <v>0.303528445307165</v>
      </c>
      <c r="P2112" s="14">
        <v>2.9788714367896301E-2</v>
      </c>
      <c r="Q2112" t="str">
        <f t="shared" si="64"/>
        <v>15-24</v>
      </c>
      <c r="R2112" t="str">
        <f t="shared" si="65"/>
        <v>[fyEoGEPERdI]|15-24|Male|TX_CURR_SUBNAT.T_1|CY2023Q3</v>
      </c>
    </row>
    <row r="2113" spans="4:18" x14ac:dyDescent="0.2">
      <c r="D2113" t="s">
        <v>83</v>
      </c>
      <c r="E2113" t="s">
        <v>84</v>
      </c>
      <c r="F2113" t="s">
        <v>85</v>
      </c>
      <c r="G2113" t="s">
        <v>145</v>
      </c>
      <c r="H2113" t="s">
        <v>146</v>
      </c>
      <c r="I2113" t="s">
        <v>40</v>
      </c>
      <c r="J2113" t="s">
        <v>41</v>
      </c>
      <c r="K2113" t="s">
        <v>47</v>
      </c>
      <c r="L2113" t="s">
        <v>48</v>
      </c>
      <c r="M2113" t="s">
        <v>139</v>
      </c>
      <c r="N2113">
        <v>1554</v>
      </c>
      <c r="O2113" s="14">
        <v>0.359552767360583</v>
      </c>
      <c r="P2113" s="14">
        <v>2.9788714367896301E-2</v>
      </c>
      <c r="Q2113" t="str">
        <f t="shared" si="64"/>
        <v>25-34</v>
      </c>
      <c r="R2113" t="str">
        <f t="shared" si="65"/>
        <v>[fyEoGEPERdI]|25-34|Male|TX_CURR_SUBNAT.T_1|CY2023Q3</v>
      </c>
    </row>
    <row r="2114" spans="4:18" x14ac:dyDescent="0.2">
      <c r="D2114" t="s">
        <v>83</v>
      </c>
      <c r="E2114" t="s">
        <v>84</v>
      </c>
      <c r="F2114" t="s">
        <v>85</v>
      </c>
      <c r="G2114" t="s">
        <v>145</v>
      </c>
      <c r="H2114" t="s">
        <v>146</v>
      </c>
      <c r="I2114" t="s">
        <v>42</v>
      </c>
      <c r="J2114" t="s">
        <v>43</v>
      </c>
      <c r="K2114" t="s">
        <v>47</v>
      </c>
      <c r="L2114" t="s">
        <v>48</v>
      </c>
      <c r="M2114" t="s">
        <v>139</v>
      </c>
      <c r="N2114">
        <v>1018</v>
      </c>
      <c r="O2114" s="14">
        <v>7.4254805920645595E-2</v>
      </c>
      <c r="P2114" s="14">
        <v>2.9788714367896301E-2</v>
      </c>
      <c r="Q2114" t="str">
        <f t="shared" ref="Q2114:Q2177" si="66">SUBSTITUTE(SUBSTITUTE($I2114,CHAR(61),""),CHAR(34),"")</f>
        <v>35-49</v>
      </c>
      <c r="R2114" t="str">
        <f t="shared" ref="R2114:R2177" si="67">IF($D2114&lt;&gt;"","["&amp;$E2114&amp;"]"&amp;"|"&amp;$Q2114&amp;"|"&amp;$K2114&amp;"|"&amp;$G2114&amp;"|"&amp;IF($G2114="TX_CURR_SUBNAT.R","CY2022Q4",$M2114),"")</f>
        <v>[fyEoGEPERdI]|35-49|Male|TX_CURR_SUBNAT.T_1|CY2023Q3</v>
      </c>
    </row>
    <row r="2115" spans="4:18" x14ac:dyDescent="0.2">
      <c r="D2115" t="s">
        <v>83</v>
      </c>
      <c r="E2115" t="s">
        <v>84</v>
      </c>
      <c r="F2115" t="s">
        <v>85</v>
      </c>
      <c r="G2115" t="s">
        <v>145</v>
      </c>
      <c r="H2115" t="s">
        <v>146</v>
      </c>
      <c r="I2115" t="s">
        <v>44</v>
      </c>
      <c r="J2115" t="s">
        <v>45</v>
      </c>
      <c r="K2115" t="s">
        <v>47</v>
      </c>
      <c r="L2115" t="s">
        <v>48</v>
      </c>
      <c r="M2115" t="s">
        <v>139</v>
      </c>
      <c r="N2115">
        <v>1689</v>
      </c>
      <c r="O2115" s="14">
        <v>0.55414017522707604</v>
      </c>
      <c r="P2115" s="14">
        <v>2.9788714367896301E-2</v>
      </c>
      <c r="Q2115" t="str">
        <f t="shared" si="66"/>
        <v>50+</v>
      </c>
      <c r="R2115" t="str">
        <f t="shared" si="67"/>
        <v>[fyEoGEPERdI]|50+|Male|TX_CURR_SUBNAT.T_1|CY2023Q3</v>
      </c>
    </row>
    <row r="2116" spans="4:18" x14ac:dyDescent="0.2">
      <c r="D2116" t="s">
        <v>86</v>
      </c>
      <c r="E2116" t="s">
        <v>87</v>
      </c>
      <c r="F2116" t="s">
        <v>88</v>
      </c>
      <c r="G2116" t="s">
        <v>145</v>
      </c>
      <c r="H2116" t="s">
        <v>146</v>
      </c>
      <c r="I2116" t="s">
        <v>27</v>
      </c>
      <c r="J2116" t="s">
        <v>28</v>
      </c>
      <c r="K2116" t="s">
        <v>29</v>
      </c>
      <c r="L2116" t="s">
        <v>30</v>
      </c>
      <c r="M2116" t="s">
        <v>139</v>
      </c>
      <c r="N2116">
        <v>1761</v>
      </c>
      <c r="O2116" s="14">
        <v>0.29422439797781402</v>
      </c>
      <c r="P2116" s="14">
        <v>0.13333638082258401</v>
      </c>
      <c r="Q2116" t="str">
        <f t="shared" si="66"/>
        <v>&lt;01</v>
      </c>
      <c r="R2116" t="str">
        <f t="shared" si="67"/>
        <v>[cPtvxaZqXIH]|&lt;01|Female|TX_CURR_SUBNAT.T_1|CY2023Q3</v>
      </c>
    </row>
    <row r="2117" spans="4:18" x14ac:dyDescent="0.2">
      <c r="D2117" t="s">
        <v>86</v>
      </c>
      <c r="E2117" t="s">
        <v>87</v>
      </c>
      <c r="F2117" t="s">
        <v>88</v>
      </c>
      <c r="G2117" t="s">
        <v>145</v>
      </c>
      <c r="H2117" t="s">
        <v>146</v>
      </c>
      <c r="I2117" t="s">
        <v>32</v>
      </c>
      <c r="J2117" t="s">
        <v>33</v>
      </c>
      <c r="K2117" t="s">
        <v>29</v>
      </c>
      <c r="L2117" t="s">
        <v>30</v>
      </c>
      <c r="M2117" t="s">
        <v>139</v>
      </c>
      <c r="N2117">
        <v>651</v>
      </c>
      <c r="O2117" s="14">
        <v>0.70936587639153004</v>
      </c>
      <c r="P2117" s="14">
        <v>0.13333638082258401</v>
      </c>
      <c r="Q2117" t="str">
        <f t="shared" si="66"/>
        <v>01-09</v>
      </c>
      <c r="R2117" t="str">
        <f t="shared" si="67"/>
        <v>[cPtvxaZqXIH]|01-09|Female|TX_CURR_SUBNAT.T_1|CY2023Q3</v>
      </c>
    </row>
    <row r="2118" spans="4:18" x14ac:dyDescent="0.2">
      <c r="D2118" t="s">
        <v>86</v>
      </c>
      <c r="E2118" t="s">
        <v>87</v>
      </c>
      <c r="F2118" t="s">
        <v>88</v>
      </c>
      <c r="G2118" t="s">
        <v>145</v>
      </c>
      <c r="H2118" t="s">
        <v>146</v>
      </c>
      <c r="I2118" t="s">
        <v>35</v>
      </c>
      <c r="J2118" t="s">
        <v>36</v>
      </c>
      <c r="K2118" t="s">
        <v>29</v>
      </c>
      <c r="L2118" t="s">
        <v>30</v>
      </c>
      <c r="M2118" t="s">
        <v>139</v>
      </c>
      <c r="N2118">
        <v>1850</v>
      </c>
      <c r="O2118" s="14">
        <v>0.608291144249961</v>
      </c>
      <c r="P2118" s="14">
        <v>0.13333638082258401</v>
      </c>
      <c r="Q2118" t="str">
        <f t="shared" si="66"/>
        <v>10-14</v>
      </c>
      <c r="R2118" t="str">
        <f t="shared" si="67"/>
        <v>[cPtvxaZqXIH]|10-14|Female|TX_CURR_SUBNAT.T_1|CY2023Q3</v>
      </c>
    </row>
    <row r="2119" spans="4:18" x14ac:dyDescent="0.2">
      <c r="D2119" t="s">
        <v>86</v>
      </c>
      <c r="E2119" t="s">
        <v>87</v>
      </c>
      <c r="F2119" t="s">
        <v>88</v>
      </c>
      <c r="G2119" t="s">
        <v>145</v>
      </c>
      <c r="H2119" t="s">
        <v>146</v>
      </c>
      <c r="I2119" t="s">
        <v>37</v>
      </c>
      <c r="J2119" t="s">
        <v>38</v>
      </c>
      <c r="K2119" t="s">
        <v>29</v>
      </c>
      <c r="L2119" t="s">
        <v>30</v>
      </c>
      <c r="M2119" t="s">
        <v>139</v>
      </c>
      <c r="N2119">
        <v>1627</v>
      </c>
      <c r="O2119" s="14">
        <v>0.28663999889977299</v>
      </c>
      <c r="P2119" s="14">
        <v>0.13333638082258401</v>
      </c>
      <c r="Q2119" t="str">
        <f t="shared" si="66"/>
        <v>15-24</v>
      </c>
      <c r="R2119" t="str">
        <f t="shared" si="67"/>
        <v>[cPtvxaZqXIH]|15-24|Female|TX_CURR_SUBNAT.T_1|CY2023Q3</v>
      </c>
    </row>
    <row r="2120" spans="4:18" x14ac:dyDescent="0.2">
      <c r="D2120" t="s">
        <v>86</v>
      </c>
      <c r="E2120" t="s">
        <v>87</v>
      </c>
      <c r="F2120" t="s">
        <v>88</v>
      </c>
      <c r="G2120" t="s">
        <v>145</v>
      </c>
      <c r="H2120" t="s">
        <v>146</v>
      </c>
      <c r="I2120" t="s">
        <v>40</v>
      </c>
      <c r="J2120" t="s">
        <v>41</v>
      </c>
      <c r="K2120" t="s">
        <v>29</v>
      </c>
      <c r="L2120" t="s">
        <v>30</v>
      </c>
      <c r="M2120" t="s">
        <v>139</v>
      </c>
      <c r="N2120">
        <v>1672</v>
      </c>
      <c r="O2120" s="14">
        <v>0.52442796924151502</v>
      </c>
      <c r="P2120" s="14">
        <v>0.13333638082258401</v>
      </c>
      <c r="Q2120" t="str">
        <f t="shared" si="66"/>
        <v>25-34</v>
      </c>
      <c r="R2120" t="str">
        <f t="shared" si="67"/>
        <v>[cPtvxaZqXIH]|25-34|Female|TX_CURR_SUBNAT.T_1|CY2023Q3</v>
      </c>
    </row>
    <row r="2121" spans="4:18" x14ac:dyDescent="0.2">
      <c r="D2121" t="s">
        <v>86</v>
      </c>
      <c r="E2121" t="s">
        <v>87</v>
      </c>
      <c r="F2121" t="s">
        <v>88</v>
      </c>
      <c r="G2121" t="s">
        <v>145</v>
      </c>
      <c r="H2121" t="s">
        <v>146</v>
      </c>
      <c r="I2121" t="s">
        <v>42</v>
      </c>
      <c r="J2121" t="s">
        <v>43</v>
      </c>
      <c r="K2121" t="s">
        <v>29</v>
      </c>
      <c r="L2121" t="s">
        <v>30</v>
      </c>
      <c r="M2121" t="s">
        <v>139</v>
      </c>
      <c r="N2121">
        <v>1315</v>
      </c>
      <c r="O2121" s="14">
        <v>0.97523148590698805</v>
      </c>
      <c r="P2121" s="14">
        <v>0.13333638082258401</v>
      </c>
      <c r="Q2121" t="str">
        <f t="shared" si="66"/>
        <v>35-49</v>
      </c>
      <c r="R2121" t="str">
        <f t="shared" si="67"/>
        <v>[cPtvxaZqXIH]|35-49|Female|TX_CURR_SUBNAT.T_1|CY2023Q3</v>
      </c>
    </row>
    <row r="2122" spans="4:18" x14ac:dyDescent="0.2">
      <c r="D2122" t="s">
        <v>86</v>
      </c>
      <c r="E2122" t="s">
        <v>87</v>
      </c>
      <c r="F2122" t="s">
        <v>88</v>
      </c>
      <c r="G2122" t="s">
        <v>145</v>
      </c>
      <c r="H2122" t="s">
        <v>146</v>
      </c>
      <c r="I2122" t="s">
        <v>44</v>
      </c>
      <c r="J2122" t="s">
        <v>45</v>
      </c>
      <c r="K2122" t="s">
        <v>29</v>
      </c>
      <c r="L2122" t="s">
        <v>30</v>
      </c>
      <c r="M2122" t="s">
        <v>139</v>
      </c>
      <c r="N2122">
        <v>526</v>
      </c>
      <c r="O2122" s="14">
        <v>0.88701570383273098</v>
      </c>
      <c r="P2122" s="14">
        <v>0.13333638082258401</v>
      </c>
      <c r="Q2122" t="str">
        <f t="shared" si="66"/>
        <v>50+</v>
      </c>
      <c r="R2122" t="str">
        <f t="shared" si="67"/>
        <v>[cPtvxaZqXIH]|50+|Female|TX_CURR_SUBNAT.T_1|CY2023Q3</v>
      </c>
    </row>
    <row r="2123" spans="4:18" x14ac:dyDescent="0.2">
      <c r="D2123" t="s">
        <v>86</v>
      </c>
      <c r="E2123" t="s">
        <v>87</v>
      </c>
      <c r="F2123" t="s">
        <v>88</v>
      </c>
      <c r="G2123" t="s">
        <v>145</v>
      </c>
      <c r="H2123" t="s">
        <v>146</v>
      </c>
      <c r="I2123" t="s">
        <v>27</v>
      </c>
      <c r="J2123" t="s">
        <v>28</v>
      </c>
      <c r="K2123" t="s">
        <v>47</v>
      </c>
      <c r="L2123" t="s">
        <v>48</v>
      </c>
      <c r="M2123" t="s">
        <v>139</v>
      </c>
      <c r="N2123">
        <v>1520</v>
      </c>
      <c r="O2123" s="14">
        <v>0.17729998775757799</v>
      </c>
      <c r="P2123" s="14">
        <v>0.13333638082258401</v>
      </c>
      <c r="Q2123" t="str">
        <f t="shared" si="66"/>
        <v>&lt;01</v>
      </c>
      <c r="R2123" t="str">
        <f t="shared" si="67"/>
        <v>[cPtvxaZqXIH]|&lt;01|Male|TX_CURR_SUBNAT.T_1|CY2023Q3</v>
      </c>
    </row>
    <row r="2124" spans="4:18" x14ac:dyDescent="0.2">
      <c r="D2124" t="s">
        <v>86</v>
      </c>
      <c r="E2124" t="s">
        <v>87</v>
      </c>
      <c r="F2124" t="s">
        <v>88</v>
      </c>
      <c r="G2124" t="s">
        <v>145</v>
      </c>
      <c r="H2124" t="s">
        <v>146</v>
      </c>
      <c r="I2124" t="s">
        <v>32</v>
      </c>
      <c r="J2124" t="s">
        <v>33</v>
      </c>
      <c r="K2124" t="s">
        <v>47</v>
      </c>
      <c r="L2124" t="s">
        <v>48</v>
      </c>
      <c r="M2124" t="s">
        <v>139</v>
      </c>
      <c r="N2124">
        <v>1242</v>
      </c>
      <c r="O2124" s="14">
        <v>0.602415029425174</v>
      </c>
      <c r="P2124" s="14">
        <v>0.13333638082258401</v>
      </c>
      <c r="Q2124" t="str">
        <f t="shared" si="66"/>
        <v>01-09</v>
      </c>
      <c r="R2124" t="str">
        <f t="shared" si="67"/>
        <v>[cPtvxaZqXIH]|01-09|Male|TX_CURR_SUBNAT.T_1|CY2023Q3</v>
      </c>
    </row>
    <row r="2125" spans="4:18" x14ac:dyDescent="0.2">
      <c r="D2125" t="s">
        <v>86</v>
      </c>
      <c r="E2125" t="s">
        <v>87</v>
      </c>
      <c r="F2125" t="s">
        <v>88</v>
      </c>
      <c r="G2125" t="s">
        <v>145</v>
      </c>
      <c r="H2125" t="s">
        <v>146</v>
      </c>
      <c r="I2125" t="s">
        <v>35</v>
      </c>
      <c r="J2125" t="s">
        <v>36</v>
      </c>
      <c r="K2125" t="s">
        <v>47</v>
      </c>
      <c r="L2125" t="s">
        <v>48</v>
      </c>
      <c r="M2125" t="s">
        <v>139</v>
      </c>
      <c r="N2125">
        <v>1447</v>
      </c>
      <c r="O2125" s="14">
        <v>0.52285296795889702</v>
      </c>
      <c r="P2125" s="14">
        <v>0.13333638082258401</v>
      </c>
      <c r="Q2125" t="str">
        <f t="shared" si="66"/>
        <v>10-14</v>
      </c>
      <c r="R2125" t="str">
        <f t="shared" si="67"/>
        <v>[cPtvxaZqXIH]|10-14|Male|TX_CURR_SUBNAT.T_1|CY2023Q3</v>
      </c>
    </row>
    <row r="2126" spans="4:18" x14ac:dyDescent="0.2">
      <c r="D2126" t="s">
        <v>86</v>
      </c>
      <c r="E2126" t="s">
        <v>87</v>
      </c>
      <c r="F2126" t="s">
        <v>88</v>
      </c>
      <c r="G2126" t="s">
        <v>145</v>
      </c>
      <c r="H2126" t="s">
        <v>146</v>
      </c>
      <c r="I2126" t="s">
        <v>37</v>
      </c>
      <c r="J2126" t="s">
        <v>38</v>
      </c>
      <c r="K2126" t="s">
        <v>47</v>
      </c>
      <c r="L2126" t="s">
        <v>48</v>
      </c>
      <c r="M2126" t="s">
        <v>139</v>
      </c>
      <c r="N2126">
        <v>1129</v>
      </c>
      <c r="O2126" s="14">
        <v>3.6117537412792403E-2</v>
      </c>
      <c r="P2126" s="14">
        <v>0.13333638082258401</v>
      </c>
      <c r="Q2126" t="str">
        <f t="shared" si="66"/>
        <v>15-24</v>
      </c>
      <c r="R2126" t="str">
        <f t="shared" si="67"/>
        <v>[cPtvxaZqXIH]|15-24|Male|TX_CURR_SUBNAT.T_1|CY2023Q3</v>
      </c>
    </row>
    <row r="2127" spans="4:18" x14ac:dyDescent="0.2">
      <c r="D2127" t="s">
        <v>86</v>
      </c>
      <c r="E2127" t="s">
        <v>87</v>
      </c>
      <c r="F2127" t="s">
        <v>88</v>
      </c>
      <c r="G2127" t="s">
        <v>145</v>
      </c>
      <c r="H2127" t="s">
        <v>146</v>
      </c>
      <c r="I2127" t="s">
        <v>40</v>
      </c>
      <c r="J2127" t="s">
        <v>41</v>
      </c>
      <c r="K2127" t="s">
        <v>47</v>
      </c>
      <c r="L2127" t="s">
        <v>48</v>
      </c>
      <c r="M2127" t="s">
        <v>139</v>
      </c>
      <c r="N2127">
        <v>1639</v>
      </c>
      <c r="O2127" s="14">
        <v>0.69981231074780204</v>
      </c>
      <c r="P2127" s="14">
        <v>0.13333638082258401</v>
      </c>
      <c r="Q2127" t="str">
        <f t="shared" si="66"/>
        <v>25-34</v>
      </c>
      <c r="R2127" t="str">
        <f t="shared" si="67"/>
        <v>[cPtvxaZqXIH]|25-34|Male|TX_CURR_SUBNAT.T_1|CY2023Q3</v>
      </c>
    </row>
    <row r="2128" spans="4:18" x14ac:dyDescent="0.2">
      <c r="D2128" t="s">
        <v>86</v>
      </c>
      <c r="E2128" t="s">
        <v>87</v>
      </c>
      <c r="F2128" t="s">
        <v>88</v>
      </c>
      <c r="G2128" t="s">
        <v>145</v>
      </c>
      <c r="H2128" t="s">
        <v>146</v>
      </c>
      <c r="I2128" t="s">
        <v>42</v>
      </c>
      <c r="J2128" t="s">
        <v>43</v>
      </c>
      <c r="K2128" t="s">
        <v>47</v>
      </c>
      <c r="L2128" t="s">
        <v>48</v>
      </c>
      <c r="M2128" t="s">
        <v>139</v>
      </c>
      <c r="N2128">
        <v>1607</v>
      </c>
      <c r="O2128" s="14">
        <v>0.60617987555451702</v>
      </c>
      <c r="P2128" s="14">
        <v>0.13333638082258401</v>
      </c>
      <c r="Q2128" t="str">
        <f t="shared" si="66"/>
        <v>35-49</v>
      </c>
      <c r="R2128" t="str">
        <f t="shared" si="67"/>
        <v>[cPtvxaZqXIH]|35-49|Male|TX_CURR_SUBNAT.T_1|CY2023Q3</v>
      </c>
    </row>
    <row r="2129" spans="4:18" x14ac:dyDescent="0.2">
      <c r="D2129" t="s">
        <v>86</v>
      </c>
      <c r="E2129" t="s">
        <v>87</v>
      </c>
      <c r="F2129" t="s">
        <v>88</v>
      </c>
      <c r="G2129" t="s">
        <v>145</v>
      </c>
      <c r="H2129" t="s">
        <v>146</v>
      </c>
      <c r="I2129" t="s">
        <v>44</v>
      </c>
      <c r="J2129" t="s">
        <v>45</v>
      </c>
      <c r="K2129" t="s">
        <v>47</v>
      </c>
      <c r="L2129" t="s">
        <v>48</v>
      </c>
      <c r="M2129" t="s">
        <v>139</v>
      </c>
      <c r="N2129">
        <v>1025</v>
      </c>
      <c r="O2129" s="14">
        <v>0.13896047766320399</v>
      </c>
      <c r="P2129" s="14">
        <v>0.13333638082258401</v>
      </c>
      <c r="Q2129" t="str">
        <f t="shared" si="66"/>
        <v>50+</v>
      </c>
      <c r="R2129" t="str">
        <f t="shared" si="67"/>
        <v>[cPtvxaZqXIH]|50+|Male|TX_CURR_SUBNAT.T_1|CY2023Q3</v>
      </c>
    </row>
    <row r="2130" spans="4:18" x14ac:dyDescent="0.2">
      <c r="D2130" t="s">
        <v>89</v>
      </c>
      <c r="E2130" t="s">
        <v>90</v>
      </c>
      <c r="F2130" t="s">
        <v>91</v>
      </c>
      <c r="G2130" t="s">
        <v>145</v>
      </c>
      <c r="H2130" t="s">
        <v>146</v>
      </c>
      <c r="I2130" t="s">
        <v>27</v>
      </c>
      <c r="J2130" t="s">
        <v>28</v>
      </c>
      <c r="K2130" t="s">
        <v>29</v>
      </c>
      <c r="L2130" t="s">
        <v>30</v>
      </c>
      <c r="M2130" t="s">
        <v>139</v>
      </c>
      <c r="N2130">
        <v>1468</v>
      </c>
      <c r="O2130" s="14">
        <v>0.37688457104377399</v>
      </c>
      <c r="P2130" s="14">
        <v>0.71991415042430196</v>
      </c>
      <c r="Q2130" t="str">
        <f t="shared" si="66"/>
        <v>&lt;01</v>
      </c>
      <c r="R2130" t="str">
        <f t="shared" si="67"/>
        <v>[AZyWpGzhcaA]|&lt;01|Female|TX_CURR_SUBNAT.T_1|CY2023Q3</v>
      </c>
    </row>
    <row r="2131" spans="4:18" x14ac:dyDescent="0.2">
      <c r="D2131" t="s">
        <v>89</v>
      </c>
      <c r="E2131" t="s">
        <v>90</v>
      </c>
      <c r="F2131" t="s">
        <v>91</v>
      </c>
      <c r="G2131" t="s">
        <v>145</v>
      </c>
      <c r="H2131" t="s">
        <v>146</v>
      </c>
      <c r="I2131" t="s">
        <v>32</v>
      </c>
      <c r="J2131" t="s">
        <v>33</v>
      </c>
      <c r="K2131" t="s">
        <v>29</v>
      </c>
      <c r="L2131" t="s">
        <v>30</v>
      </c>
      <c r="M2131" t="s">
        <v>139</v>
      </c>
      <c r="N2131">
        <v>1505</v>
      </c>
      <c r="O2131" s="14">
        <v>0.49498754646629101</v>
      </c>
      <c r="P2131" s="14">
        <v>0.71991415042430196</v>
      </c>
      <c r="Q2131" t="str">
        <f t="shared" si="66"/>
        <v>01-09</v>
      </c>
      <c r="R2131" t="str">
        <f t="shared" si="67"/>
        <v>[AZyWpGzhcaA]|01-09|Female|TX_CURR_SUBNAT.T_1|CY2023Q3</v>
      </c>
    </row>
    <row r="2132" spans="4:18" x14ac:dyDescent="0.2">
      <c r="D2132" t="s">
        <v>89</v>
      </c>
      <c r="E2132" t="s">
        <v>90</v>
      </c>
      <c r="F2132" t="s">
        <v>91</v>
      </c>
      <c r="G2132" t="s">
        <v>145</v>
      </c>
      <c r="H2132" t="s">
        <v>146</v>
      </c>
      <c r="I2132" t="s">
        <v>35</v>
      </c>
      <c r="J2132" t="s">
        <v>36</v>
      </c>
      <c r="K2132" t="s">
        <v>29</v>
      </c>
      <c r="L2132" t="s">
        <v>30</v>
      </c>
      <c r="M2132" t="s">
        <v>139</v>
      </c>
      <c r="N2132">
        <v>1484</v>
      </c>
      <c r="O2132" s="14">
        <v>0.39358096290379802</v>
      </c>
      <c r="P2132" s="14">
        <v>0.71991415042430196</v>
      </c>
      <c r="Q2132" t="str">
        <f t="shared" si="66"/>
        <v>10-14</v>
      </c>
      <c r="R2132" t="str">
        <f t="shared" si="67"/>
        <v>[AZyWpGzhcaA]|10-14|Female|TX_CURR_SUBNAT.T_1|CY2023Q3</v>
      </c>
    </row>
    <row r="2133" spans="4:18" x14ac:dyDescent="0.2">
      <c r="D2133" t="s">
        <v>89</v>
      </c>
      <c r="E2133" t="s">
        <v>90</v>
      </c>
      <c r="F2133" t="s">
        <v>91</v>
      </c>
      <c r="G2133" t="s">
        <v>145</v>
      </c>
      <c r="H2133" t="s">
        <v>146</v>
      </c>
      <c r="I2133" t="s">
        <v>37</v>
      </c>
      <c r="J2133" t="s">
        <v>38</v>
      </c>
      <c r="K2133" t="s">
        <v>29</v>
      </c>
      <c r="L2133" t="s">
        <v>30</v>
      </c>
      <c r="M2133" t="s">
        <v>139</v>
      </c>
      <c r="N2133">
        <v>652</v>
      </c>
      <c r="O2133" s="14">
        <v>8.0467902822420001E-2</v>
      </c>
      <c r="P2133" s="14">
        <v>0.71991415042430196</v>
      </c>
      <c r="Q2133" t="str">
        <f t="shared" si="66"/>
        <v>15-24</v>
      </c>
      <c r="R2133" t="str">
        <f t="shared" si="67"/>
        <v>[AZyWpGzhcaA]|15-24|Female|TX_CURR_SUBNAT.T_1|CY2023Q3</v>
      </c>
    </row>
    <row r="2134" spans="4:18" x14ac:dyDescent="0.2">
      <c r="D2134" t="s">
        <v>89</v>
      </c>
      <c r="E2134" t="s">
        <v>90</v>
      </c>
      <c r="F2134" t="s">
        <v>91</v>
      </c>
      <c r="G2134" t="s">
        <v>145</v>
      </c>
      <c r="H2134" t="s">
        <v>146</v>
      </c>
      <c r="I2134" t="s">
        <v>40</v>
      </c>
      <c r="J2134" t="s">
        <v>41</v>
      </c>
      <c r="K2134" t="s">
        <v>29</v>
      </c>
      <c r="L2134" t="s">
        <v>30</v>
      </c>
      <c r="M2134" t="s">
        <v>139</v>
      </c>
      <c r="N2134">
        <v>638</v>
      </c>
      <c r="O2134" s="14">
        <v>0.78513545030728005</v>
      </c>
      <c r="P2134" s="14">
        <v>0.71991415042430196</v>
      </c>
      <c r="Q2134" t="str">
        <f t="shared" si="66"/>
        <v>25-34</v>
      </c>
      <c r="R2134" t="str">
        <f t="shared" si="67"/>
        <v>[AZyWpGzhcaA]|25-34|Female|TX_CURR_SUBNAT.T_1|CY2023Q3</v>
      </c>
    </row>
    <row r="2135" spans="4:18" x14ac:dyDescent="0.2">
      <c r="D2135" t="s">
        <v>89</v>
      </c>
      <c r="E2135" t="s">
        <v>90</v>
      </c>
      <c r="F2135" t="s">
        <v>91</v>
      </c>
      <c r="G2135" t="s">
        <v>145</v>
      </c>
      <c r="H2135" t="s">
        <v>146</v>
      </c>
      <c r="I2135" t="s">
        <v>42</v>
      </c>
      <c r="J2135" t="s">
        <v>43</v>
      </c>
      <c r="K2135" t="s">
        <v>29</v>
      </c>
      <c r="L2135" t="s">
        <v>30</v>
      </c>
      <c r="M2135" t="s">
        <v>139</v>
      </c>
      <c r="N2135">
        <v>1981</v>
      </c>
      <c r="O2135" s="14">
        <v>0.51586973736994002</v>
      </c>
      <c r="P2135" s="14">
        <v>0.71991415042430196</v>
      </c>
      <c r="Q2135" t="str">
        <f t="shared" si="66"/>
        <v>35-49</v>
      </c>
      <c r="R2135" t="str">
        <f t="shared" si="67"/>
        <v>[AZyWpGzhcaA]|35-49|Female|TX_CURR_SUBNAT.T_1|CY2023Q3</v>
      </c>
    </row>
    <row r="2136" spans="4:18" x14ac:dyDescent="0.2">
      <c r="D2136" t="s">
        <v>89</v>
      </c>
      <c r="E2136" t="s">
        <v>90</v>
      </c>
      <c r="F2136" t="s">
        <v>91</v>
      </c>
      <c r="G2136" t="s">
        <v>145</v>
      </c>
      <c r="H2136" t="s">
        <v>146</v>
      </c>
      <c r="I2136" t="s">
        <v>44</v>
      </c>
      <c r="J2136" t="s">
        <v>45</v>
      </c>
      <c r="K2136" t="s">
        <v>29</v>
      </c>
      <c r="L2136" t="s">
        <v>30</v>
      </c>
      <c r="M2136" t="s">
        <v>139</v>
      </c>
      <c r="N2136">
        <v>962</v>
      </c>
      <c r="O2136" s="14">
        <v>0.36622703960165398</v>
      </c>
      <c r="P2136" s="14">
        <v>0.71991415042430196</v>
      </c>
      <c r="Q2136" t="str">
        <f t="shared" si="66"/>
        <v>50+</v>
      </c>
      <c r="R2136" t="str">
        <f t="shared" si="67"/>
        <v>[AZyWpGzhcaA]|50+|Female|TX_CURR_SUBNAT.T_1|CY2023Q3</v>
      </c>
    </row>
    <row r="2137" spans="4:18" x14ac:dyDescent="0.2">
      <c r="D2137" t="s">
        <v>89</v>
      </c>
      <c r="E2137" t="s">
        <v>90</v>
      </c>
      <c r="F2137" t="s">
        <v>91</v>
      </c>
      <c r="G2137" t="s">
        <v>145</v>
      </c>
      <c r="H2137" t="s">
        <v>146</v>
      </c>
      <c r="I2137" t="s">
        <v>27</v>
      </c>
      <c r="J2137" t="s">
        <v>28</v>
      </c>
      <c r="K2137" t="s">
        <v>47</v>
      </c>
      <c r="L2137" t="s">
        <v>48</v>
      </c>
      <c r="M2137" t="s">
        <v>139</v>
      </c>
      <c r="N2137">
        <v>1352</v>
      </c>
      <c r="O2137" s="14">
        <v>0.81128347711637605</v>
      </c>
      <c r="P2137" s="14">
        <v>0.71991415042430196</v>
      </c>
      <c r="Q2137" t="str">
        <f t="shared" si="66"/>
        <v>&lt;01</v>
      </c>
      <c r="R2137" t="str">
        <f t="shared" si="67"/>
        <v>[AZyWpGzhcaA]|&lt;01|Male|TX_CURR_SUBNAT.T_1|CY2023Q3</v>
      </c>
    </row>
    <row r="2138" spans="4:18" x14ac:dyDescent="0.2">
      <c r="D2138" t="s">
        <v>89</v>
      </c>
      <c r="E2138" t="s">
        <v>90</v>
      </c>
      <c r="F2138" t="s">
        <v>91</v>
      </c>
      <c r="G2138" t="s">
        <v>145</v>
      </c>
      <c r="H2138" t="s">
        <v>146</v>
      </c>
      <c r="I2138" t="s">
        <v>32</v>
      </c>
      <c r="J2138" t="s">
        <v>33</v>
      </c>
      <c r="K2138" t="s">
        <v>47</v>
      </c>
      <c r="L2138" t="s">
        <v>48</v>
      </c>
      <c r="M2138" t="s">
        <v>139</v>
      </c>
      <c r="N2138">
        <v>1713</v>
      </c>
      <c r="O2138" s="14">
        <v>0.71795869991183303</v>
      </c>
      <c r="P2138" s="14">
        <v>0.71991415042430196</v>
      </c>
      <c r="Q2138" t="str">
        <f t="shared" si="66"/>
        <v>01-09</v>
      </c>
      <c r="R2138" t="str">
        <f t="shared" si="67"/>
        <v>[AZyWpGzhcaA]|01-09|Male|TX_CURR_SUBNAT.T_1|CY2023Q3</v>
      </c>
    </row>
    <row r="2139" spans="4:18" x14ac:dyDescent="0.2">
      <c r="D2139" t="s">
        <v>89</v>
      </c>
      <c r="E2139" t="s">
        <v>90</v>
      </c>
      <c r="F2139" t="s">
        <v>91</v>
      </c>
      <c r="G2139" t="s">
        <v>145</v>
      </c>
      <c r="H2139" t="s">
        <v>146</v>
      </c>
      <c r="I2139" t="s">
        <v>35</v>
      </c>
      <c r="J2139" t="s">
        <v>36</v>
      </c>
      <c r="K2139" t="s">
        <v>47</v>
      </c>
      <c r="L2139" t="s">
        <v>48</v>
      </c>
      <c r="M2139" t="s">
        <v>139</v>
      </c>
      <c r="N2139">
        <v>690</v>
      </c>
      <c r="O2139" s="14">
        <v>0.465257953619584</v>
      </c>
      <c r="P2139" s="14">
        <v>0.71991415042430196</v>
      </c>
      <c r="Q2139" t="str">
        <f t="shared" si="66"/>
        <v>10-14</v>
      </c>
      <c r="R2139" t="str">
        <f t="shared" si="67"/>
        <v>[AZyWpGzhcaA]|10-14|Male|TX_CURR_SUBNAT.T_1|CY2023Q3</v>
      </c>
    </row>
    <row r="2140" spans="4:18" x14ac:dyDescent="0.2">
      <c r="D2140" t="s">
        <v>89</v>
      </c>
      <c r="E2140" t="s">
        <v>90</v>
      </c>
      <c r="F2140" t="s">
        <v>91</v>
      </c>
      <c r="G2140" t="s">
        <v>145</v>
      </c>
      <c r="H2140" t="s">
        <v>146</v>
      </c>
      <c r="I2140" t="s">
        <v>37</v>
      </c>
      <c r="J2140" t="s">
        <v>38</v>
      </c>
      <c r="K2140" t="s">
        <v>47</v>
      </c>
      <c r="L2140" t="s">
        <v>48</v>
      </c>
      <c r="M2140" t="s">
        <v>139</v>
      </c>
      <c r="N2140">
        <v>547</v>
      </c>
      <c r="O2140" s="14">
        <v>0.66861031507141899</v>
      </c>
      <c r="P2140" s="14">
        <v>0.71991415042430196</v>
      </c>
      <c r="Q2140" t="str">
        <f t="shared" si="66"/>
        <v>15-24</v>
      </c>
      <c r="R2140" t="str">
        <f t="shared" si="67"/>
        <v>[AZyWpGzhcaA]|15-24|Male|TX_CURR_SUBNAT.T_1|CY2023Q3</v>
      </c>
    </row>
    <row r="2141" spans="4:18" x14ac:dyDescent="0.2">
      <c r="D2141" t="s">
        <v>89</v>
      </c>
      <c r="E2141" t="s">
        <v>90</v>
      </c>
      <c r="F2141" t="s">
        <v>91</v>
      </c>
      <c r="G2141" t="s">
        <v>145</v>
      </c>
      <c r="H2141" t="s">
        <v>146</v>
      </c>
      <c r="I2141" t="s">
        <v>40</v>
      </c>
      <c r="J2141" t="s">
        <v>41</v>
      </c>
      <c r="K2141" t="s">
        <v>47</v>
      </c>
      <c r="L2141" t="s">
        <v>48</v>
      </c>
      <c r="M2141" t="s">
        <v>139</v>
      </c>
      <c r="N2141">
        <v>925</v>
      </c>
      <c r="O2141" s="14">
        <v>0.74328094231896102</v>
      </c>
      <c r="P2141" s="14">
        <v>0.71991415042430196</v>
      </c>
      <c r="Q2141" t="str">
        <f t="shared" si="66"/>
        <v>25-34</v>
      </c>
      <c r="R2141" t="str">
        <f t="shared" si="67"/>
        <v>[AZyWpGzhcaA]|25-34|Male|TX_CURR_SUBNAT.T_1|CY2023Q3</v>
      </c>
    </row>
    <row r="2142" spans="4:18" x14ac:dyDescent="0.2">
      <c r="D2142" t="s">
        <v>89</v>
      </c>
      <c r="E2142" t="s">
        <v>90</v>
      </c>
      <c r="F2142" t="s">
        <v>91</v>
      </c>
      <c r="G2142" t="s">
        <v>145</v>
      </c>
      <c r="H2142" t="s">
        <v>146</v>
      </c>
      <c r="I2142" t="s">
        <v>42</v>
      </c>
      <c r="J2142" t="s">
        <v>43</v>
      </c>
      <c r="K2142" t="s">
        <v>47</v>
      </c>
      <c r="L2142" t="s">
        <v>48</v>
      </c>
      <c r="M2142" t="s">
        <v>139</v>
      </c>
      <c r="N2142">
        <v>1134</v>
      </c>
      <c r="O2142" s="14">
        <v>0.829192284494638</v>
      </c>
      <c r="P2142" s="14">
        <v>0.71991415042430196</v>
      </c>
      <c r="Q2142" t="str">
        <f t="shared" si="66"/>
        <v>35-49</v>
      </c>
      <c r="R2142" t="str">
        <f t="shared" si="67"/>
        <v>[AZyWpGzhcaA]|35-49|Male|TX_CURR_SUBNAT.T_1|CY2023Q3</v>
      </c>
    </row>
    <row r="2143" spans="4:18" x14ac:dyDescent="0.2">
      <c r="D2143" t="s">
        <v>89</v>
      </c>
      <c r="E2143" t="s">
        <v>90</v>
      </c>
      <c r="F2143" t="s">
        <v>91</v>
      </c>
      <c r="G2143" t="s">
        <v>145</v>
      </c>
      <c r="H2143" t="s">
        <v>146</v>
      </c>
      <c r="I2143" t="s">
        <v>44</v>
      </c>
      <c r="J2143" t="s">
        <v>45</v>
      </c>
      <c r="K2143" t="s">
        <v>47</v>
      </c>
      <c r="L2143" t="s">
        <v>48</v>
      </c>
      <c r="M2143" t="s">
        <v>139</v>
      </c>
      <c r="N2143">
        <v>1157</v>
      </c>
      <c r="O2143" s="14">
        <v>0.23841956490650801</v>
      </c>
      <c r="P2143" s="14">
        <v>0.71991415042430196</v>
      </c>
      <c r="Q2143" t="str">
        <f t="shared" si="66"/>
        <v>50+</v>
      </c>
      <c r="R2143" t="str">
        <f t="shared" si="67"/>
        <v>[AZyWpGzhcaA]|50+|Male|TX_CURR_SUBNAT.T_1|CY2023Q3</v>
      </c>
    </row>
    <row r="2144" spans="4:18" x14ac:dyDescent="0.2">
      <c r="D2144" t="s">
        <v>92</v>
      </c>
      <c r="E2144" t="s">
        <v>93</v>
      </c>
      <c r="F2144" t="s">
        <v>94</v>
      </c>
      <c r="G2144" t="s">
        <v>145</v>
      </c>
      <c r="H2144" t="s">
        <v>146</v>
      </c>
      <c r="I2144" t="s">
        <v>27</v>
      </c>
      <c r="J2144" t="s">
        <v>28</v>
      </c>
      <c r="K2144" t="s">
        <v>29</v>
      </c>
      <c r="L2144" t="s">
        <v>30</v>
      </c>
      <c r="M2144" t="s">
        <v>139</v>
      </c>
      <c r="N2144">
        <v>1009</v>
      </c>
      <c r="O2144" s="14">
        <v>0.93001246382482305</v>
      </c>
      <c r="P2144" s="14">
        <v>0.36227229656651599</v>
      </c>
      <c r="Q2144" t="str">
        <f t="shared" si="66"/>
        <v>&lt;01</v>
      </c>
      <c r="R2144" t="str">
        <f t="shared" si="67"/>
        <v>[umc2n1Z4wNv]|&lt;01|Female|TX_CURR_SUBNAT.T_1|CY2023Q3</v>
      </c>
    </row>
    <row r="2145" spans="4:18" x14ac:dyDescent="0.2">
      <c r="D2145" t="s">
        <v>92</v>
      </c>
      <c r="E2145" t="s">
        <v>93</v>
      </c>
      <c r="F2145" t="s">
        <v>94</v>
      </c>
      <c r="G2145" t="s">
        <v>145</v>
      </c>
      <c r="H2145" t="s">
        <v>146</v>
      </c>
      <c r="I2145" t="s">
        <v>32</v>
      </c>
      <c r="J2145" t="s">
        <v>33</v>
      </c>
      <c r="K2145" t="s">
        <v>29</v>
      </c>
      <c r="L2145" t="s">
        <v>30</v>
      </c>
      <c r="M2145" t="s">
        <v>139</v>
      </c>
      <c r="N2145">
        <v>1370</v>
      </c>
      <c r="O2145" s="14">
        <v>0.65669851563870896</v>
      </c>
      <c r="P2145" s="14">
        <v>0.36227229656651599</v>
      </c>
      <c r="Q2145" t="str">
        <f t="shared" si="66"/>
        <v>01-09</v>
      </c>
      <c r="R2145" t="str">
        <f t="shared" si="67"/>
        <v>[umc2n1Z4wNv]|01-09|Female|TX_CURR_SUBNAT.T_1|CY2023Q3</v>
      </c>
    </row>
    <row r="2146" spans="4:18" x14ac:dyDescent="0.2">
      <c r="D2146" t="s">
        <v>92</v>
      </c>
      <c r="E2146" t="s">
        <v>93</v>
      </c>
      <c r="F2146" t="s">
        <v>94</v>
      </c>
      <c r="G2146" t="s">
        <v>145</v>
      </c>
      <c r="H2146" t="s">
        <v>146</v>
      </c>
      <c r="I2146" t="s">
        <v>35</v>
      </c>
      <c r="J2146" t="s">
        <v>36</v>
      </c>
      <c r="K2146" t="s">
        <v>29</v>
      </c>
      <c r="L2146" t="s">
        <v>30</v>
      </c>
      <c r="M2146" t="s">
        <v>139</v>
      </c>
      <c r="N2146">
        <v>1409</v>
      </c>
      <c r="O2146" s="14">
        <v>0.87671074853278697</v>
      </c>
      <c r="P2146" s="14">
        <v>0.36227229656651599</v>
      </c>
      <c r="Q2146" t="str">
        <f t="shared" si="66"/>
        <v>10-14</v>
      </c>
      <c r="R2146" t="str">
        <f t="shared" si="67"/>
        <v>[umc2n1Z4wNv]|10-14|Female|TX_CURR_SUBNAT.T_1|CY2023Q3</v>
      </c>
    </row>
    <row r="2147" spans="4:18" x14ac:dyDescent="0.2">
      <c r="D2147" t="s">
        <v>92</v>
      </c>
      <c r="E2147" t="s">
        <v>93</v>
      </c>
      <c r="F2147" t="s">
        <v>94</v>
      </c>
      <c r="G2147" t="s">
        <v>145</v>
      </c>
      <c r="H2147" t="s">
        <v>146</v>
      </c>
      <c r="I2147" t="s">
        <v>37</v>
      </c>
      <c r="J2147" t="s">
        <v>38</v>
      </c>
      <c r="K2147" t="s">
        <v>29</v>
      </c>
      <c r="L2147" t="s">
        <v>30</v>
      </c>
      <c r="M2147" t="s">
        <v>139</v>
      </c>
      <c r="N2147">
        <v>1745</v>
      </c>
      <c r="O2147" s="14">
        <v>0.648945415858179</v>
      </c>
      <c r="P2147" s="14">
        <v>0.36227229656651599</v>
      </c>
      <c r="Q2147" t="str">
        <f t="shared" si="66"/>
        <v>15-24</v>
      </c>
      <c r="R2147" t="str">
        <f t="shared" si="67"/>
        <v>[umc2n1Z4wNv]|15-24|Female|TX_CURR_SUBNAT.T_1|CY2023Q3</v>
      </c>
    </row>
    <row r="2148" spans="4:18" x14ac:dyDescent="0.2">
      <c r="D2148" t="s">
        <v>92</v>
      </c>
      <c r="E2148" t="s">
        <v>93</v>
      </c>
      <c r="F2148" t="s">
        <v>94</v>
      </c>
      <c r="G2148" t="s">
        <v>145</v>
      </c>
      <c r="H2148" t="s">
        <v>146</v>
      </c>
      <c r="I2148" t="s">
        <v>40</v>
      </c>
      <c r="J2148" t="s">
        <v>41</v>
      </c>
      <c r="K2148" t="s">
        <v>29</v>
      </c>
      <c r="L2148" t="s">
        <v>30</v>
      </c>
      <c r="M2148" t="s">
        <v>139</v>
      </c>
      <c r="N2148">
        <v>1787</v>
      </c>
      <c r="O2148" s="14">
        <v>0.79258935037069</v>
      </c>
      <c r="P2148" s="14">
        <v>0.36227229656651599</v>
      </c>
      <c r="Q2148" t="str">
        <f t="shared" si="66"/>
        <v>25-34</v>
      </c>
      <c r="R2148" t="str">
        <f t="shared" si="67"/>
        <v>[umc2n1Z4wNv]|25-34|Female|TX_CURR_SUBNAT.T_1|CY2023Q3</v>
      </c>
    </row>
    <row r="2149" spans="4:18" x14ac:dyDescent="0.2">
      <c r="D2149" t="s">
        <v>92</v>
      </c>
      <c r="E2149" t="s">
        <v>93</v>
      </c>
      <c r="F2149" t="s">
        <v>94</v>
      </c>
      <c r="G2149" t="s">
        <v>145</v>
      </c>
      <c r="H2149" t="s">
        <v>146</v>
      </c>
      <c r="I2149" t="s">
        <v>42</v>
      </c>
      <c r="J2149" t="s">
        <v>43</v>
      </c>
      <c r="K2149" t="s">
        <v>29</v>
      </c>
      <c r="L2149" t="s">
        <v>30</v>
      </c>
      <c r="M2149" t="s">
        <v>139</v>
      </c>
      <c r="N2149">
        <v>1619</v>
      </c>
      <c r="O2149" s="14">
        <v>0.42995662125758799</v>
      </c>
      <c r="P2149" s="14">
        <v>0.36227229656651599</v>
      </c>
      <c r="Q2149" t="str">
        <f t="shared" si="66"/>
        <v>35-49</v>
      </c>
      <c r="R2149" t="str">
        <f t="shared" si="67"/>
        <v>[umc2n1Z4wNv]|35-49|Female|TX_CURR_SUBNAT.T_1|CY2023Q3</v>
      </c>
    </row>
    <row r="2150" spans="4:18" x14ac:dyDescent="0.2">
      <c r="D2150" t="s">
        <v>92</v>
      </c>
      <c r="E2150" t="s">
        <v>93</v>
      </c>
      <c r="F2150" t="s">
        <v>94</v>
      </c>
      <c r="G2150" t="s">
        <v>145</v>
      </c>
      <c r="H2150" t="s">
        <v>146</v>
      </c>
      <c r="I2150" t="s">
        <v>44</v>
      </c>
      <c r="J2150" t="s">
        <v>45</v>
      </c>
      <c r="K2150" t="s">
        <v>29</v>
      </c>
      <c r="L2150" t="s">
        <v>30</v>
      </c>
      <c r="M2150" t="s">
        <v>139</v>
      </c>
      <c r="N2150">
        <v>1838</v>
      </c>
      <c r="O2150" s="14">
        <v>0.510895024985075</v>
      </c>
      <c r="P2150" s="14">
        <v>0.36227229656651599</v>
      </c>
      <c r="Q2150" t="str">
        <f t="shared" si="66"/>
        <v>50+</v>
      </c>
      <c r="R2150" t="str">
        <f t="shared" si="67"/>
        <v>[umc2n1Z4wNv]|50+|Female|TX_CURR_SUBNAT.T_1|CY2023Q3</v>
      </c>
    </row>
    <row r="2151" spans="4:18" x14ac:dyDescent="0.2">
      <c r="D2151" t="s">
        <v>92</v>
      </c>
      <c r="E2151" t="s">
        <v>93</v>
      </c>
      <c r="F2151" t="s">
        <v>94</v>
      </c>
      <c r="G2151" t="s">
        <v>145</v>
      </c>
      <c r="H2151" t="s">
        <v>146</v>
      </c>
      <c r="I2151" t="s">
        <v>27</v>
      </c>
      <c r="J2151" t="s">
        <v>28</v>
      </c>
      <c r="K2151" t="s">
        <v>47</v>
      </c>
      <c r="L2151" t="s">
        <v>48</v>
      </c>
      <c r="M2151" t="s">
        <v>139</v>
      </c>
      <c r="N2151">
        <v>912</v>
      </c>
      <c r="O2151" s="14">
        <v>0.10589091340079899</v>
      </c>
      <c r="P2151" s="14">
        <v>0.36227229656651599</v>
      </c>
      <c r="Q2151" t="str">
        <f t="shared" si="66"/>
        <v>&lt;01</v>
      </c>
      <c r="R2151" t="str">
        <f t="shared" si="67"/>
        <v>[umc2n1Z4wNv]|&lt;01|Male|TX_CURR_SUBNAT.T_1|CY2023Q3</v>
      </c>
    </row>
    <row r="2152" spans="4:18" x14ac:dyDescent="0.2">
      <c r="D2152" t="s">
        <v>92</v>
      </c>
      <c r="E2152" t="s">
        <v>93</v>
      </c>
      <c r="F2152" t="s">
        <v>94</v>
      </c>
      <c r="G2152" t="s">
        <v>145</v>
      </c>
      <c r="H2152" t="s">
        <v>146</v>
      </c>
      <c r="I2152" t="s">
        <v>32</v>
      </c>
      <c r="J2152" t="s">
        <v>33</v>
      </c>
      <c r="K2152" t="s">
        <v>47</v>
      </c>
      <c r="L2152" t="s">
        <v>48</v>
      </c>
      <c r="M2152" t="s">
        <v>139</v>
      </c>
      <c r="N2152">
        <v>1194</v>
      </c>
      <c r="O2152" s="14">
        <v>0.15035284240730101</v>
      </c>
      <c r="P2152" s="14">
        <v>0.36227229656651599</v>
      </c>
      <c r="Q2152" t="str">
        <f t="shared" si="66"/>
        <v>01-09</v>
      </c>
      <c r="R2152" t="str">
        <f t="shared" si="67"/>
        <v>[umc2n1Z4wNv]|01-09|Male|TX_CURR_SUBNAT.T_1|CY2023Q3</v>
      </c>
    </row>
    <row r="2153" spans="4:18" x14ac:dyDescent="0.2">
      <c r="D2153" t="s">
        <v>92</v>
      </c>
      <c r="E2153" t="s">
        <v>93</v>
      </c>
      <c r="F2153" t="s">
        <v>94</v>
      </c>
      <c r="G2153" t="s">
        <v>145</v>
      </c>
      <c r="H2153" t="s">
        <v>146</v>
      </c>
      <c r="I2153" t="s">
        <v>35</v>
      </c>
      <c r="J2153" t="s">
        <v>36</v>
      </c>
      <c r="K2153" t="s">
        <v>47</v>
      </c>
      <c r="L2153" t="s">
        <v>48</v>
      </c>
      <c r="M2153" t="s">
        <v>139</v>
      </c>
      <c r="N2153">
        <v>626</v>
      </c>
      <c r="O2153" s="14">
        <v>0.68031178461387798</v>
      </c>
      <c r="P2153" s="14">
        <v>0.36227229656651599</v>
      </c>
      <c r="Q2153" t="str">
        <f t="shared" si="66"/>
        <v>10-14</v>
      </c>
      <c r="R2153" t="str">
        <f t="shared" si="67"/>
        <v>[umc2n1Z4wNv]|10-14|Male|TX_CURR_SUBNAT.T_1|CY2023Q3</v>
      </c>
    </row>
    <row r="2154" spans="4:18" x14ac:dyDescent="0.2">
      <c r="D2154" t="s">
        <v>92</v>
      </c>
      <c r="E2154" t="s">
        <v>93</v>
      </c>
      <c r="F2154" t="s">
        <v>94</v>
      </c>
      <c r="G2154" t="s">
        <v>145</v>
      </c>
      <c r="H2154" t="s">
        <v>146</v>
      </c>
      <c r="I2154" t="s">
        <v>37</v>
      </c>
      <c r="J2154" t="s">
        <v>38</v>
      </c>
      <c r="K2154" t="s">
        <v>47</v>
      </c>
      <c r="L2154" t="s">
        <v>48</v>
      </c>
      <c r="M2154" t="s">
        <v>139</v>
      </c>
      <c r="N2154">
        <v>1431</v>
      </c>
      <c r="O2154" s="14">
        <v>0.45328639424405998</v>
      </c>
      <c r="P2154" s="14">
        <v>0.36227229656651599</v>
      </c>
      <c r="Q2154" t="str">
        <f t="shared" si="66"/>
        <v>15-24</v>
      </c>
      <c r="R2154" t="str">
        <f t="shared" si="67"/>
        <v>[umc2n1Z4wNv]|15-24|Male|TX_CURR_SUBNAT.T_1|CY2023Q3</v>
      </c>
    </row>
    <row r="2155" spans="4:18" x14ac:dyDescent="0.2">
      <c r="D2155" t="s">
        <v>92</v>
      </c>
      <c r="E2155" t="s">
        <v>93</v>
      </c>
      <c r="F2155" t="s">
        <v>94</v>
      </c>
      <c r="G2155" t="s">
        <v>145</v>
      </c>
      <c r="H2155" t="s">
        <v>146</v>
      </c>
      <c r="I2155" t="s">
        <v>40</v>
      </c>
      <c r="J2155" t="s">
        <v>41</v>
      </c>
      <c r="K2155" t="s">
        <v>47</v>
      </c>
      <c r="L2155" t="s">
        <v>48</v>
      </c>
      <c r="M2155" t="s">
        <v>139</v>
      </c>
      <c r="N2155">
        <v>1583</v>
      </c>
      <c r="O2155" s="14">
        <v>0.81969211436808098</v>
      </c>
      <c r="P2155" s="14">
        <v>0.36227229656651599</v>
      </c>
      <c r="Q2155" t="str">
        <f t="shared" si="66"/>
        <v>25-34</v>
      </c>
      <c r="R2155" t="str">
        <f t="shared" si="67"/>
        <v>[umc2n1Z4wNv]|25-34|Male|TX_CURR_SUBNAT.T_1|CY2023Q3</v>
      </c>
    </row>
    <row r="2156" spans="4:18" x14ac:dyDescent="0.2">
      <c r="D2156" t="s">
        <v>92</v>
      </c>
      <c r="E2156" t="s">
        <v>93</v>
      </c>
      <c r="F2156" t="s">
        <v>94</v>
      </c>
      <c r="G2156" t="s">
        <v>145</v>
      </c>
      <c r="H2156" t="s">
        <v>146</v>
      </c>
      <c r="I2156" t="s">
        <v>42</v>
      </c>
      <c r="J2156" t="s">
        <v>43</v>
      </c>
      <c r="K2156" t="s">
        <v>47</v>
      </c>
      <c r="L2156" t="s">
        <v>48</v>
      </c>
      <c r="M2156" t="s">
        <v>139</v>
      </c>
      <c r="N2156">
        <v>1851</v>
      </c>
      <c r="O2156" s="14">
        <v>0.86565291951410495</v>
      </c>
      <c r="P2156" s="14">
        <v>0.36227229656651599</v>
      </c>
      <c r="Q2156" t="str">
        <f t="shared" si="66"/>
        <v>35-49</v>
      </c>
      <c r="R2156" t="str">
        <f t="shared" si="67"/>
        <v>[umc2n1Z4wNv]|35-49|Male|TX_CURR_SUBNAT.T_1|CY2023Q3</v>
      </c>
    </row>
    <row r="2157" spans="4:18" x14ac:dyDescent="0.2">
      <c r="D2157" t="s">
        <v>92</v>
      </c>
      <c r="E2157" t="s">
        <v>93</v>
      </c>
      <c r="F2157" t="s">
        <v>94</v>
      </c>
      <c r="G2157" t="s">
        <v>145</v>
      </c>
      <c r="H2157" t="s">
        <v>146</v>
      </c>
      <c r="I2157" t="s">
        <v>44</v>
      </c>
      <c r="J2157" t="s">
        <v>45</v>
      </c>
      <c r="K2157" t="s">
        <v>47</v>
      </c>
      <c r="L2157" t="s">
        <v>48</v>
      </c>
      <c r="M2157" t="s">
        <v>139</v>
      </c>
      <c r="N2157">
        <v>1871</v>
      </c>
      <c r="O2157" s="14">
        <v>0.213430704781786</v>
      </c>
      <c r="P2157" s="14">
        <v>0.36227229656651599</v>
      </c>
      <c r="Q2157" t="str">
        <f t="shared" si="66"/>
        <v>50+</v>
      </c>
      <c r="R2157" t="str">
        <f t="shared" si="67"/>
        <v>[umc2n1Z4wNv]|50+|Male|TX_CURR_SUBNAT.T_1|CY2023Q3</v>
      </c>
    </row>
    <row r="2158" spans="4:18" x14ac:dyDescent="0.2">
      <c r="D2158" t="s">
        <v>95</v>
      </c>
      <c r="E2158" t="s">
        <v>96</v>
      </c>
      <c r="F2158" t="s">
        <v>97</v>
      </c>
      <c r="G2158" t="s">
        <v>145</v>
      </c>
      <c r="H2158" t="s">
        <v>146</v>
      </c>
      <c r="I2158" t="s">
        <v>27</v>
      </c>
      <c r="J2158" t="s">
        <v>28</v>
      </c>
      <c r="K2158" t="s">
        <v>29</v>
      </c>
      <c r="L2158" t="s">
        <v>30</v>
      </c>
      <c r="M2158" t="s">
        <v>139</v>
      </c>
      <c r="N2158">
        <v>1817</v>
      </c>
      <c r="O2158" s="14">
        <v>0.71129250130616095</v>
      </c>
      <c r="P2158" s="14">
        <v>0.60125171788968101</v>
      </c>
      <c r="Q2158" t="str">
        <f t="shared" si="66"/>
        <v>&lt;01</v>
      </c>
      <c r="R2158" t="str">
        <f t="shared" si="67"/>
        <v>[gwVYinjBAe9]|&lt;01|Female|TX_CURR_SUBNAT.T_1|CY2023Q3</v>
      </c>
    </row>
    <row r="2159" spans="4:18" x14ac:dyDescent="0.2">
      <c r="D2159" t="s">
        <v>95</v>
      </c>
      <c r="E2159" t="s">
        <v>96</v>
      </c>
      <c r="F2159" t="s">
        <v>97</v>
      </c>
      <c r="G2159" t="s">
        <v>145</v>
      </c>
      <c r="H2159" t="s">
        <v>146</v>
      </c>
      <c r="I2159" t="s">
        <v>32</v>
      </c>
      <c r="J2159" t="s">
        <v>33</v>
      </c>
      <c r="K2159" t="s">
        <v>29</v>
      </c>
      <c r="L2159" t="s">
        <v>30</v>
      </c>
      <c r="M2159" t="s">
        <v>139</v>
      </c>
      <c r="N2159">
        <v>1527</v>
      </c>
      <c r="O2159" s="14">
        <v>0.44162733713164898</v>
      </c>
      <c r="P2159" s="14">
        <v>0.60125171788968101</v>
      </c>
      <c r="Q2159" t="str">
        <f t="shared" si="66"/>
        <v>01-09</v>
      </c>
      <c r="R2159" t="str">
        <f t="shared" si="67"/>
        <v>[gwVYinjBAe9]|01-09|Female|TX_CURR_SUBNAT.T_1|CY2023Q3</v>
      </c>
    </row>
    <row r="2160" spans="4:18" x14ac:dyDescent="0.2">
      <c r="D2160" t="s">
        <v>95</v>
      </c>
      <c r="E2160" t="s">
        <v>96</v>
      </c>
      <c r="F2160" t="s">
        <v>97</v>
      </c>
      <c r="G2160" t="s">
        <v>145</v>
      </c>
      <c r="H2160" t="s">
        <v>146</v>
      </c>
      <c r="I2160" t="s">
        <v>35</v>
      </c>
      <c r="J2160" t="s">
        <v>36</v>
      </c>
      <c r="K2160" t="s">
        <v>29</v>
      </c>
      <c r="L2160" t="s">
        <v>30</v>
      </c>
      <c r="M2160" t="s">
        <v>139</v>
      </c>
      <c r="N2160">
        <v>763</v>
      </c>
      <c r="O2160" s="14">
        <v>0.114319392479956</v>
      </c>
      <c r="P2160" s="14">
        <v>0.60125171788968101</v>
      </c>
      <c r="Q2160" t="str">
        <f t="shared" si="66"/>
        <v>10-14</v>
      </c>
      <c r="R2160" t="str">
        <f t="shared" si="67"/>
        <v>[gwVYinjBAe9]|10-14|Female|TX_CURR_SUBNAT.T_1|CY2023Q3</v>
      </c>
    </row>
    <row r="2161" spans="4:18" x14ac:dyDescent="0.2">
      <c r="D2161" t="s">
        <v>95</v>
      </c>
      <c r="E2161" t="s">
        <v>96</v>
      </c>
      <c r="F2161" t="s">
        <v>97</v>
      </c>
      <c r="G2161" t="s">
        <v>145</v>
      </c>
      <c r="H2161" t="s">
        <v>146</v>
      </c>
      <c r="I2161" t="s">
        <v>37</v>
      </c>
      <c r="J2161" t="s">
        <v>38</v>
      </c>
      <c r="K2161" t="s">
        <v>29</v>
      </c>
      <c r="L2161" t="s">
        <v>30</v>
      </c>
      <c r="M2161" t="s">
        <v>139</v>
      </c>
      <c r="N2161">
        <v>1980</v>
      </c>
      <c r="O2161" s="14">
        <v>5.9566913172602702E-2</v>
      </c>
      <c r="P2161" s="14">
        <v>0.60125171788968101</v>
      </c>
      <c r="Q2161" t="str">
        <f t="shared" si="66"/>
        <v>15-24</v>
      </c>
      <c r="R2161" t="str">
        <f t="shared" si="67"/>
        <v>[gwVYinjBAe9]|15-24|Female|TX_CURR_SUBNAT.T_1|CY2023Q3</v>
      </c>
    </row>
    <row r="2162" spans="4:18" x14ac:dyDescent="0.2">
      <c r="D2162" t="s">
        <v>95</v>
      </c>
      <c r="E2162" t="s">
        <v>96</v>
      </c>
      <c r="F2162" t="s">
        <v>97</v>
      </c>
      <c r="G2162" t="s">
        <v>145</v>
      </c>
      <c r="H2162" t="s">
        <v>146</v>
      </c>
      <c r="I2162" t="s">
        <v>40</v>
      </c>
      <c r="J2162" t="s">
        <v>41</v>
      </c>
      <c r="K2162" t="s">
        <v>29</v>
      </c>
      <c r="L2162" t="s">
        <v>30</v>
      </c>
      <c r="M2162" t="s">
        <v>139</v>
      </c>
      <c r="N2162">
        <v>831</v>
      </c>
      <c r="O2162" s="14">
        <v>0.86109642568044398</v>
      </c>
      <c r="P2162" s="14">
        <v>0.60125171788968101</v>
      </c>
      <c r="Q2162" t="str">
        <f t="shared" si="66"/>
        <v>25-34</v>
      </c>
      <c r="R2162" t="str">
        <f t="shared" si="67"/>
        <v>[gwVYinjBAe9]|25-34|Female|TX_CURR_SUBNAT.T_1|CY2023Q3</v>
      </c>
    </row>
    <row r="2163" spans="4:18" x14ac:dyDescent="0.2">
      <c r="D2163" t="s">
        <v>95</v>
      </c>
      <c r="E2163" t="s">
        <v>96</v>
      </c>
      <c r="F2163" t="s">
        <v>97</v>
      </c>
      <c r="G2163" t="s">
        <v>145</v>
      </c>
      <c r="H2163" t="s">
        <v>146</v>
      </c>
      <c r="I2163" t="s">
        <v>42</v>
      </c>
      <c r="J2163" t="s">
        <v>43</v>
      </c>
      <c r="K2163" t="s">
        <v>29</v>
      </c>
      <c r="L2163" t="s">
        <v>30</v>
      </c>
      <c r="M2163" t="s">
        <v>139</v>
      </c>
      <c r="N2163">
        <v>1407</v>
      </c>
      <c r="O2163" s="14">
        <v>0.81969862035475705</v>
      </c>
      <c r="P2163" s="14">
        <v>0.60125171788968101</v>
      </c>
      <c r="Q2163" t="str">
        <f t="shared" si="66"/>
        <v>35-49</v>
      </c>
      <c r="R2163" t="str">
        <f t="shared" si="67"/>
        <v>[gwVYinjBAe9]|35-49|Female|TX_CURR_SUBNAT.T_1|CY2023Q3</v>
      </c>
    </row>
    <row r="2164" spans="4:18" x14ac:dyDescent="0.2">
      <c r="D2164" t="s">
        <v>95</v>
      </c>
      <c r="E2164" t="s">
        <v>96</v>
      </c>
      <c r="F2164" t="s">
        <v>97</v>
      </c>
      <c r="G2164" t="s">
        <v>145</v>
      </c>
      <c r="H2164" t="s">
        <v>146</v>
      </c>
      <c r="I2164" t="s">
        <v>44</v>
      </c>
      <c r="J2164" t="s">
        <v>45</v>
      </c>
      <c r="K2164" t="s">
        <v>29</v>
      </c>
      <c r="L2164" t="s">
        <v>30</v>
      </c>
      <c r="M2164" t="s">
        <v>139</v>
      </c>
      <c r="N2164">
        <v>834</v>
      </c>
      <c r="O2164" s="14">
        <v>0.11591952713206401</v>
      </c>
      <c r="P2164" s="14">
        <v>0.60125171788968101</v>
      </c>
      <c r="Q2164" t="str">
        <f t="shared" si="66"/>
        <v>50+</v>
      </c>
      <c r="R2164" t="str">
        <f t="shared" si="67"/>
        <v>[gwVYinjBAe9]|50+|Female|TX_CURR_SUBNAT.T_1|CY2023Q3</v>
      </c>
    </row>
    <row r="2165" spans="4:18" x14ac:dyDescent="0.2">
      <c r="D2165" t="s">
        <v>95</v>
      </c>
      <c r="E2165" t="s">
        <v>96</v>
      </c>
      <c r="F2165" t="s">
        <v>97</v>
      </c>
      <c r="G2165" t="s">
        <v>145</v>
      </c>
      <c r="H2165" t="s">
        <v>146</v>
      </c>
      <c r="I2165" t="s">
        <v>27</v>
      </c>
      <c r="J2165" t="s">
        <v>28</v>
      </c>
      <c r="K2165" t="s">
        <v>47</v>
      </c>
      <c r="L2165" t="s">
        <v>48</v>
      </c>
      <c r="M2165" t="s">
        <v>139</v>
      </c>
      <c r="N2165">
        <v>938</v>
      </c>
      <c r="O2165" s="14">
        <v>0.19051448837853999</v>
      </c>
      <c r="P2165" s="14">
        <v>0.60125171788968101</v>
      </c>
      <c r="Q2165" t="str">
        <f t="shared" si="66"/>
        <v>&lt;01</v>
      </c>
      <c r="R2165" t="str">
        <f t="shared" si="67"/>
        <v>[gwVYinjBAe9]|&lt;01|Male|TX_CURR_SUBNAT.T_1|CY2023Q3</v>
      </c>
    </row>
    <row r="2166" spans="4:18" x14ac:dyDescent="0.2">
      <c r="D2166" t="s">
        <v>95</v>
      </c>
      <c r="E2166" t="s">
        <v>96</v>
      </c>
      <c r="F2166" t="s">
        <v>97</v>
      </c>
      <c r="G2166" t="s">
        <v>145</v>
      </c>
      <c r="H2166" t="s">
        <v>146</v>
      </c>
      <c r="I2166" t="s">
        <v>32</v>
      </c>
      <c r="J2166" t="s">
        <v>33</v>
      </c>
      <c r="K2166" t="s">
        <v>47</v>
      </c>
      <c r="L2166" t="s">
        <v>48</v>
      </c>
      <c r="M2166" t="s">
        <v>139</v>
      </c>
      <c r="N2166">
        <v>1157</v>
      </c>
      <c r="O2166" s="14">
        <v>0.50653935549780704</v>
      </c>
      <c r="P2166" s="14">
        <v>0.60125171788968101</v>
      </c>
      <c r="Q2166" t="str">
        <f t="shared" si="66"/>
        <v>01-09</v>
      </c>
      <c r="R2166" t="str">
        <f t="shared" si="67"/>
        <v>[gwVYinjBAe9]|01-09|Male|TX_CURR_SUBNAT.T_1|CY2023Q3</v>
      </c>
    </row>
    <row r="2167" spans="4:18" x14ac:dyDescent="0.2">
      <c r="D2167" t="s">
        <v>95</v>
      </c>
      <c r="E2167" t="s">
        <v>96</v>
      </c>
      <c r="F2167" t="s">
        <v>97</v>
      </c>
      <c r="G2167" t="s">
        <v>145</v>
      </c>
      <c r="H2167" t="s">
        <v>146</v>
      </c>
      <c r="I2167" t="s">
        <v>35</v>
      </c>
      <c r="J2167" t="s">
        <v>36</v>
      </c>
      <c r="K2167" t="s">
        <v>47</v>
      </c>
      <c r="L2167" t="s">
        <v>48</v>
      </c>
      <c r="M2167" t="s">
        <v>139</v>
      </c>
      <c r="N2167">
        <v>1908</v>
      </c>
      <c r="O2167" s="14">
        <v>0.64932196075096704</v>
      </c>
      <c r="P2167" s="14">
        <v>0.60125171788968101</v>
      </c>
      <c r="Q2167" t="str">
        <f t="shared" si="66"/>
        <v>10-14</v>
      </c>
      <c r="R2167" t="str">
        <f t="shared" si="67"/>
        <v>[gwVYinjBAe9]|10-14|Male|TX_CURR_SUBNAT.T_1|CY2023Q3</v>
      </c>
    </row>
    <row r="2168" spans="4:18" x14ac:dyDescent="0.2">
      <c r="D2168" t="s">
        <v>95</v>
      </c>
      <c r="E2168" t="s">
        <v>96</v>
      </c>
      <c r="F2168" t="s">
        <v>97</v>
      </c>
      <c r="G2168" t="s">
        <v>145</v>
      </c>
      <c r="H2168" t="s">
        <v>146</v>
      </c>
      <c r="I2168" t="s">
        <v>37</v>
      </c>
      <c r="J2168" t="s">
        <v>38</v>
      </c>
      <c r="K2168" t="s">
        <v>47</v>
      </c>
      <c r="L2168" t="s">
        <v>48</v>
      </c>
      <c r="M2168" t="s">
        <v>139</v>
      </c>
      <c r="N2168">
        <v>1773</v>
      </c>
      <c r="O2168" s="14">
        <v>0.338511111447588</v>
      </c>
      <c r="P2168" s="14">
        <v>0.60125171788968101</v>
      </c>
      <c r="Q2168" t="str">
        <f t="shared" si="66"/>
        <v>15-24</v>
      </c>
      <c r="R2168" t="str">
        <f t="shared" si="67"/>
        <v>[gwVYinjBAe9]|15-24|Male|TX_CURR_SUBNAT.T_1|CY2023Q3</v>
      </c>
    </row>
    <row r="2169" spans="4:18" x14ac:dyDescent="0.2">
      <c r="D2169" t="s">
        <v>95</v>
      </c>
      <c r="E2169" t="s">
        <v>96</v>
      </c>
      <c r="F2169" t="s">
        <v>97</v>
      </c>
      <c r="G2169" t="s">
        <v>145</v>
      </c>
      <c r="H2169" t="s">
        <v>146</v>
      </c>
      <c r="I2169" t="s">
        <v>40</v>
      </c>
      <c r="J2169" t="s">
        <v>41</v>
      </c>
      <c r="K2169" t="s">
        <v>47</v>
      </c>
      <c r="L2169" t="s">
        <v>48</v>
      </c>
      <c r="M2169" t="s">
        <v>139</v>
      </c>
      <c r="N2169">
        <v>1310</v>
      </c>
      <c r="O2169" s="14">
        <v>0.44082364137284502</v>
      </c>
      <c r="P2169" s="14">
        <v>0.60125171788968101</v>
      </c>
      <c r="Q2169" t="str">
        <f t="shared" si="66"/>
        <v>25-34</v>
      </c>
      <c r="R2169" t="str">
        <f t="shared" si="67"/>
        <v>[gwVYinjBAe9]|25-34|Male|TX_CURR_SUBNAT.T_1|CY2023Q3</v>
      </c>
    </row>
    <row r="2170" spans="4:18" x14ac:dyDescent="0.2">
      <c r="D2170" t="s">
        <v>95</v>
      </c>
      <c r="E2170" t="s">
        <v>96</v>
      </c>
      <c r="F2170" t="s">
        <v>97</v>
      </c>
      <c r="G2170" t="s">
        <v>145</v>
      </c>
      <c r="H2170" t="s">
        <v>146</v>
      </c>
      <c r="I2170" t="s">
        <v>42</v>
      </c>
      <c r="J2170" t="s">
        <v>43</v>
      </c>
      <c r="K2170" t="s">
        <v>47</v>
      </c>
      <c r="L2170" t="s">
        <v>48</v>
      </c>
      <c r="M2170" t="s">
        <v>139</v>
      </c>
      <c r="N2170">
        <v>571</v>
      </c>
      <c r="O2170" s="14">
        <v>0.78941243770532299</v>
      </c>
      <c r="P2170" s="14">
        <v>0.60125171788968101</v>
      </c>
      <c r="Q2170" t="str">
        <f t="shared" si="66"/>
        <v>35-49</v>
      </c>
      <c r="R2170" t="str">
        <f t="shared" si="67"/>
        <v>[gwVYinjBAe9]|35-49|Male|TX_CURR_SUBNAT.T_1|CY2023Q3</v>
      </c>
    </row>
    <row r="2171" spans="4:18" x14ac:dyDescent="0.2">
      <c r="D2171" t="s">
        <v>95</v>
      </c>
      <c r="E2171" t="s">
        <v>96</v>
      </c>
      <c r="F2171" t="s">
        <v>97</v>
      </c>
      <c r="G2171" t="s">
        <v>145</v>
      </c>
      <c r="H2171" t="s">
        <v>146</v>
      </c>
      <c r="I2171" t="s">
        <v>44</v>
      </c>
      <c r="J2171" t="s">
        <v>45</v>
      </c>
      <c r="K2171" t="s">
        <v>47</v>
      </c>
      <c r="L2171" t="s">
        <v>48</v>
      </c>
      <c r="M2171" t="s">
        <v>139</v>
      </c>
      <c r="N2171">
        <v>1518</v>
      </c>
      <c r="O2171" s="14">
        <v>0.45756438421085499</v>
      </c>
      <c r="P2171" s="14">
        <v>0.60125171788968101</v>
      </c>
      <c r="Q2171" t="str">
        <f t="shared" si="66"/>
        <v>50+</v>
      </c>
      <c r="R2171" t="str">
        <f t="shared" si="67"/>
        <v>[gwVYinjBAe9]|50+|Male|TX_CURR_SUBNAT.T_1|CY2023Q3</v>
      </c>
    </row>
    <row r="2172" spans="4:18" x14ac:dyDescent="0.2">
      <c r="D2172" t="s">
        <v>98</v>
      </c>
      <c r="E2172" t="s">
        <v>99</v>
      </c>
      <c r="F2172" t="s">
        <v>100</v>
      </c>
      <c r="G2172" t="s">
        <v>145</v>
      </c>
      <c r="H2172" t="s">
        <v>146</v>
      </c>
      <c r="I2172" t="s">
        <v>27</v>
      </c>
      <c r="J2172" t="s">
        <v>28</v>
      </c>
      <c r="K2172" t="s">
        <v>29</v>
      </c>
      <c r="L2172" t="s">
        <v>30</v>
      </c>
      <c r="M2172" t="s">
        <v>139</v>
      </c>
      <c r="N2172">
        <v>572</v>
      </c>
      <c r="O2172" s="14">
        <v>0.88102241791784797</v>
      </c>
      <c r="P2172" s="14">
        <v>0.57728803809732199</v>
      </c>
      <c r="Q2172" t="str">
        <f t="shared" si="66"/>
        <v>&lt;01</v>
      </c>
      <c r="R2172" t="str">
        <f t="shared" si="67"/>
        <v>[mxqa3CDFmIT]|&lt;01|Female|TX_CURR_SUBNAT.T_1|CY2023Q3</v>
      </c>
    </row>
    <row r="2173" spans="4:18" x14ac:dyDescent="0.2">
      <c r="D2173" t="s">
        <v>98</v>
      </c>
      <c r="E2173" t="s">
        <v>99</v>
      </c>
      <c r="F2173" t="s">
        <v>100</v>
      </c>
      <c r="G2173" t="s">
        <v>145</v>
      </c>
      <c r="H2173" t="s">
        <v>146</v>
      </c>
      <c r="I2173" t="s">
        <v>32</v>
      </c>
      <c r="J2173" t="s">
        <v>33</v>
      </c>
      <c r="K2173" t="s">
        <v>29</v>
      </c>
      <c r="L2173" t="s">
        <v>30</v>
      </c>
      <c r="M2173" t="s">
        <v>139</v>
      </c>
      <c r="N2173">
        <v>1308</v>
      </c>
      <c r="O2173" s="14">
        <v>0.22151144687086299</v>
      </c>
      <c r="P2173" s="14">
        <v>0.57728803809732199</v>
      </c>
      <c r="Q2173" t="str">
        <f t="shared" si="66"/>
        <v>01-09</v>
      </c>
      <c r="R2173" t="str">
        <f t="shared" si="67"/>
        <v>[mxqa3CDFmIT]|01-09|Female|TX_CURR_SUBNAT.T_1|CY2023Q3</v>
      </c>
    </row>
    <row r="2174" spans="4:18" x14ac:dyDescent="0.2">
      <c r="D2174" t="s">
        <v>98</v>
      </c>
      <c r="E2174" t="s">
        <v>99</v>
      </c>
      <c r="F2174" t="s">
        <v>100</v>
      </c>
      <c r="G2174" t="s">
        <v>145</v>
      </c>
      <c r="H2174" t="s">
        <v>146</v>
      </c>
      <c r="I2174" t="s">
        <v>35</v>
      </c>
      <c r="J2174" t="s">
        <v>36</v>
      </c>
      <c r="K2174" t="s">
        <v>29</v>
      </c>
      <c r="L2174" t="s">
        <v>30</v>
      </c>
      <c r="M2174" t="s">
        <v>139</v>
      </c>
      <c r="N2174">
        <v>1168</v>
      </c>
      <c r="O2174" s="14">
        <v>3.2022715779021403E-2</v>
      </c>
      <c r="P2174" s="14">
        <v>0.57728803809732199</v>
      </c>
      <c r="Q2174" t="str">
        <f t="shared" si="66"/>
        <v>10-14</v>
      </c>
      <c r="R2174" t="str">
        <f t="shared" si="67"/>
        <v>[mxqa3CDFmIT]|10-14|Female|TX_CURR_SUBNAT.T_1|CY2023Q3</v>
      </c>
    </row>
    <row r="2175" spans="4:18" x14ac:dyDescent="0.2">
      <c r="D2175" t="s">
        <v>98</v>
      </c>
      <c r="E2175" t="s">
        <v>99</v>
      </c>
      <c r="F2175" t="s">
        <v>100</v>
      </c>
      <c r="G2175" t="s">
        <v>145</v>
      </c>
      <c r="H2175" t="s">
        <v>146</v>
      </c>
      <c r="I2175" t="s">
        <v>37</v>
      </c>
      <c r="J2175" t="s">
        <v>38</v>
      </c>
      <c r="K2175" t="s">
        <v>29</v>
      </c>
      <c r="L2175" t="s">
        <v>30</v>
      </c>
      <c r="M2175" t="s">
        <v>139</v>
      </c>
      <c r="N2175">
        <v>1435</v>
      </c>
      <c r="O2175" s="14">
        <v>0.59973922092467502</v>
      </c>
      <c r="P2175" s="14">
        <v>0.57728803809732199</v>
      </c>
      <c r="Q2175" t="str">
        <f t="shared" si="66"/>
        <v>15-24</v>
      </c>
      <c r="R2175" t="str">
        <f t="shared" si="67"/>
        <v>[mxqa3CDFmIT]|15-24|Female|TX_CURR_SUBNAT.T_1|CY2023Q3</v>
      </c>
    </row>
    <row r="2176" spans="4:18" x14ac:dyDescent="0.2">
      <c r="D2176" t="s">
        <v>98</v>
      </c>
      <c r="E2176" t="s">
        <v>99</v>
      </c>
      <c r="F2176" t="s">
        <v>100</v>
      </c>
      <c r="G2176" t="s">
        <v>145</v>
      </c>
      <c r="H2176" t="s">
        <v>146</v>
      </c>
      <c r="I2176" t="s">
        <v>40</v>
      </c>
      <c r="J2176" t="s">
        <v>41</v>
      </c>
      <c r="K2176" t="s">
        <v>29</v>
      </c>
      <c r="L2176" t="s">
        <v>30</v>
      </c>
      <c r="M2176" t="s">
        <v>139</v>
      </c>
      <c r="N2176">
        <v>1381</v>
      </c>
      <c r="O2176" s="14">
        <v>0.41135954461060498</v>
      </c>
      <c r="P2176" s="14">
        <v>0.57728803809732199</v>
      </c>
      <c r="Q2176" t="str">
        <f t="shared" si="66"/>
        <v>25-34</v>
      </c>
      <c r="R2176" t="str">
        <f t="shared" si="67"/>
        <v>[mxqa3CDFmIT]|25-34|Female|TX_CURR_SUBNAT.T_1|CY2023Q3</v>
      </c>
    </row>
    <row r="2177" spans="4:18" x14ac:dyDescent="0.2">
      <c r="D2177" t="s">
        <v>98</v>
      </c>
      <c r="E2177" t="s">
        <v>99</v>
      </c>
      <c r="F2177" t="s">
        <v>100</v>
      </c>
      <c r="G2177" t="s">
        <v>145</v>
      </c>
      <c r="H2177" t="s">
        <v>146</v>
      </c>
      <c r="I2177" t="s">
        <v>42</v>
      </c>
      <c r="J2177" t="s">
        <v>43</v>
      </c>
      <c r="K2177" t="s">
        <v>29</v>
      </c>
      <c r="L2177" t="s">
        <v>30</v>
      </c>
      <c r="M2177" t="s">
        <v>139</v>
      </c>
      <c r="N2177">
        <v>1388</v>
      </c>
      <c r="O2177" s="14">
        <v>0.49744649487547599</v>
      </c>
      <c r="P2177" s="14">
        <v>0.57728803809732199</v>
      </c>
      <c r="Q2177" t="str">
        <f t="shared" si="66"/>
        <v>35-49</v>
      </c>
      <c r="R2177" t="str">
        <f t="shared" si="67"/>
        <v>[mxqa3CDFmIT]|35-49|Female|TX_CURR_SUBNAT.T_1|CY2023Q3</v>
      </c>
    </row>
    <row r="2178" spans="4:18" x14ac:dyDescent="0.2">
      <c r="D2178" t="s">
        <v>98</v>
      </c>
      <c r="E2178" t="s">
        <v>99</v>
      </c>
      <c r="F2178" t="s">
        <v>100</v>
      </c>
      <c r="G2178" t="s">
        <v>145</v>
      </c>
      <c r="H2178" t="s">
        <v>146</v>
      </c>
      <c r="I2178" t="s">
        <v>44</v>
      </c>
      <c r="J2178" t="s">
        <v>45</v>
      </c>
      <c r="K2178" t="s">
        <v>29</v>
      </c>
      <c r="L2178" t="s">
        <v>30</v>
      </c>
      <c r="M2178" t="s">
        <v>139</v>
      </c>
      <c r="N2178">
        <v>1496</v>
      </c>
      <c r="O2178" s="14">
        <v>0.54626392154023096</v>
      </c>
      <c r="P2178" s="14">
        <v>0.57728803809732199</v>
      </c>
      <c r="Q2178" t="str">
        <f t="shared" ref="Q2178:Q2241" si="68">SUBSTITUTE(SUBSTITUTE($I2178,CHAR(61),""),CHAR(34),"")</f>
        <v>50+</v>
      </c>
      <c r="R2178" t="str">
        <f t="shared" ref="R2178:R2241" si="69">IF($D2178&lt;&gt;"","["&amp;$E2178&amp;"]"&amp;"|"&amp;$Q2178&amp;"|"&amp;$K2178&amp;"|"&amp;$G2178&amp;"|"&amp;IF($G2178="TX_CURR_SUBNAT.R","CY2022Q4",$M2178),"")</f>
        <v>[mxqa3CDFmIT]|50+|Female|TX_CURR_SUBNAT.T_1|CY2023Q3</v>
      </c>
    </row>
    <row r="2179" spans="4:18" x14ac:dyDescent="0.2">
      <c r="D2179" t="s">
        <v>98</v>
      </c>
      <c r="E2179" t="s">
        <v>99</v>
      </c>
      <c r="F2179" t="s">
        <v>100</v>
      </c>
      <c r="G2179" t="s">
        <v>145</v>
      </c>
      <c r="H2179" t="s">
        <v>146</v>
      </c>
      <c r="I2179" t="s">
        <v>27</v>
      </c>
      <c r="J2179" t="s">
        <v>28</v>
      </c>
      <c r="K2179" t="s">
        <v>47</v>
      </c>
      <c r="L2179" t="s">
        <v>48</v>
      </c>
      <c r="M2179" t="s">
        <v>139</v>
      </c>
      <c r="N2179">
        <v>1703</v>
      </c>
      <c r="O2179" s="14">
        <v>0.27119977725669703</v>
      </c>
      <c r="P2179" s="14">
        <v>0.57728803809732199</v>
      </c>
      <c r="Q2179" t="str">
        <f t="shared" si="68"/>
        <v>&lt;01</v>
      </c>
      <c r="R2179" t="str">
        <f t="shared" si="69"/>
        <v>[mxqa3CDFmIT]|&lt;01|Male|TX_CURR_SUBNAT.T_1|CY2023Q3</v>
      </c>
    </row>
    <row r="2180" spans="4:18" x14ac:dyDescent="0.2">
      <c r="D2180" t="s">
        <v>98</v>
      </c>
      <c r="E2180" t="s">
        <v>99</v>
      </c>
      <c r="F2180" t="s">
        <v>100</v>
      </c>
      <c r="G2180" t="s">
        <v>145</v>
      </c>
      <c r="H2180" t="s">
        <v>146</v>
      </c>
      <c r="I2180" t="s">
        <v>32</v>
      </c>
      <c r="J2180" t="s">
        <v>33</v>
      </c>
      <c r="K2180" t="s">
        <v>47</v>
      </c>
      <c r="L2180" t="s">
        <v>48</v>
      </c>
      <c r="M2180" t="s">
        <v>139</v>
      </c>
      <c r="N2180">
        <v>1484</v>
      </c>
      <c r="O2180" s="14">
        <v>8.5527539951726794E-2</v>
      </c>
      <c r="P2180" s="14">
        <v>0.57728803809732199</v>
      </c>
      <c r="Q2180" t="str">
        <f t="shared" si="68"/>
        <v>01-09</v>
      </c>
      <c r="R2180" t="str">
        <f t="shared" si="69"/>
        <v>[mxqa3CDFmIT]|01-09|Male|TX_CURR_SUBNAT.T_1|CY2023Q3</v>
      </c>
    </row>
    <row r="2181" spans="4:18" x14ac:dyDescent="0.2">
      <c r="D2181" t="s">
        <v>98</v>
      </c>
      <c r="E2181" t="s">
        <v>99</v>
      </c>
      <c r="F2181" t="s">
        <v>100</v>
      </c>
      <c r="G2181" t="s">
        <v>145</v>
      </c>
      <c r="H2181" t="s">
        <v>146</v>
      </c>
      <c r="I2181" t="s">
        <v>35</v>
      </c>
      <c r="J2181" t="s">
        <v>36</v>
      </c>
      <c r="K2181" t="s">
        <v>47</v>
      </c>
      <c r="L2181" t="s">
        <v>48</v>
      </c>
      <c r="M2181" t="s">
        <v>139</v>
      </c>
      <c r="N2181">
        <v>1540</v>
      </c>
      <c r="O2181" s="14">
        <v>0.92027735593728699</v>
      </c>
      <c r="P2181" s="14">
        <v>0.57728803809732199</v>
      </c>
      <c r="Q2181" t="str">
        <f t="shared" si="68"/>
        <v>10-14</v>
      </c>
      <c r="R2181" t="str">
        <f t="shared" si="69"/>
        <v>[mxqa3CDFmIT]|10-14|Male|TX_CURR_SUBNAT.T_1|CY2023Q3</v>
      </c>
    </row>
    <row r="2182" spans="4:18" x14ac:dyDescent="0.2">
      <c r="D2182" t="s">
        <v>98</v>
      </c>
      <c r="E2182" t="s">
        <v>99</v>
      </c>
      <c r="F2182" t="s">
        <v>100</v>
      </c>
      <c r="G2182" t="s">
        <v>145</v>
      </c>
      <c r="H2182" t="s">
        <v>146</v>
      </c>
      <c r="I2182" t="s">
        <v>37</v>
      </c>
      <c r="J2182" t="s">
        <v>38</v>
      </c>
      <c r="K2182" t="s">
        <v>47</v>
      </c>
      <c r="L2182" t="s">
        <v>48</v>
      </c>
      <c r="M2182" t="s">
        <v>139</v>
      </c>
      <c r="N2182">
        <v>510</v>
      </c>
      <c r="O2182" s="14">
        <v>0.44705490535125098</v>
      </c>
      <c r="P2182" s="14">
        <v>0.57728803809732199</v>
      </c>
      <c r="Q2182" t="str">
        <f t="shared" si="68"/>
        <v>15-24</v>
      </c>
      <c r="R2182" t="str">
        <f t="shared" si="69"/>
        <v>[mxqa3CDFmIT]|15-24|Male|TX_CURR_SUBNAT.T_1|CY2023Q3</v>
      </c>
    </row>
    <row r="2183" spans="4:18" x14ac:dyDescent="0.2">
      <c r="D2183" t="s">
        <v>98</v>
      </c>
      <c r="E2183" t="s">
        <v>99</v>
      </c>
      <c r="F2183" t="s">
        <v>100</v>
      </c>
      <c r="G2183" t="s">
        <v>145</v>
      </c>
      <c r="H2183" t="s">
        <v>146</v>
      </c>
      <c r="I2183" t="s">
        <v>40</v>
      </c>
      <c r="J2183" t="s">
        <v>41</v>
      </c>
      <c r="K2183" t="s">
        <v>47</v>
      </c>
      <c r="L2183" t="s">
        <v>48</v>
      </c>
      <c r="M2183" t="s">
        <v>139</v>
      </c>
      <c r="N2183">
        <v>925</v>
      </c>
      <c r="O2183" s="14">
        <v>0.90062073781155005</v>
      </c>
      <c r="P2183" s="14">
        <v>0.57728803809732199</v>
      </c>
      <c r="Q2183" t="str">
        <f t="shared" si="68"/>
        <v>25-34</v>
      </c>
      <c r="R2183" t="str">
        <f t="shared" si="69"/>
        <v>[mxqa3CDFmIT]|25-34|Male|TX_CURR_SUBNAT.T_1|CY2023Q3</v>
      </c>
    </row>
    <row r="2184" spans="4:18" x14ac:dyDescent="0.2">
      <c r="D2184" t="s">
        <v>98</v>
      </c>
      <c r="E2184" t="s">
        <v>99</v>
      </c>
      <c r="F2184" t="s">
        <v>100</v>
      </c>
      <c r="G2184" t="s">
        <v>145</v>
      </c>
      <c r="H2184" t="s">
        <v>146</v>
      </c>
      <c r="I2184" t="s">
        <v>42</v>
      </c>
      <c r="J2184" t="s">
        <v>43</v>
      </c>
      <c r="K2184" t="s">
        <v>47</v>
      </c>
      <c r="L2184" t="s">
        <v>48</v>
      </c>
      <c r="M2184" t="s">
        <v>139</v>
      </c>
      <c r="N2184">
        <v>708</v>
      </c>
      <c r="O2184" s="14">
        <v>0.99605747917666998</v>
      </c>
      <c r="P2184" s="14">
        <v>0.57728803809732199</v>
      </c>
      <c r="Q2184" t="str">
        <f t="shared" si="68"/>
        <v>35-49</v>
      </c>
      <c r="R2184" t="str">
        <f t="shared" si="69"/>
        <v>[mxqa3CDFmIT]|35-49|Male|TX_CURR_SUBNAT.T_1|CY2023Q3</v>
      </c>
    </row>
    <row r="2185" spans="4:18" x14ac:dyDescent="0.2">
      <c r="D2185" t="s">
        <v>98</v>
      </c>
      <c r="E2185" t="s">
        <v>99</v>
      </c>
      <c r="F2185" t="s">
        <v>100</v>
      </c>
      <c r="G2185" t="s">
        <v>145</v>
      </c>
      <c r="H2185" t="s">
        <v>146</v>
      </c>
      <c r="I2185" t="s">
        <v>44</v>
      </c>
      <c r="J2185" t="s">
        <v>45</v>
      </c>
      <c r="K2185" t="s">
        <v>47</v>
      </c>
      <c r="L2185" t="s">
        <v>48</v>
      </c>
      <c r="M2185" t="s">
        <v>139</v>
      </c>
      <c r="N2185">
        <v>1916</v>
      </c>
      <c r="O2185" s="14">
        <v>0.24236405268311501</v>
      </c>
      <c r="P2185" s="14">
        <v>0.57728803809732199</v>
      </c>
      <c r="Q2185" t="str">
        <f t="shared" si="68"/>
        <v>50+</v>
      </c>
      <c r="R2185" t="str">
        <f t="shared" si="69"/>
        <v>[mxqa3CDFmIT]|50+|Male|TX_CURR_SUBNAT.T_1|CY2023Q3</v>
      </c>
    </row>
    <row r="2186" spans="4:18" x14ac:dyDescent="0.2">
      <c r="D2186" t="s">
        <v>101</v>
      </c>
      <c r="E2186" t="s">
        <v>102</v>
      </c>
      <c r="F2186" t="s">
        <v>103</v>
      </c>
      <c r="G2186" t="s">
        <v>145</v>
      </c>
      <c r="H2186" t="s">
        <v>146</v>
      </c>
      <c r="I2186" t="s">
        <v>27</v>
      </c>
      <c r="J2186" t="s">
        <v>28</v>
      </c>
      <c r="K2186" t="s">
        <v>29</v>
      </c>
      <c r="L2186" t="s">
        <v>30</v>
      </c>
      <c r="M2186" t="s">
        <v>139</v>
      </c>
      <c r="N2186">
        <v>674</v>
      </c>
      <c r="O2186" s="14">
        <v>0.686627936083823</v>
      </c>
      <c r="P2186" s="14">
        <v>0.52621235931292198</v>
      </c>
      <c r="Q2186" t="str">
        <f t="shared" si="68"/>
        <v>&lt;01</v>
      </c>
      <c r="R2186" t="str">
        <f t="shared" si="69"/>
        <v>[wNqJp8oRIcF]|&lt;01|Female|TX_CURR_SUBNAT.T_1|CY2023Q3</v>
      </c>
    </row>
    <row r="2187" spans="4:18" x14ac:dyDescent="0.2">
      <c r="D2187" t="s">
        <v>101</v>
      </c>
      <c r="E2187" t="s">
        <v>102</v>
      </c>
      <c r="F2187" t="s">
        <v>103</v>
      </c>
      <c r="G2187" t="s">
        <v>145</v>
      </c>
      <c r="H2187" t="s">
        <v>146</v>
      </c>
      <c r="I2187" t="s">
        <v>32</v>
      </c>
      <c r="J2187" t="s">
        <v>33</v>
      </c>
      <c r="K2187" t="s">
        <v>29</v>
      </c>
      <c r="L2187" t="s">
        <v>30</v>
      </c>
      <c r="M2187" t="s">
        <v>139</v>
      </c>
      <c r="N2187">
        <v>819</v>
      </c>
      <c r="O2187" s="14">
        <v>0.258392689749599</v>
      </c>
      <c r="P2187" s="14">
        <v>0.52621235931292198</v>
      </c>
      <c r="Q2187" t="str">
        <f t="shared" si="68"/>
        <v>01-09</v>
      </c>
      <c r="R2187" t="str">
        <f t="shared" si="69"/>
        <v>[wNqJp8oRIcF]|01-09|Female|TX_CURR_SUBNAT.T_1|CY2023Q3</v>
      </c>
    </row>
    <row r="2188" spans="4:18" x14ac:dyDescent="0.2">
      <c r="D2188" t="s">
        <v>101</v>
      </c>
      <c r="E2188" t="s">
        <v>102</v>
      </c>
      <c r="F2188" t="s">
        <v>103</v>
      </c>
      <c r="G2188" t="s">
        <v>145</v>
      </c>
      <c r="H2188" t="s">
        <v>146</v>
      </c>
      <c r="I2188" t="s">
        <v>35</v>
      </c>
      <c r="J2188" t="s">
        <v>36</v>
      </c>
      <c r="K2188" t="s">
        <v>29</v>
      </c>
      <c r="L2188" t="s">
        <v>30</v>
      </c>
      <c r="M2188" t="s">
        <v>139</v>
      </c>
      <c r="N2188">
        <v>1800</v>
      </c>
      <c r="O2188" s="14">
        <v>0.72636404982767999</v>
      </c>
      <c r="P2188" s="14">
        <v>0.52621235931292198</v>
      </c>
      <c r="Q2188" t="str">
        <f t="shared" si="68"/>
        <v>10-14</v>
      </c>
      <c r="R2188" t="str">
        <f t="shared" si="69"/>
        <v>[wNqJp8oRIcF]|10-14|Female|TX_CURR_SUBNAT.T_1|CY2023Q3</v>
      </c>
    </row>
    <row r="2189" spans="4:18" x14ac:dyDescent="0.2">
      <c r="D2189" t="s">
        <v>101</v>
      </c>
      <c r="E2189" t="s">
        <v>102</v>
      </c>
      <c r="F2189" t="s">
        <v>103</v>
      </c>
      <c r="G2189" t="s">
        <v>145</v>
      </c>
      <c r="H2189" t="s">
        <v>146</v>
      </c>
      <c r="I2189" t="s">
        <v>37</v>
      </c>
      <c r="J2189" t="s">
        <v>38</v>
      </c>
      <c r="K2189" t="s">
        <v>29</v>
      </c>
      <c r="L2189" t="s">
        <v>30</v>
      </c>
      <c r="M2189" t="s">
        <v>139</v>
      </c>
      <c r="N2189">
        <v>757</v>
      </c>
      <c r="O2189" s="14">
        <v>6.1816547531634604E-3</v>
      </c>
      <c r="P2189" s="14">
        <v>0.52621235931292198</v>
      </c>
      <c r="Q2189" t="str">
        <f t="shared" si="68"/>
        <v>15-24</v>
      </c>
      <c r="R2189" t="str">
        <f t="shared" si="69"/>
        <v>[wNqJp8oRIcF]|15-24|Female|TX_CURR_SUBNAT.T_1|CY2023Q3</v>
      </c>
    </row>
    <row r="2190" spans="4:18" x14ac:dyDescent="0.2">
      <c r="D2190" t="s">
        <v>101</v>
      </c>
      <c r="E2190" t="s">
        <v>102</v>
      </c>
      <c r="F2190" t="s">
        <v>103</v>
      </c>
      <c r="G2190" t="s">
        <v>145</v>
      </c>
      <c r="H2190" t="s">
        <v>146</v>
      </c>
      <c r="I2190" t="s">
        <v>40</v>
      </c>
      <c r="J2190" t="s">
        <v>41</v>
      </c>
      <c r="K2190" t="s">
        <v>29</v>
      </c>
      <c r="L2190" t="s">
        <v>30</v>
      </c>
      <c r="M2190" t="s">
        <v>139</v>
      </c>
      <c r="N2190">
        <v>623</v>
      </c>
      <c r="O2190" s="14">
        <v>0.57222686242312204</v>
      </c>
      <c r="P2190" s="14">
        <v>0.52621235931292198</v>
      </c>
      <c r="Q2190" t="str">
        <f t="shared" si="68"/>
        <v>25-34</v>
      </c>
      <c r="R2190" t="str">
        <f t="shared" si="69"/>
        <v>[wNqJp8oRIcF]|25-34|Female|TX_CURR_SUBNAT.T_1|CY2023Q3</v>
      </c>
    </row>
    <row r="2191" spans="4:18" x14ac:dyDescent="0.2">
      <c r="D2191" t="s">
        <v>101</v>
      </c>
      <c r="E2191" t="s">
        <v>102</v>
      </c>
      <c r="F2191" t="s">
        <v>103</v>
      </c>
      <c r="G2191" t="s">
        <v>145</v>
      </c>
      <c r="H2191" t="s">
        <v>146</v>
      </c>
      <c r="I2191" t="s">
        <v>42</v>
      </c>
      <c r="J2191" t="s">
        <v>43</v>
      </c>
      <c r="K2191" t="s">
        <v>29</v>
      </c>
      <c r="L2191" t="s">
        <v>30</v>
      </c>
      <c r="M2191" t="s">
        <v>139</v>
      </c>
      <c r="N2191">
        <v>1975</v>
      </c>
      <c r="O2191" s="14">
        <v>0.94639072287827697</v>
      </c>
      <c r="P2191" s="14">
        <v>0.52621235931292198</v>
      </c>
      <c r="Q2191" t="str">
        <f t="shared" si="68"/>
        <v>35-49</v>
      </c>
      <c r="R2191" t="str">
        <f t="shared" si="69"/>
        <v>[wNqJp8oRIcF]|35-49|Female|TX_CURR_SUBNAT.T_1|CY2023Q3</v>
      </c>
    </row>
    <row r="2192" spans="4:18" x14ac:dyDescent="0.2">
      <c r="D2192" t="s">
        <v>101</v>
      </c>
      <c r="E2192" t="s">
        <v>102</v>
      </c>
      <c r="F2192" t="s">
        <v>103</v>
      </c>
      <c r="G2192" t="s">
        <v>145</v>
      </c>
      <c r="H2192" t="s">
        <v>146</v>
      </c>
      <c r="I2192" t="s">
        <v>44</v>
      </c>
      <c r="J2192" t="s">
        <v>45</v>
      </c>
      <c r="K2192" t="s">
        <v>29</v>
      </c>
      <c r="L2192" t="s">
        <v>30</v>
      </c>
      <c r="M2192" t="s">
        <v>139</v>
      </c>
      <c r="N2192">
        <v>1948</v>
      </c>
      <c r="O2192" s="14">
        <v>0.24886667705141</v>
      </c>
      <c r="P2192" s="14">
        <v>0.52621235931292198</v>
      </c>
      <c r="Q2192" t="str">
        <f t="shared" si="68"/>
        <v>50+</v>
      </c>
      <c r="R2192" t="str">
        <f t="shared" si="69"/>
        <v>[wNqJp8oRIcF]|50+|Female|TX_CURR_SUBNAT.T_1|CY2023Q3</v>
      </c>
    </row>
    <row r="2193" spans="4:18" x14ac:dyDescent="0.2">
      <c r="D2193" t="s">
        <v>101</v>
      </c>
      <c r="E2193" t="s">
        <v>102</v>
      </c>
      <c r="F2193" t="s">
        <v>103</v>
      </c>
      <c r="G2193" t="s">
        <v>145</v>
      </c>
      <c r="H2193" t="s">
        <v>146</v>
      </c>
      <c r="I2193" t="s">
        <v>27</v>
      </c>
      <c r="J2193" t="s">
        <v>28</v>
      </c>
      <c r="K2193" t="s">
        <v>47</v>
      </c>
      <c r="L2193" t="s">
        <v>48</v>
      </c>
      <c r="M2193" t="s">
        <v>139</v>
      </c>
      <c r="N2193">
        <v>1982</v>
      </c>
      <c r="O2193" s="14">
        <v>0.81120631098747298</v>
      </c>
      <c r="P2193" s="14">
        <v>0.52621235931292198</v>
      </c>
      <c r="Q2193" t="str">
        <f t="shared" si="68"/>
        <v>&lt;01</v>
      </c>
      <c r="R2193" t="str">
        <f t="shared" si="69"/>
        <v>[wNqJp8oRIcF]|&lt;01|Male|TX_CURR_SUBNAT.T_1|CY2023Q3</v>
      </c>
    </row>
    <row r="2194" spans="4:18" x14ac:dyDescent="0.2">
      <c r="D2194" t="s">
        <v>101</v>
      </c>
      <c r="E2194" t="s">
        <v>102</v>
      </c>
      <c r="F2194" t="s">
        <v>103</v>
      </c>
      <c r="G2194" t="s">
        <v>145</v>
      </c>
      <c r="H2194" t="s">
        <v>146</v>
      </c>
      <c r="I2194" t="s">
        <v>32</v>
      </c>
      <c r="J2194" t="s">
        <v>33</v>
      </c>
      <c r="K2194" t="s">
        <v>47</v>
      </c>
      <c r="L2194" t="s">
        <v>48</v>
      </c>
      <c r="M2194" t="s">
        <v>139</v>
      </c>
      <c r="N2194">
        <v>966</v>
      </c>
      <c r="O2194" s="14">
        <v>8.6246283724904102E-2</v>
      </c>
      <c r="P2194" s="14">
        <v>0.52621235931292198</v>
      </c>
      <c r="Q2194" t="str">
        <f t="shared" si="68"/>
        <v>01-09</v>
      </c>
      <c r="R2194" t="str">
        <f t="shared" si="69"/>
        <v>[wNqJp8oRIcF]|01-09|Male|TX_CURR_SUBNAT.T_1|CY2023Q3</v>
      </c>
    </row>
    <row r="2195" spans="4:18" x14ac:dyDescent="0.2">
      <c r="D2195" t="s">
        <v>101</v>
      </c>
      <c r="E2195" t="s">
        <v>102</v>
      </c>
      <c r="F2195" t="s">
        <v>103</v>
      </c>
      <c r="G2195" t="s">
        <v>145</v>
      </c>
      <c r="H2195" t="s">
        <v>146</v>
      </c>
      <c r="I2195" t="s">
        <v>35</v>
      </c>
      <c r="J2195" t="s">
        <v>36</v>
      </c>
      <c r="K2195" t="s">
        <v>47</v>
      </c>
      <c r="L2195" t="s">
        <v>48</v>
      </c>
      <c r="M2195" t="s">
        <v>139</v>
      </c>
      <c r="N2195">
        <v>1136</v>
      </c>
      <c r="O2195" s="14">
        <v>0.61029872088693105</v>
      </c>
      <c r="P2195" s="14">
        <v>0.52621235931292198</v>
      </c>
      <c r="Q2195" t="str">
        <f t="shared" si="68"/>
        <v>10-14</v>
      </c>
      <c r="R2195" t="str">
        <f t="shared" si="69"/>
        <v>[wNqJp8oRIcF]|10-14|Male|TX_CURR_SUBNAT.T_1|CY2023Q3</v>
      </c>
    </row>
    <row r="2196" spans="4:18" x14ac:dyDescent="0.2">
      <c r="D2196" t="s">
        <v>101</v>
      </c>
      <c r="E2196" t="s">
        <v>102</v>
      </c>
      <c r="F2196" t="s">
        <v>103</v>
      </c>
      <c r="G2196" t="s">
        <v>145</v>
      </c>
      <c r="H2196" t="s">
        <v>146</v>
      </c>
      <c r="I2196" t="s">
        <v>37</v>
      </c>
      <c r="J2196" t="s">
        <v>38</v>
      </c>
      <c r="K2196" t="s">
        <v>47</v>
      </c>
      <c r="L2196" t="s">
        <v>48</v>
      </c>
      <c r="M2196" t="s">
        <v>139</v>
      </c>
      <c r="N2196">
        <v>1124</v>
      </c>
      <c r="O2196" s="14">
        <v>0.159185639116913</v>
      </c>
      <c r="P2196" s="14">
        <v>0.52621235931292198</v>
      </c>
      <c r="Q2196" t="str">
        <f t="shared" si="68"/>
        <v>15-24</v>
      </c>
      <c r="R2196" t="str">
        <f t="shared" si="69"/>
        <v>[wNqJp8oRIcF]|15-24|Male|TX_CURR_SUBNAT.T_1|CY2023Q3</v>
      </c>
    </row>
    <row r="2197" spans="4:18" x14ac:dyDescent="0.2">
      <c r="D2197" t="s">
        <v>101</v>
      </c>
      <c r="E2197" t="s">
        <v>102</v>
      </c>
      <c r="F2197" t="s">
        <v>103</v>
      </c>
      <c r="G2197" t="s">
        <v>145</v>
      </c>
      <c r="H2197" t="s">
        <v>146</v>
      </c>
      <c r="I2197" t="s">
        <v>40</v>
      </c>
      <c r="J2197" t="s">
        <v>41</v>
      </c>
      <c r="K2197" t="s">
        <v>47</v>
      </c>
      <c r="L2197" t="s">
        <v>48</v>
      </c>
      <c r="M2197" t="s">
        <v>139</v>
      </c>
      <c r="N2197">
        <v>559</v>
      </c>
      <c r="O2197" s="14">
        <v>0.48239710950292602</v>
      </c>
      <c r="P2197" s="14">
        <v>0.52621235931292198</v>
      </c>
      <c r="Q2197" t="str">
        <f t="shared" si="68"/>
        <v>25-34</v>
      </c>
      <c r="R2197" t="str">
        <f t="shared" si="69"/>
        <v>[wNqJp8oRIcF]|25-34|Male|TX_CURR_SUBNAT.T_1|CY2023Q3</v>
      </c>
    </row>
    <row r="2198" spans="4:18" x14ac:dyDescent="0.2">
      <c r="D2198" t="s">
        <v>101</v>
      </c>
      <c r="E2198" t="s">
        <v>102</v>
      </c>
      <c r="F2198" t="s">
        <v>103</v>
      </c>
      <c r="G2198" t="s">
        <v>145</v>
      </c>
      <c r="H2198" t="s">
        <v>146</v>
      </c>
      <c r="I2198" t="s">
        <v>42</v>
      </c>
      <c r="J2198" t="s">
        <v>43</v>
      </c>
      <c r="K2198" t="s">
        <v>47</v>
      </c>
      <c r="L2198" t="s">
        <v>48</v>
      </c>
      <c r="M2198" t="s">
        <v>139</v>
      </c>
      <c r="N2198">
        <v>1322</v>
      </c>
      <c r="O2198" s="14">
        <v>0.172518897103146</v>
      </c>
      <c r="P2198" s="14">
        <v>0.52621235931292198</v>
      </c>
      <c r="Q2198" t="str">
        <f t="shared" si="68"/>
        <v>35-49</v>
      </c>
      <c r="R2198" t="str">
        <f t="shared" si="69"/>
        <v>[wNqJp8oRIcF]|35-49|Male|TX_CURR_SUBNAT.T_1|CY2023Q3</v>
      </c>
    </row>
    <row r="2199" spans="4:18" x14ac:dyDescent="0.2">
      <c r="D2199" t="s">
        <v>101</v>
      </c>
      <c r="E2199" t="s">
        <v>102</v>
      </c>
      <c r="F2199" t="s">
        <v>103</v>
      </c>
      <c r="G2199" t="s">
        <v>145</v>
      </c>
      <c r="H2199" t="s">
        <v>146</v>
      </c>
      <c r="I2199" t="s">
        <v>44</v>
      </c>
      <c r="J2199" t="s">
        <v>45</v>
      </c>
      <c r="K2199" t="s">
        <v>47</v>
      </c>
      <c r="L2199" t="s">
        <v>48</v>
      </c>
      <c r="M2199" t="s">
        <v>139</v>
      </c>
      <c r="N2199">
        <v>1914</v>
      </c>
      <c r="O2199" s="14">
        <v>0.65712182922288798</v>
      </c>
      <c r="P2199" s="14">
        <v>0.52621235931292198</v>
      </c>
      <c r="Q2199" t="str">
        <f t="shared" si="68"/>
        <v>50+</v>
      </c>
      <c r="R2199" t="str">
        <f t="shared" si="69"/>
        <v>[wNqJp8oRIcF]|50+|Male|TX_CURR_SUBNAT.T_1|CY2023Q3</v>
      </c>
    </row>
    <row r="2200" spans="4:18" x14ac:dyDescent="0.2">
      <c r="D2200" t="s">
        <v>104</v>
      </c>
      <c r="E2200" t="s">
        <v>105</v>
      </c>
      <c r="F2200" t="s">
        <v>106</v>
      </c>
      <c r="G2200" t="s">
        <v>145</v>
      </c>
      <c r="H2200" t="s">
        <v>146</v>
      </c>
      <c r="I2200" t="s">
        <v>27</v>
      </c>
      <c r="J2200" t="s">
        <v>28</v>
      </c>
      <c r="K2200" t="s">
        <v>29</v>
      </c>
      <c r="L2200" t="s">
        <v>30</v>
      </c>
      <c r="M2200" t="s">
        <v>139</v>
      </c>
      <c r="N2200">
        <v>867</v>
      </c>
      <c r="O2200" s="14">
        <v>4.6841866103932303E-2</v>
      </c>
      <c r="P2200" s="14">
        <v>0.21824956033378801</v>
      </c>
      <c r="Q2200" t="str">
        <f t="shared" si="68"/>
        <v>&lt;01</v>
      </c>
      <c r="R2200" t="str">
        <f t="shared" si="69"/>
        <v>[oiPR2CiVJbf]|&lt;01|Female|TX_CURR_SUBNAT.T_1|CY2023Q3</v>
      </c>
    </row>
    <row r="2201" spans="4:18" x14ac:dyDescent="0.2">
      <c r="D2201" t="s">
        <v>104</v>
      </c>
      <c r="E2201" t="s">
        <v>105</v>
      </c>
      <c r="F2201" t="s">
        <v>106</v>
      </c>
      <c r="G2201" t="s">
        <v>145</v>
      </c>
      <c r="H2201" t="s">
        <v>146</v>
      </c>
      <c r="I2201" t="s">
        <v>32</v>
      </c>
      <c r="J2201" t="s">
        <v>33</v>
      </c>
      <c r="K2201" t="s">
        <v>29</v>
      </c>
      <c r="L2201" t="s">
        <v>30</v>
      </c>
      <c r="M2201" t="s">
        <v>139</v>
      </c>
      <c r="N2201">
        <v>1225</v>
      </c>
      <c r="O2201" s="14">
        <v>0.223977686604485</v>
      </c>
      <c r="P2201" s="14">
        <v>0.21824956033378801</v>
      </c>
      <c r="Q2201" t="str">
        <f t="shared" si="68"/>
        <v>01-09</v>
      </c>
      <c r="R2201" t="str">
        <f t="shared" si="69"/>
        <v>[oiPR2CiVJbf]|01-09|Female|TX_CURR_SUBNAT.T_1|CY2023Q3</v>
      </c>
    </row>
    <row r="2202" spans="4:18" x14ac:dyDescent="0.2">
      <c r="D2202" t="s">
        <v>104</v>
      </c>
      <c r="E2202" t="s">
        <v>105</v>
      </c>
      <c r="F2202" t="s">
        <v>106</v>
      </c>
      <c r="G2202" t="s">
        <v>145</v>
      </c>
      <c r="H2202" t="s">
        <v>146</v>
      </c>
      <c r="I2202" t="s">
        <v>35</v>
      </c>
      <c r="J2202" t="s">
        <v>36</v>
      </c>
      <c r="K2202" t="s">
        <v>29</v>
      </c>
      <c r="L2202" t="s">
        <v>30</v>
      </c>
      <c r="M2202" t="s">
        <v>139</v>
      </c>
      <c r="N2202">
        <v>978</v>
      </c>
      <c r="O2202" s="14">
        <v>0.23736734269186899</v>
      </c>
      <c r="P2202" s="14">
        <v>0.21824956033378801</v>
      </c>
      <c r="Q2202" t="str">
        <f t="shared" si="68"/>
        <v>10-14</v>
      </c>
      <c r="R2202" t="str">
        <f t="shared" si="69"/>
        <v>[oiPR2CiVJbf]|10-14|Female|TX_CURR_SUBNAT.T_1|CY2023Q3</v>
      </c>
    </row>
    <row r="2203" spans="4:18" x14ac:dyDescent="0.2">
      <c r="D2203" t="s">
        <v>104</v>
      </c>
      <c r="E2203" t="s">
        <v>105</v>
      </c>
      <c r="F2203" t="s">
        <v>106</v>
      </c>
      <c r="G2203" t="s">
        <v>145</v>
      </c>
      <c r="H2203" t="s">
        <v>146</v>
      </c>
      <c r="I2203" t="s">
        <v>37</v>
      </c>
      <c r="J2203" t="s">
        <v>38</v>
      </c>
      <c r="K2203" t="s">
        <v>29</v>
      </c>
      <c r="L2203" t="s">
        <v>30</v>
      </c>
      <c r="M2203" t="s">
        <v>139</v>
      </c>
      <c r="N2203">
        <v>842</v>
      </c>
      <c r="O2203" s="14">
        <v>0.91938655939884495</v>
      </c>
      <c r="P2203" s="14">
        <v>0.21824956033378801</v>
      </c>
      <c r="Q2203" t="str">
        <f t="shared" si="68"/>
        <v>15-24</v>
      </c>
      <c r="R2203" t="str">
        <f t="shared" si="69"/>
        <v>[oiPR2CiVJbf]|15-24|Female|TX_CURR_SUBNAT.T_1|CY2023Q3</v>
      </c>
    </row>
    <row r="2204" spans="4:18" x14ac:dyDescent="0.2">
      <c r="D2204" t="s">
        <v>104</v>
      </c>
      <c r="E2204" t="s">
        <v>105</v>
      </c>
      <c r="F2204" t="s">
        <v>106</v>
      </c>
      <c r="G2204" t="s">
        <v>145</v>
      </c>
      <c r="H2204" t="s">
        <v>146</v>
      </c>
      <c r="I2204" t="s">
        <v>40</v>
      </c>
      <c r="J2204" t="s">
        <v>41</v>
      </c>
      <c r="K2204" t="s">
        <v>29</v>
      </c>
      <c r="L2204" t="s">
        <v>30</v>
      </c>
      <c r="M2204" t="s">
        <v>139</v>
      </c>
      <c r="N2204">
        <v>1376</v>
      </c>
      <c r="O2204" s="14">
        <v>0.29536448023282003</v>
      </c>
      <c r="P2204" s="14">
        <v>0.21824956033378801</v>
      </c>
      <c r="Q2204" t="str">
        <f t="shared" si="68"/>
        <v>25-34</v>
      </c>
      <c r="R2204" t="str">
        <f t="shared" si="69"/>
        <v>[oiPR2CiVJbf]|25-34|Female|TX_CURR_SUBNAT.T_1|CY2023Q3</v>
      </c>
    </row>
    <row r="2205" spans="4:18" x14ac:dyDescent="0.2">
      <c r="D2205" t="s">
        <v>104</v>
      </c>
      <c r="E2205" t="s">
        <v>105</v>
      </c>
      <c r="F2205" t="s">
        <v>106</v>
      </c>
      <c r="G2205" t="s">
        <v>145</v>
      </c>
      <c r="H2205" t="s">
        <v>146</v>
      </c>
      <c r="I2205" t="s">
        <v>42</v>
      </c>
      <c r="J2205" t="s">
        <v>43</v>
      </c>
      <c r="K2205" t="s">
        <v>29</v>
      </c>
      <c r="L2205" t="s">
        <v>30</v>
      </c>
      <c r="M2205" t="s">
        <v>139</v>
      </c>
      <c r="N2205">
        <v>1437</v>
      </c>
      <c r="O2205" s="14">
        <v>0.85622083209455002</v>
      </c>
      <c r="P2205" s="14">
        <v>0.21824956033378801</v>
      </c>
      <c r="Q2205" t="str">
        <f t="shared" si="68"/>
        <v>35-49</v>
      </c>
      <c r="R2205" t="str">
        <f t="shared" si="69"/>
        <v>[oiPR2CiVJbf]|35-49|Female|TX_CURR_SUBNAT.T_1|CY2023Q3</v>
      </c>
    </row>
    <row r="2206" spans="4:18" x14ac:dyDescent="0.2">
      <c r="D2206" t="s">
        <v>104</v>
      </c>
      <c r="E2206" t="s">
        <v>105</v>
      </c>
      <c r="F2206" t="s">
        <v>106</v>
      </c>
      <c r="G2206" t="s">
        <v>145</v>
      </c>
      <c r="H2206" t="s">
        <v>146</v>
      </c>
      <c r="I2206" t="s">
        <v>44</v>
      </c>
      <c r="J2206" t="s">
        <v>45</v>
      </c>
      <c r="K2206" t="s">
        <v>29</v>
      </c>
      <c r="L2206" t="s">
        <v>30</v>
      </c>
      <c r="M2206" t="s">
        <v>139</v>
      </c>
      <c r="N2206">
        <v>1665</v>
      </c>
      <c r="O2206" s="14">
        <v>0.93339162366464701</v>
      </c>
      <c r="P2206" s="14">
        <v>0.21824956033378801</v>
      </c>
      <c r="Q2206" t="str">
        <f t="shared" si="68"/>
        <v>50+</v>
      </c>
      <c r="R2206" t="str">
        <f t="shared" si="69"/>
        <v>[oiPR2CiVJbf]|50+|Female|TX_CURR_SUBNAT.T_1|CY2023Q3</v>
      </c>
    </row>
    <row r="2207" spans="4:18" x14ac:dyDescent="0.2">
      <c r="D2207" t="s">
        <v>104</v>
      </c>
      <c r="E2207" t="s">
        <v>105</v>
      </c>
      <c r="F2207" t="s">
        <v>106</v>
      </c>
      <c r="G2207" t="s">
        <v>145</v>
      </c>
      <c r="H2207" t="s">
        <v>146</v>
      </c>
      <c r="I2207" t="s">
        <v>27</v>
      </c>
      <c r="J2207" t="s">
        <v>28</v>
      </c>
      <c r="K2207" t="s">
        <v>47</v>
      </c>
      <c r="L2207" t="s">
        <v>48</v>
      </c>
      <c r="M2207" t="s">
        <v>139</v>
      </c>
      <c r="N2207">
        <v>1943</v>
      </c>
      <c r="O2207" s="14">
        <v>2.7031654026359298E-3</v>
      </c>
      <c r="P2207" s="14">
        <v>0.21824956033378801</v>
      </c>
      <c r="Q2207" t="str">
        <f t="shared" si="68"/>
        <v>&lt;01</v>
      </c>
      <c r="R2207" t="str">
        <f t="shared" si="69"/>
        <v>[oiPR2CiVJbf]|&lt;01|Male|TX_CURR_SUBNAT.T_1|CY2023Q3</v>
      </c>
    </row>
    <row r="2208" spans="4:18" x14ac:dyDescent="0.2">
      <c r="D2208" t="s">
        <v>104</v>
      </c>
      <c r="E2208" t="s">
        <v>105</v>
      </c>
      <c r="F2208" t="s">
        <v>106</v>
      </c>
      <c r="G2208" t="s">
        <v>145</v>
      </c>
      <c r="H2208" t="s">
        <v>146</v>
      </c>
      <c r="I2208" t="s">
        <v>32</v>
      </c>
      <c r="J2208" t="s">
        <v>33</v>
      </c>
      <c r="K2208" t="s">
        <v>47</v>
      </c>
      <c r="L2208" t="s">
        <v>48</v>
      </c>
      <c r="M2208" t="s">
        <v>139</v>
      </c>
      <c r="N2208">
        <v>1891</v>
      </c>
      <c r="O2208" s="14">
        <v>0.36982113565318298</v>
      </c>
      <c r="P2208" s="14">
        <v>0.21824956033378801</v>
      </c>
      <c r="Q2208" t="str">
        <f t="shared" si="68"/>
        <v>01-09</v>
      </c>
      <c r="R2208" t="str">
        <f t="shared" si="69"/>
        <v>[oiPR2CiVJbf]|01-09|Male|TX_CURR_SUBNAT.T_1|CY2023Q3</v>
      </c>
    </row>
    <row r="2209" spans="4:18" x14ac:dyDescent="0.2">
      <c r="D2209" t="s">
        <v>104</v>
      </c>
      <c r="E2209" t="s">
        <v>105</v>
      </c>
      <c r="F2209" t="s">
        <v>106</v>
      </c>
      <c r="G2209" t="s">
        <v>145</v>
      </c>
      <c r="H2209" t="s">
        <v>146</v>
      </c>
      <c r="I2209" t="s">
        <v>35</v>
      </c>
      <c r="J2209" t="s">
        <v>36</v>
      </c>
      <c r="K2209" t="s">
        <v>47</v>
      </c>
      <c r="L2209" t="s">
        <v>48</v>
      </c>
      <c r="M2209" t="s">
        <v>139</v>
      </c>
      <c r="N2209">
        <v>831</v>
      </c>
      <c r="O2209" s="14">
        <v>0.84404824906960096</v>
      </c>
      <c r="P2209" s="14">
        <v>0.21824956033378801</v>
      </c>
      <c r="Q2209" t="str">
        <f t="shared" si="68"/>
        <v>10-14</v>
      </c>
      <c r="R2209" t="str">
        <f t="shared" si="69"/>
        <v>[oiPR2CiVJbf]|10-14|Male|TX_CURR_SUBNAT.T_1|CY2023Q3</v>
      </c>
    </row>
    <row r="2210" spans="4:18" x14ac:dyDescent="0.2">
      <c r="D2210" t="s">
        <v>104</v>
      </c>
      <c r="E2210" t="s">
        <v>105</v>
      </c>
      <c r="F2210" t="s">
        <v>106</v>
      </c>
      <c r="G2210" t="s">
        <v>145</v>
      </c>
      <c r="H2210" t="s">
        <v>146</v>
      </c>
      <c r="I2210" t="s">
        <v>37</v>
      </c>
      <c r="J2210" t="s">
        <v>38</v>
      </c>
      <c r="K2210" t="s">
        <v>47</v>
      </c>
      <c r="L2210" t="s">
        <v>48</v>
      </c>
      <c r="M2210" t="s">
        <v>139</v>
      </c>
      <c r="N2210">
        <v>525</v>
      </c>
      <c r="O2210" s="14">
        <v>0.74256968218833197</v>
      </c>
      <c r="P2210" s="14">
        <v>0.21824956033378801</v>
      </c>
      <c r="Q2210" t="str">
        <f t="shared" si="68"/>
        <v>15-24</v>
      </c>
      <c r="R2210" t="str">
        <f t="shared" si="69"/>
        <v>[oiPR2CiVJbf]|15-24|Male|TX_CURR_SUBNAT.T_1|CY2023Q3</v>
      </c>
    </row>
    <row r="2211" spans="4:18" x14ac:dyDescent="0.2">
      <c r="D2211" t="s">
        <v>104</v>
      </c>
      <c r="E2211" t="s">
        <v>105</v>
      </c>
      <c r="F2211" t="s">
        <v>106</v>
      </c>
      <c r="G2211" t="s">
        <v>145</v>
      </c>
      <c r="H2211" t="s">
        <v>146</v>
      </c>
      <c r="I2211" t="s">
        <v>40</v>
      </c>
      <c r="J2211" t="s">
        <v>41</v>
      </c>
      <c r="K2211" t="s">
        <v>47</v>
      </c>
      <c r="L2211" t="s">
        <v>48</v>
      </c>
      <c r="M2211" t="s">
        <v>139</v>
      </c>
      <c r="N2211">
        <v>1655</v>
      </c>
      <c r="O2211" s="14">
        <v>0.56452924036420904</v>
      </c>
      <c r="P2211" s="14">
        <v>0.21824956033378801</v>
      </c>
      <c r="Q2211" t="str">
        <f t="shared" si="68"/>
        <v>25-34</v>
      </c>
      <c r="R2211" t="str">
        <f t="shared" si="69"/>
        <v>[oiPR2CiVJbf]|25-34|Male|TX_CURR_SUBNAT.T_1|CY2023Q3</v>
      </c>
    </row>
    <row r="2212" spans="4:18" x14ac:dyDescent="0.2">
      <c r="D2212" t="s">
        <v>104</v>
      </c>
      <c r="E2212" t="s">
        <v>105</v>
      </c>
      <c r="F2212" t="s">
        <v>106</v>
      </c>
      <c r="G2212" t="s">
        <v>145</v>
      </c>
      <c r="H2212" t="s">
        <v>146</v>
      </c>
      <c r="I2212" t="s">
        <v>42</v>
      </c>
      <c r="J2212" t="s">
        <v>43</v>
      </c>
      <c r="K2212" t="s">
        <v>47</v>
      </c>
      <c r="L2212" t="s">
        <v>48</v>
      </c>
      <c r="M2212" t="s">
        <v>139</v>
      </c>
      <c r="N2212">
        <v>1602</v>
      </c>
      <c r="O2212" s="14">
        <v>0.31999142817221599</v>
      </c>
      <c r="P2212" s="14">
        <v>0.21824956033378801</v>
      </c>
      <c r="Q2212" t="str">
        <f t="shared" si="68"/>
        <v>35-49</v>
      </c>
      <c r="R2212" t="str">
        <f t="shared" si="69"/>
        <v>[oiPR2CiVJbf]|35-49|Male|TX_CURR_SUBNAT.T_1|CY2023Q3</v>
      </c>
    </row>
    <row r="2213" spans="4:18" x14ac:dyDescent="0.2">
      <c r="D2213" t="s">
        <v>104</v>
      </c>
      <c r="E2213" t="s">
        <v>105</v>
      </c>
      <c r="F2213" t="s">
        <v>106</v>
      </c>
      <c r="G2213" t="s">
        <v>145</v>
      </c>
      <c r="H2213" t="s">
        <v>146</v>
      </c>
      <c r="I2213" t="s">
        <v>44</v>
      </c>
      <c r="J2213" t="s">
        <v>45</v>
      </c>
      <c r="K2213" t="s">
        <v>47</v>
      </c>
      <c r="L2213" t="s">
        <v>48</v>
      </c>
      <c r="M2213" t="s">
        <v>139</v>
      </c>
      <c r="N2213">
        <v>1566</v>
      </c>
      <c r="O2213" s="14">
        <v>0.67698730062693402</v>
      </c>
      <c r="P2213" s="14">
        <v>0.21824956033378801</v>
      </c>
      <c r="Q2213" t="str">
        <f t="shared" si="68"/>
        <v>50+</v>
      </c>
      <c r="R2213" t="str">
        <f t="shared" si="69"/>
        <v>[oiPR2CiVJbf]|50+|Male|TX_CURR_SUBNAT.T_1|CY2023Q3</v>
      </c>
    </row>
    <row r="2214" spans="4:18" x14ac:dyDescent="0.2">
      <c r="D2214" t="s">
        <v>107</v>
      </c>
      <c r="E2214" t="s">
        <v>108</v>
      </c>
      <c r="F2214" t="s">
        <v>109</v>
      </c>
      <c r="G2214" t="s">
        <v>145</v>
      </c>
      <c r="H2214" t="s">
        <v>146</v>
      </c>
      <c r="I2214" t="s">
        <v>27</v>
      </c>
      <c r="J2214" t="s">
        <v>28</v>
      </c>
      <c r="K2214" t="s">
        <v>29</v>
      </c>
      <c r="L2214" t="s">
        <v>30</v>
      </c>
      <c r="M2214" t="s">
        <v>139</v>
      </c>
      <c r="N2214">
        <v>1838</v>
      </c>
      <c r="O2214" s="14">
        <v>0.31892266520299001</v>
      </c>
      <c r="P2214" s="14">
        <v>0.43422180437482899</v>
      </c>
      <c r="Q2214" t="str">
        <f t="shared" si="68"/>
        <v>&lt;01</v>
      </c>
      <c r="R2214" t="str">
        <f t="shared" si="69"/>
        <v>[ul0y9diGujK]|&lt;01|Female|TX_CURR_SUBNAT.T_1|CY2023Q3</v>
      </c>
    </row>
    <row r="2215" spans="4:18" x14ac:dyDescent="0.2">
      <c r="D2215" t="s">
        <v>107</v>
      </c>
      <c r="E2215" t="s">
        <v>108</v>
      </c>
      <c r="F2215" t="s">
        <v>109</v>
      </c>
      <c r="G2215" t="s">
        <v>145</v>
      </c>
      <c r="H2215" t="s">
        <v>146</v>
      </c>
      <c r="I2215" t="s">
        <v>32</v>
      </c>
      <c r="J2215" t="s">
        <v>33</v>
      </c>
      <c r="K2215" t="s">
        <v>29</v>
      </c>
      <c r="L2215" t="s">
        <v>30</v>
      </c>
      <c r="M2215" t="s">
        <v>139</v>
      </c>
      <c r="N2215">
        <v>592</v>
      </c>
      <c r="O2215" s="14">
        <v>0.46203751373104801</v>
      </c>
      <c r="P2215" s="14">
        <v>0.43422180437482899</v>
      </c>
      <c r="Q2215" t="str">
        <f t="shared" si="68"/>
        <v>01-09</v>
      </c>
      <c r="R2215" t="str">
        <f t="shared" si="69"/>
        <v>[ul0y9diGujK]|01-09|Female|TX_CURR_SUBNAT.T_1|CY2023Q3</v>
      </c>
    </row>
    <row r="2216" spans="4:18" x14ac:dyDescent="0.2">
      <c r="D2216" t="s">
        <v>107</v>
      </c>
      <c r="E2216" t="s">
        <v>108</v>
      </c>
      <c r="F2216" t="s">
        <v>109</v>
      </c>
      <c r="G2216" t="s">
        <v>145</v>
      </c>
      <c r="H2216" t="s">
        <v>146</v>
      </c>
      <c r="I2216" t="s">
        <v>35</v>
      </c>
      <c r="J2216" t="s">
        <v>36</v>
      </c>
      <c r="K2216" t="s">
        <v>29</v>
      </c>
      <c r="L2216" t="s">
        <v>30</v>
      </c>
      <c r="M2216" t="s">
        <v>139</v>
      </c>
      <c r="N2216">
        <v>601</v>
      </c>
      <c r="O2216" s="14">
        <v>2.5277679553255401E-2</v>
      </c>
      <c r="P2216" s="14">
        <v>0.43422180437482899</v>
      </c>
      <c r="Q2216" t="str">
        <f t="shared" si="68"/>
        <v>10-14</v>
      </c>
      <c r="R2216" t="str">
        <f t="shared" si="69"/>
        <v>[ul0y9diGujK]|10-14|Female|TX_CURR_SUBNAT.T_1|CY2023Q3</v>
      </c>
    </row>
    <row r="2217" spans="4:18" x14ac:dyDescent="0.2">
      <c r="D2217" t="s">
        <v>107</v>
      </c>
      <c r="E2217" t="s">
        <v>108</v>
      </c>
      <c r="F2217" t="s">
        <v>109</v>
      </c>
      <c r="G2217" t="s">
        <v>145</v>
      </c>
      <c r="H2217" t="s">
        <v>146</v>
      </c>
      <c r="I2217" t="s">
        <v>37</v>
      </c>
      <c r="J2217" t="s">
        <v>38</v>
      </c>
      <c r="K2217" t="s">
        <v>29</v>
      </c>
      <c r="L2217" t="s">
        <v>30</v>
      </c>
      <c r="M2217" t="s">
        <v>139</v>
      </c>
      <c r="N2217">
        <v>1841</v>
      </c>
      <c r="O2217" s="14">
        <v>0.58543820795603096</v>
      </c>
      <c r="P2217" s="14">
        <v>0.43422180437482899</v>
      </c>
      <c r="Q2217" t="str">
        <f t="shared" si="68"/>
        <v>15-24</v>
      </c>
      <c r="R2217" t="str">
        <f t="shared" si="69"/>
        <v>[ul0y9diGujK]|15-24|Female|TX_CURR_SUBNAT.T_1|CY2023Q3</v>
      </c>
    </row>
    <row r="2218" spans="4:18" x14ac:dyDescent="0.2">
      <c r="D2218" t="s">
        <v>107</v>
      </c>
      <c r="E2218" t="s">
        <v>108</v>
      </c>
      <c r="F2218" t="s">
        <v>109</v>
      </c>
      <c r="G2218" t="s">
        <v>145</v>
      </c>
      <c r="H2218" t="s">
        <v>146</v>
      </c>
      <c r="I2218" t="s">
        <v>40</v>
      </c>
      <c r="J2218" t="s">
        <v>41</v>
      </c>
      <c r="K2218" t="s">
        <v>29</v>
      </c>
      <c r="L2218" t="s">
        <v>30</v>
      </c>
      <c r="M2218" t="s">
        <v>139</v>
      </c>
      <c r="N2218">
        <v>921</v>
      </c>
      <c r="O2218" s="14">
        <v>0.25471879052929602</v>
      </c>
      <c r="P2218" s="14">
        <v>0.43422180437482899</v>
      </c>
      <c r="Q2218" t="str">
        <f t="shared" si="68"/>
        <v>25-34</v>
      </c>
      <c r="R2218" t="str">
        <f t="shared" si="69"/>
        <v>[ul0y9diGujK]|25-34|Female|TX_CURR_SUBNAT.T_1|CY2023Q3</v>
      </c>
    </row>
    <row r="2219" spans="4:18" x14ac:dyDescent="0.2">
      <c r="D2219" t="s">
        <v>107</v>
      </c>
      <c r="E2219" t="s">
        <v>108</v>
      </c>
      <c r="F2219" t="s">
        <v>109</v>
      </c>
      <c r="G2219" t="s">
        <v>145</v>
      </c>
      <c r="H2219" t="s">
        <v>146</v>
      </c>
      <c r="I2219" t="s">
        <v>42</v>
      </c>
      <c r="J2219" t="s">
        <v>43</v>
      </c>
      <c r="K2219" t="s">
        <v>29</v>
      </c>
      <c r="L2219" t="s">
        <v>30</v>
      </c>
      <c r="M2219" t="s">
        <v>139</v>
      </c>
      <c r="N2219">
        <v>1630</v>
      </c>
      <c r="O2219" s="14">
        <v>0.76810977980494499</v>
      </c>
      <c r="P2219" s="14">
        <v>0.43422180437482899</v>
      </c>
      <c r="Q2219" t="str">
        <f t="shared" si="68"/>
        <v>35-49</v>
      </c>
      <c r="R2219" t="str">
        <f t="shared" si="69"/>
        <v>[ul0y9diGujK]|35-49|Female|TX_CURR_SUBNAT.T_1|CY2023Q3</v>
      </c>
    </row>
    <row r="2220" spans="4:18" x14ac:dyDescent="0.2">
      <c r="D2220" t="s">
        <v>107</v>
      </c>
      <c r="E2220" t="s">
        <v>108</v>
      </c>
      <c r="F2220" t="s">
        <v>109</v>
      </c>
      <c r="G2220" t="s">
        <v>145</v>
      </c>
      <c r="H2220" t="s">
        <v>146</v>
      </c>
      <c r="I2220" t="s">
        <v>44</v>
      </c>
      <c r="J2220" t="s">
        <v>45</v>
      </c>
      <c r="K2220" t="s">
        <v>29</v>
      </c>
      <c r="L2220" t="s">
        <v>30</v>
      </c>
      <c r="M2220" t="s">
        <v>139</v>
      </c>
      <c r="N2220">
        <v>1520</v>
      </c>
      <c r="O2220" s="14">
        <v>4.4156289659440497E-2</v>
      </c>
      <c r="P2220" s="14">
        <v>0.43422180437482899</v>
      </c>
      <c r="Q2220" t="str">
        <f t="shared" si="68"/>
        <v>50+</v>
      </c>
      <c r="R2220" t="str">
        <f t="shared" si="69"/>
        <v>[ul0y9diGujK]|50+|Female|TX_CURR_SUBNAT.T_1|CY2023Q3</v>
      </c>
    </row>
    <row r="2221" spans="4:18" x14ac:dyDescent="0.2">
      <c r="D2221" t="s">
        <v>107</v>
      </c>
      <c r="E2221" t="s">
        <v>108</v>
      </c>
      <c r="F2221" t="s">
        <v>109</v>
      </c>
      <c r="G2221" t="s">
        <v>145</v>
      </c>
      <c r="H2221" t="s">
        <v>146</v>
      </c>
      <c r="I2221" t="s">
        <v>27</v>
      </c>
      <c r="J2221" t="s">
        <v>28</v>
      </c>
      <c r="K2221" t="s">
        <v>47</v>
      </c>
      <c r="L2221" t="s">
        <v>48</v>
      </c>
      <c r="M2221" t="s">
        <v>139</v>
      </c>
      <c r="N2221">
        <v>1962</v>
      </c>
      <c r="O2221" s="14">
        <v>0.64268102077767297</v>
      </c>
      <c r="P2221" s="14">
        <v>0.43422180437482899</v>
      </c>
      <c r="Q2221" t="str">
        <f t="shared" si="68"/>
        <v>&lt;01</v>
      </c>
      <c r="R2221" t="str">
        <f t="shared" si="69"/>
        <v>[ul0y9diGujK]|&lt;01|Male|TX_CURR_SUBNAT.T_1|CY2023Q3</v>
      </c>
    </row>
    <row r="2222" spans="4:18" x14ac:dyDescent="0.2">
      <c r="D2222" t="s">
        <v>107</v>
      </c>
      <c r="E2222" t="s">
        <v>108</v>
      </c>
      <c r="F2222" t="s">
        <v>109</v>
      </c>
      <c r="G2222" t="s">
        <v>145</v>
      </c>
      <c r="H2222" t="s">
        <v>146</v>
      </c>
      <c r="I2222" t="s">
        <v>32</v>
      </c>
      <c r="J2222" t="s">
        <v>33</v>
      </c>
      <c r="K2222" t="s">
        <v>47</v>
      </c>
      <c r="L2222" t="s">
        <v>48</v>
      </c>
      <c r="M2222" t="s">
        <v>139</v>
      </c>
      <c r="N2222">
        <v>1921</v>
      </c>
      <c r="O2222" s="14">
        <v>0.66540775704197597</v>
      </c>
      <c r="P2222" s="14">
        <v>0.43422180437482899</v>
      </c>
      <c r="Q2222" t="str">
        <f t="shared" si="68"/>
        <v>01-09</v>
      </c>
      <c r="R2222" t="str">
        <f t="shared" si="69"/>
        <v>[ul0y9diGujK]|01-09|Male|TX_CURR_SUBNAT.T_1|CY2023Q3</v>
      </c>
    </row>
    <row r="2223" spans="4:18" x14ac:dyDescent="0.2">
      <c r="D2223" t="s">
        <v>107</v>
      </c>
      <c r="E2223" t="s">
        <v>108</v>
      </c>
      <c r="F2223" t="s">
        <v>109</v>
      </c>
      <c r="G2223" t="s">
        <v>145</v>
      </c>
      <c r="H2223" t="s">
        <v>146</v>
      </c>
      <c r="I2223" t="s">
        <v>35</v>
      </c>
      <c r="J2223" t="s">
        <v>36</v>
      </c>
      <c r="K2223" t="s">
        <v>47</v>
      </c>
      <c r="L2223" t="s">
        <v>48</v>
      </c>
      <c r="M2223" t="s">
        <v>139</v>
      </c>
      <c r="N2223">
        <v>522</v>
      </c>
      <c r="O2223" s="14">
        <v>0.43985935230739398</v>
      </c>
      <c r="P2223" s="14">
        <v>0.43422180437482899</v>
      </c>
      <c r="Q2223" t="str">
        <f t="shared" si="68"/>
        <v>10-14</v>
      </c>
      <c r="R2223" t="str">
        <f t="shared" si="69"/>
        <v>[ul0y9diGujK]|10-14|Male|TX_CURR_SUBNAT.T_1|CY2023Q3</v>
      </c>
    </row>
    <row r="2224" spans="4:18" x14ac:dyDescent="0.2">
      <c r="D2224" t="s">
        <v>107</v>
      </c>
      <c r="E2224" t="s">
        <v>108</v>
      </c>
      <c r="F2224" t="s">
        <v>109</v>
      </c>
      <c r="G2224" t="s">
        <v>145</v>
      </c>
      <c r="H2224" t="s">
        <v>146</v>
      </c>
      <c r="I2224" t="s">
        <v>37</v>
      </c>
      <c r="J2224" t="s">
        <v>38</v>
      </c>
      <c r="K2224" t="s">
        <v>47</v>
      </c>
      <c r="L2224" t="s">
        <v>48</v>
      </c>
      <c r="M2224" t="s">
        <v>139</v>
      </c>
      <c r="N2224">
        <v>1387</v>
      </c>
      <c r="O2224" s="14">
        <v>0.86109407502226498</v>
      </c>
      <c r="P2224" s="14">
        <v>0.43422180437482899</v>
      </c>
      <c r="Q2224" t="str">
        <f t="shared" si="68"/>
        <v>15-24</v>
      </c>
      <c r="R2224" t="str">
        <f t="shared" si="69"/>
        <v>[ul0y9diGujK]|15-24|Male|TX_CURR_SUBNAT.T_1|CY2023Q3</v>
      </c>
    </row>
    <row r="2225" spans="4:18" x14ac:dyDescent="0.2">
      <c r="D2225" t="s">
        <v>107</v>
      </c>
      <c r="E2225" t="s">
        <v>108</v>
      </c>
      <c r="F2225" t="s">
        <v>109</v>
      </c>
      <c r="G2225" t="s">
        <v>145</v>
      </c>
      <c r="H2225" t="s">
        <v>146</v>
      </c>
      <c r="I2225" t="s">
        <v>40</v>
      </c>
      <c r="J2225" t="s">
        <v>41</v>
      </c>
      <c r="K2225" t="s">
        <v>47</v>
      </c>
      <c r="L2225" t="s">
        <v>48</v>
      </c>
      <c r="M2225" t="s">
        <v>139</v>
      </c>
      <c r="N2225">
        <v>1076</v>
      </c>
      <c r="O2225" s="14">
        <v>8.3179608685895801E-2</v>
      </c>
      <c r="P2225" s="14">
        <v>0.43422180437482899</v>
      </c>
      <c r="Q2225" t="str">
        <f t="shared" si="68"/>
        <v>25-34</v>
      </c>
      <c r="R2225" t="str">
        <f t="shared" si="69"/>
        <v>[ul0y9diGujK]|25-34|Male|TX_CURR_SUBNAT.T_1|CY2023Q3</v>
      </c>
    </row>
    <row r="2226" spans="4:18" x14ac:dyDescent="0.2">
      <c r="D2226" t="s">
        <v>107</v>
      </c>
      <c r="E2226" t="s">
        <v>108</v>
      </c>
      <c r="F2226" t="s">
        <v>109</v>
      </c>
      <c r="G2226" t="s">
        <v>145</v>
      </c>
      <c r="H2226" t="s">
        <v>146</v>
      </c>
      <c r="I2226" t="s">
        <v>42</v>
      </c>
      <c r="J2226" t="s">
        <v>43</v>
      </c>
      <c r="K2226" t="s">
        <v>47</v>
      </c>
      <c r="L2226" t="s">
        <v>48</v>
      </c>
      <c r="M2226" t="s">
        <v>139</v>
      </c>
      <c r="N2226">
        <v>1525</v>
      </c>
      <c r="O2226" s="14">
        <v>0.63596326252445601</v>
      </c>
      <c r="P2226" s="14">
        <v>0.43422180437482899</v>
      </c>
      <c r="Q2226" t="str">
        <f t="shared" si="68"/>
        <v>35-49</v>
      </c>
      <c r="R2226" t="str">
        <f t="shared" si="69"/>
        <v>[ul0y9diGujK]|35-49|Male|TX_CURR_SUBNAT.T_1|CY2023Q3</v>
      </c>
    </row>
    <row r="2227" spans="4:18" x14ac:dyDescent="0.2">
      <c r="D2227" t="s">
        <v>107</v>
      </c>
      <c r="E2227" t="s">
        <v>108</v>
      </c>
      <c r="F2227" t="s">
        <v>109</v>
      </c>
      <c r="G2227" t="s">
        <v>145</v>
      </c>
      <c r="H2227" t="s">
        <v>146</v>
      </c>
      <c r="I2227" t="s">
        <v>44</v>
      </c>
      <c r="J2227" t="s">
        <v>45</v>
      </c>
      <c r="K2227" t="s">
        <v>47</v>
      </c>
      <c r="L2227" t="s">
        <v>48</v>
      </c>
      <c r="M2227" t="s">
        <v>139</v>
      </c>
      <c r="N2227">
        <v>662</v>
      </c>
      <c r="O2227" s="14">
        <v>7.4846512870863094E-2</v>
      </c>
      <c r="P2227" s="14">
        <v>0.43422180437482899</v>
      </c>
      <c r="Q2227" t="str">
        <f t="shared" si="68"/>
        <v>50+</v>
      </c>
      <c r="R2227" t="str">
        <f t="shared" si="69"/>
        <v>[ul0y9diGujK]|50+|Male|TX_CURR_SUBNAT.T_1|CY2023Q3</v>
      </c>
    </row>
    <row r="2228" spans="4:18" x14ac:dyDescent="0.2">
      <c r="D2228" t="s">
        <v>110</v>
      </c>
      <c r="E2228" t="s">
        <v>111</v>
      </c>
      <c r="F2228" t="s">
        <v>112</v>
      </c>
      <c r="G2228" t="s">
        <v>145</v>
      </c>
      <c r="H2228" t="s">
        <v>146</v>
      </c>
      <c r="I2228" t="s">
        <v>27</v>
      </c>
      <c r="J2228" t="s">
        <v>28</v>
      </c>
      <c r="K2228" t="s">
        <v>29</v>
      </c>
      <c r="L2228" t="s">
        <v>30</v>
      </c>
      <c r="M2228" t="s">
        <v>139</v>
      </c>
      <c r="N2228">
        <v>717</v>
      </c>
      <c r="O2228" s="14">
        <v>0.90902786352671705</v>
      </c>
      <c r="P2228" s="14">
        <v>0.33776879496872397</v>
      </c>
      <c r="Q2228" t="str">
        <f t="shared" si="68"/>
        <v>&lt;01</v>
      </c>
      <c r="R2228" t="str">
        <f t="shared" si="69"/>
        <v>[U8c0so51kT6]|&lt;01|Female|TX_CURR_SUBNAT.T_1|CY2023Q3</v>
      </c>
    </row>
    <row r="2229" spans="4:18" x14ac:dyDescent="0.2">
      <c r="D2229" t="s">
        <v>110</v>
      </c>
      <c r="E2229" t="s">
        <v>111</v>
      </c>
      <c r="F2229" t="s">
        <v>112</v>
      </c>
      <c r="G2229" t="s">
        <v>145</v>
      </c>
      <c r="H2229" t="s">
        <v>146</v>
      </c>
      <c r="I2229" t="s">
        <v>32</v>
      </c>
      <c r="J2229" t="s">
        <v>33</v>
      </c>
      <c r="K2229" t="s">
        <v>29</v>
      </c>
      <c r="L2229" t="s">
        <v>30</v>
      </c>
      <c r="M2229" t="s">
        <v>139</v>
      </c>
      <c r="N2229">
        <v>1659</v>
      </c>
      <c r="O2229" s="14">
        <v>0.22652953863143899</v>
      </c>
      <c r="P2229" s="14">
        <v>0.33776879496872397</v>
      </c>
      <c r="Q2229" t="str">
        <f t="shared" si="68"/>
        <v>01-09</v>
      </c>
      <c r="R2229" t="str">
        <f t="shared" si="69"/>
        <v>[U8c0so51kT6]|01-09|Female|TX_CURR_SUBNAT.T_1|CY2023Q3</v>
      </c>
    </row>
    <row r="2230" spans="4:18" x14ac:dyDescent="0.2">
      <c r="D2230" t="s">
        <v>110</v>
      </c>
      <c r="E2230" t="s">
        <v>111</v>
      </c>
      <c r="F2230" t="s">
        <v>112</v>
      </c>
      <c r="G2230" t="s">
        <v>145</v>
      </c>
      <c r="H2230" t="s">
        <v>146</v>
      </c>
      <c r="I2230" t="s">
        <v>35</v>
      </c>
      <c r="J2230" t="s">
        <v>36</v>
      </c>
      <c r="K2230" t="s">
        <v>29</v>
      </c>
      <c r="L2230" t="s">
        <v>30</v>
      </c>
      <c r="M2230" t="s">
        <v>139</v>
      </c>
      <c r="N2230">
        <v>850</v>
      </c>
      <c r="O2230" s="14">
        <v>0.14328714902512699</v>
      </c>
      <c r="P2230" s="14">
        <v>0.33776879496872397</v>
      </c>
      <c r="Q2230" t="str">
        <f t="shared" si="68"/>
        <v>10-14</v>
      </c>
      <c r="R2230" t="str">
        <f t="shared" si="69"/>
        <v>[U8c0so51kT6]|10-14|Female|TX_CURR_SUBNAT.T_1|CY2023Q3</v>
      </c>
    </row>
    <row r="2231" spans="4:18" x14ac:dyDescent="0.2">
      <c r="D2231" t="s">
        <v>110</v>
      </c>
      <c r="E2231" t="s">
        <v>111</v>
      </c>
      <c r="F2231" t="s">
        <v>112</v>
      </c>
      <c r="G2231" t="s">
        <v>145</v>
      </c>
      <c r="H2231" t="s">
        <v>146</v>
      </c>
      <c r="I2231" t="s">
        <v>37</v>
      </c>
      <c r="J2231" t="s">
        <v>38</v>
      </c>
      <c r="K2231" t="s">
        <v>29</v>
      </c>
      <c r="L2231" t="s">
        <v>30</v>
      </c>
      <c r="M2231" t="s">
        <v>139</v>
      </c>
      <c r="N2231">
        <v>1603</v>
      </c>
      <c r="O2231" s="14">
        <v>0.46462231152690903</v>
      </c>
      <c r="P2231" s="14">
        <v>0.33776879496872397</v>
      </c>
      <c r="Q2231" t="str">
        <f t="shared" si="68"/>
        <v>15-24</v>
      </c>
      <c r="R2231" t="str">
        <f t="shared" si="69"/>
        <v>[U8c0so51kT6]|15-24|Female|TX_CURR_SUBNAT.T_1|CY2023Q3</v>
      </c>
    </row>
    <row r="2232" spans="4:18" x14ac:dyDescent="0.2">
      <c r="D2232" t="s">
        <v>110</v>
      </c>
      <c r="E2232" t="s">
        <v>111</v>
      </c>
      <c r="F2232" t="s">
        <v>112</v>
      </c>
      <c r="G2232" t="s">
        <v>145</v>
      </c>
      <c r="H2232" t="s">
        <v>146</v>
      </c>
      <c r="I2232" t="s">
        <v>40</v>
      </c>
      <c r="J2232" t="s">
        <v>41</v>
      </c>
      <c r="K2232" t="s">
        <v>29</v>
      </c>
      <c r="L2232" t="s">
        <v>30</v>
      </c>
      <c r="M2232" t="s">
        <v>139</v>
      </c>
      <c r="N2232">
        <v>793</v>
      </c>
      <c r="O2232" s="14">
        <v>0.28387691453099301</v>
      </c>
      <c r="P2232" s="14">
        <v>0.33776879496872397</v>
      </c>
      <c r="Q2232" t="str">
        <f t="shared" si="68"/>
        <v>25-34</v>
      </c>
      <c r="R2232" t="str">
        <f t="shared" si="69"/>
        <v>[U8c0so51kT6]|25-34|Female|TX_CURR_SUBNAT.T_1|CY2023Q3</v>
      </c>
    </row>
    <row r="2233" spans="4:18" x14ac:dyDescent="0.2">
      <c r="D2233" t="s">
        <v>110</v>
      </c>
      <c r="E2233" t="s">
        <v>111</v>
      </c>
      <c r="F2233" t="s">
        <v>112</v>
      </c>
      <c r="G2233" t="s">
        <v>145</v>
      </c>
      <c r="H2233" t="s">
        <v>146</v>
      </c>
      <c r="I2233" t="s">
        <v>42</v>
      </c>
      <c r="J2233" t="s">
        <v>43</v>
      </c>
      <c r="K2233" t="s">
        <v>29</v>
      </c>
      <c r="L2233" t="s">
        <v>30</v>
      </c>
      <c r="M2233" t="s">
        <v>139</v>
      </c>
      <c r="N2233">
        <v>1414</v>
      </c>
      <c r="O2233" s="14">
        <v>0.32493022433482099</v>
      </c>
      <c r="P2233" s="14">
        <v>0.33776879496872397</v>
      </c>
      <c r="Q2233" t="str">
        <f t="shared" si="68"/>
        <v>35-49</v>
      </c>
      <c r="R2233" t="str">
        <f t="shared" si="69"/>
        <v>[U8c0so51kT6]|35-49|Female|TX_CURR_SUBNAT.T_1|CY2023Q3</v>
      </c>
    </row>
    <row r="2234" spans="4:18" x14ac:dyDescent="0.2">
      <c r="D2234" t="s">
        <v>110</v>
      </c>
      <c r="E2234" t="s">
        <v>111</v>
      </c>
      <c r="F2234" t="s">
        <v>112</v>
      </c>
      <c r="G2234" t="s">
        <v>145</v>
      </c>
      <c r="H2234" t="s">
        <v>146</v>
      </c>
      <c r="I2234" t="s">
        <v>44</v>
      </c>
      <c r="J2234" t="s">
        <v>45</v>
      </c>
      <c r="K2234" t="s">
        <v>29</v>
      </c>
      <c r="L2234" t="s">
        <v>30</v>
      </c>
      <c r="M2234" t="s">
        <v>139</v>
      </c>
      <c r="N2234">
        <v>1631</v>
      </c>
      <c r="O2234" s="14">
        <v>0.20660434220917501</v>
      </c>
      <c r="P2234" s="14">
        <v>0.33776879496872397</v>
      </c>
      <c r="Q2234" t="str">
        <f t="shared" si="68"/>
        <v>50+</v>
      </c>
      <c r="R2234" t="str">
        <f t="shared" si="69"/>
        <v>[U8c0so51kT6]|50+|Female|TX_CURR_SUBNAT.T_1|CY2023Q3</v>
      </c>
    </row>
    <row r="2235" spans="4:18" x14ac:dyDescent="0.2">
      <c r="D2235" t="s">
        <v>110</v>
      </c>
      <c r="E2235" t="s">
        <v>111</v>
      </c>
      <c r="F2235" t="s">
        <v>112</v>
      </c>
      <c r="G2235" t="s">
        <v>145</v>
      </c>
      <c r="H2235" t="s">
        <v>146</v>
      </c>
      <c r="I2235" t="s">
        <v>27</v>
      </c>
      <c r="J2235" t="s">
        <v>28</v>
      </c>
      <c r="K2235" t="s">
        <v>47</v>
      </c>
      <c r="L2235" t="s">
        <v>48</v>
      </c>
      <c r="M2235" t="s">
        <v>139</v>
      </c>
      <c r="N2235">
        <v>1675</v>
      </c>
      <c r="O2235" s="14">
        <v>0.91392414504662201</v>
      </c>
      <c r="P2235" s="14">
        <v>0.33776879496872397</v>
      </c>
      <c r="Q2235" t="str">
        <f t="shared" si="68"/>
        <v>&lt;01</v>
      </c>
      <c r="R2235" t="str">
        <f t="shared" si="69"/>
        <v>[U8c0so51kT6]|&lt;01|Male|TX_CURR_SUBNAT.T_1|CY2023Q3</v>
      </c>
    </row>
    <row r="2236" spans="4:18" x14ac:dyDescent="0.2">
      <c r="D2236" t="s">
        <v>110</v>
      </c>
      <c r="E2236" t="s">
        <v>111</v>
      </c>
      <c r="F2236" t="s">
        <v>112</v>
      </c>
      <c r="G2236" t="s">
        <v>145</v>
      </c>
      <c r="H2236" t="s">
        <v>146</v>
      </c>
      <c r="I2236" t="s">
        <v>32</v>
      </c>
      <c r="J2236" t="s">
        <v>33</v>
      </c>
      <c r="K2236" t="s">
        <v>47</v>
      </c>
      <c r="L2236" t="s">
        <v>48</v>
      </c>
      <c r="M2236" t="s">
        <v>139</v>
      </c>
      <c r="N2236">
        <v>1275</v>
      </c>
      <c r="O2236" s="14">
        <v>0.82788075576536402</v>
      </c>
      <c r="P2236" s="14">
        <v>0.33776879496872397</v>
      </c>
      <c r="Q2236" t="str">
        <f t="shared" si="68"/>
        <v>01-09</v>
      </c>
      <c r="R2236" t="str">
        <f t="shared" si="69"/>
        <v>[U8c0so51kT6]|01-09|Male|TX_CURR_SUBNAT.T_1|CY2023Q3</v>
      </c>
    </row>
    <row r="2237" spans="4:18" x14ac:dyDescent="0.2">
      <c r="D2237" t="s">
        <v>110</v>
      </c>
      <c r="E2237" t="s">
        <v>111</v>
      </c>
      <c r="F2237" t="s">
        <v>112</v>
      </c>
      <c r="G2237" t="s">
        <v>145</v>
      </c>
      <c r="H2237" t="s">
        <v>146</v>
      </c>
      <c r="I2237" t="s">
        <v>35</v>
      </c>
      <c r="J2237" t="s">
        <v>36</v>
      </c>
      <c r="K2237" t="s">
        <v>47</v>
      </c>
      <c r="L2237" t="s">
        <v>48</v>
      </c>
      <c r="M2237" t="s">
        <v>139</v>
      </c>
      <c r="N2237">
        <v>1608</v>
      </c>
      <c r="O2237" s="14">
        <v>0.99907194636762098</v>
      </c>
      <c r="P2237" s="14">
        <v>0.33776879496872397</v>
      </c>
      <c r="Q2237" t="str">
        <f t="shared" si="68"/>
        <v>10-14</v>
      </c>
      <c r="R2237" t="str">
        <f t="shared" si="69"/>
        <v>[U8c0so51kT6]|10-14|Male|TX_CURR_SUBNAT.T_1|CY2023Q3</v>
      </c>
    </row>
    <row r="2238" spans="4:18" x14ac:dyDescent="0.2">
      <c r="D2238" t="s">
        <v>110</v>
      </c>
      <c r="E2238" t="s">
        <v>111</v>
      </c>
      <c r="F2238" t="s">
        <v>112</v>
      </c>
      <c r="G2238" t="s">
        <v>145</v>
      </c>
      <c r="H2238" t="s">
        <v>146</v>
      </c>
      <c r="I2238" t="s">
        <v>37</v>
      </c>
      <c r="J2238" t="s">
        <v>38</v>
      </c>
      <c r="K2238" t="s">
        <v>47</v>
      </c>
      <c r="L2238" t="s">
        <v>48</v>
      </c>
      <c r="M2238" t="s">
        <v>139</v>
      </c>
      <c r="N2238">
        <v>601</v>
      </c>
      <c r="O2238" s="14">
        <v>0.58854608470573999</v>
      </c>
      <c r="P2238" s="14">
        <v>0.33776879496872397</v>
      </c>
      <c r="Q2238" t="str">
        <f t="shared" si="68"/>
        <v>15-24</v>
      </c>
      <c r="R2238" t="str">
        <f t="shared" si="69"/>
        <v>[U8c0so51kT6]|15-24|Male|TX_CURR_SUBNAT.T_1|CY2023Q3</v>
      </c>
    </row>
    <row r="2239" spans="4:18" x14ac:dyDescent="0.2">
      <c r="D2239" t="s">
        <v>110</v>
      </c>
      <c r="E2239" t="s">
        <v>111</v>
      </c>
      <c r="F2239" t="s">
        <v>112</v>
      </c>
      <c r="G2239" t="s">
        <v>145</v>
      </c>
      <c r="H2239" t="s">
        <v>146</v>
      </c>
      <c r="I2239" t="s">
        <v>40</v>
      </c>
      <c r="J2239" t="s">
        <v>41</v>
      </c>
      <c r="K2239" t="s">
        <v>47</v>
      </c>
      <c r="L2239" t="s">
        <v>48</v>
      </c>
      <c r="M2239" t="s">
        <v>139</v>
      </c>
      <c r="N2239">
        <v>1916</v>
      </c>
      <c r="O2239" s="14">
        <v>0.16931942244991699</v>
      </c>
      <c r="P2239" s="14">
        <v>0.33776879496872397</v>
      </c>
      <c r="Q2239" t="str">
        <f t="shared" si="68"/>
        <v>25-34</v>
      </c>
      <c r="R2239" t="str">
        <f t="shared" si="69"/>
        <v>[U8c0so51kT6]|25-34|Male|TX_CURR_SUBNAT.T_1|CY2023Q3</v>
      </c>
    </row>
    <row r="2240" spans="4:18" x14ac:dyDescent="0.2">
      <c r="D2240" t="s">
        <v>110</v>
      </c>
      <c r="E2240" t="s">
        <v>111</v>
      </c>
      <c r="F2240" t="s">
        <v>112</v>
      </c>
      <c r="G2240" t="s">
        <v>145</v>
      </c>
      <c r="H2240" t="s">
        <v>146</v>
      </c>
      <c r="I2240" t="s">
        <v>42</v>
      </c>
      <c r="J2240" t="s">
        <v>43</v>
      </c>
      <c r="K2240" t="s">
        <v>47</v>
      </c>
      <c r="L2240" t="s">
        <v>48</v>
      </c>
      <c r="M2240" t="s">
        <v>139</v>
      </c>
      <c r="N2240">
        <v>629</v>
      </c>
      <c r="O2240" s="14">
        <v>0.90532437572255697</v>
      </c>
      <c r="P2240" s="14">
        <v>0.33776879496872397</v>
      </c>
      <c r="Q2240" t="str">
        <f t="shared" si="68"/>
        <v>35-49</v>
      </c>
      <c r="R2240" t="str">
        <f t="shared" si="69"/>
        <v>[U8c0so51kT6]|35-49|Male|TX_CURR_SUBNAT.T_1|CY2023Q3</v>
      </c>
    </row>
    <row r="2241" spans="4:18" x14ac:dyDescent="0.2">
      <c r="D2241" t="s">
        <v>110</v>
      </c>
      <c r="E2241" t="s">
        <v>111</v>
      </c>
      <c r="F2241" t="s">
        <v>112</v>
      </c>
      <c r="G2241" t="s">
        <v>145</v>
      </c>
      <c r="H2241" t="s">
        <v>146</v>
      </c>
      <c r="I2241" t="s">
        <v>44</v>
      </c>
      <c r="J2241" t="s">
        <v>45</v>
      </c>
      <c r="K2241" t="s">
        <v>47</v>
      </c>
      <c r="L2241" t="s">
        <v>48</v>
      </c>
      <c r="M2241" t="s">
        <v>139</v>
      </c>
      <c r="N2241">
        <v>1023</v>
      </c>
      <c r="O2241" s="14">
        <v>0.54209950962103903</v>
      </c>
      <c r="P2241" s="14">
        <v>0.33776879496872397</v>
      </c>
      <c r="Q2241" t="str">
        <f t="shared" si="68"/>
        <v>50+</v>
      </c>
      <c r="R2241" t="str">
        <f t="shared" si="69"/>
        <v>[U8c0so51kT6]|50+|Male|TX_CURR_SUBNAT.T_1|CY2023Q3</v>
      </c>
    </row>
    <row r="2242" spans="4:18" x14ac:dyDescent="0.2">
      <c r="D2242" t="s">
        <v>113</v>
      </c>
      <c r="E2242" t="s">
        <v>114</v>
      </c>
      <c r="F2242" t="s">
        <v>115</v>
      </c>
      <c r="G2242" t="s">
        <v>145</v>
      </c>
      <c r="H2242" t="s">
        <v>146</v>
      </c>
      <c r="I2242" t="s">
        <v>27</v>
      </c>
      <c r="J2242" t="s">
        <v>28</v>
      </c>
      <c r="K2242" t="s">
        <v>29</v>
      </c>
      <c r="L2242" t="s">
        <v>30</v>
      </c>
      <c r="M2242" t="s">
        <v>139</v>
      </c>
      <c r="N2242">
        <v>1849</v>
      </c>
      <c r="O2242" s="14">
        <v>0.78078376851044595</v>
      </c>
      <c r="P2242" s="14">
        <v>0.29855980910360802</v>
      </c>
      <c r="Q2242" t="str">
        <f t="shared" ref="Q2242:Q2305" si="70">SUBSTITUTE(SUBSTITUTE($I2242,CHAR(61),""),CHAR(34),"")</f>
        <v>&lt;01</v>
      </c>
      <c r="R2242" t="str">
        <f t="shared" ref="R2242:R2305" si="71">IF($D2242&lt;&gt;"","["&amp;$E2242&amp;"]"&amp;"|"&amp;$Q2242&amp;"|"&amp;$K2242&amp;"|"&amp;$G2242&amp;"|"&amp;IF($G2242="TX_CURR_SUBNAT.R","CY2022Q4",$M2242),"")</f>
        <v>[rpw540fmNUz]|&lt;01|Female|TX_CURR_SUBNAT.T_1|CY2023Q3</v>
      </c>
    </row>
    <row r="2243" spans="4:18" x14ac:dyDescent="0.2">
      <c r="D2243" t="s">
        <v>113</v>
      </c>
      <c r="E2243" t="s">
        <v>114</v>
      </c>
      <c r="F2243" t="s">
        <v>115</v>
      </c>
      <c r="G2243" t="s">
        <v>145</v>
      </c>
      <c r="H2243" t="s">
        <v>146</v>
      </c>
      <c r="I2243" t="s">
        <v>32</v>
      </c>
      <c r="J2243" t="s">
        <v>33</v>
      </c>
      <c r="K2243" t="s">
        <v>29</v>
      </c>
      <c r="L2243" t="s">
        <v>30</v>
      </c>
      <c r="M2243" t="s">
        <v>139</v>
      </c>
      <c r="N2243">
        <v>1552</v>
      </c>
      <c r="O2243" s="14">
        <v>7.7134417835622998E-2</v>
      </c>
      <c r="P2243" s="14">
        <v>0.29855980910360802</v>
      </c>
      <c r="Q2243" t="str">
        <f t="shared" si="70"/>
        <v>01-09</v>
      </c>
      <c r="R2243" t="str">
        <f t="shared" si="71"/>
        <v>[rpw540fmNUz]|01-09|Female|TX_CURR_SUBNAT.T_1|CY2023Q3</v>
      </c>
    </row>
    <row r="2244" spans="4:18" x14ac:dyDescent="0.2">
      <c r="D2244" t="s">
        <v>113</v>
      </c>
      <c r="E2244" t="s">
        <v>114</v>
      </c>
      <c r="F2244" t="s">
        <v>115</v>
      </c>
      <c r="G2244" t="s">
        <v>145</v>
      </c>
      <c r="H2244" t="s">
        <v>146</v>
      </c>
      <c r="I2244" t="s">
        <v>35</v>
      </c>
      <c r="J2244" t="s">
        <v>36</v>
      </c>
      <c r="K2244" t="s">
        <v>29</v>
      </c>
      <c r="L2244" t="s">
        <v>30</v>
      </c>
      <c r="M2244" t="s">
        <v>139</v>
      </c>
      <c r="N2244">
        <v>1308</v>
      </c>
      <c r="O2244" s="14">
        <v>0.39558692066930201</v>
      </c>
      <c r="P2244" s="14">
        <v>0.29855980910360802</v>
      </c>
      <c r="Q2244" t="str">
        <f t="shared" si="70"/>
        <v>10-14</v>
      </c>
      <c r="R2244" t="str">
        <f t="shared" si="71"/>
        <v>[rpw540fmNUz]|10-14|Female|TX_CURR_SUBNAT.T_1|CY2023Q3</v>
      </c>
    </row>
    <row r="2245" spans="4:18" x14ac:dyDescent="0.2">
      <c r="D2245" t="s">
        <v>113</v>
      </c>
      <c r="E2245" t="s">
        <v>114</v>
      </c>
      <c r="F2245" t="s">
        <v>115</v>
      </c>
      <c r="G2245" t="s">
        <v>145</v>
      </c>
      <c r="H2245" t="s">
        <v>146</v>
      </c>
      <c r="I2245" t="s">
        <v>37</v>
      </c>
      <c r="J2245" t="s">
        <v>38</v>
      </c>
      <c r="K2245" t="s">
        <v>29</v>
      </c>
      <c r="L2245" t="s">
        <v>30</v>
      </c>
      <c r="M2245" t="s">
        <v>139</v>
      </c>
      <c r="N2245">
        <v>743</v>
      </c>
      <c r="O2245" s="14">
        <v>0.347557775210589</v>
      </c>
      <c r="P2245" s="14">
        <v>0.29855980910360802</v>
      </c>
      <c r="Q2245" t="str">
        <f t="shared" si="70"/>
        <v>15-24</v>
      </c>
      <c r="R2245" t="str">
        <f t="shared" si="71"/>
        <v>[rpw540fmNUz]|15-24|Female|TX_CURR_SUBNAT.T_1|CY2023Q3</v>
      </c>
    </row>
    <row r="2246" spans="4:18" x14ac:dyDescent="0.2">
      <c r="D2246" t="s">
        <v>113</v>
      </c>
      <c r="E2246" t="s">
        <v>114</v>
      </c>
      <c r="F2246" t="s">
        <v>115</v>
      </c>
      <c r="G2246" t="s">
        <v>145</v>
      </c>
      <c r="H2246" t="s">
        <v>146</v>
      </c>
      <c r="I2246" t="s">
        <v>40</v>
      </c>
      <c r="J2246" t="s">
        <v>41</v>
      </c>
      <c r="K2246" t="s">
        <v>29</v>
      </c>
      <c r="L2246" t="s">
        <v>30</v>
      </c>
      <c r="M2246" t="s">
        <v>139</v>
      </c>
      <c r="N2246">
        <v>931</v>
      </c>
      <c r="O2246" s="14">
        <v>2.12781005539E-2</v>
      </c>
      <c r="P2246" s="14">
        <v>0.29855980910360802</v>
      </c>
      <c r="Q2246" t="str">
        <f t="shared" si="70"/>
        <v>25-34</v>
      </c>
      <c r="R2246" t="str">
        <f t="shared" si="71"/>
        <v>[rpw540fmNUz]|25-34|Female|TX_CURR_SUBNAT.T_1|CY2023Q3</v>
      </c>
    </row>
    <row r="2247" spans="4:18" x14ac:dyDescent="0.2">
      <c r="D2247" t="s">
        <v>113</v>
      </c>
      <c r="E2247" t="s">
        <v>114</v>
      </c>
      <c r="F2247" t="s">
        <v>115</v>
      </c>
      <c r="G2247" t="s">
        <v>145</v>
      </c>
      <c r="H2247" t="s">
        <v>146</v>
      </c>
      <c r="I2247" t="s">
        <v>42</v>
      </c>
      <c r="J2247" t="s">
        <v>43</v>
      </c>
      <c r="K2247" t="s">
        <v>29</v>
      </c>
      <c r="L2247" t="s">
        <v>30</v>
      </c>
      <c r="M2247" t="s">
        <v>139</v>
      </c>
      <c r="N2247">
        <v>1442</v>
      </c>
      <c r="O2247" s="14">
        <v>0.40663461363874398</v>
      </c>
      <c r="P2247" s="14">
        <v>0.29855980910360802</v>
      </c>
      <c r="Q2247" t="str">
        <f t="shared" si="70"/>
        <v>35-49</v>
      </c>
      <c r="R2247" t="str">
        <f t="shared" si="71"/>
        <v>[rpw540fmNUz]|35-49|Female|TX_CURR_SUBNAT.T_1|CY2023Q3</v>
      </c>
    </row>
    <row r="2248" spans="4:18" x14ac:dyDescent="0.2">
      <c r="D2248" t="s">
        <v>113</v>
      </c>
      <c r="E2248" t="s">
        <v>114</v>
      </c>
      <c r="F2248" t="s">
        <v>115</v>
      </c>
      <c r="G2248" t="s">
        <v>145</v>
      </c>
      <c r="H2248" t="s">
        <v>146</v>
      </c>
      <c r="I2248" t="s">
        <v>44</v>
      </c>
      <c r="J2248" t="s">
        <v>45</v>
      </c>
      <c r="K2248" t="s">
        <v>29</v>
      </c>
      <c r="L2248" t="s">
        <v>30</v>
      </c>
      <c r="M2248" t="s">
        <v>139</v>
      </c>
      <c r="N2248">
        <v>605</v>
      </c>
      <c r="O2248" s="14">
        <v>0.98611865192651704</v>
      </c>
      <c r="P2248" s="14">
        <v>0.29855980910360802</v>
      </c>
      <c r="Q2248" t="str">
        <f t="shared" si="70"/>
        <v>50+</v>
      </c>
      <c r="R2248" t="str">
        <f t="shared" si="71"/>
        <v>[rpw540fmNUz]|50+|Female|TX_CURR_SUBNAT.T_1|CY2023Q3</v>
      </c>
    </row>
    <row r="2249" spans="4:18" x14ac:dyDescent="0.2">
      <c r="D2249" t="s">
        <v>113</v>
      </c>
      <c r="E2249" t="s">
        <v>114</v>
      </c>
      <c r="F2249" t="s">
        <v>115</v>
      </c>
      <c r="G2249" t="s">
        <v>145</v>
      </c>
      <c r="H2249" t="s">
        <v>146</v>
      </c>
      <c r="I2249" t="s">
        <v>27</v>
      </c>
      <c r="J2249" t="s">
        <v>28</v>
      </c>
      <c r="K2249" t="s">
        <v>47</v>
      </c>
      <c r="L2249" t="s">
        <v>48</v>
      </c>
      <c r="M2249" t="s">
        <v>139</v>
      </c>
      <c r="N2249">
        <v>982</v>
      </c>
      <c r="O2249" s="14">
        <v>0.24312798166647601</v>
      </c>
      <c r="P2249" s="14">
        <v>0.29855980910360802</v>
      </c>
      <c r="Q2249" t="str">
        <f t="shared" si="70"/>
        <v>&lt;01</v>
      </c>
      <c r="R2249" t="str">
        <f t="shared" si="71"/>
        <v>[rpw540fmNUz]|&lt;01|Male|TX_CURR_SUBNAT.T_1|CY2023Q3</v>
      </c>
    </row>
    <row r="2250" spans="4:18" x14ac:dyDescent="0.2">
      <c r="D2250" t="s">
        <v>113</v>
      </c>
      <c r="E2250" t="s">
        <v>114</v>
      </c>
      <c r="F2250" t="s">
        <v>115</v>
      </c>
      <c r="G2250" t="s">
        <v>145</v>
      </c>
      <c r="H2250" t="s">
        <v>146</v>
      </c>
      <c r="I2250" t="s">
        <v>32</v>
      </c>
      <c r="J2250" t="s">
        <v>33</v>
      </c>
      <c r="K2250" t="s">
        <v>47</v>
      </c>
      <c r="L2250" t="s">
        <v>48</v>
      </c>
      <c r="M2250" t="s">
        <v>139</v>
      </c>
      <c r="N2250">
        <v>1412</v>
      </c>
      <c r="O2250" s="14">
        <v>0.162968900054693</v>
      </c>
      <c r="P2250" s="14">
        <v>0.29855980910360802</v>
      </c>
      <c r="Q2250" t="str">
        <f t="shared" si="70"/>
        <v>01-09</v>
      </c>
      <c r="R2250" t="str">
        <f t="shared" si="71"/>
        <v>[rpw540fmNUz]|01-09|Male|TX_CURR_SUBNAT.T_1|CY2023Q3</v>
      </c>
    </row>
    <row r="2251" spans="4:18" x14ac:dyDescent="0.2">
      <c r="D2251" t="s">
        <v>113</v>
      </c>
      <c r="E2251" t="s">
        <v>114</v>
      </c>
      <c r="F2251" t="s">
        <v>115</v>
      </c>
      <c r="G2251" t="s">
        <v>145</v>
      </c>
      <c r="H2251" t="s">
        <v>146</v>
      </c>
      <c r="I2251" t="s">
        <v>35</v>
      </c>
      <c r="J2251" t="s">
        <v>36</v>
      </c>
      <c r="K2251" t="s">
        <v>47</v>
      </c>
      <c r="L2251" t="s">
        <v>48</v>
      </c>
      <c r="M2251" t="s">
        <v>139</v>
      </c>
      <c r="N2251">
        <v>1250</v>
      </c>
      <c r="O2251" s="14">
        <v>0.65420983731746696</v>
      </c>
      <c r="P2251" s="14">
        <v>0.29855980910360802</v>
      </c>
      <c r="Q2251" t="str">
        <f t="shared" si="70"/>
        <v>10-14</v>
      </c>
      <c r="R2251" t="str">
        <f t="shared" si="71"/>
        <v>[rpw540fmNUz]|10-14|Male|TX_CURR_SUBNAT.T_1|CY2023Q3</v>
      </c>
    </row>
    <row r="2252" spans="4:18" x14ac:dyDescent="0.2">
      <c r="D2252" t="s">
        <v>113</v>
      </c>
      <c r="E2252" t="s">
        <v>114</v>
      </c>
      <c r="F2252" t="s">
        <v>115</v>
      </c>
      <c r="G2252" t="s">
        <v>145</v>
      </c>
      <c r="H2252" t="s">
        <v>146</v>
      </c>
      <c r="I2252" t="s">
        <v>37</v>
      </c>
      <c r="J2252" t="s">
        <v>38</v>
      </c>
      <c r="K2252" t="s">
        <v>47</v>
      </c>
      <c r="L2252" t="s">
        <v>48</v>
      </c>
      <c r="M2252" t="s">
        <v>139</v>
      </c>
      <c r="N2252">
        <v>1494</v>
      </c>
      <c r="O2252" s="14">
        <v>0.58915229770354904</v>
      </c>
      <c r="P2252" s="14">
        <v>0.29855980910360802</v>
      </c>
      <c r="Q2252" t="str">
        <f t="shared" si="70"/>
        <v>15-24</v>
      </c>
      <c r="R2252" t="str">
        <f t="shared" si="71"/>
        <v>[rpw540fmNUz]|15-24|Male|TX_CURR_SUBNAT.T_1|CY2023Q3</v>
      </c>
    </row>
    <row r="2253" spans="4:18" x14ac:dyDescent="0.2">
      <c r="D2253" t="s">
        <v>113</v>
      </c>
      <c r="E2253" t="s">
        <v>114</v>
      </c>
      <c r="F2253" t="s">
        <v>115</v>
      </c>
      <c r="G2253" t="s">
        <v>145</v>
      </c>
      <c r="H2253" t="s">
        <v>146</v>
      </c>
      <c r="I2253" t="s">
        <v>40</v>
      </c>
      <c r="J2253" t="s">
        <v>41</v>
      </c>
      <c r="K2253" t="s">
        <v>47</v>
      </c>
      <c r="L2253" t="s">
        <v>48</v>
      </c>
      <c r="M2253" t="s">
        <v>139</v>
      </c>
      <c r="N2253">
        <v>1466</v>
      </c>
      <c r="O2253" s="14">
        <v>0.15409308881498901</v>
      </c>
      <c r="P2253" s="14">
        <v>0.29855980910360802</v>
      </c>
      <c r="Q2253" t="str">
        <f t="shared" si="70"/>
        <v>25-34</v>
      </c>
      <c r="R2253" t="str">
        <f t="shared" si="71"/>
        <v>[rpw540fmNUz]|25-34|Male|TX_CURR_SUBNAT.T_1|CY2023Q3</v>
      </c>
    </row>
    <row r="2254" spans="4:18" x14ac:dyDescent="0.2">
      <c r="D2254" t="s">
        <v>113</v>
      </c>
      <c r="E2254" t="s">
        <v>114</v>
      </c>
      <c r="F2254" t="s">
        <v>115</v>
      </c>
      <c r="G2254" t="s">
        <v>145</v>
      </c>
      <c r="H2254" t="s">
        <v>146</v>
      </c>
      <c r="I2254" t="s">
        <v>42</v>
      </c>
      <c r="J2254" t="s">
        <v>43</v>
      </c>
      <c r="K2254" t="s">
        <v>47</v>
      </c>
      <c r="L2254" t="s">
        <v>48</v>
      </c>
      <c r="M2254" t="s">
        <v>139</v>
      </c>
      <c r="N2254">
        <v>1269</v>
      </c>
      <c r="O2254" s="14">
        <v>0.52787412982434001</v>
      </c>
      <c r="P2254" s="14">
        <v>0.29855980910360802</v>
      </c>
      <c r="Q2254" t="str">
        <f t="shared" si="70"/>
        <v>35-49</v>
      </c>
      <c r="R2254" t="str">
        <f t="shared" si="71"/>
        <v>[rpw540fmNUz]|35-49|Male|TX_CURR_SUBNAT.T_1|CY2023Q3</v>
      </c>
    </row>
    <row r="2255" spans="4:18" x14ac:dyDescent="0.2">
      <c r="D2255" t="s">
        <v>113</v>
      </c>
      <c r="E2255" t="s">
        <v>114</v>
      </c>
      <c r="F2255" t="s">
        <v>115</v>
      </c>
      <c r="G2255" t="s">
        <v>145</v>
      </c>
      <c r="H2255" t="s">
        <v>146</v>
      </c>
      <c r="I2255" t="s">
        <v>44</v>
      </c>
      <c r="J2255" t="s">
        <v>45</v>
      </c>
      <c r="K2255" t="s">
        <v>47</v>
      </c>
      <c r="L2255" t="s">
        <v>48</v>
      </c>
      <c r="M2255" t="s">
        <v>139</v>
      </c>
      <c r="N2255">
        <v>1156</v>
      </c>
      <c r="O2255" s="14">
        <v>0.523681052727625</v>
      </c>
      <c r="P2255" s="14">
        <v>0.29855980910360802</v>
      </c>
      <c r="Q2255" t="str">
        <f t="shared" si="70"/>
        <v>50+</v>
      </c>
      <c r="R2255" t="str">
        <f t="shared" si="71"/>
        <v>[rpw540fmNUz]|50+|Male|TX_CURR_SUBNAT.T_1|CY2023Q3</v>
      </c>
    </row>
    <row r="2256" spans="4:18" x14ac:dyDescent="0.2">
      <c r="D2256" t="s">
        <v>116</v>
      </c>
      <c r="E2256" t="s">
        <v>117</v>
      </c>
      <c r="F2256" t="s">
        <v>118</v>
      </c>
      <c r="G2256" t="s">
        <v>145</v>
      </c>
      <c r="H2256" t="s">
        <v>146</v>
      </c>
      <c r="I2256" t="s">
        <v>27</v>
      </c>
      <c r="J2256" t="s">
        <v>28</v>
      </c>
      <c r="K2256" t="s">
        <v>29</v>
      </c>
      <c r="L2256" t="s">
        <v>30</v>
      </c>
      <c r="M2256" t="s">
        <v>139</v>
      </c>
      <c r="N2256">
        <v>675</v>
      </c>
      <c r="O2256" s="14">
        <v>6.7016758956015096E-2</v>
      </c>
      <c r="P2256" s="14">
        <v>0.206259709550068</v>
      </c>
      <c r="Q2256" t="str">
        <f t="shared" si="70"/>
        <v>&lt;01</v>
      </c>
      <c r="R2256" t="str">
        <f t="shared" si="71"/>
        <v>[lPTyjLi4w3d]|&lt;01|Female|TX_CURR_SUBNAT.T_1|CY2023Q3</v>
      </c>
    </row>
    <row r="2257" spans="4:18" x14ac:dyDescent="0.2">
      <c r="D2257" t="s">
        <v>116</v>
      </c>
      <c r="E2257" t="s">
        <v>117</v>
      </c>
      <c r="F2257" t="s">
        <v>118</v>
      </c>
      <c r="G2257" t="s">
        <v>145</v>
      </c>
      <c r="H2257" t="s">
        <v>146</v>
      </c>
      <c r="I2257" t="s">
        <v>32</v>
      </c>
      <c r="J2257" t="s">
        <v>33</v>
      </c>
      <c r="K2257" t="s">
        <v>29</v>
      </c>
      <c r="L2257" t="s">
        <v>30</v>
      </c>
      <c r="M2257" t="s">
        <v>139</v>
      </c>
      <c r="N2257">
        <v>1393</v>
      </c>
      <c r="O2257" s="14">
        <v>0.90559666580520604</v>
      </c>
      <c r="P2257" s="14">
        <v>0.206259709550068</v>
      </c>
      <c r="Q2257" t="str">
        <f t="shared" si="70"/>
        <v>01-09</v>
      </c>
      <c r="R2257" t="str">
        <f t="shared" si="71"/>
        <v>[lPTyjLi4w3d]|01-09|Female|TX_CURR_SUBNAT.T_1|CY2023Q3</v>
      </c>
    </row>
    <row r="2258" spans="4:18" x14ac:dyDescent="0.2">
      <c r="D2258" t="s">
        <v>116</v>
      </c>
      <c r="E2258" t="s">
        <v>117</v>
      </c>
      <c r="F2258" t="s">
        <v>118</v>
      </c>
      <c r="G2258" t="s">
        <v>145</v>
      </c>
      <c r="H2258" t="s">
        <v>146</v>
      </c>
      <c r="I2258" t="s">
        <v>35</v>
      </c>
      <c r="J2258" t="s">
        <v>36</v>
      </c>
      <c r="K2258" t="s">
        <v>29</v>
      </c>
      <c r="L2258" t="s">
        <v>30</v>
      </c>
      <c r="M2258" t="s">
        <v>139</v>
      </c>
      <c r="N2258">
        <v>546</v>
      </c>
      <c r="O2258" s="14">
        <v>0.70562152471393302</v>
      </c>
      <c r="P2258" s="14">
        <v>0.206259709550068</v>
      </c>
      <c r="Q2258" t="str">
        <f t="shared" si="70"/>
        <v>10-14</v>
      </c>
      <c r="R2258" t="str">
        <f t="shared" si="71"/>
        <v>[lPTyjLi4w3d]|10-14|Female|TX_CURR_SUBNAT.T_1|CY2023Q3</v>
      </c>
    </row>
    <row r="2259" spans="4:18" x14ac:dyDescent="0.2">
      <c r="D2259" t="s">
        <v>116</v>
      </c>
      <c r="E2259" t="s">
        <v>117</v>
      </c>
      <c r="F2259" t="s">
        <v>118</v>
      </c>
      <c r="G2259" t="s">
        <v>145</v>
      </c>
      <c r="H2259" t="s">
        <v>146</v>
      </c>
      <c r="I2259" t="s">
        <v>37</v>
      </c>
      <c r="J2259" t="s">
        <v>38</v>
      </c>
      <c r="K2259" t="s">
        <v>29</v>
      </c>
      <c r="L2259" t="s">
        <v>30</v>
      </c>
      <c r="M2259" t="s">
        <v>139</v>
      </c>
      <c r="N2259">
        <v>1189</v>
      </c>
      <c r="O2259" s="14">
        <v>0.98732928838580802</v>
      </c>
      <c r="P2259" s="14">
        <v>0.206259709550068</v>
      </c>
      <c r="Q2259" t="str">
        <f t="shared" si="70"/>
        <v>15-24</v>
      </c>
      <c r="R2259" t="str">
        <f t="shared" si="71"/>
        <v>[lPTyjLi4w3d]|15-24|Female|TX_CURR_SUBNAT.T_1|CY2023Q3</v>
      </c>
    </row>
    <row r="2260" spans="4:18" x14ac:dyDescent="0.2">
      <c r="D2260" t="s">
        <v>116</v>
      </c>
      <c r="E2260" t="s">
        <v>117</v>
      </c>
      <c r="F2260" t="s">
        <v>118</v>
      </c>
      <c r="G2260" t="s">
        <v>145</v>
      </c>
      <c r="H2260" t="s">
        <v>146</v>
      </c>
      <c r="I2260" t="s">
        <v>40</v>
      </c>
      <c r="J2260" t="s">
        <v>41</v>
      </c>
      <c r="K2260" t="s">
        <v>29</v>
      </c>
      <c r="L2260" t="s">
        <v>30</v>
      </c>
      <c r="M2260" t="s">
        <v>139</v>
      </c>
      <c r="N2260">
        <v>1882</v>
      </c>
      <c r="O2260" s="14">
        <v>0.89722451288253102</v>
      </c>
      <c r="P2260" s="14">
        <v>0.206259709550068</v>
      </c>
      <c r="Q2260" t="str">
        <f t="shared" si="70"/>
        <v>25-34</v>
      </c>
      <c r="R2260" t="str">
        <f t="shared" si="71"/>
        <v>[lPTyjLi4w3d]|25-34|Female|TX_CURR_SUBNAT.T_1|CY2023Q3</v>
      </c>
    </row>
    <row r="2261" spans="4:18" x14ac:dyDescent="0.2">
      <c r="D2261" t="s">
        <v>116</v>
      </c>
      <c r="E2261" t="s">
        <v>117</v>
      </c>
      <c r="F2261" t="s">
        <v>118</v>
      </c>
      <c r="G2261" t="s">
        <v>145</v>
      </c>
      <c r="H2261" t="s">
        <v>146</v>
      </c>
      <c r="I2261" t="s">
        <v>42</v>
      </c>
      <c r="J2261" t="s">
        <v>43</v>
      </c>
      <c r="K2261" t="s">
        <v>29</v>
      </c>
      <c r="L2261" t="s">
        <v>30</v>
      </c>
      <c r="M2261" t="s">
        <v>139</v>
      </c>
      <c r="N2261">
        <v>653</v>
      </c>
      <c r="O2261" s="14">
        <v>0.76443309197202303</v>
      </c>
      <c r="P2261" s="14">
        <v>0.206259709550068</v>
      </c>
      <c r="Q2261" t="str">
        <f t="shared" si="70"/>
        <v>35-49</v>
      </c>
      <c r="R2261" t="str">
        <f t="shared" si="71"/>
        <v>[lPTyjLi4w3d]|35-49|Female|TX_CURR_SUBNAT.T_1|CY2023Q3</v>
      </c>
    </row>
    <row r="2262" spans="4:18" x14ac:dyDescent="0.2">
      <c r="D2262" t="s">
        <v>116</v>
      </c>
      <c r="E2262" t="s">
        <v>117</v>
      </c>
      <c r="F2262" t="s">
        <v>118</v>
      </c>
      <c r="G2262" t="s">
        <v>145</v>
      </c>
      <c r="H2262" t="s">
        <v>146</v>
      </c>
      <c r="I2262" t="s">
        <v>44</v>
      </c>
      <c r="J2262" t="s">
        <v>45</v>
      </c>
      <c r="K2262" t="s">
        <v>29</v>
      </c>
      <c r="L2262" t="s">
        <v>30</v>
      </c>
      <c r="M2262" t="s">
        <v>139</v>
      </c>
      <c r="N2262">
        <v>895</v>
      </c>
      <c r="O2262" s="14">
        <v>0.93233184330165397</v>
      </c>
      <c r="P2262" s="14">
        <v>0.206259709550068</v>
      </c>
      <c r="Q2262" t="str">
        <f t="shared" si="70"/>
        <v>50+</v>
      </c>
      <c r="R2262" t="str">
        <f t="shared" si="71"/>
        <v>[lPTyjLi4w3d]|50+|Female|TX_CURR_SUBNAT.T_1|CY2023Q3</v>
      </c>
    </row>
    <row r="2263" spans="4:18" x14ac:dyDescent="0.2">
      <c r="D2263" t="s">
        <v>116</v>
      </c>
      <c r="E2263" t="s">
        <v>117</v>
      </c>
      <c r="F2263" t="s">
        <v>118</v>
      </c>
      <c r="G2263" t="s">
        <v>145</v>
      </c>
      <c r="H2263" t="s">
        <v>146</v>
      </c>
      <c r="I2263" t="s">
        <v>27</v>
      </c>
      <c r="J2263" t="s">
        <v>28</v>
      </c>
      <c r="K2263" t="s">
        <v>47</v>
      </c>
      <c r="L2263" t="s">
        <v>48</v>
      </c>
      <c r="M2263" t="s">
        <v>139</v>
      </c>
      <c r="N2263">
        <v>1884</v>
      </c>
      <c r="O2263" s="14">
        <v>0.89696539635770001</v>
      </c>
      <c r="P2263" s="14">
        <v>0.206259709550068</v>
      </c>
      <c r="Q2263" t="str">
        <f t="shared" si="70"/>
        <v>&lt;01</v>
      </c>
      <c r="R2263" t="str">
        <f t="shared" si="71"/>
        <v>[lPTyjLi4w3d]|&lt;01|Male|TX_CURR_SUBNAT.T_1|CY2023Q3</v>
      </c>
    </row>
    <row r="2264" spans="4:18" x14ac:dyDescent="0.2">
      <c r="D2264" t="s">
        <v>116</v>
      </c>
      <c r="E2264" t="s">
        <v>117</v>
      </c>
      <c r="F2264" t="s">
        <v>118</v>
      </c>
      <c r="G2264" t="s">
        <v>145</v>
      </c>
      <c r="H2264" t="s">
        <v>146</v>
      </c>
      <c r="I2264" t="s">
        <v>32</v>
      </c>
      <c r="J2264" t="s">
        <v>33</v>
      </c>
      <c r="K2264" t="s">
        <v>47</v>
      </c>
      <c r="L2264" t="s">
        <v>48</v>
      </c>
      <c r="M2264" t="s">
        <v>139</v>
      </c>
      <c r="N2264">
        <v>1760</v>
      </c>
      <c r="O2264" s="14">
        <v>0.64412574307061699</v>
      </c>
      <c r="P2264" s="14">
        <v>0.206259709550068</v>
      </c>
      <c r="Q2264" t="str">
        <f t="shared" si="70"/>
        <v>01-09</v>
      </c>
      <c r="R2264" t="str">
        <f t="shared" si="71"/>
        <v>[lPTyjLi4w3d]|01-09|Male|TX_CURR_SUBNAT.T_1|CY2023Q3</v>
      </c>
    </row>
    <row r="2265" spans="4:18" x14ac:dyDescent="0.2">
      <c r="D2265" t="s">
        <v>116</v>
      </c>
      <c r="E2265" t="s">
        <v>117</v>
      </c>
      <c r="F2265" t="s">
        <v>118</v>
      </c>
      <c r="G2265" t="s">
        <v>145</v>
      </c>
      <c r="H2265" t="s">
        <v>146</v>
      </c>
      <c r="I2265" t="s">
        <v>35</v>
      </c>
      <c r="J2265" t="s">
        <v>36</v>
      </c>
      <c r="K2265" t="s">
        <v>47</v>
      </c>
      <c r="L2265" t="s">
        <v>48</v>
      </c>
      <c r="M2265" t="s">
        <v>139</v>
      </c>
      <c r="N2265">
        <v>1345</v>
      </c>
      <c r="O2265" s="14">
        <v>0.90567458933219303</v>
      </c>
      <c r="P2265" s="14">
        <v>0.206259709550068</v>
      </c>
      <c r="Q2265" t="str">
        <f t="shared" si="70"/>
        <v>10-14</v>
      </c>
      <c r="R2265" t="str">
        <f t="shared" si="71"/>
        <v>[lPTyjLi4w3d]|10-14|Male|TX_CURR_SUBNAT.T_1|CY2023Q3</v>
      </c>
    </row>
    <row r="2266" spans="4:18" x14ac:dyDescent="0.2">
      <c r="D2266" t="s">
        <v>116</v>
      </c>
      <c r="E2266" t="s">
        <v>117</v>
      </c>
      <c r="F2266" t="s">
        <v>118</v>
      </c>
      <c r="G2266" t="s">
        <v>145</v>
      </c>
      <c r="H2266" t="s">
        <v>146</v>
      </c>
      <c r="I2266" t="s">
        <v>37</v>
      </c>
      <c r="J2266" t="s">
        <v>38</v>
      </c>
      <c r="K2266" t="s">
        <v>47</v>
      </c>
      <c r="L2266" t="s">
        <v>48</v>
      </c>
      <c r="M2266" t="s">
        <v>139</v>
      </c>
      <c r="N2266">
        <v>530</v>
      </c>
      <c r="O2266" s="14">
        <v>0.31205285317264497</v>
      </c>
      <c r="P2266" s="14">
        <v>0.206259709550068</v>
      </c>
      <c r="Q2266" t="str">
        <f t="shared" si="70"/>
        <v>15-24</v>
      </c>
      <c r="R2266" t="str">
        <f t="shared" si="71"/>
        <v>[lPTyjLi4w3d]|15-24|Male|TX_CURR_SUBNAT.T_1|CY2023Q3</v>
      </c>
    </row>
    <row r="2267" spans="4:18" x14ac:dyDescent="0.2">
      <c r="D2267" t="s">
        <v>116</v>
      </c>
      <c r="E2267" t="s">
        <v>117</v>
      </c>
      <c r="F2267" t="s">
        <v>118</v>
      </c>
      <c r="G2267" t="s">
        <v>145</v>
      </c>
      <c r="H2267" t="s">
        <v>146</v>
      </c>
      <c r="I2267" t="s">
        <v>40</v>
      </c>
      <c r="J2267" t="s">
        <v>41</v>
      </c>
      <c r="K2267" t="s">
        <v>47</v>
      </c>
      <c r="L2267" t="s">
        <v>48</v>
      </c>
      <c r="M2267" t="s">
        <v>139</v>
      </c>
      <c r="N2267">
        <v>502</v>
      </c>
      <c r="O2267" s="14">
        <v>4.5625305734574802E-2</v>
      </c>
      <c r="P2267" s="14">
        <v>0.206259709550068</v>
      </c>
      <c r="Q2267" t="str">
        <f t="shared" si="70"/>
        <v>25-34</v>
      </c>
      <c r="R2267" t="str">
        <f t="shared" si="71"/>
        <v>[lPTyjLi4w3d]|25-34|Male|TX_CURR_SUBNAT.T_1|CY2023Q3</v>
      </c>
    </row>
    <row r="2268" spans="4:18" x14ac:dyDescent="0.2">
      <c r="D2268" t="s">
        <v>116</v>
      </c>
      <c r="E2268" t="s">
        <v>117</v>
      </c>
      <c r="F2268" t="s">
        <v>118</v>
      </c>
      <c r="G2268" t="s">
        <v>145</v>
      </c>
      <c r="H2268" t="s">
        <v>146</v>
      </c>
      <c r="I2268" t="s">
        <v>42</v>
      </c>
      <c r="J2268" t="s">
        <v>43</v>
      </c>
      <c r="K2268" t="s">
        <v>47</v>
      </c>
      <c r="L2268" t="s">
        <v>48</v>
      </c>
      <c r="M2268" t="s">
        <v>139</v>
      </c>
      <c r="N2268">
        <v>1051</v>
      </c>
      <c r="O2268" s="14">
        <v>0.51553599582984999</v>
      </c>
      <c r="P2268" s="14">
        <v>0.206259709550068</v>
      </c>
      <c r="Q2268" t="str">
        <f t="shared" si="70"/>
        <v>35-49</v>
      </c>
      <c r="R2268" t="str">
        <f t="shared" si="71"/>
        <v>[lPTyjLi4w3d]|35-49|Male|TX_CURR_SUBNAT.T_1|CY2023Q3</v>
      </c>
    </row>
    <row r="2269" spans="4:18" x14ac:dyDescent="0.2">
      <c r="D2269" t="s">
        <v>116</v>
      </c>
      <c r="E2269" t="s">
        <v>117</v>
      </c>
      <c r="F2269" t="s">
        <v>118</v>
      </c>
      <c r="G2269" t="s">
        <v>145</v>
      </c>
      <c r="H2269" t="s">
        <v>146</v>
      </c>
      <c r="I2269" t="s">
        <v>44</v>
      </c>
      <c r="J2269" t="s">
        <v>45</v>
      </c>
      <c r="K2269" t="s">
        <v>47</v>
      </c>
      <c r="L2269" t="s">
        <v>48</v>
      </c>
      <c r="M2269" t="s">
        <v>139</v>
      </c>
      <c r="N2269">
        <v>1221</v>
      </c>
      <c r="O2269" s="14">
        <v>0.76393899158574596</v>
      </c>
      <c r="P2269" s="14">
        <v>0.206259709550068</v>
      </c>
      <c r="Q2269" t="str">
        <f t="shared" si="70"/>
        <v>50+</v>
      </c>
      <c r="R2269" t="str">
        <f t="shared" si="71"/>
        <v>[lPTyjLi4w3d]|50+|Male|TX_CURR_SUBNAT.T_1|CY2023Q3</v>
      </c>
    </row>
    <row r="2270" spans="4:18" x14ac:dyDescent="0.2">
      <c r="D2270" t="s">
        <v>119</v>
      </c>
      <c r="E2270" t="s">
        <v>120</v>
      </c>
      <c r="F2270" t="s">
        <v>121</v>
      </c>
      <c r="G2270" t="s">
        <v>145</v>
      </c>
      <c r="H2270" t="s">
        <v>146</v>
      </c>
      <c r="I2270" t="s">
        <v>27</v>
      </c>
      <c r="J2270" t="s">
        <v>28</v>
      </c>
      <c r="K2270" t="s">
        <v>29</v>
      </c>
      <c r="L2270" t="s">
        <v>30</v>
      </c>
      <c r="M2270" t="s">
        <v>139</v>
      </c>
      <c r="N2270">
        <v>1903</v>
      </c>
      <c r="O2270" s="14">
        <v>0.16707559139467801</v>
      </c>
      <c r="P2270" s="14">
        <v>0.43010397930629601</v>
      </c>
      <c r="Q2270" t="str">
        <f t="shared" si="70"/>
        <v>&lt;01</v>
      </c>
      <c r="R2270" t="str">
        <f t="shared" si="71"/>
        <v>[vA4NcHxfMBq]|&lt;01|Female|TX_CURR_SUBNAT.T_1|CY2023Q3</v>
      </c>
    </row>
    <row r="2271" spans="4:18" x14ac:dyDescent="0.2">
      <c r="D2271" t="s">
        <v>119</v>
      </c>
      <c r="E2271" t="s">
        <v>120</v>
      </c>
      <c r="F2271" t="s">
        <v>121</v>
      </c>
      <c r="G2271" t="s">
        <v>145</v>
      </c>
      <c r="H2271" t="s">
        <v>146</v>
      </c>
      <c r="I2271" t="s">
        <v>32</v>
      </c>
      <c r="J2271" t="s">
        <v>33</v>
      </c>
      <c r="K2271" t="s">
        <v>29</v>
      </c>
      <c r="L2271" t="s">
        <v>30</v>
      </c>
      <c r="M2271" t="s">
        <v>139</v>
      </c>
      <c r="N2271">
        <v>1669</v>
      </c>
      <c r="O2271" s="14">
        <v>2.3972059134393899E-2</v>
      </c>
      <c r="P2271" s="14">
        <v>0.43010397930629601</v>
      </c>
      <c r="Q2271" t="str">
        <f t="shared" si="70"/>
        <v>01-09</v>
      </c>
      <c r="R2271" t="str">
        <f t="shared" si="71"/>
        <v>[vA4NcHxfMBq]|01-09|Female|TX_CURR_SUBNAT.T_1|CY2023Q3</v>
      </c>
    </row>
    <row r="2272" spans="4:18" x14ac:dyDescent="0.2">
      <c r="D2272" t="s">
        <v>119</v>
      </c>
      <c r="E2272" t="s">
        <v>120</v>
      </c>
      <c r="F2272" t="s">
        <v>121</v>
      </c>
      <c r="G2272" t="s">
        <v>145</v>
      </c>
      <c r="H2272" t="s">
        <v>146</v>
      </c>
      <c r="I2272" t="s">
        <v>35</v>
      </c>
      <c r="J2272" t="s">
        <v>36</v>
      </c>
      <c r="K2272" t="s">
        <v>29</v>
      </c>
      <c r="L2272" t="s">
        <v>30</v>
      </c>
      <c r="M2272" t="s">
        <v>139</v>
      </c>
      <c r="N2272">
        <v>1213</v>
      </c>
      <c r="O2272" s="14">
        <v>0.15029617142863599</v>
      </c>
      <c r="P2272" s="14">
        <v>0.43010397930629601</v>
      </c>
      <c r="Q2272" t="str">
        <f t="shared" si="70"/>
        <v>10-14</v>
      </c>
      <c r="R2272" t="str">
        <f t="shared" si="71"/>
        <v>[vA4NcHxfMBq]|10-14|Female|TX_CURR_SUBNAT.T_1|CY2023Q3</v>
      </c>
    </row>
    <row r="2273" spans="4:18" x14ac:dyDescent="0.2">
      <c r="D2273" t="s">
        <v>119</v>
      </c>
      <c r="E2273" t="s">
        <v>120</v>
      </c>
      <c r="F2273" t="s">
        <v>121</v>
      </c>
      <c r="G2273" t="s">
        <v>145</v>
      </c>
      <c r="H2273" t="s">
        <v>146</v>
      </c>
      <c r="I2273" t="s">
        <v>37</v>
      </c>
      <c r="J2273" t="s">
        <v>38</v>
      </c>
      <c r="K2273" t="s">
        <v>29</v>
      </c>
      <c r="L2273" t="s">
        <v>30</v>
      </c>
      <c r="M2273" t="s">
        <v>139</v>
      </c>
      <c r="N2273">
        <v>1827</v>
      </c>
      <c r="O2273" s="14">
        <v>0.586208146065474</v>
      </c>
      <c r="P2273" s="14">
        <v>0.43010397930629601</v>
      </c>
      <c r="Q2273" t="str">
        <f t="shared" si="70"/>
        <v>15-24</v>
      </c>
      <c r="R2273" t="str">
        <f t="shared" si="71"/>
        <v>[vA4NcHxfMBq]|15-24|Female|TX_CURR_SUBNAT.T_1|CY2023Q3</v>
      </c>
    </row>
    <row r="2274" spans="4:18" x14ac:dyDescent="0.2">
      <c r="D2274" t="s">
        <v>119</v>
      </c>
      <c r="E2274" t="s">
        <v>120</v>
      </c>
      <c r="F2274" t="s">
        <v>121</v>
      </c>
      <c r="G2274" t="s">
        <v>145</v>
      </c>
      <c r="H2274" t="s">
        <v>146</v>
      </c>
      <c r="I2274" t="s">
        <v>40</v>
      </c>
      <c r="J2274" t="s">
        <v>41</v>
      </c>
      <c r="K2274" t="s">
        <v>29</v>
      </c>
      <c r="L2274" t="s">
        <v>30</v>
      </c>
      <c r="M2274" t="s">
        <v>139</v>
      </c>
      <c r="N2274">
        <v>1917</v>
      </c>
      <c r="O2274" s="14">
        <v>0.27113493811339101</v>
      </c>
      <c r="P2274" s="14">
        <v>0.43010397930629601</v>
      </c>
      <c r="Q2274" t="str">
        <f t="shared" si="70"/>
        <v>25-34</v>
      </c>
      <c r="R2274" t="str">
        <f t="shared" si="71"/>
        <v>[vA4NcHxfMBq]|25-34|Female|TX_CURR_SUBNAT.T_1|CY2023Q3</v>
      </c>
    </row>
    <row r="2275" spans="4:18" x14ac:dyDescent="0.2">
      <c r="D2275" t="s">
        <v>119</v>
      </c>
      <c r="E2275" t="s">
        <v>120</v>
      </c>
      <c r="F2275" t="s">
        <v>121</v>
      </c>
      <c r="G2275" t="s">
        <v>145</v>
      </c>
      <c r="H2275" t="s">
        <v>146</v>
      </c>
      <c r="I2275" t="s">
        <v>42</v>
      </c>
      <c r="J2275" t="s">
        <v>43</v>
      </c>
      <c r="K2275" t="s">
        <v>29</v>
      </c>
      <c r="L2275" t="s">
        <v>30</v>
      </c>
      <c r="M2275" t="s">
        <v>139</v>
      </c>
      <c r="N2275">
        <v>1804</v>
      </c>
      <c r="O2275" s="14">
        <v>0.437524679815397</v>
      </c>
      <c r="P2275" s="14">
        <v>0.43010397930629601</v>
      </c>
      <c r="Q2275" t="str">
        <f t="shared" si="70"/>
        <v>35-49</v>
      </c>
      <c r="R2275" t="str">
        <f t="shared" si="71"/>
        <v>[vA4NcHxfMBq]|35-49|Female|TX_CURR_SUBNAT.T_1|CY2023Q3</v>
      </c>
    </row>
    <row r="2276" spans="4:18" x14ac:dyDescent="0.2">
      <c r="D2276" t="s">
        <v>119</v>
      </c>
      <c r="E2276" t="s">
        <v>120</v>
      </c>
      <c r="F2276" t="s">
        <v>121</v>
      </c>
      <c r="G2276" t="s">
        <v>145</v>
      </c>
      <c r="H2276" t="s">
        <v>146</v>
      </c>
      <c r="I2276" t="s">
        <v>44</v>
      </c>
      <c r="J2276" t="s">
        <v>45</v>
      </c>
      <c r="K2276" t="s">
        <v>29</v>
      </c>
      <c r="L2276" t="s">
        <v>30</v>
      </c>
      <c r="M2276" t="s">
        <v>139</v>
      </c>
      <c r="N2276">
        <v>1051</v>
      </c>
      <c r="O2276" s="14">
        <v>0.38546353485435197</v>
      </c>
      <c r="P2276" s="14">
        <v>0.43010397930629601</v>
      </c>
      <c r="Q2276" t="str">
        <f t="shared" si="70"/>
        <v>50+</v>
      </c>
      <c r="R2276" t="str">
        <f t="shared" si="71"/>
        <v>[vA4NcHxfMBq]|50+|Female|TX_CURR_SUBNAT.T_1|CY2023Q3</v>
      </c>
    </row>
    <row r="2277" spans="4:18" x14ac:dyDescent="0.2">
      <c r="D2277" t="s">
        <v>119</v>
      </c>
      <c r="E2277" t="s">
        <v>120</v>
      </c>
      <c r="F2277" t="s">
        <v>121</v>
      </c>
      <c r="G2277" t="s">
        <v>145</v>
      </c>
      <c r="H2277" t="s">
        <v>146</v>
      </c>
      <c r="I2277" t="s">
        <v>27</v>
      </c>
      <c r="J2277" t="s">
        <v>28</v>
      </c>
      <c r="K2277" t="s">
        <v>47</v>
      </c>
      <c r="L2277" t="s">
        <v>48</v>
      </c>
      <c r="M2277" t="s">
        <v>139</v>
      </c>
      <c r="N2277">
        <v>1822</v>
      </c>
      <c r="O2277" s="14">
        <v>0.34872602182440499</v>
      </c>
      <c r="P2277" s="14">
        <v>0.43010397930629601</v>
      </c>
      <c r="Q2277" t="str">
        <f t="shared" si="70"/>
        <v>&lt;01</v>
      </c>
      <c r="R2277" t="str">
        <f t="shared" si="71"/>
        <v>[vA4NcHxfMBq]|&lt;01|Male|TX_CURR_SUBNAT.T_1|CY2023Q3</v>
      </c>
    </row>
    <row r="2278" spans="4:18" x14ac:dyDescent="0.2">
      <c r="D2278" t="s">
        <v>119</v>
      </c>
      <c r="E2278" t="s">
        <v>120</v>
      </c>
      <c r="F2278" t="s">
        <v>121</v>
      </c>
      <c r="G2278" t="s">
        <v>145</v>
      </c>
      <c r="H2278" t="s">
        <v>146</v>
      </c>
      <c r="I2278" t="s">
        <v>32</v>
      </c>
      <c r="J2278" t="s">
        <v>33</v>
      </c>
      <c r="K2278" t="s">
        <v>47</v>
      </c>
      <c r="L2278" t="s">
        <v>48</v>
      </c>
      <c r="M2278" t="s">
        <v>139</v>
      </c>
      <c r="N2278">
        <v>1417</v>
      </c>
      <c r="O2278" s="14">
        <v>0.56763126468285896</v>
      </c>
      <c r="P2278" s="14">
        <v>0.43010397930629601</v>
      </c>
      <c r="Q2278" t="str">
        <f t="shared" si="70"/>
        <v>01-09</v>
      </c>
      <c r="R2278" t="str">
        <f t="shared" si="71"/>
        <v>[vA4NcHxfMBq]|01-09|Male|TX_CURR_SUBNAT.T_1|CY2023Q3</v>
      </c>
    </row>
    <row r="2279" spans="4:18" x14ac:dyDescent="0.2">
      <c r="D2279" t="s">
        <v>119</v>
      </c>
      <c r="E2279" t="s">
        <v>120</v>
      </c>
      <c r="F2279" t="s">
        <v>121</v>
      </c>
      <c r="G2279" t="s">
        <v>145</v>
      </c>
      <c r="H2279" t="s">
        <v>146</v>
      </c>
      <c r="I2279" t="s">
        <v>35</v>
      </c>
      <c r="J2279" t="s">
        <v>36</v>
      </c>
      <c r="K2279" t="s">
        <v>47</v>
      </c>
      <c r="L2279" t="s">
        <v>48</v>
      </c>
      <c r="M2279" t="s">
        <v>139</v>
      </c>
      <c r="N2279">
        <v>705</v>
      </c>
      <c r="O2279" s="14">
        <v>0.82431925623677704</v>
      </c>
      <c r="P2279" s="14">
        <v>0.43010397930629601</v>
      </c>
      <c r="Q2279" t="str">
        <f t="shared" si="70"/>
        <v>10-14</v>
      </c>
      <c r="R2279" t="str">
        <f t="shared" si="71"/>
        <v>[vA4NcHxfMBq]|10-14|Male|TX_CURR_SUBNAT.T_1|CY2023Q3</v>
      </c>
    </row>
    <row r="2280" spans="4:18" x14ac:dyDescent="0.2">
      <c r="D2280" t="s">
        <v>119</v>
      </c>
      <c r="E2280" t="s">
        <v>120</v>
      </c>
      <c r="F2280" t="s">
        <v>121</v>
      </c>
      <c r="G2280" t="s">
        <v>145</v>
      </c>
      <c r="H2280" t="s">
        <v>146</v>
      </c>
      <c r="I2280" t="s">
        <v>37</v>
      </c>
      <c r="J2280" t="s">
        <v>38</v>
      </c>
      <c r="K2280" t="s">
        <v>47</v>
      </c>
      <c r="L2280" t="s">
        <v>48</v>
      </c>
      <c r="M2280" t="s">
        <v>139</v>
      </c>
      <c r="N2280">
        <v>630</v>
      </c>
      <c r="O2280" s="14">
        <v>0.58701824396848701</v>
      </c>
      <c r="P2280" s="14">
        <v>0.43010397930629601</v>
      </c>
      <c r="Q2280" t="str">
        <f t="shared" si="70"/>
        <v>15-24</v>
      </c>
      <c r="R2280" t="str">
        <f t="shared" si="71"/>
        <v>[vA4NcHxfMBq]|15-24|Male|TX_CURR_SUBNAT.T_1|CY2023Q3</v>
      </c>
    </row>
    <row r="2281" spans="4:18" x14ac:dyDescent="0.2">
      <c r="D2281" t="s">
        <v>119</v>
      </c>
      <c r="E2281" t="s">
        <v>120</v>
      </c>
      <c r="F2281" t="s">
        <v>121</v>
      </c>
      <c r="G2281" t="s">
        <v>145</v>
      </c>
      <c r="H2281" t="s">
        <v>146</v>
      </c>
      <c r="I2281" t="s">
        <v>40</v>
      </c>
      <c r="J2281" t="s">
        <v>41</v>
      </c>
      <c r="K2281" t="s">
        <v>47</v>
      </c>
      <c r="L2281" t="s">
        <v>48</v>
      </c>
      <c r="M2281" t="s">
        <v>139</v>
      </c>
      <c r="N2281">
        <v>1580</v>
      </c>
      <c r="O2281" s="14">
        <v>0.36000889563001698</v>
      </c>
      <c r="P2281" s="14">
        <v>0.43010397930629601</v>
      </c>
      <c r="Q2281" t="str">
        <f t="shared" si="70"/>
        <v>25-34</v>
      </c>
      <c r="R2281" t="str">
        <f t="shared" si="71"/>
        <v>[vA4NcHxfMBq]|25-34|Male|TX_CURR_SUBNAT.T_1|CY2023Q3</v>
      </c>
    </row>
    <row r="2282" spans="4:18" x14ac:dyDescent="0.2">
      <c r="D2282" t="s">
        <v>119</v>
      </c>
      <c r="E2282" t="s">
        <v>120</v>
      </c>
      <c r="F2282" t="s">
        <v>121</v>
      </c>
      <c r="G2282" t="s">
        <v>145</v>
      </c>
      <c r="H2282" t="s">
        <v>146</v>
      </c>
      <c r="I2282" t="s">
        <v>42</v>
      </c>
      <c r="J2282" t="s">
        <v>43</v>
      </c>
      <c r="K2282" t="s">
        <v>47</v>
      </c>
      <c r="L2282" t="s">
        <v>48</v>
      </c>
      <c r="M2282" t="s">
        <v>139</v>
      </c>
      <c r="N2282">
        <v>1401</v>
      </c>
      <c r="O2282" s="14">
        <v>2.7353219222277399E-2</v>
      </c>
      <c r="P2282" s="14">
        <v>0.43010397930629601</v>
      </c>
      <c r="Q2282" t="str">
        <f t="shared" si="70"/>
        <v>35-49</v>
      </c>
      <c r="R2282" t="str">
        <f t="shared" si="71"/>
        <v>[vA4NcHxfMBq]|35-49|Male|TX_CURR_SUBNAT.T_1|CY2023Q3</v>
      </c>
    </row>
    <row r="2283" spans="4:18" x14ac:dyDescent="0.2">
      <c r="D2283" t="s">
        <v>119</v>
      </c>
      <c r="E2283" t="s">
        <v>120</v>
      </c>
      <c r="F2283" t="s">
        <v>121</v>
      </c>
      <c r="G2283" t="s">
        <v>145</v>
      </c>
      <c r="H2283" t="s">
        <v>146</v>
      </c>
      <c r="I2283" t="s">
        <v>44</v>
      </c>
      <c r="J2283" t="s">
        <v>45</v>
      </c>
      <c r="K2283" t="s">
        <v>47</v>
      </c>
      <c r="L2283" t="s">
        <v>48</v>
      </c>
      <c r="M2283" t="s">
        <v>139</v>
      </c>
      <c r="N2283">
        <v>1516</v>
      </c>
      <c r="O2283" s="14">
        <v>0.19157231366261801</v>
      </c>
      <c r="P2283" s="14">
        <v>0.43010397930629601</v>
      </c>
      <c r="Q2283" t="str">
        <f t="shared" si="70"/>
        <v>50+</v>
      </c>
      <c r="R2283" t="str">
        <f t="shared" si="71"/>
        <v>[vA4NcHxfMBq]|50+|Male|TX_CURR_SUBNAT.T_1|CY2023Q3</v>
      </c>
    </row>
    <row r="2284" spans="4:18" x14ac:dyDescent="0.2">
      <c r="D2284" t="s">
        <v>122</v>
      </c>
      <c r="E2284" t="s">
        <v>123</v>
      </c>
      <c r="F2284" t="s">
        <v>124</v>
      </c>
      <c r="G2284" t="s">
        <v>145</v>
      </c>
      <c r="H2284" t="s">
        <v>146</v>
      </c>
      <c r="I2284" t="s">
        <v>27</v>
      </c>
      <c r="J2284" t="s">
        <v>28</v>
      </c>
      <c r="K2284" t="s">
        <v>29</v>
      </c>
      <c r="L2284" t="s">
        <v>30</v>
      </c>
      <c r="M2284" t="s">
        <v>139</v>
      </c>
      <c r="N2284">
        <v>550</v>
      </c>
      <c r="O2284" s="14">
        <v>0.58526944648474499</v>
      </c>
      <c r="P2284" s="14">
        <v>0.41950060334056599</v>
      </c>
      <c r="Q2284" t="str">
        <f t="shared" si="70"/>
        <v>&lt;01</v>
      </c>
      <c r="R2284" t="str">
        <f t="shared" si="71"/>
        <v>[E7zpfyBt7Tw]|&lt;01|Female|TX_CURR_SUBNAT.T_1|CY2023Q3</v>
      </c>
    </row>
    <row r="2285" spans="4:18" x14ac:dyDescent="0.2">
      <c r="D2285" t="s">
        <v>122</v>
      </c>
      <c r="E2285" t="s">
        <v>123</v>
      </c>
      <c r="F2285" t="s">
        <v>124</v>
      </c>
      <c r="G2285" t="s">
        <v>145</v>
      </c>
      <c r="H2285" t="s">
        <v>146</v>
      </c>
      <c r="I2285" t="s">
        <v>32</v>
      </c>
      <c r="J2285" t="s">
        <v>33</v>
      </c>
      <c r="K2285" t="s">
        <v>29</v>
      </c>
      <c r="L2285" t="s">
        <v>30</v>
      </c>
      <c r="M2285" t="s">
        <v>139</v>
      </c>
      <c r="N2285">
        <v>1674</v>
      </c>
      <c r="O2285" s="14">
        <v>0.55516792042180896</v>
      </c>
      <c r="P2285" s="14">
        <v>0.41950060334056599</v>
      </c>
      <c r="Q2285" t="str">
        <f t="shared" si="70"/>
        <v>01-09</v>
      </c>
      <c r="R2285" t="str">
        <f t="shared" si="71"/>
        <v>[E7zpfyBt7Tw]|01-09|Female|TX_CURR_SUBNAT.T_1|CY2023Q3</v>
      </c>
    </row>
    <row r="2286" spans="4:18" x14ac:dyDescent="0.2">
      <c r="D2286" t="s">
        <v>122</v>
      </c>
      <c r="E2286" t="s">
        <v>123</v>
      </c>
      <c r="F2286" t="s">
        <v>124</v>
      </c>
      <c r="G2286" t="s">
        <v>145</v>
      </c>
      <c r="H2286" t="s">
        <v>146</v>
      </c>
      <c r="I2286" t="s">
        <v>35</v>
      </c>
      <c r="J2286" t="s">
        <v>36</v>
      </c>
      <c r="K2286" t="s">
        <v>29</v>
      </c>
      <c r="L2286" t="s">
        <v>30</v>
      </c>
      <c r="M2286" t="s">
        <v>139</v>
      </c>
      <c r="N2286">
        <v>1560</v>
      </c>
      <c r="O2286" s="14">
        <v>0.88976404862478398</v>
      </c>
      <c r="P2286" s="14">
        <v>0.41950060334056599</v>
      </c>
      <c r="Q2286" t="str">
        <f t="shared" si="70"/>
        <v>10-14</v>
      </c>
      <c r="R2286" t="str">
        <f t="shared" si="71"/>
        <v>[E7zpfyBt7Tw]|10-14|Female|TX_CURR_SUBNAT.T_1|CY2023Q3</v>
      </c>
    </row>
    <row r="2287" spans="4:18" x14ac:dyDescent="0.2">
      <c r="D2287" t="s">
        <v>122</v>
      </c>
      <c r="E2287" t="s">
        <v>123</v>
      </c>
      <c r="F2287" t="s">
        <v>124</v>
      </c>
      <c r="G2287" t="s">
        <v>145</v>
      </c>
      <c r="H2287" t="s">
        <v>146</v>
      </c>
      <c r="I2287" t="s">
        <v>37</v>
      </c>
      <c r="J2287" t="s">
        <v>38</v>
      </c>
      <c r="K2287" t="s">
        <v>29</v>
      </c>
      <c r="L2287" t="s">
        <v>30</v>
      </c>
      <c r="M2287" t="s">
        <v>139</v>
      </c>
      <c r="N2287">
        <v>1439</v>
      </c>
      <c r="O2287" s="14">
        <v>0.38468439946882399</v>
      </c>
      <c r="P2287" s="14">
        <v>0.41950060334056599</v>
      </c>
      <c r="Q2287" t="str">
        <f t="shared" si="70"/>
        <v>15-24</v>
      </c>
      <c r="R2287" t="str">
        <f t="shared" si="71"/>
        <v>[E7zpfyBt7Tw]|15-24|Female|TX_CURR_SUBNAT.T_1|CY2023Q3</v>
      </c>
    </row>
    <row r="2288" spans="4:18" x14ac:dyDescent="0.2">
      <c r="D2288" t="s">
        <v>122</v>
      </c>
      <c r="E2288" t="s">
        <v>123</v>
      </c>
      <c r="F2288" t="s">
        <v>124</v>
      </c>
      <c r="G2288" t="s">
        <v>145</v>
      </c>
      <c r="H2288" t="s">
        <v>146</v>
      </c>
      <c r="I2288" t="s">
        <v>40</v>
      </c>
      <c r="J2288" t="s">
        <v>41</v>
      </c>
      <c r="K2288" t="s">
        <v>29</v>
      </c>
      <c r="L2288" t="s">
        <v>30</v>
      </c>
      <c r="M2288" t="s">
        <v>139</v>
      </c>
      <c r="N2288">
        <v>1692</v>
      </c>
      <c r="O2288" s="14">
        <v>0.14272772986441901</v>
      </c>
      <c r="P2288" s="14">
        <v>0.41950060334056599</v>
      </c>
      <c r="Q2288" t="str">
        <f t="shared" si="70"/>
        <v>25-34</v>
      </c>
      <c r="R2288" t="str">
        <f t="shared" si="71"/>
        <v>[E7zpfyBt7Tw]|25-34|Female|TX_CURR_SUBNAT.T_1|CY2023Q3</v>
      </c>
    </row>
    <row r="2289" spans="4:18" x14ac:dyDescent="0.2">
      <c r="D2289" t="s">
        <v>122</v>
      </c>
      <c r="E2289" t="s">
        <v>123</v>
      </c>
      <c r="F2289" t="s">
        <v>124</v>
      </c>
      <c r="G2289" t="s">
        <v>145</v>
      </c>
      <c r="H2289" t="s">
        <v>146</v>
      </c>
      <c r="I2289" t="s">
        <v>42</v>
      </c>
      <c r="J2289" t="s">
        <v>43</v>
      </c>
      <c r="K2289" t="s">
        <v>29</v>
      </c>
      <c r="L2289" t="s">
        <v>30</v>
      </c>
      <c r="M2289" t="s">
        <v>139</v>
      </c>
      <c r="N2289">
        <v>1275</v>
      </c>
      <c r="O2289" s="14">
        <v>4.0002738358452902E-2</v>
      </c>
      <c r="P2289" s="14">
        <v>0.41950060334056599</v>
      </c>
      <c r="Q2289" t="str">
        <f t="shared" si="70"/>
        <v>35-49</v>
      </c>
      <c r="R2289" t="str">
        <f t="shared" si="71"/>
        <v>[E7zpfyBt7Tw]|35-49|Female|TX_CURR_SUBNAT.T_1|CY2023Q3</v>
      </c>
    </row>
    <row r="2290" spans="4:18" x14ac:dyDescent="0.2">
      <c r="D2290" t="s">
        <v>122</v>
      </c>
      <c r="E2290" t="s">
        <v>123</v>
      </c>
      <c r="F2290" t="s">
        <v>124</v>
      </c>
      <c r="G2290" t="s">
        <v>145</v>
      </c>
      <c r="H2290" t="s">
        <v>146</v>
      </c>
      <c r="I2290" t="s">
        <v>44</v>
      </c>
      <c r="J2290" t="s">
        <v>45</v>
      </c>
      <c r="K2290" t="s">
        <v>29</v>
      </c>
      <c r="L2290" t="s">
        <v>30</v>
      </c>
      <c r="M2290" t="s">
        <v>139</v>
      </c>
      <c r="N2290">
        <v>591</v>
      </c>
      <c r="O2290" s="14">
        <v>0.35512211918830899</v>
      </c>
      <c r="P2290" s="14">
        <v>0.41950060334056599</v>
      </c>
      <c r="Q2290" t="str">
        <f t="shared" si="70"/>
        <v>50+</v>
      </c>
      <c r="R2290" t="str">
        <f t="shared" si="71"/>
        <v>[E7zpfyBt7Tw]|50+|Female|TX_CURR_SUBNAT.T_1|CY2023Q3</v>
      </c>
    </row>
    <row r="2291" spans="4:18" x14ac:dyDescent="0.2">
      <c r="D2291" t="s">
        <v>122</v>
      </c>
      <c r="E2291" t="s">
        <v>123</v>
      </c>
      <c r="F2291" t="s">
        <v>124</v>
      </c>
      <c r="G2291" t="s">
        <v>145</v>
      </c>
      <c r="H2291" t="s">
        <v>146</v>
      </c>
      <c r="I2291" t="s">
        <v>27</v>
      </c>
      <c r="J2291" t="s">
        <v>28</v>
      </c>
      <c r="K2291" t="s">
        <v>47</v>
      </c>
      <c r="L2291" t="s">
        <v>48</v>
      </c>
      <c r="M2291" t="s">
        <v>139</v>
      </c>
      <c r="N2291">
        <v>1173</v>
      </c>
      <c r="O2291" s="14">
        <v>0.18735119048505999</v>
      </c>
      <c r="P2291" s="14">
        <v>0.41950060334056599</v>
      </c>
      <c r="Q2291" t="str">
        <f t="shared" si="70"/>
        <v>&lt;01</v>
      </c>
      <c r="R2291" t="str">
        <f t="shared" si="71"/>
        <v>[E7zpfyBt7Tw]|&lt;01|Male|TX_CURR_SUBNAT.T_1|CY2023Q3</v>
      </c>
    </row>
    <row r="2292" spans="4:18" x14ac:dyDescent="0.2">
      <c r="D2292" t="s">
        <v>122</v>
      </c>
      <c r="E2292" t="s">
        <v>123</v>
      </c>
      <c r="F2292" t="s">
        <v>124</v>
      </c>
      <c r="G2292" t="s">
        <v>145</v>
      </c>
      <c r="H2292" t="s">
        <v>146</v>
      </c>
      <c r="I2292" t="s">
        <v>32</v>
      </c>
      <c r="J2292" t="s">
        <v>33</v>
      </c>
      <c r="K2292" t="s">
        <v>47</v>
      </c>
      <c r="L2292" t="s">
        <v>48</v>
      </c>
      <c r="M2292" t="s">
        <v>139</v>
      </c>
      <c r="N2292">
        <v>1706</v>
      </c>
      <c r="O2292" s="14">
        <v>0.96579120168462396</v>
      </c>
      <c r="P2292" s="14">
        <v>0.41950060334056599</v>
      </c>
      <c r="Q2292" t="str">
        <f t="shared" si="70"/>
        <v>01-09</v>
      </c>
      <c r="R2292" t="str">
        <f t="shared" si="71"/>
        <v>[E7zpfyBt7Tw]|01-09|Male|TX_CURR_SUBNAT.T_1|CY2023Q3</v>
      </c>
    </row>
    <row r="2293" spans="4:18" x14ac:dyDescent="0.2">
      <c r="D2293" t="s">
        <v>122</v>
      </c>
      <c r="E2293" t="s">
        <v>123</v>
      </c>
      <c r="F2293" t="s">
        <v>124</v>
      </c>
      <c r="G2293" t="s">
        <v>145</v>
      </c>
      <c r="H2293" t="s">
        <v>146</v>
      </c>
      <c r="I2293" t="s">
        <v>35</v>
      </c>
      <c r="J2293" t="s">
        <v>36</v>
      </c>
      <c r="K2293" t="s">
        <v>47</v>
      </c>
      <c r="L2293" t="s">
        <v>48</v>
      </c>
      <c r="M2293" t="s">
        <v>139</v>
      </c>
      <c r="N2293">
        <v>1639</v>
      </c>
      <c r="O2293" s="14">
        <v>0.18984520505182401</v>
      </c>
      <c r="P2293" s="14">
        <v>0.41950060334056599</v>
      </c>
      <c r="Q2293" t="str">
        <f t="shared" si="70"/>
        <v>10-14</v>
      </c>
      <c r="R2293" t="str">
        <f t="shared" si="71"/>
        <v>[E7zpfyBt7Tw]|10-14|Male|TX_CURR_SUBNAT.T_1|CY2023Q3</v>
      </c>
    </row>
    <row r="2294" spans="4:18" x14ac:dyDescent="0.2">
      <c r="D2294" t="s">
        <v>122</v>
      </c>
      <c r="E2294" t="s">
        <v>123</v>
      </c>
      <c r="F2294" t="s">
        <v>124</v>
      </c>
      <c r="G2294" t="s">
        <v>145</v>
      </c>
      <c r="H2294" t="s">
        <v>146</v>
      </c>
      <c r="I2294" t="s">
        <v>37</v>
      </c>
      <c r="J2294" t="s">
        <v>38</v>
      </c>
      <c r="K2294" t="s">
        <v>47</v>
      </c>
      <c r="L2294" t="s">
        <v>48</v>
      </c>
      <c r="M2294" t="s">
        <v>139</v>
      </c>
      <c r="N2294">
        <v>1364</v>
      </c>
      <c r="O2294" s="14">
        <v>0.38905244809575401</v>
      </c>
      <c r="P2294" s="14">
        <v>0.41950060334056599</v>
      </c>
      <c r="Q2294" t="str">
        <f t="shared" si="70"/>
        <v>15-24</v>
      </c>
      <c r="R2294" t="str">
        <f t="shared" si="71"/>
        <v>[E7zpfyBt7Tw]|15-24|Male|TX_CURR_SUBNAT.T_1|CY2023Q3</v>
      </c>
    </row>
    <row r="2295" spans="4:18" x14ac:dyDescent="0.2">
      <c r="D2295" t="s">
        <v>122</v>
      </c>
      <c r="E2295" t="s">
        <v>123</v>
      </c>
      <c r="F2295" t="s">
        <v>124</v>
      </c>
      <c r="G2295" t="s">
        <v>145</v>
      </c>
      <c r="H2295" t="s">
        <v>146</v>
      </c>
      <c r="I2295" t="s">
        <v>40</v>
      </c>
      <c r="J2295" t="s">
        <v>41</v>
      </c>
      <c r="K2295" t="s">
        <v>47</v>
      </c>
      <c r="L2295" t="s">
        <v>48</v>
      </c>
      <c r="M2295" t="s">
        <v>139</v>
      </c>
      <c r="N2295">
        <v>771</v>
      </c>
      <c r="O2295" s="14">
        <v>0.99646113603375897</v>
      </c>
      <c r="P2295" s="14">
        <v>0.41950060334056599</v>
      </c>
      <c r="Q2295" t="str">
        <f t="shared" si="70"/>
        <v>25-34</v>
      </c>
      <c r="R2295" t="str">
        <f t="shared" si="71"/>
        <v>[E7zpfyBt7Tw]|25-34|Male|TX_CURR_SUBNAT.T_1|CY2023Q3</v>
      </c>
    </row>
    <row r="2296" spans="4:18" x14ac:dyDescent="0.2">
      <c r="D2296" t="s">
        <v>122</v>
      </c>
      <c r="E2296" t="s">
        <v>123</v>
      </c>
      <c r="F2296" t="s">
        <v>124</v>
      </c>
      <c r="G2296" t="s">
        <v>145</v>
      </c>
      <c r="H2296" t="s">
        <v>146</v>
      </c>
      <c r="I2296" t="s">
        <v>42</v>
      </c>
      <c r="J2296" t="s">
        <v>43</v>
      </c>
      <c r="K2296" t="s">
        <v>47</v>
      </c>
      <c r="L2296" t="s">
        <v>48</v>
      </c>
      <c r="M2296" t="s">
        <v>139</v>
      </c>
      <c r="N2296">
        <v>1091</v>
      </c>
      <c r="O2296" s="14">
        <v>0.30139104742556799</v>
      </c>
      <c r="P2296" s="14">
        <v>0.41950060334056599</v>
      </c>
      <c r="Q2296" t="str">
        <f t="shared" si="70"/>
        <v>35-49</v>
      </c>
      <c r="R2296" t="str">
        <f t="shared" si="71"/>
        <v>[E7zpfyBt7Tw]|35-49|Male|TX_CURR_SUBNAT.T_1|CY2023Q3</v>
      </c>
    </row>
    <row r="2297" spans="4:18" x14ac:dyDescent="0.2">
      <c r="D2297" t="s">
        <v>122</v>
      </c>
      <c r="E2297" t="s">
        <v>123</v>
      </c>
      <c r="F2297" t="s">
        <v>124</v>
      </c>
      <c r="G2297" t="s">
        <v>145</v>
      </c>
      <c r="H2297" t="s">
        <v>146</v>
      </c>
      <c r="I2297" t="s">
        <v>44</v>
      </c>
      <c r="J2297" t="s">
        <v>45</v>
      </c>
      <c r="K2297" t="s">
        <v>47</v>
      </c>
      <c r="L2297" t="s">
        <v>48</v>
      </c>
      <c r="M2297" t="s">
        <v>139</v>
      </c>
      <c r="N2297">
        <v>1170</v>
      </c>
      <c r="O2297" s="14">
        <v>0.88832286093384005</v>
      </c>
      <c r="P2297" s="14">
        <v>0.41950060334056599</v>
      </c>
      <c r="Q2297" t="str">
        <f t="shared" si="70"/>
        <v>50+</v>
      </c>
      <c r="R2297" t="str">
        <f t="shared" si="71"/>
        <v>[E7zpfyBt7Tw]|50+|Male|TX_CURR_SUBNAT.T_1|CY2023Q3</v>
      </c>
    </row>
    <row r="2298" spans="4:18" x14ac:dyDescent="0.2">
      <c r="D2298" t="s">
        <v>125</v>
      </c>
      <c r="E2298" t="s">
        <v>126</v>
      </c>
      <c r="F2298" t="s">
        <v>127</v>
      </c>
      <c r="G2298" t="s">
        <v>145</v>
      </c>
      <c r="H2298" t="s">
        <v>146</v>
      </c>
      <c r="I2298" t="s">
        <v>27</v>
      </c>
      <c r="J2298" t="s">
        <v>28</v>
      </c>
      <c r="K2298" t="s">
        <v>29</v>
      </c>
      <c r="L2298" t="s">
        <v>30</v>
      </c>
      <c r="M2298" t="s">
        <v>139</v>
      </c>
      <c r="N2298">
        <v>1553</v>
      </c>
      <c r="O2298" s="14">
        <v>0.282349441666156</v>
      </c>
      <c r="P2298" s="14">
        <v>0.25270639033988102</v>
      </c>
      <c r="Q2298" t="str">
        <f t="shared" si="70"/>
        <v>&lt;01</v>
      </c>
      <c r="R2298" t="str">
        <f t="shared" si="71"/>
        <v>[ZCjuwgaMB9u]|&lt;01|Female|TX_CURR_SUBNAT.T_1|CY2023Q3</v>
      </c>
    </row>
    <row r="2299" spans="4:18" x14ac:dyDescent="0.2">
      <c r="D2299" t="s">
        <v>125</v>
      </c>
      <c r="E2299" t="s">
        <v>126</v>
      </c>
      <c r="F2299" t="s">
        <v>127</v>
      </c>
      <c r="G2299" t="s">
        <v>145</v>
      </c>
      <c r="H2299" t="s">
        <v>146</v>
      </c>
      <c r="I2299" t="s">
        <v>32</v>
      </c>
      <c r="J2299" t="s">
        <v>33</v>
      </c>
      <c r="K2299" t="s">
        <v>29</v>
      </c>
      <c r="L2299" t="s">
        <v>30</v>
      </c>
      <c r="M2299" t="s">
        <v>139</v>
      </c>
      <c r="N2299">
        <v>632</v>
      </c>
      <c r="O2299" s="14">
        <v>0.63487534062005602</v>
      </c>
      <c r="P2299" s="14">
        <v>0.25270639033988102</v>
      </c>
      <c r="Q2299" t="str">
        <f t="shared" si="70"/>
        <v>01-09</v>
      </c>
      <c r="R2299" t="str">
        <f t="shared" si="71"/>
        <v>[ZCjuwgaMB9u]|01-09|Female|TX_CURR_SUBNAT.T_1|CY2023Q3</v>
      </c>
    </row>
    <row r="2300" spans="4:18" x14ac:dyDescent="0.2">
      <c r="D2300" t="s">
        <v>125</v>
      </c>
      <c r="E2300" t="s">
        <v>126</v>
      </c>
      <c r="F2300" t="s">
        <v>127</v>
      </c>
      <c r="G2300" t="s">
        <v>145</v>
      </c>
      <c r="H2300" t="s">
        <v>146</v>
      </c>
      <c r="I2300" t="s">
        <v>35</v>
      </c>
      <c r="J2300" t="s">
        <v>36</v>
      </c>
      <c r="K2300" t="s">
        <v>29</v>
      </c>
      <c r="L2300" t="s">
        <v>30</v>
      </c>
      <c r="M2300" t="s">
        <v>139</v>
      </c>
      <c r="N2300">
        <v>1028</v>
      </c>
      <c r="O2300" s="14">
        <v>0.180832706158981</v>
      </c>
      <c r="P2300" s="14">
        <v>0.25270639033988102</v>
      </c>
      <c r="Q2300" t="str">
        <f t="shared" si="70"/>
        <v>10-14</v>
      </c>
      <c r="R2300" t="str">
        <f t="shared" si="71"/>
        <v>[ZCjuwgaMB9u]|10-14|Female|TX_CURR_SUBNAT.T_1|CY2023Q3</v>
      </c>
    </row>
    <row r="2301" spans="4:18" x14ac:dyDescent="0.2">
      <c r="D2301" t="s">
        <v>125</v>
      </c>
      <c r="E2301" t="s">
        <v>126</v>
      </c>
      <c r="F2301" t="s">
        <v>127</v>
      </c>
      <c r="G2301" t="s">
        <v>145</v>
      </c>
      <c r="H2301" t="s">
        <v>146</v>
      </c>
      <c r="I2301" t="s">
        <v>37</v>
      </c>
      <c r="J2301" t="s">
        <v>38</v>
      </c>
      <c r="K2301" t="s">
        <v>29</v>
      </c>
      <c r="L2301" t="s">
        <v>30</v>
      </c>
      <c r="M2301" t="s">
        <v>139</v>
      </c>
      <c r="N2301">
        <v>701</v>
      </c>
      <c r="O2301" s="14">
        <v>0.82387198205106005</v>
      </c>
      <c r="P2301" s="14">
        <v>0.25270639033988102</v>
      </c>
      <c r="Q2301" t="str">
        <f t="shared" si="70"/>
        <v>15-24</v>
      </c>
      <c r="R2301" t="str">
        <f t="shared" si="71"/>
        <v>[ZCjuwgaMB9u]|15-24|Female|TX_CURR_SUBNAT.T_1|CY2023Q3</v>
      </c>
    </row>
    <row r="2302" spans="4:18" x14ac:dyDescent="0.2">
      <c r="D2302" t="s">
        <v>125</v>
      </c>
      <c r="E2302" t="s">
        <v>126</v>
      </c>
      <c r="F2302" t="s">
        <v>127</v>
      </c>
      <c r="G2302" t="s">
        <v>145</v>
      </c>
      <c r="H2302" t="s">
        <v>146</v>
      </c>
      <c r="I2302" t="s">
        <v>40</v>
      </c>
      <c r="J2302" t="s">
        <v>41</v>
      </c>
      <c r="K2302" t="s">
        <v>29</v>
      </c>
      <c r="L2302" t="s">
        <v>30</v>
      </c>
      <c r="M2302" t="s">
        <v>139</v>
      </c>
      <c r="N2302">
        <v>1199</v>
      </c>
      <c r="O2302" s="14">
        <v>0.18619947554543601</v>
      </c>
      <c r="P2302" s="14">
        <v>0.25270639033988102</v>
      </c>
      <c r="Q2302" t="str">
        <f t="shared" si="70"/>
        <v>25-34</v>
      </c>
      <c r="R2302" t="str">
        <f t="shared" si="71"/>
        <v>[ZCjuwgaMB9u]|25-34|Female|TX_CURR_SUBNAT.T_1|CY2023Q3</v>
      </c>
    </row>
    <row r="2303" spans="4:18" x14ac:dyDescent="0.2">
      <c r="D2303" t="s">
        <v>125</v>
      </c>
      <c r="E2303" t="s">
        <v>126</v>
      </c>
      <c r="F2303" t="s">
        <v>127</v>
      </c>
      <c r="G2303" t="s">
        <v>145</v>
      </c>
      <c r="H2303" t="s">
        <v>146</v>
      </c>
      <c r="I2303" t="s">
        <v>42</v>
      </c>
      <c r="J2303" t="s">
        <v>43</v>
      </c>
      <c r="K2303" t="s">
        <v>29</v>
      </c>
      <c r="L2303" t="s">
        <v>30</v>
      </c>
      <c r="M2303" t="s">
        <v>139</v>
      </c>
      <c r="N2303">
        <v>927</v>
      </c>
      <c r="O2303" s="14">
        <v>0.41320113488472998</v>
      </c>
      <c r="P2303" s="14">
        <v>0.25270639033988102</v>
      </c>
      <c r="Q2303" t="str">
        <f t="shared" si="70"/>
        <v>35-49</v>
      </c>
      <c r="R2303" t="str">
        <f t="shared" si="71"/>
        <v>[ZCjuwgaMB9u]|35-49|Female|TX_CURR_SUBNAT.T_1|CY2023Q3</v>
      </c>
    </row>
    <row r="2304" spans="4:18" x14ac:dyDescent="0.2">
      <c r="D2304" t="s">
        <v>125</v>
      </c>
      <c r="E2304" t="s">
        <v>126</v>
      </c>
      <c r="F2304" t="s">
        <v>127</v>
      </c>
      <c r="G2304" t="s">
        <v>145</v>
      </c>
      <c r="H2304" t="s">
        <v>146</v>
      </c>
      <c r="I2304" t="s">
        <v>44</v>
      </c>
      <c r="J2304" t="s">
        <v>45</v>
      </c>
      <c r="K2304" t="s">
        <v>29</v>
      </c>
      <c r="L2304" t="s">
        <v>30</v>
      </c>
      <c r="M2304" t="s">
        <v>139</v>
      </c>
      <c r="N2304">
        <v>773</v>
      </c>
      <c r="O2304" s="14">
        <v>0.48616271535866001</v>
      </c>
      <c r="P2304" s="14">
        <v>0.25270639033988102</v>
      </c>
      <c r="Q2304" t="str">
        <f t="shared" si="70"/>
        <v>50+</v>
      </c>
      <c r="R2304" t="str">
        <f t="shared" si="71"/>
        <v>[ZCjuwgaMB9u]|50+|Female|TX_CURR_SUBNAT.T_1|CY2023Q3</v>
      </c>
    </row>
    <row r="2305" spans="4:18" x14ac:dyDescent="0.2">
      <c r="D2305" t="s">
        <v>125</v>
      </c>
      <c r="E2305" t="s">
        <v>126</v>
      </c>
      <c r="F2305" t="s">
        <v>127</v>
      </c>
      <c r="G2305" t="s">
        <v>145</v>
      </c>
      <c r="H2305" t="s">
        <v>146</v>
      </c>
      <c r="I2305" t="s">
        <v>27</v>
      </c>
      <c r="J2305" t="s">
        <v>28</v>
      </c>
      <c r="K2305" t="s">
        <v>47</v>
      </c>
      <c r="L2305" t="s">
        <v>48</v>
      </c>
      <c r="M2305" t="s">
        <v>139</v>
      </c>
      <c r="N2305">
        <v>1823</v>
      </c>
      <c r="O2305" s="14">
        <v>0.52787762274965599</v>
      </c>
      <c r="P2305" s="14">
        <v>0.25270639033988102</v>
      </c>
      <c r="Q2305" t="str">
        <f t="shared" si="70"/>
        <v>&lt;01</v>
      </c>
      <c r="R2305" t="str">
        <f t="shared" si="71"/>
        <v>[ZCjuwgaMB9u]|&lt;01|Male|TX_CURR_SUBNAT.T_1|CY2023Q3</v>
      </c>
    </row>
    <row r="2306" spans="4:18" x14ac:dyDescent="0.2">
      <c r="D2306" t="s">
        <v>125</v>
      </c>
      <c r="E2306" t="s">
        <v>126</v>
      </c>
      <c r="F2306" t="s">
        <v>127</v>
      </c>
      <c r="G2306" t="s">
        <v>145</v>
      </c>
      <c r="H2306" t="s">
        <v>146</v>
      </c>
      <c r="I2306" t="s">
        <v>32</v>
      </c>
      <c r="J2306" t="s">
        <v>33</v>
      </c>
      <c r="K2306" t="s">
        <v>47</v>
      </c>
      <c r="L2306" t="s">
        <v>48</v>
      </c>
      <c r="M2306" t="s">
        <v>139</v>
      </c>
      <c r="N2306">
        <v>1944</v>
      </c>
      <c r="O2306" s="14">
        <v>0.617316887481138</v>
      </c>
      <c r="P2306" s="14">
        <v>0.25270639033988102</v>
      </c>
      <c r="Q2306" t="str">
        <f t="shared" ref="Q2306:Q2369" si="72">SUBSTITUTE(SUBSTITUTE($I2306,CHAR(61),""),CHAR(34),"")</f>
        <v>01-09</v>
      </c>
      <c r="R2306" t="str">
        <f t="shared" ref="R2306:R2369" si="73">IF($D2306&lt;&gt;"","["&amp;$E2306&amp;"]"&amp;"|"&amp;$Q2306&amp;"|"&amp;$K2306&amp;"|"&amp;$G2306&amp;"|"&amp;IF($G2306="TX_CURR_SUBNAT.R","CY2022Q4",$M2306),"")</f>
        <v>[ZCjuwgaMB9u]|01-09|Male|TX_CURR_SUBNAT.T_1|CY2023Q3</v>
      </c>
    </row>
    <row r="2307" spans="4:18" x14ac:dyDescent="0.2">
      <c r="D2307" t="s">
        <v>125</v>
      </c>
      <c r="E2307" t="s">
        <v>126</v>
      </c>
      <c r="F2307" t="s">
        <v>127</v>
      </c>
      <c r="G2307" t="s">
        <v>145</v>
      </c>
      <c r="H2307" t="s">
        <v>146</v>
      </c>
      <c r="I2307" t="s">
        <v>35</v>
      </c>
      <c r="J2307" t="s">
        <v>36</v>
      </c>
      <c r="K2307" t="s">
        <v>47</v>
      </c>
      <c r="L2307" t="s">
        <v>48</v>
      </c>
      <c r="M2307" t="s">
        <v>139</v>
      </c>
      <c r="N2307">
        <v>1347</v>
      </c>
      <c r="O2307" s="14">
        <v>0.70189650263637304</v>
      </c>
      <c r="P2307" s="14">
        <v>0.25270639033988102</v>
      </c>
      <c r="Q2307" t="str">
        <f t="shared" si="72"/>
        <v>10-14</v>
      </c>
      <c r="R2307" t="str">
        <f t="shared" si="73"/>
        <v>[ZCjuwgaMB9u]|10-14|Male|TX_CURR_SUBNAT.T_1|CY2023Q3</v>
      </c>
    </row>
    <row r="2308" spans="4:18" x14ac:dyDescent="0.2">
      <c r="D2308" t="s">
        <v>125</v>
      </c>
      <c r="E2308" t="s">
        <v>126</v>
      </c>
      <c r="F2308" t="s">
        <v>127</v>
      </c>
      <c r="G2308" t="s">
        <v>145</v>
      </c>
      <c r="H2308" t="s">
        <v>146</v>
      </c>
      <c r="I2308" t="s">
        <v>37</v>
      </c>
      <c r="J2308" t="s">
        <v>38</v>
      </c>
      <c r="K2308" t="s">
        <v>47</v>
      </c>
      <c r="L2308" t="s">
        <v>48</v>
      </c>
      <c r="M2308" t="s">
        <v>139</v>
      </c>
      <c r="N2308">
        <v>1609</v>
      </c>
      <c r="O2308" s="14">
        <v>0.51122517907060705</v>
      </c>
      <c r="P2308" s="14">
        <v>0.25270639033988102</v>
      </c>
      <c r="Q2308" t="str">
        <f t="shared" si="72"/>
        <v>15-24</v>
      </c>
      <c r="R2308" t="str">
        <f t="shared" si="73"/>
        <v>[ZCjuwgaMB9u]|15-24|Male|TX_CURR_SUBNAT.T_1|CY2023Q3</v>
      </c>
    </row>
    <row r="2309" spans="4:18" x14ac:dyDescent="0.2">
      <c r="D2309" t="s">
        <v>125</v>
      </c>
      <c r="E2309" t="s">
        <v>126</v>
      </c>
      <c r="F2309" t="s">
        <v>127</v>
      </c>
      <c r="G2309" t="s">
        <v>145</v>
      </c>
      <c r="H2309" t="s">
        <v>146</v>
      </c>
      <c r="I2309" t="s">
        <v>40</v>
      </c>
      <c r="J2309" t="s">
        <v>41</v>
      </c>
      <c r="K2309" t="s">
        <v>47</v>
      </c>
      <c r="L2309" t="s">
        <v>48</v>
      </c>
      <c r="M2309" t="s">
        <v>139</v>
      </c>
      <c r="N2309">
        <v>786</v>
      </c>
      <c r="O2309" s="14">
        <v>0.51702065509744</v>
      </c>
      <c r="P2309" s="14">
        <v>0.25270639033988102</v>
      </c>
      <c r="Q2309" t="str">
        <f t="shared" si="72"/>
        <v>25-34</v>
      </c>
      <c r="R2309" t="str">
        <f t="shared" si="73"/>
        <v>[ZCjuwgaMB9u]|25-34|Male|TX_CURR_SUBNAT.T_1|CY2023Q3</v>
      </c>
    </row>
    <row r="2310" spans="4:18" x14ac:dyDescent="0.2">
      <c r="D2310" t="s">
        <v>125</v>
      </c>
      <c r="E2310" t="s">
        <v>126</v>
      </c>
      <c r="F2310" t="s">
        <v>127</v>
      </c>
      <c r="G2310" t="s">
        <v>145</v>
      </c>
      <c r="H2310" t="s">
        <v>146</v>
      </c>
      <c r="I2310" t="s">
        <v>42</v>
      </c>
      <c r="J2310" t="s">
        <v>43</v>
      </c>
      <c r="K2310" t="s">
        <v>47</v>
      </c>
      <c r="L2310" t="s">
        <v>48</v>
      </c>
      <c r="M2310" t="s">
        <v>139</v>
      </c>
      <c r="N2310">
        <v>1546</v>
      </c>
      <c r="O2310" s="14">
        <v>0.35448954207822703</v>
      </c>
      <c r="P2310" s="14">
        <v>0.25270639033988102</v>
      </c>
      <c r="Q2310" t="str">
        <f t="shared" si="72"/>
        <v>35-49</v>
      </c>
      <c r="R2310" t="str">
        <f t="shared" si="73"/>
        <v>[ZCjuwgaMB9u]|35-49|Male|TX_CURR_SUBNAT.T_1|CY2023Q3</v>
      </c>
    </row>
    <row r="2311" spans="4:18" x14ac:dyDescent="0.2">
      <c r="D2311" t="s">
        <v>125</v>
      </c>
      <c r="E2311" t="s">
        <v>126</v>
      </c>
      <c r="F2311" t="s">
        <v>127</v>
      </c>
      <c r="G2311" t="s">
        <v>145</v>
      </c>
      <c r="H2311" t="s">
        <v>146</v>
      </c>
      <c r="I2311" t="s">
        <v>44</v>
      </c>
      <c r="J2311" t="s">
        <v>45</v>
      </c>
      <c r="K2311" t="s">
        <v>47</v>
      </c>
      <c r="L2311" t="s">
        <v>48</v>
      </c>
      <c r="M2311" t="s">
        <v>139</v>
      </c>
      <c r="N2311">
        <v>1388</v>
      </c>
      <c r="O2311" s="14">
        <v>0.13675056002102801</v>
      </c>
      <c r="P2311" s="14">
        <v>0.25270639033988102</v>
      </c>
      <c r="Q2311" t="str">
        <f t="shared" si="72"/>
        <v>50+</v>
      </c>
      <c r="R2311" t="str">
        <f t="shared" si="73"/>
        <v>[ZCjuwgaMB9u]|50+|Male|TX_CURR_SUBNAT.T_1|CY2023Q3</v>
      </c>
    </row>
    <row r="2312" spans="4:18" x14ac:dyDescent="0.2">
      <c r="D2312" t="s">
        <v>128</v>
      </c>
      <c r="E2312" t="s">
        <v>129</v>
      </c>
      <c r="F2312" t="s">
        <v>130</v>
      </c>
      <c r="G2312" t="s">
        <v>145</v>
      </c>
      <c r="H2312" t="s">
        <v>146</v>
      </c>
      <c r="I2312" t="s">
        <v>27</v>
      </c>
      <c r="J2312" t="s">
        <v>28</v>
      </c>
      <c r="K2312" t="s">
        <v>29</v>
      </c>
      <c r="L2312" t="s">
        <v>30</v>
      </c>
      <c r="M2312" t="s">
        <v>139</v>
      </c>
      <c r="N2312">
        <v>1639</v>
      </c>
      <c r="O2312" s="14">
        <v>0.304924820316955</v>
      </c>
      <c r="P2312" s="14">
        <v>0.55690808477811504</v>
      </c>
      <c r="Q2312" t="str">
        <f t="shared" si="72"/>
        <v>&lt;01</v>
      </c>
      <c r="R2312" t="str">
        <f t="shared" si="73"/>
        <v>[YCKiBAp8QAg]|&lt;01|Female|TX_CURR_SUBNAT.T_1|CY2023Q3</v>
      </c>
    </row>
    <row r="2313" spans="4:18" x14ac:dyDescent="0.2">
      <c r="D2313" t="s">
        <v>128</v>
      </c>
      <c r="E2313" t="s">
        <v>129</v>
      </c>
      <c r="F2313" t="s">
        <v>130</v>
      </c>
      <c r="G2313" t="s">
        <v>145</v>
      </c>
      <c r="H2313" t="s">
        <v>146</v>
      </c>
      <c r="I2313" t="s">
        <v>32</v>
      </c>
      <c r="J2313" t="s">
        <v>33</v>
      </c>
      <c r="K2313" t="s">
        <v>29</v>
      </c>
      <c r="L2313" t="s">
        <v>30</v>
      </c>
      <c r="M2313" t="s">
        <v>139</v>
      </c>
      <c r="N2313">
        <v>1985</v>
      </c>
      <c r="O2313" s="14">
        <v>0.50401226640678898</v>
      </c>
      <c r="P2313" s="14">
        <v>0.55690808477811504</v>
      </c>
      <c r="Q2313" t="str">
        <f t="shared" si="72"/>
        <v>01-09</v>
      </c>
      <c r="R2313" t="str">
        <f t="shared" si="73"/>
        <v>[YCKiBAp8QAg]|01-09|Female|TX_CURR_SUBNAT.T_1|CY2023Q3</v>
      </c>
    </row>
    <row r="2314" spans="4:18" x14ac:dyDescent="0.2">
      <c r="D2314" t="s">
        <v>128</v>
      </c>
      <c r="E2314" t="s">
        <v>129</v>
      </c>
      <c r="F2314" t="s">
        <v>130</v>
      </c>
      <c r="G2314" t="s">
        <v>145</v>
      </c>
      <c r="H2314" t="s">
        <v>146</v>
      </c>
      <c r="I2314" t="s">
        <v>35</v>
      </c>
      <c r="J2314" t="s">
        <v>36</v>
      </c>
      <c r="K2314" t="s">
        <v>29</v>
      </c>
      <c r="L2314" t="s">
        <v>30</v>
      </c>
      <c r="M2314" t="s">
        <v>139</v>
      </c>
      <c r="N2314">
        <v>1398</v>
      </c>
      <c r="O2314" s="14">
        <v>0.59531939658336297</v>
      </c>
      <c r="P2314" s="14">
        <v>0.55690808477811504</v>
      </c>
      <c r="Q2314" t="str">
        <f t="shared" si="72"/>
        <v>10-14</v>
      </c>
      <c r="R2314" t="str">
        <f t="shared" si="73"/>
        <v>[YCKiBAp8QAg]|10-14|Female|TX_CURR_SUBNAT.T_1|CY2023Q3</v>
      </c>
    </row>
    <row r="2315" spans="4:18" x14ac:dyDescent="0.2">
      <c r="D2315" t="s">
        <v>128</v>
      </c>
      <c r="E2315" t="s">
        <v>129</v>
      </c>
      <c r="F2315" t="s">
        <v>130</v>
      </c>
      <c r="G2315" t="s">
        <v>145</v>
      </c>
      <c r="H2315" t="s">
        <v>146</v>
      </c>
      <c r="I2315" t="s">
        <v>37</v>
      </c>
      <c r="J2315" t="s">
        <v>38</v>
      </c>
      <c r="K2315" t="s">
        <v>29</v>
      </c>
      <c r="L2315" t="s">
        <v>30</v>
      </c>
      <c r="M2315" t="s">
        <v>139</v>
      </c>
      <c r="N2315">
        <v>1116</v>
      </c>
      <c r="O2315" s="14">
        <v>0.20217075292021</v>
      </c>
      <c r="P2315" s="14">
        <v>0.55690808477811504</v>
      </c>
      <c r="Q2315" t="str">
        <f t="shared" si="72"/>
        <v>15-24</v>
      </c>
      <c r="R2315" t="str">
        <f t="shared" si="73"/>
        <v>[YCKiBAp8QAg]|15-24|Female|TX_CURR_SUBNAT.T_1|CY2023Q3</v>
      </c>
    </row>
    <row r="2316" spans="4:18" x14ac:dyDescent="0.2">
      <c r="D2316" t="s">
        <v>128</v>
      </c>
      <c r="E2316" t="s">
        <v>129</v>
      </c>
      <c r="F2316" t="s">
        <v>130</v>
      </c>
      <c r="G2316" t="s">
        <v>145</v>
      </c>
      <c r="H2316" t="s">
        <v>146</v>
      </c>
      <c r="I2316" t="s">
        <v>40</v>
      </c>
      <c r="J2316" t="s">
        <v>41</v>
      </c>
      <c r="K2316" t="s">
        <v>29</v>
      </c>
      <c r="L2316" t="s">
        <v>30</v>
      </c>
      <c r="M2316" t="s">
        <v>139</v>
      </c>
      <c r="N2316">
        <v>1564</v>
      </c>
      <c r="O2316" s="14">
        <v>0.49692892376333497</v>
      </c>
      <c r="P2316" s="14">
        <v>0.55690808477811504</v>
      </c>
      <c r="Q2316" t="str">
        <f t="shared" si="72"/>
        <v>25-34</v>
      </c>
      <c r="R2316" t="str">
        <f t="shared" si="73"/>
        <v>[YCKiBAp8QAg]|25-34|Female|TX_CURR_SUBNAT.T_1|CY2023Q3</v>
      </c>
    </row>
    <row r="2317" spans="4:18" x14ac:dyDescent="0.2">
      <c r="D2317" t="s">
        <v>128</v>
      </c>
      <c r="E2317" t="s">
        <v>129</v>
      </c>
      <c r="F2317" t="s">
        <v>130</v>
      </c>
      <c r="G2317" t="s">
        <v>145</v>
      </c>
      <c r="H2317" t="s">
        <v>146</v>
      </c>
      <c r="I2317" t="s">
        <v>42</v>
      </c>
      <c r="J2317" t="s">
        <v>43</v>
      </c>
      <c r="K2317" t="s">
        <v>29</v>
      </c>
      <c r="L2317" t="s">
        <v>30</v>
      </c>
      <c r="M2317" t="s">
        <v>139</v>
      </c>
      <c r="N2317">
        <v>652</v>
      </c>
      <c r="O2317" s="14">
        <v>0.481984120793641</v>
      </c>
      <c r="P2317" s="14">
        <v>0.55690808477811504</v>
      </c>
      <c r="Q2317" t="str">
        <f t="shared" si="72"/>
        <v>35-49</v>
      </c>
      <c r="R2317" t="str">
        <f t="shared" si="73"/>
        <v>[YCKiBAp8QAg]|35-49|Female|TX_CURR_SUBNAT.T_1|CY2023Q3</v>
      </c>
    </row>
    <row r="2318" spans="4:18" x14ac:dyDescent="0.2">
      <c r="D2318" t="s">
        <v>128</v>
      </c>
      <c r="E2318" t="s">
        <v>129</v>
      </c>
      <c r="F2318" t="s">
        <v>130</v>
      </c>
      <c r="G2318" t="s">
        <v>145</v>
      </c>
      <c r="H2318" t="s">
        <v>146</v>
      </c>
      <c r="I2318" t="s">
        <v>44</v>
      </c>
      <c r="J2318" t="s">
        <v>45</v>
      </c>
      <c r="K2318" t="s">
        <v>29</v>
      </c>
      <c r="L2318" t="s">
        <v>30</v>
      </c>
      <c r="M2318" t="s">
        <v>139</v>
      </c>
      <c r="N2318">
        <v>1301</v>
      </c>
      <c r="O2318" s="14">
        <v>0.27979220100678498</v>
      </c>
      <c r="P2318" s="14">
        <v>0.55690808477811504</v>
      </c>
      <c r="Q2318" t="str">
        <f t="shared" si="72"/>
        <v>50+</v>
      </c>
      <c r="R2318" t="str">
        <f t="shared" si="73"/>
        <v>[YCKiBAp8QAg]|50+|Female|TX_CURR_SUBNAT.T_1|CY2023Q3</v>
      </c>
    </row>
    <row r="2319" spans="4:18" x14ac:dyDescent="0.2">
      <c r="D2319" t="s">
        <v>128</v>
      </c>
      <c r="E2319" t="s">
        <v>129</v>
      </c>
      <c r="F2319" t="s">
        <v>130</v>
      </c>
      <c r="G2319" t="s">
        <v>145</v>
      </c>
      <c r="H2319" t="s">
        <v>146</v>
      </c>
      <c r="I2319" t="s">
        <v>27</v>
      </c>
      <c r="J2319" t="s">
        <v>28</v>
      </c>
      <c r="K2319" t="s">
        <v>47</v>
      </c>
      <c r="L2319" t="s">
        <v>48</v>
      </c>
      <c r="M2319" t="s">
        <v>139</v>
      </c>
      <c r="N2319">
        <v>1050</v>
      </c>
      <c r="O2319" s="14">
        <v>0.62756711966358103</v>
      </c>
      <c r="P2319" s="14">
        <v>0.55690808477811504</v>
      </c>
      <c r="Q2319" t="str">
        <f t="shared" si="72"/>
        <v>&lt;01</v>
      </c>
      <c r="R2319" t="str">
        <f t="shared" si="73"/>
        <v>[YCKiBAp8QAg]|&lt;01|Male|TX_CURR_SUBNAT.T_1|CY2023Q3</v>
      </c>
    </row>
    <row r="2320" spans="4:18" x14ac:dyDescent="0.2">
      <c r="D2320" t="s">
        <v>128</v>
      </c>
      <c r="E2320" t="s">
        <v>129</v>
      </c>
      <c r="F2320" t="s">
        <v>130</v>
      </c>
      <c r="G2320" t="s">
        <v>145</v>
      </c>
      <c r="H2320" t="s">
        <v>146</v>
      </c>
      <c r="I2320" t="s">
        <v>32</v>
      </c>
      <c r="J2320" t="s">
        <v>33</v>
      </c>
      <c r="K2320" t="s">
        <v>47</v>
      </c>
      <c r="L2320" t="s">
        <v>48</v>
      </c>
      <c r="M2320" t="s">
        <v>139</v>
      </c>
      <c r="N2320">
        <v>932</v>
      </c>
      <c r="O2320" s="14">
        <v>0.30523600336164203</v>
      </c>
      <c r="P2320" s="14">
        <v>0.55690808477811504</v>
      </c>
      <c r="Q2320" t="str">
        <f t="shared" si="72"/>
        <v>01-09</v>
      </c>
      <c r="R2320" t="str">
        <f t="shared" si="73"/>
        <v>[YCKiBAp8QAg]|01-09|Male|TX_CURR_SUBNAT.T_1|CY2023Q3</v>
      </c>
    </row>
    <row r="2321" spans="4:18" x14ac:dyDescent="0.2">
      <c r="D2321" t="s">
        <v>128</v>
      </c>
      <c r="E2321" t="s">
        <v>129</v>
      </c>
      <c r="F2321" t="s">
        <v>130</v>
      </c>
      <c r="G2321" t="s">
        <v>145</v>
      </c>
      <c r="H2321" t="s">
        <v>146</v>
      </c>
      <c r="I2321" t="s">
        <v>35</v>
      </c>
      <c r="J2321" t="s">
        <v>36</v>
      </c>
      <c r="K2321" t="s">
        <v>47</v>
      </c>
      <c r="L2321" t="s">
        <v>48</v>
      </c>
      <c r="M2321" t="s">
        <v>139</v>
      </c>
      <c r="N2321">
        <v>1039</v>
      </c>
      <c r="O2321" s="14">
        <v>0.75762970955111097</v>
      </c>
      <c r="P2321" s="14">
        <v>0.55690808477811504</v>
      </c>
      <c r="Q2321" t="str">
        <f t="shared" si="72"/>
        <v>10-14</v>
      </c>
      <c r="R2321" t="str">
        <f t="shared" si="73"/>
        <v>[YCKiBAp8QAg]|10-14|Male|TX_CURR_SUBNAT.T_1|CY2023Q3</v>
      </c>
    </row>
    <row r="2322" spans="4:18" x14ac:dyDescent="0.2">
      <c r="D2322" t="s">
        <v>128</v>
      </c>
      <c r="E2322" t="s">
        <v>129</v>
      </c>
      <c r="F2322" t="s">
        <v>130</v>
      </c>
      <c r="G2322" t="s">
        <v>145</v>
      </c>
      <c r="H2322" t="s">
        <v>146</v>
      </c>
      <c r="I2322" t="s">
        <v>37</v>
      </c>
      <c r="J2322" t="s">
        <v>38</v>
      </c>
      <c r="K2322" t="s">
        <v>47</v>
      </c>
      <c r="L2322" t="s">
        <v>48</v>
      </c>
      <c r="M2322" t="s">
        <v>139</v>
      </c>
      <c r="N2322">
        <v>1053</v>
      </c>
      <c r="O2322" s="14">
        <v>0.82366226986050595</v>
      </c>
      <c r="P2322" s="14">
        <v>0.55690808477811504</v>
      </c>
      <c r="Q2322" t="str">
        <f t="shared" si="72"/>
        <v>15-24</v>
      </c>
      <c r="R2322" t="str">
        <f t="shared" si="73"/>
        <v>[YCKiBAp8QAg]|15-24|Male|TX_CURR_SUBNAT.T_1|CY2023Q3</v>
      </c>
    </row>
    <row r="2323" spans="4:18" x14ac:dyDescent="0.2">
      <c r="D2323" t="s">
        <v>128</v>
      </c>
      <c r="E2323" t="s">
        <v>129</v>
      </c>
      <c r="F2323" t="s">
        <v>130</v>
      </c>
      <c r="G2323" t="s">
        <v>145</v>
      </c>
      <c r="H2323" t="s">
        <v>146</v>
      </c>
      <c r="I2323" t="s">
        <v>40</v>
      </c>
      <c r="J2323" t="s">
        <v>41</v>
      </c>
      <c r="K2323" t="s">
        <v>47</v>
      </c>
      <c r="L2323" t="s">
        <v>48</v>
      </c>
      <c r="M2323" t="s">
        <v>139</v>
      </c>
      <c r="N2323">
        <v>798</v>
      </c>
      <c r="O2323" s="14">
        <v>0.157199176261202</v>
      </c>
      <c r="P2323" s="14">
        <v>0.55690808477811504</v>
      </c>
      <c r="Q2323" t="str">
        <f t="shared" si="72"/>
        <v>25-34</v>
      </c>
      <c r="R2323" t="str">
        <f t="shared" si="73"/>
        <v>[YCKiBAp8QAg]|25-34|Male|TX_CURR_SUBNAT.T_1|CY2023Q3</v>
      </c>
    </row>
    <row r="2324" spans="4:18" x14ac:dyDescent="0.2">
      <c r="D2324" t="s">
        <v>128</v>
      </c>
      <c r="E2324" t="s">
        <v>129</v>
      </c>
      <c r="F2324" t="s">
        <v>130</v>
      </c>
      <c r="G2324" t="s">
        <v>145</v>
      </c>
      <c r="H2324" t="s">
        <v>146</v>
      </c>
      <c r="I2324" t="s">
        <v>42</v>
      </c>
      <c r="J2324" t="s">
        <v>43</v>
      </c>
      <c r="K2324" t="s">
        <v>47</v>
      </c>
      <c r="L2324" t="s">
        <v>48</v>
      </c>
      <c r="M2324" t="s">
        <v>139</v>
      </c>
      <c r="N2324">
        <v>648</v>
      </c>
      <c r="O2324" s="14">
        <v>0.25172896194271699</v>
      </c>
      <c r="P2324" s="14">
        <v>0.55690808477811504</v>
      </c>
      <c r="Q2324" t="str">
        <f t="shared" si="72"/>
        <v>35-49</v>
      </c>
      <c r="R2324" t="str">
        <f t="shared" si="73"/>
        <v>[YCKiBAp8QAg]|35-49|Male|TX_CURR_SUBNAT.T_1|CY2023Q3</v>
      </c>
    </row>
    <row r="2325" spans="4:18" x14ac:dyDescent="0.2">
      <c r="D2325" t="s">
        <v>128</v>
      </c>
      <c r="E2325" t="s">
        <v>129</v>
      </c>
      <c r="F2325" t="s">
        <v>130</v>
      </c>
      <c r="G2325" t="s">
        <v>145</v>
      </c>
      <c r="H2325" t="s">
        <v>146</v>
      </c>
      <c r="I2325" t="s">
        <v>44</v>
      </c>
      <c r="J2325" t="s">
        <v>45</v>
      </c>
      <c r="K2325" t="s">
        <v>47</v>
      </c>
      <c r="L2325" t="s">
        <v>48</v>
      </c>
      <c r="M2325" t="s">
        <v>139</v>
      </c>
      <c r="N2325">
        <v>721</v>
      </c>
      <c r="O2325" s="14">
        <v>0.35809007845819002</v>
      </c>
      <c r="P2325" s="14">
        <v>0.55690808477811504</v>
      </c>
      <c r="Q2325" t="str">
        <f t="shared" si="72"/>
        <v>50+</v>
      </c>
      <c r="R2325" t="str">
        <f t="shared" si="73"/>
        <v>[YCKiBAp8QAg]|50+|Male|TX_CURR_SUBNAT.T_1|CY2023Q3</v>
      </c>
    </row>
    <row r="2326" spans="4:18" x14ac:dyDescent="0.2">
      <c r="D2326" t="s">
        <v>131</v>
      </c>
      <c r="E2326" t="s">
        <v>132</v>
      </c>
      <c r="F2326" t="s">
        <v>133</v>
      </c>
      <c r="G2326" t="s">
        <v>145</v>
      </c>
      <c r="H2326" t="s">
        <v>146</v>
      </c>
      <c r="I2326" t="s">
        <v>27</v>
      </c>
      <c r="J2326" t="s">
        <v>28</v>
      </c>
      <c r="K2326" t="s">
        <v>29</v>
      </c>
      <c r="L2326" t="s">
        <v>30</v>
      </c>
      <c r="M2326" t="s">
        <v>139</v>
      </c>
      <c r="N2326">
        <v>747</v>
      </c>
      <c r="O2326" s="14">
        <v>9.5839618239551796E-2</v>
      </c>
      <c r="P2326" s="14">
        <v>0.16286319401115201</v>
      </c>
      <c r="Q2326" t="str">
        <f t="shared" si="72"/>
        <v>&lt;01</v>
      </c>
      <c r="R2326" t="str">
        <f t="shared" si="73"/>
        <v>[JQKLKuVuY61]|&lt;01|Female|TX_CURR_SUBNAT.T_1|CY2023Q3</v>
      </c>
    </row>
    <row r="2327" spans="4:18" x14ac:dyDescent="0.2">
      <c r="D2327" t="s">
        <v>131</v>
      </c>
      <c r="E2327" t="s">
        <v>132</v>
      </c>
      <c r="F2327" t="s">
        <v>133</v>
      </c>
      <c r="G2327" t="s">
        <v>145</v>
      </c>
      <c r="H2327" t="s">
        <v>146</v>
      </c>
      <c r="I2327" t="s">
        <v>32</v>
      </c>
      <c r="J2327" t="s">
        <v>33</v>
      </c>
      <c r="K2327" t="s">
        <v>29</v>
      </c>
      <c r="L2327" t="s">
        <v>30</v>
      </c>
      <c r="M2327" t="s">
        <v>139</v>
      </c>
      <c r="N2327">
        <v>1026</v>
      </c>
      <c r="O2327" s="14">
        <v>0.89674506220035299</v>
      </c>
      <c r="P2327" s="14">
        <v>0.16286319401115201</v>
      </c>
      <c r="Q2327" t="str">
        <f t="shared" si="72"/>
        <v>01-09</v>
      </c>
      <c r="R2327" t="str">
        <f t="shared" si="73"/>
        <v>[JQKLKuVuY61]|01-09|Female|TX_CURR_SUBNAT.T_1|CY2023Q3</v>
      </c>
    </row>
    <row r="2328" spans="4:18" x14ac:dyDescent="0.2">
      <c r="D2328" t="s">
        <v>131</v>
      </c>
      <c r="E2328" t="s">
        <v>132</v>
      </c>
      <c r="F2328" t="s">
        <v>133</v>
      </c>
      <c r="G2328" t="s">
        <v>145</v>
      </c>
      <c r="H2328" t="s">
        <v>146</v>
      </c>
      <c r="I2328" t="s">
        <v>35</v>
      </c>
      <c r="J2328" t="s">
        <v>36</v>
      </c>
      <c r="K2328" t="s">
        <v>29</v>
      </c>
      <c r="L2328" t="s">
        <v>30</v>
      </c>
      <c r="M2328" t="s">
        <v>139</v>
      </c>
      <c r="N2328">
        <v>1606</v>
      </c>
      <c r="O2328" s="14">
        <v>0.23901806306093901</v>
      </c>
      <c r="P2328" s="14">
        <v>0.16286319401115201</v>
      </c>
      <c r="Q2328" t="str">
        <f t="shared" si="72"/>
        <v>10-14</v>
      </c>
      <c r="R2328" t="str">
        <f t="shared" si="73"/>
        <v>[JQKLKuVuY61]|10-14|Female|TX_CURR_SUBNAT.T_1|CY2023Q3</v>
      </c>
    </row>
    <row r="2329" spans="4:18" x14ac:dyDescent="0.2">
      <c r="D2329" t="s">
        <v>131</v>
      </c>
      <c r="E2329" t="s">
        <v>132</v>
      </c>
      <c r="F2329" t="s">
        <v>133</v>
      </c>
      <c r="G2329" t="s">
        <v>145</v>
      </c>
      <c r="H2329" t="s">
        <v>146</v>
      </c>
      <c r="I2329" t="s">
        <v>37</v>
      </c>
      <c r="J2329" t="s">
        <v>38</v>
      </c>
      <c r="K2329" t="s">
        <v>29</v>
      </c>
      <c r="L2329" t="s">
        <v>30</v>
      </c>
      <c r="M2329" t="s">
        <v>139</v>
      </c>
      <c r="N2329">
        <v>649</v>
      </c>
      <c r="O2329" s="14">
        <v>7.0518034277483793E-2</v>
      </c>
      <c r="P2329" s="14">
        <v>0.16286319401115201</v>
      </c>
      <c r="Q2329" t="str">
        <f t="shared" si="72"/>
        <v>15-24</v>
      </c>
      <c r="R2329" t="str">
        <f t="shared" si="73"/>
        <v>[JQKLKuVuY61]|15-24|Female|TX_CURR_SUBNAT.T_1|CY2023Q3</v>
      </c>
    </row>
    <row r="2330" spans="4:18" x14ac:dyDescent="0.2">
      <c r="D2330" t="s">
        <v>131</v>
      </c>
      <c r="E2330" t="s">
        <v>132</v>
      </c>
      <c r="F2330" t="s">
        <v>133</v>
      </c>
      <c r="G2330" t="s">
        <v>145</v>
      </c>
      <c r="H2330" t="s">
        <v>146</v>
      </c>
      <c r="I2330" t="s">
        <v>40</v>
      </c>
      <c r="J2330" t="s">
        <v>41</v>
      </c>
      <c r="K2330" t="s">
        <v>29</v>
      </c>
      <c r="L2330" t="s">
        <v>30</v>
      </c>
      <c r="M2330" t="s">
        <v>139</v>
      </c>
      <c r="N2330">
        <v>1823</v>
      </c>
      <c r="O2330" s="14">
        <v>0.11172548029571799</v>
      </c>
      <c r="P2330" s="14">
        <v>0.16286319401115201</v>
      </c>
      <c r="Q2330" t="str">
        <f t="shared" si="72"/>
        <v>25-34</v>
      </c>
      <c r="R2330" t="str">
        <f t="shared" si="73"/>
        <v>[JQKLKuVuY61]|25-34|Female|TX_CURR_SUBNAT.T_1|CY2023Q3</v>
      </c>
    </row>
    <row r="2331" spans="4:18" x14ac:dyDescent="0.2">
      <c r="D2331" t="s">
        <v>131</v>
      </c>
      <c r="E2331" t="s">
        <v>132</v>
      </c>
      <c r="F2331" t="s">
        <v>133</v>
      </c>
      <c r="G2331" t="s">
        <v>145</v>
      </c>
      <c r="H2331" t="s">
        <v>146</v>
      </c>
      <c r="I2331" t="s">
        <v>42</v>
      </c>
      <c r="J2331" t="s">
        <v>43</v>
      </c>
      <c r="K2331" t="s">
        <v>29</v>
      </c>
      <c r="L2331" t="s">
        <v>30</v>
      </c>
      <c r="M2331" t="s">
        <v>139</v>
      </c>
      <c r="N2331">
        <v>1508</v>
      </c>
      <c r="O2331" s="14">
        <v>0.94827263895422198</v>
      </c>
      <c r="P2331" s="14">
        <v>0.16286319401115201</v>
      </c>
      <c r="Q2331" t="str">
        <f t="shared" si="72"/>
        <v>35-49</v>
      </c>
      <c r="R2331" t="str">
        <f t="shared" si="73"/>
        <v>[JQKLKuVuY61]|35-49|Female|TX_CURR_SUBNAT.T_1|CY2023Q3</v>
      </c>
    </row>
    <row r="2332" spans="4:18" x14ac:dyDescent="0.2">
      <c r="D2332" t="s">
        <v>131</v>
      </c>
      <c r="E2332" t="s">
        <v>132</v>
      </c>
      <c r="F2332" t="s">
        <v>133</v>
      </c>
      <c r="G2332" t="s">
        <v>145</v>
      </c>
      <c r="H2332" t="s">
        <v>146</v>
      </c>
      <c r="I2332" t="s">
        <v>44</v>
      </c>
      <c r="J2332" t="s">
        <v>45</v>
      </c>
      <c r="K2332" t="s">
        <v>29</v>
      </c>
      <c r="L2332" t="s">
        <v>30</v>
      </c>
      <c r="M2332" t="s">
        <v>139</v>
      </c>
      <c r="N2332">
        <v>1622</v>
      </c>
      <c r="O2332" s="14">
        <v>0.40032976819202298</v>
      </c>
      <c r="P2332" s="14">
        <v>0.16286319401115201</v>
      </c>
      <c r="Q2332" t="str">
        <f t="shared" si="72"/>
        <v>50+</v>
      </c>
      <c r="R2332" t="str">
        <f t="shared" si="73"/>
        <v>[JQKLKuVuY61]|50+|Female|TX_CURR_SUBNAT.T_1|CY2023Q3</v>
      </c>
    </row>
    <row r="2333" spans="4:18" x14ac:dyDescent="0.2">
      <c r="D2333" t="s">
        <v>131</v>
      </c>
      <c r="E2333" t="s">
        <v>132</v>
      </c>
      <c r="F2333" t="s">
        <v>133</v>
      </c>
      <c r="G2333" t="s">
        <v>145</v>
      </c>
      <c r="H2333" t="s">
        <v>146</v>
      </c>
      <c r="I2333" t="s">
        <v>27</v>
      </c>
      <c r="J2333" t="s">
        <v>28</v>
      </c>
      <c r="K2333" t="s">
        <v>47</v>
      </c>
      <c r="L2333" t="s">
        <v>48</v>
      </c>
      <c r="M2333" t="s">
        <v>139</v>
      </c>
      <c r="N2333">
        <v>1537</v>
      </c>
      <c r="O2333" s="14">
        <v>0.124498524935916</v>
      </c>
      <c r="P2333" s="14">
        <v>0.16286319401115201</v>
      </c>
      <c r="Q2333" t="str">
        <f t="shared" si="72"/>
        <v>&lt;01</v>
      </c>
      <c r="R2333" t="str">
        <f t="shared" si="73"/>
        <v>[JQKLKuVuY61]|&lt;01|Male|TX_CURR_SUBNAT.T_1|CY2023Q3</v>
      </c>
    </row>
    <row r="2334" spans="4:18" x14ac:dyDescent="0.2">
      <c r="D2334" t="s">
        <v>131</v>
      </c>
      <c r="E2334" t="s">
        <v>132</v>
      </c>
      <c r="F2334" t="s">
        <v>133</v>
      </c>
      <c r="G2334" t="s">
        <v>145</v>
      </c>
      <c r="H2334" t="s">
        <v>146</v>
      </c>
      <c r="I2334" t="s">
        <v>32</v>
      </c>
      <c r="J2334" t="s">
        <v>33</v>
      </c>
      <c r="K2334" t="s">
        <v>47</v>
      </c>
      <c r="L2334" t="s">
        <v>48</v>
      </c>
      <c r="M2334" t="s">
        <v>139</v>
      </c>
      <c r="N2334">
        <v>1997</v>
      </c>
      <c r="O2334" s="14">
        <v>0.61271135322749604</v>
      </c>
      <c r="P2334" s="14">
        <v>0.16286319401115201</v>
      </c>
      <c r="Q2334" t="str">
        <f t="shared" si="72"/>
        <v>01-09</v>
      </c>
      <c r="R2334" t="str">
        <f t="shared" si="73"/>
        <v>[JQKLKuVuY61]|01-09|Male|TX_CURR_SUBNAT.T_1|CY2023Q3</v>
      </c>
    </row>
    <row r="2335" spans="4:18" x14ac:dyDescent="0.2">
      <c r="D2335" t="s">
        <v>131</v>
      </c>
      <c r="E2335" t="s">
        <v>132</v>
      </c>
      <c r="F2335" t="s">
        <v>133</v>
      </c>
      <c r="G2335" t="s">
        <v>145</v>
      </c>
      <c r="H2335" t="s">
        <v>146</v>
      </c>
      <c r="I2335" t="s">
        <v>35</v>
      </c>
      <c r="J2335" t="s">
        <v>36</v>
      </c>
      <c r="K2335" t="s">
        <v>47</v>
      </c>
      <c r="L2335" t="s">
        <v>48</v>
      </c>
      <c r="M2335" t="s">
        <v>139</v>
      </c>
      <c r="N2335">
        <v>1102</v>
      </c>
      <c r="O2335" s="14">
        <v>0.93412530166096996</v>
      </c>
      <c r="P2335" s="14">
        <v>0.16286319401115201</v>
      </c>
      <c r="Q2335" t="str">
        <f t="shared" si="72"/>
        <v>10-14</v>
      </c>
      <c r="R2335" t="str">
        <f t="shared" si="73"/>
        <v>[JQKLKuVuY61]|10-14|Male|TX_CURR_SUBNAT.T_1|CY2023Q3</v>
      </c>
    </row>
    <row r="2336" spans="4:18" x14ac:dyDescent="0.2">
      <c r="D2336" t="s">
        <v>131</v>
      </c>
      <c r="E2336" t="s">
        <v>132</v>
      </c>
      <c r="F2336" t="s">
        <v>133</v>
      </c>
      <c r="G2336" t="s">
        <v>145</v>
      </c>
      <c r="H2336" t="s">
        <v>146</v>
      </c>
      <c r="I2336" t="s">
        <v>37</v>
      </c>
      <c r="J2336" t="s">
        <v>38</v>
      </c>
      <c r="K2336" t="s">
        <v>47</v>
      </c>
      <c r="L2336" t="s">
        <v>48</v>
      </c>
      <c r="M2336" t="s">
        <v>139</v>
      </c>
      <c r="N2336">
        <v>1883</v>
      </c>
      <c r="O2336" s="14">
        <v>0.84366094041615702</v>
      </c>
      <c r="P2336" s="14">
        <v>0.16286319401115201</v>
      </c>
      <c r="Q2336" t="str">
        <f t="shared" si="72"/>
        <v>15-24</v>
      </c>
      <c r="R2336" t="str">
        <f t="shared" si="73"/>
        <v>[JQKLKuVuY61]|15-24|Male|TX_CURR_SUBNAT.T_1|CY2023Q3</v>
      </c>
    </row>
    <row r="2337" spans="4:18" x14ac:dyDescent="0.2">
      <c r="D2337" t="s">
        <v>131</v>
      </c>
      <c r="E2337" t="s">
        <v>132</v>
      </c>
      <c r="F2337" t="s">
        <v>133</v>
      </c>
      <c r="G2337" t="s">
        <v>145</v>
      </c>
      <c r="H2337" t="s">
        <v>146</v>
      </c>
      <c r="I2337" t="s">
        <v>40</v>
      </c>
      <c r="J2337" t="s">
        <v>41</v>
      </c>
      <c r="K2337" t="s">
        <v>47</v>
      </c>
      <c r="L2337" t="s">
        <v>48</v>
      </c>
      <c r="M2337" t="s">
        <v>139</v>
      </c>
      <c r="N2337">
        <v>999</v>
      </c>
      <c r="O2337" s="14">
        <v>0.31600911635905499</v>
      </c>
      <c r="P2337" s="14">
        <v>0.16286319401115201</v>
      </c>
      <c r="Q2337" t="str">
        <f t="shared" si="72"/>
        <v>25-34</v>
      </c>
      <c r="R2337" t="str">
        <f t="shared" si="73"/>
        <v>[JQKLKuVuY61]|25-34|Male|TX_CURR_SUBNAT.T_1|CY2023Q3</v>
      </c>
    </row>
    <row r="2338" spans="4:18" x14ac:dyDescent="0.2">
      <c r="D2338" t="s">
        <v>131</v>
      </c>
      <c r="E2338" t="s">
        <v>132</v>
      </c>
      <c r="F2338" t="s">
        <v>133</v>
      </c>
      <c r="G2338" t="s">
        <v>145</v>
      </c>
      <c r="H2338" t="s">
        <v>146</v>
      </c>
      <c r="I2338" t="s">
        <v>42</v>
      </c>
      <c r="J2338" t="s">
        <v>43</v>
      </c>
      <c r="K2338" t="s">
        <v>47</v>
      </c>
      <c r="L2338" t="s">
        <v>48</v>
      </c>
      <c r="M2338" t="s">
        <v>139</v>
      </c>
      <c r="N2338">
        <v>1101</v>
      </c>
      <c r="O2338" s="14">
        <v>0.87770880176685795</v>
      </c>
      <c r="P2338" s="14">
        <v>0.16286319401115201</v>
      </c>
      <c r="Q2338" t="str">
        <f t="shared" si="72"/>
        <v>35-49</v>
      </c>
      <c r="R2338" t="str">
        <f t="shared" si="73"/>
        <v>[JQKLKuVuY61]|35-49|Male|TX_CURR_SUBNAT.T_1|CY2023Q3</v>
      </c>
    </row>
    <row r="2339" spans="4:18" x14ac:dyDescent="0.2">
      <c r="D2339" t="s">
        <v>131</v>
      </c>
      <c r="E2339" t="s">
        <v>132</v>
      </c>
      <c r="F2339" t="s">
        <v>133</v>
      </c>
      <c r="G2339" t="s">
        <v>145</v>
      </c>
      <c r="H2339" t="s">
        <v>146</v>
      </c>
      <c r="I2339" t="s">
        <v>44</v>
      </c>
      <c r="J2339" t="s">
        <v>45</v>
      </c>
      <c r="K2339" t="s">
        <v>47</v>
      </c>
      <c r="L2339" t="s">
        <v>48</v>
      </c>
      <c r="M2339" t="s">
        <v>139</v>
      </c>
      <c r="N2339">
        <v>932</v>
      </c>
      <c r="O2339" s="14">
        <v>0.75132210878655303</v>
      </c>
      <c r="P2339" s="14">
        <v>0.16286319401115201</v>
      </c>
      <c r="Q2339" t="str">
        <f t="shared" si="72"/>
        <v>50+</v>
      </c>
      <c r="R2339" t="str">
        <f t="shared" si="73"/>
        <v>[JQKLKuVuY61]|50+|Male|TX_CURR_SUBNAT.T_1|CY2023Q3</v>
      </c>
    </row>
    <row r="2340" spans="4:18" x14ac:dyDescent="0.2">
      <c r="D2340" t="s">
        <v>134</v>
      </c>
      <c r="E2340" t="s">
        <v>135</v>
      </c>
      <c r="F2340" t="s">
        <v>136</v>
      </c>
      <c r="G2340" t="s">
        <v>145</v>
      </c>
      <c r="H2340" t="s">
        <v>146</v>
      </c>
      <c r="I2340" t="s">
        <v>27</v>
      </c>
      <c r="J2340" t="s">
        <v>28</v>
      </c>
      <c r="K2340" t="s">
        <v>29</v>
      </c>
      <c r="L2340" t="s">
        <v>30</v>
      </c>
      <c r="M2340" t="s">
        <v>139</v>
      </c>
      <c r="N2340">
        <v>1140</v>
      </c>
      <c r="O2340" s="14">
        <v>0.66658519534394101</v>
      </c>
      <c r="P2340" s="14">
        <v>0.95530052832327805</v>
      </c>
      <c r="Q2340" t="str">
        <f t="shared" si="72"/>
        <v>&lt;01</v>
      </c>
      <c r="R2340" t="str">
        <f t="shared" si="73"/>
        <v>[fiRkU6gEjLz]|&lt;01|Female|TX_CURR_SUBNAT.T_1|CY2023Q3</v>
      </c>
    </row>
    <row r="2341" spans="4:18" x14ac:dyDescent="0.2">
      <c r="D2341" t="s">
        <v>134</v>
      </c>
      <c r="E2341" t="s">
        <v>135</v>
      </c>
      <c r="F2341" t="s">
        <v>136</v>
      </c>
      <c r="G2341" t="s">
        <v>145</v>
      </c>
      <c r="H2341" t="s">
        <v>146</v>
      </c>
      <c r="I2341" t="s">
        <v>32</v>
      </c>
      <c r="J2341" t="s">
        <v>33</v>
      </c>
      <c r="K2341" t="s">
        <v>29</v>
      </c>
      <c r="L2341" t="s">
        <v>30</v>
      </c>
      <c r="M2341" t="s">
        <v>139</v>
      </c>
      <c r="N2341">
        <v>1310</v>
      </c>
      <c r="O2341" s="14">
        <v>0.72307596448808897</v>
      </c>
      <c r="P2341" s="14">
        <v>0.95530052832327805</v>
      </c>
      <c r="Q2341" t="str">
        <f t="shared" si="72"/>
        <v>01-09</v>
      </c>
      <c r="R2341" t="str">
        <f t="shared" si="73"/>
        <v>[fiRkU6gEjLz]|01-09|Female|TX_CURR_SUBNAT.T_1|CY2023Q3</v>
      </c>
    </row>
    <row r="2342" spans="4:18" x14ac:dyDescent="0.2">
      <c r="D2342" t="s">
        <v>134</v>
      </c>
      <c r="E2342" t="s">
        <v>135</v>
      </c>
      <c r="F2342" t="s">
        <v>136</v>
      </c>
      <c r="G2342" t="s">
        <v>145</v>
      </c>
      <c r="H2342" t="s">
        <v>146</v>
      </c>
      <c r="I2342" t="s">
        <v>35</v>
      </c>
      <c r="J2342" t="s">
        <v>36</v>
      </c>
      <c r="K2342" t="s">
        <v>29</v>
      </c>
      <c r="L2342" t="s">
        <v>30</v>
      </c>
      <c r="M2342" t="s">
        <v>139</v>
      </c>
      <c r="N2342">
        <v>574</v>
      </c>
      <c r="O2342" s="14">
        <v>1.3474039733409901E-2</v>
      </c>
      <c r="P2342" s="14">
        <v>0.95530052832327805</v>
      </c>
      <c r="Q2342" t="str">
        <f t="shared" si="72"/>
        <v>10-14</v>
      </c>
      <c r="R2342" t="str">
        <f t="shared" si="73"/>
        <v>[fiRkU6gEjLz]|10-14|Female|TX_CURR_SUBNAT.T_1|CY2023Q3</v>
      </c>
    </row>
    <row r="2343" spans="4:18" x14ac:dyDescent="0.2">
      <c r="D2343" t="s">
        <v>134</v>
      </c>
      <c r="E2343" t="s">
        <v>135</v>
      </c>
      <c r="F2343" t="s">
        <v>136</v>
      </c>
      <c r="G2343" t="s">
        <v>145</v>
      </c>
      <c r="H2343" t="s">
        <v>146</v>
      </c>
      <c r="I2343" t="s">
        <v>37</v>
      </c>
      <c r="J2343" t="s">
        <v>38</v>
      </c>
      <c r="K2343" t="s">
        <v>29</v>
      </c>
      <c r="L2343" t="s">
        <v>30</v>
      </c>
      <c r="M2343" t="s">
        <v>139</v>
      </c>
      <c r="N2343">
        <v>639</v>
      </c>
      <c r="O2343" s="14">
        <v>9.4645047793164794E-2</v>
      </c>
      <c r="P2343" s="14">
        <v>0.95530052832327805</v>
      </c>
      <c r="Q2343" t="str">
        <f t="shared" si="72"/>
        <v>15-24</v>
      </c>
      <c r="R2343" t="str">
        <f t="shared" si="73"/>
        <v>[fiRkU6gEjLz]|15-24|Female|TX_CURR_SUBNAT.T_1|CY2023Q3</v>
      </c>
    </row>
    <row r="2344" spans="4:18" x14ac:dyDescent="0.2">
      <c r="D2344" t="s">
        <v>134</v>
      </c>
      <c r="E2344" t="s">
        <v>135</v>
      </c>
      <c r="F2344" t="s">
        <v>136</v>
      </c>
      <c r="G2344" t="s">
        <v>145</v>
      </c>
      <c r="H2344" t="s">
        <v>146</v>
      </c>
      <c r="I2344" t="s">
        <v>40</v>
      </c>
      <c r="J2344" t="s">
        <v>41</v>
      </c>
      <c r="K2344" t="s">
        <v>29</v>
      </c>
      <c r="L2344" t="s">
        <v>30</v>
      </c>
      <c r="M2344" t="s">
        <v>139</v>
      </c>
      <c r="N2344">
        <v>1075</v>
      </c>
      <c r="O2344" s="14">
        <v>0.56137667363509502</v>
      </c>
      <c r="P2344" s="14">
        <v>0.95530052832327805</v>
      </c>
      <c r="Q2344" t="str">
        <f t="shared" si="72"/>
        <v>25-34</v>
      </c>
      <c r="R2344" t="str">
        <f t="shared" si="73"/>
        <v>[fiRkU6gEjLz]|25-34|Female|TX_CURR_SUBNAT.T_1|CY2023Q3</v>
      </c>
    </row>
    <row r="2345" spans="4:18" x14ac:dyDescent="0.2">
      <c r="D2345" t="s">
        <v>134</v>
      </c>
      <c r="E2345" t="s">
        <v>135</v>
      </c>
      <c r="F2345" t="s">
        <v>136</v>
      </c>
      <c r="G2345" t="s">
        <v>145</v>
      </c>
      <c r="H2345" t="s">
        <v>146</v>
      </c>
      <c r="I2345" t="s">
        <v>42</v>
      </c>
      <c r="J2345" t="s">
        <v>43</v>
      </c>
      <c r="K2345" t="s">
        <v>29</v>
      </c>
      <c r="L2345" t="s">
        <v>30</v>
      </c>
      <c r="M2345" t="s">
        <v>139</v>
      </c>
      <c r="N2345">
        <v>886</v>
      </c>
      <c r="O2345" s="14">
        <v>0.98540099244564805</v>
      </c>
      <c r="P2345" s="14">
        <v>0.95530052832327805</v>
      </c>
      <c r="Q2345" t="str">
        <f t="shared" si="72"/>
        <v>35-49</v>
      </c>
      <c r="R2345" t="str">
        <f t="shared" si="73"/>
        <v>[fiRkU6gEjLz]|35-49|Female|TX_CURR_SUBNAT.T_1|CY2023Q3</v>
      </c>
    </row>
    <row r="2346" spans="4:18" x14ac:dyDescent="0.2">
      <c r="D2346" t="s">
        <v>134</v>
      </c>
      <c r="E2346" t="s">
        <v>135</v>
      </c>
      <c r="F2346" t="s">
        <v>136</v>
      </c>
      <c r="G2346" t="s">
        <v>145</v>
      </c>
      <c r="H2346" t="s">
        <v>146</v>
      </c>
      <c r="I2346" t="s">
        <v>44</v>
      </c>
      <c r="J2346" t="s">
        <v>45</v>
      </c>
      <c r="K2346" t="s">
        <v>29</v>
      </c>
      <c r="L2346" t="s">
        <v>30</v>
      </c>
      <c r="M2346" t="s">
        <v>139</v>
      </c>
      <c r="N2346">
        <v>1569</v>
      </c>
      <c r="O2346" s="14">
        <v>0.43996283295564398</v>
      </c>
      <c r="P2346" s="14">
        <v>0.95530052832327805</v>
      </c>
      <c r="Q2346" t="str">
        <f t="shared" si="72"/>
        <v>50+</v>
      </c>
      <c r="R2346" t="str">
        <f t="shared" si="73"/>
        <v>[fiRkU6gEjLz]|50+|Female|TX_CURR_SUBNAT.T_1|CY2023Q3</v>
      </c>
    </row>
    <row r="2347" spans="4:18" x14ac:dyDescent="0.2">
      <c r="D2347" t="s">
        <v>134</v>
      </c>
      <c r="E2347" t="s">
        <v>135</v>
      </c>
      <c r="F2347" t="s">
        <v>136</v>
      </c>
      <c r="G2347" t="s">
        <v>145</v>
      </c>
      <c r="H2347" t="s">
        <v>146</v>
      </c>
      <c r="I2347" t="s">
        <v>27</v>
      </c>
      <c r="J2347" t="s">
        <v>28</v>
      </c>
      <c r="K2347" t="s">
        <v>47</v>
      </c>
      <c r="L2347" t="s">
        <v>48</v>
      </c>
      <c r="M2347" t="s">
        <v>139</v>
      </c>
      <c r="N2347">
        <v>1065</v>
      </c>
      <c r="O2347" s="14">
        <v>0.52653033495880697</v>
      </c>
      <c r="P2347" s="14">
        <v>0.95530052832327805</v>
      </c>
      <c r="Q2347" t="str">
        <f t="shared" si="72"/>
        <v>&lt;01</v>
      </c>
      <c r="R2347" t="str">
        <f t="shared" si="73"/>
        <v>[fiRkU6gEjLz]|&lt;01|Male|TX_CURR_SUBNAT.T_1|CY2023Q3</v>
      </c>
    </row>
    <row r="2348" spans="4:18" x14ac:dyDescent="0.2">
      <c r="D2348" t="s">
        <v>134</v>
      </c>
      <c r="E2348" t="s">
        <v>135</v>
      </c>
      <c r="F2348" t="s">
        <v>136</v>
      </c>
      <c r="G2348" t="s">
        <v>145</v>
      </c>
      <c r="H2348" t="s">
        <v>146</v>
      </c>
      <c r="I2348" t="s">
        <v>32</v>
      </c>
      <c r="J2348" t="s">
        <v>33</v>
      </c>
      <c r="K2348" t="s">
        <v>47</v>
      </c>
      <c r="L2348" t="s">
        <v>48</v>
      </c>
      <c r="M2348" t="s">
        <v>139</v>
      </c>
      <c r="N2348">
        <v>1133</v>
      </c>
      <c r="O2348" s="14">
        <v>8.4150942973792595E-2</v>
      </c>
      <c r="P2348" s="14">
        <v>0.95530052832327805</v>
      </c>
      <c r="Q2348" t="str">
        <f t="shared" si="72"/>
        <v>01-09</v>
      </c>
      <c r="R2348" t="str">
        <f t="shared" si="73"/>
        <v>[fiRkU6gEjLz]|01-09|Male|TX_CURR_SUBNAT.T_1|CY2023Q3</v>
      </c>
    </row>
    <row r="2349" spans="4:18" x14ac:dyDescent="0.2">
      <c r="D2349" t="s">
        <v>134</v>
      </c>
      <c r="E2349" t="s">
        <v>135</v>
      </c>
      <c r="F2349" t="s">
        <v>136</v>
      </c>
      <c r="G2349" t="s">
        <v>145</v>
      </c>
      <c r="H2349" t="s">
        <v>146</v>
      </c>
      <c r="I2349" t="s">
        <v>35</v>
      </c>
      <c r="J2349" t="s">
        <v>36</v>
      </c>
      <c r="K2349" t="s">
        <v>47</v>
      </c>
      <c r="L2349" t="s">
        <v>48</v>
      </c>
      <c r="M2349" t="s">
        <v>139</v>
      </c>
      <c r="N2349">
        <v>1987</v>
      </c>
      <c r="O2349" s="14">
        <v>0.47057037986814998</v>
      </c>
      <c r="P2349" s="14">
        <v>0.95530052832327805</v>
      </c>
      <c r="Q2349" t="str">
        <f t="shared" si="72"/>
        <v>10-14</v>
      </c>
      <c r="R2349" t="str">
        <f t="shared" si="73"/>
        <v>[fiRkU6gEjLz]|10-14|Male|TX_CURR_SUBNAT.T_1|CY2023Q3</v>
      </c>
    </row>
    <row r="2350" spans="4:18" x14ac:dyDescent="0.2">
      <c r="D2350" t="s">
        <v>134</v>
      </c>
      <c r="E2350" t="s">
        <v>135</v>
      </c>
      <c r="F2350" t="s">
        <v>136</v>
      </c>
      <c r="G2350" t="s">
        <v>145</v>
      </c>
      <c r="H2350" t="s">
        <v>146</v>
      </c>
      <c r="I2350" t="s">
        <v>37</v>
      </c>
      <c r="J2350" t="s">
        <v>38</v>
      </c>
      <c r="K2350" t="s">
        <v>47</v>
      </c>
      <c r="L2350" t="s">
        <v>48</v>
      </c>
      <c r="M2350" t="s">
        <v>139</v>
      </c>
      <c r="N2350">
        <v>968</v>
      </c>
      <c r="O2350" s="14">
        <v>0.22832248592749199</v>
      </c>
      <c r="P2350" s="14">
        <v>0.95530052832327805</v>
      </c>
      <c r="Q2350" t="str">
        <f t="shared" si="72"/>
        <v>15-24</v>
      </c>
      <c r="R2350" t="str">
        <f t="shared" si="73"/>
        <v>[fiRkU6gEjLz]|15-24|Male|TX_CURR_SUBNAT.T_1|CY2023Q3</v>
      </c>
    </row>
    <row r="2351" spans="4:18" x14ac:dyDescent="0.2">
      <c r="D2351" t="s">
        <v>134</v>
      </c>
      <c r="E2351" t="s">
        <v>135</v>
      </c>
      <c r="F2351" t="s">
        <v>136</v>
      </c>
      <c r="G2351" t="s">
        <v>145</v>
      </c>
      <c r="H2351" t="s">
        <v>146</v>
      </c>
      <c r="I2351" t="s">
        <v>40</v>
      </c>
      <c r="J2351" t="s">
        <v>41</v>
      </c>
      <c r="K2351" t="s">
        <v>47</v>
      </c>
      <c r="L2351" t="s">
        <v>48</v>
      </c>
      <c r="M2351" t="s">
        <v>139</v>
      </c>
      <c r="N2351">
        <v>724</v>
      </c>
      <c r="O2351" s="14">
        <v>4.6078197192400701E-2</v>
      </c>
      <c r="P2351" s="14">
        <v>0.95530052832327805</v>
      </c>
      <c r="Q2351" t="str">
        <f t="shared" si="72"/>
        <v>25-34</v>
      </c>
      <c r="R2351" t="str">
        <f t="shared" si="73"/>
        <v>[fiRkU6gEjLz]|25-34|Male|TX_CURR_SUBNAT.T_1|CY2023Q3</v>
      </c>
    </row>
    <row r="2352" spans="4:18" x14ac:dyDescent="0.2">
      <c r="D2352" t="s">
        <v>134</v>
      </c>
      <c r="E2352" t="s">
        <v>135</v>
      </c>
      <c r="F2352" t="s">
        <v>136</v>
      </c>
      <c r="G2352" t="s">
        <v>145</v>
      </c>
      <c r="H2352" t="s">
        <v>146</v>
      </c>
      <c r="I2352" t="s">
        <v>42</v>
      </c>
      <c r="J2352" t="s">
        <v>43</v>
      </c>
      <c r="K2352" t="s">
        <v>47</v>
      </c>
      <c r="L2352" t="s">
        <v>48</v>
      </c>
      <c r="M2352" t="s">
        <v>139</v>
      </c>
      <c r="N2352">
        <v>794</v>
      </c>
      <c r="O2352" s="14">
        <v>0.93932288372889206</v>
      </c>
      <c r="P2352" s="14">
        <v>0.95530052832327805</v>
      </c>
      <c r="Q2352" t="str">
        <f t="shared" si="72"/>
        <v>35-49</v>
      </c>
      <c r="R2352" t="str">
        <f t="shared" si="73"/>
        <v>[fiRkU6gEjLz]|35-49|Male|TX_CURR_SUBNAT.T_1|CY2023Q3</v>
      </c>
    </row>
    <row r="2353" spans="4:18" x14ac:dyDescent="0.2">
      <c r="D2353" t="s">
        <v>134</v>
      </c>
      <c r="E2353" t="s">
        <v>135</v>
      </c>
      <c r="F2353" t="s">
        <v>136</v>
      </c>
      <c r="G2353" t="s">
        <v>145</v>
      </c>
      <c r="H2353" t="s">
        <v>146</v>
      </c>
      <c r="I2353" t="s">
        <v>44</v>
      </c>
      <c r="J2353" t="s">
        <v>45</v>
      </c>
      <c r="K2353" t="s">
        <v>47</v>
      </c>
      <c r="L2353" t="s">
        <v>48</v>
      </c>
      <c r="M2353" t="s">
        <v>139</v>
      </c>
      <c r="N2353">
        <v>1369</v>
      </c>
      <c r="O2353" s="14">
        <v>0.84031645790673803</v>
      </c>
      <c r="P2353" s="14">
        <v>0.95530052832327805</v>
      </c>
      <c r="Q2353" t="str">
        <f t="shared" si="72"/>
        <v>50+</v>
      </c>
      <c r="R2353" t="str">
        <f t="shared" si="73"/>
        <v>[fiRkU6gEjLz]|50+|Male|TX_CURR_SUBNAT.T_1|CY2023Q3</v>
      </c>
    </row>
    <row r="2354" spans="4:18" x14ac:dyDescent="0.2">
      <c r="D2354" t="s">
        <v>22</v>
      </c>
      <c r="E2354" t="s">
        <v>23</v>
      </c>
      <c r="F2354" t="s">
        <v>24</v>
      </c>
      <c r="G2354" t="s">
        <v>147</v>
      </c>
      <c r="H2354" t="s">
        <v>148</v>
      </c>
      <c r="I2354" t="s">
        <v>27</v>
      </c>
      <c r="J2354" t="s">
        <v>28</v>
      </c>
      <c r="K2354" t="s">
        <v>29</v>
      </c>
      <c r="L2354" t="s">
        <v>30</v>
      </c>
      <c r="M2354" t="s">
        <v>139</v>
      </c>
      <c r="N2354">
        <v>1464</v>
      </c>
      <c r="O2354" s="14">
        <v>0.61989225237630297</v>
      </c>
      <c r="P2354" s="14">
        <v>0.40435861097648701</v>
      </c>
      <c r="Q2354" t="str">
        <f t="shared" si="72"/>
        <v>&lt;01</v>
      </c>
      <c r="R2354" t="str">
        <f t="shared" si="73"/>
        <v>[GkIwZrXy1h2]|&lt;01|Female|DIAGNOSED_SUBNAT.T_1|CY2023Q3</v>
      </c>
    </row>
    <row r="2355" spans="4:18" x14ac:dyDescent="0.2">
      <c r="D2355" t="s">
        <v>22</v>
      </c>
      <c r="E2355" t="s">
        <v>23</v>
      </c>
      <c r="F2355" t="s">
        <v>24</v>
      </c>
      <c r="G2355" t="s">
        <v>147</v>
      </c>
      <c r="H2355" t="s">
        <v>148</v>
      </c>
      <c r="I2355" t="s">
        <v>32</v>
      </c>
      <c r="J2355" t="s">
        <v>33</v>
      </c>
      <c r="K2355" t="s">
        <v>29</v>
      </c>
      <c r="L2355" t="s">
        <v>30</v>
      </c>
      <c r="M2355" t="s">
        <v>139</v>
      </c>
      <c r="N2355">
        <v>1939</v>
      </c>
      <c r="O2355" s="14">
        <v>8.7841516360640498E-2</v>
      </c>
      <c r="P2355" s="14">
        <v>0.40435861097648701</v>
      </c>
      <c r="Q2355" t="str">
        <f t="shared" si="72"/>
        <v>01-09</v>
      </c>
      <c r="R2355" t="str">
        <f t="shared" si="73"/>
        <v>[GkIwZrXy1h2]|01-09|Female|DIAGNOSED_SUBNAT.T_1|CY2023Q3</v>
      </c>
    </row>
    <row r="2356" spans="4:18" x14ac:dyDescent="0.2">
      <c r="D2356" t="s">
        <v>22</v>
      </c>
      <c r="E2356" t="s">
        <v>23</v>
      </c>
      <c r="F2356" t="s">
        <v>24</v>
      </c>
      <c r="G2356" t="s">
        <v>147</v>
      </c>
      <c r="H2356" t="s">
        <v>148</v>
      </c>
      <c r="I2356" t="s">
        <v>35</v>
      </c>
      <c r="J2356" t="s">
        <v>36</v>
      </c>
      <c r="K2356" t="s">
        <v>29</v>
      </c>
      <c r="L2356" t="s">
        <v>30</v>
      </c>
      <c r="M2356" t="s">
        <v>139</v>
      </c>
      <c r="N2356">
        <v>611</v>
      </c>
      <c r="O2356" s="14">
        <v>0.66600679233670201</v>
      </c>
      <c r="P2356" s="14">
        <v>0.40435861097648701</v>
      </c>
      <c r="Q2356" t="str">
        <f t="shared" si="72"/>
        <v>10-14</v>
      </c>
      <c r="R2356" t="str">
        <f t="shared" si="73"/>
        <v>[GkIwZrXy1h2]|10-14|Female|DIAGNOSED_SUBNAT.T_1|CY2023Q3</v>
      </c>
    </row>
    <row r="2357" spans="4:18" x14ac:dyDescent="0.2">
      <c r="D2357" t="s">
        <v>22</v>
      </c>
      <c r="E2357" t="s">
        <v>23</v>
      </c>
      <c r="F2357" t="s">
        <v>24</v>
      </c>
      <c r="G2357" t="s">
        <v>147</v>
      </c>
      <c r="H2357" t="s">
        <v>148</v>
      </c>
      <c r="I2357" t="s">
        <v>37</v>
      </c>
      <c r="J2357" t="s">
        <v>38</v>
      </c>
      <c r="K2357" t="s">
        <v>29</v>
      </c>
      <c r="L2357" t="s">
        <v>30</v>
      </c>
      <c r="M2357" t="s">
        <v>139</v>
      </c>
      <c r="N2357">
        <v>1627</v>
      </c>
      <c r="O2357" s="14">
        <v>0.19599711941555101</v>
      </c>
      <c r="P2357" s="14">
        <v>0.40435861097648701</v>
      </c>
      <c r="Q2357" t="str">
        <f t="shared" si="72"/>
        <v>15-24</v>
      </c>
      <c r="R2357" t="str">
        <f t="shared" si="73"/>
        <v>[GkIwZrXy1h2]|15-24|Female|DIAGNOSED_SUBNAT.T_1|CY2023Q3</v>
      </c>
    </row>
    <row r="2358" spans="4:18" x14ac:dyDescent="0.2">
      <c r="D2358" t="s">
        <v>22</v>
      </c>
      <c r="E2358" t="s">
        <v>23</v>
      </c>
      <c r="F2358" t="s">
        <v>24</v>
      </c>
      <c r="G2358" t="s">
        <v>147</v>
      </c>
      <c r="H2358" t="s">
        <v>148</v>
      </c>
      <c r="I2358" t="s">
        <v>40</v>
      </c>
      <c r="J2358" t="s">
        <v>41</v>
      </c>
      <c r="K2358" t="s">
        <v>29</v>
      </c>
      <c r="L2358" t="s">
        <v>30</v>
      </c>
      <c r="M2358" t="s">
        <v>139</v>
      </c>
      <c r="N2358">
        <v>1850</v>
      </c>
      <c r="O2358" s="14">
        <v>0.91232259874232102</v>
      </c>
      <c r="P2358" s="14">
        <v>0.40435861097648701</v>
      </c>
      <c r="Q2358" t="str">
        <f t="shared" si="72"/>
        <v>25-34</v>
      </c>
      <c r="R2358" t="str">
        <f t="shared" si="73"/>
        <v>[GkIwZrXy1h2]|25-34|Female|DIAGNOSED_SUBNAT.T_1|CY2023Q3</v>
      </c>
    </row>
    <row r="2359" spans="4:18" x14ac:dyDescent="0.2">
      <c r="D2359" t="s">
        <v>22</v>
      </c>
      <c r="E2359" t="s">
        <v>23</v>
      </c>
      <c r="F2359" t="s">
        <v>24</v>
      </c>
      <c r="G2359" t="s">
        <v>147</v>
      </c>
      <c r="H2359" t="s">
        <v>148</v>
      </c>
      <c r="I2359" t="s">
        <v>42</v>
      </c>
      <c r="J2359" t="s">
        <v>43</v>
      </c>
      <c r="K2359" t="s">
        <v>29</v>
      </c>
      <c r="L2359" t="s">
        <v>30</v>
      </c>
      <c r="M2359" t="s">
        <v>139</v>
      </c>
      <c r="N2359">
        <v>1359</v>
      </c>
      <c r="O2359" s="14">
        <v>0.13728156988508999</v>
      </c>
      <c r="P2359" s="14">
        <v>0.40435861097648701</v>
      </c>
      <c r="Q2359" t="str">
        <f t="shared" si="72"/>
        <v>35-49</v>
      </c>
      <c r="R2359" t="str">
        <f t="shared" si="73"/>
        <v>[GkIwZrXy1h2]|35-49|Female|DIAGNOSED_SUBNAT.T_1|CY2023Q3</v>
      </c>
    </row>
    <row r="2360" spans="4:18" x14ac:dyDescent="0.2">
      <c r="D2360" t="s">
        <v>22</v>
      </c>
      <c r="E2360" t="s">
        <v>23</v>
      </c>
      <c r="F2360" t="s">
        <v>24</v>
      </c>
      <c r="G2360" t="s">
        <v>147</v>
      </c>
      <c r="H2360" t="s">
        <v>148</v>
      </c>
      <c r="I2360" t="s">
        <v>44</v>
      </c>
      <c r="J2360" t="s">
        <v>45</v>
      </c>
      <c r="K2360" t="s">
        <v>29</v>
      </c>
      <c r="L2360" t="s">
        <v>30</v>
      </c>
      <c r="M2360" t="s">
        <v>139</v>
      </c>
      <c r="N2360">
        <v>674</v>
      </c>
      <c r="O2360" s="14">
        <v>0.22422282793559101</v>
      </c>
      <c r="P2360" s="14">
        <v>0.40435861097648701</v>
      </c>
      <c r="Q2360" t="str">
        <f t="shared" si="72"/>
        <v>50+</v>
      </c>
      <c r="R2360" t="str">
        <f t="shared" si="73"/>
        <v>[GkIwZrXy1h2]|50+|Female|DIAGNOSED_SUBNAT.T_1|CY2023Q3</v>
      </c>
    </row>
    <row r="2361" spans="4:18" x14ac:dyDescent="0.2">
      <c r="D2361" t="s">
        <v>22</v>
      </c>
      <c r="E2361" t="s">
        <v>23</v>
      </c>
      <c r="F2361" t="s">
        <v>24</v>
      </c>
      <c r="G2361" t="s">
        <v>147</v>
      </c>
      <c r="H2361" t="s">
        <v>148</v>
      </c>
      <c r="I2361" t="s">
        <v>27</v>
      </c>
      <c r="J2361" t="s">
        <v>28</v>
      </c>
      <c r="K2361" t="s">
        <v>47</v>
      </c>
      <c r="L2361" t="s">
        <v>48</v>
      </c>
      <c r="M2361" t="s">
        <v>139</v>
      </c>
      <c r="N2361">
        <v>1418</v>
      </c>
      <c r="O2361" s="14">
        <v>0.49522342649288498</v>
      </c>
      <c r="P2361" s="14">
        <v>0.40435861097648701</v>
      </c>
      <c r="Q2361" t="str">
        <f t="shared" si="72"/>
        <v>&lt;01</v>
      </c>
      <c r="R2361" t="str">
        <f t="shared" si="73"/>
        <v>[GkIwZrXy1h2]|&lt;01|Male|DIAGNOSED_SUBNAT.T_1|CY2023Q3</v>
      </c>
    </row>
    <row r="2362" spans="4:18" x14ac:dyDescent="0.2">
      <c r="D2362" t="s">
        <v>22</v>
      </c>
      <c r="E2362" t="s">
        <v>23</v>
      </c>
      <c r="F2362" t="s">
        <v>24</v>
      </c>
      <c r="G2362" t="s">
        <v>147</v>
      </c>
      <c r="H2362" t="s">
        <v>148</v>
      </c>
      <c r="I2362" t="s">
        <v>32</v>
      </c>
      <c r="J2362" t="s">
        <v>33</v>
      </c>
      <c r="K2362" t="s">
        <v>47</v>
      </c>
      <c r="L2362" t="s">
        <v>48</v>
      </c>
      <c r="M2362" t="s">
        <v>139</v>
      </c>
      <c r="N2362">
        <v>698</v>
      </c>
      <c r="O2362" s="14">
        <v>1.5165706397965601E-2</v>
      </c>
      <c r="P2362" s="14">
        <v>0.40435861097648701</v>
      </c>
      <c r="Q2362" t="str">
        <f t="shared" si="72"/>
        <v>01-09</v>
      </c>
      <c r="R2362" t="str">
        <f t="shared" si="73"/>
        <v>[GkIwZrXy1h2]|01-09|Male|DIAGNOSED_SUBNAT.T_1|CY2023Q3</v>
      </c>
    </row>
    <row r="2363" spans="4:18" x14ac:dyDescent="0.2">
      <c r="D2363" t="s">
        <v>22</v>
      </c>
      <c r="E2363" t="s">
        <v>23</v>
      </c>
      <c r="F2363" t="s">
        <v>24</v>
      </c>
      <c r="G2363" t="s">
        <v>147</v>
      </c>
      <c r="H2363" t="s">
        <v>148</v>
      </c>
      <c r="I2363" t="s">
        <v>35</v>
      </c>
      <c r="J2363" t="s">
        <v>36</v>
      </c>
      <c r="K2363" t="s">
        <v>47</v>
      </c>
      <c r="L2363" t="s">
        <v>48</v>
      </c>
      <c r="M2363" t="s">
        <v>139</v>
      </c>
      <c r="N2363">
        <v>875</v>
      </c>
      <c r="O2363" s="14">
        <v>0.390683142701164</v>
      </c>
      <c r="P2363" s="14">
        <v>0.40435861097648701</v>
      </c>
      <c r="Q2363" t="str">
        <f t="shared" si="72"/>
        <v>10-14</v>
      </c>
      <c r="R2363" t="str">
        <f t="shared" si="73"/>
        <v>[GkIwZrXy1h2]|10-14|Male|DIAGNOSED_SUBNAT.T_1|CY2023Q3</v>
      </c>
    </row>
    <row r="2364" spans="4:18" x14ac:dyDescent="0.2">
      <c r="D2364" t="s">
        <v>22</v>
      </c>
      <c r="E2364" t="s">
        <v>23</v>
      </c>
      <c r="F2364" t="s">
        <v>24</v>
      </c>
      <c r="G2364" t="s">
        <v>147</v>
      </c>
      <c r="H2364" t="s">
        <v>148</v>
      </c>
      <c r="I2364" t="s">
        <v>37</v>
      </c>
      <c r="J2364" t="s">
        <v>38</v>
      </c>
      <c r="K2364" t="s">
        <v>47</v>
      </c>
      <c r="L2364" t="s">
        <v>48</v>
      </c>
      <c r="M2364" t="s">
        <v>139</v>
      </c>
      <c r="N2364">
        <v>1354</v>
      </c>
      <c r="O2364" s="14">
        <v>0.20352155412547299</v>
      </c>
      <c r="P2364" s="14">
        <v>0.40435861097648701</v>
      </c>
      <c r="Q2364" t="str">
        <f t="shared" si="72"/>
        <v>15-24</v>
      </c>
      <c r="R2364" t="str">
        <f t="shared" si="73"/>
        <v>[GkIwZrXy1h2]|15-24|Male|DIAGNOSED_SUBNAT.T_1|CY2023Q3</v>
      </c>
    </row>
    <row r="2365" spans="4:18" x14ac:dyDescent="0.2">
      <c r="D2365" t="s">
        <v>22</v>
      </c>
      <c r="E2365" t="s">
        <v>23</v>
      </c>
      <c r="F2365" t="s">
        <v>24</v>
      </c>
      <c r="G2365" t="s">
        <v>147</v>
      </c>
      <c r="H2365" t="s">
        <v>148</v>
      </c>
      <c r="I2365" t="s">
        <v>40</v>
      </c>
      <c r="J2365" t="s">
        <v>41</v>
      </c>
      <c r="K2365" t="s">
        <v>47</v>
      </c>
      <c r="L2365" t="s">
        <v>48</v>
      </c>
      <c r="M2365" t="s">
        <v>139</v>
      </c>
      <c r="N2365">
        <v>657</v>
      </c>
      <c r="O2365" s="14">
        <v>0.34613931342028098</v>
      </c>
      <c r="P2365" s="14">
        <v>0.40435861097648701</v>
      </c>
      <c r="Q2365" t="str">
        <f t="shared" si="72"/>
        <v>25-34</v>
      </c>
      <c r="R2365" t="str">
        <f t="shared" si="73"/>
        <v>[GkIwZrXy1h2]|25-34|Male|DIAGNOSED_SUBNAT.T_1|CY2023Q3</v>
      </c>
    </row>
    <row r="2366" spans="4:18" x14ac:dyDescent="0.2">
      <c r="D2366" t="s">
        <v>22</v>
      </c>
      <c r="E2366" t="s">
        <v>23</v>
      </c>
      <c r="F2366" t="s">
        <v>24</v>
      </c>
      <c r="G2366" t="s">
        <v>147</v>
      </c>
      <c r="H2366" t="s">
        <v>148</v>
      </c>
      <c r="I2366" t="s">
        <v>42</v>
      </c>
      <c r="J2366" t="s">
        <v>43</v>
      </c>
      <c r="K2366" t="s">
        <v>47</v>
      </c>
      <c r="L2366" t="s">
        <v>48</v>
      </c>
      <c r="M2366" t="s">
        <v>139</v>
      </c>
      <c r="N2366">
        <v>748</v>
      </c>
      <c r="O2366" s="14">
        <v>0.45081396470777702</v>
      </c>
      <c r="P2366" s="14">
        <v>0.40435861097648701</v>
      </c>
      <c r="Q2366" t="str">
        <f t="shared" si="72"/>
        <v>35-49</v>
      </c>
      <c r="R2366" t="str">
        <f t="shared" si="73"/>
        <v>[GkIwZrXy1h2]|35-49|Male|DIAGNOSED_SUBNAT.T_1|CY2023Q3</v>
      </c>
    </row>
    <row r="2367" spans="4:18" x14ac:dyDescent="0.2">
      <c r="D2367" t="s">
        <v>22</v>
      </c>
      <c r="E2367" t="s">
        <v>23</v>
      </c>
      <c r="F2367" t="s">
        <v>24</v>
      </c>
      <c r="G2367" t="s">
        <v>147</v>
      </c>
      <c r="H2367" t="s">
        <v>148</v>
      </c>
      <c r="I2367" t="s">
        <v>44</v>
      </c>
      <c r="J2367" t="s">
        <v>45</v>
      </c>
      <c r="K2367" t="s">
        <v>47</v>
      </c>
      <c r="L2367" t="s">
        <v>48</v>
      </c>
      <c r="M2367" t="s">
        <v>139</v>
      </c>
      <c r="N2367">
        <v>1089</v>
      </c>
      <c r="O2367" s="14">
        <v>0.83808970102109004</v>
      </c>
      <c r="P2367" s="14">
        <v>0.40435861097648701</v>
      </c>
      <c r="Q2367" t="str">
        <f t="shared" si="72"/>
        <v>50+</v>
      </c>
      <c r="R2367" t="str">
        <f t="shared" si="73"/>
        <v>[GkIwZrXy1h2]|50+|Male|DIAGNOSED_SUBNAT.T_1|CY2023Q3</v>
      </c>
    </row>
    <row r="2368" spans="4:18" x14ac:dyDescent="0.2">
      <c r="D2368" t="s">
        <v>52</v>
      </c>
      <c r="E2368" t="s">
        <v>53</v>
      </c>
      <c r="F2368" t="s">
        <v>54</v>
      </c>
      <c r="G2368" t="s">
        <v>147</v>
      </c>
      <c r="H2368" t="s">
        <v>148</v>
      </c>
      <c r="I2368" t="s">
        <v>27</v>
      </c>
      <c r="J2368" t="s">
        <v>28</v>
      </c>
      <c r="K2368" t="s">
        <v>29</v>
      </c>
      <c r="L2368" t="s">
        <v>30</v>
      </c>
      <c r="M2368" t="s">
        <v>139</v>
      </c>
      <c r="N2368">
        <v>1121</v>
      </c>
      <c r="O2368" s="14">
        <v>0.28383568534627601</v>
      </c>
      <c r="P2368" s="14">
        <v>0.61639246996492103</v>
      </c>
      <c r="Q2368" t="str">
        <f t="shared" si="72"/>
        <v>&lt;01</v>
      </c>
      <c r="R2368" t="str">
        <f t="shared" si="73"/>
        <v>[zphK9WV8JB4]|&lt;01|Female|DIAGNOSED_SUBNAT.T_1|CY2023Q3</v>
      </c>
    </row>
    <row r="2369" spans="4:18" x14ac:dyDescent="0.2">
      <c r="D2369" t="s">
        <v>52</v>
      </c>
      <c r="E2369" t="s">
        <v>53</v>
      </c>
      <c r="F2369" t="s">
        <v>54</v>
      </c>
      <c r="G2369" t="s">
        <v>147</v>
      </c>
      <c r="H2369" t="s">
        <v>148</v>
      </c>
      <c r="I2369" t="s">
        <v>32</v>
      </c>
      <c r="J2369" t="s">
        <v>33</v>
      </c>
      <c r="K2369" t="s">
        <v>29</v>
      </c>
      <c r="L2369" t="s">
        <v>30</v>
      </c>
      <c r="M2369" t="s">
        <v>139</v>
      </c>
      <c r="N2369">
        <v>583</v>
      </c>
      <c r="O2369" s="14">
        <v>0.85340431169606701</v>
      </c>
      <c r="P2369" s="14">
        <v>0.61639246996492103</v>
      </c>
      <c r="Q2369" t="str">
        <f t="shared" si="72"/>
        <v>01-09</v>
      </c>
      <c r="R2369" t="str">
        <f t="shared" si="73"/>
        <v>[zphK9WV8JB4]|01-09|Female|DIAGNOSED_SUBNAT.T_1|CY2023Q3</v>
      </c>
    </row>
    <row r="2370" spans="4:18" x14ac:dyDescent="0.2">
      <c r="D2370" t="s">
        <v>52</v>
      </c>
      <c r="E2370" t="s">
        <v>53</v>
      </c>
      <c r="F2370" t="s">
        <v>54</v>
      </c>
      <c r="G2370" t="s">
        <v>147</v>
      </c>
      <c r="H2370" t="s">
        <v>148</v>
      </c>
      <c r="I2370" t="s">
        <v>35</v>
      </c>
      <c r="J2370" t="s">
        <v>36</v>
      </c>
      <c r="K2370" t="s">
        <v>29</v>
      </c>
      <c r="L2370" t="s">
        <v>30</v>
      </c>
      <c r="M2370" t="s">
        <v>139</v>
      </c>
      <c r="N2370">
        <v>1364</v>
      </c>
      <c r="O2370" s="14">
        <v>0.14269005157984799</v>
      </c>
      <c r="P2370" s="14">
        <v>0.61639246996492103</v>
      </c>
      <c r="Q2370" t="str">
        <f t="shared" ref="Q2370:Q2433" si="74">SUBSTITUTE(SUBSTITUTE($I2370,CHAR(61),""),CHAR(34),"")</f>
        <v>10-14</v>
      </c>
      <c r="R2370" t="str">
        <f t="shared" ref="R2370:R2433" si="75">IF($D2370&lt;&gt;"","["&amp;$E2370&amp;"]"&amp;"|"&amp;$Q2370&amp;"|"&amp;$K2370&amp;"|"&amp;$G2370&amp;"|"&amp;IF($G2370="TX_CURR_SUBNAT.R","CY2022Q4",$M2370),"")</f>
        <v>[zphK9WV8JB4]|10-14|Female|DIAGNOSED_SUBNAT.T_1|CY2023Q3</v>
      </c>
    </row>
    <row r="2371" spans="4:18" x14ac:dyDescent="0.2">
      <c r="D2371" t="s">
        <v>52</v>
      </c>
      <c r="E2371" t="s">
        <v>53</v>
      </c>
      <c r="F2371" t="s">
        <v>54</v>
      </c>
      <c r="G2371" t="s">
        <v>147</v>
      </c>
      <c r="H2371" t="s">
        <v>148</v>
      </c>
      <c r="I2371" t="s">
        <v>37</v>
      </c>
      <c r="J2371" t="s">
        <v>38</v>
      </c>
      <c r="K2371" t="s">
        <v>29</v>
      </c>
      <c r="L2371" t="s">
        <v>30</v>
      </c>
      <c r="M2371" t="s">
        <v>139</v>
      </c>
      <c r="N2371">
        <v>1007</v>
      </c>
      <c r="O2371" s="14">
        <v>4.7367415623739403E-2</v>
      </c>
      <c r="P2371" s="14">
        <v>0.61639246996492103</v>
      </c>
      <c r="Q2371" t="str">
        <f t="shared" si="74"/>
        <v>15-24</v>
      </c>
      <c r="R2371" t="str">
        <f t="shared" si="75"/>
        <v>[zphK9WV8JB4]|15-24|Female|DIAGNOSED_SUBNAT.T_1|CY2023Q3</v>
      </c>
    </row>
    <row r="2372" spans="4:18" x14ac:dyDescent="0.2">
      <c r="D2372" t="s">
        <v>52</v>
      </c>
      <c r="E2372" t="s">
        <v>53</v>
      </c>
      <c r="F2372" t="s">
        <v>54</v>
      </c>
      <c r="G2372" t="s">
        <v>147</v>
      </c>
      <c r="H2372" t="s">
        <v>148</v>
      </c>
      <c r="I2372" t="s">
        <v>40</v>
      </c>
      <c r="J2372" t="s">
        <v>41</v>
      </c>
      <c r="K2372" t="s">
        <v>29</v>
      </c>
      <c r="L2372" t="s">
        <v>30</v>
      </c>
      <c r="M2372" t="s">
        <v>139</v>
      </c>
      <c r="N2372">
        <v>989</v>
      </c>
      <c r="O2372" s="14">
        <v>0.93694560136645999</v>
      </c>
      <c r="P2372" s="14">
        <v>0.61639246996492103</v>
      </c>
      <c r="Q2372" t="str">
        <f t="shared" si="74"/>
        <v>25-34</v>
      </c>
      <c r="R2372" t="str">
        <f t="shared" si="75"/>
        <v>[zphK9WV8JB4]|25-34|Female|DIAGNOSED_SUBNAT.T_1|CY2023Q3</v>
      </c>
    </row>
    <row r="2373" spans="4:18" x14ac:dyDescent="0.2">
      <c r="D2373" t="s">
        <v>52</v>
      </c>
      <c r="E2373" t="s">
        <v>53</v>
      </c>
      <c r="F2373" t="s">
        <v>54</v>
      </c>
      <c r="G2373" t="s">
        <v>147</v>
      </c>
      <c r="H2373" t="s">
        <v>148</v>
      </c>
      <c r="I2373" t="s">
        <v>42</v>
      </c>
      <c r="J2373" t="s">
        <v>43</v>
      </c>
      <c r="K2373" t="s">
        <v>29</v>
      </c>
      <c r="L2373" t="s">
        <v>30</v>
      </c>
      <c r="M2373" t="s">
        <v>139</v>
      </c>
      <c r="N2373">
        <v>1645</v>
      </c>
      <c r="O2373" s="14">
        <v>0.414434468839318</v>
      </c>
      <c r="P2373" s="14">
        <v>0.61639246996492103</v>
      </c>
      <c r="Q2373" t="str">
        <f t="shared" si="74"/>
        <v>35-49</v>
      </c>
      <c r="R2373" t="str">
        <f t="shared" si="75"/>
        <v>[zphK9WV8JB4]|35-49|Female|DIAGNOSED_SUBNAT.T_1|CY2023Q3</v>
      </c>
    </row>
    <row r="2374" spans="4:18" x14ac:dyDescent="0.2">
      <c r="D2374" t="s">
        <v>52</v>
      </c>
      <c r="E2374" t="s">
        <v>53</v>
      </c>
      <c r="F2374" t="s">
        <v>54</v>
      </c>
      <c r="G2374" t="s">
        <v>147</v>
      </c>
      <c r="H2374" t="s">
        <v>148</v>
      </c>
      <c r="I2374" t="s">
        <v>44</v>
      </c>
      <c r="J2374" t="s">
        <v>45</v>
      </c>
      <c r="K2374" t="s">
        <v>29</v>
      </c>
      <c r="L2374" t="s">
        <v>30</v>
      </c>
      <c r="M2374" t="s">
        <v>139</v>
      </c>
      <c r="N2374">
        <v>1605</v>
      </c>
      <c r="O2374" s="14">
        <v>0.35075969062745599</v>
      </c>
      <c r="P2374" s="14">
        <v>0.61639246996492103</v>
      </c>
      <c r="Q2374" t="str">
        <f t="shared" si="74"/>
        <v>50+</v>
      </c>
      <c r="R2374" t="str">
        <f t="shared" si="75"/>
        <v>[zphK9WV8JB4]|50+|Female|DIAGNOSED_SUBNAT.T_1|CY2023Q3</v>
      </c>
    </row>
    <row r="2375" spans="4:18" x14ac:dyDescent="0.2">
      <c r="D2375" t="s">
        <v>52</v>
      </c>
      <c r="E2375" t="s">
        <v>53</v>
      </c>
      <c r="F2375" t="s">
        <v>54</v>
      </c>
      <c r="G2375" t="s">
        <v>147</v>
      </c>
      <c r="H2375" t="s">
        <v>148</v>
      </c>
      <c r="I2375" t="s">
        <v>27</v>
      </c>
      <c r="J2375" t="s">
        <v>28</v>
      </c>
      <c r="K2375" t="s">
        <v>47</v>
      </c>
      <c r="L2375" t="s">
        <v>48</v>
      </c>
      <c r="M2375" t="s">
        <v>139</v>
      </c>
      <c r="N2375">
        <v>1295</v>
      </c>
      <c r="O2375" s="14">
        <v>0.25498403003439302</v>
      </c>
      <c r="P2375" s="14">
        <v>0.61639246996492103</v>
      </c>
      <c r="Q2375" t="str">
        <f t="shared" si="74"/>
        <v>&lt;01</v>
      </c>
      <c r="R2375" t="str">
        <f t="shared" si="75"/>
        <v>[zphK9WV8JB4]|&lt;01|Male|DIAGNOSED_SUBNAT.T_1|CY2023Q3</v>
      </c>
    </row>
    <row r="2376" spans="4:18" x14ac:dyDescent="0.2">
      <c r="D2376" t="s">
        <v>52</v>
      </c>
      <c r="E2376" t="s">
        <v>53</v>
      </c>
      <c r="F2376" t="s">
        <v>54</v>
      </c>
      <c r="G2376" t="s">
        <v>147</v>
      </c>
      <c r="H2376" t="s">
        <v>148</v>
      </c>
      <c r="I2376" t="s">
        <v>32</v>
      </c>
      <c r="J2376" t="s">
        <v>33</v>
      </c>
      <c r="K2376" t="s">
        <v>47</v>
      </c>
      <c r="L2376" t="s">
        <v>48</v>
      </c>
      <c r="M2376" t="s">
        <v>139</v>
      </c>
      <c r="N2376">
        <v>1930</v>
      </c>
      <c r="O2376" s="14">
        <v>0.401945954654366</v>
      </c>
      <c r="P2376" s="14">
        <v>0.61639246996492103</v>
      </c>
      <c r="Q2376" t="str">
        <f t="shared" si="74"/>
        <v>01-09</v>
      </c>
      <c r="R2376" t="str">
        <f t="shared" si="75"/>
        <v>[zphK9WV8JB4]|01-09|Male|DIAGNOSED_SUBNAT.T_1|CY2023Q3</v>
      </c>
    </row>
    <row r="2377" spans="4:18" x14ac:dyDescent="0.2">
      <c r="D2377" t="s">
        <v>52</v>
      </c>
      <c r="E2377" t="s">
        <v>53</v>
      </c>
      <c r="F2377" t="s">
        <v>54</v>
      </c>
      <c r="G2377" t="s">
        <v>147</v>
      </c>
      <c r="H2377" t="s">
        <v>148</v>
      </c>
      <c r="I2377" t="s">
        <v>35</v>
      </c>
      <c r="J2377" t="s">
        <v>36</v>
      </c>
      <c r="K2377" t="s">
        <v>47</v>
      </c>
      <c r="L2377" t="s">
        <v>48</v>
      </c>
      <c r="M2377" t="s">
        <v>139</v>
      </c>
      <c r="N2377">
        <v>1085</v>
      </c>
      <c r="O2377" s="14">
        <v>9.6373735927045304E-2</v>
      </c>
      <c r="P2377" s="14">
        <v>0.61639246996492103</v>
      </c>
      <c r="Q2377" t="str">
        <f t="shared" si="74"/>
        <v>10-14</v>
      </c>
      <c r="R2377" t="str">
        <f t="shared" si="75"/>
        <v>[zphK9WV8JB4]|10-14|Male|DIAGNOSED_SUBNAT.T_1|CY2023Q3</v>
      </c>
    </row>
    <row r="2378" spans="4:18" x14ac:dyDescent="0.2">
      <c r="D2378" t="s">
        <v>52</v>
      </c>
      <c r="E2378" t="s">
        <v>53</v>
      </c>
      <c r="F2378" t="s">
        <v>54</v>
      </c>
      <c r="G2378" t="s">
        <v>147</v>
      </c>
      <c r="H2378" t="s">
        <v>148</v>
      </c>
      <c r="I2378" t="s">
        <v>37</v>
      </c>
      <c r="J2378" t="s">
        <v>38</v>
      </c>
      <c r="K2378" t="s">
        <v>47</v>
      </c>
      <c r="L2378" t="s">
        <v>48</v>
      </c>
      <c r="M2378" t="s">
        <v>139</v>
      </c>
      <c r="N2378">
        <v>618</v>
      </c>
      <c r="O2378" s="14">
        <v>0.93563901935704097</v>
      </c>
      <c r="P2378" s="14">
        <v>0.61639246996492103</v>
      </c>
      <c r="Q2378" t="str">
        <f t="shared" si="74"/>
        <v>15-24</v>
      </c>
      <c r="R2378" t="str">
        <f t="shared" si="75"/>
        <v>[zphK9WV8JB4]|15-24|Male|DIAGNOSED_SUBNAT.T_1|CY2023Q3</v>
      </c>
    </row>
    <row r="2379" spans="4:18" x14ac:dyDescent="0.2">
      <c r="D2379" t="s">
        <v>52</v>
      </c>
      <c r="E2379" t="s">
        <v>53</v>
      </c>
      <c r="F2379" t="s">
        <v>54</v>
      </c>
      <c r="G2379" t="s">
        <v>147</v>
      </c>
      <c r="H2379" t="s">
        <v>148</v>
      </c>
      <c r="I2379" t="s">
        <v>40</v>
      </c>
      <c r="J2379" t="s">
        <v>41</v>
      </c>
      <c r="K2379" t="s">
        <v>47</v>
      </c>
      <c r="L2379" t="s">
        <v>48</v>
      </c>
      <c r="M2379" t="s">
        <v>139</v>
      </c>
      <c r="N2379">
        <v>1771</v>
      </c>
      <c r="O2379" s="14">
        <v>0.16966368537396201</v>
      </c>
      <c r="P2379" s="14">
        <v>0.61639246996492103</v>
      </c>
      <c r="Q2379" t="str">
        <f t="shared" si="74"/>
        <v>25-34</v>
      </c>
      <c r="R2379" t="str">
        <f t="shared" si="75"/>
        <v>[zphK9WV8JB4]|25-34|Male|DIAGNOSED_SUBNAT.T_1|CY2023Q3</v>
      </c>
    </row>
    <row r="2380" spans="4:18" x14ac:dyDescent="0.2">
      <c r="D2380" t="s">
        <v>52</v>
      </c>
      <c r="E2380" t="s">
        <v>53</v>
      </c>
      <c r="F2380" t="s">
        <v>54</v>
      </c>
      <c r="G2380" t="s">
        <v>147</v>
      </c>
      <c r="H2380" t="s">
        <v>148</v>
      </c>
      <c r="I2380" t="s">
        <v>42</v>
      </c>
      <c r="J2380" t="s">
        <v>43</v>
      </c>
      <c r="K2380" t="s">
        <v>47</v>
      </c>
      <c r="L2380" t="s">
        <v>48</v>
      </c>
      <c r="M2380" t="s">
        <v>139</v>
      </c>
      <c r="N2380">
        <v>957</v>
      </c>
      <c r="O2380" s="14">
        <v>0.30685976753011301</v>
      </c>
      <c r="P2380" s="14">
        <v>0.61639246996492103</v>
      </c>
      <c r="Q2380" t="str">
        <f t="shared" si="74"/>
        <v>35-49</v>
      </c>
      <c r="R2380" t="str">
        <f t="shared" si="75"/>
        <v>[zphK9WV8JB4]|35-49|Male|DIAGNOSED_SUBNAT.T_1|CY2023Q3</v>
      </c>
    </row>
    <row r="2381" spans="4:18" x14ac:dyDescent="0.2">
      <c r="D2381" t="s">
        <v>52</v>
      </c>
      <c r="E2381" t="s">
        <v>53</v>
      </c>
      <c r="F2381" t="s">
        <v>54</v>
      </c>
      <c r="G2381" t="s">
        <v>147</v>
      </c>
      <c r="H2381" t="s">
        <v>148</v>
      </c>
      <c r="I2381" t="s">
        <v>44</v>
      </c>
      <c r="J2381" t="s">
        <v>45</v>
      </c>
      <c r="K2381" t="s">
        <v>47</v>
      </c>
      <c r="L2381" t="s">
        <v>48</v>
      </c>
      <c r="M2381" t="s">
        <v>139</v>
      </c>
      <c r="N2381">
        <v>714</v>
      </c>
      <c r="O2381" s="14">
        <v>0.60200499696657095</v>
      </c>
      <c r="P2381" s="14">
        <v>0.61639246996492103</v>
      </c>
      <c r="Q2381" t="str">
        <f t="shared" si="74"/>
        <v>50+</v>
      </c>
      <c r="R2381" t="str">
        <f t="shared" si="75"/>
        <v>[zphK9WV8JB4]|50+|Male|DIAGNOSED_SUBNAT.T_1|CY2023Q3</v>
      </c>
    </row>
    <row r="2382" spans="4:18" x14ac:dyDescent="0.2">
      <c r="D2382" t="s">
        <v>59</v>
      </c>
      <c r="E2382" t="s">
        <v>60</v>
      </c>
      <c r="F2382" t="s">
        <v>61</v>
      </c>
      <c r="G2382" t="s">
        <v>147</v>
      </c>
      <c r="H2382" t="s">
        <v>148</v>
      </c>
      <c r="I2382" t="s">
        <v>27</v>
      </c>
      <c r="J2382" t="s">
        <v>28</v>
      </c>
      <c r="K2382" t="s">
        <v>29</v>
      </c>
      <c r="L2382" t="s">
        <v>30</v>
      </c>
      <c r="M2382" t="s">
        <v>139</v>
      </c>
      <c r="N2382">
        <v>1669</v>
      </c>
      <c r="O2382" s="14">
        <v>0.83988886582665101</v>
      </c>
      <c r="P2382" s="14">
        <v>2.6825056178495298E-2</v>
      </c>
      <c r="Q2382" t="str">
        <f t="shared" si="74"/>
        <v>&lt;01</v>
      </c>
      <c r="R2382" t="str">
        <f t="shared" si="75"/>
        <v>[msW2zpIN7up]|&lt;01|Female|DIAGNOSED_SUBNAT.T_1|CY2023Q3</v>
      </c>
    </row>
    <row r="2383" spans="4:18" x14ac:dyDescent="0.2">
      <c r="D2383" t="s">
        <v>59</v>
      </c>
      <c r="E2383" t="s">
        <v>60</v>
      </c>
      <c r="F2383" t="s">
        <v>61</v>
      </c>
      <c r="G2383" t="s">
        <v>147</v>
      </c>
      <c r="H2383" t="s">
        <v>148</v>
      </c>
      <c r="I2383" t="s">
        <v>32</v>
      </c>
      <c r="J2383" t="s">
        <v>33</v>
      </c>
      <c r="K2383" t="s">
        <v>29</v>
      </c>
      <c r="L2383" t="s">
        <v>30</v>
      </c>
      <c r="M2383" t="s">
        <v>139</v>
      </c>
      <c r="N2383">
        <v>786</v>
      </c>
      <c r="O2383" s="14">
        <v>0.137054828926921</v>
      </c>
      <c r="P2383" s="14">
        <v>2.6825056178495298E-2</v>
      </c>
      <c r="Q2383" t="str">
        <f t="shared" si="74"/>
        <v>01-09</v>
      </c>
      <c r="R2383" t="str">
        <f t="shared" si="75"/>
        <v>[msW2zpIN7up]|01-09|Female|DIAGNOSED_SUBNAT.T_1|CY2023Q3</v>
      </c>
    </row>
    <row r="2384" spans="4:18" x14ac:dyDescent="0.2">
      <c r="D2384" t="s">
        <v>59</v>
      </c>
      <c r="E2384" t="s">
        <v>60</v>
      </c>
      <c r="F2384" t="s">
        <v>61</v>
      </c>
      <c r="G2384" t="s">
        <v>147</v>
      </c>
      <c r="H2384" t="s">
        <v>148</v>
      </c>
      <c r="I2384" t="s">
        <v>35</v>
      </c>
      <c r="J2384" t="s">
        <v>36</v>
      </c>
      <c r="K2384" t="s">
        <v>29</v>
      </c>
      <c r="L2384" t="s">
        <v>30</v>
      </c>
      <c r="M2384" t="s">
        <v>139</v>
      </c>
      <c r="N2384">
        <v>1019</v>
      </c>
      <c r="O2384" s="14">
        <v>0.36010975507088</v>
      </c>
      <c r="P2384" s="14">
        <v>2.6825056178495298E-2</v>
      </c>
      <c r="Q2384" t="str">
        <f t="shared" si="74"/>
        <v>10-14</v>
      </c>
      <c r="R2384" t="str">
        <f t="shared" si="75"/>
        <v>[msW2zpIN7up]|10-14|Female|DIAGNOSED_SUBNAT.T_1|CY2023Q3</v>
      </c>
    </row>
    <row r="2385" spans="4:18" x14ac:dyDescent="0.2">
      <c r="D2385" t="s">
        <v>59</v>
      </c>
      <c r="E2385" t="s">
        <v>60</v>
      </c>
      <c r="F2385" t="s">
        <v>61</v>
      </c>
      <c r="G2385" t="s">
        <v>147</v>
      </c>
      <c r="H2385" t="s">
        <v>148</v>
      </c>
      <c r="I2385" t="s">
        <v>37</v>
      </c>
      <c r="J2385" t="s">
        <v>38</v>
      </c>
      <c r="K2385" t="s">
        <v>29</v>
      </c>
      <c r="L2385" t="s">
        <v>30</v>
      </c>
      <c r="M2385" t="s">
        <v>139</v>
      </c>
      <c r="N2385">
        <v>1184</v>
      </c>
      <c r="O2385" s="14">
        <v>0.43284443160518998</v>
      </c>
      <c r="P2385" s="14">
        <v>2.6825056178495298E-2</v>
      </c>
      <c r="Q2385" t="str">
        <f t="shared" si="74"/>
        <v>15-24</v>
      </c>
      <c r="R2385" t="str">
        <f t="shared" si="75"/>
        <v>[msW2zpIN7up]|15-24|Female|DIAGNOSED_SUBNAT.T_1|CY2023Q3</v>
      </c>
    </row>
    <row r="2386" spans="4:18" x14ac:dyDescent="0.2">
      <c r="D2386" t="s">
        <v>59</v>
      </c>
      <c r="E2386" t="s">
        <v>60</v>
      </c>
      <c r="F2386" t="s">
        <v>61</v>
      </c>
      <c r="G2386" t="s">
        <v>147</v>
      </c>
      <c r="H2386" t="s">
        <v>148</v>
      </c>
      <c r="I2386" t="s">
        <v>40</v>
      </c>
      <c r="J2386" t="s">
        <v>41</v>
      </c>
      <c r="K2386" t="s">
        <v>29</v>
      </c>
      <c r="L2386" t="s">
        <v>30</v>
      </c>
      <c r="M2386" t="s">
        <v>139</v>
      </c>
      <c r="N2386">
        <v>948</v>
      </c>
      <c r="O2386" s="14">
        <v>0.61708564264699794</v>
      </c>
      <c r="P2386" s="14">
        <v>2.6825056178495298E-2</v>
      </c>
      <c r="Q2386" t="str">
        <f t="shared" si="74"/>
        <v>25-34</v>
      </c>
      <c r="R2386" t="str">
        <f t="shared" si="75"/>
        <v>[msW2zpIN7up]|25-34|Female|DIAGNOSED_SUBNAT.T_1|CY2023Q3</v>
      </c>
    </row>
    <row r="2387" spans="4:18" x14ac:dyDescent="0.2">
      <c r="D2387" t="s">
        <v>59</v>
      </c>
      <c r="E2387" t="s">
        <v>60</v>
      </c>
      <c r="F2387" t="s">
        <v>61</v>
      </c>
      <c r="G2387" t="s">
        <v>147</v>
      </c>
      <c r="H2387" t="s">
        <v>148</v>
      </c>
      <c r="I2387" t="s">
        <v>42</v>
      </c>
      <c r="J2387" t="s">
        <v>43</v>
      </c>
      <c r="K2387" t="s">
        <v>29</v>
      </c>
      <c r="L2387" t="s">
        <v>30</v>
      </c>
      <c r="M2387" t="s">
        <v>139</v>
      </c>
      <c r="N2387">
        <v>928</v>
      </c>
      <c r="O2387" s="14">
        <v>0.613401684677228</v>
      </c>
      <c r="P2387" s="14">
        <v>2.6825056178495298E-2</v>
      </c>
      <c r="Q2387" t="str">
        <f t="shared" si="74"/>
        <v>35-49</v>
      </c>
      <c r="R2387" t="str">
        <f t="shared" si="75"/>
        <v>[msW2zpIN7up]|35-49|Female|DIAGNOSED_SUBNAT.T_1|CY2023Q3</v>
      </c>
    </row>
    <row r="2388" spans="4:18" x14ac:dyDescent="0.2">
      <c r="D2388" t="s">
        <v>59</v>
      </c>
      <c r="E2388" t="s">
        <v>60</v>
      </c>
      <c r="F2388" t="s">
        <v>61</v>
      </c>
      <c r="G2388" t="s">
        <v>147</v>
      </c>
      <c r="H2388" t="s">
        <v>148</v>
      </c>
      <c r="I2388" t="s">
        <v>44</v>
      </c>
      <c r="J2388" t="s">
        <v>45</v>
      </c>
      <c r="K2388" t="s">
        <v>29</v>
      </c>
      <c r="L2388" t="s">
        <v>30</v>
      </c>
      <c r="M2388" t="s">
        <v>139</v>
      </c>
      <c r="N2388">
        <v>1561</v>
      </c>
      <c r="O2388" s="14">
        <v>0.46738403756171498</v>
      </c>
      <c r="P2388" s="14">
        <v>2.6825056178495298E-2</v>
      </c>
      <c r="Q2388" t="str">
        <f t="shared" si="74"/>
        <v>50+</v>
      </c>
      <c r="R2388" t="str">
        <f t="shared" si="75"/>
        <v>[msW2zpIN7up]|50+|Female|DIAGNOSED_SUBNAT.T_1|CY2023Q3</v>
      </c>
    </row>
    <row r="2389" spans="4:18" x14ac:dyDescent="0.2">
      <c r="D2389" t="s">
        <v>59</v>
      </c>
      <c r="E2389" t="s">
        <v>60</v>
      </c>
      <c r="F2389" t="s">
        <v>61</v>
      </c>
      <c r="G2389" t="s">
        <v>147</v>
      </c>
      <c r="H2389" t="s">
        <v>148</v>
      </c>
      <c r="I2389" t="s">
        <v>27</v>
      </c>
      <c r="J2389" t="s">
        <v>28</v>
      </c>
      <c r="K2389" t="s">
        <v>47</v>
      </c>
      <c r="L2389" t="s">
        <v>48</v>
      </c>
      <c r="M2389" t="s">
        <v>139</v>
      </c>
      <c r="N2389">
        <v>1476</v>
      </c>
      <c r="O2389" s="14">
        <v>0.52859074366278902</v>
      </c>
      <c r="P2389" s="14">
        <v>2.6825056178495298E-2</v>
      </c>
      <c r="Q2389" t="str">
        <f t="shared" si="74"/>
        <v>&lt;01</v>
      </c>
      <c r="R2389" t="str">
        <f t="shared" si="75"/>
        <v>[msW2zpIN7up]|&lt;01|Male|DIAGNOSED_SUBNAT.T_1|CY2023Q3</v>
      </c>
    </row>
    <row r="2390" spans="4:18" x14ac:dyDescent="0.2">
      <c r="D2390" t="s">
        <v>59</v>
      </c>
      <c r="E2390" t="s">
        <v>60</v>
      </c>
      <c r="F2390" t="s">
        <v>61</v>
      </c>
      <c r="G2390" t="s">
        <v>147</v>
      </c>
      <c r="H2390" t="s">
        <v>148</v>
      </c>
      <c r="I2390" t="s">
        <v>32</v>
      </c>
      <c r="J2390" t="s">
        <v>33</v>
      </c>
      <c r="K2390" t="s">
        <v>47</v>
      </c>
      <c r="L2390" t="s">
        <v>48</v>
      </c>
      <c r="M2390" t="s">
        <v>139</v>
      </c>
      <c r="N2390">
        <v>1669</v>
      </c>
      <c r="O2390" s="14">
        <v>0.19357156008481999</v>
      </c>
      <c r="P2390" s="14">
        <v>2.6825056178495298E-2</v>
      </c>
      <c r="Q2390" t="str">
        <f t="shared" si="74"/>
        <v>01-09</v>
      </c>
      <c r="R2390" t="str">
        <f t="shared" si="75"/>
        <v>[msW2zpIN7up]|01-09|Male|DIAGNOSED_SUBNAT.T_1|CY2023Q3</v>
      </c>
    </row>
    <row r="2391" spans="4:18" x14ac:dyDescent="0.2">
      <c r="D2391" t="s">
        <v>59</v>
      </c>
      <c r="E2391" t="s">
        <v>60</v>
      </c>
      <c r="F2391" t="s">
        <v>61</v>
      </c>
      <c r="G2391" t="s">
        <v>147</v>
      </c>
      <c r="H2391" t="s">
        <v>148</v>
      </c>
      <c r="I2391" t="s">
        <v>35</v>
      </c>
      <c r="J2391" t="s">
        <v>36</v>
      </c>
      <c r="K2391" t="s">
        <v>47</v>
      </c>
      <c r="L2391" t="s">
        <v>48</v>
      </c>
      <c r="M2391" t="s">
        <v>139</v>
      </c>
      <c r="N2391">
        <v>1107</v>
      </c>
      <c r="O2391" s="14">
        <v>0.32549139182083298</v>
      </c>
      <c r="P2391" s="14">
        <v>2.6825056178495298E-2</v>
      </c>
      <c r="Q2391" t="str">
        <f t="shared" si="74"/>
        <v>10-14</v>
      </c>
      <c r="R2391" t="str">
        <f t="shared" si="75"/>
        <v>[msW2zpIN7up]|10-14|Male|DIAGNOSED_SUBNAT.T_1|CY2023Q3</v>
      </c>
    </row>
    <row r="2392" spans="4:18" x14ac:dyDescent="0.2">
      <c r="D2392" t="s">
        <v>59</v>
      </c>
      <c r="E2392" t="s">
        <v>60</v>
      </c>
      <c r="F2392" t="s">
        <v>61</v>
      </c>
      <c r="G2392" t="s">
        <v>147</v>
      </c>
      <c r="H2392" t="s">
        <v>148</v>
      </c>
      <c r="I2392" t="s">
        <v>37</v>
      </c>
      <c r="J2392" t="s">
        <v>38</v>
      </c>
      <c r="K2392" t="s">
        <v>47</v>
      </c>
      <c r="L2392" t="s">
        <v>48</v>
      </c>
      <c r="M2392" t="s">
        <v>139</v>
      </c>
      <c r="N2392">
        <v>907</v>
      </c>
      <c r="O2392" s="14">
        <v>0.26448823860846499</v>
      </c>
      <c r="P2392" s="14">
        <v>2.6825056178495298E-2</v>
      </c>
      <c r="Q2392" t="str">
        <f t="shared" si="74"/>
        <v>15-24</v>
      </c>
      <c r="R2392" t="str">
        <f t="shared" si="75"/>
        <v>[msW2zpIN7up]|15-24|Male|DIAGNOSED_SUBNAT.T_1|CY2023Q3</v>
      </c>
    </row>
    <row r="2393" spans="4:18" x14ac:dyDescent="0.2">
      <c r="D2393" t="s">
        <v>59</v>
      </c>
      <c r="E2393" t="s">
        <v>60</v>
      </c>
      <c r="F2393" t="s">
        <v>61</v>
      </c>
      <c r="G2393" t="s">
        <v>147</v>
      </c>
      <c r="H2393" t="s">
        <v>148</v>
      </c>
      <c r="I2393" t="s">
        <v>40</v>
      </c>
      <c r="J2393" t="s">
        <v>41</v>
      </c>
      <c r="K2393" t="s">
        <v>47</v>
      </c>
      <c r="L2393" t="s">
        <v>48</v>
      </c>
      <c r="M2393" t="s">
        <v>139</v>
      </c>
      <c r="N2393">
        <v>738</v>
      </c>
      <c r="O2393" s="14">
        <v>0.48262305255047999</v>
      </c>
      <c r="P2393" s="14">
        <v>2.6825056178495298E-2</v>
      </c>
      <c r="Q2393" t="str">
        <f t="shared" si="74"/>
        <v>25-34</v>
      </c>
      <c r="R2393" t="str">
        <f t="shared" si="75"/>
        <v>[msW2zpIN7up]|25-34|Male|DIAGNOSED_SUBNAT.T_1|CY2023Q3</v>
      </c>
    </row>
    <row r="2394" spans="4:18" x14ac:dyDescent="0.2">
      <c r="D2394" t="s">
        <v>59</v>
      </c>
      <c r="E2394" t="s">
        <v>60</v>
      </c>
      <c r="F2394" t="s">
        <v>61</v>
      </c>
      <c r="G2394" t="s">
        <v>147</v>
      </c>
      <c r="H2394" t="s">
        <v>148</v>
      </c>
      <c r="I2394" t="s">
        <v>42</v>
      </c>
      <c r="J2394" t="s">
        <v>43</v>
      </c>
      <c r="K2394" t="s">
        <v>47</v>
      </c>
      <c r="L2394" t="s">
        <v>48</v>
      </c>
      <c r="M2394" t="s">
        <v>139</v>
      </c>
      <c r="N2394">
        <v>670</v>
      </c>
      <c r="O2394" s="14">
        <v>0.65738724148832295</v>
      </c>
      <c r="P2394" s="14">
        <v>2.6825056178495298E-2</v>
      </c>
      <c r="Q2394" t="str">
        <f t="shared" si="74"/>
        <v>35-49</v>
      </c>
      <c r="R2394" t="str">
        <f t="shared" si="75"/>
        <v>[msW2zpIN7up]|35-49|Male|DIAGNOSED_SUBNAT.T_1|CY2023Q3</v>
      </c>
    </row>
    <row r="2395" spans="4:18" x14ac:dyDescent="0.2">
      <c r="D2395" t="s">
        <v>59</v>
      </c>
      <c r="E2395" t="s">
        <v>60</v>
      </c>
      <c r="F2395" t="s">
        <v>61</v>
      </c>
      <c r="G2395" t="s">
        <v>147</v>
      </c>
      <c r="H2395" t="s">
        <v>148</v>
      </c>
      <c r="I2395" t="s">
        <v>44</v>
      </c>
      <c r="J2395" t="s">
        <v>45</v>
      </c>
      <c r="K2395" t="s">
        <v>47</v>
      </c>
      <c r="L2395" t="s">
        <v>48</v>
      </c>
      <c r="M2395" t="s">
        <v>139</v>
      </c>
      <c r="N2395">
        <v>1073</v>
      </c>
      <c r="O2395" s="14">
        <v>0.32666037138551501</v>
      </c>
      <c r="P2395" s="14">
        <v>2.6825056178495298E-2</v>
      </c>
      <c r="Q2395" t="str">
        <f t="shared" si="74"/>
        <v>50+</v>
      </c>
      <c r="R2395" t="str">
        <f t="shared" si="75"/>
        <v>[msW2zpIN7up]|50+|Male|DIAGNOSED_SUBNAT.T_1|CY2023Q3</v>
      </c>
    </row>
    <row r="2396" spans="4:18" x14ac:dyDescent="0.2">
      <c r="D2396" t="s">
        <v>62</v>
      </c>
      <c r="E2396" t="s">
        <v>63</v>
      </c>
      <c r="F2396" t="s">
        <v>64</v>
      </c>
      <c r="G2396" t="s">
        <v>147</v>
      </c>
      <c r="H2396" t="s">
        <v>148</v>
      </c>
      <c r="I2396" t="s">
        <v>27</v>
      </c>
      <c r="J2396" t="s">
        <v>28</v>
      </c>
      <c r="K2396" t="s">
        <v>29</v>
      </c>
      <c r="L2396" t="s">
        <v>30</v>
      </c>
      <c r="M2396" t="s">
        <v>139</v>
      </c>
      <c r="N2396">
        <v>1226</v>
      </c>
      <c r="O2396" s="14">
        <v>0.43411651812493801</v>
      </c>
      <c r="P2396" s="14">
        <v>0.790102193132043</v>
      </c>
      <c r="Q2396" t="str">
        <f t="shared" si="74"/>
        <v>&lt;01</v>
      </c>
      <c r="R2396" t="str">
        <f t="shared" si="75"/>
        <v>[kxuuIFpOXyO]|&lt;01|Female|DIAGNOSED_SUBNAT.T_1|CY2023Q3</v>
      </c>
    </row>
    <row r="2397" spans="4:18" x14ac:dyDescent="0.2">
      <c r="D2397" t="s">
        <v>62</v>
      </c>
      <c r="E2397" t="s">
        <v>63</v>
      </c>
      <c r="F2397" t="s">
        <v>64</v>
      </c>
      <c r="G2397" t="s">
        <v>147</v>
      </c>
      <c r="H2397" t="s">
        <v>148</v>
      </c>
      <c r="I2397" t="s">
        <v>32</v>
      </c>
      <c r="J2397" t="s">
        <v>33</v>
      </c>
      <c r="K2397" t="s">
        <v>29</v>
      </c>
      <c r="L2397" t="s">
        <v>30</v>
      </c>
      <c r="M2397" t="s">
        <v>139</v>
      </c>
      <c r="N2397">
        <v>577</v>
      </c>
      <c r="O2397" s="14">
        <v>0.92861053254455295</v>
      </c>
      <c r="P2397" s="14">
        <v>0.790102193132043</v>
      </c>
      <c r="Q2397" t="str">
        <f t="shared" si="74"/>
        <v>01-09</v>
      </c>
      <c r="R2397" t="str">
        <f t="shared" si="75"/>
        <v>[kxuuIFpOXyO]|01-09|Female|DIAGNOSED_SUBNAT.T_1|CY2023Q3</v>
      </c>
    </row>
    <row r="2398" spans="4:18" x14ac:dyDescent="0.2">
      <c r="D2398" t="s">
        <v>62</v>
      </c>
      <c r="E2398" t="s">
        <v>63</v>
      </c>
      <c r="F2398" t="s">
        <v>64</v>
      </c>
      <c r="G2398" t="s">
        <v>147</v>
      </c>
      <c r="H2398" t="s">
        <v>148</v>
      </c>
      <c r="I2398" t="s">
        <v>35</v>
      </c>
      <c r="J2398" t="s">
        <v>36</v>
      </c>
      <c r="K2398" t="s">
        <v>29</v>
      </c>
      <c r="L2398" t="s">
        <v>30</v>
      </c>
      <c r="M2398" t="s">
        <v>139</v>
      </c>
      <c r="N2398">
        <v>726</v>
      </c>
      <c r="O2398" s="14">
        <v>0.71717966417781998</v>
      </c>
      <c r="P2398" s="14">
        <v>0.790102193132043</v>
      </c>
      <c r="Q2398" t="str">
        <f t="shared" si="74"/>
        <v>10-14</v>
      </c>
      <c r="R2398" t="str">
        <f t="shared" si="75"/>
        <v>[kxuuIFpOXyO]|10-14|Female|DIAGNOSED_SUBNAT.T_1|CY2023Q3</v>
      </c>
    </row>
    <row r="2399" spans="4:18" x14ac:dyDescent="0.2">
      <c r="D2399" t="s">
        <v>62</v>
      </c>
      <c r="E2399" t="s">
        <v>63</v>
      </c>
      <c r="F2399" t="s">
        <v>64</v>
      </c>
      <c r="G2399" t="s">
        <v>147</v>
      </c>
      <c r="H2399" t="s">
        <v>148</v>
      </c>
      <c r="I2399" t="s">
        <v>37</v>
      </c>
      <c r="J2399" t="s">
        <v>38</v>
      </c>
      <c r="K2399" t="s">
        <v>29</v>
      </c>
      <c r="L2399" t="s">
        <v>30</v>
      </c>
      <c r="M2399" t="s">
        <v>139</v>
      </c>
      <c r="N2399">
        <v>789</v>
      </c>
      <c r="O2399" s="14">
        <v>0.67798977624625001</v>
      </c>
      <c r="P2399" s="14">
        <v>0.790102193132043</v>
      </c>
      <c r="Q2399" t="str">
        <f t="shared" si="74"/>
        <v>15-24</v>
      </c>
      <c r="R2399" t="str">
        <f t="shared" si="75"/>
        <v>[kxuuIFpOXyO]|15-24|Female|DIAGNOSED_SUBNAT.T_1|CY2023Q3</v>
      </c>
    </row>
    <row r="2400" spans="4:18" x14ac:dyDescent="0.2">
      <c r="D2400" t="s">
        <v>62</v>
      </c>
      <c r="E2400" t="s">
        <v>63</v>
      </c>
      <c r="F2400" t="s">
        <v>64</v>
      </c>
      <c r="G2400" t="s">
        <v>147</v>
      </c>
      <c r="H2400" t="s">
        <v>148</v>
      </c>
      <c r="I2400" t="s">
        <v>40</v>
      </c>
      <c r="J2400" t="s">
        <v>41</v>
      </c>
      <c r="K2400" t="s">
        <v>29</v>
      </c>
      <c r="L2400" t="s">
        <v>30</v>
      </c>
      <c r="M2400" t="s">
        <v>139</v>
      </c>
      <c r="N2400">
        <v>1970</v>
      </c>
      <c r="O2400" s="14">
        <v>0.53898344910703599</v>
      </c>
      <c r="P2400" s="14">
        <v>0.790102193132043</v>
      </c>
      <c r="Q2400" t="str">
        <f t="shared" si="74"/>
        <v>25-34</v>
      </c>
      <c r="R2400" t="str">
        <f t="shared" si="75"/>
        <v>[kxuuIFpOXyO]|25-34|Female|DIAGNOSED_SUBNAT.T_1|CY2023Q3</v>
      </c>
    </row>
    <row r="2401" spans="4:18" x14ac:dyDescent="0.2">
      <c r="D2401" t="s">
        <v>62</v>
      </c>
      <c r="E2401" t="s">
        <v>63</v>
      </c>
      <c r="F2401" t="s">
        <v>64</v>
      </c>
      <c r="G2401" t="s">
        <v>147</v>
      </c>
      <c r="H2401" t="s">
        <v>148</v>
      </c>
      <c r="I2401" t="s">
        <v>42</v>
      </c>
      <c r="J2401" t="s">
        <v>43</v>
      </c>
      <c r="K2401" t="s">
        <v>29</v>
      </c>
      <c r="L2401" t="s">
        <v>30</v>
      </c>
      <c r="M2401" t="s">
        <v>139</v>
      </c>
      <c r="N2401">
        <v>575</v>
      </c>
      <c r="O2401" s="14">
        <v>6.5453021787107005E-2</v>
      </c>
      <c r="P2401" s="14">
        <v>0.790102193132043</v>
      </c>
      <c r="Q2401" t="str">
        <f t="shared" si="74"/>
        <v>35-49</v>
      </c>
      <c r="R2401" t="str">
        <f t="shared" si="75"/>
        <v>[kxuuIFpOXyO]|35-49|Female|DIAGNOSED_SUBNAT.T_1|CY2023Q3</v>
      </c>
    </row>
    <row r="2402" spans="4:18" x14ac:dyDescent="0.2">
      <c r="D2402" t="s">
        <v>62</v>
      </c>
      <c r="E2402" t="s">
        <v>63</v>
      </c>
      <c r="F2402" t="s">
        <v>64</v>
      </c>
      <c r="G2402" t="s">
        <v>147</v>
      </c>
      <c r="H2402" t="s">
        <v>148</v>
      </c>
      <c r="I2402" t="s">
        <v>44</v>
      </c>
      <c r="J2402" t="s">
        <v>45</v>
      </c>
      <c r="K2402" t="s">
        <v>29</v>
      </c>
      <c r="L2402" t="s">
        <v>30</v>
      </c>
      <c r="M2402" t="s">
        <v>139</v>
      </c>
      <c r="N2402">
        <v>1186</v>
      </c>
      <c r="O2402" s="14">
        <v>0.37219151528552202</v>
      </c>
      <c r="P2402" s="14">
        <v>0.790102193132043</v>
      </c>
      <c r="Q2402" t="str">
        <f t="shared" si="74"/>
        <v>50+</v>
      </c>
      <c r="R2402" t="str">
        <f t="shared" si="75"/>
        <v>[kxuuIFpOXyO]|50+|Female|DIAGNOSED_SUBNAT.T_1|CY2023Q3</v>
      </c>
    </row>
    <row r="2403" spans="4:18" x14ac:dyDescent="0.2">
      <c r="D2403" t="s">
        <v>62</v>
      </c>
      <c r="E2403" t="s">
        <v>63</v>
      </c>
      <c r="F2403" t="s">
        <v>64</v>
      </c>
      <c r="G2403" t="s">
        <v>147</v>
      </c>
      <c r="H2403" t="s">
        <v>148</v>
      </c>
      <c r="I2403" t="s">
        <v>27</v>
      </c>
      <c r="J2403" t="s">
        <v>28</v>
      </c>
      <c r="K2403" t="s">
        <v>47</v>
      </c>
      <c r="L2403" t="s">
        <v>48</v>
      </c>
      <c r="M2403" t="s">
        <v>139</v>
      </c>
      <c r="N2403">
        <v>1314</v>
      </c>
      <c r="O2403" s="14">
        <v>0.57017263770103499</v>
      </c>
      <c r="P2403" s="14">
        <v>0.790102193132043</v>
      </c>
      <c r="Q2403" t="str">
        <f t="shared" si="74"/>
        <v>&lt;01</v>
      </c>
      <c r="R2403" t="str">
        <f t="shared" si="75"/>
        <v>[kxuuIFpOXyO]|&lt;01|Male|DIAGNOSED_SUBNAT.T_1|CY2023Q3</v>
      </c>
    </row>
    <row r="2404" spans="4:18" x14ac:dyDescent="0.2">
      <c r="D2404" t="s">
        <v>62</v>
      </c>
      <c r="E2404" t="s">
        <v>63</v>
      </c>
      <c r="F2404" t="s">
        <v>64</v>
      </c>
      <c r="G2404" t="s">
        <v>147</v>
      </c>
      <c r="H2404" t="s">
        <v>148</v>
      </c>
      <c r="I2404" t="s">
        <v>32</v>
      </c>
      <c r="J2404" t="s">
        <v>33</v>
      </c>
      <c r="K2404" t="s">
        <v>47</v>
      </c>
      <c r="L2404" t="s">
        <v>48</v>
      </c>
      <c r="M2404" t="s">
        <v>139</v>
      </c>
      <c r="N2404">
        <v>1728</v>
      </c>
      <c r="O2404" s="14">
        <v>0.88442126708105195</v>
      </c>
      <c r="P2404" s="14">
        <v>0.790102193132043</v>
      </c>
      <c r="Q2404" t="str">
        <f t="shared" si="74"/>
        <v>01-09</v>
      </c>
      <c r="R2404" t="str">
        <f t="shared" si="75"/>
        <v>[kxuuIFpOXyO]|01-09|Male|DIAGNOSED_SUBNAT.T_1|CY2023Q3</v>
      </c>
    </row>
    <row r="2405" spans="4:18" x14ac:dyDescent="0.2">
      <c r="D2405" t="s">
        <v>62</v>
      </c>
      <c r="E2405" t="s">
        <v>63</v>
      </c>
      <c r="F2405" t="s">
        <v>64</v>
      </c>
      <c r="G2405" t="s">
        <v>147</v>
      </c>
      <c r="H2405" t="s">
        <v>148</v>
      </c>
      <c r="I2405" t="s">
        <v>35</v>
      </c>
      <c r="J2405" t="s">
        <v>36</v>
      </c>
      <c r="K2405" t="s">
        <v>47</v>
      </c>
      <c r="L2405" t="s">
        <v>48</v>
      </c>
      <c r="M2405" t="s">
        <v>139</v>
      </c>
      <c r="N2405">
        <v>801</v>
      </c>
      <c r="O2405" s="14">
        <v>3.41689290944487E-2</v>
      </c>
      <c r="P2405" s="14">
        <v>0.790102193132043</v>
      </c>
      <c r="Q2405" t="str">
        <f t="shared" si="74"/>
        <v>10-14</v>
      </c>
      <c r="R2405" t="str">
        <f t="shared" si="75"/>
        <v>[kxuuIFpOXyO]|10-14|Male|DIAGNOSED_SUBNAT.T_1|CY2023Q3</v>
      </c>
    </row>
    <row r="2406" spans="4:18" x14ac:dyDescent="0.2">
      <c r="D2406" t="s">
        <v>62</v>
      </c>
      <c r="E2406" t="s">
        <v>63</v>
      </c>
      <c r="F2406" t="s">
        <v>64</v>
      </c>
      <c r="G2406" t="s">
        <v>147</v>
      </c>
      <c r="H2406" t="s">
        <v>148</v>
      </c>
      <c r="I2406" t="s">
        <v>37</v>
      </c>
      <c r="J2406" t="s">
        <v>38</v>
      </c>
      <c r="K2406" t="s">
        <v>47</v>
      </c>
      <c r="L2406" t="s">
        <v>48</v>
      </c>
      <c r="M2406" t="s">
        <v>139</v>
      </c>
      <c r="N2406">
        <v>782</v>
      </c>
      <c r="O2406" s="14">
        <v>0.64745255070738505</v>
      </c>
      <c r="P2406" s="14">
        <v>0.790102193132043</v>
      </c>
      <c r="Q2406" t="str">
        <f t="shared" si="74"/>
        <v>15-24</v>
      </c>
      <c r="R2406" t="str">
        <f t="shared" si="75"/>
        <v>[kxuuIFpOXyO]|15-24|Male|DIAGNOSED_SUBNAT.T_1|CY2023Q3</v>
      </c>
    </row>
    <row r="2407" spans="4:18" x14ac:dyDescent="0.2">
      <c r="D2407" t="s">
        <v>62</v>
      </c>
      <c r="E2407" t="s">
        <v>63</v>
      </c>
      <c r="F2407" t="s">
        <v>64</v>
      </c>
      <c r="G2407" t="s">
        <v>147</v>
      </c>
      <c r="H2407" t="s">
        <v>148</v>
      </c>
      <c r="I2407" t="s">
        <v>40</v>
      </c>
      <c r="J2407" t="s">
        <v>41</v>
      </c>
      <c r="K2407" t="s">
        <v>47</v>
      </c>
      <c r="L2407" t="s">
        <v>48</v>
      </c>
      <c r="M2407" t="s">
        <v>139</v>
      </c>
      <c r="N2407">
        <v>1017</v>
      </c>
      <c r="O2407" s="14">
        <v>0.44628875213675201</v>
      </c>
      <c r="P2407" s="14">
        <v>0.790102193132043</v>
      </c>
      <c r="Q2407" t="str">
        <f t="shared" si="74"/>
        <v>25-34</v>
      </c>
      <c r="R2407" t="str">
        <f t="shared" si="75"/>
        <v>[kxuuIFpOXyO]|25-34|Male|DIAGNOSED_SUBNAT.T_1|CY2023Q3</v>
      </c>
    </row>
    <row r="2408" spans="4:18" x14ac:dyDescent="0.2">
      <c r="D2408" t="s">
        <v>62</v>
      </c>
      <c r="E2408" t="s">
        <v>63</v>
      </c>
      <c r="F2408" t="s">
        <v>64</v>
      </c>
      <c r="G2408" t="s">
        <v>147</v>
      </c>
      <c r="H2408" t="s">
        <v>148</v>
      </c>
      <c r="I2408" t="s">
        <v>42</v>
      </c>
      <c r="J2408" t="s">
        <v>43</v>
      </c>
      <c r="K2408" t="s">
        <v>47</v>
      </c>
      <c r="L2408" t="s">
        <v>48</v>
      </c>
      <c r="M2408" t="s">
        <v>139</v>
      </c>
      <c r="N2408">
        <v>731</v>
      </c>
      <c r="O2408" s="14">
        <v>0.104735576780513</v>
      </c>
      <c r="P2408" s="14">
        <v>0.790102193132043</v>
      </c>
      <c r="Q2408" t="str">
        <f t="shared" si="74"/>
        <v>35-49</v>
      </c>
      <c r="R2408" t="str">
        <f t="shared" si="75"/>
        <v>[kxuuIFpOXyO]|35-49|Male|DIAGNOSED_SUBNAT.T_1|CY2023Q3</v>
      </c>
    </row>
    <row r="2409" spans="4:18" x14ac:dyDescent="0.2">
      <c r="D2409" t="s">
        <v>62</v>
      </c>
      <c r="E2409" t="s">
        <v>63</v>
      </c>
      <c r="F2409" t="s">
        <v>64</v>
      </c>
      <c r="G2409" t="s">
        <v>147</v>
      </c>
      <c r="H2409" t="s">
        <v>148</v>
      </c>
      <c r="I2409" t="s">
        <v>44</v>
      </c>
      <c r="J2409" t="s">
        <v>45</v>
      </c>
      <c r="K2409" t="s">
        <v>47</v>
      </c>
      <c r="L2409" t="s">
        <v>48</v>
      </c>
      <c r="M2409" t="s">
        <v>139</v>
      </c>
      <c r="N2409">
        <v>856</v>
      </c>
      <c r="O2409" s="14">
        <v>0.65887303533963903</v>
      </c>
      <c r="P2409" s="14">
        <v>0.790102193132043</v>
      </c>
      <c r="Q2409" t="str">
        <f t="shared" si="74"/>
        <v>50+</v>
      </c>
      <c r="R2409" t="str">
        <f t="shared" si="75"/>
        <v>[kxuuIFpOXyO]|50+|Male|DIAGNOSED_SUBNAT.T_1|CY2023Q3</v>
      </c>
    </row>
    <row r="2410" spans="4:18" x14ac:dyDescent="0.2">
      <c r="D2410" t="s">
        <v>65</v>
      </c>
      <c r="E2410" t="s">
        <v>66</v>
      </c>
      <c r="F2410" t="s">
        <v>67</v>
      </c>
      <c r="G2410" t="s">
        <v>147</v>
      </c>
      <c r="H2410" t="s">
        <v>148</v>
      </c>
      <c r="I2410" t="s">
        <v>27</v>
      </c>
      <c r="J2410" t="s">
        <v>28</v>
      </c>
      <c r="K2410" t="s">
        <v>29</v>
      </c>
      <c r="L2410" t="s">
        <v>30</v>
      </c>
      <c r="M2410" t="s">
        <v>139</v>
      </c>
      <c r="N2410">
        <v>1479</v>
      </c>
      <c r="O2410" s="14">
        <v>0.14558146544732201</v>
      </c>
      <c r="P2410" s="14">
        <v>0.16460988437756899</v>
      </c>
      <c r="Q2410" t="str">
        <f t="shared" si="74"/>
        <v>&lt;01</v>
      </c>
      <c r="R2410" t="str">
        <f t="shared" si="75"/>
        <v>[ScR9iFKAasW]|&lt;01|Female|DIAGNOSED_SUBNAT.T_1|CY2023Q3</v>
      </c>
    </row>
    <row r="2411" spans="4:18" x14ac:dyDescent="0.2">
      <c r="D2411" t="s">
        <v>65</v>
      </c>
      <c r="E2411" t="s">
        <v>66</v>
      </c>
      <c r="F2411" t="s">
        <v>67</v>
      </c>
      <c r="G2411" t="s">
        <v>147</v>
      </c>
      <c r="H2411" t="s">
        <v>148</v>
      </c>
      <c r="I2411" t="s">
        <v>32</v>
      </c>
      <c r="J2411" t="s">
        <v>33</v>
      </c>
      <c r="K2411" t="s">
        <v>29</v>
      </c>
      <c r="L2411" t="s">
        <v>30</v>
      </c>
      <c r="M2411" t="s">
        <v>139</v>
      </c>
      <c r="N2411">
        <v>1910</v>
      </c>
      <c r="O2411" s="14">
        <v>0.103375130100176</v>
      </c>
      <c r="P2411" s="14">
        <v>0.16460988437756899</v>
      </c>
      <c r="Q2411" t="str">
        <f t="shared" si="74"/>
        <v>01-09</v>
      </c>
      <c r="R2411" t="str">
        <f t="shared" si="75"/>
        <v>[ScR9iFKAasW]|01-09|Female|DIAGNOSED_SUBNAT.T_1|CY2023Q3</v>
      </c>
    </row>
    <row r="2412" spans="4:18" x14ac:dyDescent="0.2">
      <c r="D2412" t="s">
        <v>65</v>
      </c>
      <c r="E2412" t="s">
        <v>66</v>
      </c>
      <c r="F2412" t="s">
        <v>67</v>
      </c>
      <c r="G2412" t="s">
        <v>147</v>
      </c>
      <c r="H2412" t="s">
        <v>148</v>
      </c>
      <c r="I2412" t="s">
        <v>35</v>
      </c>
      <c r="J2412" t="s">
        <v>36</v>
      </c>
      <c r="K2412" t="s">
        <v>29</v>
      </c>
      <c r="L2412" t="s">
        <v>30</v>
      </c>
      <c r="M2412" t="s">
        <v>139</v>
      </c>
      <c r="N2412">
        <v>1060</v>
      </c>
      <c r="O2412" s="14">
        <v>0.16210847673937701</v>
      </c>
      <c r="P2412" s="14">
        <v>0.16460988437756899</v>
      </c>
      <c r="Q2412" t="str">
        <f t="shared" si="74"/>
        <v>10-14</v>
      </c>
      <c r="R2412" t="str">
        <f t="shared" si="75"/>
        <v>[ScR9iFKAasW]|10-14|Female|DIAGNOSED_SUBNAT.T_1|CY2023Q3</v>
      </c>
    </row>
    <row r="2413" spans="4:18" x14ac:dyDescent="0.2">
      <c r="D2413" t="s">
        <v>65</v>
      </c>
      <c r="E2413" t="s">
        <v>66</v>
      </c>
      <c r="F2413" t="s">
        <v>67</v>
      </c>
      <c r="G2413" t="s">
        <v>147</v>
      </c>
      <c r="H2413" t="s">
        <v>148</v>
      </c>
      <c r="I2413" t="s">
        <v>37</v>
      </c>
      <c r="J2413" t="s">
        <v>38</v>
      </c>
      <c r="K2413" t="s">
        <v>29</v>
      </c>
      <c r="L2413" t="s">
        <v>30</v>
      </c>
      <c r="M2413" t="s">
        <v>139</v>
      </c>
      <c r="N2413">
        <v>562</v>
      </c>
      <c r="O2413" s="14">
        <v>0.10525993211194901</v>
      </c>
      <c r="P2413" s="14">
        <v>0.16460988437756899</v>
      </c>
      <c r="Q2413" t="str">
        <f t="shared" si="74"/>
        <v>15-24</v>
      </c>
      <c r="R2413" t="str">
        <f t="shared" si="75"/>
        <v>[ScR9iFKAasW]|15-24|Female|DIAGNOSED_SUBNAT.T_1|CY2023Q3</v>
      </c>
    </row>
    <row r="2414" spans="4:18" x14ac:dyDescent="0.2">
      <c r="D2414" t="s">
        <v>65</v>
      </c>
      <c r="E2414" t="s">
        <v>66</v>
      </c>
      <c r="F2414" t="s">
        <v>67</v>
      </c>
      <c r="G2414" t="s">
        <v>147</v>
      </c>
      <c r="H2414" t="s">
        <v>148</v>
      </c>
      <c r="I2414" t="s">
        <v>40</v>
      </c>
      <c r="J2414" t="s">
        <v>41</v>
      </c>
      <c r="K2414" t="s">
        <v>29</v>
      </c>
      <c r="L2414" t="s">
        <v>30</v>
      </c>
      <c r="M2414" t="s">
        <v>139</v>
      </c>
      <c r="N2414">
        <v>1029</v>
      </c>
      <c r="O2414" s="14">
        <v>0.59696539514698099</v>
      </c>
      <c r="P2414" s="14">
        <v>0.16460988437756899</v>
      </c>
      <c r="Q2414" t="str">
        <f t="shared" si="74"/>
        <v>25-34</v>
      </c>
      <c r="R2414" t="str">
        <f t="shared" si="75"/>
        <v>[ScR9iFKAasW]|25-34|Female|DIAGNOSED_SUBNAT.T_1|CY2023Q3</v>
      </c>
    </row>
    <row r="2415" spans="4:18" x14ac:dyDescent="0.2">
      <c r="D2415" t="s">
        <v>65</v>
      </c>
      <c r="E2415" t="s">
        <v>66</v>
      </c>
      <c r="F2415" t="s">
        <v>67</v>
      </c>
      <c r="G2415" t="s">
        <v>147</v>
      </c>
      <c r="H2415" t="s">
        <v>148</v>
      </c>
      <c r="I2415" t="s">
        <v>42</v>
      </c>
      <c r="J2415" t="s">
        <v>43</v>
      </c>
      <c r="K2415" t="s">
        <v>29</v>
      </c>
      <c r="L2415" t="s">
        <v>30</v>
      </c>
      <c r="M2415" t="s">
        <v>139</v>
      </c>
      <c r="N2415">
        <v>1923</v>
      </c>
      <c r="O2415" s="14">
        <v>0.55733541049994495</v>
      </c>
      <c r="P2415" s="14">
        <v>0.16460988437756899</v>
      </c>
      <c r="Q2415" t="str">
        <f t="shared" si="74"/>
        <v>35-49</v>
      </c>
      <c r="R2415" t="str">
        <f t="shared" si="75"/>
        <v>[ScR9iFKAasW]|35-49|Female|DIAGNOSED_SUBNAT.T_1|CY2023Q3</v>
      </c>
    </row>
    <row r="2416" spans="4:18" x14ac:dyDescent="0.2">
      <c r="D2416" t="s">
        <v>65</v>
      </c>
      <c r="E2416" t="s">
        <v>66</v>
      </c>
      <c r="F2416" t="s">
        <v>67</v>
      </c>
      <c r="G2416" t="s">
        <v>147</v>
      </c>
      <c r="H2416" t="s">
        <v>148</v>
      </c>
      <c r="I2416" t="s">
        <v>44</v>
      </c>
      <c r="J2416" t="s">
        <v>45</v>
      </c>
      <c r="K2416" t="s">
        <v>29</v>
      </c>
      <c r="L2416" t="s">
        <v>30</v>
      </c>
      <c r="M2416" t="s">
        <v>139</v>
      </c>
      <c r="N2416">
        <v>937</v>
      </c>
      <c r="O2416" s="14">
        <v>0.93772602453827902</v>
      </c>
      <c r="P2416" s="14">
        <v>0.16460988437756899</v>
      </c>
      <c r="Q2416" t="str">
        <f t="shared" si="74"/>
        <v>50+</v>
      </c>
      <c r="R2416" t="str">
        <f t="shared" si="75"/>
        <v>[ScR9iFKAasW]|50+|Female|DIAGNOSED_SUBNAT.T_1|CY2023Q3</v>
      </c>
    </row>
    <row r="2417" spans="4:18" x14ac:dyDescent="0.2">
      <c r="D2417" t="s">
        <v>65</v>
      </c>
      <c r="E2417" t="s">
        <v>66</v>
      </c>
      <c r="F2417" t="s">
        <v>67</v>
      </c>
      <c r="G2417" t="s">
        <v>147</v>
      </c>
      <c r="H2417" t="s">
        <v>148</v>
      </c>
      <c r="I2417" t="s">
        <v>27</v>
      </c>
      <c r="J2417" t="s">
        <v>28</v>
      </c>
      <c r="K2417" t="s">
        <v>47</v>
      </c>
      <c r="L2417" t="s">
        <v>48</v>
      </c>
      <c r="M2417" t="s">
        <v>139</v>
      </c>
      <c r="N2417">
        <v>706</v>
      </c>
      <c r="O2417" s="14">
        <v>0.51771835517138198</v>
      </c>
      <c r="P2417" s="14">
        <v>0.16460988437756899</v>
      </c>
      <c r="Q2417" t="str">
        <f t="shared" si="74"/>
        <v>&lt;01</v>
      </c>
      <c r="R2417" t="str">
        <f t="shared" si="75"/>
        <v>[ScR9iFKAasW]|&lt;01|Male|DIAGNOSED_SUBNAT.T_1|CY2023Q3</v>
      </c>
    </row>
    <row r="2418" spans="4:18" x14ac:dyDescent="0.2">
      <c r="D2418" t="s">
        <v>65</v>
      </c>
      <c r="E2418" t="s">
        <v>66</v>
      </c>
      <c r="F2418" t="s">
        <v>67</v>
      </c>
      <c r="G2418" t="s">
        <v>147</v>
      </c>
      <c r="H2418" t="s">
        <v>148</v>
      </c>
      <c r="I2418" t="s">
        <v>32</v>
      </c>
      <c r="J2418" t="s">
        <v>33</v>
      </c>
      <c r="K2418" t="s">
        <v>47</v>
      </c>
      <c r="L2418" t="s">
        <v>48</v>
      </c>
      <c r="M2418" t="s">
        <v>139</v>
      </c>
      <c r="N2418">
        <v>749</v>
      </c>
      <c r="O2418" s="14">
        <v>0.70736562670208503</v>
      </c>
      <c r="P2418" s="14">
        <v>0.16460988437756899</v>
      </c>
      <c r="Q2418" t="str">
        <f t="shared" si="74"/>
        <v>01-09</v>
      </c>
      <c r="R2418" t="str">
        <f t="shared" si="75"/>
        <v>[ScR9iFKAasW]|01-09|Male|DIAGNOSED_SUBNAT.T_1|CY2023Q3</v>
      </c>
    </row>
    <row r="2419" spans="4:18" x14ac:dyDescent="0.2">
      <c r="D2419" t="s">
        <v>65</v>
      </c>
      <c r="E2419" t="s">
        <v>66</v>
      </c>
      <c r="F2419" t="s">
        <v>67</v>
      </c>
      <c r="G2419" t="s">
        <v>147</v>
      </c>
      <c r="H2419" t="s">
        <v>148</v>
      </c>
      <c r="I2419" t="s">
        <v>35</v>
      </c>
      <c r="J2419" t="s">
        <v>36</v>
      </c>
      <c r="K2419" t="s">
        <v>47</v>
      </c>
      <c r="L2419" t="s">
        <v>48</v>
      </c>
      <c r="M2419" t="s">
        <v>139</v>
      </c>
      <c r="N2419">
        <v>1636</v>
      </c>
      <c r="O2419" s="14">
        <v>0.68249504105187997</v>
      </c>
      <c r="P2419" s="14">
        <v>0.16460988437756899</v>
      </c>
      <c r="Q2419" t="str">
        <f t="shared" si="74"/>
        <v>10-14</v>
      </c>
      <c r="R2419" t="str">
        <f t="shared" si="75"/>
        <v>[ScR9iFKAasW]|10-14|Male|DIAGNOSED_SUBNAT.T_1|CY2023Q3</v>
      </c>
    </row>
    <row r="2420" spans="4:18" x14ac:dyDescent="0.2">
      <c r="D2420" t="s">
        <v>65</v>
      </c>
      <c r="E2420" t="s">
        <v>66</v>
      </c>
      <c r="F2420" t="s">
        <v>67</v>
      </c>
      <c r="G2420" t="s">
        <v>147</v>
      </c>
      <c r="H2420" t="s">
        <v>148</v>
      </c>
      <c r="I2420" t="s">
        <v>37</v>
      </c>
      <c r="J2420" t="s">
        <v>38</v>
      </c>
      <c r="K2420" t="s">
        <v>47</v>
      </c>
      <c r="L2420" t="s">
        <v>48</v>
      </c>
      <c r="M2420" t="s">
        <v>139</v>
      </c>
      <c r="N2420">
        <v>1145</v>
      </c>
      <c r="O2420" s="14">
        <v>6.7728721071034698E-2</v>
      </c>
      <c r="P2420" s="14">
        <v>0.16460988437756899</v>
      </c>
      <c r="Q2420" t="str">
        <f t="shared" si="74"/>
        <v>15-24</v>
      </c>
      <c r="R2420" t="str">
        <f t="shared" si="75"/>
        <v>[ScR9iFKAasW]|15-24|Male|DIAGNOSED_SUBNAT.T_1|CY2023Q3</v>
      </c>
    </row>
    <row r="2421" spans="4:18" x14ac:dyDescent="0.2">
      <c r="D2421" t="s">
        <v>65</v>
      </c>
      <c r="E2421" t="s">
        <v>66</v>
      </c>
      <c r="F2421" t="s">
        <v>67</v>
      </c>
      <c r="G2421" t="s">
        <v>147</v>
      </c>
      <c r="H2421" t="s">
        <v>148</v>
      </c>
      <c r="I2421" t="s">
        <v>40</v>
      </c>
      <c r="J2421" t="s">
        <v>41</v>
      </c>
      <c r="K2421" t="s">
        <v>47</v>
      </c>
      <c r="L2421" t="s">
        <v>48</v>
      </c>
      <c r="M2421" t="s">
        <v>139</v>
      </c>
      <c r="N2421">
        <v>1917</v>
      </c>
      <c r="O2421" s="14">
        <v>6.0590873006731299E-2</v>
      </c>
      <c r="P2421" s="14">
        <v>0.16460988437756899</v>
      </c>
      <c r="Q2421" t="str">
        <f t="shared" si="74"/>
        <v>25-34</v>
      </c>
      <c r="R2421" t="str">
        <f t="shared" si="75"/>
        <v>[ScR9iFKAasW]|25-34|Male|DIAGNOSED_SUBNAT.T_1|CY2023Q3</v>
      </c>
    </row>
    <row r="2422" spans="4:18" x14ac:dyDescent="0.2">
      <c r="D2422" t="s">
        <v>65</v>
      </c>
      <c r="E2422" t="s">
        <v>66</v>
      </c>
      <c r="F2422" t="s">
        <v>67</v>
      </c>
      <c r="G2422" t="s">
        <v>147</v>
      </c>
      <c r="H2422" t="s">
        <v>148</v>
      </c>
      <c r="I2422" t="s">
        <v>42</v>
      </c>
      <c r="J2422" t="s">
        <v>43</v>
      </c>
      <c r="K2422" t="s">
        <v>47</v>
      </c>
      <c r="L2422" t="s">
        <v>48</v>
      </c>
      <c r="M2422" t="s">
        <v>139</v>
      </c>
      <c r="N2422">
        <v>1757</v>
      </c>
      <c r="O2422" s="14">
        <v>0.36689447285607502</v>
      </c>
      <c r="P2422" s="14">
        <v>0.16460988437756899</v>
      </c>
      <c r="Q2422" t="str">
        <f t="shared" si="74"/>
        <v>35-49</v>
      </c>
      <c r="R2422" t="str">
        <f t="shared" si="75"/>
        <v>[ScR9iFKAasW]|35-49|Male|DIAGNOSED_SUBNAT.T_1|CY2023Q3</v>
      </c>
    </row>
    <row r="2423" spans="4:18" x14ac:dyDescent="0.2">
      <c r="D2423" t="s">
        <v>65</v>
      </c>
      <c r="E2423" t="s">
        <v>66</v>
      </c>
      <c r="F2423" t="s">
        <v>67</v>
      </c>
      <c r="G2423" t="s">
        <v>147</v>
      </c>
      <c r="H2423" t="s">
        <v>148</v>
      </c>
      <c r="I2423" t="s">
        <v>44</v>
      </c>
      <c r="J2423" t="s">
        <v>45</v>
      </c>
      <c r="K2423" t="s">
        <v>47</v>
      </c>
      <c r="L2423" t="s">
        <v>48</v>
      </c>
      <c r="M2423" t="s">
        <v>139</v>
      </c>
      <c r="N2423">
        <v>1528</v>
      </c>
      <c r="O2423" s="14">
        <v>0.37034784420393402</v>
      </c>
      <c r="P2423" s="14">
        <v>0.16460988437756899</v>
      </c>
      <c r="Q2423" t="str">
        <f t="shared" si="74"/>
        <v>50+</v>
      </c>
      <c r="R2423" t="str">
        <f t="shared" si="75"/>
        <v>[ScR9iFKAasW]|50+|Male|DIAGNOSED_SUBNAT.T_1|CY2023Q3</v>
      </c>
    </row>
    <row r="2424" spans="4:18" x14ac:dyDescent="0.2">
      <c r="D2424" t="s">
        <v>68</v>
      </c>
      <c r="E2424" t="s">
        <v>69</v>
      </c>
      <c r="F2424" t="s">
        <v>70</v>
      </c>
      <c r="G2424" t="s">
        <v>147</v>
      </c>
      <c r="H2424" t="s">
        <v>148</v>
      </c>
      <c r="I2424" t="s">
        <v>27</v>
      </c>
      <c r="J2424" t="s">
        <v>28</v>
      </c>
      <c r="K2424" t="s">
        <v>29</v>
      </c>
      <c r="L2424" t="s">
        <v>30</v>
      </c>
      <c r="M2424" t="s">
        <v>139</v>
      </c>
      <c r="N2424">
        <v>1375</v>
      </c>
      <c r="O2424" s="14">
        <v>5.2309128921479001E-2</v>
      </c>
      <c r="P2424" s="14">
        <v>0.19881726312451101</v>
      </c>
      <c r="Q2424" t="str">
        <f t="shared" si="74"/>
        <v>&lt;01</v>
      </c>
      <c r="R2424" t="str">
        <f t="shared" si="75"/>
        <v>[PekKUkKHAzY]|&lt;01|Female|DIAGNOSED_SUBNAT.T_1|CY2023Q3</v>
      </c>
    </row>
    <row r="2425" spans="4:18" x14ac:dyDescent="0.2">
      <c r="D2425" t="s">
        <v>68</v>
      </c>
      <c r="E2425" t="s">
        <v>69</v>
      </c>
      <c r="F2425" t="s">
        <v>70</v>
      </c>
      <c r="G2425" t="s">
        <v>147</v>
      </c>
      <c r="H2425" t="s">
        <v>148</v>
      </c>
      <c r="I2425" t="s">
        <v>32</v>
      </c>
      <c r="J2425" t="s">
        <v>33</v>
      </c>
      <c r="K2425" t="s">
        <v>29</v>
      </c>
      <c r="L2425" t="s">
        <v>30</v>
      </c>
      <c r="M2425" t="s">
        <v>139</v>
      </c>
      <c r="N2425">
        <v>1222</v>
      </c>
      <c r="O2425" s="14">
        <v>0.82529442175291501</v>
      </c>
      <c r="P2425" s="14">
        <v>0.19881726312451101</v>
      </c>
      <c r="Q2425" t="str">
        <f t="shared" si="74"/>
        <v>01-09</v>
      </c>
      <c r="R2425" t="str">
        <f t="shared" si="75"/>
        <v>[PekKUkKHAzY]|01-09|Female|DIAGNOSED_SUBNAT.T_1|CY2023Q3</v>
      </c>
    </row>
    <row r="2426" spans="4:18" x14ac:dyDescent="0.2">
      <c r="D2426" t="s">
        <v>68</v>
      </c>
      <c r="E2426" t="s">
        <v>69</v>
      </c>
      <c r="F2426" t="s">
        <v>70</v>
      </c>
      <c r="G2426" t="s">
        <v>147</v>
      </c>
      <c r="H2426" t="s">
        <v>148</v>
      </c>
      <c r="I2426" t="s">
        <v>35</v>
      </c>
      <c r="J2426" t="s">
        <v>36</v>
      </c>
      <c r="K2426" t="s">
        <v>29</v>
      </c>
      <c r="L2426" t="s">
        <v>30</v>
      </c>
      <c r="M2426" t="s">
        <v>139</v>
      </c>
      <c r="N2426">
        <v>1053</v>
      </c>
      <c r="O2426" s="14">
        <v>0.59326372272335004</v>
      </c>
      <c r="P2426" s="14">
        <v>0.19881726312451101</v>
      </c>
      <c r="Q2426" t="str">
        <f t="shared" si="74"/>
        <v>10-14</v>
      </c>
      <c r="R2426" t="str">
        <f t="shared" si="75"/>
        <v>[PekKUkKHAzY]|10-14|Female|DIAGNOSED_SUBNAT.T_1|CY2023Q3</v>
      </c>
    </row>
    <row r="2427" spans="4:18" x14ac:dyDescent="0.2">
      <c r="D2427" t="s">
        <v>68</v>
      </c>
      <c r="E2427" t="s">
        <v>69</v>
      </c>
      <c r="F2427" t="s">
        <v>70</v>
      </c>
      <c r="G2427" t="s">
        <v>147</v>
      </c>
      <c r="H2427" t="s">
        <v>148</v>
      </c>
      <c r="I2427" t="s">
        <v>37</v>
      </c>
      <c r="J2427" t="s">
        <v>38</v>
      </c>
      <c r="K2427" t="s">
        <v>29</v>
      </c>
      <c r="L2427" t="s">
        <v>30</v>
      </c>
      <c r="M2427" t="s">
        <v>139</v>
      </c>
      <c r="N2427">
        <v>1128</v>
      </c>
      <c r="O2427" s="14">
        <v>0.91453405423089895</v>
      </c>
      <c r="P2427" s="14">
        <v>0.19881726312451101</v>
      </c>
      <c r="Q2427" t="str">
        <f t="shared" si="74"/>
        <v>15-24</v>
      </c>
      <c r="R2427" t="str">
        <f t="shared" si="75"/>
        <v>[PekKUkKHAzY]|15-24|Female|DIAGNOSED_SUBNAT.T_1|CY2023Q3</v>
      </c>
    </row>
    <row r="2428" spans="4:18" x14ac:dyDescent="0.2">
      <c r="D2428" t="s">
        <v>68</v>
      </c>
      <c r="E2428" t="s">
        <v>69</v>
      </c>
      <c r="F2428" t="s">
        <v>70</v>
      </c>
      <c r="G2428" t="s">
        <v>147</v>
      </c>
      <c r="H2428" t="s">
        <v>148</v>
      </c>
      <c r="I2428" t="s">
        <v>40</v>
      </c>
      <c r="J2428" t="s">
        <v>41</v>
      </c>
      <c r="K2428" t="s">
        <v>29</v>
      </c>
      <c r="L2428" t="s">
        <v>30</v>
      </c>
      <c r="M2428" t="s">
        <v>139</v>
      </c>
      <c r="N2428">
        <v>867</v>
      </c>
      <c r="O2428" s="14">
        <v>0.32444518757983998</v>
      </c>
      <c r="P2428" s="14">
        <v>0.19881726312451101</v>
      </c>
      <c r="Q2428" t="str">
        <f t="shared" si="74"/>
        <v>25-34</v>
      </c>
      <c r="R2428" t="str">
        <f t="shared" si="75"/>
        <v>[PekKUkKHAzY]|25-34|Female|DIAGNOSED_SUBNAT.T_1|CY2023Q3</v>
      </c>
    </row>
    <row r="2429" spans="4:18" x14ac:dyDescent="0.2">
      <c r="D2429" t="s">
        <v>68</v>
      </c>
      <c r="E2429" t="s">
        <v>69</v>
      </c>
      <c r="F2429" t="s">
        <v>70</v>
      </c>
      <c r="G2429" t="s">
        <v>147</v>
      </c>
      <c r="H2429" t="s">
        <v>148</v>
      </c>
      <c r="I2429" t="s">
        <v>42</v>
      </c>
      <c r="J2429" t="s">
        <v>43</v>
      </c>
      <c r="K2429" t="s">
        <v>29</v>
      </c>
      <c r="L2429" t="s">
        <v>30</v>
      </c>
      <c r="M2429" t="s">
        <v>139</v>
      </c>
      <c r="N2429">
        <v>1307</v>
      </c>
      <c r="O2429" s="14">
        <v>0.16752220760099601</v>
      </c>
      <c r="P2429" s="14">
        <v>0.19881726312451101</v>
      </c>
      <c r="Q2429" t="str">
        <f t="shared" si="74"/>
        <v>35-49</v>
      </c>
      <c r="R2429" t="str">
        <f t="shared" si="75"/>
        <v>[PekKUkKHAzY]|35-49|Female|DIAGNOSED_SUBNAT.T_1|CY2023Q3</v>
      </c>
    </row>
    <row r="2430" spans="4:18" x14ac:dyDescent="0.2">
      <c r="D2430" t="s">
        <v>68</v>
      </c>
      <c r="E2430" t="s">
        <v>69</v>
      </c>
      <c r="F2430" t="s">
        <v>70</v>
      </c>
      <c r="G2430" t="s">
        <v>147</v>
      </c>
      <c r="H2430" t="s">
        <v>148</v>
      </c>
      <c r="I2430" t="s">
        <v>44</v>
      </c>
      <c r="J2430" t="s">
        <v>45</v>
      </c>
      <c r="K2430" t="s">
        <v>29</v>
      </c>
      <c r="L2430" t="s">
        <v>30</v>
      </c>
      <c r="M2430" t="s">
        <v>139</v>
      </c>
      <c r="N2430">
        <v>1211</v>
      </c>
      <c r="O2430" s="14">
        <v>0.39400035003200201</v>
      </c>
      <c r="P2430" s="14">
        <v>0.19881726312451101</v>
      </c>
      <c r="Q2430" t="str">
        <f t="shared" si="74"/>
        <v>50+</v>
      </c>
      <c r="R2430" t="str">
        <f t="shared" si="75"/>
        <v>[PekKUkKHAzY]|50+|Female|DIAGNOSED_SUBNAT.T_1|CY2023Q3</v>
      </c>
    </row>
    <row r="2431" spans="4:18" x14ac:dyDescent="0.2">
      <c r="D2431" t="s">
        <v>68</v>
      </c>
      <c r="E2431" t="s">
        <v>69</v>
      </c>
      <c r="F2431" t="s">
        <v>70</v>
      </c>
      <c r="G2431" t="s">
        <v>147</v>
      </c>
      <c r="H2431" t="s">
        <v>148</v>
      </c>
      <c r="I2431" t="s">
        <v>27</v>
      </c>
      <c r="J2431" t="s">
        <v>28</v>
      </c>
      <c r="K2431" t="s">
        <v>47</v>
      </c>
      <c r="L2431" t="s">
        <v>48</v>
      </c>
      <c r="M2431" t="s">
        <v>139</v>
      </c>
      <c r="N2431">
        <v>1575</v>
      </c>
      <c r="O2431" s="14">
        <v>0.82453733542934105</v>
      </c>
      <c r="P2431" s="14">
        <v>0.19881726312451101</v>
      </c>
      <c r="Q2431" t="str">
        <f t="shared" si="74"/>
        <v>&lt;01</v>
      </c>
      <c r="R2431" t="str">
        <f t="shared" si="75"/>
        <v>[PekKUkKHAzY]|&lt;01|Male|DIAGNOSED_SUBNAT.T_1|CY2023Q3</v>
      </c>
    </row>
    <row r="2432" spans="4:18" x14ac:dyDescent="0.2">
      <c r="D2432" t="s">
        <v>68</v>
      </c>
      <c r="E2432" t="s">
        <v>69</v>
      </c>
      <c r="F2432" t="s">
        <v>70</v>
      </c>
      <c r="G2432" t="s">
        <v>147</v>
      </c>
      <c r="H2432" t="s">
        <v>148</v>
      </c>
      <c r="I2432" t="s">
        <v>32</v>
      </c>
      <c r="J2432" t="s">
        <v>33</v>
      </c>
      <c r="K2432" t="s">
        <v>47</v>
      </c>
      <c r="L2432" t="s">
        <v>48</v>
      </c>
      <c r="M2432" t="s">
        <v>139</v>
      </c>
      <c r="N2432">
        <v>683</v>
      </c>
      <c r="O2432" s="14">
        <v>0.91246411600150201</v>
      </c>
      <c r="P2432" s="14">
        <v>0.19881726312451101</v>
      </c>
      <c r="Q2432" t="str">
        <f t="shared" si="74"/>
        <v>01-09</v>
      </c>
      <c r="R2432" t="str">
        <f t="shared" si="75"/>
        <v>[PekKUkKHAzY]|01-09|Male|DIAGNOSED_SUBNAT.T_1|CY2023Q3</v>
      </c>
    </row>
    <row r="2433" spans="4:18" x14ac:dyDescent="0.2">
      <c r="D2433" t="s">
        <v>68</v>
      </c>
      <c r="E2433" t="s">
        <v>69</v>
      </c>
      <c r="F2433" t="s">
        <v>70</v>
      </c>
      <c r="G2433" t="s">
        <v>147</v>
      </c>
      <c r="H2433" t="s">
        <v>148</v>
      </c>
      <c r="I2433" t="s">
        <v>35</v>
      </c>
      <c r="J2433" t="s">
        <v>36</v>
      </c>
      <c r="K2433" t="s">
        <v>47</v>
      </c>
      <c r="L2433" t="s">
        <v>48</v>
      </c>
      <c r="M2433" t="s">
        <v>139</v>
      </c>
      <c r="N2433">
        <v>634</v>
      </c>
      <c r="O2433" s="14">
        <v>3.3855347195640199E-2</v>
      </c>
      <c r="P2433" s="14">
        <v>0.19881726312451101</v>
      </c>
      <c r="Q2433" t="str">
        <f t="shared" si="74"/>
        <v>10-14</v>
      </c>
      <c r="R2433" t="str">
        <f t="shared" si="75"/>
        <v>[PekKUkKHAzY]|10-14|Male|DIAGNOSED_SUBNAT.T_1|CY2023Q3</v>
      </c>
    </row>
    <row r="2434" spans="4:18" x14ac:dyDescent="0.2">
      <c r="D2434" t="s">
        <v>68</v>
      </c>
      <c r="E2434" t="s">
        <v>69</v>
      </c>
      <c r="F2434" t="s">
        <v>70</v>
      </c>
      <c r="G2434" t="s">
        <v>147</v>
      </c>
      <c r="H2434" t="s">
        <v>148</v>
      </c>
      <c r="I2434" t="s">
        <v>37</v>
      </c>
      <c r="J2434" t="s">
        <v>38</v>
      </c>
      <c r="K2434" t="s">
        <v>47</v>
      </c>
      <c r="L2434" t="s">
        <v>48</v>
      </c>
      <c r="M2434" t="s">
        <v>139</v>
      </c>
      <c r="N2434">
        <v>620</v>
      </c>
      <c r="O2434" s="14">
        <v>0.30946652940474501</v>
      </c>
      <c r="P2434" s="14">
        <v>0.19881726312451101</v>
      </c>
      <c r="Q2434" t="str">
        <f t="shared" ref="Q2434:Q2497" si="76">SUBSTITUTE(SUBSTITUTE($I2434,CHAR(61),""),CHAR(34),"")</f>
        <v>15-24</v>
      </c>
      <c r="R2434" t="str">
        <f t="shared" ref="R2434:R2497" si="77">IF($D2434&lt;&gt;"","["&amp;$E2434&amp;"]"&amp;"|"&amp;$Q2434&amp;"|"&amp;$K2434&amp;"|"&amp;$G2434&amp;"|"&amp;IF($G2434="TX_CURR_SUBNAT.R","CY2022Q4",$M2434),"")</f>
        <v>[PekKUkKHAzY]|15-24|Male|DIAGNOSED_SUBNAT.T_1|CY2023Q3</v>
      </c>
    </row>
    <row r="2435" spans="4:18" x14ac:dyDescent="0.2">
      <c r="D2435" t="s">
        <v>68</v>
      </c>
      <c r="E2435" t="s">
        <v>69</v>
      </c>
      <c r="F2435" t="s">
        <v>70</v>
      </c>
      <c r="G2435" t="s">
        <v>147</v>
      </c>
      <c r="H2435" t="s">
        <v>148</v>
      </c>
      <c r="I2435" t="s">
        <v>40</v>
      </c>
      <c r="J2435" t="s">
        <v>41</v>
      </c>
      <c r="K2435" t="s">
        <v>47</v>
      </c>
      <c r="L2435" t="s">
        <v>48</v>
      </c>
      <c r="M2435" t="s">
        <v>139</v>
      </c>
      <c r="N2435">
        <v>1128</v>
      </c>
      <c r="O2435" s="14">
        <v>0.29185079038143202</v>
      </c>
      <c r="P2435" s="14">
        <v>0.19881726312451101</v>
      </c>
      <c r="Q2435" t="str">
        <f t="shared" si="76"/>
        <v>25-34</v>
      </c>
      <c r="R2435" t="str">
        <f t="shared" si="77"/>
        <v>[PekKUkKHAzY]|25-34|Male|DIAGNOSED_SUBNAT.T_1|CY2023Q3</v>
      </c>
    </row>
    <row r="2436" spans="4:18" x14ac:dyDescent="0.2">
      <c r="D2436" t="s">
        <v>68</v>
      </c>
      <c r="E2436" t="s">
        <v>69</v>
      </c>
      <c r="F2436" t="s">
        <v>70</v>
      </c>
      <c r="G2436" t="s">
        <v>147</v>
      </c>
      <c r="H2436" t="s">
        <v>148</v>
      </c>
      <c r="I2436" t="s">
        <v>42</v>
      </c>
      <c r="J2436" t="s">
        <v>43</v>
      </c>
      <c r="K2436" t="s">
        <v>47</v>
      </c>
      <c r="L2436" t="s">
        <v>48</v>
      </c>
      <c r="M2436" t="s">
        <v>139</v>
      </c>
      <c r="N2436">
        <v>1771</v>
      </c>
      <c r="O2436" s="14">
        <v>0.144936359720305</v>
      </c>
      <c r="P2436" s="14">
        <v>0.19881726312451101</v>
      </c>
      <c r="Q2436" t="str">
        <f t="shared" si="76"/>
        <v>35-49</v>
      </c>
      <c r="R2436" t="str">
        <f t="shared" si="77"/>
        <v>[PekKUkKHAzY]|35-49|Male|DIAGNOSED_SUBNAT.T_1|CY2023Q3</v>
      </c>
    </row>
    <row r="2437" spans="4:18" x14ac:dyDescent="0.2">
      <c r="D2437" t="s">
        <v>68</v>
      </c>
      <c r="E2437" t="s">
        <v>69</v>
      </c>
      <c r="F2437" t="s">
        <v>70</v>
      </c>
      <c r="G2437" t="s">
        <v>147</v>
      </c>
      <c r="H2437" t="s">
        <v>148</v>
      </c>
      <c r="I2437" t="s">
        <v>44</v>
      </c>
      <c r="J2437" t="s">
        <v>45</v>
      </c>
      <c r="K2437" t="s">
        <v>47</v>
      </c>
      <c r="L2437" t="s">
        <v>48</v>
      </c>
      <c r="M2437" t="s">
        <v>139</v>
      </c>
      <c r="N2437">
        <v>1781</v>
      </c>
      <c r="O2437" s="14">
        <v>0.15154755022376801</v>
      </c>
      <c r="P2437" s="14">
        <v>0.19881726312451101</v>
      </c>
      <c r="Q2437" t="str">
        <f t="shared" si="76"/>
        <v>50+</v>
      </c>
      <c r="R2437" t="str">
        <f t="shared" si="77"/>
        <v>[PekKUkKHAzY]|50+|Male|DIAGNOSED_SUBNAT.T_1|CY2023Q3</v>
      </c>
    </row>
    <row r="2438" spans="4:18" x14ac:dyDescent="0.2">
      <c r="D2438" t="s">
        <v>71</v>
      </c>
      <c r="E2438" t="s">
        <v>72</v>
      </c>
      <c r="F2438" t="s">
        <v>73</v>
      </c>
      <c r="G2438" t="s">
        <v>147</v>
      </c>
      <c r="H2438" t="s">
        <v>148</v>
      </c>
      <c r="I2438" t="s">
        <v>27</v>
      </c>
      <c r="J2438" t="s">
        <v>28</v>
      </c>
      <c r="K2438" t="s">
        <v>29</v>
      </c>
      <c r="L2438" t="s">
        <v>30</v>
      </c>
      <c r="M2438" t="s">
        <v>139</v>
      </c>
      <c r="N2438">
        <v>507</v>
      </c>
      <c r="O2438" s="14">
        <v>0.96299059828743305</v>
      </c>
      <c r="P2438" s="14">
        <v>0.28972870693542102</v>
      </c>
      <c r="Q2438" t="str">
        <f t="shared" si="76"/>
        <v>&lt;01</v>
      </c>
      <c r="R2438" t="str">
        <f t="shared" si="77"/>
        <v>[am530wpaGvr]|&lt;01|Female|DIAGNOSED_SUBNAT.T_1|CY2023Q3</v>
      </c>
    </row>
    <row r="2439" spans="4:18" x14ac:dyDescent="0.2">
      <c r="D2439" t="s">
        <v>71</v>
      </c>
      <c r="E2439" t="s">
        <v>72</v>
      </c>
      <c r="F2439" t="s">
        <v>73</v>
      </c>
      <c r="G2439" t="s">
        <v>147</v>
      </c>
      <c r="H2439" t="s">
        <v>148</v>
      </c>
      <c r="I2439" t="s">
        <v>32</v>
      </c>
      <c r="J2439" t="s">
        <v>33</v>
      </c>
      <c r="K2439" t="s">
        <v>29</v>
      </c>
      <c r="L2439" t="s">
        <v>30</v>
      </c>
      <c r="M2439" t="s">
        <v>139</v>
      </c>
      <c r="N2439">
        <v>918</v>
      </c>
      <c r="O2439" s="14">
        <v>0.57080057309940502</v>
      </c>
      <c r="P2439" s="14">
        <v>0.28972870693542102</v>
      </c>
      <c r="Q2439" t="str">
        <f t="shared" si="76"/>
        <v>01-09</v>
      </c>
      <c r="R2439" t="str">
        <f t="shared" si="77"/>
        <v>[am530wpaGvr]|01-09|Female|DIAGNOSED_SUBNAT.T_1|CY2023Q3</v>
      </c>
    </row>
    <row r="2440" spans="4:18" x14ac:dyDescent="0.2">
      <c r="D2440" t="s">
        <v>71</v>
      </c>
      <c r="E2440" t="s">
        <v>72</v>
      </c>
      <c r="F2440" t="s">
        <v>73</v>
      </c>
      <c r="G2440" t="s">
        <v>147</v>
      </c>
      <c r="H2440" t="s">
        <v>148</v>
      </c>
      <c r="I2440" t="s">
        <v>35</v>
      </c>
      <c r="J2440" t="s">
        <v>36</v>
      </c>
      <c r="K2440" t="s">
        <v>29</v>
      </c>
      <c r="L2440" t="s">
        <v>30</v>
      </c>
      <c r="M2440" t="s">
        <v>139</v>
      </c>
      <c r="N2440">
        <v>576</v>
      </c>
      <c r="O2440" s="14">
        <v>0.66624912805855296</v>
      </c>
      <c r="P2440" s="14">
        <v>0.28972870693542102</v>
      </c>
      <c r="Q2440" t="str">
        <f t="shared" si="76"/>
        <v>10-14</v>
      </c>
      <c r="R2440" t="str">
        <f t="shared" si="77"/>
        <v>[am530wpaGvr]|10-14|Female|DIAGNOSED_SUBNAT.T_1|CY2023Q3</v>
      </c>
    </row>
    <row r="2441" spans="4:18" x14ac:dyDescent="0.2">
      <c r="D2441" t="s">
        <v>71</v>
      </c>
      <c r="E2441" t="s">
        <v>72</v>
      </c>
      <c r="F2441" t="s">
        <v>73</v>
      </c>
      <c r="G2441" t="s">
        <v>147</v>
      </c>
      <c r="H2441" t="s">
        <v>148</v>
      </c>
      <c r="I2441" t="s">
        <v>37</v>
      </c>
      <c r="J2441" t="s">
        <v>38</v>
      </c>
      <c r="K2441" t="s">
        <v>29</v>
      </c>
      <c r="L2441" t="s">
        <v>30</v>
      </c>
      <c r="M2441" t="s">
        <v>139</v>
      </c>
      <c r="N2441">
        <v>1292</v>
      </c>
      <c r="O2441" s="14">
        <v>0.87410593987442597</v>
      </c>
      <c r="P2441" s="14">
        <v>0.28972870693542102</v>
      </c>
      <c r="Q2441" t="str">
        <f t="shared" si="76"/>
        <v>15-24</v>
      </c>
      <c r="R2441" t="str">
        <f t="shared" si="77"/>
        <v>[am530wpaGvr]|15-24|Female|DIAGNOSED_SUBNAT.T_1|CY2023Q3</v>
      </c>
    </row>
    <row r="2442" spans="4:18" x14ac:dyDescent="0.2">
      <c r="D2442" t="s">
        <v>71</v>
      </c>
      <c r="E2442" t="s">
        <v>72</v>
      </c>
      <c r="F2442" t="s">
        <v>73</v>
      </c>
      <c r="G2442" t="s">
        <v>147</v>
      </c>
      <c r="H2442" t="s">
        <v>148</v>
      </c>
      <c r="I2442" t="s">
        <v>40</v>
      </c>
      <c r="J2442" t="s">
        <v>41</v>
      </c>
      <c r="K2442" t="s">
        <v>29</v>
      </c>
      <c r="L2442" t="s">
        <v>30</v>
      </c>
      <c r="M2442" t="s">
        <v>139</v>
      </c>
      <c r="N2442">
        <v>1396</v>
      </c>
      <c r="O2442" s="14">
        <v>0.44995466643013099</v>
      </c>
      <c r="P2442" s="14">
        <v>0.28972870693542102</v>
      </c>
      <c r="Q2442" t="str">
        <f t="shared" si="76"/>
        <v>25-34</v>
      </c>
      <c r="R2442" t="str">
        <f t="shared" si="77"/>
        <v>[am530wpaGvr]|25-34|Female|DIAGNOSED_SUBNAT.T_1|CY2023Q3</v>
      </c>
    </row>
    <row r="2443" spans="4:18" x14ac:dyDescent="0.2">
      <c r="D2443" t="s">
        <v>71</v>
      </c>
      <c r="E2443" t="s">
        <v>72</v>
      </c>
      <c r="F2443" t="s">
        <v>73</v>
      </c>
      <c r="G2443" t="s">
        <v>147</v>
      </c>
      <c r="H2443" t="s">
        <v>148</v>
      </c>
      <c r="I2443" t="s">
        <v>42</v>
      </c>
      <c r="J2443" t="s">
        <v>43</v>
      </c>
      <c r="K2443" t="s">
        <v>29</v>
      </c>
      <c r="L2443" t="s">
        <v>30</v>
      </c>
      <c r="M2443" t="s">
        <v>139</v>
      </c>
      <c r="N2443">
        <v>1878</v>
      </c>
      <c r="O2443" s="14">
        <v>0.69071949436329305</v>
      </c>
      <c r="P2443" s="14">
        <v>0.28972870693542102</v>
      </c>
      <c r="Q2443" t="str">
        <f t="shared" si="76"/>
        <v>35-49</v>
      </c>
      <c r="R2443" t="str">
        <f t="shared" si="77"/>
        <v>[am530wpaGvr]|35-49|Female|DIAGNOSED_SUBNAT.T_1|CY2023Q3</v>
      </c>
    </row>
    <row r="2444" spans="4:18" x14ac:dyDescent="0.2">
      <c r="D2444" t="s">
        <v>71</v>
      </c>
      <c r="E2444" t="s">
        <v>72</v>
      </c>
      <c r="F2444" t="s">
        <v>73</v>
      </c>
      <c r="G2444" t="s">
        <v>147</v>
      </c>
      <c r="H2444" t="s">
        <v>148</v>
      </c>
      <c r="I2444" t="s">
        <v>44</v>
      </c>
      <c r="J2444" t="s">
        <v>45</v>
      </c>
      <c r="K2444" t="s">
        <v>29</v>
      </c>
      <c r="L2444" t="s">
        <v>30</v>
      </c>
      <c r="M2444" t="s">
        <v>139</v>
      </c>
      <c r="N2444">
        <v>1642</v>
      </c>
      <c r="O2444" s="14">
        <v>0.33487085718661502</v>
      </c>
      <c r="P2444" s="14">
        <v>0.28972870693542102</v>
      </c>
      <c r="Q2444" t="str">
        <f t="shared" si="76"/>
        <v>50+</v>
      </c>
      <c r="R2444" t="str">
        <f t="shared" si="77"/>
        <v>[am530wpaGvr]|50+|Female|DIAGNOSED_SUBNAT.T_1|CY2023Q3</v>
      </c>
    </row>
    <row r="2445" spans="4:18" x14ac:dyDescent="0.2">
      <c r="D2445" t="s">
        <v>71</v>
      </c>
      <c r="E2445" t="s">
        <v>72</v>
      </c>
      <c r="F2445" t="s">
        <v>73</v>
      </c>
      <c r="G2445" t="s">
        <v>147</v>
      </c>
      <c r="H2445" t="s">
        <v>148</v>
      </c>
      <c r="I2445" t="s">
        <v>27</v>
      </c>
      <c r="J2445" t="s">
        <v>28</v>
      </c>
      <c r="K2445" t="s">
        <v>47</v>
      </c>
      <c r="L2445" t="s">
        <v>48</v>
      </c>
      <c r="M2445" t="s">
        <v>139</v>
      </c>
      <c r="N2445">
        <v>1979</v>
      </c>
      <c r="O2445" s="14">
        <v>0.19342526025138801</v>
      </c>
      <c r="P2445" s="14">
        <v>0.28972870693542102</v>
      </c>
      <c r="Q2445" t="str">
        <f t="shared" si="76"/>
        <v>&lt;01</v>
      </c>
      <c r="R2445" t="str">
        <f t="shared" si="77"/>
        <v>[am530wpaGvr]|&lt;01|Male|DIAGNOSED_SUBNAT.T_1|CY2023Q3</v>
      </c>
    </row>
    <row r="2446" spans="4:18" x14ac:dyDescent="0.2">
      <c r="D2446" t="s">
        <v>71</v>
      </c>
      <c r="E2446" t="s">
        <v>72</v>
      </c>
      <c r="F2446" t="s">
        <v>73</v>
      </c>
      <c r="G2446" t="s">
        <v>147</v>
      </c>
      <c r="H2446" t="s">
        <v>148</v>
      </c>
      <c r="I2446" t="s">
        <v>32</v>
      </c>
      <c r="J2446" t="s">
        <v>33</v>
      </c>
      <c r="K2446" t="s">
        <v>47</v>
      </c>
      <c r="L2446" t="s">
        <v>48</v>
      </c>
      <c r="M2446" t="s">
        <v>139</v>
      </c>
      <c r="N2446">
        <v>1707</v>
      </c>
      <c r="O2446" s="14">
        <v>0.616054429672658</v>
      </c>
      <c r="P2446" s="14">
        <v>0.28972870693542102</v>
      </c>
      <c r="Q2446" t="str">
        <f t="shared" si="76"/>
        <v>01-09</v>
      </c>
      <c r="R2446" t="str">
        <f t="shared" si="77"/>
        <v>[am530wpaGvr]|01-09|Male|DIAGNOSED_SUBNAT.T_1|CY2023Q3</v>
      </c>
    </row>
    <row r="2447" spans="4:18" x14ac:dyDescent="0.2">
      <c r="D2447" t="s">
        <v>71</v>
      </c>
      <c r="E2447" t="s">
        <v>72</v>
      </c>
      <c r="F2447" t="s">
        <v>73</v>
      </c>
      <c r="G2447" t="s">
        <v>147</v>
      </c>
      <c r="H2447" t="s">
        <v>148</v>
      </c>
      <c r="I2447" t="s">
        <v>35</v>
      </c>
      <c r="J2447" t="s">
        <v>36</v>
      </c>
      <c r="K2447" t="s">
        <v>47</v>
      </c>
      <c r="L2447" t="s">
        <v>48</v>
      </c>
      <c r="M2447" t="s">
        <v>139</v>
      </c>
      <c r="N2447">
        <v>1897</v>
      </c>
      <c r="O2447" s="14">
        <v>3.3900262089446201E-2</v>
      </c>
      <c r="P2447" s="14">
        <v>0.28972870693542102</v>
      </c>
      <c r="Q2447" t="str">
        <f t="shared" si="76"/>
        <v>10-14</v>
      </c>
      <c r="R2447" t="str">
        <f t="shared" si="77"/>
        <v>[am530wpaGvr]|10-14|Male|DIAGNOSED_SUBNAT.T_1|CY2023Q3</v>
      </c>
    </row>
    <row r="2448" spans="4:18" x14ac:dyDescent="0.2">
      <c r="D2448" t="s">
        <v>71</v>
      </c>
      <c r="E2448" t="s">
        <v>72</v>
      </c>
      <c r="F2448" t="s">
        <v>73</v>
      </c>
      <c r="G2448" t="s">
        <v>147</v>
      </c>
      <c r="H2448" t="s">
        <v>148</v>
      </c>
      <c r="I2448" t="s">
        <v>37</v>
      </c>
      <c r="J2448" t="s">
        <v>38</v>
      </c>
      <c r="K2448" t="s">
        <v>47</v>
      </c>
      <c r="L2448" t="s">
        <v>48</v>
      </c>
      <c r="M2448" t="s">
        <v>139</v>
      </c>
      <c r="N2448">
        <v>1244</v>
      </c>
      <c r="O2448" s="14">
        <v>0.973152443068102</v>
      </c>
      <c r="P2448" s="14">
        <v>0.28972870693542102</v>
      </c>
      <c r="Q2448" t="str">
        <f t="shared" si="76"/>
        <v>15-24</v>
      </c>
      <c r="R2448" t="str">
        <f t="shared" si="77"/>
        <v>[am530wpaGvr]|15-24|Male|DIAGNOSED_SUBNAT.T_1|CY2023Q3</v>
      </c>
    </row>
    <row r="2449" spans="4:18" x14ac:dyDescent="0.2">
      <c r="D2449" t="s">
        <v>71</v>
      </c>
      <c r="E2449" t="s">
        <v>72</v>
      </c>
      <c r="F2449" t="s">
        <v>73</v>
      </c>
      <c r="G2449" t="s">
        <v>147</v>
      </c>
      <c r="H2449" t="s">
        <v>148</v>
      </c>
      <c r="I2449" t="s">
        <v>40</v>
      </c>
      <c r="J2449" t="s">
        <v>41</v>
      </c>
      <c r="K2449" t="s">
        <v>47</v>
      </c>
      <c r="L2449" t="s">
        <v>48</v>
      </c>
      <c r="M2449" t="s">
        <v>139</v>
      </c>
      <c r="N2449">
        <v>1076</v>
      </c>
      <c r="O2449" s="14">
        <v>0.28952158568427</v>
      </c>
      <c r="P2449" s="14">
        <v>0.28972870693542102</v>
      </c>
      <c r="Q2449" t="str">
        <f t="shared" si="76"/>
        <v>25-34</v>
      </c>
      <c r="R2449" t="str">
        <f t="shared" si="77"/>
        <v>[am530wpaGvr]|25-34|Male|DIAGNOSED_SUBNAT.T_1|CY2023Q3</v>
      </c>
    </row>
    <row r="2450" spans="4:18" x14ac:dyDescent="0.2">
      <c r="D2450" t="s">
        <v>71</v>
      </c>
      <c r="E2450" t="s">
        <v>72</v>
      </c>
      <c r="F2450" t="s">
        <v>73</v>
      </c>
      <c r="G2450" t="s">
        <v>147</v>
      </c>
      <c r="H2450" t="s">
        <v>148</v>
      </c>
      <c r="I2450" t="s">
        <v>42</v>
      </c>
      <c r="J2450" t="s">
        <v>43</v>
      </c>
      <c r="K2450" t="s">
        <v>47</v>
      </c>
      <c r="L2450" t="s">
        <v>48</v>
      </c>
      <c r="M2450" t="s">
        <v>139</v>
      </c>
      <c r="N2450">
        <v>1536</v>
      </c>
      <c r="O2450" s="14">
        <v>8.3461916074156796E-3</v>
      </c>
      <c r="P2450" s="14">
        <v>0.28972870693542102</v>
      </c>
      <c r="Q2450" t="str">
        <f t="shared" si="76"/>
        <v>35-49</v>
      </c>
      <c r="R2450" t="str">
        <f t="shared" si="77"/>
        <v>[am530wpaGvr]|35-49|Male|DIAGNOSED_SUBNAT.T_1|CY2023Q3</v>
      </c>
    </row>
    <row r="2451" spans="4:18" x14ac:dyDescent="0.2">
      <c r="D2451" t="s">
        <v>71</v>
      </c>
      <c r="E2451" t="s">
        <v>72</v>
      </c>
      <c r="F2451" t="s">
        <v>73</v>
      </c>
      <c r="G2451" t="s">
        <v>147</v>
      </c>
      <c r="H2451" t="s">
        <v>148</v>
      </c>
      <c r="I2451" t="s">
        <v>44</v>
      </c>
      <c r="J2451" t="s">
        <v>45</v>
      </c>
      <c r="K2451" t="s">
        <v>47</v>
      </c>
      <c r="L2451" t="s">
        <v>48</v>
      </c>
      <c r="M2451" t="s">
        <v>139</v>
      </c>
      <c r="N2451">
        <v>1696</v>
      </c>
      <c r="O2451" s="14">
        <v>0.53261892381124198</v>
      </c>
      <c r="P2451" s="14">
        <v>0.28972870693542102</v>
      </c>
      <c r="Q2451" t="str">
        <f t="shared" si="76"/>
        <v>50+</v>
      </c>
      <c r="R2451" t="str">
        <f t="shared" si="77"/>
        <v>[am530wpaGvr]|50+|Male|DIAGNOSED_SUBNAT.T_1|CY2023Q3</v>
      </c>
    </row>
    <row r="2452" spans="4:18" x14ac:dyDescent="0.2">
      <c r="D2452" t="s">
        <v>74</v>
      </c>
      <c r="E2452" t="s">
        <v>75</v>
      </c>
      <c r="F2452" t="s">
        <v>76</v>
      </c>
      <c r="G2452" t="s">
        <v>147</v>
      </c>
      <c r="H2452" t="s">
        <v>148</v>
      </c>
      <c r="I2452" t="s">
        <v>27</v>
      </c>
      <c r="J2452" t="s">
        <v>28</v>
      </c>
      <c r="K2452" t="s">
        <v>29</v>
      </c>
      <c r="L2452" t="s">
        <v>30</v>
      </c>
      <c r="M2452" t="s">
        <v>139</v>
      </c>
      <c r="N2452">
        <v>836</v>
      </c>
      <c r="O2452" s="14">
        <v>0.97502956190146495</v>
      </c>
      <c r="P2452" s="14">
        <v>0.30305550759658201</v>
      </c>
      <c r="Q2452" t="str">
        <f t="shared" si="76"/>
        <v>&lt;01</v>
      </c>
      <c r="R2452" t="str">
        <f t="shared" si="77"/>
        <v>[lLDyBx5XyUi]|&lt;01|Female|DIAGNOSED_SUBNAT.T_1|CY2023Q3</v>
      </c>
    </row>
    <row r="2453" spans="4:18" x14ac:dyDescent="0.2">
      <c r="D2453" t="s">
        <v>74</v>
      </c>
      <c r="E2453" t="s">
        <v>75</v>
      </c>
      <c r="F2453" t="s">
        <v>76</v>
      </c>
      <c r="G2453" t="s">
        <v>147</v>
      </c>
      <c r="H2453" t="s">
        <v>148</v>
      </c>
      <c r="I2453" t="s">
        <v>32</v>
      </c>
      <c r="J2453" t="s">
        <v>33</v>
      </c>
      <c r="K2453" t="s">
        <v>29</v>
      </c>
      <c r="L2453" t="s">
        <v>30</v>
      </c>
      <c r="M2453" t="s">
        <v>139</v>
      </c>
      <c r="N2453">
        <v>1962</v>
      </c>
      <c r="O2453" s="14">
        <v>0.23942719073966101</v>
      </c>
      <c r="P2453" s="14">
        <v>0.30305550759658201</v>
      </c>
      <c r="Q2453" t="str">
        <f t="shared" si="76"/>
        <v>01-09</v>
      </c>
      <c r="R2453" t="str">
        <f t="shared" si="77"/>
        <v>[lLDyBx5XyUi]|01-09|Female|DIAGNOSED_SUBNAT.T_1|CY2023Q3</v>
      </c>
    </row>
    <row r="2454" spans="4:18" x14ac:dyDescent="0.2">
      <c r="D2454" t="s">
        <v>74</v>
      </c>
      <c r="E2454" t="s">
        <v>75</v>
      </c>
      <c r="F2454" t="s">
        <v>76</v>
      </c>
      <c r="G2454" t="s">
        <v>147</v>
      </c>
      <c r="H2454" t="s">
        <v>148</v>
      </c>
      <c r="I2454" t="s">
        <v>35</v>
      </c>
      <c r="J2454" t="s">
        <v>36</v>
      </c>
      <c r="K2454" t="s">
        <v>29</v>
      </c>
      <c r="L2454" t="s">
        <v>30</v>
      </c>
      <c r="M2454" t="s">
        <v>139</v>
      </c>
      <c r="N2454">
        <v>1982</v>
      </c>
      <c r="O2454" s="14">
        <v>0.72702352679334603</v>
      </c>
      <c r="P2454" s="14">
        <v>0.30305550759658201</v>
      </c>
      <c r="Q2454" t="str">
        <f t="shared" si="76"/>
        <v>10-14</v>
      </c>
      <c r="R2454" t="str">
        <f t="shared" si="77"/>
        <v>[lLDyBx5XyUi]|10-14|Female|DIAGNOSED_SUBNAT.T_1|CY2023Q3</v>
      </c>
    </row>
    <row r="2455" spans="4:18" x14ac:dyDescent="0.2">
      <c r="D2455" t="s">
        <v>74</v>
      </c>
      <c r="E2455" t="s">
        <v>75</v>
      </c>
      <c r="F2455" t="s">
        <v>76</v>
      </c>
      <c r="G2455" t="s">
        <v>147</v>
      </c>
      <c r="H2455" t="s">
        <v>148</v>
      </c>
      <c r="I2455" t="s">
        <v>37</v>
      </c>
      <c r="J2455" t="s">
        <v>38</v>
      </c>
      <c r="K2455" t="s">
        <v>29</v>
      </c>
      <c r="L2455" t="s">
        <v>30</v>
      </c>
      <c r="M2455" t="s">
        <v>139</v>
      </c>
      <c r="N2455">
        <v>514</v>
      </c>
      <c r="O2455" s="14">
        <v>0.33336742431856697</v>
      </c>
      <c r="P2455" s="14">
        <v>0.30305550759658201</v>
      </c>
      <c r="Q2455" t="str">
        <f t="shared" si="76"/>
        <v>15-24</v>
      </c>
      <c r="R2455" t="str">
        <f t="shared" si="77"/>
        <v>[lLDyBx5XyUi]|15-24|Female|DIAGNOSED_SUBNAT.T_1|CY2023Q3</v>
      </c>
    </row>
    <row r="2456" spans="4:18" x14ac:dyDescent="0.2">
      <c r="D2456" t="s">
        <v>74</v>
      </c>
      <c r="E2456" t="s">
        <v>75</v>
      </c>
      <c r="F2456" t="s">
        <v>76</v>
      </c>
      <c r="G2456" t="s">
        <v>147</v>
      </c>
      <c r="H2456" t="s">
        <v>148</v>
      </c>
      <c r="I2456" t="s">
        <v>40</v>
      </c>
      <c r="J2456" t="s">
        <v>41</v>
      </c>
      <c r="K2456" t="s">
        <v>29</v>
      </c>
      <c r="L2456" t="s">
        <v>30</v>
      </c>
      <c r="M2456" t="s">
        <v>139</v>
      </c>
      <c r="N2456">
        <v>1932</v>
      </c>
      <c r="O2456" s="14">
        <v>0.168779929401353</v>
      </c>
      <c r="P2456" s="14">
        <v>0.30305550759658201</v>
      </c>
      <c r="Q2456" t="str">
        <f t="shared" si="76"/>
        <v>25-34</v>
      </c>
      <c r="R2456" t="str">
        <f t="shared" si="77"/>
        <v>[lLDyBx5XyUi]|25-34|Female|DIAGNOSED_SUBNAT.T_1|CY2023Q3</v>
      </c>
    </row>
    <row r="2457" spans="4:18" x14ac:dyDescent="0.2">
      <c r="D2457" t="s">
        <v>74</v>
      </c>
      <c r="E2457" t="s">
        <v>75</v>
      </c>
      <c r="F2457" t="s">
        <v>76</v>
      </c>
      <c r="G2457" t="s">
        <v>147</v>
      </c>
      <c r="H2457" t="s">
        <v>148</v>
      </c>
      <c r="I2457" t="s">
        <v>42</v>
      </c>
      <c r="J2457" t="s">
        <v>43</v>
      </c>
      <c r="K2457" t="s">
        <v>29</v>
      </c>
      <c r="L2457" t="s">
        <v>30</v>
      </c>
      <c r="M2457" t="s">
        <v>139</v>
      </c>
      <c r="N2457">
        <v>1048</v>
      </c>
      <c r="O2457" s="14">
        <v>0.60108424676582195</v>
      </c>
      <c r="P2457" s="14">
        <v>0.30305550759658201</v>
      </c>
      <c r="Q2457" t="str">
        <f t="shared" si="76"/>
        <v>35-49</v>
      </c>
      <c r="R2457" t="str">
        <f t="shared" si="77"/>
        <v>[lLDyBx5XyUi]|35-49|Female|DIAGNOSED_SUBNAT.T_1|CY2023Q3</v>
      </c>
    </row>
    <row r="2458" spans="4:18" x14ac:dyDescent="0.2">
      <c r="D2458" t="s">
        <v>74</v>
      </c>
      <c r="E2458" t="s">
        <v>75</v>
      </c>
      <c r="F2458" t="s">
        <v>76</v>
      </c>
      <c r="G2458" t="s">
        <v>147</v>
      </c>
      <c r="H2458" t="s">
        <v>148</v>
      </c>
      <c r="I2458" t="s">
        <v>44</v>
      </c>
      <c r="J2458" t="s">
        <v>45</v>
      </c>
      <c r="K2458" t="s">
        <v>29</v>
      </c>
      <c r="L2458" t="s">
        <v>30</v>
      </c>
      <c r="M2458" t="s">
        <v>139</v>
      </c>
      <c r="N2458">
        <v>1140</v>
      </c>
      <c r="O2458" s="14">
        <v>0.21246596565470099</v>
      </c>
      <c r="P2458" s="14">
        <v>0.30305550759658201</v>
      </c>
      <c r="Q2458" t="str">
        <f t="shared" si="76"/>
        <v>50+</v>
      </c>
      <c r="R2458" t="str">
        <f t="shared" si="77"/>
        <v>[lLDyBx5XyUi]|50+|Female|DIAGNOSED_SUBNAT.T_1|CY2023Q3</v>
      </c>
    </row>
    <row r="2459" spans="4:18" x14ac:dyDescent="0.2">
      <c r="D2459" t="s">
        <v>74</v>
      </c>
      <c r="E2459" t="s">
        <v>75</v>
      </c>
      <c r="F2459" t="s">
        <v>76</v>
      </c>
      <c r="G2459" t="s">
        <v>147</v>
      </c>
      <c r="H2459" t="s">
        <v>148</v>
      </c>
      <c r="I2459" t="s">
        <v>27</v>
      </c>
      <c r="J2459" t="s">
        <v>28</v>
      </c>
      <c r="K2459" t="s">
        <v>47</v>
      </c>
      <c r="L2459" t="s">
        <v>48</v>
      </c>
      <c r="M2459" t="s">
        <v>139</v>
      </c>
      <c r="N2459">
        <v>1923</v>
      </c>
      <c r="O2459" s="14">
        <v>0.247767793247476</v>
      </c>
      <c r="P2459" s="14">
        <v>0.30305550759658201</v>
      </c>
      <c r="Q2459" t="str">
        <f t="shared" si="76"/>
        <v>&lt;01</v>
      </c>
      <c r="R2459" t="str">
        <f t="shared" si="77"/>
        <v>[lLDyBx5XyUi]|&lt;01|Male|DIAGNOSED_SUBNAT.T_1|CY2023Q3</v>
      </c>
    </row>
    <row r="2460" spans="4:18" x14ac:dyDescent="0.2">
      <c r="D2460" t="s">
        <v>74</v>
      </c>
      <c r="E2460" t="s">
        <v>75</v>
      </c>
      <c r="F2460" t="s">
        <v>76</v>
      </c>
      <c r="G2460" t="s">
        <v>147</v>
      </c>
      <c r="H2460" t="s">
        <v>148</v>
      </c>
      <c r="I2460" t="s">
        <v>32</v>
      </c>
      <c r="J2460" t="s">
        <v>33</v>
      </c>
      <c r="K2460" t="s">
        <v>47</v>
      </c>
      <c r="L2460" t="s">
        <v>48</v>
      </c>
      <c r="M2460" t="s">
        <v>139</v>
      </c>
      <c r="N2460">
        <v>998</v>
      </c>
      <c r="O2460" s="14">
        <v>0.57701622229069505</v>
      </c>
      <c r="P2460" s="14">
        <v>0.30305550759658201</v>
      </c>
      <c r="Q2460" t="str">
        <f t="shared" si="76"/>
        <v>01-09</v>
      </c>
      <c r="R2460" t="str">
        <f t="shared" si="77"/>
        <v>[lLDyBx5XyUi]|01-09|Male|DIAGNOSED_SUBNAT.T_1|CY2023Q3</v>
      </c>
    </row>
    <row r="2461" spans="4:18" x14ac:dyDescent="0.2">
      <c r="D2461" t="s">
        <v>74</v>
      </c>
      <c r="E2461" t="s">
        <v>75</v>
      </c>
      <c r="F2461" t="s">
        <v>76</v>
      </c>
      <c r="G2461" t="s">
        <v>147</v>
      </c>
      <c r="H2461" t="s">
        <v>148</v>
      </c>
      <c r="I2461" t="s">
        <v>35</v>
      </c>
      <c r="J2461" t="s">
        <v>36</v>
      </c>
      <c r="K2461" t="s">
        <v>47</v>
      </c>
      <c r="L2461" t="s">
        <v>48</v>
      </c>
      <c r="M2461" t="s">
        <v>139</v>
      </c>
      <c r="N2461">
        <v>1041</v>
      </c>
      <c r="O2461" s="14">
        <v>0.32267295615747599</v>
      </c>
      <c r="P2461" s="14">
        <v>0.30305550759658201</v>
      </c>
      <c r="Q2461" t="str">
        <f t="shared" si="76"/>
        <v>10-14</v>
      </c>
      <c r="R2461" t="str">
        <f t="shared" si="77"/>
        <v>[lLDyBx5XyUi]|10-14|Male|DIAGNOSED_SUBNAT.T_1|CY2023Q3</v>
      </c>
    </row>
    <row r="2462" spans="4:18" x14ac:dyDescent="0.2">
      <c r="D2462" t="s">
        <v>74</v>
      </c>
      <c r="E2462" t="s">
        <v>75</v>
      </c>
      <c r="F2462" t="s">
        <v>76</v>
      </c>
      <c r="G2462" t="s">
        <v>147</v>
      </c>
      <c r="H2462" t="s">
        <v>148</v>
      </c>
      <c r="I2462" t="s">
        <v>37</v>
      </c>
      <c r="J2462" t="s">
        <v>38</v>
      </c>
      <c r="K2462" t="s">
        <v>47</v>
      </c>
      <c r="L2462" t="s">
        <v>48</v>
      </c>
      <c r="M2462" t="s">
        <v>139</v>
      </c>
      <c r="N2462">
        <v>810</v>
      </c>
      <c r="O2462" s="14">
        <v>0.247294860659167</v>
      </c>
      <c r="P2462" s="14">
        <v>0.30305550759658201</v>
      </c>
      <c r="Q2462" t="str">
        <f t="shared" si="76"/>
        <v>15-24</v>
      </c>
      <c r="R2462" t="str">
        <f t="shared" si="77"/>
        <v>[lLDyBx5XyUi]|15-24|Male|DIAGNOSED_SUBNAT.T_1|CY2023Q3</v>
      </c>
    </row>
    <row r="2463" spans="4:18" x14ac:dyDescent="0.2">
      <c r="D2463" t="s">
        <v>74</v>
      </c>
      <c r="E2463" t="s">
        <v>75</v>
      </c>
      <c r="F2463" t="s">
        <v>76</v>
      </c>
      <c r="G2463" t="s">
        <v>147</v>
      </c>
      <c r="H2463" t="s">
        <v>148</v>
      </c>
      <c r="I2463" t="s">
        <v>40</v>
      </c>
      <c r="J2463" t="s">
        <v>41</v>
      </c>
      <c r="K2463" t="s">
        <v>47</v>
      </c>
      <c r="L2463" t="s">
        <v>48</v>
      </c>
      <c r="M2463" t="s">
        <v>139</v>
      </c>
      <c r="N2463">
        <v>958</v>
      </c>
      <c r="O2463" s="14">
        <v>1.5946632018312801E-2</v>
      </c>
      <c r="P2463" s="14">
        <v>0.30305550759658201</v>
      </c>
      <c r="Q2463" t="str">
        <f t="shared" si="76"/>
        <v>25-34</v>
      </c>
      <c r="R2463" t="str">
        <f t="shared" si="77"/>
        <v>[lLDyBx5XyUi]|25-34|Male|DIAGNOSED_SUBNAT.T_1|CY2023Q3</v>
      </c>
    </row>
    <row r="2464" spans="4:18" x14ac:dyDescent="0.2">
      <c r="D2464" t="s">
        <v>74</v>
      </c>
      <c r="E2464" t="s">
        <v>75</v>
      </c>
      <c r="F2464" t="s">
        <v>76</v>
      </c>
      <c r="G2464" t="s">
        <v>147</v>
      </c>
      <c r="H2464" t="s">
        <v>148</v>
      </c>
      <c r="I2464" t="s">
        <v>42</v>
      </c>
      <c r="J2464" t="s">
        <v>43</v>
      </c>
      <c r="K2464" t="s">
        <v>47</v>
      </c>
      <c r="L2464" t="s">
        <v>48</v>
      </c>
      <c r="M2464" t="s">
        <v>139</v>
      </c>
      <c r="N2464">
        <v>1508</v>
      </c>
      <c r="O2464" s="14">
        <v>0.61601433507166803</v>
      </c>
      <c r="P2464" s="14">
        <v>0.30305550759658201</v>
      </c>
      <c r="Q2464" t="str">
        <f t="shared" si="76"/>
        <v>35-49</v>
      </c>
      <c r="R2464" t="str">
        <f t="shared" si="77"/>
        <v>[lLDyBx5XyUi]|35-49|Male|DIAGNOSED_SUBNAT.T_1|CY2023Q3</v>
      </c>
    </row>
    <row r="2465" spans="4:18" x14ac:dyDescent="0.2">
      <c r="D2465" t="s">
        <v>74</v>
      </c>
      <c r="E2465" t="s">
        <v>75</v>
      </c>
      <c r="F2465" t="s">
        <v>76</v>
      </c>
      <c r="G2465" t="s">
        <v>147</v>
      </c>
      <c r="H2465" t="s">
        <v>148</v>
      </c>
      <c r="I2465" t="s">
        <v>44</v>
      </c>
      <c r="J2465" t="s">
        <v>45</v>
      </c>
      <c r="K2465" t="s">
        <v>47</v>
      </c>
      <c r="L2465" t="s">
        <v>48</v>
      </c>
      <c r="M2465" t="s">
        <v>139</v>
      </c>
      <c r="N2465">
        <v>868</v>
      </c>
      <c r="O2465" s="14">
        <v>0.81576930778101098</v>
      </c>
      <c r="P2465" s="14">
        <v>0.30305550759658201</v>
      </c>
      <c r="Q2465" t="str">
        <f t="shared" si="76"/>
        <v>50+</v>
      </c>
      <c r="R2465" t="str">
        <f t="shared" si="77"/>
        <v>[lLDyBx5XyUi]|50+|Male|DIAGNOSED_SUBNAT.T_1|CY2023Q3</v>
      </c>
    </row>
    <row r="2466" spans="4:18" x14ac:dyDescent="0.2">
      <c r="D2466" t="s">
        <v>77</v>
      </c>
      <c r="E2466" t="s">
        <v>78</v>
      </c>
      <c r="F2466" t="s">
        <v>79</v>
      </c>
      <c r="G2466" t="s">
        <v>147</v>
      </c>
      <c r="H2466" t="s">
        <v>148</v>
      </c>
      <c r="I2466" t="s">
        <v>27</v>
      </c>
      <c r="J2466" t="s">
        <v>28</v>
      </c>
      <c r="K2466" t="s">
        <v>29</v>
      </c>
      <c r="L2466" t="s">
        <v>30</v>
      </c>
      <c r="M2466" t="s">
        <v>139</v>
      </c>
      <c r="N2466">
        <v>1171</v>
      </c>
      <c r="O2466" s="14">
        <v>0.93767821020446696</v>
      </c>
      <c r="P2466" s="14">
        <v>0.83159798220731296</v>
      </c>
      <c r="Q2466" t="str">
        <f t="shared" si="76"/>
        <v>&lt;01</v>
      </c>
      <c r="R2466" t="str">
        <f t="shared" si="77"/>
        <v>[TYnMSwzko3z]|&lt;01|Female|DIAGNOSED_SUBNAT.T_1|CY2023Q3</v>
      </c>
    </row>
    <row r="2467" spans="4:18" x14ac:dyDescent="0.2">
      <c r="D2467" t="s">
        <v>77</v>
      </c>
      <c r="E2467" t="s">
        <v>78</v>
      </c>
      <c r="F2467" t="s">
        <v>79</v>
      </c>
      <c r="G2467" t="s">
        <v>147</v>
      </c>
      <c r="H2467" t="s">
        <v>148</v>
      </c>
      <c r="I2467" t="s">
        <v>32</v>
      </c>
      <c r="J2467" t="s">
        <v>33</v>
      </c>
      <c r="K2467" t="s">
        <v>29</v>
      </c>
      <c r="L2467" t="s">
        <v>30</v>
      </c>
      <c r="M2467" t="s">
        <v>139</v>
      </c>
      <c r="N2467">
        <v>1965</v>
      </c>
      <c r="O2467" s="14">
        <v>0.52607108000665903</v>
      </c>
      <c r="P2467" s="14">
        <v>0.83159798220731296</v>
      </c>
      <c r="Q2467" t="str">
        <f t="shared" si="76"/>
        <v>01-09</v>
      </c>
      <c r="R2467" t="str">
        <f t="shared" si="77"/>
        <v>[TYnMSwzko3z]|01-09|Female|DIAGNOSED_SUBNAT.T_1|CY2023Q3</v>
      </c>
    </row>
    <row r="2468" spans="4:18" x14ac:dyDescent="0.2">
      <c r="D2468" t="s">
        <v>77</v>
      </c>
      <c r="E2468" t="s">
        <v>78</v>
      </c>
      <c r="F2468" t="s">
        <v>79</v>
      </c>
      <c r="G2468" t="s">
        <v>147</v>
      </c>
      <c r="H2468" t="s">
        <v>148</v>
      </c>
      <c r="I2468" t="s">
        <v>35</v>
      </c>
      <c r="J2468" t="s">
        <v>36</v>
      </c>
      <c r="K2468" t="s">
        <v>29</v>
      </c>
      <c r="L2468" t="s">
        <v>30</v>
      </c>
      <c r="M2468" t="s">
        <v>139</v>
      </c>
      <c r="N2468">
        <v>1778</v>
      </c>
      <c r="O2468" s="14">
        <v>0.72053235420025896</v>
      </c>
      <c r="P2468" s="14">
        <v>0.83159798220731296</v>
      </c>
      <c r="Q2468" t="str">
        <f t="shared" si="76"/>
        <v>10-14</v>
      </c>
      <c r="R2468" t="str">
        <f t="shared" si="77"/>
        <v>[TYnMSwzko3z]|10-14|Female|DIAGNOSED_SUBNAT.T_1|CY2023Q3</v>
      </c>
    </row>
    <row r="2469" spans="4:18" x14ac:dyDescent="0.2">
      <c r="D2469" t="s">
        <v>77</v>
      </c>
      <c r="E2469" t="s">
        <v>78</v>
      </c>
      <c r="F2469" t="s">
        <v>79</v>
      </c>
      <c r="G2469" t="s">
        <v>147</v>
      </c>
      <c r="H2469" t="s">
        <v>148</v>
      </c>
      <c r="I2469" t="s">
        <v>37</v>
      </c>
      <c r="J2469" t="s">
        <v>38</v>
      </c>
      <c r="K2469" t="s">
        <v>29</v>
      </c>
      <c r="L2469" t="s">
        <v>30</v>
      </c>
      <c r="M2469" t="s">
        <v>139</v>
      </c>
      <c r="N2469">
        <v>1130</v>
      </c>
      <c r="O2469" s="14">
        <v>0.34384754276834401</v>
      </c>
      <c r="P2469" s="14">
        <v>0.83159798220731296</v>
      </c>
      <c r="Q2469" t="str">
        <f t="shared" si="76"/>
        <v>15-24</v>
      </c>
      <c r="R2469" t="str">
        <f t="shared" si="77"/>
        <v>[TYnMSwzko3z]|15-24|Female|DIAGNOSED_SUBNAT.T_1|CY2023Q3</v>
      </c>
    </row>
    <row r="2470" spans="4:18" x14ac:dyDescent="0.2">
      <c r="D2470" t="s">
        <v>77</v>
      </c>
      <c r="E2470" t="s">
        <v>78</v>
      </c>
      <c r="F2470" t="s">
        <v>79</v>
      </c>
      <c r="G2470" t="s">
        <v>147</v>
      </c>
      <c r="H2470" t="s">
        <v>148</v>
      </c>
      <c r="I2470" t="s">
        <v>40</v>
      </c>
      <c r="J2470" t="s">
        <v>41</v>
      </c>
      <c r="K2470" t="s">
        <v>29</v>
      </c>
      <c r="L2470" t="s">
        <v>30</v>
      </c>
      <c r="M2470" t="s">
        <v>139</v>
      </c>
      <c r="N2470">
        <v>1693</v>
      </c>
      <c r="O2470" s="14">
        <v>0.88199886702932395</v>
      </c>
      <c r="P2470" s="14">
        <v>0.83159798220731296</v>
      </c>
      <c r="Q2470" t="str">
        <f t="shared" si="76"/>
        <v>25-34</v>
      </c>
      <c r="R2470" t="str">
        <f t="shared" si="77"/>
        <v>[TYnMSwzko3z]|25-34|Female|DIAGNOSED_SUBNAT.T_1|CY2023Q3</v>
      </c>
    </row>
    <row r="2471" spans="4:18" x14ac:dyDescent="0.2">
      <c r="D2471" t="s">
        <v>77</v>
      </c>
      <c r="E2471" t="s">
        <v>78</v>
      </c>
      <c r="F2471" t="s">
        <v>79</v>
      </c>
      <c r="G2471" t="s">
        <v>147</v>
      </c>
      <c r="H2471" t="s">
        <v>148</v>
      </c>
      <c r="I2471" t="s">
        <v>42</v>
      </c>
      <c r="J2471" t="s">
        <v>43</v>
      </c>
      <c r="K2471" t="s">
        <v>29</v>
      </c>
      <c r="L2471" t="s">
        <v>30</v>
      </c>
      <c r="M2471" t="s">
        <v>139</v>
      </c>
      <c r="N2471">
        <v>1208</v>
      </c>
      <c r="O2471" s="14">
        <v>0.25669189612381199</v>
      </c>
      <c r="P2471" s="14">
        <v>0.83159798220731296</v>
      </c>
      <c r="Q2471" t="str">
        <f t="shared" si="76"/>
        <v>35-49</v>
      </c>
      <c r="R2471" t="str">
        <f t="shared" si="77"/>
        <v>[TYnMSwzko3z]|35-49|Female|DIAGNOSED_SUBNAT.T_1|CY2023Q3</v>
      </c>
    </row>
    <row r="2472" spans="4:18" x14ac:dyDescent="0.2">
      <c r="D2472" t="s">
        <v>77</v>
      </c>
      <c r="E2472" t="s">
        <v>78</v>
      </c>
      <c r="F2472" t="s">
        <v>79</v>
      </c>
      <c r="G2472" t="s">
        <v>147</v>
      </c>
      <c r="H2472" t="s">
        <v>148</v>
      </c>
      <c r="I2472" t="s">
        <v>44</v>
      </c>
      <c r="J2472" t="s">
        <v>45</v>
      </c>
      <c r="K2472" t="s">
        <v>29</v>
      </c>
      <c r="L2472" t="s">
        <v>30</v>
      </c>
      <c r="M2472" t="s">
        <v>139</v>
      </c>
      <c r="N2472">
        <v>1037</v>
      </c>
      <c r="O2472" s="14">
        <v>0.60650973464362301</v>
      </c>
      <c r="P2472" s="14">
        <v>0.83159798220731296</v>
      </c>
      <c r="Q2472" t="str">
        <f t="shared" si="76"/>
        <v>50+</v>
      </c>
      <c r="R2472" t="str">
        <f t="shared" si="77"/>
        <v>[TYnMSwzko3z]|50+|Female|DIAGNOSED_SUBNAT.T_1|CY2023Q3</v>
      </c>
    </row>
    <row r="2473" spans="4:18" x14ac:dyDescent="0.2">
      <c r="D2473" t="s">
        <v>77</v>
      </c>
      <c r="E2473" t="s">
        <v>78</v>
      </c>
      <c r="F2473" t="s">
        <v>79</v>
      </c>
      <c r="G2473" t="s">
        <v>147</v>
      </c>
      <c r="H2473" t="s">
        <v>148</v>
      </c>
      <c r="I2473" t="s">
        <v>27</v>
      </c>
      <c r="J2473" t="s">
        <v>28</v>
      </c>
      <c r="K2473" t="s">
        <v>47</v>
      </c>
      <c r="L2473" t="s">
        <v>48</v>
      </c>
      <c r="M2473" t="s">
        <v>139</v>
      </c>
      <c r="N2473">
        <v>1563</v>
      </c>
      <c r="O2473" s="14">
        <v>6.29790385719389E-2</v>
      </c>
      <c r="P2473" s="14">
        <v>0.83159798220731296</v>
      </c>
      <c r="Q2473" t="str">
        <f t="shared" si="76"/>
        <v>&lt;01</v>
      </c>
      <c r="R2473" t="str">
        <f t="shared" si="77"/>
        <v>[TYnMSwzko3z]|&lt;01|Male|DIAGNOSED_SUBNAT.T_1|CY2023Q3</v>
      </c>
    </row>
    <row r="2474" spans="4:18" x14ac:dyDescent="0.2">
      <c r="D2474" t="s">
        <v>77</v>
      </c>
      <c r="E2474" t="s">
        <v>78</v>
      </c>
      <c r="F2474" t="s">
        <v>79</v>
      </c>
      <c r="G2474" t="s">
        <v>147</v>
      </c>
      <c r="H2474" t="s">
        <v>148</v>
      </c>
      <c r="I2474" t="s">
        <v>32</v>
      </c>
      <c r="J2474" t="s">
        <v>33</v>
      </c>
      <c r="K2474" t="s">
        <v>47</v>
      </c>
      <c r="L2474" t="s">
        <v>48</v>
      </c>
      <c r="M2474" t="s">
        <v>139</v>
      </c>
      <c r="N2474">
        <v>1568</v>
      </c>
      <c r="O2474" s="14">
        <v>0.55691555840894602</v>
      </c>
      <c r="P2474" s="14">
        <v>0.83159798220731296</v>
      </c>
      <c r="Q2474" t="str">
        <f t="shared" si="76"/>
        <v>01-09</v>
      </c>
      <c r="R2474" t="str">
        <f t="shared" si="77"/>
        <v>[TYnMSwzko3z]|01-09|Male|DIAGNOSED_SUBNAT.T_1|CY2023Q3</v>
      </c>
    </row>
    <row r="2475" spans="4:18" x14ac:dyDescent="0.2">
      <c r="D2475" t="s">
        <v>77</v>
      </c>
      <c r="E2475" t="s">
        <v>78</v>
      </c>
      <c r="F2475" t="s">
        <v>79</v>
      </c>
      <c r="G2475" t="s">
        <v>147</v>
      </c>
      <c r="H2475" t="s">
        <v>148</v>
      </c>
      <c r="I2475" t="s">
        <v>35</v>
      </c>
      <c r="J2475" t="s">
        <v>36</v>
      </c>
      <c r="K2475" t="s">
        <v>47</v>
      </c>
      <c r="L2475" t="s">
        <v>48</v>
      </c>
      <c r="M2475" t="s">
        <v>139</v>
      </c>
      <c r="N2475">
        <v>1282</v>
      </c>
      <c r="O2475" s="14">
        <v>0.69432809529826001</v>
      </c>
      <c r="P2475" s="14">
        <v>0.83159798220731296</v>
      </c>
      <c r="Q2475" t="str">
        <f t="shared" si="76"/>
        <v>10-14</v>
      </c>
      <c r="R2475" t="str">
        <f t="shared" si="77"/>
        <v>[TYnMSwzko3z]|10-14|Male|DIAGNOSED_SUBNAT.T_1|CY2023Q3</v>
      </c>
    </row>
    <row r="2476" spans="4:18" x14ac:dyDescent="0.2">
      <c r="D2476" t="s">
        <v>77</v>
      </c>
      <c r="E2476" t="s">
        <v>78</v>
      </c>
      <c r="F2476" t="s">
        <v>79</v>
      </c>
      <c r="G2476" t="s">
        <v>147</v>
      </c>
      <c r="H2476" t="s">
        <v>148</v>
      </c>
      <c r="I2476" t="s">
        <v>37</v>
      </c>
      <c r="J2476" t="s">
        <v>38</v>
      </c>
      <c r="K2476" t="s">
        <v>47</v>
      </c>
      <c r="L2476" t="s">
        <v>48</v>
      </c>
      <c r="M2476" t="s">
        <v>139</v>
      </c>
      <c r="N2476">
        <v>924</v>
      </c>
      <c r="O2476" s="14">
        <v>0.44917265698313702</v>
      </c>
      <c r="P2476" s="14">
        <v>0.83159798220731296</v>
      </c>
      <c r="Q2476" t="str">
        <f t="shared" si="76"/>
        <v>15-24</v>
      </c>
      <c r="R2476" t="str">
        <f t="shared" si="77"/>
        <v>[TYnMSwzko3z]|15-24|Male|DIAGNOSED_SUBNAT.T_1|CY2023Q3</v>
      </c>
    </row>
    <row r="2477" spans="4:18" x14ac:dyDescent="0.2">
      <c r="D2477" t="s">
        <v>77</v>
      </c>
      <c r="E2477" t="s">
        <v>78</v>
      </c>
      <c r="F2477" t="s">
        <v>79</v>
      </c>
      <c r="G2477" t="s">
        <v>147</v>
      </c>
      <c r="H2477" t="s">
        <v>148</v>
      </c>
      <c r="I2477" t="s">
        <v>40</v>
      </c>
      <c r="J2477" t="s">
        <v>41</v>
      </c>
      <c r="K2477" t="s">
        <v>47</v>
      </c>
      <c r="L2477" t="s">
        <v>48</v>
      </c>
      <c r="M2477" t="s">
        <v>139</v>
      </c>
      <c r="N2477">
        <v>1047</v>
      </c>
      <c r="O2477" s="14">
        <v>0.71606928575784001</v>
      </c>
      <c r="P2477" s="14">
        <v>0.83159798220731296</v>
      </c>
      <c r="Q2477" t="str">
        <f t="shared" si="76"/>
        <v>25-34</v>
      </c>
      <c r="R2477" t="str">
        <f t="shared" si="77"/>
        <v>[TYnMSwzko3z]|25-34|Male|DIAGNOSED_SUBNAT.T_1|CY2023Q3</v>
      </c>
    </row>
    <row r="2478" spans="4:18" x14ac:dyDescent="0.2">
      <c r="D2478" t="s">
        <v>77</v>
      </c>
      <c r="E2478" t="s">
        <v>78</v>
      </c>
      <c r="F2478" t="s">
        <v>79</v>
      </c>
      <c r="G2478" t="s">
        <v>147</v>
      </c>
      <c r="H2478" t="s">
        <v>148</v>
      </c>
      <c r="I2478" t="s">
        <v>42</v>
      </c>
      <c r="J2478" t="s">
        <v>43</v>
      </c>
      <c r="K2478" t="s">
        <v>47</v>
      </c>
      <c r="L2478" t="s">
        <v>48</v>
      </c>
      <c r="M2478" t="s">
        <v>139</v>
      </c>
      <c r="N2478">
        <v>608</v>
      </c>
      <c r="O2478" s="14">
        <v>0.32210454484447798</v>
      </c>
      <c r="P2478" s="14">
        <v>0.83159798220731296</v>
      </c>
      <c r="Q2478" t="str">
        <f t="shared" si="76"/>
        <v>35-49</v>
      </c>
      <c r="R2478" t="str">
        <f t="shared" si="77"/>
        <v>[TYnMSwzko3z]|35-49|Male|DIAGNOSED_SUBNAT.T_1|CY2023Q3</v>
      </c>
    </row>
    <row r="2479" spans="4:18" x14ac:dyDescent="0.2">
      <c r="D2479" t="s">
        <v>77</v>
      </c>
      <c r="E2479" t="s">
        <v>78</v>
      </c>
      <c r="F2479" t="s">
        <v>79</v>
      </c>
      <c r="G2479" t="s">
        <v>147</v>
      </c>
      <c r="H2479" t="s">
        <v>148</v>
      </c>
      <c r="I2479" t="s">
        <v>44</v>
      </c>
      <c r="J2479" t="s">
        <v>45</v>
      </c>
      <c r="K2479" t="s">
        <v>47</v>
      </c>
      <c r="L2479" t="s">
        <v>48</v>
      </c>
      <c r="M2479" t="s">
        <v>139</v>
      </c>
      <c r="N2479">
        <v>843</v>
      </c>
      <c r="O2479" s="14">
        <v>0.73574693966656901</v>
      </c>
      <c r="P2479" s="14">
        <v>0.83159798220731296</v>
      </c>
      <c r="Q2479" t="str">
        <f t="shared" si="76"/>
        <v>50+</v>
      </c>
      <c r="R2479" t="str">
        <f t="shared" si="77"/>
        <v>[TYnMSwzko3z]|50+|Male|DIAGNOSED_SUBNAT.T_1|CY2023Q3</v>
      </c>
    </row>
    <row r="2480" spans="4:18" x14ac:dyDescent="0.2">
      <c r="D2480" t="s">
        <v>80</v>
      </c>
      <c r="E2480" t="s">
        <v>81</v>
      </c>
      <c r="F2480" t="s">
        <v>82</v>
      </c>
      <c r="G2480" t="s">
        <v>147</v>
      </c>
      <c r="H2480" t="s">
        <v>148</v>
      </c>
      <c r="I2480" t="s">
        <v>27</v>
      </c>
      <c r="J2480" t="s">
        <v>28</v>
      </c>
      <c r="K2480" t="s">
        <v>29</v>
      </c>
      <c r="L2480" t="s">
        <v>30</v>
      </c>
      <c r="M2480" t="s">
        <v>139</v>
      </c>
      <c r="N2480">
        <v>1811</v>
      </c>
      <c r="O2480" s="14">
        <v>0.78236825810745403</v>
      </c>
      <c r="P2480" s="14">
        <v>0.14333142153918699</v>
      </c>
      <c r="Q2480" t="str">
        <f t="shared" si="76"/>
        <v>&lt;01</v>
      </c>
      <c r="R2480" t="str">
        <f t="shared" si="77"/>
        <v>[ir8wuHHzoSs]|&lt;01|Female|DIAGNOSED_SUBNAT.T_1|CY2023Q3</v>
      </c>
    </row>
    <row r="2481" spans="4:18" x14ac:dyDescent="0.2">
      <c r="D2481" t="s">
        <v>80</v>
      </c>
      <c r="E2481" t="s">
        <v>81</v>
      </c>
      <c r="F2481" t="s">
        <v>82</v>
      </c>
      <c r="G2481" t="s">
        <v>147</v>
      </c>
      <c r="H2481" t="s">
        <v>148</v>
      </c>
      <c r="I2481" t="s">
        <v>32</v>
      </c>
      <c r="J2481" t="s">
        <v>33</v>
      </c>
      <c r="K2481" t="s">
        <v>29</v>
      </c>
      <c r="L2481" t="s">
        <v>30</v>
      </c>
      <c r="M2481" t="s">
        <v>139</v>
      </c>
      <c r="N2481">
        <v>1492</v>
      </c>
      <c r="O2481" s="14">
        <v>0.232836890500039</v>
      </c>
      <c r="P2481" s="14">
        <v>0.14333142153918699</v>
      </c>
      <c r="Q2481" t="str">
        <f t="shared" si="76"/>
        <v>01-09</v>
      </c>
      <c r="R2481" t="str">
        <f t="shared" si="77"/>
        <v>[ir8wuHHzoSs]|01-09|Female|DIAGNOSED_SUBNAT.T_1|CY2023Q3</v>
      </c>
    </row>
    <row r="2482" spans="4:18" x14ac:dyDescent="0.2">
      <c r="D2482" t="s">
        <v>80</v>
      </c>
      <c r="E2482" t="s">
        <v>81</v>
      </c>
      <c r="F2482" t="s">
        <v>82</v>
      </c>
      <c r="G2482" t="s">
        <v>147</v>
      </c>
      <c r="H2482" t="s">
        <v>148</v>
      </c>
      <c r="I2482" t="s">
        <v>35</v>
      </c>
      <c r="J2482" t="s">
        <v>36</v>
      </c>
      <c r="K2482" t="s">
        <v>29</v>
      </c>
      <c r="L2482" t="s">
        <v>30</v>
      </c>
      <c r="M2482" t="s">
        <v>139</v>
      </c>
      <c r="N2482">
        <v>1991</v>
      </c>
      <c r="O2482" s="14">
        <v>0.50394091964699295</v>
      </c>
      <c r="P2482" s="14">
        <v>0.14333142153918699</v>
      </c>
      <c r="Q2482" t="str">
        <f t="shared" si="76"/>
        <v>10-14</v>
      </c>
      <c r="R2482" t="str">
        <f t="shared" si="77"/>
        <v>[ir8wuHHzoSs]|10-14|Female|DIAGNOSED_SUBNAT.T_1|CY2023Q3</v>
      </c>
    </row>
    <row r="2483" spans="4:18" x14ac:dyDescent="0.2">
      <c r="D2483" t="s">
        <v>80</v>
      </c>
      <c r="E2483" t="s">
        <v>81</v>
      </c>
      <c r="F2483" t="s">
        <v>82</v>
      </c>
      <c r="G2483" t="s">
        <v>147</v>
      </c>
      <c r="H2483" t="s">
        <v>148</v>
      </c>
      <c r="I2483" t="s">
        <v>37</v>
      </c>
      <c r="J2483" t="s">
        <v>38</v>
      </c>
      <c r="K2483" t="s">
        <v>29</v>
      </c>
      <c r="L2483" t="s">
        <v>30</v>
      </c>
      <c r="M2483" t="s">
        <v>139</v>
      </c>
      <c r="N2483">
        <v>1983</v>
      </c>
      <c r="O2483" s="14">
        <v>0.83578333933837701</v>
      </c>
      <c r="P2483" s="14">
        <v>0.14333142153918699</v>
      </c>
      <c r="Q2483" t="str">
        <f t="shared" si="76"/>
        <v>15-24</v>
      </c>
      <c r="R2483" t="str">
        <f t="shared" si="77"/>
        <v>[ir8wuHHzoSs]|15-24|Female|DIAGNOSED_SUBNAT.T_1|CY2023Q3</v>
      </c>
    </row>
    <row r="2484" spans="4:18" x14ac:dyDescent="0.2">
      <c r="D2484" t="s">
        <v>80</v>
      </c>
      <c r="E2484" t="s">
        <v>81</v>
      </c>
      <c r="F2484" t="s">
        <v>82</v>
      </c>
      <c r="G2484" t="s">
        <v>147</v>
      </c>
      <c r="H2484" t="s">
        <v>148</v>
      </c>
      <c r="I2484" t="s">
        <v>40</v>
      </c>
      <c r="J2484" t="s">
        <v>41</v>
      </c>
      <c r="K2484" t="s">
        <v>29</v>
      </c>
      <c r="L2484" t="s">
        <v>30</v>
      </c>
      <c r="M2484" t="s">
        <v>139</v>
      </c>
      <c r="N2484">
        <v>919</v>
      </c>
      <c r="O2484" s="14">
        <v>0.273435065057129</v>
      </c>
      <c r="P2484" s="14">
        <v>0.14333142153918699</v>
      </c>
      <c r="Q2484" t="str">
        <f t="shared" si="76"/>
        <v>25-34</v>
      </c>
      <c r="R2484" t="str">
        <f t="shared" si="77"/>
        <v>[ir8wuHHzoSs]|25-34|Female|DIAGNOSED_SUBNAT.T_1|CY2023Q3</v>
      </c>
    </row>
    <row r="2485" spans="4:18" x14ac:dyDescent="0.2">
      <c r="D2485" t="s">
        <v>80</v>
      </c>
      <c r="E2485" t="s">
        <v>81</v>
      </c>
      <c r="F2485" t="s">
        <v>82</v>
      </c>
      <c r="G2485" t="s">
        <v>147</v>
      </c>
      <c r="H2485" t="s">
        <v>148</v>
      </c>
      <c r="I2485" t="s">
        <v>42</v>
      </c>
      <c r="J2485" t="s">
        <v>43</v>
      </c>
      <c r="K2485" t="s">
        <v>29</v>
      </c>
      <c r="L2485" t="s">
        <v>30</v>
      </c>
      <c r="M2485" t="s">
        <v>139</v>
      </c>
      <c r="N2485">
        <v>809</v>
      </c>
      <c r="O2485" s="14">
        <v>0.52596557722426995</v>
      </c>
      <c r="P2485" s="14">
        <v>0.14333142153918699</v>
      </c>
      <c r="Q2485" t="str">
        <f t="shared" si="76"/>
        <v>35-49</v>
      </c>
      <c r="R2485" t="str">
        <f t="shared" si="77"/>
        <v>[ir8wuHHzoSs]|35-49|Female|DIAGNOSED_SUBNAT.T_1|CY2023Q3</v>
      </c>
    </row>
    <row r="2486" spans="4:18" x14ac:dyDescent="0.2">
      <c r="D2486" t="s">
        <v>80</v>
      </c>
      <c r="E2486" t="s">
        <v>81</v>
      </c>
      <c r="F2486" t="s">
        <v>82</v>
      </c>
      <c r="G2486" t="s">
        <v>147</v>
      </c>
      <c r="H2486" t="s">
        <v>148</v>
      </c>
      <c r="I2486" t="s">
        <v>44</v>
      </c>
      <c r="J2486" t="s">
        <v>45</v>
      </c>
      <c r="K2486" t="s">
        <v>29</v>
      </c>
      <c r="L2486" t="s">
        <v>30</v>
      </c>
      <c r="M2486" t="s">
        <v>139</v>
      </c>
      <c r="N2486">
        <v>1334</v>
      </c>
      <c r="O2486" s="14">
        <v>0.70171653898432895</v>
      </c>
      <c r="P2486" s="14">
        <v>0.14333142153918699</v>
      </c>
      <c r="Q2486" t="str">
        <f t="shared" si="76"/>
        <v>50+</v>
      </c>
      <c r="R2486" t="str">
        <f t="shared" si="77"/>
        <v>[ir8wuHHzoSs]|50+|Female|DIAGNOSED_SUBNAT.T_1|CY2023Q3</v>
      </c>
    </row>
    <row r="2487" spans="4:18" x14ac:dyDescent="0.2">
      <c r="D2487" t="s">
        <v>80</v>
      </c>
      <c r="E2487" t="s">
        <v>81</v>
      </c>
      <c r="F2487" t="s">
        <v>82</v>
      </c>
      <c r="G2487" t="s">
        <v>147</v>
      </c>
      <c r="H2487" t="s">
        <v>148</v>
      </c>
      <c r="I2487" t="s">
        <v>27</v>
      </c>
      <c r="J2487" t="s">
        <v>28</v>
      </c>
      <c r="K2487" t="s">
        <v>47</v>
      </c>
      <c r="L2487" t="s">
        <v>48</v>
      </c>
      <c r="M2487" t="s">
        <v>139</v>
      </c>
      <c r="N2487">
        <v>1634</v>
      </c>
      <c r="O2487" s="14">
        <v>0.62023535417392806</v>
      </c>
      <c r="P2487" s="14">
        <v>0.14333142153918699</v>
      </c>
      <c r="Q2487" t="str">
        <f t="shared" si="76"/>
        <v>&lt;01</v>
      </c>
      <c r="R2487" t="str">
        <f t="shared" si="77"/>
        <v>[ir8wuHHzoSs]|&lt;01|Male|DIAGNOSED_SUBNAT.T_1|CY2023Q3</v>
      </c>
    </row>
    <row r="2488" spans="4:18" x14ac:dyDescent="0.2">
      <c r="D2488" t="s">
        <v>80</v>
      </c>
      <c r="E2488" t="s">
        <v>81</v>
      </c>
      <c r="F2488" t="s">
        <v>82</v>
      </c>
      <c r="G2488" t="s">
        <v>147</v>
      </c>
      <c r="H2488" t="s">
        <v>148</v>
      </c>
      <c r="I2488" t="s">
        <v>32</v>
      </c>
      <c r="J2488" t="s">
        <v>33</v>
      </c>
      <c r="K2488" t="s">
        <v>47</v>
      </c>
      <c r="L2488" t="s">
        <v>48</v>
      </c>
      <c r="M2488" t="s">
        <v>139</v>
      </c>
      <c r="N2488">
        <v>1437</v>
      </c>
      <c r="O2488" s="14">
        <v>0.46314786025323001</v>
      </c>
      <c r="P2488" s="14">
        <v>0.14333142153918699</v>
      </c>
      <c r="Q2488" t="str">
        <f t="shared" si="76"/>
        <v>01-09</v>
      </c>
      <c r="R2488" t="str">
        <f t="shared" si="77"/>
        <v>[ir8wuHHzoSs]|01-09|Male|DIAGNOSED_SUBNAT.T_1|CY2023Q3</v>
      </c>
    </row>
    <row r="2489" spans="4:18" x14ac:dyDescent="0.2">
      <c r="D2489" t="s">
        <v>80</v>
      </c>
      <c r="E2489" t="s">
        <v>81</v>
      </c>
      <c r="F2489" t="s">
        <v>82</v>
      </c>
      <c r="G2489" t="s">
        <v>147</v>
      </c>
      <c r="H2489" t="s">
        <v>148</v>
      </c>
      <c r="I2489" t="s">
        <v>35</v>
      </c>
      <c r="J2489" t="s">
        <v>36</v>
      </c>
      <c r="K2489" t="s">
        <v>47</v>
      </c>
      <c r="L2489" t="s">
        <v>48</v>
      </c>
      <c r="M2489" t="s">
        <v>139</v>
      </c>
      <c r="N2489">
        <v>893</v>
      </c>
      <c r="O2489" s="14">
        <v>0.64250555308535695</v>
      </c>
      <c r="P2489" s="14">
        <v>0.14333142153918699</v>
      </c>
      <c r="Q2489" t="str">
        <f t="shared" si="76"/>
        <v>10-14</v>
      </c>
      <c r="R2489" t="str">
        <f t="shared" si="77"/>
        <v>[ir8wuHHzoSs]|10-14|Male|DIAGNOSED_SUBNAT.T_1|CY2023Q3</v>
      </c>
    </row>
    <row r="2490" spans="4:18" x14ac:dyDescent="0.2">
      <c r="D2490" t="s">
        <v>80</v>
      </c>
      <c r="E2490" t="s">
        <v>81</v>
      </c>
      <c r="F2490" t="s">
        <v>82</v>
      </c>
      <c r="G2490" t="s">
        <v>147</v>
      </c>
      <c r="H2490" t="s">
        <v>148</v>
      </c>
      <c r="I2490" t="s">
        <v>37</v>
      </c>
      <c r="J2490" t="s">
        <v>38</v>
      </c>
      <c r="K2490" t="s">
        <v>47</v>
      </c>
      <c r="L2490" t="s">
        <v>48</v>
      </c>
      <c r="M2490" t="s">
        <v>139</v>
      </c>
      <c r="N2490">
        <v>800</v>
      </c>
      <c r="O2490" s="14">
        <v>0.49115260411053902</v>
      </c>
      <c r="P2490" s="14">
        <v>0.14333142153918699</v>
      </c>
      <c r="Q2490" t="str">
        <f t="shared" si="76"/>
        <v>15-24</v>
      </c>
      <c r="R2490" t="str">
        <f t="shared" si="77"/>
        <v>[ir8wuHHzoSs]|15-24|Male|DIAGNOSED_SUBNAT.T_1|CY2023Q3</v>
      </c>
    </row>
    <row r="2491" spans="4:18" x14ac:dyDescent="0.2">
      <c r="D2491" t="s">
        <v>80</v>
      </c>
      <c r="E2491" t="s">
        <v>81</v>
      </c>
      <c r="F2491" t="s">
        <v>82</v>
      </c>
      <c r="G2491" t="s">
        <v>147</v>
      </c>
      <c r="H2491" t="s">
        <v>148</v>
      </c>
      <c r="I2491" t="s">
        <v>40</v>
      </c>
      <c r="J2491" t="s">
        <v>41</v>
      </c>
      <c r="K2491" t="s">
        <v>47</v>
      </c>
      <c r="L2491" t="s">
        <v>48</v>
      </c>
      <c r="M2491" t="s">
        <v>139</v>
      </c>
      <c r="N2491">
        <v>1803</v>
      </c>
      <c r="O2491" s="14">
        <v>0.93324497737921797</v>
      </c>
      <c r="P2491" s="14">
        <v>0.14333142153918699</v>
      </c>
      <c r="Q2491" t="str">
        <f t="shared" si="76"/>
        <v>25-34</v>
      </c>
      <c r="R2491" t="str">
        <f t="shared" si="77"/>
        <v>[ir8wuHHzoSs]|25-34|Male|DIAGNOSED_SUBNAT.T_1|CY2023Q3</v>
      </c>
    </row>
    <row r="2492" spans="4:18" x14ac:dyDescent="0.2">
      <c r="D2492" t="s">
        <v>80</v>
      </c>
      <c r="E2492" t="s">
        <v>81</v>
      </c>
      <c r="F2492" t="s">
        <v>82</v>
      </c>
      <c r="G2492" t="s">
        <v>147</v>
      </c>
      <c r="H2492" t="s">
        <v>148</v>
      </c>
      <c r="I2492" t="s">
        <v>42</v>
      </c>
      <c r="J2492" t="s">
        <v>43</v>
      </c>
      <c r="K2492" t="s">
        <v>47</v>
      </c>
      <c r="L2492" t="s">
        <v>48</v>
      </c>
      <c r="M2492" t="s">
        <v>139</v>
      </c>
      <c r="N2492">
        <v>894</v>
      </c>
      <c r="O2492" s="14">
        <v>0.76551371370442201</v>
      </c>
      <c r="P2492" s="14">
        <v>0.14333142153918699</v>
      </c>
      <c r="Q2492" t="str">
        <f t="shared" si="76"/>
        <v>35-49</v>
      </c>
      <c r="R2492" t="str">
        <f t="shared" si="77"/>
        <v>[ir8wuHHzoSs]|35-49|Male|DIAGNOSED_SUBNAT.T_1|CY2023Q3</v>
      </c>
    </row>
    <row r="2493" spans="4:18" x14ac:dyDescent="0.2">
      <c r="D2493" t="s">
        <v>80</v>
      </c>
      <c r="E2493" t="s">
        <v>81</v>
      </c>
      <c r="F2493" t="s">
        <v>82</v>
      </c>
      <c r="G2493" t="s">
        <v>147</v>
      </c>
      <c r="H2493" t="s">
        <v>148</v>
      </c>
      <c r="I2493" t="s">
        <v>44</v>
      </c>
      <c r="J2493" t="s">
        <v>45</v>
      </c>
      <c r="K2493" t="s">
        <v>47</v>
      </c>
      <c r="L2493" t="s">
        <v>48</v>
      </c>
      <c r="M2493" t="s">
        <v>139</v>
      </c>
      <c r="N2493">
        <v>1836</v>
      </c>
      <c r="O2493" s="14">
        <v>0.69141494599171005</v>
      </c>
      <c r="P2493" s="14">
        <v>0.14333142153918699</v>
      </c>
      <c r="Q2493" t="str">
        <f t="shared" si="76"/>
        <v>50+</v>
      </c>
      <c r="R2493" t="str">
        <f t="shared" si="77"/>
        <v>[ir8wuHHzoSs]|50+|Male|DIAGNOSED_SUBNAT.T_1|CY2023Q3</v>
      </c>
    </row>
    <row r="2494" spans="4:18" x14ac:dyDescent="0.2">
      <c r="D2494" t="s">
        <v>83</v>
      </c>
      <c r="E2494" t="s">
        <v>84</v>
      </c>
      <c r="F2494" t="s">
        <v>85</v>
      </c>
      <c r="G2494" t="s">
        <v>147</v>
      </c>
      <c r="H2494" t="s">
        <v>148</v>
      </c>
      <c r="I2494" t="s">
        <v>27</v>
      </c>
      <c r="J2494" t="s">
        <v>28</v>
      </c>
      <c r="K2494" t="s">
        <v>29</v>
      </c>
      <c r="L2494" t="s">
        <v>30</v>
      </c>
      <c r="M2494" t="s">
        <v>139</v>
      </c>
      <c r="N2494">
        <v>1872</v>
      </c>
      <c r="O2494" s="14">
        <v>0.90683794184587896</v>
      </c>
      <c r="P2494" s="14">
        <v>2.9788714367896301E-2</v>
      </c>
      <c r="Q2494" t="str">
        <f t="shared" si="76"/>
        <v>&lt;01</v>
      </c>
      <c r="R2494" t="str">
        <f t="shared" si="77"/>
        <v>[fyEoGEPERdI]|&lt;01|Female|DIAGNOSED_SUBNAT.T_1|CY2023Q3</v>
      </c>
    </row>
    <row r="2495" spans="4:18" x14ac:dyDescent="0.2">
      <c r="D2495" t="s">
        <v>83</v>
      </c>
      <c r="E2495" t="s">
        <v>84</v>
      </c>
      <c r="F2495" t="s">
        <v>85</v>
      </c>
      <c r="G2495" t="s">
        <v>147</v>
      </c>
      <c r="H2495" t="s">
        <v>148</v>
      </c>
      <c r="I2495" t="s">
        <v>32</v>
      </c>
      <c r="J2495" t="s">
        <v>33</v>
      </c>
      <c r="K2495" t="s">
        <v>29</v>
      </c>
      <c r="L2495" t="s">
        <v>30</v>
      </c>
      <c r="M2495" t="s">
        <v>139</v>
      </c>
      <c r="N2495">
        <v>1867</v>
      </c>
      <c r="O2495" s="14">
        <v>0.14383529382757801</v>
      </c>
      <c r="P2495" s="14">
        <v>2.9788714367896301E-2</v>
      </c>
      <c r="Q2495" t="str">
        <f t="shared" si="76"/>
        <v>01-09</v>
      </c>
      <c r="R2495" t="str">
        <f t="shared" si="77"/>
        <v>[fyEoGEPERdI]|01-09|Female|DIAGNOSED_SUBNAT.T_1|CY2023Q3</v>
      </c>
    </row>
    <row r="2496" spans="4:18" x14ac:dyDescent="0.2">
      <c r="D2496" t="s">
        <v>83</v>
      </c>
      <c r="E2496" t="s">
        <v>84</v>
      </c>
      <c r="F2496" t="s">
        <v>85</v>
      </c>
      <c r="G2496" t="s">
        <v>147</v>
      </c>
      <c r="H2496" t="s">
        <v>148</v>
      </c>
      <c r="I2496" t="s">
        <v>35</v>
      </c>
      <c r="J2496" t="s">
        <v>36</v>
      </c>
      <c r="K2496" t="s">
        <v>29</v>
      </c>
      <c r="L2496" t="s">
        <v>30</v>
      </c>
      <c r="M2496" t="s">
        <v>139</v>
      </c>
      <c r="N2496">
        <v>1567</v>
      </c>
      <c r="O2496" s="14">
        <v>0.20463494374416799</v>
      </c>
      <c r="P2496" s="14">
        <v>2.9788714367896301E-2</v>
      </c>
      <c r="Q2496" t="str">
        <f t="shared" si="76"/>
        <v>10-14</v>
      </c>
      <c r="R2496" t="str">
        <f t="shared" si="77"/>
        <v>[fyEoGEPERdI]|10-14|Female|DIAGNOSED_SUBNAT.T_1|CY2023Q3</v>
      </c>
    </row>
    <row r="2497" spans="4:18" x14ac:dyDescent="0.2">
      <c r="D2497" t="s">
        <v>83</v>
      </c>
      <c r="E2497" t="s">
        <v>84</v>
      </c>
      <c r="F2497" t="s">
        <v>85</v>
      </c>
      <c r="G2497" t="s">
        <v>147</v>
      </c>
      <c r="H2497" t="s">
        <v>148</v>
      </c>
      <c r="I2497" t="s">
        <v>37</v>
      </c>
      <c r="J2497" t="s">
        <v>38</v>
      </c>
      <c r="K2497" t="s">
        <v>29</v>
      </c>
      <c r="L2497" t="s">
        <v>30</v>
      </c>
      <c r="M2497" t="s">
        <v>139</v>
      </c>
      <c r="N2497">
        <v>1762</v>
      </c>
      <c r="O2497" s="14">
        <v>0.53917901753447905</v>
      </c>
      <c r="P2497" s="14">
        <v>2.9788714367896301E-2</v>
      </c>
      <c r="Q2497" t="str">
        <f t="shared" si="76"/>
        <v>15-24</v>
      </c>
      <c r="R2497" t="str">
        <f t="shared" si="77"/>
        <v>[fyEoGEPERdI]|15-24|Female|DIAGNOSED_SUBNAT.T_1|CY2023Q3</v>
      </c>
    </row>
    <row r="2498" spans="4:18" x14ac:dyDescent="0.2">
      <c r="D2498" t="s">
        <v>83</v>
      </c>
      <c r="E2498" t="s">
        <v>84</v>
      </c>
      <c r="F2498" t="s">
        <v>85</v>
      </c>
      <c r="G2498" t="s">
        <v>147</v>
      </c>
      <c r="H2498" t="s">
        <v>148</v>
      </c>
      <c r="I2498" t="s">
        <v>40</v>
      </c>
      <c r="J2498" t="s">
        <v>41</v>
      </c>
      <c r="K2498" t="s">
        <v>29</v>
      </c>
      <c r="L2498" t="s">
        <v>30</v>
      </c>
      <c r="M2498" t="s">
        <v>139</v>
      </c>
      <c r="N2498">
        <v>1144</v>
      </c>
      <c r="O2498" s="14">
        <v>0.12865362456068399</v>
      </c>
      <c r="P2498" s="14">
        <v>2.9788714367896301E-2</v>
      </c>
      <c r="Q2498" t="str">
        <f t="shared" ref="Q2498:Q2561" si="78">SUBSTITUTE(SUBSTITUTE($I2498,CHAR(61),""),CHAR(34),"")</f>
        <v>25-34</v>
      </c>
      <c r="R2498" t="str">
        <f t="shared" ref="R2498:R2561" si="79">IF($D2498&lt;&gt;"","["&amp;$E2498&amp;"]"&amp;"|"&amp;$Q2498&amp;"|"&amp;$K2498&amp;"|"&amp;$G2498&amp;"|"&amp;IF($G2498="TX_CURR_SUBNAT.R","CY2022Q4",$M2498),"")</f>
        <v>[fyEoGEPERdI]|25-34|Female|DIAGNOSED_SUBNAT.T_1|CY2023Q3</v>
      </c>
    </row>
    <row r="2499" spans="4:18" x14ac:dyDescent="0.2">
      <c r="D2499" t="s">
        <v>83</v>
      </c>
      <c r="E2499" t="s">
        <v>84</v>
      </c>
      <c r="F2499" t="s">
        <v>85</v>
      </c>
      <c r="G2499" t="s">
        <v>147</v>
      </c>
      <c r="H2499" t="s">
        <v>148</v>
      </c>
      <c r="I2499" t="s">
        <v>42</v>
      </c>
      <c r="J2499" t="s">
        <v>43</v>
      </c>
      <c r="K2499" t="s">
        <v>29</v>
      </c>
      <c r="L2499" t="s">
        <v>30</v>
      </c>
      <c r="M2499" t="s">
        <v>139</v>
      </c>
      <c r="N2499">
        <v>901</v>
      </c>
      <c r="O2499" s="14">
        <v>0.67957784514874198</v>
      </c>
      <c r="P2499" s="14">
        <v>2.9788714367896301E-2</v>
      </c>
      <c r="Q2499" t="str">
        <f t="shared" si="78"/>
        <v>35-49</v>
      </c>
      <c r="R2499" t="str">
        <f t="shared" si="79"/>
        <v>[fyEoGEPERdI]|35-49|Female|DIAGNOSED_SUBNAT.T_1|CY2023Q3</v>
      </c>
    </row>
    <row r="2500" spans="4:18" x14ac:dyDescent="0.2">
      <c r="D2500" t="s">
        <v>83</v>
      </c>
      <c r="E2500" t="s">
        <v>84</v>
      </c>
      <c r="F2500" t="s">
        <v>85</v>
      </c>
      <c r="G2500" t="s">
        <v>147</v>
      </c>
      <c r="H2500" t="s">
        <v>148</v>
      </c>
      <c r="I2500" t="s">
        <v>44</v>
      </c>
      <c r="J2500" t="s">
        <v>45</v>
      </c>
      <c r="K2500" t="s">
        <v>29</v>
      </c>
      <c r="L2500" t="s">
        <v>30</v>
      </c>
      <c r="M2500" t="s">
        <v>139</v>
      </c>
      <c r="N2500">
        <v>1589</v>
      </c>
      <c r="O2500" s="14">
        <v>0.87942941416986298</v>
      </c>
      <c r="P2500" s="14">
        <v>2.9788714367896301E-2</v>
      </c>
      <c r="Q2500" t="str">
        <f t="shared" si="78"/>
        <v>50+</v>
      </c>
      <c r="R2500" t="str">
        <f t="shared" si="79"/>
        <v>[fyEoGEPERdI]|50+|Female|DIAGNOSED_SUBNAT.T_1|CY2023Q3</v>
      </c>
    </row>
    <row r="2501" spans="4:18" x14ac:dyDescent="0.2">
      <c r="D2501" t="s">
        <v>83</v>
      </c>
      <c r="E2501" t="s">
        <v>84</v>
      </c>
      <c r="F2501" t="s">
        <v>85</v>
      </c>
      <c r="G2501" t="s">
        <v>147</v>
      </c>
      <c r="H2501" t="s">
        <v>148</v>
      </c>
      <c r="I2501" t="s">
        <v>27</v>
      </c>
      <c r="J2501" t="s">
        <v>28</v>
      </c>
      <c r="K2501" t="s">
        <v>47</v>
      </c>
      <c r="L2501" t="s">
        <v>48</v>
      </c>
      <c r="M2501" t="s">
        <v>139</v>
      </c>
      <c r="N2501">
        <v>1703</v>
      </c>
      <c r="O2501" s="14">
        <v>0.12889819266274599</v>
      </c>
      <c r="P2501" s="14">
        <v>2.9788714367896301E-2</v>
      </c>
      <c r="Q2501" t="str">
        <f t="shared" si="78"/>
        <v>&lt;01</v>
      </c>
      <c r="R2501" t="str">
        <f t="shared" si="79"/>
        <v>[fyEoGEPERdI]|&lt;01|Male|DIAGNOSED_SUBNAT.T_1|CY2023Q3</v>
      </c>
    </row>
    <row r="2502" spans="4:18" x14ac:dyDescent="0.2">
      <c r="D2502" t="s">
        <v>83</v>
      </c>
      <c r="E2502" t="s">
        <v>84</v>
      </c>
      <c r="F2502" t="s">
        <v>85</v>
      </c>
      <c r="G2502" t="s">
        <v>147</v>
      </c>
      <c r="H2502" t="s">
        <v>148</v>
      </c>
      <c r="I2502" t="s">
        <v>32</v>
      </c>
      <c r="J2502" t="s">
        <v>33</v>
      </c>
      <c r="K2502" t="s">
        <v>47</v>
      </c>
      <c r="L2502" t="s">
        <v>48</v>
      </c>
      <c r="M2502" t="s">
        <v>139</v>
      </c>
      <c r="N2502">
        <v>877</v>
      </c>
      <c r="O2502" s="14">
        <v>0.18654388957656901</v>
      </c>
      <c r="P2502" s="14">
        <v>2.9788714367896301E-2</v>
      </c>
      <c r="Q2502" t="str">
        <f t="shared" si="78"/>
        <v>01-09</v>
      </c>
      <c r="R2502" t="str">
        <f t="shared" si="79"/>
        <v>[fyEoGEPERdI]|01-09|Male|DIAGNOSED_SUBNAT.T_1|CY2023Q3</v>
      </c>
    </row>
    <row r="2503" spans="4:18" x14ac:dyDescent="0.2">
      <c r="D2503" t="s">
        <v>83</v>
      </c>
      <c r="E2503" t="s">
        <v>84</v>
      </c>
      <c r="F2503" t="s">
        <v>85</v>
      </c>
      <c r="G2503" t="s">
        <v>147</v>
      </c>
      <c r="H2503" t="s">
        <v>148</v>
      </c>
      <c r="I2503" t="s">
        <v>35</v>
      </c>
      <c r="J2503" t="s">
        <v>36</v>
      </c>
      <c r="K2503" t="s">
        <v>47</v>
      </c>
      <c r="L2503" t="s">
        <v>48</v>
      </c>
      <c r="M2503" t="s">
        <v>139</v>
      </c>
      <c r="N2503">
        <v>1107</v>
      </c>
      <c r="O2503" s="14">
        <v>0.79050752334296703</v>
      </c>
      <c r="P2503" s="14">
        <v>2.9788714367896301E-2</v>
      </c>
      <c r="Q2503" t="str">
        <f t="shared" si="78"/>
        <v>10-14</v>
      </c>
      <c r="R2503" t="str">
        <f t="shared" si="79"/>
        <v>[fyEoGEPERdI]|10-14|Male|DIAGNOSED_SUBNAT.T_1|CY2023Q3</v>
      </c>
    </row>
    <row r="2504" spans="4:18" x14ac:dyDescent="0.2">
      <c r="D2504" t="s">
        <v>83</v>
      </c>
      <c r="E2504" t="s">
        <v>84</v>
      </c>
      <c r="F2504" t="s">
        <v>85</v>
      </c>
      <c r="G2504" t="s">
        <v>147</v>
      </c>
      <c r="H2504" t="s">
        <v>148</v>
      </c>
      <c r="I2504" t="s">
        <v>37</v>
      </c>
      <c r="J2504" t="s">
        <v>38</v>
      </c>
      <c r="K2504" t="s">
        <v>47</v>
      </c>
      <c r="L2504" t="s">
        <v>48</v>
      </c>
      <c r="M2504" t="s">
        <v>139</v>
      </c>
      <c r="N2504">
        <v>710</v>
      </c>
      <c r="O2504" s="14">
        <v>0.468746937811375</v>
      </c>
      <c r="P2504" s="14">
        <v>2.9788714367896301E-2</v>
      </c>
      <c r="Q2504" t="str">
        <f t="shared" si="78"/>
        <v>15-24</v>
      </c>
      <c r="R2504" t="str">
        <f t="shared" si="79"/>
        <v>[fyEoGEPERdI]|15-24|Male|DIAGNOSED_SUBNAT.T_1|CY2023Q3</v>
      </c>
    </row>
    <row r="2505" spans="4:18" x14ac:dyDescent="0.2">
      <c r="D2505" t="s">
        <v>83</v>
      </c>
      <c r="E2505" t="s">
        <v>84</v>
      </c>
      <c r="F2505" t="s">
        <v>85</v>
      </c>
      <c r="G2505" t="s">
        <v>147</v>
      </c>
      <c r="H2505" t="s">
        <v>148</v>
      </c>
      <c r="I2505" t="s">
        <v>40</v>
      </c>
      <c r="J2505" t="s">
        <v>41</v>
      </c>
      <c r="K2505" t="s">
        <v>47</v>
      </c>
      <c r="L2505" t="s">
        <v>48</v>
      </c>
      <c r="M2505" t="s">
        <v>139</v>
      </c>
      <c r="N2505">
        <v>1100</v>
      </c>
      <c r="O2505" s="14">
        <v>0.686579892877489</v>
      </c>
      <c r="P2505" s="14">
        <v>2.9788714367896301E-2</v>
      </c>
      <c r="Q2505" t="str">
        <f t="shared" si="78"/>
        <v>25-34</v>
      </c>
      <c r="R2505" t="str">
        <f t="shared" si="79"/>
        <v>[fyEoGEPERdI]|25-34|Male|DIAGNOSED_SUBNAT.T_1|CY2023Q3</v>
      </c>
    </row>
    <row r="2506" spans="4:18" x14ac:dyDescent="0.2">
      <c r="D2506" t="s">
        <v>83</v>
      </c>
      <c r="E2506" t="s">
        <v>84</v>
      </c>
      <c r="F2506" t="s">
        <v>85</v>
      </c>
      <c r="G2506" t="s">
        <v>147</v>
      </c>
      <c r="H2506" t="s">
        <v>148</v>
      </c>
      <c r="I2506" t="s">
        <v>42</v>
      </c>
      <c r="J2506" t="s">
        <v>43</v>
      </c>
      <c r="K2506" t="s">
        <v>47</v>
      </c>
      <c r="L2506" t="s">
        <v>48</v>
      </c>
      <c r="M2506" t="s">
        <v>139</v>
      </c>
      <c r="N2506">
        <v>1182</v>
      </c>
      <c r="O2506" s="14">
        <v>0.58797354833222903</v>
      </c>
      <c r="P2506" s="14">
        <v>2.9788714367896301E-2</v>
      </c>
      <c r="Q2506" t="str">
        <f t="shared" si="78"/>
        <v>35-49</v>
      </c>
      <c r="R2506" t="str">
        <f t="shared" si="79"/>
        <v>[fyEoGEPERdI]|35-49|Male|DIAGNOSED_SUBNAT.T_1|CY2023Q3</v>
      </c>
    </row>
    <row r="2507" spans="4:18" x14ac:dyDescent="0.2">
      <c r="D2507" t="s">
        <v>83</v>
      </c>
      <c r="E2507" t="s">
        <v>84</v>
      </c>
      <c r="F2507" t="s">
        <v>85</v>
      </c>
      <c r="G2507" t="s">
        <v>147</v>
      </c>
      <c r="H2507" t="s">
        <v>148</v>
      </c>
      <c r="I2507" t="s">
        <v>44</v>
      </c>
      <c r="J2507" t="s">
        <v>45</v>
      </c>
      <c r="K2507" t="s">
        <v>47</v>
      </c>
      <c r="L2507" t="s">
        <v>48</v>
      </c>
      <c r="M2507" t="s">
        <v>139</v>
      </c>
      <c r="N2507">
        <v>1602</v>
      </c>
      <c r="O2507" s="14">
        <v>0.78395312465727296</v>
      </c>
      <c r="P2507" s="14">
        <v>2.9788714367896301E-2</v>
      </c>
      <c r="Q2507" t="str">
        <f t="shared" si="78"/>
        <v>50+</v>
      </c>
      <c r="R2507" t="str">
        <f t="shared" si="79"/>
        <v>[fyEoGEPERdI]|50+|Male|DIAGNOSED_SUBNAT.T_1|CY2023Q3</v>
      </c>
    </row>
    <row r="2508" spans="4:18" x14ac:dyDescent="0.2">
      <c r="D2508" t="s">
        <v>86</v>
      </c>
      <c r="E2508" t="s">
        <v>87</v>
      </c>
      <c r="F2508" t="s">
        <v>88</v>
      </c>
      <c r="G2508" t="s">
        <v>147</v>
      </c>
      <c r="H2508" t="s">
        <v>148</v>
      </c>
      <c r="I2508" t="s">
        <v>27</v>
      </c>
      <c r="J2508" t="s">
        <v>28</v>
      </c>
      <c r="K2508" t="s">
        <v>29</v>
      </c>
      <c r="L2508" t="s">
        <v>30</v>
      </c>
      <c r="M2508" t="s">
        <v>139</v>
      </c>
      <c r="N2508">
        <v>1270</v>
      </c>
      <c r="O2508" s="14">
        <v>0.144528952194378</v>
      </c>
      <c r="P2508" s="14">
        <v>0.13333638082258401</v>
      </c>
      <c r="Q2508" t="str">
        <f t="shared" si="78"/>
        <v>&lt;01</v>
      </c>
      <c r="R2508" t="str">
        <f t="shared" si="79"/>
        <v>[cPtvxaZqXIH]|&lt;01|Female|DIAGNOSED_SUBNAT.T_1|CY2023Q3</v>
      </c>
    </row>
    <row r="2509" spans="4:18" x14ac:dyDescent="0.2">
      <c r="D2509" t="s">
        <v>86</v>
      </c>
      <c r="E2509" t="s">
        <v>87</v>
      </c>
      <c r="F2509" t="s">
        <v>88</v>
      </c>
      <c r="G2509" t="s">
        <v>147</v>
      </c>
      <c r="H2509" t="s">
        <v>148</v>
      </c>
      <c r="I2509" t="s">
        <v>32</v>
      </c>
      <c r="J2509" t="s">
        <v>33</v>
      </c>
      <c r="K2509" t="s">
        <v>29</v>
      </c>
      <c r="L2509" t="s">
        <v>30</v>
      </c>
      <c r="M2509" t="s">
        <v>139</v>
      </c>
      <c r="N2509">
        <v>1755</v>
      </c>
      <c r="O2509" s="14">
        <v>0.40456405840814103</v>
      </c>
      <c r="P2509" s="14">
        <v>0.13333638082258401</v>
      </c>
      <c r="Q2509" t="str">
        <f t="shared" si="78"/>
        <v>01-09</v>
      </c>
      <c r="R2509" t="str">
        <f t="shared" si="79"/>
        <v>[cPtvxaZqXIH]|01-09|Female|DIAGNOSED_SUBNAT.T_1|CY2023Q3</v>
      </c>
    </row>
    <row r="2510" spans="4:18" x14ac:dyDescent="0.2">
      <c r="D2510" t="s">
        <v>86</v>
      </c>
      <c r="E2510" t="s">
        <v>87</v>
      </c>
      <c r="F2510" t="s">
        <v>88</v>
      </c>
      <c r="G2510" t="s">
        <v>147</v>
      </c>
      <c r="H2510" t="s">
        <v>148</v>
      </c>
      <c r="I2510" t="s">
        <v>35</v>
      </c>
      <c r="J2510" t="s">
        <v>36</v>
      </c>
      <c r="K2510" t="s">
        <v>29</v>
      </c>
      <c r="L2510" t="s">
        <v>30</v>
      </c>
      <c r="M2510" t="s">
        <v>139</v>
      </c>
      <c r="N2510">
        <v>750</v>
      </c>
      <c r="O2510" s="14">
        <v>0.86177977197803601</v>
      </c>
      <c r="P2510" s="14">
        <v>0.13333638082258401</v>
      </c>
      <c r="Q2510" t="str">
        <f t="shared" si="78"/>
        <v>10-14</v>
      </c>
      <c r="R2510" t="str">
        <f t="shared" si="79"/>
        <v>[cPtvxaZqXIH]|10-14|Female|DIAGNOSED_SUBNAT.T_1|CY2023Q3</v>
      </c>
    </row>
    <row r="2511" spans="4:18" x14ac:dyDescent="0.2">
      <c r="D2511" t="s">
        <v>86</v>
      </c>
      <c r="E2511" t="s">
        <v>87</v>
      </c>
      <c r="F2511" t="s">
        <v>88</v>
      </c>
      <c r="G2511" t="s">
        <v>147</v>
      </c>
      <c r="H2511" t="s">
        <v>148</v>
      </c>
      <c r="I2511" t="s">
        <v>37</v>
      </c>
      <c r="J2511" t="s">
        <v>38</v>
      </c>
      <c r="K2511" t="s">
        <v>29</v>
      </c>
      <c r="L2511" t="s">
        <v>30</v>
      </c>
      <c r="M2511" t="s">
        <v>139</v>
      </c>
      <c r="N2511">
        <v>1529</v>
      </c>
      <c r="O2511" s="14">
        <v>0.83811696874909103</v>
      </c>
      <c r="P2511" s="14">
        <v>0.13333638082258401</v>
      </c>
      <c r="Q2511" t="str">
        <f t="shared" si="78"/>
        <v>15-24</v>
      </c>
      <c r="R2511" t="str">
        <f t="shared" si="79"/>
        <v>[cPtvxaZqXIH]|15-24|Female|DIAGNOSED_SUBNAT.T_1|CY2023Q3</v>
      </c>
    </row>
    <row r="2512" spans="4:18" x14ac:dyDescent="0.2">
      <c r="D2512" t="s">
        <v>86</v>
      </c>
      <c r="E2512" t="s">
        <v>87</v>
      </c>
      <c r="F2512" t="s">
        <v>88</v>
      </c>
      <c r="G2512" t="s">
        <v>147</v>
      </c>
      <c r="H2512" t="s">
        <v>148</v>
      </c>
      <c r="I2512" t="s">
        <v>40</v>
      </c>
      <c r="J2512" t="s">
        <v>41</v>
      </c>
      <c r="K2512" t="s">
        <v>29</v>
      </c>
      <c r="L2512" t="s">
        <v>30</v>
      </c>
      <c r="M2512" t="s">
        <v>139</v>
      </c>
      <c r="N2512">
        <v>1447</v>
      </c>
      <c r="O2512" s="14">
        <v>0.22446512407623201</v>
      </c>
      <c r="P2512" s="14">
        <v>0.13333638082258401</v>
      </c>
      <c r="Q2512" t="str">
        <f t="shared" si="78"/>
        <v>25-34</v>
      </c>
      <c r="R2512" t="str">
        <f t="shared" si="79"/>
        <v>[cPtvxaZqXIH]|25-34|Female|DIAGNOSED_SUBNAT.T_1|CY2023Q3</v>
      </c>
    </row>
    <row r="2513" spans="4:18" x14ac:dyDescent="0.2">
      <c r="D2513" t="s">
        <v>86</v>
      </c>
      <c r="E2513" t="s">
        <v>87</v>
      </c>
      <c r="F2513" t="s">
        <v>88</v>
      </c>
      <c r="G2513" t="s">
        <v>147</v>
      </c>
      <c r="H2513" t="s">
        <v>148</v>
      </c>
      <c r="I2513" t="s">
        <v>42</v>
      </c>
      <c r="J2513" t="s">
        <v>43</v>
      </c>
      <c r="K2513" t="s">
        <v>29</v>
      </c>
      <c r="L2513" t="s">
        <v>30</v>
      </c>
      <c r="M2513" t="s">
        <v>139</v>
      </c>
      <c r="N2513">
        <v>1360</v>
      </c>
      <c r="O2513" s="14">
        <v>0.84554476779885601</v>
      </c>
      <c r="P2513" s="14">
        <v>0.13333638082258401</v>
      </c>
      <c r="Q2513" t="str">
        <f t="shared" si="78"/>
        <v>35-49</v>
      </c>
      <c r="R2513" t="str">
        <f t="shared" si="79"/>
        <v>[cPtvxaZqXIH]|35-49|Female|DIAGNOSED_SUBNAT.T_1|CY2023Q3</v>
      </c>
    </row>
    <row r="2514" spans="4:18" x14ac:dyDescent="0.2">
      <c r="D2514" t="s">
        <v>86</v>
      </c>
      <c r="E2514" t="s">
        <v>87</v>
      </c>
      <c r="F2514" t="s">
        <v>88</v>
      </c>
      <c r="G2514" t="s">
        <v>147</v>
      </c>
      <c r="H2514" t="s">
        <v>148</v>
      </c>
      <c r="I2514" t="s">
        <v>44</v>
      </c>
      <c r="J2514" t="s">
        <v>45</v>
      </c>
      <c r="K2514" t="s">
        <v>29</v>
      </c>
      <c r="L2514" t="s">
        <v>30</v>
      </c>
      <c r="M2514" t="s">
        <v>139</v>
      </c>
      <c r="N2514">
        <v>1898</v>
      </c>
      <c r="O2514" s="14">
        <v>5.1209296099841602E-2</v>
      </c>
      <c r="P2514" s="14">
        <v>0.13333638082258401</v>
      </c>
      <c r="Q2514" t="str">
        <f t="shared" si="78"/>
        <v>50+</v>
      </c>
      <c r="R2514" t="str">
        <f t="shared" si="79"/>
        <v>[cPtvxaZqXIH]|50+|Female|DIAGNOSED_SUBNAT.T_1|CY2023Q3</v>
      </c>
    </row>
    <row r="2515" spans="4:18" x14ac:dyDescent="0.2">
      <c r="D2515" t="s">
        <v>86</v>
      </c>
      <c r="E2515" t="s">
        <v>87</v>
      </c>
      <c r="F2515" t="s">
        <v>88</v>
      </c>
      <c r="G2515" t="s">
        <v>147</v>
      </c>
      <c r="H2515" t="s">
        <v>148</v>
      </c>
      <c r="I2515" t="s">
        <v>27</v>
      </c>
      <c r="J2515" t="s">
        <v>28</v>
      </c>
      <c r="K2515" t="s">
        <v>47</v>
      </c>
      <c r="L2515" t="s">
        <v>48</v>
      </c>
      <c r="M2515" t="s">
        <v>139</v>
      </c>
      <c r="N2515">
        <v>541</v>
      </c>
      <c r="O2515" s="14">
        <v>0.36028765258379303</v>
      </c>
      <c r="P2515" s="14">
        <v>0.13333638082258401</v>
      </c>
      <c r="Q2515" t="str">
        <f t="shared" si="78"/>
        <v>&lt;01</v>
      </c>
      <c r="R2515" t="str">
        <f t="shared" si="79"/>
        <v>[cPtvxaZqXIH]|&lt;01|Male|DIAGNOSED_SUBNAT.T_1|CY2023Q3</v>
      </c>
    </row>
    <row r="2516" spans="4:18" x14ac:dyDescent="0.2">
      <c r="D2516" t="s">
        <v>86</v>
      </c>
      <c r="E2516" t="s">
        <v>87</v>
      </c>
      <c r="F2516" t="s">
        <v>88</v>
      </c>
      <c r="G2516" t="s">
        <v>147</v>
      </c>
      <c r="H2516" t="s">
        <v>148</v>
      </c>
      <c r="I2516" t="s">
        <v>32</v>
      </c>
      <c r="J2516" t="s">
        <v>33</v>
      </c>
      <c r="K2516" t="s">
        <v>47</v>
      </c>
      <c r="L2516" t="s">
        <v>48</v>
      </c>
      <c r="M2516" t="s">
        <v>139</v>
      </c>
      <c r="N2516">
        <v>1140</v>
      </c>
      <c r="O2516" s="14">
        <v>0.57573931594379202</v>
      </c>
      <c r="P2516" s="14">
        <v>0.13333638082258401</v>
      </c>
      <c r="Q2516" t="str">
        <f t="shared" si="78"/>
        <v>01-09</v>
      </c>
      <c r="R2516" t="str">
        <f t="shared" si="79"/>
        <v>[cPtvxaZqXIH]|01-09|Male|DIAGNOSED_SUBNAT.T_1|CY2023Q3</v>
      </c>
    </row>
    <row r="2517" spans="4:18" x14ac:dyDescent="0.2">
      <c r="D2517" t="s">
        <v>86</v>
      </c>
      <c r="E2517" t="s">
        <v>87</v>
      </c>
      <c r="F2517" t="s">
        <v>88</v>
      </c>
      <c r="G2517" t="s">
        <v>147</v>
      </c>
      <c r="H2517" t="s">
        <v>148</v>
      </c>
      <c r="I2517" t="s">
        <v>35</v>
      </c>
      <c r="J2517" t="s">
        <v>36</v>
      </c>
      <c r="K2517" t="s">
        <v>47</v>
      </c>
      <c r="L2517" t="s">
        <v>48</v>
      </c>
      <c r="M2517" t="s">
        <v>139</v>
      </c>
      <c r="N2517">
        <v>1906</v>
      </c>
      <c r="O2517" s="14">
        <v>0.75853148498572398</v>
      </c>
      <c r="P2517" s="14">
        <v>0.13333638082258401</v>
      </c>
      <c r="Q2517" t="str">
        <f t="shared" si="78"/>
        <v>10-14</v>
      </c>
      <c r="R2517" t="str">
        <f t="shared" si="79"/>
        <v>[cPtvxaZqXIH]|10-14|Male|DIAGNOSED_SUBNAT.T_1|CY2023Q3</v>
      </c>
    </row>
    <row r="2518" spans="4:18" x14ac:dyDescent="0.2">
      <c r="D2518" t="s">
        <v>86</v>
      </c>
      <c r="E2518" t="s">
        <v>87</v>
      </c>
      <c r="F2518" t="s">
        <v>88</v>
      </c>
      <c r="G2518" t="s">
        <v>147</v>
      </c>
      <c r="H2518" t="s">
        <v>148</v>
      </c>
      <c r="I2518" t="s">
        <v>37</v>
      </c>
      <c r="J2518" t="s">
        <v>38</v>
      </c>
      <c r="K2518" t="s">
        <v>47</v>
      </c>
      <c r="L2518" t="s">
        <v>48</v>
      </c>
      <c r="M2518" t="s">
        <v>139</v>
      </c>
      <c r="N2518">
        <v>1571</v>
      </c>
      <c r="O2518" s="14">
        <v>0.76918254815973297</v>
      </c>
      <c r="P2518" s="14">
        <v>0.13333638082258401</v>
      </c>
      <c r="Q2518" t="str">
        <f t="shared" si="78"/>
        <v>15-24</v>
      </c>
      <c r="R2518" t="str">
        <f t="shared" si="79"/>
        <v>[cPtvxaZqXIH]|15-24|Male|DIAGNOSED_SUBNAT.T_1|CY2023Q3</v>
      </c>
    </row>
    <row r="2519" spans="4:18" x14ac:dyDescent="0.2">
      <c r="D2519" t="s">
        <v>86</v>
      </c>
      <c r="E2519" t="s">
        <v>87</v>
      </c>
      <c r="F2519" t="s">
        <v>88</v>
      </c>
      <c r="G2519" t="s">
        <v>147</v>
      </c>
      <c r="H2519" t="s">
        <v>148</v>
      </c>
      <c r="I2519" t="s">
        <v>40</v>
      </c>
      <c r="J2519" t="s">
        <v>41</v>
      </c>
      <c r="K2519" t="s">
        <v>47</v>
      </c>
      <c r="L2519" t="s">
        <v>48</v>
      </c>
      <c r="M2519" t="s">
        <v>139</v>
      </c>
      <c r="N2519">
        <v>619</v>
      </c>
      <c r="O2519" s="14">
        <v>0.80641215806826905</v>
      </c>
      <c r="P2519" s="14">
        <v>0.13333638082258401</v>
      </c>
      <c r="Q2519" t="str">
        <f t="shared" si="78"/>
        <v>25-34</v>
      </c>
      <c r="R2519" t="str">
        <f t="shared" si="79"/>
        <v>[cPtvxaZqXIH]|25-34|Male|DIAGNOSED_SUBNAT.T_1|CY2023Q3</v>
      </c>
    </row>
    <row r="2520" spans="4:18" x14ac:dyDescent="0.2">
      <c r="D2520" t="s">
        <v>86</v>
      </c>
      <c r="E2520" t="s">
        <v>87</v>
      </c>
      <c r="F2520" t="s">
        <v>88</v>
      </c>
      <c r="G2520" t="s">
        <v>147</v>
      </c>
      <c r="H2520" t="s">
        <v>148</v>
      </c>
      <c r="I2520" t="s">
        <v>42</v>
      </c>
      <c r="J2520" t="s">
        <v>43</v>
      </c>
      <c r="K2520" t="s">
        <v>47</v>
      </c>
      <c r="L2520" t="s">
        <v>48</v>
      </c>
      <c r="M2520" t="s">
        <v>139</v>
      </c>
      <c r="N2520">
        <v>1510</v>
      </c>
      <c r="O2520" s="14">
        <v>0.98119733645580698</v>
      </c>
      <c r="P2520" s="14">
        <v>0.13333638082258401</v>
      </c>
      <c r="Q2520" t="str">
        <f t="shared" si="78"/>
        <v>35-49</v>
      </c>
      <c r="R2520" t="str">
        <f t="shared" si="79"/>
        <v>[cPtvxaZqXIH]|35-49|Male|DIAGNOSED_SUBNAT.T_1|CY2023Q3</v>
      </c>
    </row>
    <row r="2521" spans="4:18" x14ac:dyDescent="0.2">
      <c r="D2521" t="s">
        <v>86</v>
      </c>
      <c r="E2521" t="s">
        <v>87</v>
      </c>
      <c r="F2521" t="s">
        <v>88</v>
      </c>
      <c r="G2521" t="s">
        <v>147</v>
      </c>
      <c r="H2521" t="s">
        <v>148</v>
      </c>
      <c r="I2521" t="s">
        <v>44</v>
      </c>
      <c r="J2521" t="s">
        <v>45</v>
      </c>
      <c r="K2521" t="s">
        <v>47</v>
      </c>
      <c r="L2521" t="s">
        <v>48</v>
      </c>
      <c r="M2521" t="s">
        <v>139</v>
      </c>
      <c r="N2521">
        <v>853</v>
      </c>
      <c r="O2521" s="14">
        <v>0.67456194851547502</v>
      </c>
      <c r="P2521" s="14">
        <v>0.13333638082258401</v>
      </c>
      <c r="Q2521" t="str">
        <f t="shared" si="78"/>
        <v>50+</v>
      </c>
      <c r="R2521" t="str">
        <f t="shared" si="79"/>
        <v>[cPtvxaZqXIH]|50+|Male|DIAGNOSED_SUBNAT.T_1|CY2023Q3</v>
      </c>
    </row>
    <row r="2522" spans="4:18" x14ac:dyDescent="0.2">
      <c r="D2522" t="s">
        <v>89</v>
      </c>
      <c r="E2522" t="s">
        <v>90</v>
      </c>
      <c r="F2522" t="s">
        <v>91</v>
      </c>
      <c r="G2522" t="s">
        <v>147</v>
      </c>
      <c r="H2522" t="s">
        <v>148</v>
      </c>
      <c r="I2522" t="s">
        <v>27</v>
      </c>
      <c r="J2522" t="s">
        <v>28</v>
      </c>
      <c r="K2522" t="s">
        <v>29</v>
      </c>
      <c r="L2522" t="s">
        <v>30</v>
      </c>
      <c r="M2522" t="s">
        <v>139</v>
      </c>
      <c r="N2522">
        <v>883</v>
      </c>
      <c r="O2522" s="14">
        <v>0.38423145585693402</v>
      </c>
      <c r="P2522" s="14">
        <v>0.71991415042430196</v>
      </c>
      <c r="Q2522" t="str">
        <f t="shared" si="78"/>
        <v>&lt;01</v>
      </c>
      <c r="R2522" t="str">
        <f t="shared" si="79"/>
        <v>[AZyWpGzhcaA]|&lt;01|Female|DIAGNOSED_SUBNAT.T_1|CY2023Q3</v>
      </c>
    </row>
    <row r="2523" spans="4:18" x14ac:dyDescent="0.2">
      <c r="D2523" t="s">
        <v>89</v>
      </c>
      <c r="E2523" t="s">
        <v>90</v>
      </c>
      <c r="F2523" t="s">
        <v>91</v>
      </c>
      <c r="G2523" t="s">
        <v>147</v>
      </c>
      <c r="H2523" t="s">
        <v>148</v>
      </c>
      <c r="I2523" t="s">
        <v>32</v>
      </c>
      <c r="J2523" t="s">
        <v>33</v>
      </c>
      <c r="K2523" t="s">
        <v>29</v>
      </c>
      <c r="L2523" t="s">
        <v>30</v>
      </c>
      <c r="M2523" t="s">
        <v>139</v>
      </c>
      <c r="N2523">
        <v>912</v>
      </c>
      <c r="O2523" s="14">
        <v>0.60317419795319405</v>
      </c>
      <c r="P2523" s="14">
        <v>0.71991415042430196</v>
      </c>
      <c r="Q2523" t="str">
        <f t="shared" si="78"/>
        <v>01-09</v>
      </c>
      <c r="R2523" t="str">
        <f t="shared" si="79"/>
        <v>[AZyWpGzhcaA]|01-09|Female|DIAGNOSED_SUBNAT.T_1|CY2023Q3</v>
      </c>
    </row>
    <row r="2524" spans="4:18" x14ac:dyDescent="0.2">
      <c r="D2524" t="s">
        <v>89</v>
      </c>
      <c r="E2524" t="s">
        <v>90</v>
      </c>
      <c r="F2524" t="s">
        <v>91</v>
      </c>
      <c r="G2524" t="s">
        <v>147</v>
      </c>
      <c r="H2524" t="s">
        <v>148</v>
      </c>
      <c r="I2524" t="s">
        <v>35</v>
      </c>
      <c r="J2524" t="s">
        <v>36</v>
      </c>
      <c r="K2524" t="s">
        <v>29</v>
      </c>
      <c r="L2524" t="s">
        <v>30</v>
      </c>
      <c r="M2524" t="s">
        <v>139</v>
      </c>
      <c r="N2524">
        <v>1244</v>
      </c>
      <c r="O2524" s="14">
        <v>0.119206479750574</v>
      </c>
      <c r="P2524" s="14">
        <v>0.71991415042430196</v>
      </c>
      <c r="Q2524" t="str">
        <f t="shared" si="78"/>
        <v>10-14</v>
      </c>
      <c r="R2524" t="str">
        <f t="shared" si="79"/>
        <v>[AZyWpGzhcaA]|10-14|Female|DIAGNOSED_SUBNAT.T_1|CY2023Q3</v>
      </c>
    </row>
    <row r="2525" spans="4:18" x14ac:dyDescent="0.2">
      <c r="D2525" t="s">
        <v>89</v>
      </c>
      <c r="E2525" t="s">
        <v>90</v>
      </c>
      <c r="F2525" t="s">
        <v>91</v>
      </c>
      <c r="G2525" t="s">
        <v>147</v>
      </c>
      <c r="H2525" t="s">
        <v>148</v>
      </c>
      <c r="I2525" t="s">
        <v>37</v>
      </c>
      <c r="J2525" t="s">
        <v>38</v>
      </c>
      <c r="K2525" t="s">
        <v>29</v>
      </c>
      <c r="L2525" t="s">
        <v>30</v>
      </c>
      <c r="M2525" t="s">
        <v>139</v>
      </c>
      <c r="N2525">
        <v>1502</v>
      </c>
      <c r="O2525" s="14">
        <v>0.99031845713034306</v>
      </c>
      <c r="P2525" s="14">
        <v>0.71991415042430196</v>
      </c>
      <c r="Q2525" t="str">
        <f t="shared" si="78"/>
        <v>15-24</v>
      </c>
      <c r="R2525" t="str">
        <f t="shared" si="79"/>
        <v>[AZyWpGzhcaA]|15-24|Female|DIAGNOSED_SUBNAT.T_1|CY2023Q3</v>
      </c>
    </row>
    <row r="2526" spans="4:18" x14ac:dyDescent="0.2">
      <c r="D2526" t="s">
        <v>89</v>
      </c>
      <c r="E2526" t="s">
        <v>90</v>
      </c>
      <c r="F2526" t="s">
        <v>91</v>
      </c>
      <c r="G2526" t="s">
        <v>147</v>
      </c>
      <c r="H2526" t="s">
        <v>148</v>
      </c>
      <c r="I2526" t="s">
        <v>40</v>
      </c>
      <c r="J2526" t="s">
        <v>41</v>
      </c>
      <c r="K2526" t="s">
        <v>29</v>
      </c>
      <c r="L2526" t="s">
        <v>30</v>
      </c>
      <c r="M2526" t="s">
        <v>139</v>
      </c>
      <c r="N2526">
        <v>1281</v>
      </c>
      <c r="O2526" s="14">
        <v>0.42451079725287899</v>
      </c>
      <c r="P2526" s="14">
        <v>0.71991415042430196</v>
      </c>
      <c r="Q2526" t="str">
        <f t="shared" si="78"/>
        <v>25-34</v>
      </c>
      <c r="R2526" t="str">
        <f t="shared" si="79"/>
        <v>[AZyWpGzhcaA]|25-34|Female|DIAGNOSED_SUBNAT.T_1|CY2023Q3</v>
      </c>
    </row>
    <row r="2527" spans="4:18" x14ac:dyDescent="0.2">
      <c r="D2527" t="s">
        <v>89</v>
      </c>
      <c r="E2527" t="s">
        <v>90</v>
      </c>
      <c r="F2527" t="s">
        <v>91</v>
      </c>
      <c r="G2527" t="s">
        <v>147</v>
      </c>
      <c r="H2527" t="s">
        <v>148</v>
      </c>
      <c r="I2527" t="s">
        <v>42</v>
      </c>
      <c r="J2527" t="s">
        <v>43</v>
      </c>
      <c r="K2527" t="s">
        <v>29</v>
      </c>
      <c r="L2527" t="s">
        <v>30</v>
      </c>
      <c r="M2527" t="s">
        <v>139</v>
      </c>
      <c r="N2527">
        <v>1973</v>
      </c>
      <c r="O2527" s="14">
        <v>0.68955469247885004</v>
      </c>
      <c r="P2527" s="14">
        <v>0.71991415042430196</v>
      </c>
      <c r="Q2527" t="str">
        <f t="shared" si="78"/>
        <v>35-49</v>
      </c>
      <c r="R2527" t="str">
        <f t="shared" si="79"/>
        <v>[AZyWpGzhcaA]|35-49|Female|DIAGNOSED_SUBNAT.T_1|CY2023Q3</v>
      </c>
    </row>
    <row r="2528" spans="4:18" x14ac:dyDescent="0.2">
      <c r="D2528" t="s">
        <v>89</v>
      </c>
      <c r="E2528" t="s">
        <v>90</v>
      </c>
      <c r="F2528" t="s">
        <v>91</v>
      </c>
      <c r="G2528" t="s">
        <v>147</v>
      </c>
      <c r="H2528" t="s">
        <v>148</v>
      </c>
      <c r="I2528" t="s">
        <v>44</v>
      </c>
      <c r="J2528" t="s">
        <v>45</v>
      </c>
      <c r="K2528" t="s">
        <v>29</v>
      </c>
      <c r="L2528" t="s">
        <v>30</v>
      </c>
      <c r="M2528" t="s">
        <v>139</v>
      </c>
      <c r="N2528">
        <v>1650</v>
      </c>
      <c r="O2528" s="14">
        <v>0.884980012429878</v>
      </c>
      <c r="P2528" s="14">
        <v>0.71991415042430196</v>
      </c>
      <c r="Q2528" t="str">
        <f t="shared" si="78"/>
        <v>50+</v>
      </c>
      <c r="R2528" t="str">
        <f t="shared" si="79"/>
        <v>[AZyWpGzhcaA]|50+|Female|DIAGNOSED_SUBNAT.T_1|CY2023Q3</v>
      </c>
    </row>
    <row r="2529" spans="4:18" x14ac:dyDescent="0.2">
      <c r="D2529" t="s">
        <v>89</v>
      </c>
      <c r="E2529" t="s">
        <v>90</v>
      </c>
      <c r="F2529" t="s">
        <v>91</v>
      </c>
      <c r="G2529" t="s">
        <v>147</v>
      </c>
      <c r="H2529" t="s">
        <v>148</v>
      </c>
      <c r="I2529" t="s">
        <v>27</v>
      </c>
      <c r="J2529" t="s">
        <v>28</v>
      </c>
      <c r="K2529" t="s">
        <v>47</v>
      </c>
      <c r="L2529" t="s">
        <v>48</v>
      </c>
      <c r="M2529" t="s">
        <v>139</v>
      </c>
      <c r="N2529">
        <v>1810</v>
      </c>
      <c r="O2529" s="14">
        <v>0.32520040334202299</v>
      </c>
      <c r="P2529" s="14">
        <v>0.71991415042430196</v>
      </c>
      <c r="Q2529" t="str">
        <f t="shared" si="78"/>
        <v>&lt;01</v>
      </c>
      <c r="R2529" t="str">
        <f t="shared" si="79"/>
        <v>[AZyWpGzhcaA]|&lt;01|Male|DIAGNOSED_SUBNAT.T_1|CY2023Q3</v>
      </c>
    </row>
    <row r="2530" spans="4:18" x14ac:dyDescent="0.2">
      <c r="D2530" t="s">
        <v>89</v>
      </c>
      <c r="E2530" t="s">
        <v>90</v>
      </c>
      <c r="F2530" t="s">
        <v>91</v>
      </c>
      <c r="G2530" t="s">
        <v>147</v>
      </c>
      <c r="H2530" t="s">
        <v>148</v>
      </c>
      <c r="I2530" t="s">
        <v>32</v>
      </c>
      <c r="J2530" t="s">
        <v>33</v>
      </c>
      <c r="K2530" t="s">
        <v>47</v>
      </c>
      <c r="L2530" t="s">
        <v>48</v>
      </c>
      <c r="M2530" t="s">
        <v>139</v>
      </c>
      <c r="N2530">
        <v>1191</v>
      </c>
      <c r="O2530" s="14">
        <v>0.15066166245378601</v>
      </c>
      <c r="P2530" s="14">
        <v>0.71991415042430196</v>
      </c>
      <c r="Q2530" t="str">
        <f t="shared" si="78"/>
        <v>01-09</v>
      </c>
      <c r="R2530" t="str">
        <f t="shared" si="79"/>
        <v>[AZyWpGzhcaA]|01-09|Male|DIAGNOSED_SUBNAT.T_1|CY2023Q3</v>
      </c>
    </row>
    <row r="2531" spans="4:18" x14ac:dyDescent="0.2">
      <c r="D2531" t="s">
        <v>89</v>
      </c>
      <c r="E2531" t="s">
        <v>90</v>
      </c>
      <c r="F2531" t="s">
        <v>91</v>
      </c>
      <c r="G2531" t="s">
        <v>147</v>
      </c>
      <c r="H2531" t="s">
        <v>148</v>
      </c>
      <c r="I2531" t="s">
        <v>35</v>
      </c>
      <c r="J2531" t="s">
        <v>36</v>
      </c>
      <c r="K2531" t="s">
        <v>47</v>
      </c>
      <c r="L2531" t="s">
        <v>48</v>
      </c>
      <c r="M2531" t="s">
        <v>139</v>
      </c>
      <c r="N2531">
        <v>545</v>
      </c>
      <c r="O2531" s="14">
        <v>0.47920263139531</v>
      </c>
      <c r="P2531" s="14">
        <v>0.71991415042430196</v>
      </c>
      <c r="Q2531" t="str">
        <f t="shared" si="78"/>
        <v>10-14</v>
      </c>
      <c r="R2531" t="str">
        <f t="shared" si="79"/>
        <v>[AZyWpGzhcaA]|10-14|Male|DIAGNOSED_SUBNAT.T_1|CY2023Q3</v>
      </c>
    </row>
    <row r="2532" spans="4:18" x14ac:dyDescent="0.2">
      <c r="D2532" t="s">
        <v>89</v>
      </c>
      <c r="E2532" t="s">
        <v>90</v>
      </c>
      <c r="F2532" t="s">
        <v>91</v>
      </c>
      <c r="G2532" t="s">
        <v>147</v>
      </c>
      <c r="H2532" t="s">
        <v>148</v>
      </c>
      <c r="I2532" t="s">
        <v>37</v>
      </c>
      <c r="J2532" t="s">
        <v>38</v>
      </c>
      <c r="K2532" t="s">
        <v>47</v>
      </c>
      <c r="L2532" t="s">
        <v>48</v>
      </c>
      <c r="M2532" t="s">
        <v>139</v>
      </c>
      <c r="N2532">
        <v>1849</v>
      </c>
      <c r="O2532" s="14">
        <v>0.34689644770696798</v>
      </c>
      <c r="P2532" s="14">
        <v>0.71991415042430196</v>
      </c>
      <c r="Q2532" t="str">
        <f t="shared" si="78"/>
        <v>15-24</v>
      </c>
      <c r="R2532" t="str">
        <f t="shared" si="79"/>
        <v>[AZyWpGzhcaA]|15-24|Male|DIAGNOSED_SUBNAT.T_1|CY2023Q3</v>
      </c>
    </row>
    <row r="2533" spans="4:18" x14ac:dyDescent="0.2">
      <c r="D2533" t="s">
        <v>89</v>
      </c>
      <c r="E2533" t="s">
        <v>90</v>
      </c>
      <c r="F2533" t="s">
        <v>91</v>
      </c>
      <c r="G2533" t="s">
        <v>147</v>
      </c>
      <c r="H2533" t="s">
        <v>148</v>
      </c>
      <c r="I2533" t="s">
        <v>40</v>
      </c>
      <c r="J2533" t="s">
        <v>41</v>
      </c>
      <c r="K2533" t="s">
        <v>47</v>
      </c>
      <c r="L2533" t="s">
        <v>48</v>
      </c>
      <c r="M2533" t="s">
        <v>139</v>
      </c>
      <c r="N2533">
        <v>956</v>
      </c>
      <c r="O2533" s="14">
        <v>0.200178465573117</v>
      </c>
      <c r="P2533" s="14">
        <v>0.71991415042430196</v>
      </c>
      <c r="Q2533" t="str">
        <f t="shared" si="78"/>
        <v>25-34</v>
      </c>
      <c r="R2533" t="str">
        <f t="shared" si="79"/>
        <v>[AZyWpGzhcaA]|25-34|Male|DIAGNOSED_SUBNAT.T_1|CY2023Q3</v>
      </c>
    </row>
    <row r="2534" spans="4:18" x14ac:dyDescent="0.2">
      <c r="D2534" t="s">
        <v>89</v>
      </c>
      <c r="E2534" t="s">
        <v>90</v>
      </c>
      <c r="F2534" t="s">
        <v>91</v>
      </c>
      <c r="G2534" t="s">
        <v>147</v>
      </c>
      <c r="H2534" t="s">
        <v>148</v>
      </c>
      <c r="I2534" t="s">
        <v>42</v>
      </c>
      <c r="J2534" t="s">
        <v>43</v>
      </c>
      <c r="K2534" t="s">
        <v>47</v>
      </c>
      <c r="L2534" t="s">
        <v>48</v>
      </c>
      <c r="M2534" t="s">
        <v>139</v>
      </c>
      <c r="N2534">
        <v>537</v>
      </c>
      <c r="O2534" s="14">
        <v>0.75303075229749095</v>
      </c>
      <c r="P2534" s="14">
        <v>0.71991415042430196</v>
      </c>
      <c r="Q2534" t="str">
        <f t="shared" si="78"/>
        <v>35-49</v>
      </c>
      <c r="R2534" t="str">
        <f t="shared" si="79"/>
        <v>[AZyWpGzhcaA]|35-49|Male|DIAGNOSED_SUBNAT.T_1|CY2023Q3</v>
      </c>
    </row>
    <row r="2535" spans="4:18" x14ac:dyDescent="0.2">
      <c r="D2535" t="s">
        <v>89</v>
      </c>
      <c r="E2535" t="s">
        <v>90</v>
      </c>
      <c r="F2535" t="s">
        <v>91</v>
      </c>
      <c r="G2535" t="s">
        <v>147</v>
      </c>
      <c r="H2535" t="s">
        <v>148</v>
      </c>
      <c r="I2535" t="s">
        <v>44</v>
      </c>
      <c r="J2535" t="s">
        <v>45</v>
      </c>
      <c r="K2535" t="s">
        <v>47</v>
      </c>
      <c r="L2535" t="s">
        <v>48</v>
      </c>
      <c r="M2535" t="s">
        <v>139</v>
      </c>
      <c r="N2535">
        <v>1315</v>
      </c>
      <c r="O2535" s="14">
        <v>0.215007717488334</v>
      </c>
      <c r="P2535" s="14">
        <v>0.71991415042430196</v>
      </c>
      <c r="Q2535" t="str">
        <f t="shared" si="78"/>
        <v>50+</v>
      </c>
      <c r="R2535" t="str">
        <f t="shared" si="79"/>
        <v>[AZyWpGzhcaA]|50+|Male|DIAGNOSED_SUBNAT.T_1|CY2023Q3</v>
      </c>
    </row>
    <row r="2536" spans="4:18" x14ac:dyDescent="0.2">
      <c r="D2536" t="s">
        <v>92</v>
      </c>
      <c r="E2536" t="s">
        <v>93</v>
      </c>
      <c r="F2536" t="s">
        <v>94</v>
      </c>
      <c r="G2536" t="s">
        <v>147</v>
      </c>
      <c r="H2536" t="s">
        <v>148</v>
      </c>
      <c r="I2536" t="s">
        <v>27</v>
      </c>
      <c r="J2536" t="s">
        <v>28</v>
      </c>
      <c r="K2536" t="s">
        <v>29</v>
      </c>
      <c r="L2536" t="s">
        <v>30</v>
      </c>
      <c r="M2536" t="s">
        <v>139</v>
      </c>
      <c r="N2536">
        <v>1519</v>
      </c>
      <c r="O2536" s="14">
        <v>0.69431244535371694</v>
      </c>
      <c r="P2536" s="14">
        <v>0.36227229656651599</v>
      </c>
      <c r="Q2536" t="str">
        <f t="shared" si="78"/>
        <v>&lt;01</v>
      </c>
      <c r="R2536" t="str">
        <f t="shared" si="79"/>
        <v>[umc2n1Z4wNv]|&lt;01|Female|DIAGNOSED_SUBNAT.T_1|CY2023Q3</v>
      </c>
    </row>
    <row r="2537" spans="4:18" x14ac:dyDescent="0.2">
      <c r="D2537" t="s">
        <v>92</v>
      </c>
      <c r="E2537" t="s">
        <v>93</v>
      </c>
      <c r="F2537" t="s">
        <v>94</v>
      </c>
      <c r="G2537" t="s">
        <v>147</v>
      </c>
      <c r="H2537" t="s">
        <v>148</v>
      </c>
      <c r="I2537" t="s">
        <v>32</v>
      </c>
      <c r="J2537" t="s">
        <v>33</v>
      </c>
      <c r="K2537" t="s">
        <v>29</v>
      </c>
      <c r="L2537" t="s">
        <v>30</v>
      </c>
      <c r="M2537" t="s">
        <v>139</v>
      </c>
      <c r="N2537">
        <v>655</v>
      </c>
      <c r="O2537" s="14">
        <v>0.53341942001134202</v>
      </c>
      <c r="P2537" s="14">
        <v>0.36227229656651599</v>
      </c>
      <c r="Q2537" t="str">
        <f t="shared" si="78"/>
        <v>01-09</v>
      </c>
      <c r="R2537" t="str">
        <f t="shared" si="79"/>
        <v>[umc2n1Z4wNv]|01-09|Female|DIAGNOSED_SUBNAT.T_1|CY2023Q3</v>
      </c>
    </row>
    <row r="2538" spans="4:18" x14ac:dyDescent="0.2">
      <c r="D2538" t="s">
        <v>92</v>
      </c>
      <c r="E2538" t="s">
        <v>93</v>
      </c>
      <c r="F2538" t="s">
        <v>94</v>
      </c>
      <c r="G2538" t="s">
        <v>147</v>
      </c>
      <c r="H2538" t="s">
        <v>148</v>
      </c>
      <c r="I2538" t="s">
        <v>35</v>
      </c>
      <c r="J2538" t="s">
        <v>36</v>
      </c>
      <c r="K2538" t="s">
        <v>29</v>
      </c>
      <c r="L2538" t="s">
        <v>30</v>
      </c>
      <c r="M2538" t="s">
        <v>139</v>
      </c>
      <c r="N2538">
        <v>1500</v>
      </c>
      <c r="O2538" s="14">
        <v>0.77339787478558697</v>
      </c>
      <c r="P2538" s="14">
        <v>0.36227229656651599</v>
      </c>
      <c r="Q2538" t="str">
        <f t="shared" si="78"/>
        <v>10-14</v>
      </c>
      <c r="R2538" t="str">
        <f t="shared" si="79"/>
        <v>[umc2n1Z4wNv]|10-14|Female|DIAGNOSED_SUBNAT.T_1|CY2023Q3</v>
      </c>
    </row>
    <row r="2539" spans="4:18" x14ac:dyDescent="0.2">
      <c r="D2539" t="s">
        <v>92</v>
      </c>
      <c r="E2539" t="s">
        <v>93</v>
      </c>
      <c r="F2539" t="s">
        <v>94</v>
      </c>
      <c r="G2539" t="s">
        <v>147</v>
      </c>
      <c r="H2539" t="s">
        <v>148</v>
      </c>
      <c r="I2539" t="s">
        <v>37</v>
      </c>
      <c r="J2539" t="s">
        <v>38</v>
      </c>
      <c r="K2539" t="s">
        <v>29</v>
      </c>
      <c r="L2539" t="s">
        <v>30</v>
      </c>
      <c r="M2539" t="s">
        <v>139</v>
      </c>
      <c r="N2539">
        <v>1142</v>
      </c>
      <c r="O2539" s="14">
        <v>0.484128587413579</v>
      </c>
      <c r="P2539" s="14">
        <v>0.36227229656651599</v>
      </c>
      <c r="Q2539" t="str">
        <f t="shared" si="78"/>
        <v>15-24</v>
      </c>
      <c r="R2539" t="str">
        <f t="shared" si="79"/>
        <v>[umc2n1Z4wNv]|15-24|Female|DIAGNOSED_SUBNAT.T_1|CY2023Q3</v>
      </c>
    </row>
    <row r="2540" spans="4:18" x14ac:dyDescent="0.2">
      <c r="D2540" t="s">
        <v>92</v>
      </c>
      <c r="E2540" t="s">
        <v>93</v>
      </c>
      <c r="F2540" t="s">
        <v>94</v>
      </c>
      <c r="G2540" t="s">
        <v>147</v>
      </c>
      <c r="H2540" t="s">
        <v>148</v>
      </c>
      <c r="I2540" t="s">
        <v>40</v>
      </c>
      <c r="J2540" t="s">
        <v>41</v>
      </c>
      <c r="K2540" t="s">
        <v>29</v>
      </c>
      <c r="L2540" t="s">
        <v>30</v>
      </c>
      <c r="M2540" t="s">
        <v>139</v>
      </c>
      <c r="N2540">
        <v>1397</v>
      </c>
      <c r="O2540" s="14">
        <v>0.44843025133013698</v>
      </c>
      <c r="P2540" s="14">
        <v>0.36227229656651599</v>
      </c>
      <c r="Q2540" t="str">
        <f t="shared" si="78"/>
        <v>25-34</v>
      </c>
      <c r="R2540" t="str">
        <f t="shared" si="79"/>
        <v>[umc2n1Z4wNv]|25-34|Female|DIAGNOSED_SUBNAT.T_1|CY2023Q3</v>
      </c>
    </row>
    <row r="2541" spans="4:18" x14ac:dyDescent="0.2">
      <c r="D2541" t="s">
        <v>92</v>
      </c>
      <c r="E2541" t="s">
        <v>93</v>
      </c>
      <c r="F2541" t="s">
        <v>94</v>
      </c>
      <c r="G2541" t="s">
        <v>147</v>
      </c>
      <c r="H2541" t="s">
        <v>148</v>
      </c>
      <c r="I2541" t="s">
        <v>42</v>
      </c>
      <c r="J2541" t="s">
        <v>43</v>
      </c>
      <c r="K2541" t="s">
        <v>29</v>
      </c>
      <c r="L2541" t="s">
        <v>30</v>
      </c>
      <c r="M2541" t="s">
        <v>139</v>
      </c>
      <c r="N2541">
        <v>1829</v>
      </c>
      <c r="O2541" s="14">
        <v>3.7959084380418097E-2</v>
      </c>
      <c r="P2541" s="14">
        <v>0.36227229656651599</v>
      </c>
      <c r="Q2541" t="str">
        <f t="shared" si="78"/>
        <v>35-49</v>
      </c>
      <c r="R2541" t="str">
        <f t="shared" si="79"/>
        <v>[umc2n1Z4wNv]|35-49|Female|DIAGNOSED_SUBNAT.T_1|CY2023Q3</v>
      </c>
    </row>
    <row r="2542" spans="4:18" x14ac:dyDescent="0.2">
      <c r="D2542" t="s">
        <v>92</v>
      </c>
      <c r="E2542" t="s">
        <v>93</v>
      </c>
      <c r="F2542" t="s">
        <v>94</v>
      </c>
      <c r="G2542" t="s">
        <v>147</v>
      </c>
      <c r="H2542" t="s">
        <v>148</v>
      </c>
      <c r="I2542" t="s">
        <v>44</v>
      </c>
      <c r="J2542" t="s">
        <v>45</v>
      </c>
      <c r="K2542" t="s">
        <v>29</v>
      </c>
      <c r="L2542" t="s">
        <v>30</v>
      </c>
      <c r="M2542" t="s">
        <v>139</v>
      </c>
      <c r="N2542">
        <v>906</v>
      </c>
      <c r="O2542" s="14">
        <v>0.45889247721061099</v>
      </c>
      <c r="P2542" s="14">
        <v>0.36227229656651599</v>
      </c>
      <c r="Q2542" t="str">
        <f t="shared" si="78"/>
        <v>50+</v>
      </c>
      <c r="R2542" t="str">
        <f t="shared" si="79"/>
        <v>[umc2n1Z4wNv]|50+|Female|DIAGNOSED_SUBNAT.T_1|CY2023Q3</v>
      </c>
    </row>
    <row r="2543" spans="4:18" x14ac:dyDescent="0.2">
      <c r="D2543" t="s">
        <v>92</v>
      </c>
      <c r="E2543" t="s">
        <v>93</v>
      </c>
      <c r="F2543" t="s">
        <v>94</v>
      </c>
      <c r="G2543" t="s">
        <v>147</v>
      </c>
      <c r="H2543" t="s">
        <v>148</v>
      </c>
      <c r="I2543" t="s">
        <v>27</v>
      </c>
      <c r="J2543" t="s">
        <v>28</v>
      </c>
      <c r="K2543" t="s">
        <v>47</v>
      </c>
      <c r="L2543" t="s">
        <v>48</v>
      </c>
      <c r="M2543" t="s">
        <v>139</v>
      </c>
      <c r="N2543">
        <v>1714</v>
      </c>
      <c r="O2543" s="14">
        <v>0.67617467674426701</v>
      </c>
      <c r="P2543" s="14">
        <v>0.36227229656651599</v>
      </c>
      <c r="Q2543" t="str">
        <f t="shared" si="78"/>
        <v>&lt;01</v>
      </c>
      <c r="R2543" t="str">
        <f t="shared" si="79"/>
        <v>[umc2n1Z4wNv]|&lt;01|Male|DIAGNOSED_SUBNAT.T_1|CY2023Q3</v>
      </c>
    </row>
    <row r="2544" spans="4:18" x14ac:dyDescent="0.2">
      <c r="D2544" t="s">
        <v>92</v>
      </c>
      <c r="E2544" t="s">
        <v>93</v>
      </c>
      <c r="F2544" t="s">
        <v>94</v>
      </c>
      <c r="G2544" t="s">
        <v>147</v>
      </c>
      <c r="H2544" t="s">
        <v>148</v>
      </c>
      <c r="I2544" t="s">
        <v>32</v>
      </c>
      <c r="J2544" t="s">
        <v>33</v>
      </c>
      <c r="K2544" t="s">
        <v>47</v>
      </c>
      <c r="L2544" t="s">
        <v>48</v>
      </c>
      <c r="M2544" t="s">
        <v>139</v>
      </c>
      <c r="N2544">
        <v>1053</v>
      </c>
      <c r="O2544" s="14">
        <v>0.21691450313665001</v>
      </c>
      <c r="P2544" s="14">
        <v>0.36227229656651599</v>
      </c>
      <c r="Q2544" t="str">
        <f t="shared" si="78"/>
        <v>01-09</v>
      </c>
      <c r="R2544" t="str">
        <f t="shared" si="79"/>
        <v>[umc2n1Z4wNv]|01-09|Male|DIAGNOSED_SUBNAT.T_1|CY2023Q3</v>
      </c>
    </row>
    <row r="2545" spans="4:18" x14ac:dyDescent="0.2">
      <c r="D2545" t="s">
        <v>92</v>
      </c>
      <c r="E2545" t="s">
        <v>93</v>
      </c>
      <c r="F2545" t="s">
        <v>94</v>
      </c>
      <c r="G2545" t="s">
        <v>147</v>
      </c>
      <c r="H2545" t="s">
        <v>148</v>
      </c>
      <c r="I2545" t="s">
        <v>35</v>
      </c>
      <c r="J2545" t="s">
        <v>36</v>
      </c>
      <c r="K2545" t="s">
        <v>47</v>
      </c>
      <c r="L2545" t="s">
        <v>48</v>
      </c>
      <c r="M2545" t="s">
        <v>139</v>
      </c>
      <c r="N2545">
        <v>1698</v>
      </c>
      <c r="O2545" s="14">
        <v>0.16151486127637299</v>
      </c>
      <c r="P2545" s="14">
        <v>0.36227229656651599</v>
      </c>
      <c r="Q2545" t="str">
        <f t="shared" si="78"/>
        <v>10-14</v>
      </c>
      <c r="R2545" t="str">
        <f t="shared" si="79"/>
        <v>[umc2n1Z4wNv]|10-14|Male|DIAGNOSED_SUBNAT.T_1|CY2023Q3</v>
      </c>
    </row>
    <row r="2546" spans="4:18" x14ac:dyDescent="0.2">
      <c r="D2546" t="s">
        <v>92</v>
      </c>
      <c r="E2546" t="s">
        <v>93</v>
      </c>
      <c r="F2546" t="s">
        <v>94</v>
      </c>
      <c r="G2546" t="s">
        <v>147</v>
      </c>
      <c r="H2546" t="s">
        <v>148</v>
      </c>
      <c r="I2546" t="s">
        <v>37</v>
      </c>
      <c r="J2546" t="s">
        <v>38</v>
      </c>
      <c r="K2546" t="s">
        <v>47</v>
      </c>
      <c r="L2546" t="s">
        <v>48</v>
      </c>
      <c r="M2546" t="s">
        <v>139</v>
      </c>
      <c r="N2546">
        <v>1612</v>
      </c>
      <c r="O2546" s="14">
        <v>0.97878912813030206</v>
      </c>
      <c r="P2546" s="14">
        <v>0.36227229656651599</v>
      </c>
      <c r="Q2546" t="str">
        <f t="shared" si="78"/>
        <v>15-24</v>
      </c>
      <c r="R2546" t="str">
        <f t="shared" si="79"/>
        <v>[umc2n1Z4wNv]|15-24|Male|DIAGNOSED_SUBNAT.T_1|CY2023Q3</v>
      </c>
    </row>
    <row r="2547" spans="4:18" x14ac:dyDescent="0.2">
      <c r="D2547" t="s">
        <v>92</v>
      </c>
      <c r="E2547" t="s">
        <v>93</v>
      </c>
      <c r="F2547" t="s">
        <v>94</v>
      </c>
      <c r="G2547" t="s">
        <v>147</v>
      </c>
      <c r="H2547" t="s">
        <v>148</v>
      </c>
      <c r="I2547" t="s">
        <v>40</v>
      </c>
      <c r="J2547" t="s">
        <v>41</v>
      </c>
      <c r="K2547" t="s">
        <v>47</v>
      </c>
      <c r="L2547" t="s">
        <v>48</v>
      </c>
      <c r="M2547" t="s">
        <v>139</v>
      </c>
      <c r="N2547">
        <v>1282</v>
      </c>
      <c r="O2547" s="14">
        <v>0.81423774454742703</v>
      </c>
      <c r="P2547" s="14">
        <v>0.36227229656651599</v>
      </c>
      <c r="Q2547" t="str">
        <f t="shared" si="78"/>
        <v>25-34</v>
      </c>
      <c r="R2547" t="str">
        <f t="shared" si="79"/>
        <v>[umc2n1Z4wNv]|25-34|Male|DIAGNOSED_SUBNAT.T_1|CY2023Q3</v>
      </c>
    </row>
    <row r="2548" spans="4:18" x14ac:dyDescent="0.2">
      <c r="D2548" t="s">
        <v>92</v>
      </c>
      <c r="E2548" t="s">
        <v>93</v>
      </c>
      <c r="F2548" t="s">
        <v>94</v>
      </c>
      <c r="G2548" t="s">
        <v>147</v>
      </c>
      <c r="H2548" t="s">
        <v>148</v>
      </c>
      <c r="I2548" t="s">
        <v>42</v>
      </c>
      <c r="J2548" t="s">
        <v>43</v>
      </c>
      <c r="K2548" t="s">
        <v>47</v>
      </c>
      <c r="L2548" t="s">
        <v>48</v>
      </c>
      <c r="M2548" t="s">
        <v>139</v>
      </c>
      <c r="N2548">
        <v>1400</v>
      </c>
      <c r="O2548" s="14">
        <v>0.937688576756045</v>
      </c>
      <c r="P2548" s="14">
        <v>0.36227229656651599</v>
      </c>
      <c r="Q2548" t="str">
        <f t="shared" si="78"/>
        <v>35-49</v>
      </c>
      <c r="R2548" t="str">
        <f t="shared" si="79"/>
        <v>[umc2n1Z4wNv]|35-49|Male|DIAGNOSED_SUBNAT.T_1|CY2023Q3</v>
      </c>
    </row>
    <row r="2549" spans="4:18" x14ac:dyDescent="0.2">
      <c r="D2549" t="s">
        <v>92</v>
      </c>
      <c r="E2549" t="s">
        <v>93</v>
      </c>
      <c r="F2549" t="s">
        <v>94</v>
      </c>
      <c r="G2549" t="s">
        <v>147</v>
      </c>
      <c r="H2549" t="s">
        <v>148</v>
      </c>
      <c r="I2549" t="s">
        <v>44</v>
      </c>
      <c r="J2549" t="s">
        <v>45</v>
      </c>
      <c r="K2549" t="s">
        <v>47</v>
      </c>
      <c r="L2549" t="s">
        <v>48</v>
      </c>
      <c r="M2549" t="s">
        <v>139</v>
      </c>
      <c r="N2549">
        <v>1819</v>
      </c>
      <c r="O2549" s="14">
        <v>0.34311432228423699</v>
      </c>
      <c r="P2549" s="14">
        <v>0.36227229656651599</v>
      </c>
      <c r="Q2549" t="str">
        <f t="shared" si="78"/>
        <v>50+</v>
      </c>
      <c r="R2549" t="str">
        <f t="shared" si="79"/>
        <v>[umc2n1Z4wNv]|50+|Male|DIAGNOSED_SUBNAT.T_1|CY2023Q3</v>
      </c>
    </row>
    <row r="2550" spans="4:18" x14ac:dyDescent="0.2">
      <c r="D2550" t="s">
        <v>95</v>
      </c>
      <c r="E2550" t="s">
        <v>96</v>
      </c>
      <c r="F2550" t="s">
        <v>97</v>
      </c>
      <c r="G2550" t="s">
        <v>147</v>
      </c>
      <c r="H2550" t="s">
        <v>148</v>
      </c>
      <c r="I2550" t="s">
        <v>27</v>
      </c>
      <c r="J2550" t="s">
        <v>28</v>
      </c>
      <c r="K2550" t="s">
        <v>29</v>
      </c>
      <c r="L2550" t="s">
        <v>30</v>
      </c>
      <c r="M2550" t="s">
        <v>139</v>
      </c>
      <c r="N2550">
        <v>1651</v>
      </c>
      <c r="O2550" s="14">
        <v>0.899321840843186</v>
      </c>
      <c r="P2550" s="14">
        <v>0.60125171788968101</v>
      </c>
      <c r="Q2550" t="str">
        <f t="shared" si="78"/>
        <v>&lt;01</v>
      </c>
      <c r="R2550" t="str">
        <f t="shared" si="79"/>
        <v>[gwVYinjBAe9]|&lt;01|Female|DIAGNOSED_SUBNAT.T_1|CY2023Q3</v>
      </c>
    </row>
    <row r="2551" spans="4:18" x14ac:dyDescent="0.2">
      <c r="D2551" t="s">
        <v>95</v>
      </c>
      <c r="E2551" t="s">
        <v>96</v>
      </c>
      <c r="F2551" t="s">
        <v>97</v>
      </c>
      <c r="G2551" t="s">
        <v>147</v>
      </c>
      <c r="H2551" t="s">
        <v>148</v>
      </c>
      <c r="I2551" t="s">
        <v>32</v>
      </c>
      <c r="J2551" t="s">
        <v>33</v>
      </c>
      <c r="K2551" t="s">
        <v>29</v>
      </c>
      <c r="L2551" t="s">
        <v>30</v>
      </c>
      <c r="M2551" t="s">
        <v>139</v>
      </c>
      <c r="N2551">
        <v>717</v>
      </c>
      <c r="O2551" s="14">
        <v>0.14628813858143999</v>
      </c>
      <c r="P2551" s="14">
        <v>0.60125171788968101</v>
      </c>
      <c r="Q2551" t="str">
        <f t="shared" si="78"/>
        <v>01-09</v>
      </c>
      <c r="R2551" t="str">
        <f t="shared" si="79"/>
        <v>[gwVYinjBAe9]|01-09|Female|DIAGNOSED_SUBNAT.T_1|CY2023Q3</v>
      </c>
    </row>
    <row r="2552" spans="4:18" x14ac:dyDescent="0.2">
      <c r="D2552" t="s">
        <v>95</v>
      </c>
      <c r="E2552" t="s">
        <v>96</v>
      </c>
      <c r="F2552" t="s">
        <v>97</v>
      </c>
      <c r="G2552" t="s">
        <v>147</v>
      </c>
      <c r="H2552" t="s">
        <v>148</v>
      </c>
      <c r="I2552" t="s">
        <v>35</v>
      </c>
      <c r="J2552" t="s">
        <v>36</v>
      </c>
      <c r="K2552" t="s">
        <v>29</v>
      </c>
      <c r="L2552" t="s">
        <v>30</v>
      </c>
      <c r="M2552" t="s">
        <v>139</v>
      </c>
      <c r="N2552">
        <v>1469</v>
      </c>
      <c r="O2552" s="14">
        <v>0.87795422761701003</v>
      </c>
      <c r="P2552" s="14">
        <v>0.60125171788968101</v>
      </c>
      <c r="Q2552" t="str">
        <f t="shared" si="78"/>
        <v>10-14</v>
      </c>
      <c r="R2552" t="str">
        <f t="shared" si="79"/>
        <v>[gwVYinjBAe9]|10-14|Female|DIAGNOSED_SUBNAT.T_1|CY2023Q3</v>
      </c>
    </row>
    <row r="2553" spans="4:18" x14ac:dyDescent="0.2">
      <c r="D2553" t="s">
        <v>95</v>
      </c>
      <c r="E2553" t="s">
        <v>96</v>
      </c>
      <c r="F2553" t="s">
        <v>97</v>
      </c>
      <c r="G2553" t="s">
        <v>147</v>
      </c>
      <c r="H2553" t="s">
        <v>148</v>
      </c>
      <c r="I2553" t="s">
        <v>37</v>
      </c>
      <c r="J2553" t="s">
        <v>38</v>
      </c>
      <c r="K2553" t="s">
        <v>29</v>
      </c>
      <c r="L2553" t="s">
        <v>30</v>
      </c>
      <c r="M2553" t="s">
        <v>139</v>
      </c>
      <c r="N2553">
        <v>613</v>
      </c>
      <c r="O2553" s="14">
        <v>0.323577796574682</v>
      </c>
      <c r="P2553" s="14">
        <v>0.60125171788968101</v>
      </c>
      <c r="Q2553" t="str">
        <f t="shared" si="78"/>
        <v>15-24</v>
      </c>
      <c r="R2553" t="str">
        <f t="shared" si="79"/>
        <v>[gwVYinjBAe9]|15-24|Female|DIAGNOSED_SUBNAT.T_1|CY2023Q3</v>
      </c>
    </row>
    <row r="2554" spans="4:18" x14ac:dyDescent="0.2">
      <c r="D2554" t="s">
        <v>95</v>
      </c>
      <c r="E2554" t="s">
        <v>96</v>
      </c>
      <c r="F2554" t="s">
        <v>97</v>
      </c>
      <c r="G2554" t="s">
        <v>147</v>
      </c>
      <c r="H2554" t="s">
        <v>148</v>
      </c>
      <c r="I2554" t="s">
        <v>40</v>
      </c>
      <c r="J2554" t="s">
        <v>41</v>
      </c>
      <c r="K2554" t="s">
        <v>29</v>
      </c>
      <c r="L2554" t="s">
        <v>30</v>
      </c>
      <c r="M2554" t="s">
        <v>139</v>
      </c>
      <c r="N2554">
        <v>572</v>
      </c>
      <c r="O2554" s="14">
        <v>0.51639812509529304</v>
      </c>
      <c r="P2554" s="14">
        <v>0.60125171788968101</v>
      </c>
      <c r="Q2554" t="str">
        <f t="shared" si="78"/>
        <v>25-34</v>
      </c>
      <c r="R2554" t="str">
        <f t="shared" si="79"/>
        <v>[gwVYinjBAe9]|25-34|Female|DIAGNOSED_SUBNAT.T_1|CY2023Q3</v>
      </c>
    </row>
    <row r="2555" spans="4:18" x14ac:dyDescent="0.2">
      <c r="D2555" t="s">
        <v>95</v>
      </c>
      <c r="E2555" t="s">
        <v>96</v>
      </c>
      <c r="F2555" t="s">
        <v>97</v>
      </c>
      <c r="G2555" t="s">
        <v>147</v>
      </c>
      <c r="H2555" t="s">
        <v>148</v>
      </c>
      <c r="I2555" t="s">
        <v>42</v>
      </c>
      <c r="J2555" t="s">
        <v>43</v>
      </c>
      <c r="K2555" t="s">
        <v>29</v>
      </c>
      <c r="L2555" t="s">
        <v>30</v>
      </c>
      <c r="M2555" t="s">
        <v>139</v>
      </c>
      <c r="N2555">
        <v>1216</v>
      </c>
      <c r="O2555" s="14">
        <v>0.96989258332177997</v>
      </c>
      <c r="P2555" s="14">
        <v>0.60125171788968101</v>
      </c>
      <c r="Q2555" t="str">
        <f t="shared" si="78"/>
        <v>35-49</v>
      </c>
      <c r="R2555" t="str">
        <f t="shared" si="79"/>
        <v>[gwVYinjBAe9]|35-49|Female|DIAGNOSED_SUBNAT.T_1|CY2023Q3</v>
      </c>
    </row>
    <row r="2556" spans="4:18" x14ac:dyDescent="0.2">
      <c r="D2556" t="s">
        <v>95</v>
      </c>
      <c r="E2556" t="s">
        <v>96</v>
      </c>
      <c r="F2556" t="s">
        <v>97</v>
      </c>
      <c r="G2556" t="s">
        <v>147</v>
      </c>
      <c r="H2556" t="s">
        <v>148</v>
      </c>
      <c r="I2556" t="s">
        <v>44</v>
      </c>
      <c r="J2556" t="s">
        <v>45</v>
      </c>
      <c r="K2556" t="s">
        <v>29</v>
      </c>
      <c r="L2556" t="s">
        <v>30</v>
      </c>
      <c r="M2556" t="s">
        <v>139</v>
      </c>
      <c r="N2556">
        <v>1960</v>
      </c>
      <c r="O2556" s="14">
        <v>0.71936302562244203</v>
      </c>
      <c r="P2556" s="14">
        <v>0.60125171788968101</v>
      </c>
      <c r="Q2556" t="str">
        <f t="shared" si="78"/>
        <v>50+</v>
      </c>
      <c r="R2556" t="str">
        <f t="shared" si="79"/>
        <v>[gwVYinjBAe9]|50+|Female|DIAGNOSED_SUBNAT.T_1|CY2023Q3</v>
      </c>
    </row>
    <row r="2557" spans="4:18" x14ac:dyDescent="0.2">
      <c r="D2557" t="s">
        <v>95</v>
      </c>
      <c r="E2557" t="s">
        <v>96</v>
      </c>
      <c r="F2557" t="s">
        <v>97</v>
      </c>
      <c r="G2557" t="s">
        <v>147</v>
      </c>
      <c r="H2557" t="s">
        <v>148</v>
      </c>
      <c r="I2557" t="s">
        <v>27</v>
      </c>
      <c r="J2557" t="s">
        <v>28</v>
      </c>
      <c r="K2557" t="s">
        <v>47</v>
      </c>
      <c r="L2557" t="s">
        <v>48</v>
      </c>
      <c r="M2557" t="s">
        <v>139</v>
      </c>
      <c r="N2557">
        <v>816</v>
      </c>
      <c r="O2557" s="14">
        <v>0.70173522504046604</v>
      </c>
      <c r="P2557" s="14">
        <v>0.60125171788968101</v>
      </c>
      <c r="Q2557" t="str">
        <f t="shared" si="78"/>
        <v>&lt;01</v>
      </c>
      <c r="R2557" t="str">
        <f t="shared" si="79"/>
        <v>[gwVYinjBAe9]|&lt;01|Male|DIAGNOSED_SUBNAT.T_1|CY2023Q3</v>
      </c>
    </row>
    <row r="2558" spans="4:18" x14ac:dyDescent="0.2">
      <c r="D2558" t="s">
        <v>95</v>
      </c>
      <c r="E2558" t="s">
        <v>96</v>
      </c>
      <c r="F2558" t="s">
        <v>97</v>
      </c>
      <c r="G2558" t="s">
        <v>147</v>
      </c>
      <c r="H2558" t="s">
        <v>148</v>
      </c>
      <c r="I2558" t="s">
        <v>32</v>
      </c>
      <c r="J2558" t="s">
        <v>33</v>
      </c>
      <c r="K2558" t="s">
        <v>47</v>
      </c>
      <c r="L2558" t="s">
        <v>48</v>
      </c>
      <c r="M2558" t="s">
        <v>139</v>
      </c>
      <c r="N2558">
        <v>1850</v>
      </c>
      <c r="O2558" s="14">
        <v>0.64448850182816397</v>
      </c>
      <c r="P2558" s="14">
        <v>0.60125171788968101</v>
      </c>
      <c r="Q2558" t="str">
        <f t="shared" si="78"/>
        <v>01-09</v>
      </c>
      <c r="R2558" t="str">
        <f t="shared" si="79"/>
        <v>[gwVYinjBAe9]|01-09|Male|DIAGNOSED_SUBNAT.T_1|CY2023Q3</v>
      </c>
    </row>
    <row r="2559" spans="4:18" x14ac:dyDescent="0.2">
      <c r="D2559" t="s">
        <v>95</v>
      </c>
      <c r="E2559" t="s">
        <v>96</v>
      </c>
      <c r="F2559" t="s">
        <v>97</v>
      </c>
      <c r="G2559" t="s">
        <v>147</v>
      </c>
      <c r="H2559" t="s">
        <v>148</v>
      </c>
      <c r="I2559" t="s">
        <v>35</v>
      </c>
      <c r="J2559" t="s">
        <v>36</v>
      </c>
      <c r="K2559" t="s">
        <v>47</v>
      </c>
      <c r="L2559" t="s">
        <v>48</v>
      </c>
      <c r="M2559" t="s">
        <v>139</v>
      </c>
      <c r="N2559">
        <v>1294</v>
      </c>
      <c r="O2559" s="14">
        <v>0.44733640993945301</v>
      </c>
      <c r="P2559" s="14">
        <v>0.60125171788968101</v>
      </c>
      <c r="Q2559" t="str">
        <f t="shared" si="78"/>
        <v>10-14</v>
      </c>
      <c r="R2559" t="str">
        <f t="shared" si="79"/>
        <v>[gwVYinjBAe9]|10-14|Male|DIAGNOSED_SUBNAT.T_1|CY2023Q3</v>
      </c>
    </row>
    <row r="2560" spans="4:18" x14ac:dyDescent="0.2">
      <c r="D2560" t="s">
        <v>95</v>
      </c>
      <c r="E2560" t="s">
        <v>96</v>
      </c>
      <c r="F2560" t="s">
        <v>97</v>
      </c>
      <c r="G2560" t="s">
        <v>147</v>
      </c>
      <c r="H2560" t="s">
        <v>148</v>
      </c>
      <c r="I2560" t="s">
        <v>37</v>
      </c>
      <c r="J2560" t="s">
        <v>38</v>
      </c>
      <c r="K2560" t="s">
        <v>47</v>
      </c>
      <c r="L2560" t="s">
        <v>48</v>
      </c>
      <c r="M2560" t="s">
        <v>139</v>
      </c>
      <c r="N2560">
        <v>1096</v>
      </c>
      <c r="O2560" s="14">
        <v>0.67844905680976797</v>
      </c>
      <c r="P2560" s="14">
        <v>0.60125171788968101</v>
      </c>
      <c r="Q2560" t="str">
        <f t="shared" si="78"/>
        <v>15-24</v>
      </c>
      <c r="R2560" t="str">
        <f t="shared" si="79"/>
        <v>[gwVYinjBAe9]|15-24|Male|DIAGNOSED_SUBNAT.T_1|CY2023Q3</v>
      </c>
    </row>
    <row r="2561" spans="4:18" x14ac:dyDescent="0.2">
      <c r="D2561" t="s">
        <v>95</v>
      </c>
      <c r="E2561" t="s">
        <v>96</v>
      </c>
      <c r="F2561" t="s">
        <v>97</v>
      </c>
      <c r="G2561" t="s">
        <v>147</v>
      </c>
      <c r="H2561" t="s">
        <v>148</v>
      </c>
      <c r="I2561" t="s">
        <v>40</v>
      </c>
      <c r="J2561" t="s">
        <v>41</v>
      </c>
      <c r="K2561" t="s">
        <v>47</v>
      </c>
      <c r="L2561" t="s">
        <v>48</v>
      </c>
      <c r="M2561" t="s">
        <v>139</v>
      </c>
      <c r="N2561">
        <v>612</v>
      </c>
      <c r="O2561" s="14">
        <v>0.173881054157391</v>
      </c>
      <c r="P2561" s="14">
        <v>0.60125171788968101</v>
      </c>
      <c r="Q2561" t="str">
        <f t="shared" si="78"/>
        <v>25-34</v>
      </c>
      <c r="R2561" t="str">
        <f t="shared" si="79"/>
        <v>[gwVYinjBAe9]|25-34|Male|DIAGNOSED_SUBNAT.T_1|CY2023Q3</v>
      </c>
    </row>
    <row r="2562" spans="4:18" x14ac:dyDescent="0.2">
      <c r="D2562" t="s">
        <v>95</v>
      </c>
      <c r="E2562" t="s">
        <v>96</v>
      </c>
      <c r="F2562" t="s">
        <v>97</v>
      </c>
      <c r="G2562" t="s">
        <v>147</v>
      </c>
      <c r="H2562" t="s">
        <v>148</v>
      </c>
      <c r="I2562" t="s">
        <v>42</v>
      </c>
      <c r="J2562" t="s">
        <v>43</v>
      </c>
      <c r="K2562" t="s">
        <v>47</v>
      </c>
      <c r="L2562" t="s">
        <v>48</v>
      </c>
      <c r="M2562" t="s">
        <v>139</v>
      </c>
      <c r="N2562">
        <v>1459</v>
      </c>
      <c r="O2562" s="14">
        <v>0.61914052464999303</v>
      </c>
      <c r="P2562" s="14">
        <v>0.60125171788968101</v>
      </c>
      <c r="Q2562" t="str">
        <f t="shared" ref="Q2562:Q2625" si="80">SUBSTITUTE(SUBSTITUTE($I2562,CHAR(61),""),CHAR(34),"")</f>
        <v>35-49</v>
      </c>
      <c r="R2562" t="str">
        <f t="shared" ref="R2562:R2625" si="81">IF($D2562&lt;&gt;"","["&amp;$E2562&amp;"]"&amp;"|"&amp;$Q2562&amp;"|"&amp;$K2562&amp;"|"&amp;$G2562&amp;"|"&amp;IF($G2562="TX_CURR_SUBNAT.R","CY2022Q4",$M2562),"")</f>
        <v>[gwVYinjBAe9]|35-49|Male|DIAGNOSED_SUBNAT.T_1|CY2023Q3</v>
      </c>
    </row>
    <row r="2563" spans="4:18" x14ac:dyDescent="0.2">
      <c r="D2563" t="s">
        <v>95</v>
      </c>
      <c r="E2563" t="s">
        <v>96</v>
      </c>
      <c r="F2563" t="s">
        <v>97</v>
      </c>
      <c r="G2563" t="s">
        <v>147</v>
      </c>
      <c r="H2563" t="s">
        <v>148</v>
      </c>
      <c r="I2563" t="s">
        <v>44</v>
      </c>
      <c r="J2563" t="s">
        <v>45</v>
      </c>
      <c r="K2563" t="s">
        <v>47</v>
      </c>
      <c r="L2563" t="s">
        <v>48</v>
      </c>
      <c r="M2563" t="s">
        <v>139</v>
      </c>
      <c r="N2563">
        <v>1461</v>
      </c>
      <c r="O2563" s="14">
        <v>0.29534024675376702</v>
      </c>
      <c r="P2563" s="14">
        <v>0.60125171788968101</v>
      </c>
      <c r="Q2563" t="str">
        <f t="shared" si="80"/>
        <v>50+</v>
      </c>
      <c r="R2563" t="str">
        <f t="shared" si="81"/>
        <v>[gwVYinjBAe9]|50+|Male|DIAGNOSED_SUBNAT.T_1|CY2023Q3</v>
      </c>
    </row>
    <row r="2564" spans="4:18" x14ac:dyDescent="0.2">
      <c r="D2564" t="s">
        <v>98</v>
      </c>
      <c r="E2564" t="s">
        <v>99</v>
      </c>
      <c r="F2564" t="s">
        <v>100</v>
      </c>
      <c r="G2564" t="s">
        <v>147</v>
      </c>
      <c r="H2564" t="s">
        <v>148</v>
      </c>
      <c r="I2564" t="s">
        <v>27</v>
      </c>
      <c r="J2564" t="s">
        <v>28</v>
      </c>
      <c r="K2564" t="s">
        <v>29</v>
      </c>
      <c r="L2564" t="s">
        <v>30</v>
      </c>
      <c r="M2564" t="s">
        <v>139</v>
      </c>
      <c r="N2564">
        <v>1204</v>
      </c>
      <c r="O2564" s="14">
        <v>0.69298211112618402</v>
      </c>
      <c r="P2564" s="14">
        <v>0.57728803809732199</v>
      </c>
      <c r="Q2564" t="str">
        <f t="shared" si="80"/>
        <v>&lt;01</v>
      </c>
      <c r="R2564" t="str">
        <f t="shared" si="81"/>
        <v>[mxqa3CDFmIT]|&lt;01|Female|DIAGNOSED_SUBNAT.T_1|CY2023Q3</v>
      </c>
    </row>
    <row r="2565" spans="4:18" x14ac:dyDescent="0.2">
      <c r="D2565" t="s">
        <v>98</v>
      </c>
      <c r="E2565" t="s">
        <v>99</v>
      </c>
      <c r="F2565" t="s">
        <v>100</v>
      </c>
      <c r="G2565" t="s">
        <v>147</v>
      </c>
      <c r="H2565" t="s">
        <v>148</v>
      </c>
      <c r="I2565" t="s">
        <v>32</v>
      </c>
      <c r="J2565" t="s">
        <v>33</v>
      </c>
      <c r="K2565" t="s">
        <v>29</v>
      </c>
      <c r="L2565" t="s">
        <v>30</v>
      </c>
      <c r="M2565" t="s">
        <v>139</v>
      </c>
      <c r="N2565">
        <v>1544</v>
      </c>
      <c r="O2565" s="14">
        <v>0.88367691147141203</v>
      </c>
      <c r="P2565" s="14">
        <v>0.57728803809732199</v>
      </c>
      <c r="Q2565" t="str">
        <f t="shared" si="80"/>
        <v>01-09</v>
      </c>
      <c r="R2565" t="str">
        <f t="shared" si="81"/>
        <v>[mxqa3CDFmIT]|01-09|Female|DIAGNOSED_SUBNAT.T_1|CY2023Q3</v>
      </c>
    </row>
    <row r="2566" spans="4:18" x14ac:dyDescent="0.2">
      <c r="D2566" t="s">
        <v>98</v>
      </c>
      <c r="E2566" t="s">
        <v>99</v>
      </c>
      <c r="F2566" t="s">
        <v>100</v>
      </c>
      <c r="G2566" t="s">
        <v>147</v>
      </c>
      <c r="H2566" t="s">
        <v>148</v>
      </c>
      <c r="I2566" t="s">
        <v>35</v>
      </c>
      <c r="J2566" t="s">
        <v>36</v>
      </c>
      <c r="K2566" t="s">
        <v>29</v>
      </c>
      <c r="L2566" t="s">
        <v>30</v>
      </c>
      <c r="M2566" t="s">
        <v>139</v>
      </c>
      <c r="N2566">
        <v>918</v>
      </c>
      <c r="O2566" s="14">
        <v>0.10165659408085</v>
      </c>
      <c r="P2566" s="14">
        <v>0.57728803809732199</v>
      </c>
      <c r="Q2566" t="str">
        <f t="shared" si="80"/>
        <v>10-14</v>
      </c>
      <c r="R2566" t="str">
        <f t="shared" si="81"/>
        <v>[mxqa3CDFmIT]|10-14|Female|DIAGNOSED_SUBNAT.T_1|CY2023Q3</v>
      </c>
    </row>
    <row r="2567" spans="4:18" x14ac:dyDescent="0.2">
      <c r="D2567" t="s">
        <v>98</v>
      </c>
      <c r="E2567" t="s">
        <v>99</v>
      </c>
      <c r="F2567" t="s">
        <v>100</v>
      </c>
      <c r="G2567" t="s">
        <v>147</v>
      </c>
      <c r="H2567" t="s">
        <v>148</v>
      </c>
      <c r="I2567" t="s">
        <v>37</v>
      </c>
      <c r="J2567" t="s">
        <v>38</v>
      </c>
      <c r="K2567" t="s">
        <v>29</v>
      </c>
      <c r="L2567" t="s">
        <v>30</v>
      </c>
      <c r="M2567" t="s">
        <v>139</v>
      </c>
      <c r="N2567">
        <v>1140</v>
      </c>
      <c r="O2567" s="14">
        <v>5.7166779646649998E-2</v>
      </c>
      <c r="P2567" s="14">
        <v>0.57728803809732199</v>
      </c>
      <c r="Q2567" t="str">
        <f t="shared" si="80"/>
        <v>15-24</v>
      </c>
      <c r="R2567" t="str">
        <f t="shared" si="81"/>
        <v>[mxqa3CDFmIT]|15-24|Female|DIAGNOSED_SUBNAT.T_1|CY2023Q3</v>
      </c>
    </row>
    <row r="2568" spans="4:18" x14ac:dyDescent="0.2">
      <c r="D2568" t="s">
        <v>98</v>
      </c>
      <c r="E2568" t="s">
        <v>99</v>
      </c>
      <c r="F2568" t="s">
        <v>100</v>
      </c>
      <c r="G2568" t="s">
        <v>147</v>
      </c>
      <c r="H2568" t="s">
        <v>148</v>
      </c>
      <c r="I2568" t="s">
        <v>40</v>
      </c>
      <c r="J2568" t="s">
        <v>41</v>
      </c>
      <c r="K2568" t="s">
        <v>29</v>
      </c>
      <c r="L2568" t="s">
        <v>30</v>
      </c>
      <c r="M2568" t="s">
        <v>139</v>
      </c>
      <c r="N2568">
        <v>1464</v>
      </c>
      <c r="O2568" s="14">
        <v>0.1536986741703</v>
      </c>
      <c r="P2568" s="14">
        <v>0.57728803809732199</v>
      </c>
      <c r="Q2568" t="str">
        <f t="shared" si="80"/>
        <v>25-34</v>
      </c>
      <c r="R2568" t="str">
        <f t="shared" si="81"/>
        <v>[mxqa3CDFmIT]|25-34|Female|DIAGNOSED_SUBNAT.T_1|CY2023Q3</v>
      </c>
    </row>
    <row r="2569" spans="4:18" x14ac:dyDescent="0.2">
      <c r="D2569" t="s">
        <v>98</v>
      </c>
      <c r="E2569" t="s">
        <v>99</v>
      </c>
      <c r="F2569" t="s">
        <v>100</v>
      </c>
      <c r="G2569" t="s">
        <v>147</v>
      </c>
      <c r="H2569" t="s">
        <v>148</v>
      </c>
      <c r="I2569" t="s">
        <v>42</v>
      </c>
      <c r="J2569" t="s">
        <v>43</v>
      </c>
      <c r="K2569" t="s">
        <v>29</v>
      </c>
      <c r="L2569" t="s">
        <v>30</v>
      </c>
      <c r="M2569" t="s">
        <v>139</v>
      </c>
      <c r="N2569">
        <v>1023</v>
      </c>
      <c r="O2569" s="14">
        <v>4.0802780771628001E-2</v>
      </c>
      <c r="P2569" s="14">
        <v>0.57728803809732199</v>
      </c>
      <c r="Q2569" t="str">
        <f t="shared" si="80"/>
        <v>35-49</v>
      </c>
      <c r="R2569" t="str">
        <f t="shared" si="81"/>
        <v>[mxqa3CDFmIT]|35-49|Female|DIAGNOSED_SUBNAT.T_1|CY2023Q3</v>
      </c>
    </row>
    <row r="2570" spans="4:18" x14ac:dyDescent="0.2">
      <c r="D2570" t="s">
        <v>98</v>
      </c>
      <c r="E2570" t="s">
        <v>99</v>
      </c>
      <c r="F2570" t="s">
        <v>100</v>
      </c>
      <c r="G2570" t="s">
        <v>147</v>
      </c>
      <c r="H2570" t="s">
        <v>148</v>
      </c>
      <c r="I2570" t="s">
        <v>44</v>
      </c>
      <c r="J2570" t="s">
        <v>45</v>
      </c>
      <c r="K2570" t="s">
        <v>29</v>
      </c>
      <c r="L2570" t="s">
        <v>30</v>
      </c>
      <c r="M2570" t="s">
        <v>139</v>
      </c>
      <c r="N2570">
        <v>1305</v>
      </c>
      <c r="O2570" s="14">
        <v>3.8451660890132203E-2</v>
      </c>
      <c r="P2570" s="14">
        <v>0.57728803809732199</v>
      </c>
      <c r="Q2570" t="str">
        <f t="shared" si="80"/>
        <v>50+</v>
      </c>
      <c r="R2570" t="str">
        <f t="shared" si="81"/>
        <v>[mxqa3CDFmIT]|50+|Female|DIAGNOSED_SUBNAT.T_1|CY2023Q3</v>
      </c>
    </row>
    <row r="2571" spans="4:18" x14ac:dyDescent="0.2">
      <c r="D2571" t="s">
        <v>98</v>
      </c>
      <c r="E2571" t="s">
        <v>99</v>
      </c>
      <c r="F2571" t="s">
        <v>100</v>
      </c>
      <c r="G2571" t="s">
        <v>147</v>
      </c>
      <c r="H2571" t="s">
        <v>148</v>
      </c>
      <c r="I2571" t="s">
        <v>27</v>
      </c>
      <c r="J2571" t="s">
        <v>28</v>
      </c>
      <c r="K2571" t="s">
        <v>47</v>
      </c>
      <c r="L2571" t="s">
        <v>48</v>
      </c>
      <c r="M2571" t="s">
        <v>139</v>
      </c>
      <c r="N2571">
        <v>531</v>
      </c>
      <c r="O2571" s="14">
        <v>0.31659961817786098</v>
      </c>
      <c r="P2571" s="14">
        <v>0.57728803809732199</v>
      </c>
      <c r="Q2571" t="str">
        <f t="shared" si="80"/>
        <v>&lt;01</v>
      </c>
      <c r="R2571" t="str">
        <f t="shared" si="81"/>
        <v>[mxqa3CDFmIT]|&lt;01|Male|DIAGNOSED_SUBNAT.T_1|CY2023Q3</v>
      </c>
    </row>
    <row r="2572" spans="4:18" x14ac:dyDescent="0.2">
      <c r="D2572" t="s">
        <v>98</v>
      </c>
      <c r="E2572" t="s">
        <v>99</v>
      </c>
      <c r="F2572" t="s">
        <v>100</v>
      </c>
      <c r="G2572" t="s">
        <v>147</v>
      </c>
      <c r="H2572" t="s">
        <v>148</v>
      </c>
      <c r="I2572" t="s">
        <v>32</v>
      </c>
      <c r="J2572" t="s">
        <v>33</v>
      </c>
      <c r="K2572" t="s">
        <v>47</v>
      </c>
      <c r="L2572" t="s">
        <v>48</v>
      </c>
      <c r="M2572" t="s">
        <v>139</v>
      </c>
      <c r="N2572">
        <v>1314</v>
      </c>
      <c r="O2572" s="14">
        <v>0.7452613778878</v>
      </c>
      <c r="P2572" s="14">
        <v>0.57728803809732199</v>
      </c>
      <c r="Q2572" t="str">
        <f t="shared" si="80"/>
        <v>01-09</v>
      </c>
      <c r="R2572" t="str">
        <f t="shared" si="81"/>
        <v>[mxqa3CDFmIT]|01-09|Male|DIAGNOSED_SUBNAT.T_1|CY2023Q3</v>
      </c>
    </row>
    <row r="2573" spans="4:18" x14ac:dyDescent="0.2">
      <c r="D2573" t="s">
        <v>98</v>
      </c>
      <c r="E2573" t="s">
        <v>99</v>
      </c>
      <c r="F2573" t="s">
        <v>100</v>
      </c>
      <c r="G2573" t="s">
        <v>147</v>
      </c>
      <c r="H2573" t="s">
        <v>148</v>
      </c>
      <c r="I2573" t="s">
        <v>35</v>
      </c>
      <c r="J2573" t="s">
        <v>36</v>
      </c>
      <c r="K2573" t="s">
        <v>47</v>
      </c>
      <c r="L2573" t="s">
        <v>48</v>
      </c>
      <c r="M2573" t="s">
        <v>139</v>
      </c>
      <c r="N2573">
        <v>786</v>
      </c>
      <c r="O2573" s="14">
        <v>0.22462689480744299</v>
      </c>
      <c r="P2573" s="14">
        <v>0.57728803809732199</v>
      </c>
      <c r="Q2573" t="str">
        <f t="shared" si="80"/>
        <v>10-14</v>
      </c>
      <c r="R2573" t="str">
        <f t="shared" si="81"/>
        <v>[mxqa3CDFmIT]|10-14|Male|DIAGNOSED_SUBNAT.T_1|CY2023Q3</v>
      </c>
    </row>
    <row r="2574" spans="4:18" x14ac:dyDescent="0.2">
      <c r="D2574" t="s">
        <v>98</v>
      </c>
      <c r="E2574" t="s">
        <v>99</v>
      </c>
      <c r="F2574" t="s">
        <v>100</v>
      </c>
      <c r="G2574" t="s">
        <v>147</v>
      </c>
      <c r="H2574" t="s">
        <v>148</v>
      </c>
      <c r="I2574" t="s">
        <v>37</v>
      </c>
      <c r="J2574" t="s">
        <v>38</v>
      </c>
      <c r="K2574" t="s">
        <v>47</v>
      </c>
      <c r="L2574" t="s">
        <v>48</v>
      </c>
      <c r="M2574" t="s">
        <v>139</v>
      </c>
      <c r="N2574">
        <v>634</v>
      </c>
      <c r="O2574" s="14">
        <v>0.153767752461135</v>
      </c>
      <c r="P2574" s="14">
        <v>0.57728803809732199</v>
      </c>
      <c r="Q2574" t="str">
        <f t="shared" si="80"/>
        <v>15-24</v>
      </c>
      <c r="R2574" t="str">
        <f t="shared" si="81"/>
        <v>[mxqa3CDFmIT]|15-24|Male|DIAGNOSED_SUBNAT.T_1|CY2023Q3</v>
      </c>
    </row>
    <row r="2575" spans="4:18" x14ac:dyDescent="0.2">
      <c r="D2575" t="s">
        <v>98</v>
      </c>
      <c r="E2575" t="s">
        <v>99</v>
      </c>
      <c r="F2575" t="s">
        <v>100</v>
      </c>
      <c r="G2575" t="s">
        <v>147</v>
      </c>
      <c r="H2575" t="s">
        <v>148</v>
      </c>
      <c r="I2575" t="s">
        <v>40</v>
      </c>
      <c r="J2575" t="s">
        <v>41</v>
      </c>
      <c r="K2575" t="s">
        <v>47</v>
      </c>
      <c r="L2575" t="s">
        <v>48</v>
      </c>
      <c r="M2575" t="s">
        <v>139</v>
      </c>
      <c r="N2575">
        <v>835</v>
      </c>
      <c r="O2575" s="14">
        <v>0.24715181440115</v>
      </c>
      <c r="P2575" s="14">
        <v>0.57728803809732199</v>
      </c>
      <c r="Q2575" t="str">
        <f t="shared" si="80"/>
        <v>25-34</v>
      </c>
      <c r="R2575" t="str">
        <f t="shared" si="81"/>
        <v>[mxqa3CDFmIT]|25-34|Male|DIAGNOSED_SUBNAT.T_1|CY2023Q3</v>
      </c>
    </row>
    <row r="2576" spans="4:18" x14ac:dyDescent="0.2">
      <c r="D2576" t="s">
        <v>98</v>
      </c>
      <c r="E2576" t="s">
        <v>99</v>
      </c>
      <c r="F2576" t="s">
        <v>100</v>
      </c>
      <c r="G2576" t="s">
        <v>147</v>
      </c>
      <c r="H2576" t="s">
        <v>148</v>
      </c>
      <c r="I2576" t="s">
        <v>42</v>
      </c>
      <c r="J2576" t="s">
        <v>43</v>
      </c>
      <c r="K2576" t="s">
        <v>47</v>
      </c>
      <c r="L2576" t="s">
        <v>48</v>
      </c>
      <c r="M2576" t="s">
        <v>139</v>
      </c>
      <c r="N2576">
        <v>1615</v>
      </c>
      <c r="O2576" s="14">
        <v>2.8137859422713501E-2</v>
      </c>
      <c r="P2576" s="14">
        <v>0.57728803809732199</v>
      </c>
      <c r="Q2576" t="str">
        <f t="shared" si="80"/>
        <v>35-49</v>
      </c>
      <c r="R2576" t="str">
        <f t="shared" si="81"/>
        <v>[mxqa3CDFmIT]|35-49|Male|DIAGNOSED_SUBNAT.T_1|CY2023Q3</v>
      </c>
    </row>
    <row r="2577" spans="4:18" x14ac:dyDescent="0.2">
      <c r="D2577" t="s">
        <v>98</v>
      </c>
      <c r="E2577" t="s">
        <v>99</v>
      </c>
      <c r="F2577" t="s">
        <v>100</v>
      </c>
      <c r="G2577" t="s">
        <v>147</v>
      </c>
      <c r="H2577" t="s">
        <v>148</v>
      </c>
      <c r="I2577" t="s">
        <v>44</v>
      </c>
      <c r="J2577" t="s">
        <v>45</v>
      </c>
      <c r="K2577" t="s">
        <v>47</v>
      </c>
      <c r="L2577" t="s">
        <v>48</v>
      </c>
      <c r="M2577" t="s">
        <v>139</v>
      </c>
      <c r="N2577">
        <v>1038</v>
      </c>
      <c r="O2577" s="14">
        <v>0.80615107971243605</v>
      </c>
      <c r="P2577" s="14">
        <v>0.57728803809732199</v>
      </c>
      <c r="Q2577" t="str">
        <f t="shared" si="80"/>
        <v>50+</v>
      </c>
      <c r="R2577" t="str">
        <f t="shared" si="81"/>
        <v>[mxqa3CDFmIT]|50+|Male|DIAGNOSED_SUBNAT.T_1|CY2023Q3</v>
      </c>
    </row>
    <row r="2578" spans="4:18" x14ac:dyDescent="0.2">
      <c r="D2578" t="s">
        <v>101</v>
      </c>
      <c r="E2578" t="s">
        <v>102</v>
      </c>
      <c r="F2578" t="s">
        <v>103</v>
      </c>
      <c r="G2578" t="s">
        <v>147</v>
      </c>
      <c r="H2578" t="s">
        <v>148</v>
      </c>
      <c r="I2578" t="s">
        <v>27</v>
      </c>
      <c r="J2578" t="s">
        <v>28</v>
      </c>
      <c r="K2578" t="s">
        <v>29</v>
      </c>
      <c r="L2578" t="s">
        <v>30</v>
      </c>
      <c r="M2578" t="s">
        <v>139</v>
      </c>
      <c r="N2578">
        <v>1103</v>
      </c>
      <c r="O2578" s="14">
        <v>0.63284480292350098</v>
      </c>
      <c r="P2578" s="14">
        <v>0.52621235931292198</v>
      </c>
      <c r="Q2578" t="str">
        <f t="shared" si="80"/>
        <v>&lt;01</v>
      </c>
      <c r="R2578" t="str">
        <f t="shared" si="81"/>
        <v>[wNqJp8oRIcF]|&lt;01|Female|DIAGNOSED_SUBNAT.T_1|CY2023Q3</v>
      </c>
    </row>
    <row r="2579" spans="4:18" x14ac:dyDescent="0.2">
      <c r="D2579" t="s">
        <v>101</v>
      </c>
      <c r="E2579" t="s">
        <v>102</v>
      </c>
      <c r="F2579" t="s">
        <v>103</v>
      </c>
      <c r="G2579" t="s">
        <v>147</v>
      </c>
      <c r="H2579" t="s">
        <v>148</v>
      </c>
      <c r="I2579" t="s">
        <v>32</v>
      </c>
      <c r="J2579" t="s">
        <v>33</v>
      </c>
      <c r="K2579" t="s">
        <v>29</v>
      </c>
      <c r="L2579" t="s">
        <v>30</v>
      </c>
      <c r="M2579" t="s">
        <v>139</v>
      </c>
      <c r="N2579">
        <v>1954</v>
      </c>
      <c r="O2579" s="14">
        <v>0.99559101741761002</v>
      </c>
      <c r="P2579" s="14">
        <v>0.52621235931292198</v>
      </c>
      <c r="Q2579" t="str">
        <f t="shared" si="80"/>
        <v>01-09</v>
      </c>
      <c r="R2579" t="str">
        <f t="shared" si="81"/>
        <v>[wNqJp8oRIcF]|01-09|Female|DIAGNOSED_SUBNAT.T_1|CY2023Q3</v>
      </c>
    </row>
    <row r="2580" spans="4:18" x14ac:dyDescent="0.2">
      <c r="D2580" t="s">
        <v>101</v>
      </c>
      <c r="E2580" t="s">
        <v>102</v>
      </c>
      <c r="F2580" t="s">
        <v>103</v>
      </c>
      <c r="G2580" t="s">
        <v>147</v>
      </c>
      <c r="H2580" t="s">
        <v>148</v>
      </c>
      <c r="I2580" t="s">
        <v>35</v>
      </c>
      <c r="J2580" t="s">
        <v>36</v>
      </c>
      <c r="K2580" t="s">
        <v>29</v>
      </c>
      <c r="L2580" t="s">
        <v>30</v>
      </c>
      <c r="M2580" t="s">
        <v>139</v>
      </c>
      <c r="N2580">
        <v>1386</v>
      </c>
      <c r="O2580" s="14">
        <v>0.97495721187442497</v>
      </c>
      <c r="P2580" s="14">
        <v>0.52621235931292198</v>
      </c>
      <c r="Q2580" t="str">
        <f t="shared" si="80"/>
        <v>10-14</v>
      </c>
      <c r="R2580" t="str">
        <f t="shared" si="81"/>
        <v>[wNqJp8oRIcF]|10-14|Female|DIAGNOSED_SUBNAT.T_1|CY2023Q3</v>
      </c>
    </row>
    <row r="2581" spans="4:18" x14ac:dyDescent="0.2">
      <c r="D2581" t="s">
        <v>101</v>
      </c>
      <c r="E2581" t="s">
        <v>102</v>
      </c>
      <c r="F2581" t="s">
        <v>103</v>
      </c>
      <c r="G2581" t="s">
        <v>147</v>
      </c>
      <c r="H2581" t="s">
        <v>148</v>
      </c>
      <c r="I2581" t="s">
        <v>37</v>
      </c>
      <c r="J2581" t="s">
        <v>38</v>
      </c>
      <c r="K2581" t="s">
        <v>29</v>
      </c>
      <c r="L2581" t="s">
        <v>30</v>
      </c>
      <c r="M2581" t="s">
        <v>139</v>
      </c>
      <c r="N2581">
        <v>1131</v>
      </c>
      <c r="O2581" s="14">
        <v>0.51701218262314796</v>
      </c>
      <c r="P2581" s="14">
        <v>0.52621235931292198</v>
      </c>
      <c r="Q2581" t="str">
        <f t="shared" si="80"/>
        <v>15-24</v>
      </c>
      <c r="R2581" t="str">
        <f t="shared" si="81"/>
        <v>[wNqJp8oRIcF]|15-24|Female|DIAGNOSED_SUBNAT.T_1|CY2023Q3</v>
      </c>
    </row>
    <row r="2582" spans="4:18" x14ac:dyDescent="0.2">
      <c r="D2582" t="s">
        <v>101</v>
      </c>
      <c r="E2582" t="s">
        <v>102</v>
      </c>
      <c r="F2582" t="s">
        <v>103</v>
      </c>
      <c r="G2582" t="s">
        <v>147</v>
      </c>
      <c r="H2582" t="s">
        <v>148</v>
      </c>
      <c r="I2582" t="s">
        <v>40</v>
      </c>
      <c r="J2582" t="s">
        <v>41</v>
      </c>
      <c r="K2582" t="s">
        <v>29</v>
      </c>
      <c r="L2582" t="s">
        <v>30</v>
      </c>
      <c r="M2582" t="s">
        <v>139</v>
      </c>
      <c r="N2582">
        <v>1022</v>
      </c>
      <c r="O2582" s="14">
        <v>0.23156191594898701</v>
      </c>
      <c r="P2582" s="14">
        <v>0.52621235931292198</v>
      </c>
      <c r="Q2582" t="str">
        <f t="shared" si="80"/>
        <v>25-34</v>
      </c>
      <c r="R2582" t="str">
        <f t="shared" si="81"/>
        <v>[wNqJp8oRIcF]|25-34|Female|DIAGNOSED_SUBNAT.T_1|CY2023Q3</v>
      </c>
    </row>
    <row r="2583" spans="4:18" x14ac:dyDescent="0.2">
      <c r="D2583" t="s">
        <v>101</v>
      </c>
      <c r="E2583" t="s">
        <v>102</v>
      </c>
      <c r="F2583" t="s">
        <v>103</v>
      </c>
      <c r="G2583" t="s">
        <v>147</v>
      </c>
      <c r="H2583" t="s">
        <v>148</v>
      </c>
      <c r="I2583" t="s">
        <v>42</v>
      </c>
      <c r="J2583" t="s">
        <v>43</v>
      </c>
      <c r="K2583" t="s">
        <v>29</v>
      </c>
      <c r="L2583" t="s">
        <v>30</v>
      </c>
      <c r="M2583" t="s">
        <v>139</v>
      </c>
      <c r="N2583">
        <v>1369</v>
      </c>
      <c r="O2583" s="14">
        <v>0.58157819556072399</v>
      </c>
      <c r="P2583" s="14">
        <v>0.52621235931292198</v>
      </c>
      <c r="Q2583" t="str">
        <f t="shared" si="80"/>
        <v>35-49</v>
      </c>
      <c r="R2583" t="str">
        <f t="shared" si="81"/>
        <v>[wNqJp8oRIcF]|35-49|Female|DIAGNOSED_SUBNAT.T_1|CY2023Q3</v>
      </c>
    </row>
    <row r="2584" spans="4:18" x14ac:dyDescent="0.2">
      <c r="D2584" t="s">
        <v>101</v>
      </c>
      <c r="E2584" t="s">
        <v>102</v>
      </c>
      <c r="F2584" t="s">
        <v>103</v>
      </c>
      <c r="G2584" t="s">
        <v>147</v>
      </c>
      <c r="H2584" t="s">
        <v>148</v>
      </c>
      <c r="I2584" t="s">
        <v>44</v>
      </c>
      <c r="J2584" t="s">
        <v>45</v>
      </c>
      <c r="K2584" t="s">
        <v>29</v>
      </c>
      <c r="L2584" t="s">
        <v>30</v>
      </c>
      <c r="M2584" t="s">
        <v>139</v>
      </c>
      <c r="N2584">
        <v>1646</v>
      </c>
      <c r="O2584" s="14">
        <v>0.34397524641826699</v>
      </c>
      <c r="P2584" s="14">
        <v>0.52621235931292198</v>
      </c>
      <c r="Q2584" t="str">
        <f t="shared" si="80"/>
        <v>50+</v>
      </c>
      <c r="R2584" t="str">
        <f t="shared" si="81"/>
        <v>[wNqJp8oRIcF]|50+|Female|DIAGNOSED_SUBNAT.T_1|CY2023Q3</v>
      </c>
    </row>
    <row r="2585" spans="4:18" x14ac:dyDescent="0.2">
      <c r="D2585" t="s">
        <v>101</v>
      </c>
      <c r="E2585" t="s">
        <v>102</v>
      </c>
      <c r="F2585" t="s">
        <v>103</v>
      </c>
      <c r="G2585" t="s">
        <v>147</v>
      </c>
      <c r="H2585" t="s">
        <v>148</v>
      </c>
      <c r="I2585" t="s">
        <v>27</v>
      </c>
      <c r="J2585" t="s">
        <v>28</v>
      </c>
      <c r="K2585" t="s">
        <v>47</v>
      </c>
      <c r="L2585" t="s">
        <v>48</v>
      </c>
      <c r="M2585" t="s">
        <v>139</v>
      </c>
      <c r="N2585">
        <v>1925</v>
      </c>
      <c r="O2585" s="14">
        <v>0.34607559139840299</v>
      </c>
      <c r="P2585" s="14">
        <v>0.52621235931292198</v>
      </c>
      <c r="Q2585" t="str">
        <f t="shared" si="80"/>
        <v>&lt;01</v>
      </c>
      <c r="R2585" t="str">
        <f t="shared" si="81"/>
        <v>[wNqJp8oRIcF]|&lt;01|Male|DIAGNOSED_SUBNAT.T_1|CY2023Q3</v>
      </c>
    </row>
    <row r="2586" spans="4:18" x14ac:dyDescent="0.2">
      <c r="D2586" t="s">
        <v>101</v>
      </c>
      <c r="E2586" t="s">
        <v>102</v>
      </c>
      <c r="F2586" t="s">
        <v>103</v>
      </c>
      <c r="G2586" t="s">
        <v>147</v>
      </c>
      <c r="H2586" t="s">
        <v>148</v>
      </c>
      <c r="I2586" t="s">
        <v>32</v>
      </c>
      <c r="J2586" t="s">
        <v>33</v>
      </c>
      <c r="K2586" t="s">
        <v>47</v>
      </c>
      <c r="L2586" t="s">
        <v>48</v>
      </c>
      <c r="M2586" t="s">
        <v>139</v>
      </c>
      <c r="N2586">
        <v>834</v>
      </c>
      <c r="O2586" s="14">
        <v>4.9783030757680501E-2</v>
      </c>
      <c r="P2586" s="14">
        <v>0.52621235931292198</v>
      </c>
      <c r="Q2586" t="str">
        <f t="shared" si="80"/>
        <v>01-09</v>
      </c>
      <c r="R2586" t="str">
        <f t="shared" si="81"/>
        <v>[wNqJp8oRIcF]|01-09|Male|DIAGNOSED_SUBNAT.T_1|CY2023Q3</v>
      </c>
    </row>
    <row r="2587" spans="4:18" x14ac:dyDescent="0.2">
      <c r="D2587" t="s">
        <v>101</v>
      </c>
      <c r="E2587" t="s">
        <v>102</v>
      </c>
      <c r="F2587" t="s">
        <v>103</v>
      </c>
      <c r="G2587" t="s">
        <v>147</v>
      </c>
      <c r="H2587" t="s">
        <v>148</v>
      </c>
      <c r="I2587" t="s">
        <v>35</v>
      </c>
      <c r="J2587" t="s">
        <v>36</v>
      </c>
      <c r="K2587" t="s">
        <v>47</v>
      </c>
      <c r="L2587" t="s">
        <v>48</v>
      </c>
      <c r="M2587" t="s">
        <v>139</v>
      </c>
      <c r="N2587">
        <v>1744</v>
      </c>
      <c r="O2587" s="14">
        <v>0.42354059475474098</v>
      </c>
      <c r="P2587" s="14">
        <v>0.52621235931292198</v>
      </c>
      <c r="Q2587" t="str">
        <f t="shared" si="80"/>
        <v>10-14</v>
      </c>
      <c r="R2587" t="str">
        <f t="shared" si="81"/>
        <v>[wNqJp8oRIcF]|10-14|Male|DIAGNOSED_SUBNAT.T_1|CY2023Q3</v>
      </c>
    </row>
    <row r="2588" spans="4:18" x14ac:dyDescent="0.2">
      <c r="D2588" t="s">
        <v>101</v>
      </c>
      <c r="E2588" t="s">
        <v>102</v>
      </c>
      <c r="F2588" t="s">
        <v>103</v>
      </c>
      <c r="G2588" t="s">
        <v>147</v>
      </c>
      <c r="H2588" t="s">
        <v>148</v>
      </c>
      <c r="I2588" t="s">
        <v>37</v>
      </c>
      <c r="J2588" t="s">
        <v>38</v>
      </c>
      <c r="K2588" t="s">
        <v>47</v>
      </c>
      <c r="L2588" t="s">
        <v>48</v>
      </c>
      <c r="M2588" t="s">
        <v>139</v>
      </c>
      <c r="N2588">
        <v>770</v>
      </c>
      <c r="O2588" s="14">
        <v>0.88889007829129696</v>
      </c>
      <c r="P2588" s="14">
        <v>0.52621235931292198</v>
      </c>
      <c r="Q2588" t="str">
        <f t="shared" si="80"/>
        <v>15-24</v>
      </c>
      <c r="R2588" t="str">
        <f t="shared" si="81"/>
        <v>[wNqJp8oRIcF]|15-24|Male|DIAGNOSED_SUBNAT.T_1|CY2023Q3</v>
      </c>
    </row>
    <row r="2589" spans="4:18" x14ac:dyDescent="0.2">
      <c r="D2589" t="s">
        <v>101</v>
      </c>
      <c r="E2589" t="s">
        <v>102</v>
      </c>
      <c r="F2589" t="s">
        <v>103</v>
      </c>
      <c r="G2589" t="s">
        <v>147</v>
      </c>
      <c r="H2589" t="s">
        <v>148</v>
      </c>
      <c r="I2589" t="s">
        <v>40</v>
      </c>
      <c r="J2589" t="s">
        <v>41</v>
      </c>
      <c r="K2589" t="s">
        <v>47</v>
      </c>
      <c r="L2589" t="s">
        <v>48</v>
      </c>
      <c r="M2589" t="s">
        <v>139</v>
      </c>
      <c r="N2589">
        <v>788</v>
      </c>
      <c r="O2589" s="14">
        <v>0.60938570601865605</v>
      </c>
      <c r="P2589" s="14">
        <v>0.52621235931292198</v>
      </c>
      <c r="Q2589" t="str">
        <f t="shared" si="80"/>
        <v>25-34</v>
      </c>
      <c r="R2589" t="str">
        <f t="shared" si="81"/>
        <v>[wNqJp8oRIcF]|25-34|Male|DIAGNOSED_SUBNAT.T_1|CY2023Q3</v>
      </c>
    </row>
    <row r="2590" spans="4:18" x14ac:dyDescent="0.2">
      <c r="D2590" t="s">
        <v>101</v>
      </c>
      <c r="E2590" t="s">
        <v>102</v>
      </c>
      <c r="F2590" t="s">
        <v>103</v>
      </c>
      <c r="G2590" t="s">
        <v>147</v>
      </c>
      <c r="H2590" t="s">
        <v>148</v>
      </c>
      <c r="I2590" t="s">
        <v>42</v>
      </c>
      <c r="J2590" t="s">
        <v>43</v>
      </c>
      <c r="K2590" t="s">
        <v>47</v>
      </c>
      <c r="L2590" t="s">
        <v>48</v>
      </c>
      <c r="M2590" t="s">
        <v>139</v>
      </c>
      <c r="N2590">
        <v>1875</v>
      </c>
      <c r="O2590" s="14">
        <v>0.56564732454717204</v>
      </c>
      <c r="P2590" s="14">
        <v>0.52621235931292198</v>
      </c>
      <c r="Q2590" t="str">
        <f t="shared" si="80"/>
        <v>35-49</v>
      </c>
      <c r="R2590" t="str">
        <f t="shared" si="81"/>
        <v>[wNqJp8oRIcF]|35-49|Male|DIAGNOSED_SUBNAT.T_1|CY2023Q3</v>
      </c>
    </row>
    <row r="2591" spans="4:18" x14ac:dyDescent="0.2">
      <c r="D2591" t="s">
        <v>101</v>
      </c>
      <c r="E2591" t="s">
        <v>102</v>
      </c>
      <c r="F2591" t="s">
        <v>103</v>
      </c>
      <c r="G2591" t="s">
        <v>147</v>
      </c>
      <c r="H2591" t="s">
        <v>148</v>
      </c>
      <c r="I2591" t="s">
        <v>44</v>
      </c>
      <c r="J2591" t="s">
        <v>45</v>
      </c>
      <c r="K2591" t="s">
        <v>47</v>
      </c>
      <c r="L2591" t="s">
        <v>48</v>
      </c>
      <c r="M2591" t="s">
        <v>139</v>
      </c>
      <c r="N2591">
        <v>761</v>
      </c>
      <c r="O2591" s="14">
        <v>0.69240775285288703</v>
      </c>
      <c r="P2591" s="14">
        <v>0.52621235931292198</v>
      </c>
      <c r="Q2591" t="str">
        <f t="shared" si="80"/>
        <v>50+</v>
      </c>
      <c r="R2591" t="str">
        <f t="shared" si="81"/>
        <v>[wNqJp8oRIcF]|50+|Male|DIAGNOSED_SUBNAT.T_1|CY2023Q3</v>
      </c>
    </row>
    <row r="2592" spans="4:18" x14ac:dyDescent="0.2">
      <c r="D2592" t="s">
        <v>104</v>
      </c>
      <c r="E2592" t="s">
        <v>105</v>
      </c>
      <c r="F2592" t="s">
        <v>106</v>
      </c>
      <c r="G2592" t="s">
        <v>147</v>
      </c>
      <c r="H2592" t="s">
        <v>148</v>
      </c>
      <c r="I2592" t="s">
        <v>27</v>
      </c>
      <c r="J2592" t="s">
        <v>28</v>
      </c>
      <c r="K2592" t="s">
        <v>29</v>
      </c>
      <c r="L2592" t="s">
        <v>30</v>
      </c>
      <c r="M2592" t="s">
        <v>139</v>
      </c>
      <c r="N2592">
        <v>1041</v>
      </c>
      <c r="O2592" s="14">
        <v>0.64240423031151295</v>
      </c>
      <c r="P2592" s="14">
        <v>0.21824956033378801</v>
      </c>
      <c r="Q2592" t="str">
        <f t="shared" si="80"/>
        <v>&lt;01</v>
      </c>
      <c r="R2592" t="str">
        <f t="shared" si="81"/>
        <v>[oiPR2CiVJbf]|&lt;01|Female|DIAGNOSED_SUBNAT.T_1|CY2023Q3</v>
      </c>
    </row>
    <row r="2593" spans="4:18" x14ac:dyDescent="0.2">
      <c r="D2593" t="s">
        <v>104</v>
      </c>
      <c r="E2593" t="s">
        <v>105</v>
      </c>
      <c r="F2593" t="s">
        <v>106</v>
      </c>
      <c r="G2593" t="s">
        <v>147</v>
      </c>
      <c r="H2593" t="s">
        <v>148</v>
      </c>
      <c r="I2593" t="s">
        <v>32</v>
      </c>
      <c r="J2593" t="s">
        <v>33</v>
      </c>
      <c r="K2593" t="s">
        <v>29</v>
      </c>
      <c r="L2593" t="s">
        <v>30</v>
      </c>
      <c r="M2593" t="s">
        <v>139</v>
      </c>
      <c r="N2593">
        <v>803</v>
      </c>
      <c r="O2593" s="14">
        <v>0.87631274503655698</v>
      </c>
      <c r="P2593" s="14">
        <v>0.21824956033378801</v>
      </c>
      <c r="Q2593" t="str">
        <f t="shared" si="80"/>
        <v>01-09</v>
      </c>
      <c r="R2593" t="str">
        <f t="shared" si="81"/>
        <v>[oiPR2CiVJbf]|01-09|Female|DIAGNOSED_SUBNAT.T_1|CY2023Q3</v>
      </c>
    </row>
    <row r="2594" spans="4:18" x14ac:dyDescent="0.2">
      <c r="D2594" t="s">
        <v>104</v>
      </c>
      <c r="E2594" t="s">
        <v>105</v>
      </c>
      <c r="F2594" t="s">
        <v>106</v>
      </c>
      <c r="G2594" t="s">
        <v>147</v>
      </c>
      <c r="H2594" t="s">
        <v>148</v>
      </c>
      <c r="I2594" t="s">
        <v>35</v>
      </c>
      <c r="J2594" t="s">
        <v>36</v>
      </c>
      <c r="K2594" t="s">
        <v>29</v>
      </c>
      <c r="L2594" t="s">
        <v>30</v>
      </c>
      <c r="M2594" t="s">
        <v>139</v>
      </c>
      <c r="N2594">
        <v>1251</v>
      </c>
      <c r="O2594" s="14">
        <v>0.98222870868630696</v>
      </c>
      <c r="P2594" s="14">
        <v>0.21824956033378801</v>
      </c>
      <c r="Q2594" t="str">
        <f t="shared" si="80"/>
        <v>10-14</v>
      </c>
      <c r="R2594" t="str">
        <f t="shared" si="81"/>
        <v>[oiPR2CiVJbf]|10-14|Female|DIAGNOSED_SUBNAT.T_1|CY2023Q3</v>
      </c>
    </row>
    <row r="2595" spans="4:18" x14ac:dyDescent="0.2">
      <c r="D2595" t="s">
        <v>104</v>
      </c>
      <c r="E2595" t="s">
        <v>105</v>
      </c>
      <c r="F2595" t="s">
        <v>106</v>
      </c>
      <c r="G2595" t="s">
        <v>147</v>
      </c>
      <c r="H2595" t="s">
        <v>148</v>
      </c>
      <c r="I2595" t="s">
        <v>37</v>
      </c>
      <c r="J2595" t="s">
        <v>38</v>
      </c>
      <c r="K2595" t="s">
        <v>29</v>
      </c>
      <c r="L2595" t="s">
        <v>30</v>
      </c>
      <c r="M2595" t="s">
        <v>139</v>
      </c>
      <c r="N2595">
        <v>656</v>
      </c>
      <c r="O2595" s="14">
        <v>0.450222637504339</v>
      </c>
      <c r="P2595" s="14">
        <v>0.21824956033378801</v>
      </c>
      <c r="Q2595" t="str">
        <f t="shared" si="80"/>
        <v>15-24</v>
      </c>
      <c r="R2595" t="str">
        <f t="shared" si="81"/>
        <v>[oiPR2CiVJbf]|15-24|Female|DIAGNOSED_SUBNAT.T_1|CY2023Q3</v>
      </c>
    </row>
    <row r="2596" spans="4:18" x14ac:dyDescent="0.2">
      <c r="D2596" t="s">
        <v>104</v>
      </c>
      <c r="E2596" t="s">
        <v>105</v>
      </c>
      <c r="F2596" t="s">
        <v>106</v>
      </c>
      <c r="G2596" t="s">
        <v>147</v>
      </c>
      <c r="H2596" t="s">
        <v>148</v>
      </c>
      <c r="I2596" t="s">
        <v>40</v>
      </c>
      <c r="J2596" t="s">
        <v>41</v>
      </c>
      <c r="K2596" t="s">
        <v>29</v>
      </c>
      <c r="L2596" t="s">
        <v>30</v>
      </c>
      <c r="M2596" t="s">
        <v>139</v>
      </c>
      <c r="N2596">
        <v>1736</v>
      </c>
      <c r="O2596" s="14">
        <v>0.89633041690103699</v>
      </c>
      <c r="P2596" s="14">
        <v>0.21824956033378801</v>
      </c>
      <c r="Q2596" t="str">
        <f t="shared" si="80"/>
        <v>25-34</v>
      </c>
      <c r="R2596" t="str">
        <f t="shared" si="81"/>
        <v>[oiPR2CiVJbf]|25-34|Female|DIAGNOSED_SUBNAT.T_1|CY2023Q3</v>
      </c>
    </row>
    <row r="2597" spans="4:18" x14ac:dyDescent="0.2">
      <c r="D2597" t="s">
        <v>104</v>
      </c>
      <c r="E2597" t="s">
        <v>105</v>
      </c>
      <c r="F2597" t="s">
        <v>106</v>
      </c>
      <c r="G2597" t="s">
        <v>147</v>
      </c>
      <c r="H2597" t="s">
        <v>148</v>
      </c>
      <c r="I2597" t="s">
        <v>42</v>
      </c>
      <c r="J2597" t="s">
        <v>43</v>
      </c>
      <c r="K2597" t="s">
        <v>29</v>
      </c>
      <c r="L2597" t="s">
        <v>30</v>
      </c>
      <c r="M2597" t="s">
        <v>139</v>
      </c>
      <c r="N2597">
        <v>1851</v>
      </c>
      <c r="O2597" s="14">
        <v>0.62560247373767197</v>
      </c>
      <c r="P2597" s="14">
        <v>0.21824956033378801</v>
      </c>
      <c r="Q2597" t="str">
        <f t="shared" si="80"/>
        <v>35-49</v>
      </c>
      <c r="R2597" t="str">
        <f t="shared" si="81"/>
        <v>[oiPR2CiVJbf]|35-49|Female|DIAGNOSED_SUBNAT.T_1|CY2023Q3</v>
      </c>
    </row>
    <row r="2598" spans="4:18" x14ac:dyDescent="0.2">
      <c r="D2598" t="s">
        <v>104</v>
      </c>
      <c r="E2598" t="s">
        <v>105</v>
      </c>
      <c r="F2598" t="s">
        <v>106</v>
      </c>
      <c r="G2598" t="s">
        <v>147</v>
      </c>
      <c r="H2598" t="s">
        <v>148</v>
      </c>
      <c r="I2598" t="s">
        <v>44</v>
      </c>
      <c r="J2598" t="s">
        <v>45</v>
      </c>
      <c r="K2598" t="s">
        <v>29</v>
      </c>
      <c r="L2598" t="s">
        <v>30</v>
      </c>
      <c r="M2598" t="s">
        <v>139</v>
      </c>
      <c r="N2598">
        <v>629</v>
      </c>
      <c r="O2598" s="14">
        <v>0.37970113591290999</v>
      </c>
      <c r="P2598" s="14">
        <v>0.21824956033378801</v>
      </c>
      <c r="Q2598" t="str">
        <f t="shared" si="80"/>
        <v>50+</v>
      </c>
      <c r="R2598" t="str">
        <f t="shared" si="81"/>
        <v>[oiPR2CiVJbf]|50+|Female|DIAGNOSED_SUBNAT.T_1|CY2023Q3</v>
      </c>
    </row>
    <row r="2599" spans="4:18" x14ac:dyDescent="0.2">
      <c r="D2599" t="s">
        <v>104</v>
      </c>
      <c r="E2599" t="s">
        <v>105</v>
      </c>
      <c r="F2599" t="s">
        <v>106</v>
      </c>
      <c r="G2599" t="s">
        <v>147</v>
      </c>
      <c r="H2599" t="s">
        <v>148</v>
      </c>
      <c r="I2599" t="s">
        <v>27</v>
      </c>
      <c r="J2599" t="s">
        <v>28</v>
      </c>
      <c r="K2599" t="s">
        <v>47</v>
      </c>
      <c r="L2599" t="s">
        <v>48</v>
      </c>
      <c r="M2599" t="s">
        <v>139</v>
      </c>
      <c r="N2599">
        <v>1565</v>
      </c>
      <c r="O2599" s="14">
        <v>0.77732554799877096</v>
      </c>
      <c r="P2599" s="14">
        <v>0.21824956033378801</v>
      </c>
      <c r="Q2599" t="str">
        <f t="shared" si="80"/>
        <v>&lt;01</v>
      </c>
      <c r="R2599" t="str">
        <f t="shared" si="81"/>
        <v>[oiPR2CiVJbf]|&lt;01|Male|DIAGNOSED_SUBNAT.T_1|CY2023Q3</v>
      </c>
    </row>
    <row r="2600" spans="4:18" x14ac:dyDescent="0.2">
      <c r="D2600" t="s">
        <v>104</v>
      </c>
      <c r="E2600" t="s">
        <v>105</v>
      </c>
      <c r="F2600" t="s">
        <v>106</v>
      </c>
      <c r="G2600" t="s">
        <v>147</v>
      </c>
      <c r="H2600" t="s">
        <v>148</v>
      </c>
      <c r="I2600" t="s">
        <v>32</v>
      </c>
      <c r="J2600" t="s">
        <v>33</v>
      </c>
      <c r="K2600" t="s">
        <v>47</v>
      </c>
      <c r="L2600" t="s">
        <v>48</v>
      </c>
      <c r="M2600" t="s">
        <v>139</v>
      </c>
      <c r="N2600">
        <v>1710</v>
      </c>
      <c r="O2600" s="14">
        <v>0.74649980547837902</v>
      </c>
      <c r="P2600" s="14">
        <v>0.21824956033378801</v>
      </c>
      <c r="Q2600" t="str">
        <f t="shared" si="80"/>
        <v>01-09</v>
      </c>
      <c r="R2600" t="str">
        <f t="shared" si="81"/>
        <v>[oiPR2CiVJbf]|01-09|Male|DIAGNOSED_SUBNAT.T_1|CY2023Q3</v>
      </c>
    </row>
    <row r="2601" spans="4:18" x14ac:dyDescent="0.2">
      <c r="D2601" t="s">
        <v>104</v>
      </c>
      <c r="E2601" t="s">
        <v>105</v>
      </c>
      <c r="F2601" t="s">
        <v>106</v>
      </c>
      <c r="G2601" t="s">
        <v>147</v>
      </c>
      <c r="H2601" t="s">
        <v>148</v>
      </c>
      <c r="I2601" t="s">
        <v>35</v>
      </c>
      <c r="J2601" t="s">
        <v>36</v>
      </c>
      <c r="K2601" t="s">
        <v>47</v>
      </c>
      <c r="L2601" t="s">
        <v>48</v>
      </c>
      <c r="M2601" t="s">
        <v>139</v>
      </c>
      <c r="N2601">
        <v>1674</v>
      </c>
      <c r="O2601" s="14">
        <v>0.13191850297152999</v>
      </c>
      <c r="P2601" s="14">
        <v>0.21824956033378801</v>
      </c>
      <c r="Q2601" t="str">
        <f t="shared" si="80"/>
        <v>10-14</v>
      </c>
      <c r="R2601" t="str">
        <f t="shared" si="81"/>
        <v>[oiPR2CiVJbf]|10-14|Male|DIAGNOSED_SUBNAT.T_1|CY2023Q3</v>
      </c>
    </row>
    <row r="2602" spans="4:18" x14ac:dyDescent="0.2">
      <c r="D2602" t="s">
        <v>104</v>
      </c>
      <c r="E2602" t="s">
        <v>105</v>
      </c>
      <c r="F2602" t="s">
        <v>106</v>
      </c>
      <c r="G2602" t="s">
        <v>147</v>
      </c>
      <c r="H2602" t="s">
        <v>148</v>
      </c>
      <c r="I2602" t="s">
        <v>37</v>
      </c>
      <c r="J2602" t="s">
        <v>38</v>
      </c>
      <c r="K2602" t="s">
        <v>47</v>
      </c>
      <c r="L2602" t="s">
        <v>48</v>
      </c>
      <c r="M2602" t="s">
        <v>139</v>
      </c>
      <c r="N2602">
        <v>1424</v>
      </c>
      <c r="O2602" s="14">
        <v>0.40793899376876702</v>
      </c>
      <c r="P2602" s="14">
        <v>0.21824956033378801</v>
      </c>
      <c r="Q2602" t="str">
        <f t="shared" si="80"/>
        <v>15-24</v>
      </c>
      <c r="R2602" t="str">
        <f t="shared" si="81"/>
        <v>[oiPR2CiVJbf]|15-24|Male|DIAGNOSED_SUBNAT.T_1|CY2023Q3</v>
      </c>
    </row>
    <row r="2603" spans="4:18" x14ac:dyDescent="0.2">
      <c r="D2603" t="s">
        <v>104</v>
      </c>
      <c r="E2603" t="s">
        <v>105</v>
      </c>
      <c r="F2603" t="s">
        <v>106</v>
      </c>
      <c r="G2603" t="s">
        <v>147</v>
      </c>
      <c r="H2603" t="s">
        <v>148</v>
      </c>
      <c r="I2603" t="s">
        <v>40</v>
      </c>
      <c r="J2603" t="s">
        <v>41</v>
      </c>
      <c r="K2603" t="s">
        <v>47</v>
      </c>
      <c r="L2603" t="s">
        <v>48</v>
      </c>
      <c r="M2603" t="s">
        <v>139</v>
      </c>
      <c r="N2603">
        <v>885</v>
      </c>
      <c r="O2603" s="14">
        <v>0.33775877766311202</v>
      </c>
      <c r="P2603" s="14">
        <v>0.21824956033378801</v>
      </c>
      <c r="Q2603" t="str">
        <f t="shared" si="80"/>
        <v>25-34</v>
      </c>
      <c r="R2603" t="str">
        <f t="shared" si="81"/>
        <v>[oiPR2CiVJbf]|25-34|Male|DIAGNOSED_SUBNAT.T_1|CY2023Q3</v>
      </c>
    </row>
    <row r="2604" spans="4:18" x14ac:dyDescent="0.2">
      <c r="D2604" t="s">
        <v>104</v>
      </c>
      <c r="E2604" t="s">
        <v>105</v>
      </c>
      <c r="F2604" t="s">
        <v>106</v>
      </c>
      <c r="G2604" t="s">
        <v>147</v>
      </c>
      <c r="H2604" t="s">
        <v>148</v>
      </c>
      <c r="I2604" t="s">
        <v>42</v>
      </c>
      <c r="J2604" t="s">
        <v>43</v>
      </c>
      <c r="K2604" t="s">
        <v>47</v>
      </c>
      <c r="L2604" t="s">
        <v>48</v>
      </c>
      <c r="M2604" t="s">
        <v>139</v>
      </c>
      <c r="N2604">
        <v>984</v>
      </c>
      <c r="O2604" s="14">
        <v>0.31357521703466801</v>
      </c>
      <c r="P2604" s="14">
        <v>0.21824956033378801</v>
      </c>
      <c r="Q2604" t="str">
        <f t="shared" si="80"/>
        <v>35-49</v>
      </c>
      <c r="R2604" t="str">
        <f t="shared" si="81"/>
        <v>[oiPR2CiVJbf]|35-49|Male|DIAGNOSED_SUBNAT.T_1|CY2023Q3</v>
      </c>
    </row>
    <row r="2605" spans="4:18" x14ac:dyDescent="0.2">
      <c r="D2605" t="s">
        <v>104</v>
      </c>
      <c r="E2605" t="s">
        <v>105</v>
      </c>
      <c r="F2605" t="s">
        <v>106</v>
      </c>
      <c r="G2605" t="s">
        <v>147</v>
      </c>
      <c r="H2605" t="s">
        <v>148</v>
      </c>
      <c r="I2605" t="s">
        <v>44</v>
      </c>
      <c r="J2605" t="s">
        <v>45</v>
      </c>
      <c r="K2605" t="s">
        <v>47</v>
      </c>
      <c r="L2605" t="s">
        <v>48</v>
      </c>
      <c r="M2605" t="s">
        <v>139</v>
      </c>
      <c r="N2605">
        <v>1743</v>
      </c>
      <c r="O2605" s="14">
        <v>0.15201774681918301</v>
      </c>
      <c r="P2605" s="14">
        <v>0.21824956033378801</v>
      </c>
      <c r="Q2605" t="str">
        <f t="shared" si="80"/>
        <v>50+</v>
      </c>
      <c r="R2605" t="str">
        <f t="shared" si="81"/>
        <v>[oiPR2CiVJbf]|50+|Male|DIAGNOSED_SUBNAT.T_1|CY2023Q3</v>
      </c>
    </row>
    <row r="2606" spans="4:18" x14ac:dyDescent="0.2">
      <c r="D2606" t="s">
        <v>107</v>
      </c>
      <c r="E2606" t="s">
        <v>108</v>
      </c>
      <c r="F2606" t="s">
        <v>109</v>
      </c>
      <c r="G2606" t="s">
        <v>147</v>
      </c>
      <c r="H2606" t="s">
        <v>148</v>
      </c>
      <c r="I2606" t="s">
        <v>27</v>
      </c>
      <c r="J2606" t="s">
        <v>28</v>
      </c>
      <c r="K2606" t="s">
        <v>29</v>
      </c>
      <c r="L2606" t="s">
        <v>30</v>
      </c>
      <c r="M2606" t="s">
        <v>139</v>
      </c>
      <c r="N2606">
        <v>1578</v>
      </c>
      <c r="O2606" s="14">
        <v>0.48863427946344001</v>
      </c>
      <c r="P2606" s="14">
        <v>0.43422180437482899</v>
      </c>
      <c r="Q2606" t="str">
        <f t="shared" si="80"/>
        <v>&lt;01</v>
      </c>
      <c r="R2606" t="str">
        <f t="shared" si="81"/>
        <v>[ul0y9diGujK]|&lt;01|Female|DIAGNOSED_SUBNAT.T_1|CY2023Q3</v>
      </c>
    </row>
    <row r="2607" spans="4:18" x14ac:dyDescent="0.2">
      <c r="D2607" t="s">
        <v>107</v>
      </c>
      <c r="E2607" t="s">
        <v>108</v>
      </c>
      <c r="F2607" t="s">
        <v>109</v>
      </c>
      <c r="G2607" t="s">
        <v>147</v>
      </c>
      <c r="H2607" t="s">
        <v>148</v>
      </c>
      <c r="I2607" t="s">
        <v>32</v>
      </c>
      <c r="J2607" t="s">
        <v>33</v>
      </c>
      <c r="K2607" t="s">
        <v>29</v>
      </c>
      <c r="L2607" t="s">
        <v>30</v>
      </c>
      <c r="M2607" t="s">
        <v>139</v>
      </c>
      <c r="N2607">
        <v>727</v>
      </c>
      <c r="O2607" s="14">
        <v>0.40157180698588502</v>
      </c>
      <c r="P2607" s="14">
        <v>0.43422180437482899</v>
      </c>
      <c r="Q2607" t="str">
        <f t="shared" si="80"/>
        <v>01-09</v>
      </c>
      <c r="R2607" t="str">
        <f t="shared" si="81"/>
        <v>[ul0y9diGujK]|01-09|Female|DIAGNOSED_SUBNAT.T_1|CY2023Q3</v>
      </c>
    </row>
    <row r="2608" spans="4:18" x14ac:dyDescent="0.2">
      <c r="D2608" t="s">
        <v>107</v>
      </c>
      <c r="E2608" t="s">
        <v>108</v>
      </c>
      <c r="F2608" t="s">
        <v>109</v>
      </c>
      <c r="G2608" t="s">
        <v>147</v>
      </c>
      <c r="H2608" t="s">
        <v>148</v>
      </c>
      <c r="I2608" t="s">
        <v>35</v>
      </c>
      <c r="J2608" t="s">
        <v>36</v>
      </c>
      <c r="K2608" t="s">
        <v>29</v>
      </c>
      <c r="L2608" t="s">
        <v>30</v>
      </c>
      <c r="M2608" t="s">
        <v>139</v>
      </c>
      <c r="N2608">
        <v>1371</v>
      </c>
      <c r="O2608" s="14">
        <v>7.9123629024252295E-2</v>
      </c>
      <c r="P2608" s="14">
        <v>0.43422180437482899</v>
      </c>
      <c r="Q2608" t="str">
        <f t="shared" si="80"/>
        <v>10-14</v>
      </c>
      <c r="R2608" t="str">
        <f t="shared" si="81"/>
        <v>[ul0y9diGujK]|10-14|Female|DIAGNOSED_SUBNAT.T_1|CY2023Q3</v>
      </c>
    </row>
    <row r="2609" spans="4:18" x14ac:dyDescent="0.2">
      <c r="D2609" t="s">
        <v>107</v>
      </c>
      <c r="E2609" t="s">
        <v>108</v>
      </c>
      <c r="F2609" t="s">
        <v>109</v>
      </c>
      <c r="G2609" t="s">
        <v>147</v>
      </c>
      <c r="H2609" t="s">
        <v>148</v>
      </c>
      <c r="I2609" t="s">
        <v>37</v>
      </c>
      <c r="J2609" t="s">
        <v>38</v>
      </c>
      <c r="K2609" t="s">
        <v>29</v>
      </c>
      <c r="L2609" t="s">
        <v>30</v>
      </c>
      <c r="M2609" t="s">
        <v>139</v>
      </c>
      <c r="N2609">
        <v>1191</v>
      </c>
      <c r="O2609" s="14">
        <v>9.1601769207045394E-2</v>
      </c>
      <c r="P2609" s="14">
        <v>0.43422180437482899</v>
      </c>
      <c r="Q2609" t="str">
        <f t="shared" si="80"/>
        <v>15-24</v>
      </c>
      <c r="R2609" t="str">
        <f t="shared" si="81"/>
        <v>[ul0y9diGujK]|15-24|Female|DIAGNOSED_SUBNAT.T_1|CY2023Q3</v>
      </c>
    </row>
    <row r="2610" spans="4:18" x14ac:dyDescent="0.2">
      <c r="D2610" t="s">
        <v>107</v>
      </c>
      <c r="E2610" t="s">
        <v>108</v>
      </c>
      <c r="F2610" t="s">
        <v>109</v>
      </c>
      <c r="G2610" t="s">
        <v>147</v>
      </c>
      <c r="H2610" t="s">
        <v>148</v>
      </c>
      <c r="I2610" t="s">
        <v>40</v>
      </c>
      <c r="J2610" t="s">
        <v>41</v>
      </c>
      <c r="K2610" t="s">
        <v>29</v>
      </c>
      <c r="L2610" t="s">
        <v>30</v>
      </c>
      <c r="M2610" t="s">
        <v>139</v>
      </c>
      <c r="N2610">
        <v>1818</v>
      </c>
      <c r="O2610" s="14">
        <v>0.66511018387973297</v>
      </c>
      <c r="P2610" s="14">
        <v>0.43422180437482899</v>
      </c>
      <c r="Q2610" t="str">
        <f t="shared" si="80"/>
        <v>25-34</v>
      </c>
      <c r="R2610" t="str">
        <f t="shared" si="81"/>
        <v>[ul0y9diGujK]|25-34|Female|DIAGNOSED_SUBNAT.T_1|CY2023Q3</v>
      </c>
    </row>
    <row r="2611" spans="4:18" x14ac:dyDescent="0.2">
      <c r="D2611" t="s">
        <v>107</v>
      </c>
      <c r="E2611" t="s">
        <v>108</v>
      </c>
      <c r="F2611" t="s">
        <v>109</v>
      </c>
      <c r="G2611" t="s">
        <v>147</v>
      </c>
      <c r="H2611" t="s">
        <v>148</v>
      </c>
      <c r="I2611" t="s">
        <v>42</v>
      </c>
      <c r="J2611" t="s">
        <v>43</v>
      </c>
      <c r="K2611" t="s">
        <v>29</v>
      </c>
      <c r="L2611" t="s">
        <v>30</v>
      </c>
      <c r="M2611" t="s">
        <v>139</v>
      </c>
      <c r="N2611">
        <v>1887</v>
      </c>
      <c r="O2611" s="14">
        <v>6.9499803008511704E-2</v>
      </c>
      <c r="P2611" s="14">
        <v>0.43422180437482899</v>
      </c>
      <c r="Q2611" t="str">
        <f t="shared" si="80"/>
        <v>35-49</v>
      </c>
      <c r="R2611" t="str">
        <f t="shared" si="81"/>
        <v>[ul0y9diGujK]|35-49|Female|DIAGNOSED_SUBNAT.T_1|CY2023Q3</v>
      </c>
    </row>
    <row r="2612" spans="4:18" x14ac:dyDescent="0.2">
      <c r="D2612" t="s">
        <v>107</v>
      </c>
      <c r="E2612" t="s">
        <v>108</v>
      </c>
      <c r="F2612" t="s">
        <v>109</v>
      </c>
      <c r="G2612" t="s">
        <v>147</v>
      </c>
      <c r="H2612" t="s">
        <v>148</v>
      </c>
      <c r="I2612" t="s">
        <v>44</v>
      </c>
      <c r="J2612" t="s">
        <v>45</v>
      </c>
      <c r="K2612" t="s">
        <v>29</v>
      </c>
      <c r="L2612" t="s">
        <v>30</v>
      </c>
      <c r="M2612" t="s">
        <v>139</v>
      </c>
      <c r="N2612">
        <v>1906</v>
      </c>
      <c r="O2612" s="14">
        <v>0.73863074975088205</v>
      </c>
      <c r="P2612" s="14">
        <v>0.43422180437482899</v>
      </c>
      <c r="Q2612" t="str">
        <f t="shared" si="80"/>
        <v>50+</v>
      </c>
      <c r="R2612" t="str">
        <f t="shared" si="81"/>
        <v>[ul0y9diGujK]|50+|Female|DIAGNOSED_SUBNAT.T_1|CY2023Q3</v>
      </c>
    </row>
    <row r="2613" spans="4:18" x14ac:dyDescent="0.2">
      <c r="D2613" t="s">
        <v>107</v>
      </c>
      <c r="E2613" t="s">
        <v>108</v>
      </c>
      <c r="F2613" t="s">
        <v>109</v>
      </c>
      <c r="G2613" t="s">
        <v>147</v>
      </c>
      <c r="H2613" t="s">
        <v>148</v>
      </c>
      <c r="I2613" t="s">
        <v>27</v>
      </c>
      <c r="J2613" t="s">
        <v>28</v>
      </c>
      <c r="K2613" t="s">
        <v>47</v>
      </c>
      <c r="L2613" t="s">
        <v>48</v>
      </c>
      <c r="M2613" t="s">
        <v>139</v>
      </c>
      <c r="N2613">
        <v>1256</v>
      </c>
      <c r="O2613" s="14">
        <v>0.850972909480333</v>
      </c>
      <c r="P2613" s="14">
        <v>0.43422180437482899</v>
      </c>
      <c r="Q2613" t="str">
        <f t="shared" si="80"/>
        <v>&lt;01</v>
      </c>
      <c r="R2613" t="str">
        <f t="shared" si="81"/>
        <v>[ul0y9diGujK]|&lt;01|Male|DIAGNOSED_SUBNAT.T_1|CY2023Q3</v>
      </c>
    </row>
    <row r="2614" spans="4:18" x14ac:dyDescent="0.2">
      <c r="D2614" t="s">
        <v>107</v>
      </c>
      <c r="E2614" t="s">
        <v>108</v>
      </c>
      <c r="F2614" t="s">
        <v>109</v>
      </c>
      <c r="G2614" t="s">
        <v>147</v>
      </c>
      <c r="H2614" t="s">
        <v>148</v>
      </c>
      <c r="I2614" t="s">
        <v>32</v>
      </c>
      <c r="J2614" t="s">
        <v>33</v>
      </c>
      <c r="K2614" t="s">
        <v>47</v>
      </c>
      <c r="L2614" t="s">
        <v>48</v>
      </c>
      <c r="M2614" t="s">
        <v>139</v>
      </c>
      <c r="N2614">
        <v>730</v>
      </c>
      <c r="O2614" s="14">
        <v>0.45593420928344103</v>
      </c>
      <c r="P2614" s="14">
        <v>0.43422180437482899</v>
      </c>
      <c r="Q2614" t="str">
        <f t="shared" si="80"/>
        <v>01-09</v>
      </c>
      <c r="R2614" t="str">
        <f t="shared" si="81"/>
        <v>[ul0y9diGujK]|01-09|Male|DIAGNOSED_SUBNAT.T_1|CY2023Q3</v>
      </c>
    </row>
    <row r="2615" spans="4:18" x14ac:dyDescent="0.2">
      <c r="D2615" t="s">
        <v>107</v>
      </c>
      <c r="E2615" t="s">
        <v>108</v>
      </c>
      <c r="F2615" t="s">
        <v>109</v>
      </c>
      <c r="G2615" t="s">
        <v>147</v>
      </c>
      <c r="H2615" t="s">
        <v>148</v>
      </c>
      <c r="I2615" t="s">
        <v>35</v>
      </c>
      <c r="J2615" t="s">
        <v>36</v>
      </c>
      <c r="K2615" t="s">
        <v>47</v>
      </c>
      <c r="L2615" t="s">
        <v>48</v>
      </c>
      <c r="M2615" t="s">
        <v>139</v>
      </c>
      <c r="N2615">
        <v>882</v>
      </c>
      <c r="O2615" s="14">
        <v>0.66292630298994504</v>
      </c>
      <c r="P2615" s="14">
        <v>0.43422180437482899</v>
      </c>
      <c r="Q2615" t="str">
        <f t="shared" si="80"/>
        <v>10-14</v>
      </c>
      <c r="R2615" t="str">
        <f t="shared" si="81"/>
        <v>[ul0y9diGujK]|10-14|Male|DIAGNOSED_SUBNAT.T_1|CY2023Q3</v>
      </c>
    </row>
    <row r="2616" spans="4:18" x14ac:dyDescent="0.2">
      <c r="D2616" t="s">
        <v>107</v>
      </c>
      <c r="E2616" t="s">
        <v>108</v>
      </c>
      <c r="F2616" t="s">
        <v>109</v>
      </c>
      <c r="G2616" t="s">
        <v>147</v>
      </c>
      <c r="H2616" t="s">
        <v>148</v>
      </c>
      <c r="I2616" t="s">
        <v>37</v>
      </c>
      <c r="J2616" t="s">
        <v>38</v>
      </c>
      <c r="K2616" t="s">
        <v>47</v>
      </c>
      <c r="L2616" t="s">
        <v>48</v>
      </c>
      <c r="M2616" t="s">
        <v>139</v>
      </c>
      <c r="N2616">
        <v>1324</v>
      </c>
      <c r="O2616" s="14">
        <v>0.100902978796512</v>
      </c>
      <c r="P2616" s="14">
        <v>0.43422180437482899</v>
      </c>
      <c r="Q2616" t="str">
        <f t="shared" si="80"/>
        <v>15-24</v>
      </c>
      <c r="R2616" t="str">
        <f t="shared" si="81"/>
        <v>[ul0y9diGujK]|15-24|Male|DIAGNOSED_SUBNAT.T_1|CY2023Q3</v>
      </c>
    </row>
    <row r="2617" spans="4:18" x14ac:dyDescent="0.2">
      <c r="D2617" t="s">
        <v>107</v>
      </c>
      <c r="E2617" t="s">
        <v>108</v>
      </c>
      <c r="F2617" t="s">
        <v>109</v>
      </c>
      <c r="G2617" t="s">
        <v>147</v>
      </c>
      <c r="H2617" t="s">
        <v>148</v>
      </c>
      <c r="I2617" t="s">
        <v>40</v>
      </c>
      <c r="J2617" t="s">
        <v>41</v>
      </c>
      <c r="K2617" t="s">
        <v>47</v>
      </c>
      <c r="L2617" t="s">
        <v>48</v>
      </c>
      <c r="M2617" t="s">
        <v>139</v>
      </c>
      <c r="N2617">
        <v>1769</v>
      </c>
      <c r="O2617" s="14">
        <v>2.0000308286398602E-3</v>
      </c>
      <c r="P2617" s="14">
        <v>0.43422180437482899</v>
      </c>
      <c r="Q2617" t="str">
        <f t="shared" si="80"/>
        <v>25-34</v>
      </c>
      <c r="R2617" t="str">
        <f t="shared" si="81"/>
        <v>[ul0y9diGujK]|25-34|Male|DIAGNOSED_SUBNAT.T_1|CY2023Q3</v>
      </c>
    </row>
    <row r="2618" spans="4:18" x14ac:dyDescent="0.2">
      <c r="D2618" t="s">
        <v>107</v>
      </c>
      <c r="E2618" t="s">
        <v>108</v>
      </c>
      <c r="F2618" t="s">
        <v>109</v>
      </c>
      <c r="G2618" t="s">
        <v>147</v>
      </c>
      <c r="H2618" t="s">
        <v>148</v>
      </c>
      <c r="I2618" t="s">
        <v>42</v>
      </c>
      <c r="J2618" t="s">
        <v>43</v>
      </c>
      <c r="K2618" t="s">
        <v>47</v>
      </c>
      <c r="L2618" t="s">
        <v>48</v>
      </c>
      <c r="M2618" t="s">
        <v>139</v>
      </c>
      <c r="N2618">
        <v>1857</v>
      </c>
      <c r="O2618" s="14">
        <v>0.50881980871781696</v>
      </c>
      <c r="P2618" s="14">
        <v>0.43422180437482899</v>
      </c>
      <c r="Q2618" t="str">
        <f t="shared" si="80"/>
        <v>35-49</v>
      </c>
      <c r="R2618" t="str">
        <f t="shared" si="81"/>
        <v>[ul0y9diGujK]|35-49|Male|DIAGNOSED_SUBNAT.T_1|CY2023Q3</v>
      </c>
    </row>
    <row r="2619" spans="4:18" x14ac:dyDescent="0.2">
      <c r="D2619" t="s">
        <v>107</v>
      </c>
      <c r="E2619" t="s">
        <v>108</v>
      </c>
      <c r="F2619" t="s">
        <v>109</v>
      </c>
      <c r="G2619" t="s">
        <v>147</v>
      </c>
      <c r="H2619" t="s">
        <v>148</v>
      </c>
      <c r="I2619" t="s">
        <v>44</v>
      </c>
      <c r="J2619" t="s">
        <v>45</v>
      </c>
      <c r="K2619" t="s">
        <v>47</v>
      </c>
      <c r="L2619" t="s">
        <v>48</v>
      </c>
      <c r="M2619" t="s">
        <v>139</v>
      </c>
      <c r="N2619">
        <v>555</v>
      </c>
      <c r="O2619" s="14">
        <v>0.198566856794059</v>
      </c>
      <c r="P2619" s="14">
        <v>0.43422180437482899</v>
      </c>
      <c r="Q2619" t="str">
        <f t="shared" si="80"/>
        <v>50+</v>
      </c>
      <c r="R2619" t="str">
        <f t="shared" si="81"/>
        <v>[ul0y9diGujK]|50+|Male|DIAGNOSED_SUBNAT.T_1|CY2023Q3</v>
      </c>
    </row>
    <row r="2620" spans="4:18" x14ac:dyDescent="0.2">
      <c r="D2620" t="s">
        <v>110</v>
      </c>
      <c r="E2620" t="s">
        <v>111</v>
      </c>
      <c r="F2620" t="s">
        <v>112</v>
      </c>
      <c r="G2620" t="s">
        <v>147</v>
      </c>
      <c r="H2620" t="s">
        <v>148</v>
      </c>
      <c r="I2620" t="s">
        <v>27</v>
      </c>
      <c r="J2620" t="s">
        <v>28</v>
      </c>
      <c r="K2620" t="s">
        <v>29</v>
      </c>
      <c r="L2620" t="s">
        <v>30</v>
      </c>
      <c r="M2620" t="s">
        <v>139</v>
      </c>
      <c r="N2620">
        <v>678</v>
      </c>
      <c r="O2620" s="14">
        <v>0.87064212723635104</v>
      </c>
      <c r="P2620" s="14">
        <v>0.33776879496872397</v>
      </c>
      <c r="Q2620" t="str">
        <f t="shared" si="80"/>
        <v>&lt;01</v>
      </c>
      <c r="R2620" t="str">
        <f t="shared" si="81"/>
        <v>[U8c0so51kT6]|&lt;01|Female|DIAGNOSED_SUBNAT.T_1|CY2023Q3</v>
      </c>
    </row>
    <row r="2621" spans="4:18" x14ac:dyDescent="0.2">
      <c r="D2621" t="s">
        <v>110</v>
      </c>
      <c r="E2621" t="s">
        <v>111</v>
      </c>
      <c r="F2621" t="s">
        <v>112</v>
      </c>
      <c r="G2621" t="s">
        <v>147</v>
      </c>
      <c r="H2621" t="s">
        <v>148</v>
      </c>
      <c r="I2621" t="s">
        <v>32</v>
      </c>
      <c r="J2621" t="s">
        <v>33</v>
      </c>
      <c r="K2621" t="s">
        <v>29</v>
      </c>
      <c r="L2621" t="s">
        <v>30</v>
      </c>
      <c r="M2621" t="s">
        <v>139</v>
      </c>
      <c r="N2621">
        <v>533</v>
      </c>
      <c r="O2621" s="14">
        <v>0.73529953346587695</v>
      </c>
      <c r="P2621" s="14">
        <v>0.33776879496872397</v>
      </c>
      <c r="Q2621" t="str">
        <f t="shared" si="80"/>
        <v>01-09</v>
      </c>
      <c r="R2621" t="str">
        <f t="shared" si="81"/>
        <v>[U8c0so51kT6]|01-09|Female|DIAGNOSED_SUBNAT.T_1|CY2023Q3</v>
      </c>
    </row>
    <row r="2622" spans="4:18" x14ac:dyDescent="0.2">
      <c r="D2622" t="s">
        <v>110</v>
      </c>
      <c r="E2622" t="s">
        <v>111</v>
      </c>
      <c r="F2622" t="s">
        <v>112</v>
      </c>
      <c r="G2622" t="s">
        <v>147</v>
      </c>
      <c r="H2622" t="s">
        <v>148</v>
      </c>
      <c r="I2622" t="s">
        <v>35</v>
      </c>
      <c r="J2622" t="s">
        <v>36</v>
      </c>
      <c r="K2622" t="s">
        <v>29</v>
      </c>
      <c r="L2622" t="s">
        <v>30</v>
      </c>
      <c r="M2622" t="s">
        <v>139</v>
      </c>
      <c r="N2622">
        <v>1141</v>
      </c>
      <c r="O2622" s="14">
        <v>0.76801104424521305</v>
      </c>
      <c r="P2622" s="14">
        <v>0.33776879496872397</v>
      </c>
      <c r="Q2622" t="str">
        <f t="shared" si="80"/>
        <v>10-14</v>
      </c>
      <c r="R2622" t="str">
        <f t="shared" si="81"/>
        <v>[U8c0so51kT6]|10-14|Female|DIAGNOSED_SUBNAT.T_1|CY2023Q3</v>
      </c>
    </row>
    <row r="2623" spans="4:18" x14ac:dyDescent="0.2">
      <c r="D2623" t="s">
        <v>110</v>
      </c>
      <c r="E2623" t="s">
        <v>111</v>
      </c>
      <c r="F2623" t="s">
        <v>112</v>
      </c>
      <c r="G2623" t="s">
        <v>147</v>
      </c>
      <c r="H2623" t="s">
        <v>148</v>
      </c>
      <c r="I2623" t="s">
        <v>37</v>
      </c>
      <c r="J2623" t="s">
        <v>38</v>
      </c>
      <c r="K2623" t="s">
        <v>29</v>
      </c>
      <c r="L2623" t="s">
        <v>30</v>
      </c>
      <c r="M2623" t="s">
        <v>139</v>
      </c>
      <c r="N2623">
        <v>1886</v>
      </c>
      <c r="O2623" s="14">
        <v>0.89265189762227204</v>
      </c>
      <c r="P2623" s="14">
        <v>0.33776879496872397</v>
      </c>
      <c r="Q2623" t="str">
        <f t="shared" si="80"/>
        <v>15-24</v>
      </c>
      <c r="R2623" t="str">
        <f t="shared" si="81"/>
        <v>[U8c0so51kT6]|15-24|Female|DIAGNOSED_SUBNAT.T_1|CY2023Q3</v>
      </c>
    </row>
    <row r="2624" spans="4:18" x14ac:dyDescent="0.2">
      <c r="D2624" t="s">
        <v>110</v>
      </c>
      <c r="E2624" t="s">
        <v>111</v>
      </c>
      <c r="F2624" t="s">
        <v>112</v>
      </c>
      <c r="G2624" t="s">
        <v>147</v>
      </c>
      <c r="H2624" t="s">
        <v>148</v>
      </c>
      <c r="I2624" t="s">
        <v>40</v>
      </c>
      <c r="J2624" t="s">
        <v>41</v>
      </c>
      <c r="K2624" t="s">
        <v>29</v>
      </c>
      <c r="L2624" t="s">
        <v>30</v>
      </c>
      <c r="M2624" t="s">
        <v>139</v>
      </c>
      <c r="N2624">
        <v>1599</v>
      </c>
      <c r="O2624" s="14">
        <v>0.88788215094246004</v>
      </c>
      <c r="P2624" s="14">
        <v>0.33776879496872397</v>
      </c>
      <c r="Q2624" t="str">
        <f t="shared" si="80"/>
        <v>25-34</v>
      </c>
      <c r="R2624" t="str">
        <f t="shared" si="81"/>
        <v>[U8c0so51kT6]|25-34|Female|DIAGNOSED_SUBNAT.T_1|CY2023Q3</v>
      </c>
    </row>
    <row r="2625" spans="4:18" x14ac:dyDescent="0.2">
      <c r="D2625" t="s">
        <v>110</v>
      </c>
      <c r="E2625" t="s">
        <v>111</v>
      </c>
      <c r="F2625" t="s">
        <v>112</v>
      </c>
      <c r="G2625" t="s">
        <v>147</v>
      </c>
      <c r="H2625" t="s">
        <v>148</v>
      </c>
      <c r="I2625" t="s">
        <v>42</v>
      </c>
      <c r="J2625" t="s">
        <v>43</v>
      </c>
      <c r="K2625" t="s">
        <v>29</v>
      </c>
      <c r="L2625" t="s">
        <v>30</v>
      </c>
      <c r="M2625" t="s">
        <v>139</v>
      </c>
      <c r="N2625">
        <v>1518</v>
      </c>
      <c r="O2625" s="14">
        <v>0.76024027145467699</v>
      </c>
      <c r="P2625" s="14">
        <v>0.33776879496872397</v>
      </c>
      <c r="Q2625" t="str">
        <f t="shared" si="80"/>
        <v>35-49</v>
      </c>
      <c r="R2625" t="str">
        <f t="shared" si="81"/>
        <v>[U8c0so51kT6]|35-49|Female|DIAGNOSED_SUBNAT.T_1|CY2023Q3</v>
      </c>
    </row>
    <row r="2626" spans="4:18" x14ac:dyDescent="0.2">
      <c r="D2626" t="s">
        <v>110</v>
      </c>
      <c r="E2626" t="s">
        <v>111</v>
      </c>
      <c r="F2626" t="s">
        <v>112</v>
      </c>
      <c r="G2626" t="s">
        <v>147</v>
      </c>
      <c r="H2626" t="s">
        <v>148</v>
      </c>
      <c r="I2626" t="s">
        <v>44</v>
      </c>
      <c r="J2626" t="s">
        <v>45</v>
      </c>
      <c r="K2626" t="s">
        <v>29</v>
      </c>
      <c r="L2626" t="s">
        <v>30</v>
      </c>
      <c r="M2626" t="s">
        <v>139</v>
      </c>
      <c r="N2626">
        <v>1082</v>
      </c>
      <c r="O2626" s="14">
        <v>0.341562228510156</v>
      </c>
      <c r="P2626" s="14">
        <v>0.33776879496872397</v>
      </c>
      <c r="Q2626" t="str">
        <f t="shared" ref="Q2626:Q2689" si="82">SUBSTITUTE(SUBSTITUTE($I2626,CHAR(61),""),CHAR(34),"")</f>
        <v>50+</v>
      </c>
      <c r="R2626" t="str">
        <f t="shared" ref="R2626:R2689" si="83">IF($D2626&lt;&gt;"","["&amp;$E2626&amp;"]"&amp;"|"&amp;$Q2626&amp;"|"&amp;$K2626&amp;"|"&amp;$G2626&amp;"|"&amp;IF($G2626="TX_CURR_SUBNAT.R","CY2022Q4",$M2626),"")</f>
        <v>[U8c0so51kT6]|50+|Female|DIAGNOSED_SUBNAT.T_1|CY2023Q3</v>
      </c>
    </row>
    <row r="2627" spans="4:18" x14ac:dyDescent="0.2">
      <c r="D2627" t="s">
        <v>110</v>
      </c>
      <c r="E2627" t="s">
        <v>111</v>
      </c>
      <c r="F2627" t="s">
        <v>112</v>
      </c>
      <c r="G2627" t="s">
        <v>147</v>
      </c>
      <c r="H2627" t="s">
        <v>148</v>
      </c>
      <c r="I2627" t="s">
        <v>27</v>
      </c>
      <c r="J2627" t="s">
        <v>28</v>
      </c>
      <c r="K2627" t="s">
        <v>47</v>
      </c>
      <c r="L2627" t="s">
        <v>48</v>
      </c>
      <c r="M2627" t="s">
        <v>139</v>
      </c>
      <c r="N2627">
        <v>1250</v>
      </c>
      <c r="O2627" s="14">
        <v>0.73514194274321198</v>
      </c>
      <c r="P2627" s="14">
        <v>0.33776879496872397</v>
      </c>
      <c r="Q2627" t="str">
        <f t="shared" si="82"/>
        <v>&lt;01</v>
      </c>
      <c r="R2627" t="str">
        <f t="shared" si="83"/>
        <v>[U8c0so51kT6]|&lt;01|Male|DIAGNOSED_SUBNAT.T_1|CY2023Q3</v>
      </c>
    </row>
    <row r="2628" spans="4:18" x14ac:dyDescent="0.2">
      <c r="D2628" t="s">
        <v>110</v>
      </c>
      <c r="E2628" t="s">
        <v>111</v>
      </c>
      <c r="F2628" t="s">
        <v>112</v>
      </c>
      <c r="G2628" t="s">
        <v>147</v>
      </c>
      <c r="H2628" t="s">
        <v>148</v>
      </c>
      <c r="I2628" t="s">
        <v>32</v>
      </c>
      <c r="J2628" t="s">
        <v>33</v>
      </c>
      <c r="K2628" t="s">
        <v>47</v>
      </c>
      <c r="L2628" t="s">
        <v>48</v>
      </c>
      <c r="M2628" t="s">
        <v>139</v>
      </c>
      <c r="N2628">
        <v>716</v>
      </c>
      <c r="O2628" s="14">
        <v>0.88504388905130305</v>
      </c>
      <c r="P2628" s="14">
        <v>0.33776879496872397</v>
      </c>
      <c r="Q2628" t="str">
        <f t="shared" si="82"/>
        <v>01-09</v>
      </c>
      <c r="R2628" t="str">
        <f t="shared" si="83"/>
        <v>[U8c0so51kT6]|01-09|Male|DIAGNOSED_SUBNAT.T_1|CY2023Q3</v>
      </c>
    </row>
    <row r="2629" spans="4:18" x14ac:dyDescent="0.2">
      <c r="D2629" t="s">
        <v>110</v>
      </c>
      <c r="E2629" t="s">
        <v>111</v>
      </c>
      <c r="F2629" t="s">
        <v>112</v>
      </c>
      <c r="G2629" t="s">
        <v>147</v>
      </c>
      <c r="H2629" t="s">
        <v>148</v>
      </c>
      <c r="I2629" t="s">
        <v>35</v>
      </c>
      <c r="J2629" t="s">
        <v>36</v>
      </c>
      <c r="K2629" t="s">
        <v>47</v>
      </c>
      <c r="L2629" t="s">
        <v>48</v>
      </c>
      <c r="M2629" t="s">
        <v>139</v>
      </c>
      <c r="N2629">
        <v>1747</v>
      </c>
      <c r="O2629" s="14">
        <v>0.55281613743864</v>
      </c>
      <c r="P2629" s="14">
        <v>0.33776879496872397</v>
      </c>
      <c r="Q2629" t="str">
        <f t="shared" si="82"/>
        <v>10-14</v>
      </c>
      <c r="R2629" t="str">
        <f t="shared" si="83"/>
        <v>[U8c0so51kT6]|10-14|Male|DIAGNOSED_SUBNAT.T_1|CY2023Q3</v>
      </c>
    </row>
    <row r="2630" spans="4:18" x14ac:dyDescent="0.2">
      <c r="D2630" t="s">
        <v>110</v>
      </c>
      <c r="E2630" t="s">
        <v>111</v>
      </c>
      <c r="F2630" t="s">
        <v>112</v>
      </c>
      <c r="G2630" t="s">
        <v>147</v>
      </c>
      <c r="H2630" t="s">
        <v>148</v>
      </c>
      <c r="I2630" t="s">
        <v>37</v>
      </c>
      <c r="J2630" t="s">
        <v>38</v>
      </c>
      <c r="K2630" t="s">
        <v>47</v>
      </c>
      <c r="L2630" t="s">
        <v>48</v>
      </c>
      <c r="M2630" t="s">
        <v>139</v>
      </c>
      <c r="N2630">
        <v>1291</v>
      </c>
      <c r="O2630" s="14">
        <v>0.88633788097649802</v>
      </c>
      <c r="P2630" s="14">
        <v>0.33776879496872397</v>
      </c>
      <c r="Q2630" t="str">
        <f t="shared" si="82"/>
        <v>15-24</v>
      </c>
      <c r="R2630" t="str">
        <f t="shared" si="83"/>
        <v>[U8c0so51kT6]|15-24|Male|DIAGNOSED_SUBNAT.T_1|CY2023Q3</v>
      </c>
    </row>
    <row r="2631" spans="4:18" x14ac:dyDescent="0.2">
      <c r="D2631" t="s">
        <v>110</v>
      </c>
      <c r="E2631" t="s">
        <v>111</v>
      </c>
      <c r="F2631" t="s">
        <v>112</v>
      </c>
      <c r="G2631" t="s">
        <v>147</v>
      </c>
      <c r="H2631" t="s">
        <v>148</v>
      </c>
      <c r="I2631" t="s">
        <v>40</v>
      </c>
      <c r="J2631" t="s">
        <v>41</v>
      </c>
      <c r="K2631" t="s">
        <v>47</v>
      </c>
      <c r="L2631" t="s">
        <v>48</v>
      </c>
      <c r="M2631" t="s">
        <v>139</v>
      </c>
      <c r="N2631">
        <v>1972</v>
      </c>
      <c r="O2631" s="14">
        <v>9.931143024005E-2</v>
      </c>
      <c r="P2631" s="14">
        <v>0.33776879496872397</v>
      </c>
      <c r="Q2631" t="str">
        <f t="shared" si="82"/>
        <v>25-34</v>
      </c>
      <c r="R2631" t="str">
        <f t="shared" si="83"/>
        <v>[U8c0so51kT6]|25-34|Male|DIAGNOSED_SUBNAT.T_1|CY2023Q3</v>
      </c>
    </row>
    <row r="2632" spans="4:18" x14ac:dyDescent="0.2">
      <c r="D2632" t="s">
        <v>110</v>
      </c>
      <c r="E2632" t="s">
        <v>111</v>
      </c>
      <c r="F2632" t="s">
        <v>112</v>
      </c>
      <c r="G2632" t="s">
        <v>147</v>
      </c>
      <c r="H2632" t="s">
        <v>148</v>
      </c>
      <c r="I2632" t="s">
        <v>42</v>
      </c>
      <c r="J2632" t="s">
        <v>43</v>
      </c>
      <c r="K2632" t="s">
        <v>47</v>
      </c>
      <c r="L2632" t="s">
        <v>48</v>
      </c>
      <c r="M2632" t="s">
        <v>139</v>
      </c>
      <c r="N2632">
        <v>1868</v>
      </c>
      <c r="O2632" s="14">
        <v>0.74558082199655495</v>
      </c>
      <c r="P2632" s="14">
        <v>0.33776879496872397</v>
      </c>
      <c r="Q2632" t="str">
        <f t="shared" si="82"/>
        <v>35-49</v>
      </c>
      <c r="R2632" t="str">
        <f t="shared" si="83"/>
        <v>[U8c0so51kT6]|35-49|Male|DIAGNOSED_SUBNAT.T_1|CY2023Q3</v>
      </c>
    </row>
    <row r="2633" spans="4:18" x14ac:dyDescent="0.2">
      <c r="D2633" t="s">
        <v>110</v>
      </c>
      <c r="E2633" t="s">
        <v>111</v>
      </c>
      <c r="F2633" t="s">
        <v>112</v>
      </c>
      <c r="G2633" t="s">
        <v>147</v>
      </c>
      <c r="H2633" t="s">
        <v>148</v>
      </c>
      <c r="I2633" t="s">
        <v>44</v>
      </c>
      <c r="J2633" t="s">
        <v>45</v>
      </c>
      <c r="K2633" t="s">
        <v>47</v>
      </c>
      <c r="L2633" t="s">
        <v>48</v>
      </c>
      <c r="M2633" t="s">
        <v>139</v>
      </c>
      <c r="N2633">
        <v>1716</v>
      </c>
      <c r="O2633" s="14">
        <v>0.123735111905262</v>
      </c>
      <c r="P2633" s="14">
        <v>0.33776879496872397</v>
      </c>
      <c r="Q2633" t="str">
        <f t="shared" si="82"/>
        <v>50+</v>
      </c>
      <c r="R2633" t="str">
        <f t="shared" si="83"/>
        <v>[U8c0so51kT6]|50+|Male|DIAGNOSED_SUBNAT.T_1|CY2023Q3</v>
      </c>
    </row>
    <row r="2634" spans="4:18" x14ac:dyDescent="0.2">
      <c r="D2634" t="s">
        <v>113</v>
      </c>
      <c r="E2634" t="s">
        <v>114</v>
      </c>
      <c r="F2634" t="s">
        <v>115</v>
      </c>
      <c r="G2634" t="s">
        <v>147</v>
      </c>
      <c r="H2634" t="s">
        <v>148</v>
      </c>
      <c r="I2634" t="s">
        <v>27</v>
      </c>
      <c r="J2634" t="s">
        <v>28</v>
      </c>
      <c r="K2634" t="s">
        <v>29</v>
      </c>
      <c r="L2634" t="s">
        <v>30</v>
      </c>
      <c r="M2634" t="s">
        <v>139</v>
      </c>
      <c r="N2634">
        <v>1693</v>
      </c>
      <c r="O2634" s="14">
        <v>0.23093471419997499</v>
      </c>
      <c r="P2634" s="14">
        <v>0.29855980910360802</v>
      </c>
      <c r="Q2634" t="str">
        <f t="shared" si="82"/>
        <v>&lt;01</v>
      </c>
      <c r="R2634" t="str">
        <f t="shared" si="83"/>
        <v>[rpw540fmNUz]|&lt;01|Female|DIAGNOSED_SUBNAT.T_1|CY2023Q3</v>
      </c>
    </row>
    <row r="2635" spans="4:18" x14ac:dyDescent="0.2">
      <c r="D2635" t="s">
        <v>113</v>
      </c>
      <c r="E2635" t="s">
        <v>114</v>
      </c>
      <c r="F2635" t="s">
        <v>115</v>
      </c>
      <c r="G2635" t="s">
        <v>147</v>
      </c>
      <c r="H2635" t="s">
        <v>148</v>
      </c>
      <c r="I2635" t="s">
        <v>32</v>
      </c>
      <c r="J2635" t="s">
        <v>33</v>
      </c>
      <c r="K2635" t="s">
        <v>29</v>
      </c>
      <c r="L2635" t="s">
        <v>30</v>
      </c>
      <c r="M2635" t="s">
        <v>139</v>
      </c>
      <c r="N2635">
        <v>1253</v>
      </c>
      <c r="O2635" s="14">
        <v>0.89069186872802697</v>
      </c>
      <c r="P2635" s="14">
        <v>0.29855980910360802</v>
      </c>
      <c r="Q2635" t="str">
        <f t="shared" si="82"/>
        <v>01-09</v>
      </c>
      <c r="R2635" t="str">
        <f t="shared" si="83"/>
        <v>[rpw540fmNUz]|01-09|Female|DIAGNOSED_SUBNAT.T_1|CY2023Q3</v>
      </c>
    </row>
    <row r="2636" spans="4:18" x14ac:dyDescent="0.2">
      <c r="D2636" t="s">
        <v>113</v>
      </c>
      <c r="E2636" t="s">
        <v>114</v>
      </c>
      <c r="F2636" t="s">
        <v>115</v>
      </c>
      <c r="G2636" t="s">
        <v>147</v>
      </c>
      <c r="H2636" t="s">
        <v>148</v>
      </c>
      <c r="I2636" t="s">
        <v>35</v>
      </c>
      <c r="J2636" t="s">
        <v>36</v>
      </c>
      <c r="K2636" t="s">
        <v>29</v>
      </c>
      <c r="L2636" t="s">
        <v>30</v>
      </c>
      <c r="M2636" t="s">
        <v>139</v>
      </c>
      <c r="N2636">
        <v>1424</v>
      </c>
      <c r="O2636" s="14">
        <v>0.32390991994179802</v>
      </c>
      <c r="P2636" s="14">
        <v>0.29855980910360802</v>
      </c>
      <c r="Q2636" t="str">
        <f t="shared" si="82"/>
        <v>10-14</v>
      </c>
      <c r="R2636" t="str">
        <f t="shared" si="83"/>
        <v>[rpw540fmNUz]|10-14|Female|DIAGNOSED_SUBNAT.T_1|CY2023Q3</v>
      </c>
    </row>
    <row r="2637" spans="4:18" x14ac:dyDescent="0.2">
      <c r="D2637" t="s">
        <v>113</v>
      </c>
      <c r="E2637" t="s">
        <v>114</v>
      </c>
      <c r="F2637" t="s">
        <v>115</v>
      </c>
      <c r="G2637" t="s">
        <v>147</v>
      </c>
      <c r="H2637" t="s">
        <v>148</v>
      </c>
      <c r="I2637" t="s">
        <v>37</v>
      </c>
      <c r="J2637" t="s">
        <v>38</v>
      </c>
      <c r="K2637" t="s">
        <v>29</v>
      </c>
      <c r="L2637" t="s">
        <v>30</v>
      </c>
      <c r="M2637" t="s">
        <v>139</v>
      </c>
      <c r="N2637">
        <v>882</v>
      </c>
      <c r="O2637" s="14">
        <v>0.46761163673363598</v>
      </c>
      <c r="P2637" s="14">
        <v>0.29855980910360802</v>
      </c>
      <c r="Q2637" t="str">
        <f t="shared" si="82"/>
        <v>15-24</v>
      </c>
      <c r="R2637" t="str">
        <f t="shared" si="83"/>
        <v>[rpw540fmNUz]|15-24|Female|DIAGNOSED_SUBNAT.T_1|CY2023Q3</v>
      </c>
    </row>
    <row r="2638" spans="4:18" x14ac:dyDescent="0.2">
      <c r="D2638" t="s">
        <v>113</v>
      </c>
      <c r="E2638" t="s">
        <v>114</v>
      </c>
      <c r="F2638" t="s">
        <v>115</v>
      </c>
      <c r="G2638" t="s">
        <v>147</v>
      </c>
      <c r="H2638" t="s">
        <v>148</v>
      </c>
      <c r="I2638" t="s">
        <v>40</v>
      </c>
      <c r="J2638" t="s">
        <v>41</v>
      </c>
      <c r="K2638" t="s">
        <v>29</v>
      </c>
      <c r="L2638" t="s">
        <v>30</v>
      </c>
      <c r="M2638" t="s">
        <v>139</v>
      </c>
      <c r="N2638">
        <v>799</v>
      </c>
      <c r="O2638" s="14">
        <v>0.22071915026754099</v>
      </c>
      <c r="P2638" s="14">
        <v>0.29855980910360802</v>
      </c>
      <c r="Q2638" t="str">
        <f t="shared" si="82"/>
        <v>25-34</v>
      </c>
      <c r="R2638" t="str">
        <f t="shared" si="83"/>
        <v>[rpw540fmNUz]|25-34|Female|DIAGNOSED_SUBNAT.T_1|CY2023Q3</v>
      </c>
    </row>
    <row r="2639" spans="4:18" x14ac:dyDescent="0.2">
      <c r="D2639" t="s">
        <v>113</v>
      </c>
      <c r="E2639" t="s">
        <v>114</v>
      </c>
      <c r="F2639" t="s">
        <v>115</v>
      </c>
      <c r="G2639" t="s">
        <v>147</v>
      </c>
      <c r="H2639" t="s">
        <v>148</v>
      </c>
      <c r="I2639" t="s">
        <v>42</v>
      </c>
      <c r="J2639" t="s">
        <v>43</v>
      </c>
      <c r="K2639" t="s">
        <v>29</v>
      </c>
      <c r="L2639" t="s">
        <v>30</v>
      </c>
      <c r="M2639" t="s">
        <v>139</v>
      </c>
      <c r="N2639">
        <v>1516</v>
      </c>
      <c r="O2639" s="14">
        <v>0.91485800221562397</v>
      </c>
      <c r="P2639" s="14">
        <v>0.29855980910360802</v>
      </c>
      <c r="Q2639" t="str">
        <f t="shared" si="82"/>
        <v>35-49</v>
      </c>
      <c r="R2639" t="str">
        <f t="shared" si="83"/>
        <v>[rpw540fmNUz]|35-49|Female|DIAGNOSED_SUBNAT.T_1|CY2023Q3</v>
      </c>
    </row>
    <row r="2640" spans="4:18" x14ac:dyDescent="0.2">
      <c r="D2640" t="s">
        <v>113</v>
      </c>
      <c r="E2640" t="s">
        <v>114</v>
      </c>
      <c r="F2640" t="s">
        <v>115</v>
      </c>
      <c r="G2640" t="s">
        <v>147</v>
      </c>
      <c r="H2640" t="s">
        <v>148</v>
      </c>
      <c r="I2640" t="s">
        <v>44</v>
      </c>
      <c r="J2640" t="s">
        <v>45</v>
      </c>
      <c r="K2640" t="s">
        <v>29</v>
      </c>
      <c r="L2640" t="s">
        <v>30</v>
      </c>
      <c r="M2640" t="s">
        <v>139</v>
      </c>
      <c r="N2640">
        <v>1791</v>
      </c>
      <c r="O2640" s="14">
        <v>0.57834784477017798</v>
      </c>
      <c r="P2640" s="14">
        <v>0.29855980910360802</v>
      </c>
      <c r="Q2640" t="str">
        <f t="shared" si="82"/>
        <v>50+</v>
      </c>
      <c r="R2640" t="str">
        <f t="shared" si="83"/>
        <v>[rpw540fmNUz]|50+|Female|DIAGNOSED_SUBNAT.T_1|CY2023Q3</v>
      </c>
    </row>
    <row r="2641" spans="4:18" x14ac:dyDescent="0.2">
      <c r="D2641" t="s">
        <v>113</v>
      </c>
      <c r="E2641" t="s">
        <v>114</v>
      </c>
      <c r="F2641" t="s">
        <v>115</v>
      </c>
      <c r="G2641" t="s">
        <v>147</v>
      </c>
      <c r="H2641" t="s">
        <v>148</v>
      </c>
      <c r="I2641" t="s">
        <v>27</v>
      </c>
      <c r="J2641" t="s">
        <v>28</v>
      </c>
      <c r="K2641" t="s">
        <v>47</v>
      </c>
      <c r="L2641" t="s">
        <v>48</v>
      </c>
      <c r="M2641" t="s">
        <v>139</v>
      </c>
      <c r="N2641">
        <v>979</v>
      </c>
      <c r="O2641" s="14">
        <v>7.6866541523486404E-2</v>
      </c>
      <c r="P2641" s="14">
        <v>0.29855980910360802</v>
      </c>
      <c r="Q2641" t="str">
        <f t="shared" si="82"/>
        <v>&lt;01</v>
      </c>
      <c r="R2641" t="str">
        <f t="shared" si="83"/>
        <v>[rpw540fmNUz]|&lt;01|Male|DIAGNOSED_SUBNAT.T_1|CY2023Q3</v>
      </c>
    </row>
    <row r="2642" spans="4:18" x14ac:dyDescent="0.2">
      <c r="D2642" t="s">
        <v>113</v>
      </c>
      <c r="E2642" t="s">
        <v>114</v>
      </c>
      <c r="F2642" t="s">
        <v>115</v>
      </c>
      <c r="G2642" t="s">
        <v>147</v>
      </c>
      <c r="H2642" t="s">
        <v>148</v>
      </c>
      <c r="I2642" t="s">
        <v>32</v>
      </c>
      <c r="J2642" t="s">
        <v>33</v>
      </c>
      <c r="K2642" t="s">
        <v>47</v>
      </c>
      <c r="L2642" t="s">
        <v>48</v>
      </c>
      <c r="M2642" t="s">
        <v>139</v>
      </c>
      <c r="N2642">
        <v>1620</v>
      </c>
      <c r="O2642" s="14">
        <v>0.75438810000196099</v>
      </c>
      <c r="P2642" s="14">
        <v>0.29855980910360802</v>
      </c>
      <c r="Q2642" t="str">
        <f t="shared" si="82"/>
        <v>01-09</v>
      </c>
      <c r="R2642" t="str">
        <f t="shared" si="83"/>
        <v>[rpw540fmNUz]|01-09|Male|DIAGNOSED_SUBNAT.T_1|CY2023Q3</v>
      </c>
    </row>
    <row r="2643" spans="4:18" x14ac:dyDescent="0.2">
      <c r="D2643" t="s">
        <v>113</v>
      </c>
      <c r="E2643" t="s">
        <v>114</v>
      </c>
      <c r="F2643" t="s">
        <v>115</v>
      </c>
      <c r="G2643" t="s">
        <v>147</v>
      </c>
      <c r="H2643" t="s">
        <v>148</v>
      </c>
      <c r="I2643" t="s">
        <v>35</v>
      </c>
      <c r="J2643" t="s">
        <v>36</v>
      </c>
      <c r="K2643" t="s">
        <v>47</v>
      </c>
      <c r="L2643" t="s">
        <v>48</v>
      </c>
      <c r="M2643" t="s">
        <v>139</v>
      </c>
      <c r="N2643">
        <v>658</v>
      </c>
      <c r="O2643" s="14">
        <v>0.417595985811204</v>
      </c>
      <c r="P2643" s="14">
        <v>0.29855980910360802</v>
      </c>
      <c r="Q2643" t="str">
        <f t="shared" si="82"/>
        <v>10-14</v>
      </c>
      <c r="R2643" t="str">
        <f t="shared" si="83"/>
        <v>[rpw540fmNUz]|10-14|Male|DIAGNOSED_SUBNAT.T_1|CY2023Q3</v>
      </c>
    </row>
    <row r="2644" spans="4:18" x14ac:dyDescent="0.2">
      <c r="D2644" t="s">
        <v>113</v>
      </c>
      <c r="E2644" t="s">
        <v>114</v>
      </c>
      <c r="F2644" t="s">
        <v>115</v>
      </c>
      <c r="G2644" t="s">
        <v>147</v>
      </c>
      <c r="H2644" t="s">
        <v>148</v>
      </c>
      <c r="I2644" t="s">
        <v>37</v>
      </c>
      <c r="J2644" t="s">
        <v>38</v>
      </c>
      <c r="K2644" t="s">
        <v>47</v>
      </c>
      <c r="L2644" t="s">
        <v>48</v>
      </c>
      <c r="M2644" t="s">
        <v>139</v>
      </c>
      <c r="N2644">
        <v>1527</v>
      </c>
      <c r="O2644" s="14">
        <v>0.296965689398348</v>
      </c>
      <c r="P2644" s="14">
        <v>0.29855980910360802</v>
      </c>
      <c r="Q2644" t="str">
        <f t="shared" si="82"/>
        <v>15-24</v>
      </c>
      <c r="R2644" t="str">
        <f t="shared" si="83"/>
        <v>[rpw540fmNUz]|15-24|Male|DIAGNOSED_SUBNAT.T_1|CY2023Q3</v>
      </c>
    </row>
    <row r="2645" spans="4:18" x14ac:dyDescent="0.2">
      <c r="D2645" t="s">
        <v>113</v>
      </c>
      <c r="E2645" t="s">
        <v>114</v>
      </c>
      <c r="F2645" t="s">
        <v>115</v>
      </c>
      <c r="G2645" t="s">
        <v>147</v>
      </c>
      <c r="H2645" t="s">
        <v>148</v>
      </c>
      <c r="I2645" t="s">
        <v>40</v>
      </c>
      <c r="J2645" t="s">
        <v>41</v>
      </c>
      <c r="K2645" t="s">
        <v>47</v>
      </c>
      <c r="L2645" t="s">
        <v>48</v>
      </c>
      <c r="M2645" t="s">
        <v>139</v>
      </c>
      <c r="N2645">
        <v>1449</v>
      </c>
      <c r="O2645" s="14">
        <v>0.75567308464087501</v>
      </c>
      <c r="P2645" s="14">
        <v>0.29855980910360802</v>
      </c>
      <c r="Q2645" t="str">
        <f t="shared" si="82"/>
        <v>25-34</v>
      </c>
      <c r="R2645" t="str">
        <f t="shared" si="83"/>
        <v>[rpw540fmNUz]|25-34|Male|DIAGNOSED_SUBNAT.T_1|CY2023Q3</v>
      </c>
    </row>
    <row r="2646" spans="4:18" x14ac:dyDescent="0.2">
      <c r="D2646" t="s">
        <v>113</v>
      </c>
      <c r="E2646" t="s">
        <v>114</v>
      </c>
      <c r="F2646" t="s">
        <v>115</v>
      </c>
      <c r="G2646" t="s">
        <v>147</v>
      </c>
      <c r="H2646" t="s">
        <v>148</v>
      </c>
      <c r="I2646" t="s">
        <v>42</v>
      </c>
      <c r="J2646" t="s">
        <v>43</v>
      </c>
      <c r="K2646" t="s">
        <v>47</v>
      </c>
      <c r="L2646" t="s">
        <v>48</v>
      </c>
      <c r="M2646" t="s">
        <v>139</v>
      </c>
      <c r="N2646">
        <v>1217</v>
      </c>
      <c r="O2646" s="14">
        <v>0.407387473154813</v>
      </c>
      <c r="P2646" s="14">
        <v>0.29855980910360802</v>
      </c>
      <c r="Q2646" t="str">
        <f t="shared" si="82"/>
        <v>35-49</v>
      </c>
      <c r="R2646" t="str">
        <f t="shared" si="83"/>
        <v>[rpw540fmNUz]|35-49|Male|DIAGNOSED_SUBNAT.T_1|CY2023Q3</v>
      </c>
    </row>
    <row r="2647" spans="4:18" x14ac:dyDescent="0.2">
      <c r="D2647" t="s">
        <v>113</v>
      </c>
      <c r="E2647" t="s">
        <v>114</v>
      </c>
      <c r="F2647" t="s">
        <v>115</v>
      </c>
      <c r="G2647" t="s">
        <v>147</v>
      </c>
      <c r="H2647" t="s">
        <v>148</v>
      </c>
      <c r="I2647" t="s">
        <v>44</v>
      </c>
      <c r="J2647" t="s">
        <v>45</v>
      </c>
      <c r="K2647" t="s">
        <v>47</v>
      </c>
      <c r="L2647" t="s">
        <v>48</v>
      </c>
      <c r="M2647" t="s">
        <v>139</v>
      </c>
      <c r="N2647">
        <v>861</v>
      </c>
      <c r="O2647" s="14">
        <v>0.39227545121684698</v>
      </c>
      <c r="P2647" s="14">
        <v>0.29855980910360802</v>
      </c>
      <c r="Q2647" t="str">
        <f t="shared" si="82"/>
        <v>50+</v>
      </c>
      <c r="R2647" t="str">
        <f t="shared" si="83"/>
        <v>[rpw540fmNUz]|50+|Male|DIAGNOSED_SUBNAT.T_1|CY2023Q3</v>
      </c>
    </row>
    <row r="2648" spans="4:18" x14ac:dyDescent="0.2">
      <c r="D2648" t="s">
        <v>116</v>
      </c>
      <c r="E2648" t="s">
        <v>117</v>
      </c>
      <c r="F2648" t="s">
        <v>118</v>
      </c>
      <c r="G2648" t="s">
        <v>147</v>
      </c>
      <c r="H2648" t="s">
        <v>148</v>
      </c>
      <c r="I2648" t="s">
        <v>27</v>
      </c>
      <c r="J2648" t="s">
        <v>28</v>
      </c>
      <c r="K2648" t="s">
        <v>29</v>
      </c>
      <c r="L2648" t="s">
        <v>30</v>
      </c>
      <c r="M2648" t="s">
        <v>139</v>
      </c>
      <c r="N2648">
        <v>1277</v>
      </c>
      <c r="O2648" s="14">
        <v>0.36253068945370598</v>
      </c>
      <c r="P2648" s="14">
        <v>0.206259709550068</v>
      </c>
      <c r="Q2648" t="str">
        <f t="shared" si="82"/>
        <v>&lt;01</v>
      </c>
      <c r="R2648" t="str">
        <f t="shared" si="83"/>
        <v>[lPTyjLi4w3d]|&lt;01|Female|DIAGNOSED_SUBNAT.T_1|CY2023Q3</v>
      </c>
    </row>
    <row r="2649" spans="4:18" x14ac:dyDescent="0.2">
      <c r="D2649" t="s">
        <v>116</v>
      </c>
      <c r="E2649" t="s">
        <v>117</v>
      </c>
      <c r="F2649" t="s">
        <v>118</v>
      </c>
      <c r="G2649" t="s">
        <v>147</v>
      </c>
      <c r="H2649" t="s">
        <v>148</v>
      </c>
      <c r="I2649" t="s">
        <v>32</v>
      </c>
      <c r="J2649" t="s">
        <v>33</v>
      </c>
      <c r="K2649" t="s">
        <v>29</v>
      </c>
      <c r="L2649" t="s">
        <v>30</v>
      </c>
      <c r="M2649" t="s">
        <v>139</v>
      </c>
      <c r="N2649">
        <v>1181</v>
      </c>
      <c r="O2649" s="14">
        <v>4.1461081244051498E-2</v>
      </c>
      <c r="P2649" s="14">
        <v>0.206259709550068</v>
      </c>
      <c r="Q2649" t="str">
        <f t="shared" si="82"/>
        <v>01-09</v>
      </c>
      <c r="R2649" t="str">
        <f t="shared" si="83"/>
        <v>[lPTyjLi4w3d]|01-09|Female|DIAGNOSED_SUBNAT.T_1|CY2023Q3</v>
      </c>
    </row>
    <row r="2650" spans="4:18" x14ac:dyDescent="0.2">
      <c r="D2650" t="s">
        <v>116</v>
      </c>
      <c r="E2650" t="s">
        <v>117</v>
      </c>
      <c r="F2650" t="s">
        <v>118</v>
      </c>
      <c r="G2650" t="s">
        <v>147</v>
      </c>
      <c r="H2650" t="s">
        <v>148</v>
      </c>
      <c r="I2650" t="s">
        <v>35</v>
      </c>
      <c r="J2650" t="s">
        <v>36</v>
      </c>
      <c r="K2650" t="s">
        <v>29</v>
      </c>
      <c r="L2650" t="s">
        <v>30</v>
      </c>
      <c r="M2650" t="s">
        <v>139</v>
      </c>
      <c r="N2650">
        <v>1092</v>
      </c>
      <c r="O2650" s="14">
        <v>3.90932240989059E-2</v>
      </c>
      <c r="P2650" s="14">
        <v>0.206259709550068</v>
      </c>
      <c r="Q2650" t="str">
        <f t="shared" si="82"/>
        <v>10-14</v>
      </c>
      <c r="R2650" t="str">
        <f t="shared" si="83"/>
        <v>[lPTyjLi4w3d]|10-14|Female|DIAGNOSED_SUBNAT.T_1|CY2023Q3</v>
      </c>
    </row>
    <row r="2651" spans="4:18" x14ac:dyDescent="0.2">
      <c r="D2651" t="s">
        <v>116</v>
      </c>
      <c r="E2651" t="s">
        <v>117</v>
      </c>
      <c r="F2651" t="s">
        <v>118</v>
      </c>
      <c r="G2651" t="s">
        <v>147</v>
      </c>
      <c r="H2651" t="s">
        <v>148</v>
      </c>
      <c r="I2651" t="s">
        <v>37</v>
      </c>
      <c r="J2651" t="s">
        <v>38</v>
      </c>
      <c r="K2651" t="s">
        <v>29</v>
      </c>
      <c r="L2651" t="s">
        <v>30</v>
      </c>
      <c r="M2651" t="s">
        <v>139</v>
      </c>
      <c r="N2651">
        <v>766</v>
      </c>
      <c r="O2651" s="14">
        <v>0.439941670978442</v>
      </c>
      <c r="P2651" s="14">
        <v>0.206259709550068</v>
      </c>
      <c r="Q2651" t="str">
        <f t="shared" si="82"/>
        <v>15-24</v>
      </c>
      <c r="R2651" t="str">
        <f t="shared" si="83"/>
        <v>[lPTyjLi4w3d]|15-24|Female|DIAGNOSED_SUBNAT.T_1|CY2023Q3</v>
      </c>
    </row>
    <row r="2652" spans="4:18" x14ac:dyDescent="0.2">
      <c r="D2652" t="s">
        <v>116</v>
      </c>
      <c r="E2652" t="s">
        <v>117</v>
      </c>
      <c r="F2652" t="s">
        <v>118</v>
      </c>
      <c r="G2652" t="s">
        <v>147</v>
      </c>
      <c r="H2652" t="s">
        <v>148</v>
      </c>
      <c r="I2652" t="s">
        <v>40</v>
      </c>
      <c r="J2652" t="s">
        <v>41</v>
      </c>
      <c r="K2652" t="s">
        <v>29</v>
      </c>
      <c r="L2652" t="s">
        <v>30</v>
      </c>
      <c r="M2652" t="s">
        <v>139</v>
      </c>
      <c r="N2652">
        <v>1177</v>
      </c>
      <c r="O2652" s="14">
        <v>0.30664332164451502</v>
      </c>
      <c r="P2652" s="14">
        <v>0.206259709550068</v>
      </c>
      <c r="Q2652" t="str">
        <f t="shared" si="82"/>
        <v>25-34</v>
      </c>
      <c r="R2652" t="str">
        <f t="shared" si="83"/>
        <v>[lPTyjLi4w3d]|25-34|Female|DIAGNOSED_SUBNAT.T_1|CY2023Q3</v>
      </c>
    </row>
    <row r="2653" spans="4:18" x14ac:dyDescent="0.2">
      <c r="D2653" t="s">
        <v>116</v>
      </c>
      <c r="E2653" t="s">
        <v>117</v>
      </c>
      <c r="F2653" t="s">
        <v>118</v>
      </c>
      <c r="G2653" t="s">
        <v>147</v>
      </c>
      <c r="H2653" t="s">
        <v>148</v>
      </c>
      <c r="I2653" t="s">
        <v>42</v>
      </c>
      <c r="J2653" t="s">
        <v>43</v>
      </c>
      <c r="K2653" t="s">
        <v>29</v>
      </c>
      <c r="L2653" t="s">
        <v>30</v>
      </c>
      <c r="M2653" t="s">
        <v>139</v>
      </c>
      <c r="N2653">
        <v>1678</v>
      </c>
      <c r="O2653" s="14">
        <v>0.69817779609002195</v>
      </c>
      <c r="P2653" s="14">
        <v>0.206259709550068</v>
      </c>
      <c r="Q2653" t="str">
        <f t="shared" si="82"/>
        <v>35-49</v>
      </c>
      <c r="R2653" t="str">
        <f t="shared" si="83"/>
        <v>[lPTyjLi4w3d]|35-49|Female|DIAGNOSED_SUBNAT.T_1|CY2023Q3</v>
      </c>
    </row>
    <row r="2654" spans="4:18" x14ac:dyDescent="0.2">
      <c r="D2654" t="s">
        <v>116</v>
      </c>
      <c r="E2654" t="s">
        <v>117</v>
      </c>
      <c r="F2654" t="s">
        <v>118</v>
      </c>
      <c r="G2654" t="s">
        <v>147</v>
      </c>
      <c r="H2654" t="s">
        <v>148</v>
      </c>
      <c r="I2654" t="s">
        <v>44</v>
      </c>
      <c r="J2654" t="s">
        <v>45</v>
      </c>
      <c r="K2654" t="s">
        <v>29</v>
      </c>
      <c r="L2654" t="s">
        <v>30</v>
      </c>
      <c r="M2654" t="s">
        <v>139</v>
      </c>
      <c r="N2654">
        <v>947</v>
      </c>
      <c r="O2654" s="14">
        <v>0.65540321567095805</v>
      </c>
      <c r="P2654" s="14">
        <v>0.206259709550068</v>
      </c>
      <c r="Q2654" t="str">
        <f t="shared" si="82"/>
        <v>50+</v>
      </c>
      <c r="R2654" t="str">
        <f t="shared" si="83"/>
        <v>[lPTyjLi4w3d]|50+|Female|DIAGNOSED_SUBNAT.T_1|CY2023Q3</v>
      </c>
    </row>
    <row r="2655" spans="4:18" x14ac:dyDescent="0.2">
      <c r="D2655" t="s">
        <v>116</v>
      </c>
      <c r="E2655" t="s">
        <v>117</v>
      </c>
      <c r="F2655" t="s">
        <v>118</v>
      </c>
      <c r="G2655" t="s">
        <v>147</v>
      </c>
      <c r="H2655" t="s">
        <v>148</v>
      </c>
      <c r="I2655" t="s">
        <v>27</v>
      </c>
      <c r="J2655" t="s">
        <v>28</v>
      </c>
      <c r="K2655" t="s">
        <v>47</v>
      </c>
      <c r="L2655" t="s">
        <v>48</v>
      </c>
      <c r="M2655" t="s">
        <v>139</v>
      </c>
      <c r="N2655">
        <v>1000</v>
      </c>
      <c r="O2655" s="14">
        <v>0.101728732232004</v>
      </c>
      <c r="P2655" s="14">
        <v>0.206259709550068</v>
      </c>
      <c r="Q2655" t="str">
        <f t="shared" si="82"/>
        <v>&lt;01</v>
      </c>
      <c r="R2655" t="str">
        <f t="shared" si="83"/>
        <v>[lPTyjLi4w3d]|&lt;01|Male|DIAGNOSED_SUBNAT.T_1|CY2023Q3</v>
      </c>
    </row>
    <row r="2656" spans="4:18" x14ac:dyDescent="0.2">
      <c r="D2656" t="s">
        <v>116</v>
      </c>
      <c r="E2656" t="s">
        <v>117</v>
      </c>
      <c r="F2656" t="s">
        <v>118</v>
      </c>
      <c r="G2656" t="s">
        <v>147</v>
      </c>
      <c r="H2656" t="s">
        <v>148</v>
      </c>
      <c r="I2656" t="s">
        <v>32</v>
      </c>
      <c r="J2656" t="s">
        <v>33</v>
      </c>
      <c r="K2656" t="s">
        <v>47</v>
      </c>
      <c r="L2656" t="s">
        <v>48</v>
      </c>
      <c r="M2656" t="s">
        <v>139</v>
      </c>
      <c r="N2656">
        <v>1927</v>
      </c>
      <c r="O2656" s="14">
        <v>0.68385647144168604</v>
      </c>
      <c r="P2656" s="14">
        <v>0.206259709550068</v>
      </c>
      <c r="Q2656" t="str">
        <f t="shared" si="82"/>
        <v>01-09</v>
      </c>
      <c r="R2656" t="str">
        <f t="shared" si="83"/>
        <v>[lPTyjLi4w3d]|01-09|Male|DIAGNOSED_SUBNAT.T_1|CY2023Q3</v>
      </c>
    </row>
    <row r="2657" spans="4:18" x14ac:dyDescent="0.2">
      <c r="D2657" t="s">
        <v>116</v>
      </c>
      <c r="E2657" t="s">
        <v>117</v>
      </c>
      <c r="F2657" t="s">
        <v>118</v>
      </c>
      <c r="G2657" t="s">
        <v>147</v>
      </c>
      <c r="H2657" t="s">
        <v>148</v>
      </c>
      <c r="I2657" t="s">
        <v>35</v>
      </c>
      <c r="J2657" t="s">
        <v>36</v>
      </c>
      <c r="K2657" t="s">
        <v>47</v>
      </c>
      <c r="L2657" t="s">
        <v>48</v>
      </c>
      <c r="M2657" t="s">
        <v>139</v>
      </c>
      <c r="N2657">
        <v>1088</v>
      </c>
      <c r="O2657" s="14">
        <v>6.5064101712778197E-2</v>
      </c>
      <c r="P2657" s="14">
        <v>0.206259709550068</v>
      </c>
      <c r="Q2657" t="str">
        <f t="shared" si="82"/>
        <v>10-14</v>
      </c>
      <c r="R2657" t="str">
        <f t="shared" si="83"/>
        <v>[lPTyjLi4w3d]|10-14|Male|DIAGNOSED_SUBNAT.T_1|CY2023Q3</v>
      </c>
    </row>
    <row r="2658" spans="4:18" x14ac:dyDescent="0.2">
      <c r="D2658" t="s">
        <v>116</v>
      </c>
      <c r="E2658" t="s">
        <v>117</v>
      </c>
      <c r="F2658" t="s">
        <v>118</v>
      </c>
      <c r="G2658" t="s">
        <v>147</v>
      </c>
      <c r="H2658" t="s">
        <v>148</v>
      </c>
      <c r="I2658" t="s">
        <v>37</v>
      </c>
      <c r="J2658" t="s">
        <v>38</v>
      </c>
      <c r="K2658" t="s">
        <v>47</v>
      </c>
      <c r="L2658" t="s">
        <v>48</v>
      </c>
      <c r="M2658" t="s">
        <v>139</v>
      </c>
      <c r="N2658">
        <v>1880</v>
      </c>
      <c r="O2658" s="14">
        <v>0.42414333880879002</v>
      </c>
      <c r="P2658" s="14">
        <v>0.206259709550068</v>
      </c>
      <c r="Q2658" t="str">
        <f t="shared" si="82"/>
        <v>15-24</v>
      </c>
      <c r="R2658" t="str">
        <f t="shared" si="83"/>
        <v>[lPTyjLi4w3d]|15-24|Male|DIAGNOSED_SUBNAT.T_1|CY2023Q3</v>
      </c>
    </row>
    <row r="2659" spans="4:18" x14ac:dyDescent="0.2">
      <c r="D2659" t="s">
        <v>116</v>
      </c>
      <c r="E2659" t="s">
        <v>117</v>
      </c>
      <c r="F2659" t="s">
        <v>118</v>
      </c>
      <c r="G2659" t="s">
        <v>147</v>
      </c>
      <c r="H2659" t="s">
        <v>148</v>
      </c>
      <c r="I2659" t="s">
        <v>40</v>
      </c>
      <c r="J2659" t="s">
        <v>41</v>
      </c>
      <c r="K2659" t="s">
        <v>47</v>
      </c>
      <c r="L2659" t="s">
        <v>48</v>
      </c>
      <c r="M2659" t="s">
        <v>139</v>
      </c>
      <c r="N2659">
        <v>1021</v>
      </c>
      <c r="O2659" s="14">
        <v>0.97709924005903304</v>
      </c>
      <c r="P2659" s="14">
        <v>0.206259709550068</v>
      </c>
      <c r="Q2659" t="str">
        <f t="shared" si="82"/>
        <v>25-34</v>
      </c>
      <c r="R2659" t="str">
        <f t="shared" si="83"/>
        <v>[lPTyjLi4w3d]|25-34|Male|DIAGNOSED_SUBNAT.T_1|CY2023Q3</v>
      </c>
    </row>
    <row r="2660" spans="4:18" x14ac:dyDescent="0.2">
      <c r="D2660" t="s">
        <v>116</v>
      </c>
      <c r="E2660" t="s">
        <v>117</v>
      </c>
      <c r="F2660" t="s">
        <v>118</v>
      </c>
      <c r="G2660" t="s">
        <v>147</v>
      </c>
      <c r="H2660" t="s">
        <v>148</v>
      </c>
      <c r="I2660" t="s">
        <v>42</v>
      </c>
      <c r="J2660" t="s">
        <v>43</v>
      </c>
      <c r="K2660" t="s">
        <v>47</v>
      </c>
      <c r="L2660" t="s">
        <v>48</v>
      </c>
      <c r="M2660" t="s">
        <v>139</v>
      </c>
      <c r="N2660">
        <v>1424</v>
      </c>
      <c r="O2660" s="14">
        <v>0.50206506368704096</v>
      </c>
      <c r="P2660" s="14">
        <v>0.206259709550068</v>
      </c>
      <c r="Q2660" t="str">
        <f t="shared" si="82"/>
        <v>35-49</v>
      </c>
      <c r="R2660" t="str">
        <f t="shared" si="83"/>
        <v>[lPTyjLi4w3d]|35-49|Male|DIAGNOSED_SUBNAT.T_1|CY2023Q3</v>
      </c>
    </row>
    <row r="2661" spans="4:18" x14ac:dyDescent="0.2">
      <c r="D2661" t="s">
        <v>116</v>
      </c>
      <c r="E2661" t="s">
        <v>117</v>
      </c>
      <c r="F2661" t="s">
        <v>118</v>
      </c>
      <c r="G2661" t="s">
        <v>147</v>
      </c>
      <c r="H2661" t="s">
        <v>148</v>
      </c>
      <c r="I2661" t="s">
        <v>44</v>
      </c>
      <c r="J2661" t="s">
        <v>45</v>
      </c>
      <c r="K2661" t="s">
        <v>47</v>
      </c>
      <c r="L2661" t="s">
        <v>48</v>
      </c>
      <c r="M2661" t="s">
        <v>139</v>
      </c>
      <c r="N2661">
        <v>848</v>
      </c>
      <c r="O2661" s="14">
        <v>0.206030081026256</v>
      </c>
      <c r="P2661" s="14">
        <v>0.206259709550068</v>
      </c>
      <c r="Q2661" t="str">
        <f t="shared" si="82"/>
        <v>50+</v>
      </c>
      <c r="R2661" t="str">
        <f t="shared" si="83"/>
        <v>[lPTyjLi4w3d]|50+|Male|DIAGNOSED_SUBNAT.T_1|CY2023Q3</v>
      </c>
    </row>
    <row r="2662" spans="4:18" x14ac:dyDescent="0.2">
      <c r="D2662" t="s">
        <v>119</v>
      </c>
      <c r="E2662" t="s">
        <v>120</v>
      </c>
      <c r="F2662" t="s">
        <v>121</v>
      </c>
      <c r="G2662" t="s">
        <v>147</v>
      </c>
      <c r="H2662" t="s">
        <v>148</v>
      </c>
      <c r="I2662" t="s">
        <v>27</v>
      </c>
      <c r="J2662" t="s">
        <v>28</v>
      </c>
      <c r="K2662" t="s">
        <v>29</v>
      </c>
      <c r="L2662" t="s">
        <v>30</v>
      </c>
      <c r="M2662" t="s">
        <v>139</v>
      </c>
      <c r="N2662">
        <v>1932</v>
      </c>
      <c r="O2662" s="14">
        <v>0.25081695569679102</v>
      </c>
      <c r="P2662" s="14">
        <v>0.43010397930629601</v>
      </c>
      <c r="Q2662" t="str">
        <f t="shared" si="82"/>
        <v>&lt;01</v>
      </c>
      <c r="R2662" t="str">
        <f t="shared" si="83"/>
        <v>[vA4NcHxfMBq]|&lt;01|Female|DIAGNOSED_SUBNAT.T_1|CY2023Q3</v>
      </c>
    </row>
    <row r="2663" spans="4:18" x14ac:dyDescent="0.2">
      <c r="D2663" t="s">
        <v>119</v>
      </c>
      <c r="E2663" t="s">
        <v>120</v>
      </c>
      <c r="F2663" t="s">
        <v>121</v>
      </c>
      <c r="G2663" t="s">
        <v>147</v>
      </c>
      <c r="H2663" t="s">
        <v>148</v>
      </c>
      <c r="I2663" t="s">
        <v>32</v>
      </c>
      <c r="J2663" t="s">
        <v>33</v>
      </c>
      <c r="K2663" t="s">
        <v>29</v>
      </c>
      <c r="L2663" t="s">
        <v>30</v>
      </c>
      <c r="M2663" t="s">
        <v>139</v>
      </c>
      <c r="N2663">
        <v>1264</v>
      </c>
      <c r="O2663" s="14">
        <v>0.57779574790038202</v>
      </c>
      <c r="P2663" s="14">
        <v>0.43010397930629601</v>
      </c>
      <c r="Q2663" t="str">
        <f t="shared" si="82"/>
        <v>01-09</v>
      </c>
      <c r="R2663" t="str">
        <f t="shared" si="83"/>
        <v>[vA4NcHxfMBq]|01-09|Female|DIAGNOSED_SUBNAT.T_1|CY2023Q3</v>
      </c>
    </row>
    <row r="2664" spans="4:18" x14ac:dyDescent="0.2">
      <c r="D2664" t="s">
        <v>119</v>
      </c>
      <c r="E2664" t="s">
        <v>120</v>
      </c>
      <c r="F2664" t="s">
        <v>121</v>
      </c>
      <c r="G2664" t="s">
        <v>147</v>
      </c>
      <c r="H2664" t="s">
        <v>148</v>
      </c>
      <c r="I2664" t="s">
        <v>35</v>
      </c>
      <c r="J2664" t="s">
        <v>36</v>
      </c>
      <c r="K2664" t="s">
        <v>29</v>
      </c>
      <c r="L2664" t="s">
        <v>30</v>
      </c>
      <c r="M2664" t="s">
        <v>139</v>
      </c>
      <c r="N2664">
        <v>744</v>
      </c>
      <c r="O2664" s="14">
        <v>0.10349024180322899</v>
      </c>
      <c r="P2664" s="14">
        <v>0.43010397930629601</v>
      </c>
      <c r="Q2664" t="str">
        <f t="shared" si="82"/>
        <v>10-14</v>
      </c>
      <c r="R2664" t="str">
        <f t="shared" si="83"/>
        <v>[vA4NcHxfMBq]|10-14|Female|DIAGNOSED_SUBNAT.T_1|CY2023Q3</v>
      </c>
    </row>
    <row r="2665" spans="4:18" x14ac:dyDescent="0.2">
      <c r="D2665" t="s">
        <v>119</v>
      </c>
      <c r="E2665" t="s">
        <v>120</v>
      </c>
      <c r="F2665" t="s">
        <v>121</v>
      </c>
      <c r="G2665" t="s">
        <v>147</v>
      </c>
      <c r="H2665" t="s">
        <v>148</v>
      </c>
      <c r="I2665" t="s">
        <v>37</v>
      </c>
      <c r="J2665" t="s">
        <v>38</v>
      </c>
      <c r="K2665" t="s">
        <v>29</v>
      </c>
      <c r="L2665" t="s">
        <v>30</v>
      </c>
      <c r="M2665" t="s">
        <v>139</v>
      </c>
      <c r="N2665">
        <v>1209</v>
      </c>
      <c r="O2665" s="14">
        <v>0.89545278251171101</v>
      </c>
      <c r="P2665" s="14">
        <v>0.43010397930629601</v>
      </c>
      <c r="Q2665" t="str">
        <f t="shared" si="82"/>
        <v>15-24</v>
      </c>
      <c r="R2665" t="str">
        <f t="shared" si="83"/>
        <v>[vA4NcHxfMBq]|15-24|Female|DIAGNOSED_SUBNAT.T_1|CY2023Q3</v>
      </c>
    </row>
    <row r="2666" spans="4:18" x14ac:dyDescent="0.2">
      <c r="D2666" t="s">
        <v>119</v>
      </c>
      <c r="E2666" t="s">
        <v>120</v>
      </c>
      <c r="F2666" t="s">
        <v>121</v>
      </c>
      <c r="G2666" t="s">
        <v>147</v>
      </c>
      <c r="H2666" t="s">
        <v>148</v>
      </c>
      <c r="I2666" t="s">
        <v>40</v>
      </c>
      <c r="J2666" t="s">
        <v>41</v>
      </c>
      <c r="K2666" t="s">
        <v>29</v>
      </c>
      <c r="L2666" t="s">
        <v>30</v>
      </c>
      <c r="M2666" t="s">
        <v>139</v>
      </c>
      <c r="N2666">
        <v>1058</v>
      </c>
      <c r="O2666" s="14">
        <v>0.91129493503831305</v>
      </c>
      <c r="P2666" s="14">
        <v>0.43010397930629601</v>
      </c>
      <c r="Q2666" t="str">
        <f t="shared" si="82"/>
        <v>25-34</v>
      </c>
      <c r="R2666" t="str">
        <f t="shared" si="83"/>
        <v>[vA4NcHxfMBq]|25-34|Female|DIAGNOSED_SUBNAT.T_1|CY2023Q3</v>
      </c>
    </row>
    <row r="2667" spans="4:18" x14ac:dyDescent="0.2">
      <c r="D2667" t="s">
        <v>119</v>
      </c>
      <c r="E2667" t="s">
        <v>120</v>
      </c>
      <c r="F2667" t="s">
        <v>121</v>
      </c>
      <c r="G2667" t="s">
        <v>147</v>
      </c>
      <c r="H2667" t="s">
        <v>148</v>
      </c>
      <c r="I2667" t="s">
        <v>42</v>
      </c>
      <c r="J2667" t="s">
        <v>43</v>
      </c>
      <c r="K2667" t="s">
        <v>29</v>
      </c>
      <c r="L2667" t="s">
        <v>30</v>
      </c>
      <c r="M2667" t="s">
        <v>139</v>
      </c>
      <c r="N2667">
        <v>824</v>
      </c>
      <c r="O2667" s="14">
        <v>0.393097530351952</v>
      </c>
      <c r="P2667" s="14">
        <v>0.43010397930629601</v>
      </c>
      <c r="Q2667" t="str">
        <f t="shared" si="82"/>
        <v>35-49</v>
      </c>
      <c r="R2667" t="str">
        <f t="shared" si="83"/>
        <v>[vA4NcHxfMBq]|35-49|Female|DIAGNOSED_SUBNAT.T_1|CY2023Q3</v>
      </c>
    </row>
    <row r="2668" spans="4:18" x14ac:dyDescent="0.2">
      <c r="D2668" t="s">
        <v>119</v>
      </c>
      <c r="E2668" t="s">
        <v>120</v>
      </c>
      <c r="F2668" t="s">
        <v>121</v>
      </c>
      <c r="G2668" t="s">
        <v>147</v>
      </c>
      <c r="H2668" t="s">
        <v>148</v>
      </c>
      <c r="I2668" t="s">
        <v>44</v>
      </c>
      <c r="J2668" t="s">
        <v>45</v>
      </c>
      <c r="K2668" t="s">
        <v>29</v>
      </c>
      <c r="L2668" t="s">
        <v>30</v>
      </c>
      <c r="M2668" t="s">
        <v>139</v>
      </c>
      <c r="N2668">
        <v>914</v>
      </c>
      <c r="O2668" s="14">
        <v>7.40592279471457E-2</v>
      </c>
      <c r="P2668" s="14">
        <v>0.43010397930629601</v>
      </c>
      <c r="Q2668" t="str">
        <f t="shared" si="82"/>
        <v>50+</v>
      </c>
      <c r="R2668" t="str">
        <f t="shared" si="83"/>
        <v>[vA4NcHxfMBq]|50+|Female|DIAGNOSED_SUBNAT.T_1|CY2023Q3</v>
      </c>
    </row>
    <row r="2669" spans="4:18" x14ac:dyDescent="0.2">
      <c r="D2669" t="s">
        <v>119</v>
      </c>
      <c r="E2669" t="s">
        <v>120</v>
      </c>
      <c r="F2669" t="s">
        <v>121</v>
      </c>
      <c r="G2669" t="s">
        <v>147</v>
      </c>
      <c r="H2669" t="s">
        <v>148</v>
      </c>
      <c r="I2669" t="s">
        <v>27</v>
      </c>
      <c r="J2669" t="s">
        <v>28</v>
      </c>
      <c r="K2669" t="s">
        <v>47</v>
      </c>
      <c r="L2669" t="s">
        <v>48</v>
      </c>
      <c r="M2669" t="s">
        <v>139</v>
      </c>
      <c r="N2669">
        <v>1494</v>
      </c>
      <c r="O2669" s="14">
        <v>0.80841409298591305</v>
      </c>
      <c r="P2669" s="14">
        <v>0.43010397930629601</v>
      </c>
      <c r="Q2669" t="str">
        <f t="shared" si="82"/>
        <v>&lt;01</v>
      </c>
      <c r="R2669" t="str">
        <f t="shared" si="83"/>
        <v>[vA4NcHxfMBq]|&lt;01|Male|DIAGNOSED_SUBNAT.T_1|CY2023Q3</v>
      </c>
    </row>
    <row r="2670" spans="4:18" x14ac:dyDescent="0.2">
      <c r="D2670" t="s">
        <v>119</v>
      </c>
      <c r="E2670" t="s">
        <v>120</v>
      </c>
      <c r="F2670" t="s">
        <v>121</v>
      </c>
      <c r="G2670" t="s">
        <v>147</v>
      </c>
      <c r="H2670" t="s">
        <v>148</v>
      </c>
      <c r="I2670" t="s">
        <v>32</v>
      </c>
      <c r="J2670" t="s">
        <v>33</v>
      </c>
      <c r="K2670" t="s">
        <v>47</v>
      </c>
      <c r="L2670" t="s">
        <v>48</v>
      </c>
      <c r="M2670" t="s">
        <v>139</v>
      </c>
      <c r="N2670">
        <v>1471</v>
      </c>
      <c r="O2670" s="14">
        <v>0.69739287067204703</v>
      </c>
      <c r="P2670" s="14">
        <v>0.43010397930629601</v>
      </c>
      <c r="Q2670" t="str">
        <f t="shared" si="82"/>
        <v>01-09</v>
      </c>
      <c r="R2670" t="str">
        <f t="shared" si="83"/>
        <v>[vA4NcHxfMBq]|01-09|Male|DIAGNOSED_SUBNAT.T_1|CY2023Q3</v>
      </c>
    </row>
    <row r="2671" spans="4:18" x14ac:dyDescent="0.2">
      <c r="D2671" t="s">
        <v>119</v>
      </c>
      <c r="E2671" t="s">
        <v>120</v>
      </c>
      <c r="F2671" t="s">
        <v>121</v>
      </c>
      <c r="G2671" t="s">
        <v>147</v>
      </c>
      <c r="H2671" t="s">
        <v>148</v>
      </c>
      <c r="I2671" t="s">
        <v>35</v>
      </c>
      <c r="J2671" t="s">
        <v>36</v>
      </c>
      <c r="K2671" t="s">
        <v>47</v>
      </c>
      <c r="L2671" t="s">
        <v>48</v>
      </c>
      <c r="M2671" t="s">
        <v>139</v>
      </c>
      <c r="N2671">
        <v>853</v>
      </c>
      <c r="O2671" s="14">
        <v>0.42669537290930698</v>
      </c>
      <c r="P2671" s="14">
        <v>0.43010397930629601</v>
      </c>
      <c r="Q2671" t="str">
        <f t="shared" si="82"/>
        <v>10-14</v>
      </c>
      <c r="R2671" t="str">
        <f t="shared" si="83"/>
        <v>[vA4NcHxfMBq]|10-14|Male|DIAGNOSED_SUBNAT.T_1|CY2023Q3</v>
      </c>
    </row>
    <row r="2672" spans="4:18" x14ac:dyDescent="0.2">
      <c r="D2672" t="s">
        <v>119</v>
      </c>
      <c r="E2672" t="s">
        <v>120</v>
      </c>
      <c r="F2672" t="s">
        <v>121</v>
      </c>
      <c r="G2672" t="s">
        <v>147</v>
      </c>
      <c r="H2672" t="s">
        <v>148</v>
      </c>
      <c r="I2672" t="s">
        <v>37</v>
      </c>
      <c r="J2672" t="s">
        <v>38</v>
      </c>
      <c r="K2672" t="s">
        <v>47</v>
      </c>
      <c r="L2672" t="s">
        <v>48</v>
      </c>
      <c r="M2672" t="s">
        <v>139</v>
      </c>
      <c r="N2672">
        <v>983</v>
      </c>
      <c r="O2672" s="14">
        <v>0.60858440073206999</v>
      </c>
      <c r="P2672" s="14">
        <v>0.43010397930629601</v>
      </c>
      <c r="Q2672" t="str">
        <f t="shared" si="82"/>
        <v>15-24</v>
      </c>
      <c r="R2672" t="str">
        <f t="shared" si="83"/>
        <v>[vA4NcHxfMBq]|15-24|Male|DIAGNOSED_SUBNAT.T_1|CY2023Q3</v>
      </c>
    </row>
    <row r="2673" spans="4:18" x14ac:dyDescent="0.2">
      <c r="D2673" t="s">
        <v>119</v>
      </c>
      <c r="E2673" t="s">
        <v>120</v>
      </c>
      <c r="F2673" t="s">
        <v>121</v>
      </c>
      <c r="G2673" t="s">
        <v>147</v>
      </c>
      <c r="H2673" t="s">
        <v>148</v>
      </c>
      <c r="I2673" t="s">
        <v>40</v>
      </c>
      <c r="J2673" t="s">
        <v>41</v>
      </c>
      <c r="K2673" t="s">
        <v>47</v>
      </c>
      <c r="L2673" t="s">
        <v>48</v>
      </c>
      <c r="M2673" t="s">
        <v>139</v>
      </c>
      <c r="N2673">
        <v>1245</v>
      </c>
      <c r="O2673" s="14">
        <v>0.36443246412091002</v>
      </c>
      <c r="P2673" s="14">
        <v>0.43010397930629601</v>
      </c>
      <c r="Q2673" t="str">
        <f t="shared" si="82"/>
        <v>25-34</v>
      </c>
      <c r="R2673" t="str">
        <f t="shared" si="83"/>
        <v>[vA4NcHxfMBq]|25-34|Male|DIAGNOSED_SUBNAT.T_1|CY2023Q3</v>
      </c>
    </row>
    <row r="2674" spans="4:18" x14ac:dyDescent="0.2">
      <c r="D2674" t="s">
        <v>119</v>
      </c>
      <c r="E2674" t="s">
        <v>120</v>
      </c>
      <c r="F2674" t="s">
        <v>121</v>
      </c>
      <c r="G2674" t="s">
        <v>147</v>
      </c>
      <c r="H2674" t="s">
        <v>148</v>
      </c>
      <c r="I2674" t="s">
        <v>42</v>
      </c>
      <c r="J2674" t="s">
        <v>43</v>
      </c>
      <c r="K2674" t="s">
        <v>47</v>
      </c>
      <c r="L2674" t="s">
        <v>48</v>
      </c>
      <c r="M2674" t="s">
        <v>139</v>
      </c>
      <c r="N2674">
        <v>1261</v>
      </c>
      <c r="O2674" s="14">
        <v>0.18429824709892301</v>
      </c>
      <c r="P2674" s="14">
        <v>0.43010397930629601</v>
      </c>
      <c r="Q2674" t="str">
        <f t="shared" si="82"/>
        <v>35-49</v>
      </c>
      <c r="R2674" t="str">
        <f t="shared" si="83"/>
        <v>[vA4NcHxfMBq]|35-49|Male|DIAGNOSED_SUBNAT.T_1|CY2023Q3</v>
      </c>
    </row>
    <row r="2675" spans="4:18" x14ac:dyDescent="0.2">
      <c r="D2675" t="s">
        <v>119</v>
      </c>
      <c r="E2675" t="s">
        <v>120</v>
      </c>
      <c r="F2675" t="s">
        <v>121</v>
      </c>
      <c r="G2675" t="s">
        <v>147</v>
      </c>
      <c r="H2675" t="s">
        <v>148</v>
      </c>
      <c r="I2675" t="s">
        <v>44</v>
      </c>
      <c r="J2675" t="s">
        <v>45</v>
      </c>
      <c r="K2675" t="s">
        <v>47</v>
      </c>
      <c r="L2675" t="s">
        <v>48</v>
      </c>
      <c r="M2675" t="s">
        <v>139</v>
      </c>
      <c r="N2675">
        <v>1190</v>
      </c>
      <c r="O2675" s="14">
        <v>0.88950750720687199</v>
      </c>
      <c r="P2675" s="14">
        <v>0.43010397930629601</v>
      </c>
      <c r="Q2675" t="str">
        <f t="shared" si="82"/>
        <v>50+</v>
      </c>
      <c r="R2675" t="str">
        <f t="shared" si="83"/>
        <v>[vA4NcHxfMBq]|50+|Male|DIAGNOSED_SUBNAT.T_1|CY2023Q3</v>
      </c>
    </row>
    <row r="2676" spans="4:18" x14ac:dyDescent="0.2">
      <c r="D2676" t="s">
        <v>122</v>
      </c>
      <c r="E2676" t="s">
        <v>123</v>
      </c>
      <c r="F2676" t="s">
        <v>124</v>
      </c>
      <c r="G2676" t="s">
        <v>147</v>
      </c>
      <c r="H2676" t="s">
        <v>148</v>
      </c>
      <c r="I2676" t="s">
        <v>27</v>
      </c>
      <c r="J2676" t="s">
        <v>28</v>
      </c>
      <c r="K2676" t="s">
        <v>29</v>
      </c>
      <c r="L2676" t="s">
        <v>30</v>
      </c>
      <c r="M2676" t="s">
        <v>139</v>
      </c>
      <c r="N2676">
        <v>1835</v>
      </c>
      <c r="O2676" s="14">
        <v>0.80626004654914096</v>
      </c>
      <c r="P2676" s="14">
        <v>0.41950060334056599</v>
      </c>
      <c r="Q2676" t="str">
        <f t="shared" si="82"/>
        <v>&lt;01</v>
      </c>
      <c r="R2676" t="str">
        <f t="shared" si="83"/>
        <v>[E7zpfyBt7Tw]|&lt;01|Female|DIAGNOSED_SUBNAT.T_1|CY2023Q3</v>
      </c>
    </row>
    <row r="2677" spans="4:18" x14ac:dyDescent="0.2">
      <c r="D2677" t="s">
        <v>122</v>
      </c>
      <c r="E2677" t="s">
        <v>123</v>
      </c>
      <c r="F2677" t="s">
        <v>124</v>
      </c>
      <c r="G2677" t="s">
        <v>147</v>
      </c>
      <c r="H2677" t="s">
        <v>148</v>
      </c>
      <c r="I2677" t="s">
        <v>32</v>
      </c>
      <c r="J2677" t="s">
        <v>33</v>
      </c>
      <c r="K2677" t="s">
        <v>29</v>
      </c>
      <c r="L2677" t="s">
        <v>30</v>
      </c>
      <c r="M2677" t="s">
        <v>139</v>
      </c>
      <c r="N2677">
        <v>1322</v>
      </c>
      <c r="O2677" s="14">
        <v>0.51776074618101098</v>
      </c>
      <c r="P2677" s="14">
        <v>0.41950060334056599</v>
      </c>
      <c r="Q2677" t="str">
        <f t="shared" si="82"/>
        <v>01-09</v>
      </c>
      <c r="R2677" t="str">
        <f t="shared" si="83"/>
        <v>[E7zpfyBt7Tw]|01-09|Female|DIAGNOSED_SUBNAT.T_1|CY2023Q3</v>
      </c>
    </row>
    <row r="2678" spans="4:18" x14ac:dyDescent="0.2">
      <c r="D2678" t="s">
        <v>122</v>
      </c>
      <c r="E2678" t="s">
        <v>123</v>
      </c>
      <c r="F2678" t="s">
        <v>124</v>
      </c>
      <c r="G2678" t="s">
        <v>147</v>
      </c>
      <c r="H2678" t="s">
        <v>148</v>
      </c>
      <c r="I2678" t="s">
        <v>35</v>
      </c>
      <c r="J2678" t="s">
        <v>36</v>
      </c>
      <c r="K2678" t="s">
        <v>29</v>
      </c>
      <c r="L2678" t="s">
        <v>30</v>
      </c>
      <c r="M2678" t="s">
        <v>139</v>
      </c>
      <c r="N2678">
        <v>1092</v>
      </c>
      <c r="O2678" s="14">
        <v>0.25413257768377701</v>
      </c>
      <c r="P2678" s="14">
        <v>0.41950060334056599</v>
      </c>
      <c r="Q2678" t="str">
        <f t="shared" si="82"/>
        <v>10-14</v>
      </c>
      <c r="R2678" t="str">
        <f t="shared" si="83"/>
        <v>[E7zpfyBt7Tw]|10-14|Female|DIAGNOSED_SUBNAT.T_1|CY2023Q3</v>
      </c>
    </row>
    <row r="2679" spans="4:18" x14ac:dyDescent="0.2">
      <c r="D2679" t="s">
        <v>122</v>
      </c>
      <c r="E2679" t="s">
        <v>123</v>
      </c>
      <c r="F2679" t="s">
        <v>124</v>
      </c>
      <c r="G2679" t="s">
        <v>147</v>
      </c>
      <c r="H2679" t="s">
        <v>148</v>
      </c>
      <c r="I2679" t="s">
        <v>37</v>
      </c>
      <c r="J2679" t="s">
        <v>38</v>
      </c>
      <c r="K2679" t="s">
        <v>29</v>
      </c>
      <c r="L2679" t="s">
        <v>30</v>
      </c>
      <c r="M2679" t="s">
        <v>139</v>
      </c>
      <c r="N2679">
        <v>992</v>
      </c>
      <c r="O2679" s="14">
        <v>1.8545767525211001E-2</v>
      </c>
      <c r="P2679" s="14">
        <v>0.41950060334056599</v>
      </c>
      <c r="Q2679" t="str">
        <f t="shared" si="82"/>
        <v>15-24</v>
      </c>
      <c r="R2679" t="str">
        <f t="shared" si="83"/>
        <v>[E7zpfyBt7Tw]|15-24|Female|DIAGNOSED_SUBNAT.T_1|CY2023Q3</v>
      </c>
    </row>
    <row r="2680" spans="4:18" x14ac:dyDescent="0.2">
      <c r="D2680" t="s">
        <v>122</v>
      </c>
      <c r="E2680" t="s">
        <v>123</v>
      </c>
      <c r="F2680" t="s">
        <v>124</v>
      </c>
      <c r="G2680" t="s">
        <v>147</v>
      </c>
      <c r="H2680" t="s">
        <v>148</v>
      </c>
      <c r="I2680" t="s">
        <v>40</v>
      </c>
      <c r="J2680" t="s">
        <v>41</v>
      </c>
      <c r="K2680" t="s">
        <v>29</v>
      </c>
      <c r="L2680" t="s">
        <v>30</v>
      </c>
      <c r="M2680" t="s">
        <v>139</v>
      </c>
      <c r="N2680">
        <v>1074</v>
      </c>
      <c r="O2680" s="14">
        <v>0.81372215901501499</v>
      </c>
      <c r="P2680" s="14">
        <v>0.41950060334056599</v>
      </c>
      <c r="Q2680" t="str">
        <f t="shared" si="82"/>
        <v>25-34</v>
      </c>
      <c r="R2680" t="str">
        <f t="shared" si="83"/>
        <v>[E7zpfyBt7Tw]|25-34|Female|DIAGNOSED_SUBNAT.T_1|CY2023Q3</v>
      </c>
    </row>
    <row r="2681" spans="4:18" x14ac:dyDescent="0.2">
      <c r="D2681" t="s">
        <v>122</v>
      </c>
      <c r="E2681" t="s">
        <v>123</v>
      </c>
      <c r="F2681" t="s">
        <v>124</v>
      </c>
      <c r="G2681" t="s">
        <v>147</v>
      </c>
      <c r="H2681" t="s">
        <v>148</v>
      </c>
      <c r="I2681" t="s">
        <v>42</v>
      </c>
      <c r="J2681" t="s">
        <v>43</v>
      </c>
      <c r="K2681" t="s">
        <v>29</v>
      </c>
      <c r="L2681" t="s">
        <v>30</v>
      </c>
      <c r="M2681" t="s">
        <v>139</v>
      </c>
      <c r="N2681">
        <v>882</v>
      </c>
      <c r="O2681" s="14">
        <v>0.63639883906580497</v>
      </c>
      <c r="P2681" s="14">
        <v>0.41950060334056599</v>
      </c>
      <c r="Q2681" t="str">
        <f t="shared" si="82"/>
        <v>35-49</v>
      </c>
      <c r="R2681" t="str">
        <f t="shared" si="83"/>
        <v>[E7zpfyBt7Tw]|35-49|Female|DIAGNOSED_SUBNAT.T_1|CY2023Q3</v>
      </c>
    </row>
    <row r="2682" spans="4:18" x14ac:dyDescent="0.2">
      <c r="D2682" t="s">
        <v>122</v>
      </c>
      <c r="E2682" t="s">
        <v>123</v>
      </c>
      <c r="F2682" t="s">
        <v>124</v>
      </c>
      <c r="G2682" t="s">
        <v>147</v>
      </c>
      <c r="H2682" t="s">
        <v>148</v>
      </c>
      <c r="I2682" t="s">
        <v>44</v>
      </c>
      <c r="J2682" t="s">
        <v>45</v>
      </c>
      <c r="K2682" t="s">
        <v>29</v>
      </c>
      <c r="L2682" t="s">
        <v>30</v>
      </c>
      <c r="M2682" t="s">
        <v>139</v>
      </c>
      <c r="N2682">
        <v>1866</v>
      </c>
      <c r="O2682" s="14">
        <v>0.32536119967699101</v>
      </c>
      <c r="P2682" s="14">
        <v>0.41950060334056599</v>
      </c>
      <c r="Q2682" t="str">
        <f t="shared" si="82"/>
        <v>50+</v>
      </c>
      <c r="R2682" t="str">
        <f t="shared" si="83"/>
        <v>[E7zpfyBt7Tw]|50+|Female|DIAGNOSED_SUBNAT.T_1|CY2023Q3</v>
      </c>
    </row>
    <row r="2683" spans="4:18" x14ac:dyDescent="0.2">
      <c r="D2683" t="s">
        <v>122</v>
      </c>
      <c r="E2683" t="s">
        <v>123</v>
      </c>
      <c r="F2683" t="s">
        <v>124</v>
      </c>
      <c r="G2683" t="s">
        <v>147</v>
      </c>
      <c r="H2683" t="s">
        <v>148</v>
      </c>
      <c r="I2683" t="s">
        <v>27</v>
      </c>
      <c r="J2683" t="s">
        <v>28</v>
      </c>
      <c r="K2683" t="s">
        <v>47</v>
      </c>
      <c r="L2683" t="s">
        <v>48</v>
      </c>
      <c r="M2683" t="s">
        <v>139</v>
      </c>
      <c r="N2683">
        <v>527</v>
      </c>
      <c r="O2683" s="14">
        <v>0.37663328996859502</v>
      </c>
      <c r="P2683" s="14">
        <v>0.41950060334056599</v>
      </c>
      <c r="Q2683" t="str">
        <f t="shared" si="82"/>
        <v>&lt;01</v>
      </c>
      <c r="R2683" t="str">
        <f t="shared" si="83"/>
        <v>[E7zpfyBt7Tw]|&lt;01|Male|DIAGNOSED_SUBNAT.T_1|CY2023Q3</v>
      </c>
    </row>
    <row r="2684" spans="4:18" x14ac:dyDescent="0.2">
      <c r="D2684" t="s">
        <v>122</v>
      </c>
      <c r="E2684" t="s">
        <v>123</v>
      </c>
      <c r="F2684" t="s">
        <v>124</v>
      </c>
      <c r="G2684" t="s">
        <v>147</v>
      </c>
      <c r="H2684" t="s">
        <v>148</v>
      </c>
      <c r="I2684" t="s">
        <v>32</v>
      </c>
      <c r="J2684" t="s">
        <v>33</v>
      </c>
      <c r="K2684" t="s">
        <v>47</v>
      </c>
      <c r="L2684" t="s">
        <v>48</v>
      </c>
      <c r="M2684" t="s">
        <v>139</v>
      </c>
      <c r="N2684">
        <v>1611</v>
      </c>
      <c r="O2684" s="14">
        <v>0.72920948150567699</v>
      </c>
      <c r="P2684" s="14">
        <v>0.41950060334056599</v>
      </c>
      <c r="Q2684" t="str">
        <f t="shared" si="82"/>
        <v>01-09</v>
      </c>
      <c r="R2684" t="str">
        <f t="shared" si="83"/>
        <v>[E7zpfyBt7Tw]|01-09|Male|DIAGNOSED_SUBNAT.T_1|CY2023Q3</v>
      </c>
    </row>
    <row r="2685" spans="4:18" x14ac:dyDescent="0.2">
      <c r="D2685" t="s">
        <v>122</v>
      </c>
      <c r="E2685" t="s">
        <v>123</v>
      </c>
      <c r="F2685" t="s">
        <v>124</v>
      </c>
      <c r="G2685" t="s">
        <v>147</v>
      </c>
      <c r="H2685" t="s">
        <v>148</v>
      </c>
      <c r="I2685" t="s">
        <v>35</v>
      </c>
      <c r="J2685" t="s">
        <v>36</v>
      </c>
      <c r="K2685" t="s">
        <v>47</v>
      </c>
      <c r="L2685" t="s">
        <v>48</v>
      </c>
      <c r="M2685" t="s">
        <v>139</v>
      </c>
      <c r="N2685">
        <v>1320</v>
      </c>
      <c r="O2685" s="14">
        <v>0.813351016258821</v>
      </c>
      <c r="P2685" s="14">
        <v>0.41950060334056599</v>
      </c>
      <c r="Q2685" t="str">
        <f t="shared" si="82"/>
        <v>10-14</v>
      </c>
      <c r="R2685" t="str">
        <f t="shared" si="83"/>
        <v>[E7zpfyBt7Tw]|10-14|Male|DIAGNOSED_SUBNAT.T_1|CY2023Q3</v>
      </c>
    </row>
    <row r="2686" spans="4:18" x14ac:dyDescent="0.2">
      <c r="D2686" t="s">
        <v>122</v>
      </c>
      <c r="E2686" t="s">
        <v>123</v>
      </c>
      <c r="F2686" t="s">
        <v>124</v>
      </c>
      <c r="G2686" t="s">
        <v>147</v>
      </c>
      <c r="H2686" t="s">
        <v>148</v>
      </c>
      <c r="I2686" t="s">
        <v>37</v>
      </c>
      <c r="J2686" t="s">
        <v>38</v>
      </c>
      <c r="K2686" t="s">
        <v>47</v>
      </c>
      <c r="L2686" t="s">
        <v>48</v>
      </c>
      <c r="M2686" t="s">
        <v>139</v>
      </c>
      <c r="N2686">
        <v>1232</v>
      </c>
      <c r="O2686" s="14">
        <v>0.58838963368907604</v>
      </c>
      <c r="P2686" s="14">
        <v>0.41950060334056599</v>
      </c>
      <c r="Q2686" t="str">
        <f t="shared" si="82"/>
        <v>15-24</v>
      </c>
      <c r="R2686" t="str">
        <f t="shared" si="83"/>
        <v>[E7zpfyBt7Tw]|15-24|Male|DIAGNOSED_SUBNAT.T_1|CY2023Q3</v>
      </c>
    </row>
    <row r="2687" spans="4:18" x14ac:dyDescent="0.2">
      <c r="D2687" t="s">
        <v>122</v>
      </c>
      <c r="E2687" t="s">
        <v>123</v>
      </c>
      <c r="F2687" t="s">
        <v>124</v>
      </c>
      <c r="G2687" t="s">
        <v>147</v>
      </c>
      <c r="H2687" t="s">
        <v>148</v>
      </c>
      <c r="I2687" t="s">
        <v>40</v>
      </c>
      <c r="J2687" t="s">
        <v>41</v>
      </c>
      <c r="K2687" t="s">
        <v>47</v>
      </c>
      <c r="L2687" t="s">
        <v>48</v>
      </c>
      <c r="M2687" t="s">
        <v>139</v>
      </c>
      <c r="N2687">
        <v>1284</v>
      </c>
      <c r="O2687" s="14">
        <v>0.40117400651797702</v>
      </c>
      <c r="P2687" s="14">
        <v>0.41950060334056599</v>
      </c>
      <c r="Q2687" t="str">
        <f t="shared" si="82"/>
        <v>25-34</v>
      </c>
      <c r="R2687" t="str">
        <f t="shared" si="83"/>
        <v>[E7zpfyBt7Tw]|25-34|Male|DIAGNOSED_SUBNAT.T_1|CY2023Q3</v>
      </c>
    </row>
    <row r="2688" spans="4:18" x14ac:dyDescent="0.2">
      <c r="D2688" t="s">
        <v>122</v>
      </c>
      <c r="E2688" t="s">
        <v>123</v>
      </c>
      <c r="F2688" t="s">
        <v>124</v>
      </c>
      <c r="G2688" t="s">
        <v>147</v>
      </c>
      <c r="H2688" t="s">
        <v>148</v>
      </c>
      <c r="I2688" t="s">
        <v>42</v>
      </c>
      <c r="J2688" t="s">
        <v>43</v>
      </c>
      <c r="K2688" t="s">
        <v>47</v>
      </c>
      <c r="L2688" t="s">
        <v>48</v>
      </c>
      <c r="M2688" t="s">
        <v>139</v>
      </c>
      <c r="N2688">
        <v>1183</v>
      </c>
      <c r="O2688" s="14">
        <v>0.80655556172132503</v>
      </c>
      <c r="P2688" s="14">
        <v>0.41950060334056599</v>
      </c>
      <c r="Q2688" t="str">
        <f t="shared" si="82"/>
        <v>35-49</v>
      </c>
      <c r="R2688" t="str">
        <f t="shared" si="83"/>
        <v>[E7zpfyBt7Tw]|35-49|Male|DIAGNOSED_SUBNAT.T_1|CY2023Q3</v>
      </c>
    </row>
    <row r="2689" spans="4:18" x14ac:dyDescent="0.2">
      <c r="D2689" t="s">
        <v>122</v>
      </c>
      <c r="E2689" t="s">
        <v>123</v>
      </c>
      <c r="F2689" t="s">
        <v>124</v>
      </c>
      <c r="G2689" t="s">
        <v>147</v>
      </c>
      <c r="H2689" t="s">
        <v>148</v>
      </c>
      <c r="I2689" t="s">
        <v>44</v>
      </c>
      <c r="J2689" t="s">
        <v>45</v>
      </c>
      <c r="K2689" t="s">
        <v>47</v>
      </c>
      <c r="L2689" t="s">
        <v>48</v>
      </c>
      <c r="M2689" t="s">
        <v>139</v>
      </c>
      <c r="N2689">
        <v>1399</v>
      </c>
      <c r="O2689" s="14">
        <v>0.53546995436772704</v>
      </c>
      <c r="P2689" s="14">
        <v>0.41950060334056599</v>
      </c>
      <c r="Q2689" t="str">
        <f t="shared" si="82"/>
        <v>50+</v>
      </c>
      <c r="R2689" t="str">
        <f t="shared" si="83"/>
        <v>[E7zpfyBt7Tw]|50+|Male|DIAGNOSED_SUBNAT.T_1|CY2023Q3</v>
      </c>
    </row>
    <row r="2690" spans="4:18" x14ac:dyDescent="0.2">
      <c r="D2690" t="s">
        <v>125</v>
      </c>
      <c r="E2690" t="s">
        <v>126</v>
      </c>
      <c r="F2690" t="s">
        <v>127</v>
      </c>
      <c r="G2690" t="s">
        <v>147</v>
      </c>
      <c r="H2690" t="s">
        <v>148</v>
      </c>
      <c r="I2690" t="s">
        <v>27</v>
      </c>
      <c r="J2690" t="s">
        <v>28</v>
      </c>
      <c r="K2690" t="s">
        <v>29</v>
      </c>
      <c r="L2690" t="s">
        <v>30</v>
      </c>
      <c r="M2690" t="s">
        <v>139</v>
      </c>
      <c r="N2690">
        <v>1646</v>
      </c>
      <c r="O2690" s="14">
        <v>0.37901110388338599</v>
      </c>
      <c r="P2690" s="14">
        <v>0.25270639033988102</v>
      </c>
      <c r="Q2690" t="str">
        <f t="shared" ref="Q2690:Q2753" si="84">SUBSTITUTE(SUBSTITUTE($I2690,CHAR(61),""),CHAR(34),"")</f>
        <v>&lt;01</v>
      </c>
      <c r="R2690" t="str">
        <f t="shared" ref="R2690:R2753" si="85">IF($D2690&lt;&gt;"","["&amp;$E2690&amp;"]"&amp;"|"&amp;$Q2690&amp;"|"&amp;$K2690&amp;"|"&amp;$G2690&amp;"|"&amp;IF($G2690="TX_CURR_SUBNAT.R","CY2022Q4",$M2690),"")</f>
        <v>[ZCjuwgaMB9u]|&lt;01|Female|DIAGNOSED_SUBNAT.T_1|CY2023Q3</v>
      </c>
    </row>
    <row r="2691" spans="4:18" x14ac:dyDescent="0.2">
      <c r="D2691" t="s">
        <v>125</v>
      </c>
      <c r="E2691" t="s">
        <v>126</v>
      </c>
      <c r="F2691" t="s">
        <v>127</v>
      </c>
      <c r="G2691" t="s">
        <v>147</v>
      </c>
      <c r="H2691" t="s">
        <v>148</v>
      </c>
      <c r="I2691" t="s">
        <v>32</v>
      </c>
      <c r="J2691" t="s">
        <v>33</v>
      </c>
      <c r="K2691" t="s">
        <v>29</v>
      </c>
      <c r="L2691" t="s">
        <v>30</v>
      </c>
      <c r="M2691" t="s">
        <v>139</v>
      </c>
      <c r="N2691">
        <v>1576</v>
      </c>
      <c r="O2691" s="14">
        <v>0.74742976203560796</v>
      </c>
      <c r="P2691" s="14">
        <v>0.25270639033988102</v>
      </c>
      <c r="Q2691" t="str">
        <f t="shared" si="84"/>
        <v>01-09</v>
      </c>
      <c r="R2691" t="str">
        <f t="shared" si="85"/>
        <v>[ZCjuwgaMB9u]|01-09|Female|DIAGNOSED_SUBNAT.T_1|CY2023Q3</v>
      </c>
    </row>
    <row r="2692" spans="4:18" x14ac:dyDescent="0.2">
      <c r="D2692" t="s">
        <v>125</v>
      </c>
      <c r="E2692" t="s">
        <v>126</v>
      </c>
      <c r="F2692" t="s">
        <v>127</v>
      </c>
      <c r="G2692" t="s">
        <v>147</v>
      </c>
      <c r="H2692" t="s">
        <v>148</v>
      </c>
      <c r="I2692" t="s">
        <v>35</v>
      </c>
      <c r="J2692" t="s">
        <v>36</v>
      </c>
      <c r="K2692" t="s">
        <v>29</v>
      </c>
      <c r="L2692" t="s">
        <v>30</v>
      </c>
      <c r="M2692" t="s">
        <v>139</v>
      </c>
      <c r="N2692">
        <v>940</v>
      </c>
      <c r="O2692" s="14">
        <v>0.279128364520147</v>
      </c>
      <c r="P2692" s="14">
        <v>0.25270639033988102</v>
      </c>
      <c r="Q2692" t="str">
        <f t="shared" si="84"/>
        <v>10-14</v>
      </c>
      <c r="R2692" t="str">
        <f t="shared" si="85"/>
        <v>[ZCjuwgaMB9u]|10-14|Female|DIAGNOSED_SUBNAT.T_1|CY2023Q3</v>
      </c>
    </row>
    <row r="2693" spans="4:18" x14ac:dyDescent="0.2">
      <c r="D2693" t="s">
        <v>125</v>
      </c>
      <c r="E2693" t="s">
        <v>126</v>
      </c>
      <c r="F2693" t="s">
        <v>127</v>
      </c>
      <c r="G2693" t="s">
        <v>147</v>
      </c>
      <c r="H2693" t="s">
        <v>148</v>
      </c>
      <c r="I2693" t="s">
        <v>37</v>
      </c>
      <c r="J2693" t="s">
        <v>38</v>
      </c>
      <c r="K2693" t="s">
        <v>29</v>
      </c>
      <c r="L2693" t="s">
        <v>30</v>
      </c>
      <c r="M2693" t="s">
        <v>139</v>
      </c>
      <c r="N2693">
        <v>1839</v>
      </c>
      <c r="O2693" s="14">
        <v>0.77294538076967001</v>
      </c>
      <c r="P2693" s="14">
        <v>0.25270639033988102</v>
      </c>
      <c r="Q2693" t="str">
        <f t="shared" si="84"/>
        <v>15-24</v>
      </c>
      <c r="R2693" t="str">
        <f t="shared" si="85"/>
        <v>[ZCjuwgaMB9u]|15-24|Female|DIAGNOSED_SUBNAT.T_1|CY2023Q3</v>
      </c>
    </row>
    <row r="2694" spans="4:18" x14ac:dyDescent="0.2">
      <c r="D2694" t="s">
        <v>125</v>
      </c>
      <c r="E2694" t="s">
        <v>126</v>
      </c>
      <c r="F2694" t="s">
        <v>127</v>
      </c>
      <c r="G2694" t="s">
        <v>147</v>
      </c>
      <c r="H2694" t="s">
        <v>148</v>
      </c>
      <c r="I2694" t="s">
        <v>40</v>
      </c>
      <c r="J2694" t="s">
        <v>41</v>
      </c>
      <c r="K2694" t="s">
        <v>29</v>
      </c>
      <c r="L2694" t="s">
        <v>30</v>
      </c>
      <c r="M2694" t="s">
        <v>139</v>
      </c>
      <c r="N2694">
        <v>1354</v>
      </c>
      <c r="O2694" s="14">
        <v>0.72218369785696301</v>
      </c>
      <c r="P2694" s="14">
        <v>0.25270639033988102</v>
      </c>
      <c r="Q2694" t="str">
        <f t="shared" si="84"/>
        <v>25-34</v>
      </c>
      <c r="R2694" t="str">
        <f t="shared" si="85"/>
        <v>[ZCjuwgaMB9u]|25-34|Female|DIAGNOSED_SUBNAT.T_1|CY2023Q3</v>
      </c>
    </row>
    <row r="2695" spans="4:18" x14ac:dyDescent="0.2">
      <c r="D2695" t="s">
        <v>125</v>
      </c>
      <c r="E2695" t="s">
        <v>126</v>
      </c>
      <c r="F2695" t="s">
        <v>127</v>
      </c>
      <c r="G2695" t="s">
        <v>147</v>
      </c>
      <c r="H2695" t="s">
        <v>148</v>
      </c>
      <c r="I2695" t="s">
        <v>42</v>
      </c>
      <c r="J2695" t="s">
        <v>43</v>
      </c>
      <c r="K2695" t="s">
        <v>29</v>
      </c>
      <c r="L2695" t="s">
        <v>30</v>
      </c>
      <c r="M2695" t="s">
        <v>139</v>
      </c>
      <c r="N2695">
        <v>1706</v>
      </c>
      <c r="O2695" s="14">
        <v>6.7818512208759799E-2</v>
      </c>
      <c r="P2695" s="14">
        <v>0.25270639033988102</v>
      </c>
      <c r="Q2695" t="str">
        <f t="shared" si="84"/>
        <v>35-49</v>
      </c>
      <c r="R2695" t="str">
        <f t="shared" si="85"/>
        <v>[ZCjuwgaMB9u]|35-49|Female|DIAGNOSED_SUBNAT.T_1|CY2023Q3</v>
      </c>
    </row>
    <row r="2696" spans="4:18" x14ac:dyDescent="0.2">
      <c r="D2696" t="s">
        <v>125</v>
      </c>
      <c r="E2696" t="s">
        <v>126</v>
      </c>
      <c r="F2696" t="s">
        <v>127</v>
      </c>
      <c r="G2696" t="s">
        <v>147</v>
      </c>
      <c r="H2696" t="s">
        <v>148</v>
      </c>
      <c r="I2696" t="s">
        <v>44</v>
      </c>
      <c r="J2696" t="s">
        <v>45</v>
      </c>
      <c r="K2696" t="s">
        <v>29</v>
      </c>
      <c r="L2696" t="s">
        <v>30</v>
      </c>
      <c r="M2696" t="s">
        <v>139</v>
      </c>
      <c r="N2696">
        <v>1997</v>
      </c>
      <c r="O2696" s="14">
        <v>0.82698070467449702</v>
      </c>
      <c r="P2696" s="14">
        <v>0.25270639033988102</v>
      </c>
      <c r="Q2696" t="str">
        <f t="shared" si="84"/>
        <v>50+</v>
      </c>
      <c r="R2696" t="str">
        <f t="shared" si="85"/>
        <v>[ZCjuwgaMB9u]|50+|Female|DIAGNOSED_SUBNAT.T_1|CY2023Q3</v>
      </c>
    </row>
    <row r="2697" spans="4:18" x14ac:dyDescent="0.2">
      <c r="D2697" t="s">
        <v>125</v>
      </c>
      <c r="E2697" t="s">
        <v>126</v>
      </c>
      <c r="F2697" t="s">
        <v>127</v>
      </c>
      <c r="G2697" t="s">
        <v>147</v>
      </c>
      <c r="H2697" t="s">
        <v>148</v>
      </c>
      <c r="I2697" t="s">
        <v>27</v>
      </c>
      <c r="J2697" t="s">
        <v>28</v>
      </c>
      <c r="K2697" t="s">
        <v>47</v>
      </c>
      <c r="L2697" t="s">
        <v>48</v>
      </c>
      <c r="M2697" t="s">
        <v>139</v>
      </c>
      <c r="N2697">
        <v>1823</v>
      </c>
      <c r="O2697" s="14">
        <v>0.39273164095357099</v>
      </c>
      <c r="P2697" s="14">
        <v>0.25270639033988102</v>
      </c>
      <c r="Q2697" t="str">
        <f t="shared" si="84"/>
        <v>&lt;01</v>
      </c>
      <c r="R2697" t="str">
        <f t="shared" si="85"/>
        <v>[ZCjuwgaMB9u]|&lt;01|Male|DIAGNOSED_SUBNAT.T_1|CY2023Q3</v>
      </c>
    </row>
    <row r="2698" spans="4:18" x14ac:dyDescent="0.2">
      <c r="D2698" t="s">
        <v>125</v>
      </c>
      <c r="E2698" t="s">
        <v>126</v>
      </c>
      <c r="F2698" t="s">
        <v>127</v>
      </c>
      <c r="G2698" t="s">
        <v>147</v>
      </c>
      <c r="H2698" t="s">
        <v>148</v>
      </c>
      <c r="I2698" t="s">
        <v>32</v>
      </c>
      <c r="J2698" t="s">
        <v>33</v>
      </c>
      <c r="K2698" t="s">
        <v>47</v>
      </c>
      <c r="L2698" t="s">
        <v>48</v>
      </c>
      <c r="M2698" t="s">
        <v>139</v>
      </c>
      <c r="N2698">
        <v>1539</v>
      </c>
      <c r="O2698" s="14">
        <v>0.98623480251990303</v>
      </c>
      <c r="P2698" s="14">
        <v>0.25270639033988102</v>
      </c>
      <c r="Q2698" t="str">
        <f t="shared" si="84"/>
        <v>01-09</v>
      </c>
      <c r="R2698" t="str">
        <f t="shared" si="85"/>
        <v>[ZCjuwgaMB9u]|01-09|Male|DIAGNOSED_SUBNAT.T_1|CY2023Q3</v>
      </c>
    </row>
    <row r="2699" spans="4:18" x14ac:dyDescent="0.2">
      <c r="D2699" t="s">
        <v>125</v>
      </c>
      <c r="E2699" t="s">
        <v>126</v>
      </c>
      <c r="F2699" t="s">
        <v>127</v>
      </c>
      <c r="G2699" t="s">
        <v>147</v>
      </c>
      <c r="H2699" t="s">
        <v>148</v>
      </c>
      <c r="I2699" t="s">
        <v>35</v>
      </c>
      <c r="J2699" t="s">
        <v>36</v>
      </c>
      <c r="K2699" t="s">
        <v>47</v>
      </c>
      <c r="L2699" t="s">
        <v>48</v>
      </c>
      <c r="M2699" t="s">
        <v>139</v>
      </c>
      <c r="N2699">
        <v>1652</v>
      </c>
      <c r="O2699" s="14">
        <v>0.78611525706946805</v>
      </c>
      <c r="P2699" s="14">
        <v>0.25270639033988102</v>
      </c>
      <c r="Q2699" t="str">
        <f t="shared" si="84"/>
        <v>10-14</v>
      </c>
      <c r="R2699" t="str">
        <f t="shared" si="85"/>
        <v>[ZCjuwgaMB9u]|10-14|Male|DIAGNOSED_SUBNAT.T_1|CY2023Q3</v>
      </c>
    </row>
    <row r="2700" spans="4:18" x14ac:dyDescent="0.2">
      <c r="D2700" t="s">
        <v>125</v>
      </c>
      <c r="E2700" t="s">
        <v>126</v>
      </c>
      <c r="F2700" t="s">
        <v>127</v>
      </c>
      <c r="G2700" t="s">
        <v>147</v>
      </c>
      <c r="H2700" t="s">
        <v>148</v>
      </c>
      <c r="I2700" t="s">
        <v>37</v>
      </c>
      <c r="J2700" t="s">
        <v>38</v>
      </c>
      <c r="K2700" t="s">
        <v>47</v>
      </c>
      <c r="L2700" t="s">
        <v>48</v>
      </c>
      <c r="M2700" t="s">
        <v>139</v>
      </c>
      <c r="N2700">
        <v>929</v>
      </c>
      <c r="O2700" s="14">
        <v>0.863560431869701</v>
      </c>
      <c r="P2700" s="14">
        <v>0.25270639033988102</v>
      </c>
      <c r="Q2700" t="str">
        <f t="shared" si="84"/>
        <v>15-24</v>
      </c>
      <c r="R2700" t="str">
        <f t="shared" si="85"/>
        <v>[ZCjuwgaMB9u]|15-24|Male|DIAGNOSED_SUBNAT.T_1|CY2023Q3</v>
      </c>
    </row>
    <row r="2701" spans="4:18" x14ac:dyDescent="0.2">
      <c r="D2701" t="s">
        <v>125</v>
      </c>
      <c r="E2701" t="s">
        <v>126</v>
      </c>
      <c r="F2701" t="s">
        <v>127</v>
      </c>
      <c r="G2701" t="s">
        <v>147</v>
      </c>
      <c r="H2701" t="s">
        <v>148</v>
      </c>
      <c r="I2701" t="s">
        <v>40</v>
      </c>
      <c r="J2701" t="s">
        <v>41</v>
      </c>
      <c r="K2701" t="s">
        <v>47</v>
      </c>
      <c r="L2701" t="s">
        <v>48</v>
      </c>
      <c r="M2701" t="s">
        <v>139</v>
      </c>
      <c r="N2701">
        <v>630</v>
      </c>
      <c r="O2701" s="14">
        <v>0.16751357563771299</v>
      </c>
      <c r="P2701" s="14">
        <v>0.25270639033988102</v>
      </c>
      <c r="Q2701" t="str">
        <f t="shared" si="84"/>
        <v>25-34</v>
      </c>
      <c r="R2701" t="str">
        <f t="shared" si="85"/>
        <v>[ZCjuwgaMB9u]|25-34|Male|DIAGNOSED_SUBNAT.T_1|CY2023Q3</v>
      </c>
    </row>
    <row r="2702" spans="4:18" x14ac:dyDescent="0.2">
      <c r="D2702" t="s">
        <v>125</v>
      </c>
      <c r="E2702" t="s">
        <v>126</v>
      </c>
      <c r="F2702" t="s">
        <v>127</v>
      </c>
      <c r="G2702" t="s">
        <v>147</v>
      </c>
      <c r="H2702" t="s">
        <v>148</v>
      </c>
      <c r="I2702" t="s">
        <v>42</v>
      </c>
      <c r="J2702" t="s">
        <v>43</v>
      </c>
      <c r="K2702" t="s">
        <v>47</v>
      </c>
      <c r="L2702" t="s">
        <v>48</v>
      </c>
      <c r="M2702" t="s">
        <v>139</v>
      </c>
      <c r="N2702">
        <v>1270</v>
      </c>
      <c r="O2702" s="14">
        <v>0.40250288043171201</v>
      </c>
      <c r="P2702" s="14">
        <v>0.25270639033988102</v>
      </c>
      <c r="Q2702" t="str">
        <f t="shared" si="84"/>
        <v>35-49</v>
      </c>
      <c r="R2702" t="str">
        <f t="shared" si="85"/>
        <v>[ZCjuwgaMB9u]|35-49|Male|DIAGNOSED_SUBNAT.T_1|CY2023Q3</v>
      </c>
    </row>
    <row r="2703" spans="4:18" x14ac:dyDescent="0.2">
      <c r="D2703" t="s">
        <v>125</v>
      </c>
      <c r="E2703" t="s">
        <v>126</v>
      </c>
      <c r="F2703" t="s">
        <v>127</v>
      </c>
      <c r="G2703" t="s">
        <v>147</v>
      </c>
      <c r="H2703" t="s">
        <v>148</v>
      </c>
      <c r="I2703" t="s">
        <v>44</v>
      </c>
      <c r="J2703" t="s">
        <v>45</v>
      </c>
      <c r="K2703" t="s">
        <v>47</v>
      </c>
      <c r="L2703" t="s">
        <v>48</v>
      </c>
      <c r="M2703" t="s">
        <v>139</v>
      </c>
      <c r="N2703">
        <v>574</v>
      </c>
      <c r="O2703" s="14">
        <v>0.96289651142433297</v>
      </c>
      <c r="P2703" s="14">
        <v>0.25270639033988102</v>
      </c>
      <c r="Q2703" t="str">
        <f t="shared" si="84"/>
        <v>50+</v>
      </c>
      <c r="R2703" t="str">
        <f t="shared" si="85"/>
        <v>[ZCjuwgaMB9u]|50+|Male|DIAGNOSED_SUBNAT.T_1|CY2023Q3</v>
      </c>
    </row>
    <row r="2704" spans="4:18" x14ac:dyDescent="0.2">
      <c r="D2704" t="s">
        <v>128</v>
      </c>
      <c r="E2704" t="s">
        <v>129</v>
      </c>
      <c r="F2704" t="s">
        <v>130</v>
      </c>
      <c r="G2704" t="s">
        <v>147</v>
      </c>
      <c r="H2704" t="s">
        <v>148</v>
      </c>
      <c r="I2704" t="s">
        <v>27</v>
      </c>
      <c r="J2704" t="s">
        <v>28</v>
      </c>
      <c r="K2704" t="s">
        <v>29</v>
      </c>
      <c r="L2704" t="s">
        <v>30</v>
      </c>
      <c r="M2704" t="s">
        <v>139</v>
      </c>
      <c r="N2704">
        <v>1835</v>
      </c>
      <c r="O2704" s="14">
        <v>0.14912411454133701</v>
      </c>
      <c r="P2704" s="14">
        <v>0.55690808477811504</v>
      </c>
      <c r="Q2704" t="str">
        <f t="shared" si="84"/>
        <v>&lt;01</v>
      </c>
      <c r="R2704" t="str">
        <f t="shared" si="85"/>
        <v>[YCKiBAp8QAg]|&lt;01|Female|DIAGNOSED_SUBNAT.T_1|CY2023Q3</v>
      </c>
    </row>
    <row r="2705" spans="4:18" x14ac:dyDescent="0.2">
      <c r="D2705" t="s">
        <v>128</v>
      </c>
      <c r="E2705" t="s">
        <v>129</v>
      </c>
      <c r="F2705" t="s">
        <v>130</v>
      </c>
      <c r="G2705" t="s">
        <v>147</v>
      </c>
      <c r="H2705" t="s">
        <v>148</v>
      </c>
      <c r="I2705" t="s">
        <v>32</v>
      </c>
      <c r="J2705" t="s">
        <v>33</v>
      </c>
      <c r="K2705" t="s">
        <v>29</v>
      </c>
      <c r="L2705" t="s">
        <v>30</v>
      </c>
      <c r="M2705" t="s">
        <v>139</v>
      </c>
      <c r="N2705">
        <v>624</v>
      </c>
      <c r="O2705" s="14">
        <v>0.63655408658087298</v>
      </c>
      <c r="P2705" s="14">
        <v>0.55690808477811504</v>
      </c>
      <c r="Q2705" t="str">
        <f t="shared" si="84"/>
        <v>01-09</v>
      </c>
      <c r="R2705" t="str">
        <f t="shared" si="85"/>
        <v>[YCKiBAp8QAg]|01-09|Female|DIAGNOSED_SUBNAT.T_1|CY2023Q3</v>
      </c>
    </row>
    <row r="2706" spans="4:18" x14ac:dyDescent="0.2">
      <c r="D2706" t="s">
        <v>128</v>
      </c>
      <c r="E2706" t="s">
        <v>129</v>
      </c>
      <c r="F2706" t="s">
        <v>130</v>
      </c>
      <c r="G2706" t="s">
        <v>147</v>
      </c>
      <c r="H2706" t="s">
        <v>148</v>
      </c>
      <c r="I2706" t="s">
        <v>35</v>
      </c>
      <c r="J2706" t="s">
        <v>36</v>
      </c>
      <c r="K2706" t="s">
        <v>29</v>
      </c>
      <c r="L2706" t="s">
        <v>30</v>
      </c>
      <c r="M2706" t="s">
        <v>139</v>
      </c>
      <c r="N2706">
        <v>1854</v>
      </c>
      <c r="O2706" s="14">
        <v>0.82407329557463505</v>
      </c>
      <c r="P2706" s="14">
        <v>0.55690808477811504</v>
      </c>
      <c r="Q2706" t="str">
        <f t="shared" si="84"/>
        <v>10-14</v>
      </c>
      <c r="R2706" t="str">
        <f t="shared" si="85"/>
        <v>[YCKiBAp8QAg]|10-14|Female|DIAGNOSED_SUBNAT.T_1|CY2023Q3</v>
      </c>
    </row>
    <row r="2707" spans="4:18" x14ac:dyDescent="0.2">
      <c r="D2707" t="s">
        <v>128</v>
      </c>
      <c r="E2707" t="s">
        <v>129</v>
      </c>
      <c r="F2707" t="s">
        <v>130</v>
      </c>
      <c r="G2707" t="s">
        <v>147</v>
      </c>
      <c r="H2707" t="s">
        <v>148</v>
      </c>
      <c r="I2707" t="s">
        <v>37</v>
      </c>
      <c r="J2707" t="s">
        <v>38</v>
      </c>
      <c r="K2707" t="s">
        <v>29</v>
      </c>
      <c r="L2707" t="s">
        <v>30</v>
      </c>
      <c r="M2707" t="s">
        <v>139</v>
      </c>
      <c r="N2707">
        <v>1792</v>
      </c>
      <c r="O2707" s="14">
        <v>0.62613695743493702</v>
      </c>
      <c r="P2707" s="14">
        <v>0.55690808477811504</v>
      </c>
      <c r="Q2707" t="str">
        <f t="shared" si="84"/>
        <v>15-24</v>
      </c>
      <c r="R2707" t="str">
        <f t="shared" si="85"/>
        <v>[YCKiBAp8QAg]|15-24|Female|DIAGNOSED_SUBNAT.T_1|CY2023Q3</v>
      </c>
    </row>
    <row r="2708" spans="4:18" x14ac:dyDescent="0.2">
      <c r="D2708" t="s">
        <v>128</v>
      </c>
      <c r="E2708" t="s">
        <v>129</v>
      </c>
      <c r="F2708" t="s">
        <v>130</v>
      </c>
      <c r="G2708" t="s">
        <v>147</v>
      </c>
      <c r="H2708" t="s">
        <v>148</v>
      </c>
      <c r="I2708" t="s">
        <v>40</v>
      </c>
      <c r="J2708" t="s">
        <v>41</v>
      </c>
      <c r="K2708" t="s">
        <v>29</v>
      </c>
      <c r="L2708" t="s">
        <v>30</v>
      </c>
      <c r="M2708" t="s">
        <v>139</v>
      </c>
      <c r="N2708">
        <v>565</v>
      </c>
      <c r="O2708" s="14">
        <v>0.206369892228395</v>
      </c>
      <c r="P2708" s="14">
        <v>0.55690808477811504</v>
      </c>
      <c r="Q2708" t="str">
        <f t="shared" si="84"/>
        <v>25-34</v>
      </c>
      <c r="R2708" t="str">
        <f t="shared" si="85"/>
        <v>[YCKiBAp8QAg]|25-34|Female|DIAGNOSED_SUBNAT.T_1|CY2023Q3</v>
      </c>
    </row>
    <row r="2709" spans="4:18" x14ac:dyDescent="0.2">
      <c r="D2709" t="s">
        <v>128</v>
      </c>
      <c r="E2709" t="s">
        <v>129</v>
      </c>
      <c r="F2709" t="s">
        <v>130</v>
      </c>
      <c r="G2709" t="s">
        <v>147</v>
      </c>
      <c r="H2709" t="s">
        <v>148</v>
      </c>
      <c r="I2709" t="s">
        <v>42</v>
      </c>
      <c r="J2709" t="s">
        <v>43</v>
      </c>
      <c r="K2709" t="s">
        <v>29</v>
      </c>
      <c r="L2709" t="s">
        <v>30</v>
      </c>
      <c r="M2709" t="s">
        <v>139</v>
      </c>
      <c r="N2709">
        <v>1797</v>
      </c>
      <c r="O2709" s="14">
        <v>0.62203064397908703</v>
      </c>
      <c r="P2709" s="14">
        <v>0.55690808477811504</v>
      </c>
      <c r="Q2709" t="str">
        <f t="shared" si="84"/>
        <v>35-49</v>
      </c>
      <c r="R2709" t="str">
        <f t="shared" si="85"/>
        <v>[YCKiBAp8QAg]|35-49|Female|DIAGNOSED_SUBNAT.T_1|CY2023Q3</v>
      </c>
    </row>
    <row r="2710" spans="4:18" x14ac:dyDescent="0.2">
      <c r="D2710" t="s">
        <v>128</v>
      </c>
      <c r="E2710" t="s">
        <v>129</v>
      </c>
      <c r="F2710" t="s">
        <v>130</v>
      </c>
      <c r="G2710" t="s">
        <v>147</v>
      </c>
      <c r="H2710" t="s">
        <v>148</v>
      </c>
      <c r="I2710" t="s">
        <v>44</v>
      </c>
      <c r="J2710" t="s">
        <v>45</v>
      </c>
      <c r="K2710" t="s">
        <v>29</v>
      </c>
      <c r="L2710" t="s">
        <v>30</v>
      </c>
      <c r="M2710" t="s">
        <v>139</v>
      </c>
      <c r="N2710">
        <v>1563</v>
      </c>
      <c r="O2710" s="14">
        <v>0.76446498953737296</v>
      </c>
      <c r="P2710" s="14">
        <v>0.55690808477811504</v>
      </c>
      <c r="Q2710" t="str">
        <f t="shared" si="84"/>
        <v>50+</v>
      </c>
      <c r="R2710" t="str">
        <f t="shared" si="85"/>
        <v>[YCKiBAp8QAg]|50+|Female|DIAGNOSED_SUBNAT.T_1|CY2023Q3</v>
      </c>
    </row>
    <row r="2711" spans="4:18" x14ac:dyDescent="0.2">
      <c r="D2711" t="s">
        <v>128</v>
      </c>
      <c r="E2711" t="s">
        <v>129</v>
      </c>
      <c r="F2711" t="s">
        <v>130</v>
      </c>
      <c r="G2711" t="s">
        <v>147</v>
      </c>
      <c r="H2711" t="s">
        <v>148</v>
      </c>
      <c r="I2711" t="s">
        <v>27</v>
      </c>
      <c r="J2711" t="s">
        <v>28</v>
      </c>
      <c r="K2711" t="s">
        <v>47</v>
      </c>
      <c r="L2711" t="s">
        <v>48</v>
      </c>
      <c r="M2711" t="s">
        <v>139</v>
      </c>
      <c r="N2711">
        <v>1250</v>
      </c>
      <c r="O2711" s="14">
        <v>0.40447704843245402</v>
      </c>
      <c r="P2711" s="14">
        <v>0.55690808477811504</v>
      </c>
      <c r="Q2711" t="str">
        <f t="shared" si="84"/>
        <v>&lt;01</v>
      </c>
      <c r="R2711" t="str">
        <f t="shared" si="85"/>
        <v>[YCKiBAp8QAg]|&lt;01|Male|DIAGNOSED_SUBNAT.T_1|CY2023Q3</v>
      </c>
    </row>
    <row r="2712" spans="4:18" x14ac:dyDescent="0.2">
      <c r="D2712" t="s">
        <v>128</v>
      </c>
      <c r="E2712" t="s">
        <v>129</v>
      </c>
      <c r="F2712" t="s">
        <v>130</v>
      </c>
      <c r="G2712" t="s">
        <v>147</v>
      </c>
      <c r="H2712" t="s">
        <v>148</v>
      </c>
      <c r="I2712" t="s">
        <v>32</v>
      </c>
      <c r="J2712" t="s">
        <v>33</v>
      </c>
      <c r="K2712" t="s">
        <v>47</v>
      </c>
      <c r="L2712" t="s">
        <v>48</v>
      </c>
      <c r="M2712" t="s">
        <v>139</v>
      </c>
      <c r="N2712">
        <v>538</v>
      </c>
      <c r="O2712" s="14">
        <v>0.30353669053874899</v>
      </c>
      <c r="P2712" s="14">
        <v>0.55690808477811504</v>
      </c>
      <c r="Q2712" t="str">
        <f t="shared" si="84"/>
        <v>01-09</v>
      </c>
      <c r="R2712" t="str">
        <f t="shared" si="85"/>
        <v>[YCKiBAp8QAg]|01-09|Male|DIAGNOSED_SUBNAT.T_1|CY2023Q3</v>
      </c>
    </row>
    <row r="2713" spans="4:18" x14ac:dyDescent="0.2">
      <c r="D2713" t="s">
        <v>128</v>
      </c>
      <c r="E2713" t="s">
        <v>129</v>
      </c>
      <c r="F2713" t="s">
        <v>130</v>
      </c>
      <c r="G2713" t="s">
        <v>147</v>
      </c>
      <c r="H2713" t="s">
        <v>148</v>
      </c>
      <c r="I2713" t="s">
        <v>35</v>
      </c>
      <c r="J2713" t="s">
        <v>36</v>
      </c>
      <c r="K2713" t="s">
        <v>47</v>
      </c>
      <c r="L2713" t="s">
        <v>48</v>
      </c>
      <c r="M2713" t="s">
        <v>139</v>
      </c>
      <c r="N2713">
        <v>1486</v>
      </c>
      <c r="O2713" s="14">
        <v>0.60293534863740195</v>
      </c>
      <c r="P2713" s="14">
        <v>0.55690808477811504</v>
      </c>
      <c r="Q2713" t="str">
        <f t="shared" si="84"/>
        <v>10-14</v>
      </c>
      <c r="R2713" t="str">
        <f t="shared" si="85"/>
        <v>[YCKiBAp8QAg]|10-14|Male|DIAGNOSED_SUBNAT.T_1|CY2023Q3</v>
      </c>
    </row>
    <row r="2714" spans="4:18" x14ac:dyDescent="0.2">
      <c r="D2714" t="s">
        <v>128</v>
      </c>
      <c r="E2714" t="s">
        <v>129</v>
      </c>
      <c r="F2714" t="s">
        <v>130</v>
      </c>
      <c r="G2714" t="s">
        <v>147</v>
      </c>
      <c r="H2714" t="s">
        <v>148</v>
      </c>
      <c r="I2714" t="s">
        <v>37</v>
      </c>
      <c r="J2714" t="s">
        <v>38</v>
      </c>
      <c r="K2714" t="s">
        <v>47</v>
      </c>
      <c r="L2714" t="s">
        <v>48</v>
      </c>
      <c r="M2714" t="s">
        <v>139</v>
      </c>
      <c r="N2714">
        <v>1726</v>
      </c>
      <c r="O2714" s="14">
        <v>0.51016776729375102</v>
      </c>
      <c r="P2714" s="14">
        <v>0.55690808477811504</v>
      </c>
      <c r="Q2714" t="str">
        <f t="shared" si="84"/>
        <v>15-24</v>
      </c>
      <c r="R2714" t="str">
        <f t="shared" si="85"/>
        <v>[YCKiBAp8QAg]|15-24|Male|DIAGNOSED_SUBNAT.T_1|CY2023Q3</v>
      </c>
    </row>
    <row r="2715" spans="4:18" x14ac:dyDescent="0.2">
      <c r="D2715" t="s">
        <v>128</v>
      </c>
      <c r="E2715" t="s">
        <v>129</v>
      </c>
      <c r="F2715" t="s">
        <v>130</v>
      </c>
      <c r="G2715" t="s">
        <v>147</v>
      </c>
      <c r="H2715" t="s">
        <v>148</v>
      </c>
      <c r="I2715" t="s">
        <v>40</v>
      </c>
      <c r="J2715" t="s">
        <v>41</v>
      </c>
      <c r="K2715" t="s">
        <v>47</v>
      </c>
      <c r="L2715" t="s">
        <v>48</v>
      </c>
      <c r="M2715" t="s">
        <v>139</v>
      </c>
      <c r="N2715">
        <v>1098</v>
      </c>
      <c r="O2715" s="14">
        <v>0.68380050593987096</v>
      </c>
      <c r="P2715" s="14">
        <v>0.55690808477811504</v>
      </c>
      <c r="Q2715" t="str">
        <f t="shared" si="84"/>
        <v>25-34</v>
      </c>
      <c r="R2715" t="str">
        <f t="shared" si="85"/>
        <v>[YCKiBAp8QAg]|25-34|Male|DIAGNOSED_SUBNAT.T_1|CY2023Q3</v>
      </c>
    </row>
    <row r="2716" spans="4:18" x14ac:dyDescent="0.2">
      <c r="D2716" t="s">
        <v>128</v>
      </c>
      <c r="E2716" t="s">
        <v>129</v>
      </c>
      <c r="F2716" t="s">
        <v>130</v>
      </c>
      <c r="G2716" t="s">
        <v>147</v>
      </c>
      <c r="H2716" t="s">
        <v>148</v>
      </c>
      <c r="I2716" t="s">
        <v>42</v>
      </c>
      <c r="J2716" t="s">
        <v>43</v>
      </c>
      <c r="K2716" t="s">
        <v>47</v>
      </c>
      <c r="L2716" t="s">
        <v>48</v>
      </c>
      <c r="M2716" t="s">
        <v>139</v>
      </c>
      <c r="N2716">
        <v>1917</v>
      </c>
      <c r="O2716" s="14">
        <v>0.56827569822780799</v>
      </c>
      <c r="P2716" s="14">
        <v>0.55690808477811504</v>
      </c>
      <c r="Q2716" t="str">
        <f t="shared" si="84"/>
        <v>35-49</v>
      </c>
      <c r="R2716" t="str">
        <f t="shared" si="85"/>
        <v>[YCKiBAp8QAg]|35-49|Male|DIAGNOSED_SUBNAT.T_1|CY2023Q3</v>
      </c>
    </row>
    <row r="2717" spans="4:18" x14ac:dyDescent="0.2">
      <c r="D2717" t="s">
        <v>128</v>
      </c>
      <c r="E2717" t="s">
        <v>129</v>
      </c>
      <c r="F2717" t="s">
        <v>130</v>
      </c>
      <c r="G2717" t="s">
        <v>147</v>
      </c>
      <c r="H2717" t="s">
        <v>148</v>
      </c>
      <c r="I2717" t="s">
        <v>44</v>
      </c>
      <c r="J2717" t="s">
        <v>45</v>
      </c>
      <c r="K2717" t="s">
        <v>47</v>
      </c>
      <c r="L2717" t="s">
        <v>48</v>
      </c>
      <c r="M2717" t="s">
        <v>139</v>
      </c>
      <c r="N2717">
        <v>1002</v>
      </c>
      <c r="O2717" s="14">
        <v>0.72317471262067601</v>
      </c>
      <c r="P2717" s="14">
        <v>0.55690808477811504</v>
      </c>
      <c r="Q2717" t="str">
        <f t="shared" si="84"/>
        <v>50+</v>
      </c>
      <c r="R2717" t="str">
        <f t="shared" si="85"/>
        <v>[YCKiBAp8QAg]|50+|Male|DIAGNOSED_SUBNAT.T_1|CY2023Q3</v>
      </c>
    </row>
    <row r="2718" spans="4:18" x14ac:dyDescent="0.2">
      <c r="D2718" t="s">
        <v>131</v>
      </c>
      <c r="E2718" t="s">
        <v>132</v>
      </c>
      <c r="F2718" t="s">
        <v>133</v>
      </c>
      <c r="G2718" t="s">
        <v>147</v>
      </c>
      <c r="H2718" t="s">
        <v>148</v>
      </c>
      <c r="I2718" t="s">
        <v>27</v>
      </c>
      <c r="J2718" t="s">
        <v>28</v>
      </c>
      <c r="K2718" t="s">
        <v>29</v>
      </c>
      <c r="L2718" t="s">
        <v>30</v>
      </c>
      <c r="M2718" t="s">
        <v>139</v>
      </c>
      <c r="N2718">
        <v>730</v>
      </c>
      <c r="O2718" s="14">
        <v>0.76771501731127501</v>
      </c>
      <c r="P2718" s="14">
        <v>0.16286319401115201</v>
      </c>
      <c r="Q2718" t="str">
        <f t="shared" si="84"/>
        <v>&lt;01</v>
      </c>
      <c r="R2718" t="str">
        <f t="shared" si="85"/>
        <v>[JQKLKuVuY61]|&lt;01|Female|DIAGNOSED_SUBNAT.T_1|CY2023Q3</v>
      </c>
    </row>
    <row r="2719" spans="4:18" x14ac:dyDescent="0.2">
      <c r="D2719" t="s">
        <v>131</v>
      </c>
      <c r="E2719" t="s">
        <v>132</v>
      </c>
      <c r="F2719" t="s">
        <v>133</v>
      </c>
      <c r="G2719" t="s">
        <v>147</v>
      </c>
      <c r="H2719" t="s">
        <v>148</v>
      </c>
      <c r="I2719" t="s">
        <v>32</v>
      </c>
      <c r="J2719" t="s">
        <v>33</v>
      </c>
      <c r="K2719" t="s">
        <v>29</v>
      </c>
      <c r="L2719" t="s">
        <v>30</v>
      </c>
      <c r="M2719" t="s">
        <v>139</v>
      </c>
      <c r="N2719">
        <v>1181</v>
      </c>
      <c r="O2719" s="14">
        <v>0.67368309409357596</v>
      </c>
      <c r="P2719" s="14">
        <v>0.16286319401115201</v>
      </c>
      <c r="Q2719" t="str">
        <f t="shared" si="84"/>
        <v>01-09</v>
      </c>
      <c r="R2719" t="str">
        <f t="shared" si="85"/>
        <v>[JQKLKuVuY61]|01-09|Female|DIAGNOSED_SUBNAT.T_1|CY2023Q3</v>
      </c>
    </row>
    <row r="2720" spans="4:18" x14ac:dyDescent="0.2">
      <c r="D2720" t="s">
        <v>131</v>
      </c>
      <c r="E2720" t="s">
        <v>132</v>
      </c>
      <c r="F2720" t="s">
        <v>133</v>
      </c>
      <c r="G2720" t="s">
        <v>147</v>
      </c>
      <c r="H2720" t="s">
        <v>148</v>
      </c>
      <c r="I2720" t="s">
        <v>35</v>
      </c>
      <c r="J2720" t="s">
        <v>36</v>
      </c>
      <c r="K2720" t="s">
        <v>29</v>
      </c>
      <c r="L2720" t="s">
        <v>30</v>
      </c>
      <c r="M2720" t="s">
        <v>139</v>
      </c>
      <c r="N2720">
        <v>577</v>
      </c>
      <c r="O2720" s="14">
        <v>2.11070894729346E-2</v>
      </c>
      <c r="P2720" s="14">
        <v>0.16286319401115201</v>
      </c>
      <c r="Q2720" t="str">
        <f t="shared" si="84"/>
        <v>10-14</v>
      </c>
      <c r="R2720" t="str">
        <f t="shared" si="85"/>
        <v>[JQKLKuVuY61]|10-14|Female|DIAGNOSED_SUBNAT.T_1|CY2023Q3</v>
      </c>
    </row>
    <row r="2721" spans="4:18" x14ac:dyDescent="0.2">
      <c r="D2721" t="s">
        <v>131</v>
      </c>
      <c r="E2721" t="s">
        <v>132</v>
      </c>
      <c r="F2721" t="s">
        <v>133</v>
      </c>
      <c r="G2721" t="s">
        <v>147</v>
      </c>
      <c r="H2721" t="s">
        <v>148</v>
      </c>
      <c r="I2721" t="s">
        <v>37</v>
      </c>
      <c r="J2721" t="s">
        <v>38</v>
      </c>
      <c r="K2721" t="s">
        <v>29</v>
      </c>
      <c r="L2721" t="s">
        <v>30</v>
      </c>
      <c r="M2721" t="s">
        <v>139</v>
      </c>
      <c r="N2721">
        <v>1177</v>
      </c>
      <c r="O2721" s="14">
        <v>0.91560890595428601</v>
      </c>
      <c r="P2721" s="14">
        <v>0.16286319401115201</v>
      </c>
      <c r="Q2721" t="str">
        <f t="shared" si="84"/>
        <v>15-24</v>
      </c>
      <c r="R2721" t="str">
        <f t="shared" si="85"/>
        <v>[JQKLKuVuY61]|15-24|Female|DIAGNOSED_SUBNAT.T_1|CY2023Q3</v>
      </c>
    </row>
    <row r="2722" spans="4:18" x14ac:dyDescent="0.2">
      <c r="D2722" t="s">
        <v>131</v>
      </c>
      <c r="E2722" t="s">
        <v>132</v>
      </c>
      <c r="F2722" t="s">
        <v>133</v>
      </c>
      <c r="G2722" t="s">
        <v>147</v>
      </c>
      <c r="H2722" t="s">
        <v>148</v>
      </c>
      <c r="I2722" t="s">
        <v>40</v>
      </c>
      <c r="J2722" t="s">
        <v>41</v>
      </c>
      <c r="K2722" t="s">
        <v>29</v>
      </c>
      <c r="L2722" t="s">
        <v>30</v>
      </c>
      <c r="M2722" t="s">
        <v>139</v>
      </c>
      <c r="N2722">
        <v>768</v>
      </c>
      <c r="O2722" s="14">
        <v>0.43442303314804998</v>
      </c>
      <c r="P2722" s="14">
        <v>0.16286319401115201</v>
      </c>
      <c r="Q2722" t="str">
        <f t="shared" si="84"/>
        <v>25-34</v>
      </c>
      <c r="R2722" t="str">
        <f t="shared" si="85"/>
        <v>[JQKLKuVuY61]|25-34|Female|DIAGNOSED_SUBNAT.T_1|CY2023Q3</v>
      </c>
    </row>
    <row r="2723" spans="4:18" x14ac:dyDescent="0.2">
      <c r="D2723" t="s">
        <v>131</v>
      </c>
      <c r="E2723" t="s">
        <v>132</v>
      </c>
      <c r="F2723" t="s">
        <v>133</v>
      </c>
      <c r="G2723" t="s">
        <v>147</v>
      </c>
      <c r="H2723" t="s">
        <v>148</v>
      </c>
      <c r="I2723" t="s">
        <v>42</v>
      </c>
      <c r="J2723" t="s">
        <v>43</v>
      </c>
      <c r="K2723" t="s">
        <v>29</v>
      </c>
      <c r="L2723" t="s">
        <v>30</v>
      </c>
      <c r="M2723" t="s">
        <v>139</v>
      </c>
      <c r="N2723">
        <v>1960</v>
      </c>
      <c r="O2723" s="14">
        <v>6.7908128490671502E-2</v>
      </c>
      <c r="P2723" s="14">
        <v>0.16286319401115201</v>
      </c>
      <c r="Q2723" t="str">
        <f t="shared" si="84"/>
        <v>35-49</v>
      </c>
      <c r="R2723" t="str">
        <f t="shared" si="85"/>
        <v>[JQKLKuVuY61]|35-49|Female|DIAGNOSED_SUBNAT.T_1|CY2023Q3</v>
      </c>
    </row>
    <row r="2724" spans="4:18" x14ac:dyDescent="0.2">
      <c r="D2724" t="s">
        <v>131</v>
      </c>
      <c r="E2724" t="s">
        <v>132</v>
      </c>
      <c r="F2724" t="s">
        <v>133</v>
      </c>
      <c r="G2724" t="s">
        <v>147</v>
      </c>
      <c r="H2724" t="s">
        <v>148</v>
      </c>
      <c r="I2724" t="s">
        <v>44</v>
      </c>
      <c r="J2724" t="s">
        <v>45</v>
      </c>
      <c r="K2724" t="s">
        <v>29</v>
      </c>
      <c r="L2724" t="s">
        <v>30</v>
      </c>
      <c r="M2724" t="s">
        <v>139</v>
      </c>
      <c r="N2724">
        <v>802</v>
      </c>
      <c r="O2724" s="14">
        <v>0.43041840638034001</v>
      </c>
      <c r="P2724" s="14">
        <v>0.16286319401115201</v>
      </c>
      <c r="Q2724" t="str">
        <f t="shared" si="84"/>
        <v>50+</v>
      </c>
      <c r="R2724" t="str">
        <f t="shared" si="85"/>
        <v>[JQKLKuVuY61]|50+|Female|DIAGNOSED_SUBNAT.T_1|CY2023Q3</v>
      </c>
    </row>
    <row r="2725" spans="4:18" x14ac:dyDescent="0.2">
      <c r="D2725" t="s">
        <v>131</v>
      </c>
      <c r="E2725" t="s">
        <v>132</v>
      </c>
      <c r="F2725" t="s">
        <v>133</v>
      </c>
      <c r="G2725" t="s">
        <v>147</v>
      </c>
      <c r="H2725" t="s">
        <v>148</v>
      </c>
      <c r="I2725" t="s">
        <v>27</v>
      </c>
      <c r="J2725" t="s">
        <v>28</v>
      </c>
      <c r="K2725" t="s">
        <v>47</v>
      </c>
      <c r="L2725" t="s">
        <v>48</v>
      </c>
      <c r="M2725" t="s">
        <v>139</v>
      </c>
      <c r="N2725">
        <v>1695</v>
      </c>
      <c r="O2725" s="14">
        <v>0.63408737094141499</v>
      </c>
      <c r="P2725" s="14">
        <v>0.16286319401115201</v>
      </c>
      <c r="Q2725" t="str">
        <f t="shared" si="84"/>
        <v>&lt;01</v>
      </c>
      <c r="R2725" t="str">
        <f t="shared" si="85"/>
        <v>[JQKLKuVuY61]|&lt;01|Male|DIAGNOSED_SUBNAT.T_1|CY2023Q3</v>
      </c>
    </row>
    <row r="2726" spans="4:18" x14ac:dyDescent="0.2">
      <c r="D2726" t="s">
        <v>131</v>
      </c>
      <c r="E2726" t="s">
        <v>132</v>
      </c>
      <c r="F2726" t="s">
        <v>133</v>
      </c>
      <c r="G2726" t="s">
        <v>147</v>
      </c>
      <c r="H2726" t="s">
        <v>148</v>
      </c>
      <c r="I2726" t="s">
        <v>32</v>
      </c>
      <c r="J2726" t="s">
        <v>33</v>
      </c>
      <c r="K2726" t="s">
        <v>47</v>
      </c>
      <c r="L2726" t="s">
        <v>48</v>
      </c>
      <c r="M2726" t="s">
        <v>139</v>
      </c>
      <c r="N2726">
        <v>589</v>
      </c>
      <c r="O2726" s="14">
        <v>0.32108406117186</v>
      </c>
      <c r="P2726" s="14">
        <v>0.16286319401115201</v>
      </c>
      <c r="Q2726" t="str">
        <f t="shared" si="84"/>
        <v>01-09</v>
      </c>
      <c r="R2726" t="str">
        <f t="shared" si="85"/>
        <v>[JQKLKuVuY61]|01-09|Male|DIAGNOSED_SUBNAT.T_1|CY2023Q3</v>
      </c>
    </row>
    <row r="2727" spans="4:18" x14ac:dyDescent="0.2">
      <c r="D2727" t="s">
        <v>131</v>
      </c>
      <c r="E2727" t="s">
        <v>132</v>
      </c>
      <c r="F2727" t="s">
        <v>133</v>
      </c>
      <c r="G2727" t="s">
        <v>147</v>
      </c>
      <c r="H2727" t="s">
        <v>148</v>
      </c>
      <c r="I2727" t="s">
        <v>35</v>
      </c>
      <c r="J2727" t="s">
        <v>36</v>
      </c>
      <c r="K2727" t="s">
        <v>47</v>
      </c>
      <c r="L2727" t="s">
        <v>48</v>
      </c>
      <c r="M2727" t="s">
        <v>139</v>
      </c>
      <c r="N2727">
        <v>1205</v>
      </c>
      <c r="O2727" s="14">
        <v>2.0337585825473101E-2</v>
      </c>
      <c r="P2727" s="14">
        <v>0.16286319401115201</v>
      </c>
      <c r="Q2727" t="str">
        <f t="shared" si="84"/>
        <v>10-14</v>
      </c>
      <c r="R2727" t="str">
        <f t="shared" si="85"/>
        <v>[JQKLKuVuY61]|10-14|Male|DIAGNOSED_SUBNAT.T_1|CY2023Q3</v>
      </c>
    </row>
    <row r="2728" spans="4:18" x14ac:dyDescent="0.2">
      <c r="D2728" t="s">
        <v>131</v>
      </c>
      <c r="E2728" t="s">
        <v>132</v>
      </c>
      <c r="F2728" t="s">
        <v>133</v>
      </c>
      <c r="G2728" t="s">
        <v>147</v>
      </c>
      <c r="H2728" t="s">
        <v>148</v>
      </c>
      <c r="I2728" t="s">
        <v>37</v>
      </c>
      <c r="J2728" t="s">
        <v>38</v>
      </c>
      <c r="K2728" t="s">
        <v>47</v>
      </c>
      <c r="L2728" t="s">
        <v>48</v>
      </c>
      <c r="M2728" t="s">
        <v>139</v>
      </c>
      <c r="N2728">
        <v>803</v>
      </c>
      <c r="O2728" s="14">
        <v>0.78072019410319604</v>
      </c>
      <c r="P2728" s="14">
        <v>0.16286319401115201</v>
      </c>
      <c r="Q2728" t="str">
        <f t="shared" si="84"/>
        <v>15-24</v>
      </c>
      <c r="R2728" t="str">
        <f t="shared" si="85"/>
        <v>[JQKLKuVuY61]|15-24|Male|DIAGNOSED_SUBNAT.T_1|CY2023Q3</v>
      </c>
    </row>
    <row r="2729" spans="4:18" x14ac:dyDescent="0.2">
      <c r="D2729" t="s">
        <v>131</v>
      </c>
      <c r="E2729" t="s">
        <v>132</v>
      </c>
      <c r="F2729" t="s">
        <v>133</v>
      </c>
      <c r="G2729" t="s">
        <v>147</v>
      </c>
      <c r="H2729" t="s">
        <v>148</v>
      </c>
      <c r="I2729" t="s">
        <v>40</v>
      </c>
      <c r="J2729" t="s">
        <v>41</v>
      </c>
      <c r="K2729" t="s">
        <v>47</v>
      </c>
      <c r="L2729" t="s">
        <v>48</v>
      </c>
      <c r="M2729" t="s">
        <v>139</v>
      </c>
      <c r="N2729">
        <v>588</v>
      </c>
      <c r="O2729" s="14">
        <v>8.3888044580817195E-2</v>
      </c>
      <c r="P2729" s="14">
        <v>0.16286319401115201</v>
      </c>
      <c r="Q2729" t="str">
        <f t="shared" si="84"/>
        <v>25-34</v>
      </c>
      <c r="R2729" t="str">
        <f t="shared" si="85"/>
        <v>[JQKLKuVuY61]|25-34|Male|DIAGNOSED_SUBNAT.T_1|CY2023Q3</v>
      </c>
    </row>
    <row r="2730" spans="4:18" x14ac:dyDescent="0.2">
      <c r="D2730" t="s">
        <v>131</v>
      </c>
      <c r="E2730" t="s">
        <v>132</v>
      </c>
      <c r="F2730" t="s">
        <v>133</v>
      </c>
      <c r="G2730" t="s">
        <v>147</v>
      </c>
      <c r="H2730" t="s">
        <v>148</v>
      </c>
      <c r="I2730" t="s">
        <v>42</v>
      </c>
      <c r="J2730" t="s">
        <v>43</v>
      </c>
      <c r="K2730" t="s">
        <v>47</v>
      </c>
      <c r="L2730" t="s">
        <v>48</v>
      </c>
      <c r="M2730" t="s">
        <v>139</v>
      </c>
      <c r="N2730">
        <v>1552</v>
      </c>
      <c r="O2730" s="14">
        <v>0.60572575847618304</v>
      </c>
      <c r="P2730" s="14">
        <v>0.16286319401115201</v>
      </c>
      <c r="Q2730" t="str">
        <f t="shared" si="84"/>
        <v>35-49</v>
      </c>
      <c r="R2730" t="str">
        <f t="shared" si="85"/>
        <v>[JQKLKuVuY61]|35-49|Male|DIAGNOSED_SUBNAT.T_1|CY2023Q3</v>
      </c>
    </row>
    <row r="2731" spans="4:18" x14ac:dyDescent="0.2">
      <c r="D2731" t="s">
        <v>131</v>
      </c>
      <c r="E2731" t="s">
        <v>132</v>
      </c>
      <c r="F2731" t="s">
        <v>133</v>
      </c>
      <c r="G2731" t="s">
        <v>147</v>
      </c>
      <c r="H2731" t="s">
        <v>148</v>
      </c>
      <c r="I2731" t="s">
        <v>44</v>
      </c>
      <c r="J2731" t="s">
        <v>45</v>
      </c>
      <c r="K2731" t="s">
        <v>47</v>
      </c>
      <c r="L2731" t="s">
        <v>48</v>
      </c>
      <c r="M2731" t="s">
        <v>139</v>
      </c>
      <c r="N2731">
        <v>506</v>
      </c>
      <c r="O2731" s="14">
        <v>0.52946728095412299</v>
      </c>
      <c r="P2731" s="14">
        <v>0.16286319401115201</v>
      </c>
      <c r="Q2731" t="str">
        <f t="shared" si="84"/>
        <v>50+</v>
      </c>
      <c r="R2731" t="str">
        <f t="shared" si="85"/>
        <v>[JQKLKuVuY61]|50+|Male|DIAGNOSED_SUBNAT.T_1|CY2023Q3</v>
      </c>
    </row>
    <row r="2732" spans="4:18" x14ac:dyDescent="0.2">
      <c r="D2732" t="s">
        <v>134</v>
      </c>
      <c r="E2732" t="s">
        <v>135</v>
      </c>
      <c r="F2732" t="s">
        <v>136</v>
      </c>
      <c r="G2732" t="s">
        <v>147</v>
      </c>
      <c r="H2732" t="s">
        <v>148</v>
      </c>
      <c r="I2732" t="s">
        <v>27</v>
      </c>
      <c r="J2732" t="s">
        <v>28</v>
      </c>
      <c r="K2732" t="s">
        <v>29</v>
      </c>
      <c r="L2732" t="s">
        <v>30</v>
      </c>
      <c r="M2732" t="s">
        <v>139</v>
      </c>
      <c r="N2732">
        <v>982</v>
      </c>
      <c r="O2732" s="14">
        <v>0.37898470275104001</v>
      </c>
      <c r="P2732" s="14">
        <v>0.95530052832327805</v>
      </c>
      <c r="Q2732" t="str">
        <f t="shared" si="84"/>
        <v>&lt;01</v>
      </c>
      <c r="R2732" t="str">
        <f t="shared" si="85"/>
        <v>[fiRkU6gEjLz]|&lt;01|Female|DIAGNOSED_SUBNAT.T_1|CY2023Q3</v>
      </c>
    </row>
    <row r="2733" spans="4:18" x14ac:dyDescent="0.2">
      <c r="D2733" t="s">
        <v>134</v>
      </c>
      <c r="E2733" t="s">
        <v>135</v>
      </c>
      <c r="F2733" t="s">
        <v>136</v>
      </c>
      <c r="G2733" t="s">
        <v>147</v>
      </c>
      <c r="H2733" t="s">
        <v>148</v>
      </c>
      <c r="I2733" t="s">
        <v>32</v>
      </c>
      <c r="J2733" t="s">
        <v>33</v>
      </c>
      <c r="K2733" t="s">
        <v>29</v>
      </c>
      <c r="L2733" t="s">
        <v>30</v>
      </c>
      <c r="M2733" t="s">
        <v>139</v>
      </c>
      <c r="N2733">
        <v>888</v>
      </c>
      <c r="O2733" s="14">
        <v>0.45682995207607702</v>
      </c>
      <c r="P2733" s="14">
        <v>0.95530052832327805</v>
      </c>
      <c r="Q2733" t="str">
        <f t="shared" si="84"/>
        <v>01-09</v>
      </c>
      <c r="R2733" t="str">
        <f t="shared" si="85"/>
        <v>[fiRkU6gEjLz]|01-09|Female|DIAGNOSED_SUBNAT.T_1|CY2023Q3</v>
      </c>
    </row>
    <row r="2734" spans="4:18" x14ac:dyDescent="0.2">
      <c r="D2734" t="s">
        <v>134</v>
      </c>
      <c r="E2734" t="s">
        <v>135</v>
      </c>
      <c r="F2734" t="s">
        <v>136</v>
      </c>
      <c r="G2734" t="s">
        <v>147</v>
      </c>
      <c r="H2734" t="s">
        <v>148</v>
      </c>
      <c r="I2734" t="s">
        <v>35</v>
      </c>
      <c r="J2734" t="s">
        <v>36</v>
      </c>
      <c r="K2734" t="s">
        <v>29</v>
      </c>
      <c r="L2734" t="s">
        <v>30</v>
      </c>
      <c r="M2734" t="s">
        <v>139</v>
      </c>
      <c r="N2734">
        <v>1372</v>
      </c>
      <c r="O2734" s="14">
        <v>0.13269920949824199</v>
      </c>
      <c r="P2734" s="14">
        <v>0.95530052832327805</v>
      </c>
      <c r="Q2734" t="str">
        <f t="shared" si="84"/>
        <v>10-14</v>
      </c>
      <c r="R2734" t="str">
        <f t="shared" si="85"/>
        <v>[fiRkU6gEjLz]|10-14|Female|DIAGNOSED_SUBNAT.T_1|CY2023Q3</v>
      </c>
    </row>
    <row r="2735" spans="4:18" x14ac:dyDescent="0.2">
      <c r="D2735" t="s">
        <v>134</v>
      </c>
      <c r="E2735" t="s">
        <v>135</v>
      </c>
      <c r="F2735" t="s">
        <v>136</v>
      </c>
      <c r="G2735" t="s">
        <v>147</v>
      </c>
      <c r="H2735" t="s">
        <v>148</v>
      </c>
      <c r="I2735" t="s">
        <v>37</v>
      </c>
      <c r="J2735" t="s">
        <v>38</v>
      </c>
      <c r="K2735" t="s">
        <v>29</v>
      </c>
      <c r="L2735" t="s">
        <v>30</v>
      </c>
      <c r="M2735" t="s">
        <v>139</v>
      </c>
      <c r="N2735">
        <v>1684</v>
      </c>
      <c r="O2735" s="14">
        <v>0.82211108366027497</v>
      </c>
      <c r="P2735" s="14">
        <v>0.95530052832327805</v>
      </c>
      <c r="Q2735" t="str">
        <f t="shared" si="84"/>
        <v>15-24</v>
      </c>
      <c r="R2735" t="str">
        <f t="shared" si="85"/>
        <v>[fiRkU6gEjLz]|15-24|Female|DIAGNOSED_SUBNAT.T_1|CY2023Q3</v>
      </c>
    </row>
    <row r="2736" spans="4:18" x14ac:dyDescent="0.2">
      <c r="D2736" t="s">
        <v>134</v>
      </c>
      <c r="E2736" t="s">
        <v>135</v>
      </c>
      <c r="F2736" t="s">
        <v>136</v>
      </c>
      <c r="G2736" t="s">
        <v>147</v>
      </c>
      <c r="H2736" t="s">
        <v>148</v>
      </c>
      <c r="I2736" t="s">
        <v>40</v>
      </c>
      <c r="J2736" t="s">
        <v>41</v>
      </c>
      <c r="K2736" t="s">
        <v>29</v>
      </c>
      <c r="L2736" t="s">
        <v>30</v>
      </c>
      <c r="M2736" t="s">
        <v>139</v>
      </c>
      <c r="N2736">
        <v>852</v>
      </c>
      <c r="O2736" s="14">
        <v>0.58962372830137599</v>
      </c>
      <c r="P2736" s="14">
        <v>0.95530052832327805</v>
      </c>
      <c r="Q2736" t="str">
        <f t="shared" si="84"/>
        <v>25-34</v>
      </c>
      <c r="R2736" t="str">
        <f t="shared" si="85"/>
        <v>[fiRkU6gEjLz]|25-34|Female|DIAGNOSED_SUBNAT.T_1|CY2023Q3</v>
      </c>
    </row>
    <row r="2737" spans="4:18" x14ac:dyDescent="0.2">
      <c r="D2737" t="s">
        <v>134</v>
      </c>
      <c r="E2737" t="s">
        <v>135</v>
      </c>
      <c r="F2737" t="s">
        <v>136</v>
      </c>
      <c r="G2737" t="s">
        <v>147</v>
      </c>
      <c r="H2737" t="s">
        <v>148</v>
      </c>
      <c r="I2737" t="s">
        <v>42</v>
      </c>
      <c r="J2737" t="s">
        <v>43</v>
      </c>
      <c r="K2737" t="s">
        <v>29</v>
      </c>
      <c r="L2737" t="s">
        <v>30</v>
      </c>
      <c r="M2737" t="s">
        <v>139</v>
      </c>
      <c r="N2737">
        <v>1661</v>
      </c>
      <c r="O2737" s="14">
        <v>0.47515370207838697</v>
      </c>
      <c r="P2737" s="14">
        <v>0.95530052832327805</v>
      </c>
      <c r="Q2737" t="str">
        <f t="shared" si="84"/>
        <v>35-49</v>
      </c>
      <c r="R2737" t="str">
        <f t="shared" si="85"/>
        <v>[fiRkU6gEjLz]|35-49|Female|DIAGNOSED_SUBNAT.T_1|CY2023Q3</v>
      </c>
    </row>
    <row r="2738" spans="4:18" x14ac:dyDescent="0.2">
      <c r="D2738" t="s">
        <v>134</v>
      </c>
      <c r="E2738" t="s">
        <v>135</v>
      </c>
      <c r="F2738" t="s">
        <v>136</v>
      </c>
      <c r="G2738" t="s">
        <v>147</v>
      </c>
      <c r="H2738" t="s">
        <v>148</v>
      </c>
      <c r="I2738" t="s">
        <v>44</v>
      </c>
      <c r="J2738" t="s">
        <v>45</v>
      </c>
      <c r="K2738" t="s">
        <v>29</v>
      </c>
      <c r="L2738" t="s">
        <v>30</v>
      </c>
      <c r="M2738" t="s">
        <v>139</v>
      </c>
      <c r="N2738">
        <v>1212</v>
      </c>
      <c r="O2738" s="14">
        <v>0.31694428552873399</v>
      </c>
      <c r="P2738" s="14">
        <v>0.95530052832327805</v>
      </c>
      <c r="Q2738" t="str">
        <f t="shared" si="84"/>
        <v>50+</v>
      </c>
      <c r="R2738" t="str">
        <f t="shared" si="85"/>
        <v>[fiRkU6gEjLz]|50+|Female|DIAGNOSED_SUBNAT.T_1|CY2023Q3</v>
      </c>
    </row>
    <row r="2739" spans="4:18" x14ac:dyDescent="0.2">
      <c r="D2739" t="s">
        <v>134</v>
      </c>
      <c r="E2739" t="s">
        <v>135</v>
      </c>
      <c r="F2739" t="s">
        <v>136</v>
      </c>
      <c r="G2739" t="s">
        <v>147</v>
      </c>
      <c r="H2739" t="s">
        <v>148</v>
      </c>
      <c r="I2739" t="s">
        <v>27</v>
      </c>
      <c r="J2739" t="s">
        <v>28</v>
      </c>
      <c r="K2739" t="s">
        <v>47</v>
      </c>
      <c r="L2739" t="s">
        <v>48</v>
      </c>
      <c r="M2739" t="s">
        <v>139</v>
      </c>
      <c r="N2739">
        <v>1021</v>
      </c>
      <c r="O2739" s="14">
        <v>0.15953042288310801</v>
      </c>
      <c r="P2739" s="14">
        <v>0.95530052832327805</v>
      </c>
      <c r="Q2739" t="str">
        <f t="shared" si="84"/>
        <v>&lt;01</v>
      </c>
      <c r="R2739" t="str">
        <f t="shared" si="85"/>
        <v>[fiRkU6gEjLz]|&lt;01|Male|DIAGNOSED_SUBNAT.T_1|CY2023Q3</v>
      </c>
    </row>
    <row r="2740" spans="4:18" x14ac:dyDescent="0.2">
      <c r="D2740" t="s">
        <v>134</v>
      </c>
      <c r="E2740" t="s">
        <v>135</v>
      </c>
      <c r="F2740" t="s">
        <v>136</v>
      </c>
      <c r="G2740" t="s">
        <v>147</v>
      </c>
      <c r="H2740" t="s">
        <v>148</v>
      </c>
      <c r="I2740" t="s">
        <v>32</v>
      </c>
      <c r="J2740" t="s">
        <v>33</v>
      </c>
      <c r="K2740" t="s">
        <v>47</v>
      </c>
      <c r="L2740" t="s">
        <v>48</v>
      </c>
      <c r="M2740" t="s">
        <v>139</v>
      </c>
      <c r="N2740">
        <v>1707</v>
      </c>
      <c r="O2740" s="14">
        <v>0.13393266825005401</v>
      </c>
      <c r="P2740" s="14">
        <v>0.95530052832327805</v>
      </c>
      <c r="Q2740" t="str">
        <f t="shared" si="84"/>
        <v>01-09</v>
      </c>
      <c r="R2740" t="str">
        <f t="shared" si="85"/>
        <v>[fiRkU6gEjLz]|01-09|Male|DIAGNOSED_SUBNAT.T_1|CY2023Q3</v>
      </c>
    </row>
    <row r="2741" spans="4:18" x14ac:dyDescent="0.2">
      <c r="D2741" t="s">
        <v>134</v>
      </c>
      <c r="E2741" t="s">
        <v>135</v>
      </c>
      <c r="F2741" t="s">
        <v>136</v>
      </c>
      <c r="G2741" t="s">
        <v>147</v>
      </c>
      <c r="H2741" t="s">
        <v>148</v>
      </c>
      <c r="I2741" t="s">
        <v>35</v>
      </c>
      <c r="J2741" t="s">
        <v>36</v>
      </c>
      <c r="K2741" t="s">
        <v>47</v>
      </c>
      <c r="L2741" t="s">
        <v>48</v>
      </c>
      <c r="M2741" t="s">
        <v>139</v>
      </c>
      <c r="N2741">
        <v>1277</v>
      </c>
      <c r="O2741" s="14">
        <v>0.57183214230462898</v>
      </c>
      <c r="P2741" s="14">
        <v>0.95530052832327805</v>
      </c>
      <c r="Q2741" t="str">
        <f t="shared" si="84"/>
        <v>10-14</v>
      </c>
      <c r="R2741" t="str">
        <f t="shared" si="85"/>
        <v>[fiRkU6gEjLz]|10-14|Male|DIAGNOSED_SUBNAT.T_1|CY2023Q3</v>
      </c>
    </row>
    <row r="2742" spans="4:18" x14ac:dyDescent="0.2">
      <c r="D2742" t="s">
        <v>134</v>
      </c>
      <c r="E2742" t="s">
        <v>135</v>
      </c>
      <c r="F2742" t="s">
        <v>136</v>
      </c>
      <c r="G2742" t="s">
        <v>147</v>
      </c>
      <c r="H2742" t="s">
        <v>148</v>
      </c>
      <c r="I2742" t="s">
        <v>37</v>
      </c>
      <c r="J2742" t="s">
        <v>38</v>
      </c>
      <c r="K2742" t="s">
        <v>47</v>
      </c>
      <c r="L2742" t="s">
        <v>48</v>
      </c>
      <c r="M2742" t="s">
        <v>139</v>
      </c>
      <c r="N2742">
        <v>848</v>
      </c>
      <c r="O2742" s="14">
        <v>0.27961131371557701</v>
      </c>
      <c r="P2742" s="14">
        <v>0.95530052832327805</v>
      </c>
      <c r="Q2742" t="str">
        <f t="shared" si="84"/>
        <v>15-24</v>
      </c>
      <c r="R2742" t="str">
        <f t="shared" si="85"/>
        <v>[fiRkU6gEjLz]|15-24|Male|DIAGNOSED_SUBNAT.T_1|CY2023Q3</v>
      </c>
    </row>
    <row r="2743" spans="4:18" x14ac:dyDescent="0.2">
      <c r="D2743" t="s">
        <v>134</v>
      </c>
      <c r="E2743" t="s">
        <v>135</v>
      </c>
      <c r="F2743" t="s">
        <v>136</v>
      </c>
      <c r="G2743" t="s">
        <v>147</v>
      </c>
      <c r="H2743" t="s">
        <v>148</v>
      </c>
      <c r="I2743" t="s">
        <v>40</v>
      </c>
      <c r="J2743" t="s">
        <v>41</v>
      </c>
      <c r="K2743" t="s">
        <v>47</v>
      </c>
      <c r="L2743" t="s">
        <v>48</v>
      </c>
      <c r="M2743" t="s">
        <v>139</v>
      </c>
      <c r="N2743">
        <v>1295</v>
      </c>
      <c r="O2743" s="14">
        <v>0.34052725019864699</v>
      </c>
      <c r="P2743" s="14">
        <v>0.95530052832327805</v>
      </c>
      <c r="Q2743" t="str">
        <f t="shared" si="84"/>
        <v>25-34</v>
      </c>
      <c r="R2743" t="str">
        <f t="shared" si="85"/>
        <v>[fiRkU6gEjLz]|25-34|Male|DIAGNOSED_SUBNAT.T_1|CY2023Q3</v>
      </c>
    </row>
    <row r="2744" spans="4:18" x14ac:dyDescent="0.2">
      <c r="D2744" t="s">
        <v>134</v>
      </c>
      <c r="E2744" t="s">
        <v>135</v>
      </c>
      <c r="F2744" t="s">
        <v>136</v>
      </c>
      <c r="G2744" t="s">
        <v>147</v>
      </c>
      <c r="H2744" t="s">
        <v>148</v>
      </c>
      <c r="I2744" t="s">
        <v>42</v>
      </c>
      <c r="J2744" t="s">
        <v>43</v>
      </c>
      <c r="K2744" t="s">
        <v>47</v>
      </c>
      <c r="L2744" t="s">
        <v>48</v>
      </c>
      <c r="M2744" t="s">
        <v>139</v>
      </c>
      <c r="N2744">
        <v>1963</v>
      </c>
      <c r="O2744" s="14">
        <v>0.79794972133822695</v>
      </c>
      <c r="P2744" s="14">
        <v>0.95530052832327805</v>
      </c>
      <c r="Q2744" t="str">
        <f t="shared" si="84"/>
        <v>35-49</v>
      </c>
      <c r="R2744" t="str">
        <f t="shared" si="85"/>
        <v>[fiRkU6gEjLz]|35-49|Male|DIAGNOSED_SUBNAT.T_1|CY2023Q3</v>
      </c>
    </row>
    <row r="2745" spans="4:18" x14ac:dyDescent="0.2">
      <c r="D2745" t="s">
        <v>134</v>
      </c>
      <c r="E2745" t="s">
        <v>135</v>
      </c>
      <c r="F2745" t="s">
        <v>136</v>
      </c>
      <c r="G2745" t="s">
        <v>147</v>
      </c>
      <c r="H2745" t="s">
        <v>148</v>
      </c>
      <c r="I2745" t="s">
        <v>44</v>
      </c>
      <c r="J2745" t="s">
        <v>45</v>
      </c>
      <c r="K2745" t="s">
        <v>47</v>
      </c>
      <c r="L2745" t="s">
        <v>48</v>
      </c>
      <c r="M2745" t="s">
        <v>139</v>
      </c>
      <c r="N2745">
        <v>1474</v>
      </c>
      <c r="O2745" s="14">
        <v>0.96096740313805595</v>
      </c>
      <c r="P2745" s="14">
        <v>0.95530052832327805</v>
      </c>
      <c r="Q2745" t="str">
        <f t="shared" si="84"/>
        <v>50+</v>
      </c>
      <c r="R2745" t="str">
        <f t="shared" si="85"/>
        <v>[fiRkU6gEjLz]|50+|Male|DIAGNOSED_SUBNAT.T_1|CY2023Q3</v>
      </c>
    </row>
    <row r="2746" spans="4:18" x14ac:dyDescent="0.2">
      <c r="D2746" t="s">
        <v>22</v>
      </c>
      <c r="E2746" t="s">
        <v>23</v>
      </c>
      <c r="F2746" t="s">
        <v>24</v>
      </c>
      <c r="G2746" t="s">
        <v>149</v>
      </c>
      <c r="H2746" t="s">
        <v>149</v>
      </c>
      <c r="I2746" t="s">
        <v>27</v>
      </c>
      <c r="J2746" t="s">
        <v>28</v>
      </c>
      <c r="K2746" t="s">
        <v>29</v>
      </c>
      <c r="L2746" t="s">
        <v>30</v>
      </c>
      <c r="M2746" t="s">
        <v>139</v>
      </c>
      <c r="N2746">
        <v>562</v>
      </c>
      <c r="O2746" s="14">
        <v>0.13264094176702201</v>
      </c>
      <c r="P2746" s="14">
        <v>0.40435861097648701</v>
      </c>
      <c r="Q2746" t="str">
        <f t="shared" si="84"/>
        <v>&lt;01</v>
      </c>
      <c r="R2746" t="str">
        <f t="shared" si="85"/>
        <v>[GkIwZrXy1h2]|&lt;01|Female|PLHIV_Attend.T_1|CY2023Q3</v>
      </c>
    </row>
    <row r="2747" spans="4:18" x14ac:dyDescent="0.2">
      <c r="D2747" t="s">
        <v>22</v>
      </c>
      <c r="E2747" t="s">
        <v>23</v>
      </c>
      <c r="F2747" t="s">
        <v>24</v>
      </c>
      <c r="G2747" t="s">
        <v>149</v>
      </c>
      <c r="H2747" t="s">
        <v>149</v>
      </c>
      <c r="I2747" t="s">
        <v>32</v>
      </c>
      <c r="J2747" t="s">
        <v>33</v>
      </c>
      <c r="K2747" t="s">
        <v>29</v>
      </c>
      <c r="L2747" t="s">
        <v>30</v>
      </c>
      <c r="M2747" t="s">
        <v>139</v>
      </c>
      <c r="N2747">
        <v>1027</v>
      </c>
      <c r="O2747" s="14">
        <v>0.66943019325844899</v>
      </c>
      <c r="P2747" s="14">
        <v>0.40435861097648701</v>
      </c>
      <c r="Q2747" t="str">
        <f t="shared" si="84"/>
        <v>01-09</v>
      </c>
      <c r="R2747" t="str">
        <f t="shared" si="85"/>
        <v>[GkIwZrXy1h2]|01-09|Female|PLHIV_Attend.T_1|CY2023Q3</v>
      </c>
    </row>
    <row r="2748" spans="4:18" x14ac:dyDescent="0.2">
      <c r="D2748" t="s">
        <v>22</v>
      </c>
      <c r="E2748" t="s">
        <v>23</v>
      </c>
      <c r="F2748" t="s">
        <v>24</v>
      </c>
      <c r="G2748" t="s">
        <v>149</v>
      </c>
      <c r="H2748" t="s">
        <v>149</v>
      </c>
      <c r="I2748" t="s">
        <v>35</v>
      </c>
      <c r="J2748" t="s">
        <v>36</v>
      </c>
      <c r="K2748" t="s">
        <v>29</v>
      </c>
      <c r="L2748" t="s">
        <v>30</v>
      </c>
      <c r="M2748" t="s">
        <v>139</v>
      </c>
      <c r="N2748">
        <v>719</v>
      </c>
      <c r="O2748" s="14">
        <v>2.96744634397328E-2</v>
      </c>
      <c r="P2748" s="14">
        <v>0.40435861097648701</v>
      </c>
      <c r="Q2748" t="str">
        <f t="shared" si="84"/>
        <v>10-14</v>
      </c>
      <c r="R2748" t="str">
        <f t="shared" si="85"/>
        <v>[GkIwZrXy1h2]|10-14|Female|PLHIV_Attend.T_1|CY2023Q3</v>
      </c>
    </row>
    <row r="2749" spans="4:18" x14ac:dyDescent="0.2">
      <c r="D2749" t="s">
        <v>22</v>
      </c>
      <c r="E2749" t="s">
        <v>23</v>
      </c>
      <c r="F2749" t="s">
        <v>24</v>
      </c>
      <c r="G2749" t="s">
        <v>149</v>
      </c>
      <c r="H2749" t="s">
        <v>149</v>
      </c>
      <c r="I2749" t="s">
        <v>37</v>
      </c>
      <c r="J2749" t="s">
        <v>38</v>
      </c>
      <c r="K2749" t="s">
        <v>29</v>
      </c>
      <c r="L2749" t="s">
        <v>30</v>
      </c>
      <c r="M2749" t="s">
        <v>139</v>
      </c>
      <c r="N2749">
        <v>1613</v>
      </c>
      <c r="O2749" s="14">
        <v>0.30565689108334498</v>
      </c>
      <c r="P2749" s="14">
        <v>0.40435861097648701</v>
      </c>
      <c r="Q2749" t="str">
        <f t="shared" si="84"/>
        <v>15-24</v>
      </c>
      <c r="R2749" t="str">
        <f t="shared" si="85"/>
        <v>[GkIwZrXy1h2]|15-24|Female|PLHIV_Attend.T_1|CY2023Q3</v>
      </c>
    </row>
    <row r="2750" spans="4:18" x14ac:dyDescent="0.2">
      <c r="D2750" t="s">
        <v>22</v>
      </c>
      <c r="E2750" t="s">
        <v>23</v>
      </c>
      <c r="F2750" t="s">
        <v>24</v>
      </c>
      <c r="G2750" t="s">
        <v>149</v>
      </c>
      <c r="H2750" t="s">
        <v>149</v>
      </c>
      <c r="I2750" t="s">
        <v>40</v>
      </c>
      <c r="J2750" t="s">
        <v>41</v>
      </c>
      <c r="K2750" t="s">
        <v>29</v>
      </c>
      <c r="L2750" t="s">
        <v>30</v>
      </c>
      <c r="M2750" t="s">
        <v>139</v>
      </c>
      <c r="N2750">
        <v>1756</v>
      </c>
      <c r="O2750" s="14">
        <v>0.842655046610162</v>
      </c>
      <c r="P2750" s="14">
        <v>0.40435861097648701</v>
      </c>
      <c r="Q2750" t="str">
        <f t="shared" si="84"/>
        <v>25-34</v>
      </c>
      <c r="R2750" t="str">
        <f t="shared" si="85"/>
        <v>[GkIwZrXy1h2]|25-34|Female|PLHIV_Attend.T_1|CY2023Q3</v>
      </c>
    </row>
    <row r="2751" spans="4:18" x14ac:dyDescent="0.2">
      <c r="D2751" t="s">
        <v>22</v>
      </c>
      <c r="E2751" t="s">
        <v>23</v>
      </c>
      <c r="F2751" t="s">
        <v>24</v>
      </c>
      <c r="G2751" t="s">
        <v>149</v>
      </c>
      <c r="H2751" t="s">
        <v>149</v>
      </c>
      <c r="I2751" t="s">
        <v>42</v>
      </c>
      <c r="J2751" t="s">
        <v>43</v>
      </c>
      <c r="K2751" t="s">
        <v>29</v>
      </c>
      <c r="L2751" t="s">
        <v>30</v>
      </c>
      <c r="M2751" t="s">
        <v>139</v>
      </c>
      <c r="N2751">
        <v>1888</v>
      </c>
      <c r="O2751" s="14">
        <v>0.56127858022227906</v>
      </c>
      <c r="P2751" s="14">
        <v>0.40435861097648701</v>
      </c>
      <c r="Q2751" t="str">
        <f t="shared" si="84"/>
        <v>35-49</v>
      </c>
      <c r="R2751" t="str">
        <f t="shared" si="85"/>
        <v>[GkIwZrXy1h2]|35-49|Female|PLHIV_Attend.T_1|CY2023Q3</v>
      </c>
    </row>
    <row r="2752" spans="4:18" x14ac:dyDescent="0.2">
      <c r="D2752" t="s">
        <v>22</v>
      </c>
      <c r="E2752" t="s">
        <v>23</v>
      </c>
      <c r="F2752" t="s">
        <v>24</v>
      </c>
      <c r="G2752" t="s">
        <v>149</v>
      </c>
      <c r="H2752" t="s">
        <v>149</v>
      </c>
      <c r="I2752" t="s">
        <v>44</v>
      </c>
      <c r="J2752" t="s">
        <v>45</v>
      </c>
      <c r="K2752" t="s">
        <v>29</v>
      </c>
      <c r="L2752" t="s">
        <v>30</v>
      </c>
      <c r="M2752" t="s">
        <v>139</v>
      </c>
      <c r="N2752">
        <v>971</v>
      </c>
      <c r="O2752" s="14">
        <v>0.83549333014525495</v>
      </c>
      <c r="P2752" s="14">
        <v>0.40435861097648701</v>
      </c>
      <c r="Q2752" t="str">
        <f t="shared" si="84"/>
        <v>50+</v>
      </c>
      <c r="R2752" t="str">
        <f t="shared" si="85"/>
        <v>[GkIwZrXy1h2]|50+|Female|PLHIV_Attend.T_1|CY2023Q3</v>
      </c>
    </row>
    <row r="2753" spans="4:18" x14ac:dyDescent="0.2">
      <c r="D2753" t="s">
        <v>22</v>
      </c>
      <c r="E2753" t="s">
        <v>23</v>
      </c>
      <c r="F2753" t="s">
        <v>24</v>
      </c>
      <c r="G2753" t="s">
        <v>149</v>
      </c>
      <c r="H2753" t="s">
        <v>149</v>
      </c>
      <c r="I2753" t="s">
        <v>27</v>
      </c>
      <c r="J2753" t="s">
        <v>28</v>
      </c>
      <c r="K2753" t="s">
        <v>47</v>
      </c>
      <c r="L2753" t="s">
        <v>48</v>
      </c>
      <c r="M2753" t="s">
        <v>139</v>
      </c>
      <c r="N2753">
        <v>1367</v>
      </c>
      <c r="O2753" s="14">
        <v>0.76418917346745696</v>
      </c>
      <c r="P2753" s="14">
        <v>0.40435861097648701</v>
      </c>
      <c r="Q2753" t="str">
        <f t="shared" si="84"/>
        <v>&lt;01</v>
      </c>
      <c r="R2753" t="str">
        <f t="shared" si="85"/>
        <v>[GkIwZrXy1h2]|&lt;01|Male|PLHIV_Attend.T_1|CY2023Q3</v>
      </c>
    </row>
    <row r="2754" spans="4:18" x14ac:dyDescent="0.2">
      <c r="D2754" t="s">
        <v>22</v>
      </c>
      <c r="E2754" t="s">
        <v>23</v>
      </c>
      <c r="F2754" t="s">
        <v>24</v>
      </c>
      <c r="G2754" t="s">
        <v>149</v>
      </c>
      <c r="H2754" t="s">
        <v>149</v>
      </c>
      <c r="I2754" t="s">
        <v>32</v>
      </c>
      <c r="J2754" t="s">
        <v>33</v>
      </c>
      <c r="K2754" t="s">
        <v>47</v>
      </c>
      <c r="L2754" t="s">
        <v>48</v>
      </c>
      <c r="M2754" t="s">
        <v>139</v>
      </c>
      <c r="N2754">
        <v>1943</v>
      </c>
      <c r="O2754" s="14">
        <v>0.34046734962612402</v>
      </c>
      <c r="P2754" s="14">
        <v>0.40435861097648701</v>
      </c>
      <c r="Q2754" t="str">
        <f t="shared" ref="Q2754:Q2817" si="86">SUBSTITUTE(SUBSTITUTE($I2754,CHAR(61),""),CHAR(34),"")</f>
        <v>01-09</v>
      </c>
      <c r="R2754" t="str">
        <f t="shared" ref="R2754:R2817" si="87">IF($D2754&lt;&gt;"","["&amp;$E2754&amp;"]"&amp;"|"&amp;$Q2754&amp;"|"&amp;$K2754&amp;"|"&amp;$G2754&amp;"|"&amp;IF($G2754="TX_CURR_SUBNAT.R","CY2022Q4",$M2754),"")</f>
        <v>[GkIwZrXy1h2]|01-09|Male|PLHIV_Attend.T_1|CY2023Q3</v>
      </c>
    </row>
    <row r="2755" spans="4:18" x14ac:dyDescent="0.2">
      <c r="D2755" t="s">
        <v>22</v>
      </c>
      <c r="E2755" t="s">
        <v>23</v>
      </c>
      <c r="F2755" t="s">
        <v>24</v>
      </c>
      <c r="G2755" t="s">
        <v>149</v>
      </c>
      <c r="H2755" t="s">
        <v>149</v>
      </c>
      <c r="I2755" t="s">
        <v>35</v>
      </c>
      <c r="J2755" t="s">
        <v>36</v>
      </c>
      <c r="K2755" t="s">
        <v>47</v>
      </c>
      <c r="L2755" t="s">
        <v>48</v>
      </c>
      <c r="M2755" t="s">
        <v>139</v>
      </c>
      <c r="N2755">
        <v>571</v>
      </c>
      <c r="O2755" s="14">
        <v>0.48826953582465599</v>
      </c>
      <c r="P2755" s="14">
        <v>0.40435861097648701</v>
      </c>
      <c r="Q2755" t="str">
        <f t="shared" si="86"/>
        <v>10-14</v>
      </c>
      <c r="R2755" t="str">
        <f t="shared" si="87"/>
        <v>[GkIwZrXy1h2]|10-14|Male|PLHIV_Attend.T_1|CY2023Q3</v>
      </c>
    </row>
    <row r="2756" spans="4:18" x14ac:dyDescent="0.2">
      <c r="D2756" t="s">
        <v>22</v>
      </c>
      <c r="E2756" t="s">
        <v>23</v>
      </c>
      <c r="F2756" t="s">
        <v>24</v>
      </c>
      <c r="G2756" t="s">
        <v>149</v>
      </c>
      <c r="H2756" t="s">
        <v>149</v>
      </c>
      <c r="I2756" t="s">
        <v>37</v>
      </c>
      <c r="J2756" t="s">
        <v>38</v>
      </c>
      <c r="K2756" t="s">
        <v>47</v>
      </c>
      <c r="L2756" t="s">
        <v>48</v>
      </c>
      <c r="M2756" t="s">
        <v>139</v>
      </c>
      <c r="N2756">
        <v>1456</v>
      </c>
      <c r="O2756" s="14">
        <v>0.55899174441583499</v>
      </c>
      <c r="P2756" s="14">
        <v>0.40435861097648701</v>
      </c>
      <c r="Q2756" t="str">
        <f t="shared" si="86"/>
        <v>15-24</v>
      </c>
      <c r="R2756" t="str">
        <f t="shared" si="87"/>
        <v>[GkIwZrXy1h2]|15-24|Male|PLHIV_Attend.T_1|CY2023Q3</v>
      </c>
    </row>
    <row r="2757" spans="4:18" x14ac:dyDescent="0.2">
      <c r="D2757" t="s">
        <v>22</v>
      </c>
      <c r="E2757" t="s">
        <v>23</v>
      </c>
      <c r="F2757" t="s">
        <v>24</v>
      </c>
      <c r="G2757" t="s">
        <v>149</v>
      </c>
      <c r="H2757" t="s">
        <v>149</v>
      </c>
      <c r="I2757" t="s">
        <v>40</v>
      </c>
      <c r="J2757" t="s">
        <v>41</v>
      </c>
      <c r="K2757" t="s">
        <v>47</v>
      </c>
      <c r="L2757" t="s">
        <v>48</v>
      </c>
      <c r="M2757" t="s">
        <v>139</v>
      </c>
      <c r="N2757">
        <v>1060</v>
      </c>
      <c r="O2757" s="14">
        <v>0.78649919689632997</v>
      </c>
      <c r="P2757" s="14">
        <v>0.40435861097648701</v>
      </c>
      <c r="Q2757" t="str">
        <f t="shared" si="86"/>
        <v>25-34</v>
      </c>
      <c r="R2757" t="str">
        <f t="shared" si="87"/>
        <v>[GkIwZrXy1h2]|25-34|Male|PLHIV_Attend.T_1|CY2023Q3</v>
      </c>
    </row>
    <row r="2758" spans="4:18" x14ac:dyDescent="0.2">
      <c r="D2758" t="s">
        <v>22</v>
      </c>
      <c r="E2758" t="s">
        <v>23</v>
      </c>
      <c r="F2758" t="s">
        <v>24</v>
      </c>
      <c r="G2758" t="s">
        <v>149</v>
      </c>
      <c r="H2758" t="s">
        <v>149</v>
      </c>
      <c r="I2758" t="s">
        <v>42</v>
      </c>
      <c r="J2758" t="s">
        <v>43</v>
      </c>
      <c r="K2758" t="s">
        <v>47</v>
      </c>
      <c r="L2758" t="s">
        <v>48</v>
      </c>
      <c r="M2758" t="s">
        <v>139</v>
      </c>
      <c r="N2758">
        <v>1221</v>
      </c>
      <c r="O2758" s="14">
        <v>0.82995789754204496</v>
      </c>
      <c r="P2758" s="14">
        <v>0.40435861097648701</v>
      </c>
      <c r="Q2758" t="str">
        <f t="shared" si="86"/>
        <v>35-49</v>
      </c>
      <c r="R2758" t="str">
        <f t="shared" si="87"/>
        <v>[GkIwZrXy1h2]|35-49|Male|PLHIV_Attend.T_1|CY2023Q3</v>
      </c>
    </row>
    <row r="2759" spans="4:18" x14ac:dyDescent="0.2">
      <c r="D2759" t="s">
        <v>22</v>
      </c>
      <c r="E2759" t="s">
        <v>23</v>
      </c>
      <c r="F2759" t="s">
        <v>24</v>
      </c>
      <c r="G2759" t="s">
        <v>149</v>
      </c>
      <c r="H2759" t="s">
        <v>149</v>
      </c>
      <c r="I2759" t="s">
        <v>44</v>
      </c>
      <c r="J2759" t="s">
        <v>45</v>
      </c>
      <c r="K2759" t="s">
        <v>47</v>
      </c>
      <c r="L2759" t="s">
        <v>48</v>
      </c>
      <c r="M2759" t="s">
        <v>139</v>
      </c>
      <c r="N2759">
        <v>1375</v>
      </c>
      <c r="O2759" s="14">
        <v>0.18626409699209001</v>
      </c>
      <c r="P2759" s="14">
        <v>0.40435861097648701</v>
      </c>
      <c r="Q2759" t="str">
        <f t="shared" si="86"/>
        <v>50+</v>
      </c>
      <c r="R2759" t="str">
        <f t="shared" si="87"/>
        <v>[GkIwZrXy1h2]|50+|Male|PLHIV_Attend.T_1|CY2023Q3</v>
      </c>
    </row>
    <row r="2760" spans="4:18" x14ac:dyDescent="0.2">
      <c r="D2760" t="s">
        <v>52</v>
      </c>
      <c r="E2760" t="s">
        <v>53</v>
      </c>
      <c r="F2760" t="s">
        <v>54</v>
      </c>
      <c r="G2760" t="s">
        <v>149</v>
      </c>
      <c r="H2760" t="s">
        <v>149</v>
      </c>
      <c r="I2760" t="s">
        <v>27</v>
      </c>
      <c r="J2760" t="s">
        <v>28</v>
      </c>
      <c r="K2760" t="s">
        <v>29</v>
      </c>
      <c r="L2760" t="s">
        <v>30</v>
      </c>
      <c r="M2760" t="s">
        <v>139</v>
      </c>
      <c r="N2760">
        <v>840</v>
      </c>
      <c r="O2760" s="14">
        <v>0.41628951393067798</v>
      </c>
      <c r="P2760" s="14">
        <v>0.61639246996492103</v>
      </c>
      <c r="Q2760" t="str">
        <f t="shared" si="86"/>
        <v>&lt;01</v>
      </c>
      <c r="R2760" t="str">
        <f t="shared" si="87"/>
        <v>[zphK9WV8JB4]|&lt;01|Female|PLHIV_Attend.T_1|CY2023Q3</v>
      </c>
    </row>
    <row r="2761" spans="4:18" x14ac:dyDescent="0.2">
      <c r="D2761" t="s">
        <v>52</v>
      </c>
      <c r="E2761" t="s">
        <v>53</v>
      </c>
      <c r="F2761" t="s">
        <v>54</v>
      </c>
      <c r="G2761" t="s">
        <v>149</v>
      </c>
      <c r="H2761" t="s">
        <v>149</v>
      </c>
      <c r="I2761" t="s">
        <v>32</v>
      </c>
      <c r="J2761" t="s">
        <v>33</v>
      </c>
      <c r="K2761" t="s">
        <v>29</v>
      </c>
      <c r="L2761" t="s">
        <v>30</v>
      </c>
      <c r="M2761" t="s">
        <v>139</v>
      </c>
      <c r="N2761">
        <v>1760</v>
      </c>
      <c r="O2761" s="14">
        <v>9.4380268361419398E-2</v>
      </c>
      <c r="P2761" s="14">
        <v>0.61639246996492103</v>
      </c>
      <c r="Q2761" t="str">
        <f t="shared" si="86"/>
        <v>01-09</v>
      </c>
      <c r="R2761" t="str">
        <f t="shared" si="87"/>
        <v>[zphK9WV8JB4]|01-09|Female|PLHIV_Attend.T_1|CY2023Q3</v>
      </c>
    </row>
    <row r="2762" spans="4:18" x14ac:dyDescent="0.2">
      <c r="D2762" t="s">
        <v>52</v>
      </c>
      <c r="E2762" t="s">
        <v>53</v>
      </c>
      <c r="F2762" t="s">
        <v>54</v>
      </c>
      <c r="G2762" t="s">
        <v>149</v>
      </c>
      <c r="H2762" t="s">
        <v>149</v>
      </c>
      <c r="I2762" t="s">
        <v>35</v>
      </c>
      <c r="J2762" t="s">
        <v>36</v>
      </c>
      <c r="K2762" t="s">
        <v>29</v>
      </c>
      <c r="L2762" t="s">
        <v>30</v>
      </c>
      <c r="M2762" t="s">
        <v>139</v>
      </c>
      <c r="N2762">
        <v>1407</v>
      </c>
      <c r="O2762" s="14">
        <v>0.888171485392377</v>
      </c>
      <c r="P2762" s="14">
        <v>0.61639246996492103</v>
      </c>
      <c r="Q2762" t="str">
        <f t="shared" si="86"/>
        <v>10-14</v>
      </c>
      <c r="R2762" t="str">
        <f t="shared" si="87"/>
        <v>[zphK9WV8JB4]|10-14|Female|PLHIV_Attend.T_1|CY2023Q3</v>
      </c>
    </row>
    <row r="2763" spans="4:18" x14ac:dyDescent="0.2">
      <c r="D2763" t="s">
        <v>52</v>
      </c>
      <c r="E2763" t="s">
        <v>53</v>
      </c>
      <c r="F2763" t="s">
        <v>54</v>
      </c>
      <c r="G2763" t="s">
        <v>149</v>
      </c>
      <c r="H2763" t="s">
        <v>149</v>
      </c>
      <c r="I2763" t="s">
        <v>37</v>
      </c>
      <c r="J2763" t="s">
        <v>38</v>
      </c>
      <c r="K2763" t="s">
        <v>29</v>
      </c>
      <c r="L2763" t="s">
        <v>30</v>
      </c>
      <c r="M2763" t="s">
        <v>139</v>
      </c>
      <c r="N2763">
        <v>1048</v>
      </c>
      <c r="O2763" s="14">
        <v>0.84667162294499598</v>
      </c>
      <c r="P2763" s="14">
        <v>0.61639246996492103</v>
      </c>
      <c r="Q2763" t="str">
        <f t="shared" si="86"/>
        <v>15-24</v>
      </c>
      <c r="R2763" t="str">
        <f t="shared" si="87"/>
        <v>[zphK9WV8JB4]|15-24|Female|PLHIV_Attend.T_1|CY2023Q3</v>
      </c>
    </row>
    <row r="2764" spans="4:18" x14ac:dyDescent="0.2">
      <c r="D2764" t="s">
        <v>52</v>
      </c>
      <c r="E2764" t="s">
        <v>53</v>
      </c>
      <c r="F2764" t="s">
        <v>54</v>
      </c>
      <c r="G2764" t="s">
        <v>149</v>
      </c>
      <c r="H2764" t="s">
        <v>149</v>
      </c>
      <c r="I2764" t="s">
        <v>40</v>
      </c>
      <c r="J2764" t="s">
        <v>41</v>
      </c>
      <c r="K2764" t="s">
        <v>29</v>
      </c>
      <c r="L2764" t="s">
        <v>30</v>
      </c>
      <c r="M2764" t="s">
        <v>139</v>
      </c>
      <c r="N2764">
        <v>906</v>
      </c>
      <c r="O2764" s="14">
        <v>0.76177781494334296</v>
      </c>
      <c r="P2764" s="14">
        <v>0.61639246996492103</v>
      </c>
      <c r="Q2764" t="str">
        <f t="shared" si="86"/>
        <v>25-34</v>
      </c>
      <c r="R2764" t="str">
        <f t="shared" si="87"/>
        <v>[zphK9WV8JB4]|25-34|Female|PLHIV_Attend.T_1|CY2023Q3</v>
      </c>
    </row>
    <row r="2765" spans="4:18" x14ac:dyDescent="0.2">
      <c r="D2765" t="s">
        <v>52</v>
      </c>
      <c r="E2765" t="s">
        <v>53</v>
      </c>
      <c r="F2765" t="s">
        <v>54</v>
      </c>
      <c r="G2765" t="s">
        <v>149</v>
      </c>
      <c r="H2765" t="s">
        <v>149</v>
      </c>
      <c r="I2765" t="s">
        <v>42</v>
      </c>
      <c r="J2765" t="s">
        <v>43</v>
      </c>
      <c r="K2765" t="s">
        <v>29</v>
      </c>
      <c r="L2765" t="s">
        <v>30</v>
      </c>
      <c r="M2765" t="s">
        <v>139</v>
      </c>
      <c r="N2765">
        <v>1008</v>
      </c>
      <c r="O2765" s="14">
        <v>0.73763873567804705</v>
      </c>
      <c r="P2765" s="14">
        <v>0.61639246996492103</v>
      </c>
      <c r="Q2765" t="str">
        <f t="shared" si="86"/>
        <v>35-49</v>
      </c>
      <c r="R2765" t="str">
        <f t="shared" si="87"/>
        <v>[zphK9WV8JB4]|35-49|Female|PLHIV_Attend.T_1|CY2023Q3</v>
      </c>
    </row>
    <row r="2766" spans="4:18" x14ac:dyDescent="0.2">
      <c r="D2766" t="s">
        <v>52</v>
      </c>
      <c r="E2766" t="s">
        <v>53</v>
      </c>
      <c r="F2766" t="s">
        <v>54</v>
      </c>
      <c r="G2766" t="s">
        <v>149</v>
      </c>
      <c r="H2766" t="s">
        <v>149</v>
      </c>
      <c r="I2766" t="s">
        <v>44</v>
      </c>
      <c r="J2766" t="s">
        <v>45</v>
      </c>
      <c r="K2766" t="s">
        <v>29</v>
      </c>
      <c r="L2766" t="s">
        <v>30</v>
      </c>
      <c r="M2766" t="s">
        <v>139</v>
      </c>
      <c r="N2766">
        <v>508</v>
      </c>
      <c r="O2766" s="14">
        <v>0.87872661952860698</v>
      </c>
      <c r="P2766" s="14">
        <v>0.61639246996492103</v>
      </c>
      <c r="Q2766" t="str">
        <f t="shared" si="86"/>
        <v>50+</v>
      </c>
      <c r="R2766" t="str">
        <f t="shared" si="87"/>
        <v>[zphK9WV8JB4]|50+|Female|PLHIV_Attend.T_1|CY2023Q3</v>
      </c>
    </row>
    <row r="2767" spans="4:18" x14ac:dyDescent="0.2">
      <c r="D2767" t="s">
        <v>52</v>
      </c>
      <c r="E2767" t="s">
        <v>53</v>
      </c>
      <c r="F2767" t="s">
        <v>54</v>
      </c>
      <c r="G2767" t="s">
        <v>149</v>
      </c>
      <c r="H2767" t="s">
        <v>149</v>
      </c>
      <c r="I2767" t="s">
        <v>27</v>
      </c>
      <c r="J2767" t="s">
        <v>28</v>
      </c>
      <c r="K2767" t="s">
        <v>47</v>
      </c>
      <c r="L2767" t="s">
        <v>48</v>
      </c>
      <c r="M2767" t="s">
        <v>139</v>
      </c>
      <c r="N2767">
        <v>616</v>
      </c>
      <c r="O2767" s="14">
        <v>0.75624315976165202</v>
      </c>
      <c r="P2767" s="14">
        <v>0.61639246996492103</v>
      </c>
      <c r="Q2767" t="str">
        <f t="shared" si="86"/>
        <v>&lt;01</v>
      </c>
      <c r="R2767" t="str">
        <f t="shared" si="87"/>
        <v>[zphK9WV8JB4]|&lt;01|Male|PLHIV_Attend.T_1|CY2023Q3</v>
      </c>
    </row>
    <row r="2768" spans="4:18" x14ac:dyDescent="0.2">
      <c r="D2768" t="s">
        <v>52</v>
      </c>
      <c r="E2768" t="s">
        <v>53</v>
      </c>
      <c r="F2768" t="s">
        <v>54</v>
      </c>
      <c r="G2768" t="s">
        <v>149</v>
      </c>
      <c r="H2768" t="s">
        <v>149</v>
      </c>
      <c r="I2768" t="s">
        <v>32</v>
      </c>
      <c r="J2768" t="s">
        <v>33</v>
      </c>
      <c r="K2768" t="s">
        <v>47</v>
      </c>
      <c r="L2768" t="s">
        <v>48</v>
      </c>
      <c r="M2768" t="s">
        <v>139</v>
      </c>
      <c r="N2768">
        <v>685</v>
      </c>
      <c r="O2768" s="14">
        <v>0.99758987035602298</v>
      </c>
      <c r="P2768" s="14">
        <v>0.61639246996492103</v>
      </c>
      <c r="Q2768" t="str">
        <f t="shared" si="86"/>
        <v>01-09</v>
      </c>
      <c r="R2768" t="str">
        <f t="shared" si="87"/>
        <v>[zphK9WV8JB4]|01-09|Male|PLHIV_Attend.T_1|CY2023Q3</v>
      </c>
    </row>
    <row r="2769" spans="4:18" x14ac:dyDescent="0.2">
      <c r="D2769" t="s">
        <v>52</v>
      </c>
      <c r="E2769" t="s">
        <v>53</v>
      </c>
      <c r="F2769" t="s">
        <v>54</v>
      </c>
      <c r="G2769" t="s">
        <v>149</v>
      </c>
      <c r="H2769" t="s">
        <v>149</v>
      </c>
      <c r="I2769" t="s">
        <v>35</v>
      </c>
      <c r="J2769" t="s">
        <v>36</v>
      </c>
      <c r="K2769" t="s">
        <v>47</v>
      </c>
      <c r="L2769" t="s">
        <v>48</v>
      </c>
      <c r="M2769" t="s">
        <v>139</v>
      </c>
      <c r="N2769">
        <v>908</v>
      </c>
      <c r="O2769" s="14">
        <v>0.73806939390488002</v>
      </c>
      <c r="P2769" s="14">
        <v>0.61639246996492103</v>
      </c>
      <c r="Q2769" t="str">
        <f t="shared" si="86"/>
        <v>10-14</v>
      </c>
      <c r="R2769" t="str">
        <f t="shared" si="87"/>
        <v>[zphK9WV8JB4]|10-14|Male|PLHIV_Attend.T_1|CY2023Q3</v>
      </c>
    </row>
    <row r="2770" spans="4:18" x14ac:dyDescent="0.2">
      <c r="D2770" t="s">
        <v>52</v>
      </c>
      <c r="E2770" t="s">
        <v>53</v>
      </c>
      <c r="F2770" t="s">
        <v>54</v>
      </c>
      <c r="G2770" t="s">
        <v>149</v>
      </c>
      <c r="H2770" t="s">
        <v>149</v>
      </c>
      <c r="I2770" t="s">
        <v>37</v>
      </c>
      <c r="J2770" t="s">
        <v>38</v>
      </c>
      <c r="K2770" t="s">
        <v>47</v>
      </c>
      <c r="L2770" t="s">
        <v>48</v>
      </c>
      <c r="M2770" t="s">
        <v>139</v>
      </c>
      <c r="N2770">
        <v>857</v>
      </c>
      <c r="O2770" s="14">
        <v>0.25146671780385099</v>
      </c>
      <c r="P2770" s="14">
        <v>0.61639246996492103</v>
      </c>
      <c r="Q2770" t="str">
        <f t="shared" si="86"/>
        <v>15-24</v>
      </c>
      <c r="R2770" t="str">
        <f t="shared" si="87"/>
        <v>[zphK9WV8JB4]|15-24|Male|PLHIV_Attend.T_1|CY2023Q3</v>
      </c>
    </row>
    <row r="2771" spans="4:18" x14ac:dyDescent="0.2">
      <c r="D2771" t="s">
        <v>52</v>
      </c>
      <c r="E2771" t="s">
        <v>53</v>
      </c>
      <c r="F2771" t="s">
        <v>54</v>
      </c>
      <c r="G2771" t="s">
        <v>149</v>
      </c>
      <c r="H2771" t="s">
        <v>149</v>
      </c>
      <c r="I2771" t="s">
        <v>40</v>
      </c>
      <c r="J2771" t="s">
        <v>41</v>
      </c>
      <c r="K2771" t="s">
        <v>47</v>
      </c>
      <c r="L2771" t="s">
        <v>48</v>
      </c>
      <c r="M2771" t="s">
        <v>139</v>
      </c>
      <c r="N2771">
        <v>1645</v>
      </c>
      <c r="O2771" s="14">
        <v>0.61227438109926902</v>
      </c>
      <c r="P2771" s="14">
        <v>0.61639246996492103</v>
      </c>
      <c r="Q2771" t="str">
        <f t="shared" si="86"/>
        <v>25-34</v>
      </c>
      <c r="R2771" t="str">
        <f t="shared" si="87"/>
        <v>[zphK9WV8JB4]|25-34|Male|PLHIV_Attend.T_1|CY2023Q3</v>
      </c>
    </row>
    <row r="2772" spans="4:18" x14ac:dyDescent="0.2">
      <c r="D2772" t="s">
        <v>52</v>
      </c>
      <c r="E2772" t="s">
        <v>53</v>
      </c>
      <c r="F2772" t="s">
        <v>54</v>
      </c>
      <c r="G2772" t="s">
        <v>149</v>
      </c>
      <c r="H2772" t="s">
        <v>149</v>
      </c>
      <c r="I2772" t="s">
        <v>42</v>
      </c>
      <c r="J2772" t="s">
        <v>43</v>
      </c>
      <c r="K2772" t="s">
        <v>47</v>
      </c>
      <c r="L2772" t="s">
        <v>48</v>
      </c>
      <c r="M2772" t="s">
        <v>139</v>
      </c>
      <c r="N2772">
        <v>619</v>
      </c>
      <c r="O2772" s="14">
        <v>0.107228272361681</v>
      </c>
      <c r="P2772" s="14">
        <v>0.61639246996492103</v>
      </c>
      <c r="Q2772" t="str">
        <f t="shared" si="86"/>
        <v>35-49</v>
      </c>
      <c r="R2772" t="str">
        <f t="shared" si="87"/>
        <v>[zphK9WV8JB4]|35-49|Male|PLHIV_Attend.T_1|CY2023Q3</v>
      </c>
    </row>
    <row r="2773" spans="4:18" x14ac:dyDescent="0.2">
      <c r="D2773" t="s">
        <v>52</v>
      </c>
      <c r="E2773" t="s">
        <v>53</v>
      </c>
      <c r="F2773" t="s">
        <v>54</v>
      </c>
      <c r="G2773" t="s">
        <v>149</v>
      </c>
      <c r="H2773" t="s">
        <v>149</v>
      </c>
      <c r="I2773" t="s">
        <v>44</v>
      </c>
      <c r="J2773" t="s">
        <v>45</v>
      </c>
      <c r="K2773" t="s">
        <v>47</v>
      </c>
      <c r="L2773" t="s">
        <v>48</v>
      </c>
      <c r="M2773" t="s">
        <v>139</v>
      </c>
      <c r="N2773">
        <v>1083</v>
      </c>
      <c r="O2773" s="14">
        <v>0.73340055323205899</v>
      </c>
      <c r="P2773" s="14">
        <v>0.61639246996492103</v>
      </c>
      <c r="Q2773" t="str">
        <f t="shared" si="86"/>
        <v>50+</v>
      </c>
      <c r="R2773" t="str">
        <f t="shared" si="87"/>
        <v>[zphK9WV8JB4]|50+|Male|PLHIV_Attend.T_1|CY2023Q3</v>
      </c>
    </row>
    <row r="2774" spans="4:18" x14ac:dyDescent="0.2">
      <c r="D2774" t="s">
        <v>59</v>
      </c>
      <c r="E2774" t="s">
        <v>60</v>
      </c>
      <c r="F2774" t="s">
        <v>61</v>
      </c>
      <c r="G2774" t="s">
        <v>149</v>
      </c>
      <c r="H2774" t="s">
        <v>149</v>
      </c>
      <c r="I2774" t="s">
        <v>27</v>
      </c>
      <c r="J2774" t="s">
        <v>28</v>
      </c>
      <c r="K2774" t="s">
        <v>29</v>
      </c>
      <c r="L2774" t="s">
        <v>30</v>
      </c>
      <c r="M2774" t="s">
        <v>139</v>
      </c>
      <c r="N2774">
        <v>1327</v>
      </c>
      <c r="O2774" s="14">
        <v>0.84501790418289602</v>
      </c>
      <c r="P2774" s="14">
        <v>2.6825056178495298E-2</v>
      </c>
      <c r="Q2774" t="str">
        <f t="shared" si="86"/>
        <v>&lt;01</v>
      </c>
      <c r="R2774" t="str">
        <f t="shared" si="87"/>
        <v>[msW2zpIN7up]|&lt;01|Female|PLHIV_Attend.T_1|CY2023Q3</v>
      </c>
    </row>
    <row r="2775" spans="4:18" x14ac:dyDescent="0.2">
      <c r="D2775" t="s">
        <v>59</v>
      </c>
      <c r="E2775" t="s">
        <v>60</v>
      </c>
      <c r="F2775" t="s">
        <v>61</v>
      </c>
      <c r="G2775" t="s">
        <v>149</v>
      </c>
      <c r="H2775" t="s">
        <v>149</v>
      </c>
      <c r="I2775" t="s">
        <v>32</v>
      </c>
      <c r="J2775" t="s">
        <v>33</v>
      </c>
      <c r="K2775" t="s">
        <v>29</v>
      </c>
      <c r="L2775" t="s">
        <v>30</v>
      </c>
      <c r="M2775" t="s">
        <v>139</v>
      </c>
      <c r="N2775">
        <v>1279</v>
      </c>
      <c r="O2775" s="14">
        <v>0.93236999539658405</v>
      </c>
      <c r="P2775" s="14">
        <v>2.6825056178495298E-2</v>
      </c>
      <c r="Q2775" t="str">
        <f t="shared" si="86"/>
        <v>01-09</v>
      </c>
      <c r="R2775" t="str">
        <f t="shared" si="87"/>
        <v>[msW2zpIN7up]|01-09|Female|PLHIV_Attend.T_1|CY2023Q3</v>
      </c>
    </row>
    <row r="2776" spans="4:18" x14ac:dyDescent="0.2">
      <c r="D2776" t="s">
        <v>59</v>
      </c>
      <c r="E2776" t="s">
        <v>60</v>
      </c>
      <c r="F2776" t="s">
        <v>61</v>
      </c>
      <c r="G2776" t="s">
        <v>149</v>
      </c>
      <c r="H2776" t="s">
        <v>149</v>
      </c>
      <c r="I2776" t="s">
        <v>35</v>
      </c>
      <c r="J2776" t="s">
        <v>36</v>
      </c>
      <c r="K2776" t="s">
        <v>29</v>
      </c>
      <c r="L2776" t="s">
        <v>30</v>
      </c>
      <c r="M2776" t="s">
        <v>139</v>
      </c>
      <c r="N2776">
        <v>1006</v>
      </c>
      <c r="O2776" s="14">
        <v>0.312989819096401</v>
      </c>
      <c r="P2776" s="14">
        <v>2.6825056178495298E-2</v>
      </c>
      <c r="Q2776" t="str">
        <f t="shared" si="86"/>
        <v>10-14</v>
      </c>
      <c r="R2776" t="str">
        <f t="shared" si="87"/>
        <v>[msW2zpIN7up]|10-14|Female|PLHIV_Attend.T_1|CY2023Q3</v>
      </c>
    </row>
    <row r="2777" spans="4:18" x14ac:dyDescent="0.2">
      <c r="D2777" t="s">
        <v>59</v>
      </c>
      <c r="E2777" t="s">
        <v>60</v>
      </c>
      <c r="F2777" t="s">
        <v>61</v>
      </c>
      <c r="G2777" t="s">
        <v>149</v>
      </c>
      <c r="H2777" t="s">
        <v>149</v>
      </c>
      <c r="I2777" t="s">
        <v>37</v>
      </c>
      <c r="J2777" t="s">
        <v>38</v>
      </c>
      <c r="K2777" t="s">
        <v>29</v>
      </c>
      <c r="L2777" t="s">
        <v>30</v>
      </c>
      <c r="M2777" t="s">
        <v>139</v>
      </c>
      <c r="N2777">
        <v>1797</v>
      </c>
      <c r="O2777" s="14">
        <v>0.53879281925037503</v>
      </c>
      <c r="P2777" s="14">
        <v>2.6825056178495298E-2</v>
      </c>
      <c r="Q2777" t="str">
        <f t="shared" si="86"/>
        <v>15-24</v>
      </c>
      <c r="R2777" t="str">
        <f t="shared" si="87"/>
        <v>[msW2zpIN7up]|15-24|Female|PLHIV_Attend.T_1|CY2023Q3</v>
      </c>
    </row>
    <row r="2778" spans="4:18" x14ac:dyDescent="0.2">
      <c r="D2778" t="s">
        <v>59</v>
      </c>
      <c r="E2778" t="s">
        <v>60</v>
      </c>
      <c r="F2778" t="s">
        <v>61</v>
      </c>
      <c r="G2778" t="s">
        <v>149</v>
      </c>
      <c r="H2778" t="s">
        <v>149</v>
      </c>
      <c r="I2778" t="s">
        <v>40</v>
      </c>
      <c r="J2778" t="s">
        <v>41</v>
      </c>
      <c r="K2778" t="s">
        <v>29</v>
      </c>
      <c r="L2778" t="s">
        <v>30</v>
      </c>
      <c r="M2778" t="s">
        <v>139</v>
      </c>
      <c r="N2778">
        <v>1655</v>
      </c>
      <c r="O2778" s="14">
        <v>0.159010421019047</v>
      </c>
      <c r="P2778" s="14">
        <v>2.6825056178495298E-2</v>
      </c>
      <c r="Q2778" t="str">
        <f t="shared" si="86"/>
        <v>25-34</v>
      </c>
      <c r="R2778" t="str">
        <f t="shared" si="87"/>
        <v>[msW2zpIN7up]|25-34|Female|PLHIV_Attend.T_1|CY2023Q3</v>
      </c>
    </row>
    <row r="2779" spans="4:18" x14ac:dyDescent="0.2">
      <c r="D2779" t="s">
        <v>59</v>
      </c>
      <c r="E2779" t="s">
        <v>60</v>
      </c>
      <c r="F2779" t="s">
        <v>61</v>
      </c>
      <c r="G2779" t="s">
        <v>149</v>
      </c>
      <c r="H2779" t="s">
        <v>149</v>
      </c>
      <c r="I2779" t="s">
        <v>42</v>
      </c>
      <c r="J2779" t="s">
        <v>43</v>
      </c>
      <c r="K2779" t="s">
        <v>29</v>
      </c>
      <c r="L2779" t="s">
        <v>30</v>
      </c>
      <c r="M2779" t="s">
        <v>139</v>
      </c>
      <c r="N2779">
        <v>1952</v>
      </c>
      <c r="O2779" s="14">
        <v>0.85329643264412902</v>
      </c>
      <c r="P2779" s="14">
        <v>2.6825056178495298E-2</v>
      </c>
      <c r="Q2779" t="str">
        <f t="shared" si="86"/>
        <v>35-49</v>
      </c>
      <c r="R2779" t="str">
        <f t="shared" si="87"/>
        <v>[msW2zpIN7up]|35-49|Female|PLHIV_Attend.T_1|CY2023Q3</v>
      </c>
    </row>
    <row r="2780" spans="4:18" x14ac:dyDescent="0.2">
      <c r="D2780" t="s">
        <v>59</v>
      </c>
      <c r="E2780" t="s">
        <v>60</v>
      </c>
      <c r="F2780" t="s">
        <v>61</v>
      </c>
      <c r="G2780" t="s">
        <v>149</v>
      </c>
      <c r="H2780" t="s">
        <v>149</v>
      </c>
      <c r="I2780" t="s">
        <v>44</v>
      </c>
      <c r="J2780" t="s">
        <v>45</v>
      </c>
      <c r="K2780" t="s">
        <v>29</v>
      </c>
      <c r="L2780" t="s">
        <v>30</v>
      </c>
      <c r="M2780" t="s">
        <v>139</v>
      </c>
      <c r="N2780">
        <v>1696</v>
      </c>
      <c r="O2780" s="14">
        <v>0.66142545291222599</v>
      </c>
      <c r="P2780" s="14">
        <v>2.6825056178495298E-2</v>
      </c>
      <c r="Q2780" t="str">
        <f t="shared" si="86"/>
        <v>50+</v>
      </c>
      <c r="R2780" t="str">
        <f t="shared" si="87"/>
        <v>[msW2zpIN7up]|50+|Female|PLHIV_Attend.T_1|CY2023Q3</v>
      </c>
    </row>
    <row r="2781" spans="4:18" x14ac:dyDescent="0.2">
      <c r="D2781" t="s">
        <v>59</v>
      </c>
      <c r="E2781" t="s">
        <v>60</v>
      </c>
      <c r="F2781" t="s">
        <v>61</v>
      </c>
      <c r="G2781" t="s">
        <v>149</v>
      </c>
      <c r="H2781" t="s">
        <v>149</v>
      </c>
      <c r="I2781" t="s">
        <v>27</v>
      </c>
      <c r="J2781" t="s">
        <v>28</v>
      </c>
      <c r="K2781" t="s">
        <v>47</v>
      </c>
      <c r="L2781" t="s">
        <v>48</v>
      </c>
      <c r="M2781" t="s">
        <v>139</v>
      </c>
      <c r="N2781">
        <v>1491</v>
      </c>
      <c r="O2781" s="14">
        <v>0.16527348314411899</v>
      </c>
      <c r="P2781" s="14">
        <v>2.6825056178495298E-2</v>
      </c>
      <c r="Q2781" t="str">
        <f t="shared" si="86"/>
        <v>&lt;01</v>
      </c>
      <c r="R2781" t="str">
        <f t="shared" si="87"/>
        <v>[msW2zpIN7up]|&lt;01|Male|PLHIV_Attend.T_1|CY2023Q3</v>
      </c>
    </row>
    <row r="2782" spans="4:18" x14ac:dyDescent="0.2">
      <c r="D2782" t="s">
        <v>59</v>
      </c>
      <c r="E2782" t="s">
        <v>60</v>
      </c>
      <c r="F2782" t="s">
        <v>61</v>
      </c>
      <c r="G2782" t="s">
        <v>149</v>
      </c>
      <c r="H2782" t="s">
        <v>149</v>
      </c>
      <c r="I2782" t="s">
        <v>32</v>
      </c>
      <c r="J2782" t="s">
        <v>33</v>
      </c>
      <c r="K2782" t="s">
        <v>47</v>
      </c>
      <c r="L2782" t="s">
        <v>48</v>
      </c>
      <c r="M2782" t="s">
        <v>139</v>
      </c>
      <c r="N2782">
        <v>762</v>
      </c>
      <c r="O2782" s="14">
        <v>4.90853539668024E-2</v>
      </c>
      <c r="P2782" s="14">
        <v>2.6825056178495298E-2</v>
      </c>
      <c r="Q2782" t="str">
        <f t="shared" si="86"/>
        <v>01-09</v>
      </c>
      <c r="R2782" t="str">
        <f t="shared" si="87"/>
        <v>[msW2zpIN7up]|01-09|Male|PLHIV_Attend.T_1|CY2023Q3</v>
      </c>
    </row>
    <row r="2783" spans="4:18" x14ac:dyDescent="0.2">
      <c r="D2783" t="s">
        <v>59</v>
      </c>
      <c r="E2783" t="s">
        <v>60</v>
      </c>
      <c r="F2783" t="s">
        <v>61</v>
      </c>
      <c r="G2783" t="s">
        <v>149</v>
      </c>
      <c r="H2783" t="s">
        <v>149</v>
      </c>
      <c r="I2783" t="s">
        <v>35</v>
      </c>
      <c r="J2783" t="s">
        <v>36</v>
      </c>
      <c r="K2783" t="s">
        <v>47</v>
      </c>
      <c r="L2783" t="s">
        <v>48</v>
      </c>
      <c r="M2783" t="s">
        <v>139</v>
      </c>
      <c r="N2783">
        <v>1494</v>
      </c>
      <c r="O2783" s="14">
        <v>0.31663236767053599</v>
      </c>
      <c r="P2783" s="14">
        <v>2.6825056178495298E-2</v>
      </c>
      <c r="Q2783" t="str">
        <f t="shared" si="86"/>
        <v>10-14</v>
      </c>
      <c r="R2783" t="str">
        <f t="shared" si="87"/>
        <v>[msW2zpIN7up]|10-14|Male|PLHIV_Attend.T_1|CY2023Q3</v>
      </c>
    </row>
    <row r="2784" spans="4:18" x14ac:dyDescent="0.2">
      <c r="D2784" t="s">
        <v>59</v>
      </c>
      <c r="E2784" t="s">
        <v>60</v>
      </c>
      <c r="F2784" t="s">
        <v>61</v>
      </c>
      <c r="G2784" t="s">
        <v>149</v>
      </c>
      <c r="H2784" t="s">
        <v>149</v>
      </c>
      <c r="I2784" t="s">
        <v>37</v>
      </c>
      <c r="J2784" t="s">
        <v>38</v>
      </c>
      <c r="K2784" t="s">
        <v>47</v>
      </c>
      <c r="L2784" t="s">
        <v>48</v>
      </c>
      <c r="M2784" t="s">
        <v>139</v>
      </c>
      <c r="N2784">
        <v>1156</v>
      </c>
      <c r="O2784" s="14">
        <v>0.40050671272911098</v>
      </c>
      <c r="P2784" s="14">
        <v>2.6825056178495298E-2</v>
      </c>
      <c r="Q2784" t="str">
        <f t="shared" si="86"/>
        <v>15-24</v>
      </c>
      <c r="R2784" t="str">
        <f t="shared" si="87"/>
        <v>[msW2zpIN7up]|15-24|Male|PLHIV_Attend.T_1|CY2023Q3</v>
      </c>
    </row>
    <row r="2785" spans="4:18" x14ac:dyDescent="0.2">
      <c r="D2785" t="s">
        <v>59</v>
      </c>
      <c r="E2785" t="s">
        <v>60</v>
      </c>
      <c r="F2785" t="s">
        <v>61</v>
      </c>
      <c r="G2785" t="s">
        <v>149</v>
      </c>
      <c r="H2785" t="s">
        <v>149</v>
      </c>
      <c r="I2785" t="s">
        <v>40</v>
      </c>
      <c r="J2785" t="s">
        <v>41</v>
      </c>
      <c r="K2785" t="s">
        <v>47</v>
      </c>
      <c r="L2785" t="s">
        <v>48</v>
      </c>
      <c r="M2785" t="s">
        <v>139</v>
      </c>
      <c r="N2785">
        <v>1258</v>
      </c>
      <c r="O2785" s="14">
        <v>0.90628525335341703</v>
      </c>
      <c r="P2785" s="14">
        <v>2.6825056178495298E-2</v>
      </c>
      <c r="Q2785" t="str">
        <f t="shared" si="86"/>
        <v>25-34</v>
      </c>
      <c r="R2785" t="str">
        <f t="shared" si="87"/>
        <v>[msW2zpIN7up]|25-34|Male|PLHIV_Attend.T_1|CY2023Q3</v>
      </c>
    </row>
    <row r="2786" spans="4:18" x14ac:dyDescent="0.2">
      <c r="D2786" t="s">
        <v>59</v>
      </c>
      <c r="E2786" t="s">
        <v>60</v>
      </c>
      <c r="F2786" t="s">
        <v>61</v>
      </c>
      <c r="G2786" t="s">
        <v>149</v>
      </c>
      <c r="H2786" t="s">
        <v>149</v>
      </c>
      <c r="I2786" t="s">
        <v>42</v>
      </c>
      <c r="J2786" t="s">
        <v>43</v>
      </c>
      <c r="K2786" t="s">
        <v>47</v>
      </c>
      <c r="L2786" t="s">
        <v>48</v>
      </c>
      <c r="M2786" t="s">
        <v>139</v>
      </c>
      <c r="N2786">
        <v>1630</v>
      </c>
      <c r="O2786" s="14">
        <v>0.25737905269488698</v>
      </c>
      <c r="P2786" s="14">
        <v>2.6825056178495298E-2</v>
      </c>
      <c r="Q2786" t="str">
        <f t="shared" si="86"/>
        <v>35-49</v>
      </c>
      <c r="R2786" t="str">
        <f t="shared" si="87"/>
        <v>[msW2zpIN7up]|35-49|Male|PLHIV_Attend.T_1|CY2023Q3</v>
      </c>
    </row>
    <row r="2787" spans="4:18" x14ac:dyDescent="0.2">
      <c r="D2787" t="s">
        <v>59</v>
      </c>
      <c r="E2787" t="s">
        <v>60</v>
      </c>
      <c r="F2787" t="s">
        <v>61</v>
      </c>
      <c r="G2787" t="s">
        <v>149</v>
      </c>
      <c r="H2787" t="s">
        <v>149</v>
      </c>
      <c r="I2787" t="s">
        <v>44</v>
      </c>
      <c r="J2787" t="s">
        <v>45</v>
      </c>
      <c r="K2787" t="s">
        <v>47</v>
      </c>
      <c r="L2787" t="s">
        <v>48</v>
      </c>
      <c r="M2787" t="s">
        <v>139</v>
      </c>
      <c r="N2787">
        <v>1479</v>
      </c>
      <c r="O2787" s="14">
        <v>0.497182911727577</v>
      </c>
      <c r="P2787" s="14">
        <v>2.6825056178495298E-2</v>
      </c>
      <c r="Q2787" t="str">
        <f t="shared" si="86"/>
        <v>50+</v>
      </c>
      <c r="R2787" t="str">
        <f t="shared" si="87"/>
        <v>[msW2zpIN7up]|50+|Male|PLHIV_Attend.T_1|CY2023Q3</v>
      </c>
    </row>
    <row r="2788" spans="4:18" x14ac:dyDescent="0.2">
      <c r="D2788" t="s">
        <v>62</v>
      </c>
      <c r="E2788" t="s">
        <v>63</v>
      </c>
      <c r="F2788" t="s">
        <v>64</v>
      </c>
      <c r="G2788" t="s">
        <v>149</v>
      </c>
      <c r="H2788" t="s">
        <v>149</v>
      </c>
      <c r="I2788" t="s">
        <v>27</v>
      </c>
      <c r="J2788" t="s">
        <v>28</v>
      </c>
      <c r="K2788" t="s">
        <v>29</v>
      </c>
      <c r="L2788" t="s">
        <v>30</v>
      </c>
      <c r="M2788" t="s">
        <v>139</v>
      </c>
      <c r="N2788">
        <v>801</v>
      </c>
      <c r="O2788" s="14">
        <v>0.72206063149496902</v>
      </c>
      <c r="P2788" s="14">
        <v>0.790102193132043</v>
      </c>
      <c r="Q2788" t="str">
        <f t="shared" si="86"/>
        <v>&lt;01</v>
      </c>
      <c r="R2788" t="str">
        <f t="shared" si="87"/>
        <v>[kxuuIFpOXyO]|&lt;01|Female|PLHIV_Attend.T_1|CY2023Q3</v>
      </c>
    </row>
    <row r="2789" spans="4:18" x14ac:dyDescent="0.2">
      <c r="D2789" t="s">
        <v>62</v>
      </c>
      <c r="E2789" t="s">
        <v>63</v>
      </c>
      <c r="F2789" t="s">
        <v>64</v>
      </c>
      <c r="G2789" t="s">
        <v>149</v>
      </c>
      <c r="H2789" t="s">
        <v>149</v>
      </c>
      <c r="I2789" t="s">
        <v>32</v>
      </c>
      <c r="J2789" t="s">
        <v>33</v>
      </c>
      <c r="K2789" t="s">
        <v>29</v>
      </c>
      <c r="L2789" t="s">
        <v>30</v>
      </c>
      <c r="M2789" t="s">
        <v>139</v>
      </c>
      <c r="N2789">
        <v>1363</v>
      </c>
      <c r="O2789" s="14">
        <v>2.64199164230376E-2</v>
      </c>
      <c r="P2789" s="14">
        <v>0.790102193132043</v>
      </c>
      <c r="Q2789" t="str">
        <f t="shared" si="86"/>
        <v>01-09</v>
      </c>
      <c r="R2789" t="str">
        <f t="shared" si="87"/>
        <v>[kxuuIFpOXyO]|01-09|Female|PLHIV_Attend.T_1|CY2023Q3</v>
      </c>
    </row>
    <row r="2790" spans="4:18" x14ac:dyDescent="0.2">
      <c r="D2790" t="s">
        <v>62</v>
      </c>
      <c r="E2790" t="s">
        <v>63</v>
      </c>
      <c r="F2790" t="s">
        <v>64</v>
      </c>
      <c r="G2790" t="s">
        <v>149</v>
      </c>
      <c r="H2790" t="s">
        <v>149</v>
      </c>
      <c r="I2790" t="s">
        <v>35</v>
      </c>
      <c r="J2790" t="s">
        <v>36</v>
      </c>
      <c r="K2790" t="s">
        <v>29</v>
      </c>
      <c r="L2790" t="s">
        <v>30</v>
      </c>
      <c r="M2790" t="s">
        <v>139</v>
      </c>
      <c r="N2790">
        <v>1401</v>
      </c>
      <c r="O2790" s="14">
        <v>0.65095846657641199</v>
      </c>
      <c r="P2790" s="14">
        <v>0.790102193132043</v>
      </c>
      <c r="Q2790" t="str">
        <f t="shared" si="86"/>
        <v>10-14</v>
      </c>
      <c r="R2790" t="str">
        <f t="shared" si="87"/>
        <v>[kxuuIFpOXyO]|10-14|Female|PLHIV_Attend.T_1|CY2023Q3</v>
      </c>
    </row>
    <row r="2791" spans="4:18" x14ac:dyDescent="0.2">
      <c r="D2791" t="s">
        <v>62</v>
      </c>
      <c r="E2791" t="s">
        <v>63</v>
      </c>
      <c r="F2791" t="s">
        <v>64</v>
      </c>
      <c r="G2791" t="s">
        <v>149</v>
      </c>
      <c r="H2791" t="s">
        <v>149</v>
      </c>
      <c r="I2791" t="s">
        <v>37</v>
      </c>
      <c r="J2791" t="s">
        <v>38</v>
      </c>
      <c r="K2791" t="s">
        <v>29</v>
      </c>
      <c r="L2791" t="s">
        <v>30</v>
      </c>
      <c r="M2791" t="s">
        <v>139</v>
      </c>
      <c r="N2791">
        <v>560</v>
      </c>
      <c r="O2791" s="14">
        <v>9.6540323924273294E-2</v>
      </c>
      <c r="P2791" s="14">
        <v>0.790102193132043</v>
      </c>
      <c r="Q2791" t="str">
        <f t="shared" si="86"/>
        <v>15-24</v>
      </c>
      <c r="R2791" t="str">
        <f t="shared" si="87"/>
        <v>[kxuuIFpOXyO]|15-24|Female|PLHIV_Attend.T_1|CY2023Q3</v>
      </c>
    </row>
    <row r="2792" spans="4:18" x14ac:dyDescent="0.2">
      <c r="D2792" t="s">
        <v>62</v>
      </c>
      <c r="E2792" t="s">
        <v>63</v>
      </c>
      <c r="F2792" t="s">
        <v>64</v>
      </c>
      <c r="G2792" t="s">
        <v>149</v>
      </c>
      <c r="H2792" t="s">
        <v>149</v>
      </c>
      <c r="I2792" t="s">
        <v>40</v>
      </c>
      <c r="J2792" t="s">
        <v>41</v>
      </c>
      <c r="K2792" t="s">
        <v>29</v>
      </c>
      <c r="L2792" t="s">
        <v>30</v>
      </c>
      <c r="M2792" t="s">
        <v>139</v>
      </c>
      <c r="N2792">
        <v>1412</v>
      </c>
      <c r="O2792" s="14">
        <v>0.116583361057565</v>
      </c>
      <c r="P2792" s="14">
        <v>0.790102193132043</v>
      </c>
      <c r="Q2792" t="str">
        <f t="shared" si="86"/>
        <v>25-34</v>
      </c>
      <c r="R2792" t="str">
        <f t="shared" si="87"/>
        <v>[kxuuIFpOXyO]|25-34|Female|PLHIV_Attend.T_1|CY2023Q3</v>
      </c>
    </row>
    <row r="2793" spans="4:18" x14ac:dyDescent="0.2">
      <c r="D2793" t="s">
        <v>62</v>
      </c>
      <c r="E2793" t="s">
        <v>63</v>
      </c>
      <c r="F2793" t="s">
        <v>64</v>
      </c>
      <c r="G2793" t="s">
        <v>149</v>
      </c>
      <c r="H2793" t="s">
        <v>149</v>
      </c>
      <c r="I2793" t="s">
        <v>42</v>
      </c>
      <c r="J2793" t="s">
        <v>43</v>
      </c>
      <c r="K2793" t="s">
        <v>29</v>
      </c>
      <c r="L2793" t="s">
        <v>30</v>
      </c>
      <c r="M2793" t="s">
        <v>139</v>
      </c>
      <c r="N2793">
        <v>1775</v>
      </c>
      <c r="O2793" s="14">
        <v>0.64501442364417005</v>
      </c>
      <c r="P2793" s="14">
        <v>0.790102193132043</v>
      </c>
      <c r="Q2793" t="str">
        <f t="shared" si="86"/>
        <v>35-49</v>
      </c>
      <c r="R2793" t="str">
        <f t="shared" si="87"/>
        <v>[kxuuIFpOXyO]|35-49|Female|PLHIV_Attend.T_1|CY2023Q3</v>
      </c>
    </row>
    <row r="2794" spans="4:18" x14ac:dyDescent="0.2">
      <c r="D2794" t="s">
        <v>62</v>
      </c>
      <c r="E2794" t="s">
        <v>63</v>
      </c>
      <c r="F2794" t="s">
        <v>64</v>
      </c>
      <c r="G2794" t="s">
        <v>149</v>
      </c>
      <c r="H2794" t="s">
        <v>149</v>
      </c>
      <c r="I2794" t="s">
        <v>44</v>
      </c>
      <c r="J2794" t="s">
        <v>45</v>
      </c>
      <c r="K2794" t="s">
        <v>29</v>
      </c>
      <c r="L2794" t="s">
        <v>30</v>
      </c>
      <c r="M2794" t="s">
        <v>139</v>
      </c>
      <c r="N2794">
        <v>1357</v>
      </c>
      <c r="O2794" s="14">
        <v>0.821798835415393</v>
      </c>
      <c r="P2794" s="14">
        <v>0.790102193132043</v>
      </c>
      <c r="Q2794" t="str">
        <f t="shared" si="86"/>
        <v>50+</v>
      </c>
      <c r="R2794" t="str">
        <f t="shared" si="87"/>
        <v>[kxuuIFpOXyO]|50+|Female|PLHIV_Attend.T_1|CY2023Q3</v>
      </c>
    </row>
    <row r="2795" spans="4:18" x14ac:dyDescent="0.2">
      <c r="D2795" t="s">
        <v>62</v>
      </c>
      <c r="E2795" t="s">
        <v>63</v>
      </c>
      <c r="F2795" t="s">
        <v>64</v>
      </c>
      <c r="G2795" t="s">
        <v>149</v>
      </c>
      <c r="H2795" t="s">
        <v>149</v>
      </c>
      <c r="I2795" t="s">
        <v>27</v>
      </c>
      <c r="J2795" t="s">
        <v>28</v>
      </c>
      <c r="K2795" t="s">
        <v>47</v>
      </c>
      <c r="L2795" t="s">
        <v>48</v>
      </c>
      <c r="M2795" t="s">
        <v>139</v>
      </c>
      <c r="N2795">
        <v>1877</v>
      </c>
      <c r="O2795" s="14">
        <v>0.676090639084578</v>
      </c>
      <c r="P2795" s="14">
        <v>0.790102193132043</v>
      </c>
      <c r="Q2795" t="str">
        <f t="shared" si="86"/>
        <v>&lt;01</v>
      </c>
      <c r="R2795" t="str">
        <f t="shared" si="87"/>
        <v>[kxuuIFpOXyO]|&lt;01|Male|PLHIV_Attend.T_1|CY2023Q3</v>
      </c>
    </row>
    <row r="2796" spans="4:18" x14ac:dyDescent="0.2">
      <c r="D2796" t="s">
        <v>62</v>
      </c>
      <c r="E2796" t="s">
        <v>63</v>
      </c>
      <c r="F2796" t="s">
        <v>64</v>
      </c>
      <c r="G2796" t="s">
        <v>149</v>
      </c>
      <c r="H2796" t="s">
        <v>149</v>
      </c>
      <c r="I2796" t="s">
        <v>32</v>
      </c>
      <c r="J2796" t="s">
        <v>33</v>
      </c>
      <c r="K2796" t="s">
        <v>47</v>
      </c>
      <c r="L2796" t="s">
        <v>48</v>
      </c>
      <c r="M2796" t="s">
        <v>139</v>
      </c>
      <c r="N2796">
        <v>1555</v>
      </c>
      <c r="O2796" s="14">
        <v>0.91422162856906697</v>
      </c>
      <c r="P2796" s="14">
        <v>0.790102193132043</v>
      </c>
      <c r="Q2796" t="str">
        <f t="shared" si="86"/>
        <v>01-09</v>
      </c>
      <c r="R2796" t="str">
        <f t="shared" si="87"/>
        <v>[kxuuIFpOXyO]|01-09|Male|PLHIV_Attend.T_1|CY2023Q3</v>
      </c>
    </row>
    <row r="2797" spans="4:18" x14ac:dyDescent="0.2">
      <c r="D2797" t="s">
        <v>62</v>
      </c>
      <c r="E2797" t="s">
        <v>63</v>
      </c>
      <c r="F2797" t="s">
        <v>64</v>
      </c>
      <c r="G2797" t="s">
        <v>149</v>
      </c>
      <c r="H2797" t="s">
        <v>149</v>
      </c>
      <c r="I2797" t="s">
        <v>35</v>
      </c>
      <c r="J2797" t="s">
        <v>36</v>
      </c>
      <c r="K2797" t="s">
        <v>47</v>
      </c>
      <c r="L2797" t="s">
        <v>48</v>
      </c>
      <c r="M2797" t="s">
        <v>139</v>
      </c>
      <c r="N2797">
        <v>1726</v>
      </c>
      <c r="O2797" s="14">
        <v>0.45934758963994698</v>
      </c>
      <c r="P2797" s="14">
        <v>0.790102193132043</v>
      </c>
      <c r="Q2797" t="str">
        <f t="shared" si="86"/>
        <v>10-14</v>
      </c>
      <c r="R2797" t="str">
        <f t="shared" si="87"/>
        <v>[kxuuIFpOXyO]|10-14|Male|PLHIV_Attend.T_1|CY2023Q3</v>
      </c>
    </row>
    <row r="2798" spans="4:18" x14ac:dyDescent="0.2">
      <c r="D2798" t="s">
        <v>62</v>
      </c>
      <c r="E2798" t="s">
        <v>63</v>
      </c>
      <c r="F2798" t="s">
        <v>64</v>
      </c>
      <c r="G2798" t="s">
        <v>149</v>
      </c>
      <c r="H2798" t="s">
        <v>149</v>
      </c>
      <c r="I2798" t="s">
        <v>37</v>
      </c>
      <c r="J2798" t="s">
        <v>38</v>
      </c>
      <c r="K2798" t="s">
        <v>47</v>
      </c>
      <c r="L2798" t="s">
        <v>48</v>
      </c>
      <c r="M2798" t="s">
        <v>139</v>
      </c>
      <c r="N2798">
        <v>1994</v>
      </c>
      <c r="O2798" s="14">
        <v>0.27850504219532002</v>
      </c>
      <c r="P2798" s="14">
        <v>0.790102193132043</v>
      </c>
      <c r="Q2798" t="str">
        <f t="shared" si="86"/>
        <v>15-24</v>
      </c>
      <c r="R2798" t="str">
        <f t="shared" si="87"/>
        <v>[kxuuIFpOXyO]|15-24|Male|PLHIV_Attend.T_1|CY2023Q3</v>
      </c>
    </row>
    <row r="2799" spans="4:18" x14ac:dyDescent="0.2">
      <c r="D2799" t="s">
        <v>62</v>
      </c>
      <c r="E2799" t="s">
        <v>63</v>
      </c>
      <c r="F2799" t="s">
        <v>64</v>
      </c>
      <c r="G2799" t="s">
        <v>149</v>
      </c>
      <c r="H2799" t="s">
        <v>149</v>
      </c>
      <c r="I2799" t="s">
        <v>40</v>
      </c>
      <c r="J2799" t="s">
        <v>41</v>
      </c>
      <c r="K2799" t="s">
        <v>47</v>
      </c>
      <c r="L2799" t="s">
        <v>48</v>
      </c>
      <c r="M2799" t="s">
        <v>139</v>
      </c>
      <c r="N2799">
        <v>1841</v>
      </c>
      <c r="O2799" s="14">
        <v>0.26308451406657701</v>
      </c>
      <c r="P2799" s="14">
        <v>0.790102193132043</v>
      </c>
      <c r="Q2799" t="str">
        <f t="shared" si="86"/>
        <v>25-34</v>
      </c>
      <c r="R2799" t="str">
        <f t="shared" si="87"/>
        <v>[kxuuIFpOXyO]|25-34|Male|PLHIV_Attend.T_1|CY2023Q3</v>
      </c>
    </row>
    <row r="2800" spans="4:18" x14ac:dyDescent="0.2">
      <c r="D2800" t="s">
        <v>62</v>
      </c>
      <c r="E2800" t="s">
        <v>63</v>
      </c>
      <c r="F2800" t="s">
        <v>64</v>
      </c>
      <c r="G2800" t="s">
        <v>149</v>
      </c>
      <c r="H2800" t="s">
        <v>149</v>
      </c>
      <c r="I2800" t="s">
        <v>42</v>
      </c>
      <c r="J2800" t="s">
        <v>43</v>
      </c>
      <c r="K2800" t="s">
        <v>47</v>
      </c>
      <c r="L2800" t="s">
        <v>48</v>
      </c>
      <c r="M2800" t="s">
        <v>139</v>
      </c>
      <c r="N2800">
        <v>1129</v>
      </c>
      <c r="O2800" s="14">
        <v>0.45435902872122802</v>
      </c>
      <c r="P2800" s="14">
        <v>0.790102193132043</v>
      </c>
      <c r="Q2800" t="str">
        <f t="shared" si="86"/>
        <v>35-49</v>
      </c>
      <c r="R2800" t="str">
        <f t="shared" si="87"/>
        <v>[kxuuIFpOXyO]|35-49|Male|PLHIV_Attend.T_1|CY2023Q3</v>
      </c>
    </row>
    <row r="2801" spans="4:18" x14ac:dyDescent="0.2">
      <c r="D2801" t="s">
        <v>62</v>
      </c>
      <c r="E2801" t="s">
        <v>63</v>
      </c>
      <c r="F2801" t="s">
        <v>64</v>
      </c>
      <c r="G2801" t="s">
        <v>149</v>
      </c>
      <c r="H2801" t="s">
        <v>149</v>
      </c>
      <c r="I2801" t="s">
        <v>44</v>
      </c>
      <c r="J2801" t="s">
        <v>45</v>
      </c>
      <c r="K2801" t="s">
        <v>47</v>
      </c>
      <c r="L2801" t="s">
        <v>48</v>
      </c>
      <c r="M2801" t="s">
        <v>139</v>
      </c>
      <c r="N2801">
        <v>1477</v>
      </c>
      <c r="O2801" s="14">
        <v>0.81924690445885096</v>
      </c>
      <c r="P2801" s="14">
        <v>0.790102193132043</v>
      </c>
      <c r="Q2801" t="str">
        <f t="shared" si="86"/>
        <v>50+</v>
      </c>
      <c r="R2801" t="str">
        <f t="shared" si="87"/>
        <v>[kxuuIFpOXyO]|50+|Male|PLHIV_Attend.T_1|CY2023Q3</v>
      </c>
    </row>
    <row r="2802" spans="4:18" x14ac:dyDescent="0.2">
      <c r="D2802" t="s">
        <v>65</v>
      </c>
      <c r="E2802" t="s">
        <v>66</v>
      </c>
      <c r="F2802" t="s">
        <v>67</v>
      </c>
      <c r="G2802" t="s">
        <v>149</v>
      </c>
      <c r="H2802" t="s">
        <v>149</v>
      </c>
      <c r="I2802" t="s">
        <v>27</v>
      </c>
      <c r="J2802" t="s">
        <v>28</v>
      </c>
      <c r="K2802" t="s">
        <v>29</v>
      </c>
      <c r="L2802" t="s">
        <v>30</v>
      </c>
      <c r="M2802" t="s">
        <v>139</v>
      </c>
      <c r="N2802">
        <v>1208</v>
      </c>
      <c r="O2802" s="14">
        <v>0.80105805583298195</v>
      </c>
      <c r="P2802" s="14">
        <v>0.16460988437756899</v>
      </c>
      <c r="Q2802" t="str">
        <f t="shared" si="86"/>
        <v>&lt;01</v>
      </c>
      <c r="R2802" t="str">
        <f t="shared" si="87"/>
        <v>[ScR9iFKAasW]|&lt;01|Female|PLHIV_Attend.T_1|CY2023Q3</v>
      </c>
    </row>
    <row r="2803" spans="4:18" x14ac:dyDescent="0.2">
      <c r="D2803" t="s">
        <v>65</v>
      </c>
      <c r="E2803" t="s">
        <v>66</v>
      </c>
      <c r="F2803" t="s">
        <v>67</v>
      </c>
      <c r="G2803" t="s">
        <v>149</v>
      </c>
      <c r="H2803" t="s">
        <v>149</v>
      </c>
      <c r="I2803" t="s">
        <v>32</v>
      </c>
      <c r="J2803" t="s">
        <v>33</v>
      </c>
      <c r="K2803" t="s">
        <v>29</v>
      </c>
      <c r="L2803" t="s">
        <v>30</v>
      </c>
      <c r="M2803" t="s">
        <v>139</v>
      </c>
      <c r="N2803">
        <v>846</v>
      </c>
      <c r="O2803" s="14">
        <v>0.208161434624344</v>
      </c>
      <c r="P2803" s="14">
        <v>0.16460988437756899</v>
      </c>
      <c r="Q2803" t="str">
        <f t="shared" si="86"/>
        <v>01-09</v>
      </c>
      <c r="R2803" t="str">
        <f t="shared" si="87"/>
        <v>[ScR9iFKAasW]|01-09|Female|PLHIV_Attend.T_1|CY2023Q3</v>
      </c>
    </row>
    <row r="2804" spans="4:18" x14ac:dyDescent="0.2">
      <c r="D2804" t="s">
        <v>65</v>
      </c>
      <c r="E2804" t="s">
        <v>66</v>
      </c>
      <c r="F2804" t="s">
        <v>67</v>
      </c>
      <c r="G2804" t="s">
        <v>149</v>
      </c>
      <c r="H2804" t="s">
        <v>149</v>
      </c>
      <c r="I2804" t="s">
        <v>35</v>
      </c>
      <c r="J2804" t="s">
        <v>36</v>
      </c>
      <c r="K2804" t="s">
        <v>29</v>
      </c>
      <c r="L2804" t="s">
        <v>30</v>
      </c>
      <c r="M2804" t="s">
        <v>139</v>
      </c>
      <c r="N2804">
        <v>1079</v>
      </c>
      <c r="O2804" s="14">
        <v>6.5463599981740103E-2</v>
      </c>
      <c r="P2804" s="14">
        <v>0.16460988437756899</v>
      </c>
      <c r="Q2804" t="str">
        <f t="shared" si="86"/>
        <v>10-14</v>
      </c>
      <c r="R2804" t="str">
        <f t="shared" si="87"/>
        <v>[ScR9iFKAasW]|10-14|Female|PLHIV_Attend.T_1|CY2023Q3</v>
      </c>
    </row>
    <row r="2805" spans="4:18" x14ac:dyDescent="0.2">
      <c r="D2805" t="s">
        <v>65</v>
      </c>
      <c r="E2805" t="s">
        <v>66</v>
      </c>
      <c r="F2805" t="s">
        <v>67</v>
      </c>
      <c r="G2805" t="s">
        <v>149</v>
      </c>
      <c r="H2805" t="s">
        <v>149</v>
      </c>
      <c r="I2805" t="s">
        <v>37</v>
      </c>
      <c r="J2805" t="s">
        <v>38</v>
      </c>
      <c r="K2805" t="s">
        <v>29</v>
      </c>
      <c r="L2805" t="s">
        <v>30</v>
      </c>
      <c r="M2805" t="s">
        <v>139</v>
      </c>
      <c r="N2805">
        <v>1717</v>
      </c>
      <c r="O2805" s="14">
        <v>0.59059715550392899</v>
      </c>
      <c r="P2805" s="14">
        <v>0.16460988437756899</v>
      </c>
      <c r="Q2805" t="str">
        <f t="shared" si="86"/>
        <v>15-24</v>
      </c>
      <c r="R2805" t="str">
        <f t="shared" si="87"/>
        <v>[ScR9iFKAasW]|15-24|Female|PLHIV_Attend.T_1|CY2023Q3</v>
      </c>
    </row>
    <row r="2806" spans="4:18" x14ac:dyDescent="0.2">
      <c r="D2806" t="s">
        <v>65</v>
      </c>
      <c r="E2806" t="s">
        <v>66</v>
      </c>
      <c r="F2806" t="s">
        <v>67</v>
      </c>
      <c r="G2806" t="s">
        <v>149</v>
      </c>
      <c r="H2806" t="s">
        <v>149</v>
      </c>
      <c r="I2806" t="s">
        <v>40</v>
      </c>
      <c r="J2806" t="s">
        <v>41</v>
      </c>
      <c r="K2806" t="s">
        <v>29</v>
      </c>
      <c r="L2806" t="s">
        <v>30</v>
      </c>
      <c r="M2806" t="s">
        <v>139</v>
      </c>
      <c r="N2806">
        <v>1729</v>
      </c>
      <c r="O2806" s="14">
        <v>0.94473644904792298</v>
      </c>
      <c r="P2806" s="14">
        <v>0.16460988437756899</v>
      </c>
      <c r="Q2806" t="str">
        <f t="shared" si="86"/>
        <v>25-34</v>
      </c>
      <c r="R2806" t="str">
        <f t="shared" si="87"/>
        <v>[ScR9iFKAasW]|25-34|Female|PLHIV_Attend.T_1|CY2023Q3</v>
      </c>
    </row>
    <row r="2807" spans="4:18" x14ac:dyDescent="0.2">
      <c r="D2807" t="s">
        <v>65</v>
      </c>
      <c r="E2807" t="s">
        <v>66</v>
      </c>
      <c r="F2807" t="s">
        <v>67</v>
      </c>
      <c r="G2807" t="s">
        <v>149</v>
      </c>
      <c r="H2807" t="s">
        <v>149</v>
      </c>
      <c r="I2807" t="s">
        <v>42</v>
      </c>
      <c r="J2807" t="s">
        <v>43</v>
      </c>
      <c r="K2807" t="s">
        <v>29</v>
      </c>
      <c r="L2807" t="s">
        <v>30</v>
      </c>
      <c r="M2807" t="s">
        <v>139</v>
      </c>
      <c r="N2807">
        <v>1815</v>
      </c>
      <c r="O2807" s="14">
        <v>0.56469046324491501</v>
      </c>
      <c r="P2807" s="14">
        <v>0.16460988437756899</v>
      </c>
      <c r="Q2807" t="str">
        <f t="shared" si="86"/>
        <v>35-49</v>
      </c>
      <c r="R2807" t="str">
        <f t="shared" si="87"/>
        <v>[ScR9iFKAasW]|35-49|Female|PLHIV_Attend.T_1|CY2023Q3</v>
      </c>
    </row>
    <row r="2808" spans="4:18" x14ac:dyDescent="0.2">
      <c r="D2808" t="s">
        <v>65</v>
      </c>
      <c r="E2808" t="s">
        <v>66</v>
      </c>
      <c r="F2808" t="s">
        <v>67</v>
      </c>
      <c r="G2808" t="s">
        <v>149</v>
      </c>
      <c r="H2808" t="s">
        <v>149</v>
      </c>
      <c r="I2808" t="s">
        <v>44</v>
      </c>
      <c r="J2808" t="s">
        <v>45</v>
      </c>
      <c r="K2808" t="s">
        <v>29</v>
      </c>
      <c r="L2808" t="s">
        <v>30</v>
      </c>
      <c r="M2808" t="s">
        <v>139</v>
      </c>
      <c r="N2808">
        <v>1294</v>
      </c>
      <c r="O2808" s="14">
        <v>0.46586788399145002</v>
      </c>
      <c r="P2808" s="14">
        <v>0.16460988437756899</v>
      </c>
      <c r="Q2808" t="str">
        <f t="shared" si="86"/>
        <v>50+</v>
      </c>
      <c r="R2808" t="str">
        <f t="shared" si="87"/>
        <v>[ScR9iFKAasW]|50+|Female|PLHIV_Attend.T_1|CY2023Q3</v>
      </c>
    </row>
    <row r="2809" spans="4:18" x14ac:dyDescent="0.2">
      <c r="D2809" t="s">
        <v>65</v>
      </c>
      <c r="E2809" t="s">
        <v>66</v>
      </c>
      <c r="F2809" t="s">
        <v>67</v>
      </c>
      <c r="G2809" t="s">
        <v>149</v>
      </c>
      <c r="H2809" t="s">
        <v>149</v>
      </c>
      <c r="I2809" t="s">
        <v>27</v>
      </c>
      <c r="J2809" t="s">
        <v>28</v>
      </c>
      <c r="K2809" t="s">
        <v>47</v>
      </c>
      <c r="L2809" t="s">
        <v>48</v>
      </c>
      <c r="M2809" t="s">
        <v>139</v>
      </c>
      <c r="N2809">
        <v>713</v>
      </c>
      <c r="O2809" s="14">
        <v>0.67360774613916896</v>
      </c>
      <c r="P2809" s="14">
        <v>0.16460988437756899</v>
      </c>
      <c r="Q2809" t="str">
        <f t="shared" si="86"/>
        <v>&lt;01</v>
      </c>
      <c r="R2809" t="str">
        <f t="shared" si="87"/>
        <v>[ScR9iFKAasW]|&lt;01|Male|PLHIV_Attend.T_1|CY2023Q3</v>
      </c>
    </row>
    <row r="2810" spans="4:18" x14ac:dyDescent="0.2">
      <c r="D2810" t="s">
        <v>65</v>
      </c>
      <c r="E2810" t="s">
        <v>66</v>
      </c>
      <c r="F2810" t="s">
        <v>67</v>
      </c>
      <c r="G2810" t="s">
        <v>149</v>
      </c>
      <c r="H2810" t="s">
        <v>149</v>
      </c>
      <c r="I2810" t="s">
        <v>32</v>
      </c>
      <c r="J2810" t="s">
        <v>33</v>
      </c>
      <c r="K2810" t="s">
        <v>47</v>
      </c>
      <c r="L2810" t="s">
        <v>48</v>
      </c>
      <c r="M2810" t="s">
        <v>139</v>
      </c>
      <c r="N2810">
        <v>1391</v>
      </c>
      <c r="O2810" s="14">
        <v>0.37580941664055001</v>
      </c>
      <c r="P2810" s="14">
        <v>0.16460988437756899</v>
      </c>
      <c r="Q2810" t="str">
        <f t="shared" si="86"/>
        <v>01-09</v>
      </c>
      <c r="R2810" t="str">
        <f t="shared" si="87"/>
        <v>[ScR9iFKAasW]|01-09|Male|PLHIV_Attend.T_1|CY2023Q3</v>
      </c>
    </row>
    <row r="2811" spans="4:18" x14ac:dyDescent="0.2">
      <c r="D2811" t="s">
        <v>65</v>
      </c>
      <c r="E2811" t="s">
        <v>66</v>
      </c>
      <c r="F2811" t="s">
        <v>67</v>
      </c>
      <c r="G2811" t="s">
        <v>149</v>
      </c>
      <c r="H2811" t="s">
        <v>149</v>
      </c>
      <c r="I2811" t="s">
        <v>35</v>
      </c>
      <c r="J2811" t="s">
        <v>36</v>
      </c>
      <c r="K2811" t="s">
        <v>47</v>
      </c>
      <c r="L2811" t="s">
        <v>48</v>
      </c>
      <c r="M2811" t="s">
        <v>139</v>
      </c>
      <c r="N2811">
        <v>1994</v>
      </c>
      <c r="O2811" s="14">
        <v>0.65668513975106202</v>
      </c>
      <c r="P2811" s="14">
        <v>0.16460988437756899</v>
      </c>
      <c r="Q2811" t="str">
        <f t="shared" si="86"/>
        <v>10-14</v>
      </c>
      <c r="R2811" t="str">
        <f t="shared" si="87"/>
        <v>[ScR9iFKAasW]|10-14|Male|PLHIV_Attend.T_1|CY2023Q3</v>
      </c>
    </row>
    <row r="2812" spans="4:18" x14ac:dyDescent="0.2">
      <c r="D2812" t="s">
        <v>65</v>
      </c>
      <c r="E2812" t="s">
        <v>66</v>
      </c>
      <c r="F2812" t="s">
        <v>67</v>
      </c>
      <c r="G2812" t="s">
        <v>149</v>
      </c>
      <c r="H2812" t="s">
        <v>149</v>
      </c>
      <c r="I2812" t="s">
        <v>37</v>
      </c>
      <c r="J2812" t="s">
        <v>38</v>
      </c>
      <c r="K2812" t="s">
        <v>47</v>
      </c>
      <c r="L2812" t="s">
        <v>48</v>
      </c>
      <c r="M2812" t="s">
        <v>139</v>
      </c>
      <c r="N2812">
        <v>1801</v>
      </c>
      <c r="O2812" s="14">
        <v>0.32325578317977499</v>
      </c>
      <c r="P2812" s="14">
        <v>0.16460988437756899</v>
      </c>
      <c r="Q2812" t="str">
        <f t="shared" si="86"/>
        <v>15-24</v>
      </c>
      <c r="R2812" t="str">
        <f t="shared" si="87"/>
        <v>[ScR9iFKAasW]|15-24|Male|PLHIV_Attend.T_1|CY2023Q3</v>
      </c>
    </row>
    <row r="2813" spans="4:18" x14ac:dyDescent="0.2">
      <c r="D2813" t="s">
        <v>65</v>
      </c>
      <c r="E2813" t="s">
        <v>66</v>
      </c>
      <c r="F2813" t="s">
        <v>67</v>
      </c>
      <c r="G2813" t="s">
        <v>149</v>
      </c>
      <c r="H2813" t="s">
        <v>149</v>
      </c>
      <c r="I2813" t="s">
        <v>40</v>
      </c>
      <c r="J2813" t="s">
        <v>41</v>
      </c>
      <c r="K2813" t="s">
        <v>47</v>
      </c>
      <c r="L2813" t="s">
        <v>48</v>
      </c>
      <c r="M2813" t="s">
        <v>139</v>
      </c>
      <c r="N2813">
        <v>503</v>
      </c>
      <c r="O2813" s="14">
        <v>0.16063258796930299</v>
      </c>
      <c r="P2813" s="14">
        <v>0.16460988437756899</v>
      </c>
      <c r="Q2813" t="str">
        <f t="shared" si="86"/>
        <v>25-34</v>
      </c>
      <c r="R2813" t="str">
        <f t="shared" si="87"/>
        <v>[ScR9iFKAasW]|25-34|Male|PLHIV_Attend.T_1|CY2023Q3</v>
      </c>
    </row>
    <row r="2814" spans="4:18" x14ac:dyDescent="0.2">
      <c r="D2814" t="s">
        <v>65</v>
      </c>
      <c r="E2814" t="s">
        <v>66</v>
      </c>
      <c r="F2814" t="s">
        <v>67</v>
      </c>
      <c r="G2814" t="s">
        <v>149</v>
      </c>
      <c r="H2814" t="s">
        <v>149</v>
      </c>
      <c r="I2814" t="s">
        <v>42</v>
      </c>
      <c r="J2814" t="s">
        <v>43</v>
      </c>
      <c r="K2814" t="s">
        <v>47</v>
      </c>
      <c r="L2814" t="s">
        <v>48</v>
      </c>
      <c r="M2814" t="s">
        <v>139</v>
      </c>
      <c r="N2814">
        <v>1265</v>
      </c>
      <c r="O2814" s="14">
        <v>0.63825798453763105</v>
      </c>
      <c r="P2814" s="14">
        <v>0.16460988437756899</v>
      </c>
      <c r="Q2814" t="str">
        <f t="shared" si="86"/>
        <v>35-49</v>
      </c>
      <c r="R2814" t="str">
        <f t="shared" si="87"/>
        <v>[ScR9iFKAasW]|35-49|Male|PLHIV_Attend.T_1|CY2023Q3</v>
      </c>
    </row>
    <row r="2815" spans="4:18" x14ac:dyDescent="0.2">
      <c r="D2815" t="s">
        <v>65</v>
      </c>
      <c r="E2815" t="s">
        <v>66</v>
      </c>
      <c r="F2815" t="s">
        <v>67</v>
      </c>
      <c r="G2815" t="s">
        <v>149</v>
      </c>
      <c r="H2815" t="s">
        <v>149</v>
      </c>
      <c r="I2815" t="s">
        <v>44</v>
      </c>
      <c r="J2815" t="s">
        <v>45</v>
      </c>
      <c r="K2815" t="s">
        <v>47</v>
      </c>
      <c r="L2815" t="s">
        <v>48</v>
      </c>
      <c r="M2815" t="s">
        <v>139</v>
      </c>
      <c r="N2815">
        <v>1847</v>
      </c>
      <c r="O2815" s="14">
        <v>0.99078049394302103</v>
      </c>
      <c r="P2815" s="14">
        <v>0.16460988437756899</v>
      </c>
      <c r="Q2815" t="str">
        <f t="shared" si="86"/>
        <v>50+</v>
      </c>
      <c r="R2815" t="str">
        <f t="shared" si="87"/>
        <v>[ScR9iFKAasW]|50+|Male|PLHIV_Attend.T_1|CY2023Q3</v>
      </c>
    </row>
    <row r="2816" spans="4:18" x14ac:dyDescent="0.2">
      <c r="D2816" t="s">
        <v>68</v>
      </c>
      <c r="E2816" t="s">
        <v>69</v>
      </c>
      <c r="F2816" t="s">
        <v>70</v>
      </c>
      <c r="G2816" t="s">
        <v>149</v>
      </c>
      <c r="H2816" t="s">
        <v>149</v>
      </c>
      <c r="I2816" t="s">
        <v>27</v>
      </c>
      <c r="J2816" t="s">
        <v>28</v>
      </c>
      <c r="K2816" t="s">
        <v>29</v>
      </c>
      <c r="L2816" t="s">
        <v>30</v>
      </c>
      <c r="M2816" t="s">
        <v>139</v>
      </c>
      <c r="N2816">
        <v>554</v>
      </c>
      <c r="O2816" s="14">
        <v>0.31443689344450798</v>
      </c>
      <c r="P2816" s="14">
        <v>0.19881726312451101</v>
      </c>
      <c r="Q2816" t="str">
        <f t="shared" si="86"/>
        <v>&lt;01</v>
      </c>
      <c r="R2816" t="str">
        <f t="shared" si="87"/>
        <v>[PekKUkKHAzY]|&lt;01|Female|PLHIV_Attend.T_1|CY2023Q3</v>
      </c>
    </row>
    <row r="2817" spans="4:18" x14ac:dyDescent="0.2">
      <c r="D2817" t="s">
        <v>68</v>
      </c>
      <c r="E2817" t="s">
        <v>69</v>
      </c>
      <c r="F2817" t="s">
        <v>70</v>
      </c>
      <c r="G2817" t="s">
        <v>149</v>
      </c>
      <c r="H2817" t="s">
        <v>149</v>
      </c>
      <c r="I2817" t="s">
        <v>32</v>
      </c>
      <c r="J2817" t="s">
        <v>33</v>
      </c>
      <c r="K2817" t="s">
        <v>29</v>
      </c>
      <c r="L2817" t="s">
        <v>30</v>
      </c>
      <c r="M2817" t="s">
        <v>139</v>
      </c>
      <c r="N2817">
        <v>512</v>
      </c>
      <c r="O2817" s="14">
        <v>0.28230439382605299</v>
      </c>
      <c r="P2817" s="14">
        <v>0.19881726312451101</v>
      </c>
      <c r="Q2817" t="str">
        <f t="shared" si="86"/>
        <v>01-09</v>
      </c>
      <c r="R2817" t="str">
        <f t="shared" si="87"/>
        <v>[PekKUkKHAzY]|01-09|Female|PLHIV_Attend.T_1|CY2023Q3</v>
      </c>
    </row>
    <row r="2818" spans="4:18" x14ac:dyDescent="0.2">
      <c r="D2818" t="s">
        <v>68</v>
      </c>
      <c r="E2818" t="s">
        <v>69</v>
      </c>
      <c r="F2818" t="s">
        <v>70</v>
      </c>
      <c r="G2818" t="s">
        <v>149</v>
      </c>
      <c r="H2818" t="s">
        <v>149</v>
      </c>
      <c r="I2818" t="s">
        <v>35</v>
      </c>
      <c r="J2818" t="s">
        <v>36</v>
      </c>
      <c r="K2818" t="s">
        <v>29</v>
      </c>
      <c r="L2818" t="s">
        <v>30</v>
      </c>
      <c r="M2818" t="s">
        <v>139</v>
      </c>
      <c r="N2818">
        <v>1869</v>
      </c>
      <c r="O2818" s="14">
        <v>0.75606690347194705</v>
      </c>
      <c r="P2818" s="14">
        <v>0.19881726312451101</v>
      </c>
      <c r="Q2818" t="str">
        <f t="shared" ref="Q2818:Q2881" si="88">SUBSTITUTE(SUBSTITUTE($I2818,CHAR(61),""),CHAR(34),"")</f>
        <v>10-14</v>
      </c>
      <c r="R2818" t="str">
        <f t="shared" ref="R2818:R2881" si="89">IF($D2818&lt;&gt;"","["&amp;$E2818&amp;"]"&amp;"|"&amp;$Q2818&amp;"|"&amp;$K2818&amp;"|"&amp;$G2818&amp;"|"&amp;IF($G2818="TX_CURR_SUBNAT.R","CY2022Q4",$M2818),"")</f>
        <v>[PekKUkKHAzY]|10-14|Female|PLHIV_Attend.T_1|CY2023Q3</v>
      </c>
    </row>
    <row r="2819" spans="4:18" x14ac:dyDescent="0.2">
      <c r="D2819" t="s">
        <v>68</v>
      </c>
      <c r="E2819" t="s">
        <v>69</v>
      </c>
      <c r="F2819" t="s">
        <v>70</v>
      </c>
      <c r="G2819" t="s">
        <v>149</v>
      </c>
      <c r="H2819" t="s">
        <v>149</v>
      </c>
      <c r="I2819" t="s">
        <v>37</v>
      </c>
      <c r="J2819" t="s">
        <v>38</v>
      </c>
      <c r="K2819" t="s">
        <v>29</v>
      </c>
      <c r="L2819" t="s">
        <v>30</v>
      </c>
      <c r="M2819" t="s">
        <v>139</v>
      </c>
      <c r="N2819">
        <v>775</v>
      </c>
      <c r="O2819" s="14">
        <v>0.18131873430684201</v>
      </c>
      <c r="P2819" s="14">
        <v>0.19881726312451101</v>
      </c>
      <c r="Q2819" t="str">
        <f t="shared" si="88"/>
        <v>15-24</v>
      </c>
      <c r="R2819" t="str">
        <f t="shared" si="89"/>
        <v>[PekKUkKHAzY]|15-24|Female|PLHIV_Attend.T_1|CY2023Q3</v>
      </c>
    </row>
    <row r="2820" spans="4:18" x14ac:dyDescent="0.2">
      <c r="D2820" t="s">
        <v>68</v>
      </c>
      <c r="E2820" t="s">
        <v>69</v>
      </c>
      <c r="F2820" t="s">
        <v>70</v>
      </c>
      <c r="G2820" t="s">
        <v>149</v>
      </c>
      <c r="H2820" t="s">
        <v>149</v>
      </c>
      <c r="I2820" t="s">
        <v>40</v>
      </c>
      <c r="J2820" t="s">
        <v>41</v>
      </c>
      <c r="K2820" t="s">
        <v>29</v>
      </c>
      <c r="L2820" t="s">
        <v>30</v>
      </c>
      <c r="M2820" t="s">
        <v>139</v>
      </c>
      <c r="N2820">
        <v>689</v>
      </c>
      <c r="O2820" s="14">
        <v>0.448018855648115</v>
      </c>
      <c r="P2820" s="14">
        <v>0.19881726312451101</v>
      </c>
      <c r="Q2820" t="str">
        <f t="shared" si="88"/>
        <v>25-34</v>
      </c>
      <c r="R2820" t="str">
        <f t="shared" si="89"/>
        <v>[PekKUkKHAzY]|25-34|Female|PLHIV_Attend.T_1|CY2023Q3</v>
      </c>
    </row>
    <row r="2821" spans="4:18" x14ac:dyDescent="0.2">
      <c r="D2821" t="s">
        <v>68</v>
      </c>
      <c r="E2821" t="s">
        <v>69</v>
      </c>
      <c r="F2821" t="s">
        <v>70</v>
      </c>
      <c r="G2821" t="s">
        <v>149</v>
      </c>
      <c r="H2821" t="s">
        <v>149</v>
      </c>
      <c r="I2821" t="s">
        <v>42</v>
      </c>
      <c r="J2821" t="s">
        <v>43</v>
      </c>
      <c r="K2821" t="s">
        <v>29</v>
      </c>
      <c r="L2821" t="s">
        <v>30</v>
      </c>
      <c r="M2821" t="s">
        <v>139</v>
      </c>
      <c r="N2821">
        <v>1288</v>
      </c>
      <c r="O2821" s="14">
        <v>8.7314067175611895E-2</v>
      </c>
      <c r="P2821" s="14">
        <v>0.19881726312451101</v>
      </c>
      <c r="Q2821" t="str">
        <f t="shared" si="88"/>
        <v>35-49</v>
      </c>
      <c r="R2821" t="str">
        <f t="shared" si="89"/>
        <v>[PekKUkKHAzY]|35-49|Female|PLHIV_Attend.T_1|CY2023Q3</v>
      </c>
    </row>
    <row r="2822" spans="4:18" x14ac:dyDescent="0.2">
      <c r="D2822" t="s">
        <v>68</v>
      </c>
      <c r="E2822" t="s">
        <v>69</v>
      </c>
      <c r="F2822" t="s">
        <v>70</v>
      </c>
      <c r="G2822" t="s">
        <v>149</v>
      </c>
      <c r="H2822" t="s">
        <v>149</v>
      </c>
      <c r="I2822" t="s">
        <v>44</v>
      </c>
      <c r="J2822" t="s">
        <v>45</v>
      </c>
      <c r="K2822" t="s">
        <v>29</v>
      </c>
      <c r="L2822" t="s">
        <v>30</v>
      </c>
      <c r="M2822" t="s">
        <v>139</v>
      </c>
      <c r="N2822">
        <v>930</v>
      </c>
      <c r="O2822" s="14">
        <v>0.62416780926287196</v>
      </c>
      <c r="P2822" s="14">
        <v>0.19881726312451101</v>
      </c>
      <c r="Q2822" t="str">
        <f t="shared" si="88"/>
        <v>50+</v>
      </c>
      <c r="R2822" t="str">
        <f t="shared" si="89"/>
        <v>[PekKUkKHAzY]|50+|Female|PLHIV_Attend.T_1|CY2023Q3</v>
      </c>
    </row>
    <row r="2823" spans="4:18" x14ac:dyDescent="0.2">
      <c r="D2823" t="s">
        <v>68</v>
      </c>
      <c r="E2823" t="s">
        <v>69</v>
      </c>
      <c r="F2823" t="s">
        <v>70</v>
      </c>
      <c r="G2823" t="s">
        <v>149</v>
      </c>
      <c r="H2823" t="s">
        <v>149</v>
      </c>
      <c r="I2823" t="s">
        <v>27</v>
      </c>
      <c r="J2823" t="s">
        <v>28</v>
      </c>
      <c r="K2823" t="s">
        <v>47</v>
      </c>
      <c r="L2823" t="s">
        <v>48</v>
      </c>
      <c r="M2823" t="s">
        <v>139</v>
      </c>
      <c r="N2823">
        <v>1655</v>
      </c>
      <c r="O2823" s="14">
        <v>0.66533971414901305</v>
      </c>
      <c r="P2823" s="14">
        <v>0.19881726312451101</v>
      </c>
      <c r="Q2823" t="str">
        <f t="shared" si="88"/>
        <v>&lt;01</v>
      </c>
      <c r="R2823" t="str">
        <f t="shared" si="89"/>
        <v>[PekKUkKHAzY]|&lt;01|Male|PLHIV_Attend.T_1|CY2023Q3</v>
      </c>
    </row>
    <row r="2824" spans="4:18" x14ac:dyDescent="0.2">
      <c r="D2824" t="s">
        <v>68</v>
      </c>
      <c r="E2824" t="s">
        <v>69</v>
      </c>
      <c r="F2824" t="s">
        <v>70</v>
      </c>
      <c r="G2824" t="s">
        <v>149</v>
      </c>
      <c r="H2824" t="s">
        <v>149</v>
      </c>
      <c r="I2824" t="s">
        <v>32</v>
      </c>
      <c r="J2824" t="s">
        <v>33</v>
      </c>
      <c r="K2824" t="s">
        <v>47</v>
      </c>
      <c r="L2824" t="s">
        <v>48</v>
      </c>
      <c r="M2824" t="s">
        <v>139</v>
      </c>
      <c r="N2824">
        <v>966</v>
      </c>
      <c r="O2824" s="14">
        <v>0.22019651695154599</v>
      </c>
      <c r="P2824" s="14">
        <v>0.19881726312451101</v>
      </c>
      <c r="Q2824" t="str">
        <f t="shared" si="88"/>
        <v>01-09</v>
      </c>
      <c r="R2824" t="str">
        <f t="shared" si="89"/>
        <v>[PekKUkKHAzY]|01-09|Male|PLHIV_Attend.T_1|CY2023Q3</v>
      </c>
    </row>
    <row r="2825" spans="4:18" x14ac:dyDescent="0.2">
      <c r="D2825" t="s">
        <v>68</v>
      </c>
      <c r="E2825" t="s">
        <v>69</v>
      </c>
      <c r="F2825" t="s">
        <v>70</v>
      </c>
      <c r="G2825" t="s">
        <v>149</v>
      </c>
      <c r="H2825" t="s">
        <v>149</v>
      </c>
      <c r="I2825" t="s">
        <v>35</v>
      </c>
      <c r="J2825" t="s">
        <v>36</v>
      </c>
      <c r="K2825" t="s">
        <v>47</v>
      </c>
      <c r="L2825" t="s">
        <v>48</v>
      </c>
      <c r="M2825" t="s">
        <v>139</v>
      </c>
      <c r="N2825">
        <v>1947</v>
      </c>
      <c r="O2825" s="14">
        <v>0.78432625671848699</v>
      </c>
      <c r="P2825" s="14">
        <v>0.19881726312451101</v>
      </c>
      <c r="Q2825" t="str">
        <f t="shared" si="88"/>
        <v>10-14</v>
      </c>
      <c r="R2825" t="str">
        <f t="shared" si="89"/>
        <v>[PekKUkKHAzY]|10-14|Male|PLHIV_Attend.T_1|CY2023Q3</v>
      </c>
    </row>
    <row r="2826" spans="4:18" x14ac:dyDescent="0.2">
      <c r="D2826" t="s">
        <v>68</v>
      </c>
      <c r="E2826" t="s">
        <v>69</v>
      </c>
      <c r="F2826" t="s">
        <v>70</v>
      </c>
      <c r="G2826" t="s">
        <v>149</v>
      </c>
      <c r="H2826" t="s">
        <v>149</v>
      </c>
      <c r="I2826" t="s">
        <v>37</v>
      </c>
      <c r="J2826" t="s">
        <v>38</v>
      </c>
      <c r="K2826" t="s">
        <v>47</v>
      </c>
      <c r="L2826" t="s">
        <v>48</v>
      </c>
      <c r="M2826" t="s">
        <v>139</v>
      </c>
      <c r="N2826">
        <v>1333</v>
      </c>
      <c r="O2826" s="14">
        <v>0.66246589063666805</v>
      </c>
      <c r="P2826" s="14">
        <v>0.19881726312451101</v>
      </c>
      <c r="Q2826" t="str">
        <f t="shared" si="88"/>
        <v>15-24</v>
      </c>
      <c r="R2826" t="str">
        <f t="shared" si="89"/>
        <v>[PekKUkKHAzY]|15-24|Male|PLHIV_Attend.T_1|CY2023Q3</v>
      </c>
    </row>
    <row r="2827" spans="4:18" x14ac:dyDescent="0.2">
      <c r="D2827" t="s">
        <v>68</v>
      </c>
      <c r="E2827" t="s">
        <v>69</v>
      </c>
      <c r="F2827" t="s">
        <v>70</v>
      </c>
      <c r="G2827" t="s">
        <v>149</v>
      </c>
      <c r="H2827" t="s">
        <v>149</v>
      </c>
      <c r="I2827" t="s">
        <v>40</v>
      </c>
      <c r="J2827" t="s">
        <v>41</v>
      </c>
      <c r="K2827" t="s">
        <v>47</v>
      </c>
      <c r="L2827" t="s">
        <v>48</v>
      </c>
      <c r="M2827" t="s">
        <v>139</v>
      </c>
      <c r="N2827">
        <v>1138</v>
      </c>
      <c r="O2827" s="14">
        <v>0.16812870884314199</v>
      </c>
      <c r="P2827" s="14">
        <v>0.19881726312451101</v>
      </c>
      <c r="Q2827" t="str">
        <f t="shared" si="88"/>
        <v>25-34</v>
      </c>
      <c r="R2827" t="str">
        <f t="shared" si="89"/>
        <v>[PekKUkKHAzY]|25-34|Male|PLHIV_Attend.T_1|CY2023Q3</v>
      </c>
    </row>
    <row r="2828" spans="4:18" x14ac:dyDescent="0.2">
      <c r="D2828" t="s">
        <v>68</v>
      </c>
      <c r="E2828" t="s">
        <v>69</v>
      </c>
      <c r="F2828" t="s">
        <v>70</v>
      </c>
      <c r="G2828" t="s">
        <v>149</v>
      </c>
      <c r="H2828" t="s">
        <v>149</v>
      </c>
      <c r="I2828" t="s">
        <v>42</v>
      </c>
      <c r="J2828" t="s">
        <v>43</v>
      </c>
      <c r="K2828" t="s">
        <v>47</v>
      </c>
      <c r="L2828" t="s">
        <v>48</v>
      </c>
      <c r="M2828" t="s">
        <v>139</v>
      </c>
      <c r="N2828">
        <v>572</v>
      </c>
      <c r="O2828" s="14">
        <v>0.9846898233518</v>
      </c>
      <c r="P2828" s="14">
        <v>0.19881726312451101</v>
      </c>
      <c r="Q2828" t="str">
        <f t="shared" si="88"/>
        <v>35-49</v>
      </c>
      <c r="R2828" t="str">
        <f t="shared" si="89"/>
        <v>[PekKUkKHAzY]|35-49|Male|PLHIV_Attend.T_1|CY2023Q3</v>
      </c>
    </row>
    <row r="2829" spans="4:18" x14ac:dyDescent="0.2">
      <c r="D2829" t="s">
        <v>68</v>
      </c>
      <c r="E2829" t="s">
        <v>69</v>
      </c>
      <c r="F2829" t="s">
        <v>70</v>
      </c>
      <c r="G2829" t="s">
        <v>149</v>
      </c>
      <c r="H2829" t="s">
        <v>149</v>
      </c>
      <c r="I2829" t="s">
        <v>44</v>
      </c>
      <c r="J2829" t="s">
        <v>45</v>
      </c>
      <c r="K2829" t="s">
        <v>47</v>
      </c>
      <c r="L2829" t="s">
        <v>48</v>
      </c>
      <c r="M2829" t="s">
        <v>139</v>
      </c>
      <c r="N2829">
        <v>1416</v>
      </c>
      <c r="O2829" s="14">
        <v>0.83686552732251596</v>
      </c>
      <c r="P2829" s="14">
        <v>0.19881726312451101</v>
      </c>
      <c r="Q2829" t="str">
        <f t="shared" si="88"/>
        <v>50+</v>
      </c>
      <c r="R2829" t="str">
        <f t="shared" si="89"/>
        <v>[PekKUkKHAzY]|50+|Male|PLHIV_Attend.T_1|CY2023Q3</v>
      </c>
    </row>
    <row r="2830" spans="4:18" x14ac:dyDescent="0.2">
      <c r="D2830" t="s">
        <v>71</v>
      </c>
      <c r="E2830" t="s">
        <v>72</v>
      </c>
      <c r="F2830" t="s">
        <v>73</v>
      </c>
      <c r="G2830" t="s">
        <v>149</v>
      </c>
      <c r="H2830" t="s">
        <v>149</v>
      </c>
      <c r="I2830" t="s">
        <v>27</v>
      </c>
      <c r="J2830" t="s">
        <v>28</v>
      </c>
      <c r="K2830" t="s">
        <v>29</v>
      </c>
      <c r="L2830" t="s">
        <v>30</v>
      </c>
      <c r="M2830" t="s">
        <v>139</v>
      </c>
      <c r="N2830">
        <v>1709</v>
      </c>
      <c r="O2830" s="14">
        <v>0.52069494267925598</v>
      </c>
      <c r="P2830" s="14">
        <v>0.28972870693542102</v>
      </c>
      <c r="Q2830" t="str">
        <f t="shared" si="88"/>
        <v>&lt;01</v>
      </c>
      <c r="R2830" t="str">
        <f t="shared" si="89"/>
        <v>[am530wpaGvr]|&lt;01|Female|PLHIV_Attend.T_1|CY2023Q3</v>
      </c>
    </row>
    <row r="2831" spans="4:18" x14ac:dyDescent="0.2">
      <c r="D2831" t="s">
        <v>71</v>
      </c>
      <c r="E2831" t="s">
        <v>72</v>
      </c>
      <c r="F2831" t="s">
        <v>73</v>
      </c>
      <c r="G2831" t="s">
        <v>149</v>
      </c>
      <c r="H2831" t="s">
        <v>149</v>
      </c>
      <c r="I2831" t="s">
        <v>32</v>
      </c>
      <c r="J2831" t="s">
        <v>33</v>
      </c>
      <c r="K2831" t="s">
        <v>29</v>
      </c>
      <c r="L2831" t="s">
        <v>30</v>
      </c>
      <c r="M2831" t="s">
        <v>139</v>
      </c>
      <c r="N2831">
        <v>1255</v>
      </c>
      <c r="O2831" s="14">
        <v>0.87638998823240399</v>
      </c>
      <c r="P2831" s="14">
        <v>0.28972870693542102</v>
      </c>
      <c r="Q2831" t="str">
        <f t="shared" si="88"/>
        <v>01-09</v>
      </c>
      <c r="R2831" t="str">
        <f t="shared" si="89"/>
        <v>[am530wpaGvr]|01-09|Female|PLHIV_Attend.T_1|CY2023Q3</v>
      </c>
    </row>
    <row r="2832" spans="4:18" x14ac:dyDescent="0.2">
      <c r="D2832" t="s">
        <v>71</v>
      </c>
      <c r="E2832" t="s">
        <v>72</v>
      </c>
      <c r="F2832" t="s">
        <v>73</v>
      </c>
      <c r="G2832" t="s">
        <v>149</v>
      </c>
      <c r="H2832" t="s">
        <v>149</v>
      </c>
      <c r="I2832" t="s">
        <v>35</v>
      </c>
      <c r="J2832" t="s">
        <v>36</v>
      </c>
      <c r="K2832" t="s">
        <v>29</v>
      </c>
      <c r="L2832" t="s">
        <v>30</v>
      </c>
      <c r="M2832" t="s">
        <v>139</v>
      </c>
      <c r="N2832">
        <v>612</v>
      </c>
      <c r="O2832" s="14">
        <v>0.53438472701236595</v>
      </c>
      <c r="P2832" s="14">
        <v>0.28972870693542102</v>
      </c>
      <c r="Q2832" t="str">
        <f t="shared" si="88"/>
        <v>10-14</v>
      </c>
      <c r="R2832" t="str">
        <f t="shared" si="89"/>
        <v>[am530wpaGvr]|10-14|Female|PLHIV_Attend.T_1|CY2023Q3</v>
      </c>
    </row>
    <row r="2833" spans="4:18" x14ac:dyDescent="0.2">
      <c r="D2833" t="s">
        <v>71</v>
      </c>
      <c r="E2833" t="s">
        <v>72</v>
      </c>
      <c r="F2833" t="s">
        <v>73</v>
      </c>
      <c r="G2833" t="s">
        <v>149</v>
      </c>
      <c r="H2833" t="s">
        <v>149</v>
      </c>
      <c r="I2833" t="s">
        <v>37</v>
      </c>
      <c r="J2833" t="s">
        <v>38</v>
      </c>
      <c r="K2833" t="s">
        <v>29</v>
      </c>
      <c r="L2833" t="s">
        <v>30</v>
      </c>
      <c r="M2833" t="s">
        <v>139</v>
      </c>
      <c r="N2833">
        <v>1936</v>
      </c>
      <c r="O2833" s="14">
        <v>0.957192523172125</v>
      </c>
      <c r="P2833" s="14">
        <v>0.28972870693542102</v>
      </c>
      <c r="Q2833" t="str">
        <f t="shared" si="88"/>
        <v>15-24</v>
      </c>
      <c r="R2833" t="str">
        <f t="shared" si="89"/>
        <v>[am530wpaGvr]|15-24|Female|PLHIV_Attend.T_1|CY2023Q3</v>
      </c>
    </row>
    <row r="2834" spans="4:18" x14ac:dyDescent="0.2">
      <c r="D2834" t="s">
        <v>71</v>
      </c>
      <c r="E2834" t="s">
        <v>72</v>
      </c>
      <c r="F2834" t="s">
        <v>73</v>
      </c>
      <c r="G2834" t="s">
        <v>149</v>
      </c>
      <c r="H2834" t="s">
        <v>149</v>
      </c>
      <c r="I2834" t="s">
        <v>40</v>
      </c>
      <c r="J2834" t="s">
        <v>41</v>
      </c>
      <c r="K2834" t="s">
        <v>29</v>
      </c>
      <c r="L2834" t="s">
        <v>30</v>
      </c>
      <c r="M2834" t="s">
        <v>139</v>
      </c>
      <c r="N2834">
        <v>695</v>
      </c>
      <c r="O2834" s="14">
        <v>0.14173831208609</v>
      </c>
      <c r="P2834" s="14">
        <v>0.28972870693542102</v>
      </c>
      <c r="Q2834" t="str">
        <f t="shared" si="88"/>
        <v>25-34</v>
      </c>
      <c r="R2834" t="str">
        <f t="shared" si="89"/>
        <v>[am530wpaGvr]|25-34|Female|PLHIV_Attend.T_1|CY2023Q3</v>
      </c>
    </row>
    <row r="2835" spans="4:18" x14ac:dyDescent="0.2">
      <c r="D2835" t="s">
        <v>71</v>
      </c>
      <c r="E2835" t="s">
        <v>72</v>
      </c>
      <c r="F2835" t="s">
        <v>73</v>
      </c>
      <c r="G2835" t="s">
        <v>149</v>
      </c>
      <c r="H2835" t="s">
        <v>149</v>
      </c>
      <c r="I2835" t="s">
        <v>42</v>
      </c>
      <c r="J2835" t="s">
        <v>43</v>
      </c>
      <c r="K2835" t="s">
        <v>29</v>
      </c>
      <c r="L2835" t="s">
        <v>30</v>
      </c>
      <c r="M2835" t="s">
        <v>139</v>
      </c>
      <c r="N2835">
        <v>1492</v>
      </c>
      <c r="O2835" s="14">
        <v>0.49141097930260003</v>
      </c>
      <c r="P2835" s="14">
        <v>0.28972870693542102</v>
      </c>
      <c r="Q2835" t="str">
        <f t="shared" si="88"/>
        <v>35-49</v>
      </c>
      <c r="R2835" t="str">
        <f t="shared" si="89"/>
        <v>[am530wpaGvr]|35-49|Female|PLHIV_Attend.T_1|CY2023Q3</v>
      </c>
    </row>
    <row r="2836" spans="4:18" x14ac:dyDescent="0.2">
      <c r="D2836" t="s">
        <v>71</v>
      </c>
      <c r="E2836" t="s">
        <v>72</v>
      </c>
      <c r="F2836" t="s">
        <v>73</v>
      </c>
      <c r="G2836" t="s">
        <v>149</v>
      </c>
      <c r="H2836" t="s">
        <v>149</v>
      </c>
      <c r="I2836" t="s">
        <v>44</v>
      </c>
      <c r="J2836" t="s">
        <v>45</v>
      </c>
      <c r="K2836" t="s">
        <v>29</v>
      </c>
      <c r="L2836" t="s">
        <v>30</v>
      </c>
      <c r="M2836" t="s">
        <v>139</v>
      </c>
      <c r="N2836">
        <v>539</v>
      </c>
      <c r="O2836" s="14">
        <v>0.427683017216623</v>
      </c>
      <c r="P2836" s="14">
        <v>0.28972870693542102</v>
      </c>
      <c r="Q2836" t="str">
        <f t="shared" si="88"/>
        <v>50+</v>
      </c>
      <c r="R2836" t="str">
        <f t="shared" si="89"/>
        <v>[am530wpaGvr]|50+|Female|PLHIV_Attend.T_1|CY2023Q3</v>
      </c>
    </row>
    <row r="2837" spans="4:18" x14ac:dyDescent="0.2">
      <c r="D2837" t="s">
        <v>71</v>
      </c>
      <c r="E2837" t="s">
        <v>72</v>
      </c>
      <c r="F2837" t="s">
        <v>73</v>
      </c>
      <c r="G2837" t="s">
        <v>149</v>
      </c>
      <c r="H2837" t="s">
        <v>149</v>
      </c>
      <c r="I2837" t="s">
        <v>27</v>
      </c>
      <c r="J2837" t="s">
        <v>28</v>
      </c>
      <c r="K2837" t="s">
        <v>47</v>
      </c>
      <c r="L2837" t="s">
        <v>48</v>
      </c>
      <c r="M2837" t="s">
        <v>139</v>
      </c>
      <c r="N2837">
        <v>961</v>
      </c>
      <c r="O2837" s="14">
        <v>0.45949641172774103</v>
      </c>
      <c r="P2837" s="14">
        <v>0.28972870693542102</v>
      </c>
      <c r="Q2837" t="str">
        <f t="shared" si="88"/>
        <v>&lt;01</v>
      </c>
      <c r="R2837" t="str">
        <f t="shared" si="89"/>
        <v>[am530wpaGvr]|&lt;01|Male|PLHIV_Attend.T_1|CY2023Q3</v>
      </c>
    </row>
    <row r="2838" spans="4:18" x14ac:dyDescent="0.2">
      <c r="D2838" t="s">
        <v>71</v>
      </c>
      <c r="E2838" t="s">
        <v>72</v>
      </c>
      <c r="F2838" t="s">
        <v>73</v>
      </c>
      <c r="G2838" t="s">
        <v>149</v>
      </c>
      <c r="H2838" t="s">
        <v>149</v>
      </c>
      <c r="I2838" t="s">
        <v>32</v>
      </c>
      <c r="J2838" t="s">
        <v>33</v>
      </c>
      <c r="K2838" t="s">
        <v>47</v>
      </c>
      <c r="L2838" t="s">
        <v>48</v>
      </c>
      <c r="M2838" t="s">
        <v>139</v>
      </c>
      <c r="N2838">
        <v>1271</v>
      </c>
      <c r="O2838" s="14">
        <v>0.41767779039219</v>
      </c>
      <c r="P2838" s="14">
        <v>0.28972870693542102</v>
      </c>
      <c r="Q2838" t="str">
        <f t="shared" si="88"/>
        <v>01-09</v>
      </c>
      <c r="R2838" t="str">
        <f t="shared" si="89"/>
        <v>[am530wpaGvr]|01-09|Male|PLHIV_Attend.T_1|CY2023Q3</v>
      </c>
    </row>
    <row r="2839" spans="4:18" x14ac:dyDescent="0.2">
      <c r="D2839" t="s">
        <v>71</v>
      </c>
      <c r="E2839" t="s">
        <v>72</v>
      </c>
      <c r="F2839" t="s">
        <v>73</v>
      </c>
      <c r="G2839" t="s">
        <v>149</v>
      </c>
      <c r="H2839" t="s">
        <v>149</v>
      </c>
      <c r="I2839" t="s">
        <v>35</v>
      </c>
      <c r="J2839" t="s">
        <v>36</v>
      </c>
      <c r="K2839" t="s">
        <v>47</v>
      </c>
      <c r="L2839" t="s">
        <v>48</v>
      </c>
      <c r="M2839" t="s">
        <v>139</v>
      </c>
      <c r="N2839">
        <v>829</v>
      </c>
      <c r="O2839" s="14">
        <v>0.53041733172722205</v>
      </c>
      <c r="P2839" s="14">
        <v>0.28972870693542102</v>
      </c>
      <c r="Q2839" t="str">
        <f t="shared" si="88"/>
        <v>10-14</v>
      </c>
      <c r="R2839" t="str">
        <f t="shared" si="89"/>
        <v>[am530wpaGvr]|10-14|Male|PLHIV_Attend.T_1|CY2023Q3</v>
      </c>
    </row>
    <row r="2840" spans="4:18" x14ac:dyDescent="0.2">
      <c r="D2840" t="s">
        <v>71</v>
      </c>
      <c r="E2840" t="s">
        <v>72</v>
      </c>
      <c r="F2840" t="s">
        <v>73</v>
      </c>
      <c r="G2840" t="s">
        <v>149</v>
      </c>
      <c r="H2840" t="s">
        <v>149</v>
      </c>
      <c r="I2840" t="s">
        <v>37</v>
      </c>
      <c r="J2840" t="s">
        <v>38</v>
      </c>
      <c r="K2840" t="s">
        <v>47</v>
      </c>
      <c r="L2840" t="s">
        <v>48</v>
      </c>
      <c r="M2840" t="s">
        <v>139</v>
      </c>
      <c r="N2840">
        <v>815</v>
      </c>
      <c r="O2840" s="14">
        <v>0.135953343007714</v>
      </c>
      <c r="P2840" s="14">
        <v>0.28972870693542102</v>
      </c>
      <c r="Q2840" t="str">
        <f t="shared" si="88"/>
        <v>15-24</v>
      </c>
      <c r="R2840" t="str">
        <f t="shared" si="89"/>
        <v>[am530wpaGvr]|15-24|Male|PLHIV_Attend.T_1|CY2023Q3</v>
      </c>
    </row>
    <row r="2841" spans="4:18" x14ac:dyDescent="0.2">
      <c r="D2841" t="s">
        <v>71</v>
      </c>
      <c r="E2841" t="s">
        <v>72</v>
      </c>
      <c r="F2841" t="s">
        <v>73</v>
      </c>
      <c r="G2841" t="s">
        <v>149</v>
      </c>
      <c r="H2841" t="s">
        <v>149</v>
      </c>
      <c r="I2841" t="s">
        <v>40</v>
      </c>
      <c r="J2841" t="s">
        <v>41</v>
      </c>
      <c r="K2841" t="s">
        <v>47</v>
      </c>
      <c r="L2841" t="s">
        <v>48</v>
      </c>
      <c r="M2841" t="s">
        <v>139</v>
      </c>
      <c r="N2841">
        <v>1269</v>
      </c>
      <c r="O2841" s="14">
        <v>0.65276163397356901</v>
      </c>
      <c r="P2841" s="14">
        <v>0.28972870693542102</v>
      </c>
      <c r="Q2841" t="str">
        <f t="shared" si="88"/>
        <v>25-34</v>
      </c>
      <c r="R2841" t="str">
        <f t="shared" si="89"/>
        <v>[am530wpaGvr]|25-34|Male|PLHIV_Attend.T_1|CY2023Q3</v>
      </c>
    </row>
    <row r="2842" spans="4:18" x14ac:dyDescent="0.2">
      <c r="D2842" t="s">
        <v>71</v>
      </c>
      <c r="E2842" t="s">
        <v>72</v>
      </c>
      <c r="F2842" t="s">
        <v>73</v>
      </c>
      <c r="G2842" t="s">
        <v>149</v>
      </c>
      <c r="H2842" t="s">
        <v>149</v>
      </c>
      <c r="I2842" t="s">
        <v>42</v>
      </c>
      <c r="J2842" t="s">
        <v>43</v>
      </c>
      <c r="K2842" t="s">
        <v>47</v>
      </c>
      <c r="L2842" t="s">
        <v>48</v>
      </c>
      <c r="M2842" t="s">
        <v>139</v>
      </c>
      <c r="N2842">
        <v>920</v>
      </c>
      <c r="O2842" s="14">
        <v>0.102767721284181</v>
      </c>
      <c r="P2842" s="14">
        <v>0.28972870693542102</v>
      </c>
      <c r="Q2842" t="str">
        <f t="shared" si="88"/>
        <v>35-49</v>
      </c>
      <c r="R2842" t="str">
        <f t="shared" si="89"/>
        <v>[am530wpaGvr]|35-49|Male|PLHIV_Attend.T_1|CY2023Q3</v>
      </c>
    </row>
    <row r="2843" spans="4:18" x14ac:dyDescent="0.2">
      <c r="D2843" t="s">
        <v>71</v>
      </c>
      <c r="E2843" t="s">
        <v>72</v>
      </c>
      <c r="F2843" t="s">
        <v>73</v>
      </c>
      <c r="G2843" t="s">
        <v>149</v>
      </c>
      <c r="H2843" t="s">
        <v>149</v>
      </c>
      <c r="I2843" t="s">
        <v>44</v>
      </c>
      <c r="J2843" t="s">
        <v>45</v>
      </c>
      <c r="K2843" t="s">
        <v>47</v>
      </c>
      <c r="L2843" t="s">
        <v>48</v>
      </c>
      <c r="M2843" t="s">
        <v>139</v>
      </c>
      <c r="N2843">
        <v>673</v>
      </c>
      <c r="O2843" s="14">
        <v>5.2358878310769796E-3</v>
      </c>
      <c r="P2843" s="14">
        <v>0.28972870693542102</v>
      </c>
      <c r="Q2843" t="str">
        <f t="shared" si="88"/>
        <v>50+</v>
      </c>
      <c r="R2843" t="str">
        <f t="shared" si="89"/>
        <v>[am530wpaGvr]|50+|Male|PLHIV_Attend.T_1|CY2023Q3</v>
      </c>
    </row>
    <row r="2844" spans="4:18" x14ac:dyDescent="0.2">
      <c r="D2844" t="s">
        <v>74</v>
      </c>
      <c r="E2844" t="s">
        <v>75</v>
      </c>
      <c r="F2844" t="s">
        <v>76</v>
      </c>
      <c r="G2844" t="s">
        <v>149</v>
      </c>
      <c r="H2844" t="s">
        <v>149</v>
      </c>
      <c r="I2844" t="s">
        <v>27</v>
      </c>
      <c r="J2844" t="s">
        <v>28</v>
      </c>
      <c r="K2844" t="s">
        <v>29</v>
      </c>
      <c r="L2844" t="s">
        <v>30</v>
      </c>
      <c r="M2844" t="s">
        <v>139</v>
      </c>
      <c r="N2844">
        <v>854</v>
      </c>
      <c r="O2844" s="14">
        <v>0.48214151989668602</v>
      </c>
      <c r="P2844" s="14">
        <v>0.30305550759658201</v>
      </c>
      <c r="Q2844" t="str">
        <f t="shared" si="88"/>
        <v>&lt;01</v>
      </c>
      <c r="R2844" t="str">
        <f t="shared" si="89"/>
        <v>[lLDyBx5XyUi]|&lt;01|Female|PLHIV_Attend.T_1|CY2023Q3</v>
      </c>
    </row>
    <row r="2845" spans="4:18" x14ac:dyDescent="0.2">
      <c r="D2845" t="s">
        <v>74</v>
      </c>
      <c r="E2845" t="s">
        <v>75</v>
      </c>
      <c r="F2845" t="s">
        <v>76</v>
      </c>
      <c r="G2845" t="s">
        <v>149</v>
      </c>
      <c r="H2845" t="s">
        <v>149</v>
      </c>
      <c r="I2845" t="s">
        <v>32</v>
      </c>
      <c r="J2845" t="s">
        <v>33</v>
      </c>
      <c r="K2845" t="s">
        <v>29</v>
      </c>
      <c r="L2845" t="s">
        <v>30</v>
      </c>
      <c r="M2845" t="s">
        <v>139</v>
      </c>
      <c r="N2845">
        <v>1631</v>
      </c>
      <c r="O2845" s="14">
        <v>0.62377831316553101</v>
      </c>
      <c r="P2845" s="14">
        <v>0.30305550759658201</v>
      </c>
      <c r="Q2845" t="str">
        <f t="shared" si="88"/>
        <v>01-09</v>
      </c>
      <c r="R2845" t="str">
        <f t="shared" si="89"/>
        <v>[lLDyBx5XyUi]|01-09|Female|PLHIV_Attend.T_1|CY2023Q3</v>
      </c>
    </row>
    <row r="2846" spans="4:18" x14ac:dyDescent="0.2">
      <c r="D2846" t="s">
        <v>74</v>
      </c>
      <c r="E2846" t="s">
        <v>75</v>
      </c>
      <c r="F2846" t="s">
        <v>76</v>
      </c>
      <c r="G2846" t="s">
        <v>149</v>
      </c>
      <c r="H2846" t="s">
        <v>149</v>
      </c>
      <c r="I2846" t="s">
        <v>35</v>
      </c>
      <c r="J2846" t="s">
        <v>36</v>
      </c>
      <c r="K2846" t="s">
        <v>29</v>
      </c>
      <c r="L2846" t="s">
        <v>30</v>
      </c>
      <c r="M2846" t="s">
        <v>139</v>
      </c>
      <c r="N2846">
        <v>1956</v>
      </c>
      <c r="O2846" s="14">
        <v>0.99736499413847901</v>
      </c>
      <c r="P2846" s="14">
        <v>0.30305550759658201</v>
      </c>
      <c r="Q2846" t="str">
        <f t="shared" si="88"/>
        <v>10-14</v>
      </c>
      <c r="R2846" t="str">
        <f t="shared" si="89"/>
        <v>[lLDyBx5XyUi]|10-14|Female|PLHIV_Attend.T_1|CY2023Q3</v>
      </c>
    </row>
    <row r="2847" spans="4:18" x14ac:dyDescent="0.2">
      <c r="D2847" t="s">
        <v>74</v>
      </c>
      <c r="E2847" t="s">
        <v>75</v>
      </c>
      <c r="F2847" t="s">
        <v>76</v>
      </c>
      <c r="G2847" t="s">
        <v>149</v>
      </c>
      <c r="H2847" t="s">
        <v>149</v>
      </c>
      <c r="I2847" t="s">
        <v>37</v>
      </c>
      <c r="J2847" t="s">
        <v>38</v>
      </c>
      <c r="K2847" t="s">
        <v>29</v>
      </c>
      <c r="L2847" t="s">
        <v>30</v>
      </c>
      <c r="M2847" t="s">
        <v>139</v>
      </c>
      <c r="N2847">
        <v>732</v>
      </c>
      <c r="O2847" s="14">
        <v>0.33668470126576699</v>
      </c>
      <c r="P2847" s="14">
        <v>0.30305550759658201</v>
      </c>
      <c r="Q2847" t="str">
        <f t="shared" si="88"/>
        <v>15-24</v>
      </c>
      <c r="R2847" t="str">
        <f t="shared" si="89"/>
        <v>[lLDyBx5XyUi]|15-24|Female|PLHIV_Attend.T_1|CY2023Q3</v>
      </c>
    </row>
    <row r="2848" spans="4:18" x14ac:dyDescent="0.2">
      <c r="D2848" t="s">
        <v>74</v>
      </c>
      <c r="E2848" t="s">
        <v>75</v>
      </c>
      <c r="F2848" t="s">
        <v>76</v>
      </c>
      <c r="G2848" t="s">
        <v>149</v>
      </c>
      <c r="H2848" t="s">
        <v>149</v>
      </c>
      <c r="I2848" t="s">
        <v>40</v>
      </c>
      <c r="J2848" t="s">
        <v>41</v>
      </c>
      <c r="K2848" t="s">
        <v>29</v>
      </c>
      <c r="L2848" t="s">
        <v>30</v>
      </c>
      <c r="M2848" t="s">
        <v>139</v>
      </c>
      <c r="N2848">
        <v>1334</v>
      </c>
      <c r="O2848" s="14">
        <v>0.67142296326346695</v>
      </c>
      <c r="P2848" s="14">
        <v>0.30305550759658201</v>
      </c>
      <c r="Q2848" t="str">
        <f t="shared" si="88"/>
        <v>25-34</v>
      </c>
      <c r="R2848" t="str">
        <f t="shared" si="89"/>
        <v>[lLDyBx5XyUi]|25-34|Female|PLHIV_Attend.T_1|CY2023Q3</v>
      </c>
    </row>
    <row r="2849" spans="4:18" x14ac:dyDescent="0.2">
      <c r="D2849" t="s">
        <v>74</v>
      </c>
      <c r="E2849" t="s">
        <v>75</v>
      </c>
      <c r="F2849" t="s">
        <v>76</v>
      </c>
      <c r="G2849" t="s">
        <v>149</v>
      </c>
      <c r="H2849" t="s">
        <v>149</v>
      </c>
      <c r="I2849" t="s">
        <v>42</v>
      </c>
      <c r="J2849" t="s">
        <v>43</v>
      </c>
      <c r="K2849" t="s">
        <v>29</v>
      </c>
      <c r="L2849" t="s">
        <v>30</v>
      </c>
      <c r="M2849" t="s">
        <v>139</v>
      </c>
      <c r="N2849">
        <v>1303</v>
      </c>
      <c r="O2849" s="14">
        <v>0.93992831557989098</v>
      </c>
      <c r="P2849" s="14">
        <v>0.30305550759658201</v>
      </c>
      <c r="Q2849" t="str">
        <f t="shared" si="88"/>
        <v>35-49</v>
      </c>
      <c r="R2849" t="str">
        <f t="shared" si="89"/>
        <v>[lLDyBx5XyUi]|35-49|Female|PLHIV_Attend.T_1|CY2023Q3</v>
      </c>
    </row>
    <row r="2850" spans="4:18" x14ac:dyDescent="0.2">
      <c r="D2850" t="s">
        <v>74</v>
      </c>
      <c r="E2850" t="s">
        <v>75</v>
      </c>
      <c r="F2850" t="s">
        <v>76</v>
      </c>
      <c r="G2850" t="s">
        <v>149</v>
      </c>
      <c r="H2850" t="s">
        <v>149</v>
      </c>
      <c r="I2850" t="s">
        <v>44</v>
      </c>
      <c r="J2850" t="s">
        <v>45</v>
      </c>
      <c r="K2850" t="s">
        <v>29</v>
      </c>
      <c r="L2850" t="s">
        <v>30</v>
      </c>
      <c r="M2850" t="s">
        <v>139</v>
      </c>
      <c r="N2850">
        <v>1425</v>
      </c>
      <c r="O2850" s="14">
        <v>0.69893194083124399</v>
      </c>
      <c r="P2850" s="14">
        <v>0.30305550759658201</v>
      </c>
      <c r="Q2850" t="str">
        <f t="shared" si="88"/>
        <v>50+</v>
      </c>
      <c r="R2850" t="str">
        <f t="shared" si="89"/>
        <v>[lLDyBx5XyUi]|50+|Female|PLHIV_Attend.T_1|CY2023Q3</v>
      </c>
    </row>
    <row r="2851" spans="4:18" x14ac:dyDescent="0.2">
      <c r="D2851" t="s">
        <v>74</v>
      </c>
      <c r="E2851" t="s">
        <v>75</v>
      </c>
      <c r="F2851" t="s">
        <v>76</v>
      </c>
      <c r="G2851" t="s">
        <v>149</v>
      </c>
      <c r="H2851" t="s">
        <v>149</v>
      </c>
      <c r="I2851" t="s">
        <v>27</v>
      </c>
      <c r="J2851" t="s">
        <v>28</v>
      </c>
      <c r="K2851" t="s">
        <v>47</v>
      </c>
      <c r="L2851" t="s">
        <v>48</v>
      </c>
      <c r="M2851" t="s">
        <v>139</v>
      </c>
      <c r="N2851">
        <v>1989</v>
      </c>
      <c r="O2851" s="14">
        <v>0.471276819938794</v>
      </c>
      <c r="P2851" s="14">
        <v>0.30305550759658201</v>
      </c>
      <c r="Q2851" t="str">
        <f t="shared" si="88"/>
        <v>&lt;01</v>
      </c>
      <c r="R2851" t="str">
        <f t="shared" si="89"/>
        <v>[lLDyBx5XyUi]|&lt;01|Male|PLHIV_Attend.T_1|CY2023Q3</v>
      </c>
    </row>
    <row r="2852" spans="4:18" x14ac:dyDescent="0.2">
      <c r="D2852" t="s">
        <v>74</v>
      </c>
      <c r="E2852" t="s">
        <v>75</v>
      </c>
      <c r="F2852" t="s">
        <v>76</v>
      </c>
      <c r="G2852" t="s">
        <v>149</v>
      </c>
      <c r="H2852" t="s">
        <v>149</v>
      </c>
      <c r="I2852" t="s">
        <v>32</v>
      </c>
      <c r="J2852" t="s">
        <v>33</v>
      </c>
      <c r="K2852" t="s">
        <v>47</v>
      </c>
      <c r="L2852" t="s">
        <v>48</v>
      </c>
      <c r="M2852" t="s">
        <v>139</v>
      </c>
      <c r="N2852">
        <v>1748</v>
      </c>
      <c r="O2852" s="14">
        <v>0.52628460153937295</v>
      </c>
      <c r="P2852" s="14">
        <v>0.30305550759658201</v>
      </c>
      <c r="Q2852" t="str">
        <f t="shared" si="88"/>
        <v>01-09</v>
      </c>
      <c r="R2852" t="str">
        <f t="shared" si="89"/>
        <v>[lLDyBx5XyUi]|01-09|Male|PLHIV_Attend.T_1|CY2023Q3</v>
      </c>
    </row>
    <row r="2853" spans="4:18" x14ac:dyDescent="0.2">
      <c r="D2853" t="s">
        <v>74</v>
      </c>
      <c r="E2853" t="s">
        <v>75</v>
      </c>
      <c r="F2853" t="s">
        <v>76</v>
      </c>
      <c r="G2853" t="s">
        <v>149</v>
      </c>
      <c r="H2853" t="s">
        <v>149</v>
      </c>
      <c r="I2853" t="s">
        <v>35</v>
      </c>
      <c r="J2853" t="s">
        <v>36</v>
      </c>
      <c r="K2853" t="s">
        <v>47</v>
      </c>
      <c r="L2853" t="s">
        <v>48</v>
      </c>
      <c r="M2853" t="s">
        <v>139</v>
      </c>
      <c r="N2853">
        <v>1623</v>
      </c>
      <c r="O2853" s="14">
        <v>0.39177751028910301</v>
      </c>
      <c r="P2853" s="14">
        <v>0.30305550759658201</v>
      </c>
      <c r="Q2853" t="str">
        <f t="shared" si="88"/>
        <v>10-14</v>
      </c>
      <c r="R2853" t="str">
        <f t="shared" si="89"/>
        <v>[lLDyBx5XyUi]|10-14|Male|PLHIV_Attend.T_1|CY2023Q3</v>
      </c>
    </row>
    <row r="2854" spans="4:18" x14ac:dyDescent="0.2">
      <c r="D2854" t="s">
        <v>74</v>
      </c>
      <c r="E2854" t="s">
        <v>75</v>
      </c>
      <c r="F2854" t="s">
        <v>76</v>
      </c>
      <c r="G2854" t="s">
        <v>149</v>
      </c>
      <c r="H2854" t="s">
        <v>149</v>
      </c>
      <c r="I2854" t="s">
        <v>37</v>
      </c>
      <c r="J2854" t="s">
        <v>38</v>
      </c>
      <c r="K2854" t="s">
        <v>47</v>
      </c>
      <c r="L2854" t="s">
        <v>48</v>
      </c>
      <c r="M2854" t="s">
        <v>139</v>
      </c>
      <c r="N2854">
        <v>1026</v>
      </c>
      <c r="O2854" s="14">
        <v>0.485700845252723</v>
      </c>
      <c r="P2854" s="14">
        <v>0.30305550759658201</v>
      </c>
      <c r="Q2854" t="str">
        <f t="shared" si="88"/>
        <v>15-24</v>
      </c>
      <c r="R2854" t="str">
        <f t="shared" si="89"/>
        <v>[lLDyBx5XyUi]|15-24|Male|PLHIV_Attend.T_1|CY2023Q3</v>
      </c>
    </row>
    <row r="2855" spans="4:18" x14ac:dyDescent="0.2">
      <c r="D2855" t="s">
        <v>74</v>
      </c>
      <c r="E2855" t="s">
        <v>75</v>
      </c>
      <c r="F2855" t="s">
        <v>76</v>
      </c>
      <c r="G2855" t="s">
        <v>149</v>
      </c>
      <c r="H2855" t="s">
        <v>149</v>
      </c>
      <c r="I2855" t="s">
        <v>40</v>
      </c>
      <c r="J2855" t="s">
        <v>41</v>
      </c>
      <c r="K2855" t="s">
        <v>47</v>
      </c>
      <c r="L2855" t="s">
        <v>48</v>
      </c>
      <c r="M2855" t="s">
        <v>139</v>
      </c>
      <c r="N2855">
        <v>1014</v>
      </c>
      <c r="O2855" s="14">
        <v>0.638451091013849</v>
      </c>
      <c r="P2855" s="14">
        <v>0.30305550759658201</v>
      </c>
      <c r="Q2855" t="str">
        <f t="shared" si="88"/>
        <v>25-34</v>
      </c>
      <c r="R2855" t="str">
        <f t="shared" si="89"/>
        <v>[lLDyBx5XyUi]|25-34|Male|PLHIV_Attend.T_1|CY2023Q3</v>
      </c>
    </row>
    <row r="2856" spans="4:18" x14ac:dyDescent="0.2">
      <c r="D2856" t="s">
        <v>74</v>
      </c>
      <c r="E2856" t="s">
        <v>75</v>
      </c>
      <c r="F2856" t="s">
        <v>76</v>
      </c>
      <c r="G2856" t="s">
        <v>149</v>
      </c>
      <c r="H2856" t="s">
        <v>149</v>
      </c>
      <c r="I2856" t="s">
        <v>42</v>
      </c>
      <c r="J2856" t="s">
        <v>43</v>
      </c>
      <c r="K2856" t="s">
        <v>47</v>
      </c>
      <c r="L2856" t="s">
        <v>48</v>
      </c>
      <c r="M2856" t="s">
        <v>139</v>
      </c>
      <c r="N2856">
        <v>1163</v>
      </c>
      <c r="O2856" s="14">
        <v>0.90356887434609201</v>
      </c>
      <c r="P2856" s="14">
        <v>0.30305550759658201</v>
      </c>
      <c r="Q2856" t="str">
        <f t="shared" si="88"/>
        <v>35-49</v>
      </c>
      <c r="R2856" t="str">
        <f t="shared" si="89"/>
        <v>[lLDyBx5XyUi]|35-49|Male|PLHIV_Attend.T_1|CY2023Q3</v>
      </c>
    </row>
    <row r="2857" spans="4:18" x14ac:dyDescent="0.2">
      <c r="D2857" t="s">
        <v>74</v>
      </c>
      <c r="E2857" t="s">
        <v>75</v>
      </c>
      <c r="F2857" t="s">
        <v>76</v>
      </c>
      <c r="G2857" t="s">
        <v>149</v>
      </c>
      <c r="H2857" t="s">
        <v>149</v>
      </c>
      <c r="I2857" t="s">
        <v>44</v>
      </c>
      <c r="J2857" t="s">
        <v>45</v>
      </c>
      <c r="K2857" t="s">
        <v>47</v>
      </c>
      <c r="L2857" t="s">
        <v>48</v>
      </c>
      <c r="M2857" t="s">
        <v>139</v>
      </c>
      <c r="N2857">
        <v>875</v>
      </c>
      <c r="O2857" s="14">
        <v>0.73683336796238996</v>
      </c>
      <c r="P2857" s="14">
        <v>0.30305550759658201</v>
      </c>
      <c r="Q2857" t="str">
        <f t="shared" si="88"/>
        <v>50+</v>
      </c>
      <c r="R2857" t="str">
        <f t="shared" si="89"/>
        <v>[lLDyBx5XyUi]|50+|Male|PLHIV_Attend.T_1|CY2023Q3</v>
      </c>
    </row>
    <row r="2858" spans="4:18" x14ac:dyDescent="0.2">
      <c r="D2858" t="s">
        <v>77</v>
      </c>
      <c r="E2858" t="s">
        <v>78</v>
      </c>
      <c r="F2858" t="s">
        <v>79</v>
      </c>
      <c r="G2858" t="s">
        <v>149</v>
      </c>
      <c r="H2858" t="s">
        <v>149</v>
      </c>
      <c r="I2858" t="s">
        <v>27</v>
      </c>
      <c r="J2858" t="s">
        <v>28</v>
      </c>
      <c r="K2858" t="s">
        <v>29</v>
      </c>
      <c r="L2858" t="s">
        <v>30</v>
      </c>
      <c r="M2858" t="s">
        <v>139</v>
      </c>
      <c r="N2858">
        <v>823</v>
      </c>
      <c r="O2858" s="14">
        <v>0.90467967605218302</v>
      </c>
      <c r="P2858" s="14">
        <v>0.83159798220731296</v>
      </c>
      <c r="Q2858" t="str">
        <f t="shared" si="88"/>
        <v>&lt;01</v>
      </c>
      <c r="R2858" t="str">
        <f t="shared" si="89"/>
        <v>[TYnMSwzko3z]|&lt;01|Female|PLHIV_Attend.T_1|CY2023Q3</v>
      </c>
    </row>
    <row r="2859" spans="4:18" x14ac:dyDescent="0.2">
      <c r="D2859" t="s">
        <v>77</v>
      </c>
      <c r="E2859" t="s">
        <v>78</v>
      </c>
      <c r="F2859" t="s">
        <v>79</v>
      </c>
      <c r="G2859" t="s">
        <v>149</v>
      </c>
      <c r="H2859" t="s">
        <v>149</v>
      </c>
      <c r="I2859" t="s">
        <v>32</v>
      </c>
      <c r="J2859" t="s">
        <v>33</v>
      </c>
      <c r="K2859" t="s">
        <v>29</v>
      </c>
      <c r="L2859" t="s">
        <v>30</v>
      </c>
      <c r="M2859" t="s">
        <v>139</v>
      </c>
      <c r="N2859">
        <v>967</v>
      </c>
      <c r="O2859" s="14">
        <v>0.97470797412097498</v>
      </c>
      <c r="P2859" s="14">
        <v>0.83159798220731296</v>
      </c>
      <c r="Q2859" t="str">
        <f t="shared" si="88"/>
        <v>01-09</v>
      </c>
      <c r="R2859" t="str">
        <f t="shared" si="89"/>
        <v>[TYnMSwzko3z]|01-09|Female|PLHIV_Attend.T_1|CY2023Q3</v>
      </c>
    </row>
    <row r="2860" spans="4:18" x14ac:dyDescent="0.2">
      <c r="D2860" t="s">
        <v>77</v>
      </c>
      <c r="E2860" t="s">
        <v>78</v>
      </c>
      <c r="F2860" t="s">
        <v>79</v>
      </c>
      <c r="G2860" t="s">
        <v>149</v>
      </c>
      <c r="H2860" t="s">
        <v>149</v>
      </c>
      <c r="I2860" t="s">
        <v>35</v>
      </c>
      <c r="J2860" t="s">
        <v>36</v>
      </c>
      <c r="K2860" t="s">
        <v>29</v>
      </c>
      <c r="L2860" t="s">
        <v>30</v>
      </c>
      <c r="M2860" t="s">
        <v>139</v>
      </c>
      <c r="N2860">
        <v>1504</v>
      </c>
      <c r="O2860" s="14">
        <v>0.63861706806346796</v>
      </c>
      <c r="P2860" s="14">
        <v>0.83159798220731296</v>
      </c>
      <c r="Q2860" t="str">
        <f t="shared" si="88"/>
        <v>10-14</v>
      </c>
      <c r="R2860" t="str">
        <f t="shared" si="89"/>
        <v>[TYnMSwzko3z]|10-14|Female|PLHIV_Attend.T_1|CY2023Q3</v>
      </c>
    </row>
    <row r="2861" spans="4:18" x14ac:dyDescent="0.2">
      <c r="D2861" t="s">
        <v>77</v>
      </c>
      <c r="E2861" t="s">
        <v>78</v>
      </c>
      <c r="F2861" t="s">
        <v>79</v>
      </c>
      <c r="G2861" t="s">
        <v>149</v>
      </c>
      <c r="H2861" t="s">
        <v>149</v>
      </c>
      <c r="I2861" t="s">
        <v>37</v>
      </c>
      <c r="J2861" t="s">
        <v>38</v>
      </c>
      <c r="K2861" t="s">
        <v>29</v>
      </c>
      <c r="L2861" t="s">
        <v>30</v>
      </c>
      <c r="M2861" t="s">
        <v>139</v>
      </c>
      <c r="N2861">
        <v>617</v>
      </c>
      <c r="O2861" s="14">
        <v>0.47500523459166299</v>
      </c>
      <c r="P2861" s="14">
        <v>0.83159798220731296</v>
      </c>
      <c r="Q2861" t="str">
        <f t="shared" si="88"/>
        <v>15-24</v>
      </c>
      <c r="R2861" t="str">
        <f t="shared" si="89"/>
        <v>[TYnMSwzko3z]|15-24|Female|PLHIV_Attend.T_1|CY2023Q3</v>
      </c>
    </row>
    <row r="2862" spans="4:18" x14ac:dyDescent="0.2">
      <c r="D2862" t="s">
        <v>77</v>
      </c>
      <c r="E2862" t="s">
        <v>78</v>
      </c>
      <c r="F2862" t="s">
        <v>79</v>
      </c>
      <c r="G2862" t="s">
        <v>149</v>
      </c>
      <c r="H2862" t="s">
        <v>149</v>
      </c>
      <c r="I2862" t="s">
        <v>40</v>
      </c>
      <c r="J2862" t="s">
        <v>41</v>
      </c>
      <c r="K2862" t="s">
        <v>29</v>
      </c>
      <c r="L2862" t="s">
        <v>30</v>
      </c>
      <c r="M2862" t="s">
        <v>139</v>
      </c>
      <c r="N2862">
        <v>1098</v>
      </c>
      <c r="O2862" s="14">
        <v>6.0794176766648902E-2</v>
      </c>
      <c r="P2862" s="14">
        <v>0.83159798220731296</v>
      </c>
      <c r="Q2862" t="str">
        <f t="shared" si="88"/>
        <v>25-34</v>
      </c>
      <c r="R2862" t="str">
        <f t="shared" si="89"/>
        <v>[TYnMSwzko3z]|25-34|Female|PLHIV_Attend.T_1|CY2023Q3</v>
      </c>
    </row>
    <row r="2863" spans="4:18" x14ac:dyDescent="0.2">
      <c r="D2863" t="s">
        <v>77</v>
      </c>
      <c r="E2863" t="s">
        <v>78</v>
      </c>
      <c r="F2863" t="s">
        <v>79</v>
      </c>
      <c r="G2863" t="s">
        <v>149</v>
      </c>
      <c r="H2863" t="s">
        <v>149</v>
      </c>
      <c r="I2863" t="s">
        <v>42</v>
      </c>
      <c r="J2863" t="s">
        <v>43</v>
      </c>
      <c r="K2863" t="s">
        <v>29</v>
      </c>
      <c r="L2863" t="s">
        <v>30</v>
      </c>
      <c r="M2863" t="s">
        <v>139</v>
      </c>
      <c r="N2863">
        <v>1536</v>
      </c>
      <c r="O2863" s="14">
        <v>0.381900433916599</v>
      </c>
      <c r="P2863" s="14">
        <v>0.83159798220731296</v>
      </c>
      <c r="Q2863" t="str">
        <f t="shared" si="88"/>
        <v>35-49</v>
      </c>
      <c r="R2863" t="str">
        <f t="shared" si="89"/>
        <v>[TYnMSwzko3z]|35-49|Female|PLHIV_Attend.T_1|CY2023Q3</v>
      </c>
    </row>
    <row r="2864" spans="4:18" x14ac:dyDescent="0.2">
      <c r="D2864" t="s">
        <v>77</v>
      </c>
      <c r="E2864" t="s">
        <v>78</v>
      </c>
      <c r="F2864" t="s">
        <v>79</v>
      </c>
      <c r="G2864" t="s">
        <v>149</v>
      </c>
      <c r="H2864" t="s">
        <v>149</v>
      </c>
      <c r="I2864" t="s">
        <v>44</v>
      </c>
      <c r="J2864" t="s">
        <v>45</v>
      </c>
      <c r="K2864" t="s">
        <v>29</v>
      </c>
      <c r="L2864" t="s">
        <v>30</v>
      </c>
      <c r="M2864" t="s">
        <v>139</v>
      </c>
      <c r="N2864">
        <v>1265</v>
      </c>
      <c r="O2864" s="14">
        <v>0.69154503731988404</v>
      </c>
      <c r="P2864" s="14">
        <v>0.83159798220731296</v>
      </c>
      <c r="Q2864" t="str">
        <f t="shared" si="88"/>
        <v>50+</v>
      </c>
      <c r="R2864" t="str">
        <f t="shared" si="89"/>
        <v>[TYnMSwzko3z]|50+|Female|PLHIV_Attend.T_1|CY2023Q3</v>
      </c>
    </row>
    <row r="2865" spans="4:18" x14ac:dyDescent="0.2">
      <c r="D2865" t="s">
        <v>77</v>
      </c>
      <c r="E2865" t="s">
        <v>78</v>
      </c>
      <c r="F2865" t="s">
        <v>79</v>
      </c>
      <c r="G2865" t="s">
        <v>149</v>
      </c>
      <c r="H2865" t="s">
        <v>149</v>
      </c>
      <c r="I2865" t="s">
        <v>27</v>
      </c>
      <c r="J2865" t="s">
        <v>28</v>
      </c>
      <c r="K2865" t="s">
        <v>47</v>
      </c>
      <c r="L2865" t="s">
        <v>48</v>
      </c>
      <c r="M2865" t="s">
        <v>139</v>
      </c>
      <c r="N2865">
        <v>1090</v>
      </c>
      <c r="O2865" s="14">
        <v>0.397357610287145</v>
      </c>
      <c r="P2865" s="14">
        <v>0.83159798220731296</v>
      </c>
      <c r="Q2865" t="str">
        <f t="shared" si="88"/>
        <v>&lt;01</v>
      </c>
      <c r="R2865" t="str">
        <f t="shared" si="89"/>
        <v>[TYnMSwzko3z]|&lt;01|Male|PLHIV_Attend.T_1|CY2023Q3</v>
      </c>
    </row>
    <row r="2866" spans="4:18" x14ac:dyDescent="0.2">
      <c r="D2866" t="s">
        <v>77</v>
      </c>
      <c r="E2866" t="s">
        <v>78</v>
      </c>
      <c r="F2866" t="s">
        <v>79</v>
      </c>
      <c r="G2866" t="s">
        <v>149</v>
      </c>
      <c r="H2866" t="s">
        <v>149</v>
      </c>
      <c r="I2866" t="s">
        <v>32</v>
      </c>
      <c r="J2866" t="s">
        <v>33</v>
      </c>
      <c r="K2866" t="s">
        <v>47</v>
      </c>
      <c r="L2866" t="s">
        <v>48</v>
      </c>
      <c r="M2866" t="s">
        <v>139</v>
      </c>
      <c r="N2866">
        <v>989</v>
      </c>
      <c r="O2866" s="14">
        <v>0.45823525777086599</v>
      </c>
      <c r="P2866" s="14">
        <v>0.83159798220731296</v>
      </c>
      <c r="Q2866" t="str">
        <f t="shared" si="88"/>
        <v>01-09</v>
      </c>
      <c r="R2866" t="str">
        <f t="shared" si="89"/>
        <v>[TYnMSwzko3z]|01-09|Male|PLHIV_Attend.T_1|CY2023Q3</v>
      </c>
    </row>
    <row r="2867" spans="4:18" x14ac:dyDescent="0.2">
      <c r="D2867" t="s">
        <v>77</v>
      </c>
      <c r="E2867" t="s">
        <v>78</v>
      </c>
      <c r="F2867" t="s">
        <v>79</v>
      </c>
      <c r="G2867" t="s">
        <v>149</v>
      </c>
      <c r="H2867" t="s">
        <v>149</v>
      </c>
      <c r="I2867" t="s">
        <v>35</v>
      </c>
      <c r="J2867" t="s">
        <v>36</v>
      </c>
      <c r="K2867" t="s">
        <v>47</v>
      </c>
      <c r="L2867" t="s">
        <v>48</v>
      </c>
      <c r="M2867" t="s">
        <v>139</v>
      </c>
      <c r="N2867">
        <v>1285</v>
      </c>
      <c r="O2867" s="14">
        <v>0.25276281428523401</v>
      </c>
      <c r="P2867" s="14">
        <v>0.83159798220731296</v>
      </c>
      <c r="Q2867" t="str">
        <f t="shared" si="88"/>
        <v>10-14</v>
      </c>
      <c r="R2867" t="str">
        <f t="shared" si="89"/>
        <v>[TYnMSwzko3z]|10-14|Male|PLHIV_Attend.T_1|CY2023Q3</v>
      </c>
    </row>
    <row r="2868" spans="4:18" x14ac:dyDescent="0.2">
      <c r="D2868" t="s">
        <v>77</v>
      </c>
      <c r="E2868" t="s">
        <v>78</v>
      </c>
      <c r="F2868" t="s">
        <v>79</v>
      </c>
      <c r="G2868" t="s">
        <v>149</v>
      </c>
      <c r="H2868" t="s">
        <v>149</v>
      </c>
      <c r="I2868" t="s">
        <v>37</v>
      </c>
      <c r="J2868" t="s">
        <v>38</v>
      </c>
      <c r="K2868" t="s">
        <v>47</v>
      </c>
      <c r="L2868" t="s">
        <v>48</v>
      </c>
      <c r="M2868" t="s">
        <v>139</v>
      </c>
      <c r="N2868">
        <v>1933</v>
      </c>
      <c r="O2868" s="14">
        <v>0.52979762782342699</v>
      </c>
      <c r="P2868" s="14">
        <v>0.83159798220731296</v>
      </c>
      <c r="Q2868" t="str">
        <f t="shared" si="88"/>
        <v>15-24</v>
      </c>
      <c r="R2868" t="str">
        <f t="shared" si="89"/>
        <v>[TYnMSwzko3z]|15-24|Male|PLHIV_Attend.T_1|CY2023Q3</v>
      </c>
    </row>
    <row r="2869" spans="4:18" x14ac:dyDescent="0.2">
      <c r="D2869" t="s">
        <v>77</v>
      </c>
      <c r="E2869" t="s">
        <v>78</v>
      </c>
      <c r="F2869" t="s">
        <v>79</v>
      </c>
      <c r="G2869" t="s">
        <v>149</v>
      </c>
      <c r="H2869" t="s">
        <v>149</v>
      </c>
      <c r="I2869" t="s">
        <v>40</v>
      </c>
      <c r="J2869" t="s">
        <v>41</v>
      </c>
      <c r="K2869" t="s">
        <v>47</v>
      </c>
      <c r="L2869" t="s">
        <v>48</v>
      </c>
      <c r="M2869" t="s">
        <v>139</v>
      </c>
      <c r="N2869">
        <v>1766</v>
      </c>
      <c r="O2869" s="14">
        <v>0.71326487581245601</v>
      </c>
      <c r="P2869" s="14">
        <v>0.83159798220731296</v>
      </c>
      <c r="Q2869" t="str">
        <f t="shared" si="88"/>
        <v>25-34</v>
      </c>
      <c r="R2869" t="str">
        <f t="shared" si="89"/>
        <v>[TYnMSwzko3z]|25-34|Male|PLHIV_Attend.T_1|CY2023Q3</v>
      </c>
    </row>
    <row r="2870" spans="4:18" x14ac:dyDescent="0.2">
      <c r="D2870" t="s">
        <v>77</v>
      </c>
      <c r="E2870" t="s">
        <v>78</v>
      </c>
      <c r="F2870" t="s">
        <v>79</v>
      </c>
      <c r="G2870" t="s">
        <v>149</v>
      </c>
      <c r="H2870" t="s">
        <v>149</v>
      </c>
      <c r="I2870" t="s">
        <v>42</v>
      </c>
      <c r="J2870" t="s">
        <v>43</v>
      </c>
      <c r="K2870" t="s">
        <v>47</v>
      </c>
      <c r="L2870" t="s">
        <v>48</v>
      </c>
      <c r="M2870" t="s">
        <v>139</v>
      </c>
      <c r="N2870">
        <v>1829</v>
      </c>
      <c r="O2870" s="14">
        <v>0.94215365150012098</v>
      </c>
      <c r="P2870" s="14">
        <v>0.83159798220731296</v>
      </c>
      <c r="Q2870" t="str">
        <f t="shared" si="88"/>
        <v>35-49</v>
      </c>
      <c r="R2870" t="str">
        <f t="shared" si="89"/>
        <v>[TYnMSwzko3z]|35-49|Male|PLHIV_Attend.T_1|CY2023Q3</v>
      </c>
    </row>
    <row r="2871" spans="4:18" x14ac:dyDescent="0.2">
      <c r="D2871" t="s">
        <v>77</v>
      </c>
      <c r="E2871" t="s">
        <v>78</v>
      </c>
      <c r="F2871" t="s">
        <v>79</v>
      </c>
      <c r="G2871" t="s">
        <v>149</v>
      </c>
      <c r="H2871" t="s">
        <v>149</v>
      </c>
      <c r="I2871" t="s">
        <v>44</v>
      </c>
      <c r="J2871" t="s">
        <v>45</v>
      </c>
      <c r="K2871" t="s">
        <v>47</v>
      </c>
      <c r="L2871" t="s">
        <v>48</v>
      </c>
      <c r="M2871" t="s">
        <v>139</v>
      </c>
      <c r="N2871">
        <v>1877</v>
      </c>
      <c r="O2871" s="14">
        <v>0.26749338000081502</v>
      </c>
      <c r="P2871" s="14">
        <v>0.83159798220731296</v>
      </c>
      <c r="Q2871" t="str">
        <f t="shared" si="88"/>
        <v>50+</v>
      </c>
      <c r="R2871" t="str">
        <f t="shared" si="89"/>
        <v>[TYnMSwzko3z]|50+|Male|PLHIV_Attend.T_1|CY2023Q3</v>
      </c>
    </row>
    <row r="2872" spans="4:18" x14ac:dyDescent="0.2">
      <c r="D2872" t="s">
        <v>80</v>
      </c>
      <c r="E2872" t="s">
        <v>81</v>
      </c>
      <c r="F2872" t="s">
        <v>82</v>
      </c>
      <c r="G2872" t="s">
        <v>149</v>
      </c>
      <c r="H2872" t="s">
        <v>149</v>
      </c>
      <c r="I2872" t="s">
        <v>27</v>
      </c>
      <c r="J2872" t="s">
        <v>28</v>
      </c>
      <c r="K2872" t="s">
        <v>29</v>
      </c>
      <c r="L2872" t="s">
        <v>30</v>
      </c>
      <c r="M2872" t="s">
        <v>139</v>
      </c>
      <c r="N2872">
        <v>1336</v>
      </c>
      <c r="O2872" s="14">
        <v>0.32956650317646602</v>
      </c>
      <c r="P2872" s="14">
        <v>0.14333142153918699</v>
      </c>
      <c r="Q2872" t="str">
        <f t="shared" si="88"/>
        <v>&lt;01</v>
      </c>
      <c r="R2872" t="str">
        <f t="shared" si="89"/>
        <v>[ir8wuHHzoSs]|&lt;01|Female|PLHIV_Attend.T_1|CY2023Q3</v>
      </c>
    </row>
    <row r="2873" spans="4:18" x14ac:dyDescent="0.2">
      <c r="D2873" t="s">
        <v>80</v>
      </c>
      <c r="E2873" t="s">
        <v>81</v>
      </c>
      <c r="F2873" t="s">
        <v>82</v>
      </c>
      <c r="G2873" t="s">
        <v>149</v>
      </c>
      <c r="H2873" t="s">
        <v>149</v>
      </c>
      <c r="I2873" t="s">
        <v>32</v>
      </c>
      <c r="J2873" t="s">
        <v>33</v>
      </c>
      <c r="K2873" t="s">
        <v>29</v>
      </c>
      <c r="L2873" t="s">
        <v>30</v>
      </c>
      <c r="M2873" t="s">
        <v>139</v>
      </c>
      <c r="N2873">
        <v>1269</v>
      </c>
      <c r="O2873" s="14">
        <v>0.29659540299326198</v>
      </c>
      <c r="P2873" s="14">
        <v>0.14333142153918699</v>
      </c>
      <c r="Q2873" t="str">
        <f t="shared" si="88"/>
        <v>01-09</v>
      </c>
      <c r="R2873" t="str">
        <f t="shared" si="89"/>
        <v>[ir8wuHHzoSs]|01-09|Female|PLHIV_Attend.T_1|CY2023Q3</v>
      </c>
    </row>
    <row r="2874" spans="4:18" x14ac:dyDescent="0.2">
      <c r="D2874" t="s">
        <v>80</v>
      </c>
      <c r="E2874" t="s">
        <v>81</v>
      </c>
      <c r="F2874" t="s">
        <v>82</v>
      </c>
      <c r="G2874" t="s">
        <v>149</v>
      </c>
      <c r="H2874" t="s">
        <v>149</v>
      </c>
      <c r="I2874" t="s">
        <v>35</v>
      </c>
      <c r="J2874" t="s">
        <v>36</v>
      </c>
      <c r="K2874" t="s">
        <v>29</v>
      </c>
      <c r="L2874" t="s">
        <v>30</v>
      </c>
      <c r="M2874" t="s">
        <v>139</v>
      </c>
      <c r="N2874">
        <v>625</v>
      </c>
      <c r="O2874" s="14">
        <v>0.324383631115779</v>
      </c>
      <c r="P2874" s="14">
        <v>0.14333142153918699</v>
      </c>
      <c r="Q2874" t="str">
        <f t="shared" si="88"/>
        <v>10-14</v>
      </c>
      <c r="R2874" t="str">
        <f t="shared" si="89"/>
        <v>[ir8wuHHzoSs]|10-14|Female|PLHIV_Attend.T_1|CY2023Q3</v>
      </c>
    </row>
    <row r="2875" spans="4:18" x14ac:dyDescent="0.2">
      <c r="D2875" t="s">
        <v>80</v>
      </c>
      <c r="E2875" t="s">
        <v>81</v>
      </c>
      <c r="F2875" t="s">
        <v>82</v>
      </c>
      <c r="G2875" t="s">
        <v>149</v>
      </c>
      <c r="H2875" t="s">
        <v>149</v>
      </c>
      <c r="I2875" t="s">
        <v>37</v>
      </c>
      <c r="J2875" t="s">
        <v>38</v>
      </c>
      <c r="K2875" t="s">
        <v>29</v>
      </c>
      <c r="L2875" t="s">
        <v>30</v>
      </c>
      <c r="M2875" t="s">
        <v>139</v>
      </c>
      <c r="N2875">
        <v>1675</v>
      </c>
      <c r="O2875" s="14">
        <v>0.54017641884274803</v>
      </c>
      <c r="P2875" s="14">
        <v>0.14333142153918699</v>
      </c>
      <c r="Q2875" t="str">
        <f t="shared" si="88"/>
        <v>15-24</v>
      </c>
      <c r="R2875" t="str">
        <f t="shared" si="89"/>
        <v>[ir8wuHHzoSs]|15-24|Female|PLHIV_Attend.T_1|CY2023Q3</v>
      </c>
    </row>
    <row r="2876" spans="4:18" x14ac:dyDescent="0.2">
      <c r="D2876" t="s">
        <v>80</v>
      </c>
      <c r="E2876" t="s">
        <v>81</v>
      </c>
      <c r="F2876" t="s">
        <v>82</v>
      </c>
      <c r="G2876" t="s">
        <v>149</v>
      </c>
      <c r="H2876" t="s">
        <v>149</v>
      </c>
      <c r="I2876" t="s">
        <v>40</v>
      </c>
      <c r="J2876" t="s">
        <v>41</v>
      </c>
      <c r="K2876" t="s">
        <v>29</v>
      </c>
      <c r="L2876" t="s">
        <v>30</v>
      </c>
      <c r="M2876" t="s">
        <v>139</v>
      </c>
      <c r="N2876">
        <v>616</v>
      </c>
      <c r="O2876" s="14">
        <v>0.73306353855878104</v>
      </c>
      <c r="P2876" s="14">
        <v>0.14333142153918699</v>
      </c>
      <c r="Q2876" t="str">
        <f t="shared" si="88"/>
        <v>25-34</v>
      </c>
      <c r="R2876" t="str">
        <f t="shared" si="89"/>
        <v>[ir8wuHHzoSs]|25-34|Female|PLHIV_Attend.T_1|CY2023Q3</v>
      </c>
    </row>
    <row r="2877" spans="4:18" x14ac:dyDescent="0.2">
      <c r="D2877" t="s">
        <v>80</v>
      </c>
      <c r="E2877" t="s">
        <v>81</v>
      </c>
      <c r="F2877" t="s">
        <v>82</v>
      </c>
      <c r="G2877" t="s">
        <v>149</v>
      </c>
      <c r="H2877" t="s">
        <v>149</v>
      </c>
      <c r="I2877" t="s">
        <v>42</v>
      </c>
      <c r="J2877" t="s">
        <v>43</v>
      </c>
      <c r="K2877" t="s">
        <v>29</v>
      </c>
      <c r="L2877" t="s">
        <v>30</v>
      </c>
      <c r="M2877" t="s">
        <v>139</v>
      </c>
      <c r="N2877">
        <v>1927</v>
      </c>
      <c r="O2877" s="14">
        <v>0.468858639942482</v>
      </c>
      <c r="P2877" s="14">
        <v>0.14333142153918699</v>
      </c>
      <c r="Q2877" t="str">
        <f t="shared" si="88"/>
        <v>35-49</v>
      </c>
      <c r="R2877" t="str">
        <f t="shared" si="89"/>
        <v>[ir8wuHHzoSs]|35-49|Female|PLHIV_Attend.T_1|CY2023Q3</v>
      </c>
    </row>
    <row r="2878" spans="4:18" x14ac:dyDescent="0.2">
      <c r="D2878" t="s">
        <v>80</v>
      </c>
      <c r="E2878" t="s">
        <v>81</v>
      </c>
      <c r="F2878" t="s">
        <v>82</v>
      </c>
      <c r="G2878" t="s">
        <v>149</v>
      </c>
      <c r="H2878" t="s">
        <v>149</v>
      </c>
      <c r="I2878" t="s">
        <v>44</v>
      </c>
      <c r="J2878" t="s">
        <v>45</v>
      </c>
      <c r="K2878" t="s">
        <v>29</v>
      </c>
      <c r="L2878" t="s">
        <v>30</v>
      </c>
      <c r="M2878" t="s">
        <v>139</v>
      </c>
      <c r="N2878">
        <v>615</v>
      </c>
      <c r="O2878" s="14">
        <v>0.75034682312980305</v>
      </c>
      <c r="P2878" s="14">
        <v>0.14333142153918699</v>
      </c>
      <c r="Q2878" t="str">
        <f t="shared" si="88"/>
        <v>50+</v>
      </c>
      <c r="R2878" t="str">
        <f t="shared" si="89"/>
        <v>[ir8wuHHzoSs]|50+|Female|PLHIV_Attend.T_1|CY2023Q3</v>
      </c>
    </row>
    <row r="2879" spans="4:18" x14ac:dyDescent="0.2">
      <c r="D2879" t="s">
        <v>80</v>
      </c>
      <c r="E2879" t="s">
        <v>81</v>
      </c>
      <c r="F2879" t="s">
        <v>82</v>
      </c>
      <c r="G2879" t="s">
        <v>149</v>
      </c>
      <c r="H2879" t="s">
        <v>149</v>
      </c>
      <c r="I2879" t="s">
        <v>27</v>
      </c>
      <c r="J2879" t="s">
        <v>28</v>
      </c>
      <c r="K2879" t="s">
        <v>47</v>
      </c>
      <c r="L2879" t="s">
        <v>48</v>
      </c>
      <c r="M2879" t="s">
        <v>139</v>
      </c>
      <c r="N2879">
        <v>1849</v>
      </c>
      <c r="O2879" s="14">
        <v>0.81308820936828896</v>
      </c>
      <c r="P2879" s="14">
        <v>0.14333142153918699</v>
      </c>
      <c r="Q2879" t="str">
        <f t="shared" si="88"/>
        <v>&lt;01</v>
      </c>
      <c r="R2879" t="str">
        <f t="shared" si="89"/>
        <v>[ir8wuHHzoSs]|&lt;01|Male|PLHIV_Attend.T_1|CY2023Q3</v>
      </c>
    </row>
    <row r="2880" spans="4:18" x14ac:dyDescent="0.2">
      <c r="D2880" t="s">
        <v>80</v>
      </c>
      <c r="E2880" t="s">
        <v>81</v>
      </c>
      <c r="F2880" t="s">
        <v>82</v>
      </c>
      <c r="G2880" t="s">
        <v>149</v>
      </c>
      <c r="H2880" t="s">
        <v>149</v>
      </c>
      <c r="I2880" t="s">
        <v>32</v>
      </c>
      <c r="J2880" t="s">
        <v>33</v>
      </c>
      <c r="K2880" t="s">
        <v>47</v>
      </c>
      <c r="L2880" t="s">
        <v>48</v>
      </c>
      <c r="M2880" t="s">
        <v>139</v>
      </c>
      <c r="N2880">
        <v>1670</v>
      </c>
      <c r="O2880" s="14">
        <v>0.28158832574263198</v>
      </c>
      <c r="P2880" s="14">
        <v>0.14333142153918699</v>
      </c>
      <c r="Q2880" t="str">
        <f t="shared" si="88"/>
        <v>01-09</v>
      </c>
      <c r="R2880" t="str">
        <f t="shared" si="89"/>
        <v>[ir8wuHHzoSs]|01-09|Male|PLHIV_Attend.T_1|CY2023Q3</v>
      </c>
    </row>
    <row r="2881" spans="4:18" x14ac:dyDescent="0.2">
      <c r="D2881" t="s">
        <v>80</v>
      </c>
      <c r="E2881" t="s">
        <v>81</v>
      </c>
      <c r="F2881" t="s">
        <v>82</v>
      </c>
      <c r="G2881" t="s">
        <v>149</v>
      </c>
      <c r="H2881" t="s">
        <v>149</v>
      </c>
      <c r="I2881" t="s">
        <v>35</v>
      </c>
      <c r="J2881" t="s">
        <v>36</v>
      </c>
      <c r="K2881" t="s">
        <v>47</v>
      </c>
      <c r="L2881" t="s">
        <v>48</v>
      </c>
      <c r="M2881" t="s">
        <v>139</v>
      </c>
      <c r="N2881">
        <v>622</v>
      </c>
      <c r="O2881" s="14">
        <v>0.313573974883184</v>
      </c>
      <c r="P2881" s="14">
        <v>0.14333142153918699</v>
      </c>
      <c r="Q2881" t="str">
        <f t="shared" si="88"/>
        <v>10-14</v>
      </c>
      <c r="R2881" t="str">
        <f t="shared" si="89"/>
        <v>[ir8wuHHzoSs]|10-14|Male|PLHIV_Attend.T_1|CY2023Q3</v>
      </c>
    </row>
    <row r="2882" spans="4:18" x14ac:dyDescent="0.2">
      <c r="D2882" t="s">
        <v>80</v>
      </c>
      <c r="E2882" t="s">
        <v>81</v>
      </c>
      <c r="F2882" t="s">
        <v>82</v>
      </c>
      <c r="G2882" t="s">
        <v>149</v>
      </c>
      <c r="H2882" t="s">
        <v>149</v>
      </c>
      <c r="I2882" t="s">
        <v>37</v>
      </c>
      <c r="J2882" t="s">
        <v>38</v>
      </c>
      <c r="K2882" t="s">
        <v>47</v>
      </c>
      <c r="L2882" t="s">
        <v>48</v>
      </c>
      <c r="M2882" t="s">
        <v>139</v>
      </c>
      <c r="N2882">
        <v>1069</v>
      </c>
      <c r="O2882" s="14">
        <v>0.56561795296147499</v>
      </c>
      <c r="P2882" s="14">
        <v>0.14333142153918699</v>
      </c>
      <c r="Q2882" t="str">
        <f t="shared" ref="Q2882:Q2945" si="90">SUBSTITUTE(SUBSTITUTE($I2882,CHAR(61),""),CHAR(34),"")</f>
        <v>15-24</v>
      </c>
      <c r="R2882" t="str">
        <f t="shared" ref="R2882:R2945" si="91">IF($D2882&lt;&gt;"","["&amp;$E2882&amp;"]"&amp;"|"&amp;$Q2882&amp;"|"&amp;$K2882&amp;"|"&amp;$G2882&amp;"|"&amp;IF($G2882="TX_CURR_SUBNAT.R","CY2022Q4",$M2882),"")</f>
        <v>[ir8wuHHzoSs]|15-24|Male|PLHIV_Attend.T_1|CY2023Q3</v>
      </c>
    </row>
    <row r="2883" spans="4:18" x14ac:dyDescent="0.2">
      <c r="D2883" t="s">
        <v>80</v>
      </c>
      <c r="E2883" t="s">
        <v>81</v>
      </c>
      <c r="F2883" t="s">
        <v>82</v>
      </c>
      <c r="G2883" t="s">
        <v>149</v>
      </c>
      <c r="H2883" t="s">
        <v>149</v>
      </c>
      <c r="I2883" t="s">
        <v>40</v>
      </c>
      <c r="J2883" t="s">
        <v>41</v>
      </c>
      <c r="K2883" t="s">
        <v>47</v>
      </c>
      <c r="L2883" t="s">
        <v>48</v>
      </c>
      <c r="M2883" t="s">
        <v>139</v>
      </c>
      <c r="N2883">
        <v>1782</v>
      </c>
      <c r="O2883" s="14">
        <v>0.97781049460172698</v>
      </c>
      <c r="P2883" s="14">
        <v>0.14333142153918699</v>
      </c>
      <c r="Q2883" t="str">
        <f t="shared" si="90"/>
        <v>25-34</v>
      </c>
      <c r="R2883" t="str">
        <f t="shared" si="91"/>
        <v>[ir8wuHHzoSs]|25-34|Male|PLHIV_Attend.T_1|CY2023Q3</v>
      </c>
    </row>
    <row r="2884" spans="4:18" x14ac:dyDescent="0.2">
      <c r="D2884" t="s">
        <v>80</v>
      </c>
      <c r="E2884" t="s">
        <v>81</v>
      </c>
      <c r="F2884" t="s">
        <v>82</v>
      </c>
      <c r="G2884" t="s">
        <v>149</v>
      </c>
      <c r="H2884" t="s">
        <v>149</v>
      </c>
      <c r="I2884" t="s">
        <v>42</v>
      </c>
      <c r="J2884" t="s">
        <v>43</v>
      </c>
      <c r="K2884" t="s">
        <v>47</v>
      </c>
      <c r="L2884" t="s">
        <v>48</v>
      </c>
      <c r="M2884" t="s">
        <v>139</v>
      </c>
      <c r="N2884">
        <v>1220</v>
      </c>
      <c r="O2884" s="14">
        <v>0.77972186962142598</v>
      </c>
      <c r="P2884" s="14">
        <v>0.14333142153918699</v>
      </c>
      <c r="Q2884" t="str">
        <f t="shared" si="90"/>
        <v>35-49</v>
      </c>
      <c r="R2884" t="str">
        <f t="shared" si="91"/>
        <v>[ir8wuHHzoSs]|35-49|Male|PLHIV_Attend.T_1|CY2023Q3</v>
      </c>
    </row>
    <row r="2885" spans="4:18" x14ac:dyDescent="0.2">
      <c r="D2885" t="s">
        <v>80</v>
      </c>
      <c r="E2885" t="s">
        <v>81</v>
      </c>
      <c r="F2885" t="s">
        <v>82</v>
      </c>
      <c r="G2885" t="s">
        <v>149</v>
      </c>
      <c r="H2885" t="s">
        <v>149</v>
      </c>
      <c r="I2885" t="s">
        <v>44</v>
      </c>
      <c r="J2885" t="s">
        <v>45</v>
      </c>
      <c r="K2885" t="s">
        <v>47</v>
      </c>
      <c r="L2885" t="s">
        <v>48</v>
      </c>
      <c r="M2885" t="s">
        <v>139</v>
      </c>
      <c r="N2885">
        <v>787</v>
      </c>
      <c r="O2885" s="14">
        <v>0.84739848808385398</v>
      </c>
      <c r="P2885" s="14">
        <v>0.14333142153918699</v>
      </c>
      <c r="Q2885" t="str">
        <f t="shared" si="90"/>
        <v>50+</v>
      </c>
      <c r="R2885" t="str">
        <f t="shared" si="91"/>
        <v>[ir8wuHHzoSs]|50+|Male|PLHIV_Attend.T_1|CY2023Q3</v>
      </c>
    </row>
    <row r="2886" spans="4:18" x14ac:dyDescent="0.2">
      <c r="D2886" t="s">
        <v>83</v>
      </c>
      <c r="E2886" t="s">
        <v>84</v>
      </c>
      <c r="F2886" t="s">
        <v>85</v>
      </c>
      <c r="G2886" t="s">
        <v>149</v>
      </c>
      <c r="H2886" t="s">
        <v>149</v>
      </c>
      <c r="I2886" t="s">
        <v>27</v>
      </c>
      <c r="J2886" t="s">
        <v>28</v>
      </c>
      <c r="K2886" t="s">
        <v>29</v>
      </c>
      <c r="L2886" t="s">
        <v>30</v>
      </c>
      <c r="M2886" t="s">
        <v>139</v>
      </c>
      <c r="N2886">
        <v>1386</v>
      </c>
      <c r="O2886" s="14">
        <v>0.48955106688663402</v>
      </c>
      <c r="P2886" s="14">
        <v>2.9788714367896301E-2</v>
      </c>
      <c r="Q2886" t="str">
        <f t="shared" si="90"/>
        <v>&lt;01</v>
      </c>
      <c r="R2886" t="str">
        <f t="shared" si="91"/>
        <v>[fyEoGEPERdI]|&lt;01|Female|PLHIV_Attend.T_1|CY2023Q3</v>
      </c>
    </row>
    <row r="2887" spans="4:18" x14ac:dyDescent="0.2">
      <c r="D2887" t="s">
        <v>83</v>
      </c>
      <c r="E2887" t="s">
        <v>84</v>
      </c>
      <c r="F2887" t="s">
        <v>85</v>
      </c>
      <c r="G2887" t="s">
        <v>149</v>
      </c>
      <c r="H2887" t="s">
        <v>149</v>
      </c>
      <c r="I2887" t="s">
        <v>32</v>
      </c>
      <c r="J2887" t="s">
        <v>33</v>
      </c>
      <c r="K2887" t="s">
        <v>29</v>
      </c>
      <c r="L2887" t="s">
        <v>30</v>
      </c>
      <c r="M2887" t="s">
        <v>139</v>
      </c>
      <c r="N2887">
        <v>1551</v>
      </c>
      <c r="O2887" s="14">
        <v>0.56409960379823998</v>
      </c>
      <c r="P2887" s="14">
        <v>2.9788714367896301E-2</v>
      </c>
      <c r="Q2887" t="str">
        <f t="shared" si="90"/>
        <v>01-09</v>
      </c>
      <c r="R2887" t="str">
        <f t="shared" si="91"/>
        <v>[fyEoGEPERdI]|01-09|Female|PLHIV_Attend.T_1|CY2023Q3</v>
      </c>
    </row>
    <row r="2888" spans="4:18" x14ac:dyDescent="0.2">
      <c r="D2888" t="s">
        <v>83</v>
      </c>
      <c r="E2888" t="s">
        <v>84</v>
      </c>
      <c r="F2888" t="s">
        <v>85</v>
      </c>
      <c r="G2888" t="s">
        <v>149</v>
      </c>
      <c r="H2888" t="s">
        <v>149</v>
      </c>
      <c r="I2888" t="s">
        <v>35</v>
      </c>
      <c r="J2888" t="s">
        <v>36</v>
      </c>
      <c r="K2888" t="s">
        <v>29</v>
      </c>
      <c r="L2888" t="s">
        <v>30</v>
      </c>
      <c r="M2888" t="s">
        <v>139</v>
      </c>
      <c r="N2888">
        <v>1964</v>
      </c>
      <c r="O2888" s="14">
        <v>0.63833243306726195</v>
      </c>
      <c r="P2888" s="14">
        <v>2.9788714367896301E-2</v>
      </c>
      <c r="Q2888" t="str">
        <f t="shared" si="90"/>
        <v>10-14</v>
      </c>
      <c r="R2888" t="str">
        <f t="shared" si="91"/>
        <v>[fyEoGEPERdI]|10-14|Female|PLHIV_Attend.T_1|CY2023Q3</v>
      </c>
    </row>
    <row r="2889" spans="4:18" x14ac:dyDescent="0.2">
      <c r="D2889" t="s">
        <v>83</v>
      </c>
      <c r="E2889" t="s">
        <v>84</v>
      </c>
      <c r="F2889" t="s">
        <v>85</v>
      </c>
      <c r="G2889" t="s">
        <v>149</v>
      </c>
      <c r="H2889" t="s">
        <v>149</v>
      </c>
      <c r="I2889" t="s">
        <v>37</v>
      </c>
      <c r="J2889" t="s">
        <v>38</v>
      </c>
      <c r="K2889" t="s">
        <v>29</v>
      </c>
      <c r="L2889" t="s">
        <v>30</v>
      </c>
      <c r="M2889" t="s">
        <v>139</v>
      </c>
      <c r="N2889">
        <v>1251</v>
      </c>
      <c r="O2889" s="14">
        <v>0.95936999144032598</v>
      </c>
      <c r="P2889" s="14">
        <v>2.9788714367896301E-2</v>
      </c>
      <c r="Q2889" t="str">
        <f t="shared" si="90"/>
        <v>15-24</v>
      </c>
      <c r="R2889" t="str">
        <f t="shared" si="91"/>
        <v>[fyEoGEPERdI]|15-24|Female|PLHIV_Attend.T_1|CY2023Q3</v>
      </c>
    </row>
    <row r="2890" spans="4:18" x14ac:dyDescent="0.2">
      <c r="D2890" t="s">
        <v>83</v>
      </c>
      <c r="E2890" t="s">
        <v>84</v>
      </c>
      <c r="F2890" t="s">
        <v>85</v>
      </c>
      <c r="G2890" t="s">
        <v>149</v>
      </c>
      <c r="H2890" t="s">
        <v>149</v>
      </c>
      <c r="I2890" t="s">
        <v>40</v>
      </c>
      <c r="J2890" t="s">
        <v>41</v>
      </c>
      <c r="K2890" t="s">
        <v>29</v>
      </c>
      <c r="L2890" t="s">
        <v>30</v>
      </c>
      <c r="M2890" t="s">
        <v>139</v>
      </c>
      <c r="N2890">
        <v>1294</v>
      </c>
      <c r="O2890" s="14">
        <v>0.390721479896456</v>
      </c>
      <c r="P2890" s="14">
        <v>2.9788714367896301E-2</v>
      </c>
      <c r="Q2890" t="str">
        <f t="shared" si="90"/>
        <v>25-34</v>
      </c>
      <c r="R2890" t="str">
        <f t="shared" si="91"/>
        <v>[fyEoGEPERdI]|25-34|Female|PLHIV_Attend.T_1|CY2023Q3</v>
      </c>
    </row>
    <row r="2891" spans="4:18" x14ac:dyDescent="0.2">
      <c r="D2891" t="s">
        <v>83</v>
      </c>
      <c r="E2891" t="s">
        <v>84</v>
      </c>
      <c r="F2891" t="s">
        <v>85</v>
      </c>
      <c r="G2891" t="s">
        <v>149</v>
      </c>
      <c r="H2891" t="s">
        <v>149</v>
      </c>
      <c r="I2891" t="s">
        <v>42</v>
      </c>
      <c r="J2891" t="s">
        <v>43</v>
      </c>
      <c r="K2891" t="s">
        <v>29</v>
      </c>
      <c r="L2891" t="s">
        <v>30</v>
      </c>
      <c r="M2891" t="s">
        <v>139</v>
      </c>
      <c r="N2891">
        <v>694</v>
      </c>
      <c r="O2891" s="14">
        <v>0.59113346925005295</v>
      </c>
      <c r="P2891" s="14">
        <v>2.9788714367896301E-2</v>
      </c>
      <c r="Q2891" t="str">
        <f t="shared" si="90"/>
        <v>35-49</v>
      </c>
      <c r="R2891" t="str">
        <f t="shared" si="91"/>
        <v>[fyEoGEPERdI]|35-49|Female|PLHIV_Attend.T_1|CY2023Q3</v>
      </c>
    </row>
    <row r="2892" spans="4:18" x14ac:dyDescent="0.2">
      <c r="D2892" t="s">
        <v>83</v>
      </c>
      <c r="E2892" t="s">
        <v>84</v>
      </c>
      <c r="F2892" t="s">
        <v>85</v>
      </c>
      <c r="G2892" t="s">
        <v>149</v>
      </c>
      <c r="H2892" t="s">
        <v>149</v>
      </c>
      <c r="I2892" t="s">
        <v>44</v>
      </c>
      <c r="J2892" t="s">
        <v>45</v>
      </c>
      <c r="K2892" t="s">
        <v>29</v>
      </c>
      <c r="L2892" t="s">
        <v>30</v>
      </c>
      <c r="M2892" t="s">
        <v>139</v>
      </c>
      <c r="N2892">
        <v>513</v>
      </c>
      <c r="O2892" s="14">
        <v>0.55133225652389195</v>
      </c>
      <c r="P2892" s="14">
        <v>2.9788714367896301E-2</v>
      </c>
      <c r="Q2892" t="str">
        <f t="shared" si="90"/>
        <v>50+</v>
      </c>
      <c r="R2892" t="str">
        <f t="shared" si="91"/>
        <v>[fyEoGEPERdI]|50+|Female|PLHIV_Attend.T_1|CY2023Q3</v>
      </c>
    </row>
    <row r="2893" spans="4:18" x14ac:dyDescent="0.2">
      <c r="D2893" t="s">
        <v>83</v>
      </c>
      <c r="E2893" t="s">
        <v>84</v>
      </c>
      <c r="F2893" t="s">
        <v>85</v>
      </c>
      <c r="G2893" t="s">
        <v>149</v>
      </c>
      <c r="H2893" t="s">
        <v>149</v>
      </c>
      <c r="I2893" t="s">
        <v>27</v>
      </c>
      <c r="J2893" t="s">
        <v>28</v>
      </c>
      <c r="K2893" t="s">
        <v>47</v>
      </c>
      <c r="L2893" t="s">
        <v>48</v>
      </c>
      <c r="M2893" t="s">
        <v>139</v>
      </c>
      <c r="N2893">
        <v>1637</v>
      </c>
      <c r="O2893" s="14">
        <v>0.438853828469291</v>
      </c>
      <c r="P2893" s="14">
        <v>2.9788714367896301E-2</v>
      </c>
      <c r="Q2893" t="str">
        <f t="shared" si="90"/>
        <v>&lt;01</v>
      </c>
      <c r="R2893" t="str">
        <f t="shared" si="91"/>
        <v>[fyEoGEPERdI]|&lt;01|Male|PLHIV_Attend.T_1|CY2023Q3</v>
      </c>
    </row>
    <row r="2894" spans="4:18" x14ac:dyDescent="0.2">
      <c r="D2894" t="s">
        <v>83</v>
      </c>
      <c r="E2894" t="s">
        <v>84</v>
      </c>
      <c r="F2894" t="s">
        <v>85</v>
      </c>
      <c r="G2894" t="s">
        <v>149</v>
      </c>
      <c r="H2894" t="s">
        <v>149</v>
      </c>
      <c r="I2894" t="s">
        <v>32</v>
      </c>
      <c r="J2894" t="s">
        <v>33</v>
      </c>
      <c r="K2894" t="s">
        <v>47</v>
      </c>
      <c r="L2894" t="s">
        <v>48</v>
      </c>
      <c r="M2894" t="s">
        <v>139</v>
      </c>
      <c r="N2894">
        <v>1550</v>
      </c>
      <c r="O2894" s="14">
        <v>0.65877454495057497</v>
      </c>
      <c r="P2894" s="14">
        <v>2.9788714367896301E-2</v>
      </c>
      <c r="Q2894" t="str">
        <f t="shared" si="90"/>
        <v>01-09</v>
      </c>
      <c r="R2894" t="str">
        <f t="shared" si="91"/>
        <v>[fyEoGEPERdI]|01-09|Male|PLHIV_Attend.T_1|CY2023Q3</v>
      </c>
    </row>
    <row r="2895" spans="4:18" x14ac:dyDescent="0.2">
      <c r="D2895" t="s">
        <v>83</v>
      </c>
      <c r="E2895" t="s">
        <v>84</v>
      </c>
      <c r="F2895" t="s">
        <v>85</v>
      </c>
      <c r="G2895" t="s">
        <v>149</v>
      </c>
      <c r="H2895" t="s">
        <v>149</v>
      </c>
      <c r="I2895" t="s">
        <v>35</v>
      </c>
      <c r="J2895" t="s">
        <v>36</v>
      </c>
      <c r="K2895" t="s">
        <v>47</v>
      </c>
      <c r="L2895" t="s">
        <v>48</v>
      </c>
      <c r="M2895" t="s">
        <v>139</v>
      </c>
      <c r="N2895">
        <v>1695</v>
      </c>
      <c r="O2895" s="14">
        <v>0.90487386356107902</v>
      </c>
      <c r="P2895" s="14">
        <v>2.9788714367896301E-2</v>
      </c>
      <c r="Q2895" t="str">
        <f t="shared" si="90"/>
        <v>10-14</v>
      </c>
      <c r="R2895" t="str">
        <f t="shared" si="91"/>
        <v>[fyEoGEPERdI]|10-14|Male|PLHIV_Attend.T_1|CY2023Q3</v>
      </c>
    </row>
    <row r="2896" spans="4:18" x14ac:dyDescent="0.2">
      <c r="D2896" t="s">
        <v>83</v>
      </c>
      <c r="E2896" t="s">
        <v>84</v>
      </c>
      <c r="F2896" t="s">
        <v>85</v>
      </c>
      <c r="G2896" t="s">
        <v>149</v>
      </c>
      <c r="H2896" t="s">
        <v>149</v>
      </c>
      <c r="I2896" t="s">
        <v>37</v>
      </c>
      <c r="J2896" t="s">
        <v>38</v>
      </c>
      <c r="K2896" t="s">
        <v>47</v>
      </c>
      <c r="L2896" t="s">
        <v>48</v>
      </c>
      <c r="M2896" t="s">
        <v>139</v>
      </c>
      <c r="N2896">
        <v>1618</v>
      </c>
      <c r="O2896" s="14">
        <v>0.55728031136095502</v>
      </c>
      <c r="P2896" s="14">
        <v>2.9788714367896301E-2</v>
      </c>
      <c r="Q2896" t="str">
        <f t="shared" si="90"/>
        <v>15-24</v>
      </c>
      <c r="R2896" t="str">
        <f t="shared" si="91"/>
        <v>[fyEoGEPERdI]|15-24|Male|PLHIV_Attend.T_1|CY2023Q3</v>
      </c>
    </row>
    <row r="2897" spans="4:18" x14ac:dyDescent="0.2">
      <c r="D2897" t="s">
        <v>83</v>
      </c>
      <c r="E2897" t="s">
        <v>84</v>
      </c>
      <c r="F2897" t="s">
        <v>85</v>
      </c>
      <c r="G2897" t="s">
        <v>149</v>
      </c>
      <c r="H2897" t="s">
        <v>149</v>
      </c>
      <c r="I2897" t="s">
        <v>40</v>
      </c>
      <c r="J2897" t="s">
        <v>41</v>
      </c>
      <c r="K2897" t="s">
        <v>47</v>
      </c>
      <c r="L2897" t="s">
        <v>48</v>
      </c>
      <c r="M2897" t="s">
        <v>139</v>
      </c>
      <c r="N2897">
        <v>1543</v>
      </c>
      <c r="O2897" s="14">
        <v>0.63997886050492503</v>
      </c>
      <c r="P2897" s="14">
        <v>2.9788714367896301E-2</v>
      </c>
      <c r="Q2897" t="str">
        <f t="shared" si="90"/>
        <v>25-34</v>
      </c>
      <c r="R2897" t="str">
        <f t="shared" si="91"/>
        <v>[fyEoGEPERdI]|25-34|Male|PLHIV_Attend.T_1|CY2023Q3</v>
      </c>
    </row>
    <row r="2898" spans="4:18" x14ac:dyDescent="0.2">
      <c r="D2898" t="s">
        <v>83</v>
      </c>
      <c r="E2898" t="s">
        <v>84</v>
      </c>
      <c r="F2898" t="s">
        <v>85</v>
      </c>
      <c r="G2898" t="s">
        <v>149</v>
      </c>
      <c r="H2898" t="s">
        <v>149</v>
      </c>
      <c r="I2898" t="s">
        <v>42</v>
      </c>
      <c r="J2898" t="s">
        <v>43</v>
      </c>
      <c r="K2898" t="s">
        <v>47</v>
      </c>
      <c r="L2898" t="s">
        <v>48</v>
      </c>
      <c r="M2898" t="s">
        <v>139</v>
      </c>
      <c r="N2898">
        <v>944</v>
      </c>
      <c r="O2898" s="14">
        <v>0.27184753399342299</v>
      </c>
      <c r="P2898" s="14">
        <v>2.9788714367896301E-2</v>
      </c>
      <c r="Q2898" t="str">
        <f t="shared" si="90"/>
        <v>35-49</v>
      </c>
      <c r="R2898" t="str">
        <f t="shared" si="91"/>
        <v>[fyEoGEPERdI]|35-49|Male|PLHIV_Attend.T_1|CY2023Q3</v>
      </c>
    </row>
    <row r="2899" spans="4:18" x14ac:dyDescent="0.2">
      <c r="D2899" t="s">
        <v>83</v>
      </c>
      <c r="E2899" t="s">
        <v>84</v>
      </c>
      <c r="F2899" t="s">
        <v>85</v>
      </c>
      <c r="G2899" t="s">
        <v>149</v>
      </c>
      <c r="H2899" t="s">
        <v>149</v>
      </c>
      <c r="I2899" t="s">
        <v>44</v>
      </c>
      <c r="J2899" t="s">
        <v>45</v>
      </c>
      <c r="K2899" t="s">
        <v>47</v>
      </c>
      <c r="L2899" t="s">
        <v>48</v>
      </c>
      <c r="M2899" t="s">
        <v>139</v>
      </c>
      <c r="N2899">
        <v>704</v>
      </c>
      <c r="O2899" s="14">
        <v>0.89310065167956099</v>
      </c>
      <c r="P2899" s="14">
        <v>2.9788714367896301E-2</v>
      </c>
      <c r="Q2899" t="str">
        <f t="shared" si="90"/>
        <v>50+</v>
      </c>
      <c r="R2899" t="str">
        <f t="shared" si="91"/>
        <v>[fyEoGEPERdI]|50+|Male|PLHIV_Attend.T_1|CY2023Q3</v>
      </c>
    </row>
    <row r="2900" spans="4:18" x14ac:dyDescent="0.2">
      <c r="D2900" t="s">
        <v>86</v>
      </c>
      <c r="E2900" t="s">
        <v>87</v>
      </c>
      <c r="F2900" t="s">
        <v>88</v>
      </c>
      <c r="G2900" t="s">
        <v>149</v>
      </c>
      <c r="H2900" t="s">
        <v>149</v>
      </c>
      <c r="I2900" t="s">
        <v>27</v>
      </c>
      <c r="J2900" t="s">
        <v>28</v>
      </c>
      <c r="K2900" t="s">
        <v>29</v>
      </c>
      <c r="L2900" t="s">
        <v>30</v>
      </c>
      <c r="M2900" t="s">
        <v>139</v>
      </c>
      <c r="N2900">
        <v>1846</v>
      </c>
      <c r="O2900" s="14">
        <v>0.20187052199617</v>
      </c>
      <c r="P2900" s="14">
        <v>0.13333638082258401</v>
      </c>
      <c r="Q2900" t="str">
        <f t="shared" si="90"/>
        <v>&lt;01</v>
      </c>
      <c r="R2900" t="str">
        <f t="shared" si="91"/>
        <v>[cPtvxaZqXIH]|&lt;01|Female|PLHIV_Attend.T_1|CY2023Q3</v>
      </c>
    </row>
    <row r="2901" spans="4:18" x14ac:dyDescent="0.2">
      <c r="D2901" t="s">
        <v>86</v>
      </c>
      <c r="E2901" t="s">
        <v>87</v>
      </c>
      <c r="F2901" t="s">
        <v>88</v>
      </c>
      <c r="G2901" t="s">
        <v>149</v>
      </c>
      <c r="H2901" t="s">
        <v>149</v>
      </c>
      <c r="I2901" t="s">
        <v>32</v>
      </c>
      <c r="J2901" t="s">
        <v>33</v>
      </c>
      <c r="K2901" t="s">
        <v>29</v>
      </c>
      <c r="L2901" t="s">
        <v>30</v>
      </c>
      <c r="M2901" t="s">
        <v>139</v>
      </c>
      <c r="N2901">
        <v>902</v>
      </c>
      <c r="O2901" s="14">
        <v>0.79366769222542599</v>
      </c>
      <c r="P2901" s="14">
        <v>0.13333638082258401</v>
      </c>
      <c r="Q2901" t="str">
        <f t="shared" si="90"/>
        <v>01-09</v>
      </c>
      <c r="R2901" t="str">
        <f t="shared" si="91"/>
        <v>[cPtvxaZqXIH]|01-09|Female|PLHIV_Attend.T_1|CY2023Q3</v>
      </c>
    </row>
    <row r="2902" spans="4:18" x14ac:dyDescent="0.2">
      <c r="D2902" t="s">
        <v>86</v>
      </c>
      <c r="E2902" t="s">
        <v>87</v>
      </c>
      <c r="F2902" t="s">
        <v>88</v>
      </c>
      <c r="G2902" t="s">
        <v>149</v>
      </c>
      <c r="H2902" t="s">
        <v>149</v>
      </c>
      <c r="I2902" t="s">
        <v>35</v>
      </c>
      <c r="J2902" t="s">
        <v>36</v>
      </c>
      <c r="K2902" t="s">
        <v>29</v>
      </c>
      <c r="L2902" t="s">
        <v>30</v>
      </c>
      <c r="M2902" t="s">
        <v>139</v>
      </c>
      <c r="N2902">
        <v>1267</v>
      </c>
      <c r="O2902" s="14">
        <v>0.15753447217866801</v>
      </c>
      <c r="P2902" s="14">
        <v>0.13333638082258401</v>
      </c>
      <c r="Q2902" t="str">
        <f t="shared" si="90"/>
        <v>10-14</v>
      </c>
      <c r="R2902" t="str">
        <f t="shared" si="91"/>
        <v>[cPtvxaZqXIH]|10-14|Female|PLHIV_Attend.T_1|CY2023Q3</v>
      </c>
    </row>
    <row r="2903" spans="4:18" x14ac:dyDescent="0.2">
      <c r="D2903" t="s">
        <v>86</v>
      </c>
      <c r="E2903" t="s">
        <v>87</v>
      </c>
      <c r="F2903" t="s">
        <v>88</v>
      </c>
      <c r="G2903" t="s">
        <v>149</v>
      </c>
      <c r="H2903" t="s">
        <v>149</v>
      </c>
      <c r="I2903" t="s">
        <v>37</v>
      </c>
      <c r="J2903" t="s">
        <v>38</v>
      </c>
      <c r="K2903" t="s">
        <v>29</v>
      </c>
      <c r="L2903" t="s">
        <v>30</v>
      </c>
      <c r="M2903" t="s">
        <v>139</v>
      </c>
      <c r="N2903">
        <v>1552</v>
      </c>
      <c r="O2903" s="14">
        <v>0.82874843175523005</v>
      </c>
      <c r="P2903" s="14">
        <v>0.13333638082258401</v>
      </c>
      <c r="Q2903" t="str">
        <f t="shared" si="90"/>
        <v>15-24</v>
      </c>
      <c r="R2903" t="str">
        <f t="shared" si="91"/>
        <v>[cPtvxaZqXIH]|15-24|Female|PLHIV_Attend.T_1|CY2023Q3</v>
      </c>
    </row>
    <row r="2904" spans="4:18" x14ac:dyDescent="0.2">
      <c r="D2904" t="s">
        <v>86</v>
      </c>
      <c r="E2904" t="s">
        <v>87</v>
      </c>
      <c r="F2904" t="s">
        <v>88</v>
      </c>
      <c r="G2904" t="s">
        <v>149</v>
      </c>
      <c r="H2904" t="s">
        <v>149</v>
      </c>
      <c r="I2904" t="s">
        <v>40</v>
      </c>
      <c r="J2904" t="s">
        <v>41</v>
      </c>
      <c r="K2904" t="s">
        <v>29</v>
      </c>
      <c r="L2904" t="s">
        <v>30</v>
      </c>
      <c r="M2904" t="s">
        <v>139</v>
      </c>
      <c r="N2904">
        <v>500</v>
      </c>
      <c r="O2904" s="14">
        <v>0.31245262431912102</v>
      </c>
      <c r="P2904" s="14">
        <v>0.13333638082258401</v>
      </c>
      <c r="Q2904" t="str">
        <f t="shared" si="90"/>
        <v>25-34</v>
      </c>
      <c r="R2904" t="str">
        <f t="shared" si="91"/>
        <v>[cPtvxaZqXIH]|25-34|Female|PLHIV_Attend.T_1|CY2023Q3</v>
      </c>
    </row>
    <row r="2905" spans="4:18" x14ac:dyDescent="0.2">
      <c r="D2905" t="s">
        <v>86</v>
      </c>
      <c r="E2905" t="s">
        <v>87</v>
      </c>
      <c r="F2905" t="s">
        <v>88</v>
      </c>
      <c r="G2905" t="s">
        <v>149</v>
      </c>
      <c r="H2905" t="s">
        <v>149</v>
      </c>
      <c r="I2905" t="s">
        <v>42</v>
      </c>
      <c r="J2905" t="s">
        <v>43</v>
      </c>
      <c r="K2905" t="s">
        <v>29</v>
      </c>
      <c r="L2905" t="s">
        <v>30</v>
      </c>
      <c r="M2905" t="s">
        <v>139</v>
      </c>
      <c r="N2905">
        <v>1115</v>
      </c>
      <c r="O2905" s="14">
        <v>0.797556483885273</v>
      </c>
      <c r="P2905" s="14">
        <v>0.13333638082258401</v>
      </c>
      <c r="Q2905" t="str">
        <f t="shared" si="90"/>
        <v>35-49</v>
      </c>
      <c r="R2905" t="str">
        <f t="shared" si="91"/>
        <v>[cPtvxaZqXIH]|35-49|Female|PLHIV_Attend.T_1|CY2023Q3</v>
      </c>
    </row>
    <row r="2906" spans="4:18" x14ac:dyDescent="0.2">
      <c r="D2906" t="s">
        <v>86</v>
      </c>
      <c r="E2906" t="s">
        <v>87</v>
      </c>
      <c r="F2906" t="s">
        <v>88</v>
      </c>
      <c r="G2906" t="s">
        <v>149</v>
      </c>
      <c r="H2906" t="s">
        <v>149</v>
      </c>
      <c r="I2906" t="s">
        <v>44</v>
      </c>
      <c r="J2906" t="s">
        <v>45</v>
      </c>
      <c r="K2906" t="s">
        <v>29</v>
      </c>
      <c r="L2906" t="s">
        <v>30</v>
      </c>
      <c r="M2906" t="s">
        <v>139</v>
      </c>
      <c r="N2906">
        <v>1797</v>
      </c>
      <c r="O2906" s="14">
        <v>0.223487188806757</v>
      </c>
      <c r="P2906" s="14">
        <v>0.13333638082258401</v>
      </c>
      <c r="Q2906" t="str">
        <f t="shared" si="90"/>
        <v>50+</v>
      </c>
      <c r="R2906" t="str">
        <f t="shared" si="91"/>
        <v>[cPtvxaZqXIH]|50+|Female|PLHIV_Attend.T_1|CY2023Q3</v>
      </c>
    </row>
    <row r="2907" spans="4:18" x14ac:dyDescent="0.2">
      <c r="D2907" t="s">
        <v>86</v>
      </c>
      <c r="E2907" t="s">
        <v>87</v>
      </c>
      <c r="F2907" t="s">
        <v>88</v>
      </c>
      <c r="G2907" t="s">
        <v>149</v>
      </c>
      <c r="H2907" t="s">
        <v>149</v>
      </c>
      <c r="I2907" t="s">
        <v>27</v>
      </c>
      <c r="J2907" t="s">
        <v>28</v>
      </c>
      <c r="K2907" t="s">
        <v>47</v>
      </c>
      <c r="L2907" t="s">
        <v>48</v>
      </c>
      <c r="M2907" t="s">
        <v>139</v>
      </c>
      <c r="N2907">
        <v>1829</v>
      </c>
      <c r="O2907" s="14">
        <v>0.40571403596550198</v>
      </c>
      <c r="P2907" s="14">
        <v>0.13333638082258401</v>
      </c>
      <c r="Q2907" t="str">
        <f t="shared" si="90"/>
        <v>&lt;01</v>
      </c>
      <c r="R2907" t="str">
        <f t="shared" si="91"/>
        <v>[cPtvxaZqXIH]|&lt;01|Male|PLHIV_Attend.T_1|CY2023Q3</v>
      </c>
    </row>
    <row r="2908" spans="4:18" x14ac:dyDescent="0.2">
      <c r="D2908" t="s">
        <v>86</v>
      </c>
      <c r="E2908" t="s">
        <v>87</v>
      </c>
      <c r="F2908" t="s">
        <v>88</v>
      </c>
      <c r="G2908" t="s">
        <v>149</v>
      </c>
      <c r="H2908" t="s">
        <v>149</v>
      </c>
      <c r="I2908" t="s">
        <v>32</v>
      </c>
      <c r="J2908" t="s">
        <v>33</v>
      </c>
      <c r="K2908" t="s">
        <v>47</v>
      </c>
      <c r="L2908" t="s">
        <v>48</v>
      </c>
      <c r="M2908" t="s">
        <v>139</v>
      </c>
      <c r="N2908">
        <v>1758</v>
      </c>
      <c r="O2908" s="14">
        <v>0.84179303981363796</v>
      </c>
      <c r="P2908" s="14">
        <v>0.13333638082258401</v>
      </c>
      <c r="Q2908" t="str">
        <f t="shared" si="90"/>
        <v>01-09</v>
      </c>
      <c r="R2908" t="str">
        <f t="shared" si="91"/>
        <v>[cPtvxaZqXIH]|01-09|Male|PLHIV_Attend.T_1|CY2023Q3</v>
      </c>
    </row>
    <row r="2909" spans="4:18" x14ac:dyDescent="0.2">
      <c r="D2909" t="s">
        <v>86</v>
      </c>
      <c r="E2909" t="s">
        <v>87</v>
      </c>
      <c r="F2909" t="s">
        <v>88</v>
      </c>
      <c r="G2909" t="s">
        <v>149</v>
      </c>
      <c r="H2909" t="s">
        <v>149</v>
      </c>
      <c r="I2909" t="s">
        <v>35</v>
      </c>
      <c r="J2909" t="s">
        <v>36</v>
      </c>
      <c r="K2909" t="s">
        <v>47</v>
      </c>
      <c r="L2909" t="s">
        <v>48</v>
      </c>
      <c r="M2909" t="s">
        <v>139</v>
      </c>
      <c r="N2909">
        <v>1950</v>
      </c>
      <c r="O2909" s="14">
        <v>0.21086058905348201</v>
      </c>
      <c r="P2909" s="14">
        <v>0.13333638082258401</v>
      </c>
      <c r="Q2909" t="str">
        <f t="shared" si="90"/>
        <v>10-14</v>
      </c>
      <c r="R2909" t="str">
        <f t="shared" si="91"/>
        <v>[cPtvxaZqXIH]|10-14|Male|PLHIV_Attend.T_1|CY2023Q3</v>
      </c>
    </row>
    <row r="2910" spans="4:18" x14ac:dyDescent="0.2">
      <c r="D2910" t="s">
        <v>86</v>
      </c>
      <c r="E2910" t="s">
        <v>87</v>
      </c>
      <c r="F2910" t="s">
        <v>88</v>
      </c>
      <c r="G2910" t="s">
        <v>149</v>
      </c>
      <c r="H2910" t="s">
        <v>149</v>
      </c>
      <c r="I2910" t="s">
        <v>37</v>
      </c>
      <c r="J2910" t="s">
        <v>38</v>
      </c>
      <c r="K2910" t="s">
        <v>47</v>
      </c>
      <c r="L2910" t="s">
        <v>48</v>
      </c>
      <c r="M2910" t="s">
        <v>139</v>
      </c>
      <c r="N2910">
        <v>855</v>
      </c>
      <c r="O2910" s="14">
        <v>0.71375578688457597</v>
      </c>
      <c r="P2910" s="14">
        <v>0.13333638082258401</v>
      </c>
      <c r="Q2910" t="str">
        <f t="shared" si="90"/>
        <v>15-24</v>
      </c>
      <c r="R2910" t="str">
        <f t="shared" si="91"/>
        <v>[cPtvxaZqXIH]|15-24|Male|PLHIV_Attend.T_1|CY2023Q3</v>
      </c>
    </row>
    <row r="2911" spans="4:18" x14ac:dyDescent="0.2">
      <c r="D2911" t="s">
        <v>86</v>
      </c>
      <c r="E2911" t="s">
        <v>87</v>
      </c>
      <c r="F2911" t="s">
        <v>88</v>
      </c>
      <c r="G2911" t="s">
        <v>149</v>
      </c>
      <c r="H2911" t="s">
        <v>149</v>
      </c>
      <c r="I2911" t="s">
        <v>40</v>
      </c>
      <c r="J2911" t="s">
        <v>41</v>
      </c>
      <c r="K2911" t="s">
        <v>47</v>
      </c>
      <c r="L2911" t="s">
        <v>48</v>
      </c>
      <c r="M2911" t="s">
        <v>139</v>
      </c>
      <c r="N2911">
        <v>914</v>
      </c>
      <c r="O2911" s="14">
        <v>0.34109408478252601</v>
      </c>
      <c r="P2911" s="14">
        <v>0.13333638082258401</v>
      </c>
      <c r="Q2911" t="str">
        <f t="shared" si="90"/>
        <v>25-34</v>
      </c>
      <c r="R2911" t="str">
        <f t="shared" si="91"/>
        <v>[cPtvxaZqXIH]|25-34|Male|PLHIV_Attend.T_1|CY2023Q3</v>
      </c>
    </row>
    <row r="2912" spans="4:18" x14ac:dyDescent="0.2">
      <c r="D2912" t="s">
        <v>86</v>
      </c>
      <c r="E2912" t="s">
        <v>87</v>
      </c>
      <c r="F2912" t="s">
        <v>88</v>
      </c>
      <c r="G2912" t="s">
        <v>149</v>
      </c>
      <c r="H2912" t="s">
        <v>149</v>
      </c>
      <c r="I2912" t="s">
        <v>42</v>
      </c>
      <c r="J2912" t="s">
        <v>43</v>
      </c>
      <c r="K2912" t="s">
        <v>47</v>
      </c>
      <c r="L2912" t="s">
        <v>48</v>
      </c>
      <c r="M2912" t="s">
        <v>139</v>
      </c>
      <c r="N2912">
        <v>1376</v>
      </c>
      <c r="O2912" s="14">
        <v>0.77891255333088305</v>
      </c>
      <c r="P2912" s="14">
        <v>0.13333638082258401</v>
      </c>
      <c r="Q2912" t="str">
        <f t="shared" si="90"/>
        <v>35-49</v>
      </c>
      <c r="R2912" t="str">
        <f t="shared" si="91"/>
        <v>[cPtvxaZqXIH]|35-49|Male|PLHIV_Attend.T_1|CY2023Q3</v>
      </c>
    </row>
    <row r="2913" spans="4:18" x14ac:dyDescent="0.2">
      <c r="D2913" t="s">
        <v>86</v>
      </c>
      <c r="E2913" t="s">
        <v>87</v>
      </c>
      <c r="F2913" t="s">
        <v>88</v>
      </c>
      <c r="G2913" t="s">
        <v>149</v>
      </c>
      <c r="H2913" t="s">
        <v>149</v>
      </c>
      <c r="I2913" t="s">
        <v>44</v>
      </c>
      <c r="J2913" t="s">
        <v>45</v>
      </c>
      <c r="K2913" t="s">
        <v>47</v>
      </c>
      <c r="L2913" t="s">
        <v>48</v>
      </c>
      <c r="M2913" t="s">
        <v>139</v>
      </c>
      <c r="N2913">
        <v>1843</v>
      </c>
      <c r="O2913" s="14">
        <v>0.73072436545044195</v>
      </c>
      <c r="P2913" s="14">
        <v>0.13333638082258401</v>
      </c>
      <c r="Q2913" t="str">
        <f t="shared" si="90"/>
        <v>50+</v>
      </c>
      <c r="R2913" t="str">
        <f t="shared" si="91"/>
        <v>[cPtvxaZqXIH]|50+|Male|PLHIV_Attend.T_1|CY2023Q3</v>
      </c>
    </row>
    <row r="2914" spans="4:18" x14ac:dyDescent="0.2">
      <c r="D2914" t="s">
        <v>89</v>
      </c>
      <c r="E2914" t="s">
        <v>90</v>
      </c>
      <c r="F2914" t="s">
        <v>91</v>
      </c>
      <c r="G2914" t="s">
        <v>149</v>
      </c>
      <c r="H2914" t="s">
        <v>149</v>
      </c>
      <c r="I2914" t="s">
        <v>27</v>
      </c>
      <c r="J2914" t="s">
        <v>28</v>
      </c>
      <c r="K2914" t="s">
        <v>29</v>
      </c>
      <c r="L2914" t="s">
        <v>30</v>
      </c>
      <c r="M2914" t="s">
        <v>139</v>
      </c>
      <c r="N2914">
        <v>1945</v>
      </c>
      <c r="O2914" s="14">
        <v>0.61661209841258802</v>
      </c>
      <c r="P2914" s="14">
        <v>0.71991415042430196</v>
      </c>
      <c r="Q2914" t="str">
        <f t="shared" si="90"/>
        <v>&lt;01</v>
      </c>
      <c r="R2914" t="str">
        <f t="shared" si="91"/>
        <v>[AZyWpGzhcaA]|&lt;01|Female|PLHIV_Attend.T_1|CY2023Q3</v>
      </c>
    </row>
    <row r="2915" spans="4:18" x14ac:dyDescent="0.2">
      <c r="D2915" t="s">
        <v>89</v>
      </c>
      <c r="E2915" t="s">
        <v>90</v>
      </c>
      <c r="F2915" t="s">
        <v>91</v>
      </c>
      <c r="G2915" t="s">
        <v>149</v>
      </c>
      <c r="H2915" t="s">
        <v>149</v>
      </c>
      <c r="I2915" t="s">
        <v>32</v>
      </c>
      <c r="J2915" t="s">
        <v>33</v>
      </c>
      <c r="K2915" t="s">
        <v>29</v>
      </c>
      <c r="L2915" t="s">
        <v>30</v>
      </c>
      <c r="M2915" t="s">
        <v>139</v>
      </c>
      <c r="N2915">
        <v>952</v>
      </c>
      <c r="O2915" s="14">
        <v>0.40356281981803499</v>
      </c>
      <c r="P2915" s="14">
        <v>0.71991415042430196</v>
      </c>
      <c r="Q2915" t="str">
        <f t="shared" si="90"/>
        <v>01-09</v>
      </c>
      <c r="R2915" t="str">
        <f t="shared" si="91"/>
        <v>[AZyWpGzhcaA]|01-09|Female|PLHIV_Attend.T_1|CY2023Q3</v>
      </c>
    </row>
    <row r="2916" spans="4:18" x14ac:dyDescent="0.2">
      <c r="D2916" t="s">
        <v>89</v>
      </c>
      <c r="E2916" t="s">
        <v>90</v>
      </c>
      <c r="F2916" t="s">
        <v>91</v>
      </c>
      <c r="G2916" t="s">
        <v>149</v>
      </c>
      <c r="H2916" t="s">
        <v>149</v>
      </c>
      <c r="I2916" t="s">
        <v>35</v>
      </c>
      <c r="J2916" t="s">
        <v>36</v>
      </c>
      <c r="K2916" t="s">
        <v>29</v>
      </c>
      <c r="L2916" t="s">
        <v>30</v>
      </c>
      <c r="M2916" t="s">
        <v>139</v>
      </c>
      <c r="N2916">
        <v>874</v>
      </c>
      <c r="O2916" s="14">
        <v>0.235373162431642</v>
      </c>
      <c r="P2916" s="14">
        <v>0.71991415042430196</v>
      </c>
      <c r="Q2916" t="str">
        <f t="shared" si="90"/>
        <v>10-14</v>
      </c>
      <c r="R2916" t="str">
        <f t="shared" si="91"/>
        <v>[AZyWpGzhcaA]|10-14|Female|PLHIV_Attend.T_1|CY2023Q3</v>
      </c>
    </row>
    <row r="2917" spans="4:18" x14ac:dyDescent="0.2">
      <c r="D2917" t="s">
        <v>89</v>
      </c>
      <c r="E2917" t="s">
        <v>90</v>
      </c>
      <c r="F2917" t="s">
        <v>91</v>
      </c>
      <c r="G2917" t="s">
        <v>149</v>
      </c>
      <c r="H2917" t="s">
        <v>149</v>
      </c>
      <c r="I2917" t="s">
        <v>37</v>
      </c>
      <c r="J2917" t="s">
        <v>38</v>
      </c>
      <c r="K2917" t="s">
        <v>29</v>
      </c>
      <c r="L2917" t="s">
        <v>30</v>
      </c>
      <c r="M2917" t="s">
        <v>139</v>
      </c>
      <c r="N2917">
        <v>564</v>
      </c>
      <c r="O2917" s="14">
        <v>2.0850652828812599E-2</v>
      </c>
      <c r="P2917" s="14">
        <v>0.71991415042430196</v>
      </c>
      <c r="Q2917" t="str">
        <f t="shared" si="90"/>
        <v>15-24</v>
      </c>
      <c r="R2917" t="str">
        <f t="shared" si="91"/>
        <v>[AZyWpGzhcaA]|15-24|Female|PLHIV_Attend.T_1|CY2023Q3</v>
      </c>
    </row>
    <row r="2918" spans="4:18" x14ac:dyDescent="0.2">
      <c r="D2918" t="s">
        <v>89</v>
      </c>
      <c r="E2918" t="s">
        <v>90</v>
      </c>
      <c r="F2918" t="s">
        <v>91</v>
      </c>
      <c r="G2918" t="s">
        <v>149</v>
      </c>
      <c r="H2918" t="s">
        <v>149</v>
      </c>
      <c r="I2918" t="s">
        <v>40</v>
      </c>
      <c r="J2918" t="s">
        <v>41</v>
      </c>
      <c r="K2918" t="s">
        <v>29</v>
      </c>
      <c r="L2918" t="s">
        <v>30</v>
      </c>
      <c r="M2918" t="s">
        <v>139</v>
      </c>
      <c r="N2918">
        <v>1952</v>
      </c>
      <c r="O2918" s="14">
        <v>0.21705834637395999</v>
      </c>
      <c r="P2918" s="14">
        <v>0.71991415042430196</v>
      </c>
      <c r="Q2918" t="str">
        <f t="shared" si="90"/>
        <v>25-34</v>
      </c>
      <c r="R2918" t="str">
        <f t="shared" si="91"/>
        <v>[AZyWpGzhcaA]|25-34|Female|PLHIV_Attend.T_1|CY2023Q3</v>
      </c>
    </row>
    <row r="2919" spans="4:18" x14ac:dyDescent="0.2">
      <c r="D2919" t="s">
        <v>89</v>
      </c>
      <c r="E2919" t="s">
        <v>90</v>
      </c>
      <c r="F2919" t="s">
        <v>91</v>
      </c>
      <c r="G2919" t="s">
        <v>149</v>
      </c>
      <c r="H2919" t="s">
        <v>149</v>
      </c>
      <c r="I2919" t="s">
        <v>42</v>
      </c>
      <c r="J2919" t="s">
        <v>43</v>
      </c>
      <c r="K2919" t="s">
        <v>29</v>
      </c>
      <c r="L2919" t="s">
        <v>30</v>
      </c>
      <c r="M2919" t="s">
        <v>139</v>
      </c>
      <c r="N2919">
        <v>1698</v>
      </c>
      <c r="O2919" s="14">
        <v>0.56210740283131599</v>
      </c>
      <c r="P2919" s="14">
        <v>0.71991415042430196</v>
      </c>
      <c r="Q2919" t="str">
        <f t="shared" si="90"/>
        <v>35-49</v>
      </c>
      <c r="R2919" t="str">
        <f t="shared" si="91"/>
        <v>[AZyWpGzhcaA]|35-49|Female|PLHIV_Attend.T_1|CY2023Q3</v>
      </c>
    </row>
    <row r="2920" spans="4:18" x14ac:dyDescent="0.2">
      <c r="D2920" t="s">
        <v>89</v>
      </c>
      <c r="E2920" t="s">
        <v>90</v>
      </c>
      <c r="F2920" t="s">
        <v>91</v>
      </c>
      <c r="G2920" t="s">
        <v>149</v>
      </c>
      <c r="H2920" t="s">
        <v>149</v>
      </c>
      <c r="I2920" t="s">
        <v>44</v>
      </c>
      <c r="J2920" t="s">
        <v>45</v>
      </c>
      <c r="K2920" t="s">
        <v>29</v>
      </c>
      <c r="L2920" t="s">
        <v>30</v>
      </c>
      <c r="M2920" t="s">
        <v>139</v>
      </c>
      <c r="N2920">
        <v>606</v>
      </c>
      <c r="O2920" s="14">
        <v>8.6066766874864697E-2</v>
      </c>
      <c r="P2920" s="14">
        <v>0.71991415042430196</v>
      </c>
      <c r="Q2920" t="str">
        <f t="shared" si="90"/>
        <v>50+</v>
      </c>
      <c r="R2920" t="str">
        <f t="shared" si="91"/>
        <v>[AZyWpGzhcaA]|50+|Female|PLHIV_Attend.T_1|CY2023Q3</v>
      </c>
    </row>
    <row r="2921" spans="4:18" x14ac:dyDescent="0.2">
      <c r="D2921" t="s">
        <v>89</v>
      </c>
      <c r="E2921" t="s">
        <v>90</v>
      </c>
      <c r="F2921" t="s">
        <v>91</v>
      </c>
      <c r="G2921" t="s">
        <v>149</v>
      </c>
      <c r="H2921" t="s">
        <v>149</v>
      </c>
      <c r="I2921" t="s">
        <v>27</v>
      </c>
      <c r="J2921" t="s">
        <v>28</v>
      </c>
      <c r="K2921" t="s">
        <v>47</v>
      </c>
      <c r="L2921" t="s">
        <v>48</v>
      </c>
      <c r="M2921" t="s">
        <v>139</v>
      </c>
      <c r="N2921">
        <v>783</v>
      </c>
      <c r="O2921" s="14">
        <v>0.75504804053343799</v>
      </c>
      <c r="P2921" s="14">
        <v>0.71991415042430196</v>
      </c>
      <c r="Q2921" t="str">
        <f t="shared" si="90"/>
        <v>&lt;01</v>
      </c>
      <c r="R2921" t="str">
        <f t="shared" si="91"/>
        <v>[AZyWpGzhcaA]|&lt;01|Male|PLHIV_Attend.T_1|CY2023Q3</v>
      </c>
    </row>
    <row r="2922" spans="4:18" x14ac:dyDescent="0.2">
      <c r="D2922" t="s">
        <v>89</v>
      </c>
      <c r="E2922" t="s">
        <v>90</v>
      </c>
      <c r="F2922" t="s">
        <v>91</v>
      </c>
      <c r="G2922" t="s">
        <v>149</v>
      </c>
      <c r="H2922" t="s">
        <v>149</v>
      </c>
      <c r="I2922" t="s">
        <v>32</v>
      </c>
      <c r="J2922" t="s">
        <v>33</v>
      </c>
      <c r="K2922" t="s">
        <v>47</v>
      </c>
      <c r="L2922" t="s">
        <v>48</v>
      </c>
      <c r="M2922" t="s">
        <v>139</v>
      </c>
      <c r="N2922">
        <v>1375</v>
      </c>
      <c r="O2922" s="14">
        <v>0.209626764524728</v>
      </c>
      <c r="P2922" s="14">
        <v>0.71991415042430196</v>
      </c>
      <c r="Q2922" t="str">
        <f t="shared" si="90"/>
        <v>01-09</v>
      </c>
      <c r="R2922" t="str">
        <f t="shared" si="91"/>
        <v>[AZyWpGzhcaA]|01-09|Male|PLHIV_Attend.T_1|CY2023Q3</v>
      </c>
    </row>
    <row r="2923" spans="4:18" x14ac:dyDescent="0.2">
      <c r="D2923" t="s">
        <v>89</v>
      </c>
      <c r="E2923" t="s">
        <v>90</v>
      </c>
      <c r="F2923" t="s">
        <v>91</v>
      </c>
      <c r="G2923" t="s">
        <v>149</v>
      </c>
      <c r="H2923" t="s">
        <v>149</v>
      </c>
      <c r="I2923" t="s">
        <v>35</v>
      </c>
      <c r="J2923" t="s">
        <v>36</v>
      </c>
      <c r="K2923" t="s">
        <v>47</v>
      </c>
      <c r="L2923" t="s">
        <v>48</v>
      </c>
      <c r="M2923" t="s">
        <v>139</v>
      </c>
      <c r="N2923">
        <v>553</v>
      </c>
      <c r="O2923" s="14">
        <v>0.85507848369888995</v>
      </c>
      <c r="P2923" s="14">
        <v>0.71991415042430196</v>
      </c>
      <c r="Q2923" t="str">
        <f t="shared" si="90"/>
        <v>10-14</v>
      </c>
      <c r="R2923" t="str">
        <f t="shared" si="91"/>
        <v>[AZyWpGzhcaA]|10-14|Male|PLHIV_Attend.T_1|CY2023Q3</v>
      </c>
    </row>
    <row r="2924" spans="4:18" x14ac:dyDescent="0.2">
      <c r="D2924" t="s">
        <v>89</v>
      </c>
      <c r="E2924" t="s">
        <v>90</v>
      </c>
      <c r="F2924" t="s">
        <v>91</v>
      </c>
      <c r="G2924" t="s">
        <v>149</v>
      </c>
      <c r="H2924" t="s">
        <v>149</v>
      </c>
      <c r="I2924" t="s">
        <v>37</v>
      </c>
      <c r="J2924" t="s">
        <v>38</v>
      </c>
      <c r="K2924" t="s">
        <v>47</v>
      </c>
      <c r="L2924" t="s">
        <v>48</v>
      </c>
      <c r="M2924" t="s">
        <v>139</v>
      </c>
      <c r="N2924">
        <v>1445</v>
      </c>
      <c r="O2924" s="14">
        <v>0.57505292957648602</v>
      </c>
      <c r="P2924" s="14">
        <v>0.71991415042430196</v>
      </c>
      <c r="Q2924" t="str">
        <f t="shared" si="90"/>
        <v>15-24</v>
      </c>
      <c r="R2924" t="str">
        <f t="shared" si="91"/>
        <v>[AZyWpGzhcaA]|15-24|Male|PLHIV_Attend.T_1|CY2023Q3</v>
      </c>
    </row>
    <row r="2925" spans="4:18" x14ac:dyDescent="0.2">
      <c r="D2925" t="s">
        <v>89</v>
      </c>
      <c r="E2925" t="s">
        <v>90</v>
      </c>
      <c r="F2925" t="s">
        <v>91</v>
      </c>
      <c r="G2925" t="s">
        <v>149</v>
      </c>
      <c r="H2925" t="s">
        <v>149</v>
      </c>
      <c r="I2925" t="s">
        <v>40</v>
      </c>
      <c r="J2925" t="s">
        <v>41</v>
      </c>
      <c r="K2925" t="s">
        <v>47</v>
      </c>
      <c r="L2925" t="s">
        <v>48</v>
      </c>
      <c r="M2925" t="s">
        <v>139</v>
      </c>
      <c r="N2925">
        <v>1425</v>
      </c>
      <c r="O2925" s="14">
        <v>0.27262487192638202</v>
      </c>
      <c r="P2925" s="14">
        <v>0.71991415042430196</v>
      </c>
      <c r="Q2925" t="str">
        <f t="shared" si="90"/>
        <v>25-34</v>
      </c>
      <c r="R2925" t="str">
        <f t="shared" si="91"/>
        <v>[AZyWpGzhcaA]|25-34|Male|PLHIV_Attend.T_1|CY2023Q3</v>
      </c>
    </row>
    <row r="2926" spans="4:18" x14ac:dyDescent="0.2">
      <c r="D2926" t="s">
        <v>89</v>
      </c>
      <c r="E2926" t="s">
        <v>90</v>
      </c>
      <c r="F2926" t="s">
        <v>91</v>
      </c>
      <c r="G2926" t="s">
        <v>149</v>
      </c>
      <c r="H2926" t="s">
        <v>149</v>
      </c>
      <c r="I2926" t="s">
        <v>42</v>
      </c>
      <c r="J2926" t="s">
        <v>43</v>
      </c>
      <c r="K2926" t="s">
        <v>47</v>
      </c>
      <c r="L2926" t="s">
        <v>48</v>
      </c>
      <c r="M2926" t="s">
        <v>139</v>
      </c>
      <c r="N2926">
        <v>1916</v>
      </c>
      <c r="O2926" s="14">
        <v>0.47781277773901798</v>
      </c>
      <c r="P2926" s="14">
        <v>0.71991415042430196</v>
      </c>
      <c r="Q2926" t="str">
        <f t="shared" si="90"/>
        <v>35-49</v>
      </c>
      <c r="R2926" t="str">
        <f t="shared" si="91"/>
        <v>[AZyWpGzhcaA]|35-49|Male|PLHIV_Attend.T_1|CY2023Q3</v>
      </c>
    </row>
    <row r="2927" spans="4:18" x14ac:dyDescent="0.2">
      <c r="D2927" t="s">
        <v>89</v>
      </c>
      <c r="E2927" t="s">
        <v>90</v>
      </c>
      <c r="F2927" t="s">
        <v>91</v>
      </c>
      <c r="G2927" t="s">
        <v>149</v>
      </c>
      <c r="H2927" t="s">
        <v>149</v>
      </c>
      <c r="I2927" t="s">
        <v>44</v>
      </c>
      <c r="J2927" t="s">
        <v>45</v>
      </c>
      <c r="K2927" t="s">
        <v>47</v>
      </c>
      <c r="L2927" t="s">
        <v>48</v>
      </c>
      <c r="M2927" t="s">
        <v>139</v>
      </c>
      <c r="N2927">
        <v>790</v>
      </c>
      <c r="O2927" s="14">
        <v>0.94295457797125004</v>
      </c>
      <c r="P2927" s="14">
        <v>0.71991415042430196</v>
      </c>
      <c r="Q2927" t="str">
        <f t="shared" si="90"/>
        <v>50+</v>
      </c>
      <c r="R2927" t="str">
        <f t="shared" si="91"/>
        <v>[AZyWpGzhcaA]|50+|Male|PLHIV_Attend.T_1|CY2023Q3</v>
      </c>
    </row>
    <row r="2928" spans="4:18" x14ac:dyDescent="0.2">
      <c r="D2928" t="s">
        <v>92</v>
      </c>
      <c r="E2928" t="s">
        <v>93</v>
      </c>
      <c r="F2928" t="s">
        <v>94</v>
      </c>
      <c r="G2928" t="s">
        <v>149</v>
      </c>
      <c r="H2928" t="s">
        <v>149</v>
      </c>
      <c r="I2928" t="s">
        <v>27</v>
      </c>
      <c r="J2928" t="s">
        <v>28</v>
      </c>
      <c r="K2928" t="s">
        <v>29</v>
      </c>
      <c r="L2928" t="s">
        <v>30</v>
      </c>
      <c r="M2928" t="s">
        <v>139</v>
      </c>
      <c r="N2928">
        <v>1432</v>
      </c>
      <c r="O2928" s="14">
        <v>0.82766684005036995</v>
      </c>
      <c r="P2928" s="14">
        <v>0.36227229656651599</v>
      </c>
      <c r="Q2928" t="str">
        <f t="shared" si="90"/>
        <v>&lt;01</v>
      </c>
      <c r="R2928" t="str">
        <f t="shared" si="91"/>
        <v>[umc2n1Z4wNv]|&lt;01|Female|PLHIV_Attend.T_1|CY2023Q3</v>
      </c>
    </row>
    <row r="2929" spans="4:18" x14ac:dyDescent="0.2">
      <c r="D2929" t="s">
        <v>92</v>
      </c>
      <c r="E2929" t="s">
        <v>93</v>
      </c>
      <c r="F2929" t="s">
        <v>94</v>
      </c>
      <c r="G2929" t="s">
        <v>149</v>
      </c>
      <c r="H2929" t="s">
        <v>149</v>
      </c>
      <c r="I2929" t="s">
        <v>32</v>
      </c>
      <c r="J2929" t="s">
        <v>33</v>
      </c>
      <c r="K2929" t="s">
        <v>29</v>
      </c>
      <c r="L2929" t="s">
        <v>30</v>
      </c>
      <c r="M2929" t="s">
        <v>139</v>
      </c>
      <c r="N2929">
        <v>1967</v>
      </c>
      <c r="O2929" s="14">
        <v>0.66081872466020297</v>
      </c>
      <c r="P2929" s="14">
        <v>0.36227229656651599</v>
      </c>
      <c r="Q2929" t="str">
        <f t="shared" si="90"/>
        <v>01-09</v>
      </c>
      <c r="R2929" t="str">
        <f t="shared" si="91"/>
        <v>[umc2n1Z4wNv]|01-09|Female|PLHIV_Attend.T_1|CY2023Q3</v>
      </c>
    </row>
    <row r="2930" spans="4:18" x14ac:dyDescent="0.2">
      <c r="D2930" t="s">
        <v>92</v>
      </c>
      <c r="E2930" t="s">
        <v>93</v>
      </c>
      <c r="F2930" t="s">
        <v>94</v>
      </c>
      <c r="G2930" t="s">
        <v>149</v>
      </c>
      <c r="H2930" t="s">
        <v>149</v>
      </c>
      <c r="I2930" t="s">
        <v>35</v>
      </c>
      <c r="J2930" t="s">
        <v>36</v>
      </c>
      <c r="K2930" t="s">
        <v>29</v>
      </c>
      <c r="L2930" t="s">
        <v>30</v>
      </c>
      <c r="M2930" t="s">
        <v>139</v>
      </c>
      <c r="N2930">
        <v>1520</v>
      </c>
      <c r="O2930" s="14">
        <v>0.123421935597435</v>
      </c>
      <c r="P2930" s="14">
        <v>0.36227229656651599</v>
      </c>
      <c r="Q2930" t="str">
        <f t="shared" si="90"/>
        <v>10-14</v>
      </c>
      <c r="R2930" t="str">
        <f t="shared" si="91"/>
        <v>[umc2n1Z4wNv]|10-14|Female|PLHIV_Attend.T_1|CY2023Q3</v>
      </c>
    </row>
    <row r="2931" spans="4:18" x14ac:dyDescent="0.2">
      <c r="D2931" t="s">
        <v>92</v>
      </c>
      <c r="E2931" t="s">
        <v>93</v>
      </c>
      <c r="F2931" t="s">
        <v>94</v>
      </c>
      <c r="G2931" t="s">
        <v>149</v>
      </c>
      <c r="H2931" t="s">
        <v>149</v>
      </c>
      <c r="I2931" t="s">
        <v>37</v>
      </c>
      <c r="J2931" t="s">
        <v>38</v>
      </c>
      <c r="K2931" t="s">
        <v>29</v>
      </c>
      <c r="L2931" t="s">
        <v>30</v>
      </c>
      <c r="M2931" t="s">
        <v>139</v>
      </c>
      <c r="N2931">
        <v>724</v>
      </c>
      <c r="O2931" s="14">
        <v>0.38124619168229401</v>
      </c>
      <c r="P2931" s="14">
        <v>0.36227229656651599</v>
      </c>
      <c r="Q2931" t="str">
        <f t="shared" si="90"/>
        <v>15-24</v>
      </c>
      <c r="R2931" t="str">
        <f t="shared" si="91"/>
        <v>[umc2n1Z4wNv]|15-24|Female|PLHIV_Attend.T_1|CY2023Q3</v>
      </c>
    </row>
    <row r="2932" spans="4:18" x14ac:dyDescent="0.2">
      <c r="D2932" t="s">
        <v>92</v>
      </c>
      <c r="E2932" t="s">
        <v>93</v>
      </c>
      <c r="F2932" t="s">
        <v>94</v>
      </c>
      <c r="G2932" t="s">
        <v>149</v>
      </c>
      <c r="H2932" t="s">
        <v>149</v>
      </c>
      <c r="I2932" t="s">
        <v>40</v>
      </c>
      <c r="J2932" t="s">
        <v>41</v>
      </c>
      <c r="K2932" t="s">
        <v>29</v>
      </c>
      <c r="L2932" t="s">
        <v>30</v>
      </c>
      <c r="M2932" t="s">
        <v>139</v>
      </c>
      <c r="N2932">
        <v>1820</v>
      </c>
      <c r="O2932" s="14">
        <v>0.39962886529974601</v>
      </c>
      <c r="P2932" s="14">
        <v>0.36227229656651599</v>
      </c>
      <c r="Q2932" t="str">
        <f t="shared" si="90"/>
        <v>25-34</v>
      </c>
      <c r="R2932" t="str">
        <f t="shared" si="91"/>
        <v>[umc2n1Z4wNv]|25-34|Female|PLHIV_Attend.T_1|CY2023Q3</v>
      </c>
    </row>
    <row r="2933" spans="4:18" x14ac:dyDescent="0.2">
      <c r="D2933" t="s">
        <v>92</v>
      </c>
      <c r="E2933" t="s">
        <v>93</v>
      </c>
      <c r="F2933" t="s">
        <v>94</v>
      </c>
      <c r="G2933" t="s">
        <v>149</v>
      </c>
      <c r="H2933" t="s">
        <v>149</v>
      </c>
      <c r="I2933" t="s">
        <v>42</v>
      </c>
      <c r="J2933" t="s">
        <v>43</v>
      </c>
      <c r="K2933" t="s">
        <v>29</v>
      </c>
      <c r="L2933" t="s">
        <v>30</v>
      </c>
      <c r="M2933" t="s">
        <v>139</v>
      </c>
      <c r="N2933">
        <v>1233</v>
      </c>
      <c r="O2933" s="14">
        <v>0.47079189470969102</v>
      </c>
      <c r="P2933" s="14">
        <v>0.36227229656651599</v>
      </c>
      <c r="Q2933" t="str">
        <f t="shared" si="90"/>
        <v>35-49</v>
      </c>
      <c r="R2933" t="str">
        <f t="shared" si="91"/>
        <v>[umc2n1Z4wNv]|35-49|Female|PLHIV_Attend.T_1|CY2023Q3</v>
      </c>
    </row>
    <row r="2934" spans="4:18" x14ac:dyDescent="0.2">
      <c r="D2934" t="s">
        <v>92</v>
      </c>
      <c r="E2934" t="s">
        <v>93</v>
      </c>
      <c r="F2934" t="s">
        <v>94</v>
      </c>
      <c r="G2934" t="s">
        <v>149</v>
      </c>
      <c r="H2934" t="s">
        <v>149</v>
      </c>
      <c r="I2934" t="s">
        <v>44</v>
      </c>
      <c r="J2934" t="s">
        <v>45</v>
      </c>
      <c r="K2934" t="s">
        <v>29</v>
      </c>
      <c r="L2934" t="s">
        <v>30</v>
      </c>
      <c r="M2934" t="s">
        <v>139</v>
      </c>
      <c r="N2934">
        <v>1928</v>
      </c>
      <c r="O2934" s="14">
        <v>0.81076025334186896</v>
      </c>
      <c r="P2934" s="14">
        <v>0.36227229656651599</v>
      </c>
      <c r="Q2934" t="str">
        <f t="shared" si="90"/>
        <v>50+</v>
      </c>
      <c r="R2934" t="str">
        <f t="shared" si="91"/>
        <v>[umc2n1Z4wNv]|50+|Female|PLHIV_Attend.T_1|CY2023Q3</v>
      </c>
    </row>
    <row r="2935" spans="4:18" x14ac:dyDescent="0.2">
      <c r="D2935" t="s">
        <v>92</v>
      </c>
      <c r="E2935" t="s">
        <v>93</v>
      </c>
      <c r="F2935" t="s">
        <v>94</v>
      </c>
      <c r="G2935" t="s">
        <v>149</v>
      </c>
      <c r="H2935" t="s">
        <v>149</v>
      </c>
      <c r="I2935" t="s">
        <v>27</v>
      </c>
      <c r="J2935" t="s">
        <v>28</v>
      </c>
      <c r="K2935" t="s">
        <v>47</v>
      </c>
      <c r="L2935" t="s">
        <v>48</v>
      </c>
      <c r="M2935" t="s">
        <v>139</v>
      </c>
      <c r="N2935">
        <v>1030</v>
      </c>
      <c r="O2935" s="14">
        <v>0.86812780937179901</v>
      </c>
      <c r="P2935" s="14">
        <v>0.36227229656651599</v>
      </c>
      <c r="Q2935" t="str">
        <f t="shared" si="90"/>
        <v>&lt;01</v>
      </c>
      <c r="R2935" t="str">
        <f t="shared" si="91"/>
        <v>[umc2n1Z4wNv]|&lt;01|Male|PLHIV_Attend.T_1|CY2023Q3</v>
      </c>
    </row>
    <row r="2936" spans="4:18" x14ac:dyDescent="0.2">
      <c r="D2936" t="s">
        <v>92</v>
      </c>
      <c r="E2936" t="s">
        <v>93</v>
      </c>
      <c r="F2936" t="s">
        <v>94</v>
      </c>
      <c r="G2936" t="s">
        <v>149</v>
      </c>
      <c r="H2936" t="s">
        <v>149</v>
      </c>
      <c r="I2936" t="s">
        <v>32</v>
      </c>
      <c r="J2936" t="s">
        <v>33</v>
      </c>
      <c r="K2936" t="s">
        <v>47</v>
      </c>
      <c r="L2936" t="s">
        <v>48</v>
      </c>
      <c r="M2936" t="s">
        <v>139</v>
      </c>
      <c r="N2936">
        <v>596</v>
      </c>
      <c r="O2936" s="14">
        <v>0.45783048984594599</v>
      </c>
      <c r="P2936" s="14">
        <v>0.36227229656651599</v>
      </c>
      <c r="Q2936" t="str">
        <f t="shared" si="90"/>
        <v>01-09</v>
      </c>
      <c r="R2936" t="str">
        <f t="shared" si="91"/>
        <v>[umc2n1Z4wNv]|01-09|Male|PLHIV_Attend.T_1|CY2023Q3</v>
      </c>
    </row>
    <row r="2937" spans="4:18" x14ac:dyDescent="0.2">
      <c r="D2937" t="s">
        <v>92</v>
      </c>
      <c r="E2937" t="s">
        <v>93</v>
      </c>
      <c r="F2937" t="s">
        <v>94</v>
      </c>
      <c r="G2937" t="s">
        <v>149</v>
      </c>
      <c r="H2937" t="s">
        <v>149</v>
      </c>
      <c r="I2937" t="s">
        <v>35</v>
      </c>
      <c r="J2937" t="s">
        <v>36</v>
      </c>
      <c r="K2937" t="s">
        <v>47</v>
      </c>
      <c r="L2937" t="s">
        <v>48</v>
      </c>
      <c r="M2937" t="s">
        <v>139</v>
      </c>
      <c r="N2937">
        <v>1910</v>
      </c>
      <c r="O2937" s="14">
        <v>0.46587136923335498</v>
      </c>
      <c r="P2937" s="14">
        <v>0.36227229656651599</v>
      </c>
      <c r="Q2937" t="str">
        <f t="shared" si="90"/>
        <v>10-14</v>
      </c>
      <c r="R2937" t="str">
        <f t="shared" si="91"/>
        <v>[umc2n1Z4wNv]|10-14|Male|PLHIV_Attend.T_1|CY2023Q3</v>
      </c>
    </row>
    <row r="2938" spans="4:18" x14ac:dyDescent="0.2">
      <c r="D2938" t="s">
        <v>92</v>
      </c>
      <c r="E2938" t="s">
        <v>93</v>
      </c>
      <c r="F2938" t="s">
        <v>94</v>
      </c>
      <c r="G2938" t="s">
        <v>149</v>
      </c>
      <c r="H2938" t="s">
        <v>149</v>
      </c>
      <c r="I2938" t="s">
        <v>37</v>
      </c>
      <c r="J2938" t="s">
        <v>38</v>
      </c>
      <c r="K2938" t="s">
        <v>47</v>
      </c>
      <c r="L2938" t="s">
        <v>48</v>
      </c>
      <c r="M2938" t="s">
        <v>139</v>
      </c>
      <c r="N2938">
        <v>1137</v>
      </c>
      <c r="O2938" s="14">
        <v>0.72821660316549197</v>
      </c>
      <c r="P2938" s="14">
        <v>0.36227229656651599</v>
      </c>
      <c r="Q2938" t="str">
        <f t="shared" si="90"/>
        <v>15-24</v>
      </c>
      <c r="R2938" t="str">
        <f t="shared" si="91"/>
        <v>[umc2n1Z4wNv]|15-24|Male|PLHIV_Attend.T_1|CY2023Q3</v>
      </c>
    </row>
    <row r="2939" spans="4:18" x14ac:dyDescent="0.2">
      <c r="D2939" t="s">
        <v>92</v>
      </c>
      <c r="E2939" t="s">
        <v>93</v>
      </c>
      <c r="F2939" t="s">
        <v>94</v>
      </c>
      <c r="G2939" t="s">
        <v>149</v>
      </c>
      <c r="H2939" t="s">
        <v>149</v>
      </c>
      <c r="I2939" t="s">
        <v>40</v>
      </c>
      <c r="J2939" t="s">
        <v>41</v>
      </c>
      <c r="K2939" t="s">
        <v>47</v>
      </c>
      <c r="L2939" t="s">
        <v>48</v>
      </c>
      <c r="M2939" t="s">
        <v>139</v>
      </c>
      <c r="N2939">
        <v>694</v>
      </c>
      <c r="O2939" s="14">
        <v>0.28923799283802498</v>
      </c>
      <c r="P2939" s="14">
        <v>0.36227229656651599</v>
      </c>
      <c r="Q2939" t="str">
        <f t="shared" si="90"/>
        <v>25-34</v>
      </c>
      <c r="R2939" t="str">
        <f t="shared" si="91"/>
        <v>[umc2n1Z4wNv]|25-34|Male|PLHIV_Attend.T_1|CY2023Q3</v>
      </c>
    </row>
    <row r="2940" spans="4:18" x14ac:dyDescent="0.2">
      <c r="D2940" t="s">
        <v>92</v>
      </c>
      <c r="E2940" t="s">
        <v>93</v>
      </c>
      <c r="F2940" t="s">
        <v>94</v>
      </c>
      <c r="G2940" t="s">
        <v>149</v>
      </c>
      <c r="H2940" t="s">
        <v>149</v>
      </c>
      <c r="I2940" t="s">
        <v>42</v>
      </c>
      <c r="J2940" t="s">
        <v>43</v>
      </c>
      <c r="K2940" t="s">
        <v>47</v>
      </c>
      <c r="L2940" t="s">
        <v>48</v>
      </c>
      <c r="M2940" t="s">
        <v>139</v>
      </c>
      <c r="N2940">
        <v>1922</v>
      </c>
      <c r="O2940" s="14">
        <v>0.19158837315626401</v>
      </c>
      <c r="P2940" s="14">
        <v>0.36227229656651599</v>
      </c>
      <c r="Q2940" t="str">
        <f t="shared" si="90"/>
        <v>35-49</v>
      </c>
      <c r="R2940" t="str">
        <f t="shared" si="91"/>
        <v>[umc2n1Z4wNv]|35-49|Male|PLHIV_Attend.T_1|CY2023Q3</v>
      </c>
    </row>
    <row r="2941" spans="4:18" x14ac:dyDescent="0.2">
      <c r="D2941" t="s">
        <v>92</v>
      </c>
      <c r="E2941" t="s">
        <v>93</v>
      </c>
      <c r="F2941" t="s">
        <v>94</v>
      </c>
      <c r="G2941" t="s">
        <v>149</v>
      </c>
      <c r="H2941" t="s">
        <v>149</v>
      </c>
      <c r="I2941" t="s">
        <v>44</v>
      </c>
      <c r="J2941" t="s">
        <v>45</v>
      </c>
      <c r="K2941" t="s">
        <v>47</v>
      </c>
      <c r="L2941" t="s">
        <v>48</v>
      </c>
      <c r="M2941" t="s">
        <v>139</v>
      </c>
      <c r="N2941">
        <v>579</v>
      </c>
      <c r="O2941" s="14">
        <v>9.8701830953359604E-2</v>
      </c>
      <c r="P2941" s="14">
        <v>0.36227229656651599</v>
      </c>
      <c r="Q2941" t="str">
        <f t="shared" si="90"/>
        <v>50+</v>
      </c>
      <c r="R2941" t="str">
        <f t="shared" si="91"/>
        <v>[umc2n1Z4wNv]|50+|Male|PLHIV_Attend.T_1|CY2023Q3</v>
      </c>
    </row>
    <row r="2942" spans="4:18" x14ac:dyDescent="0.2">
      <c r="D2942" t="s">
        <v>95</v>
      </c>
      <c r="E2942" t="s">
        <v>96</v>
      </c>
      <c r="F2942" t="s">
        <v>97</v>
      </c>
      <c r="G2942" t="s">
        <v>149</v>
      </c>
      <c r="H2942" t="s">
        <v>149</v>
      </c>
      <c r="I2942" t="s">
        <v>27</v>
      </c>
      <c r="J2942" t="s">
        <v>28</v>
      </c>
      <c r="K2942" t="s">
        <v>29</v>
      </c>
      <c r="L2942" t="s">
        <v>30</v>
      </c>
      <c r="M2942" t="s">
        <v>139</v>
      </c>
      <c r="N2942">
        <v>1747</v>
      </c>
      <c r="O2942" s="14">
        <v>0.45075487578287698</v>
      </c>
      <c r="P2942" s="14">
        <v>0.60125171788968101</v>
      </c>
      <c r="Q2942" t="str">
        <f t="shared" si="90"/>
        <v>&lt;01</v>
      </c>
      <c r="R2942" t="str">
        <f t="shared" si="91"/>
        <v>[gwVYinjBAe9]|&lt;01|Female|PLHIV_Attend.T_1|CY2023Q3</v>
      </c>
    </row>
    <row r="2943" spans="4:18" x14ac:dyDescent="0.2">
      <c r="D2943" t="s">
        <v>95</v>
      </c>
      <c r="E2943" t="s">
        <v>96</v>
      </c>
      <c r="F2943" t="s">
        <v>97</v>
      </c>
      <c r="G2943" t="s">
        <v>149</v>
      </c>
      <c r="H2943" t="s">
        <v>149</v>
      </c>
      <c r="I2943" t="s">
        <v>32</v>
      </c>
      <c r="J2943" t="s">
        <v>33</v>
      </c>
      <c r="K2943" t="s">
        <v>29</v>
      </c>
      <c r="L2943" t="s">
        <v>30</v>
      </c>
      <c r="M2943" t="s">
        <v>139</v>
      </c>
      <c r="N2943">
        <v>1259</v>
      </c>
      <c r="O2943" s="14">
        <v>0.735617896309122</v>
      </c>
      <c r="P2943" s="14">
        <v>0.60125171788968101</v>
      </c>
      <c r="Q2943" t="str">
        <f t="shared" si="90"/>
        <v>01-09</v>
      </c>
      <c r="R2943" t="str">
        <f t="shared" si="91"/>
        <v>[gwVYinjBAe9]|01-09|Female|PLHIV_Attend.T_1|CY2023Q3</v>
      </c>
    </row>
    <row r="2944" spans="4:18" x14ac:dyDescent="0.2">
      <c r="D2944" t="s">
        <v>95</v>
      </c>
      <c r="E2944" t="s">
        <v>96</v>
      </c>
      <c r="F2944" t="s">
        <v>97</v>
      </c>
      <c r="G2944" t="s">
        <v>149</v>
      </c>
      <c r="H2944" t="s">
        <v>149</v>
      </c>
      <c r="I2944" t="s">
        <v>35</v>
      </c>
      <c r="J2944" t="s">
        <v>36</v>
      </c>
      <c r="K2944" t="s">
        <v>29</v>
      </c>
      <c r="L2944" t="s">
        <v>30</v>
      </c>
      <c r="M2944" t="s">
        <v>139</v>
      </c>
      <c r="N2944">
        <v>1238</v>
      </c>
      <c r="O2944" s="14">
        <v>0.68535651476122394</v>
      </c>
      <c r="P2944" s="14">
        <v>0.60125171788968101</v>
      </c>
      <c r="Q2944" t="str">
        <f t="shared" si="90"/>
        <v>10-14</v>
      </c>
      <c r="R2944" t="str">
        <f t="shared" si="91"/>
        <v>[gwVYinjBAe9]|10-14|Female|PLHIV_Attend.T_1|CY2023Q3</v>
      </c>
    </row>
    <row r="2945" spans="4:18" x14ac:dyDescent="0.2">
      <c r="D2945" t="s">
        <v>95</v>
      </c>
      <c r="E2945" t="s">
        <v>96</v>
      </c>
      <c r="F2945" t="s">
        <v>97</v>
      </c>
      <c r="G2945" t="s">
        <v>149</v>
      </c>
      <c r="H2945" t="s">
        <v>149</v>
      </c>
      <c r="I2945" t="s">
        <v>37</v>
      </c>
      <c r="J2945" t="s">
        <v>38</v>
      </c>
      <c r="K2945" t="s">
        <v>29</v>
      </c>
      <c r="L2945" t="s">
        <v>30</v>
      </c>
      <c r="M2945" t="s">
        <v>139</v>
      </c>
      <c r="N2945">
        <v>1560</v>
      </c>
      <c r="O2945" s="14">
        <v>0.98963819770142403</v>
      </c>
      <c r="P2945" s="14">
        <v>0.60125171788968101</v>
      </c>
      <c r="Q2945" t="str">
        <f t="shared" si="90"/>
        <v>15-24</v>
      </c>
      <c r="R2945" t="str">
        <f t="shared" si="91"/>
        <v>[gwVYinjBAe9]|15-24|Female|PLHIV_Attend.T_1|CY2023Q3</v>
      </c>
    </row>
    <row r="2946" spans="4:18" x14ac:dyDescent="0.2">
      <c r="D2946" t="s">
        <v>95</v>
      </c>
      <c r="E2946" t="s">
        <v>96</v>
      </c>
      <c r="F2946" t="s">
        <v>97</v>
      </c>
      <c r="G2946" t="s">
        <v>149</v>
      </c>
      <c r="H2946" t="s">
        <v>149</v>
      </c>
      <c r="I2946" t="s">
        <v>40</v>
      </c>
      <c r="J2946" t="s">
        <v>41</v>
      </c>
      <c r="K2946" t="s">
        <v>29</v>
      </c>
      <c r="L2946" t="s">
        <v>30</v>
      </c>
      <c r="M2946" t="s">
        <v>139</v>
      </c>
      <c r="N2946">
        <v>932</v>
      </c>
      <c r="O2946" s="14">
        <v>0.27897614846006002</v>
      </c>
      <c r="P2946" s="14">
        <v>0.60125171788968101</v>
      </c>
      <c r="Q2946" t="str">
        <f t="shared" ref="Q2946:Q3009" si="92">SUBSTITUTE(SUBSTITUTE($I2946,CHAR(61),""),CHAR(34),"")</f>
        <v>25-34</v>
      </c>
      <c r="R2946" t="str">
        <f t="shared" ref="R2946:R3009" si="93">IF($D2946&lt;&gt;"","["&amp;$E2946&amp;"]"&amp;"|"&amp;$Q2946&amp;"|"&amp;$K2946&amp;"|"&amp;$G2946&amp;"|"&amp;IF($G2946="TX_CURR_SUBNAT.R","CY2022Q4",$M2946),"")</f>
        <v>[gwVYinjBAe9]|25-34|Female|PLHIV_Attend.T_1|CY2023Q3</v>
      </c>
    </row>
    <row r="2947" spans="4:18" x14ac:dyDescent="0.2">
      <c r="D2947" t="s">
        <v>95</v>
      </c>
      <c r="E2947" t="s">
        <v>96</v>
      </c>
      <c r="F2947" t="s">
        <v>97</v>
      </c>
      <c r="G2947" t="s">
        <v>149</v>
      </c>
      <c r="H2947" t="s">
        <v>149</v>
      </c>
      <c r="I2947" t="s">
        <v>42</v>
      </c>
      <c r="J2947" t="s">
        <v>43</v>
      </c>
      <c r="K2947" t="s">
        <v>29</v>
      </c>
      <c r="L2947" t="s">
        <v>30</v>
      </c>
      <c r="M2947" t="s">
        <v>139</v>
      </c>
      <c r="N2947">
        <v>1732</v>
      </c>
      <c r="O2947" s="14">
        <v>0.53590428060852002</v>
      </c>
      <c r="P2947" s="14">
        <v>0.60125171788968101</v>
      </c>
      <c r="Q2947" t="str">
        <f t="shared" si="92"/>
        <v>35-49</v>
      </c>
      <c r="R2947" t="str">
        <f t="shared" si="93"/>
        <v>[gwVYinjBAe9]|35-49|Female|PLHIV_Attend.T_1|CY2023Q3</v>
      </c>
    </row>
    <row r="2948" spans="4:18" x14ac:dyDescent="0.2">
      <c r="D2948" t="s">
        <v>95</v>
      </c>
      <c r="E2948" t="s">
        <v>96</v>
      </c>
      <c r="F2948" t="s">
        <v>97</v>
      </c>
      <c r="G2948" t="s">
        <v>149</v>
      </c>
      <c r="H2948" t="s">
        <v>149</v>
      </c>
      <c r="I2948" t="s">
        <v>44</v>
      </c>
      <c r="J2948" t="s">
        <v>45</v>
      </c>
      <c r="K2948" t="s">
        <v>29</v>
      </c>
      <c r="L2948" t="s">
        <v>30</v>
      </c>
      <c r="M2948" t="s">
        <v>139</v>
      </c>
      <c r="N2948">
        <v>1398</v>
      </c>
      <c r="O2948" s="14">
        <v>0.169537188485265</v>
      </c>
      <c r="P2948" s="14">
        <v>0.60125171788968101</v>
      </c>
      <c r="Q2948" t="str">
        <f t="shared" si="92"/>
        <v>50+</v>
      </c>
      <c r="R2948" t="str">
        <f t="shared" si="93"/>
        <v>[gwVYinjBAe9]|50+|Female|PLHIV_Attend.T_1|CY2023Q3</v>
      </c>
    </row>
    <row r="2949" spans="4:18" x14ac:dyDescent="0.2">
      <c r="D2949" t="s">
        <v>95</v>
      </c>
      <c r="E2949" t="s">
        <v>96</v>
      </c>
      <c r="F2949" t="s">
        <v>97</v>
      </c>
      <c r="G2949" t="s">
        <v>149</v>
      </c>
      <c r="H2949" t="s">
        <v>149</v>
      </c>
      <c r="I2949" t="s">
        <v>27</v>
      </c>
      <c r="J2949" t="s">
        <v>28</v>
      </c>
      <c r="K2949" t="s">
        <v>47</v>
      </c>
      <c r="L2949" t="s">
        <v>48</v>
      </c>
      <c r="M2949" t="s">
        <v>139</v>
      </c>
      <c r="N2949">
        <v>1230</v>
      </c>
      <c r="O2949" s="14">
        <v>0.697035711724311</v>
      </c>
      <c r="P2949" s="14">
        <v>0.60125171788968101</v>
      </c>
      <c r="Q2949" t="str">
        <f t="shared" si="92"/>
        <v>&lt;01</v>
      </c>
      <c r="R2949" t="str">
        <f t="shared" si="93"/>
        <v>[gwVYinjBAe9]|&lt;01|Male|PLHIV_Attend.T_1|CY2023Q3</v>
      </c>
    </row>
    <row r="2950" spans="4:18" x14ac:dyDescent="0.2">
      <c r="D2950" t="s">
        <v>95</v>
      </c>
      <c r="E2950" t="s">
        <v>96</v>
      </c>
      <c r="F2950" t="s">
        <v>97</v>
      </c>
      <c r="G2950" t="s">
        <v>149</v>
      </c>
      <c r="H2950" t="s">
        <v>149</v>
      </c>
      <c r="I2950" t="s">
        <v>32</v>
      </c>
      <c r="J2950" t="s">
        <v>33</v>
      </c>
      <c r="K2950" t="s">
        <v>47</v>
      </c>
      <c r="L2950" t="s">
        <v>48</v>
      </c>
      <c r="M2950" t="s">
        <v>139</v>
      </c>
      <c r="N2950">
        <v>1949</v>
      </c>
      <c r="O2950" s="14">
        <v>0.22622745879925801</v>
      </c>
      <c r="P2950" s="14">
        <v>0.60125171788968101</v>
      </c>
      <c r="Q2950" t="str">
        <f t="shared" si="92"/>
        <v>01-09</v>
      </c>
      <c r="R2950" t="str">
        <f t="shared" si="93"/>
        <v>[gwVYinjBAe9]|01-09|Male|PLHIV_Attend.T_1|CY2023Q3</v>
      </c>
    </row>
    <row r="2951" spans="4:18" x14ac:dyDescent="0.2">
      <c r="D2951" t="s">
        <v>95</v>
      </c>
      <c r="E2951" t="s">
        <v>96</v>
      </c>
      <c r="F2951" t="s">
        <v>97</v>
      </c>
      <c r="G2951" t="s">
        <v>149</v>
      </c>
      <c r="H2951" t="s">
        <v>149</v>
      </c>
      <c r="I2951" t="s">
        <v>35</v>
      </c>
      <c r="J2951" t="s">
        <v>36</v>
      </c>
      <c r="K2951" t="s">
        <v>47</v>
      </c>
      <c r="L2951" t="s">
        <v>48</v>
      </c>
      <c r="M2951" t="s">
        <v>139</v>
      </c>
      <c r="N2951">
        <v>976</v>
      </c>
      <c r="O2951" s="14">
        <v>0.104938541539013</v>
      </c>
      <c r="P2951" s="14">
        <v>0.60125171788968101</v>
      </c>
      <c r="Q2951" t="str">
        <f t="shared" si="92"/>
        <v>10-14</v>
      </c>
      <c r="R2951" t="str">
        <f t="shared" si="93"/>
        <v>[gwVYinjBAe9]|10-14|Male|PLHIV_Attend.T_1|CY2023Q3</v>
      </c>
    </row>
    <row r="2952" spans="4:18" x14ac:dyDescent="0.2">
      <c r="D2952" t="s">
        <v>95</v>
      </c>
      <c r="E2952" t="s">
        <v>96</v>
      </c>
      <c r="F2952" t="s">
        <v>97</v>
      </c>
      <c r="G2952" t="s">
        <v>149</v>
      </c>
      <c r="H2952" t="s">
        <v>149</v>
      </c>
      <c r="I2952" t="s">
        <v>37</v>
      </c>
      <c r="J2952" t="s">
        <v>38</v>
      </c>
      <c r="K2952" t="s">
        <v>47</v>
      </c>
      <c r="L2952" t="s">
        <v>48</v>
      </c>
      <c r="M2952" t="s">
        <v>139</v>
      </c>
      <c r="N2952">
        <v>524</v>
      </c>
      <c r="O2952" s="14">
        <v>0.715458054095507</v>
      </c>
      <c r="P2952" s="14">
        <v>0.60125171788968101</v>
      </c>
      <c r="Q2952" t="str">
        <f t="shared" si="92"/>
        <v>15-24</v>
      </c>
      <c r="R2952" t="str">
        <f t="shared" si="93"/>
        <v>[gwVYinjBAe9]|15-24|Male|PLHIV_Attend.T_1|CY2023Q3</v>
      </c>
    </row>
    <row r="2953" spans="4:18" x14ac:dyDescent="0.2">
      <c r="D2953" t="s">
        <v>95</v>
      </c>
      <c r="E2953" t="s">
        <v>96</v>
      </c>
      <c r="F2953" t="s">
        <v>97</v>
      </c>
      <c r="G2953" t="s">
        <v>149</v>
      </c>
      <c r="H2953" t="s">
        <v>149</v>
      </c>
      <c r="I2953" t="s">
        <v>40</v>
      </c>
      <c r="J2953" t="s">
        <v>41</v>
      </c>
      <c r="K2953" t="s">
        <v>47</v>
      </c>
      <c r="L2953" t="s">
        <v>48</v>
      </c>
      <c r="M2953" t="s">
        <v>139</v>
      </c>
      <c r="N2953">
        <v>1742</v>
      </c>
      <c r="O2953" s="14">
        <v>2.17651866842061E-2</v>
      </c>
      <c r="P2953" s="14">
        <v>0.60125171788968101</v>
      </c>
      <c r="Q2953" t="str">
        <f t="shared" si="92"/>
        <v>25-34</v>
      </c>
      <c r="R2953" t="str">
        <f t="shared" si="93"/>
        <v>[gwVYinjBAe9]|25-34|Male|PLHIV_Attend.T_1|CY2023Q3</v>
      </c>
    </row>
    <row r="2954" spans="4:18" x14ac:dyDescent="0.2">
      <c r="D2954" t="s">
        <v>95</v>
      </c>
      <c r="E2954" t="s">
        <v>96</v>
      </c>
      <c r="F2954" t="s">
        <v>97</v>
      </c>
      <c r="G2954" t="s">
        <v>149</v>
      </c>
      <c r="H2954" t="s">
        <v>149</v>
      </c>
      <c r="I2954" t="s">
        <v>42</v>
      </c>
      <c r="J2954" t="s">
        <v>43</v>
      </c>
      <c r="K2954" t="s">
        <v>47</v>
      </c>
      <c r="L2954" t="s">
        <v>48</v>
      </c>
      <c r="M2954" t="s">
        <v>139</v>
      </c>
      <c r="N2954">
        <v>1471</v>
      </c>
      <c r="O2954" s="14">
        <v>0.69992614327929903</v>
      </c>
      <c r="P2954" s="14">
        <v>0.60125171788968101</v>
      </c>
      <c r="Q2954" t="str">
        <f t="shared" si="92"/>
        <v>35-49</v>
      </c>
      <c r="R2954" t="str">
        <f t="shared" si="93"/>
        <v>[gwVYinjBAe9]|35-49|Male|PLHIV_Attend.T_1|CY2023Q3</v>
      </c>
    </row>
    <row r="2955" spans="4:18" x14ac:dyDescent="0.2">
      <c r="D2955" t="s">
        <v>95</v>
      </c>
      <c r="E2955" t="s">
        <v>96</v>
      </c>
      <c r="F2955" t="s">
        <v>97</v>
      </c>
      <c r="G2955" t="s">
        <v>149</v>
      </c>
      <c r="H2955" t="s">
        <v>149</v>
      </c>
      <c r="I2955" t="s">
        <v>44</v>
      </c>
      <c r="J2955" t="s">
        <v>45</v>
      </c>
      <c r="K2955" t="s">
        <v>47</v>
      </c>
      <c r="L2955" t="s">
        <v>48</v>
      </c>
      <c r="M2955" t="s">
        <v>139</v>
      </c>
      <c r="N2955">
        <v>1839</v>
      </c>
      <c r="O2955" s="14">
        <v>0.64012711145915102</v>
      </c>
      <c r="P2955" s="14">
        <v>0.60125171788968101</v>
      </c>
      <c r="Q2955" t="str">
        <f t="shared" si="92"/>
        <v>50+</v>
      </c>
      <c r="R2955" t="str">
        <f t="shared" si="93"/>
        <v>[gwVYinjBAe9]|50+|Male|PLHIV_Attend.T_1|CY2023Q3</v>
      </c>
    </row>
    <row r="2956" spans="4:18" x14ac:dyDescent="0.2">
      <c r="D2956" t="s">
        <v>98</v>
      </c>
      <c r="E2956" t="s">
        <v>99</v>
      </c>
      <c r="F2956" t="s">
        <v>100</v>
      </c>
      <c r="G2956" t="s">
        <v>149</v>
      </c>
      <c r="H2956" t="s">
        <v>149</v>
      </c>
      <c r="I2956" t="s">
        <v>27</v>
      </c>
      <c r="J2956" t="s">
        <v>28</v>
      </c>
      <c r="K2956" t="s">
        <v>29</v>
      </c>
      <c r="L2956" t="s">
        <v>30</v>
      </c>
      <c r="M2956" t="s">
        <v>139</v>
      </c>
      <c r="N2956">
        <v>1386</v>
      </c>
      <c r="O2956" s="14">
        <v>0.44418507721275102</v>
      </c>
      <c r="P2956" s="14">
        <v>0.57728803809732199</v>
      </c>
      <c r="Q2956" t="str">
        <f t="shared" si="92"/>
        <v>&lt;01</v>
      </c>
      <c r="R2956" t="str">
        <f t="shared" si="93"/>
        <v>[mxqa3CDFmIT]|&lt;01|Female|PLHIV_Attend.T_1|CY2023Q3</v>
      </c>
    </row>
    <row r="2957" spans="4:18" x14ac:dyDescent="0.2">
      <c r="D2957" t="s">
        <v>98</v>
      </c>
      <c r="E2957" t="s">
        <v>99</v>
      </c>
      <c r="F2957" t="s">
        <v>100</v>
      </c>
      <c r="G2957" t="s">
        <v>149</v>
      </c>
      <c r="H2957" t="s">
        <v>149</v>
      </c>
      <c r="I2957" t="s">
        <v>32</v>
      </c>
      <c r="J2957" t="s">
        <v>33</v>
      </c>
      <c r="K2957" t="s">
        <v>29</v>
      </c>
      <c r="L2957" t="s">
        <v>30</v>
      </c>
      <c r="M2957" t="s">
        <v>139</v>
      </c>
      <c r="N2957">
        <v>530</v>
      </c>
      <c r="O2957" s="14">
        <v>0.50271790684200801</v>
      </c>
      <c r="P2957" s="14">
        <v>0.57728803809732199</v>
      </c>
      <c r="Q2957" t="str">
        <f t="shared" si="92"/>
        <v>01-09</v>
      </c>
      <c r="R2957" t="str">
        <f t="shared" si="93"/>
        <v>[mxqa3CDFmIT]|01-09|Female|PLHIV_Attend.T_1|CY2023Q3</v>
      </c>
    </row>
    <row r="2958" spans="4:18" x14ac:dyDescent="0.2">
      <c r="D2958" t="s">
        <v>98</v>
      </c>
      <c r="E2958" t="s">
        <v>99</v>
      </c>
      <c r="F2958" t="s">
        <v>100</v>
      </c>
      <c r="G2958" t="s">
        <v>149</v>
      </c>
      <c r="H2958" t="s">
        <v>149</v>
      </c>
      <c r="I2958" t="s">
        <v>35</v>
      </c>
      <c r="J2958" t="s">
        <v>36</v>
      </c>
      <c r="K2958" t="s">
        <v>29</v>
      </c>
      <c r="L2958" t="s">
        <v>30</v>
      </c>
      <c r="M2958" t="s">
        <v>139</v>
      </c>
      <c r="N2958">
        <v>1174</v>
      </c>
      <c r="O2958" s="14">
        <v>0.314800139749423</v>
      </c>
      <c r="P2958" s="14">
        <v>0.57728803809732199</v>
      </c>
      <c r="Q2958" t="str">
        <f t="shared" si="92"/>
        <v>10-14</v>
      </c>
      <c r="R2958" t="str">
        <f t="shared" si="93"/>
        <v>[mxqa3CDFmIT]|10-14|Female|PLHIV_Attend.T_1|CY2023Q3</v>
      </c>
    </row>
    <row r="2959" spans="4:18" x14ac:dyDescent="0.2">
      <c r="D2959" t="s">
        <v>98</v>
      </c>
      <c r="E2959" t="s">
        <v>99</v>
      </c>
      <c r="F2959" t="s">
        <v>100</v>
      </c>
      <c r="G2959" t="s">
        <v>149</v>
      </c>
      <c r="H2959" t="s">
        <v>149</v>
      </c>
      <c r="I2959" t="s">
        <v>37</v>
      </c>
      <c r="J2959" t="s">
        <v>38</v>
      </c>
      <c r="K2959" t="s">
        <v>29</v>
      </c>
      <c r="L2959" t="s">
        <v>30</v>
      </c>
      <c r="M2959" t="s">
        <v>139</v>
      </c>
      <c r="N2959">
        <v>837</v>
      </c>
      <c r="O2959" s="14">
        <v>0.71924441843293596</v>
      </c>
      <c r="P2959" s="14">
        <v>0.57728803809732199</v>
      </c>
      <c r="Q2959" t="str">
        <f t="shared" si="92"/>
        <v>15-24</v>
      </c>
      <c r="R2959" t="str">
        <f t="shared" si="93"/>
        <v>[mxqa3CDFmIT]|15-24|Female|PLHIV_Attend.T_1|CY2023Q3</v>
      </c>
    </row>
    <row r="2960" spans="4:18" x14ac:dyDescent="0.2">
      <c r="D2960" t="s">
        <v>98</v>
      </c>
      <c r="E2960" t="s">
        <v>99</v>
      </c>
      <c r="F2960" t="s">
        <v>100</v>
      </c>
      <c r="G2960" t="s">
        <v>149</v>
      </c>
      <c r="H2960" t="s">
        <v>149</v>
      </c>
      <c r="I2960" t="s">
        <v>40</v>
      </c>
      <c r="J2960" t="s">
        <v>41</v>
      </c>
      <c r="K2960" t="s">
        <v>29</v>
      </c>
      <c r="L2960" t="s">
        <v>30</v>
      </c>
      <c r="M2960" t="s">
        <v>139</v>
      </c>
      <c r="N2960">
        <v>719</v>
      </c>
      <c r="O2960" s="14">
        <v>0.44162624492309999</v>
      </c>
      <c r="P2960" s="14">
        <v>0.57728803809732199</v>
      </c>
      <c r="Q2960" t="str">
        <f t="shared" si="92"/>
        <v>25-34</v>
      </c>
      <c r="R2960" t="str">
        <f t="shared" si="93"/>
        <v>[mxqa3CDFmIT]|25-34|Female|PLHIV_Attend.T_1|CY2023Q3</v>
      </c>
    </row>
    <row r="2961" spans="4:18" x14ac:dyDescent="0.2">
      <c r="D2961" t="s">
        <v>98</v>
      </c>
      <c r="E2961" t="s">
        <v>99</v>
      </c>
      <c r="F2961" t="s">
        <v>100</v>
      </c>
      <c r="G2961" t="s">
        <v>149</v>
      </c>
      <c r="H2961" t="s">
        <v>149</v>
      </c>
      <c r="I2961" t="s">
        <v>42</v>
      </c>
      <c r="J2961" t="s">
        <v>43</v>
      </c>
      <c r="K2961" t="s">
        <v>29</v>
      </c>
      <c r="L2961" t="s">
        <v>30</v>
      </c>
      <c r="M2961" t="s">
        <v>139</v>
      </c>
      <c r="N2961">
        <v>1427</v>
      </c>
      <c r="O2961" s="14">
        <v>4.4363432796672E-2</v>
      </c>
      <c r="P2961" s="14">
        <v>0.57728803809732199</v>
      </c>
      <c r="Q2961" t="str">
        <f t="shared" si="92"/>
        <v>35-49</v>
      </c>
      <c r="R2961" t="str">
        <f t="shared" si="93"/>
        <v>[mxqa3CDFmIT]|35-49|Female|PLHIV_Attend.T_1|CY2023Q3</v>
      </c>
    </row>
    <row r="2962" spans="4:18" x14ac:dyDescent="0.2">
      <c r="D2962" t="s">
        <v>98</v>
      </c>
      <c r="E2962" t="s">
        <v>99</v>
      </c>
      <c r="F2962" t="s">
        <v>100</v>
      </c>
      <c r="G2962" t="s">
        <v>149</v>
      </c>
      <c r="H2962" t="s">
        <v>149</v>
      </c>
      <c r="I2962" t="s">
        <v>44</v>
      </c>
      <c r="J2962" t="s">
        <v>45</v>
      </c>
      <c r="K2962" t="s">
        <v>29</v>
      </c>
      <c r="L2962" t="s">
        <v>30</v>
      </c>
      <c r="M2962" t="s">
        <v>139</v>
      </c>
      <c r="N2962">
        <v>1838</v>
      </c>
      <c r="O2962" s="14">
        <v>0.61413195915520202</v>
      </c>
      <c r="P2962" s="14">
        <v>0.57728803809732199</v>
      </c>
      <c r="Q2962" t="str">
        <f t="shared" si="92"/>
        <v>50+</v>
      </c>
      <c r="R2962" t="str">
        <f t="shared" si="93"/>
        <v>[mxqa3CDFmIT]|50+|Female|PLHIV_Attend.T_1|CY2023Q3</v>
      </c>
    </row>
    <row r="2963" spans="4:18" x14ac:dyDescent="0.2">
      <c r="D2963" t="s">
        <v>98</v>
      </c>
      <c r="E2963" t="s">
        <v>99</v>
      </c>
      <c r="F2963" t="s">
        <v>100</v>
      </c>
      <c r="G2963" t="s">
        <v>149</v>
      </c>
      <c r="H2963" t="s">
        <v>149</v>
      </c>
      <c r="I2963" t="s">
        <v>27</v>
      </c>
      <c r="J2963" t="s">
        <v>28</v>
      </c>
      <c r="K2963" t="s">
        <v>47</v>
      </c>
      <c r="L2963" t="s">
        <v>48</v>
      </c>
      <c r="M2963" t="s">
        <v>139</v>
      </c>
      <c r="N2963">
        <v>1397</v>
      </c>
      <c r="O2963" s="14">
        <v>0.64827077998779703</v>
      </c>
      <c r="P2963" s="14">
        <v>0.57728803809732199</v>
      </c>
      <c r="Q2963" t="str">
        <f t="shared" si="92"/>
        <v>&lt;01</v>
      </c>
      <c r="R2963" t="str">
        <f t="shared" si="93"/>
        <v>[mxqa3CDFmIT]|&lt;01|Male|PLHIV_Attend.T_1|CY2023Q3</v>
      </c>
    </row>
    <row r="2964" spans="4:18" x14ac:dyDescent="0.2">
      <c r="D2964" t="s">
        <v>98</v>
      </c>
      <c r="E2964" t="s">
        <v>99</v>
      </c>
      <c r="F2964" t="s">
        <v>100</v>
      </c>
      <c r="G2964" t="s">
        <v>149</v>
      </c>
      <c r="H2964" t="s">
        <v>149</v>
      </c>
      <c r="I2964" t="s">
        <v>32</v>
      </c>
      <c r="J2964" t="s">
        <v>33</v>
      </c>
      <c r="K2964" t="s">
        <v>47</v>
      </c>
      <c r="L2964" t="s">
        <v>48</v>
      </c>
      <c r="M2964" t="s">
        <v>139</v>
      </c>
      <c r="N2964">
        <v>852</v>
      </c>
      <c r="O2964" s="14">
        <v>0.75692959455773201</v>
      </c>
      <c r="P2964" s="14">
        <v>0.57728803809732199</v>
      </c>
      <c r="Q2964" t="str">
        <f t="shared" si="92"/>
        <v>01-09</v>
      </c>
      <c r="R2964" t="str">
        <f t="shared" si="93"/>
        <v>[mxqa3CDFmIT]|01-09|Male|PLHIV_Attend.T_1|CY2023Q3</v>
      </c>
    </row>
    <row r="2965" spans="4:18" x14ac:dyDescent="0.2">
      <c r="D2965" t="s">
        <v>98</v>
      </c>
      <c r="E2965" t="s">
        <v>99</v>
      </c>
      <c r="F2965" t="s">
        <v>100</v>
      </c>
      <c r="G2965" t="s">
        <v>149</v>
      </c>
      <c r="H2965" t="s">
        <v>149</v>
      </c>
      <c r="I2965" t="s">
        <v>35</v>
      </c>
      <c r="J2965" t="s">
        <v>36</v>
      </c>
      <c r="K2965" t="s">
        <v>47</v>
      </c>
      <c r="L2965" t="s">
        <v>48</v>
      </c>
      <c r="M2965" t="s">
        <v>139</v>
      </c>
      <c r="N2965">
        <v>1805</v>
      </c>
      <c r="O2965" s="14">
        <v>0.54411411052569703</v>
      </c>
      <c r="P2965" s="14">
        <v>0.57728803809732199</v>
      </c>
      <c r="Q2965" t="str">
        <f t="shared" si="92"/>
        <v>10-14</v>
      </c>
      <c r="R2965" t="str">
        <f t="shared" si="93"/>
        <v>[mxqa3CDFmIT]|10-14|Male|PLHIV_Attend.T_1|CY2023Q3</v>
      </c>
    </row>
    <row r="2966" spans="4:18" x14ac:dyDescent="0.2">
      <c r="D2966" t="s">
        <v>98</v>
      </c>
      <c r="E2966" t="s">
        <v>99</v>
      </c>
      <c r="F2966" t="s">
        <v>100</v>
      </c>
      <c r="G2966" t="s">
        <v>149</v>
      </c>
      <c r="H2966" t="s">
        <v>149</v>
      </c>
      <c r="I2966" t="s">
        <v>37</v>
      </c>
      <c r="J2966" t="s">
        <v>38</v>
      </c>
      <c r="K2966" t="s">
        <v>47</v>
      </c>
      <c r="L2966" t="s">
        <v>48</v>
      </c>
      <c r="M2966" t="s">
        <v>139</v>
      </c>
      <c r="N2966">
        <v>1218</v>
      </c>
      <c r="O2966" s="14">
        <v>0.33792516752146201</v>
      </c>
      <c r="P2966" s="14">
        <v>0.57728803809732199</v>
      </c>
      <c r="Q2966" t="str">
        <f t="shared" si="92"/>
        <v>15-24</v>
      </c>
      <c r="R2966" t="str">
        <f t="shared" si="93"/>
        <v>[mxqa3CDFmIT]|15-24|Male|PLHIV_Attend.T_1|CY2023Q3</v>
      </c>
    </row>
    <row r="2967" spans="4:18" x14ac:dyDescent="0.2">
      <c r="D2967" t="s">
        <v>98</v>
      </c>
      <c r="E2967" t="s">
        <v>99</v>
      </c>
      <c r="F2967" t="s">
        <v>100</v>
      </c>
      <c r="G2967" t="s">
        <v>149</v>
      </c>
      <c r="H2967" t="s">
        <v>149</v>
      </c>
      <c r="I2967" t="s">
        <v>40</v>
      </c>
      <c r="J2967" t="s">
        <v>41</v>
      </c>
      <c r="K2967" t="s">
        <v>47</v>
      </c>
      <c r="L2967" t="s">
        <v>48</v>
      </c>
      <c r="M2967" t="s">
        <v>139</v>
      </c>
      <c r="N2967">
        <v>1654</v>
      </c>
      <c r="O2967" s="14">
        <v>0.86609480343759104</v>
      </c>
      <c r="P2967" s="14">
        <v>0.57728803809732199</v>
      </c>
      <c r="Q2967" t="str">
        <f t="shared" si="92"/>
        <v>25-34</v>
      </c>
      <c r="R2967" t="str">
        <f t="shared" si="93"/>
        <v>[mxqa3CDFmIT]|25-34|Male|PLHIV_Attend.T_1|CY2023Q3</v>
      </c>
    </row>
    <row r="2968" spans="4:18" x14ac:dyDescent="0.2">
      <c r="D2968" t="s">
        <v>98</v>
      </c>
      <c r="E2968" t="s">
        <v>99</v>
      </c>
      <c r="F2968" t="s">
        <v>100</v>
      </c>
      <c r="G2968" t="s">
        <v>149</v>
      </c>
      <c r="H2968" t="s">
        <v>149</v>
      </c>
      <c r="I2968" t="s">
        <v>42</v>
      </c>
      <c r="J2968" t="s">
        <v>43</v>
      </c>
      <c r="K2968" t="s">
        <v>47</v>
      </c>
      <c r="L2968" t="s">
        <v>48</v>
      </c>
      <c r="M2968" t="s">
        <v>139</v>
      </c>
      <c r="N2968">
        <v>760</v>
      </c>
      <c r="O2968" s="14">
        <v>5.9652205789461697E-2</v>
      </c>
      <c r="P2968" s="14">
        <v>0.57728803809732199</v>
      </c>
      <c r="Q2968" t="str">
        <f t="shared" si="92"/>
        <v>35-49</v>
      </c>
      <c r="R2968" t="str">
        <f t="shared" si="93"/>
        <v>[mxqa3CDFmIT]|35-49|Male|PLHIV_Attend.T_1|CY2023Q3</v>
      </c>
    </row>
    <row r="2969" spans="4:18" x14ac:dyDescent="0.2">
      <c r="D2969" t="s">
        <v>98</v>
      </c>
      <c r="E2969" t="s">
        <v>99</v>
      </c>
      <c r="F2969" t="s">
        <v>100</v>
      </c>
      <c r="G2969" t="s">
        <v>149</v>
      </c>
      <c r="H2969" t="s">
        <v>149</v>
      </c>
      <c r="I2969" t="s">
        <v>44</v>
      </c>
      <c r="J2969" t="s">
        <v>45</v>
      </c>
      <c r="K2969" t="s">
        <v>47</v>
      </c>
      <c r="L2969" t="s">
        <v>48</v>
      </c>
      <c r="M2969" t="s">
        <v>139</v>
      </c>
      <c r="N2969">
        <v>828</v>
      </c>
      <c r="O2969" s="14">
        <v>0.16310823429375901</v>
      </c>
      <c r="P2969" s="14">
        <v>0.57728803809732199</v>
      </c>
      <c r="Q2969" t="str">
        <f t="shared" si="92"/>
        <v>50+</v>
      </c>
      <c r="R2969" t="str">
        <f t="shared" si="93"/>
        <v>[mxqa3CDFmIT]|50+|Male|PLHIV_Attend.T_1|CY2023Q3</v>
      </c>
    </row>
    <row r="2970" spans="4:18" x14ac:dyDescent="0.2">
      <c r="D2970" t="s">
        <v>101</v>
      </c>
      <c r="E2970" t="s">
        <v>102</v>
      </c>
      <c r="F2970" t="s">
        <v>103</v>
      </c>
      <c r="G2970" t="s">
        <v>149</v>
      </c>
      <c r="H2970" t="s">
        <v>149</v>
      </c>
      <c r="I2970" t="s">
        <v>27</v>
      </c>
      <c r="J2970" t="s">
        <v>28</v>
      </c>
      <c r="K2970" t="s">
        <v>29</v>
      </c>
      <c r="L2970" t="s">
        <v>30</v>
      </c>
      <c r="M2970" t="s">
        <v>139</v>
      </c>
      <c r="N2970">
        <v>1991</v>
      </c>
      <c r="O2970" s="14">
        <v>0.97392968111671496</v>
      </c>
      <c r="P2970" s="14">
        <v>0.52621235931292198</v>
      </c>
      <c r="Q2970" t="str">
        <f t="shared" si="92"/>
        <v>&lt;01</v>
      </c>
      <c r="R2970" t="str">
        <f t="shared" si="93"/>
        <v>[wNqJp8oRIcF]|&lt;01|Female|PLHIV_Attend.T_1|CY2023Q3</v>
      </c>
    </row>
    <row r="2971" spans="4:18" x14ac:dyDescent="0.2">
      <c r="D2971" t="s">
        <v>101</v>
      </c>
      <c r="E2971" t="s">
        <v>102</v>
      </c>
      <c r="F2971" t="s">
        <v>103</v>
      </c>
      <c r="G2971" t="s">
        <v>149</v>
      </c>
      <c r="H2971" t="s">
        <v>149</v>
      </c>
      <c r="I2971" t="s">
        <v>32</v>
      </c>
      <c r="J2971" t="s">
        <v>33</v>
      </c>
      <c r="K2971" t="s">
        <v>29</v>
      </c>
      <c r="L2971" t="s">
        <v>30</v>
      </c>
      <c r="M2971" t="s">
        <v>139</v>
      </c>
      <c r="N2971">
        <v>1620</v>
      </c>
      <c r="O2971" s="14">
        <v>0.38192670070566198</v>
      </c>
      <c r="P2971" s="14">
        <v>0.52621235931292198</v>
      </c>
      <c r="Q2971" t="str">
        <f t="shared" si="92"/>
        <v>01-09</v>
      </c>
      <c r="R2971" t="str">
        <f t="shared" si="93"/>
        <v>[wNqJp8oRIcF]|01-09|Female|PLHIV_Attend.T_1|CY2023Q3</v>
      </c>
    </row>
    <row r="2972" spans="4:18" x14ac:dyDescent="0.2">
      <c r="D2972" t="s">
        <v>101</v>
      </c>
      <c r="E2972" t="s">
        <v>102</v>
      </c>
      <c r="F2972" t="s">
        <v>103</v>
      </c>
      <c r="G2972" t="s">
        <v>149</v>
      </c>
      <c r="H2972" t="s">
        <v>149</v>
      </c>
      <c r="I2972" t="s">
        <v>35</v>
      </c>
      <c r="J2972" t="s">
        <v>36</v>
      </c>
      <c r="K2972" t="s">
        <v>29</v>
      </c>
      <c r="L2972" t="s">
        <v>30</v>
      </c>
      <c r="M2972" t="s">
        <v>139</v>
      </c>
      <c r="N2972">
        <v>1557</v>
      </c>
      <c r="O2972" s="14">
        <v>0.25180828524753501</v>
      </c>
      <c r="P2972" s="14">
        <v>0.52621235931292198</v>
      </c>
      <c r="Q2972" t="str">
        <f t="shared" si="92"/>
        <v>10-14</v>
      </c>
      <c r="R2972" t="str">
        <f t="shared" si="93"/>
        <v>[wNqJp8oRIcF]|10-14|Female|PLHIV_Attend.T_1|CY2023Q3</v>
      </c>
    </row>
    <row r="2973" spans="4:18" x14ac:dyDescent="0.2">
      <c r="D2973" t="s">
        <v>101</v>
      </c>
      <c r="E2973" t="s">
        <v>102</v>
      </c>
      <c r="F2973" t="s">
        <v>103</v>
      </c>
      <c r="G2973" t="s">
        <v>149</v>
      </c>
      <c r="H2973" t="s">
        <v>149</v>
      </c>
      <c r="I2973" t="s">
        <v>37</v>
      </c>
      <c r="J2973" t="s">
        <v>38</v>
      </c>
      <c r="K2973" t="s">
        <v>29</v>
      </c>
      <c r="L2973" t="s">
        <v>30</v>
      </c>
      <c r="M2973" t="s">
        <v>139</v>
      </c>
      <c r="N2973">
        <v>1205</v>
      </c>
      <c r="O2973" s="14">
        <v>2.3702012374997101E-2</v>
      </c>
      <c r="P2973" s="14">
        <v>0.52621235931292198</v>
      </c>
      <c r="Q2973" t="str">
        <f t="shared" si="92"/>
        <v>15-24</v>
      </c>
      <c r="R2973" t="str">
        <f t="shared" si="93"/>
        <v>[wNqJp8oRIcF]|15-24|Female|PLHIV_Attend.T_1|CY2023Q3</v>
      </c>
    </row>
    <row r="2974" spans="4:18" x14ac:dyDescent="0.2">
      <c r="D2974" t="s">
        <v>101</v>
      </c>
      <c r="E2974" t="s">
        <v>102</v>
      </c>
      <c r="F2974" t="s">
        <v>103</v>
      </c>
      <c r="G2974" t="s">
        <v>149</v>
      </c>
      <c r="H2974" t="s">
        <v>149</v>
      </c>
      <c r="I2974" t="s">
        <v>40</v>
      </c>
      <c r="J2974" t="s">
        <v>41</v>
      </c>
      <c r="K2974" t="s">
        <v>29</v>
      </c>
      <c r="L2974" t="s">
        <v>30</v>
      </c>
      <c r="M2974" t="s">
        <v>139</v>
      </c>
      <c r="N2974">
        <v>1574</v>
      </c>
      <c r="O2974" s="14">
        <v>5.78825504053384E-2</v>
      </c>
      <c r="P2974" s="14">
        <v>0.52621235931292198</v>
      </c>
      <c r="Q2974" t="str">
        <f t="shared" si="92"/>
        <v>25-34</v>
      </c>
      <c r="R2974" t="str">
        <f t="shared" si="93"/>
        <v>[wNqJp8oRIcF]|25-34|Female|PLHIV_Attend.T_1|CY2023Q3</v>
      </c>
    </row>
    <row r="2975" spans="4:18" x14ac:dyDescent="0.2">
      <c r="D2975" t="s">
        <v>101</v>
      </c>
      <c r="E2975" t="s">
        <v>102</v>
      </c>
      <c r="F2975" t="s">
        <v>103</v>
      </c>
      <c r="G2975" t="s">
        <v>149</v>
      </c>
      <c r="H2975" t="s">
        <v>149</v>
      </c>
      <c r="I2975" t="s">
        <v>42</v>
      </c>
      <c r="J2975" t="s">
        <v>43</v>
      </c>
      <c r="K2975" t="s">
        <v>29</v>
      </c>
      <c r="L2975" t="s">
        <v>30</v>
      </c>
      <c r="M2975" t="s">
        <v>139</v>
      </c>
      <c r="N2975">
        <v>1238</v>
      </c>
      <c r="O2975" s="14">
        <v>0.71690994314849399</v>
      </c>
      <c r="P2975" s="14">
        <v>0.52621235931292198</v>
      </c>
      <c r="Q2975" t="str">
        <f t="shared" si="92"/>
        <v>35-49</v>
      </c>
      <c r="R2975" t="str">
        <f t="shared" si="93"/>
        <v>[wNqJp8oRIcF]|35-49|Female|PLHIV_Attend.T_1|CY2023Q3</v>
      </c>
    </row>
    <row r="2976" spans="4:18" x14ac:dyDescent="0.2">
      <c r="D2976" t="s">
        <v>101</v>
      </c>
      <c r="E2976" t="s">
        <v>102</v>
      </c>
      <c r="F2976" t="s">
        <v>103</v>
      </c>
      <c r="G2976" t="s">
        <v>149</v>
      </c>
      <c r="H2976" t="s">
        <v>149</v>
      </c>
      <c r="I2976" t="s">
        <v>44</v>
      </c>
      <c r="J2976" t="s">
        <v>45</v>
      </c>
      <c r="K2976" t="s">
        <v>29</v>
      </c>
      <c r="L2976" t="s">
        <v>30</v>
      </c>
      <c r="M2976" t="s">
        <v>139</v>
      </c>
      <c r="N2976">
        <v>1999</v>
      </c>
      <c r="O2976" s="14">
        <v>0.88489059498533595</v>
      </c>
      <c r="P2976" s="14">
        <v>0.52621235931292198</v>
      </c>
      <c r="Q2976" t="str">
        <f t="shared" si="92"/>
        <v>50+</v>
      </c>
      <c r="R2976" t="str">
        <f t="shared" si="93"/>
        <v>[wNqJp8oRIcF]|50+|Female|PLHIV_Attend.T_1|CY2023Q3</v>
      </c>
    </row>
    <row r="2977" spans="4:18" x14ac:dyDescent="0.2">
      <c r="D2977" t="s">
        <v>101</v>
      </c>
      <c r="E2977" t="s">
        <v>102</v>
      </c>
      <c r="F2977" t="s">
        <v>103</v>
      </c>
      <c r="G2977" t="s">
        <v>149</v>
      </c>
      <c r="H2977" t="s">
        <v>149</v>
      </c>
      <c r="I2977" t="s">
        <v>27</v>
      </c>
      <c r="J2977" t="s">
        <v>28</v>
      </c>
      <c r="K2977" t="s">
        <v>47</v>
      </c>
      <c r="L2977" t="s">
        <v>48</v>
      </c>
      <c r="M2977" t="s">
        <v>139</v>
      </c>
      <c r="N2977">
        <v>1742</v>
      </c>
      <c r="O2977" s="14">
        <v>0.94091711309738502</v>
      </c>
      <c r="P2977" s="14">
        <v>0.52621235931292198</v>
      </c>
      <c r="Q2977" t="str">
        <f t="shared" si="92"/>
        <v>&lt;01</v>
      </c>
      <c r="R2977" t="str">
        <f t="shared" si="93"/>
        <v>[wNqJp8oRIcF]|&lt;01|Male|PLHIV_Attend.T_1|CY2023Q3</v>
      </c>
    </row>
    <row r="2978" spans="4:18" x14ac:dyDescent="0.2">
      <c r="D2978" t="s">
        <v>101</v>
      </c>
      <c r="E2978" t="s">
        <v>102</v>
      </c>
      <c r="F2978" t="s">
        <v>103</v>
      </c>
      <c r="G2978" t="s">
        <v>149</v>
      </c>
      <c r="H2978" t="s">
        <v>149</v>
      </c>
      <c r="I2978" t="s">
        <v>32</v>
      </c>
      <c r="J2978" t="s">
        <v>33</v>
      </c>
      <c r="K2978" t="s">
        <v>47</v>
      </c>
      <c r="L2978" t="s">
        <v>48</v>
      </c>
      <c r="M2978" t="s">
        <v>139</v>
      </c>
      <c r="N2978">
        <v>1753</v>
      </c>
      <c r="O2978" s="14">
        <v>0.74112961557693802</v>
      </c>
      <c r="P2978" s="14">
        <v>0.52621235931292198</v>
      </c>
      <c r="Q2978" t="str">
        <f t="shared" si="92"/>
        <v>01-09</v>
      </c>
      <c r="R2978" t="str">
        <f t="shared" si="93"/>
        <v>[wNqJp8oRIcF]|01-09|Male|PLHIV_Attend.T_1|CY2023Q3</v>
      </c>
    </row>
    <row r="2979" spans="4:18" x14ac:dyDescent="0.2">
      <c r="D2979" t="s">
        <v>101</v>
      </c>
      <c r="E2979" t="s">
        <v>102</v>
      </c>
      <c r="F2979" t="s">
        <v>103</v>
      </c>
      <c r="G2979" t="s">
        <v>149</v>
      </c>
      <c r="H2979" t="s">
        <v>149</v>
      </c>
      <c r="I2979" t="s">
        <v>35</v>
      </c>
      <c r="J2979" t="s">
        <v>36</v>
      </c>
      <c r="K2979" t="s">
        <v>47</v>
      </c>
      <c r="L2979" t="s">
        <v>48</v>
      </c>
      <c r="M2979" t="s">
        <v>139</v>
      </c>
      <c r="N2979">
        <v>1927</v>
      </c>
      <c r="O2979" s="14">
        <v>8.9715592097490998E-2</v>
      </c>
      <c r="P2979" s="14">
        <v>0.52621235931292198</v>
      </c>
      <c r="Q2979" t="str">
        <f t="shared" si="92"/>
        <v>10-14</v>
      </c>
      <c r="R2979" t="str">
        <f t="shared" si="93"/>
        <v>[wNqJp8oRIcF]|10-14|Male|PLHIV_Attend.T_1|CY2023Q3</v>
      </c>
    </row>
    <row r="2980" spans="4:18" x14ac:dyDescent="0.2">
      <c r="D2980" t="s">
        <v>101</v>
      </c>
      <c r="E2980" t="s">
        <v>102</v>
      </c>
      <c r="F2980" t="s">
        <v>103</v>
      </c>
      <c r="G2980" t="s">
        <v>149</v>
      </c>
      <c r="H2980" t="s">
        <v>149</v>
      </c>
      <c r="I2980" t="s">
        <v>37</v>
      </c>
      <c r="J2980" t="s">
        <v>38</v>
      </c>
      <c r="K2980" t="s">
        <v>47</v>
      </c>
      <c r="L2980" t="s">
        <v>48</v>
      </c>
      <c r="M2980" t="s">
        <v>139</v>
      </c>
      <c r="N2980">
        <v>691</v>
      </c>
      <c r="O2980" s="14">
        <v>0.92191182868555199</v>
      </c>
      <c r="P2980" s="14">
        <v>0.52621235931292198</v>
      </c>
      <c r="Q2980" t="str">
        <f t="shared" si="92"/>
        <v>15-24</v>
      </c>
      <c r="R2980" t="str">
        <f t="shared" si="93"/>
        <v>[wNqJp8oRIcF]|15-24|Male|PLHIV_Attend.T_1|CY2023Q3</v>
      </c>
    </row>
    <row r="2981" spans="4:18" x14ac:dyDescent="0.2">
      <c r="D2981" t="s">
        <v>101</v>
      </c>
      <c r="E2981" t="s">
        <v>102</v>
      </c>
      <c r="F2981" t="s">
        <v>103</v>
      </c>
      <c r="G2981" t="s">
        <v>149</v>
      </c>
      <c r="H2981" t="s">
        <v>149</v>
      </c>
      <c r="I2981" t="s">
        <v>40</v>
      </c>
      <c r="J2981" t="s">
        <v>41</v>
      </c>
      <c r="K2981" t="s">
        <v>47</v>
      </c>
      <c r="L2981" t="s">
        <v>48</v>
      </c>
      <c r="M2981" t="s">
        <v>139</v>
      </c>
      <c r="N2981">
        <v>1043</v>
      </c>
      <c r="O2981" s="14">
        <v>0.47209040471352598</v>
      </c>
      <c r="P2981" s="14">
        <v>0.52621235931292198</v>
      </c>
      <c r="Q2981" t="str">
        <f t="shared" si="92"/>
        <v>25-34</v>
      </c>
      <c r="R2981" t="str">
        <f t="shared" si="93"/>
        <v>[wNqJp8oRIcF]|25-34|Male|PLHIV_Attend.T_1|CY2023Q3</v>
      </c>
    </row>
    <row r="2982" spans="4:18" x14ac:dyDescent="0.2">
      <c r="D2982" t="s">
        <v>101</v>
      </c>
      <c r="E2982" t="s">
        <v>102</v>
      </c>
      <c r="F2982" t="s">
        <v>103</v>
      </c>
      <c r="G2982" t="s">
        <v>149</v>
      </c>
      <c r="H2982" t="s">
        <v>149</v>
      </c>
      <c r="I2982" t="s">
        <v>42</v>
      </c>
      <c r="J2982" t="s">
        <v>43</v>
      </c>
      <c r="K2982" t="s">
        <v>47</v>
      </c>
      <c r="L2982" t="s">
        <v>48</v>
      </c>
      <c r="M2982" t="s">
        <v>139</v>
      </c>
      <c r="N2982">
        <v>1458</v>
      </c>
      <c r="O2982" s="14">
        <v>0.210417490685359</v>
      </c>
      <c r="P2982" s="14">
        <v>0.52621235931292198</v>
      </c>
      <c r="Q2982" t="str">
        <f t="shared" si="92"/>
        <v>35-49</v>
      </c>
      <c r="R2982" t="str">
        <f t="shared" si="93"/>
        <v>[wNqJp8oRIcF]|35-49|Male|PLHIV_Attend.T_1|CY2023Q3</v>
      </c>
    </row>
    <row r="2983" spans="4:18" x14ac:dyDescent="0.2">
      <c r="D2983" t="s">
        <v>101</v>
      </c>
      <c r="E2983" t="s">
        <v>102</v>
      </c>
      <c r="F2983" t="s">
        <v>103</v>
      </c>
      <c r="G2983" t="s">
        <v>149</v>
      </c>
      <c r="H2983" t="s">
        <v>149</v>
      </c>
      <c r="I2983" t="s">
        <v>44</v>
      </c>
      <c r="J2983" t="s">
        <v>45</v>
      </c>
      <c r="K2983" t="s">
        <v>47</v>
      </c>
      <c r="L2983" t="s">
        <v>48</v>
      </c>
      <c r="M2983" t="s">
        <v>139</v>
      </c>
      <c r="N2983">
        <v>1831</v>
      </c>
      <c r="O2983" s="14">
        <v>0.39514904376119397</v>
      </c>
      <c r="P2983" s="14">
        <v>0.52621235931292198</v>
      </c>
      <c r="Q2983" t="str">
        <f t="shared" si="92"/>
        <v>50+</v>
      </c>
      <c r="R2983" t="str">
        <f t="shared" si="93"/>
        <v>[wNqJp8oRIcF]|50+|Male|PLHIV_Attend.T_1|CY2023Q3</v>
      </c>
    </row>
    <row r="2984" spans="4:18" x14ac:dyDescent="0.2">
      <c r="D2984" t="s">
        <v>104</v>
      </c>
      <c r="E2984" t="s">
        <v>105</v>
      </c>
      <c r="F2984" t="s">
        <v>106</v>
      </c>
      <c r="G2984" t="s">
        <v>149</v>
      </c>
      <c r="H2984" t="s">
        <v>149</v>
      </c>
      <c r="I2984" t="s">
        <v>27</v>
      </c>
      <c r="J2984" t="s">
        <v>28</v>
      </c>
      <c r="K2984" t="s">
        <v>29</v>
      </c>
      <c r="L2984" t="s">
        <v>30</v>
      </c>
      <c r="M2984" t="s">
        <v>139</v>
      </c>
      <c r="N2984">
        <v>1127</v>
      </c>
      <c r="O2984" s="14">
        <v>0.55479760863818195</v>
      </c>
      <c r="P2984" s="14">
        <v>0.21824956033378801</v>
      </c>
      <c r="Q2984" t="str">
        <f t="shared" si="92"/>
        <v>&lt;01</v>
      </c>
      <c r="R2984" t="str">
        <f t="shared" si="93"/>
        <v>[oiPR2CiVJbf]|&lt;01|Female|PLHIV_Attend.T_1|CY2023Q3</v>
      </c>
    </row>
    <row r="2985" spans="4:18" x14ac:dyDescent="0.2">
      <c r="D2985" t="s">
        <v>104</v>
      </c>
      <c r="E2985" t="s">
        <v>105</v>
      </c>
      <c r="F2985" t="s">
        <v>106</v>
      </c>
      <c r="G2985" t="s">
        <v>149</v>
      </c>
      <c r="H2985" t="s">
        <v>149</v>
      </c>
      <c r="I2985" t="s">
        <v>32</v>
      </c>
      <c r="J2985" t="s">
        <v>33</v>
      </c>
      <c r="K2985" t="s">
        <v>29</v>
      </c>
      <c r="L2985" t="s">
        <v>30</v>
      </c>
      <c r="M2985" t="s">
        <v>139</v>
      </c>
      <c r="N2985">
        <v>1314</v>
      </c>
      <c r="O2985" s="14">
        <v>5.4145189933478798E-2</v>
      </c>
      <c r="P2985" s="14">
        <v>0.21824956033378801</v>
      </c>
      <c r="Q2985" t="str">
        <f t="shared" si="92"/>
        <v>01-09</v>
      </c>
      <c r="R2985" t="str">
        <f t="shared" si="93"/>
        <v>[oiPR2CiVJbf]|01-09|Female|PLHIV_Attend.T_1|CY2023Q3</v>
      </c>
    </row>
    <row r="2986" spans="4:18" x14ac:dyDescent="0.2">
      <c r="D2986" t="s">
        <v>104</v>
      </c>
      <c r="E2986" t="s">
        <v>105</v>
      </c>
      <c r="F2986" t="s">
        <v>106</v>
      </c>
      <c r="G2986" t="s">
        <v>149</v>
      </c>
      <c r="H2986" t="s">
        <v>149</v>
      </c>
      <c r="I2986" t="s">
        <v>35</v>
      </c>
      <c r="J2986" t="s">
        <v>36</v>
      </c>
      <c r="K2986" t="s">
        <v>29</v>
      </c>
      <c r="L2986" t="s">
        <v>30</v>
      </c>
      <c r="M2986" t="s">
        <v>139</v>
      </c>
      <c r="N2986">
        <v>1087</v>
      </c>
      <c r="O2986" s="14">
        <v>0.200805949047208</v>
      </c>
      <c r="P2986" s="14">
        <v>0.21824956033378801</v>
      </c>
      <c r="Q2986" t="str">
        <f t="shared" si="92"/>
        <v>10-14</v>
      </c>
      <c r="R2986" t="str">
        <f t="shared" si="93"/>
        <v>[oiPR2CiVJbf]|10-14|Female|PLHIV_Attend.T_1|CY2023Q3</v>
      </c>
    </row>
    <row r="2987" spans="4:18" x14ac:dyDescent="0.2">
      <c r="D2987" t="s">
        <v>104</v>
      </c>
      <c r="E2987" t="s">
        <v>105</v>
      </c>
      <c r="F2987" t="s">
        <v>106</v>
      </c>
      <c r="G2987" t="s">
        <v>149</v>
      </c>
      <c r="H2987" t="s">
        <v>149</v>
      </c>
      <c r="I2987" t="s">
        <v>37</v>
      </c>
      <c r="J2987" t="s">
        <v>38</v>
      </c>
      <c r="K2987" t="s">
        <v>29</v>
      </c>
      <c r="L2987" t="s">
        <v>30</v>
      </c>
      <c r="M2987" t="s">
        <v>139</v>
      </c>
      <c r="N2987">
        <v>1450</v>
      </c>
      <c r="O2987" s="14">
        <v>2.1858359687030302E-2</v>
      </c>
      <c r="P2987" s="14">
        <v>0.21824956033378801</v>
      </c>
      <c r="Q2987" t="str">
        <f t="shared" si="92"/>
        <v>15-24</v>
      </c>
      <c r="R2987" t="str">
        <f t="shared" si="93"/>
        <v>[oiPR2CiVJbf]|15-24|Female|PLHIV_Attend.T_1|CY2023Q3</v>
      </c>
    </row>
    <row r="2988" spans="4:18" x14ac:dyDescent="0.2">
      <c r="D2988" t="s">
        <v>104</v>
      </c>
      <c r="E2988" t="s">
        <v>105</v>
      </c>
      <c r="F2988" t="s">
        <v>106</v>
      </c>
      <c r="G2988" t="s">
        <v>149</v>
      </c>
      <c r="H2988" t="s">
        <v>149</v>
      </c>
      <c r="I2988" t="s">
        <v>40</v>
      </c>
      <c r="J2988" t="s">
        <v>41</v>
      </c>
      <c r="K2988" t="s">
        <v>29</v>
      </c>
      <c r="L2988" t="s">
        <v>30</v>
      </c>
      <c r="M2988" t="s">
        <v>139</v>
      </c>
      <c r="N2988">
        <v>690</v>
      </c>
      <c r="O2988" s="14">
        <v>0.27247380325570703</v>
      </c>
      <c r="P2988" s="14">
        <v>0.21824956033378801</v>
      </c>
      <c r="Q2988" t="str">
        <f t="shared" si="92"/>
        <v>25-34</v>
      </c>
      <c r="R2988" t="str">
        <f t="shared" si="93"/>
        <v>[oiPR2CiVJbf]|25-34|Female|PLHIV_Attend.T_1|CY2023Q3</v>
      </c>
    </row>
    <row r="2989" spans="4:18" x14ac:dyDescent="0.2">
      <c r="D2989" t="s">
        <v>104</v>
      </c>
      <c r="E2989" t="s">
        <v>105</v>
      </c>
      <c r="F2989" t="s">
        <v>106</v>
      </c>
      <c r="G2989" t="s">
        <v>149</v>
      </c>
      <c r="H2989" t="s">
        <v>149</v>
      </c>
      <c r="I2989" t="s">
        <v>42</v>
      </c>
      <c r="J2989" t="s">
        <v>43</v>
      </c>
      <c r="K2989" t="s">
        <v>29</v>
      </c>
      <c r="L2989" t="s">
        <v>30</v>
      </c>
      <c r="M2989" t="s">
        <v>139</v>
      </c>
      <c r="N2989">
        <v>1017</v>
      </c>
      <c r="O2989" s="14">
        <v>0.49869751976802901</v>
      </c>
      <c r="P2989" s="14">
        <v>0.21824956033378801</v>
      </c>
      <c r="Q2989" t="str">
        <f t="shared" si="92"/>
        <v>35-49</v>
      </c>
      <c r="R2989" t="str">
        <f t="shared" si="93"/>
        <v>[oiPR2CiVJbf]|35-49|Female|PLHIV_Attend.T_1|CY2023Q3</v>
      </c>
    </row>
    <row r="2990" spans="4:18" x14ac:dyDescent="0.2">
      <c r="D2990" t="s">
        <v>104</v>
      </c>
      <c r="E2990" t="s">
        <v>105</v>
      </c>
      <c r="F2990" t="s">
        <v>106</v>
      </c>
      <c r="G2990" t="s">
        <v>149</v>
      </c>
      <c r="H2990" t="s">
        <v>149</v>
      </c>
      <c r="I2990" t="s">
        <v>44</v>
      </c>
      <c r="J2990" t="s">
        <v>45</v>
      </c>
      <c r="K2990" t="s">
        <v>29</v>
      </c>
      <c r="L2990" t="s">
        <v>30</v>
      </c>
      <c r="M2990" t="s">
        <v>139</v>
      </c>
      <c r="N2990">
        <v>1974</v>
      </c>
      <c r="O2990" s="14">
        <v>0.42689194437116401</v>
      </c>
      <c r="P2990" s="14">
        <v>0.21824956033378801</v>
      </c>
      <c r="Q2990" t="str">
        <f t="shared" si="92"/>
        <v>50+</v>
      </c>
      <c r="R2990" t="str">
        <f t="shared" si="93"/>
        <v>[oiPR2CiVJbf]|50+|Female|PLHIV_Attend.T_1|CY2023Q3</v>
      </c>
    </row>
    <row r="2991" spans="4:18" x14ac:dyDescent="0.2">
      <c r="D2991" t="s">
        <v>104</v>
      </c>
      <c r="E2991" t="s">
        <v>105</v>
      </c>
      <c r="F2991" t="s">
        <v>106</v>
      </c>
      <c r="G2991" t="s">
        <v>149</v>
      </c>
      <c r="H2991" t="s">
        <v>149</v>
      </c>
      <c r="I2991" t="s">
        <v>27</v>
      </c>
      <c r="J2991" t="s">
        <v>28</v>
      </c>
      <c r="K2991" t="s">
        <v>47</v>
      </c>
      <c r="L2991" t="s">
        <v>48</v>
      </c>
      <c r="M2991" t="s">
        <v>139</v>
      </c>
      <c r="N2991">
        <v>1680</v>
      </c>
      <c r="O2991" s="14">
        <v>0.164601267315447</v>
      </c>
      <c r="P2991" s="14">
        <v>0.21824956033378801</v>
      </c>
      <c r="Q2991" t="str">
        <f t="shared" si="92"/>
        <v>&lt;01</v>
      </c>
      <c r="R2991" t="str">
        <f t="shared" si="93"/>
        <v>[oiPR2CiVJbf]|&lt;01|Male|PLHIV_Attend.T_1|CY2023Q3</v>
      </c>
    </row>
    <row r="2992" spans="4:18" x14ac:dyDescent="0.2">
      <c r="D2992" t="s">
        <v>104</v>
      </c>
      <c r="E2992" t="s">
        <v>105</v>
      </c>
      <c r="F2992" t="s">
        <v>106</v>
      </c>
      <c r="G2992" t="s">
        <v>149</v>
      </c>
      <c r="H2992" t="s">
        <v>149</v>
      </c>
      <c r="I2992" t="s">
        <v>32</v>
      </c>
      <c r="J2992" t="s">
        <v>33</v>
      </c>
      <c r="K2992" t="s">
        <v>47</v>
      </c>
      <c r="L2992" t="s">
        <v>48</v>
      </c>
      <c r="M2992" t="s">
        <v>139</v>
      </c>
      <c r="N2992">
        <v>1900</v>
      </c>
      <c r="O2992" s="14">
        <v>4.0505131939426099E-2</v>
      </c>
      <c r="P2992" s="14">
        <v>0.21824956033378801</v>
      </c>
      <c r="Q2992" t="str">
        <f t="shared" si="92"/>
        <v>01-09</v>
      </c>
      <c r="R2992" t="str">
        <f t="shared" si="93"/>
        <v>[oiPR2CiVJbf]|01-09|Male|PLHIV_Attend.T_1|CY2023Q3</v>
      </c>
    </row>
    <row r="2993" spans="4:18" x14ac:dyDescent="0.2">
      <c r="D2993" t="s">
        <v>104</v>
      </c>
      <c r="E2993" t="s">
        <v>105</v>
      </c>
      <c r="F2993" t="s">
        <v>106</v>
      </c>
      <c r="G2993" t="s">
        <v>149</v>
      </c>
      <c r="H2993" t="s">
        <v>149</v>
      </c>
      <c r="I2993" t="s">
        <v>35</v>
      </c>
      <c r="J2993" t="s">
        <v>36</v>
      </c>
      <c r="K2993" t="s">
        <v>47</v>
      </c>
      <c r="L2993" t="s">
        <v>48</v>
      </c>
      <c r="M2993" t="s">
        <v>139</v>
      </c>
      <c r="N2993">
        <v>1119</v>
      </c>
      <c r="O2993" s="14">
        <v>0.36806744453497198</v>
      </c>
      <c r="P2993" s="14">
        <v>0.21824956033378801</v>
      </c>
      <c r="Q2993" t="str">
        <f t="shared" si="92"/>
        <v>10-14</v>
      </c>
      <c r="R2993" t="str">
        <f t="shared" si="93"/>
        <v>[oiPR2CiVJbf]|10-14|Male|PLHIV_Attend.T_1|CY2023Q3</v>
      </c>
    </row>
    <row r="2994" spans="4:18" x14ac:dyDescent="0.2">
      <c r="D2994" t="s">
        <v>104</v>
      </c>
      <c r="E2994" t="s">
        <v>105</v>
      </c>
      <c r="F2994" t="s">
        <v>106</v>
      </c>
      <c r="G2994" t="s">
        <v>149</v>
      </c>
      <c r="H2994" t="s">
        <v>149</v>
      </c>
      <c r="I2994" t="s">
        <v>37</v>
      </c>
      <c r="J2994" t="s">
        <v>38</v>
      </c>
      <c r="K2994" t="s">
        <v>47</v>
      </c>
      <c r="L2994" t="s">
        <v>48</v>
      </c>
      <c r="M2994" t="s">
        <v>139</v>
      </c>
      <c r="N2994">
        <v>1925</v>
      </c>
      <c r="O2994" s="14">
        <v>0.54903174005448796</v>
      </c>
      <c r="P2994" s="14">
        <v>0.21824956033378801</v>
      </c>
      <c r="Q2994" t="str">
        <f t="shared" si="92"/>
        <v>15-24</v>
      </c>
      <c r="R2994" t="str">
        <f t="shared" si="93"/>
        <v>[oiPR2CiVJbf]|15-24|Male|PLHIV_Attend.T_1|CY2023Q3</v>
      </c>
    </row>
    <row r="2995" spans="4:18" x14ac:dyDescent="0.2">
      <c r="D2995" t="s">
        <v>104</v>
      </c>
      <c r="E2995" t="s">
        <v>105</v>
      </c>
      <c r="F2995" t="s">
        <v>106</v>
      </c>
      <c r="G2995" t="s">
        <v>149</v>
      </c>
      <c r="H2995" t="s">
        <v>149</v>
      </c>
      <c r="I2995" t="s">
        <v>40</v>
      </c>
      <c r="J2995" t="s">
        <v>41</v>
      </c>
      <c r="K2995" t="s">
        <v>47</v>
      </c>
      <c r="L2995" t="s">
        <v>48</v>
      </c>
      <c r="M2995" t="s">
        <v>139</v>
      </c>
      <c r="N2995">
        <v>1803</v>
      </c>
      <c r="O2995" s="14">
        <v>0.21319447294808899</v>
      </c>
      <c r="P2995" s="14">
        <v>0.21824956033378801</v>
      </c>
      <c r="Q2995" t="str">
        <f t="shared" si="92"/>
        <v>25-34</v>
      </c>
      <c r="R2995" t="str">
        <f t="shared" si="93"/>
        <v>[oiPR2CiVJbf]|25-34|Male|PLHIV_Attend.T_1|CY2023Q3</v>
      </c>
    </row>
    <row r="2996" spans="4:18" x14ac:dyDescent="0.2">
      <c r="D2996" t="s">
        <v>104</v>
      </c>
      <c r="E2996" t="s">
        <v>105</v>
      </c>
      <c r="F2996" t="s">
        <v>106</v>
      </c>
      <c r="G2996" t="s">
        <v>149</v>
      </c>
      <c r="H2996" t="s">
        <v>149</v>
      </c>
      <c r="I2996" t="s">
        <v>42</v>
      </c>
      <c r="J2996" t="s">
        <v>43</v>
      </c>
      <c r="K2996" t="s">
        <v>47</v>
      </c>
      <c r="L2996" t="s">
        <v>48</v>
      </c>
      <c r="M2996" t="s">
        <v>139</v>
      </c>
      <c r="N2996">
        <v>501</v>
      </c>
      <c r="O2996" s="14">
        <v>0.49451189721003203</v>
      </c>
      <c r="P2996" s="14">
        <v>0.21824956033378801</v>
      </c>
      <c r="Q2996" t="str">
        <f t="shared" si="92"/>
        <v>35-49</v>
      </c>
      <c r="R2996" t="str">
        <f t="shared" si="93"/>
        <v>[oiPR2CiVJbf]|35-49|Male|PLHIV_Attend.T_1|CY2023Q3</v>
      </c>
    </row>
    <row r="2997" spans="4:18" x14ac:dyDescent="0.2">
      <c r="D2997" t="s">
        <v>104</v>
      </c>
      <c r="E2997" t="s">
        <v>105</v>
      </c>
      <c r="F2997" t="s">
        <v>106</v>
      </c>
      <c r="G2997" t="s">
        <v>149</v>
      </c>
      <c r="H2997" t="s">
        <v>149</v>
      </c>
      <c r="I2997" t="s">
        <v>44</v>
      </c>
      <c r="J2997" t="s">
        <v>45</v>
      </c>
      <c r="K2997" t="s">
        <v>47</v>
      </c>
      <c r="L2997" t="s">
        <v>48</v>
      </c>
      <c r="M2997" t="s">
        <v>139</v>
      </c>
      <c r="N2997">
        <v>827</v>
      </c>
      <c r="O2997" s="14">
        <v>0.99946882692165695</v>
      </c>
      <c r="P2997" s="14">
        <v>0.21824956033378801</v>
      </c>
      <c r="Q2997" t="str">
        <f t="shared" si="92"/>
        <v>50+</v>
      </c>
      <c r="R2997" t="str">
        <f t="shared" si="93"/>
        <v>[oiPR2CiVJbf]|50+|Male|PLHIV_Attend.T_1|CY2023Q3</v>
      </c>
    </row>
    <row r="2998" spans="4:18" x14ac:dyDescent="0.2">
      <c r="D2998" t="s">
        <v>107</v>
      </c>
      <c r="E2998" t="s">
        <v>108</v>
      </c>
      <c r="F2998" t="s">
        <v>109</v>
      </c>
      <c r="G2998" t="s">
        <v>149</v>
      </c>
      <c r="H2998" t="s">
        <v>149</v>
      </c>
      <c r="I2998" t="s">
        <v>27</v>
      </c>
      <c r="J2998" t="s">
        <v>28</v>
      </c>
      <c r="K2998" t="s">
        <v>29</v>
      </c>
      <c r="L2998" t="s">
        <v>30</v>
      </c>
      <c r="M2998" t="s">
        <v>139</v>
      </c>
      <c r="N2998">
        <v>561</v>
      </c>
      <c r="O2998" s="14">
        <v>0.18163528502918799</v>
      </c>
      <c r="P2998" s="14">
        <v>0.43422180437482899</v>
      </c>
      <c r="Q2998" t="str">
        <f t="shared" si="92"/>
        <v>&lt;01</v>
      </c>
      <c r="R2998" t="str">
        <f t="shared" si="93"/>
        <v>[ul0y9diGujK]|&lt;01|Female|PLHIV_Attend.T_1|CY2023Q3</v>
      </c>
    </row>
    <row r="2999" spans="4:18" x14ac:dyDescent="0.2">
      <c r="D2999" t="s">
        <v>107</v>
      </c>
      <c r="E2999" t="s">
        <v>108</v>
      </c>
      <c r="F2999" t="s">
        <v>109</v>
      </c>
      <c r="G2999" t="s">
        <v>149</v>
      </c>
      <c r="H2999" t="s">
        <v>149</v>
      </c>
      <c r="I2999" t="s">
        <v>32</v>
      </c>
      <c r="J2999" t="s">
        <v>33</v>
      </c>
      <c r="K2999" t="s">
        <v>29</v>
      </c>
      <c r="L2999" t="s">
        <v>30</v>
      </c>
      <c r="M2999" t="s">
        <v>139</v>
      </c>
      <c r="N2999">
        <v>703</v>
      </c>
      <c r="O2999" s="14">
        <v>0.74613655358552899</v>
      </c>
      <c r="P2999" s="14">
        <v>0.43422180437482899</v>
      </c>
      <c r="Q2999" t="str">
        <f t="shared" si="92"/>
        <v>01-09</v>
      </c>
      <c r="R2999" t="str">
        <f t="shared" si="93"/>
        <v>[ul0y9diGujK]|01-09|Female|PLHIV_Attend.T_1|CY2023Q3</v>
      </c>
    </row>
    <row r="3000" spans="4:18" x14ac:dyDescent="0.2">
      <c r="D3000" t="s">
        <v>107</v>
      </c>
      <c r="E3000" t="s">
        <v>108</v>
      </c>
      <c r="F3000" t="s">
        <v>109</v>
      </c>
      <c r="G3000" t="s">
        <v>149</v>
      </c>
      <c r="H3000" t="s">
        <v>149</v>
      </c>
      <c r="I3000" t="s">
        <v>35</v>
      </c>
      <c r="J3000" t="s">
        <v>36</v>
      </c>
      <c r="K3000" t="s">
        <v>29</v>
      </c>
      <c r="L3000" t="s">
        <v>30</v>
      </c>
      <c r="M3000" t="s">
        <v>139</v>
      </c>
      <c r="N3000">
        <v>1883</v>
      </c>
      <c r="O3000" s="14">
        <v>0.40196937113068998</v>
      </c>
      <c r="P3000" s="14">
        <v>0.43422180437482899</v>
      </c>
      <c r="Q3000" t="str">
        <f t="shared" si="92"/>
        <v>10-14</v>
      </c>
      <c r="R3000" t="str">
        <f t="shared" si="93"/>
        <v>[ul0y9diGujK]|10-14|Female|PLHIV_Attend.T_1|CY2023Q3</v>
      </c>
    </row>
    <row r="3001" spans="4:18" x14ac:dyDescent="0.2">
      <c r="D3001" t="s">
        <v>107</v>
      </c>
      <c r="E3001" t="s">
        <v>108</v>
      </c>
      <c r="F3001" t="s">
        <v>109</v>
      </c>
      <c r="G3001" t="s">
        <v>149</v>
      </c>
      <c r="H3001" t="s">
        <v>149</v>
      </c>
      <c r="I3001" t="s">
        <v>37</v>
      </c>
      <c r="J3001" t="s">
        <v>38</v>
      </c>
      <c r="K3001" t="s">
        <v>29</v>
      </c>
      <c r="L3001" t="s">
        <v>30</v>
      </c>
      <c r="M3001" t="s">
        <v>139</v>
      </c>
      <c r="N3001">
        <v>812</v>
      </c>
      <c r="O3001" s="14">
        <v>0.44056380027905101</v>
      </c>
      <c r="P3001" s="14">
        <v>0.43422180437482899</v>
      </c>
      <c r="Q3001" t="str">
        <f t="shared" si="92"/>
        <v>15-24</v>
      </c>
      <c r="R3001" t="str">
        <f t="shared" si="93"/>
        <v>[ul0y9diGujK]|15-24|Female|PLHIV_Attend.T_1|CY2023Q3</v>
      </c>
    </row>
    <row r="3002" spans="4:18" x14ac:dyDescent="0.2">
      <c r="D3002" t="s">
        <v>107</v>
      </c>
      <c r="E3002" t="s">
        <v>108</v>
      </c>
      <c r="F3002" t="s">
        <v>109</v>
      </c>
      <c r="G3002" t="s">
        <v>149</v>
      </c>
      <c r="H3002" t="s">
        <v>149</v>
      </c>
      <c r="I3002" t="s">
        <v>40</v>
      </c>
      <c r="J3002" t="s">
        <v>41</v>
      </c>
      <c r="K3002" t="s">
        <v>29</v>
      </c>
      <c r="L3002" t="s">
        <v>30</v>
      </c>
      <c r="M3002" t="s">
        <v>139</v>
      </c>
      <c r="N3002">
        <v>1085</v>
      </c>
      <c r="O3002" s="14">
        <v>0.21939295623451499</v>
      </c>
      <c r="P3002" s="14">
        <v>0.43422180437482899</v>
      </c>
      <c r="Q3002" t="str">
        <f t="shared" si="92"/>
        <v>25-34</v>
      </c>
      <c r="R3002" t="str">
        <f t="shared" si="93"/>
        <v>[ul0y9diGujK]|25-34|Female|PLHIV_Attend.T_1|CY2023Q3</v>
      </c>
    </row>
    <row r="3003" spans="4:18" x14ac:dyDescent="0.2">
      <c r="D3003" t="s">
        <v>107</v>
      </c>
      <c r="E3003" t="s">
        <v>108</v>
      </c>
      <c r="F3003" t="s">
        <v>109</v>
      </c>
      <c r="G3003" t="s">
        <v>149</v>
      </c>
      <c r="H3003" t="s">
        <v>149</v>
      </c>
      <c r="I3003" t="s">
        <v>42</v>
      </c>
      <c r="J3003" t="s">
        <v>43</v>
      </c>
      <c r="K3003" t="s">
        <v>29</v>
      </c>
      <c r="L3003" t="s">
        <v>30</v>
      </c>
      <c r="M3003" t="s">
        <v>139</v>
      </c>
      <c r="N3003">
        <v>1824</v>
      </c>
      <c r="O3003" s="14">
        <v>0.72848587948828902</v>
      </c>
      <c r="P3003" s="14">
        <v>0.43422180437482899</v>
      </c>
      <c r="Q3003" t="str">
        <f t="shared" si="92"/>
        <v>35-49</v>
      </c>
      <c r="R3003" t="str">
        <f t="shared" si="93"/>
        <v>[ul0y9diGujK]|35-49|Female|PLHIV_Attend.T_1|CY2023Q3</v>
      </c>
    </row>
    <row r="3004" spans="4:18" x14ac:dyDescent="0.2">
      <c r="D3004" t="s">
        <v>107</v>
      </c>
      <c r="E3004" t="s">
        <v>108</v>
      </c>
      <c r="F3004" t="s">
        <v>109</v>
      </c>
      <c r="G3004" t="s">
        <v>149</v>
      </c>
      <c r="H3004" t="s">
        <v>149</v>
      </c>
      <c r="I3004" t="s">
        <v>44</v>
      </c>
      <c r="J3004" t="s">
        <v>45</v>
      </c>
      <c r="K3004" t="s">
        <v>29</v>
      </c>
      <c r="L3004" t="s">
        <v>30</v>
      </c>
      <c r="M3004" t="s">
        <v>139</v>
      </c>
      <c r="N3004">
        <v>1451</v>
      </c>
      <c r="O3004" s="14">
        <v>0.51992229442112103</v>
      </c>
      <c r="P3004" s="14">
        <v>0.43422180437482899</v>
      </c>
      <c r="Q3004" t="str">
        <f t="shared" si="92"/>
        <v>50+</v>
      </c>
      <c r="R3004" t="str">
        <f t="shared" si="93"/>
        <v>[ul0y9diGujK]|50+|Female|PLHIV_Attend.T_1|CY2023Q3</v>
      </c>
    </row>
    <row r="3005" spans="4:18" x14ac:dyDescent="0.2">
      <c r="D3005" t="s">
        <v>107</v>
      </c>
      <c r="E3005" t="s">
        <v>108</v>
      </c>
      <c r="F3005" t="s">
        <v>109</v>
      </c>
      <c r="G3005" t="s">
        <v>149</v>
      </c>
      <c r="H3005" t="s">
        <v>149</v>
      </c>
      <c r="I3005" t="s">
        <v>27</v>
      </c>
      <c r="J3005" t="s">
        <v>28</v>
      </c>
      <c r="K3005" t="s">
        <v>47</v>
      </c>
      <c r="L3005" t="s">
        <v>48</v>
      </c>
      <c r="M3005" t="s">
        <v>139</v>
      </c>
      <c r="N3005">
        <v>874</v>
      </c>
      <c r="O3005" s="14">
        <v>0.42662622779607801</v>
      </c>
      <c r="P3005" s="14">
        <v>0.43422180437482899</v>
      </c>
      <c r="Q3005" t="str">
        <f t="shared" si="92"/>
        <v>&lt;01</v>
      </c>
      <c r="R3005" t="str">
        <f t="shared" si="93"/>
        <v>[ul0y9diGujK]|&lt;01|Male|PLHIV_Attend.T_1|CY2023Q3</v>
      </c>
    </row>
    <row r="3006" spans="4:18" x14ac:dyDescent="0.2">
      <c r="D3006" t="s">
        <v>107</v>
      </c>
      <c r="E3006" t="s">
        <v>108</v>
      </c>
      <c r="F3006" t="s">
        <v>109</v>
      </c>
      <c r="G3006" t="s">
        <v>149</v>
      </c>
      <c r="H3006" t="s">
        <v>149</v>
      </c>
      <c r="I3006" t="s">
        <v>32</v>
      </c>
      <c r="J3006" t="s">
        <v>33</v>
      </c>
      <c r="K3006" t="s">
        <v>47</v>
      </c>
      <c r="L3006" t="s">
        <v>48</v>
      </c>
      <c r="M3006" t="s">
        <v>139</v>
      </c>
      <c r="N3006">
        <v>542</v>
      </c>
      <c r="O3006" s="14">
        <v>0.90759162721224096</v>
      </c>
      <c r="P3006" s="14">
        <v>0.43422180437482899</v>
      </c>
      <c r="Q3006" t="str">
        <f t="shared" si="92"/>
        <v>01-09</v>
      </c>
      <c r="R3006" t="str">
        <f t="shared" si="93"/>
        <v>[ul0y9diGujK]|01-09|Male|PLHIV_Attend.T_1|CY2023Q3</v>
      </c>
    </row>
    <row r="3007" spans="4:18" x14ac:dyDescent="0.2">
      <c r="D3007" t="s">
        <v>107</v>
      </c>
      <c r="E3007" t="s">
        <v>108</v>
      </c>
      <c r="F3007" t="s">
        <v>109</v>
      </c>
      <c r="G3007" t="s">
        <v>149</v>
      </c>
      <c r="H3007" t="s">
        <v>149</v>
      </c>
      <c r="I3007" t="s">
        <v>35</v>
      </c>
      <c r="J3007" t="s">
        <v>36</v>
      </c>
      <c r="K3007" t="s">
        <v>47</v>
      </c>
      <c r="L3007" t="s">
        <v>48</v>
      </c>
      <c r="M3007" t="s">
        <v>139</v>
      </c>
      <c r="N3007">
        <v>1488</v>
      </c>
      <c r="O3007" s="14">
        <v>0.151186836184934</v>
      </c>
      <c r="P3007" s="14">
        <v>0.43422180437482899</v>
      </c>
      <c r="Q3007" t="str">
        <f t="shared" si="92"/>
        <v>10-14</v>
      </c>
      <c r="R3007" t="str">
        <f t="shared" si="93"/>
        <v>[ul0y9diGujK]|10-14|Male|PLHIV_Attend.T_1|CY2023Q3</v>
      </c>
    </row>
    <row r="3008" spans="4:18" x14ac:dyDescent="0.2">
      <c r="D3008" t="s">
        <v>107</v>
      </c>
      <c r="E3008" t="s">
        <v>108</v>
      </c>
      <c r="F3008" t="s">
        <v>109</v>
      </c>
      <c r="G3008" t="s">
        <v>149</v>
      </c>
      <c r="H3008" t="s">
        <v>149</v>
      </c>
      <c r="I3008" t="s">
        <v>37</v>
      </c>
      <c r="J3008" t="s">
        <v>38</v>
      </c>
      <c r="K3008" t="s">
        <v>47</v>
      </c>
      <c r="L3008" t="s">
        <v>48</v>
      </c>
      <c r="M3008" t="s">
        <v>139</v>
      </c>
      <c r="N3008">
        <v>1518</v>
      </c>
      <c r="O3008" s="14">
        <v>0.58614064636640295</v>
      </c>
      <c r="P3008" s="14">
        <v>0.43422180437482899</v>
      </c>
      <c r="Q3008" t="str">
        <f t="shared" si="92"/>
        <v>15-24</v>
      </c>
      <c r="R3008" t="str">
        <f t="shared" si="93"/>
        <v>[ul0y9diGujK]|15-24|Male|PLHIV_Attend.T_1|CY2023Q3</v>
      </c>
    </row>
    <row r="3009" spans="4:18" x14ac:dyDescent="0.2">
      <c r="D3009" t="s">
        <v>107</v>
      </c>
      <c r="E3009" t="s">
        <v>108</v>
      </c>
      <c r="F3009" t="s">
        <v>109</v>
      </c>
      <c r="G3009" t="s">
        <v>149</v>
      </c>
      <c r="H3009" t="s">
        <v>149</v>
      </c>
      <c r="I3009" t="s">
        <v>40</v>
      </c>
      <c r="J3009" t="s">
        <v>41</v>
      </c>
      <c r="K3009" t="s">
        <v>47</v>
      </c>
      <c r="L3009" t="s">
        <v>48</v>
      </c>
      <c r="M3009" t="s">
        <v>139</v>
      </c>
      <c r="N3009">
        <v>1412</v>
      </c>
      <c r="O3009" s="14">
        <v>0.19336562487296799</v>
      </c>
      <c r="P3009" s="14">
        <v>0.43422180437482899</v>
      </c>
      <c r="Q3009" t="str">
        <f t="shared" si="92"/>
        <v>25-34</v>
      </c>
      <c r="R3009" t="str">
        <f t="shared" si="93"/>
        <v>[ul0y9diGujK]|25-34|Male|PLHIV_Attend.T_1|CY2023Q3</v>
      </c>
    </row>
    <row r="3010" spans="4:18" x14ac:dyDescent="0.2">
      <c r="D3010" t="s">
        <v>107</v>
      </c>
      <c r="E3010" t="s">
        <v>108</v>
      </c>
      <c r="F3010" t="s">
        <v>109</v>
      </c>
      <c r="G3010" t="s">
        <v>149</v>
      </c>
      <c r="H3010" t="s">
        <v>149</v>
      </c>
      <c r="I3010" t="s">
        <v>42</v>
      </c>
      <c r="J3010" t="s">
        <v>43</v>
      </c>
      <c r="K3010" t="s">
        <v>47</v>
      </c>
      <c r="L3010" t="s">
        <v>48</v>
      </c>
      <c r="M3010" t="s">
        <v>139</v>
      </c>
      <c r="N3010">
        <v>1724</v>
      </c>
      <c r="O3010" s="14">
        <v>0.64066021470352996</v>
      </c>
      <c r="P3010" s="14">
        <v>0.43422180437482899</v>
      </c>
      <c r="Q3010" t="str">
        <f t="shared" ref="Q3010:Q3073" si="94">SUBSTITUTE(SUBSTITUTE($I3010,CHAR(61),""),CHAR(34),"")</f>
        <v>35-49</v>
      </c>
      <c r="R3010" t="str">
        <f t="shared" ref="R3010:R3073" si="95">IF($D3010&lt;&gt;"","["&amp;$E3010&amp;"]"&amp;"|"&amp;$Q3010&amp;"|"&amp;$K3010&amp;"|"&amp;$G3010&amp;"|"&amp;IF($G3010="TX_CURR_SUBNAT.R","CY2022Q4",$M3010),"")</f>
        <v>[ul0y9diGujK]|35-49|Male|PLHIV_Attend.T_1|CY2023Q3</v>
      </c>
    </row>
    <row r="3011" spans="4:18" x14ac:dyDescent="0.2">
      <c r="D3011" t="s">
        <v>107</v>
      </c>
      <c r="E3011" t="s">
        <v>108</v>
      </c>
      <c r="F3011" t="s">
        <v>109</v>
      </c>
      <c r="G3011" t="s">
        <v>149</v>
      </c>
      <c r="H3011" t="s">
        <v>149</v>
      </c>
      <c r="I3011" t="s">
        <v>44</v>
      </c>
      <c r="J3011" t="s">
        <v>45</v>
      </c>
      <c r="K3011" t="s">
        <v>47</v>
      </c>
      <c r="L3011" t="s">
        <v>48</v>
      </c>
      <c r="M3011" t="s">
        <v>139</v>
      </c>
      <c r="N3011">
        <v>655</v>
      </c>
      <c r="O3011" s="14">
        <v>3.9105509640649003E-2</v>
      </c>
      <c r="P3011" s="14">
        <v>0.43422180437482899</v>
      </c>
      <c r="Q3011" t="str">
        <f t="shared" si="94"/>
        <v>50+</v>
      </c>
      <c r="R3011" t="str">
        <f t="shared" si="95"/>
        <v>[ul0y9diGujK]|50+|Male|PLHIV_Attend.T_1|CY2023Q3</v>
      </c>
    </row>
    <row r="3012" spans="4:18" x14ac:dyDescent="0.2">
      <c r="D3012" t="s">
        <v>110</v>
      </c>
      <c r="E3012" t="s">
        <v>111</v>
      </c>
      <c r="F3012" t="s">
        <v>112</v>
      </c>
      <c r="G3012" t="s">
        <v>149</v>
      </c>
      <c r="H3012" t="s">
        <v>149</v>
      </c>
      <c r="I3012" t="s">
        <v>27</v>
      </c>
      <c r="J3012" t="s">
        <v>28</v>
      </c>
      <c r="K3012" t="s">
        <v>29</v>
      </c>
      <c r="L3012" t="s">
        <v>30</v>
      </c>
      <c r="M3012" t="s">
        <v>139</v>
      </c>
      <c r="N3012">
        <v>1527</v>
      </c>
      <c r="O3012" s="14">
        <v>0.793048579944298</v>
      </c>
      <c r="P3012" s="14">
        <v>0.33776879496872397</v>
      </c>
      <c r="Q3012" t="str">
        <f t="shared" si="94"/>
        <v>&lt;01</v>
      </c>
      <c r="R3012" t="str">
        <f t="shared" si="95"/>
        <v>[U8c0so51kT6]|&lt;01|Female|PLHIV_Attend.T_1|CY2023Q3</v>
      </c>
    </row>
    <row r="3013" spans="4:18" x14ac:dyDescent="0.2">
      <c r="D3013" t="s">
        <v>110</v>
      </c>
      <c r="E3013" t="s">
        <v>111</v>
      </c>
      <c r="F3013" t="s">
        <v>112</v>
      </c>
      <c r="G3013" t="s">
        <v>149</v>
      </c>
      <c r="H3013" t="s">
        <v>149</v>
      </c>
      <c r="I3013" t="s">
        <v>32</v>
      </c>
      <c r="J3013" t="s">
        <v>33</v>
      </c>
      <c r="K3013" t="s">
        <v>29</v>
      </c>
      <c r="L3013" t="s">
        <v>30</v>
      </c>
      <c r="M3013" t="s">
        <v>139</v>
      </c>
      <c r="N3013">
        <v>1205</v>
      </c>
      <c r="O3013" s="14">
        <v>0.92863599373959005</v>
      </c>
      <c r="P3013" s="14">
        <v>0.33776879496872397</v>
      </c>
      <c r="Q3013" t="str">
        <f t="shared" si="94"/>
        <v>01-09</v>
      </c>
      <c r="R3013" t="str">
        <f t="shared" si="95"/>
        <v>[U8c0so51kT6]|01-09|Female|PLHIV_Attend.T_1|CY2023Q3</v>
      </c>
    </row>
    <row r="3014" spans="4:18" x14ac:dyDescent="0.2">
      <c r="D3014" t="s">
        <v>110</v>
      </c>
      <c r="E3014" t="s">
        <v>111</v>
      </c>
      <c r="F3014" t="s">
        <v>112</v>
      </c>
      <c r="G3014" t="s">
        <v>149</v>
      </c>
      <c r="H3014" t="s">
        <v>149</v>
      </c>
      <c r="I3014" t="s">
        <v>35</v>
      </c>
      <c r="J3014" t="s">
        <v>36</v>
      </c>
      <c r="K3014" t="s">
        <v>29</v>
      </c>
      <c r="L3014" t="s">
        <v>30</v>
      </c>
      <c r="M3014" t="s">
        <v>139</v>
      </c>
      <c r="N3014">
        <v>1504</v>
      </c>
      <c r="O3014" s="14">
        <v>0.94293350819498301</v>
      </c>
      <c r="P3014" s="14">
        <v>0.33776879496872397</v>
      </c>
      <c r="Q3014" t="str">
        <f t="shared" si="94"/>
        <v>10-14</v>
      </c>
      <c r="R3014" t="str">
        <f t="shared" si="95"/>
        <v>[U8c0so51kT6]|10-14|Female|PLHIV_Attend.T_1|CY2023Q3</v>
      </c>
    </row>
    <row r="3015" spans="4:18" x14ac:dyDescent="0.2">
      <c r="D3015" t="s">
        <v>110</v>
      </c>
      <c r="E3015" t="s">
        <v>111</v>
      </c>
      <c r="F3015" t="s">
        <v>112</v>
      </c>
      <c r="G3015" t="s">
        <v>149</v>
      </c>
      <c r="H3015" t="s">
        <v>149</v>
      </c>
      <c r="I3015" t="s">
        <v>37</v>
      </c>
      <c r="J3015" t="s">
        <v>38</v>
      </c>
      <c r="K3015" t="s">
        <v>29</v>
      </c>
      <c r="L3015" t="s">
        <v>30</v>
      </c>
      <c r="M3015" t="s">
        <v>139</v>
      </c>
      <c r="N3015">
        <v>1052</v>
      </c>
      <c r="O3015" s="14">
        <v>6.8697948241606396E-2</v>
      </c>
      <c r="P3015" s="14">
        <v>0.33776879496872397</v>
      </c>
      <c r="Q3015" t="str">
        <f t="shared" si="94"/>
        <v>15-24</v>
      </c>
      <c r="R3015" t="str">
        <f t="shared" si="95"/>
        <v>[U8c0so51kT6]|15-24|Female|PLHIV_Attend.T_1|CY2023Q3</v>
      </c>
    </row>
    <row r="3016" spans="4:18" x14ac:dyDescent="0.2">
      <c r="D3016" t="s">
        <v>110</v>
      </c>
      <c r="E3016" t="s">
        <v>111</v>
      </c>
      <c r="F3016" t="s">
        <v>112</v>
      </c>
      <c r="G3016" t="s">
        <v>149</v>
      </c>
      <c r="H3016" t="s">
        <v>149</v>
      </c>
      <c r="I3016" t="s">
        <v>40</v>
      </c>
      <c r="J3016" t="s">
        <v>41</v>
      </c>
      <c r="K3016" t="s">
        <v>29</v>
      </c>
      <c r="L3016" t="s">
        <v>30</v>
      </c>
      <c r="M3016" t="s">
        <v>139</v>
      </c>
      <c r="N3016">
        <v>1865</v>
      </c>
      <c r="O3016" s="14">
        <v>0.57702982542104997</v>
      </c>
      <c r="P3016" s="14">
        <v>0.33776879496872397</v>
      </c>
      <c r="Q3016" t="str">
        <f t="shared" si="94"/>
        <v>25-34</v>
      </c>
      <c r="R3016" t="str">
        <f t="shared" si="95"/>
        <v>[U8c0so51kT6]|25-34|Female|PLHIV_Attend.T_1|CY2023Q3</v>
      </c>
    </row>
    <row r="3017" spans="4:18" x14ac:dyDescent="0.2">
      <c r="D3017" t="s">
        <v>110</v>
      </c>
      <c r="E3017" t="s">
        <v>111</v>
      </c>
      <c r="F3017" t="s">
        <v>112</v>
      </c>
      <c r="G3017" t="s">
        <v>149</v>
      </c>
      <c r="H3017" t="s">
        <v>149</v>
      </c>
      <c r="I3017" t="s">
        <v>42</v>
      </c>
      <c r="J3017" t="s">
        <v>43</v>
      </c>
      <c r="K3017" t="s">
        <v>29</v>
      </c>
      <c r="L3017" t="s">
        <v>30</v>
      </c>
      <c r="M3017" t="s">
        <v>139</v>
      </c>
      <c r="N3017">
        <v>1257</v>
      </c>
      <c r="O3017" s="14">
        <v>0.47877780883573001</v>
      </c>
      <c r="P3017" s="14">
        <v>0.33776879496872397</v>
      </c>
      <c r="Q3017" t="str">
        <f t="shared" si="94"/>
        <v>35-49</v>
      </c>
      <c r="R3017" t="str">
        <f t="shared" si="95"/>
        <v>[U8c0so51kT6]|35-49|Female|PLHIV_Attend.T_1|CY2023Q3</v>
      </c>
    </row>
    <row r="3018" spans="4:18" x14ac:dyDescent="0.2">
      <c r="D3018" t="s">
        <v>110</v>
      </c>
      <c r="E3018" t="s">
        <v>111</v>
      </c>
      <c r="F3018" t="s">
        <v>112</v>
      </c>
      <c r="G3018" t="s">
        <v>149</v>
      </c>
      <c r="H3018" t="s">
        <v>149</v>
      </c>
      <c r="I3018" t="s">
        <v>44</v>
      </c>
      <c r="J3018" t="s">
        <v>45</v>
      </c>
      <c r="K3018" t="s">
        <v>29</v>
      </c>
      <c r="L3018" t="s">
        <v>30</v>
      </c>
      <c r="M3018" t="s">
        <v>139</v>
      </c>
      <c r="N3018">
        <v>1445</v>
      </c>
      <c r="O3018" s="14">
        <v>0.20546424854546799</v>
      </c>
      <c r="P3018" s="14">
        <v>0.33776879496872397</v>
      </c>
      <c r="Q3018" t="str">
        <f t="shared" si="94"/>
        <v>50+</v>
      </c>
      <c r="R3018" t="str">
        <f t="shared" si="95"/>
        <v>[U8c0so51kT6]|50+|Female|PLHIV_Attend.T_1|CY2023Q3</v>
      </c>
    </row>
    <row r="3019" spans="4:18" x14ac:dyDescent="0.2">
      <c r="D3019" t="s">
        <v>110</v>
      </c>
      <c r="E3019" t="s">
        <v>111</v>
      </c>
      <c r="F3019" t="s">
        <v>112</v>
      </c>
      <c r="G3019" t="s">
        <v>149</v>
      </c>
      <c r="H3019" t="s">
        <v>149</v>
      </c>
      <c r="I3019" t="s">
        <v>27</v>
      </c>
      <c r="J3019" t="s">
        <v>28</v>
      </c>
      <c r="K3019" t="s">
        <v>47</v>
      </c>
      <c r="L3019" t="s">
        <v>48</v>
      </c>
      <c r="M3019" t="s">
        <v>139</v>
      </c>
      <c r="N3019">
        <v>1142</v>
      </c>
      <c r="O3019" s="14">
        <v>0.78379999124444999</v>
      </c>
      <c r="P3019" s="14">
        <v>0.33776879496872397</v>
      </c>
      <c r="Q3019" t="str">
        <f t="shared" si="94"/>
        <v>&lt;01</v>
      </c>
      <c r="R3019" t="str">
        <f t="shared" si="95"/>
        <v>[U8c0so51kT6]|&lt;01|Male|PLHIV_Attend.T_1|CY2023Q3</v>
      </c>
    </row>
    <row r="3020" spans="4:18" x14ac:dyDescent="0.2">
      <c r="D3020" t="s">
        <v>110</v>
      </c>
      <c r="E3020" t="s">
        <v>111</v>
      </c>
      <c r="F3020" t="s">
        <v>112</v>
      </c>
      <c r="G3020" t="s">
        <v>149</v>
      </c>
      <c r="H3020" t="s">
        <v>149</v>
      </c>
      <c r="I3020" t="s">
        <v>32</v>
      </c>
      <c r="J3020" t="s">
        <v>33</v>
      </c>
      <c r="K3020" t="s">
        <v>47</v>
      </c>
      <c r="L3020" t="s">
        <v>48</v>
      </c>
      <c r="M3020" t="s">
        <v>139</v>
      </c>
      <c r="N3020">
        <v>715</v>
      </c>
      <c r="O3020" s="14">
        <v>0.20507345488295001</v>
      </c>
      <c r="P3020" s="14">
        <v>0.33776879496872397</v>
      </c>
      <c r="Q3020" t="str">
        <f t="shared" si="94"/>
        <v>01-09</v>
      </c>
      <c r="R3020" t="str">
        <f t="shared" si="95"/>
        <v>[U8c0so51kT6]|01-09|Male|PLHIV_Attend.T_1|CY2023Q3</v>
      </c>
    </row>
    <row r="3021" spans="4:18" x14ac:dyDescent="0.2">
      <c r="D3021" t="s">
        <v>110</v>
      </c>
      <c r="E3021" t="s">
        <v>111</v>
      </c>
      <c r="F3021" t="s">
        <v>112</v>
      </c>
      <c r="G3021" t="s">
        <v>149</v>
      </c>
      <c r="H3021" t="s">
        <v>149</v>
      </c>
      <c r="I3021" t="s">
        <v>35</v>
      </c>
      <c r="J3021" t="s">
        <v>36</v>
      </c>
      <c r="K3021" t="s">
        <v>47</v>
      </c>
      <c r="L3021" t="s">
        <v>48</v>
      </c>
      <c r="M3021" t="s">
        <v>139</v>
      </c>
      <c r="N3021">
        <v>1120</v>
      </c>
      <c r="O3021" s="14">
        <v>7.9353013541549403E-2</v>
      </c>
      <c r="P3021" s="14">
        <v>0.33776879496872397</v>
      </c>
      <c r="Q3021" t="str">
        <f t="shared" si="94"/>
        <v>10-14</v>
      </c>
      <c r="R3021" t="str">
        <f t="shared" si="95"/>
        <v>[U8c0so51kT6]|10-14|Male|PLHIV_Attend.T_1|CY2023Q3</v>
      </c>
    </row>
    <row r="3022" spans="4:18" x14ac:dyDescent="0.2">
      <c r="D3022" t="s">
        <v>110</v>
      </c>
      <c r="E3022" t="s">
        <v>111</v>
      </c>
      <c r="F3022" t="s">
        <v>112</v>
      </c>
      <c r="G3022" t="s">
        <v>149</v>
      </c>
      <c r="H3022" t="s">
        <v>149</v>
      </c>
      <c r="I3022" t="s">
        <v>37</v>
      </c>
      <c r="J3022" t="s">
        <v>38</v>
      </c>
      <c r="K3022" t="s">
        <v>47</v>
      </c>
      <c r="L3022" t="s">
        <v>48</v>
      </c>
      <c r="M3022" t="s">
        <v>139</v>
      </c>
      <c r="N3022">
        <v>1030</v>
      </c>
      <c r="O3022" s="14">
        <v>0.76769756223075103</v>
      </c>
      <c r="P3022" s="14">
        <v>0.33776879496872397</v>
      </c>
      <c r="Q3022" t="str">
        <f t="shared" si="94"/>
        <v>15-24</v>
      </c>
      <c r="R3022" t="str">
        <f t="shared" si="95"/>
        <v>[U8c0so51kT6]|15-24|Male|PLHIV_Attend.T_1|CY2023Q3</v>
      </c>
    </row>
    <row r="3023" spans="4:18" x14ac:dyDescent="0.2">
      <c r="D3023" t="s">
        <v>110</v>
      </c>
      <c r="E3023" t="s">
        <v>111</v>
      </c>
      <c r="F3023" t="s">
        <v>112</v>
      </c>
      <c r="G3023" t="s">
        <v>149</v>
      </c>
      <c r="H3023" t="s">
        <v>149</v>
      </c>
      <c r="I3023" t="s">
        <v>40</v>
      </c>
      <c r="J3023" t="s">
        <v>41</v>
      </c>
      <c r="K3023" t="s">
        <v>47</v>
      </c>
      <c r="L3023" t="s">
        <v>48</v>
      </c>
      <c r="M3023" t="s">
        <v>139</v>
      </c>
      <c r="N3023">
        <v>1538</v>
      </c>
      <c r="O3023" s="14">
        <v>0.88677008729428097</v>
      </c>
      <c r="P3023" s="14">
        <v>0.33776879496872397</v>
      </c>
      <c r="Q3023" t="str">
        <f t="shared" si="94"/>
        <v>25-34</v>
      </c>
      <c r="R3023" t="str">
        <f t="shared" si="95"/>
        <v>[U8c0so51kT6]|25-34|Male|PLHIV_Attend.T_1|CY2023Q3</v>
      </c>
    </row>
    <row r="3024" spans="4:18" x14ac:dyDescent="0.2">
      <c r="D3024" t="s">
        <v>110</v>
      </c>
      <c r="E3024" t="s">
        <v>111</v>
      </c>
      <c r="F3024" t="s">
        <v>112</v>
      </c>
      <c r="G3024" t="s">
        <v>149</v>
      </c>
      <c r="H3024" t="s">
        <v>149</v>
      </c>
      <c r="I3024" t="s">
        <v>42</v>
      </c>
      <c r="J3024" t="s">
        <v>43</v>
      </c>
      <c r="K3024" t="s">
        <v>47</v>
      </c>
      <c r="L3024" t="s">
        <v>48</v>
      </c>
      <c r="M3024" t="s">
        <v>139</v>
      </c>
      <c r="N3024">
        <v>1401</v>
      </c>
      <c r="O3024" s="14">
        <v>0.98802186967804995</v>
      </c>
      <c r="P3024" s="14">
        <v>0.33776879496872397</v>
      </c>
      <c r="Q3024" t="str">
        <f t="shared" si="94"/>
        <v>35-49</v>
      </c>
      <c r="R3024" t="str">
        <f t="shared" si="95"/>
        <v>[U8c0so51kT6]|35-49|Male|PLHIV_Attend.T_1|CY2023Q3</v>
      </c>
    </row>
    <row r="3025" spans="4:18" x14ac:dyDescent="0.2">
      <c r="D3025" t="s">
        <v>110</v>
      </c>
      <c r="E3025" t="s">
        <v>111</v>
      </c>
      <c r="F3025" t="s">
        <v>112</v>
      </c>
      <c r="G3025" t="s">
        <v>149</v>
      </c>
      <c r="H3025" t="s">
        <v>149</v>
      </c>
      <c r="I3025" t="s">
        <v>44</v>
      </c>
      <c r="J3025" t="s">
        <v>45</v>
      </c>
      <c r="K3025" t="s">
        <v>47</v>
      </c>
      <c r="L3025" t="s">
        <v>48</v>
      </c>
      <c r="M3025" t="s">
        <v>139</v>
      </c>
      <c r="N3025">
        <v>1287</v>
      </c>
      <c r="O3025" s="14">
        <v>0.115856263088062</v>
      </c>
      <c r="P3025" s="14">
        <v>0.33776879496872397</v>
      </c>
      <c r="Q3025" t="str">
        <f t="shared" si="94"/>
        <v>50+</v>
      </c>
      <c r="R3025" t="str">
        <f t="shared" si="95"/>
        <v>[U8c0so51kT6]|50+|Male|PLHIV_Attend.T_1|CY2023Q3</v>
      </c>
    </row>
    <row r="3026" spans="4:18" x14ac:dyDescent="0.2">
      <c r="D3026" t="s">
        <v>113</v>
      </c>
      <c r="E3026" t="s">
        <v>114</v>
      </c>
      <c r="F3026" t="s">
        <v>115</v>
      </c>
      <c r="G3026" t="s">
        <v>149</v>
      </c>
      <c r="H3026" t="s">
        <v>149</v>
      </c>
      <c r="I3026" t="s">
        <v>27</v>
      </c>
      <c r="J3026" t="s">
        <v>28</v>
      </c>
      <c r="K3026" t="s">
        <v>29</v>
      </c>
      <c r="L3026" t="s">
        <v>30</v>
      </c>
      <c r="M3026" t="s">
        <v>139</v>
      </c>
      <c r="N3026">
        <v>733</v>
      </c>
      <c r="O3026" s="14">
        <v>7.04217413440347E-2</v>
      </c>
      <c r="P3026" s="14">
        <v>0.29855980910360802</v>
      </c>
      <c r="Q3026" t="str">
        <f t="shared" si="94"/>
        <v>&lt;01</v>
      </c>
      <c r="R3026" t="str">
        <f t="shared" si="95"/>
        <v>[rpw540fmNUz]|&lt;01|Female|PLHIV_Attend.T_1|CY2023Q3</v>
      </c>
    </row>
    <row r="3027" spans="4:18" x14ac:dyDescent="0.2">
      <c r="D3027" t="s">
        <v>113</v>
      </c>
      <c r="E3027" t="s">
        <v>114</v>
      </c>
      <c r="F3027" t="s">
        <v>115</v>
      </c>
      <c r="G3027" t="s">
        <v>149</v>
      </c>
      <c r="H3027" t="s">
        <v>149</v>
      </c>
      <c r="I3027" t="s">
        <v>32</v>
      </c>
      <c r="J3027" t="s">
        <v>33</v>
      </c>
      <c r="K3027" t="s">
        <v>29</v>
      </c>
      <c r="L3027" t="s">
        <v>30</v>
      </c>
      <c r="M3027" t="s">
        <v>139</v>
      </c>
      <c r="N3027">
        <v>1489</v>
      </c>
      <c r="O3027" s="14">
        <v>0.56475712242536202</v>
      </c>
      <c r="P3027" s="14">
        <v>0.29855980910360802</v>
      </c>
      <c r="Q3027" t="str">
        <f t="shared" si="94"/>
        <v>01-09</v>
      </c>
      <c r="R3027" t="str">
        <f t="shared" si="95"/>
        <v>[rpw540fmNUz]|01-09|Female|PLHIV_Attend.T_1|CY2023Q3</v>
      </c>
    </row>
    <row r="3028" spans="4:18" x14ac:dyDescent="0.2">
      <c r="D3028" t="s">
        <v>113</v>
      </c>
      <c r="E3028" t="s">
        <v>114</v>
      </c>
      <c r="F3028" t="s">
        <v>115</v>
      </c>
      <c r="G3028" t="s">
        <v>149</v>
      </c>
      <c r="H3028" t="s">
        <v>149</v>
      </c>
      <c r="I3028" t="s">
        <v>35</v>
      </c>
      <c r="J3028" t="s">
        <v>36</v>
      </c>
      <c r="K3028" t="s">
        <v>29</v>
      </c>
      <c r="L3028" t="s">
        <v>30</v>
      </c>
      <c r="M3028" t="s">
        <v>139</v>
      </c>
      <c r="N3028">
        <v>1488</v>
      </c>
      <c r="O3028" s="14">
        <v>0.36188182700425398</v>
      </c>
      <c r="P3028" s="14">
        <v>0.29855980910360802</v>
      </c>
      <c r="Q3028" t="str">
        <f t="shared" si="94"/>
        <v>10-14</v>
      </c>
      <c r="R3028" t="str">
        <f t="shared" si="95"/>
        <v>[rpw540fmNUz]|10-14|Female|PLHIV_Attend.T_1|CY2023Q3</v>
      </c>
    </row>
    <row r="3029" spans="4:18" x14ac:dyDescent="0.2">
      <c r="D3029" t="s">
        <v>113</v>
      </c>
      <c r="E3029" t="s">
        <v>114</v>
      </c>
      <c r="F3029" t="s">
        <v>115</v>
      </c>
      <c r="G3029" t="s">
        <v>149</v>
      </c>
      <c r="H3029" t="s">
        <v>149</v>
      </c>
      <c r="I3029" t="s">
        <v>37</v>
      </c>
      <c r="J3029" t="s">
        <v>38</v>
      </c>
      <c r="K3029" t="s">
        <v>29</v>
      </c>
      <c r="L3029" t="s">
        <v>30</v>
      </c>
      <c r="M3029" t="s">
        <v>139</v>
      </c>
      <c r="N3029">
        <v>1200</v>
      </c>
      <c r="O3029" s="14">
        <v>3.42122348956764E-3</v>
      </c>
      <c r="P3029" s="14">
        <v>0.29855980910360802</v>
      </c>
      <c r="Q3029" t="str">
        <f t="shared" si="94"/>
        <v>15-24</v>
      </c>
      <c r="R3029" t="str">
        <f t="shared" si="95"/>
        <v>[rpw540fmNUz]|15-24|Female|PLHIV_Attend.T_1|CY2023Q3</v>
      </c>
    </row>
    <row r="3030" spans="4:18" x14ac:dyDescent="0.2">
      <c r="D3030" t="s">
        <v>113</v>
      </c>
      <c r="E3030" t="s">
        <v>114</v>
      </c>
      <c r="F3030" t="s">
        <v>115</v>
      </c>
      <c r="G3030" t="s">
        <v>149</v>
      </c>
      <c r="H3030" t="s">
        <v>149</v>
      </c>
      <c r="I3030" t="s">
        <v>40</v>
      </c>
      <c r="J3030" t="s">
        <v>41</v>
      </c>
      <c r="K3030" t="s">
        <v>29</v>
      </c>
      <c r="L3030" t="s">
        <v>30</v>
      </c>
      <c r="M3030" t="s">
        <v>139</v>
      </c>
      <c r="N3030">
        <v>1271</v>
      </c>
      <c r="O3030" s="14">
        <v>0.80657577048987195</v>
      </c>
      <c r="P3030" s="14">
        <v>0.29855980910360802</v>
      </c>
      <c r="Q3030" t="str">
        <f t="shared" si="94"/>
        <v>25-34</v>
      </c>
      <c r="R3030" t="str">
        <f t="shared" si="95"/>
        <v>[rpw540fmNUz]|25-34|Female|PLHIV_Attend.T_1|CY2023Q3</v>
      </c>
    </row>
    <row r="3031" spans="4:18" x14ac:dyDescent="0.2">
      <c r="D3031" t="s">
        <v>113</v>
      </c>
      <c r="E3031" t="s">
        <v>114</v>
      </c>
      <c r="F3031" t="s">
        <v>115</v>
      </c>
      <c r="G3031" t="s">
        <v>149</v>
      </c>
      <c r="H3031" t="s">
        <v>149</v>
      </c>
      <c r="I3031" t="s">
        <v>42</v>
      </c>
      <c r="J3031" t="s">
        <v>43</v>
      </c>
      <c r="K3031" t="s">
        <v>29</v>
      </c>
      <c r="L3031" t="s">
        <v>30</v>
      </c>
      <c r="M3031" t="s">
        <v>139</v>
      </c>
      <c r="N3031">
        <v>1504</v>
      </c>
      <c r="O3031" s="14">
        <v>0.68424723320640601</v>
      </c>
      <c r="P3031" s="14">
        <v>0.29855980910360802</v>
      </c>
      <c r="Q3031" t="str">
        <f t="shared" si="94"/>
        <v>35-49</v>
      </c>
      <c r="R3031" t="str">
        <f t="shared" si="95"/>
        <v>[rpw540fmNUz]|35-49|Female|PLHIV_Attend.T_1|CY2023Q3</v>
      </c>
    </row>
    <row r="3032" spans="4:18" x14ac:dyDescent="0.2">
      <c r="D3032" t="s">
        <v>113</v>
      </c>
      <c r="E3032" t="s">
        <v>114</v>
      </c>
      <c r="F3032" t="s">
        <v>115</v>
      </c>
      <c r="G3032" t="s">
        <v>149</v>
      </c>
      <c r="H3032" t="s">
        <v>149</v>
      </c>
      <c r="I3032" t="s">
        <v>44</v>
      </c>
      <c r="J3032" t="s">
        <v>45</v>
      </c>
      <c r="K3032" t="s">
        <v>29</v>
      </c>
      <c r="L3032" t="s">
        <v>30</v>
      </c>
      <c r="M3032" t="s">
        <v>139</v>
      </c>
      <c r="N3032">
        <v>815</v>
      </c>
      <c r="O3032" s="14">
        <v>0.117176498286426</v>
      </c>
      <c r="P3032" s="14">
        <v>0.29855980910360802</v>
      </c>
      <c r="Q3032" t="str">
        <f t="shared" si="94"/>
        <v>50+</v>
      </c>
      <c r="R3032" t="str">
        <f t="shared" si="95"/>
        <v>[rpw540fmNUz]|50+|Female|PLHIV_Attend.T_1|CY2023Q3</v>
      </c>
    </row>
    <row r="3033" spans="4:18" x14ac:dyDescent="0.2">
      <c r="D3033" t="s">
        <v>113</v>
      </c>
      <c r="E3033" t="s">
        <v>114</v>
      </c>
      <c r="F3033" t="s">
        <v>115</v>
      </c>
      <c r="G3033" t="s">
        <v>149</v>
      </c>
      <c r="H3033" t="s">
        <v>149</v>
      </c>
      <c r="I3033" t="s">
        <v>27</v>
      </c>
      <c r="J3033" t="s">
        <v>28</v>
      </c>
      <c r="K3033" t="s">
        <v>47</v>
      </c>
      <c r="L3033" t="s">
        <v>48</v>
      </c>
      <c r="M3033" t="s">
        <v>139</v>
      </c>
      <c r="N3033">
        <v>713</v>
      </c>
      <c r="O3033" s="14">
        <v>0.40277837030589603</v>
      </c>
      <c r="P3033" s="14">
        <v>0.29855980910360802</v>
      </c>
      <c r="Q3033" t="str">
        <f t="shared" si="94"/>
        <v>&lt;01</v>
      </c>
      <c r="R3033" t="str">
        <f t="shared" si="95"/>
        <v>[rpw540fmNUz]|&lt;01|Male|PLHIV_Attend.T_1|CY2023Q3</v>
      </c>
    </row>
    <row r="3034" spans="4:18" x14ac:dyDescent="0.2">
      <c r="D3034" t="s">
        <v>113</v>
      </c>
      <c r="E3034" t="s">
        <v>114</v>
      </c>
      <c r="F3034" t="s">
        <v>115</v>
      </c>
      <c r="G3034" t="s">
        <v>149</v>
      </c>
      <c r="H3034" t="s">
        <v>149</v>
      </c>
      <c r="I3034" t="s">
        <v>32</v>
      </c>
      <c r="J3034" t="s">
        <v>33</v>
      </c>
      <c r="K3034" t="s">
        <v>47</v>
      </c>
      <c r="L3034" t="s">
        <v>48</v>
      </c>
      <c r="M3034" t="s">
        <v>139</v>
      </c>
      <c r="N3034">
        <v>1179</v>
      </c>
      <c r="O3034" s="14">
        <v>0.58738474291749299</v>
      </c>
      <c r="P3034" s="14">
        <v>0.29855980910360802</v>
      </c>
      <c r="Q3034" t="str">
        <f t="shared" si="94"/>
        <v>01-09</v>
      </c>
      <c r="R3034" t="str">
        <f t="shared" si="95"/>
        <v>[rpw540fmNUz]|01-09|Male|PLHIV_Attend.T_1|CY2023Q3</v>
      </c>
    </row>
    <row r="3035" spans="4:18" x14ac:dyDescent="0.2">
      <c r="D3035" t="s">
        <v>113</v>
      </c>
      <c r="E3035" t="s">
        <v>114</v>
      </c>
      <c r="F3035" t="s">
        <v>115</v>
      </c>
      <c r="G3035" t="s">
        <v>149</v>
      </c>
      <c r="H3035" t="s">
        <v>149</v>
      </c>
      <c r="I3035" t="s">
        <v>35</v>
      </c>
      <c r="J3035" t="s">
        <v>36</v>
      </c>
      <c r="K3035" t="s">
        <v>47</v>
      </c>
      <c r="L3035" t="s">
        <v>48</v>
      </c>
      <c r="M3035" t="s">
        <v>139</v>
      </c>
      <c r="N3035">
        <v>1395</v>
      </c>
      <c r="O3035" s="14">
        <v>0.47201750031672401</v>
      </c>
      <c r="P3035" s="14">
        <v>0.29855980910360802</v>
      </c>
      <c r="Q3035" t="str">
        <f t="shared" si="94"/>
        <v>10-14</v>
      </c>
      <c r="R3035" t="str">
        <f t="shared" si="95"/>
        <v>[rpw540fmNUz]|10-14|Male|PLHIV_Attend.T_1|CY2023Q3</v>
      </c>
    </row>
    <row r="3036" spans="4:18" x14ac:dyDescent="0.2">
      <c r="D3036" t="s">
        <v>113</v>
      </c>
      <c r="E3036" t="s">
        <v>114</v>
      </c>
      <c r="F3036" t="s">
        <v>115</v>
      </c>
      <c r="G3036" t="s">
        <v>149</v>
      </c>
      <c r="H3036" t="s">
        <v>149</v>
      </c>
      <c r="I3036" t="s">
        <v>37</v>
      </c>
      <c r="J3036" t="s">
        <v>38</v>
      </c>
      <c r="K3036" t="s">
        <v>47</v>
      </c>
      <c r="L3036" t="s">
        <v>48</v>
      </c>
      <c r="M3036" t="s">
        <v>139</v>
      </c>
      <c r="N3036">
        <v>1602</v>
      </c>
      <c r="O3036" s="14">
        <v>0.81268026796169601</v>
      </c>
      <c r="P3036" s="14">
        <v>0.29855980910360802</v>
      </c>
      <c r="Q3036" t="str">
        <f t="shared" si="94"/>
        <v>15-24</v>
      </c>
      <c r="R3036" t="str">
        <f t="shared" si="95"/>
        <v>[rpw540fmNUz]|15-24|Male|PLHIV_Attend.T_1|CY2023Q3</v>
      </c>
    </row>
    <row r="3037" spans="4:18" x14ac:dyDescent="0.2">
      <c r="D3037" t="s">
        <v>113</v>
      </c>
      <c r="E3037" t="s">
        <v>114</v>
      </c>
      <c r="F3037" t="s">
        <v>115</v>
      </c>
      <c r="G3037" t="s">
        <v>149</v>
      </c>
      <c r="H3037" t="s">
        <v>149</v>
      </c>
      <c r="I3037" t="s">
        <v>40</v>
      </c>
      <c r="J3037" t="s">
        <v>41</v>
      </c>
      <c r="K3037" t="s">
        <v>47</v>
      </c>
      <c r="L3037" t="s">
        <v>48</v>
      </c>
      <c r="M3037" t="s">
        <v>139</v>
      </c>
      <c r="N3037">
        <v>775</v>
      </c>
      <c r="O3037" s="14">
        <v>0.114379929145798</v>
      </c>
      <c r="P3037" s="14">
        <v>0.29855980910360802</v>
      </c>
      <c r="Q3037" t="str">
        <f t="shared" si="94"/>
        <v>25-34</v>
      </c>
      <c r="R3037" t="str">
        <f t="shared" si="95"/>
        <v>[rpw540fmNUz]|25-34|Male|PLHIV_Attend.T_1|CY2023Q3</v>
      </c>
    </row>
    <row r="3038" spans="4:18" x14ac:dyDescent="0.2">
      <c r="D3038" t="s">
        <v>113</v>
      </c>
      <c r="E3038" t="s">
        <v>114</v>
      </c>
      <c r="F3038" t="s">
        <v>115</v>
      </c>
      <c r="G3038" t="s">
        <v>149</v>
      </c>
      <c r="H3038" t="s">
        <v>149</v>
      </c>
      <c r="I3038" t="s">
        <v>42</v>
      </c>
      <c r="J3038" t="s">
        <v>43</v>
      </c>
      <c r="K3038" t="s">
        <v>47</v>
      </c>
      <c r="L3038" t="s">
        <v>48</v>
      </c>
      <c r="M3038" t="s">
        <v>139</v>
      </c>
      <c r="N3038">
        <v>1809</v>
      </c>
      <c r="O3038" s="14">
        <v>0.70244014263153098</v>
      </c>
      <c r="P3038" s="14">
        <v>0.29855980910360802</v>
      </c>
      <c r="Q3038" t="str">
        <f t="shared" si="94"/>
        <v>35-49</v>
      </c>
      <c r="R3038" t="str">
        <f t="shared" si="95"/>
        <v>[rpw540fmNUz]|35-49|Male|PLHIV_Attend.T_1|CY2023Q3</v>
      </c>
    </row>
    <row r="3039" spans="4:18" x14ac:dyDescent="0.2">
      <c r="D3039" t="s">
        <v>113</v>
      </c>
      <c r="E3039" t="s">
        <v>114</v>
      </c>
      <c r="F3039" t="s">
        <v>115</v>
      </c>
      <c r="G3039" t="s">
        <v>149</v>
      </c>
      <c r="H3039" t="s">
        <v>149</v>
      </c>
      <c r="I3039" t="s">
        <v>44</v>
      </c>
      <c r="J3039" t="s">
        <v>45</v>
      </c>
      <c r="K3039" t="s">
        <v>47</v>
      </c>
      <c r="L3039" t="s">
        <v>48</v>
      </c>
      <c r="M3039" t="s">
        <v>139</v>
      </c>
      <c r="N3039">
        <v>1833</v>
      </c>
      <c r="O3039" s="14">
        <v>0.96469381242059205</v>
      </c>
      <c r="P3039" s="14">
        <v>0.29855980910360802</v>
      </c>
      <c r="Q3039" t="str">
        <f t="shared" si="94"/>
        <v>50+</v>
      </c>
      <c r="R3039" t="str">
        <f t="shared" si="95"/>
        <v>[rpw540fmNUz]|50+|Male|PLHIV_Attend.T_1|CY2023Q3</v>
      </c>
    </row>
    <row r="3040" spans="4:18" x14ac:dyDescent="0.2">
      <c r="D3040" t="s">
        <v>116</v>
      </c>
      <c r="E3040" t="s">
        <v>117</v>
      </c>
      <c r="F3040" t="s">
        <v>118</v>
      </c>
      <c r="G3040" t="s">
        <v>149</v>
      </c>
      <c r="H3040" t="s">
        <v>149</v>
      </c>
      <c r="I3040" t="s">
        <v>27</v>
      </c>
      <c r="J3040" t="s">
        <v>28</v>
      </c>
      <c r="K3040" t="s">
        <v>29</v>
      </c>
      <c r="L3040" t="s">
        <v>30</v>
      </c>
      <c r="M3040" t="s">
        <v>139</v>
      </c>
      <c r="N3040">
        <v>1788</v>
      </c>
      <c r="O3040" s="14">
        <v>0.32406273018568799</v>
      </c>
      <c r="P3040" s="14">
        <v>0.206259709550068</v>
      </c>
      <c r="Q3040" t="str">
        <f t="shared" si="94"/>
        <v>&lt;01</v>
      </c>
      <c r="R3040" t="str">
        <f t="shared" si="95"/>
        <v>[lPTyjLi4w3d]|&lt;01|Female|PLHIV_Attend.T_1|CY2023Q3</v>
      </c>
    </row>
    <row r="3041" spans="4:18" x14ac:dyDescent="0.2">
      <c r="D3041" t="s">
        <v>116</v>
      </c>
      <c r="E3041" t="s">
        <v>117</v>
      </c>
      <c r="F3041" t="s">
        <v>118</v>
      </c>
      <c r="G3041" t="s">
        <v>149</v>
      </c>
      <c r="H3041" t="s">
        <v>149</v>
      </c>
      <c r="I3041" t="s">
        <v>32</v>
      </c>
      <c r="J3041" t="s">
        <v>33</v>
      </c>
      <c r="K3041" t="s">
        <v>29</v>
      </c>
      <c r="L3041" t="s">
        <v>30</v>
      </c>
      <c r="M3041" t="s">
        <v>139</v>
      </c>
      <c r="N3041">
        <v>980</v>
      </c>
      <c r="O3041" s="14">
        <v>0.243513907305896</v>
      </c>
      <c r="P3041" s="14">
        <v>0.206259709550068</v>
      </c>
      <c r="Q3041" t="str">
        <f t="shared" si="94"/>
        <v>01-09</v>
      </c>
      <c r="R3041" t="str">
        <f t="shared" si="95"/>
        <v>[lPTyjLi4w3d]|01-09|Female|PLHIV_Attend.T_1|CY2023Q3</v>
      </c>
    </row>
    <row r="3042" spans="4:18" x14ac:dyDescent="0.2">
      <c r="D3042" t="s">
        <v>116</v>
      </c>
      <c r="E3042" t="s">
        <v>117</v>
      </c>
      <c r="F3042" t="s">
        <v>118</v>
      </c>
      <c r="G3042" t="s">
        <v>149</v>
      </c>
      <c r="H3042" t="s">
        <v>149</v>
      </c>
      <c r="I3042" t="s">
        <v>35</v>
      </c>
      <c r="J3042" t="s">
        <v>36</v>
      </c>
      <c r="K3042" t="s">
        <v>29</v>
      </c>
      <c r="L3042" t="s">
        <v>30</v>
      </c>
      <c r="M3042" t="s">
        <v>139</v>
      </c>
      <c r="N3042">
        <v>1412</v>
      </c>
      <c r="O3042" s="14">
        <v>0.64972780714742795</v>
      </c>
      <c r="P3042" s="14">
        <v>0.206259709550068</v>
      </c>
      <c r="Q3042" t="str">
        <f t="shared" si="94"/>
        <v>10-14</v>
      </c>
      <c r="R3042" t="str">
        <f t="shared" si="95"/>
        <v>[lPTyjLi4w3d]|10-14|Female|PLHIV_Attend.T_1|CY2023Q3</v>
      </c>
    </row>
    <row r="3043" spans="4:18" x14ac:dyDescent="0.2">
      <c r="D3043" t="s">
        <v>116</v>
      </c>
      <c r="E3043" t="s">
        <v>117</v>
      </c>
      <c r="F3043" t="s">
        <v>118</v>
      </c>
      <c r="G3043" t="s">
        <v>149</v>
      </c>
      <c r="H3043" t="s">
        <v>149</v>
      </c>
      <c r="I3043" t="s">
        <v>37</v>
      </c>
      <c r="J3043" t="s">
        <v>38</v>
      </c>
      <c r="K3043" t="s">
        <v>29</v>
      </c>
      <c r="L3043" t="s">
        <v>30</v>
      </c>
      <c r="M3043" t="s">
        <v>139</v>
      </c>
      <c r="N3043">
        <v>1717</v>
      </c>
      <c r="O3043" s="14">
        <v>0.17375044594518799</v>
      </c>
      <c r="P3043" s="14">
        <v>0.206259709550068</v>
      </c>
      <c r="Q3043" t="str">
        <f t="shared" si="94"/>
        <v>15-24</v>
      </c>
      <c r="R3043" t="str">
        <f t="shared" si="95"/>
        <v>[lPTyjLi4w3d]|15-24|Female|PLHIV_Attend.T_1|CY2023Q3</v>
      </c>
    </row>
    <row r="3044" spans="4:18" x14ac:dyDescent="0.2">
      <c r="D3044" t="s">
        <v>116</v>
      </c>
      <c r="E3044" t="s">
        <v>117</v>
      </c>
      <c r="F3044" t="s">
        <v>118</v>
      </c>
      <c r="G3044" t="s">
        <v>149</v>
      </c>
      <c r="H3044" t="s">
        <v>149</v>
      </c>
      <c r="I3044" t="s">
        <v>40</v>
      </c>
      <c r="J3044" t="s">
        <v>41</v>
      </c>
      <c r="K3044" t="s">
        <v>29</v>
      </c>
      <c r="L3044" t="s">
        <v>30</v>
      </c>
      <c r="M3044" t="s">
        <v>139</v>
      </c>
      <c r="N3044">
        <v>1768</v>
      </c>
      <c r="O3044" s="14">
        <v>6.88945935107768E-2</v>
      </c>
      <c r="P3044" s="14">
        <v>0.206259709550068</v>
      </c>
      <c r="Q3044" t="str">
        <f t="shared" si="94"/>
        <v>25-34</v>
      </c>
      <c r="R3044" t="str">
        <f t="shared" si="95"/>
        <v>[lPTyjLi4w3d]|25-34|Female|PLHIV_Attend.T_1|CY2023Q3</v>
      </c>
    </row>
    <row r="3045" spans="4:18" x14ac:dyDescent="0.2">
      <c r="D3045" t="s">
        <v>116</v>
      </c>
      <c r="E3045" t="s">
        <v>117</v>
      </c>
      <c r="F3045" t="s">
        <v>118</v>
      </c>
      <c r="G3045" t="s">
        <v>149</v>
      </c>
      <c r="H3045" t="s">
        <v>149</v>
      </c>
      <c r="I3045" t="s">
        <v>42</v>
      </c>
      <c r="J3045" t="s">
        <v>43</v>
      </c>
      <c r="K3045" t="s">
        <v>29</v>
      </c>
      <c r="L3045" t="s">
        <v>30</v>
      </c>
      <c r="M3045" t="s">
        <v>139</v>
      </c>
      <c r="N3045">
        <v>1518</v>
      </c>
      <c r="O3045" s="14">
        <v>0.43891642801463598</v>
      </c>
      <c r="P3045" s="14">
        <v>0.206259709550068</v>
      </c>
      <c r="Q3045" t="str">
        <f t="shared" si="94"/>
        <v>35-49</v>
      </c>
      <c r="R3045" t="str">
        <f t="shared" si="95"/>
        <v>[lPTyjLi4w3d]|35-49|Female|PLHIV_Attend.T_1|CY2023Q3</v>
      </c>
    </row>
    <row r="3046" spans="4:18" x14ac:dyDescent="0.2">
      <c r="D3046" t="s">
        <v>116</v>
      </c>
      <c r="E3046" t="s">
        <v>117</v>
      </c>
      <c r="F3046" t="s">
        <v>118</v>
      </c>
      <c r="G3046" t="s">
        <v>149</v>
      </c>
      <c r="H3046" t="s">
        <v>149</v>
      </c>
      <c r="I3046" t="s">
        <v>44</v>
      </c>
      <c r="J3046" t="s">
        <v>45</v>
      </c>
      <c r="K3046" t="s">
        <v>29</v>
      </c>
      <c r="L3046" t="s">
        <v>30</v>
      </c>
      <c r="M3046" t="s">
        <v>139</v>
      </c>
      <c r="N3046">
        <v>1779</v>
      </c>
      <c r="O3046" s="14">
        <v>0.23466060380451401</v>
      </c>
      <c r="P3046" s="14">
        <v>0.206259709550068</v>
      </c>
      <c r="Q3046" t="str">
        <f t="shared" si="94"/>
        <v>50+</v>
      </c>
      <c r="R3046" t="str">
        <f t="shared" si="95"/>
        <v>[lPTyjLi4w3d]|50+|Female|PLHIV_Attend.T_1|CY2023Q3</v>
      </c>
    </row>
    <row r="3047" spans="4:18" x14ac:dyDescent="0.2">
      <c r="D3047" t="s">
        <v>116</v>
      </c>
      <c r="E3047" t="s">
        <v>117</v>
      </c>
      <c r="F3047" t="s">
        <v>118</v>
      </c>
      <c r="G3047" t="s">
        <v>149</v>
      </c>
      <c r="H3047" t="s">
        <v>149</v>
      </c>
      <c r="I3047" t="s">
        <v>27</v>
      </c>
      <c r="J3047" t="s">
        <v>28</v>
      </c>
      <c r="K3047" t="s">
        <v>47</v>
      </c>
      <c r="L3047" t="s">
        <v>48</v>
      </c>
      <c r="M3047" t="s">
        <v>139</v>
      </c>
      <c r="N3047">
        <v>786</v>
      </c>
      <c r="O3047" s="14">
        <v>6.1220617499202499E-3</v>
      </c>
      <c r="P3047" s="14">
        <v>0.206259709550068</v>
      </c>
      <c r="Q3047" t="str">
        <f t="shared" si="94"/>
        <v>&lt;01</v>
      </c>
      <c r="R3047" t="str">
        <f t="shared" si="95"/>
        <v>[lPTyjLi4w3d]|&lt;01|Male|PLHIV_Attend.T_1|CY2023Q3</v>
      </c>
    </row>
    <row r="3048" spans="4:18" x14ac:dyDescent="0.2">
      <c r="D3048" t="s">
        <v>116</v>
      </c>
      <c r="E3048" t="s">
        <v>117</v>
      </c>
      <c r="F3048" t="s">
        <v>118</v>
      </c>
      <c r="G3048" t="s">
        <v>149</v>
      </c>
      <c r="H3048" t="s">
        <v>149</v>
      </c>
      <c r="I3048" t="s">
        <v>32</v>
      </c>
      <c r="J3048" t="s">
        <v>33</v>
      </c>
      <c r="K3048" t="s">
        <v>47</v>
      </c>
      <c r="L3048" t="s">
        <v>48</v>
      </c>
      <c r="M3048" t="s">
        <v>139</v>
      </c>
      <c r="N3048">
        <v>1732</v>
      </c>
      <c r="O3048" s="14">
        <v>0.45406893128529202</v>
      </c>
      <c r="P3048" s="14">
        <v>0.206259709550068</v>
      </c>
      <c r="Q3048" t="str">
        <f t="shared" si="94"/>
        <v>01-09</v>
      </c>
      <c r="R3048" t="str">
        <f t="shared" si="95"/>
        <v>[lPTyjLi4w3d]|01-09|Male|PLHIV_Attend.T_1|CY2023Q3</v>
      </c>
    </row>
    <row r="3049" spans="4:18" x14ac:dyDescent="0.2">
      <c r="D3049" t="s">
        <v>116</v>
      </c>
      <c r="E3049" t="s">
        <v>117</v>
      </c>
      <c r="F3049" t="s">
        <v>118</v>
      </c>
      <c r="G3049" t="s">
        <v>149</v>
      </c>
      <c r="H3049" t="s">
        <v>149</v>
      </c>
      <c r="I3049" t="s">
        <v>35</v>
      </c>
      <c r="J3049" t="s">
        <v>36</v>
      </c>
      <c r="K3049" t="s">
        <v>47</v>
      </c>
      <c r="L3049" t="s">
        <v>48</v>
      </c>
      <c r="M3049" t="s">
        <v>139</v>
      </c>
      <c r="N3049">
        <v>1199</v>
      </c>
      <c r="O3049" s="14">
        <v>0.54680355079472098</v>
      </c>
      <c r="P3049" s="14">
        <v>0.206259709550068</v>
      </c>
      <c r="Q3049" t="str">
        <f t="shared" si="94"/>
        <v>10-14</v>
      </c>
      <c r="R3049" t="str">
        <f t="shared" si="95"/>
        <v>[lPTyjLi4w3d]|10-14|Male|PLHIV_Attend.T_1|CY2023Q3</v>
      </c>
    </row>
    <row r="3050" spans="4:18" x14ac:dyDescent="0.2">
      <c r="D3050" t="s">
        <v>116</v>
      </c>
      <c r="E3050" t="s">
        <v>117</v>
      </c>
      <c r="F3050" t="s">
        <v>118</v>
      </c>
      <c r="G3050" t="s">
        <v>149</v>
      </c>
      <c r="H3050" t="s">
        <v>149</v>
      </c>
      <c r="I3050" t="s">
        <v>37</v>
      </c>
      <c r="J3050" t="s">
        <v>38</v>
      </c>
      <c r="K3050" t="s">
        <v>47</v>
      </c>
      <c r="L3050" t="s">
        <v>48</v>
      </c>
      <c r="M3050" t="s">
        <v>139</v>
      </c>
      <c r="N3050">
        <v>1751</v>
      </c>
      <c r="O3050" s="14">
        <v>0.85039407177828297</v>
      </c>
      <c r="P3050" s="14">
        <v>0.206259709550068</v>
      </c>
      <c r="Q3050" t="str">
        <f t="shared" si="94"/>
        <v>15-24</v>
      </c>
      <c r="R3050" t="str">
        <f t="shared" si="95"/>
        <v>[lPTyjLi4w3d]|15-24|Male|PLHIV_Attend.T_1|CY2023Q3</v>
      </c>
    </row>
    <row r="3051" spans="4:18" x14ac:dyDescent="0.2">
      <c r="D3051" t="s">
        <v>116</v>
      </c>
      <c r="E3051" t="s">
        <v>117</v>
      </c>
      <c r="F3051" t="s">
        <v>118</v>
      </c>
      <c r="G3051" t="s">
        <v>149</v>
      </c>
      <c r="H3051" t="s">
        <v>149</v>
      </c>
      <c r="I3051" t="s">
        <v>40</v>
      </c>
      <c r="J3051" t="s">
        <v>41</v>
      </c>
      <c r="K3051" t="s">
        <v>47</v>
      </c>
      <c r="L3051" t="s">
        <v>48</v>
      </c>
      <c r="M3051" t="s">
        <v>139</v>
      </c>
      <c r="N3051">
        <v>1514</v>
      </c>
      <c r="O3051" s="14">
        <v>0.91951339598745097</v>
      </c>
      <c r="P3051" s="14">
        <v>0.206259709550068</v>
      </c>
      <c r="Q3051" t="str">
        <f t="shared" si="94"/>
        <v>25-34</v>
      </c>
      <c r="R3051" t="str">
        <f t="shared" si="95"/>
        <v>[lPTyjLi4w3d]|25-34|Male|PLHIV_Attend.T_1|CY2023Q3</v>
      </c>
    </row>
    <row r="3052" spans="4:18" x14ac:dyDescent="0.2">
      <c r="D3052" t="s">
        <v>116</v>
      </c>
      <c r="E3052" t="s">
        <v>117</v>
      </c>
      <c r="F3052" t="s">
        <v>118</v>
      </c>
      <c r="G3052" t="s">
        <v>149</v>
      </c>
      <c r="H3052" t="s">
        <v>149</v>
      </c>
      <c r="I3052" t="s">
        <v>42</v>
      </c>
      <c r="J3052" t="s">
        <v>43</v>
      </c>
      <c r="K3052" t="s">
        <v>47</v>
      </c>
      <c r="L3052" t="s">
        <v>48</v>
      </c>
      <c r="M3052" t="s">
        <v>139</v>
      </c>
      <c r="N3052">
        <v>1819</v>
      </c>
      <c r="O3052" s="14">
        <v>0.35799542022869002</v>
      </c>
      <c r="P3052" s="14">
        <v>0.206259709550068</v>
      </c>
      <c r="Q3052" t="str">
        <f t="shared" si="94"/>
        <v>35-49</v>
      </c>
      <c r="R3052" t="str">
        <f t="shared" si="95"/>
        <v>[lPTyjLi4w3d]|35-49|Male|PLHIV_Attend.T_1|CY2023Q3</v>
      </c>
    </row>
    <row r="3053" spans="4:18" x14ac:dyDescent="0.2">
      <c r="D3053" t="s">
        <v>116</v>
      </c>
      <c r="E3053" t="s">
        <v>117</v>
      </c>
      <c r="F3053" t="s">
        <v>118</v>
      </c>
      <c r="G3053" t="s">
        <v>149</v>
      </c>
      <c r="H3053" t="s">
        <v>149</v>
      </c>
      <c r="I3053" t="s">
        <v>44</v>
      </c>
      <c r="J3053" t="s">
        <v>45</v>
      </c>
      <c r="K3053" t="s">
        <v>47</v>
      </c>
      <c r="L3053" t="s">
        <v>48</v>
      </c>
      <c r="M3053" t="s">
        <v>139</v>
      </c>
      <c r="N3053">
        <v>992</v>
      </c>
      <c r="O3053" s="14">
        <v>0.86861447198316499</v>
      </c>
      <c r="P3053" s="14">
        <v>0.206259709550068</v>
      </c>
      <c r="Q3053" t="str">
        <f t="shared" si="94"/>
        <v>50+</v>
      </c>
      <c r="R3053" t="str">
        <f t="shared" si="95"/>
        <v>[lPTyjLi4w3d]|50+|Male|PLHIV_Attend.T_1|CY2023Q3</v>
      </c>
    </row>
    <row r="3054" spans="4:18" x14ac:dyDescent="0.2">
      <c r="D3054" t="s">
        <v>119</v>
      </c>
      <c r="E3054" t="s">
        <v>120</v>
      </c>
      <c r="F3054" t="s">
        <v>121</v>
      </c>
      <c r="G3054" t="s">
        <v>149</v>
      </c>
      <c r="H3054" t="s">
        <v>149</v>
      </c>
      <c r="I3054" t="s">
        <v>27</v>
      </c>
      <c r="J3054" t="s">
        <v>28</v>
      </c>
      <c r="K3054" t="s">
        <v>29</v>
      </c>
      <c r="L3054" t="s">
        <v>30</v>
      </c>
      <c r="M3054" t="s">
        <v>139</v>
      </c>
      <c r="N3054">
        <v>1902</v>
      </c>
      <c r="O3054" s="14">
        <v>0.783917862689123</v>
      </c>
      <c r="P3054" s="14">
        <v>0.43010397930629601</v>
      </c>
      <c r="Q3054" t="str">
        <f t="shared" si="94"/>
        <v>&lt;01</v>
      </c>
      <c r="R3054" t="str">
        <f t="shared" si="95"/>
        <v>[vA4NcHxfMBq]|&lt;01|Female|PLHIV_Attend.T_1|CY2023Q3</v>
      </c>
    </row>
    <row r="3055" spans="4:18" x14ac:dyDescent="0.2">
      <c r="D3055" t="s">
        <v>119</v>
      </c>
      <c r="E3055" t="s">
        <v>120</v>
      </c>
      <c r="F3055" t="s">
        <v>121</v>
      </c>
      <c r="G3055" t="s">
        <v>149</v>
      </c>
      <c r="H3055" t="s">
        <v>149</v>
      </c>
      <c r="I3055" t="s">
        <v>32</v>
      </c>
      <c r="J3055" t="s">
        <v>33</v>
      </c>
      <c r="K3055" t="s">
        <v>29</v>
      </c>
      <c r="L3055" t="s">
        <v>30</v>
      </c>
      <c r="M3055" t="s">
        <v>139</v>
      </c>
      <c r="N3055">
        <v>1054</v>
      </c>
      <c r="O3055" s="14">
        <v>0.81025392492301795</v>
      </c>
      <c r="P3055" s="14">
        <v>0.43010397930629601</v>
      </c>
      <c r="Q3055" t="str">
        <f t="shared" si="94"/>
        <v>01-09</v>
      </c>
      <c r="R3055" t="str">
        <f t="shared" si="95"/>
        <v>[vA4NcHxfMBq]|01-09|Female|PLHIV_Attend.T_1|CY2023Q3</v>
      </c>
    </row>
    <row r="3056" spans="4:18" x14ac:dyDescent="0.2">
      <c r="D3056" t="s">
        <v>119</v>
      </c>
      <c r="E3056" t="s">
        <v>120</v>
      </c>
      <c r="F3056" t="s">
        <v>121</v>
      </c>
      <c r="G3056" t="s">
        <v>149</v>
      </c>
      <c r="H3056" t="s">
        <v>149</v>
      </c>
      <c r="I3056" t="s">
        <v>35</v>
      </c>
      <c r="J3056" t="s">
        <v>36</v>
      </c>
      <c r="K3056" t="s">
        <v>29</v>
      </c>
      <c r="L3056" t="s">
        <v>30</v>
      </c>
      <c r="M3056" t="s">
        <v>139</v>
      </c>
      <c r="N3056">
        <v>1045</v>
      </c>
      <c r="O3056" s="14">
        <v>0.416060114745051</v>
      </c>
      <c r="P3056" s="14">
        <v>0.43010397930629601</v>
      </c>
      <c r="Q3056" t="str">
        <f t="shared" si="94"/>
        <v>10-14</v>
      </c>
      <c r="R3056" t="str">
        <f t="shared" si="95"/>
        <v>[vA4NcHxfMBq]|10-14|Female|PLHIV_Attend.T_1|CY2023Q3</v>
      </c>
    </row>
    <row r="3057" spans="4:18" x14ac:dyDescent="0.2">
      <c r="D3057" t="s">
        <v>119</v>
      </c>
      <c r="E3057" t="s">
        <v>120</v>
      </c>
      <c r="F3057" t="s">
        <v>121</v>
      </c>
      <c r="G3057" t="s">
        <v>149</v>
      </c>
      <c r="H3057" t="s">
        <v>149</v>
      </c>
      <c r="I3057" t="s">
        <v>37</v>
      </c>
      <c r="J3057" t="s">
        <v>38</v>
      </c>
      <c r="K3057" t="s">
        <v>29</v>
      </c>
      <c r="L3057" t="s">
        <v>30</v>
      </c>
      <c r="M3057" t="s">
        <v>139</v>
      </c>
      <c r="N3057">
        <v>580</v>
      </c>
      <c r="O3057" s="14">
        <v>5.9336356353014701E-2</v>
      </c>
      <c r="P3057" s="14">
        <v>0.43010397930629601</v>
      </c>
      <c r="Q3057" t="str">
        <f t="shared" si="94"/>
        <v>15-24</v>
      </c>
      <c r="R3057" t="str">
        <f t="shared" si="95"/>
        <v>[vA4NcHxfMBq]|15-24|Female|PLHIV_Attend.T_1|CY2023Q3</v>
      </c>
    </row>
    <row r="3058" spans="4:18" x14ac:dyDescent="0.2">
      <c r="D3058" t="s">
        <v>119</v>
      </c>
      <c r="E3058" t="s">
        <v>120</v>
      </c>
      <c r="F3058" t="s">
        <v>121</v>
      </c>
      <c r="G3058" t="s">
        <v>149</v>
      </c>
      <c r="H3058" t="s">
        <v>149</v>
      </c>
      <c r="I3058" t="s">
        <v>40</v>
      </c>
      <c r="J3058" t="s">
        <v>41</v>
      </c>
      <c r="K3058" t="s">
        <v>29</v>
      </c>
      <c r="L3058" t="s">
        <v>30</v>
      </c>
      <c r="M3058" t="s">
        <v>139</v>
      </c>
      <c r="N3058">
        <v>930</v>
      </c>
      <c r="O3058" s="14">
        <v>0.20916134328581401</v>
      </c>
      <c r="P3058" s="14">
        <v>0.43010397930629601</v>
      </c>
      <c r="Q3058" t="str">
        <f t="shared" si="94"/>
        <v>25-34</v>
      </c>
      <c r="R3058" t="str">
        <f t="shared" si="95"/>
        <v>[vA4NcHxfMBq]|25-34|Female|PLHIV_Attend.T_1|CY2023Q3</v>
      </c>
    </row>
    <row r="3059" spans="4:18" x14ac:dyDescent="0.2">
      <c r="D3059" t="s">
        <v>119</v>
      </c>
      <c r="E3059" t="s">
        <v>120</v>
      </c>
      <c r="F3059" t="s">
        <v>121</v>
      </c>
      <c r="G3059" t="s">
        <v>149</v>
      </c>
      <c r="H3059" t="s">
        <v>149</v>
      </c>
      <c r="I3059" t="s">
        <v>42</v>
      </c>
      <c r="J3059" t="s">
        <v>43</v>
      </c>
      <c r="K3059" t="s">
        <v>29</v>
      </c>
      <c r="L3059" t="s">
        <v>30</v>
      </c>
      <c r="M3059" t="s">
        <v>139</v>
      </c>
      <c r="N3059">
        <v>1427</v>
      </c>
      <c r="O3059" s="14">
        <v>0.23060832195915301</v>
      </c>
      <c r="P3059" s="14">
        <v>0.43010397930629601</v>
      </c>
      <c r="Q3059" t="str">
        <f t="shared" si="94"/>
        <v>35-49</v>
      </c>
      <c r="R3059" t="str">
        <f t="shared" si="95"/>
        <v>[vA4NcHxfMBq]|35-49|Female|PLHIV_Attend.T_1|CY2023Q3</v>
      </c>
    </row>
    <row r="3060" spans="4:18" x14ac:dyDescent="0.2">
      <c r="D3060" t="s">
        <v>119</v>
      </c>
      <c r="E3060" t="s">
        <v>120</v>
      </c>
      <c r="F3060" t="s">
        <v>121</v>
      </c>
      <c r="G3060" t="s">
        <v>149</v>
      </c>
      <c r="H3060" t="s">
        <v>149</v>
      </c>
      <c r="I3060" t="s">
        <v>44</v>
      </c>
      <c r="J3060" t="s">
        <v>45</v>
      </c>
      <c r="K3060" t="s">
        <v>29</v>
      </c>
      <c r="L3060" t="s">
        <v>30</v>
      </c>
      <c r="M3060" t="s">
        <v>139</v>
      </c>
      <c r="N3060">
        <v>806</v>
      </c>
      <c r="O3060" s="14">
        <v>0.13179410877637601</v>
      </c>
      <c r="P3060" s="14">
        <v>0.43010397930629601</v>
      </c>
      <c r="Q3060" t="str">
        <f t="shared" si="94"/>
        <v>50+</v>
      </c>
      <c r="R3060" t="str">
        <f t="shared" si="95"/>
        <v>[vA4NcHxfMBq]|50+|Female|PLHIV_Attend.T_1|CY2023Q3</v>
      </c>
    </row>
    <row r="3061" spans="4:18" x14ac:dyDescent="0.2">
      <c r="D3061" t="s">
        <v>119</v>
      </c>
      <c r="E3061" t="s">
        <v>120</v>
      </c>
      <c r="F3061" t="s">
        <v>121</v>
      </c>
      <c r="G3061" t="s">
        <v>149</v>
      </c>
      <c r="H3061" t="s">
        <v>149</v>
      </c>
      <c r="I3061" t="s">
        <v>27</v>
      </c>
      <c r="J3061" t="s">
        <v>28</v>
      </c>
      <c r="K3061" t="s">
        <v>47</v>
      </c>
      <c r="L3061" t="s">
        <v>48</v>
      </c>
      <c r="M3061" t="s">
        <v>139</v>
      </c>
      <c r="N3061">
        <v>1868</v>
      </c>
      <c r="O3061" s="14">
        <v>0.66045192512683604</v>
      </c>
      <c r="P3061" s="14">
        <v>0.43010397930629601</v>
      </c>
      <c r="Q3061" t="str">
        <f t="shared" si="94"/>
        <v>&lt;01</v>
      </c>
      <c r="R3061" t="str">
        <f t="shared" si="95"/>
        <v>[vA4NcHxfMBq]|&lt;01|Male|PLHIV_Attend.T_1|CY2023Q3</v>
      </c>
    </row>
    <row r="3062" spans="4:18" x14ac:dyDescent="0.2">
      <c r="D3062" t="s">
        <v>119</v>
      </c>
      <c r="E3062" t="s">
        <v>120</v>
      </c>
      <c r="F3062" t="s">
        <v>121</v>
      </c>
      <c r="G3062" t="s">
        <v>149</v>
      </c>
      <c r="H3062" t="s">
        <v>149</v>
      </c>
      <c r="I3062" t="s">
        <v>32</v>
      </c>
      <c r="J3062" t="s">
        <v>33</v>
      </c>
      <c r="K3062" t="s">
        <v>47</v>
      </c>
      <c r="L3062" t="s">
        <v>48</v>
      </c>
      <c r="M3062" t="s">
        <v>139</v>
      </c>
      <c r="N3062">
        <v>925</v>
      </c>
      <c r="O3062" s="14">
        <v>0.74756417563185096</v>
      </c>
      <c r="P3062" s="14">
        <v>0.43010397930629601</v>
      </c>
      <c r="Q3062" t="str">
        <f t="shared" si="94"/>
        <v>01-09</v>
      </c>
      <c r="R3062" t="str">
        <f t="shared" si="95"/>
        <v>[vA4NcHxfMBq]|01-09|Male|PLHIV_Attend.T_1|CY2023Q3</v>
      </c>
    </row>
    <row r="3063" spans="4:18" x14ac:dyDescent="0.2">
      <c r="D3063" t="s">
        <v>119</v>
      </c>
      <c r="E3063" t="s">
        <v>120</v>
      </c>
      <c r="F3063" t="s">
        <v>121</v>
      </c>
      <c r="G3063" t="s">
        <v>149</v>
      </c>
      <c r="H3063" t="s">
        <v>149</v>
      </c>
      <c r="I3063" t="s">
        <v>35</v>
      </c>
      <c r="J3063" t="s">
        <v>36</v>
      </c>
      <c r="K3063" t="s">
        <v>47</v>
      </c>
      <c r="L3063" t="s">
        <v>48</v>
      </c>
      <c r="M3063" t="s">
        <v>139</v>
      </c>
      <c r="N3063">
        <v>1800</v>
      </c>
      <c r="O3063" s="14">
        <v>0.276743105612695</v>
      </c>
      <c r="P3063" s="14">
        <v>0.43010397930629601</v>
      </c>
      <c r="Q3063" t="str">
        <f t="shared" si="94"/>
        <v>10-14</v>
      </c>
      <c r="R3063" t="str">
        <f t="shared" si="95"/>
        <v>[vA4NcHxfMBq]|10-14|Male|PLHIV_Attend.T_1|CY2023Q3</v>
      </c>
    </row>
    <row r="3064" spans="4:18" x14ac:dyDescent="0.2">
      <c r="D3064" t="s">
        <v>119</v>
      </c>
      <c r="E3064" t="s">
        <v>120</v>
      </c>
      <c r="F3064" t="s">
        <v>121</v>
      </c>
      <c r="G3064" t="s">
        <v>149</v>
      </c>
      <c r="H3064" t="s">
        <v>149</v>
      </c>
      <c r="I3064" t="s">
        <v>37</v>
      </c>
      <c r="J3064" t="s">
        <v>38</v>
      </c>
      <c r="K3064" t="s">
        <v>47</v>
      </c>
      <c r="L3064" t="s">
        <v>48</v>
      </c>
      <c r="M3064" t="s">
        <v>139</v>
      </c>
      <c r="N3064">
        <v>1090</v>
      </c>
      <c r="O3064" s="14">
        <v>0.165012839250267</v>
      </c>
      <c r="P3064" s="14">
        <v>0.43010397930629601</v>
      </c>
      <c r="Q3064" t="str">
        <f t="shared" si="94"/>
        <v>15-24</v>
      </c>
      <c r="R3064" t="str">
        <f t="shared" si="95"/>
        <v>[vA4NcHxfMBq]|15-24|Male|PLHIV_Attend.T_1|CY2023Q3</v>
      </c>
    </row>
    <row r="3065" spans="4:18" x14ac:dyDescent="0.2">
      <c r="D3065" t="s">
        <v>119</v>
      </c>
      <c r="E3065" t="s">
        <v>120</v>
      </c>
      <c r="F3065" t="s">
        <v>121</v>
      </c>
      <c r="G3065" t="s">
        <v>149</v>
      </c>
      <c r="H3065" t="s">
        <v>149</v>
      </c>
      <c r="I3065" t="s">
        <v>40</v>
      </c>
      <c r="J3065" t="s">
        <v>41</v>
      </c>
      <c r="K3065" t="s">
        <v>47</v>
      </c>
      <c r="L3065" t="s">
        <v>48</v>
      </c>
      <c r="M3065" t="s">
        <v>139</v>
      </c>
      <c r="N3065">
        <v>775</v>
      </c>
      <c r="O3065" s="14">
        <v>0.160197942052037</v>
      </c>
      <c r="P3065" s="14">
        <v>0.43010397930629601</v>
      </c>
      <c r="Q3065" t="str">
        <f t="shared" si="94"/>
        <v>25-34</v>
      </c>
      <c r="R3065" t="str">
        <f t="shared" si="95"/>
        <v>[vA4NcHxfMBq]|25-34|Male|PLHIV_Attend.T_1|CY2023Q3</v>
      </c>
    </row>
    <row r="3066" spans="4:18" x14ac:dyDescent="0.2">
      <c r="D3066" t="s">
        <v>119</v>
      </c>
      <c r="E3066" t="s">
        <v>120</v>
      </c>
      <c r="F3066" t="s">
        <v>121</v>
      </c>
      <c r="G3066" t="s">
        <v>149</v>
      </c>
      <c r="H3066" t="s">
        <v>149</v>
      </c>
      <c r="I3066" t="s">
        <v>42</v>
      </c>
      <c r="J3066" t="s">
        <v>43</v>
      </c>
      <c r="K3066" t="s">
        <v>47</v>
      </c>
      <c r="L3066" t="s">
        <v>48</v>
      </c>
      <c r="M3066" t="s">
        <v>139</v>
      </c>
      <c r="N3066">
        <v>711</v>
      </c>
      <c r="O3066" s="14">
        <v>0.31128142168745399</v>
      </c>
      <c r="P3066" s="14">
        <v>0.43010397930629601</v>
      </c>
      <c r="Q3066" t="str">
        <f t="shared" si="94"/>
        <v>35-49</v>
      </c>
      <c r="R3066" t="str">
        <f t="shared" si="95"/>
        <v>[vA4NcHxfMBq]|35-49|Male|PLHIV_Attend.T_1|CY2023Q3</v>
      </c>
    </row>
    <row r="3067" spans="4:18" x14ac:dyDescent="0.2">
      <c r="D3067" t="s">
        <v>119</v>
      </c>
      <c r="E3067" t="s">
        <v>120</v>
      </c>
      <c r="F3067" t="s">
        <v>121</v>
      </c>
      <c r="G3067" t="s">
        <v>149</v>
      </c>
      <c r="H3067" t="s">
        <v>149</v>
      </c>
      <c r="I3067" t="s">
        <v>44</v>
      </c>
      <c r="J3067" t="s">
        <v>45</v>
      </c>
      <c r="K3067" t="s">
        <v>47</v>
      </c>
      <c r="L3067" t="s">
        <v>48</v>
      </c>
      <c r="M3067" t="s">
        <v>139</v>
      </c>
      <c r="N3067">
        <v>780</v>
      </c>
      <c r="O3067" s="14">
        <v>0.34839943214319602</v>
      </c>
      <c r="P3067" s="14">
        <v>0.43010397930629601</v>
      </c>
      <c r="Q3067" t="str">
        <f t="shared" si="94"/>
        <v>50+</v>
      </c>
      <c r="R3067" t="str">
        <f t="shared" si="95"/>
        <v>[vA4NcHxfMBq]|50+|Male|PLHIV_Attend.T_1|CY2023Q3</v>
      </c>
    </row>
    <row r="3068" spans="4:18" x14ac:dyDescent="0.2">
      <c r="D3068" t="s">
        <v>122</v>
      </c>
      <c r="E3068" t="s">
        <v>123</v>
      </c>
      <c r="F3068" t="s">
        <v>124</v>
      </c>
      <c r="G3068" t="s">
        <v>149</v>
      </c>
      <c r="H3068" t="s">
        <v>149</v>
      </c>
      <c r="I3068" t="s">
        <v>27</v>
      </c>
      <c r="J3068" t="s">
        <v>28</v>
      </c>
      <c r="K3068" t="s">
        <v>29</v>
      </c>
      <c r="L3068" t="s">
        <v>30</v>
      </c>
      <c r="M3068" t="s">
        <v>139</v>
      </c>
      <c r="N3068">
        <v>1004</v>
      </c>
      <c r="O3068" s="14">
        <v>0.91493174363858998</v>
      </c>
      <c r="P3068" s="14">
        <v>0.41950060334056599</v>
      </c>
      <c r="Q3068" t="str">
        <f t="shared" si="94"/>
        <v>&lt;01</v>
      </c>
      <c r="R3068" t="str">
        <f t="shared" si="95"/>
        <v>[E7zpfyBt7Tw]|&lt;01|Female|PLHIV_Attend.T_1|CY2023Q3</v>
      </c>
    </row>
    <row r="3069" spans="4:18" x14ac:dyDescent="0.2">
      <c r="D3069" t="s">
        <v>122</v>
      </c>
      <c r="E3069" t="s">
        <v>123</v>
      </c>
      <c r="F3069" t="s">
        <v>124</v>
      </c>
      <c r="G3069" t="s">
        <v>149</v>
      </c>
      <c r="H3069" t="s">
        <v>149</v>
      </c>
      <c r="I3069" t="s">
        <v>32</v>
      </c>
      <c r="J3069" t="s">
        <v>33</v>
      </c>
      <c r="K3069" t="s">
        <v>29</v>
      </c>
      <c r="L3069" t="s">
        <v>30</v>
      </c>
      <c r="M3069" t="s">
        <v>139</v>
      </c>
      <c r="N3069">
        <v>1854</v>
      </c>
      <c r="O3069" s="14">
        <v>0.89361529494635805</v>
      </c>
      <c r="P3069" s="14">
        <v>0.41950060334056599</v>
      </c>
      <c r="Q3069" t="str">
        <f t="shared" si="94"/>
        <v>01-09</v>
      </c>
      <c r="R3069" t="str">
        <f t="shared" si="95"/>
        <v>[E7zpfyBt7Tw]|01-09|Female|PLHIV_Attend.T_1|CY2023Q3</v>
      </c>
    </row>
    <row r="3070" spans="4:18" x14ac:dyDescent="0.2">
      <c r="D3070" t="s">
        <v>122</v>
      </c>
      <c r="E3070" t="s">
        <v>123</v>
      </c>
      <c r="F3070" t="s">
        <v>124</v>
      </c>
      <c r="G3070" t="s">
        <v>149</v>
      </c>
      <c r="H3070" t="s">
        <v>149</v>
      </c>
      <c r="I3070" t="s">
        <v>35</v>
      </c>
      <c r="J3070" t="s">
        <v>36</v>
      </c>
      <c r="K3070" t="s">
        <v>29</v>
      </c>
      <c r="L3070" t="s">
        <v>30</v>
      </c>
      <c r="M3070" t="s">
        <v>139</v>
      </c>
      <c r="N3070">
        <v>854</v>
      </c>
      <c r="O3070" s="14">
        <v>0.14047633809968799</v>
      </c>
      <c r="P3070" s="14">
        <v>0.41950060334056599</v>
      </c>
      <c r="Q3070" t="str">
        <f t="shared" si="94"/>
        <v>10-14</v>
      </c>
      <c r="R3070" t="str">
        <f t="shared" si="95"/>
        <v>[E7zpfyBt7Tw]|10-14|Female|PLHIV_Attend.T_1|CY2023Q3</v>
      </c>
    </row>
    <row r="3071" spans="4:18" x14ac:dyDescent="0.2">
      <c r="D3071" t="s">
        <v>122</v>
      </c>
      <c r="E3071" t="s">
        <v>123</v>
      </c>
      <c r="F3071" t="s">
        <v>124</v>
      </c>
      <c r="G3071" t="s">
        <v>149</v>
      </c>
      <c r="H3071" t="s">
        <v>149</v>
      </c>
      <c r="I3071" t="s">
        <v>37</v>
      </c>
      <c r="J3071" t="s">
        <v>38</v>
      </c>
      <c r="K3071" t="s">
        <v>29</v>
      </c>
      <c r="L3071" t="s">
        <v>30</v>
      </c>
      <c r="M3071" t="s">
        <v>139</v>
      </c>
      <c r="N3071">
        <v>1061</v>
      </c>
      <c r="O3071" s="14">
        <v>0.515021801460534</v>
      </c>
      <c r="P3071" s="14">
        <v>0.41950060334056599</v>
      </c>
      <c r="Q3071" t="str">
        <f t="shared" si="94"/>
        <v>15-24</v>
      </c>
      <c r="R3071" t="str">
        <f t="shared" si="95"/>
        <v>[E7zpfyBt7Tw]|15-24|Female|PLHIV_Attend.T_1|CY2023Q3</v>
      </c>
    </row>
    <row r="3072" spans="4:18" x14ac:dyDescent="0.2">
      <c r="D3072" t="s">
        <v>122</v>
      </c>
      <c r="E3072" t="s">
        <v>123</v>
      </c>
      <c r="F3072" t="s">
        <v>124</v>
      </c>
      <c r="G3072" t="s">
        <v>149</v>
      </c>
      <c r="H3072" t="s">
        <v>149</v>
      </c>
      <c r="I3072" t="s">
        <v>40</v>
      </c>
      <c r="J3072" t="s">
        <v>41</v>
      </c>
      <c r="K3072" t="s">
        <v>29</v>
      </c>
      <c r="L3072" t="s">
        <v>30</v>
      </c>
      <c r="M3072" t="s">
        <v>139</v>
      </c>
      <c r="N3072">
        <v>1647</v>
      </c>
      <c r="O3072" s="14">
        <v>4.2301064822822802E-2</v>
      </c>
      <c r="P3072" s="14">
        <v>0.41950060334056599</v>
      </c>
      <c r="Q3072" t="str">
        <f t="shared" si="94"/>
        <v>25-34</v>
      </c>
      <c r="R3072" t="str">
        <f t="shared" si="95"/>
        <v>[E7zpfyBt7Tw]|25-34|Female|PLHIV_Attend.T_1|CY2023Q3</v>
      </c>
    </row>
    <row r="3073" spans="4:18" x14ac:dyDescent="0.2">
      <c r="D3073" t="s">
        <v>122</v>
      </c>
      <c r="E3073" t="s">
        <v>123</v>
      </c>
      <c r="F3073" t="s">
        <v>124</v>
      </c>
      <c r="G3073" t="s">
        <v>149</v>
      </c>
      <c r="H3073" t="s">
        <v>149</v>
      </c>
      <c r="I3073" t="s">
        <v>42</v>
      </c>
      <c r="J3073" t="s">
        <v>43</v>
      </c>
      <c r="K3073" t="s">
        <v>29</v>
      </c>
      <c r="L3073" t="s">
        <v>30</v>
      </c>
      <c r="M3073" t="s">
        <v>139</v>
      </c>
      <c r="N3073">
        <v>1748</v>
      </c>
      <c r="O3073" s="14">
        <v>0.47524539614096301</v>
      </c>
      <c r="P3073" s="14">
        <v>0.41950060334056599</v>
      </c>
      <c r="Q3073" t="str">
        <f t="shared" si="94"/>
        <v>35-49</v>
      </c>
      <c r="R3073" t="str">
        <f t="shared" si="95"/>
        <v>[E7zpfyBt7Tw]|35-49|Female|PLHIV_Attend.T_1|CY2023Q3</v>
      </c>
    </row>
    <row r="3074" spans="4:18" x14ac:dyDescent="0.2">
      <c r="D3074" t="s">
        <v>122</v>
      </c>
      <c r="E3074" t="s">
        <v>123</v>
      </c>
      <c r="F3074" t="s">
        <v>124</v>
      </c>
      <c r="G3074" t="s">
        <v>149</v>
      </c>
      <c r="H3074" t="s">
        <v>149</v>
      </c>
      <c r="I3074" t="s">
        <v>44</v>
      </c>
      <c r="J3074" t="s">
        <v>45</v>
      </c>
      <c r="K3074" t="s">
        <v>29</v>
      </c>
      <c r="L3074" t="s">
        <v>30</v>
      </c>
      <c r="M3074" t="s">
        <v>139</v>
      </c>
      <c r="N3074">
        <v>974</v>
      </c>
      <c r="O3074" s="14">
        <v>0.88201855821535002</v>
      </c>
      <c r="P3074" s="14">
        <v>0.41950060334056599</v>
      </c>
      <c r="Q3074" t="str">
        <f t="shared" ref="Q3074:Q3137" si="96">SUBSTITUTE(SUBSTITUTE($I3074,CHAR(61),""),CHAR(34),"")</f>
        <v>50+</v>
      </c>
      <c r="R3074" t="str">
        <f t="shared" ref="R3074:R3137" si="97">IF($D3074&lt;&gt;"","["&amp;$E3074&amp;"]"&amp;"|"&amp;$Q3074&amp;"|"&amp;$K3074&amp;"|"&amp;$G3074&amp;"|"&amp;IF($G3074="TX_CURR_SUBNAT.R","CY2022Q4",$M3074),"")</f>
        <v>[E7zpfyBt7Tw]|50+|Female|PLHIV_Attend.T_1|CY2023Q3</v>
      </c>
    </row>
    <row r="3075" spans="4:18" x14ac:dyDescent="0.2">
      <c r="D3075" t="s">
        <v>122</v>
      </c>
      <c r="E3075" t="s">
        <v>123</v>
      </c>
      <c r="F3075" t="s">
        <v>124</v>
      </c>
      <c r="G3075" t="s">
        <v>149</v>
      </c>
      <c r="H3075" t="s">
        <v>149</v>
      </c>
      <c r="I3075" t="s">
        <v>27</v>
      </c>
      <c r="J3075" t="s">
        <v>28</v>
      </c>
      <c r="K3075" t="s">
        <v>47</v>
      </c>
      <c r="L3075" t="s">
        <v>48</v>
      </c>
      <c r="M3075" t="s">
        <v>139</v>
      </c>
      <c r="N3075">
        <v>1682</v>
      </c>
      <c r="O3075" s="14">
        <v>1.26198420766741E-2</v>
      </c>
      <c r="P3075" s="14">
        <v>0.41950060334056599</v>
      </c>
      <c r="Q3075" t="str">
        <f t="shared" si="96"/>
        <v>&lt;01</v>
      </c>
      <c r="R3075" t="str">
        <f t="shared" si="97"/>
        <v>[E7zpfyBt7Tw]|&lt;01|Male|PLHIV_Attend.T_1|CY2023Q3</v>
      </c>
    </row>
    <row r="3076" spans="4:18" x14ac:dyDescent="0.2">
      <c r="D3076" t="s">
        <v>122</v>
      </c>
      <c r="E3076" t="s">
        <v>123</v>
      </c>
      <c r="F3076" t="s">
        <v>124</v>
      </c>
      <c r="G3076" t="s">
        <v>149</v>
      </c>
      <c r="H3076" t="s">
        <v>149</v>
      </c>
      <c r="I3076" t="s">
        <v>32</v>
      </c>
      <c r="J3076" t="s">
        <v>33</v>
      </c>
      <c r="K3076" t="s">
        <v>47</v>
      </c>
      <c r="L3076" t="s">
        <v>48</v>
      </c>
      <c r="M3076" t="s">
        <v>139</v>
      </c>
      <c r="N3076">
        <v>1948</v>
      </c>
      <c r="O3076" s="14">
        <v>0.157747675664723</v>
      </c>
      <c r="P3076" s="14">
        <v>0.41950060334056599</v>
      </c>
      <c r="Q3076" t="str">
        <f t="shared" si="96"/>
        <v>01-09</v>
      </c>
      <c r="R3076" t="str">
        <f t="shared" si="97"/>
        <v>[E7zpfyBt7Tw]|01-09|Male|PLHIV_Attend.T_1|CY2023Q3</v>
      </c>
    </row>
    <row r="3077" spans="4:18" x14ac:dyDescent="0.2">
      <c r="D3077" t="s">
        <v>122</v>
      </c>
      <c r="E3077" t="s">
        <v>123</v>
      </c>
      <c r="F3077" t="s">
        <v>124</v>
      </c>
      <c r="G3077" t="s">
        <v>149</v>
      </c>
      <c r="H3077" t="s">
        <v>149</v>
      </c>
      <c r="I3077" t="s">
        <v>35</v>
      </c>
      <c r="J3077" t="s">
        <v>36</v>
      </c>
      <c r="K3077" t="s">
        <v>47</v>
      </c>
      <c r="L3077" t="s">
        <v>48</v>
      </c>
      <c r="M3077" t="s">
        <v>139</v>
      </c>
      <c r="N3077">
        <v>1227</v>
      </c>
      <c r="O3077" s="14">
        <v>0.24865465797483899</v>
      </c>
      <c r="P3077" s="14">
        <v>0.41950060334056599</v>
      </c>
      <c r="Q3077" t="str">
        <f t="shared" si="96"/>
        <v>10-14</v>
      </c>
      <c r="R3077" t="str">
        <f t="shared" si="97"/>
        <v>[E7zpfyBt7Tw]|10-14|Male|PLHIV_Attend.T_1|CY2023Q3</v>
      </c>
    </row>
    <row r="3078" spans="4:18" x14ac:dyDescent="0.2">
      <c r="D3078" t="s">
        <v>122</v>
      </c>
      <c r="E3078" t="s">
        <v>123</v>
      </c>
      <c r="F3078" t="s">
        <v>124</v>
      </c>
      <c r="G3078" t="s">
        <v>149</v>
      </c>
      <c r="H3078" t="s">
        <v>149</v>
      </c>
      <c r="I3078" t="s">
        <v>37</v>
      </c>
      <c r="J3078" t="s">
        <v>38</v>
      </c>
      <c r="K3078" t="s">
        <v>47</v>
      </c>
      <c r="L3078" t="s">
        <v>48</v>
      </c>
      <c r="M3078" t="s">
        <v>139</v>
      </c>
      <c r="N3078">
        <v>613</v>
      </c>
      <c r="O3078" s="14">
        <v>0.28222973085939901</v>
      </c>
      <c r="P3078" s="14">
        <v>0.41950060334056599</v>
      </c>
      <c r="Q3078" t="str">
        <f t="shared" si="96"/>
        <v>15-24</v>
      </c>
      <c r="R3078" t="str">
        <f t="shared" si="97"/>
        <v>[E7zpfyBt7Tw]|15-24|Male|PLHIV_Attend.T_1|CY2023Q3</v>
      </c>
    </row>
    <row r="3079" spans="4:18" x14ac:dyDescent="0.2">
      <c r="D3079" t="s">
        <v>122</v>
      </c>
      <c r="E3079" t="s">
        <v>123</v>
      </c>
      <c r="F3079" t="s">
        <v>124</v>
      </c>
      <c r="G3079" t="s">
        <v>149</v>
      </c>
      <c r="H3079" t="s">
        <v>149</v>
      </c>
      <c r="I3079" t="s">
        <v>40</v>
      </c>
      <c r="J3079" t="s">
        <v>41</v>
      </c>
      <c r="K3079" t="s">
        <v>47</v>
      </c>
      <c r="L3079" t="s">
        <v>48</v>
      </c>
      <c r="M3079" t="s">
        <v>139</v>
      </c>
      <c r="N3079">
        <v>794</v>
      </c>
      <c r="O3079" s="14">
        <v>2.9744707280769899E-2</v>
      </c>
      <c r="P3079" s="14">
        <v>0.41950060334056599</v>
      </c>
      <c r="Q3079" t="str">
        <f t="shared" si="96"/>
        <v>25-34</v>
      </c>
      <c r="R3079" t="str">
        <f t="shared" si="97"/>
        <v>[E7zpfyBt7Tw]|25-34|Male|PLHIV_Attend.T_1|CY2023Q3</v>
      </c>
    </row>
    <row r="3080" spans="4:18" x14ac:dyDescent="0.2">
      <c r="D3080" t="s">
        <v>122</v>
      </c>
      <c r="E3080" t="s">
        <v>123</v>
      </c>
      <c r="F3080" t="s">
        <v>124</v>
      </c>
      <c r="G3080" t="s">
        <v>149</v>
      </c>
      <c r="H3080" t="s">
        <v>149</v>
      </c>
      <c r="I3080" t="s">
        <v>42</v>
      </c>
      <c r="J3080" t="s">
        <v>43</v>
      </c>
      <c r="K3080" t="s">
        <v>47</v>
      </c>
      <c r="L3080" t="s">
        <v>48</v>
      </c>
      <c r="M3080" t="s">
        <v>139</v>
      </c>
      <c r="N3080">
        <v>1098</v>
      </c>
      <c r="O3080" s="14">
        <v>0.38525976473465601</v>
      </c>
      <c r="P3080" s="14">
        <v>0.41950060334056599</v>
      </c>
      <c r="Q3080" t="str">
        <f t="shared" si="96"/>
        <v>35-49</v>
      </c>
      <c r="R3080" t="str">
        <f t="shared" si="97"/>
        <v>[E7zpfyBt7Tw]|35-49|Male|PLHIV_Attend.T_1|CY2023Q3</v>
      </c>
    </row>
    <row r="3081" spans="4:18" x14ac:dyDescent="0.2">
      <c r="D3081" t="s">
        <v>122</v>
      </c>
      <c r="E3081" t="s">
        <v>123</v>
      </c>
      <c r="F3081" t="s">
        <v>124</v>
      </c>
      <c r="G3081" t="s">
        <v>149</v>
      </c>
      <c r="H3081" t="s">
        <v>149</v>
      </c>
      <c r="I3081" t="s">
        <v>44</v>
      </c>
      <c r="J3081" t="s">
        <v>45</v>
      </c>
      <c r="K3081" t="s">
        <v>47</v>
      </c>
      <c r="L3081" t="s">
        <v>48</v>
      </c>
      <c r="M3081" t="s">
        <v>139</v>
      </c>
      <c r="N3081">
        <v>1097</v>
      </c>
      <c r="O3081" s="14">
        <v>0.96591727645136405</v>
      </c>
      <c r="P3081" s="14">
        <v>0.41950060334056599</v>
      </c>
      <c r="Q3081" t="str">
        <f t="shared" si="96"/>
        <v>50+</v>
      </c>
      <c r="R3081" t="str">
        <f t="shared" si="97"/>
        <v>[E7zpfyBt7Tw]|50+|Male|PLHIV_Attend.T_1|CY2023Q3</v>
      </c>
    </row>
    <row r="3082" spans="4:18" x14ac:dyDescent="0.2">
      <c r="D3082" t="s">
        <v>125</v>
      </c>
      <c r="E3082" t="s">
        <v>126</v>
      </c>
      <c r="F3082" t="s">
        <v>127</v>
      </c>
      <c r="G3082" t="s">
        <v>149</v>
      </c>
      <c r="H3082" t="s">
        <v>149</v>
      </c>
      <c r="I3082" t="s">
        <v>27</v>
      </c>
      <c r="J3082" t="s">
        <v>28</v>
      </c>
      <c r="K3082" t="s">
        <v>29</v>
      </c>
      <c r="L3082" t="s">
        <v>30</v>
      </c>
      <c r="M3082" t="s">
        <v>139</v>
      </c>
      <c r="N3082">
        <v>1935</v>
      </c>
      <c r="O3082" s="14">
        <v>2.0269809523597401E-2</v>
      </c>
      <c r="P3082" s="14">
        <v>0.25270639033988102</v>
      </c>
      <c r="Q3082" t="str">
        <f t="shared" si="96"/>
        <v>&lt;01</v>
      </c>
      <c r="R3082" t="str">
        <f t="shared" si="97"/>
        <v>[ZCjuwgaMB9u]|&lt;01|Female|PLHIV_Attend.T_1|CY2023Q3</v>
      </c>
    </row>
    <row r="3083" spans="4:18" x14ac:dyDescent="0.2">
      <c r="D3083" t="s">
        <v>125</v>
      </c>
      <c r="E3083" t="s">
        <v>126</v>
      </c>
      <c r="F3083" t="s">
        <v>127</v>
      </c>
      <c r="G3083" t="s">
        <v>149</v>
      </c>
      <c r="H3083" t="s">
        <v>149</v>
      </c>
      <c r="I3083" t="s">
        <v>32</v>
      </c>
      <c r="J3083" t="s">
        <v>33</v>
      </c>
      <c r="K3083" t="s">
        <v>29</v>
      </c>
      <c r="L3083" t="s">
        <v>30</v>
      </c>
      <c r="M3083" t="s">
        <v>139</v>
      </c>
      <c r="N3083">
        <v>663</v>
      </c>
      <c r="O3083" s="14">
        <v>0.59275483223609604</v>
      </c>
      <c r="P3083" s="14">
        <v>0.25270639033988102</v>
      </c>
      <c r="Q3083" t="str">
        <f t="shared" si="96"/>
        <v>01-09</v>
      </c>
      <c r="R3083" t="str">
        <f t="shared" si="97"/>
        <v>[ZCjuwgaMB9u]|01-09|Female|PLHIV_Attend.T_1|CY2023Q3</v>
      </c>
    </row>
    <row r="3084" spans="4:18" x14ac:dyDescent="0.2">
      <c r="D3084" t="s">
        <v>125</v>
      </c>
      <c r="E3084" t="s">
        <v>126</v>
      </c>
      <c r="F3084" t="s">
        <v>127</v>
      </c>
      <c r="G3084" t="s">
        <v>149</v>
      </c>
      <c r="H3084" t="s">
        <v>149</v>
      </c>
      <c r="I3084" t="s">
        <v>35</v>
      </c>
      <c r="J3084" t="s">
        <v>36</v>
      </c>
      <c r="K3084" t="s">
        <v>29</v>
      </c>
      <c r="L3084" t="s">
        <v>30</v>
      </c>
      <c r="M3084" t="s">
        <v>139</v>
      </c>
      <c r="N3084">
        <v>1510</v>
      </c>
      <c r="O3084" s="14">
        <v>0.50390833057463202</v>
      </c>
      <c r="P3084" s="14">
        <v>0.25270639033988102</v>
      </c>
      <c r="Q3084" t="str">
        <f t="shared" si="96"/>
        <v>10-14</v>
      </c>
      <c r="R3084" t="str">
        <f t="shared" si="97"/>
        <v>[ZCjuwgaMB9u]|10-14|Female|PLHIV_Attend.T_1|CY2023Q3</v>
      </c>
    </row>
    <row r="3085" spans="4:18" x14ac:dyDescent="0.2">
      <c r="D3085" t="s">
        <v>125</v>
      </c>
      <c r="E3085" t="s">
        <v>126</v>
      </c>
      <c r="F3085" t="s">
        <v>127</v>
      </c>
      <c r="G3085" t="s">
        <v>149</v>
      </c>
      <c r="H3085" t="s">
        <v>149</v>
      </c>
      <c r="I3085" t="s">
        <v>37</v>
      </c>
      <c r="J3085" t="s">
        <v>38</v>
      </c>
      <c r="K3085" t="s">
        <v>29</v>
      </c>
      <c r="L3085" t="s">
        <v>30</v>
      </c>
      <c r="M3085" t="s">
        <v>139</v>
      </c>
      <c r="N3085">
        <v>653</v>
      </c>
      <c r="O3085" s="14">
        <v>0.91935344738885805</v>
      </c>
      <c r="P3085" s="14">
        <v>0.25270639033988102</v>
      </c>
      <c r="Q3085" t="str">
        <f t="shared" si="96"/>
        <v>15-24</v>
      </c>
      <c r="R3085" t="str">
        <f t="shared" si="97"/>
        <v>[ZCjuwgaMB9u]|15-24|Female|PLHIV_Attend.T_1|CY2023Q3</v>
      </c>
    </row>
    <row r="3086" spans="4:18" x14ac:dyDescent="0.2">
      <c r="D3086" t="s">
        <v>125</v>
      </c>
      <c r="E3086" t="s">
        <v>126</v>
      </c>
      <c r="F3086" t="s">
        <v>127</v>
      </c>
      <c r="G3086" t="s">
        <v>149</v>
      </c>
      <c r="H3086" t="s">
        <v>149</v>
      </c>
      <c r="I3086" t="s">
        <v>40</v>
      </c>
      <c r="J3086" t="s">
        <v>41</v>
      </c>
      <c r="K3086" t="s">
        <v>29</v>
      </c>
      <c r="L3086" t="s">
        <v>30</v>
      </c>
      <c r="M3086" t="s">
        <v>139</v>
      </c>
      <c r="N3086">
        <v>1047</v>
      </c>
      <c r="O3086" s="14">
        <v>0.86503987922333203</v>
      </c>
      <c r="P3086" s="14">
        <v>0.25270639033988102</v>
      </c>
      <c r="Q3086" t="str">
        <f t="shared" si="96"/>
        <v>25-34</v>
      </c>
      <c r="R3086" t="str">
        <f t="shared" si="97"/>
        <v>[ZCjuwgaMB9u]|25-34|Female|PLHIV_Attend.T_1|CY2023Q3</v>
      </c>
    </row>
    <row r="3087" spans="4:18" x14ac:dyDescent="0.2">
      <c r="D3087" t="s">
        <v>125</v>
      </c>
      <c r="E3087" t="s">
        <v>126</v>
      </c>
      <c r="F3087" t="s">
        <v>127</v>
      </c>
      <c r="G3087" t="s">
        <v>149</v>
      </c>
      <c r="H3087" t="s">
        <v>149</v>
      </c>
      <c r="I3087" t="s">
        <v>42</v>
      </c>
      <c r="J3087" t="s">
        <v>43</v>
      </c>
      <c r="K3087" t="s">
        <v>29</v>
      </c>
      <c r="L3087" t="s">
        <v>30</v>
      </c>
      <c r="M3087" t="s">
        <v>139</v>
      </c>
      <c r="N3087">
        <v>603</v>
      </c>
      <c r="O3087" s="14">
        <v>0.73034616652876105</v>
      </c>
      <c r="P3087" s="14">
        <v>0.25270639033988102</v>
      </c>
      <c r="Q3087" t="str">
        <f t="shared" si="96"/>
        <v>35-49</v>
      </c>
      <c r="R3087" t="str">
        <f t="shared" si="97"/>
        <v>[ZCjuwgaMB9u]|35-49|Female|PLHIV_Attend.T_1|CY2023Q3</v>
      </c>
    </row>
    <row r="3088" spans="4:18" x14ac:dyDescent="0.2">
      <c r="D3088" t="s">
        <v>125</v>
      </c>
      <c r="E3088" t="s">
        <v>126</v>
      </c>
      <c r="F3088" t="s">
        <v>127</v>
      </c>
      <c r="G3088" t="s">
        <v>149</v>
      </c>
      <c r="H3088" t="s">
        <v>149</v>
      </c>
      <c r="I3088" t="s">
        <v>44</v>
      </c>
      <c r="J3088" t="s">
        <v>45</v>
      </c>
      <c r="K3088" t="s">
        <v>29</v>
      </c>
      <c r="L3088" t="s">
        <v>30</v>
      </c>
      <c r="M3088" t="s">
        <v>139</v>
      </c>
      <c r="N3088">
        <v>1920</v>
      </c>
      <c r="O3088" s="14">
        <v>3.6649830872193E-2</v>
      </c>
      <c r="P3088" s="14">
        <v>0.25270639033988102</v>
      </c>
      <c r="Q3088" t="str">
        <f t="shared" si="96"/>
        <v>50+</v>
      </c>
      <c r="R3088" t="str">
        <f t="shared" si="97"/>
        <v>[ZCjuwgaMB9u]|50+|Female|PLHIV_Attend.T_1|CY2023Q3</v>
      </c>
    </row>
    <row r="3089" spans="4:18" x14ac:dyDescent="0.2">
      <c r="D3089" t="s">
        <v>125</v>
      </c>
      <c r="E3089" t="s">
        <v>126</v>
      </c>
      <c r="F3089" t="s">
        <v>127</v>
      </c>
      <c r="G3089" t="s">
        <v>149</v>
      </c>
      <c r="H3089" t="s">
        <v>149</v>
      </c>
      <c r="I3089" t="s">
        <v>27</v>
      </c>
      <c r="J3089" t="s">
        <v>28</v>
      </c>
      <c r="K3089" t="s">
        <v>47</v>
      </c>
      <c r="L3089" t="s">
        <v>48</v>
      </c>
      <c r="M3089" t="s">
        <v>139</v>
      </c>
      <c r="N3089">
        <v>1652</v>
      </c>
      <c r="O3089" s="14">
        <v>0.97494409466162302</v>
      </c>
      <c r="P3089" s="14">
        <v>0.25270639033988102</v>
      </c>
      <c r="Q3089" t="str">
        <f t="shared" si="96"/>
        <v>&lt;01</v>
      </c>
      <c r="R3089" t="str">
        <f t="shared" si="97"/>
        <v>[ZCjuwgaMB9u]|&lt;01|Male|PLHIV_Attend.T_1|CY2023Q3</v>
      </c>
    </row>
    <row r="3090" spans="4:18" x14ac:dyDescent="0.2">
      <c r="D3090" t="s">
        <v>125</v>
      </c>
      <c r="E3090" t="s">
        <v>126</v>
      </c>
      <c r="F3090" t="s">
        <v>127</v>
      </c>
      <c r="G3090" t="s">
        <v>149</v>
      </c>
      <c r="H3090" t="s">
        <v>149</v>
      </c>
      <c r="I3090" t="s">
        <v>32</v>
      </c>
      <c r="J3090" t="s">
        <v>33</v>
      </c>
      <c r="K3090" t="s">
        <v>47</v>
      </c>
      <c r="L3090" t="s">
        <v>48</v>
      </c>
      <c r="M3090" t="s">
        <v>139</v>
      </c>
      <c r="N3090">
        <v>1607</v>
      </c>
      <c r="O3090" s="14">
        <v>0.41125969402492002</v>
      </c>
      <c r="P3090" s="14">
        <v>0.25270639033988102</v>
      </c>
      <c r="Q3090" t="str">
        <f t="shared" si="96"/>
        <v>01-09</v>
      </c>
      <c r="R3090" t="str">
        <f t="shared" si="97"/>
        <v>[ZCjuwgaMB9u]|01-09|Male|PLHIV_Attend.T_1|CY2023Q3</v>
      </c>
    </row>
    <row r="3091" spans="4:18" x14ac:dyDescent="0.2">
      <c r="D3091" t="s">
        <v>125</v>
      </c>
      <c r="E3091" t="s">
        <v>126</v>
      </c>
      <c r="F3091" t="s">
        <v>127</v>
      </c>
      <c r="G3091" t="s">
        <v>149</v>
      </c>
      <c r="H3091" t="s">
        <v>149</v>
      </c>
      <c r="I3091" t="s">
        <v>35</v>
      </c>
      <c r="J3091" t="s">
        <v>36</v>
      </c>
      <c r="K3091" t="s">
        <v>47</v>
      </c>
      <c r="L3091" t="s">
        <v>48</v>
      </c>
      <c r="M3091" t="s">
        <v>139</v>
      </c>
      <c r="N3091">
        <v>1774</v>
      </c>
      <c r="O3091" s="14">
        <v>0.32485485821962401</v>
      </c>
      <c r="P3091" s="14">
        <v>0.25270639033988102</v>
      </c>
      <c r="Q3091" t="str">
        <f t="shared" si="96"/>
        <v>10-14</v>
      </c>
      <c r="R3091" t="str">
        <f t="shared" si="97"/>
        <v>[ZCjuwgaMB9u]|10-14|Male|PLHIV_Attend.T_1|CY2023Q3</v>
      </c>
    </row>
    <row r="3092" spans="4:18" x14ac:dyDescent="0.2">
      <c r="D3092" t="s">
        <v>125</v>
      </c>
      <c r="E3092" t="s">
        <v>126</v>
      </c>
      <c r="F3092" t="s">
        <v>127</v>
      </c>
      <c r="G3092" t="s">
        <v>149</v>
      </c>
      <c r="H3092" t="s">
        <v>149</v>
      </c>
      <c r="I3092" t="s">
        <v>37</v>
      </c>
      <c r="J3092" t="s">
        <v>38</v>
      </c>
      <c r="K3092" t="s">
        <v>47</v>
      </c>
      <c r="L3092" t="s">
        <v>48</v>
      </c>
      <c r="M3092" t="s">
        <v>139</v>
      </c>
      <c r="N3092">
        <v>539</v>
      </c>
      <c r="O3092" s="14">
        <v>0.83057920751161896</v>
      </c>
      <c r="P3092" s="14">
        <v>0.25270639033988102</v>
      </c>
      <c r="Q3092" t="str">
        <f t="shared" si="96"/>
        <v>15-24</v>
      </c>
      <c r="R3092" t="str">
        <f t="shared" si="97"/>
        <v>[ZCjuwgaMB9u]|15-24|Male|PLHIV_Attend.T_1|CY2023Q3</v>
      </c>
    </row>
    <row r="3093" spans="4:18" x14ac:dyDescent="0.2">
      <c r="D3093" t="s">
        <v>125</v>
      </c>
      <c r="E3093" t="s">
        <v>126</v>
      </c>
      <c r="F3093" t="s">
        <v>127</v>
      </c>
      <c r="G3093" t="s">
        <v>149</v>
      </c>
      <c r="H3093" t="s">
        <v>149</v>
      </c>
      <c r="I3093" t="s">
        <v>40</v>
      </c>
      <c r="J3093" t="s">
        <v>41</v>
      </c>
      <c r="K3093" t="s">
        <v>47</v>
      </c>
      <c r="L3093" t="s">
        <v>48</v>
      </c>
      <c r="M3093" t="s">
        <v>139</v>
      </c>
      <c r="N3093">
        <v>1531</v>
      </c>
      <c r="O3093" s="14">
        <v>0.61255726683884903</v>
      </c>
      <c r="P3093" s="14">
        <v>0.25270639033988102</v>
      </c>
      <c r="Q3093" t="str">
        <f t="shared" si="96"/>
        <v>25-34</v>
      </c>
      <c r="R3093" t="str">
        <f t="shared" si="97"/>
        <v>[ZCjuwgaMB9u]|25-34|Male|PLHIV_Attend.T_1|CY2023Q3</v>
      </c>
    </row>
    <row r="3094" spans="4:18" x14ac:dyDescent="0.2">
      <c r="D3094" t="s">
        <v>125</v>
      </c>
      <c r="E3094" t="s">
        <v>126</v>
      </c>
      <c r="F3094" t="s">
        <v>127</v>
      </c>
      <c r="G3094" t="s">
        <v>149</v>
      </c>
      <c r="H3094" t="s">
        <v>149</v>
      </c>
      <c r="I3094" t="s">
        <v>42</v>
      </c>
      <c r="J3094" t="s">
        <v>43</v>
      </c>
      <c r="K3094" t="s">
        <v>47</v>
      </c>
      <c r="L3094" t="s">
        <v>48</v>
      </c>
      <c r="M3094" t="s">
        <v>139</v>
      </c>
      <c r="N3094">
        <v>1732</v>
      </c>
      <c r="O3094" s="14">
        <v>0.98669187235645905</v>
      </c>
      <c r="P3094" s="14">
        <v>0.25270639033988102</v>
      </c>
      <c r="Q3094" t="str">
        <f t="shared" si="96"/>
        <v>35-49</v>
      </c>
      <c r="R3094" t="str">
        <f t="shared" si="97"/>
        <v>[ZCjuwgaMB9u]|35-49|Male|PLHIV_Attend.T_1|CY2023Q3</v>
      </c>
    </row>
    <row r="3095" spans="4:18" x14ac:dyDescent="0.2">
      <c r="D3095" t="s">
        <v>125</v>
      </c>
      <c r="E3095" t="s">
        <v>126</v>
      </c>
      <c r="F3095" t="s">
        <v>127</v>
      </c>
      <c r="G3095" t="s">
        <v>149</v>
      </c>
      <c r="H3095" t="s">
        <v>149</v>
      </c>
      <c r="I3095" t="s">
        <v>44</v>
      </c>
      <c r="J3095" t="s">
        <v>45</v>
      </c>
      <c r="K3095" t="s">
        <v>47</v>
      </c>
      <c r="L3095" t="s">
        <v>48</v>
      </c>
      <c r="M3095" t="s">
        <v>139</v>
      </c>
      <c r="N3095">
        <v>917</v>
      </c>
      <c r="O3095" s="14">
        <v>0.60399123118259002</v>
      </c>
      <c r="P3095" s="14">
        <v>0.25270639033988102</v>
      </c>
      <c r="Q3095" t="str">
        <f t="shared" si="96"/>
        <v>50+</v>
      </c>
      <c r="R3095" t="str">
        <f t="shared" si="97"/>
        <v>[ZCjuwgaMB9u]|50+|Male|PLHIV_Attend.T_1|CY2023Q3</v>
      </c>
    </row>
    <row r="3096" spans="4:18" x14ac:dyDescent="0.2">
      <c r="D3096" t="s">
        <v>128</v>
      </c>
      <c r="E3096" t="s">
        <v>129</v>
      </c>
      <c r="F3096" t="s">
        <v>130</v>
      </c>
      <c r="G3096" t="s">
        <v>149</v>
      </c>
      <c r="H3096" t="s">
        <v>149</v>
      </c>
      <c r="I3096" t="s">
        <v>27</v>
      </c>
      <c r="J3096" t="s">
        <v>28</v>
      </c>
      <c r="K3096" t="s">
        <v>29</v>
      </c>
      <c r="L3096" t="s">
        <v>30</v>
      </c>
      <c r="M3096" t="s">
        <v>139</v>
      </c>
      <c r="N3096">
        <v>1016</v>
      </c>
      <c r="O3096" s="14">
        <v>0.94344990747049495</v>
      </c>
      <c r="P3096" s="14">
        <v>0.55690808477811504</v>
      </c>
      <c r="Q3096" t="str">
        <f t="shared" si="96"/>
        <v>&lt;01</v>
      </c>
      <c r="R3096" t="str">
        <f t="shared" si="97"/>
        <v>[YCKiBAp8QAg]|&lt;01|Female|PLHIV_Attend.T_1|CY2023Q3</v>
      </c>
    </row>
    <row r="3097" spans="4:18" x14ac:dyDescent="0.2">
      <c r="D3097" t="s">
        <v>128</v>
      </c>
      <c r="E3097" t="s">
        <v>129</v>
      </c>
      <c r="F3097" t="s">
        <v>130</v>
      </c>
      <c r="G3097" t="s">
        <v>149</v>
      </c>
      <c r="H3097" t="s">
        <v>149</v>
      </c>
      <c r="I3097" t="s">
        <v>32</v>
      </c>
      <c r="J3097" t="s">
        <v>33</v>
      </c>
      <c r="K3097" t="s">
        <v>29</v>
      </c>
      <c r="L3097" t="s">
        <v>30</v>
      </c>
      <c r="M3097" t="s">
        <v>139</v>
      </c>
      <c r="N3097">
        <v>924</v>
      </c>
      <c r="O3097" s="14">
        <v>0.51292147720232595</v>
      </c>
      <c r="P3097" s="14">
        <v>0.55690808477811504</v>
      </c>
      <c r="Q3097" t="str">
        <f t="shared" si="96"/>
        <v>01-09</v>
      </c>
      <c r="R3097" t="str">
        <f t="shared" si="97"/>
        <v>[YCKiBAp8QAg]|01-09|Female|PLHIV_Attend.T_1|CY2023Q3</v>
      </c>
    </row>
    <row r="3098" spans="4:18" x14ac:dyDescent="0.2">
      <c r="D3098" t="s">
        <v>128</v>
      </c>
      <c r="E3098" t="s">
        <v>129</v>
      </c>
      <c r="F3098" t="s">
        <v>130</v>
      </c>
      <c r="G3098" t="s">
        <v>149</v>
      </c>
      <c r="H3098" t="s">
        <v>149</v>
      </c>
      <c r="I3098" t="s">
        <v>35</v>
      </c>
      <c r="J3098" t="s">
        <v>36</v>
      </c>
      <c r="K3098" t="s">
        <v>29</v>
      </c>
      <c r="L3098" t="s">
        <v>30</v>
      </c>
      <c r="M3098" t="s">
        <v>139</v>
      </c>
      <c r="N3098">
        <v>983</v>
      </c>
      <c r="O3098" s="14">
        <v>0.14425944979302599</v>
      </c>
      <c r="P3098" s="14">
        <v>0.55690808477811504</v>
      </c>
      <c r="Q3098" t="str">
        <f t="shared" si="96"/>
        <v>10-14</v>
      </c>
      <c r="R3098" t="str">
        <f t="shared" si="97"/>
        <v>[YCKiBAp8QAg]|10-14|Female|PLHIV_Attend.T_1|CY2023Q3</v>
      </c>
    </row>
    <row r="3099" spans="4:18" x14ac:dyDescent="0.2">
      <c r="D3099" t="s">
        <v>128</v>
      </c>
      <c r="E3099" t="s">
        <v>129</v>
      </c>
      <c r="F3099" t="s">
        <v>130</v>
      </c>
      <c r="G3099" t="s">
        <v>149</v>
      </c>
      <c r="H3099" t="s">
        <v>149</v>
      </c>
      <c r="I3099" t="s">
        <v>37</v>
      </c>
      <c r="J3099" t="s">
        <v>38</v>
      </c>
      <c r="K3099" t="s">
        <v>29</v>
      </c>
      <c r="L3099" t="s">
        <v>30</v>
      </c>
      <c r="M3099" t="s">
        <v>139</v>
      </c>
      <c r="N3099">
        <v>1298</v>
      </c>
      <c r="O3099" s="14">
        <v>0.16878168215043801</v>
      </c>
      <c r="P3099" s="14">
        <v>0.55690808477811504</v>
      </c>
      <c r="Q3099" t="str">
        <f t="shared" si="96"/>
        <v>15-24</v>
      </c>
      <c r="R3099" t="str">
        <f t="shared" si="97"/>
        <v>[YCKiBAp8QAg]|15-24|Female|PLHIV_Attend.T_1|CY2023Q3</v>
      </c>
    </row>
    <row r="3100" spans="4:18" x14ac:dyDescent="0.2">
      <c r="D3100" t="s">
        <v>128</v>
      </c>
      <c r="E3100" t="s">
        <v>129</v>
      </c>
      <c r="F3100" t="s">
        <v>130</v>
      </c>
      <c r="G3100" t="s">
        <v>149</v>
      </c>
      <c r="H3100" t="s">
        <v>149</v>
      </c>
      <c r="I3100" t="s">
        <v>40</v>
      </c>
      <c r="J3100" t="s">
        <v>41</v>
      </c>
      <c r="K3100" t="s">
        <v>29</v>
      </c>
      <c r="L3100" t="s">
        <v>30</v>
      </c>
      <c r="M3100" t="s">
        <v>139</v>
      </c>
      <c r="N3100">
        <v>1350</v>
      </c>
      <c r="O3100" s="14">
        <v>3.3271158114075702E-2</v>
      </c>
      <c r="P3100" s="14">
        <v>0.55690808477811504</v>
      </c>
      <c r="Q3100" t="str">
        <f t="shared" si="96"/>
        <v>25-34</v>
      </c>
      <c r="R3100" t="str">
        <f t="shared" si="97"/>
        <v>[YCKiBAp8QAg]|25-34|Female|PLHIV_Attend.T_1|CY2023Q3</v>
      </c>
    </row>
    <row r="3101" spans="4:18" x14ac:dyDescent="0.2">
      <c r="D3101" t="s">
        <v>128</v>
      </c>
      <c r="E3101" t="s">
        <v>129</v>
      </c>
      <c r="F3101" t="s">
        <v>130</v>
      </c>
      <c r="G3101" t="s">
        <v>149</v>
      </c>
      <c r="H3101" t="s">
        <v>149</v>
      </c>
      <c r="I3101" t="s">
        <v>42</v>
      </c>
      <c r="J3101" t="s">
        <v>43</v>
      </c>
      <c r="K3101" t="s">
        <v>29</v>
      </c>
      <c r="L3101" t="s">
        <v>30</v>
      </c>
      <c r="M3101" t="s">
        <v>139</v>
      </c>
      <c r="N3101">
        <v>1466</v>
      </c>
      <c r="O3101" s="14">
        <v>0.98085670452564999</v>
      </c>
      <c r="P3101" s="14">
        <v>0.55690808477811504</v>
      </c>
      <c r="Q3101" t="str">
        <f t="shared" si="96"/>
        <v>35-49</v>
      </c>
      <c r="R3101" t="str">
        <f t="shared" si="97"/>
        <v>[YCKiBAp8QAg]|35-49|Female|PLHIV_Attend.T_1|CY2023Q3</v>
      </c>
    </row>
    <row r="3102" spans="4:18" x14ac:dyDescent="0.2">
      <c r="D3102" t="s">
        <v>128</v>
      </c>
      <c r="E3102" t="s">
        <v>129</v>
      </c>
      <c r="F3102" t="s">
        <v>130</v>
      </c>
      <c r="G3102" t="s">
        <v>149</v>
      </c>
      <c r="H3102" t="s">
        <v>149</v>
      </c>
      <c r="I3102" t="s">
        <v>44</v>
      </c>
      <c r="J3102" t="s">
        <v>45</v>
      </c>
      <c r="K3102" t="s">
        <v>29</v>
      </c>
      <c r="L3102" t="s">
        <v>30</v>
      </c>
      <c r="M3102" t="s">
        <v>139</v>
      </c>
      <c r="N3102">
        <v>829</v>
      </c>
      <c r="O3102" s="14">
        <v>0.67787884827703204</v>
      </c>
      <c r="P3102" s="14">
        <v>0.55690808477811504</v>
      </c>
      <c r="Q3102" t="str">
        <f t="shared" si="96"/>
        <v>50+</v>
      </c>
      <c r="R3102" t="str">
        <f t="shared" si="97"/>
        <v>[YCKiBAp8QAg]|50+|Female|PLHIV_Attend.T_1|CY2023Q3</v>
      </c>
    </row>
    <row r="3103" spans="4:18" x14ac:dyDescent="0.2">
      <c r="D3103" t="s">
        <v>128</v>
      </c>
      <c r="E3103" t="s">
        <v>129</v>
      </c>
      <c r="F3103" t="s">
        <v>130</v>
      </c>
      <c r="G3103" t="s">
        <v>149</v>
      </c>
      <c r="H3103" t="s">
        <v>149</v>
      </c>
      <c r="I3103" t="s">
        <v>27</v>
      </c>
      <c r="J3103" t="s">
        <v>28</v>
      </c>
      <c r="K3103" t="s">
        <v>47</v>
      </c>
      <c r="L3103" t="s">
        <v>48</v>
      </c>
      <c r="M3103" t="s">
        <v>139</v>
      </c>
      <c r="N3103">
        <v>916</v>
      </c>
      <c r="O3103" s="14">
        <v>2.5985578540712598E-2</v>
      </c>
      <c r="P3103" s="14">
        <v>0.55690808477811504</v>
      </c>
      <c r="Q3103" t="str">
        <f t="shared" si="96"/>
        <v>&lt;01</v>
      </c>
      <c r="R3103" t="str">
        <f t="shared" si="97"/>
        <v>[YCKiBAp8QAg]|&lt;01|Male|PLHIV_Attend.T_1|CY2023Q3</v>
      </c>
    </row>
    <row r="3104" spans="4:18" x14ac:dyDescent="0.2">
      <c r="D3104" t="s">
        <v>128</v>
      </c>
      <c r="E3104" t="s">
        <v>129</v>
      </c>
      <c r="F3104" t="s">
        <v>130</v>
      </c>
      <c r="G3104" t="s">
        <v>149</v>
      </c>
      <c r="H3104" t="s">
        <v>149</v>
      </c>
      <c r="I3104" t="s">
        <v>32</v>
      </c>
      <c r="J3104" t="s">
        <v>33</v>
      </c>
      <c r="K3104" t="s">
        <v>47</v>
      </c>
      <c r="L3104" t="s">
        <v>48</v>
      </c>
      <c r="M3104" t="s">
        <v>139</v>
      </c>
      <c r="N3104">
        <v>1209</v>
      </c>
      <c r="O3104" s="14">
        <v>0.47267864877358101</v>
      </c>
      <c r="P3104" s="14">
        <v>0.55690808477811504</v>
      </c>
      <c r="Q3104" t="str">
        <f t="shared" si="96"/>
        <v>01-09</v>
      </c>
      <c r="R3104" t="str">
        <f t="shared" si="97"/>
        <v>[YCKiBAp8QAg]|01-09|Male|PLHIV_Attend.T_1|CY2023Q3</v>
      </c>
    </row>
    <row r="3105" spans="4:18" x14ac:dyDescent="0.2">
      <c r="D3105" t="s">
        <v>128</v>
      </c>
      <c r="E3105" t="s">
        <v>129</v>
      </c>
      <c r="F3105" t="s">
        <v>130</v>
      </c>
      <c r="G3105" t="s">
        <v>149</v>
      </c>
      <c r="H3105" t="s">
        <v>149</v>
      </c>
      <c r="I3105" t="s">
        <v>35</v>
      </c>
      <c r="J3105" t="s">
        <v>36</v>
      </c>
      <c r="K3105" t="s">
        <v>47</v>
      </c>
      <c r="L3105" t="s">
        <v>48</v>
      </c>
      <c r="M3105" t="s">
        <v>139</v>
      </c>
      <c r="N3105">
        <v>1879</v>
      </c>
      <c r="O3105" s="14">
        <v>0.29480292974039901</v>
      </c>
      <c r="P3105" s="14">
        <v>0.55690808477811504</v>
      </c>
      <c r="Q3105" t="str">
        <f t="shared" si="96"/>
        <v>10-14</v>
      </c>
      <c r="R3105" t="str">
        <f t="shared" si="97"/>
        <v>[YCKiBAp8QAg]|10-14|Male|PLHIV_Attend.T_1|CY2023Q3</v>
      </c>
    </row>
    <row r="3106" spans="4:18" x14ac:dyDescent="0.2">
      <c r="D3106" t="s">
        <v>128</v>
      </c>
      <c r="E3106" t="s">
        <v>129</v>
      </c>
      <c r="F3106" t="s">
        <v>130</v>
      </c>
      <c r="G3106" t="s">
        <v>149</v>
      </c>
      <c r="H3106" t="s">
        <v>149</v>
      </c>
      <c r="I3106" t="s">
        <v>37</v>
      </c>
      <c r="J3106" t="s">
        <v>38</v>
      </c>
      <c r="K3106" t="s">
        <v>47</v>
      </c>
      <c r="L3106" t="s">
        <v>48</v>
      </c>
      <c r="M3106" t="s">
        <v>139</v>
      </c>
      <c r="N3106">
        <v>598</v>
      </c>
      <c r="O3106" s="14">
        <v>0.50193339982069995</v>
      </c>
      <c r="P3106" s="14">
        <v>0.55690808477811504</v>
      </c>
      <c r="Q3106" t="str">
        <f t="shared" si="96"/>
        <v>15-24</v>
      </c>
      <c r="R3106" t="str">
        <f t="shared" si="97"/>
        <v>[YCKiBAp8QAg]|15-24|Male|PLHIV_Attend.T_1|CY2023Q3</v>
      </c>
    </row>
    <row r="3107" spans="4:18" x14ac:dyDescent="0.2">
      <c r="D3107" t="s">
        <v>128</v>
      </c>
      <c r="E3107" t="s">
        <v>129</v>
      </c>
      <c r="F3107" t="s">
        <v>130</v>
      </c>
      <c r="G3107" t="s">
        <v>149</v>
      </c>
      <c r="H3107" t="s">
        <v>149</v>
      </c>
      <c r="I3107" t="s">
        <v>40</v>
      </c>
      <c r="J3107" t="s">
        <v>41</v>
      </c>
      <c r="K3107" t="s">
        <v>47</v>
      </c>
      <c r="L3107" t="s">
        <v>48</v>
      </c>
      <c r="M3107" t="s">
        <v>139</v>
      </c>
      <c r="N3107">
        <v>1018</v>
      </c>
      <c r="O3107" s="14">
        <v>0.231010789750144</v>
      </c>
      <c r="P3107" s="14">
        <v>0.55690808477811504</v>
      </c>
      <c r="Q3107" t="str">
        <f t="shared" si="96"/>
        <v>25-34</v>
      </c>
      <c r="R3107" t="str">
        <f t="shared" si="97"/>
        <v>[YCKiBAp8QAg]|25-34|Male|PLHIV_Attend.T_1|CY2023Q3</v>
      </c>
    </row>
    <row r="3108" spans="4:18" x14ac:dyDescent="0.2">
      <c r="D3108" t="s">
        <v>128</v>
      </c>
      <c r="E3108" t="s">
        <v>129</v>
      </c>
      <c r="F3108" t="s">
        <v>130</v>
      </c>
      <c r="G3108" t="s">
        <v>149</v>
      </c>
      <c r="H3108" t="s">
        <v>149</v>
      </c>
      <c r="I3108" t="s">
        <v>42</v>
      </c>
      <c r="J3108" t="s">
        <v>43</v>
      </c>
      <c r="K3108" t="s">
        <v>47</v>
      </c>
      <c r="L3108" t="s">
        <v>48</v>
      </c>
      <c r="M3108" t="s">
        <v>139</v>
      </c>
      <c r="N3108">
        <v>645</v>
      </c>
      <c r="O3108" s="14">
        <v>0.15405245218426</v>
      </c>
      <c r="P3108" s="14">
        <v>0.55690808477811504</v>
      </c>
      <c r="Q3108" t="str">
        <f t="shared" si="96"/>
        <v>35-49</v>
      </c>
      <c r="R3108" t="str">
        <f t="shared" si="97"/>
        <v>[YCKiBAp8QAg]|35-49|Male|PLHIV_Attend.T_1|CY2023Q3</v>
      </c>
    </row>
    <row r="3109" spans="4:18" x14ac:dyDescent="0.2">
      <c r="D3109" t="s">
        <v>128</v>
      </c>
      <c r="E3109" t="s">
        <v>129</v>
      </c>
      <c r="F3109" t="s">
        <v>130</v>
      </c>
      <c r="G3109" t="s">
        <v>149</v>
      </c>
      <c r="H3109" t="s">
        <v>149</v>
      </c>
      <c r="I3109" t="s">
        <v>44</v>
      </c>
      <c r="J3109" t="s">
        <v>45</v>
      </c>
      <c r="K3109" t="s">
        <v>47</v>
      </c>
      <c r="L3109" t="s">
        <v>48</v>
      </c>
      <c r="M3109" t="s">
        <v>139</v>
      </c>
      <c r="N3109">
        <v>656</v>
      </c>
      <c r="O3109" s="14">
        <v>0.62114891060627997</v>
      </c>
      <c r="P3109" s="14">
        <v>0.55690808477811504</v>
      </c>
      <c r="Q3109" t="str">
        <f t="shared" si="96"/>
        <v>50+</v>
      </c>
      <c r="R3109" t="str">
        <f t="shared" si="97"/>
        <v>[YCKiBAp8QAg]|50+|Male|PLHIV_Attend.T_1|CY2023Q3</v>
      </c>
    </row>
    <row r="3110" spans="4:18" x14ac:dyDescent="0.2">
      <c r="D3110" t="s">
        <v>131</v>
      </c>
      <c r="E3110" t="s">
        <v>132</v>
      </c>
      <c r="F3110" t="s">
        <v>133</v>
      </c>
      <c r="G3110" t="s">
        <v>149</v>
      </c>
      <c r="H3110" t="s">
        <v>149</v>
      </c>
      <c r="I3110" t="s">
        <v>27</v>
      </c>
      <c r="J3110" t="s">
        <v>28</v>
      </c>
      <c r="K3110" t="s">
        <v>29</v>
      </c>
      <c r="L3110" t="s">
        <v>30</v>
      </c>
      <c r="M3110" t="s">
        <v>139</v>
      </c>
      <c r="N3110">
        <v>826</v>
      </c>
      <c r="O3110" s="14">
        <v>0.911530948476866</v>
      </c>
      <c r="P3110" s="14">
        <v>0.16286319401115201</v>
      </c>
      <c r="Q3110" t="str">
        <f t="shared" si="96"/>
        <v>&lt;01</v>
      </c>
      <c r="R3110" t="str">
        <f t="shared" si="97"/>
        <v>[JQKLKuVuY61]|&lt;01|Female|PLHIV_Attend.T_1|CY2023Q3</v>
      </c>
    </row>
    <row r="3111" spans="4:18" x14ac:dyDescent="0.2">
      <c r="D3111" t="s">
        <v>131</v>
      </c>
      <c r="E3111" t="s">
        <v>132</v>
      </c>
      <c r="F3111" t="s">
        <v>133</v>
      </c>
      <c r="G3111" t="s">
        <v>149</v>
      </c>
      <c r="H3111" t="s">
        <v>149</v>
      </c>
      <c r="I3111" t="s">
        <v>32</v>
      </c>
      <c r="J3111" t="s">
        <v>33</v>
      </c>
      <c r="K3111" t="s">
        <v>29</v>
      </c>
      <c r="L3111" t="s">
        <v>30</v>
      </c>
      <c r="M3111" t="s">
        <v>139</v>
      </c>
      <c r="N3111">
        <v>682</v>
      </c>
      <c r="O3111" s="14">
        <v>0.98767955251969397</v>
      </c>
      <c r="P3111" s="14">
        <v>0.16286319401115201</v>
      </c>
      <c r="Q3111" t="str">
        <f t="shared" si="96"/>
        <v>01-09</v>
      </c>
      <c r="R3111" t="str">
        <f t="shared" si="97"/>
        <v>[JQKLKuVuY61]|01-09|Female|PLHIV_Attend.T_1|CY2023Q3</v>
      </c>
    </row>
    <row r="3112" spans="4:18" x14ac:dyDescent="0.2">
      <c r="D3112" t="s">
        <v>131</v>
      </c>
      <c r="E3112" t="s">
        <v>132</v>
      </c>
      <c r="F3112" t="s">
        <v>133</v>
      </c>
      <c r="G3112" t="s">
        <v>149</v>
      </c>
      <c r="H3112" t="s">
        <v>149</v>
      </c>
      <c r="I3112" t="s">
        <v>35</v>
      </c>
      <c r="J3112" t="s">
        <v>36</v>
      </c>
      <c r="K3112" t="s">
        <v>29</v>
      </c>
      <c r="L3112" t="s">
        <v>30</v>
      </c>
      <c r="M3112" t="s">
        <v>139</v>
      </c>
      <c r="N3112">
        <v>1085</v>
      </c>
      <c r="O3112" s="14">
        <v>0.937970537459478</v>
      </c>
      <c r="P3112" s="14">
        <v>0.16286319401115201</v>
      </c>
      <c r="Q3112" t="str">
        <f t="shared" si="96"/>
        <v>10-14</v>
      </c>
      <c r="R3112" t="str">
        <f t="shared" si="97"/>
        <v>[JQKLKuVuY61]|10-14|Female|PLHIV_Attend.T_1|CY2023Q3</v>
      </c>
    </row>
    <row r="3113" spans="4:18" x14ac:dyDescent="0.2">
      <c r="D3113" t="s">
        <v>131</v>
      </c>
      <c r="E3113" t="s">
        <v>132</v>
      </c>
      <c r="F3113" t="s">
        <v>133</v>
      </c>
      <c r="G3113" t="s">
        <v>149</v>
      </c>
      <c r="H3113" t="s">
        <v>149</v>
      </c>
      <c r="I3113" t="s">
        <v>37</v>
      </c>
      <c r="J3113" t="s">
        <v>38</v>
      </c>
      <c r="K3113" t="s">
        <v>29</v>
      </c>
      <c r="L3113" t="s">
        <v>30</v>
      </c>
      <c r="M3113" t="s">
        <v>139</v>
      </c>
      <c r="N3113">
        <v>1744</v>
      </c>
      <c r="O3113" s="14">
        <v>0.58206995460204802</v>
      </c>
      <c r="P3113" s="14">
        <v>0.16286319401115201</v>
      </c>
      <c r="Q3113" t="str">
        <f t="shared" si="96"/>
        <v>15-24</v>
      </c>
      <c r="R3113" t="str">
        <f t="shared" si="97"/>
        <v>[JQKLKuVuY61]|15-24|Female|PLHIV_Attend.T_1|CY2023Q3</v>
      </c>
    </row>
    <row r="3114" spans="4:18" x14ac:dyDescent="0.2">
      <c r="D3114" t="s">
        <v>131</v>
      </c>
      <c r="E3114" t="s">
        <v>132</v>
      </c>
      <c r="F3114" t="s">
        <v>133</v>
      </c>
      <c r="G3114" t="s">
        <v>149</v>
      </c>
      <c r="H3114" t="s">
        <v>149</v>
      </c>
      <c r="I3114" t="s">
        <v>40</v>
      </c>
      <c r="J3114" t="s">
        <v>41</v>
      </c>
      <c r="K3114" t="s">
        <v>29</v>
      </c>
      <c r="L3114" t="s">
        <v>30</v>
      </c>
      <c r="M3114" t="s">
        <v>139</v>
      </c>
      <c r="N3114">
        <v>1202</v>
      </c>
      <c r="O3114" s="14">
        <v>7.5630439445376396E-2</v>
      </c>
      <c r="P3114" s="14">
        <v>0.16286319401115201</v>
      </c>
      <c r="Q3114" t="str">
        <f t="shared" si="96"/>
        <v>25-34</v>
      </c>
      <c r="R3114" t="str">
        <f t="shared" si="97"/>
        <v>[JQKLKuVuY61]|25-34|Female|PLHIV_Attend.T_1|CY2023Q3</v>
      </c>
    </row>
    <row r="3115" spans="4:18" x14ac:dyDescent="0.2">
      <c r="D3115" t="s">
        <v>131</v>
      </c>
      <c r="E3115" t="s">
        <v>132</v>
      </c>
      <c r="F3115" t="s">
        <v>133</v>
      </c>
      <c r="G3115" t="s">
        <v>149</v>
      </c>
      <c r="H3115" t="s">
        <v>149</v>
      </c>
      <c r="I3115" t="s">
        <v>42</v>
      </c>
      <c r="J3115" t="s">
        <v>43</v>
      </c>
      <c r="K3115" t="s">
        <v>29</v>
      </c>
      <c r="L3115" t="s">
        <v>30</v>
      </c>
      <c r="M3115" t="s">
        <v>139</v>
      </c>
      <c r="N3115">
        <v>1426</v>
      </c>
      <c r="O3115" s="14">
        <v>0.97809994290582802</v>
      </c>
      <c r="P3115" s="14">
        <v>0.16286319401115201</v>
      </c>
      <c r="Q3115" t="str">
        <f t="shared" si="96"/>
        <v>35-49</v>
      </c>
      <c r="R3115" t="str">
        <f t="shared" si="97"/>
        <v>[JQKLKuVuY61]|35-49|Female|PLHIV_Attend.T_1|CY2023Q3</v>
      </c>
    </row>
    <row r="3116" spans="4:18" x14ac:dyDescent="0.2">
      <c r="D3116" t="s">
        <v>131</v>
      </c>
      <c r="E3116" t="s">
        <v>132</v>
      </c>
      <c r="F3116" t="s">
        <v>133</v>
      </c>
      <c r="G3116" t="s">
        <v>149</v>
      </c>
      <c r="H3116" t="s">
        <v>149</v>
      </c>
      <c r="I3116" t="s">
        <v>44</v>
      </c>
      <c r="J3116" t="s">
        <v>45</v>
      </c>
      <c r="K3116" t="s">
        <v>29</v>
      </c>
      <c r="L3116" t="s">
        <v>30</v>
      </c>
      <c r="M3116" t="s">
        <v>139</v>
      </c>
      <c r="N3116">
        <v>877</v>
      </c>
      <c r="O3116" s="14">
        <v>0.30805289675481601</v>
      </c>
      <c r="P3116" s="14">
        <v>0.16286319401115201</v>
      </c>
      <c r="Q3116" t="str">
        <f t="shared" si="96"/>
        <v>50+</v>
      </c>
      <c r="R3116" t="str">
        <f t="shared" si="97"/>
        <v>[JQKLKuVuY61]|50+|Female|PLHIV_Attend.T_1|CY2023Q3</v>
      </c>
    </row>
    <row r="3117" spans="4:18" x14ac:dyDescent="0.2">
      <c r="D3117" t="s">
        <v>131</v>
      </c>
      <c r="E3117" t="s">
        <v>132</v>
      </c>
      <c r="F3117" t="s">
        <v>133</v>
      </c>
      <c r="G3117" t="s">
        <v>149</v>
      </c>
      <c r="H3117" t="s">
        <v>149</v>
      </c>
      <c r="I3117" t="s">
        <v>27</v>
      </c>
      <c r="J3117" t="s">
        <v>28</v>
      </c>
      <c r="K3117" t="s">
        <v>47</v>
      </c>
      <c r="L3117" t="s">
        <v>48</v>
      </c>
      <c r="M3117" t="s">
        <v>139</v>
      </c>
      <c r="N3117">
        <v>619</v>
      </c>
      <c r="O3117" s="14">
        <v>0.320648504188284</v>
      </c>
      <c r="P3117" s="14">
        <v>0.16286319401115201</v>
      </c>
      <c r="Q3117" t="str">
        <f t="shared" si="96"/>
        <v>&lt;01</v>
      </c>
      <c r="R3117" t="str">
        <f t="shared" si="97"/>
        <v>[JQKLKuVuY61]|&lt;01|Male|PLHIV_Attend.T_1|CY2023Q3</v>
      </c>
    </row>
    <row r="3118" spans="4:18" x14ac:dyDescent="0.2">
      <c r="D3118" t="s">
        <v>131</v>
      </c>
      <c r="E3118" t="s">
        <v>132</v>
      </c>
      <c r="F3118" t="s">
        <v>133</v>
      </c>
      <c r="G3118" t="s">
        <v>149</v>
      </c>
      <c r="H3118" t="s">
        <v>149</v>
      </c>
      <c r="I3118" t="s">
        <v>32</v>
      </c>
      <c r="J3118" t="s">
        <v>33</v>
      </c>
      <c r="K3118" t="s">
        <v>47</v>
      </c>
      <c r="L3118" t="s">
        <v>48</v>
      </c>
      <c r="M3118" t="s">
        <v>139</v>
      </c>
      <c r="N3118">
        <v>1978</v>
      </c>
      <c r="O3118" s="14">
        <v>0.24713406292721601</v>
      </c>
      <c r="P3118" s="14">
        <v>0.16286319401115201</v>
      </c>
      <c r="Q3118" t="str">
        <f t="shared" si="96"/>
        <v>01-09</v>
      </c>
      <c r="R3118" t="str">
        <f t="shared" si="97"/>
        <v>[JQKLKuVuY61]|01-09|Male|PLHIV_Attend.T_1|CY2023Q3</v>
      </c>
    </row>
    <row r="3119" spans="4:18" x14ac:dyDescent="0.2">
      <c r="D3119" t="s">
        <v>131</v>
      </c>
      <c r="E3119" t="s">
        <v>132</v>
      </c>
      <c r="F3119" t="s">
        <v>133</v>
      </c>
      <c r="G3119" t="s">
        <v>149</v>
      </c>
      <c r="H3119" t="s">
        <v>149</v>
      </c>
      <c r="I3119" t="s">
        <v>35</v>
      </c>
      <c r="J3119" t="s">
        <v>36</v>
      </c>
      <c r="K3119" t="s">
        <v>47</v>
      </c>
      <c r="L3119" t="s">
        <v>48</v>
      </c>
      <c r="M3119" t="s">
        <v>139</v>
      </c>
      <c r="N3119">
        <v>904</v>
      </c>
      <c r="O3119" s="14">
        <v>0.962984580080956</v>
      </c>
      <c r="P3119" s="14">
        <v>0.16286319401115201</v>
      </c>
      <c r="Q3119" t="str">
        <f t="shared" si="96"/>
        <v>10-14</v>
      </c>
      <c r="R3119" t="str">
        <f t="shared" si="97"/>
        <v>[JQKLKuVuY61]|10-14|Male|PLHIV_Attend.T_1|CY2023Q3</v>
      </c>
    </row>
    <row r="3120" spans="4:18" x14ac:dyDescent="0.2">
      <c r="D3120" t="s">
        <v>131</v>
      </c>
      <c r="E3120" t="s">
        <v>132</v>
      </c>
      <c r="F3120" t="s">
        <v>133</v>
      </c>
      <c r="G3120" t="s">
        <v>149</v>
      </c>
      <c r="H3120" t="s">
        <v>149</v>
      </c>
      <c r="I3120" t="s">
        <v>37</v>
      </c>
      <c r="J3120" t="s">
        <v>38</v>
      </c>
      <c r="K3120" t="s">
        <v>47</v>
      </c>
      <c r="L3120" t="s">
        <v>48</v>
      </c>
      <c r="M3120" t="s">
        <v>139</v>
      </c>
      <c r="N3120">
        <v>517</v>
      </c>
      <c r="O3120" s="14">
        <v>0.242814561119303</v>
      </c>
      <c r="P3120" s="14">
        <v>0.16286319401115201</v>
      </c>
      <c r="Q3120" t="str">
        <f t="shared" si="96"/>
        <v>15-24</v>
      </c>
      <c r="R3120" t="str">
        <f t="shared" si="97"/>
        <v>[JQKLKuVuY61]|15-24|Male|PLHIV_Attend.T_1|CY2023Q3</v>
      </c>
    </row>
    <row r="3121" spans="4:18" x14ac:dyDescent="0.2">
      <c r="D3121" t="s">
        <v>131</v>
      </c>
      <c r="E3121" t="s">
        <v>132</v>
      </c>
      <c r="F3121" t="s">
        <v>133</v>
      </c>
      <c r="G3121" t="s">
        <v>149</v>
      </c>
      <c r="H3121" t="s">
        <v>149</v>
      </c>
      <c r="I3121" t="s">
        <v>40</v>
      </c>
      <c r="J3121" t="s">
        <v>41</v>
      </c>
      <c r="K3121" t="s">
        <v>47</v>
      </c>
      <c r="L3121" t="s">
        <v>48</v>
      </c>
      <c r="M3121" t="s">
        <v>139</v>
      </c>
      <c r="N3121">
        <v>1534</v>
      </c>
      <c r="O3121" s="14">
        <v>0.83278298564255204</v>
      </c>
      <c r="P3121" s="14">
        <v>0.16286319401115201</v>
      </c>
      <c r="Q3121" t="str">
        <f t="shared" si="96"/>
        <v>25-34</v>
      </c>
      <c r="R3121" t="str">
        <f t="shared" si="97"/>
        <v>[JQKLKuVuY61]|25-34|Male|PLHIV_Attend.T_1|CY2023Q3</v>
      </c>
    </row>
    <row r="3122" spans="4:18" x14ac:dyDescent="0.2">
      <c r="D3122" t="s">
        <v>131</v>
      </c>
      <c r="E3122" t="s">
        <v>132</v>
      </c>
      <c r="F3122" t="s">
        <v>133</v>
      </c>
      <c r="G3122" t="s">
        <v>149</v>
      </c>
      <c r="H3122" t="s">
        <v>149</v>
      </c>
      <c r="I3122" t="s">
        <v>42</v>
      </c>
      <c r="J3122" t="s">
        <v>43</v>
      </c>
      <c r="K3122" t="s">
        <v>47</v>
      </c>
      <c r="L3122" t="s">
        <v>48</v>
      </c>
      <c r="M3122" t="s">
        <v>139</v>
      </c>
      <c r="N3122">
        <v>1268</v>
      </c>
      <c r="O3122" s="14">
        <v>0.66053807921707597</v>
      </c>
      <c r="P3122" s="14">
        <v>0.16286319401115201</v>
      </c>
      <c r="Q3122" t="str">
        <f t="shared" si="96"/>
        <v>35-49</v>
      </c>
      <c r="R3122" t="str">
        <f t="shared" si="97"/>
        <v>[JQKLKuVuY61]|35-49|Male|PLHIV_Attend.T_1|CY2023Q3</v>
      </c>
    </row>
    <row r="3123" spans="4:18" x14ac:dyDescent="0.2">
      <c r="D3123" t="s">
        <v>131</v>
      </c>
      <c r="E3123" t="s">
        <v>132</v>
      </c>
      <c r="F3123" t="s">
        <v>133</v>
      </c>
      <c r="G3123" t="s">
        <v>149</v>
      </c>
      <c r="H3123" t="s">
        <v>149</v>
      </c>
      <c r="I3123" t="s">
        <v>44</v>
      </c>
      <c r="J3123" t="s">
        <v>45</v>
      </c>
      <c r="K3123" t="s">
        <v>47</v>
      </c>
      <c r="L3123" t="s">
        <v>48</v>
      </c>
      <c r="M3123" t="s">
        <v>139</v>
      </c>
      <c r="N3123">
        <v>1523</v>
      </c>
      <c r="O3123" s="14">
        <v>0.73434456600807596</v>
      </c>
      <c r="P3123" s="14">
        <v>0.16286319401115201</v>
      </c>
      <c r="Q3123" t="str">
        <f t="shared" si="96"/>
        <v>50+</v>
      </c>
      <c r="R3123" t="str">
        <f t="shared" si="97"/>
        <v>[JQKLKuVuY61]|50+|Male|PLHIV_Attend.T_1|CY2023Q3</v>
      </c>
    </row>
    <row r="3124" spans="4:18" x14ac:dyDescent="0.2">
      <c r="D3124" t="s">
        <v>134</v>
      </c>
      <c r="E3124" t="s">
        <v>135</v>
      </c>
      <c r="F3124" t="s">
        <v>136</v>
      </c>
      <c r="G3124" t="s">
        <v>149</v>
      </c>
      <c r="H3124" t="s">
        <v>149</v>
      </c>
      <c r="I3124" t="s">
        <v>27</v>
      </c>
      <c r="J3124" t="s">
        <v>28</v>
      </c>
      <c r="K3124" t="s">
        <v>29</v>
      </c>
      <c r="L3124" t="s">
        <v>30</v>
      </c>
      <c r="M3124" t="s">
        <v>139</v>
      </c>
      <c r="N3124">
        <v>1000</v>
      </c>
      <c r="O3124" s="14">
        <v>0.87808158225379895</v>
      </c>
      <c r="P3124" s="14">
        <v>0.95530052832327805</v>
      </c>
      <c r="Q3124" t="str">
        <f t="shared" si="96"/>
        <v>&lt;01</v>
      </c>
      <c r="R3124" t="str">
        <f t="shared" si="97"/>
        <v>[fiRkU6gEjLz]|&lt;01|Female|PLHIV_Attend.T_1|CY2023Q3</v>
      </c>
    </row>
    <row r="3125" spans="4:18" x14ac:dyDescent="0.2">
      <c r="D3125" t="s">
        <v>134</v>
      </c>
      <c r="E3125" t="s">
        <v>135</v>
      </c>
      <c r="F3125" t="s">
        <v>136</v>
      </c>
      <c r="G3125" t="s">
        <v>149</v>
      </c>
      <c r="H3125" t="s">
        <v>149</v>
      </c>
      <c r="I3125" t="s">
        <v>32</v>
      </c>
      <c r="J3125" t="s">
        <v>33</v>
      </c>
      <c r="K3125" t="s">
        <v>29</v>
      </c>
      <c r="L3125" t="s">
        <v>30</v>
      </c>
      <c r="M3125" t="s">
        <v>139</v>
      </c>
      <c r="N3125">
        <v>1667</v>
      </c>
      <c r="O3125" s="14">
        <v>0.23699621297419099</v>
      </c>
      <c r="P3125" s="14">
        <v>0.95530052832327805</v>
      </c>
      <c r="Q3125" t="str">
        <f t="shared" si="96"/>
        <v>01-09</v>
      </c>
      <c r="R3125" t="str">
        <f t="shared" si="97"/>
        <v>[fiRkU6gEjLz]|01-09|Female|PLHIV_Attend.T_1|CY2023Q3</v>
      </c>
    </row>
    <row r="3126" spans="4:18" x14ac:dyDescent="0.2">
      <c r="D3126" t="s">
        <v>134</v>
      </c>
      <c r="E3126" t="s">
        <v>135</v>
      </c>
      <c r="F3126" t="s">
        <v>136</v>
      </c>
      <c r="G3126" t="s">
        <v>149</v>
      </c>
      <c r="H3126" t="s">
        <v>149</v>
      </c>
      <c r="I3126" t="s">
        <v>35</v>
      </c>
      <c r="J3126" t="s">
        <v>36</v>
      </c>
      <c r="K3126" t="s">
        <v>29</v>
      </c>
      <c r="L3126" t="s">
        <v>30</v>
      </c>
      <c r="M3126" t="s">
        <v>139</v>
      </c>
      <c r="N3126">
        <v>1991</v>
      </c>
      <c r="O3126" s="14">
        <v>0.50022106943652</v>
      </c>
      <c r="P3126" s="14">
        <v>0.95530052832327805</v>
      </c>
      <c r="Q3126" t="str">
        <f t="shared" si="96"/>
        <v>10-14</v>
      </c>
      <c r="R3126" t="str">
        <f t="shared" si="97"/>
        <v>[fiRkU6gEjLz]|10-14|Female|PLHIV_Attend.T_1|CY2023Q3</v>
      </c>
    </row>
    <row r="3127" spans="4:18" x14ac:dyDescent="0.2">
      <c r="D3127" t="s">
        <v>134</v>
      </c>
      <c r="E3127" t="s">
        <v>135</v>
      </c>
      <c r="F3127" t="s">
        <v>136</v>
      </c>
      <c r="G3127" t="s">
        <v>149</v>
      </c>
      <c r="H3127" t="s">
        <v>149</v>
      </c>
      <c r="I3127" t="s">
        <v>37</v>
      </c>
      <c r="J3127" t="s">
        <v>38</v>
      </c>
      <c r="K3127" t="s">
        <v>29</v>
      </c>
      <c r="L3127" t="s">
        <v>30</v>
      </c>
      <c r="M3127" t="s">
        <v>139</v>
      </c>
      <c r="N3127">
        <v>1220</v>
      </c>
      <c r="O3127" s="14">
        <v>1.29337382968515E-2</v>
      </c>
      <c r="P3127" s="14">
        <v>0.95530052832327805</v>
      </c>
      <c r="Q3127" t="str">
        <f t="shared" si="96"/>
        <v>15-24</v>
      </c>
      <c r="R3127" t="str">
        <f t="shared" si="97"/>
        <v>[fiRkU6gEjLz]|15-24|Female|PLHIV_Attend.T_1|CY2023Q3</v>
      </c>
    </row>
    <row r="3128" spans="4:18" x14ac:dyDescent="0.2">
      <c r="D3128" t="s">
        <v>134</v>
      </c>
      <c r="E3128" t="s">
        <v>135</v>
      </c>
      <c r="F3128" t="s">
        <v>136</v>
      </c>
      <c r="G3128" t="s">
        <v>149</v>
      </c>
      <c r="H3128" t="s">
        <v>149</v>
      </c>
      <c r="I3128" t="s">
        <v>40</v>
      </c>
      <c r="J3128" t="s">
        <v>41</v>
      </c>
      <c r="K3128" t="s">
        <v>29</v>
      </c>
      <c r="L3128" t="s">
        <v>30</v>
      </c>
      <c r="M3128" t="s">
        <v>139</v>
      </c>
      <c r="N3128">
        <v>1868</v>
      </c>
      <c r="O3128" s="14">
        <v>0.31169486162252702</v>
      </c>
      <c r="P3128" s="14">
        <v>0.95530052832327805</v>
      </c>
      <c r="Q3128" t="str">
        <f t="shared" si="96"/>
        <v>25-34</v>
      </c>
      <c r="R3128" t="str">
        <f t="shared" si="97"/>
        <v>[fiRkU6gEjLz]|25-34|Female|PLHIV_Attend.T_1|CY2023Q3</v>
      </c>
    </row>
    <row r="3129" spans="4:18" x14ac:dyDescent="0.2">
      <c r="D3129" t="s">
        <v>134</v>
      </c>
      <c r="E3129" t="s">
        <v>135</v>
      </c>
      <c r="F3129" t="s">
        <v>136</v>
      </c>
      <c r="G3129" t="s">
        <v>149</v>
      </c>
      <c r="H3129" t="s">
        <v>149</v>
      </c>
      <c r="I3129" t="s">
        <v>42</v>
      </c>
      <c r="J3129" t="s">
        <v>43</v>
      </c>
      <c r="K3129" t="s">
        <v>29</v>
      </c>
      <c r="L3129" t="s">
        <v>30</v>
      </c>
      <c r="M3129" t="s">
        <v>139</v>
      </c>
      <c r="N3129">
        <v>1165</v>
      </c>
      <c r="O3129" s="14">
        <v>0.60644237417727698</v>
      </c>
      <c r="P3129" s="14">
        <v>0.95530052832327805</v>
      </c>
      <c r="Q3129" t="str">
        <f t="shared" si="96"/>
        <v>35-49</v>
      </c>
      <c r="R3129" t="str">
        <f t="shared" si="97"/>
        <v>[fiRkU6gEjLz]|35-49|Female|PLHIV_Attend.T_1|CY2023Q3</v>
      </c>
    </row>
    <row r="3130" spans="4:18" x14ac:dyDescent="0.2">
      <c r="D3130" t="s">
        <v>134</v>
      </c>
      <c r="E3130" t="s">
        <v>135</v>
      </c>
      <c r="F3130" t="s">
        <v>136</v>
      </c>
      <c r="G3130" t="s">
        <v>149</v>
      </c>
      <c r="H3130" t="s">
        <v>149</v>
      </c>
      <c r="I3130" t="s">
        <v>44</v>
      </c>
      <c r="J3130" t="s">
        <v>45</v>
      </c>
      <c r="K3130" t="s">
        <v>29</v>
      </c>
      <c r="L3130" t="s">
        <v>30</v>
      </c>
      <c r="M3130" t="s">
        <v>139</v>
      </c>
      <c r="N3130">
        <v>1443</v>
      </c>
      <c r="O3130" s="14">
        <v>0.94533035368658602</v>
      </c>
      <c r="P3130" s="14">
        <v>0.95530052832327805</v>
      </c>
      <c r="Q3130" t="str">
        <f t="shared" si="96"/>
        <v>50+</v>
      </c>
      <c r="R3130" t="str">
        <f t="shared" si="97"/>
        <v>[fiRkU6gEjLz]|50+|Female|PLHIV_Attend.T_1|CY2023Q3</v>
      </c>
    </row>
    <row r="3131" spans="4:18" x14ac:dyDescent="0.2">
      <c r="D3131" t="s">
        <v>134</v>
      </c>
      <c r="E3131" t="s">
        <v>135</v>
      </c>
      <c r="F3131" t="s">
        <v>136</v>
      </c>
      <c r="G3131" t="s">
        <v>149</v>
      </c>
      <c r="H3131" t="s">
        <v>149</v>
      </c>
      <c r="I3131" t="s">
        <v>27</v>
      </c>
      <c r="J3131" t="s">
        <v>28</v>
      </c>
      <c r="K3131" t="s">
        <v>47</v>
      </c>
      <c r="L3131" t="s">
        <v>48</v>
      </c>
      <c r="M3131" t="s">
        <v>139</v>
      </c>
      <c r="N3131">
        <v>1252</v>
      </c>
      <c r="O3131" s="14">
        <v>0.27750910934992101</v>
      </c>
      <c r="P3131" s="14">
        <v>0.95530052832327805</v>
      </c>
      <c r="Q3131" t="str">
        <f t="shared" si="96"/>
        <v>&lt;01</v>
      </c>
      <c r="R3131" t="str">
        <f t="shared" si="97"/>
        <v>[fiRkU6gEjLz]|&lt;01|Male|PLHIV_Attend.T_1|CY2023Q3</v>
      </c>
    </row>
    <row r="3132" spans="4:18" x14ac:dyDescent="0.2">
      <c r="D3132" t="s">
        <v>134</v>
      </c>
      <c r="E3132" t="s">
        <v>135</v>
      </c>
      <c r="F3132" t="s">
        <v>136</v>
      </c>
      <c r="G3132" t="s">
        <v>149</v>
      </c>
      <c r="H3132" t="s">
        <v>149</v>
      </c>
      <c r="I3132" t="s">
        <v>32</v>
      </c>
      <c r="J3132" t="s">
        <v>33</v>
      </c>
      <c r="K3132" t="s">
        <v>47</v>
      </c>
      <c r="L3132" t="s">
        <v>48</v>
      </c>
      <c r="M3132" t="s">
        <v>139</v>
      </c>
      <c r="N3132">
        <v>1202</v>
      </c>
      <c r="O3132" s="14">
        <v>0.85621941369026899</v>
      </c>
      <c r="P3132" s="14">
        <v>0.95530052832327805</v>
      </c>
      <c r="Q3132" t="str">
        <f t="shared" si="96"/>
        <v>01-09</v>
      </c>
      <c r="R3132" t="str">
        <f t="shared" si="97"/>
        <v>[fiRkU6gEjLz]|01-09|Male|PLHIV_Attend.T_1|CY2023Q3</v>
      </c>
    </row>
    <row r="3133" spans="4:18" x14ac:dyDescent="0.2">
      <c r="D3133" t="s">
        <v>134</v>
      </c>
      <c r="E3133" t="s">
        <v>135</v>
      </c>
      <c r="F3133" t="s">
        <v>136</v>
      </c>
      <c r="G3133" t="s">
        <v>149</v>
      </c>
      <c r="H3133" t="s">
        <v>149</v>
      </c>
      <c r="I3133" t="s">
        <v>35</v>
      </c>
      <c r="J3133" t="s">
        <v>36</v>
      </c>
      <c r="K3133" t="s">
        <v>47</v>
      </c>
      <c r="L3133" t="s">
        <v>48</v>
      </c>
      <c r="M3133" t="s">
        <v>139</v>
      </c>
      <c r="N3133">
        <v>1565</v>
      </c>
      <c r="O3133" s="14">
        <v>0.92880246532149602</v>
      </c>
      <c r="P3133" s="14">
        <v>0.95530052832327805</v>
      </c>
      <c r="Q3133" t="str">
        <f t="shared" si="96"/>
        <v>10-14</v>
      </c>
      <c r="R3133" t="str">
        <f t="shared" si="97"/>
        <v>[fiRkU6gEjLz]|10-14|Male|PLHIV_Attend.T_1|CY2023Q3</v>
      </c>
    </row>
    <row r="3134" spans="4:18" x14ac:dyDescent="0.2">
      <c r="D3134" t="s">
        <v>134</v>
      </c>
      <c r="E3134" t="s">
        <v>135</v>
      </c>
      <c r="F3134" t="s">
        <v>136</v>
      </c>
      <c r="G3134" t="s">
        <v>149</v>
      </c>
      <c r="H3134" t="s">
        <v>149</v>
      </c>
      <c r="I3134" t="s">
        <v>37</v>
      </c>
      <c r="J3134" t="s">
        <v>38</v>
      </c>
      <c r="K3134" t="s">
        <v>47</v>
      </c>
      <c r="L3134" t="s">
        <v>48</v>
      </c>
      <c r="M3134" t="s">
        <v>139</v>
      </c>
      <c r="N3134">
        <v>850</v>
      </c>
      <c r="O3134" s="14">
        <v>0.16473893891088701</v>
      </c>
      <c r="P3134" s="14">
        <v>0.95530052832327805</v>
      </c>
      <c r="Q3134" t="str">
        <f t="shared" si="96"/>
        <v>15-24</v>
      </c>
      <c r="R3134" t="str">
        <f t="shared" si="97"/>
        <v>[fiRkU6gEjLz]|15-24|Male|PLHIV_Attend.T_1|CY2023Q3</v>
      </c>
    </row>
    <row r="3135" spans="4:18" x14ac:dyDescent="0.2">
      <c r="D3135" t="s">
        <v>134</v>
      </c>
      <c r="E3135" t="s">
        <v>135</v>
      </c>
      <c r="F3135" t="s">
        <v>136</v>
      </c>
      <c r="G3135" t="s">
        <v>149</v>
      </c>
      <c r="H3135" t="s">
        <v>149</v>
      </c>
      <c r="I3135" t="s">
        <v>40</v>
      </c>
      <c r="J3135" t="s">
        <v>41</v>
      </c>
      <c r="K3135" t="s">
        <v>47</v>
      </c>
      <c r="L3135" t="s">
        <v>48</v>
      </c>
      <c r="M3135" t="s">
        <v>139</v>
      </c>
      <c r="N3135">
        <v>1455</v>
      </c>
      <c r="O3135" s="14">
        <v>0.96507170074619397</v>
      </c>
      <c r="P3135" s="14">
        <v>0.95530052832327805</v>
      </c>
      <c r="Q3135" t="str">
        <f t="shared" si="96"/>
        <v>25-34</v>
      </c>
      <c r="R3135" t="str">
        <f t="shared" si="97"/>
        <v>[fiRkU6gEjLz]|25-34|Male|PLHIV_Attend.T_1|CY2023Q3</v>
      </c>
    </row>
    <row r="3136" spans="4:18" x14ac:dyDescent="0.2">
      <c r="D3136" t="s">
        <v>134</v>
      </c>
      <c r="E3136" t="s">
        <v>135</v>
      </c>
      <c r="F3136" t="s">
        <v>136</v>
      </c>
      <c r="G3136" t="s">
        <v>149</v>
      </c>
      <c r="H3136" t="s">
        <v>149</v>
      </c>
      <c r="I3136" t="s">
        <v>42</v>
      </c>
      <c r="J3136" t="s">
        <v>43</v>
      </c>
      <c r="K3136" t="s">
        <v>47</v>
      </c>
      <c r="L3136" t="s">
        <v>48</v>
      </c>
      <c r="M3136" t="s">
        <v>139</v>
      </c>
      <c r="N3136">
        <v>1266</v>
      </c>
      <c r="O3136" s="14">
        <v>0.30163829214870902</v>
      </c>
      <c r="P3136" s="14">
        <v>0.95530052832327805</v>
      </c>
      <c r="Q3136" t="str">
        <f t="shared" si="96"/>
        <v>35-49</v>
      </c>
      <c r="R3136" t="str">
        <f t="shared" si="97"/>
        <v>[fiRkU6gEjLz]|35-49|Male|PLHIV_Attend.T_1|CY2023Q3</v>
      </c>
    </row>
    <row r="3137" spans="4:18" x14ac:dyDescent="0.2">
      <c r="D3137" t="s">
        <v>134</v>
      </c>
      <c r="E3137" t="s">
        <v>135</v>
      </c>
      <c r="F3137" t="s">
        <v>136</v>
      </c>
      <c r="G3137" t="s">
        <v>149</v>
      </c>
      <c r="H3137" t="s">
        <v>149</v>
      </c>
      <c r="I3137" t="s">
        <v>44</v>
      </c>
      <c r="J3137" t="s">
        <v>45</v>
      </c>
      <c r="K3137" t="s">
        <v>47</v>
      </c>
      <c r="L3137" t="s">
        <v>48</v>
      </c>
      <c r="M3137" t="s">
        <v>139</v>
      </c>
      <c r="N3137">
        <v>1372</v>
      </c>
      <c r="O3137" s="14">
        <v>0.14854631992056999</v>
      </c>
      <c r="P3137" s="14">
        <v>0.95530052832327805</v>
      </c>
      <c r="Q3137" t="str">
        <f t="shared" si="96"/>
        <v>50+</v>
      </c>
      <c r="R3137" t="str">
        <f t="shared" si="97"/>
        <v>[fiRkU6gEjLz]|50+|Male|PLHIV_Attend.T_1|CY2023Q3</v>
      </c>
    </row>
    <row r="3138" spans="4:18" x14ac:dyDescent="0.2">
      <c r="D3138" t="s">
        <v>22</v>
      </c>
      <c r="E3138" t="s">
        <v>23</v>
      </c>
      <c r="F3138" t="s">
        <v>24</v>
      </c>
      <c r="G3138" t="s">
        <v>150</v>
      </c>
      <c r="H3138" t="s">
        <v>150</v>
      </c>
      <c r="I3138" t="s">
        <v>27</v>
      </c>
      <c r="J3138" t="s">
        <v>28</v>
      </c>
      <c r="K3138" t="s">
        <v>29</v>
      </c>
      <c r="L3138" t="s">
        <v>30</v>
      </c>
      <c r="M3138" t="s">
        <v>139</v>
      </c>
      <c r="N3138">
        <v>856</v>
      </c>
      <c r="O3138" s="14">
        <v>0.906431849813089</v>
      </c>
      <c r="P3138" s="14">
        <v>0.40435861097648701</v>
      </c>
      <c r="Q3138" t="str">
        <f t="shared" ref="Q3138:Q3201" si="98">SUBSTITUTE(SUBSTITUTE($I3138,CHAR(61),""),CHAR(34),"")</f>
        <v>&lt;01</v>
      </c>
      <c r="R3138" t="str">
        <f t="shared" ref="R3138:R3201" si="99">IF($D3138&lt;&gt;"","["&amp;$E3138&amp;"]"&amp;"|"&amp;$Q3138&amp;"|"&amp;$K3138&amp;"|"&amp;$G3138&amp;"|"&amp;IF($G3138="TX_CURR_SUBNAT.R","CY2022Q4",$M3138),"")</f>
        <v>[GkIwZrXy1h2]|&lt;01|Female|Untreated_PLHIV_Attend.T_1|CY2023Q3</v>
      </c>
    </row>
    <row r="3139" spans="4:18" x14ac:dyDescent="0.2">
      <c r="D3139" t="s">
        <v>22</v>
      </c>
      <c r="E3139" t="s">
        <v>23</v>
      </c>
      <c r="F3139" t="s">
        <v>24</v>
      </c>
      <c r="G3139" t="s">
        <v>150</v>
      </c>
      <c r="H3139" t="s">
        <v>150</v>
      </c>
      <c r="I3139" t="s">
        <v>32</v>
      </c>
      <c r="J3139" t="s">
        <v>33</v>
      </c>
      <c r="K3139" t="s">
        <v>29</v>
      </c>
      <c r="L3139" t="s">
        <v>30</v>
      </c>
      <c r="M3139" t="s">
        <v>139</v>
      </c>
      <c r="N3139">
        <v>761</v>
      </c>
      <c r="O3139" s="14">
        <v>0.88420367310754999</v>
      </c>
      <c r="P3139" s="14">
        <v>0.40435861097648701</v>
      </c>
      <c r="Q3139" t="str">
        <f t="shared" si="98"/>
        <v>01-09</v>
      </c>
      <c r="R3139" t="str">
        <f t="shared" si="99"/>
        <v>[GkIwZrXy1h2]|01-09|Female|Untreated_PLHIV_Attend.T_1|CY2023Q3</v>
      </c>
    </row>
    <row r="3140" spans="4:18" x14ac:dyDescent="0.2">
      <c r="D3140" t="s">
        <v>22</v>
      </c>
      <c r="E3140" t="s">
        <v>23</v>
      </c>
      <c r="F3140" t="s">
        <v>24</v>
      </c>
      <c r="G3140" t="s">
        <v>150</v>
      </c>
      <c r="H3140" t="s">
        <v>150</v>
      </c>
      <c r="I3140" t="s">
        <v>35</v>
      </c>
      <c r="J3140" t="s">
        <v>36</v>
      </c>
      <c r="K3140" t="s">
        <v>29</v>
      </c>
      <c r="L3140" t="s">
        <v>30</v>
      </c>
      <c r="M3140" t="s">
        <v>139</v>
      </c>
      <c r="N3140">
        <v>1128</v>
      </c>
      <c r="O3140" s="14">
        <v>0.28414666489697998</v>
      </c>
      <c r="P3140" s="14">
        <v>0.40435861097648701</v>
      </c>
      <c r="Q3140" t="str">
        <f t="shared" si="98"/>
        <v>10-14</v>
      </c>
      <c r="R3140" t="str">
        <f t="shared" si="99"/>
        <v>[GkIwZrXy1h2]|10-14|Female|Untreated_PLHIV_Attend.T_1|CY2023Q3</v>
      </c>
    </row>
    <row r="3141" spans="4:18" x14ac:dyDescent="0.2">
      <c r="D3141" t="s">
        <v>22</v>
      </c>
      <c r="E3141" t="s">
        <v>23</v>
      </c>
      <c r="F3141" t="s">
        <v>24</v>
      </c>
      <c r="G3141" t="s">
        <v>150</v>
      </c>
      <c r="H3141" t="s">
        <v>150</v>
      </c>
      <c r="I3141" t="s">
        <v>37</v>
      </c>
      <c r="J3141" t="s">
        <v>38</v>
      </c>
      <c r="K3141" t="s">
        <v>29</v>
      </c>
      <c r="L3141" t="s">
        <v>30</v>
      </c>
      <c r="M3141" t="s">
        <v>139</v>
      </c>
      <c r="N3141">
        <v>1981</v>
      </c>
      <c r="O3141" s="14">
        <v>0.51871692994609497</v>
      </c>
      <c r="P3141" s="14">
        <v>0.40435861097648701</v>
      </c>
      <c r="Q3141" t="str">
        <f t="shared" si="98"/>
        <v>15-24</v>
      </c>
      <c r="R3141" t="str">
        <f t="shared" si="99"/>
        <v>[GkIwZrXy1h2]|15-24|Female|Untreated_PLHIV_Attend.T_1|CY2023Q3</v>
      </c>
    </row>
    <row r="3142" spans="4:18" x14ac:dyDescent="0.2">
      <c r="D3142" t="s">
        <v>22</v>
      </c>
      <c r="E3142" t="s">
        <v>23</v>
      </c>
      <c r="F3142" t="s">
        <v>24</v>
      </c>
      <c r="G3142" t="s">
        <v>150</v>
      </c>
      <c r="H3142" t="s">
        <v>150</v>
      </c>
      <c r="I3142" t="s">
        <v>40</v>
      </c>
      <c r="J3142" t="s">
        <v>41</v>
      </c>
      <c r="K3142" t="s">
        <v>29</v>
      </c>
      <c r="L3142" t="s">
        <v>30</v>
      </c>
      <c r="M3142" t="s">
        <v>139</v>
      </c>
      <c r="N3142">
        <v>1075</v>
      </c>
      <c r="O3142" s="14">
        <v>0.19410346914082799</v>
      </c>
      <c r="P3142" s="14">
        <v>0.40435861097648701</v>
      </c>
      <c r="Q3142" t="str">
        <f t="shared" si="98"/>
        <v>25-34</v>
      </c>
      <c r="R3142" t="str">
        <f t="shared" si="99"/>
        <v>[GkIwZrXy1h2]|25-34|Female|Untreated_PLHIV_Attend.T_1|CY2023Q3</v>
      </c>
    </row>
    <row r="3143" spans="4:18" x14ac:dyDescent="0.2">
      <c r="D3143" t="s">
        <v>22</v>
      </c>
      <c r="E3143" t="s">
        <v>23</v>
      </c>
      <c r="F3143" t="s">
        <v>24</v>
      </c>
      <c r="G3143" t="s">
        <v>150</v>
      </c>
      <c r="H3143" t="s">
        <v>150</v>
      </c>
      <c r="I3143" t="s">
        <v>42</v>
      </c>
      <c r="J3143" t="s">
        <v>43</v>
      </c>
      <c r="K3143" t="s">
        <v>29</v>
      </c>
      <c r="L3143" t="s">
        <v>30</v>
      </c>
      <c r="M3143" t="s">
        <v>139</v>
      </c>
      <c r="N3143">
        <v>1897</v>
      </c>
      <c r="O3143" s="14">
        <v>0.231806619558483</v>
      </c>
      <c r="P3143" s="14">
        <v>0.40435861097648701</v>
      </c>
      <c r="Q3143" t="str">
        <f t="shared" si="98"/>
        <v>35-49</v>
      </c>
      <c r="R3143" t="str">
        <f t="shared" si="99"/>
        <v>[GkIwZrXy1h2]|35-49|Female|Untreated_PLHIV_Attend.T_1|CY2023Q3</v>
      </c>
    </row>
    <row r="3144" spans="4:18" x14ac:dyDescent="0.2">
      <c r="D3144" t="s">
        <v>22</v>
      </c>
      <c r="E3144" t="s">
        <v>23</v>
      </c>
      <c r="F3144" t="s">
        <v>24</v>
      </c>
      <c r="G3144" t="s">
        <v>150</v>
      </c>
      <c r="H3144" t="s">
        <v>150</v>
      </c>
      <c r="I3144" t="s">
        <v>44</v>
      </c>
      <c r="J3144" t="s">
        <v>45</v>
      </c>
      <c r="K3144" t="s">
        <v>29</v>
      </c>
      <c r="L3144" t="s">
        <v>30</v>
      </c>
      <c r="M3144" t="s">
        <v>139</v>
      </c>
      <c r="N3144">
        <v>586</v>
      </c>
      <c r="O3144" s="14">
        <v>0.59009504015557501</v>
      </c>
      <c r="P3144" s="14">
        <v>0.40435861097648701</v>
      </c>
      <c r="Q3144" t="str">
        <f t="shared" si="98"/>
        <v>50+</v>
      </c>
      <c r="R3144" t="str">
        <f t="shared" si="99"/>
        <v>[GkIwZrXy1h2]|50+|Female|Untreated_PLHIV_Attend.T_1|CY2023Q3</v>
      </c>
    </row>
    <row r="3145" spans="4:18" x14ac:dyDescent="0.2">
      <c r="D3145" t="s">
        <v>22</v>
      </c>
      <c r="E3145" t="s">
        <v>23</v>
      </c>
      <c r="F3145" t="s">
        <v>24</v>
      </c>
      <c r="G3145" t="s">
        <v>150</v>
      </c>
      <c r="H3145" t="s">
        <v>150</v>
      </c>
      <c r="I3145" t="s">
        <v>27</v>
      </c>
      <c r="J3145" t="s">
        <v>28</v>
      </c>
      <c r="K3145" t="s">
        <v>47</v>
      </c>
      <c r="L3145" t="s">
        <v>48</v>
      </c>
      <c r="M3145" t="s">
        <v>139</v>
      </c>
      <c r="N3145">
        <v>1655</v>
      </c>
      <c r="O3145" s="14">
        <v>0.10262175789102899</v>
      </c>
      <c r="P3145" s="14">
        <v>0.40435861097648701</v>
      </c>
      <c r="Q3145" t="str">
        <f t="shared" si="98"/>
        <v>&lt;01</v>
      </c>
      <c r="R3145" t="str">
        <f t="shared" si="99"/>
        <v>[GkIwZrXy1h2]|&lt;01|Male|Untreated_PLHIV_Attend.T_1|CY2023Q3</v>
      </c>
    </row>
    <row r="3146" spans="4:18" x14ac:dyDescent="0.2">
      <c r="D3146" t="s">
        <v>22</v>
      </c>
      <c r="E3146" t="s">
        <v>23</v>
      </c>
      <c r="F3146" t="s">
        <v>24</v>
      </c>
      <c r="G3146" t="s">
        <v>150</v>
      </c>
      <c r="H3146" t="s">
        <v>150</v>
      </c>
      <c r="I3146" t="s">
        <v>32</v>
      </c>
      <c r="J3146" t="s">
        <v>33</v>
      </c>
      <c r="K3146" t="s">
        <v>47</v>
      </c>
      <c r="L3146" t="s">
        <v>48</v>
      </c>
      <c r="M3146" t="s">
        <v>139</v>
      </c>
      <c r="N3146">
        <v>1364</v>
      </c>
      <c r="O3146" s="14">
        <v>0.20646111574024001</v>
      </c>
      <c r="P3146" s="14">
        <v>0.40435861097648701</v>
      </c>
      <c r="Q3146" t="str">
        <f t="shared" si="98"/>
        <v>01-09</v>
      </c>
      <c r="R3146" t="str">
        <f t="shared" si="99"/>
        <v>[GkIwZrXy1h2]|01-09|Male|Untreated_PLHIV_Attend.T_1|CY2023Q3</v>
      </c>
    </row>
    <row r="3147" spans="4:18" x14ac:dyDescent="0.2">
      <c r="D3147" t="s">
        <v>22</v>
      </c>
      <c r="E3147" t="s">
        <v>23</v>
      </c>
      <c r="F3147" t="s">
        <v>24</v>
      </c>
      <c r="G3147" t="s">
        <v>150</v>
      </c>
      <c r="H3147" t="s">
        <v>150</v>
      </c>
      <c r="I3147" t="s">
        <v>35</v>
      </c>
      <c r="J3147" t="s">
        <v>36</v>
      </c>
      <c r="K3147" t="s">
        <v>47</v>
      </c>
      <c r="L3147" t="s">
        <v>48</v>
      </c>
      <c r="M3147" t="s">
        <v>139</v>
      </c>
      <c r="N3147">
        <v>808</v>
      </c>
      <c r="O3147" s="14">
        <v>0.89727289089933004</v>
      </c>
      <c r="P3147" s="14">
        <v>0.40435861097648701</v>
      </c>
      <c r="Q3147" t="str">
        <f t="shared" si="98"/>
        <v>10-14</v>
      </c>
      <c r="R3147" t="str">
        <f t="shared" si="99"/>
        <v>[GkIwZrXy1h2]|10-14|Male|Untreated_PLHIV_Attend.T_1|CY2023Q3</v>
      </c>
    </row>
    <row r="3148" spans="4:18" x14ac:dyDescent="0.2">
      <c r="D3148" t="s">
        <v>22</v>
      </c>
      <c r="E3148" t="s">
        <v>23</v>
      </c>
      <c r="F3148" t="s">
        <v>24</v>
      </c>
      <c r="G3148" t="s">
        <v>150</v>
      </c>
      <c r="H3148" t="s">
        <v>150</v>
      </c>
      <c r="I3148" t="s">
        <v>37</v>
      </c>
      <c r="J3148" t="s">
        <v>38</v>
      </c>
      <c r="K3148" t="s">
        <v>47</v>
      </c>
      <c r="L3148" t="s">
        <v>48</v>
      </c>
      <c r="M3148" t="s">
        <v>139</v>
      </c>
      <c r="N3148">
        <v>775</v>
      </c>
      <c r="O3148" s="14">
        <v>0.91521551576443005</v>
      </c>
      <c r="P3148" s="14">
        <v>0.40435861097648701</v>
      </c>
      <c r="Q3148" t="str">
        <f t="shared" si="98"/>
        <v>15-24</v>
      </c>
      <c r="R3148" t="str">
        <f t="shared" si="99"/>
        <v>[GkIwZrXy1h2]|15-24|Male|Untreated_PLHIV_Attend.T_1|CY2023Q3</v>
      </c>
    </row>
    <row r="3149" spans="4:18" x14ac:dyDescent="0.2">
      <c r="D3149" t="s">
        <v>22</v>
      </c>
      <c r="E3149" t="s">
        <v>23</v>
      </c>
      <c r="F3149" t="s">
        <v>24</v>
      </c>
      <c r="G3149" t="s">
        <v>150</v>
      </c>
      <c r="H3149" t="s">
        <v>150</v>
      </c>
      <c r="I3149" t="s">
        <v>40</v>
      </c>
      <c r="J3149" t="s">
        <v>41</v>
      </c>
      <c r="K3149" t="s">
        <v>47</v>
      </c>
      <c r="L3149" t="s">
        <v>48</v>
      </c>
      <c r="M3149" t="s">
        <v>139</v>
      </c>
      <c r="N3149">
        <v>1940</v>
      </c>
      <c r="O3149" s="14">
        <v>0.175179228419438</v>
      </c>
      <c r="P3149" s="14">
        <v>0.40435861097648701</v>
      </c>
      <c r="Q3149" t="str">
        <f t="shared" si="98"/>
        <v>25-34</v>
      </c>
      <c r="R3149" t="str">
        <f t="shared" si="99"/>
        <v>[GkIwZrXy1h2]|25-34|Male|Untreated_PLHIV_Attend.T_1|CY2023Q3</v>
      </c>
    </row>
    <row r="3150" spans="4:18" x14ac:dyDescent="0.2">
      <c r="D3150" t="s">
        <v>22</v>
      </c>
      <c r="E3150" t="s">
        <v>23</v>
      </c>
      <c r="F3150" t="s">
        <v>24</v>
      </c>
      <c r="G3150" t="s">
        <v>150</v>
      </c>
      <c r="H3150" t="s">
        <v>150</v>
      </c>
      <c r="I3150" t="s">
        <v>42</v>
      </c>
      <c r="J3150" t="s">
        <v>43</v>
      </c>
      <c r="K3150" t="s">
        <v>47</v>
      </c>
      <c r="L3150" t="s">
        <v>48</v>
      </c>
      <c r="M3150" t="s">
        <v>139</v>
      </c>
      <c r="N3150">
        <v>1369</v>
      </c>
      <c r="O3150" s="14">
        <v>0.29962060973048199</v>
      </c>
      <c r="P3150" s="14">
        <v>0.40435861097648701</v>
      </c>
      <c r="Q3150" t="str">
        <f t="shared" si="98"/>
        <v>35-49</v>
      </c>
      <c r="R3150" t="str">
        <f t="shared" si="99"/>
        <v>[GkIwZrXy1h2]|35-49|Male|Untreated_PLHIV_Attend.T_1|CY2023Q3</v>
      </c>
    </row>
    <row r="3151" spans="4:18" x14ac:dyDescent="0.2">
      <c r="D3151" t="s">
        <v>22</v>
      </c>
      <c r="E3151" t="s">
        <v>23</v>
      </c>
      <c r="F3151" t="s">
        <v>24</v>
      </c>
      <c r="G3151" t="s">
        <v>150</v>
      </c>
      <c r="H3151" t="s">
        <v>150</v>
      </c>
      <c r="I3151" t="s">
        <v>44</v>
      </c>
      <c r="J3151" t="s">
        <v>45</v>
      </c>
      <c r="K3151" t="s">
        <v>47</v>
      </c>
      <c r="L3151" t="s">
        <v>48</v>
      </c>
      <c r="M3151" t="s">
        <v>139</v>
      </c>
      <c r="N3151">
        <v>1415</v>
      </c>
      <c r="O3151" s="14">
        <v>0.61996445781551301</v>
      </c>
      <c r="P3151" s="14">
        <v>0.40435861097648701</v>
      </c>
      <c r="Q3151" t="str">
        <f t="shared" si="98"/>
        <v>50+</v>
      </c>
      <c r="R3151" t="str">
        <f t="shared" si="99"/>
        <v>[GkIwZrXy1h2]|50+|Male|Untreated_PLHIV_Attend.T_1|CY2023Q3</v>
      </c>
    </row>
    <row r="3152" spans="4:18" x14ac:dyDescent="0.2">
      <c r="D3152" t="s">
        <v>52</v>
      </c>
      <c r="E3152" t="s">
        <v>53</v>
      </c>
      <c r="F3152" t="s">
        <v>54</v>
      </c>
      <c r="G3152" t="s">
        <v>150</v>
      </c>
      <c r="H3152" t="s">
        <v>150</v>
      </c>
      <c r="I3152" t="s">
        <v>27</v>
      </c>
      <c r="J3152" t="s">
        <v>28</v>
      </c>
      <c r="K3152" t="s">
        <v>29</v>
      </c>
      <c r="L3152" t="s">
        <v>30</v>
      </c>
      <c r="M3152" t="s">
        <v>139</v>
      </c>
      <c r="N3152">
        <v>590</v>
      </c>
      <c r="O3152" s="14">
        <v>0.67823015316389501</v>
      </c>
      <c r="P3152" s="14">
        <v>0.61639246996492103</v>
      </c>
      <c r="Q3152" t="str">
        <f t="shared" si="98"/>
        <v>&lt;01</v>
      </c>
      <c r="R3152" t="str">
        <f t="shared" si="99"/>
        <v>[zphK9WV8JB4]|&lt;01|Female|Untreated_PLHIV_Attend.T_1|CY2023Q3</v>
      </c>
    </row>
    <row r="3153" spans="4:18" x14ac:dyDescent="0.2">
      <c r="D3153" t="s">
        <v>52</v>
      </c>
      <c r="E3153" t="s">
        <v>53</v>
      </c>
      <c r="F3153" t="s">
        <v>54</v>
      </c>
      <c r="G3153" t="s">
        <v>150</v>
      </c>
      <c r="H3153" t="s">
        <v>150</v>
      </c>
      <c r="I3153" t="s">
        <v>32</v>
      </c>
      <c r="J3153" t="s">
        <v>33</v>
      </c>
      <c r="K3153" t="s">
        <v>29</v>
      </c>
      <c r="L3153" t="s">
        <v>30</v>
      </c>
      <c r="M3153" t="s">
        <v>139</v>
      </c>
      <c r="N3153">
        <v>1541</v>
      </c>
      <c r="O3153" s="14">
        <v>0.39107564091682401</v>
      </c>
      <c r="P3153" s="14">
        <v>0.61639246996492103</v>
      </c>
      <c r="Q3153" t="str">
        <f t="shared" si="98"/>
        <v>01-09</v>
      </c>
      <c r="R3153" t="str">
        <f t="shared" si="99"/>
        <v>[zphK9WV8JB4]|01-09|Female|Untreated_PLHIV_Attend.T_1|CY2023Q3</v>
      </c>
    </row>
    <row r="3154" spans="4:18" x14ac:dyDescent="0.2">
      <c r="D3154" t="s">
        <v>52</v>
      </c>
      <c r="E3154" t="s">
        <v>53</v>
      </c>
      <c r="F3154" t="s">
        <v>54</v>
      </c>
      <c r="G3154" t="s">
        <v>150</v>
      </c>
      <c r="H3154" t="s">
        <v>150</v>
      </c>
      <c r="I3154" t="s">
        <v>35</v>
      </c>
      <c r="J3154" t="s">
        <v>36</v>
      </c>
      <c r="K3154" t="s">
        <v>29</v>
      </c>
      <c r="L3154" t="s">
        <v>30</v>
      </c>
      <c r="M3154" t="s">
        <v>139</v>
      </c>
      <c r="N3154">
        <v>1171</v>
      </c>
      <c r="O3154" s="14">
        <v>0.44195093680173198</v>
      </c>
      <c r="P3154" s="14">
        <v>0.61639246996492103</v>
      </c>
      <c r="Q3154" t="str">
        <f t="shared" si="98"/>
        <v>10-14</v>
      </c>
      <c r="R3154" t="str">
        <f t="shared" si="99"/>
        <v>[zphK9WV8JB4]|10-14|Female|Untreated_PLHIV_Attend.T_1|CY2023Q3</v>
      </c>
    </row>
    <row r="3155" spans="4:18" x14ac:dyDescent="0.2">
      <c r="D3155" t="s">
        <v>52</v>
      </c>
      <c r="E3155" t="s">
        <v>53</v>
      </c>
      <c r="F3155" t="s">
        <v>54</v>
      </c>
      <c r="G3155" t="s">
        <v>150</v>
      </c>
      <c r="H3155" t="s">
        <v>150</v>
      </c>
      <c r="I3155" t="s">
        <v>37</v>
      </c>
      <c r="J3155" t="s">
        <v>38</v>
      </c>
      <c r="K3155" t="s">
        <v>29</v>
      </c>
      <c r="L3155" t="s">
        <v>30</v>
      </c>
      <c r="M3155" t="s">
        <v>139</v>
      </c>
      <c r="N3155">
        <v>1155</v>
      </c>
      <c r="O3155" s="14">
        <v>0.71902644471265398</v>
      </c>
      <c r="P3155" s="14">
        <v>0.61639246996492103</v>
      </c>
      <c r="Q3155" t="str">
        <f t="shared" si="98"/>
        <v>15-24</v>
      </c>
      <c r="R3155" t="str">
        <f t="shared" si="99"/>
        <v>[zphK9WV8JB4]|15-24|Female|Untreated_PLHIV_Attend.T_1|CY2023Q3</v>
      </c>
    </row>
    <row r="3156" spans="4:18" x14ac:dyDescent="0.2">
      <c r="D3156" t="s">
        <v>52</v>
      </c>
      <c r="E3156" t="s">
        <v>53</v>
      </c>
      <c r="F3156" t="s">
        <v>54</v>
      </c>
      <c r="G3156" t="s">
        <v>150</v>
      </c>
      <c r="H3156" t="s">
        <v>150</v>
      </c>
      <c r="I3156" t="s">
        <v>40</v>
      </c>
      <c r="J3156" t="s">
        <v>41</v>
      </c>
      <c r="K3156" t="s">
        <v>29</v>
      </c>
      <c r="L3156" t="s">
        <v>30</v>
      </c>
      <c r="M3156" t="s">
        <v>139</v>
      </c>
      <c r="N3156">
        <v>600</v>
      </c>
      <c r="O3156" s="14">
        <v>0.29368291818536801</v>
      </c>
      <c r="P3156" s="14">
        <v>0.61639246996492103</v>
      </c>
      <c r="Q3156" t="str">
        <f t="shared" si="98"/>
        <v>25-34</v>
      </c>
      <c r="R3156" t="str">
        <f t="shared" si="99"/>
        <v>[zphK9WV8JB4]|25-34|Female|Untreated_PLHIV_Attend.T_1|CY2023Q3</v>
      </c>
    </row>
    <row r="3157" spans="4:18" x14ac:dyDescent="0.2">
      <c r="D3157" t="s">
        <v>52</v>
      </c>
      <c r="E3157" t="s">
        <v>53</v>
      </c>
      <c r="F3157" t="s">
        <v>54</v>
      </c>
      <c r="G3157" t="s">
        <v>150</v>
      </c>
      <c r="H3157" t="s">
        <v>150</v>
      </c>
      <c r="I3157" t="s">
        <v>42</v>
      </c>
      <c r="J3157" t="s">
        <v>43</v>
      </c>
      <c r="K3157" t="s">
        <v>29</v>
      </c>
      <c r="L3157" t="s">
        <v>30</v>
      </c>
      <c r="M3157" t="s">
        <v>139</v>
      </c>
      <c r="N3157">
        <v>827</v>
      </c>
      <c r="O3157" s="14">
        <v>0.60385751654394004</v>
      </c>
      <c r="P3157" s="14">
        <v>0.61639246996492103</v>
      </c>
      <c r="Q3157" t="str">
        <f t="shared" si="98"/>
        <v>35-49</v>
      </c>
      <c r="R3157" t="str">
        <f t="shared" si="99"/>
        <v>[zphK9WV8JB4]|35-49|Female|Untreated_PLHIV_Attend.T_1|CY2023Q3</v>
      </c>
    </row>
    <row r="3158" spans="4:18" x14ac:dyDescent="0.2">
      <c r="D3158" t="s">
        <v>52</v>
      </c>
      <c r="E3158" t="s">
        <v>53</v>
      </c>
      <c r="F3158" t="s">
        <v>54</v>
      </c>
      <c r="G3158" t="s">
        <v>150</v>
      </c>
      <c r="H3158" t="s">
        <v>150</v>
      </c>
      <c r="I3158" t="s">
        <v>44</v>
      </c>
      <c r="J3158" t="s">
        <v>45</v>
      </c>
      <c r="K3158" t="s">
        <v>29</v>
      </c>
      <c r="L3158" t="s">
        <v>30</v>
      </c>
      <c r="M3158" t="s">
        <v>139</v>
      </c>
      <c r="N3158">
        <v>1130</v>
      </c>
      <c r="O3158" s="14">
        <v>0.912038325797766</v>
      </c>
      <c r="P3158" s="14">
        <v>0.61639246996492103</v>
      </c>
      <c r="Q3158" t="str">
        <f t="shared" si="98"/>
        <v>50+</v>
      </c>
      <c r="R3158" t="str">
        <f t="shared" si="99"/>
        <v>[zphK9WV8JB4]|50+|Female|Untreated_PLHIV_Attend.T_1|CY2023Q3</v>
      </c>
    </row>
    <row r="3159" spans="4:18" x14ac:dyDescent="0.2">
      <c r="D3159" t="s">
        <v>52</v>
      </c>
      <c r="E3159" t="s">
        <v>53</v>
      </c>
      <c r="F3159" t="s">
        <v>54</v>
      </c>
      <c r="G3159" t="s">
        <v>150</v>
      </c>
      <c r="H3159" t="s">
        <v>150</v>
      </c>
      <c r="I3159" t="s">
        <v>27</v>
      </c>
      <c r="J3159" t="s">
        <v>28</v>
      </c>
      <c r="K3159" t="s">
        <v>47</v>
      </c>
      <c r="L3159" t="s">
        <v>48</v>
      </c>
      <c r="M3159" t="s">
        <v>139</v>
      </c>
      <c r="N3159">
        <v>1852</v>
      </c>
      <c r="O3159" s="14">
        <v>0.48473254451528203</v>
      </c>
      <c r="P3159" s="14">
        <v>0.61639246996492103</v>
      </c>
      <c r="Q3159" t="str">
        <f t="shared" si="98"/>
        <v>&lt;01</v>
      </c>
      <c r="R3159" t="str">
        <f t="shared" si="99"/>
        <v>[zphK9WV8JB4]|&lt;01|Male|Untreated_PLHIV_Attend.T_1|CY2023Q3</v>
      </c>
    </row>
    <row r="3160" spans="4:18" x14ac:dyDescent="0.2">
      <c r="D3160" t="s">
        <v>52</v>
      </c>
      <c r="E3160" t="s">
        <v>53</v>
      </c>
      <c r="F3160" t="s">
        <v>54</v>
      </c>
      <c r="G3160" t="s">
        <v>150</v>
      </c>
      <c r="H3160" t="s">
        <v>150</v>
      </c>
      <c r="I3160" t="s">
        <v>32</v>
      </c>
      <c r="J3160" t="s">
        <v>33</v>
      </c>
      <c r="K3160" t="s">
        <v>47</v>
      </c>
      <c r="L3160" t="s">
        <v>48</v>
      </c>
      <c r="M3160" t="s">
        <v>139</v>
      </c>
      <c r="N3160">
        <v>513</v>
      </c>
      <c r="O3160" s="14">
        <v>0.38338462589308597</v>
      </c>
      <c r="P3160" s="14">
        <v>0.61639246996492103</v>
      </c>
      <c r="Q3160" t="str">
        <f t="shared" si="98"/>
        <v>01-09</v>
      </c>
      <c r="R3160" t="str">
        <f t="shared" si="99"/>
        <v>[zphK9WV8JB4]|01-09|Male|Untreated_PLHIV_Attend.T_1|CY2023Q3</v>
      </c>
    </row>
    <row r="3161" spans="4:18" x14ac:dyDescent="0.2">
      <c r="D3161" t="s">
        <v>52</v>
      </c>
      <c r="E3161" t="s">
        <v>53</v>
      </c>
      <c r="F3161" t="s">
        <v>54</v>
      </c>
      <c r="G3161" t="s">
        <v>150</v>
      </c>
      <c r="H3161" t="s">
        <v>150</v>
      </c>
      <c r="I3161" t="s">
        <v>35</v>
      </c>
      <c r="J3161" t="s">
        <v>36</v>
      </c>
      <c r="K3161" t="s">
        <v>47</v>
      </c>
      <c r="L3161" t="s">
        <v>48</v>
      </c>
      <c r="M3161" t="s">
        <v>139</v>
      </c>
      <c r="N3161">
        <v>666</v>
      </c>
      <c r="O3161" s="14">
        <v>0.25371532561257498</v>
      </c>
      <c r="P3161" s="14">
        <v>0.61639246996492103</v>
      </c>
      <c r="Q3161" t="str">
        <f t="shared" si="98"/>
        <v>10-14</v>
      </c>
      <c r="R3161" t="str">
        <f t="shared" si="99"/>
        <v>[zphK9WV8JB4]|10-14|Male|Untreated_PLHIV_Attend.T_1|CY2023Q3</v>
      </c>
    </row>
    <row r="3162" spans="4:18" x14ac:dyDescent="0.2">
      <c r="D3162" t="s">
        <v>52</v>
      </c>
      <c r="E3162" t="s">
        <v>53</v>
      </c>
      <c r="F3162" t="s">
        <v>54</v>
      </c>
      <c r="G3162" t="s">
        <v>150</v>
      </c>
      <c r="H3162" t="s">
        <v>150</v>
      </c>
      <c r="I3162" t="s">
        <v>37</v>
      </c>
      <c r="J3162" t="s">
        <v>38</v>
      </c>
      <c r="K3162" t="s">
        <v>47</v>
      </c>
      <c r="L3162" t="s">
        <v>48</v>
      </c>
      <c r="M3162" t="s">
        <v>139</v>
      </c>
      <c r="N3162">
        <v>2000</v>
      </c>
      <c r="O3162" s="14">
        <v>0.83875509141944304</v>
      </c>
      <c r="P3162" s="14">
        <v>0.61639246996492103</v>
      </c>
      <c r="Q3162" t="str">
        <f t="shared" si="98"/>
        <v>15-24</v>
      </c>
      <c r="R3162" t="str">
        <f t="shared" si="99"/>
        <v>[zphK9WV8JB4]|15-24|Male|Untreated_PLHIV_Attend.T_1|CY2023Q3</v>
      </c>
    </row>
    <row r="3163" spans="4:18" x14ac:dyDescent="0.2">
      <c r="D3163" t="s">
        <v>52</v>
      </c>
      <c r="E3163" t="s">
        <v>53</v>
      </c>
      <c r="F3163" t="s">
        <v>54</v>
      </c>
      <c r="G3163" t="s">
        <v>150</v>
      </c>
      <c r="H3163" t="s">
        <v>150</v>
      </c>
      <c r="I3163" t="s">
        <v>40</v>
      </c>
      <c r="J3163" t="s">
        <v>41</v>
      </c>
      <c r="K3163" t="s">
        <v>47</v>
      </c>
      <c r="L3163" t="s">
        <v>48</v>
      </c>
      <c r="M3163" t="s">
        <v>139</v>
      </c>
      <c r="N3163">
        <v>1373</v>
      </c>
      <c r="O3163" s="14">
        <v>0.28632906312122902</v>
      </c>
      <c r="P3163" s="14">
        <v>0.61639246996492103</v>
      </c>
      <c r="Q3163" t="str">
        <f t="shared" si="98"/>
        <v>25-34</v>
      </c>
      <c r="R3163" t="str">
        <f t="shared" si="99"/>
        <v>[zphK9WV8JB4]|25-34|Male|Untreated_PLHIV_Attend.T_1|CY2023Q3</v>
      </c>
    </row>
    <row r="3164" spans="4:18" x14ac:dyDescent="0.2">
      <c r="D3164" t="s">
        <v>52</v>
      </c>
      <c r="E3164" t="s">
        <v>53</v>
      </c>
      <c r="F3164" t="s">
        <v>54</v>
      </c>
      <c r="G3164" t="s">
        <v>150</v>
      </c>
      <c r="H3164" t="s">
        <v>150</v>
      </c>
      <c r="I3164" t="s">
        <v>42</v>
      </c>
      <c r="J3164" t="s">
        <v>43</v>
      </c>
      <c r="K3164" t="s">
        <v>47</v>
      </c>
      <c r="L3164" t="s">
        <v>48</v>
      </c>
      <c r="M3164" t="s">
        <v>139</v>
      </c>
      <c r="N3164">
        <v>867</v>
      </c>
      <c r="O3164" s="14">
        <v>0.80522866640239998</v>
      </c>
      <c r="P3164" s="14">
        <v>0.61639246996492103</v>
      </c>
      <c r="Q3164" t="str">
        <f t="shared" si="98"/>
        <v>35-49</v>
      </c>
      <c r="R3164" t="str">
        <f t="shared" si="99"/>
        <v>[zphK9WV8JB4]|35-49|Male|Untreated_PLHIV_Attend.T_1|CY2023Q3</v>
      </c>
    </row>
    <row r="3165" spans="4:18" x14ac:dyDescent="0.2">
      <c r="D3165" t="s">
        <v>52</v>
      </c>
      <c r="E3165" t="s">
        <v>53</v>
      </c>
      <c r="F3165" t="s">
        <v>54</v>
      </c>
      <c r="G3165" t="s">
        <v>150</v>
      </c>
      <c r="H3165" t="s">
        <v>150</v>
      </c>
      <c r="I3165" t="s">
        <v>44</v>
      </c>
      <c r="J3165" t="s">
        <v>45</v>
      </c>
      <c r="K3165" t="s">
        <v>47</v>
      </c>
      <c r="L3165" t="s">
        <v>48</v>
      </c>
      <c r="M3165" t="s">
        <v>139</v>
      </c>
      <c r="N3165">
        <v>725</v>
      </c>
      <c r="O3165" s="14">
        <v>0.418491562595591</v>
      </c>
      <c r="P3165" s="14">
        <v>0.61639246996492103</v>
      </c>
      <c r="Q3165" t="str">
        <f t="shared" si="98"/>
        <v>50+</v>
      </c>
      <c r="R3165" t="str">
        <f t="shared" si="99"/>
        <v>[zphK9WV8JB4]|50+|Male|Untreated_PLHIV_Attend.T_1|CY2023Q3</v>
      </c>
    </row>
    <row r="3166" spans="4:18" x14ac:dyDescent="0.2">
      <c r="D3166" t="s">
        <v>59</v>
      </c>
      <c r="E3166" t="s">
        <v>60</v>
      </c>
      <c r="F3166" t="s">
        <v>61</v>
      </c>
      <c r="G3166" t="s">
        <v>150</v>
      </c>
      <c r="H3166" t="s">
        <v>150</v>
      </c>
      <c r="I3166" t="s">
        <v>27</v>
      </c>
      <c r="J3166" t="s">
        <v>28</v>
      </c>
      <c r="K3166" t="s">
        <v>29</v>
      </c>
      <c r="L3166" t="s">
        <v>30</v>
      </c>
      <c r="M3166" t="s">
        <v>139</v>
      </c>
      <c r="N3166">
        <v>1767</v>
      </c>
      <c r="O3166" s="14">
        <v>0.75758165726438198</v>
      </c>
      <c r="P3166" s="14">
        <v>2.6825056178495298E-2</v>
      </c>
      <c r="Q3166" t="str">
        <f t="shared" si="98"/>
        <v>&lt;01</v>
      </c>
      <c r="R3166" t="str">
        <f t="shared" si="99"/>
        <v>[msW2zpIN7up]|&lt;01|Female|Untreated_PLHIV_Attend.T_1|CY2023Q3</v>
      </c>
    </row>
    <row r="3167" spans="4:18" x14ac:dyDescent="0.2">
      <c r="D3167" t="s">
        <v>59</v>
      </c>
      <c r="E3167" t="s">
        <v>60</v>
      </c>
      <c r="F3167" t="s">
        <v>61</v>
      </c>
      <c r="G3167" t="s">
        <v>150</v>
      </c>
      <c r="H3167" t="s">
        <v>150</v>
      </c>
      <c r="I3167" t="s">
        <v>32</v>
      </c>
      <c r="J3167" t="s">
        <v>33</v>
      </c>
      <c r="K3167" t="s">
        <v>29</v>
      </c>
      <c r="L3167" t="s">
        <v>30</v>
      </c>
      <c r="M3167" t="s">
        <v>139</v>
      </c>
      <c r="N3167">
        <v>749</v>
      </c>
      <c r="O3167" s="14">
        <v>0.67162805399857495</v>
      </c>
      <c r="P3167" s="14">
        <v>2.6825056178495298E-2</v>
      </c>
      <c r="Q3167" t="str">
        <f t="shared" si="98"/>
        <v>01-09</v>
      </c>
      <c r="R3167" t="str">
        <f t="shared" si="99"/>
        <v>[msW2zpIN7up]|01-09|Female|Untreated_PLHIV_Attend.T_1|CY2023Q3</v>
      </c>
    </row>
    <row r="3168" spans="4:18" x14ac:dyDescent="0.2">
      <c r="D3168" t="s">
        <v>59</v>
      </c>
      <c r="E3168" t="s">
        <v>60</v>
      </c>
      <c r="F3168" t="s">
        <v>61</v>
      </c>
      <c r="G3168" t="s">
        <v>150</v>
      </c>
      <c r="H3168" t="s">
        <v>150</v>
      </c>
      <c r="I3168" t="s">
        <v>35</v>
      </c>
      <c r="J3168" t="s">
        <v>36</v>
      </c>
      <c r="K3168" t="s">
        <v>29</v>
      </c>
      <c r="L3168" t="s">
        <v>30</v>
      </c>
      <c r="M3168" t="s">
        <v>139</v>
      </c>
      <c r="N3168">
        <v>1137</v>
      </c>
      <c r="O3168" s="14">
        <v>0.212927204323933</v>
      </c>
      <c r="P3168" s="14">
        <v>2.6825056178495298E-2</v>
      </c>
      <c r="Q3168" t="str">
        <f t="shared" si="98"/>
        <v>10-14</v>
      </c>
      <c r="R3168" t="str">
        <f t="shared" si="99"/>
        <v>[msW2zpIN7up]|10-14|Female|Untreated_PLHIV_Attend.T_1|CY2023Q3</v>
      </c>
    </row>
    <row r="3169" spans="4:18" x14ac:dyDescent="0.2">
      <c r="D3169" t="s">
        <v>59</v>
      </c>
      <c r="E3169" t="s">
        <v>60</v>
      </c>
      <c r="F3169" t="s">
        <v>61</v>
      </c>
      <c r="G3169" t="s">
        <v>150</v>
      </c>
      <c r="H3169" t="s">
        <v>150</v>
      </c>
      <c r="I3169" t="s">
        <v>37</v>
      </c>
      <c r="J3169" t="s">
        <v>38</v>
      </c>
      <c r="K3169" t="s">
        <v>29</v>
      </c>
      <c r="L3169" t="s">
        <v>30</v>
      </c>
      <c r="M3169" t="s">
        <v>139</v>
      </c>
      <c r="N3169">
        <v>1264</v>
      </c>
      <c r="O3169" s="14">
        <v>0.34650103282183398</v>
      </c>
      <c r="P3169" s="14">
        <v>2.6825056178495298E-2</v>
      </c>
      <c r="Q3169" t="str">
        <f t="shared" si="98"/>
        <v>15-24</v>
      </c>
      <c r="R3169" t="str">
        <f t="shared" si="99"/>
        <v>[msW2zpIN7up]|15-24|Female|Untreated_PLHIV_Attend.T_1|CY2023Q3</v>
      </c>
    </row>
    <row r="3170" spans="4:18" x14ac:dyDescent="0.2">
      <c r="D3170" t="s">
        <v>59</v>
      </c>
      <c r="E3170" t="s">
        <v>60</v>
      </c>
      <c r="F3170" t="s">
        <v>61</v>
      </c>
      <c r="G3170" t="s">
        <v>150</v>
      </c>
      <c r="H3170" t="s">
        <v>150</v>
      </c>
      <c r="I3170" t="s">
        <v>40</v>
      </c>
      <c r="J3170" t="s">
        <v>41</v>
      </c>
      <c r="K3170" t="s">
        <v>29</v>
      </c>
      <c r="L3170" t="s">
        <v>30</v>
      </c>
      <c r="M3170" t="s">
        <v>139</v>
      </c>
      <c r="N3170">
        <v>1335</v>
      </c>
      <c r="O3170" s="14">
        <v>0.92369407764636002</v>
      </c>
      <c r="P3170" s="14">
        <v>2.6825056178495298E-2</v>
      </c>
      <c r="Q3170" t="str">
        <f t="shared" si="98"/>
        <v>25-34</v>
      </c>
      <c r="R3170" t="str">
        <f t="shared" si="99"/>
        <v>[msW2zpIN7up]|25-34|Female|Untreated_PLHIV_Attend.T_1|CY2023Q3</v>
      </c>
    </row>
    <row r="3171" spans="4:18" x14ac:dyDescent="0.2">
      <c r="D3171" t="s">
        <v>59</v>
      </c>
      <c r="E3171" t="s">
        <v>60</v>
      </c>
      <c r="F3171" t="s">
        <v>61</v>
      </c>
      <c r="G3171" t="s">
        <v>150</v>
      </c>
      <c r="H3171" t="s">
        <v>150</v>
      </c>
      <c r="I3171" t="s">
        <v>42</v>
      </c>
      <c r="J3171" t="s">
        <v>43</v>
      </c>
      <c r="K3171" t="s">
        <v>29</v>
      </c>
      <c r="L3171" t="s">
        <v>30</v>
      </c>
      <c r="M3171" t="s">
        <v>139</v>
      </c>
      <c r="N3171">
        <v>1559</v>
      </c>
      <c r="O3171" s="14">
        <v>0.77488842839375105</v>
      </c>
      <c r="P3171" s="14">
        <v>2.6825056178495298E-2</v>
      </c>
      <c r="Q3171" t="str">
        <f t="shared" si="98"/>
        <v>35-49</v>
      </c>
      <c r="R3171" t="str">
        <f t="shared" si="99"/>
        <v>[msW2zpIN7up]|35-49|Female|Untreated_PLHIV_Attend.T_1|CY2023Q3</v>
      </c>
    </row>
    <row r="3172" spans="4:18" x14ac:dyDescent="0.2">
      <c r="D3172" t="s">
        <v>59</v>
      </c>
      <c r="E3172" t="s">
        <v>60</v>
      </c>
      <c r="F3172" t="s">
        <v>61</v>
      </c>
      <c r="G3172" t="s">
        <v>150</v>
      </c>
      <c r="H3172" t="s">
        <v>150</v>
      </c>
      <c r="I3172" t="s">
        <v>44</v>
      </c>
      <c r="J3172" t="s">
        <v>45</v>
      </c>
      <c r="K3172" t="s">
        <v>29</v>
      </c>
      <c r="L3172" t="s">
        <v>30</v>
      </c>
      <c r="M3172" t="s">
        <v>139</v>
      </c>
      <c r="N3172">
        <v>533</v>
      </c>
      <c r="O3172" s="14">
        <v>0.43777049193158701</v>
      </c>
      <c r="P3172" s="14">
        <v>2.6825056178495298E-2</v>
      </c>
      <c r="Q3172" t="str">
        <f t="shared" si="98"/>
        <v>50+</v>
      </c>
      <c r="R3172" t="str">
        <f t="shared" si="99"/>
        <v>[msW2zpIN7up]|50+|Female|Untreated_PLHIV_Attend.T_1|CY2023Q3</v>
      </c>
    </row>
    <row r="3173" spans="4:18" x14ac:dyDescent="0.2">
      <c r="D3173" t="s">
        <v>59</v>
      </c>
      <c r="E3173" t="s">
        <v>60</v>
      </c>
      <c r="F3173" t="s">
        <v>61</v>
      </c>
      <c r="G3173" t="s">
        <v>150</v>
      </c>
      <c r="H3173" t="s">
        <v>150</v>
      </c>
      <c r="I3173" t="s">
        <v>27</v>
      </c>
      <c r="J3173" t="s">
        <v>28</v>
      </c>
      <c r="K3173" t="s">
        <v>47</v>
      </c>
      <c r="L3173" t="s">
        <v>48</v>
      </c>
      <c r="M3173" t="s">
        <v>139</v>
      </c>
      <c r="N3173">
        <v>1238</v>
      </c>
      <c r="O3173" s="14">
        <v>2.00417195446789E-3</v>
      </c>
      <c r="P3173" s="14">
        <v>2.6825056178495298E-2</v>
      </c>
      <c r="Q3173" t="str">
        <f t="shared" si="98"/>
        <v>&lt;01</v>
      </c>
      <c r="R3173" t="str">
        <f t="shared" si="99"/>
        <v>[msW2zpIN7up]|&lt;01|Male|Untreated_PLHIV_Attend.T_1|CY2023Q3</v>
      </c>
    </row>
    <row r="3174" spans="4:18" x14ac:dyDescent="0.2">
      <c r="D3174" t="s">
        <v>59</v>
      </c>
      <c r="E3174" t="s">
        <v>60</v>
      </c>
      <c r="F3174" t="s">
        <v>61</v>
      </c>
      <c r="G3174" t="s">
        <v>150</v>
      </c>
      <c r="H3174" t="s">
        <v>150</v>
      </c>
      <c r="I3174" t="s">
        <v>32</v>
      </c>
      <c r="J3174" t="s">
        <v>33</v>
      </c>
      <c r="K3174" t="s">
        <v>47</v>
      </c>
      <c r="L3174" t="s">
        <v>48</v>
      </c>
      <c r="M3174" t="s">
        <v>139</v>
      </c>
      <c r="N3174">
        <v>1532</v>
      </c>
      <c r="O3174" s="14">
        <v>0.17029623943381</v>
      </c>
      <c r="P3174" s="14">
        <v>2.6825056178495298E-2</v>
      </c>
      <c r="Q3174" t="str">
        <f t="shared" si="98"/>
        <v>01-09</v>
      </c>
      <c r="R3174" t="str">
        <f t="shared" si="99"/>
        <v>[msW2zpIN7up]|01-09|Male|Untreated_PLHIV_Attend.T_1|CY2023Q3</v>
      </c>
    </row>
    <row r="3175" spans="4:18" x14ac:dyDescent="0.2">
      <c r="D3175" t="s">
        <v>59</v>
      </c>
      <c r="E3175" t="s">
        <v>60</v>
      </c>
      <c r="F3175" t="s">
        <v>61</v>
      </c>
      <c r="G3175" t="s">
        <v>150</v>
      </c>
      <c r="H3175" t="s">
        <v>150</v>
      </c>
      <c r="I3175" t="s">
        <v>35</v>
      </c>
      <c r="J3175" t="s">
        <v>36</v>
      </c>
      <c r="K3175" t="s">
        <v>47</v>
      </c>
      <c r="L3175" t="s">
        <v>48</v>
      </c>
      <c r="M3175" t="s">
        <v>139</v>
      </c>
      <c r="N3175">
        <v>1305</v>
      </c>
      <c r="O3175" s="14">
        <v>0.27278449852019498</v>
      </c>
      <c r="P3175" s="14">
        <v>2.6825056178495298E-2</v>
      </c>
      <c r="Q3175" t="str">
        <f t="shared" si="98"/>
        <v>10-14</v>
      </c>
      <c r="R3175" t="str">
        <f t="shared" si="99"/>
        <v>[msW2zpIN7up]|10-14|Male|Untreated_PLHIV_Attend.T_1|CY2023Q3</v>
      </c>
    </row>
    <row r="3176" spans="4:18" x14ac:dyDescent="0.2">
      <c r="D3176" t="s">
        <v>59</v>
      </c>
      <c r="E3176" t="s">
        <v>60</v>
      </c>
      <c r="F3176" t="s">
        <v>61</v>
      </c>
      <c r="G3176" t="s">
        <v>150</v>
      </c>
      <c r="H3176" t="s">
        <v>150</v>
      </c>
      <c r="I3176" t="s">
        <v>37</v>
      </c>
      <c r="J3176" t="s">
        <v>38</v>
      </c>
      <c r="K3176" t="s">
        <v>47</v>
      </c>
      <c r="L3176" t="s">
        <v>48</v>
      </c>
      <c r="M3176" t="s">
        <v>139</v>
      </c>
      <c r="N3176">
        <v>549</v>
      </c>
      <c r="O3176" s="14">
        <v>0.92795475898310498</v>
      </c>
      <c r="P3176" s="14">
        <v>2.6825056178495298E-2</v>
      </c>
      <c r="Q3176" t="str">
        <f t="shared" si="98"/>
        <v>15-24</v>
      </c>
      <c r="R3176" t="str">
        <f t="shared" si="99"/>
        <v>[msW2zpIN7up]|15-24|Male|Untreated_PLHIV_Attend.T_1|CY2023Q3</v>
      </c>
    </row>
    <row r="3177" spans="4:18" x14ac:dyDescent="0.2">
      <c r="D3177" t="s">
        <v>59</v>
      </c>
      <c r="E3177" t="s">
        <v>60</v>
      </c>
      <c r="F3177" t="s">
        <v>61</v>
      </c>
      <c r="G3177" t="s">
        <v>150</v>
      </c>
      <c r="H3177" t="s">
        <v>150</v>
      </c>
      <c r="I3177" t="s">
        <v>40</v>
      </c>
      <c r="J3177" t="s">
        <v>41</v>
      </c>
      <c r="K3177" t="s">
        <v>47</v>
      </c>
      <c r="L3177" t="s">
        <v>48</v>
      </c>
      <c r="M3177" t="s">
        <v>139</v>
      </c>
      <c r="N3177">
        <v>687</v>
      </c>
      <c r="O3177" s="14">
        <v>0.35067974519915901</v>
      </c>
      <c r="P3177" s="14">
        <v>2.6825056178495298E-2</v>
      </c>
      <c r="Q3177" t="str">
        <f t="shared" si="98"/>
        <v>25-34</v>
      </c>
      <c r="R3177" t="str">
        <f t="shared" si="99"/>
        <v>[msW2zpIN7up]|25-34|Male|Untreated_PLHIV_Attend.T_1|CY2023Q3</v>
      </c>
    </row>
    <row r="3178" spans="4:18" x14ac:dyDescent="0.2">
      <c r="D3178" t="s">
        <v>59</v>
      </c>
      <c r="E3178" t="s">
        <v>60</v>
      </c>
      <c r="F3178" t="s">
        <v>61</v>
      </c>
      <c r="G3178" t="s">
        <v>150</v>
      </c>
      <c r="H3178" t="s">
        <v>150</v>
      </c>
      <c r="I3178" t="s">
        <v>42</v>
      </c>
      <c r="J3178" t="s">
        <v>43</v>
      </c>
      <c r="K3178" t="s">
        <v>47</v>
      </c>
      <c r="L3178" t="s">
        <v>48</v>
      </c>
      <c r="M3178" t="s">
        <v>139</v>
      </c>
      <c r="N3178">
        <v>1889</v>
      </c>
      <c r="O3178" s="14">
        <v>0.79053675546310798</v>
      </c>
      <c r="P3178" s="14">
        <v>2.6825056178495298E-2</v>
      </c>
      <c r="Q3178" t="str">
        <f t="shared" si="98"/>
        <v>35-49</v>
      </c>
      <c r="R3178" t="str">
        <f t="shared" si="99"/>
        <v>[msW2zpIN7up]|35-49|Male|Untreated_PLHIV_Attend.T_1|CY2023Q3</v>
      </c>
    </row>
    <row r="3179" spans="4:18" x14ac:dyDescent="0.2">
      <c r="D3179" t="s">
        <v>59</v>
      </c>
      <c r="E3179" t="s">
        <v>60</v>
      </c>
      <c r="F3179" t="s">
        <v>61</v>
      </c>
      <c r="G3179" t="s">
        <v>150</v>
      </c>
      <c r="H3179" t="s">
        <v>150</v>
      </c>
      <c r="I3179" t="s">
        <v>44</v>
      </c>
      <c r="J3179" t="s">
        <v>45</v>
      </c>
      <c r="K3179" t="s">
        <v>47</v>
      </c>
      <c r="L3179" t="s">
        <v>48</v>
      </c>
      <c r="M3179" t="s">
        <v>139</v>
      </c>
      <c r="N3179">
        <v>657</v>
      </c>
      <c r="O3179" s="14">
        <v>0.50611543143168103</v>
      </c>
      <c r="P3179" s="14">
        <v>2.6825056178495298E-2</v>
      </c>
      <c r="Q3179" t="str">
        <f t="shared" si="98"/>
        <v>50+</v>
      </c>
      <c r="R3179" t="str">
        <f t="shared" si="99"/>
        <v>[msW2zpIN7up]|50+|Male|Untreated_PLHIV_Attend.T_1|CY2023Q3</v>
      </c>
    </row>
    <row r="3180" spans="4:18" x14ac:dyDescent="0.2">
      <c r="D3180" t="s">
        <v>62</v>
      </c>
      <c r="E3180" t="s">
        <v>63</v>
      </c>
      <c r="F3180" t="s">
        <v>64</v>
      </c>
      <c r="G3180" t="s">
        <v>150</v>
      </c>
      <c r="H3180" t="s">
        <v>150</v>
      </c>
      <c r="I3180" t="s">
        <v>27</v>
      </c>
      <c r="J3180" t="s">
        <v>28</v>
      </c>
      <c r="K3180" t="s">
        <v>29</v>
      </c>
      <c r="L3180" t="s">
        <v>30</v>
      </c>
      <c r="M3180" t="s">
        <v>139</v>
      </c>
      <c r="N3180">
        <v>1568</v>
      </c>
      <c r="O3180" s="14">
        <v>0.77183302817866195</v>
      </c>
      <c r="P3180" s="14">
        <v>0.790102193132043</v>
      </c>
      <c r="Q3180" t="str">
        <f t="shared" si="98"/>
        <v>&lt;01</v>
      </c>
      <c r="R3180" t="str">
        <f t="shared" si="99"/>
        <v>[kxuuIFpOXyO]|&lt;01|Female|Untreated_PLHIV_Attend.T_1|CY2023Q3</v>
      </c>
    </row>
    <row r="3181" spans="4:18" x14ac:dyDescent="0.2">
      <c r="D3181" t="s">
        <v>62</v>
      </c>
      <c r="E3181" t="s">
        <v>63</v>
      </c>
      <c r="F3181" t="s">
        <v>64</v>
      </c>
      <c r="G3181" t="s">
        <v>150</v>
      </c>
      <c r="H3181" t="s">
        <v>150</v>
      </c>
      <c r="I3181" t="s">
        <v>32</v>
      </c>
      <c r="J3181" t="s">
        <v>33</v>
      </c>
      <c r="K3181" t="s">
        <v>29</v>
      </c>
      <c r="L3181" t="s">
        <v>30</v>
      </c>
      <c r="M3181" t="s">
        <v>139</v>
      </c>
      <c r="N3181">
        <v>1671</v>
      </c>
      <c r="O3181" s="14">
        <v>0.60916858469136104</v>
      </c>
      <c r="P3181" s="14">
        <v>0.790102193132043</v>
      </c>
      <c r="Q3181" t="str">
        <f t="shared" si="98"/>
        <v>01-09</v>
      </c>
      <c r="R3181" t="str">
        <f t="shared" si="99"/>
        <v>[kxuuIFpOXyO]|01-09|Female|Untreated_PLHIV_Attend.T_1|CY2023Q3</v>
      </c>
    </row>
    <row r="3182" spans="4:18" x14ac:dyDescent="0.2">
      <c r="D3182" t="s">
        <v>62</v>
      </c>
      <c r="E3182" t="s">
        <v>63</v>
      </c>
      <c r="F3182" t="s">
        <v>64</v>
      </c>
      <c r="G3182" t="s">
        <v>150</v>
      </c>
      <c r="H3182" t="s">
        <v>150</v>
      </c>
      <c r="I3182" t="s">
        <v>35</v>
      </c>
      <c r="J3182" t="s">
        <v>36</v>
      </c>
      <c r="K3182" t="s">
        <v>29</v>
      </c>
      <c r="L3182" t="s">
        <v>30</v>
      </c>
      <c r="M3182" t="s">
        <v>139</v>
      </c>
      <c r="N3182">
        <v>657</v>
      </c>
      <c r="O3182" s="14">
        <v>0.45248812413774397</v>
      </c>
      <c r="P3182" s="14">
        <v>0.790102193132043</v>
      </c>
      <c r="Q3182" t="str">
        <f t="shared" si="98"/>
        <v>10-14</v>
      </c>
      <c r="R3182" t="str">
        <f t="shared" si="99"/>
        <v>[kxuuIFpOXyO]|10-14|Female|Untreated_PLHIV_Attend.T_1|CY2023Q3</v>
      </c>
    </row>
    <row r="3183" spans="4:18" x14ac:dyDescent="0.2">
      <c r="D3183" t="s">
        <v>62</v>
      </c>
      <c r="E3183" t="s">
        <v>63</v>
      </c>
      <c r="F3183" t="s">
        <v>64</v>
      </c>
      <c r="G3183" t="s">
        <v>150</v>
      </c>
      <c r="H3183" t="s">
        <v>150</v>
      </c>
      <c r="I3183" t="s">
        <v>37</v>
      </c>
      <c r="J3183" t="s">
        <v>38</v>
      </c>
      <c r="K3183" t="s">
        <v>29</v>
      </c>
      <c r="L3183" t="s">
        <v>30</v>
      </c>
      <c r="M3183" t="s">
        <v>139</v>
      </c>
      <c r="N3183">
        <v>1734</v>
      </c>
      <c r="O3183" s="14">
        <v>0.121631701476872</v>
      </c>
      <c r="P3183" s="14">
        <v>0.790102193132043</v>
      </c>
      <c r="Q3183" t="str">
        <f t="shared" si="98"/>
        <v>15-24</v>
      </c>
      <c r="R3183" t="str">
        <f t="shared" si="99"/>
        <v>[kxuuIFpOXyO]|15-24|Female|Untreated_PLHIV_Attend.T_1|CY2023Q3</v>
      </c>
    </row>
    <row r="3184" spans="4:18" x14ac:dyDescent="0.2">
      <c r="D3184" t="s">
        <v>62</v>
      </c>
      <c r="E3184" t="s">
        <v>63</v>
      </c>
      <c r="F3184" t="s">
        <v>64</v>
      </c>
      <c r="G3184" t="s">
        <v>150</v>
      </c>
      <c r="H3184" t="s">
        <v>150</v>
      </c>
      <c r="I3184" t="s">
        <v>40</v>
      </c>
      <c r="J3184" t="s">
        <v>41</v>
      </c>
      <c r="K3184" t="s">
        <v>29</v>
      </c>
      <c r="L3184" t="s">
        <v>30</v>
      </c>
      <c r="M3184" t="s">
        <v>139</v>
      </c>
      <c r="N3184">
        <v>1315</v>
      </c>
      <c r="O3184" s="14">
        <v>0.24726746533997401</v>
      </c>
      <c r="P3184" s="14">
        <v>0.790102193132043</v>
      </c>
      <c r="Q3184" t="str">
        <f t="shared" si="98"/>
        <v>25-34</v>
      </c>
      <c r="R3184" t="str">
        <f t="shared" si="99"/>
        <v>[kxuuIFpOXyO]|25-34|Female|Untreated_PLHIV_Attend.T_1|CY2023Q3</v>
      </c>
    </row>
    <row r="3185" spans="4:18" x14ac:dyDescent="0.2">
      <c r="D3185" t="s">
        <v>62</v>
      </c>
      <c r="E3185" t="s">
        <v>63</v>
      </c>
      <c r="F3185" t="s">
        <v>64</v>
      </c>
      <c r="G3185" t="s">
        <v>150</v>
      </c>
      <c r="H3185" t="s">
        <v>150</v>
      </c>
      <c r="I3185" t="s">
        <v>42</v>
      </c>
      <c r="J3185" t="s">
        <v>43</v>
      </c>
      <c r="K3185" t="s">
        <v>29</v>
      </c>
      <c r="L3185" t="s">
        <v>30</v>
      </c>
      <c r="M3185" t="s">
        <v>139</v>
      </c>
      <c r="N3185">
        <v>1094</v>
      </c>
      <c r="O3185" s="14">
        <v>0.80564051214605603</v>
      </c>
      <c r="P3185" s="14">
        <v>0.790102193132043</v>
      </c>
      <c r="Q3185" t="str">
        <f t="shared" si="98"/>
        <v>35-49</v>
      </c>
      <c r="R3185" t="str">
        <f t="shared" si="99"/>
        <v>[kxuuIFpOXyO]|35-49|Female|Untreated_PLHIV_Attend.T_1|CY2023Q3</v>
      </c>
    </row>
    <row r="3186" spans="4:18" x14ac:dyDescent="0.2">
      <c r="D3186" t="s">
        <v>62</v>
      </c>
      <c r="E3186" t="s">
        <v>63</v>
      </c>
      <c r="F3186" t="s">
        <v>64</v>
      </c>
      <c r="G3186" t="s">
        <v>150</v>
      </c>
      <c r="H3186" t="s">
        <v>150</v>
      </c>
      <c r="I3186" t="s">
        <v>44</v>
      </c>
      <c r="J3186" t="s">
        <v>45</v>
      </c>
      <c r="K3186" t="s">
        <v>29</v>
      </c>
      <c r="L3186" t="s">
        <v>30</v>
      </c>
      <c r="M3186" t="s">
        <v>139</v>
      </c>
      <c r="N3186">
        <v>1985</v>
      </c>
      <c r="O3186" s="14">
        <v>0.81741072516888402</v>
      </c>
      <c r="P3186" s="14">
        <v>0.790102193132043</v>
      </c>
      <c r="Q3186" t="str">
        <f t="shared" si="98"/>
        <v>50+</v>
      </c>
      <c r="R3186" t="str">
        <f t="shared" si="99"/>
        <v>[kxuuIFpOXyO]|50+|Female|Untreated_PLHIV_Attend.T_1|CY2023Q3</v>
      </c>
    </row>
    <row r="3187" spans="4:18" x14ac:dyDescent="0.2">
      <c r="D3187" t="s">
        <v>62</v>
      </c>
      <c r="E3187" t="s">
        <v>63</v>
      </c>
      <c r="F3187" t="s">
        <v>64</v>
      </c>
      <c r="G3187" t="s">
        <v>150</v>
      </c>
      <c r="H3187" t="s">
        <v>150</v>
      </c>
      <c r="I3187" t="s">
        <v>27</v>
      </c>
      <c r="J3187" t="s">
        <v>28</v>
      </c>
      <c r="K3187" t="s">
        <v>47</v>
      </c>
      <c r="L3187" t="s">
        <v>48</v>
      </c>
      <c r="M3187" t="s">
        <v>139</v>
      </c>
      <c r="N3187">
        <v>1831</v>
      </c>
      <c r="O3187" s="14">
        <v>0.81109346169978402</v>
      </c>
      <c r="P3187" s="14">
        <v>0.790102193132043</v>
      </c>
      <c r="Q3187" t="str">
        <f t="shared" si="98"/>
        <v>&lt;01</v>
      </c>
      <c r="R3187" t="str">
        <f t="shared" si="99"/>
        <v>[kxuuIFpOXyO]|&lt;01|Male|Untreated_PLHIV_Attend.T_1|CY2023Q3</v>
      </c>
    </row>
    <row r="3188" spans="4:18" x14ac:dyDescent="0.2">
      <c r="D3188" t="s">
        <v>62</v>
      </c>
      <c r="E3188" t="s">
        <v>63</v>
      </c>
      <c r="F3188" t="s">
        <v>64</v>
      </c>
      <c r="G3188" t="s">
        <v>150</v>
      </c>
      <c r="H3188" t="s">
        <v>150</v>
      </c>
      <c r="I3188" t="s">
        <v>32</v>
      </c>
      <c r="J3188" t="s">
        <v>33</v>
      </c>
      <c r="K3188" t="s">
        <v>47</v>
      </c>
      <c r="L3188" t="s">
        <v>48</v>
      </c>
      <c r="M3188" t="s">
        <v>139</v>
      </c>
      <c r="N3188">
        <v>659</v>
      </c>
      <c r="O3188" s="14">
        <v>0.49436313798651099</v>
      </c>
      <c r="P3188" s="14">
        <v>0.790102193132043</v>
      </c>
      <c r="Q3188" t="str">
        <f t="shared" si="98"/>
        <v>01-09</v>
      </c>
      <c r="R3188" t="str">
        <f t="shared" si="99"/>
        <v>[kxuuIFpOXyO]|01-09|Male|Untreated_PLHIV_Attend.T_1|CY2023Q3</v>
      </c>
    </row>
    <row r="3189" spans="4:18" x14ac:dyDescent="0.2">
      <c r="D3189" t="s">
        <v>62</v>
      </c>
      <c r="E3189" t="s">
        <v>63</v>
      </c>
      <c r="F3189" t="s">
        <v>64</v>
      </c>
      <c r="G3189" t="s">
        <v>150</v>
      </c>
      <c r="H3189" t="s">
        <v>150</v>
      </c>
      <c r="I3189" t="s">
        <v>35</v>
      </c>
      <c r="J3189" t="s">
        <v>36</v>
      </c>
      <c r="K3189" t="s">
        <v>47</v>
      </c>
      <c r="L3189" t="s">
        <v>48</v>
      </c>
      <c r="M3189" t="s">
        <v>139</v>
      </c>
      <c r="N3189">
        <v>1437</v>
      </c>
      <c r="O3189" s="14">
        <v>7.0877634454518598E-2</v>
      </c>
      <c r="P3189" s="14">
        <v>0.790102193132043</v>
      </c>
      <c r="Q3189" t="str">
        <f t="shared" si="98"/>
        <v>10-14</v>
      </c>
      <c r="R3189" t="str">
        <f t="shared" si="99"/>
        <v>[kxuuIFpOXyO]|10-14|Male|Untreated_PLHIV_Attend.T_1|CY2023Q3</v>
      </c>
    </row>
    <row r="3190" spans="4:18" x14ac:dyDescent="0.2">
      <c r="D3190" t="s">
        <v>62</v>
      </c>
      <c r="E3190" t="s">
        <v>63</v>
      </c>
      <c r="F3190" t="s">
        <v>64</v>
      </c>
      <c r="G3190" t="s">
        <v>150</v>
      </c>
      <c r="H3190" t="s">
        <v>150</v>
      </c>
      <c r="I3190" t="s">
        <v>37</v>
      </c>
      <c r="J3190" t="s">
        <v>38</v>
      </c>
      <c r="K3190" t="s">
        <v>47</v>
      </c>
      <c r="L3190" t="s">
        <v>48</v>
      </c>
      <c r="M3190" t="s">
        <v>139</v>
      </c>
      <c r="N3190">
        <v>1045</v>
      </c>
      <c r="O3190" s="14">
        <v>0.93234931561164602</v>
      </c>
      <c r="P3190" s="14">
        <v>0.790102193132043</v>
      </c>
      <c r="Q3190" t="str">
        <f t="shared" si="98"/>
        <v>15-24</v>
      </c>
      <c r="R3190" t="str">
        <f t="shared" si="99"/>
        <v>[kxuuIFpOXyO]|15-24|Male|Untreated_PLHIV_Attend.T_1|CY2023Q3</v>
      </c>
    </row>
    <row r="3191" spans="4:18" x14ac:dyDescent="0.2">
      <c r="D3191" t="s">
        <v>62</v>
      </c>
      <c r="E3191" t="s">
        <v>63</v>
      </c>
      <c r="F3191" t="s">
        <v>64</v>
      </c>
      <c r="G3191" t="s">
        <v>150</v>
      </c>
      <c r="H3191" t="s">
        <v>150</v>
      </c>
      <c r="I3191" t="s">
        <v>40</v>
      </c>
      <c r="J3191" t="s">
        <v>41</v>
      </c>
      <c r="K3191" t="s">
        <v>47</v>
      </c>
      <c r="L3191" t="s">
        <v>48</v>
      </c>
      <c r="M3191" t="s">
        <v>139</v>
      </c>
      <c r="N3191">
        <v>802</v>
      </c>
      <c r="O3191" s="14">
        <v>4.3350758496671901E-2</v>
      </c>
      <c r="P3191" s="14">
        <v>0.790102193132043</v>
      </c>
      <c r="Q3191" t="str">
        <f t="shared" si="98"/>
        <v>25-34</v>
      </c>
      <c r="R3191" t="str">
        <f t="shared" si="99"/>
        <v>[kxuuIFpOXyO]|25-34|Male|Untreated_PLHIV_Attend.T_1|CY2023Q3</v>
      </c>
    </row>
    <row r="3192" spans="4:18" x14ac:dyDescent="0.2">
      <c r="D3192" t="s">
        <v>62</v>
      </c>
      <c r="E3192" t="s">
        <v>63</v>
      </c>
      <c r="F3192" t="s">
        <v>64</v>
      </c>
      <c r="G3192" t="s">
        <v>150</v>
      </c>
      <c r="H3192" t="s">
        <v>150</v>
      </c>
      <c r="I3192" t="s">
        <v>42</v>
      </c>
      <c r="J3192" t="s">
        <v>43</v>
      </c>
      <c r="K3192" t="s">
        <v>47</v>
      </c>
      <c r="L3192" t="s">
        <v>48</v>
      </c>
      <c r="M3192" t="s">
        <v>139</v>
      </c>
      <c r="N3192">
        <v>1353</v>
      </c>
      <c r="O3192" s="14">
        <v>0.968550787540153</v>
      </c>
      <c r="P3192" s="14">
        <v>0.790102193132043</v>
      </c>
      <c r="Q3192" t="str">
        <f t="shared" si="98"/>
        <v>35-49</v>
      </c>
      <c r="R3192" t="str">
        <f t="shared" si="99"/>
        <v>[kxuuIFpOXyO]|35-49|Male|Untreated_PLHIV_Attend.T_1|CY2023Q3</v>
      </c>
    </row>
    <row r="3193" spans="4:18" x14ac:dyDescent="0.2">
      <c r="D3193" t="s">
        <v>62</v>
      </c>
      <c r="E3193" t="s">
        <v>63</v>
      </c>
      <c r="F3193" t="s">
        <v>64</v>
      </c>
      <c r="G3193" t="s">
        <v>150</v>
      </c>
      <c r="H3193" t="s">
        <v>150</v>
      </c>
      <c r="I3193" t="s">
        <v>44</v>
      </c>
      <c r="J3193" t="s">
        <v>45</v>
      </c>
      <c r="K3193" t="s">
        <v>47</v>
      </c>
      <c r="L3193" t="s">
        <v>48</v>
      </c>
      <c r="M3193" t="s">
        <v>139</v>
      </c>
      <c r="N3193">
        <v>1961</v>
      </c>
      <c r="O3193" s="14">
        <v>0.93354024761356402</v>
      </c>
      <c r="P3193" s="14">
        <v>0.790102193132043</v>
      </c>
      <c r="Q3193" t="str">
        <f t="shared" si="98"/>
        <v>50+</v>
      </c>
      <c r="R3193" t="str">
        <f t="shared" si="99"/>
        <v>[kxuuIFpOXyO]|50+|Male|Untreated_PLHIV_Attend.T_1|CY2023Q3</v>
      </c>
    </row>
    <row r="3194" spans="4:18" x14ac:dyDescent="0.2">
      <c r="D3194" t="s">
        <v>65</v>
      </c>
      <c r="E3194" t="s">
        <v>66</v>
      </c>
      <c r="F3194" t="s">
        <v>67</v>
      </c>
      <c r="G3194" t="s">
        <v>150</v>
      </c>
      <c r="H3194" t="s">
        <v>150</v>
      </c>
      <c r="I3194" t="s">
        <v>27</v>
      </c>
      <c r="J3194" t="s">
        <v>28</v>
      </c>
      <c r="K3194" t="s">
        <v>29</v>
      </c>
      <c r="L3194" t="s">
        <v>30</v>
      </c>
      <c r="M3194" t="s">
        <v>139</v>
      </c>
      <c r="N3194">
        <v>1059</v>
      </c>
      <c r="O3194" s="14">
        <v>0.75524488021619596</v>
      </c>
      <c r="P3194" s="14">
        <v>0.16460988437756899</v>
      </c>
      <c r="Q3194" t="str">
        <f t="shared" si="98"/>
        <v>&lt;01</v>
      </c>
      <c r="R3194" t="str">
        <f t="shared" si="99"/>
        <v>[ScR9iFKAasW]|&lt;01|Female|Untreated_PLHIV_Attend.T_1|CY2023Q3</v>
      </c>
    </row>
    <row r="3195" spans="4:18" x14ac:dyDescent="0.2">
      <c r="D3195" t="s">
        <v>65</v>
      </c>
      <c r="E3195" t="s">
        <v>66</v>
      </c>
      <c r="F3195" t="s">
        <v>67</v>
      </c>
      <c r="G3195" t="s">
        <v>150</v>
      </c>
      <c r="H3195" t="s">
        <v>150</v>
      </c>
      <c r="I3195" t="s">
        <v>32</v>
      </c>
      <c r="J3195" t="s">
        <v>33</v>
      </c>
      <c r="K3195" t="s">
        <v>29</v>
      </c>
      <c r="L3195" t="s">
        <v>30</v>
      </c>
      <c r="M3195" t="s">
        <v>139</v>
      </c>
      <c r="N3195">
        <v>887</v>
      </c>
      <c r="O3195" s="14">
        <v>0.15368228126317299</v>
      </c>
      <c r="P3195" s="14">
        <v>0.16460988437756899</v>
      </c>
      <c r="Q3195" t="str">
        <f t="shared" si="98"/>
        <v>01-09</v>
      </c>
      <c r="R3195" t="str">
        <f t="shared" si="99"/>
        <v>[ScR9iFKAasW]|01-09|Female|Untreated_PLHIV_Attend.T_1|CY2023Q3</v>
      </c>
    </row>
    <row r="3196" spans="4:18" x14ac:dyDescent="0.2">
      <c r="D3196" t="s">
        <v>65</v>
      </c>
      <c r="E3196" t="s">
        <v>66</v>
      </c>
      <c r="F3196" t="s">
        <v>67</v>
      </c>
      <c r="G3196" t="s">
        <v>150</v>
      </c>
      <c r="H3196" t="s">
        <v>150</v>
      </c>
      <c r="I3196" t="s">
        <v>35</v>
      </c>
      <c r="J3196" t="s">
        <v>36</v>
      </c>
      <c r="K3196" t="s">
        <v>29</v>
      </c>
      <c r="L3196" t="s">
        <v>30</v>
      </c>
      <c r="M3196" t="s">
        <v>139</v>
      </c>
      <c r="N3196">
        <v>1757</v>
      </c>
      <c r="O3196" s="14">
        <v>0.91613924037665095</v>
      </c>
      <c r="P3196" s="14">
        <v>0.16460988437756899</v>
      </c>
      <c r="Q3196" t="str">
        <f t="shared" si="98"/>
        <v>10-14</v>
      </c>
      <c r="R3196" t="str">
        <f t="shared" si="99"/>
        <v>[ScR9iFKAasW]|10-14|Female|Untreated_PLHIV_Attend.T_1|CY2023Q3</v>
      </c>
    </row>
    <row r="3197" spans="4:18" x14ac:dyDescent="0.2">
      <c r="D3197" t="s">
        <v>65</v>
      </c>
      <c r="E3197" t="s">
        <v>66</v>
      </c>
      <c r="F3197" t="s">
        <v>67</v>
      </c>
      <c r="G3197" t="s">
        <v>150</v>
      </c>
      <c r="H3197" t="s">
        <v>150</v>
      </c>
      <c r="I3197" t="s">
        <v>37</v>
      </c>
      <c r="J3197" t="s">
        <v>38</v>
      </c>
      <c r="K3197" t="s">
        <v>29</v>
      </c>
      <c r="L3197" t="s">
        <v>30</v>
      </c>
      <c r="M3197" t="s">
        <v>139</v>
      </c>
      <c r="N3197">
        <v>752</v>
      </c>
      <c r="O3197" s="14">
        <v>0.246652317931876</v>
      </c>
      <c r="P3197" s="14">
        <v>0.16460988437756899</v>
      </c>
      <c r="Q3197" t="str">
        <f t="shared" si="98"/>
        <v>15-24</v>
      </c>
      <c r="R3197" t="str">
        <f t="shared" si="99"/>
        <v>[ScR9iFKAasW]|15-24|Female|Untreated_PLHIV_Attend.T_1|CY2023Q3</v>
      </c>
    </row>
    <row r="3198" spans="4:18" x14ac:dyDescent="0.2">
      <c r="D3198" t="s">
        <v>65</v>
      </c>
      <c r="E3198" t="s">
        <v>66</v>
      </c>
      <c r="F3198" t="s">
        <v>67</v>
      </c>
      <c r="G3198" t="s">
        <v>150</v>
      </c>
      <c r="H3198" t="s">
        <v>150</v>
      </c>
      <c r="I3198" t="s">
        <v>40</v>
      </c>
      <c r="J3198" t="s">
        <v>41</v>
      </c>
      <c r="K3198" t="s">
        <v>29</v>
      </c>
      <c r="L3198" t="s">
        <v>30</v>
      </c>
      <c r="M3198" t="s">
        <v>139</v>
      </c>
      <c r="N3198">
        <v>1361</v>
      </c>
      <c r="O3198" s="14">
        <v>0.86259120027534697</v>
      </c>
      <c r="P3198" s="14">
        <v>0.16460988437756899</v>
      </c>
      <c r="Q3198" t="str">
        <f t="shared" si="98"/>
        <v>25-34</v>
      </c>
      <c r="R3198" t="str">
        <f t="shared" si="99"/>
        <v>[ScR9iFKAasW]|25-34|Female|Untreated_PLHIV_Attend.T_1|CY2023Q3</v>
      </c>
    </row>
    <row r="3199" spans="4:18" x14ac:dyDescent="0.2">
      <c r="D3199" t="s">
        <v>65</v>
      </c>
      <c r="E3199" t="s">
        <v>66</v>
      </c>
      <c r="F3199" t="s">
        <v>67</v>
      </c>
      <c r="G3199" t="s">
        <v>150</v>
      </c>
      <c r="H3199" t="s">
        <v>150</v>
      </c>
      <c r="I3199" t="s">
        <v>42</v>
      </c>
      <c r="J3199" t="s">
        <v>43</v>
      </c>
      <c r="K3199" t="s">
        <v>29</v>
      </c>
      <c r="L3199" t="s">
        <v>30</v>
      </c>
      <c r="M3199" t="s">
        <v>139</v>
      </c>
      <c r="N3199">
        <v>1470</v>
      </c>
      <c r="O3199" s="14">
        <v>0.10176169942133099</v>
      </c>
      <c r="P3199" s="14">
        <v>0.16460988437756899</v>
      </c>
      <c r="Q3199" t="str">
        <f t="shared" si="98"/>
        <v>35-49</v>
      </c>
      <c r="R3199" t="str">
        <f t="shared" si="99"/>
        <v>[ScR9iFKAasW]|35-49|Female|Untreated_PLHIV_Attend.T_1|CY2023Q3</v>
      </c>
    </row>
    <row r="3200" spans="4:18" x14ac:dyDescent="0.2">
      <c r="D3200" t="s">
        <v>65</v>
      </c>
      <c r="E3200" t="s">
        <v>66</v>
      </c>
      <c r="F3200" t="s">
        <v>67</v>
      </c>
      <c r="G3200" t="s">
        <v>150</v>
      </c>
      <c r="H3200" t="s">
        <v>150</v>
      </c>
      <c r="I3200" t="s">
        <v>44</v>
      </c>
      <c r="J3200" t="s">
        <v>45</v>
      </c>
      <c r="K3200" t="s">
        <v>29</v>
      </c>
      <c r="L3200" t="s">
        <v>30</v>
      </c>
      <c r="M3200" t="s">
        <v>139</v>
      </c>
      <c r="N3200">
        <v>1294</v>
      </c>
      <c r="O3200" s="14">
        <v>8.9380569523200407E-2</v>
      </c>
      <c r="P3200" s="14">
        <v>0.16460988437756899</v>
      </c>
      <c r="Q3200" t="str">
        <f t="shared" si="98"/>
        <v>50+</v>
      </c>
      <c r="R3200" t="str">
        <f t="shared" si="99"/>
        <v>[ScR9iFKAasW]|50+|Female|Untreated_PLHIV_Attend.T_1|CY2023Q3</v>
      </c>
    </row>
    <row r="3201" spans="4:18" x14ac:dyDescent="0.2">
      <c r="D3201" t="s">
        <v>65</v>
      </c>
      <c r="E3201" t="s">
        <v>66</v>
      </c>
      <c r="F3201" t="s">
        <v>67</v>
      </c>
      <c r="G3201" t="s">
        <v>150</v>
      </c>
      <c r="H3201" t="s">
        <v>150</v>
      </c>
      <c r="I3201" t="s">
        <v>27</v>
      </c>
      <c r="J3201" t="s">
        <v>28</v>
      </c>
      <c r="K3201" t="s">
        <v>47</v>
      </c>
      <c r="L3201" t="s">
        <v>48</v>
      </c>
      <c r="M3201" t="s">
        <v>139</v>
      </c>
      <c r="N3201">
        <v>1560</v>
      </c>
      <c r="O3201" s="14">
        <v>0.32472556224092802</v>
      </c>
      <c r="P3201" s="14">
        <v>0.16460988437756899</v>
      </c>
      <c r="Q3201" t="str">
        <f t="shared" si="98"/>
        <v>&lt;01</v>
      </c>
      <c r="R3201" t="str">
        <f t="shared" si="99"/>
        <v>[ScR9iFKAasW]|&lt;01|Male|Untreated_PLHIV_Attend.T_1|CY2023Q3</v>
      </c>
    </row>
    <row r="3202" spans="4:18" x14ac:dyDescent="0.2">
      <c r="D3202" t="s">
        <v>65</v>
      </c>
      <c r="E3202" t="s">
        <v>66</v>
      </c>
      <c r="F3202" t="s">
        <v>67</v>
      </c>
      <c r="G3202" t="s">
        <v>150</v>
      </c>
      <c r="H3202" t="s">
        <v>150</v>
      </c>
      <c r="I3202" t="s">
        <v>32</v>
      </c>
      <c r="J3202" t="s">
        <v>33</v>
      </c>
      <c r="K3202" t="s">
        <v>47</v>
      </c>
      <c r="L3202" t="s">
        <v>48</v>
      </c>
      <c r="M3202" t="s">
        <v>139</v>
      </c>
      <c r="N3202">
        <v>858</v>
      </c>
      <c r="O3202" s="14">
        <v>0.75236306642182205</v>
      </c>
      <c r="P3202" s="14">
        <v>0.16460988437756899</v>
      </c>
      <c r="Q3202" t="str">
        <f t="shared" ref="Q3202:Q3265" si="100">SUBSTITUTE(SUBSTITUTE($I3202,CHAR(61),""),CHAR(34),"")</f>
        <v>01-09</v>
      </c>
      <c r="R3202" t="str">
        <f t="shared" ref="R3202:R3265" si="101">IF($D3202&lt;&gt;"","["&amp;$E3202&amp;"]"&amp;"|"&amp;$Q3202&amp;"|"&amp;$K3202&amp;"|"&amp;$G3202&amp;"|"&amp;IF($G3202="TX_CURR_SUBNAT.R","CY2022Q4",$M3202),"")</f>
        <v>[ScR9iFKAasW]|01-09|Male|Untreated_PLHIV_Attend.T_1|CY2023Q3</v>
      </c>
    </row>
    <row r="3203" spans="4:18" x14ac:dyDescent="0.2">
      <c r="D3203" t="s">
        <v>65</v>
      </c>
      <c r="E3203" t="s">
        <v>66</v>
      </c>
      <c r="F3203" t="s">
        <v>67</v>
      </c>
      <c r="G3203" t="s">
        <v>150</v>
      </c>
      <c r="H3203" t="s">
        <v>150</v>
      </c>
      <c r="I3203" t="s">
        <v>35</v>
      </c>
      <c r="J3203" t="s">
        <v>36</v>
      </c>
      <c r="K3203" t="s">
        <v>47</v>
      </c>
      <c r="L3203" t="s">
        <v>48</v>
      </c>
      <c r="M3203" t="s">
        <v>139</v>
      </c>
      <c r="N3203">
        <v>818</v>
      </c>
      <c r="O3203" s="14">
        <v>0.34076039143837999</v>
      </c>
      <c r="P3203" s="14">
        <v>0.16460988437756899</v>
      </c>
      <c r="Q3203" t="str">
        <f t="shared" si="100"/>
        <v>10-14</v>
      </c>
      <c r="R3203" t="str">
        <f t="shared" si="101"/>
        <v>[ScR9iFKAasW]|10-14|Male|Untreated_PLHIV_Attend.T_1|CY2023Q3</v>
      </c>
    </row>
    <row r="3204" spans="4:18" x14ac:dyDescent="0.2">
      <c r="D3204" t="s">
        <v>65</v>
      </c>
      <c r="E3204" t="s">
        <v>66</v>
      </c>
      <c r="F3204" t="s">
        <v>67</v>
      </c>
      <c r="G3204" t="s">
        <v>150</v>
      </c>
      <c r="H3204" t="s">
        <v>150</v>
      </c>
      <c r="I3204" t="s">
        <v>37</v>
      </c>
      <c r="J3204" t="s">
        <v>38</v>
      </c>
      <c r="K3204" t="s">
        <v>47</v>
      </c>
      <c r="L3204" t="s">
        <v>48</v>
      </c>
      <c r="M3204" t="s">
        <v>139</v>
      </c>
      <c r="N3204">
        <v>1020</v>
      </c>
      <c r="O3204" s="14">
        <v>0.61115628900006402</v>
      </c>
      <c r="P3204" s="14">
        <v>0.16460988437756899</v>
      </c>
      <c r="Q3204" t="str">
        <f t="shared" si="100"/>
        <v>15-24</v>
      </c>
      <c r="R3204" t="str">
        <f t="shared" si="101"/>
        <v>[ScR9iFKAasW]|15-24|Male|Untreated_PLHIV_Attend.T_1|CY2023Q3</v>
      </c>
    </row>
    <row r="3205" spans="4:18" x14ac:dyDescent="0.2">
      <c r="D3205" t="s">
        <v>65</v>
      </c>
      <c r="E3205" t="s">
        <v>66</v>
      </c>
      <c r="F3205" t="s">
        <v>67</v>
      </c>
      <c r="G3205" t="s">
        <v>150</v>
      </c>
      <c r="H3205" t="s">
        <v>150</v>
      </c>
      <c r="I3205" t="s">
        <v>40</v>
      </c>
      <c r="J3205" t="s">
        <v>41</v>
      </c>
      <c r="K3205" t="s">
        <v>47</v>
      </c>
      <c r="L3205" t="s">
        <v>48</v>
      </c>
      <c r="M3205" t="s">
        <v>139</v>
      </c>
      <c r="N3205">
        <v>1229</v>
      </c>
      <c r="O3205" s="14">
        <v>0.77525994065217696</v>
      </c>
      <c r="P3205" s="14">
        <v>0.16460988437756899</v>
      </c>
      <c r="Q3205" t="str">
        <f t="shared" si="100"/>
        <v>25-34</v>
      </c>
      <c r="R3205" t="str">
        <f t="shared" si="101"/>
        <v>[ScR9iFKAasW]|25-34|Male|Untreated_PLHIV_Attend.T_1|CY2023Q3</v>
      </c>
    </row>
    <row r="3206" spans="4:18" x14ac:dyDescent="0.2">
      <c r="D3206" t="s">
        <v>65</v>
      </c>
      <c r="E3206" t="s">
        <v>66</v>
      </c>
      <c r="F3206" t="s">
        <v>67</v>
      </c>
      <c r="G3206" t="s">
        <v>150</v>
      </c>
      <c r="H3206" t="s">
        <v>150</v>
      </c>
      <c r="I3206" t="s">
        <v>42</v>
      </c>
      <c r="J3206" t="s">
        <v>43</v>
      </c>
      <c r="K3206" t="s">
        <v>47</v>
      </c>
      <c r="L3206" t="s">
        <v>48</v>
      </c>
      <c r="M3206" t="s">
        <v>139</v>
      </c>
      <c r="N3206">
        <v>772</v>
      </c>
      <c r="O3206" s="14">
        <v>0.14100424782373</v>
      </c>
      <c r="P3206" s="14">
        <v>0.16460988437756899</v>
      </c>
      <c r="Q3206" t="str">
        <f t="shared" si="100"/>
        <v>35-49</v>
      </c>
      <c r="R3206" t="str">
        <f t="shared" si="101"/>
        <v>[ScR9iFKAasW]|35-49|Male|Untreated_PLHIV_Attend.T_1|CY2023Q3</v>
      </c>
    </row>
    <row r="3207" spans="4:18" x14ac:dyDescent="0.2">
      <c r="D3207" t="s">
        <v>65</v>
      </c>
      <c r="E3207" t="s">
        <v>66</v>
      </c>
      <c r="F3207" t="s">
        <v>67</v>
      </c>
      <c r="G3207" t="s">
        <v>150</v>
      </c>
      <c r="H3207" t="s">
        <v>150</v>
      </c>
      <c r="I3207" t="s">
        <v>44</v>
      </c>
      <c r="J3207" t="s">
        <v>45</v>
      </c>
      <c r="K3207" t="s">
        <v>47</v>
      </c>
      <c r="L3207" t="s">
        <v>48</v>
      </c>
      <c r="M3207" t="s">
        <v>139</v>
      </c>
      <c r="N3207">
        <v>1940</v>
      </c>
      <c r="O3207" s="14">
        <v>0.10399284726008801</v>
      </c>
      <c r="P3207" s="14">
        <v>0.16460988437756899</v>
      </c>
      <c r="Q3207" t="str">
        <f t="shared" si="100"/>
        <v>50+</v>
      </c>
      <c r="R3207" t="str">
        <f t="shared" si="101"/>
        <v>[ScR9iFKAasW]|50+|Male|Untreated_PLHIV_Attend.T_1|CY2023Q3</v>
      </c>
    </row>
    <row r="3208" spans="4:18" x14ac:dyDescent="0.2">
      <c r="D3208" t="s">
        <v>68</v>
      </c>
      <c r="E3208" t="s">
        <v>69</v>
      </c>
      <c r="F3208" t="s">
        <v>70</v>
      </c>
      <c r="G3208" t="s">
        <v>150</v>
      </c>
      <c r="H3208" t="s">
        <v>150</v>
      </c>
      <c r="I3208" t="s">
        <v>27</v>
      </c>
      <c r="J3208" t="s">
        <v>28</v>
      </c>
      <c r="K3208" t="s">
        <v>29</v>
      </c>
      <c r="L3208" t="s">
        <v>30</v>
      </c>
      <c r="M3208" t="s">
        <v>139</v>
      </c>
      <c r="N3208">
        <v>587</v>
      </c>
      <c r="O3208" s="14">
        <v>1.53938957955688E-2</v>
      </c>
      <c r="P3208" s="14">
        <v>0.19881726312451101</v>
      </c>
      <c r="Q3208" t="str">
        <f t="shared" si="100"/>
        <v>&lt;01</v>
      </c>
      <c r="R3208" t="str">
        <f t="shared" si="101"/>
        <v>[PekKUkKHAzY]|&lt;01|Female|Untreated_PLHIV_Attend.T_1|CY2023Q3</v>
      </c>
    </row>
    <row r="3209" spans="4:18" x14ac:dyDescent="0.2">
      <c r="D3209" t="s">
        <v>68</v>
      </c>
      <c r="E3209" t="s">
        <v>69</v>
      </c>
      <c r="F3209" t="s">
        <v>70</v>
      </c>
      <c r="G3209" t="s">
        <v>150</v>
      </c>
      <c r="H3209" t="s">
        <v>150</v>
      </c>
      <c r="I3209" t="s">
        <v>32</v>
      </c>
      <c r="J3209" t="s">
        <v>33</v>
      </c>
      <c r="K3209" t="s">
        <v>29</v>
      </c>
      <c r="L3209" t="s">
        <v>30</v>
      </c>
      <c r="M3209" t="s">
        <v>139</v>
      </c>
      <c r="N3209">
        <v>955</v>
      </c>
      <c r="O3209" s="14">
        <v>0.97932518646121003</v>
      </c>
      <c r="P3209" s="14">
        <v>0.19881726312451101</v>
      </c>
      <c r="Q3209" t="str">
        <f t="shared" si="100"/>
        <v>01-09</v>
      </c>
      <c r="R3209" t="str">
        <f t="shared" si="101"/>
        <v>[PekKUkKHAzY]|01-09|Female|Untreated_PLHIV_Attend.T_1|CY2023Q3</v>
      </c>
    </row>
    <row r="3210" spans="4:18" x14ac:dyDescent="0.2">
      <c r="D3210" t="s">
        <v>68</v>
      </c>
      <c r="E3210" t="s">
        <v>69</v>
      </c>
      <c r="F3210" t="s">
        <v>70</v>
      </c>
      <c r="G3210" t="s">
        <v>150</v>
      </c>
      <c r="H3210" t="s">
        <v>150</v>
      </c>
      <c r="I3210" t="s">
        <v>35</v>
      </c>
      <c r="J3210" t="s">
        <v>36</v>
      </c>
      <c r="K3210" t="s">
        <v>29</v>
      </c>
      <c r="L3210" t="s">
        <v>30</v>
      </c>
      <c r="M3210" t="s">
        <v>139</v>
      </c>
      <c r="N3210">
        <v>1464</v>
      </c>
      <c r="O3210" s="14">
        <v>0.73342867102473996</v>
      </c>
      <c r="P3210" s="14">
        <v>0.19881726312451101</v>
      </c>
      <c r="Q3210" t="str">
        <f t="shared" si="100"/>
        <v>10-14</v>
      </c>
      <c r="R3210" t="str">
        <f t="shared" si="101"/>
        <v>[PekKUkKHAzY]|10-14|Female|Untreated_PLHIV_Attend.T_1|CY2023Q3</v>
      </c>
    </row>
    <row r="3211" spans="4:18" x14ac:dyDescent="0.2">
      <c r="D3211" t="s">
        <v>68</v>
      </c>
      <c r="E3211" t="s">
        <v>69</v>
      </c>
      <c r="F3211" t="s">
        <v>70</v>
      </c>
      <c r="G3211" t="s">
        <v>150</v>
      </c>
      <c r="H3211" t="s">
        <v>150</v>
      </c>
      <c r="I3211" t="s">
        <v>37</v>
      </c>
      <c r="J3211" t="s">
        <v>38</v>
      </c>
      <c r="K3211" t="s">
        <v>29</v>
      </c>
      <c r="L3211" t="s">
        <v>30</v>
      </c>
      <c r="M3211" t="s">
        <v>139</v>
      </c>
      <c r="N3211">
        <v>526</v>
      </c>
      <c r="O3211" s="14">
        <v>0.52748969895765196</v>
      </c>
      <c r="P3211" s="14">
        <v>0.19881726312451101</v>
      </c>
      <c r="Q3211" t="str">
        <f t="shared" si="100"/>
        <v>15-24</v>
      </c>
      <c r="R3211" t="str">
        <f t="shared" si="101"/>
        <v>[PekKUkKHAzY]|15-24|Female|Untreated_PLHIV_Attend.T_1|CY2023Q3</v>
      </c>
    </row>
    <row r="3212" spans="4:18" x14ac:dyDescent="0.2">
      <c r="D3212" t="s">
        <v>68</v>
      </c>
      <c r="E3212" t="s">
        <v>69</v>
      </c>
      <c r="F3212" t="s">
        <v>70</v>
      </c>
      <c r="G3212" t="s">
        <v>150</v>
      </c>
      <c r="H3212" t="s">
        <v>150</v>
      </c>
      <c r="I3212" t="s">
        <v>40</v>
      </c>
      <c r="J3212" t="s">
        <v>41</v>
      </c>
      <c r="K3212" t="s">
        <v>29</v>
      </c>
      <c r="L3212" t="s">
        <v>30</v>
      </c>
      <c r="M3212" t="s">
        <v>139</v>
      </c>
      <c r="N3212">
        <v>1544</v>
      </c>
      <c r="O3212" s="14">
        <v>0.36483450420200803</v>
      </c>
      <c r="P3212" s="14">
        <v>0.19881726312451101</v>
      </c>
      <c r="Q3212" t="str">
        <f t="shared" si="100"/>
        <v>25-34</v>
      </c>
      <c r="R3212" t="str">
        <f t="shared" si="101"/>
        <v>[PekKUkKHAzY]|25-34|Female|Untreated_PLHIV_Attend.T_1|CY2023Q3</v>
      </c>
    </row>
    <row r="3213" spans="4:18" x14ac:dyDescent="0.2">
      <c r="D3213" t="s">
        <v>68</v>
      </c>
      <c r="E3213" t="s">
        <v>69</v>
      </c>
      <c r="F3213" t="s">
        <v>70</v>
      </c>
      <c r="G3213" t="s">
        <v>150</v>
      </c>
      <c r="H3213" t="s">
        <v>150</v>
      </c>
      <c r="I3213" t="s">
        <v>42</v>
      </c>
      <c r="J3213" t="s">
        <v>43</v>
      </c>
      <c r="K3213" t="s">
        <v>29</v>
      </c>
      <c r="L3213" t="s">
        <v>30</v>
      </c>
      <c r="M3213" t="s">
        <v>139</v>
      </c>
      <c r="N3213">
        <v>810</v>
      </c>
      <c r="O3213" s="14">
        <v>0.88141534407623101</v>
      </c>
      <c r="P3213" s="14">
        <v>0.19881726312451101</v>
      </c>
      <c r="Q3213" t="str">
        <f t="shared" si="100"/>
        <v>35-49</v>
      </c>
      <c r="R3213" t="str">
        <f t="shared" si="101"/>
        <v>[PekKUkKHAzY]|35-49|Female|Untreated_PLHIV_Attend.T_1|CY2023Q3</v>
      </c>
    </row>
    <row r="3214" spans="4:18" x14ac:dyDescent="0.2">
      <c r="D3214" t="s">
        <v>68</v>
      </c>
      <c r="E3214" t="s">
        <v>69</v>
      </c>
      <c r="F3214" t="s">
        <v>70</v>
      </c>
      <c r="G3214" t="s">
        <v>150</v>
      </c>
      <c r="H3214" t="s">
        <v>150</v>
      </c>
      <c r="I3214" t="s">
        <v>44</v>
      </c>
      <c r="J3214" t="s">
        <v>45</v>
      </c>
      <c r="K3214" t="s">
        <v>29</v>
      </c>
      <c r="L3214" t="s">
        <v>30</v>
      </c>
      <c r="M3214" t="s">
        <v>139</v>
      </c>
      <c r="N3214">
        <v>1397</v>
      </c>
      <c r="O3214" s="14">
        <v>0.82853490440174904</v>
      </c>
      <c r="P3214" s="14">
        <v>0.19881726312451101</v>
      </c>
      <c r="Q3214" t="str">
        <f t="shared" si="100"/>
        <v>50+</v>
      </c>
      <c r="R3214" t="str">
        <f t="shared" si="101"/>
        <v>[PekKUkKHAzY]|50+|Female|Untreated_PLHIV_Attend.T_1|CY2023Q3</v>
      </c>
    </row>
    <row r="3215" spans="4:18" x14ac:dyDescent="0.2">
      <c r="D3215" t="s">
        <v>68</v>
      </c>
      <c r="E3215" t="s">
        <v>69</v>
      </c>
      <c r="F3215" t="s">
        <v>70</v>
      </c>
      <c r="G3215" t="s">
        <v>150</v>
      </c>
      <c r="H3215" t="s">
        <v>150</v>
      </c>
      <c r="I3215" t="s">
        <v>27</v>
      </c>
      <c r="J3215" t="s">
        <v>28</v>
      </c>
      <c r="K3215" t="s">
        <v>47</v>
      </c>
      <c r="L3215" t="s">
        <v>48</v>
      </c>
      <c r="M3215" t="s">
        <v>139</v>
      </c>
      <c r="N3215">
        <v>1653</v>
      </c>
      <c r="O3215" s="14">
        <v>0.32573748170398198</v>
      </c>
      <c r="P3215" s="14">
        <v>0.19881726312451101</v>
      </c>
      <c r="Q3215" t="str">
        <f t="shared" si="100"/>
        <v>&lt;01</v>
      </c>
      <c r="R3215" t="str">
        <f t="shared" si="101"/>
        <v>[PekKUkKHAzY]|&lt;01|Male|Untreated_PLHIV_Attend.T_1|CY2023Q3</v>
      </c>
    </row>
    <row r="3216" spans="4:18" x14ac:dyDescent="0.2">
      <c r="D3216" t="s">
        <v>68</v>
      </c>
      <c r="E3216" t="s">
        <v>69</v>
      </c>
      <c r="F3216" t="s">
        <v>70</v>
      </c>
      <c r="G3216" t="s">
        <v>150</v>
      </c>
      <c r="H3216" t="s">
        <v>150</v>
      </c>
      <c r="I3216" t="s">
        <v>32</v>
      </c>
      <c r="J3216" t="s">
        <v>33</v>
      </c>
      <c r="K3216" t="s">
        <v>47</v>
      </c>
      <c r="L3216" t="s">
        <v>48</v>
      </c>
      <c r="M3216" t="s">
        <v>139</v>
      </c>
      <c r="N3216">
        <v>737</v>
      </c>
      <c r="O3216" s="14">
        <v>7.4359168997034403E-2</v>
      </c>
      <c r="P3216" s="14">
        <v>0.19881726312451101</v>
      </c>
      <c r="Q3216" t="str">
        <f t="shared" si="100"/>
        <v>01-09</v>
      </c>
      <c r="R3216" t="str">
        <f t="shared" si="101"/>
        <v>[PekKUkKHAzY]|01-09|Male|Untreated_PLHIV_Attend.T_1|CY2023Q3</v>
      </c>
    </row>
    <row r="3217" spans="4:18" x14ac:dyDescent="0.2">
      <c r="D3217" t="s">
        <v>68</v>
      </c>
      <c r="E3217" t="s">
        <v>69</v>
      </c>
      <c r="F3217" t="s">
        <v>70</v>
      </c>
      <c r="G3217" t="s">
        <v>150</v>
      </c>
      <c r="H3217" t="s">
        <v>150</v>
      </c>
      <c r="I3217" t="s">
        <v>35</v>
      </c>
      <c r="J3217" t="s">
        <v>36</v>
      </c>
      <c r="K3217" t="s">
        <v>47</v>
      </c>
      <c r="L3217" t="s">
        <v>48</v>
      </c>
      <c r="M3217" t="s">
        <v>139</v>
      </c>
      <c r="N3217">
        <v>502</v>
      </c>
      <c r="O3217" s="14">
        <v>0.46945794741623098</v>
      </c>
      <c r="P3217" s="14">
        <v>0.19881726312451101</v>
      </c>
      <c r="Q3217" t="str">
        <f t="shared" si="100"/>
        <v>10-14</v>
      </c>
      <c r="R3217" t="str">
        <f t="shared" si="101"/>
        <v>[PekKUkKHAzY]|10-14|Male|Untreated_PLHIV_Attend.T_1|CY2023Q3</v>
      </c>
    </row>
    <row r="3218" spans="4:18" x14ac:dyDescent="0.2">
      <c r="D3218" t="s">
        <v>68</v>
      </c>
      <c r="E3218" t="s">
        <v>69</v>
      </c>
      <c r="F3218" t="s">
        <v>70</v>
      </c>
      <c r="G3218" t="s">
        <v>150</v>
      </c>
      <c r="H3218" t="s">
        <v>150</v>
      </c>
      <c r="I3218" t="s">
        <v>37</v>
      </c>
      <c r="J3218" t="s">
        <v>38</v>
      </c>
      <c r="K3218" t="s">
        <v>47</v>
      </c>
      <c r="L3218" t="s">
        <v>48</v>
      </c>
      <c r="M3218" t="s">
        <v>139</v>
      </c>
      <c r="N3218">
        <v>586</v>
      </c>
      <c r="O3218" s="14">
        <v>0.66733453236520301</v>
      </c>
      <c r="P3218" s="14">
        <v>0.19881726312451101</v>
      </c>
      <c r="Q3218" t="str">
        <f t="shared" si="100"/>
        <v>15-24</v>
      </c>
      <c r="R3218" t="str">
        <f t="shared" si="101"/>
        <v>[PekKUkKHAzY]|15-24|Male|Untreated_PLHIV_Attend.T_1|CY2023Q3</v>
      </c>
    </row>
    <row r="3219" spans="4:18" x14ac:dyDescent="0.2">
      <c r="D3219" t="s">
        <v>68</v>
      </c>
      <c r="E3219" t="s">
        <v>69</v>
      </c>
      <c r="F3219" t="s">
        <v>70</v>
      </c>
      <c r="G3219" t="s">
        <v>150</v>
      </c>
      <c r="H3219" t="s">
        <v>150</v>
      </c>
      <c r="I3219" t="s">
        <v>40</v>
      </c>
      <c r="J3219" t="s">
        <v>41</v>
      </c>
      <c r="K3219" t="s">
        <v>47</v>
      </c>
      <c r="L3219" t="s">
        <v>48</v>
      </c>
      <c r="M3219" t="s">
        <v>139</v>
      </c>
      <c r="N3219">
        <v>1388</v>
      </c>
      <c r="O3219" s="14">
        <v>0.43078444711864</v>
      </c>
      <c r="P3219" s="14">
        <v>0.19881726312451101</v>
      </c>
      <c r="Q3219" t="str">
        <f t="shared" si="100"/>
        <v>25-34</v>
      </c>
      <c r="R3219" t="str">
        <f t="shared" si="101"/>
        <v>[PekKUkKHAzY]|25-34|Male|Untreated_PLHIV_Attend.T_1|CY2023Q3</v>
      </c>
    </row>
    <row r="3220" spans="4:18" x14ac:dyDescent="0.2">
      <c r="D3220" t="s">
        <v>68</v>
      </c>
      <c r="E3220" t="s">
        <v>69</v>
      </c>
      <c r="F3220" t="s">
        <v>70</v>
      </c>
      <c r="G3220" t="s">
        <v>150</v>
      </c>
      <c r="H3220" t="s">
        <v>150</v>
      </c>
      <c r="I3220" t="s">
        <v>42</v>
      </c>
      <c r="J3220" t="s">
        <v>43</v>
      </c>
      <c r="K3220" t="s">
        <v>47</v>
      </c>
      <c r="L3220" t="s">
        <v>48</v>
      </c>
      <c r="M3220" t="s">
        <v>139</v>
      </c>
      <c r="N3220">
        <v>1797</v>
      </c>
      <c r="O3220" s="14">
        <v>0.13940188009291901</v>
      </c>
      <c r="P3220" s="14">
        <v>0.19881726312451101</v>
      </c>
      <c r="Q3220" t="str">
        <f t="shared" si="100"/>
        <v>35-49</v>
      </c>
      <c r="R3220" t="str">
        <f t="shared" si="101"/>
        <v>[PekKUkKHAzY]|35-49|Male|Untreated_PLHIV_Attend.T_1|CY2023Q3</v>
      </c>
    </row>
    <row r="3221" spans="4:18" x14ac:dyDescent="0.2">
      <c r="D3221" t="s">
        <v>68</v>
      </c>
      <c r="E3221" t="s">
        <v>69</v>
      </c>
      <c r="F3221" t="s">
        <v>70</v>
      </c>
      <c r="G3221" t="s">
        <v>150</v>
      </c>
      <c r="H3221" t="s">
        <v>150</v>
      </c>
      <c r="I3221" t="s">
        <v>44</v>
      </c>
      <c r="J3221" t="s">
        <v>45</v>
      </c>
      <c r="K3221" t="s">
        <v>47</v>
      </c>
      <c r="L3221" t="s">
        <v>48</v>
      </c>
      <c r="M3221" t="s">
        <v>139</v>
      </c>
      <c r="N3221">
        <v>1962</v>
      </c>
      <c r="O3221" s="14">
        <v>0.12578042480163301</v>
      </c>
      <c r="P3221" s="14">
        <v>0.19881726312451101</v>
      </c>
      <c r="Q3221" t="str">
        <f t="shared" si="100"/>
        <v>50+</v>
      </c>
      <c r="R3221" t="str">
        <f t="shared" si="101"/>
        <v>[PekKUkKHAzY]|50+|Male|Untreated_PLHIV_Attend.T_1|CY2023Q3</v>
      </c>
    </row>
    <row r="3222" spans="4:18" x14ac:dyDescent="0.2">
      <c r="D3222" t="s">
        <v>71</v>
      </c>
      <c r="E3222" t="s">
        <v>72</v>
      </c>
      <c r="F3222" t="s">
        <v>73</v>
      </c>
      <c r="G3222" t="s">
        <v>150</v>
      </c>
      <c r="H3222" t="s">
        <v>150</v>
      </c>
      <c r="I3222" t="s">
        <v>27</v>
      </c>
      <c r="J3222" t="s">
        <v>28</v>
      </c>
      <c r="K3222" t="s">
        <v>29</v>
      </c>
      <c r="L3222" t="s">
        <v>30</v>
      </c>
      <c r="M3222" t="s">
        <v>139</v>
      </c>
      <c r="N3222">
        <v>592</v>
      </c>
      <c r="O3222" s="14">
        <v>0.28315587434917699</v>
      </c>
      <c r="P3222" s="14">
        <v>0.28972870693542102</v>
      </c>
      <c r="Q3222" t="str">
        <f t="shared" si="100"/>
        <v>&lt;01</v>
      </c>
      <c r="R3222" t="str">
        <f t="shared" si="101"/>
        <v>[am530wpaGvr]|&lt;01|Female|Untreated_PLHIV_Attend.T_1|CY2023Q3</v>
      </c>
    </row>
    <row r="3223" spans="4:18" x14ac:dyDescent="0.2">
      <c r="D3223" t="s">
        <v>71</v>
      </c>
      <c r="E3223" t="s">
        <v>72</v>
      </c>
      <c r="F3223" t="s">
        <v>73</v>
      </c>
      <c r="G3223" t="s">
        <v>150</v>
      </c>
      <c r="H3223" t="s">
        <v>150</v>
      </c>
      <c r="I3223" t="s">
        <v>32</v>
      </c>
      <c r="J3223" t="s">
        <v>33</v>
      </c>
      <c r="K3223" t="s">
        <v>29</v>
      </c>
      <c r="L3223" t="s">
        <v>30</v>
      </c>
      <c r="M3223" t="s">
        <v>139</v>
      </c>
      <c r="N3223">
        <v>1061</v>
      </c>
      <c r="O3223" s="14">
        <v>0.421659066807479</v>
      </c>
      <c r="P3223" s="14">
        <v>0.28972870693542102</v>
      </c>
      <c r="Q3223" t="str">
        <f t="shared" si="100"/>
        <v>01-09</v>
      </c>
      <c r="R3223" t="str">
        <f t="shared" si="101"/>
        <v>[am530wpaGvr]|01-09|Female|Untreated_PLHIV_Attend.T_1|CY2023Q3</v>
      </c>
    </row>
    <row r="3224" spans="4:18" x14ac:dyDescent="0.2">
      <c r="D3224" t="s">
        <v>71</v>
      </c>
      <c r="E3224" t="s">
        <v>72</v>
      </c>
      <c r="F3224" t="s">
        <v>73</v>
      </c>
      <c r="G3224" t="s">
        <v>150</v>
      </c>
      <c r="H3224" t="s">
        <v>150</v>
      </c>
      <c r="I3224" t="s">
        <v>35</v>
      </c>
      <c r="J3224" t="s">
        <v>36</v>
      </c>
      <c r="K3224" t="s">
        <v>29</v>
      </c>
      <c r="L3224" t="s">
        <v>30</v>
      </c>
      <c r="M3224" t="s">
        <v>139</v>
      </c>
      <c r="N3224">
        <v>1345</v>
      </c>
      <c r="O3224" s="14">
        <v>0.82581494771875397</v>
      </c>
      <c r="P3224" s="14">
        <v>0.28972870693542102</v>
      </c>
      <c r="Q3224" t="str">
        <f t="shared" si="100"/>
        <v>10-14</v>
      </c>
      <c r="R3224" t="str">
        <f t="shared" si="101"/>
        <v>[am530wpaGvr]|10-14|Female|Untreated_PLHIV_Attend.T_1|CY2023Q3</v>
      </c>
    </row>
    <row r="3225" spans="4:18" x14ac:dyDescent="0.2">
      <c r="D3225" t="s">
        <v>71</v>
      </c>
      <c r="E3225" t="s">
        <v>72</v>
      </c>
      <c r="F3225" t="s">
        <v>73</v>
      </c>
      <c r="G3225" t="s">
        <v>150</v>
      </c>
      <c r="H3225" t="s">
        <v>150</v>
      </c>
      <c r="I3225" t="s">
        <v>37</v>
      </c>
      <c r="J3225" t="s">
        <v>38</v>
      </c>
      <c r="K3225" t="s">
        <v>29</v>
      </c>
      <c r="L3225" t="s">
        <v>30</v>
      </c>
      <c r="M3225" t="s">
        <v>139</v>
      </c>
      <c r="N3225">
        <v>1075</v>
      </c>
      <c r="O3225" s="14">
        <v>9.2724287882447201E-2</v>
      </c>
      <c r="P3225" s="14">
        <v>0.28972870693542102</v>
      </c>
      <c r="Q3225" t="str">
        <f t="shared" si="100"/>
        <v>15-24</v>
      </c>
      <c r="R3225" t="str">
        <f t="shared" si="101"/>
        <v>[am530wpaGvr]|15-24|Female|Untreated_PLHIV_Attend.T_1|CY2023Q3</v>
      </c>
    </row>
    <row r="3226" spans="4:18" x14ac:dyDescent="0.2">
      <c r="D3226" t="s">
        <v>71</v>
      </c>
      <c r="E3226" t="s">
        <v>72</v>
      </c>
      <c r="F3226" t="s">
        <v>73</v>
      </c>
      <c r="G3226" t="s">
        <v>150</v>
      </c>
      <c r="H3226" t="s">
        <v>150</v>
      </c>
      <c r="I3226" t="s">
        <v>40</v>
      </c>
      <c r="J3226" t="s">
        <v>41</v>
      </c>
      <c r="K3226" t="s">
        <v>29</v>
      </c>
      <c r="L3226" t="s">
        <v>30</v>
      </c>
      <c r="M3226" t="s">
        <v>139</v>
      </c>
      <c r="N3226">
        <v>620</v>
      </c>
      <c r="O3226" s="14">
        <v>0.83167303912341595</v>
      </c>
      <c r="P3226" s="14">
        <v>0.28972870693542102</v>
      </c>
      <c r="Q3226" t="str">
        <f t="shared" si="100"/>
        <v>25-34</v>
      </c>
      <c r="R3226" t="str">
        <f t="shared" si="101"/>
        <v>[am530wpaGvr]|25-34|Female|Untreated_PLHIV_Attend.T_1|CY2023Q3</v>
      </c>
    </row>
    <row r="3227" spans="4:18" x14ac:dyDescent="0.2">
      <c r="D3227" t="s">
        <v>71</v>
      </c>
      <c r="E3227" t="s">
        <v>72</v>
      </c>
      <c r="F3227" t="s">
        <v>73</v>
      </c>
      <c r="G3227" t="s">
        <v>150</v>
      </c>
      <c r="H3227" t="s">
        <v>150</v>
      </c>
      <c r="I3227" t="s">
        <v>42</v>
      </c>
      <c r="J3227" t="s">
        <v>43</v>
      </c>
      <c r="K3227" t="s">
        <v>29</v>
      </c>
      <c r="L3227" t="s">
        <v>30</v>
      </c>
      <c r="M3227" t="s">
        <v>139</v>
      </c>
      <c r="N3227">
        <v>1251</v>
      </c>
      <c r="O3227" s="14">
        <v>0.96951157576404501</v>
      </c>
      <c r="P3227" s="14">
        <v>0.28972870693542102</v>
      </c>
      <c r="Q3227" t="str">
        <f t="shared" si="100"/>
        <v>35-49</v>
      </c>
      <c r="R3227" t="str">
        <f t="shared" si="101"/>
        <v>[am530wpaGvr]|35-49|Female|Untreated_PLHIV_Attend.T_1|CY2023Q3</v>
      </c>
    </row>
    <row r="3228" spans="4:18" x14ac:dyDescent="0.2">
      <c r="D3228" t="s">
        <v>71</v>
      </c>
      <c r="E3228" t="s">
        <v>72</v>
      </c>
      <c r="F3228" t="s">
        <v>73</v>
      </c>
      <c r="G3228" t="s">
        <v>150</v>
      </c>
      <c r="H3228" t="s">
        <v>150</v>
      </c>
      <c r="I3228" t="s">
        <v>44</v>
      </c>
      <c r="J3228" t="s">
        <v>45</v>
      </c>
      <c r="K3228" t="s">
        <v>29</v>
      </c>
      <c r="L3228" t="s">
        <v>30</v>
      </c>
      <c r="M3228" t="s">
        <v>139</v>
      </c>
      <c r="N3228">
        <v>638</v>
      </c>
      <c r="O3228" s="14">
        <v>0.93019342515617598</v>
      </c>
      <c r="P3228" s="14">
        <v>0.28972870693542102</v>
      </c>
      <c r="Q3228" t="str">
        <f t="shared" si="100"/>
        <v>50+</v>
      </c>
      <c r="R3228" t="str">
        <f t="shared" si="101"/>
        <v>[am530wpaGvr]|50+|Female|Untreated_PLHIV_Attend.T_1|CY2023Q3</v>
      </c>
    </row>
    <row r="3229" spans="4:18" x14ac:dyDescent="0.2">
      <c r="D3229" t="s">
        <v>71</v>
      </c>
      <c r="E3229" t="s">
        <v>72</v>
      </c>
      <c r="F3229" t="s">
        <v>73</v>
      </c>
      <c r="G3229" t="s">
        <v>150</v>
      </c>
      <c r="H3229" t="s">
        <v>150</v>
      </c>
      <c r="I3229" t="s">
        <v>27</v>
      </c>
      <c r="J3229" t="s">
        <v>28</v>
      </c>
      <c r="K3229" t="s">
        <v>47</v>
      </c>
      <c r="L3229" t="s">
        <v>48</v>
      </c>
      <c r="M3229" t="s">
        <v>139</v>
      </c>
      <c r="N3229">
        <v>1164</v>
      </c>
      <c r="O3229" s="14">
        <v>0.131491169333458</v>
      </c>
      <c r="P3229" s="14">
        <v>0.28972870693542102</v>
      </c>
      <c r="Q3229" t="str">
        <f t="shared" si="100"/>
        <v>&lt;01</v>
      </c>
      <c r="R3229" t="str">
        <f t="shared" si="101"/>
        <v>[am530wpaGvr]|&lt;01|Male|Untreated_PLHIV_Attend.T_1|CY2023Q3</v>
      </c>
    </row>
    <row r="3230" spans="4:18" x14ac:dyDescent="0.2">
      <c r="D3230" t="s">
        <v>71</v>
      </c>
      <c r="E3230" t="s">
        <v>72</v>
      </c>
      <c r="F3230" t="s">
        <v>73</v>
      </c>
      <c r="G3230" t="s">
        <v>150</v>
      </c>
      <c r="H3230" t="s">
        <v>150</v>
      </c>
      <c r="I3230" t="s">
        <v>32</v>
      </c>
      <c r="J3230" t="s">
        <v>33</v>
      </c>
      <c r="K3230" t="s">
        <v>47</v>
      </c>
      <c r="L3230" t="s">
        <v>48</v>
      </c>
      <c r="M3230" t="s">
        <v>139</v>
      </c>
      <c r="N3230">
        <v>815</v>
      </c>
      <c r="O3230" s="14">
        <v>0.16424506041221301</v>
      </c>
      <c r="P3230" s="14">
        <v>0.28972870693542102</v>
      </c>
      <c r="Q3230" t="str">
        <f t="shared" si="100"/>
        <v>01-09</v>
      </c>
      <c r="R3230" t="str">
        <f t="shared" si="101"/>
        <v>[am530wpaGvr]|01-09|Male|Untreated_PLHIV_Attend.T_1|CY2023Q3</v>
      </c>
    </row>
    <row r="3231" spans="4:18" x14ac:dyDescent="0.2">
      <c r="D3231" t="s">
        <v>71</v>
      </c>
      <c r="E3231" t="s">
        <v>72</v>
      </c>
      <c r="F3231" t="s">
        <v>73</v>
      </c>
      <c r="G3231" t="s">
        <v>150</v>
      </c>
      <c r="H3231" t="s">
        <v>150</v>
      </c>
      <c r="I3231" t="s">
        <v>35</v>
      </c>
      <c r="J3231" t="s">
        <v>36</v>
      </c>
      <c r="K3231" t="s">
        <v>47</v>
      </c>
      <c r="L3231" t="s">
        <v>48</v>
      </c>
      <c r="M3231" t="s">
        <v>139</v>
      </c>
      <c r="N3231">
        <v>1254</v>
      </c>
      <c r="O3231" s="14">
        <v>0.33598968270234802</v>
      </c>
      <c r="P3231" s="14">
        <v>0.28972870693542102</v>
      </c>
      <c r="Q3231" t="str">
        <f t="shared" si="100"/>
        <v>10-14</v>
      </c>
      <c r="R3231" t="str">
        <f t="shared" si="101"/>
        <v>[am530wpaGvr]|10-14|Male|Untreated_PLHIV_Attend.T_1|CY2023Q3</v>
      </c>
    </row>
    <row r="3232" spans="4:18" x14ac:dyDescent="0.2">
      <c r="D3232" t="s">
        <v>71</v>
      </c>
      <c r="E3232" t="s">
        <v>72</v>
      </c>
      <c r="F3232" t="s">
        <v>73</v>
      </c>
      <c r="G3232" t="s">
        <v>150</v>
      </c>
      <c r="H3232" t="s">
        <v>150</v>
      </c>
      <c r="I3232" t="s">
        <v>37</v>
      </c>
      <c r="J3232" t="s">
        <v>38</v>
      </c>
      <c r="K3232" t="s">
        <v>47</v>
      </c>
      <c r="L3232" t="s">
        <v>48</v>
      </c>
      <c r="M3232" t="s">
        <v>139</v>
      </c>
      <c r="N3232">
        <v>1967</v>
      </c>
      <c r="O3232" s="14">
        <v>0.44524952350184299</v>
      </c>
      <c r="P3232" s="14">
        <v>0.28972870693542102</v>
      </c>
      <c r="Q3232" t="str">
        <f t="shared" si="100"/>
        <v>15-24</v>
      </c>
      <c r="R3232" t="str">
        <f t="shared" si="101"/>
        <v>[am530wpaGvr]|15-24|Male|Untreated_PLHIV_Attend.T_1|CY2023Q3</v>
      </c>
    </row>
    <row r="3233" spans="4:18" x14ac:dyDescent="0.2">
      <c r="D3233" t="s">
        <v>71</v>
      </c>
      <c r="E3233" t="s">
        <v>72</v>
      </c>
      <c r="F3233" t="s">
        <v>73</v>
      </c>
      <c r="G3233" t="s">
        <v>150</v>
      </c>
      <c r="H3233" t="s">
        <v>150</v>
      </c>
      <c r="I3233" t="s">
        <v>40</v>
      </c>
      <c r="J3233" t="s">
        <v>41</v>
      </c>
      <c r="K3233" t="s">
        <v>47</v>
      </c>
      <c r="L3233" t="s">
        <v>48</v>
      </c>
      <c r="M3233" t="s">
        <v>139</v>
      </c>
      <c r="N3233">
        <v>1520</v>
      </c>
      <c r="O3233" s="14">
        <v>0.53485240344889495</v>
      </c>
      <c r="P3233" s="14">
        <v>0.28972870693542102</v>
      </c>
      <c r="Q3233" t="str">
        <f t="shared" si="100"/>
        <v>25-34</v>
      </c>
      <c r="R3233" t="str">
        <f t="shared" si="101"/>
        <v>[am530wpaGvr]|25-34|Male|Untreated_PLHIV_Attend.T_1|CY2023Q3</v>
      </c>
    </row>
    <row r="3234" spans="4:18" x14ac:dyDescent="0.2">
      <c r="D3234" t="s">
        <v>71</v>
      </c>
      <c r="E3234" t="s">
        <v>72</v>
      </c>
      <c r="F3234" t="s">
        <v>73</v>
      </c>
      <c r="G3234" t="s">
        <v>150</v>
      </c>
      <c r="H3234" t="s">
        <v>150</v>
      </c>
      <c r="I3234" t="s">
        <v>42</v>
      </c>
      <c r="J3234" t="s">
        <v>43</v>
      </c>
      <c r="K3234" t="s">
        <v>47</v>
      </c>
      <c r="L3234" t="s">
        <v>48</v>
      </c>
      <c r="M3234" t="s">
        <v>139</v>
      </c>
      <c r="N3234">
        <v>1389</v>
      </c>
      <c r="O3234" s="14">
        <v>0.41347162122838199</v>
      </c>
      <c r="P3234" s="14">
        <v>0.28972870693542102</v>
      </c>
      <c r="Q3234" t="str">
        <f t="shared" si="100"/>
        <v>35-49</v>
      </c>
      <c r="R3234" t="str">
        <f t="shared" si="101"/>
        <v>[am530wpaGvr]|35-49|Male|Untreated_PLHIV_Attend.T_1|CY2023Q3</v>
      </c>
    </row>
    <row r="3235" spans="4:18" x14ac:dyDescent="0.2">
      <c r="D3235" t="s">
        <v>71</v>
      </c>
      <c r="E3235" t="s">
        <v>72</v>
      </c>
      <c r="F3235" t="s">
        <v>73</v>
      </c>
      <c r="G3235" t="s">
        <v>150</v>
      </c>
      <c r="H3235" t="s">
        <v>150</v>
      </c>
      <c r="I3235" t="s">
        <v>44</v>
      </c>
      <c r="J3235" t="s">
        <v>45</v>
      </c>
      <c r="K3235" t="s">
        <v>47</v>
      </c>
      <c r="L3235" t="s">
        <v>48</v>
      </c>
      <c r="M3235" t="s">
        <v>139</v>
      </c>
      <c r="N3235">
        <v>607</v>
      </c>
      <c r="O3235" s="14">
        <v>0.14204455399885799</v>
      </c>
      <c r="P3235" s="14">
        <v>0.28972870693542102</v>
      </c>
      <c r="Q3235" t="str">
        <f t="shared" si="100"/>
        <v>50+</v>
      </c>
      <c r="R3235" t="str">
        <f t="shared" si="101"/>
        <v>[am530wpaGvr]|50+|Male|Untreated_PLHIV_Attend.T_1|CY2023Q3</v>
      </c>
    </row>
    <row r="3236" spans="4:18" x14ac:dyDescent="0.2">
      <c r="D3236" t="s">
        <v>74</v>
      </c>
      <c r="E3236" t="s">
        <v>75</v>
      </c>
      <c r="F3236" t="s">
        <v>76</v>
      </c>
      <c r="G3236" t="s">
        <v>150</v>
      </c>
      <c r="H3236" t="s">
        <v>150</v>
      </c>
      <c r="I3236" t="s">
        <v>27</v>
      </c>
      <c r="J3236" t="s">
        <v>28</v>
      </c>
      <c r="K3236" t="s">
        <v>29</v>
      </c>
      <c r="L3236" t="s">
        <v>30</v>
      </c>
      <c r="M3236" t="s">
        <v>139</v>
      </c>
      <c r="N3236">
        <v>1237</v>
      </c>
      <c r="O3236" s="14">
        <v>0.71724966727197204</v>
      </c>
      <c r="P3236" s="14">
        <v>0.30305550759658201</v>
      </c>
      <c r="Q3236" t="str">
        <f t="shared" si="100"/>
        <v>&lt;01</v>
      </c>
      <c r="R3236" t="str">
        <f t="shared" si="101"/>
        <v>[lLDyBx5XyUi]|&lt;01|Female|Untreated_PLHIV_Attend.T_1|CY2023Q3</v>
      </c>
    </row>
    <row r="3237" spans="4:18" x14ac:dyDescent="0.2">
      <c r="D3237" t="s">
        <v>74</v>
      </c>
      <c r="E3237" t="s">
        <v>75</v>
      </c>
      <c r="F3237" t="s">
        <v>76</v>
      </c>
      <c r="G3237" t="s">
        <v>150</v>
      </c>
      <c r="H3237" t="s">
        <v>150</v>
      </c>
      <c r="I3237" t="s">
        <v>32</v>
      </c>
      <c r="J3237" t="s">
        <v>33</v>
      </c>
      <c r="K3237" t="s">
        <v>29</v>
      </c>
      <c r="L3237" t="s">
        <v>30</v>
      </c>
      <c r="M3237" t="s">
        <v>139</v>
      </c>
      <c r="N3237">
        <v>653</v>
      </c>
      <c r="O3237" s="14">
        <v>0.92356659355573401</v>
      </c>
      <c r="P3237" s="14">
        <v>0.30305550759658201</v>
      </c>
      <c r="Q3237" t="str">
        <f t="shared" si="100"/>
        <v>01-09</v>
      </c>
      <c r="R3237" t="str">
        <f t="shared" si="101"/>
        <v>[lLDyBx5XyUi]|01-09|Female|Untreated_PLHIV_Attend.T_1|CY2023Q3</v>
      </c>
    </row>
    <row r="3238" spans="4:18" x14ac:dyDescent="0.2">
      <c r="D3238" t="s">
        <v>74</v>
      </c>
      <c r="E3238" t="s">
        <v>75</v>
      </c>
      <c r="F3238" t="s">
        <v>76</v>
      </c>
      <c r="G3238" t="s">
        <v>150</v>
      </c>
      <c r="H3238" t="s">
        <v>150</v>
      </c>
      <c r="I3238" t="s">
        <v>35</v>
      </c>
      <c r="J3238" t="s">
        <v>36</v>
      </c>
      <c r="K3238" t="s">
        <v>29</v>
      </c>
      <c r="L3238" t="s">
        <v>30</v>
      </c>
      <c r="M3238" t="s">
        <v>139</v>
      </c>
      <c r="N3238">
        <v>1329</v>
      </c>
      <c r="O3238" s="14">
        <v>0.73716132855042804</v>
      </c>
      <c r="P3238" s="14">
        <v>0.30305550759658201</v>
      </c>
      <c r="Q3238" t="str">
        <f t="shared" si="100"/>
        <v>10-14</v>
      </c>
      <c r="R3238" t="str">
        <f t="shared" si="101"/>
        <v>[lLDyBx5XyUi]|10-14|Female|Untreated_PLHIV_Attend.T_1|CY2023Q3</v>
      </c>
    </row>
    <row r="3239" spans="4:18" x14ac:dyDescent="0.2">
      <c r="D3239" t="s">
        <v>74</v>
      </c>
      <c r="E3239" t="s">
        <v>75</v>
      </c>
      <c r="F3239" t="s">
        <v>76</v>
      </c>
      <c r="G3239" t="s">
        <v>150</v>
      </c>
      <c r="H3239" t="s">
        <v>150</v>
      </c>
      <c r="I3239" t="s">
        <v>37</v>
      </c>
      <c r="J3239" t="s">
        <v>38</v>
      </c>
      <c r="K3239" t="s">
        <v>29</v>
      </c>
      <c r="L3239" t="s">
        <v>30</v>
      </c>
      <c r="M3239" t="s">
        <v>139</v>
      </c>
      <c r="N3239">
        <v>1680</v>
      </c>
      <c r="O3239" s="14">
        <v>0.84886205382645097</v>
      </c>
      <c r="P3239" s="14">
        <v>0.30305550759658201</v>
      </c>
      <c r="Q3239" t="str">
        <f t="shared" si="100"/>
        <v>15-24</v>
      </c>
      <c r="R3239" t="str">
        <f t="shared" si="101"/>
        <v>[lLDyBx5XyUi]|15-24|Female|Untreated_PLHIV_Attend.T_1|CY2023Q3</v>
      </c>
    </row>
    <row r="3240" spans="4:18" x14ac:dyDescent="0.2">
      <c r="D3240" t="s">
        <v>74</v>
      </c>
      <c r="E3240" t="s">
        <v>75</v>
      </c>
      <c r="F3240" t="s">
        <v>76</v>
      </c>
      <c r="G3240" t="s">
        <v>150</v>
      </c>
      <c r="H3240" t="s">
        <v>150</v>
      </c>
      <c r="I3240" t="s">
        <v>40</v>
      </c>
      <c r="J3240" t="s">
        <v>41</v>
      </c>
      <c r="K3240" t="s">
        <v>29</v>
      </c>
      <c r="L3240" t="s">
        <v>30</v>
      </c>
      <c r="M3240" t="s">
        <v>139</v>
      </c>
      <c r="N3240">
        <v>963</v>
      </c>
      <c r="O3240" s="14">
        <v>0.59964325977489397</v>
      </c>
      <c r="P3240" s="14">
        <v>0.30305550759658201</v>
      </c>
      <c r="Q3240" t="str">
        <f t="shared" si="100"/>
        <v>25-34</v>
      </c>
      <c r="R3240" t="str">
        <f t="shared" si="101"/>
        <v>[lLDyBx5XyUi]|25-34|Female|Untreated_PLHIV_Attend.T_1|CY2023Q3</v>
      </c>
    </row>
    <row r="3241" spans="4:18" x14ac:dyDescent="0.2">
      <c r="D3241" t="s">
        <v>74</v>
      </c>
      <c r="E3241" t="s">
        <v>75</v>
      </c>
      <c r="F3241" t="s">
        <v>76</v>
      </c>
      <c r="G3241" t="s">
        <v>150</v>
      </c>
      <c r="H3241" t="s">
        <v>150</v>
      </c>
      <c r="I3241" t="s">
        <v>42</v>
      </c>
      <c r="J3241" t="s">
        <v>43</v>
      </c>
      <c r="K3241" t="s">
        <v>29</v>
      </c>
      <c r="L3241" t="s">
        <v>30</v>
      </c>
      <c r="M3241" t="s">
        <v>139</v>
      </c>
      <c r="N3241">
        <v>1890</v>
      </c>
      <c r="O3241" s="14">
        <v>0.54995342413894799</v>
      </c>
      <c r="P3241" s="14">
        <v>0.30305550759658201</v>
      </c>
      <c r="Q3241" t="str">
        <f t="shared" si="100"/>
        <v>35-49</v>
      </c>
      <c r="R3241" t="str">
        <f t="shared" si="101"/>
        <v>[lLDyBx5XyUi]|35-49|Female|Untreated_PLHIV_Attend.T_1|CY2023Q3</v>
      </c>
    </row>
    <row r="3242" spans="4:18" x14ac:dyDescent="0.2">
      <c r="D3242" t="s">
        <v>74</v>
      </c>
      <c r="E3242" t="s">
        <v>75</v>
      </c>
      <c r="F3242" t="s">
        <v>76</v>
      </c>
      <c r="G3242" t="s">
        <v>150</v>
      </c>
      <c r="H3242" t="s">
        <v>150</v>
      </c>
      <c r="I3242" t="s">
        <v>44</v>
      </c>
      <c r="J3242" t="s">
        <v>45</v>
      </c>
      <c r="K3242" t="s">
        <v>29</v>
      </c>
      <c r="L3242" t="s">
        <v>30</v>
      </c>
      <c r="M3242" t="s">
        <v>139</v>
      </c>
      <c r="N3242">
        <v>1463</v>
      </c>
      <c r="O3242" s="14">
        <v>0.47849275823682502</v>
      </c>
      <c r="P3242" s="14">
        <v>0.30305550759658201</v>
      </c>
      <c r="Q3242" t="str">
        <f t="shared" si="100"/>
        <v>50+</v>
      </c>
      <c r="R3242" t="str">
        <f t="shared" si="101"/>
        <v>[lLDyBx5XyUi]|50+|Female|Untreated_PLHIV_Attend.T_1|CY2023Q3</v>
      </c>
    </row>
    <row r="3243" spans="4:18" x14ac:dyDescent="0.2">
      <c r="D3243" t="s">
        <v>74</v>
      </c>
      <c r="E3243" t="s">
        <v>75</v>
      </c>
      <c r="F3243" t="s">
        <v>76</v>
      </c>
      <c r="G3243" t="s">
        <v>150</v>
      </c>
      <c r="H3243" t="s">
        <v>150</v>
      </c>
      <c r="I3243" t="s">
        <v>27</v>
      </c>
      <c r="J3243" t="s">
        <v>28</v>
      </c>
      <c r="K3243" t="s">
        <v>47</v>
      </c>
      <c r="L3243" t="s">
        <v>48</v>
      </c>
      <c r="M3243" t="s">
        <v>139</v>
      </c>
      <c r="N3243">
        <v>1596</v>
      </c>
      <c r="O3243" s="14">
        <v>0.79764877515845001</v>
      </c>
      <c r="P3243" s="14">
        <v>0.30305550759658201</v>
      </c>
      <c r="Q3243" t="str">
        <f t="shared" si="100"/>
        <v>&lt;01</v>
      </c>
      <c r="R3243" t="str">
        <f t="shared" si="101"/>
        <v>[lLDyBx5XyUi]|&lt;01|Male|Untreated_PLHIV_Attend.T_1|CY2023Q3</v>
      </c>
    </row>
    <row r="3244" spans="4:18" x14ac:dyDescent="0.2">
      <c r="D3244" t="s">
        <v>74</v>
      </c>
      <c r="E3244" t="s">
        <v>75</v>
      </c>
      <c r="F3244" t="s">
        <v>76</v>
      </c>
      <c r="G3244" t="s">
        <v>150</v>
      </c>
      <c r="H3244" t="s">
        <v>150</v>
      </c>
      <c r="I3244" t="s">
        <v>32</v>
      </c>
      <c r="J3244" t="s">
        <v>33</v>
      </c>
      <c r="K3244" t="s">
        <v>47</v>
      </c>
      <c r="L3244" t="s">
        <v>48</v>
      </c>
      <c r="M3244" t="s">
        <v>139</v>
      </c>
      <c r="N3244">
        <v>1996</v>
      </c>
      <c r="O3244" s="14">
        <v>0.74214297626167502</v>
      </c>
      <c r="P3244" s="14">
        <v>0.30305550759658201</v>
      </c>
      <c r="Q3244" t="str">
        <f t="shared" si="100"/>
        <v>01-09</v>
      </c>
      <c r="R3244" t="str">
        <f t="shared" si="101"/>
        <v>[lLDyBx5XyUi]|01-09|Male|Untreated_PLHIV_Attend.T_1|CY2023Q3</v>
      </c>
    </row>
    <row r="3245" spans="4:18" x14ac:dyDescent="0.2">
      <c r="D3245" t="s">
        <v>74</v>
      </c>
      <c r="E3245" t="s">
        <v>75</v>
      </c>
      <c r="F3245" t="s">
        <v>76</v>
      </c>
      <c r="G3245" t="s">
        <v>150</v>
      </c>
      <c r="H3245" t="s">
        <v>150</v>
      </c>
      <c r="I3245" t="s">
        <v>35</v>
      </c>
      <c r="J3245" t="s">
        <v>36</v>
      </c>
      <c r="K3245" t="s">
        <v>47</v>
      </c>
      <c r="L3245" t="s">
        <v>48</v>
      </c>
      <c r="M3245" t="s">
        <v>139</v>
      </c>
      <c r="N3245">
        <v>1233</v>
      </c>
      <c r="O3245" s="14">
        <v>0.99266856047324803</v>
      </c>
      <c r="P3245" s="14">
        <v>0.30305550759658201</v>
      </c>
      <c r="Q3245" t="str">
        <f t="shared" si="100"/>
        <v>10-14</v>
      </c>
      <c r="R3245" t="str">
        <f t="shared" si="101"/>
        <v>[lLDyBx5XyUi]|10-14|Male|Untreated_PLHIV_Attend.T_1|CY2023Q3</v>
      </c>
    </row>
    <row r="3246" spans="4:18" x14ac:dyDescent="0.2">
      <c r="D3246" t="s">
        <v>74</v>
      </c>
      <c r="E3246" t="s">
        <v>75</v>
      </c>
      <c r="F3246" t="s">
        <v>76</v>
      </c>
      <c r="G3246" t="s">
        <v>150</v>
      </c>
      <c r="H3246" t="s">
        <v>150</v>
      </c>
      <c r="I3246" t="s">
        <v>37</v>
      </c>
      <c r="J3246" t="s">
        <v>38</v>
      </c>
      <c r="K3246" t="s">
        <v>47</v>
      </c>
      <c r="L3246" t="s">
        <v>48</v>
      </c>
      <c r="M3246" t="s">
        <v>139</v>
      </c>
      <c r="N3246">
        <v>1748</v>
      </c>
      <c r="O3246" s="14">
        <v>0.324644448701292</v>
      </c>
      <c r="P3246" s="14">
        <v>0.30305550759658201</v>
      </c>
      <c r="Q3246" t="str">
        <f t="shared" si="100"/>
        <v>15-24</v>
      </c>
      <c r="R3246" t="str">
        <f t="shared" si="101"/>
        <v>[lLDyBx5XyUi]|15-24|Male|Untreated_PLHIV_Attend.T_1|CY2023Q3</v>
      </c>
    </row>
    <row r="3247" spans="4:18" x14ac:dyDescent="0.2">
      <c r="D3247" t="s">
        <v>74</v>
      </c>
      <c r="E3247" t="s">
        <v>75</v>
      </c>
      <c r="F3247" t="s">
        <v>76</v>
      </c>
      <c r="G3247" t="s">
        <v>150</v>
      </c>
      <c r="H3247" t="s">
        <v>150</v>
      </c>
      <c r="I3247" t="s">
        <v>40</v>
      </c>
      <c r="J3247" t="s">
        <v>41</v>
      </c>
      <c r="K3247" t="s">
        <v>47</v>
      </c>
      <c r="L3247" t="s">
        <v>48</v>
      </c>
      <c r="M3247" t="s">
        <v>139</v>
      </c>
      <c r="N3247">
        <v>1980</v>
      </c>
      <c r="O3247" s="14">
        <v>0.103089638520032</v>
      </c>
      <c r="P3247" s="14">
        <v>0.30305550759658201</v>
      </c>
      <c r="Q3247" t="str">
        <f t="shared" si="100"/>
        <v>25-34</v>
      </c>
      <c r="R3247" t="str">
        <f t="shared" si="101"/>
        <v>[lLDyBx5XyUi]|25-34|Male|Untreated_PLHIV_Attend.T_1|CY2023Q3</v>
      </c>
    </row>
    <row r="3248" spans="4:18" x14ac:dyDescent="0.2">
      <c r="D3248" t="s">
        <v>74</v>
      </c>
      <c r="E3248" t="s">
        <v>75</v>
      </c>
      <c r="F3248" t="s">
        <v>76</v>
      </c>
      <c r="G3248" t="s">
        <v>150</v>
      </c>
      <c r="H3248" t="s">
        <v>150</v>
      </c>
      <c r="I3248" t="s">
        <v>42</v>
      </c>
      <c r="J3248" t="s">
        <v>43</v>
      </c>
      <c r="K3248" t="s">
        <v>47</v>
      </c>
      <c r="L3248" t="s">
        <v>48</v>
      </c>
      <c r="M3248" t="s">
        <v>139</v>
      </c>
      <c r="N3248">
        <v>805</v>
      </c>
      <c r="O3248" s="14">
        <v>0.20879871025681501</v>
      </c>
      <c r="P3248" s="14">
        <v>0.30305550759658201</v>
      </c>
      <c r="Q3248" t="str">
        <f t="shared" si="100"/>
        <v>35-49</v>
      </c>
      <c r="R3248" t="str">
        <f t="shared" si="101"/>
        <v>[lLDyBx5XyUi]|35-49|Male|Untreated_PLHIV_Attend.T_1|CY2023Q3</v>
      </c>
    </row>
    <row r="3249" spans="4:18" x14ac:dyDescent="0.2">
      <c r="D3249" t="s">
        <v>74</v>
      </c>
      <c r="E3249" t="s">
        <v>75</v>
      </c>
      <c r="F3249" t="s">
        <v>76</v>
      </c>
      <c r="G3249" t="s">
        <v>150</v>
      </c>
      <c r="H3249" t="s">
        <v>150</v>
      </c>
      <c r="I3249" t="s">
        <v>44</v>
      </c>
      <c r="J3249" t="s">
        <v>45</v>
      </c>
      <c r="K3249" t="s">
        <v>47</v>
      </c>
      <c r="L3249" t="s">
        <v>48</v>
      </c>
      <c r="M3249" t="s">
        <v>139</v>
      </c>
      <c r="N3249">
        <v>939</v>
      </c>
      <c r="O3249" s="14">
        <v>0.98870631470345005</v>
      </c>
      <c r="P3249" s="14">
        <v>0.30305550759658201</v>
      </c>
      <c r="Q3249" t="str">
        <f t="shared" si="100"/>
        <v>50+</v>
      </c>
      <c r="R3249" t="str">
        <f t="shared" si="101"/>
        <v>[lLDyBx5XyUi]|50+|Male|Untreated_PLHIV_Attend.T_1|CY2023Q3</v>
      </c>
    </row>
    <row r="3250" spans="4:18" x14ac:dyDescent="0.2">
      <c r="D3250" t="s">
        <v>77</v>
      </c>
      <c r="E3250" t="s">
        <v>78</v>
      </c>
      <c r="F3250" t="s">
        <v>79</v>
      </c>
      <c r="G3250" t="s">
        <v>150</v>
      </c>
      <c r="H3250" t="s">
        <v>150</v>
      </c>
      <c r="I3250" t="s">
        <v>27</v>
      </c>
      <c r="J3250" t="s">
        <v>28</v>
      </c>
      <c r="K3250" t="s">
        <v>29</v>
      </c>
      <c r="L3250" t="s">
        <v>30</v>
      </c>
      <c r="M3250" t="s">
        <v>139</v>
      </c>
      <c r="N3250">
        <v>1238</v>
      </c>
      <c r="O3250" s="14">
        <v>0.23947984189726401</v>
      </c>
      <c r="P3250" s="14">
        <v>0.83159798220731296</v>
      </c>
      <c r="Q3250" t="str">
        <f t="shared" si="100"/>
        <v>&lt;01</v>
      </c>
      <c r="R3250" t="str">
        <f t="shared" si="101"/>
        <v>[TYnMSwzko3z]|&lt;01|Female|Untreated_PLHIV_Attend.T_1|CY2023Q3</v>
      </c>
    </row>
    <row r="3251" spans="4:18" x14ac:dyDescent="0.2">
      <c r="D3251" t="s">
        <v>77</v>
      </c>
      <c r="E3251" t="s">
        <v>78</v>
      </c>
      <c r="F3251" t="s">
        <v>79</v>
      </c>
      <c r="G3251" t="s">
        <v>150</v>
      </c>
      <c r="H3251" t="s">
        <v>150</v>
      </c>
      <c r="I3251" t="s">
        <v>32</v>
      </c>
      <c r="J3251" t="s">
        <v>33</v>
      </c>
      <c r="K3251" t="s">
        <v>29</v>
      </c>
      <c r="L3251" t="s">
        <v>30</v>
      </c>
      <c r="M3251" t="s">
        <v>139</v>
      </c>
      <c r="N3251">
        <v>1328</v>
      </c>
      <c r="O3251" s="14">
        <v>0.34369978588074401</v>
      </c>
      <c r="P3251" s="14">
        <v>0.83159798220731296</v>
      </c>
      <c r="Q3251" t="str">
        <f t="shared" si="100"/>
        <v>01-09</v>
      </c>
      <c r="R3251" t="str">
        <f t="shared" si="101"/>
        <v>[TYnMSwzko3z]|01-09|Female|Untreated_PLHIV_Attend.T_1|CY2023Q3</v>
      </c>
    </row>
    <row r="3252" spans="4:18" x14ac:dyDescent="0.2">
      <c r="D3252" t="s">
        <v>77</v>
      </c>
      <c r="E3252" t="s">
        <v>78</v>
      </c>
      <c r="F3252" t="s">
        <v>79</v>
      </c>
      <c r="G3252" t="s">
        <v>150</v>
      </c>
      <c r="H3252" t="s">
        <v>150</v>
      </c>
      <c r="I3252" t="s">
        <v>35</v>
      </c>
      <c r="J3252" t="s">
        <v>36</v>
      </c>
      <c r="K3252" t="s">
        <v>29</v>
      </c>
      <c r="L3252" t="s">
        <v>30</v>
      </c>
      <c r="M3252" t="s">
        <v>139</v>
      </c>
      <c r="N3252">
        <v>1948</v>
      </c>
      <c r="O3252" s="14">
        <v>1.7603558022528901E-2</v>
      </c>
      <c r="P3252" s="14">
        <v>0.83159798220731296</v>
      </c>
      <c r="Q3252" t="str">
        <f t="shared" si="100"/>
        <v>10-14</v>
      </c>
      <c r="R3252" t="str">
        <f t="shared" si="101"/>
        <v>[TYnMSwzko3z]|10-14|Female|Untreated_PLHIV_Attend.T_1|CY2023Q3</v>
      </c>
    </row>
    <row r="3253" spans="4:18" x14ac:dyDescent="0.2">
      <c r="D3253" t="s">
        <v>77</v>
      </c>
      <c r="E3253" t="s">
        <v>78</v>
      </c>
      <c r="F3253" t="s">
        <v>79</v>
      </c>
      <c r="G3253" t="s">
        <v>150</v>
      </c>
      <c r="H3253" t="s">
        <v>150</v>
      </c>
      <c r="I3253" t="s">
        <v>37</v>
      </c>
      <c r="J3253" t="s">
        <v>38</v>
      </c>
      <c r="K3253" t="s">
        <v>29</v>
      </c>
      <c r="L3253" t="s">
        <v>30</v>
      </c>
      <c r="M3253" t="s">
        <v>139</v>
      </c>
      <c r="N3253">
        <v>1743</v>
      </c>
      <c r="O3253" s="14">
        <v>0.50128823402337697</v>
      </c>
      <c r="P3253" s="14">
        <v>0.83159798220731296</v>
      </c>
      <c r="Q3253" t="str">
        <f t="shared" si="100"/>
        <v>15-24</v>
      </c>
      <c r="R3253" t="str">
        <f t="shared" si="101"/>
        <v>[TYnMSwzko3z]|15-24|Female|Untreated_PLHIV_Attend.T_1|CY2023Q3</v>
      </c>
    </row>
    <row r="3254" spans="4:18" x14ac:dyDescent="0.2">
      <c r="D3254" t="s">
        <v>77</v>
      </c>
      <c r="E3254" t="s">
        <v>78</v>
      </c>
      <c r="F3254" t="s">
        <v>79</v>
      </c>
      <c r="G3254" t="s">
        <v>150</v>
      </c>
      <c r="H3254" t="s">
        <v>150</v>
      </c>
      <c r="I3254" t="s">
        <v>40</v>
      </c>
      <c r="J3254" t="s">
        <v>41</v>
      </c>
      <c r="K3254" t="s">
        <v>29</v>
      </c>
      <c r="L3254" t="s">
        <v>30</v>
      </c>
      <c r="M3254" t="s">
        <v>139</v>
      </c>
      <c r="N3254">
        <v>1619</v>
      </c>
      <c r="O3254" s="14">
        <v>0.99117870256304696</v>
      </c>
      <c r="P3254" s="14">
        <v>0.83159798220731296</v>
      </c>
      <c r="Q3254" t="str">
        <f t="shared" si="100"/>
        <v>25-34</v>
      </c>
      <c r="R3254" t="str">
        <f t="shared" si="101"/>
        <v>[TYnMSwzko3z]|25-34|Female|Untreated_PLHIV_Attend.T_1|CY2023Q3</v>
      </c>
    </row>
    <row r="3255" spans="4:18" x14ac:dyDescent="0.2">
      <c r="D3255" t="s">
        <v>77</v>
      </c>
      <c r="E3255" t="s">
        <v>78</v>
      </c>
      <c r="F3255" t="s">
        <v>79</v>
      </c>
      <c r="G3255" t="s">
        <v>150</v>
      </c>
      <c r="H3255" t="s">
        <v>150</v>
      </c>
      <c r="I3255" t="s">
        <v>42</v>
      </c>
      <c r="J3255" t="s">
        <v>43</v>
      </c>
      <c r="K3255" t="s">
        <v>29</v>
      </c>
      <c r="L3255" t="s">
        <v>30</v>
      </c>
      <c r="M3255" t="s">
        <v>139</v>
      </c>
      <c r="N3255">
        <v>784</v>
      </c>
      <c r="O3255" s="14">
        <v>0.13964942749589701</v>
      </c>
      <c r="P3255" s="14">
        <v>0.83159798220731296</v>
      </c>
      <c r="Q3255" t="str">
        <f t="shared" si="100"/>
        <v>35-49</v>
      </c>
      <c r="R3255" t="str">
        <f t="shared" si="101"/>
        <v>[TYnMSwzko3z]|35-49|Female|Untreated_PLHIV_Attend.T_1|CY2023Q3</v>
      </c>
    </row>
    <row r="3256" spans="4:18" x14ac:dyDescent="0.2">
      <c r="D3256" t="s">
        <v>77</v>
      </c>
      <c r="E3256" t="s">
        <v>78</v>
      </c>
      <c r="F3256" t="s">
        <v>79</v>
      </c>
      <c r="G3256" t="s">
        <v>150</v>
      </c>
      <c r="H3256" t="s">
        <v>150</v>
      </c>
      <c r="I3256" t="s">
        <v>44</v>
      </c>
      <c r="J3256" t="s">
        <v>45</v>
      </c>
      <c r="K3256" t="s">
        <v>29</v>
      </c>
      <c r="L3256" t="s">
        <v>30</v>
      </c>
      <c r="M3256" t="s">
        <v>139</v>
      </c>
      <c r="N3256">
        <v>676</v>
      </c>
      <c r="O3256" s="14">
        <v>0.61682061036117397</v>
      </c>
      <c r="P3256" s="14">
        <v>0.83159798220731296</v>
      </c>
      <c r="Q3256" t="str">
        <f t="shared" si="100"/>
        <v>50+</v>
      </c>
      <c r="R3256" t="str">
        <f t="shared" si="101"/>
        <v>[TYnMSwzko3z]|50+|Female|Untreated_PLHIV_Attend.T_1|CY2023Q3</v>
      </c>
    </row>
    <row r="3257" spans="4:18" x14ac:dyDescent="0.2">
      <c r="D3257" t="s">
        <v>77</v>
      </c>
      <c r="E3257" t="s">
        <v>78</v>
      </c>
      <c r="F3257" t="s">
        <v>79</v>
      </c>
      <c r="G3257" t="s">
        <v>150</v>
      </c>
      <c r="H3257" t="s">
        <v>150</v>
      </c>
      <c r="I3257" t="s">
        <v>27</v>
      </c>
      <c r="J3257" t="s">
        <v>28</v>
      </c>
      <c r="K3257" t="s">
        <v>47</v>
      </c>
      <c r="L3257" t="s">
        <v>48</v>
      </c>
      <c r="M3257" t="s">
        <v>139</v>
      </c>
      <c r="N3257">
        <v>1445</v>
      </c>
      <c r="O3257" s="14">
        <v>0.55208826111629605</v>
      </c>
      <c r="P3257" s="14">
        <v>0.83159798220731296</v>
      </c>
      <c r="Q3257" t="str">
        <f t="shared" si="100"/>
        <v>&lt;01</v>
      </c>
      <c r="R3257" t="str">
        <f t="shared" si="101"/>
        <v>[TYnMSwzko3z]|&lt;01|Male|Untreated_PLHIV_Attend.T_1|CY2023Q3</v>
      </c>
    </row>
    <row r="3258" spans="4:18" x14ac:dyDescent="0.2">
      <c r="D3258" t="s">
        <v>77</v>
      </c>
      <c r="E3258" t="s">
        <v>78</v>
      </c>
      <c r="F3258" t="s">
        <v>79</v>
      </c>
      <c r="G3258" t="s">
        <v>150</v>
      </c>
      <c r="H3258" t="s">
        <v>150</v>
      </c>
      <c r="I3258" t="s">
        <v>32</v>
      </c>
      <c r="J3258" t="s">
        <v>33</v>
      </c>
      <c r="K3258" t="s">
        <v>47</v>
      </c>
      <c r="L3258" t="s">
        <v>48</v>
      </c>
      <c r="M3258" t="s">
        <v>139</v>
      </c>
      <c r="N3258">
        <v>637</v>
      </c>
      <c r="O3258" s="14">
        <v>0.57019512378610704</v>
      </c>
      <c r="P3258" s="14">
        <v>0.83159798220731296</v>
      </c>
      <c r="Q3258" t="str">
        <f t="shared" si="100"/>
        <v>01-09</v>
      </c>
      <c r="R3258" t="str">
        <f t="shared" si="101"/>
        <v>[TYnMSwzko3z]|01-09|Male|Untreated_PLHIV_Attend.T_1|CY2023Q3</v>
      </c>
    </row>
    <row r="3259" spans="4:18" x14ac:dyDescent="0.2">
      <c r="D3259" t="s">
        <v>77</v>
      </c>
      <c r="E3259" t="s">
        <v>78</v>
      </c>
      <c r="F3259" t="s">
        <v>79</v>
      </c>
      <c r="G3259" t="s">
        <v>150</v>
      </c>
      <c r="H3259" t="s">
        <v>150</v>
      </c>
      <c r="I3259" t="s">
        <v>35</v>
      </c>
      <c r="J3259" t="s">
        <v>36</v>
      </c>
      <c r="K3259" t="s">
        <v>47</v>
      </c>
      <c r="L3259" t="s">
        <v>48</v>
      </c>
      <c r="M3259" t="s">
        <v>139</v>
      </c>
      <c r="N3259">
        <v>530</v>
      </c>
      <c r="O3259" s="14">
        <v>1.5656560426577901E-2</v>
      </c>
      <c r="P3259" s="14">
        <v>0.83159798220731296</v>
      </c>
      <c r="Q3259" t="str">
        <f t="shared" si="100"/>
        <v>10-14</v>
      </c>
      <c r="R3259" t="str">
        <f t="shared" si="101"/>
        <v>[TYnMSwzko3z]|10-14|Male|Untreated_PLHIV_Attend.T_1|CY2023Q3</v>
      </c>
    </row>
    <row r="3260" spans="4:18" x14ac:dyDescent="0.2">
      <c r="D3260" t="s">
        <v>77</v>
      </c>
      <c r="E3260" t="s">
        <v>78</v>
      </c>
      <c r="F3260" t="s">
        <v>79</v>
      </c>
      <c r="G3260" t="s">
        <v>150</v>
      </c>
      <c r="H3260" t="s">
        <v>150</v>
      </c>
      <c r="I3260" t="s">
        <v>37</v>
      </c>
      <c r="J3260" t="s">
        <v>38</v>
      </c>
      <c r="K3260" t="s">
        <v>47</v>
      </c>
      <c r="L3260" t="s">
        <v>48</v>
      </c>
      <c r="M3260" t="s">
        <v>139</v>
      </c>
      <c r="N3260">
        <v>763</v>
      </c>
      <c r="O3260" s="14">
        <v>0.68142900778911997</v>
      </c>
      <c r="P3260" s="14">
        <v>0.83159798220731296</v>
      </c>
      <c r="Q3260" t="str">
        <f t="shared" si="100"/>
        <v>15-24</v>
      </c>
      <c r="R3260" t="str">
        <f t="shared" si="101"/>
        <v>[TYnMSwzko3z]|15-24|Male|Untreated_PLHIV_Attend.T_1|CY2023Q3</v>
      </c>
    </row>
    <row r="3261" spans="4:18" x14ac:dyDescent="0.2">
      <c r="D3261" t="s">
        <v>77</v>
      </c>
      <c r="E3261" t="s">
        <v>78</v>
      </c>
      <c r="F3261" t="s">
        <v>79</v>
      </c>
      <c r="G3261" t="s">
        <v>150</v>
      </c>
      <c r="H3261" t="s">
        <v>150</v>
      </c>
      <c r="I3261" t="s">
        <v>40</v>
      </c>
      <c r="J3261" t="s">
        <v>41</v>
      </c>
      <c r="K3261" t="s">
        <v>47</v>
      </c>
      <c r="L3261" t="s">
        <v>48</v>
      </c>
      <c r="M3261" t="s">
        <v>139</v>
      </c>
      <c r="N3261">
        <v>519</v>
      </c>
      <c r="O3261" s="14">
        <v>0.32711515948176401</v>
      </c>
      <c r="P3261" s="14">
        <v>0.83159798220731296</v>
      </c>
      <c r="Q3261" t="str">
        <f t="shared" si="100"/>
        <v>25-34</v>
      </c>
      <c r="R3261" t="str">
        <f t="shared" si="101"/>
        <v>[TYnMSwzko3z]|25-34|Male|Untreated_PLHIV_Attend.T_1|CY2023Q3</v>
      </c>
    </row>
    <row r="3262" spans="4:18" x14ac:dyDescent="0.2">
      <c r="D3262" t="s">
        <v>77</v>
      </c>
      <c r="E3262" t="s">
        <v>78</v>
      </c>
      <c r="F3262" t="s">
        <v>79</v>
      </c>
      <c r="G3262" t="s">
        <v>150</v>
      </c>
      <c r="H3262" t="s">
        <v>150</v>
      </c>
      <c r="I3262" t="s">
        <v>42</v>
      </c>
      <c r="J3262" t="s">
        <v>43</v>
      </c>
      <c r="K3262" t="s">
        <v>47</v>
      </c>
      <c r="L3262" t="s">
        <v>48</v>
      </c>
      <c r="M3262" t="s">
        <v>139</v>
      </c>
      <c r="N3262">
        <v>1384</v>
      </c>
      <c r="O3262" s="14">
        <v>0.37794365594163498</v>
      </c>
      <c r="P3262" s="14">
        <v>0.83159798220731296</v>
      </c>
      <c r="Q3262" t="str">
        <f t="shared" si="100"/>
        <v>35-49</v>
      </c>
      <c r="R3262" t="str">
        <f t="shared" si="101"/>
        <v>[TYnMSwzko3z]|35-49|Male|Untreated_PLHIV_Attend.T_1|CY2023Q3</v>
      </c>
    </row>
    <row r="3263" spans="4:18" x14ac:dyDescent="0.2">
      <c r="D3263" t="s">
        <v>77</v>
      </c>
      <c r="E3263" t="s">
        <v>78</v>
      </c>
      <c r="F3263" t="s">
        <v>79</v>
      </c>
      <c r="G3263" t="s">
        <v>150</v>
      </c>
      <c r="H3263" t="s">
        <v>150</v>
      </c>
      <c r="I3263" t="s">
        <v>44</v>
      </c>
      <c r="J3263" t="s">
        <v>45</v>
      </c>
      <c r="K3263" t="s">
        <v>47</v>
      </c>
      <c r="L3263" t="s">
        <v>48</v>
      </c>
      <c r="M3263" t="s">
        <v>139</v>
      </c>
      <c r="N3263">
        <v>1058</v>
      </c>
      <c r="O3263" s="14">
        <v>4.8366104019805803E-2</v>
      </c>
      <c r="P3263" s="14">
        <v>0.83159798220731296</v>
      </c>
      <c r="Q3263" t="str">
        <f t="shared" si="100"/>
        <v>50+</v>
      </c>
      <c r="R3263" t="str">
        <f t="shared" si="101"/>
        <v>[TYnMSwzko3z]|50+|Male|Untreated_PLHIV_Attend.T_1|CY2023Q3</v>
      </c>
    </row>
    <row r="3264" spans="4:18" x14ac:dyDescent="0.2">
      <c r="D3264" t="s">
        <v>80</v>
      </c>
      <c r="E3264" t="s">
        <v>81</v>
      </c>
      <c r="F3264" t="s">
        <v>82</v>
      </c>
      <c r="G3264" t="s">
        <v>150</v>
      </c>
      <c r="H3264" t="s">
        <v>150</v>
      </c>
      <c r="I3264" t="s">
        <v>27</v>
      </c>
      <c r="J3264" t="s">
        <v>28</v>
      </c>
      <c r="K3264" t="s">
        <v>29</v>
      </c>
      <c r="L3264" t="s">
        <v>30</v>
      </c>
      <c r="M3264" t="s">
        <v>139</v>
      </c>
      <c r="N3264">
        <v>1379</v>
      </c>
      <c r="O3264" s="14">
        <v>0.93244394729845204</v>
      </c>
      <c r="P3264" s="14">
        <v>0.14333142153918699</v>
      </c>
      <c r="Q3264" t="str">
        <f t="shared" si="100"/>
        <v>&lt;01</v>
      </c>
      <c r="R3264" t="str">
        <f t="shared" si="101"/>
        <v>[ir8wuHHzoSs]|&lt;01|Female|Untreated_PLHIV_Attend.T_1|CY2023Q3</v>
      </c>
    </row>
    <row r="3265" spans="4:18" x14ac:dyDescent="0.2">
      <c r="D3265" t="s">
        <v>80</v>
      </c>
      <c r="E3265" t="s">
        <v>81</v>
      </c>
      <c r="F3265" t="s">
        <v>82</v>
      </c>
      <c r="G3265" t="s">
        <v>150</v>
      </c>
      <c r="H3265" t="s">
        <v>150</v>
      </c>
      <c r="I3265" t="s">
        <v>32</v>
      </c>
      <c r="J3265" t="s">
        <v>33</v>
      </c>
      <c r="K3265" t="s">
        <v>29</v>
      </c>
      <c r="L3265" t="s">
        <v>30</v>
      </c>
      <c r="M3265" t="s">
        <v>139</v>
      </c>
      <c r="N3265">
        <v>1073</v>
      </c>
      <c r="O3265" s="14">
        <v>0.55864391801878799</v>
      </c>
      <c r="P3265" s="14">
        <v>0.14333142153918699</v>
      </c>
      <c r="Q3265" t="str">
        <f t="shared" si="100"/>
        <v>01-09</v>
      </c>
      <c r="R3265" t="str">
        <f t="shared" si="101"/>
        <v>[ir8wuHHzoSs]|01-09|Female|Untreated_PLHIV_Attend.T_1|CY2023Q3</v>
      </c>
    </row>
    <row r="3266" spans="4:18" x14ac:dyDescent="0.2">
      <c r="D3266" t="s">
        <v>80</v>
      </c>
      <c r="E3266" t="s">
        <v>81</v>
      </c>
      <c r="F3266" t="s">
        <v>82</v>
      </c>
      <c r="G3266" t="s">
        <v>150</v>
      </c>
      <c r="H3266" t="s">
        <v>150</v>
      </c>
      <c r="I3266" t="s">
        <v>35</v>
      </c>
      <c r="J3266" t="s">
        <v>36</v>
      </c>
      <c r="K3266" t="s">
        <v>29</v>
      </c>
      <c r="L3266" t="s">
        <v>30</v>
      </c>
      <c r="M3266" t="s">
        <v>139</v>
      </c>
      <c r="N3266">
        <v>1259</v>
      </c>
      <c r="O3266" s="14">
        <v>0.73109948216006204</v>
      </c>
      <c r="P3266" s="14">
        <v>0.14333142153918699</v>
      </c>
      <c r="Q3266" t="str">
        <f t="shared" ref="Q3266:Q3329" si="102">SUBSTITUTE(SUBSTITUTE($I3266,CHAR(61),""),CHAR(34),"")</f>
        <v>10-14</v>
      </c>
      <c r="R3266" t="str">
        <f t="shared" ref="R3266:R3329" si="103">IF($D3266&lt;&gt;"","["&amp;$E3266&amp;"]"&amp;"|"&amp;$Q3266&amp;"|"&amp;$K3266&amp;"|"&amp;$G3266&amp;"|"&amp;IF($G3266="TX_CURR_SUBNAT.R","CY2022Q4",$M3266),"")</f>
        <v>[ir8wuHHzoSs]|10-14|Female|Untreated_PLHIV_Attend.T_1|CY2023Q3</v>
      </c>
    </row>
    <row r="3267" spans="4:18" x14ac:dyDescent="0.2">
      <c r="D3267" t="s">
        <v>80</v>
      </c>
      <c r="E3267" t="s">
        <v>81</v>
      </c>
      <c r="F3267" t="s">
        <v>82</v>
      </c>
      <c r="G3267" t="s">
        <v>150</v>
      </c>
      <c r="H3267" t="s">
        <v>150</v>
      </c>
      <c r="I3267" t="s">
        <v>37</v>
      </c>
      <c r="J3267" t="s">
        <v>38</v>
      </c>
      <c r="K3267" t="s">
        <v>29</v>
      </c>
      <c r="L3267" t="s">
        <v>30</v>
      </c>
      <c r="M3267" t="s">
        <v>139</v>
      </c>
      <c r="N3267">
        <v>1760</v>
      </c>
      <c r="O3267" s="14">
        <v>0.973648939747363</v>
      </c>
      <c r="P3267" s="14">
        <v>0.14333142153918699</v>
      </c>
      <c r="Q3267" t="str">
        <f t="shared" si="102"/>
        <v>15-24</v>
      </c>
      <c r="R3267" t="str">
        <f t="shared" si="103"/>
        <v>[ir8wuHHzoSs]|15-24|Female|Untreated_PLHIV_Attend.T_1|CY2023Q3</v>
      </c>
    </row>
    <row r="3268" spans="4:18" x14ac:dyDescent="0.2">
      <c r="D3268" t="s">
        <v>80</v>
      </c>
      <c r="E3268" t="s">
        <v>81</v>
      </c>
      <c r="F3268" t="s">
        <v>82</v>
      </c>
      <c r="G3268" t="s">
        <v>150</v>
      </c>
      <c r="H3268" t="s">
        <v>150</v>
      </c>
      <c r="I3268" t="s">
        <v>40</v>
      </c>
      <c r="J3268" t="s">
        <v>41</v>
      </c>
      <c r="K3268" t="s">
        <v>29</v>
      </c>
      <c r="L3268" t="s">
        <v>30</v>
      </c>
      <c r="M3268" t="s">
        <v>139</v>
      </c>
      <c r="N3268">
        <v>1382</v>
      </c>
      <c r="O3268" s="14">
        <v>0.46959814499132302</v>
      </c>
      <c r="P3268" s="14">
        <v>0.14333142153918699</v>
      </c>
      <c r="Q3268" t="str">
        <f t="shared" si="102"/>
        <v>25-34</v>
      </c>
      <c r="R3268" t="str">
        <f t="shared" si="103"/>
        <v>[ir8wuHHzoSs]|25-34|Female|Untreated_PLHIV_Attend.T_1|CY2023Q3</v>
      </c>
    </row>
    <row r="3269" spans="4:18" x14ac:dyDescent="0.2">
      <c r="D3269" t="s">
        <v>80</v>
      </c>
      <c r="E3269" t="s">
        <v>81</v>
      </c>
      <c r="F3269" t="s">
        <v>82</v>
      </c>
      <c r="G3269" t="s">
        <v>150</v>
      </c>
      <c r="H3269" t="s">
        <v>150</v>
      </c>
      <c r="I3269" t="s">
        <v>42</v>
      </c>
      <c r="J3269" t="s">
        <v>43</v>
      </c>
      <c r="K3269" t="s">
        <v>29</v>
      </c>
      <c r="L3269" t="s">
        <v>30</v>
      </c>
      <c r="M3269" t="s">
        <v>139</v>
      </c>
      <c r="N3269">
        <v>1852</v>
      </c>
      <c r="O3269" s="14">
        <v>0.49101381562650198</v>
      </c>
      <c r="P3269" s="14">
        <v>0.14333142153918699</v>
      </c>
      <c r="Q3269" t="str">
        <f t="shared" si="102"/>
        <v>35-49</v>
      </c>
      <c r="R3269" t="str">
        <f t="shared" si="103"/>
        <v>[ir8wuHHzoSs]|35-49|Female|Untreated_PLHIV_Attend.T_1|CY2023Q3</v>
      </c>
    </row>
    <row r="3270" spans="4:18" x14ac:dyDescent="0.2">
      <c r="D3270" t="s">
        <v>80</v>
      </c>
      <c r="E3270" t="s">
        <v>81</v>
      </c>
      <c r="F3270" t="s">
        <v>82</v>
      </c>
      <c r="G3270" t="s">
        <v>150</v>
      </c>
      <c r="H3270" t="s">
        <v>150</v>
      </c>
      <c r="I3270" t="s">
        <v>44</v>
      </c>
      <c r="J3270" t="s">
        <v>45</v>
      </c>
      <c r="K3270" t="s">
        <v>29</v>
      </c>
      <c r="L3270" t="s">
        <v>30</v>
      </c>
      <c r="M3270" t="s">
        <v>139</v>
      </c>
      <c r="N3270">
        <v>857</v>
      </c>
      <c r="O3270" s="14">
        <v>0.88512915326282404</v>
      </c>
      <c r="P3270" s="14">
        <v>0.14333142153918699</v>
      </c>
      <c r="Q3270" t="str">
        <f t="shared" si="102"/>
        <v>50+</v>
      </c>
      <c r="R3270" t="str">
        <f t="shared" si="103"/>
        <v>[ir8wuHHzoSs]|50+|Female|Untreated_PLHIV_Attend.T_1|CY2023Q3</v>
      </c>
    </row>
    <row r="3271" spans="4:18" x14ac:dyDescent="0.2">
      <c r="D3271" t="s">
        <v>80</v>
      </c>
      <c r="E3271" t="s">
        <v>81</v>
      </c>
      <c r="F3271" t="s">
        <v>82</v>
      </c>
      <c r="G3271" t="s">
        <v>150</v>
      </c>
      <c r="H3271" t="s">
        <v>150</v>
      </c>
      <c r="I3271" t="s">
        <v>27</v>
      </c>
      <c r="J3271" t="s">
        <v>28</v>
      </c>
      <c r="K3271" t="s">
        <v>47</v>
      </c>
      <c r="L3271" t="s">
        <v>48</v>
      </c>
      <c r="M3271" t="s">
        <v>139</v>
      </c>
      <c r="N3271">
        <v>665</v>
      </c>
      <c r="O3271" s="14">
        <v>0.161382053745911</v>
      </c>
      <c r="P3271" s="14">
        <v>0.14333142153918699</v>
      </c>
      <c r="Q3271" t="str">
        <f t="shared" si="102"/>
        <v>&lt;01</v>
      </c>
      <c r="R3271" t="str">
        <f t="shared" si="103"/>
        <v>[ir8wuHHzoSs]|&lt;01|Male|Untreated_PLHIV_Attend.T_1|CY2023Q3</v>
      </c>
    </row>
    <row r="3272" spans="4:18" x14ac:dyDescent="0.2">
      <c r="D3272" t="s">
        <v>80</v>
      </c>
      <c r="E3272" t="s">
        <v>81</v>
      </c>
      <c r="F3272" t="s">
        <v>82</v>
      </c>
      <c r="G3272" t="s">
        <v>150</v>
      </c>
      <c r="H3272" t="s">
        <v>150</v>
      </c>
      <c r="I3272" t="s">
        <v>32</v>
      </c>
      <c r="J3272" t="s">
        <v>33</v>
      </c>
      <c r="K3272" t="s">
        <v>47</v>
      </c>
      <c r="L3272" t="s">
        <v>48</v>
      </c>
      <c r="M3272" t="s">
        <v>139</v>
      </c>
      <c r="N3272">
        <v>1501</v>
      </c>
      <c r="O3272" s="14">
        <v>0.179060612339526</v>
      </c>
      <c r="P3272" s="14">
        <v>0.14333142153918699</v>
      </c>
      <c r="Q3272" t="str">
        <f t="shared" si="102"/>
        <v>01-09</v>
      </c>
      <c r="R3272" t="str">
        <f t="shared" si="103"/>
        <v>[ir8wuHHzoSs]|01-09|Male|Untreated_PLHIV_Attend.T_1|CY2023Q3</v>
      </c>
    </row>
    <row r="3273" spans="4:18" x14ac:dyDescent="0.2">
      <c r="D3273" t="s">
        <v>80</v>
      </c>
      <c r="E3273" t="s">
        <v>81</v>
      </c>
      <c r="F3273" t="s">
        <v>82</v>
      </c>
      <c r="G3273" t="s">
        <v>150</v>
      </c>
      <c r="H3273" t="s">
        <v>150</v>
      </c>
      <c r="I3273" t="s">
        <v>35</v>
      </c>
      <c r="J3273" t="s">
        <v>36</v>
      </c>
      <c r="K3273" t="s">
        <v>47</v>
      </c>
      <c r="L3273" t="s">
        <v>48</v>
      </c>
      <c r="M3273" t="s">
        <v>139</v>
      </c>
      <c r="N3273">
        <v>1729</v>
      </c>
      <c r="O3273" s="14">
        <v>0.42363548907451298</v>
      </c>
      <c r="P3273" s="14">
        <v>0.14333142153918699</v>
      </c>
      <c r="Q3273" t="str">
        <f t="shared" si="102"/>
        <v>10-14</v>
      </c>
      <c r="R3273" t="str">
        <f t="shared" si="103"/>
        <v>[ir8wuHHzoSs]|10-14|Male|Untreated_PLHIV_Attend.T_1|CY2023Q3</v>
      </c>
    </row>
    <row r="3274" spans="4:18" x14ac:dyDescent="0.2">
      <c r="D3274" t="s">
        <v>80</v>
      </c>
      <c r="E3274" t="s">
        <v>81</v>
      </c>
      <c r="F3274" t="s">
        <v>82</v>
      </c>
      <c r="G3274" t="s">
        <v>150</v>
      </c>
      <c r="H3274" t="s">
        <v>150</v>
      </c>
      <c r="I3274" t="s">
        <v>37</v>
      </c>
      <c r="J3274" t="s">
        <v>38</v>
      </c>
      <c r="K3274" t="s">
        <v>47</v>
      </c>
      <c r="L3274" t="s">
        <v>48</v>
      </c>
      <c r="M3274" t="s">
        <v>139</v>
      </c>
      <c r="N3274">
        <v>1709</v>
      </c>
      <c r="O3274" s="14">
        <v>0.62306381226517304</v>
      </c>
      <c r="P3274" s="14">
        <v>0.14333142153918699</v>
      </c>
      <c r="Q3274" t="str">
        <f t="shared" si="102"/>
        <v>15-24</v>
      </c>
      <c r="R3274" t="str">
        <f t="shared" si="103"/>
        <v>[ir8wuHHzoSs]|15-24|Male|Untreated_PLHIV_Attend.T_1|CY2023Q3</v>
      </c>
    </row>
    <row r="3275" spans="4:18" x14ac:dyDescent="0.2">
      <c r="D3275" t="s">
        <v>80</v>
      </c>
      <c r="E3275" t="s">
        <v>81</v>
      </c>
      <c r="F3275" t="s">
        <v>82</v>
      </c>
      <c r="G3275" t="s">
        <v>150</v>
      </c>
      <c r="H3275" t="s">
        <v>150</v>
      </c>
      <c r="I3275" t="s">
        <v>40</v>
      </c>
      <c r="J3275" t="s">
        <v>41</v>
      </c>
      <c r="K3275" t="s">
        <v>47</v>
      </c>
      <c r="L3275" t="s">
        <v>48</v>
      </c>
      <c r="M3275" t="s">
        <v>139</v>
      </c>
      <c r="N3275">
        <v>1886</v>
      </c>
      <c r="O3275" s="14">
        <v>0.49136343738064198</v>
      </c>
      <c r="P3275" s="14">
        <v>0.14333142153918699</v>
      </c>
      <c r="Q3275" t="str">
        <f t="shared" si="102"/>
        <v>25-34</v>
      </c>
      <c r="R3275" t="str">
        <f t="shared" si="103"/>
        <v>[ir8wuHHzoSs]|25-34|Male|Untreated_PLHIV_Attend.T_1|CY2023Q3</v>
      </c>
    </row>
    <row r="3276" spans="4:18" x14ac:dyDescent="0.2">
      <c r="D3276" t="s">
        <v>80</v>
      </c>
      <c r="E3276" t="s">
        <v>81</v>
      </c>
      <c r="F3276" t="s">
        <v>82</v>
      </c>
      <c r="G3276" t="s">
        <v>150</v>
      </c>
      <c r="H3276" t="s">
        <v>150</v>
      </c>
      <c r="I3276" t="s">
        <v>42</v>
      </c>
      <c r="J3276" t="s">
        <v>43</v>
      </c>
      <c r="K3276" t="s">
        <v>47</v>
      </c>
      <c r="L3276" t="s">
        <v>48</v>
      </c>
      <c r="M3276" t="s">
        <v>139</v>
      </c>
      <c r="N3276">
        <v>1672</v>
      </c>
      <c r="O3276" s="14">
        <v>0.537275144830346</v>
      </c>
      <c r="P3276" s="14">
        <v>0.14333142153918699</v>
      </c>
      <c r="Q3276" t="str">
        <f t="shared" si="102"/>
        <v>35-49</v>
      </c>
      <c r="R3276" t="str">
        <f t="shared" si="103"/>
        <v>[ir8wuHHzoSs]|35-49|Male|Untreated_PLHIV_Attend.T_1|CY2023Q3</v>
      </c>
    </row>
    <row r="3277" spans="4:18" x14ac:dyDescent="0.2">
      <c r="D3277" t="s">
        <v>80</v>
      </c>
      <c r="E3277" t="s">
        <v>81</v>
      </c>
      <c r="F3277" t="s">
        <v>82</v>
      </c>
      <c r="G3277" t="s">
        <v>150</v>
      </c>
      <c r="H3277" t="s">
        <v>150</v>
      </c>
      <c r="I3277" t="s">
        <v>44</v>
      </c>
      <c r="J3277" t="s">
        <v>45</v>
      </c>
      <c r="K3277" t="s">
        <v>47</v>
      </c>
      <c r="L3277" t="s">
        <v>48</v>
      </c>
      <c r="M3277" t="s">
        <v>139</v>
      </c>
      <c r="N3277">
        <v>1418</v>
      </c>
      <c r="O3277" s="14">
        <v>8.3448160672560306E-2</v>
      </c>
      <c r="P3277" s="14">
        <v>0.14333142153918699</v>
      </c>
      <c r="Q3277" t="str">
        <f t="shared" si="102"/>
        <v>50+</v>
      </c>
      <c r="R3277" t="str">
        <f t="shared" si="103"/>
        <v>[ir8wuHHzoSs]|50+|Male|Untreated_PLHIV_Attend.T_1|CY2023Q3</v>
      </c>
    </row>
    <row r="3278" spans="4:18" x14ac:dyDescent="0.2">
      <c r="D3278" t="s">
        <v>83</v>
      </c>
      <c r="E3278" t="s">
        <v>84</v>
      </c>
      <c r="F3278" t="s">
        <v>85</v>
      </c>
      <c r="G3278" t="s">
        <v>150</v>
      </c>
      <c r="H3278" t="s">
        <v>150</v>
      </c>
      <c r="I3278" t="s">
        <v>27</v>
      </c>
      <c r="J3278" t="s">
        <v>28</v>
      </c>
      <c r="K3278" t="s">
        <v>29</v>
      </c>
      <c r="L3278" t="s">
        <v>30</v>
      </c>
      <c r="M3278" t="s">
        <v>139</v>
      </c>
      <c r="N3278">
        <v>1031</v>
      </c>
      <c r="O3278" s="14">
        <v>0.36328961001709098</v>
      </c>
      <c r="P3278" s="14">
        <v>2.9788714367896301E-2</v>
      </c>
      <c r="Q3278" t="str">
        <f t="shared" si="102"/>
        <v>&lt;01</v>
      </c>
      <c r="R3278" t="str">
        <f t="shared" si="103"/>
        <v>[fyEoGEPERdI]|&lt;01|Female|Untreated_PLHIV_Attend.T_1|CY2023Q3</v>
      </c>
    </row>
    <row r="3279" spans="4:18" x14ac:dyDescent="0.2">
      <c r="D3279" t="s">
        <v>83</v>
      </c>
      <c r="E3279" t="s">
        <v>84</v>
      </c>
      <c r="F3279" t="s">
        <v>85</v>
      </c>
      <c r="G3279" t="s">
        <v>150</v>
      </c>
      <c r="H3279" t="s">
        <v>150</v>
      </c>
      <c r="I3279" t="s">
        <v>32</v>
      </c>
      <c r="J3279" t="s">
        <v>33</v>
      </c>
      <c r="K3279" t="s">
        <v>29</v>
      </c>
      <c r="L3279" t="s">
        <v>30</v>
      </c>
      <c r="M3279" t="s">
        <v>139</v>
      </c>
      <c r="N3279">
        <v>1541</v>
      </c>
      <c r="O3279" s="14">
        <v>0.71067465678788699</v>
      </c>
      <c r="P3279" s="14">
        <v>2.9788714367896301E-2</v>
      </c>
      <c r="Q3279" t="str">
        <f t="shared" si="102"/>
        <v>01-09</v>
      </c>
      <c r="R3279" t="str">
        <f t="shared" si="103"/>
        <v>[fyEoGEPERdI]|01-09|Female|Untreated_PLHIV_Attend.T_1|CY2023Q3</v>
      </c>
    </row>
    <row r="3280" spans="4:18" x14ac:dyDescent="0.2">
      <c r="D3280" t="s">
        <v>83</v>
      </c>
      <c r="E3280" t="s">
        <v>84</v>
      </c>
      <c r="F3280" t="s">
        <v>85</v>
      </c>
      <c r="G3280" t="s">
        <v>150</v>
      </c>
      <c r="H3280" t="s">
        <v>150</v>
      </c>
      <c r="I3280" t="s">
        <v>35</v>
      </c>
      <c r="J3280" t="s">
        <v>36</v>
      </c>
      <c r="K3280" t="s">
        <v>29</v>
      </c>
      <c r="L3280" t="s">
        <v>30</v>
      </c>
      <c r="M3280" t="s">
        <v>139</v>
      </c>
      <c r="N3280">
        <v>1143</v>
      </c>
      <c r="O3280" s="14">
        <v>0.80717824259772897</v>
      </c>
      <c r="P3280" s="14">
        <v>2.9788714367896301E-2</v>
      </c>
      <c r="Q3280" t="str">
        <f t="shared" si="102"/>
        <v>10-14</v>
      </c>
      <c r="R3280" t="str">
        <f t="shared" si="103"/>
        <v>[fyEoGEPERdI]|10-14|Female|Untreated_PLHIV_Attend.T_1|CY2023Q3</v>
      </c>
    </row>
    <row r="3281" spans="4:18" x14ac:dyDescent="0.2">
      <c r="D3281" t="s">
        <v>83</v>
      </c>
      <c r="E3281" t="s">
        <v>84</v>
      </c>
      <c r="F3281" t="s">
        <v>85</v>
      </c>
      <c r="G3281" t="s">
        <v>150</v>
      </c>
      <c r="H3281" t="s">
        <v>150</v>
      </c>
      <c r="I3281" t="s">
        <v>37</v>
      </c>
      <c r="J3281" t="s">
        <v>38</v>
      </c>
      <c r="K3281" t="s">
        <v>29</v>
      </c>
      <c r="L3281" t="s">
        <v>30</v>
      </c>
      <c r="M3281" t="s">
        <v>139</v>
      </c>
      <c r="N3281">
        <v>1199</v>
      </c>
      <c r="O3281" s="14">
        <v>9.3077032361179604E-2</v>
      </c>
      <c r="P3281" s="14">
        <v>2.9788714367896301E-2</v>
      </c>
      <c r="Q3281" t="str">
        <f t="shared" si="102"/>
        <v>15-24</v>
      </c>
      <c r="R3281" t="str">
        <f t="shared" si="103"/>
        <v>[fyEoGEPERdI]|15-24|Female|Untreated_PLHIV_Attend.T_1|CY2023Q3</v>
      </c>
    </row>
    <row r="3282" spans="4:18" x14ac:dyDescent="0.2">
      <c r="D3282" t="s">
        <v>83</v>
      </c>
      <c r="E3282" t="s">
        <v>84</v>
      </c>
      <c r="F3282" t="s">
        <v>85</v>
      </c>
      <c r="G3282" t="s">
        <v>150</v>
      </c>
      <c r="H3282" t="s">
        <v>150</v>
      </c>
      <c r="I3282" t="s">
        <v>40</v>
      </c>
      <c r="J3282" t="s">
        <v>41</v>
      </c>
      <c r="K3282" t="s">
        <v>29</v>
      </c>
      <c r="L3282" t="s">
        <v>30</v>
      </c>
      <c r="M3282" t="s">
        <v>139</v>
      </c>
      <c r="N3282">
        <v>1064</v>
      </c>
      <c r="O3282" s="14">
        <v>8.6617460241541294E-2</v>
      </c>
      <c r="P3282" s="14">
        <v>2.9788714367896301E-2</v>
      </c>
      <c r="Q3282" t="str">
        <f t="shared" si="102"/>
        <v>25-34</v>
      </c>
      <c r="R3282" t="str">
        <f t="shared" si="103"/>
        <v>[fyEoGEPERdI]|25-34|Female|Untreated_PLHIV_Attend.T_1|CY2023Q3</v>
      </c>
    </row>
    <row r="3283" spans="4:18" x14ac:dyDescent="0.2">
      <c r="D3283" t="s">
        <v>83</v>
      </c>
      <c r="E3283" t="s">
        <v>84</v>
      </c>
      <c r="F3283" t="s">
        <v>85</v>
      </c>
      <c r="G3283" t="s">
        <v>150</v>
      </c>
      <c r="H3283" t="s">
        <v>150</v>
      </c>
      <c r="I3283" t="s">
        <v>42</v>
      </c>
      <c r="J3283" t="s">
        <v>43</v>
      </c>
      <c r="K3283" t="s">
        <v>29</v>
      </c>
      <c r="L3283" t="s">
        <v>30</v>
      </c>
      <c r="M3283" t="s">
        <v>139</v>
      </c>
      <c r="N3283">
        <v>1533</v>
      </c>
      <c r="O3283" s="14">
        <v>0.24728660052642201</v>
      </c>
      <c r="P3283" s="14">
        <v>2.9788714367896301E-2</v>
      </c>
      <c r="Q3283" t="str">
        <f t="shared" si="102"/>
        <v>35-49</v>
      </c>
      <c r="R3283" t="str">
        <f t="shared" si="103"/>
        <v>[fyEoGEPERdI]|35-49|Female|Untreated_PLHIV_Attend.T_1|CY2023Q3</v>
      </c>
    </row>
    <row r="3284" spans="4:18" x14ac:dyDescent="0.2">
      <c r="D3284" t="s">
        <v>83</v>
      </c>
      <c r="E3284" t="s">
        <v>84</v>
      </c>
      <c r="F3284" t="s">
        <v>85</v>
      </c>
      <c r="G3284" t="s">
        <v>150</v>
      </c>
      <c r="H3284" t="s">
        <v>150</v>
      </c>
      <c r="I3284" t="s">
        <v>44</v>
      </c>
      <c r="J3284" t="s">
        <v>45</v>
      </c>
      <c r="K3284" t="s">
        <v>29</v>
      </c>
      <c r="L3284" t="s">
        <v>30</v>
      </c>
      <c r="M3284" t="s">
        <v>139</v>
      </c>
      <c r="N3284">
        <v>1350</v>
      </c>
      <c r="O3284" s="14">
        <v>5.5434826994314797E-2</v>
      </c>
      <c r="P3284" s="14">
        <v>2.9788714367896301E-2</v>
      </c>
      <c r="Q3284" t="str">
        <f t="shared" si="102"/>
        <v>50+</v>
      </c>
      <c r="R3284" t="str">
        <f t="shared" si="103"/>
        <v>[fyEoGEPERdI]|50+|Female|Untreated_PLHIV_Attend.T_1|CY2023Q3</v>
      </c>
    </row>
    <row r="3285" spans="4:18" x14ac:dyDescent="0.2">
      <c r="D3285" t="s">
        <v>83</v>
      </c>
      <c r="E3285" t="s">
        <v>84</v>
      </c>
      <c r="F3285" t="s">
        <v>85</v>
      </c>
      <c r="G3285" t="s">
        <v>150</v>
      </c>
      <c r="H3285" t="s">
        <v>150</v>
      </c>
      <c r="I3285" t="s">
        <v>27</v>
      </c>
      <c r="J3285" t="s">
        <v>28</v>
      </c>
      <c r="K3285" t="s">
        <v>47</v>
      </c>
      <c r="L3285" t="s">
        <v>48</v>
      </c>
      <c r="M3285" t="s">
        <v>139</v>
      </c>
      <c r="N3285">
        <v>1263</v>
      </c>
      <c r="O3285" s="14">
        <v>4.7297054668888401E-2</v>
      </c>
      <c r="P3285" s="14">
        <v>2.9788714367896301E-2</v>
      </c>
      <c r="Q3285" t="str">
        <f t="shared" si="102"/>
        <v>&lt;01</v>
      </c>
      <c r="R3285" t="str">
        <f t="shared" si="103"/>
        <v>[fyEoGEPERdI]|&lt;01|Male|Untreated_PLHIV_Attend.T_1|CY2023Q3</v>
      </c>
    </row>
    <row r="3286" spans="4:18" x14ac:dyDescent="0.2">
      <c r="D3286" t="s">
        <v>83</v>
      </c>
      <c r="E3286" t="s">
        <v>84</v>
      </c>
      <c r="F3286" t="s">
        <v>85</v>
      </c>
      <c r="G3286" t="s">
        <v>150</v>
      </c>
      <c r="H3286" t="s">
        <v>150</v>
      </c>
      <c r="I3286" t="s">
        <v>32</v>
      </c>
      <c r="J3286" t="s">
        <v>33</v>
      </c>
      <c r="K3286" t="s">
        <v>47</v>
      </c>
      <c r="L3286" t="s">
        <v>48</v>
      </c>
      <c r="M3286" t="s">
        <v>139</v>
      </c>
      <c r="N3286">
        <v>944</v>
      </c>
      <c r="O3286" s="14">
        <v>0.42341533070430198</v>
      </c>
      <c r="P3286" s="14">
        <v>2.9788714367896301E-2</v>
      </c>
      <c r="Q3286" t="str">
        <f t="shared" si="102"/>
        <v>01-09</v>
      </c>
      <c r="R3286" t="str">
        <f t="shared" si="103"/>
        <v>[fyEoGEPERdI]|01-09|Male|Untreated_PLHIV_Attend.T_1|CY2023Q3</v>
      </c>
    </row>
    <row r="3287" spans="4:18" x14ac:dyDescent="0.2">
      <c r="D3287" t="s">
        <v>83</v>
      </c>
      <c r="E3287" t="s">
        <v>84</v>
      </c>
      <c r="F3287" t="s">
        <v>85</v>
      </c>
      <c r="G3287" t="s">
        <v>150</v>
      </c>
      <c r="H3287" t="s">
        <v>150</v>
      </c>
      <c r="I3287" t="s">
        <v>35</v>
      </c>
      <c r="J3287" t="s">
        <v>36</v>
      </c>
      <c r="K3287" t="s">
        <v>47</v>
      </c>
      <c r="L3287" t="s">
        <v>48</v>
      </c>
      <c r="M3287" t="s">
        <v>139</v>
      </c>
      <c r="N3287">
        <v>1218</v>
      </c>
      <c r="O3287" s="14">
        <v>0.33526881737634501</v>
      </c>
      <c r="P3287" s="14">
        <v>2.9788714367896301E-2</v>
      </c>
      <c r="Q3287" t="str">
        <f t="shared" si="102"/>
        <v>10-14</v>
      </c>
      <c r="R3287" t="str">
        <f t="shared" si="103"/>
        <v>[fyEoGEPERdI]|10-14|Male|Untreated_PLHIV_Attend.T_1|CY2023Q3</v>
      </c>
    </row>
    <row r="3288" spans="4:18" x14ac:dyDescent="0.2">
      <c r="D3288" t="s">
        <v>83</v>
      </c>
      <c r="E3288" t="s">
        <v>84</v>
      </c>
      <c r="F3288" t="s">
        <v>85</v>
      </c>
      <c r="G3288" t="s">
        <v>150</v>
      </c>
      <c r="H3288" t="s">
        <v>150</v>
      </c>
      <c r="I3288" t="s">
        <v>37</v>
      </c>
      <c r="J3288" t="s">
        <v>38</v>
      </c>
      <c r="K3288" t="s">
        <v>47</v>
      </c>
      <c r="L3288" t="s">
        <v>48</v>
      </c>
      <c r="M3288" t="s">
        <v>139</v>
      </c>
      <c r="N3288">
        <v>633</v>
      </c>
      <c r="O3288" s="14">
        <v>0.26794690731912901</v>
      </c>
      <c r="P3288" s="14">
        <v>2.9788714367896301E-2</v>
      </c>
      <c r="Q3288" t="str">
        <f t="shared" si="102"/>
        <v>15-24</v>
      </c>
      <c r="R3288" t="str">
        <f t="shared" si="103"/>
        <v>[fyEoGEPERdI]|15-24|Male|Untreated_PLHIV_Attend.T_1|CY2023Q3</v>
      </c>
    </row>
    <row r="3289" spans="4:18" x14ac:dyDescent="0.2">
      <c r="D3289" t="s">
        <v>83</v>
      </c>
      <c r="E3289" t="s">
        <v>84</v>
      </c>
      <c r="F3289" t="s">
        <v>85</v>
      </c>
      <c r="G3289" t="s">
        <v>150</v>
      </c>
      <c r="H3289" t="s">
        <v>150</v>
      </c>
      <c r="I3289" t="s">
        <v>40</v>
      </c>
      <c r="J3289" t="s">
        <v>41</v>
      </c>
      <c r="K3289" t="s">
        <v>47</v>
      </c>
      <c r="L3289" t="s">
        <v>48</v>
      </c>
      <c r="M3289" t="s">
        <v>139</v>
      </c>
      <c r="N3289">
        <v>918</v>
      </c>
      <c r="O3289" s="14">
        <v>7.2214794345200103E-2</v>
      </c>
      <c r="P3289" s="14">
        <v>2.9788714367896301E-2</v>
      </c>
      <c r="Q3289" t="str">
        <f t="shared" si="102"/>
        <v>25-34</v>
      </c>
      <c r="R3289" t="str">
        <f t="shared" si="103"/>
        <v>[fyEoGEPERdI]|25-34|Male|Untreated_PLHIV_Attend.T_1|CY2023Q3</v>
      </c>
    </row>
    <row r="3290" spans="4:18" x14ac:dyDescent="0.2">
      <c r="D3290" t="s">
        <v>83</v>
      </c>
      <c r="E3290" t="s">
        <v>84</v>
      </c>
      <c r="F3290" t="s">
        <v>85</v>
      </c>
      <c r="G3290" t="s">
        <v>150</v>
      </c>
      <c r="H3290" t="s">
        <v>150</v>
      </c>
      <c r="I3290" t="s">
        <v>42</v>
      </c>
      <c r="J3290" t="s">
        <v>43</v>
      </c>
      <c r="K3290" t="s">
        <v>47</v>
      </c>
      <c r="L3290" t="s">
        <v>48</v>
      </c>
      <c r="M3290" t="s">
        <v>139</v>
      </c>
      <c r="N3290">
        <v>1804</v>
      </c>
      <c r="O3290" s="14">
        <v>0.97283443412743498</v>
      </c>
      <c r="P3290" s="14">
        <v>2.9788714367896301E-2</v>
      </c>
      <c r="Q3290" t="str">
        <f t="shared" si="102"/>
        <v>35-49</v>
      </c>
      <c r="R3290" t="str">
        <f t="shared" si="103"/>
        <v>[fyEoGEPERdI]|35-49|Male|Untreated_PLHIV_Attend.T_1|CY2023Q3</v>
      </c>
    </row>
    <row r="3291" spans="4:18" x14ac:dyDescent="0.2">
      <c r="D3291" t="s">
        <v>83</v>
      </c>
      <c r="E3291" t="s">
        <v>84</v>
      </c>
      <c r="F3291" t="s">
        <v>85</v>
      </c>
      <c r="G3291" t="s">
        <v>150</v>
      </c>
      <c r="H3291" t="s">
        <v>150</v>
      </c>
      <c r="I3291" t="s">
        <v>44</v>
      </c>
      <c r="J3291" t="s">
        <v>45</v>
      </c>
      <c r="K3291" t="s">
        <v>47</v>
      </c>
      <c r="L3291" t="s">
        <v>48</v>
      </c>
      <c r="M3291" t="s">
        <v>139</v>
      </c>
      <c r="N3291">
        <v>1906</v>
      </c>
      <c r="O3291" s="14">
        <v>0.55542346369475104</v>
      </c>
      <c r="P3291" s="14">
        <v>2.9788714367896301E-2</v>
      </c>
      <c r="Q3291" t="str">
        <f t="shared" si="102"/>
        <v>50+</v>
      </c>
      <c r="R3291" t="str">
        <f t="shared" si="103"/>
        <v>[fyEoGEPERdI]|50+|Male|Untreated_PLHIV_Attend.T_1|CY2023Q3</v>
      </c>
    </row>
    <row r="3292" spans="4:18" x14ac:dyDescent="0.2">
      <c r="D3292" t="s">
        <v>86</v>
      </c>
      <c r="E3292" t="s">
        <v>87</v>
      </c>
      <c r="F3292" t="s">
        <v>88</v>
      </c>
      <c r="G3292" t="s">
        <v>150</v>
      </c>
      <c r="H3292" t="s">
        <v>150</v>
      </c>
      <c r="I3292" t="s">
        <v>27</v>
      </c>
      <c r="J3292" t="s">
        <v>28</v>
      </c>
      <c r="K3292" t="s">
        <v>29</v>
      </c>
      <c r="L3292" t="s">
        <v>30</v>
      </c>
      <c r="M3292" t="s">
        <v>139</v>
      </c>
      <c r="N3292">
        <v>1577</v>
      </c>
      <c r="O3292" s="14">
        <v>0.92488858685828701</v>
      </c>
      <c r="P3292" s="14">
        <v>0.13333638082258401</v>
      </c>
      <c r="Q3292" t="str">
        <f t="shared" si="102"/>
        <v>&lt;01</v>
      </c>
      <c r="R3292" t="str">
        <f t="shared" si="103"/>
        <v>[cPtvxaZqXIH]|&lt;01|Female|Untreated_PLHIV_Attend.T_1|CY2023Q3</v>
      </c>
    </row>
    <row r="3293" spans="4:18" x14ac:dyDescent="0.2">
      <c r="D3293" t="s">
        <v>86</v>
      </c>
      <c r="E3293" t="s">
        <v>87</v>
      </c>
      <c r="F3293" t="s">
        <v>88</v>
      </c>
      <c r="G3293" t="s">
        <v>150</v>
      </c>
      <c r="H3293" t="s">
        <v>150</v>
      </c>
      <c r="I3293" t="s">
        <v>32</v>
      </c>
      <c r="J3293" t="s">
        <v>33</v>
      </c>
      <c r="K3293" t="s">
        <v>29</v>
      </c>
      <c r="L3293" t="s">
        <v>30</v>
      </c>
      <c r="M3293" t="s">
        <v>139</v>
      </c>
      <c r="N3293">
        <v>1603</v>
      </c>
      <c r="O3293" s="14">
        <v>0.14393967087380599</v>
      </c>
      <c r="P3293" s="14">
        <v>0.13333638082258401</v>
      </c>
      <c r="Q3293" t="str">
        <f t="shared" si="102"/>
        <v>01-09</v>
      </c>
      <c r="R3293" t="str">
        <f t="shared" si="103"/>
        <v>[cPtvxaZqXIH]|01-09|Female|Untreated_PLHIV_Attend.T_1|CY2023Q3</v>
      </c>
    </row>
    <row r="3294" spans="4:18" x14ac:dyDescent="0.2">
      <c r="D3294" t="s">
        <v>86</v>
      </c>
      <c r="E3294" t="s">
        <v>87</v>
      </c>
      <c r="F3294" t="s">
        <v>88</v>
      </c>
      <c r="G3294" t="s">
        <v>150</v>
      </c>
      <c r="H3294" t="s">
        <v>150</v>
      </c>
      <c r="I3294" t="s">
        <v>35</v>
      </c>
      <c r="J3294" t="s">
        <v>36</v>
      </c>
      <c r="K3294" t="s">
        <v>29</v>
      </c>
      <c r="L3294" t="s">
        <v>30</v>
      </c>
      <c r="M3294" t="s">
        <v>139</v>
      </c>
      <c r="N3294">
        <v>750</v>
      </c>
      <c r="O3294" s="14">
        <v>0.40733267134055501</v>
      </c>
      <c r="P3294" s="14">
        <v>0.13333638082258401</v>
      </c>
      <c r="Q3294" t="str">
        <f t="shared" si="102"/>
        <v>10-14</v>
      </c>
      <c r="R3294" t="str">
        <f t="shared" si="103"/>
        <v>[cPtvxaZqXIH]|10-14|Female|Untreated_PLHIV_Attend.T_1|CY2023Q3</v>
      </c>
    </row>
    <row r="3295" spans="4:18" x14ac:dyDescent="0.2">
      <c r="D3295" t="s">
        <v>86</v>
      </c>
      <c r="E3295" t="s">
        <v>87</v>
      </c>
      <c r="F3295" t="s">
        <v>88</v>
      </c>
      <c r="G3295" t="s">
        <v>150</v>
      </c>
      <c r="H3295" t="s">
        <v>150</v>
      </c>
      <c r="I3295" t="s">
        <v>37</v>
      </c>
      <c r="J3295" t="s">
        <v>38</v>
      </c>
      <c r="K3295" t="s">
        <v>29</v>
      </c>
      <c r="L3295" t="s">
        <v>30</v>
      </c>
      <c r="M3295" t="s">
        <v>139</v>
      </c>
      <c r="N3295">
        <v>1548</v>
      </c>
      <c r="O3295" s="14">
        <v>0.16281816991977399</v>
      </c>
      <c r="P3295" s="14">
        <v>0.13333638082258401</v>
      </c>
      <c r="Q3295" t="str">
        <f t="shared" si="102"/>
        <v>15-24</v>
      </c>
      <c r="R3295" t="str">
        <f t="shared" si="103"/>
        <v>[cPtvxaZqXIH]|15-24|Female|Untreated_PLHIV_Attend.T_1|CY2023Q3</v>
      </c>
    </row>
    <row r="3296" spans="4:18" x14ac:dyDescent="0.2">
      <c r="D3296" t="s">
        <v>86</v>
      </c>
      <c r="E3296" t="s">
        <v>87</v>
      </c>
      <c r="F3296" t="s">
        <v>88</v>
      </c>
      <c r="G3296" t="s">
        <v>150</v>
      </c>
      <c r="H3296" t="s">
        <v>150</v>
      </c>
      <c r="I3296" t="s">
        <v>40</v>
      </c>
      <c r="J3296" t="s">
        <v>41</v>
      </c>
      <c r="K3296" t="s">
        <v>29</v>
      </c>
      <c r="L3296" t="s">
        <v>30</v>
      </c>
      <c r="M3296" t="s">
        <v>139</v>
      </c>
      <c r="N3296">
        <v>1501</v>
      </c>
      <c r="O3296" s="14">
        <v>0.390174991916865</v>
      </c>
      <c r="P3296" s="14">
        <v>0.13333638082258401</v>
      </c>
      <c r="Q3296" t="str">
        <f t="shared" si="102"/>
        <v>25-34</v>
      </c>
      <c r="R3296" t="str">
        <f t="shared" si="103"/>
        <v>[cPtvxaZqXIH]|25-34|Female|Untreated_PLHIV_Attend.T_1|CY2023Q3</v>
      </c>
    </row>
    <row r="3297" spans="4:18" x14ac:dyDescent="0.2">
      <c r="D3297" t="s">
        <v>86</v>
      </c>
      <c r="E3297" t="s">
        <v>87</v>
      </c>
      <c r="F3297" t="s">
        <v>88</v>
      </c>
      <c r="G3297" t="s">
        <v>150</v>
      </c>
      <c r="H3297" t="s">
        <v>150</v>
      </c>
      <c r="I3297" t="s">
        <v>42</v>
      </c>
      <c r="J3297" t="s">
        <v>43</v>
      </c>
      <c r="K3297" t="s">
        <v>29</v>
      </c>
      <c r="L3297" t="s">
        <v>30</v>
      </c>
      <c r="M3297" t="s">
        <v>139</v>
      </c>
      <c r="N3297">
        <v>978</v>
      </c>
      <c r="O3297" s="14">
        <v>0.22139680292457301</v>
      </c>
      <c r="P3297" s="14">
        <v>0.13333638082258401</v>
      </c>
      <c r="Q3297" t="str">
        <f t="shared" si="102"/>
        <v>35-49</v>
      </c>
      <c r="R3297" t="str">
        <f t="shared" si="103"/>
        <v>[cPtvxaZqXIH]|35-49|Female|Untreated_PLHIV_Attend.T_1|CY2023Q3</v>
      </c>
    </row>
    <row r="3298" spans="4:18" x14ac:dyDescent="0.2">
      <c r="D3298" t="s">
        <v>86</v>
      </c>
      <c r="E3298" t="s">
        <v>87</v>
      </c>
      <c r="F3298" t="s">
        <v>88</v>
      </c>
      <c r="G3298" t="s">
        <v>150</v>
      </c>
      <c r="H3298" t="s">
        <v>150</v>
      </c>
      <c r="I3298" t="s">
        <v>44</v>
      </c>
      <c r="J3298" t="s">
        <v>45</v>
      </c>
      <c r="K3298" t="s">
        <v>29</v>
      </c>
      <c r="L3298" t="s">
        <v>30</v>
      </c>
      <c r="M3298" t="s">
        <v>139</v>
      </c>
      <c r="N3298">
        <v>560</v>
      </c>
      <c r="O3298" s="14">
        <v>0.22449735365807999</v>
      </c>
      <c r="P3298" s="14">
        <v>0.13333638082258401</v>
      </c>
      <c r="Q3298" t="str">
        <f t="shared" si="102"/>
        <v>50+</v>
      </c>
      <c r="R3298" t="str">
        <f t="shared" si="103"/>
        <v>[cPtvxaZqXIH]|50+|Female|Untreated_PLHIV_Attend.T_1|CY2023Q3</v>
      </c>
    </row>
    <row r="3299" spans="4:18" x14ac:dyDescent="0.2">
      <c r="D3299" t="s">
        <v>86</v>
      </c>
      <c r="E3299" t="s">
        <v>87</v>
      </c>
      <c r="F3299" t="s">
        <v>88</v>
      </c>
      <c r="G3299" t="s">
        <v>150</v>
      </c>
      <c r="H3299" t="s">
        <v>150</v>
      </c>
      <c r="I3299" t="s">
        <v>27</v>
      </c>
      <c r="J3299" t="s">
        <v>28</v>
      </c>
      <c r="K3299" t="s">
        <v>47</v>
      </c>
      <c r="L3299" t="s">
        <v>48</v>
      </c>
      <c r="M3299" t="s">
        <v>139</v>
      </c>
      <c r="N3299">
        <v>746</v>
      </c>
      <c r="O3299" s="14">
        <v>0.825621045427397</v>
      </c>
      <c r="P3299" s="14">
        <v>0.13333638082258401</v>
      </c>
      <c r="Q3299" t="str">
        <f t="shared" si="102"/>
        <v>&lt;01</v>
      </c>
      <c r="R3299" t="str">
        <f t="shared" si="103"/>
        <v>[cPtvxaZqXIH]|&lt;01|Male|Untreated_PLHIV_Attend.T_1|CY2023Q3</v>
      </c>
    </row>
    <row r="3300" spans="4:18" x14ac:dyDescent="0.2">
      <c r="D3300" t="s">
        <v>86</v>
      </c>
      <c r="E3300" t="s">
        <v>87</v>
      </c>
      <c r="F3300" t="s">
        <v>88</v>
      </c>
      <c r="G3300" t="s">
        <v>150</v>
      </c>
      <c r="H3300" t="s">
        <v>150</v>
      </c>
      <c r="I3300" t="s">
        <v>32</v>
      </c>
      <c r="J3300" t="s">
        <v>33</v>
      </c>
      <c r="K3300" t="s">
        <v>47</v>
      </c>
      <c r="L3300" t="s">
        <v>48</v>
      </c>
      <c r="M3300" t="s">
        <v>139</v>
      </c>
      <c r="N3300">
        <v>1522</v>
      </c>
      <c r="O3300" s="14">
        <v>0.88997999182902299</v>
      </c>
      <c r="P3300" s="14">
        <v>0.13333638082258401</v>
      </c>
      <c r="Q3300" t="str">
        <f t="shared" si="102"/>
        <v>01-09</v>
      </c>
      <c r="R3300" t="str">
        <f t="shared" si="103"/>
        <v>[cPtvxaZqXIH]|01-09|Male|Untreated_PLHIV_Attend.T_1|CY2023Q3</v>
      </c>
    </row>
    <row r="3301" spans="4:18" x14ac:dyDescent="0.2">
      <c r="D3301" t="s">
        <v>86</v>
      </c>
      <c r="E3301" t="s">
        <v>87</v>
      </c>
      <c r="F3301" t="s">
        <v>88</v>
      </c>
      <c r="G3301" t="s">
        <v>150</v>
      </c>
      <c r="H3301" t="s">
        <v>150</v>
      </c>
      <c r="I3301" t="s">
        <v>35</v>
      </c>
      <c r="J3301" t="s">
        <v>36</v>
      </c>
      <c r="K3301" t="s">
        <v>47</v>
      </c>
      <c r="L3301" t="s">
        <v>48</v>
      </c>
      <c r="M3301" t="s">
        <v>139</v>
      </c>
      <c r="N3301">
        <v>1802</v>
      </c>
      <c r="O3301" s="14">
        <v>0.71761955483816597</v>
      </c>
      <c r="P3301" s="14">
        <v>0.13333638082258401</v>
      </c>
      <c r="Q3301" t="str">
        <f t="shared" si="102"/>
        <v>10-14</v>
      </c>
      <c r="R3301" t="str">
        <f t="shared" si="103"/>
        <v>[cPtvxaZqXIH]|10-14|Male|Untreated_PLHIV_Attend.T_1|CY2023Q3</v>
      </c>
    </row>
    <row r="3302" spans="4:18" x14ac:dyDescent="0.2">
      <c r="D3302" t="s">
        <v>86</v>
      </c>
      <c r="E3302" t="s">
        <v>87</v>
      </c>
      <c r="F3302" t="s">
        <v>88</v>
      </c>
      <c r="G3302" t="s">
        <v>150</v>
      </c>
      <c r="H3302" t="s">
        <v>150</v>
      </c>
      <c r="I3302" t="s">
        <v>37</v>
      </c>
      <c r="J3302" t="s">
        <v>38</v>
      </c>
      <c r="K3302" t="s">
        <v>47</v>
      </c>
      <c r="L3302" t="s">
        <v>48</v>
      </c>
      <c r="M3302" t="s">
        <v>139</v>
      </c>
      <c r="N3302">
        <v>1753</v>
      </c>
      <c r="O3302" s="14">
        <v>0.15501233935356101</v>
      </c>
      <c r="P3302" s="14">
        <v>0.13333638082258401</v>
      </c>
      <c r="Q3302" t="str">
        <f t="shared" si="102"/>
        <v>15-24</v>
      </c>
      <c r="R3302" t="str">
        <f t="shared" si="103"/>
        <v>[cPtvxaZqXIH]|15-24|Male|Untreated_PLHIV_Attend.T_1|CY2023Q3</v>
      </c>
    </row>
    <row r="3303" spans="4:18" x14ac:dyDescent="0.2">
      <c r="D3303" t="s">
        <v>86</v>
      </c>
      <c r="E3303" t="s">
        <v>87</v>
      </c>
      <c r="F3303" t="s">
        <v>88</v>
      </c>
      <c r="G3303" t="s">
        <v>150</v>
      </c>
      <c r="H3303" t="s">
        <v>150</v>
      </c>
      <c r="I3303" t="s">
        <v>40</v>
      </c>
      <c r="J3303" t="s">
        <v>41</v>
      </c>
      <c r="K3303" t="s">
        <v>47</v>
      </c>
      <c r="L3303" t="s">
        <v>48</v>
      </c>
      <c r="M3303" t="s">
        <v>139</v>
      </c>
      <c r="N3303">
        <v>1215</v>
      </c>
      <c r="O3303" s="14">
        <v>0.98943367553874895</v>
      </c>
      <c r="P3303" s="14">
        <v>0.13333638082258401</v>
      </c>
      <c r="Q3303" t="str">
        <f t="shared" si="102"/>
        <v>25-34</v>
      </c>
      <c r="R3303" t="str">
        <f t="shared" si="103"/>
        <v>[cPtvxaZqXIH]|25-34|Male|Untreated_PLHIV_Attend.T_1|CY2023Q3</v>
      </c>
    </row>
    <row r="3304" spans="4:18" x14ac:dyDescent="0.2">
      <c r="D3304" t="s">
        <v>86</v>
      </c>
      <c r="E3304" t="s">
        <v>87</v>
      </c>
      <c r="F3304" t="s">
        <v>88</v>
      </c>
      <c r="G3304" t="s">
        <v>150</v>
      </c>
      <c r="H3304" t="s">
        <v>150</v>
      </c>
      <c r="I3304" t="s">
        <v>42</v>
      </c>
      <c r="J3304" t="s">
        <v>43</v>
      </c>
      <c r="K3304" t="s">
        <v>47</v>
      </c>
      <c r="L3304" t="s">
        <v>48</v>
      </c>
      <c r="M3304" t="s">
        <v>139</v>
      </c>
      <c r="N3304">
        <v>1628</v>
      </c>
      <c r="O3304" s="14">
        <v>0.60428840294480302</v>
      </c>
      <c r="P3304" s="14">
        <v>0.13333638082258401</v>
      </c>
      <c r="Q3304" t="str">
        <f t="shared" si="102"/>
        <v>35-49</v>
      </c>
      <c r="R3304" t="str">
        <f t="shared" si="103"/>
        <v>[cPtvxaZqXIH]|35-49|Male|Untreated_PLHIV_Attend.T_1|CY2023Q3</v>
      </c>
    </row>
    <row r="3305" spans="4:18" x14ac:dyDescent="0.2">
      <c r="D3305" t="s">
        <v>86</v>
      </c>
      <c r="E3305" t="s">
        <v>87</v>
      </c>
      <c r="F3305" t="s">
        <v>88</v>
      </c>
      <c r="G3305" t="s">
        <v>150</v>
      </c>
      <c r="H3305" t="s">
        <v>150</v>
      </c>
      <c r="I3305" t="s">
        <v>44</v>
      </c>
      <c r="J3305" t="s">
        <v>45</v>
      </c>
      <c r="K3305" t="s">
        <v>47</v>
      </c>
      <c r="L3305" t="s">
        <v>48</v>
      </c>
      <c r="M3305" t="s">
        <v>139</v>
      </c>
      <c r="N3305">
        <v>1070</v>
      </c>
      <c r="O3305" s="14">
        <v>0.75475048250518695</v>
      </c>
      <c r="P3305" s="14">
        <v>0.13333638082258401</v>
      </c>
      <c r="Q3305" t="str">
        <f t="shared" si="102"/>
        <v>50+</v>
      </c>
      <c r="R3305" t="str">
        <f t="shared" si="103"/>
        <v>[cPtvxaZqXIH]|50+|Male|Untreated_PLHIV_Attend.T_1|CY2023Q3</v>
      </c>
    </row>
    <row r="3306" spans="4:18" x14ac:dyDescent="0.2">
      <c r="D3306" t="s">
        <v>89</v>
      </c>
      <c r="E3306" t="s">
        <v>90</v>
      </c>
      <c r="F3306" t="s">
        <v>91</v>
      </c>
      <c r="G3306" t="s">
        <v>150</v>
      </c>
      <c r="H3306" t="s">
        <v>150</v>
      </c>
      <c r="I3306" t="s">
        <v>27</v>
      </c>
      <c r="J3306" t="s">
        <v>28</v>
      </c>
      <c r="K3306" t="s">
        <v>29</v>
      </c>
      <c r="L3306" t="s">
        <v>30</v>
      </c>
      <c r="M3306" t="s">
        <v>139</v>
      </c>
      <c r="N3306">
        <v>1698</v>
      </c>
      <c r="O3306" s="14">
        <v>0.65626297518610999</v>
      </c>
      <c r="P3306" s="14">
        <v>0.71991415042430196</v>
      </c>
      <c r="Q3306" t="str">
        <f t="shared" si="102"/>
        <v>&lt;01</v>
      </c>
      <c r="R3306" t="str">
        <f t="shared" si="103"/>
        <v>[AZyWpGzhcaA]|&lt;01|Female|Untreated_PLHIV_Attend.T_1|CY2023Q3</v>
      </c>
    </row>
    <row r="3307" spans="4:18" x14ac:dyDescent="0.2">
      <c r="D3307" t="s">
        <v>89</v>
      </c>
      <c r="E3307" t="s">
        <v>90</v>
      </c>
      <c r="F3307" t="s">
        <v>91</v>
      </c>
      <c r="G3307" t="s">
        <v>150</v>
      </c>
      <c r="H3307" t="s">
        <v>150</v>
      </c>
      <c r="I3307" t="s">
        <v>32</v>
      </c>
      <c r="J3307" t="s">
        <v>33</v>
      </c>
      <c r="K3307" t="s">
        <v>29</v>
      </c>
      <c r="L3307" t="s">
        <v>30</v>
      </c>
      <c r="M3307" t="s">
        <v>139</v>
      </c>
      <c r="N3307">
        <v>698</v>
      </c>
      <c r="O3307" s="14">
        <v>0.67070844094269</v>
      </c>
      <c r="P3307" s="14">
        <v>0.71991415042430196</v>
      </c>
      <c r="Q3307" t="str">
        <f t="shared" si="102"/>
        <v>01-09</v>
      </c>
      <c r="R3307" t="str">
        <f t="shared" si="103"/>
        <v>[AZyWpGzhcaA]|01-09|Female|Untreated_PLHIV_Attend.T_1|CY2023Q3</v>
      </c>
    </row>
    <row r="3308" spans="4:18" x14ac:dyDescent="0.2">
      <c r="D3308" t="s">
        <v>89</v>
      </c>
      <c r="E3308" t="s">
        <v>90</v>
      </c>
      <c r="F3308" t="s">
        <v>91</v>
      </c>
      <c r="G3308" t="s">
        <v>150</v>
      </c>
      <c r="H3308" t="s">
        <v>150</v>
      </c>
      <c r="I3308" t="s">
        <v>35</v>
      </c>
      <c r="J3308" t="s">
        <v>36</v>
      </c>
      <c r="K3308" t="s">
        <v>29</v>
      </c>
      <c r="L3308" t="s">
        <v>30</v>
      </c>
      <c r="M3308" t="s">
        <v>139</v>
      </c>
      <c r="N3308">
        <v>1306</v>
      </c>
      <c r="O3308" s="14">
        <v>0.50786320399493001</v>
      </c>
      <c r="P3308" s="14">
        <v>0.71991415042430196</v>
      </c>
      <c r="Q3308" t="str">
        <f t="shared" si="102"/>
        <v>10-14</v>
      </c>
      <c r="R3308" t="str">
        <f t="shared" si="103"/>
        <v>[AZyWpGzhcaA]|10-14|Female|Untreated_PLHIV_Attend.T_1|CY2023Q3</v>
      </c>
    </row>
    <row r="3309" spans="4:18" x14ac:dyDescent="0.2">
      <c r="D3309" t="s">
        <v>89</v>
      </c>
      <c r="E3309" t="s">
        <v>90</v>
      </c>
      <c r="F3309" t="s">
        <v>91</v>
      </c>
      <c r="G3309" t="s">
        <v>150</v>
      </c>
      <c r="H3309" t="s">
        <v>150</v>
      </c>
      <c r="I3309" t="s">
        <v>37</v>
      </c>
      <c r="J3309" t="s">
        <v>38</v>
      </c>
      <c r="K3309" t="s">
        <v>29</v>
      </c>
      <c r="L3309" t="s">
        <v>30</v>
      </c>
      <c r="M3309" t="s">
        <v>139</v>
      </c>
      <c r="N3309">
        <v>954</v>
      </c>
      <c r="O3309" s="14">
        <v>0.35849051037803298</v>
      </c>
      <c r="P3309" s="14">
        <v>0.71991415042430196</v>
      </c>
      <c r="Q3309" t="str">
        <f t="shared" si="102"/>
        <v>15-24</v>
      </c>
      <c r="R3309" t="str">
        <f t="shared" si="103"/>
        <v>[AZyWpGzhcaA]|15-24|Female|Untreated_PLHIV_Attend.T_1|CY2023Q3</v>
      </c>
    </row>
    <row r="3310" spans="4:18" x14ac:dyDescent="0.2">
      <c r="D3310" t="s">
        <v>89</v>
      </c>
      <c r="E3310" t="s">
        <v>90</v>
      </c>
      <c r="F3310" t="s">
        <v>91</v>
      </c>
      <c r="G3310" t="s">
        <v>150</v>
      </c>
      <c r="H3310" t="s">
        <v>150</v>
      </c>
      <c r="I3310" t="s">
        <v>40</v>
      </c>
      <c r="J3310" t="s">
        <v>41</v>
      </c>
      <c r="K3310" t="s">
        <v>29</v>
      </c>
      <c r="L3310" t="s">
        <v>30</v>
      </c>
      <c r="M3310" t="s">
        <v>139</v>
      </c>
      <c r="N3310">
        <v>1170</v>
      </c>
      <c r="O3310" s="14">
        <v>0.11911704228259599</v>
      </c>
      <c r="P3310" s="14">
        <v>0.71991415042430196</v>
      </c>
      <c r="Q3310" t="str">
        <f t="shared" si="102"/>
        <v>25-34</v>
      </c>
      <c r="R3310" t="str">
        <f t="shared" si="103"/>
        <v>[AZyWpGzhcaA]|25-34|Female|Untreated_PLHIV_Attend.T_1|CY2023Q3</v>
      </c>
    </row>
    <row r="3311" spans="4:18" x14ac:dyDescent="0.2">
      <c r="D3311" t="s">
        <v>89</v>
      </c>
      <c r="E3311" t="s">
        <v>90</v>
      </c>
      <c r="F3311" t="s">
        <v>91</v>
      </c>
      <c r="G3311" t="s">
        <v>150</v>
      </c>
      <c r="H3311" t="s">
        <v>150</v>
      </c>
      <c r="I3311" t="s">
        <v>42</v>
      </c>
      <c r="J3311" t="s">
        <v>43</v>
      </c>
      <c r="K3311" t="s">
        <v>29</v>
      </c>
      <c r="L3311" t="s">
        <v>30</v>
      </c>
      <c r="M3311" t="s">
        <v>139</v>
      </c>
      <c r="N3311">
        <v>1913</v>
      </c>
      <c r="O3311" s="14">
        <v>0.122885444900021</v>
      </c>
      <c r="P3311" s="14">
        <v>0.71991415042430196</v>
      </c>
      <c r="Q3311" t="str">
        <f t="shared" si="102"/>
        <v>35-49</v>
      </c>
      <c r="R3311" t="str">
        <f t="shared" si="103"/>
        <v>[AZyWpGzhcaA]|35-49|Female|Untreated_PLHIV_Attend.T_1|CY2023Q3</v>
      </c>
    </row>
    <row r="3312" spans="4:18" x14ac:dyDescent="0.2">
      <c r="D3312" t="s">
        <v>89</v>
      </c>
      <c r="E3312" t="s">
        <v>90</v>
      </c>
      <c r="F3312" t="s">
        <v>91</v>
      </c>
      <c r="G3312" t="s">
        <v>150</v>
      </c>
      <c r="H3312" t="s">
        <v>150</v>
      </c>
      <c r="I3312" t="s">
        <v>44</v>
      </c>
      <c r="J3312" t="s">
        <v>45</v>
      </c>
      <c r="K3312" t="s">
        <v>29</v>
      </c>
      <c r="L3312" t="s">
        <v>30</v>
      </c>
      <c r="M3312" t="s">
        <v>139</v>
      </c>
      <c r="N3312">
        <v>1130</v>
      </c>
      <c r="O3312" s="14">
        <v>0.36264725867658898</v>
      </c>
      <c r="P3312" s="14">
        <v>0.71991415042430196</v>
      </c>
      <c r="Q3312" t="str">
        <f t="shared" si="102"/>
        <v>50+</v>
      </c>
      <c r="R3312" t="str">
        <f t="shared" si="103"/>
        <v>[AZyWpGzhcaA]|50+|Female|Untreated_PLHIV_Attend.T_1|CY2023Q3</v>
      </c>
    </row>
    <row r="3313" spans="4:18" x14ac:dyDescent="0.2">
      <c r="D3313" t="s">
        <v>89</v>
      </c>
      <c r="E3313" t="s">
        <v>90</v>
      </c>
      <c r="F3313" t="s">
        <v>91</v>
      </c>
      <c r="G3313" t="s">
        <v>150</v>
      </c>
      <c r="H3313" t="s">
        <v>150</v>
      </c>
      <c r="I3313" t="s">
        <v>27</v>
      </c>
      <c r="J3313" t="s">
        <v>28</v>
      </c>
      <c r="K3313" t="s">
        <v>47</v>
      </c>
      <c r="L3313" t="s">
        <v>48</v>
      </c>
      <c r="M3313" t="s">
        <v>139</v>
      </c>
      <c r="N3313">
        <v>1472</v>
      </c>
      <c r="O3313" s="14">
        <v>0.342866266146302</v>
      </c>
      <c r="P3313" s="14">
        <v>0.71991415042430196</v>
      </c>
      <c r="Q3313" t="str">
        <f t="shared" si="102"/>
        <v>&lt;01</v>
      </c>
      <c r="R3313" t="str">
        <f t="shared" si="103"/>
        <v>[AZyWpGzhcaA]|&lt;01|Male|Untreated_PLHIV_Attend.T_1|CY2023Q3</v>
      </c>
    </row>
    <row r="3314" spans="4:18" x14ac:dyDescent="0.2">
      <c r="D3314" t="s">
        <v>89</v>
      </c>
      <c r="E3314" t="s">
        <v>90</v>
      </c>
      <c r="F3314" t="s">
        <v>91</v>
      </c>
      <c r="G3314" t="s">
        <v>150</v>
      </c>
      <c r="H3314" t="s">
        <v>150</v>
      </c>
      <c r="I3314" t="s">
        <v>32</v>
      </c>
      <c r="J3314" t="s">
        <v>33</v>
      </c>
      <c r="K3314" t="s">
        <v>47</v>
      </c>
      <c r="L3314" t="s">
        <v>48</v>
      </c>
      <c r="M3314" t="s">
        <v>139</v>
      </c>
      <c r="N3314">
        <v>1017</v>
      </c>
      <c r="O3314" s="14">
        <v>0.77166482573375095</v>
      </c>
      <c r="P3314" s="14">
        <v>0.71991415042430196</v>
      </c>
      <c r="Q3314" t="str">
        <f t="shared" si="102"/>
        <v>01-09</v>
      </c>
      <c r="R3314" t="str">
        <f t="shared" si="103"/>
        <v>[AZyWpGzhcaA]|01-09|Male|Untreated_PLHIV_Attend.T_1|CY2023Q3</v>
      </c>
    </row>
    <row r="3315" spans="4:18" x14ac:dyDescent="0.2">
      <c r="D3315" t="s">
        <v>89</v>
      </c>
      <c r="E3315" t="s">
        <v>90</v>
      </c>
      <c r="F3315" t="s">
        <v>91</v>
      </c>
      <c r="G3315" t="s">
        <v>150</v>
      </c>
      <c r="H3315" t="s">
        <v>150</v>
      </c>
      <c r="I3315" t="s">
        <v>35</v>
      </c>
      <c r="J3315" t="s">
        <v>36</v>
      </c>
      <c r="K3315" t="s">
        <v>47</v>
      </c>
      <c r="L3315" t="s">
        <v>48</v>
      </c>
      <c r="M3315" t="s">
        <v>139</v>
      </c>
      <c r="N3315">
        <v>1985</v>
      </c>
      <c r="O3315" s="14">
        <v>4.0996676776558202E-2</v>
      </c>
      <c r="P3315" s="14">
        <v>0.71991415042430196</v>
      </c>
      <c r="Q3315" t="str">
        <f t="shared" si="102"/>
        <v>10-14</v>
      </c>
      <c r="R3315" t="str">
        <f t="shared" si="103"/>
        <v>[AZyWpGzhcaA]|10-14|Male|Untreated_PLHIV_Attend.T_1|CY2023Q3</v>
      </c>
    </row>
    <row r="3316" spans="4:18" x14ac:dyDescent="0.2">
      <c r="D3316" t="s">
        <v>89</v>
      </c>
      <c r="E3316" t="s">
        <v>90</v>
      </c>
      <c r="F3316" t="s">
        <v>91</v>
      </c>
      <c r="G3316" t="s">
        <v>150</v>
      </c>
      <c r="H3316" t="s">
        <v>150</v>
      </c>
      <c r="I3316" t="s">
        <v>37</v>
      </c>
      <c r="J3316" t="s">
        <v>38</v>
      </c>
      <c r="K3316" t="s">
        <v>47</v>
      </c>
      <c r="L3316" t="s">
        <v>48</v>
      </c>
      <c r="M3316" t="s">
        <v>139</v>
      </c>
      <c r="N3316">
        <v>796</v>
      </c>
      <c r="O3316" s="14">
        <v>0.658847528509796</v>
      </c>
      <c r="P3316" s="14">
        <v>0.71991415042430196</v>
      </c>
      <c r="Q3316" t="str">
        <f t="shared" si="102"/>
        <v>15-24</v>
      </c>
      <c r="R3316" t="str">
        <f t="shared" si="103"/>
        <v>[AZyWpGzhcaA]|15-24|Male|Untreated_PLHIV_Attend.T_1|CY2023Q3</v>
      </c>
    </row>
    <row r="3317" spans="4:18" x14ac:dyDescent="0.2">
      <c r="D3317" t="s">
        <v>89</v>
      </c>
      <c r="E3317" t="s">
        <v>90</v>
      </c>
      <c r="F3317" t="s">
        <v>91</v>
      </c>
      <c r="G3317" t="s">
        <v>150</v>
      </c>
      <c r="H3317" t="s">
        <v>150</v>
      </c>
      <c r="I3317" t="s">
        <v>40</v>
      </c>
      <c r="J3317" t="s">
        <v>41</v>
      </c>
      <c r="K3317" t="s">
        <v>47</v>
      </c>
      <c r="L3317" t="s">
        <v>48</v>
      </c>
      <c r="M3317" t="s">
        <v>139</v>
      </c>
      <c r="N3317">
        <v>686</v>
      </c>
      <c r="O3317" s="14">
        <v>0.99584964336827397</v>
      </c>
      <c r="P3317" s="14">
        <v>0.71991415042430196</v>
      </c>
      <c r="Q3317" t="str">
        <f t="shared" si="102"/>
        <v>25-34</v>
      </c>
      <c r="R3317" t="str">
        <f t="shared" si="103"/>
        <v>[AZyWpGzhcaA]|25-34|Male|Untreated_PLHIV_Attend.T_1|CY2023Q3</v>
      </c>
    </row>
    <row r="3318" spans="4:18" x14ac:dyDescent="0.2">
      <c r="D3318" t="s">
        <v>89</v>
      </c>
      <c r="E3318" t="s">
        <v>90</v>
      </c>
      <c r="F3318" t="s">
        <v>91</v>
      </c>
      <c r="G3318" t="s">
        <v>150</v>
      </c>
      <c r="H3318" t="s">
        <v>150</v>
      </c>
      <c r="I3318" t="s">
        <v>42</v>
      </c>
      <c r="J3318" t="s">
        <v>43</v>
      </c>
      <c r="K3318" t="s">
        <v>47</v>
      </c>
      <c r="L3318" t="s">
        <v>48</v>
      </c>
      <c r="M3318" t="s">
        <v>139</v>
      </c>
      <c r="N3318">
        <v>1744</v>
      </c>
      <c r="O3318" s="14">
        <v>0.67709653754718602</v>
      </c>
      <c r="P3318" s="14">
        <v>0.71991415042430196</v>
      </c>
      <c r="Q3318" t="str">
        <f t="shared" si="102"/>
        <v>35-49</v>
      </c>
      <c r="R3318" t="str">
        <f t="shared" si="103"/>
        <v>[AZyWpGzhcaA]|35-49|Male|Untreated_PLHIV_Attend.T_1|CY2023Q3</v>
      </c>
    </row>
    <row r="3319" spans="4:18" x14ac:dyDescent="0.2">
      <c r="D3319" t="s">
        <v>89</v>
      </c>
      <c r="E3319" t="s">
        <v>90</v>
      </c>
      <c r="F3319" t="s">
        <v>91</v>
      </c>
      <c r="G3319" t="s">
        <v>150</v>
      </c>
      <c r="H3319" t="s">
        <v>150</v>
      </c>
      <c r="I3319" t="s">
        <v>44</v>
      </c>
      <c r="J3319" t="s">
        <v>45</v>
      </c>
      <c r="K3319" t="s">
        <v>47</v>
      </c>
      <c r="L3319" t="s">
        <v>48</v>
      </c>
      <c r="M3319" t="s">
        <v>139</v>
      </c>
      <c r="N3319">
        <v>545</v>
      </c>
      <c r="O3319" s="14">
        <v>0.15842436417006001</v>
      </c>
      <c r="P3319" s="14">
        <v>0.71991415042430196</v>
      </c>
      <c r="Q3319" t="str">
        <f t="shared" si="102"/>
        <v>50+</v>
      </c>
      <c r="R3319" t="str">
        <f t="shared" si="103"/>
        <v>[AZyWpGzhcaA]|50+|Male|Untreated_PLHIV_Attend.T_1|CY2023Q3</v>
      </c>
    </row>
    <row r="3320" spans="4:18" x14ac:dyDescent="0.2">
      <c r="D3320" t="s">
        <v>92</v>
      </c>
      <c r="E3320" t="s">
        <v>93</v>
      </c>
      <c r="F3320" t="s">
        <v>94</v>
      </c>
      <c r="G3320" t="s">
        <v>150</v>
      </c>
      <c r="H3320" t="s">
        <v>150</v>
      </c>
      <c r="I3320" t="s">
        <v>27</v>
      </c>
      <c r="J3320" t="s">
        <v>28</v>
      </c>
      <c r="K3320" t="s">
        <v>29</v>
      </c>
      <c r="L3320" t="s">
        <v>30</v>
      </c>
      <c r="M3320" t="s">
        <v>139</v>
      </c>
      <c r="N3320">
        <v>795</v>
      </c>
      <c r="O3320" s="14">
        <v>0.16355322836898301</v>
      </c>
      <c r="P3320" s="14">
        <v>0.36227229656651599</v>
      </c>
      <c r="Q3320" t="str">
        <f t="shared" si="102"/>
        <v>&lt;01</v>
      </c>
      <c r="R3320" t="str">
        <f t="shared" si="103"/>
        <v>[umc2n1Z4wNv]|&lt;01|Female|Untreated_PLHIV_Attend.T_1|CY2023Q3</v>
      </c>
    </row>
    <row r="3321" spans="4:18" x14ac:dyDescent="0.2">
      <c r="D3321" t="s">
        <v>92</v>
      </c>
      <c r="E3321" t="s">
        <v>93</v>
      </c>
      <c r="F3321" t="s">
        <v>94</v>
      </c>
      <c r="G3321" t="s">
        <v>150</v>
      </c>
      <c r="H3321" t="s">
        <v>150</v>
      </c>
      <c r="I3321" t="s">
        <v>32</v>
      </c>
      <c r="J3321" t="s">
        <v>33</v>
      </c>
      <c r="K3321" t="s">
        <v>29</v>
      </c>
      <c r="L3321" t="s">
        <v>30</v>
      </c>
      <c r="M3321" t="s">
        <v>139</v>
      </c>
      <c r="N3321">
        <v>1230</v>
      </c>
      <c r="O3321" s="14">
        <v>7.9589938279241296E-2</v>
      </c>
      <c r="P3321" s="14">
        <v>0.36227229656651599</v>
      </c>
      <c r="Q3321" t="str">
        <f t="shared" si="102"/>
        <v>01-09</v>
      </c>
      <c r="R3321" t="str">
        <f t="shared" si="103"/>
        <v>[umc2n1Z4wNv]|01-09|Female|Untreated_PLHIV_Attend.T_1|CY2023Q3</v>
      </c>
    </row>
    <row r="3322" spans="4:18" x14ac:dyDescent="0.2">
      <c r="D3322" t="s">
        <v>92</v>
      </c>
      <c r="E3322" t="s">
        <v>93</v>
      </c>
      <c r="F3322" t="s">
        <v>94</v>
      </c>
      <c r="G3322" t="s">
        <v>150</v>
      </c>
      <c r="H3322" t="s">
        <v>150</v>
      </c>
      <c r="I3322" t="s">
        <v>35</v>
      </c>
      <c r="J3322" t="s">
        <v>36</v>
      </c>
      <c r="K3322" t="s">
        <v>29</v>
      </c>
      <c r="L3322" t="s">
        <v>30</v>
      </c>
      <c r="M3322" t="s">
        <v>139</v>
      </c>
      <c r="N3322">
        <v>1311</v>
      </c>
      <c r="O3322" s="14">
        <v>0.90340123046189502</v>
      </c>
      <c r="P3322" s="14">
        <v>0.36227229656651599</v>
      </c>
      <c r="Q3322" t="str">
        <f t="shared" si="102"/>
        <v>10-14</v>
      </c>
      <c r="R3322" t="str">
        <f t="shared" si="103"/>
        <v>[umc2n1Z4wNv]|10-14|Female|Untreated_PLHIV_Attend.T_1|CY2023Q3</v>
      </c>
    </row>
    <row r="3323" spans="4:18" x14ac:dyDescent="0.2">
      <c r="D3323" t="s">
        <v>92</v>
      </c>
      <c r="E3323" t="s">
        <v>93</v>
      </c>
      <c r="F3323" t="s">
        <v>94</v>
      </c>
      <c r="G3323" t="s">
        <v>150</v>
      </c>
      <c r="H3323" t="s">
        <v>150</v>
      </c>
      <c r="I3323" t="s">
        <v>37</v>
      </c>
      <c r="J3323" t="s">
        <v>38</v>
      </c>
      <c r="K3323" t="s">
        <v>29</v>
      </c>
      <c r="L3323" t="s">
        <v>30</v>
      </c>
      <c r="M3323" t="s">
        <v>139</v>
      </c>
      <c r="N3323">
        <v>540</v>
      </c>
      <c r="O3323" s="14">
        <v>2.2728142328560401E-2</v>
      </c>
      <c r="P3323" s="14">
        <v>0.36227229656651599</v>
      </c>
      <c r="Q3323" t="str">
        <f t="shared" si="102"/>
        <v>15-24</v>
      </c>
      <c r="R3323" t="str">
        <f t="shared" si="103"/>
        <v>[umc2n1Z4wNv]|15-24|Female|Untreated_PLHIV_Attend.T_1|CY2023Q3</v>
      </c>
    </row>
    <row r="3324" spans="4:18" x14ac:dyDescent="0.2">
      <c r="D3324" t="s">
        <v>92</v>
      </c>
      <c r="E3324" t="s">
        <v>93</v>
      </c>
      <c r="F3324" t="s">
        <v>94</v>
      </c>
      <c r="G3324" t="s">
        <v>150</v>
      </c>
      <c r="H3324" t="s">
        <v>150</v>
      </c>
      <c r="I3324" t="s">
        <v>40</v>
      </c>
      <c r="J3324" t="s">
        <v>41</v>
      </c>
      <c r="K3324" t="s">
        <v>29</v>
      </c>
      <c r="L3324" t="s">
        <v>30</v>
      </c>
      <c r="M3324" t="s">
        <v>139</v>
      </c>
      <c r="N3324">
        <v>1820</v>
      </c>
      <c r="O3324" s="14">
        <v>0.64060173742473103</v>
      </c>
      <c r="P3324" s="14">
        <v>0.36227229656651599</v>
      </c>
      <c r="Q3324" t="str">
        <f t="shared" si="102"/>
        <v>25-34</v>
      </c>
      <c r="R3324" t="str">
        <f t="shared" si="103"/>
        <v>[umc2n1Z4wNv]|25-34|Female|Untreated_PLHIV_Attend.T_1|CY2023Q3</v>
      </c>
    </row>
    <row r="3325" spans="4:18" x14ac:dyDescent="0.2">
      <c r="D3325" t="s">
        <v>92</v>
      </c>
      <c r="E3325" t="s">
        <v>93</v>
      </c>
      <c r="F3325" t="s">
        <v>94</v>
      </c>
      <c r="G3325" t="s">
        <v>150</v>
      </c>
      <c r="H3325" t="s">
        <v>150</v>
      </c>
      <c r="I3325" t="s">
        <v>42</v>
      </c>
      <c r="J3325" t="s">
        <v>43</v>
      </c>
      <c r="K3325" t="s">
        <v>29</v>
      </c>
      <c r="L3325" t="s">
        <v>30</v>
      </c>
      <c r="M3325" t="s">
        <v>139</v>
      </c>
      <c r="N3325">
        <v>531</v>
      </c>
      <c r="O3325" s="14">
        <v>4.6361504355445497E-2</v>
      </c>
      <c r="P3325" s="14">
        <v>0.36227229656651599</v>
      </c>
      <c r="Q3325" t="str">
        <f t="shared" si="102"/>
        <v>35-49</v>
      </c>
      <c r="R3325" t="str">
        <f t="shared" si="103"/>
        <v>[umc2n1Z4wNv]|35-49|Female|Untreated_PLHIV_Attend.T_1|CY2023Q3</v>
      </c>
    </row>
    <row r="3326" spans="4:18" x14ac:dyDescent="0.2">
      <c r="D3326" t="s">
        <v>92</v>
      </c>
      <c r="E3326" t="s">
        <v>93</v>
      </c>
      <c r="F3326" t="s">
        <v>94</v>
      </c>
      <c r="G3326" t="s">
        <v>150</v>
      </c>
      <c r="H3326" t="s">
        <v>150</v>
      </c>
      <c r="I3326" t="s">
        <v>44</v>
      </c>
      <c r="J3326" t="s">
        <v>45</v>
      </c>
      <c r="K3326" t="s">
        <v>29</v>
      </c>
      <c r="L3326" t="s">
        <v>30</v>
      </c>
      <c r="M3326" t="s">
        <v>139</v>
      </c>
      <c r="N3326">
        <v>1064</v>
      </c>
      <c r="O3326" s="14">
        <v>0.69280370557680704</v>
      </c>
      <c r="P3326" s="14">
        <v>0.36227229656651599</v>
      </c>
      <c r="Q3326" t="str">
        <f t="shared" si="102"/>
        <v>50+</v>
      </c>
      <c r="R3326" t="str">
        <f t="shared" si="103"/>
        <v>[umc2n1Z4wNv]|50+|Female|Untreated_PLHIV_Attend.T_1|CY2023Q3</v>
      </c>
    </row>
    <row r="3327" spans="4:18" x14ac:dyDescent="0.2">
      <c r="D3327" t="s">
        <v>92</v>
      </c>
      <c r="E3327" t="s">
        <v>93</v>
      </c>
      <c r="F3327" t="s">
        <v>94</v>
      </c>
      <c r="G3327" t="s">
        <v>150</v>
      </c>
      <c r="H3327" t="s">
        <v>150</v>
      </c>
      <c r="I3327" t="s">
        <v>27</v>
      </c>
      <c r="J3327" t="s">
        <v>28</v>
      </c>
      <c r="K3327" t="s">
        <v>47</v>
      </c>
      <c r="L3327" t="s">
        <v>48</v>
      </c>
      <c r="M3327" t="s">
        <v>139</v>
      </c>
      <c r="N3327">
        <v>609</v>
      </c>
      <c r="O3327" s="14">
        <v>0.74536630231887102</v>
      </c>
      <c r="P3327" s="14">
        <v>0.36227229656651599</v>
      </c>
      <c r="Q3327" t="str">
        <f t="shared" si="102"/>
        <v>&lt;01</v>
      </c>
      <c r="R3327" t="str">
        <f t="shared" si="103"/>
        <v>[umc2n1Z4wNv]|&lt;01|Male|Untreated_PLHIV_Attend.T_1|CY2023Q3</v>
      </c>
    </row>
    <row r="3328" spans="4:18" x14ac:dyDescent="0.2">
      <c r="D3328" t="s">
        <v>92</v>
      </c>
      <c r="E3328" t="s">
        <v>93</v>
      </c>
      <c r="F3328" t="s">
        <v>94</v>
      </c>
      <c r="G3328" t="s">
        <v>150</v>
      </c>
      <c r="H3328" t="s">
        <v>150</v>
      </c>
      <c r="I3328" t="s">
        <v>32</v>
      </c>
      <c r="J3328" t="s">
        <v>33</v>
      </c>
      <c r="K3328" t="s">
        <v>47</v>
      </c>
      <c r="L3328" t="s">
        <v>48</v>
      </c>
      <c r="M3328" t="s">
        <v>139</v>
      </c>
      <c r="N3328">
        <v>717</v>
      </c>
      <c r="O3328" s="14">
        <v>0.22488658153452001</v>
      </c>
      <c r="P3328" s="14">
        <v>0.36227229656651599</v>
      </c>
      <c r="Q3328" t="str">
        <f t="shared" si="102"/>
        <v>01-09</v>
      </c>
      <c r="R3328" t="str">
        <f t="shared" si="103"/>
        <v>[umc2n1Z4wNv]|01-09|Male|Untreated_PLHIV_Attend.T_1|CY2023Q3</v>
      </c>
    </row>
    <row r="3329" spans="4:18" x14ac:dyDescent="0.2">
      <c r="D3329" t="s">
        <v>92</v>
      </c>
      <c r="E3329" t="s">
        <v>93</v>
      </c>
      <c r="F3329" t="s">
        <v>94</v>
      </c>
      <c r="G3329" t="s">
        <v>150</v>
      </c>
      <c r="H3329" t="s">
        <v>150</v>
      </c>
      <c r="I3329" t="s">
        <v>35</v>
      </c>
      <c r="J3329" t="s">
        <v>36</v>
      </c>
      <c r="K3329" t="s">
        <v>47</v>
      </c>
      <c r="L3329" t="s">
        <v>48</v>
      </c>
      <c r="M3329" t="s">
        <v>139</v>
      </c>
      <c r="N3329">
        <v>1337</v>
      </c>
      <c r="O3329" s="14">
        <v>0.81448554294183895</v>
      </c>
      <c r="P3329" s="14">
        <v>0.36227229656651599</v>
      </c>
      <c r="Q3329" t="str">
        <f t="shared" si="102"/>
        <v>10-14</v>
      </c>
      <c r="R3329" t="str">
        <f t="shared" si="103"/>
        <v>[umc2n1Z4wNv]|10-14|Male|Untreated_PLHIV_Attend.T_1|CY2023Q3</v>
      </c>
    </row>
    <row r="3330" spans="4:18" x14ac:dyDescent="0.2">
      <c r="D3330" t="s">
        <v>92</v>
      </c>
      <c r="E3330" t="s">
        <v>93</v>
      </c>
      <c r="F3330" t="s">
        <v>94</v>
      </c>
      <c r="G3330" t="s">
        <v>150</v>
      </c>
      <c r="H3330" t="s">
        <v>150</v>
      </c>
      <c r="I3330" t="s">
        <v>37</v>
      </c>
      <c r="J3330" t="s">
        <v>38</v>
      </c>
      <c r="K3330" t="s">
        <v>47</v>
      </c>
      <c r="L3330" t="s">
        <v>48</v>
      </c>
      <c r="M3330" t="s">
        <v>139</v>
      </c>
      <c r="N3330">
        <v>959</v>
      </c>
      <c r="O3330" s="14">
        <v>0.12880476494319701</v>
      </c>
      <c r="P3330" s="14">
        <v>0.36227229656651599</v>
      </c>
      <c r="Q3330" t="str">
        <f t="shared" ref="Q3330:Q3393" si="104">SUBSTITUTE(SUBSTITUTE($I3330,CHAR(61),""),CHAR(34),"")</f>
        <v>15-24</v>
      </c>
      <c r="R3330" t="str">
        <f t="shared" ref="R3330:R3393" si="105">IF($D3330&lt;&gt;"","["&amp;$E3330&amp;"]"&amp;"|"&amp;$Q3330&amp;"|"&amp;$K3330&amp;"|"&amp;$G3330&amp;"|"&amp;IF($G3330="TX_CURR_SUBNAT.R","CY2022Q4",$M3330),"")</f>
        <v>[umc2n1Z4wNv]|15-24|Male|Untreated_PLHIV_Attend.T_1|CY2023Q3</v>
      </c>
    </row>
    <row r="3331" spans="4:18" x14ac:dyDescent="0.2">
      <c r="D3331" t="s">
        <v>92</v>
      </c>
      <c r="E3331" t="s">
        <v>93</v>
      </c>
      <c r="F3331" t="s">
        <v>94</v>
      </c>
      <c r="G3331" t="s">
        <v>150</v>
      </c>
      <c r="H3331" t="s">
        <v>150</v>
      </c>
      <c r="I3331" t="s">
        <v>40</v>
      </c>
      <c r="J3331" t="s">
        <v>41</v>
      </c>
      <c r="K3331" t="s">
        <v>47</v>
      </c>
      <c r="L3331" t="s">
        <v>48</v>
      </c>
      <c r="M3331" t="s">
        <v>139</v>
      </c>
      <c r="N3331">
        <v>715</v>
      </c>
      <c r="O3331" s="14">
        <v>0.65227060322649799</v>
      </c>
      <c r="P3331" s="14">
        <v>0.36227229656651599</v>
      </c>
      <c r="Q3331" t="str">
        <f t="shared" si="104"/>
        <v>25-34</v>
      </c>
      <c r="R3331" t="str">
        <f t="shared" si="105"/>
        <v>[umc2n1Z4wNv]|25-34|Male|Untreated_PLHIV_Attend.T_1|CY2023Q3</v>
      </c>
    </row>
    <row r="3332" spans="4:18" x14ac:dyDescent="0.2">
      <c r="D3332" t="s">
        <v>92</v>
      </c>
      <c r="E3332" t="s">
        <v>93</v>
      </c>
      <c r="F3332" t="s">
        <v>94</v>
      </c>
      <c r="G3332" t="s">
        <v>150</v>
      </c>
      <c r="H3332" t="s">
        <v>150</v>
      </c>
      <c r="I3332" t="s">
        <v>42</v>
      </c>
      <c r="J3332" t="s">
        <v>43</v>
      </c>
      <c r="K3332" t="s">
        <v>47</v>
      </c>
      <c r="L3332" t="s">
        <v>48</v>
      </c>
      <c r="M3332" t="s">
        <v>139</v>
      </c>
      <c r="N3332">
        <v>1497</v>
      </c>
      <c r="O3332" s="14">
        <v>0.103897551307455</v>
      </c>
      <c r="P3332" s="14">
        <v>0.36227229656651599</v>
      </c>
      <c r="Q3332" t="str">
        <f t="shared" si="104"/>
        <v>35-49</v>
      </c>
      <c r="R3332" t="str">
        <f t="shared" si="105"/>
        <v>[umc2n1Z4wNv]|35-49|Male|Untreated_PLHIV_Attend.T_1|CY2023Q3</v>
      </c>
    </row>
    <row r="3333" spans="4:18" x14ac:dyDescent="0.2">
      <c r="D3333" t="s">
        <v>92</v>
      </c>
      <c r="E3333" t="s">
        <v>93</v>
      </c>
      <c r="F3333" t="s">
        <v>94</v>
      </c>
      <c r="G3333" t="s">
        <v>150</v>
      </c>
      <c r="H3333" t="s">
        <v>150</v>
      </c>
      <c r="I3333" t="s">
        <v>44</v>
      </c>
      <c r="J3333" t="s">
        <v>45</v>
      </c>
      <c r="K3333" t="s">
        <v>47</v>
      </c>
      <c r="L3333" t="s">
        <v>48</v>
      </c>
      <c r="M3333" t="s">
        <v>139</v>
      </c>
      <c r="N3333">
        <v>1506</v>
      </c>
      <c r="O3333" s="14">
        <v>0.458108250051737</v>
      </c>
      <c r="P3333" s="14">
        <v>0.36227229656651599</v>
      </c>
      <c r="Q3333" t="str">
        <f t="shared" si="104"/>
        <v>50+</v>
      </c>
      <c r="R3333" t="str">
        <f t="shared" si="105"/>
        <v>[umc2n1Z4wNv]|50+|Male|Untreated_PLHIV_Attend.T_1|CY2023Q3</v>
      </c>
    </row>
    <row r="3334" spans="4:18" x14ac:dyDescent="0.2">
      <c r="D3334" t="s">
        <v>95</v>
      </c>
      <c r="E3334" t="s">
        <v>96</v>
      </c>
      <c r="F3334" t="s">
        <v>97</v>
      </c>
      <c r="G3334" t="s">
        <v>150</v>
      </c>
      <c r="H3334" t="s">
        <v>150</v>
      </c>
      <c r="I3334" t="s">
        <v>27</v>
      </c>
      <c r="J3334" t="s">
        <v>28</v>
      </c>
      <c r="K3334" t="s">
        <v>29</v>
      </c>
      <c r="L3334" t="s">
        <v>30</v>
      </c>
      <c r="M3334" t="s">
        <v>139</v>
      </c>
      <c r="N3334">
        <v>1371</v>
      </c>
      <c r="O3334" s="14">
        <v>0.94781388877891004</v>
      </c>
      <c r="P3334" s="14">
        <v>0.60125171788968101</v>
      </c>
      <c r="Q3334" t="str">
        <f t="shared" si="104"/>
        <v>&lt;01</v>
      </c>
      <c r="R3334" t="str">
        <f t="shared" si="105"/>
        <v>[gwVYinjBAe9]|&lt;01|Female|Untreated_PLHIV_Attend.T_1|CY2023Q3</v>
      </c>
    </row>
    <row r="3335" spans="4:18" x14ac:dyDescent="0.2">
      <c r="D3335" t="s">
        <v>95</v>
      </c>
      <c r="E3335" t="s">
        <v>96</v>
      </c>
      <c r="F3335" t="s">
        <v>97</v>
      </c>
      <c r="G3335" t="s">
        <v>150</v>
      </c>
      <c r="H3335" t="s">
        <v>150</v>
      </c>
      <c r="I3335" t="s">
        <v>32</v>
      </c>
      <c r="J3335" t="s">
        <v>33</v>
      </c>
      <c r="K3335" t="s">
        <v>29</v>
      </c>
      <c r="L3335" t="s">
        <v>30</v>
      </c>
      <c r="M3335" t="s">
        <v>139</v>
      </c>
      <c r="N3335">
        <v>595</v>
      </c>
      <c r="O3335" s="14">
        <v>0.88173297443427101</v>
      </c>
      <c r="P3335" s="14">
        <v>0.60125171788968101</v>
      </c>
      <c r="Q3335" t="str">
        <f t="shared" si="104"/>
        <v>01-09</v>
      </c>
      <c r="R3335" t="str">
        <f t="shared" si="105"/>
        <v>[gwVYinjBAe9]|01-09|Female|Untreated_PLHIV_Attend.T_1|CY2023Q3</v>
      </c>
    </row>
    <row r="3336" spans="4:18" x14ac:dyDescent="0.2">
      <c r="D3336" t="s">
        <v>95</v>
      </c>
      <c r="E3336" t="s">
        <v>96</v>
      </c>
      <c r="F3336" t="s">
        <v>97</v>
      </c>
      <c r="G3336" t="s">
        <v>150</v>
      </c>
      <c r="H3336" t="s">
        <v>150</v>
      </c>
      <c r="I3336" t="s">
        <v>35</v>
      </c>
      <c r="J3336" t="s">
        <v>36</v>
      </c>
      <c r="K3336" t="s">
        <v>29</v>
      </c>
      <c r="L3336" t="s">
        <v>30</v>
      </c>
      <c r="M3336" t="s">
        <v>139</v>
      </c>
      <c r="N3336">
        <v>1674</v>
      </c>
      <c r="O3336" s="14">
        <v>0.54204219975508705</v>
      </c>
      <c r="P3336" s="14">
        <v>0.60125171788968101</v>
      </c>
      <c r="Q3336" t="str">
        <f t="shared" si="104"/>
        <v>10-14</v>
      </c>
      <c r="R3336" t="str">
        <f t="shared" si="105"/>
        <v>[gwVYinjBAe9]|10-14|Female|Untreated_PLHIV_Attend.T_1|CY2023Q3</v>
      </c>
    </row>
    <row r="3337" spans="4:18" x14ac:dyDescent="0.2">
      <c r="D3337" t="s">
        <v>95</v>
      </c>
      <c r="E3337" t="s">
        <v>96</v>
      </c>
      <c r="F3337" t="s">
        <v>97</v>
      </c>
      <c r="G3337" t="s">
        <v>150</v>
      </c>
      <c r="H3337" t="s">
        <v>150</v>
      </c>
      <c r="I3337" t="s">
        <v>37</v>
      </c>
      <c r="J3337" t="s">
        <v>38</v>
      </c>
      <c r="K3337" t="s">
        <v>29</v>
      </c>
      <c r="L3337" t="s">
        <v>30</v>
      </c>
      <c r="M3337" t="s">
        <v>139</v>
      </c>
      <c r="N3337">
        <v>1569</v>
      </c>
      <c r="O3337" s="14">
        <v>0.38985643372870998</v>
      </c>
      <c r="P3337" s="14">
        <v>0.60125171788968101</v>
      </c>
      <c r="Q3337" t="str">
        <f t="shared" si="104"/>
        <v>15-24</v>
      </c>
      <c r="R3337" t="str">
        <f t="shared" si="105"/>
        <v>[gwVYinjBAe9]|15-24|Female|Untreated_PLHIV_Attend.T_1|CY2023Q3</v>
      </c>
    </row>
    <row r="3338" spans="4:18" x14ac:dyDescent="0.2">
      <c r="D3338" t="s">
        <v>95</v>
      </c>
      <c r="E3338" t="s">
        <v>96</v>
      </c>
      <c r="F3338" t="s">
        <v>97</v>
      </c>
      <c r="G3338" t="s">
        <v>150</v>
      </c>
      <c r="H3338" t="s">
        <v>150</v>
      </c>
      <c r="I3338" t="s">
        <v>40</v>
      </c>
      <c r="J3338" t="s">
        <v>41</v>
      </c>
      <c r="K3338" t="s">
        <v>29</v>
      </c>
      <c r="L3338" t="s">
        <v>30</v>
      </c>
      <c r="M3338" t="s">
        <v>139</v>
      </c>
      <c r="N3338">
        <v>1210</v>
      </c>
      <c r="O3338" s="14">
        <v>0.58094487432390496</v>
      </c>
      <c r="P3338" s="14">
        <v>0.60125171788968101</v>
      </c>
      <c r="Q3338" t="str">
        <f t="shared" si="104"/>
        <v>25-34</v>
      </c>
      <c r="R3338" t="str">
        <f t="shared" si="105"/>
        <v>[gwVYinjBAe9]|25-34|Female|Untreated_PLHIV_Attend.T_1|CY2023Q3</v>
      </c>
    </row>
    <row r="3339" spans="4:18" x14ac:dyDescent="0.2">
      <c r="D3339" t="s">
        <v>95</v>
      </c>
      <c r="E3339" t="s">
        <v>96</v>
      </c>
      <c r="F3339" t="s">
        <v>97</v>
      </c>
      <c r="G3339" t="s">
        <v>150</v>
      </c>
      <c r="H3339" t="s">
        <v>150</v>
      </c>
      <c r="I3339" t="s">
        <v>42</v>
      </c>
      <c r="J3339" t="s">
        <v>43</v>
      </c>
      <c r="K3339" t="s">
        <v>29</v>
      </c>
      <c r="L3339" t="s">
        <v>30</v>
      </c>
      <c r="M3339" t="s">
        <v>139</v>
      </c>
      <c r="N3339">
        <v>717</v>
      </c>
      <c r="O3339" s="14">
        <v>4.1959316236898303E-2</v>
      </c>
      <c r="P3339" s="14">
        <v>0.60125171788968101</v>
      </c>
      <c r="Q3339" t="str">
        <f t="shared" si="104"/>
        <v>35-49</v>
      </c>
      <c r="R3339" t="str">
        <f t="shared" si="105"/>
        <v>[gwVYinjBAe9]|35-49|Female|Untreated_PLHIV_Attend.T_1|CY2023Q3</v>
      </c>
    </row>
    <row r="3340" spans="4:18" x14ac:dyDescent="0.2">
      <c r="D3340" t="s">
        <v>95</v>
      </c>
      <c r="E3340" t="s">
        <v>96</v>
      </c>
      <c r="F3340" t="s">
        <v>97</v>
      </c>
      <c r="G3340" t="s">
        <v>150</v>
      </c>
      <c r="H3340" t="s">
        <v>150</v>
      </c>
      <c r="I3340" t="s">
        <v>44</v>
      </c>
      <c r="J3340" t="s">
        <v>45</v>
      </c>
      <c r="K3340" t="s">
        <v>29</v>
      </c>
      <c r="L3340" t="s">
        <v>30</v>
      </c>
      <c r="M3340" t="s">
        <v>139</v>
      </c>
      <c r="N3340">
        <v>1372</v>
      </c>
      <c r="O3340" s="14">
        <v>0.93027926189824905</v>
      </c>
      <c r="P3340" s="14">
        <v>0.60125171788968101</v>
      </c>
      <c r="Q3340" t="str">
        <f t="shared" si="104"/>
        <v>50+</v>
      </c>
      <c r="R3340" t="str">
        <f t="shared" si="105"/>
        <v>[gwVYinjBAe9]|50+|Female|Untreated_PLHIV_Attend.T_1|CY2023Q3</v>
      </c>
    </row>
    <row r="3341" spans="4:18" x14ac:dyDescent="0.2">
      <c r="D3341" t="s">
        <v>95</v>
      </c>
      <c r="E3341" t="s">
        <v>96</v>
      </c>
      <c r="F3341" t="s">
        <v>97</v>
      </c>
      <c r="G3341" t="s">
        <v>150</v>
      </c>
      <c r="H3341" t="s">
        <v>150</v>
      </c>
      <c r="I3341" t="s">
        <v>27</v>
      </c>
      <c r="J3341" t="s">
        <v>28</v>
      </c>
      <c r="K3341" t="s">
        <v>47</v>
      </c>
      <c r="L3341" t="s">
        <v>48</v>
      </c>
      <c r="M3341" t="s">
        <v>139</v>
      </c>
      <c r="N3341">
        <v>932</v>
      </c>
      <c r="O3341" s="14">
        <v>0.118862043600529</v>
      </c>
      <c r="P3341" s="14">
        <v>0.60125171788968101</v>
      </c>
      <c r="Q3341" t="str">
        <f t="shared" si="104"/>
        <v>&lt;01</v>
      </c>
      <c r="R3341" t="str">
        <f t="shared" si="105"/>
        <v>[gwVYinjBAe9]|&lt;01|Male|Untreated_PLHIV_Attend.T_1|CY2023Q3</v>
      </c>
    </row>
    <row r="3342" spans="4:18" x14ac:dyDescent="0.2">
      <c r="D3342" t="s">
        <v>95</v>
      </c>
      <c r="E3342" t="s">
        <v>96</v>
      </c>
      <c r="F3342" t="s">
        <v>97</v>
      </c>
      <c r="G3342" t="s">
        <v>150</v>
      </c>
      <c r="H3342" t="s">
        <v>150</v>
      </c>
      <c r="I3342" t="s">
        <v>32</v>
      </c>
      <c r="J3342" t="s">
        <v>33</v>
      </c>
      <c r="K3342" t="s">
        <v>47</v>
      </c>
      <c r="L3342" t="s">
        <v>48</v>
      </c>
      <c r="M3342" t="s">
        <v>139</v>
      </c>
      <c r="N3342">
        <v>1940</v>
      </c>
      <c r="O3342" s="14">
        <v>0.80261167092248797</v>
      </c>
      <c r="P3342" s="14">
        <v>0.60125171788968101</v>
      </c>
      <c r="Q3342" t="str">
        <f t="shared" si="104"/>
        <v>01-09</v>
      </c>
      <c r="R3342" t="str">
        <f t="shared" si="105"/>
        <v>[gwVYinjBAe9]|01-09|Male|Untreated_PLHIV_Attend.T_1|CY2023Q3</v>
      </c>
    </row>
    <row r="3343" spans="4:18" x14ac:dyDescent="0.2">
      <c r="D3343" t="s">
        <v>95</v>
      </c>
      <c r="E3343" t="s">
        <v>96</v>
      </c>
      <c r="F3343" t="s">
        <v>97</v>
      </c>
      <c r="G3343" t="s">
        <v>150</v>
      </c>
      <c r="H3343" t="s">
        <v>150</v>
      </c>
      <c r="I3343" t="s">
        <v>35</v>
      </c>
      <c r="J3343" t="s">
        <v>36</v>
      </c>
      <c r="K3343" t="s">
        <v>47</v>
      </c>
      <c r="L3343" t="s">
        <v>48</v>
      </c>
      <c r="M3343" t="s">
        <v>139</v>
      </c>
      <c r="N3343">
        <v>1492</v>
      </c>
      <c r="O3343" s="14">
        <v>0.36734763905405998</v>
      </c>
      <c r="P3343" s="14">
        <v>0.60125171788968101</v>
      </c>
      <c r="Q3343" t="str">
        <f t="shared" si="104"/>
        <v>10-14</v>
      </c>
      <c r="R3343" t="str">
        <f t="shared" si="105"/>
        <v>[gwVYinjBAe9]|10-14|Male|Untreated_PLHIV_Attend.T_1|CY2023Q3</v>
      </c>
    </row>
    <row r="3344" spans="4:18" x14ac:dyDescent="0.2">
      <c r="D3344" t="s">
        <v>95</v>
      </c>
      <c r="E3344" t="s">
        <v>96</v>
      </c>
      <c r="F3344" t="s">
        <v>97</v>
      </c>
      <c r="G3344" t="s">
        <v>150</v>
      </c>
      <c r="H3344" t="s">
        <v>150</v>
      </c>
      <c r="I3344" t="s">
        <v>37</v>
      </c>
      <c r="J3344" t="s">
        <v>38</v>
      </c>
      <c r="K3344" t="s">
        <v>47</v>
      </c>
      <c r="L3344" t="s">
        <v>48</v>
      </c>
      <c r="M3344" t="s">
        <v>139</v>
      </c>
      <c r="N3344">
        <v>1290</v>
      </c>
      <c r="O3344" s="14">
        <v>0.93288254225626599</v>
      </c>
      <c r="P3344" s="14">
        <v>0.60125171788968101</v>
      </c>
      <c r="Q3344" t="str">
        <f t="shared" si="104"/>
        <v>15-24</v>
      </c>
      <c r="R3344" t="str">
        <f t="shared" si="105"/>
        <v>[gwVYinjBAe9]|15-24|Male|Untreated_PLHIV_Attend.T_1|CY2023Q3</v>
      </c>
    </row>
    <row r="3345" spans="4:18" x14ac:dyDescent="0.2">
      <c r="D3345" t="s">
        <v>95</v>
      </c>
      <c r="E3345" t="s">
        <v>96</v>
      </c>
      <c r="F3345" t="s">
        <v>97</v>
      </c>
      <c r="G3345" t="s">
        <v>150</v>
      </c>
      <c r="H3345" t="s">
        <v>150</v>
      </c>
      <c r="I3345" t="s">
        <v>40</v>
      </c>
      <c r="J3345" t="s">
        <v>41</v>
      </c>
      <c r="K3345" t="s">
        <v>47</v>
      </c>
      <c r="L3345" t="s">
        <v>48</v>
      </c>
      <c r="M3345" t="s">
        <v>139</v>
      </c>
      <c r="N3345">
        <v>771</v>
      </c>
      <c r="O3345" s="14">
        <v>0.69119511148892299</v>
      </c>
      <c r="P3345" s="14">
        <v>0.60125171788968101</v>
      </c>
      <c r="Q3345" t="str">
        <f t="shared" si="104"/>
        <v>25-34</v>
      </c>
      <c r="R3345" t="str">
        <f t="shared" si="105"/>
        <v>[gwVYinjBAe9]|25-34|Male|Untreated_PLHIV_Attend.T_1|CY2023Q3</v>
      </c>
    </row>
    <row r="3346" spans="4:18" x14ac:dyDescent="0.2">
      <c r="D3346" t="s">
        <v>95</v>
      </c>
      <c r="E3346" t="s">
        <v>96</v>
      </c>
      <c r="F3346" t="s">
        <v>97</v>
      </c>
      <c r="G3346" t="s">
        <v>150</v>
      </c>
      <c r="H3346" t="s">
        <v>150</v>
      </c>
      <c r="I3346" t="s">
        <v>42</v>
      </c>
      <c r="J3346" t="s">
        <v>43</v>
      </c>
      <c r="K3346" t="s">
        <v>47</v>
      </c>
      <c r="L3346" t="s">
        <v>48</v>
      </c>
      <c r="M3346" t="s">
        <v>139</v>
      </c>
      <c r="N3346">
        <v>1091</v>
      </c>
      <c r="O3346" s="14">
        <v>0.49356691422872201</v>
      </c>
      <c r="P3346" s="14">
        <v>0.60125171788968101</v>
      </c>
      <c r="Q3346" t="str">
        <f t="shared" si="104"/>
        <v>35-49</v>
      </c>
      <c r="R3346" t="str">
        <f t="shared" si="105"/>
        <v>[gwVYinjBAe9]|35-49|Male|Untreated_PLHIV_Attend.T_1|CY2023Q3</v>
      </c>
    </row>
    <row r="3347" spans="4:18" x14ac:dyDescent="0.2">
      <c r="D3347" t="s">
        <v>95</v>
      </c>
      <c r="E3347" t="s">
        <v>96</v>
      </c>
      <c r="F3347" t="s">
        <v>97</v>
      </c>
      <c r="G3347" t="s">
        <v>150</v>
      </c>
      <c r="H3347" t="s">
        <v>150</v>
      </c>
      <c r="I3347" t="s">
        <v>44</v>
      </c>
      <c r="J3347" t="s">
        <v>45</v>
      </c>
      <c r="K3347" t="s">
        <v>47</v>
      </c>
      <c r="L3347" t="s">
        <v>48</v>
      </c>
      <c r="M3347" t="s">
        <v>139</v>
      </c>
      <c r="N3347">
        <v>1688</v>
      </c>
      <c r="O3347" s="14">
        <v>0.11438240413554</v>
      </c>
      <c r="P3347" s="14">
        <v>0.60125171788968101</v>
      </c>
      <c r="Q3347" t="str">
        <f t="shared" si="104"/>
        <v>50+</v>
      </c>
      <c r="R3347" t="str">
        <f t="shared" si="105"/>
        <v>[gwVYinjBAe9]|50+|Male|Untreated_PLHIV_Attend.T_1|CY2023Q3</v>
      </c>
    </row>
    <row r="3348" spans="4:18" x14ac:dyDescent="0.2">
      <c r="D3348" t="s">
        <v>98</v>
      </c>
      <c r="E3348" t="s">
        <v>99</v>
      </c>
      <c r="F3348" t="s">
        <v>100</v>
      </c>
      <c r="G3348" t="s">
        <v>150</v>
      </c>
      <c r="H3348" t="s">
        <v>150</v>
      </c>
      <c r="I3348" t="s">
        <v>27</v>
      </c>
      <c r="J3348" t="s">
        <v>28</v>
      </c>
      <c r="K3348" t="s">
        <v>29</v>
      </c>
      <c r="L3348" t="s">
        <v>30</v>
      </c>
      <c r="M3348" t="s">
        <v>139</v>
      </c>
      <c r="N3348">
        <v>783</v>
      </c>
      <c r="O3348" s="14">
        <v>0.62693283590488103</v>
      </c>
      <c r="P3348" s="14">
        <v>0.57728803809732199</v>
      </c>
      <c r="Q3348" t="str">
        <f t="shared" si="104"/>
        <v>&lt;01</v>
      </c>
      <c r="R3348" t="str">
        <f t="shared" si="105"/>
        <v>[mxqa3CDFmIT]|&lt;01|Female|Untreated_PLHIV_Attend.T_1|CY2023Q3</v>
      </c>
    </row>
    <row r="3349" spans="4:18" x14ac:dyDescent="0.2">
      <c r="D3349" t="s">
        <v>98</v>
      </c>
      <c r="E3349" t="s">
        <v>99</v>
      </c>
      <c r="F3349" t="s">
        <v>100</v>
      </c>
      <c r="G3349" t="s">
        <v>150</v>
      </c>
      <c r="H3349" t="s">
        <v>150</v>
      </c>
      <c r="I3349" t="s">
        <v>32</v>
      </c>
      <c r="J3349" t="s">
        <v>33</v>
      </c>
      <c r="K3349" t="s">
        <v>29</v>
      </c>
      <c r="L3349" t="s">
        <v>30</v>
      </c>
      <c r="M3349" t="s">
        <v>139</v>
      </c>
      <c r="N3349">
        <v>1678</v>
      </c>
      <c r="O3349" s="14">
        <v>0.437928655184805</v>
      </c>
      <c r="P3349" s="14">
        <v>0.57728803809732199</v>
      </c>
      <c r="Q3349" t="str">
        <f t="shared" si="104"/>
        <v>01-09</v>
      </c>
      <c r="R3349" t="str">
        <f t="shared" si="105"/>
        <v>[mxqa3CDFmIT]|01-09|Female|Untreated_PLHIV_Attend.T_1|CY2023Q3</v>
      </c>
    </row>
    <row r="3350" spans="4:18" x14ac:dyDescent="0.2">
      <c r="D3350" t="s">
        <v>98</v>
      </c>
      <c r="E3350" t="s">
        <v>99</v>
      </c>
      <c r="F3350" t="s">
        <v>100</v>
      </c>
      <c r="G3350" t="s">
        <v>150</v>
      </c>
      <c r="H3350" t="s">
        <v>150</v>
      </c>
      <c r="I3350" t="s">
        <v>35</v>
      </c>
      <c r="J3350" t="s">
        <v>36</v>
      </c>
      <c r="K3350" t="s">
        <v>29</v>
      </c>
      <c r="L3350" t="s">
        <v>30</v>
      </c>
      <c r="M3350" t="s">
        <v>139</v>
      </c>
      <c r="N3350">
        <v>749</v>
      </c>
      <c r="O3350" s="14">
        <v>0.45296396827325203</v>
      </c>
      <c r="P3350" s="14">
        <v>0.57728803809732199</v>
      </c>
      <c r="Q3350" t="str">
        <f t="shared" si="104"/>
        <v>10-14</v>
      </c>
      <c r="R3350" t="str">
        <f t="shared" si="105"/>
        <v>[mxqa3CDFmIT]|10-14|Female|Untreated_PLHIV_Attend.T_1|CY2023Q3</v>
      </c>
    </row>
    <row r="3351" spans="4:18" x14ac:dyDescent="0.2">
      <c r="D3351" t="s">
        <v>98</v>
      </c>
      <c r="E3351" t="s">
        <v>99</v>
      </c>
      <c r="F3351" t="s">
        <v>100</v>
      </c>
      <c r="G3351" t="s">
        <v>150</v>
      </c>
      <c r="H3351" t="s">
        <v>150</v>
      </c>
      <c r="I3351" t="s">
        <v>37</v>
      </c>
      <c r="J3351" t="s">
        <v>38</v>
      </c>
      <c r="K3351" t="s">
        <v>29</v>
      </c>
      <c r="L3351" t="s">
        <v>30</v>
      </c>
      <c r="M3351" t="s">
        <v>139</v>
      </c>
      <c r="N3351">
        <v>1844</v>
      </c>
      <c r="O3351" s="14">
        <v>0.66892411909066096</v>
      </c>
      <c r="P3351" s="14">
        <v>0.57728803809732199</v>
      </c>
      <c r="Q3351" t="str">
        <f t="shared" si="104"/>
        <v>15-24</v>
      </c>
      <c r="R3351" t="str">
        <f t="shared" si="105"/>
        <v>[mxqa3CDFmIT]|15-24|Female|Untreated_PLHIV_Attend.T_1|CY2023Q3</v>
      </c>
    </row>
    <row r="3352" spans="4:18" x14ac:dyDescent="0.2">
      <c r="D3352" t="s">
        <v>98</v>
      </c>
      <c r="E3352" t="s">
        <v>99</v>
      </c>
      <c r="F3352" t="s">
        <v>100</v>
      </c>
      <c r="G3352" t="s">
        <v>150</v>
      </c>
      <c r="H3352" t="s">
        <v>150</v>
      </c>
      <c r="I3352" t="s">
        <v>40</v>
      </c>
      <c r="J3352" t="s">
        <v>41</v>
      </c>
      <c r="K3352" t="s">
        <v>29</v>
      </c>
      <c r="L3352" t="s">
        <v>30</v>
      </c>
      <c r="M3352" t="s">
        <v>139</v>
      </c>
      <c r="N3352">
        <v>1577</v>
      </c>
      <c r="O3352" s="14">
        <v>0.37821419979445597</v>
      </c>
      <c r="P3352" s="14">
        <v>0.57728803809732199</v>
      </c>
      <c r="Q3352" t="str">
        <f t="shared" si="104"/>
        <v>25-34</v>
      </c>
      <c r="R3352" t="str">
        <f t="shared" si="105"/>
        <v>[mxqa3CDFmIT]|25-34|Female|Untreated_PLHIV_Attend.T_1|CY2023Q3</v>
      </c>
    </row>
    <row r="3353" spans="4:18" x14ac:dyDescent="0.2">
      <c r="D3353" t="s">
        <v>98</v>
      </c>
      <c r="E3353" t="s">
        <v>99</v>
      </c>
      <c r="F3353" t="s">
        <v>100</v>
      </c>
      <c r="G3353" t="s">
        <v>150</v>
      </c>
      <c r="H3353" t="s">
        <v>150</v>
      </c>
      <c r="I3353" t="s">
        <v>42</v>
      </c>
      <c r="J3353" t="s">
        <v>43</v>
      </c>
      <c r="K3353" t="s">
        <v>29</v>
      </c>
      <c r="L3353" t="s">
        <v>30</v>
      </c>
      <c r="M3353" t="s">
        <v>139</v>
      </c>
      <c r="N3353">
        <v>1881</v>
      </c>
      <c r="O3353" s="14">
        <v>0.44321074127219601</v>
      </c>
      <c r="P3353" s="14">
        <v>0.57728803809732199</v>
      </c>
      <c r="Q3353" t="str">
        <f t="shared" si="104"/>
        <v>35-49</v>
      </c>
      <c r="R3353" t="str">
        <f t="shared" si="105"/>
        <v>[mxqa3CDFmIT]|35-49|Female|Untreated_PLHIV_Attend.T_1|CY2023Q3</v>
      </c>
    </row>
    <row r="3354" spans="4:18" x14ac:dyDescent="0.2">
      <c r="D3354" t="s">
        <v>98</v>
      </c>
      <c r="E3354" t="s">
        <v>99</v>
      </c>
      <c r="F3354" t="s">
        <v>100</v>
      </c>
      <c r="G3354" t="s">
        <v>150</v>
      </c>
      <c r="H3354" t="s">
        <v>150</v>
      </c>
      <c r="I3354" t="s">
        <v>44</v>
      </c>
      <c r="J3354" t="s">
        <v>45</v>
      </c>
      <c r="K3354" t="s">
        <v>29</v>
      </c>
      <c r="L3354" t="s">
        <v>30</v>
      </c>
      <c r="M3354" t="s">
        <v>139</v>
      </c>
      <c r="N3354">
        <v>1190</v>
      </c>
      <c r="O3354" s="14">
        <v>0.108543144073337</v>
      </c>
      <c r="P3354" s="14">
        <v>0.57728803809732199</v>
      </c>
      <c r="Q3354" t="str">
        <f t="shared" si="104"/>
        <v>50+</v>
      </c>
      <c r="R3354" t="str">
        <f t="shared" si="105"/>
        <v>[mxqa3CDFmIT]|50+|Female|Untreated_PLHIV_Attend.T_1|CY2023Q3</v>
      </c>
    </row>
    <row r="3355" spans="4:18" x14ac:dyDescent="0.2">
      <c r="D3355" t="s">
        <v>98</v>
      </c>
      <c r="E3355" t="s">
        <v>99</v>
      </c>
      <c r="F3355" t="s">
        <v>100</v>
      </c>
      <c r="G3355" t="s">
        <v>150</v>
      </c>
      <c r="H3355" t="s">
        <v>150</v>
      </c>
      <c r="I3355" t="s">
        <v>27</v>
      </c>
      <c r="J3355" t="s">
        <v>28</v>
      </c>
      <c r="K3355" t="s">
        <v>47</v>
      </c>
      <c r="L3355" t="s">
        <v>48</v>
      </c>
      <c r="M3355" t="s">
        <v>139</v>
      </c>
      <c r="N3355">
        <v>1586</v>
      </c>
      <c r="O3355" s="14">
        <v>0.93489978648722205</v>
      </c>
      <c r="P3355" s="14">
        <v>0.57728803809732199</v>
      </c>
      <c r="Q3355" t="str">
        <f t="shared" si="104"/>
        <v>&lt;01</v>
      </c>
      <c r="R3355" t="str">
        <f t="shared" si="105"/>
        <v>[mxqa3CDFmIT]|&lt;01|Male|Untreated_PLHIV_Attend.T_1|CY2023Q3</v>
      </c>
    </row>
    <row r="3356" spans="4:18" x14ac:dyDescent="0.2">
      <c r="D3356" t="s">
        <v>98</v>
      </c>
      <c r="E3356" t="s">
        <v>99</v>
      </c>
      <c r="F3356" t="s">
        <v>100</v>
      </c>
      <c r="G3356" t="s">
        <v>150</v>
      </c>
      <c r="H3356" t="s">
        <v>150</v>
      </c>
      <c r="I3356" t="s">
        <v>32</v>
      </c>
      <c r="J3356" t="s">
        <v>33</v>
      </c>
      <c r="K3356" t="s">
        <v>47</v>
      </c>
      <c r="L3356" t="s">
        <v>48</v>
      </c>
      <c r="M3356" t="s">
        <v>139</v>
      </c>
      <c r="N3356">
        <v>609</v>
      </c>
      <c r="O3356" s="14">
        <v>0.70198192447423902</v>
      </c>
      <c r="P3356" s="14">
        <v>0.57728803809732199</v>
      </c>
      <c r="Q3356" t="str">
        <f t="shared" si="104"/>
        <v>01-09</v>
      </c>
      <c r="R3356" t="str">
        <f t="shared" si="105"/>
        <v>[mxqa3CDFmIT]|01-09|Male|Untreated_PLHIV_Attend.T_1|CY2023Q3</v>
      </c>
    </row>
    <row r="3357" spans="4:18" x14ac:dyDescent="0.2">
      <c r="D3357" t="s">
        <v>98</v>
      </c>
      <c r="E3357" t="s">
        <v>99</v>
      </c>
      <c r="F3357" t="s">
        <v>100</v>
      </c>
      <c r="G3357" t="s">
        <v>150</v>
      </c>
      <c r="H3357" t="s">
        <v>150</v>
      </c>
      <c r="I3357" t="s">
        <v>35</v>
      </c>
      <c r="J3357" t="s">
        <v>36</v>
      </c>
      <c r="K3357" t="s">
        <v>47</v>
      </c>
      <c r="L3357" t="s">
        <v>48</v>
      </c>
      <c r="M3357" t="s">
        <v>139</v>
      </c>
      <c r="N3357">
        <v>1700</v>
      </c>
      <c r="O3357" s="14">
        <v>0.75941607123240795</v>
      </c>
      <c r="P3357" s="14">
        <v>0.57728803809732199</v>
      </c>
      <c r="Q3357" t="str">
        <f t="shared" si="104"/>
        <v>10-14</v>
      </c>
      <c r="R3357" t="str">
        <f t="shared" si="105"/>
        <v>[mxqa3CDFmIT]|10-14|Male|Untreated_PLHIV_Attend.T_1|CY2023Q3</v>
      </c>
    </row>
    <row r="3358" spans="4:18" x14ac:dyDescent="0.2">
      <c r="D3358" t="s">
        <v>98</v>
      </c>
      <c r="E3358" t="s">
        <v>99</v>
      </c>
      <c r="F3358" t="s">
        <v>100</v>
      </c>
      <c r="G3358" t="s">
        <v>150</v>
      </c>
      <c r="H3358" t="s">
        <v>150</v>
      </c>
      <c r="I3358" t="s">
        <v>37</v>
      </c>
      <c r="J3358" t="s">
        <v>38</v>
      </c>
      <c r="K3358" t="s">
        <v>47</v>
      </c>
      <c r="L3358" t="s">
        <v>48</v>
      </c>
      <c r="M3358" t="s">
        <v>139</v>
      </c>
      <c r="N3358">
        <v>618</v>
      </c>
      <c r="O3358" s="14">
        <v>0.42398171289823899</v>
      </c>
      <c r="P3358" s="14">
        <v>0.57728803809732199</v>
      </c>
      <c r="Q3358" t="str">
        <f t="shared" si="104"/>
        <v>15-24</v>
      </c>
      <c r="R3358" t="str">
        <f t="shared" si="105"/>
        <v>[mxqa3CDFmIT]|15-24|Male|Untreated_PLHIV_Attend.T_1|CY2023Q3</v>
      </c>
    </row>
    <row r="3359" spans="4:18" x14ac:dyDescent="0.2">
      <c r="D3359" t="s">
        <v>98</v>
      </c>
      <c r="E3359" t="s">
        <v>99</v>
      </c>
      <c r="F3359" t="s">
        <v>100</v>
      </c>
      <c r="G3359" t="s">
        <v>150</v>
      </c>
      <c r="H3359" t="s">
        <v>150</v>
      </c>
      <c r="I3359" t="s">
        <v>40</v>
      </c>
      <c r="J3359" t="s">
        <v>41</v>
      </c>
      <c r="K3359" t="s">
        <v>47</v>
      </c>
      <c r="L3359" t="s">
        <v>48</v>
      </c>
      <c r="M3359" t="s">
        <v>139</v>
      </c>
      <c r="N3359">
        <v>1969</v>
      </c>
      <c r="O3359" s="14">
        <v>0.94553554407320906</v>
      </c>
      <c r="P3359" s="14">
        <v>0.57728803809732199</v>
      </c>
      <c r="Q3359" t="str">
        <f t="shared" si="104"/>
        <v>25-34</v>
      </c>
      <c r="R3359" t="str">
        <f t="shared" si="105"/>
        <v>[mxqa3CDFmIT]|25-34|Male|Untreated_PLHIV_Attend.T_1|CY2023Q3</v>
      </c>
    </row>
    <row r="3360" spans="4:18" x14ac:dyDescent="0.2">
      <c r="D3360" t="s">
        <v>98</v>
      </c>
      <c r="E3360" t="s">
        <v>99</v>
      </c>
      <c r="F3360" t="s">
        <v>100</v>
      </c>
      <c r="G3360" t="s">
        <v>150</v>
      </c>
      <c r="H3360" t="s">
        <v>150</v>
      </c>
      <c r="I3360" t="s">
        <v>42</v>
      </c>
      <c r="J3360" t="s">
        <v>43</v>
      </c>
      <c r="K3360" t="s">
        <v>47</v>
      </c>
      <c r="L3360" t="s">
        <v>48</v>
      </c>
      <c r="M3360" t="s">
        <v>139</v>
      </c>
      <c r="N3360">
        <v>1701</v>
      </c>
      <c r="O3360" s="14">
        <v>0.80899191671051096</v>
      </c>
      <c r="P3360" s="14">
        <v>0.57728803809732199</v>
      </c>
      <c r="Q3360" t="str">
        <f t="shared" si="104"/>
        <v>35-49</v>
      </c>
      <c r="R3360" t="str">
        <f t="shared" si="105"/>
        <v>[mxqa3CDFmIT]|35-49|Male|Untreated_PLHIV_Attend.T_1|CY2023Q3</v>
      </c>
    </row>
    <row r="3361" spans="4:18" x14ac:dyDescent="0.2">
      <c r="D3361" t="s">
        <v>98</v>
      </c>
      <c r="E3361" t="s">
        <v>99</v>
      </c>
      <c r="F3361" t="s">
        <v>100</v>
      </c>
      <c r="G3361" t="s">
        <v>150</v>
      </c>
      <c r="H3361" t="s">
        <v>150</v>
      </c>
      <c r="I3361" t="s">
        <v>44</v>
      </c>
      <c r="J3361" t="s">
        <v>45</v>
      </c>
      <c r="K3361" t="s">
        <v>47</v>
      </c>
      <c r="L3361" t="s">
        <v>48</v>
      </c>
      <c r="M3361" t="s">
        <v>139</v>
      </c>
      <c r="N3361">
        <v>1550</v>
      </c>
      <c r="O3361" s="14">
        <v>0.12850066693499701</v>
      </c>
      <c r="P3361" s="14">
        <v>0.57728803809732199</v>
      </c>
      <c r="Q3361" t="str">
        <f t="shared" si="104"/>
        <v>50+</v>
      </c>
      <c r="R3361" t="str">
        <f t="shared" si="105"/>
        <v>[mxqa3CDFmIT]|50+|Male|Untreated_PLHIV_Attend.T_1|CY2023Q3</v>
      </c>
    </row>
    <row r="3362" spans="4:18" x14ac:dyDescent="0.2">
      <c r="D3362" t="s">
        <v>101</v>
      </c>
      <c r="E3362" t="s">
        <v>102</v>
      </c>
      <c r="F3362" t="s">
        <v>103</v>
      </c>
      <c r="G3362" t="s">
        <v>150</v>
      </c>
      <c r="H3362" t="s">
        <v>150</v>
      </c>
      <c r="I3362" t="s">
        <v>27</v>
      </c>
      <c r="J3362" t="s">
        <v>28</v>
      </c>
      <c r="K3362" t="s">
        <v>29</v>
      </c>
      <c r="L3362" t="s">
        <v>30</v>
      </c>
      <c r="M3362" t="s">
        <v>139</v>
      </c>
      <c r="N3362">
        <v>761</v>
      </c>
      <c r="O3362" s="14">
        <v>0.41015212167985698</v>
      </c>
      <c r="P3362" s="14">
        <v>0.52621235931292198</v>
      </c>
      <c r="Q3362" t="str">
        <f t="shared" si="104"/>
        <v>&lt;01</v>
      </c>
      <c r="R3362" t="str">
        <f t="shared" si="105"/>
        <v>[wNqJp8oRIcF]|&lt;01|Female|Untreated_PLHIV_Attend.T_1|CY2023Q3</v>
      </c>
    </row>
    <row r="3363" spans="4:18" x14ac:dyDescent="0.2">
      <c r="D3363" t="s">
        <v>101</v>
      </c>
      <c r="E3363" t="s">
        <v>102</v>
      </c>
      <c r="F3363" t="s">
        <v>103</v>
      </c>
      <c r="G3363" t="s">
        <v>150</v>
      </c>
      <c r="H3363" t="s">
        <v>150</v>
      </c>
      <c r="I3363" t="s">
        <v>32</v>
      </c>
      <c r="J3363" t="s">
        <v>33</v>
      </c>
      <c r="K3363" t="s">
        <v>29</v>
      </c>
      <c r="L3363" t="s">
        <v>30</v>
      </c>
      <c r="M3363" t="s">
        <v>139</v>
      </c>
      <c r="N3363">
        <v>1854</v>
      </c>
      <c r="O3363" s="14">
        <v>0.12593164574354901</v>
      </c>
      <c r="P3363" s="14">
        <v>0.52621235931292198</v>
      </c>
      <c r="Q3363" t="str">
        <f t="shared" si="104"/>
        <v>01-09</v>
      </c>
      <c r="R3363" t="str">
        <f t="shared" si="105"/>
        <v>[wNqJp8oRIcF]|01-09|Female|Untreated_PLHIV_Attend.T_1|CY2023Q3</v>
      </c>
    </row>
    <row r="3364" spans="4:18" x14ac:dyDescent="0.2">
      <c r="D3364" t="s">
        <v>101</v>
      </c>
      <c r="E3364" t="s">
        <v>102</v>
      </c>
      <c r="F3364" t="s">
        <v>103</v>
      </c>
      <c r="G3364" t="s">
        <v>150</v>
      </c>
      <c r="H3364" t="s">
        <v>150</v>
      </c>
      <c r="I3364" t="s">
        <v>35</v>
      </c>
      <c r="J3364" t="s">
        <v>36</v>
      </c>
      <c r="K3364" t="s">
        <v>29</v>
      </c>
      <c r="L3364" t="s">
        <v>30</v>
      </c>
      <c r="M3364" t="s">
        <v>139</v>
      </c>
      <c r="N3364">
        <v>840</v>
      </c>
      <c r="O3364" s="14">
        <v>0.229871321469545</v>
      </c>
      <c r="P3364" s="14">
        <v>0.52621235931292198</v>
      </c>
      <c r="Q3364" t="str">
        <f t="shared" si="104"/>
        <v>10-14</v>
      </c>
      <c r="R3364" t="str">
        <f t="shared" si="105"/>
        <v>[wNqJp8oRIcF]|10-14|Female|Untreated_PLHIV_Attend.T_1|CY2023Q3</v>
      </c>
    </row>
    <row r="3365" spans="4:18" x14ac:dyDescent="0.2">
      <c r="D3365" t="s">
        <v>101</v>
      </c>
      <c r="E3365" t="s">
        <v>102</v>
      </c>
      <c r="F3365" t="s">
        <v>103</v>
      </c>
      <c r="G3365" t="s">
        <v>150</v>
      </c>
      <c r="H3365" t="s">
        <v>150</v>
      </c>
      <c r="I3365" t="s">
        <v>37</v>
      </c>
      <c r="J3365" t="s">
        <v>38</v>
      </c>
      <c r="K3365" t="s">
        <v>29</v>
      </c>
      <c r="L3365" t="s">
        <v>30</v>
      </c>
      <c r="M3365" t="s">
        <v>139</v>
      </c>
      <c r="N3365">
        <v>1172</v>
      </c>
      <c r="O3365" s="14">
        <v>0.84330805740319204</v>
      </c>
      <c r="P3365" s="14">
        <v>0.52621235931292198</v>
      </c>
      <c r="Q3365" t="str">
        <f t="shared" si="104"/>
        <v>15-24</v>
      </c>
      <c r="R3365" t="str">
        <f t="shared" si="105"/>
        <v>[wNqJp8oRIcF]|15-24|Female|Untreated_PLHIV_Attend.T_1|CY2023Q3</v>
      </c>
    </row>
    <row r="3366" spans="4:18" x14ac:dyDescent="0.2">
      <c r="D3366" t="s">
        <v>101</v>
      </c>
      <c r="E3366" t="s">
        <v>102</v>
      </c>
      <c r="F3366" t="s">
        <v>103</v>
      </c>
      <c r="G3366" t="s">
        <v>150</v>
      </c>
      <c r="H3366" t="s">
        <v>150</v>
      </c>
      <c r="I3366" t="s">
        <v>40</v>
      </c>
      <c r="J3366" t="s">
        <v>41</v>
      </c>
      <c r="K3366" t="s">
        <v>29</v>
      </c>
      <c r="L3366" t="s">
        <v>30</v>
      </c>
      <c r="M3366" t="s">
        <v>139</v>
      </c>
      <c r="N3366">
        <v>1676</v>
      </c>
      <c r="O3366" s="14">
        <v>0.76205943035893098</v>
      </c>
      <c r="P3366" s="14">
        <v>0.52621235931292198</v>
      </c>
      <c r="Q3366" t="str">
        <f t="shared" si="104"/>
        <v>25-34</v>
      </c>
      <c r="R3366" t="str">
        <f t="shared" si="105"/>
        <v>[wNqJp8oRIcF]|25-34|Female|Untreated_PLHIV_Attend.T_1|CY2023Q3</v>
      </c>
    </row>
    <row r="3367" spans="4:18" x14ac:dyDescent="0.2">
      <c r="D3367" t="s">
        <v>101</v>
      </c>
      <c r="E3367" t="s">
        <v>102</v>
      </c>
      <c r="F3367" t="s">
        <v>103</v>
      </c>
      <c r="G3367" t="s">
        <v>150</v>
      </c>
      <c r="H3367" t="s">
        <v>150</v>
      </c>
      <c r="I3367" t="s">
        <v>42</v>
      </c>
      <c r="J3367" t="s">
        <v>43</v>
      </c>
      <c r="K3367" t="s">
        <v>29</v>
      </c>
      <c r="L3367" t="s">
        <v>30</v>
      </c>
      <c r="M3367" t="s">
        <v>139</v>
      </c>
      <c r="N3367">
        <v>1305</v>
      </c>
      <c r="O3367" s="14">
        <v>0.25525118783116302</v>
      </c>
      <c r="P3367" s="14">
        <v>0.52621235931292198</v>
      </c>
      <c r="Q3367" t="str">
        <f t="shared" si="104"/>
        <v>35-49</v>
      </c>
      <c r="R3367" t="str">
        <f t="shared" si="105"/>
        <v>[wNqJp8oRIcF]|35-49|Female|Untreated_PLHIV_Attend.T_1|CY2023Q3</v>
      </c>
    </row>
    <row r="3368" spans="4:18" x14ac:dyDescent="0.2">
      <c r="D3368" t="s">
        <v>101</v>
      </c>
      <c r="E3368" t="s">
        <v>102</v>
      </c>
      <c r="F3368" t="s">
        <v>103</v>
      </c>
      <c r="G3368" t="s">
        <v>150</v>
      </c>
      <c r="H3368" t="s">
        <v>150</v>
      </c>
      <c r="I3368" t="s">
        <v>44</v>
      </c>
      <c r="J3368" t="s">
        <v>45</v>
      </c>
      <c r="K3368" t="s">
        <v>29</v>
      </c>
      <c r="L3368" t="s">
        <v>30</v>
      </c>
      <c r="M3368" t="s">
        <v>139</v>
      </c>
      <c r="N3368">
        <v>776</v>
      </c>
      <c r="O3368" s="14">
        <v>0.39839757210575</v>
      </c>
      <c r="P3368" s="14">
        <v>0.52621235931292198</v>
      </c>
      <c r="Q3368" t="str">
        <f t="shared" si="104"/>
        <v>50+</v>
      </c>
      <c r="R3368" t="str">
        <f t="shared" si="105"/>
        <v>[wNqJp8oRIcF]|50+|Female|Untreated_PLHIV_Attend.T_1|CY2023Q3</v>
      </c>
    </row>
    <row r="3369" spans="4:18" x14ac:dyDescent="0.2">
      <c r="D3369" t="s">
        <v>101</v>
      </c>
      <c r="E3369" t="s">
        <v>102</v>
      </c>
      <c r="F3369" t="s">
        <v>103</v>
      </c>
      <c r="G3369" t="s">
        <v>150</v>
      </c>
      <c r="H3369" t="s">
        <v>150</v>
      </c>
      <c r="I3369" t="s">
        <v>27</v>
      </c>
      <c r="J3369" t="s">
        <v>28</v>
      </c>
      <c r="K3369" t="s">
        <v>47</v>
      </c>
      <c r="L3369" t="s">
        <v>48</v>
      </c>
      <c r="M3369" t="s">
        <v>139</v>
      </c>
      <c r="N3369">
        <v>1024</v>
      </c>
      <c r="O3369" s="14">
        <v>0.64586236584000301</v>
      </c>
      <c r="P3369" s="14">
        <v>0.52621235931292198</v>
      </c>
      <c r="Q3369" t="str">
        <f t="shared" si="104"/>
        <v>&lt;01</v>
      </c>
      <c r="R3369" t="str">
        <f t="shared" si="105"/>
        <v>[wNqJp8oRIcF]|&lt;01|Male|Untreated_PLHIV_Attend.T_1|CY2023Q3</v>
      </c>
    </row>
    <row r="3370" spans="4:18" x14ac:dyDescent="0.2">
      <c r="D3370" t="s">
        <v>101</v>
      </c>
      <c r="E3370" t="s">
        <v>102</v>
      </c>
      <c r="F3370" t="s">
        <v>103</v>
      </c>
      <c r="G3370" t="s">
        <v>150</v>
      </c>
      <c r="H3370" t="s">
        <v>150</v>
      </c>
      <c r="I3370" t="s">
        <v>32</v>
      </c>
      <c r="J3370" t="s">
        <v>33</v>
      </c>
      <c r="K3370" t="s">
        <v>47</v>
      </c>
      <c r="L3370" t="s">
        <v>48</v>
      </c>
      <c r="M3370" t="s">
        <v>139</v>
      </c>
      <c r="N3370">
        <v>1682</v>
      </c>
      <c r="O3370" s="14">
        <v>0.39542764727957502</v>
      </c>
      <c r="P3370" s="14">
        <v>0.52621235931292198</v>
      </c>
      <c r="Q3370" t="str">
        <f t="shared" si="104"/>
        <v>01-09</v>
      </c>
      <c r="R3370" t="str">
        <f t="shared" si="105"/>
        <v>[wNqJp8oRIcF]|01-09|Male|Untreated_PLHIV_Attend.T_1|CY2023Q3</v>
      </c>
    </row>
    <row r="3371" spans="4:18" x14ac:dyDescent="0.2">
      <c r="D3371" t="s">
        <v>101</v>
      </c>
      <c r="E3371" t="s">
        <v>102</v>
      </c>
      <c r="F3371" t="s">
        <v>103</v>
      </c>
      <c r="G3371" t="s">
        <v>150</v>
      </c>
      <c r="H3371" t="s">
        <v>150</v>
      </c>
      <c r="I3371" t="s">
        <v>35</v>
      </c>
      <c r="J3371" t="s">
        <v>36</v>
      </c>
      <c r="K3371" t="s">
        <v>47</v>
      </c>
      <c r="L3371" t="s">
        <v>48</v>
      </c>
      <c r="M3371" t="s">
        <v>139</v>
      </c>
      <c r="N3371">
        <v>1583</v>
      </c>
      <c r="O3371" s="14">
        <v>8.1897840835154098E-2</v>
      </c>
      <c r="P3371" s="14">
        <v>0.52621235931292198</v>
      </c>
      <c r="Q3371" t="str">
        <f t="shared" si="104"/>
        <v>10-14</v>
      </c>
      <c r="R3371" t="str">
        <f t="shared" si="105"/>
        <v>[wNqJp8oRIcF]|10-14|Male|Untreated_PLHIV_Attend.T_1|CY2023Q3</v>
      </c>
    </row>
    <row r="3372" spans="4:18" x14ac:dyDescent="0.2">
      <c r="D3372" t="s">
        <v>101</v>
      </c>
      <c r="E3372" t="s">
        <v>102</v>
      </c>
      <c r="F3372" t="s">
        <v>103</v>
      </c>
      <c r="G3372" t="s">
        <v>150</v>
      </c>
      <c r="H3372" t="s">
        <v>150</v>
      </c>
      <c r="I3372" t="s">
        <v>37</v>
      </c>
      <c r="J3372" t="s">
        <v>38</v>
      </c>
      <c r="K3372" t="s">
        <v>47</v>
      </c>
      <c r="L3372" t="s">
        <v>48</v>
      </c>
      <c r="M3372" t="s">
        <v>139</v>
      </c>
      <c r="N3372">
        <v>926</v>
      </c>
      <c r="O3372" s="14">
        <v>0.79243983561173104</v>
      </c>
      <c r="P3372" s="14">
        <v>0.52621235931292198</v>
      </c>
      <c r="Q3372" t="str">
        <f t="shared" si="104"/>
        <v>15-24</v>
      </c>
      <c r="R3372" t="str">
        <f t="shared" si="105"/>
        <v>[wNqJp8oRIcF]|15-24|Male|Untreated_PLHIV_Attend.T_1|CY2023Q3</v>
      </c>
    </row>
    <row r="3373" spans="4:18" x14ac:dyDescent="0.2">
      <c r="D3373" t="s">
        <v>101</v>
      </c>
      <c r="E3373" t="s">
        <v>102</v>
      </c>
      <c r="F3373" t="s">
        <v>103</v>
      </c>
      <c r="G3373" t="s">
        <v>150</v>
      </c>
      <c r="H3373" t="s">
        <v>150</v>
      </c>
      <c r="I3373" t="s">
        <v>40</v>
      </c>
      <c r="J3373" t="s">
        <v>41</v>
      </c>
      <c r="K3373" t="s">
        <v>47</v>
      </c>
      <c r="L3373" t="s">
        <v>48</v>
      </c>
      <c r="M3373" t="s">
        <v>139</v>
      </c>
      <c r="N3373">
        <v>1880</v>
      </c>
      <c r="O3373" s="14">
        <v>0.24609985249117</v>
      </c>
      <c r="P3373" s="14">
        <v>0.52621235931292198</v>
      </c>
      <c r="Q3373" t="str">
        <f t="shared" si="104"/>
        <v>25-34</v>
      </c>
      <c r="R3373" t="str">
        <f t="shared" si="105"/>
        <v>[wNqJp8oRIcF]|25-34|Male|Untreated_PLHIV_Attend.T_1|CY2023Q3</v>
      </c>
    </row>
    <row r="3374" spans="4:18" x14ac:dyDescent="0.2">
      <c r="D3374" t="s">
        <v>101</v>
      </c>
      <c r="E3374" t="s">
        <v>102</v>
      </c>
      <c r="F3374" t="s">
        <v>103</v>
      </c>
      <c r="G3374" t="s">
        <v>150</v>
      </c>
      <c r="H3374" t="s">
        <v>150</v>
      </c>
      <c r="I3374" t="s">
        <v>42</v>
      </c>
      <c r="J3374" t="s">
        <v>43</v>
      </c>
      <c r="K3374" t="s">
        <v>47</v>
      </c>
      <c r="L3374" t="s">
        <v>48</v>
      </c>
      <c r="M3374" t="s">
        <v>139</v>
      </c>
      <c r="N3374">
        <v>1255</v>
      </c>
      <c r="O3374" s="14">
        <v>0.81773980264551904</v>
      </c>
      <c r="P3374" s="14">
        <v>0.52621235931292198</v>
      </c>
      <c r="Q3374" t="str">
        <f t="shared" si="104"/>
        <v>35-49</v>
      </c>
      <c r="R3374" t="str">
        <f t="shared" si="105"/>
        <v>[wNqJp8oRIcF]|35-49|Male|Untreated_PLHIV_Attend.T_1|CY2023Q3</v>
      </c>
    </row>
    <row r="3375" spans="4:18" x14ac:dyDescent="0.2">
      <c r="D3375" t="s">
        <v>101</v>
      </c>
      <c r="E3375" t="s">
        <v>102</v>
      </c>
      <c r="F3375" t="s">
        <v>103</v>
      </c>
      <c r="G3375" t="s">
        <v>150</v>
      </c>
      <c r="H3375" t="s">
        <v>150</v>
      </c>
      <c r="I3375" t="s">
        <v>44</v>
      </c>
      <c r="J3375" t="s">
        <v>45</v>
      </c>
      <c r="K3375" t="s">
        <v>47</v>
      </c>
      <c r="L3375" t="s">
        <v>48</v>
      </c>
      <c r="M3375" t="s">
        <v>139</v>
      </c>
      <c r="N3375">
        <v>1308</v>
      </c>
      <c r="O3375" s="14">
        <v>0.79562156787142202</v>
      </c>
      <c r="P3375" s="14">
        <v>0.52621235931292198</v>
      </c>
      <c r="Q3375" t="str">
        <f t="shared" si="104"/>
        <v>50+</v>
      </c>
      <c r="R3375" t="str">
        <f t="shared" si="105"/>
        <v>[wNqJp8oRIcF]|50+|Male|Untreated_PLHIV_Attend.T_1|CY2023Q3</v>
      </c>
    </row>
    <row r="3376" spans="4:18" x14ac:dyDescent="0.2">
      <c r="D3376" t="s">
        <v>104</v>
      </c>
      <c r="E3376" t="s">
        <v>105</v>
      </c>
      <c r="F3376" t="s">
        <v>106</v>
      </c>
      <c r="G3376" t="s">
        <v>150</v>
      </c>
      <c r="H3376" t="s">
        <v>150</v>
      </c>
      <c r="I3376" t="s">
        <v>27</v>
      </c>
      <c r="J3376" t="s">
        <v>28</v>
      </c>
      <c r="K3376" t="s">
        <v>29</v>
      </c>
      <c r="L3376" t="s">
        <v>30</v>
      </c>
      <c r="M3376" t="s">
        <v>139</v>
      </c>
      <c r="N3376">
        <v>1227</v>
      </c>
      <c r="O3376" s="14">
        <v>0.24682589666917901</v>
      </c>
      <c r="P3376" s="14">
        <v>0.21824956033378801</v>
      </c>
      <c r="Q3376" t="str">
        <f t="shared" si="104"/>
        <v>&lt;01</v>
      </c>
      <c r="R3376" t="str">
        <f t="shared" si="105"/>
        <v>[oiPR2CiVJbf]|&lt;01|Female|Untreated_PLHIV_Attend.T_1|CY2023Q3</v>
      </c>
    </row>
    <row r="3377" spans="4:18" x14ac:dyDescent="0.2">
      <c r="D3377" t="s">
        <v>104</v>
      </c>
      <c r="E3377" t="s">
        <v>105</v>
      </c>
      <c r="F3377" t="s">
        <v>106</v>
      </c>
      <c r="G3377" t="s">
        <v>150</v>
      </c>
      <c r="H3377" t="s">
        <v>150</v>
      </c>
      <c r="I3377" t="s">
        <v>32</v>
      </c>
      <c r="J3377" t="s">
        <v>33</v>
      </c>
      <c r="K3377" t="s">
        <v>29</v>
      </c>
      <c r="L3377" t="s">
        <v>30</v>
      </c>
      <c r="M3377" t="s">
        <v>139</v>
      </c>
      <c r="N3377">
        <v>576</v>
      </c>
      <c r="O3377" s="14">
        <v>0.976103015244007</v>
      </c>
      <c r="P3377" s="14">
        <v>0.21824956033378801</v>
      </c>
      <c r="Q3377" t="str">
        <f t="shared" si="104"/>
        <v>01-09</v>
      </c>
      <c r="R3377" t="str">
        <f t="shared" si="105"/>
        <v>[oiPR2CiVJbf]|01-09|Female|Untreated_PLHIV_Attend.T_1|CY2023Q3</v>
      </c>
    </row>
    <row r="3378" spans="4:18" x14ac:dyDescent="0.2">
      <c r="D3378" t="s">
        <v>104</v>
      </c>
      <c r="E3378" t="s">
        <v>105</v>
      </c>
      <c r="F3378" t="s">
        <v>106</v>
      </c>
      <c r="G3378" t="s">
        <v>150</v>
      </c>
      <c r="H3378" t="s">
        <v>150</v>
      </c>
      <c r="I3378" t="s">
        <v>35</v>
      </c>
      <c r="J3378" t="s">
        <v>36</v>
      </c>
      <c r="K3378" t="s">
        <v>29</v>
      </c>
      <c r="L3378" t="s">
        <v>30</v>
      </c>
      <c r="M3378" t="s">
        <v>139</v>
      </c>
      <c r="N3378">
        <v>1683</v>
      </c>
      <c r="O3378" s="14">
        <v>0.73854616866446998</v>
      </c>
      <c r="P3378" s="14">
        <v>0.21824956033378801</v>
      </c>
      <c r="Q3378" t="str">
        <f t="shared" si="104"/>
        <v>10-14</v>
      </c>
      <c r="R3378" t="str">
        <f t="shared" si="105"/>
        <v>[oiPR2CiVJbf]|10-14|Female|Untreated_PLHIV_Attend.T_1|CY2023Q3</v>
      </c>
    </row>
    <row r="3379" spans="4:18" x14ac:dyDescent="0.2">
      <c r="D3379" t="s">
        <v>104</v>
      </c>
      <c r="E3379" t="s">
        <v>105</v>
      </c>
      <c r="F3379" t="s">
        <v>106</v>
      </c>
      <c r="G3379" t="s">
        <v>150</v>
      </c>
      <c r="H3379" t="s">
        <v>150</v>
      </c>
      <c r="I3379" t="s">
        <v>37</v>
      </c>
      <c r="J3379" t="s">
        <v>38</v>
      </c>
      <c r="K3379" t="s">
        <v>29</v>
      </c>
      <c r="L3379" t="s">
        <v>30</v>
      </c>
      <c r="M3379" t="s">
        <v>139</v>
      </c>
      <c r="N3379">
        <v>627</v>
      </c>
      <c r="O3379" s="14">
        <v>0.36488839518278798</v>
      </c>
      <c r="P3379" s="14">
        <v>0.21824956033378801</v>
      </c>
      <c r="Q3379" t="str">
        <f t="shared" si="104"/>
        <v>15-24</v>
      </c>
      <c r="R3379" t="str">
        <f t="shared" si="105"/>
        <v>[oiPR2CiVJbf]|15-24|Female|Untreated_PLHIV_Attend.T_1|CY2023Q3</v>
      </c>
    </row>
    <row r="3380" spans="4:18" x14ac:dyDescent="0.2">
      <c r="D3380" t="s">
        <v>104</v>
      </c>
      <c r="E3380" t="s">
        <v>105</v>
      </c>
      <c r="F3380" t="s">
        <v>106</v>
      </c>
      <c r="G3380" t="s">
        <v>150</v>
      </c>
      <c r="H3380" t="s">
        <v>150</v>
      </c>
      <c r="I3380" t="s">
        <v>40</v>
      </c>
      <c r="J3380" t="s">
        <v>41</v>
      </c>
      <c r="K3380" t="s">
        <v>29</v>
      </c>
      <c r="L3380" t="s">
        <v>30</v>
      </c>
      <c r="M3380" t="s">
        <v>139</v>
      </c>
      <c r="N3380">
        <v>1883</v>
      </c>
      <c r="O3380" s="14">
        <v>0.24177198112011</v>
      </c>
      <c r="P3380" s="14">
        <v>0.21824956033378801</v>
      </c>
      <c r="Q3380" t="str">
        <f t="shared" si="104"/>
        <v>25-34</v>
      </c>
      <c r="R3380" t="str">
        <f t="shared" si="105"/>
        <v>[oiPR2CiVJbf]|25-34|Female|Untreated_PLHIV_Attend.T_1|CY2023Q3</v>
      </c>
    </row>
    <row r="3381" spans="4:18" x14ac:dyDescent="0.2">
      <c r="D3381" t="s">
        <v>104</v>
      </c>
      <c r="E3381" t="s">
        <v>105</v>
      </c>
      <c r="F3381" t="s">
        <v>106</v>
      </c>
      <c r="G3381" t="s">
        <v>150</v>
      </c>
      <c r="H3381" t="s">
        <v>150</v>
      </c>
      <c r="I3381" t="s">
        <v>42</v>
      </c>
      <c r="J3381" t="s">
        <v>43</v>
      </c>
      <c r="K3381" t="s">
        <v>29</v>
      </c>
      <c r="L3381" t="s">
        <v>30</v>
      </c>
      <c r="M3381" t="s">
        <v>139</v>
      </c>
      <c r="N3381">
        <v>1515</v>
      </c>
      <c r="O3381" s="14">
        <v>3.65862215403467E-2</v>
      </c>
      <c r="P3381" s="14">
        <v>0.21824956033378801</v>
      </c>
      <c r="Q3381" t="str">
        <f t="shared" si="104"/>
        <v>35-49</v>
      </c>
      <c r="R3381" t="str">
        <f t="shared" si="105"/>
        <v>[oiPR2CiVJbf]|35-49|Female|Untreated_PLHIV_Attend.T_1|CY2023Q3</v>
      </c>
    </row>
    <row r="3382" spans="4:18" x14ac:dyDescent="0.2">
      <c r="D3382" t="s">
        <v>104</v>
      </c>
      <c r="E3382" t="s">
        <v>105</v>
      </c>
      <c r="F3382" t="s">
        <v>106</v>
      </c>
      <c r="G3382" t="s">
        <v>150</v>
      </c>
      <c r="H3382" t="s">
        <v>150</v>
      </c>
      <c r="I3382" t="s">
        <v>44</v>
      </c>
      <c r="J3382" t="s">
        <v>45</v>
      </c>
      <c r="K3382" t="s">
        <v>29</v>
      </c>
      <c r="L3382" t="s">
        <v>30</v>
      </c>
      <c r="M3382" t="s">
        <v>139</v>
      </c>
      <c r="N3382">
        <v>1317</v>
      </c>
      <c r="O3382" s="14">
        <v>0.71863701730035201</v>
      </c>
      <c r="P3382" s="14">
        <v>0.21824956033378801</v>
      </c>
      <c r="Q3382" t="str">
        <f t="shared" si="104"/>
        <v>50+</v>
      </c>
      <c r="R3382" t="str">
        <f t="shared" si="105"/>
        <v>[oiPR2CiVJbf]|50+|Female|Untreated_PLHIV_Attend.T_1|CY2023Q3</v>
      </c>
    </row>
    <row r="3383" spans="4:18" x14ac:dyDescent="0.2">
      <c r="D3383" t="s">
        <v>104</v>
      </c>
      <c r="E3383" t="s">
        <v>105</v>
      </c>
      <c r="F3383" t="s">
        <v>106</v>
      </c>
      <c r="G3383" t="s">
        <v>150</v>
      </c>
      <c r="H3383" t="s">
        <v>150</v>
      </c>
      <c r="I3383" t="s">
        <v>27</v>
      </c>
      <c r="J3383" t="s">
        <v>28</v>
      </c>
      <c r="K3383" t="s">
        <v>47</v>
      </c>
      <c r="L3383" t="s">
        <v>48</v>
      </c>
      <c r="M3383" t="s">
        <v>139</v>
      </c>
      <c r="N3383">
        <v>729</v>
      </c>
      <c r="O3383" s="14">
        <v>0.65441385377198502</v>
      </c>
      <c r="P3383" s="14">
        <v>0.21824956033378801</v>
      </c>
      <c r="Q3383" t="str">
        <f t="shared" si="104"/>
        <v>&lt;01</v>
      </c>
      <c r="R3383" t="str">
        <f t="shared" si="105"/>
        <v>[oiPR2CiVJbf]|&lt;01|Male|Untreated_PLHIV_Attend.T_1|CY2023Q3</v>
      </c>
    </row>
    <row r="3384" spans="4:18" x14ac:dyDescent="0.2">
      <c r="D3384" t="s">
        <v>104</v>
      </c>
      <c r="E3384" t="s">
        <v>105</v>
      </c>
      <c r="F3384" t="s">
        <v>106</v>
      </c>
      <c r="G3384" t="s">
        <v>150</v>
      </c>
      <c r="H3384" t="s">
        <v>150</v>
      </c>
      <c r="I3384" t="s">
        <v>32</v>
      </c>
      <c r="J3384" t="s">
        <v>33</v>
      </c>
      <c r="K3384" t="s">
        <v>47</v>
      </c>
      <c r="L3384" t="s">
        <v>48</v>
      </c>
      <c r="M3384" t="s">
        <v>139</v>
      </c>
      <c r="N3384">
        <v>1298</v>
      </c>
      <c r="O3384" s="14">
        <v>2.8962641488760699E-2</v>
      </c>
      <c r="P3384" s="14">
        <v>0.21824956033378801</v>
      </c>
      <c r="Q3384" t="str">
        <f t="shared" si="104"/>
        <v>01-09</v>
      </c>
      <c r="R3384" t="str">
        <f t="shared" si="105"/>
        <v>[oiPR2CiVJbf]|01-09|Male|Untreated_PLHIV_Attend.T_1|CY2023Q3</v>
      </c>
    </row>
    <row r="3385" spans="4:18" x14ac:dyDescent="0.2">
      <c r="D3385" t="s">
        <v>104</v>
      </c>
      <c r="E3385" t="s">
        <v>105</v>
      </c>
      <c r="F3385" t="s">
        <v>106</v>
      </c>
      <c r="G3385" t="s">
        <v>150</v>
      </c>
      <c r="H3385" t="s">
        <v>150</v>
      </c>
      <c r="I3385" t="s">
        <v>35</v>
      </c>
      <c r="J3385" t="s">
        <v>36</v>
      </c>
      <c r="K3385" t="s">
        <v>47</v>
      </c>
      <c r="L3385" t="s">
        <v>48</v>
      </c>
      <c r="M3385" t="s">
        <v>139</v>
      </c>
      <c r="N3385">
        <v>581</v>
      </c>
      <c r="O3385" s="14">
        <v>0.91093593277037099</v>
      </c>
      <c r="P3385" s="14">
        <v>0.21824956033378801</v>
      </c>
      <c r="Q3385" t="str">
        <f t="shared" si="104"/>
        <v>10-14</v>
      </c>
      <c r="R3385" t="str">
        <f t="shared" si="105"/>
        <v>[oiPR2CiVJbf]|10-14|Male|Untreated_PLHIV_Attend.T_1|CY2023Q3</v>
      </c>
    </row>
    <row r="3386" spans="4:18" x14ac:dyDescent="0.2">
      <c r="D3386" t="s">
        <v>104</v>
      </c>
      <c r="E3386" t="s">
        <v>105</v>
      </c>
      <c r="F3386" t="s">
        <v>106</v>
      </c>
      <c r="G3386" t="s">
        <v>150</v>
      </c>
      <c r="H3386" t="s">
        <v>150</v>
      </c>
      <c r="I3386" t="s">
        <v>37</v>
      </c>
      <c r="J3386" t="s">
        <v>38</v>
      </c>
      <c r="K3386" t="s">
        <v>47</v>
      </c>
      <c r="L3386" t="s">
        <v>48</v>
      </c>
      <c r="M3386" t="s">
        <v>139</v>
      </c>
      <c r="N3386">
        <v>809</v>
      </c>
      <c r="O3386" s="14">
        <v>6.5828142687678302E-3</v>
      </c>
      <c r="P3386" s="14">
        <v>0.21824956033378801</v>
      </c>
      <c r="Q3386" t="str">
        <f t="shared" si="104"/>
        <v>15-24</v>
      </c>
      <c r="R3386" t="str">
        <f t="shared" si="105"/>
        <v>[oiPR2CiVJbf]|15-24|Male|Untreated_PLHIV_Attend.T_1|CY2023Q3</v>
      </c>
    </row>
    <row r="3387" spans="4:18" x14ac:dyDescent="0.2">
      <c r="D3387" t="s">
        <v>104</v>
      </c>
      <c r="E3387" t="s">
        <v>105</v>
      </c>
      <c r="F3387" t="s">
        <v>106</v>
      </c>
      <c r="G3387" t="s">
        <v>150</v>
      </c>
      <c r="H3387" t="s">
        <v>150</v>
      </c>
      <c r="I3387" t="s">
        <v>40</v>
      </c>
      <c r="J3387" t="s">
        <v>41</v>
      </c>
      <c r="K3387" t="s">
        <v>47</v>
      </c>
      <c r="L3387" t="s">
        <v>48</v>
      </c>
      <c r="M3387" t="s">
        <v>139</v>
      </c>
      <c r="N3387">
        <v>984</v>
      </c>
      <c r="O3387" s="14">
        <v>0.94067238643765405</v>
      </c>
      <c r="P3387" s="14">
        <v>0.21824956033378801</v>
      </c>
      <c r="Q3387" t="str">
        <f t="shared" si="104"/>
        <v>25-34</v>
      </c>
      <c r="R3387" t="str">
        <f t="shared" si="105"/>
        <v>[oiPR2CiVJbf]|25-34|Male|Untreated_PLHIV_Attend.T_1|CY2023Q3</v>
      </c>
    </row>
    <row r="3388" spans="4:18" x14ac:dyDescent="0.2">
      <c r="D3388" t="s">
        <v>104</v>
      </c>
      <c r="E3388" t="s">
        <v>105</v>
      </c>
      <c r="F3388" t="s">
        <v>106</v>
      </c>
      <c r="G3388" t="s">
        <v>150</v>
      </c>
      <c r="H3388" t="s">
        <v>150</v>
      </c>
      <c r="I3388" t="s">
        <v>42</v>
      </c>
      <c r="J3388" t="s">
        <v>43</v>
      </c>
      <c r="K3388" t="s">
        <v>47</v>
      </c>
      <c r="L3388" t="s">
        <v>48</v>
      </c>
      <c r="M3388" t="s">
        <v>139</v>
      </c>
      <c r="N3388">
        <v>1923</v>
      </c>
      <c r="O3388" s="14">
        <v>0.47419749270193301</v>
      </c>
      <c r="P3388" s="14">
        <v>0.21824956033378801</v>
      </c>
      <c r="Q3388" t="str">
        <f t="shared" si="104"/>
        <v>35-49</v>
      </c>
      <c r="R3388" t="str">
        <f t="shared" si="105"/>
        <v>[oiPR2CiVJbf]|35-49|Male|Untreated_PLHIV_Attend.T_1|CY2023Q3</v>
      </c>
    </row>
    <row r="3389" spans="4:18" x14ac:dyDescent="0.2">
      <c r="D3389" t="s">
        <v>104</v>
      </c>
      <c r="E3389" t="s">
        <v>105</v>
      </c>
      <c r="F3389" t="s">
        <v>106</v>
      </c>
      <c r="G3389" t="s">
        <v>150</v>
      </c>
      <c r="H3389" t="s">
        <v>150</v>
      </c>
      <c r="I3389" t="s">
        <v>44</v>
      </c>
      <c r="J3389" t="s">
        <v>45</v>
      </c>
      <c r="K3389" t="s">
        <v>47</v>
      </c>
      <c r="L3389" t="s">
        <v>48</v>
      </c>
      <c r="M3389" t="s">
        <v>139</v>
      </c>
      <c r="N3389">
        <v>1612</v>
      </c>
      <c r="O3389" s="14">
        <v>0.86022581742145099</v>
      </c>
      <c r="P3389" s="14">
        <v>0.21824956033378801</v>
      </c>
      <c r="Q3389" t="str">
        <f t="shared" si="104"/>
        <v>50+</v>
      </c>
      <c r="R3389" t="str">
        <f t="shared" si="105"/>
        <v>[oiPR2CiVJbf]|50+|Male|Untreated_PLHIV_Attend.T_1|CY2023Q3</v>
      </c>
    </row>
    <row r="3390" spans="4:18" x14ac:dyDescent="0.2">
      <c r="D3390" t="s">
        <v>107</v>
      </c>
      <c r="E3390" t="s">
        <v>108</v>
      </c>
      <c r="F3390" t="s">
        <v>109</v>
      </c>
      <c r="G3390" t="s">
        <v>150</v>
      </c>
      <c r="H3390" t="s">
        <v>150</v>
      </c>
      <c r="I3390" t="s">
        <v>27</v>
      </c>
      <c r="J3390" t="s">
        <v>28</v>
      </c>
      <c r="K3390" t="s">
        <v>29</v>
      </c>
      <c r="L3390" t="s">
        <v>30</v>
      </c>
      <c r="M3390" t="s">
        <v>139</v>
      </c>
      <c r="N3390">
        <v>911</v>
      </c>
      <c r="O3390" s="14">
        <v>0.13901258306577799</v>
      </c>
      <c r="P3390" s="14">
        <v>0.43422180437482899</v>
      </c>
      <c r="Q3390" t="str">
        <f t="shared" si="104"/>
        <v>&lt;01</v>
      </c>
      <c r="R3390" t="str">
        <f t="shared" si="105"/>
        <v>[ul0y9diGujK]|&lt;01|Female|Untreated_PLHIV_Attend.T_1|CY2023Q3</v>
      </c>
    </row>
    <row r="3391" spans="4:18" x14ac:dyDescent="0.2">
      <c r="D3391" t="s">
        <v>107</v>
      </c>
      <c r="E3391" t="s">
        <v>108</v>
      </c>
      <c r="F3391" t="s">
        <v>109</v>
      </c>
      <c r="G3391" t="s">
        <v>150</v>
      </c>
      <c r="H3391" t="s">
        <v>150</v>
      </c>
      <c r="I3391" t="s">
        <v>32</v>
      </c>
      <c r="J3391" t="s">
        <v>33</v>
      </c>
      <c r="K3391" t="s">
        <v>29</v>
      </c>
      <c r="L3391" t="s">
        <v>30</v>
      </c>
      <c r="M3391" t="s">
        <v>139</v>
      </c>
      <c r="N3391">
        <v>855</v>
      </c>
      <c r="O3391" s="14">
        <v>0.65091909980401397</v>
      </c>
      <c r="P3391" s="14">
        <v>0.43422180437482899</v>
      </c>
      <c r="Q3391" t="str">
        <f t="shared" si="104"/>
        <v>01-09</v>
      </c>
      <c r="R3391" t="str">
        <f t="shared" si="105"/>
        <v>[ul0y9diGujK]|01-09|Female|Untreated_PLHIV_Attend.T_1|CY2023Q3</v>
      </c>
    </row>
    <row r="3392" spans="4:18" x14ac:dyDescent="0.2">
      <c r="D3392" t="s">
        <v>107</v>
      </c>
      <c r="E3392" t="s">
        <v>108</v>
      </c>
      <c r="F3392" t="s">
        <v>109</v>
      </c>
      <c r="G3392" t="s">
        <v>150</v>
      </c>
      <c r="H3392" t="s">
        <v>150</v>
      </c>
      <c r="I3392" t="s">
        <v>35</v>
      </c>
      <c r="J3392" t="s">
        <v>36</v>
      </c>
      <c r="K3392" t="s">
        <v>29</v>
      </c>
      <c r="L3392" t="s">
        <v>30</v>
      </c>
      <c r="M3392" t="s">
        <v>139</v>
      </c>
      <c r="N3392">
        <v>1779</v>
      </c>
      <c r="O3392" s="14">
        <v>4.4340195599943399E-3</v>
      </c>
      <c r="P3392" s="14">
        <v>0.43422180437482899</v>
      </c>
      <c r="Q3392" t="str">
        <f t="shared" si="104"/>
        <v>10-14</v>
      </c>
      <c r="R3392" t="str">
        <f t="shared" si="105"/>
        <v>[ul0y9diGujK]|10-14|Female|Untreated_PLHIV_Attend.T_1|CY2023Q3</v>
      </c>
    </row>
    <row r="3393" spans="4:18" x14ac:dyDescent="0.2">
      <c r="D3393" t="s">
        <v>107</v>
      </c>
      <c r="E3393" t="s">
        <v>108</v>
      </c>
      <c r="F3393" t="s">
        <v>109</v>
      </c>
      <c r="G3393" t="s">
        <v>150</v>
      </c>
      <c r="H3393" t="s">
        <v>150</v>
      </c>
      <c r="I3393" t="s">
        <v>37</v>
      </c>
      <c r="J3393" t="s">
        <v>38</v>
      </c>
      <c r="K3393" t="s">
        <v>29</v>
      </c>
      <c r="L3393" t="s">
        <v>30</v>
      </c>
      <c r="M3393" t="s">
        <v>139</v>
      </c>
      <c r="N3393">
        <v>947</v>
      </c>
      <c r="O3393" s="14">
        <v>0.61803154041990604</v>
      </c>
      <c r="P3393" s="14">
        <v>0.43422180437482899</v>
      </c>
      <c r="Q3393" t="str">
        <f t="shared" si="104"/>
        <v>15-24</v>
      </c>
      <c r="R3393" t="str">
        <f t="shared" si="105"/>
        <v>[ul0y9diGujK]|15-24|Female|Untreated_PLHIV_Attend.T_1|CY2023Q3</v>
      </c>
    </row>
    <row r="3394" spans="4:18" x14ac:dyDescent="0.2">
      <c r="D3394" t="s">
        <v>107</v>
      </c>
      <c r="E3394" t="s">
        <v>108</v>
      </c>
      <c r="F3394" t="s">
        <v>109</v>
      </c>
      <c r="G3394" t="s">
        <v>150</v>
      </c>
      <c r="H3394" t="s">
        <v>150</v>
      </c>
      <c r="I3394" t="s">
        <v>40</v>
      </c>
      <c r="J3394" t="s">
        <v>41</v>
      </c>
      <c r="K3394" t="s">
        <v>29</v>
      </c>
      <c r="L3394" t="s">
        <v>30</v>
      </c>
      <c r="M3394" t="s">
        <v>139</v>
      </c>
      <c r="N3394">
        <v>1613</v>
      </c>
      <c r="O3394" s="14">
        <v>0.81990632810629904</v>
      </c>
      <c r="P3394" s="14">
        <v>0.43422180437482899</v>
      </c>
      <c r="Q3394" t="str">
        <f t="shared" ref="Q3394:Q3457" si="106">SUBSTITUTE(SUBSTITUTE($I3394,CHAR(61),""),CHAR(34),"")</f>
        <v>25-34</v>
      </c>
      <c r="R3394" t="str">
        <f t="shared" ref="R3394:R3457" si="107">IF($D3394&lt;&gt;"","["&amp;$E3394&amp;"]"&amp;"|"&amp;$Q3394&amp;"|"&amp;$K3394&amp;"|"&amp;$G3394&amp;"|"&amp;IF($G3394="TX_CURR_SUBNAT.R","CY2022Q4",$M3394),"")</f>
        <v>[ul0y9diGujK]|25-34|Female|Untreated_PLHIV_Attend.T_1|CY2023Q3</v>
      </c>
    </row>
    <row r="3395" spans="4:18" x14ac:dyDescent="0.2">
      <c r="D3395" t="s">
        <v>107</v>
      </c>
      <c r="E3395" t="s">
        <v>108</v>
      </c>
      <c r="F3395" t="s">
        <v>109</v>
      </c>
      <c r="G3395" t="s">
        <v>150</v>
      </c>
      <c r="H3395" t="s">
        <v>150</v>
      </c>
      <c r="I3395" t="s">
        <v>42</v>
      </c>
      <c r="J3395" t="s">
        <v>43</v>
      </c>
      <c r="K3395" t="s">
        <v>29</v>
      </c>
      <c r="L3395" t="s">
        <v>30</v>
      </c>
      <c r="M3395" t="s">
        <v>139</v>
      </c>
      <c r="N3395">
        <v>763</v>
      </c>
      <c r="O3395" s="14">
        <v>0.78999985614791501</v>
      </c>
      <c r="P3395" s="14">
        <v>0.43422180437482899</v>
      </c>
      <c r="Q3395" t="str">
        <f t="shared" si="106"/>
        <v>35-49</v>
      </c>
      <c r="R3395" t="str">
        <f t="shared" si="107"/>
        <v>[ul0y9diGujK]|35-49|Female|Untreated_PLHIV_Attend.T_1|CY2023Q3</v>
      </c>
    </row>
    <row r="3396" spans="4:18" x14ac:dyDescent="0.2">
      <c r="D3396" t="s">
        <v>107</v>
      </c>
      <c r="E3396" t="s">
        <v>108</v>
      </c>
      <c r="F3396" t="s">
        <v>109</v>
      </c>
      <c r="G3396" t="s">
        <v>150</v>
      </c>
      <c r="H3396" t="s">
        <v>150</v>
      </c>
      <c r="I3396" t="s">
        <v>44</v>
      </c>
      <c r="J3396" t="s">
        <v>45</v>
      </c>
      <c r="K3396" t="s">
        <v>29</v>
      </c>
      <c r="L3396" t="s">
        <v>30</v>
      </c>
      <c r="M3396" t="s">
        <v>139</v>
      </c>
      <c r="N3396">
        <v>1838</v>
      </c>
      <c r="O3396" s="14">
        <v>0.25979686947539399</v>
      </c>
      <c r="P3396" s="14">
        <v>0.43422180437482899</v>
      </c>
      <c r="Q3396" t="str">
        <f t="shared" si="106"/>
        <v>50+</v>
      </c>
      <c r="R3396" t="str">
        <f t="shared" si="107"/>
        <v>[ul0y9diGujK]|50+|Female|Untreated_PLHIV_Attend.T_1|CY2023Q3</v>
      </c>
    </row>
    <row r="3397" spans="4:18" x14ac:dyDescent="0.2">
      <c r="D3397" t="s">
        <v>107</v>
      </c>
      <c r="E3397" t="s">
        <v>108</v>
      </c>
      <c r="F3397" t="s">
        <v>109</v>
      </c>
      <c r="G3397" t="s">
        <v>150</v>
      </c>
      <c r="H3397" t="s">
        <v>150</v>
      </c>
      <c r="I3397" t="s">
        <v>27</v>
      </c>
      <c r="J3397" t="s">
        <v>28</v>
      </c>
      <c r="K3397" t="s">
        <v>47</v>
      </c>
      <c r="L3397" t="s">
        <v>48</v>
      </c>
      <c r="M3397" t="s">
        <v>139</v>
      </c>
      <c r="N3397">
        <v>1678</v>
      </c>
      <c r="O3397" s="14">
        <v>0.92321787774562802</v>
      </c>
      <c r="P3397" s="14">
        <v>0.43422180437482899</v>
      </c>
      <c r="Q3397" t="str">
        <f t="shared" si="106"/>
        <v>&lt;01</v>
      </c>
      <c r="R3397" t="str">
        <f t="shared" si="107"/>
        <v>[ul0y9diGujK]|&lt;01|Male|Untreated_PLHIV_Attend.T_1|CY2023Q3</v>
      </c>
    </row>
    <row r="3398" spans="4:18" x14ac:dyDescent="0.2">
      <c r="D3398" t="s">
        <v>107</v>
      </c>
      <c r="E3398" t="s">
        <v>108</v>
      </c>
      <c r="F3398" t="s">
        <v>109</v>
      </c>
      <c r="G3398" t="s">
        <v>150</v>
      </c>
      <c r="H3398" t="s">
        <v>150</v>
      </c>
      <c r="I3398" t="s">
        <v>32</v>
      </c>
      <c r="J3398" t="s">
        <v>33</v>
      </c>
      <c r="K3398" t="s">
        <v>47</v>
      </c>
      <c r="L3398" t="s">
        <v>48</v>
      </c>
      <c r="M3398" t="s">
        <v>139</v>
      </c>
      <c r="N3398">
        <v>1054</v>
      </c>
      <c r="O3398" s="14">
        <v>0.19532638578675701</v>
      </c>
      <c r="P3398" s="14">
        <v>0.43422180437482899</v>
      </c>
      <c r="Q3398" t="str">
        <f t="shared" si="106"/>
        <v>01-09</v>
      </c>
      <c r="R3398" t="str">
        <f t="shared" si="107"/>
        <v>[ul0y9diGujK]|01-09|Male|Untreated_PLHIV_Attend.T_1|CY2023Q3</v>
      </c>
    </row>
    <row r="3399" spans="4:18" x14ac:dyDescent="0.2">
      <c r="D3399" t="s">
        <v>107</v>
      </c>
      <c r="E3399" t="s">
        <v>108</v>
      </c>
      <c r="F3399" t="s">
        <v>109</v>
      </c>
      <c r="G3399" t="s">
        <v>150</v>
      </c>
      <c r="H3399" t="s">
        <v>150</v>
      </c>
      <c r="I3399" t="s">
        <v>35</v>
      </c>
      <c r="J3399" t="s">
        <v>36</v>
      </c>
      <c r="K3399" t="s">
        <v>47</v>
      </c>
      <c r="L3399" t="s">
        <v>48</v>
      </c>
      <c r="M3399" t="s">
        <v>139</v>
      </c>
      <c r="N3399">
        <v>1352</v>
      </c>
      <c r="O3399" s="14">
        <v>0.782312133582309</v>
      </c>
      <c r="P3399" s="14">
        <v>0.43422180437482899</v>
      </c>
      <c r="Q3399" t="str">
        <f t="shared" si="106"/>
        <v>10-14</v>
      </c>
      <c r="R3399" t="str">
        <f t="shared" si="107"/>
        <v>[ul0y9diGujK]|10-14|Male|Untreated_PLHIV_Attend.T_1|CY2023Q3</v>
      </c>
    </row>
    <row r="3400" spans="4:18" x14ac:dyDescent="0.2">
      <c r="D3400" t="s">
        <v>107</v>
      </c>
      <c r="E3400" t="s">
        <v>108</v>
      </c>
      <c r="F3400" t="s">
        <v>109</v>
      </c>
      <c r="G3400" t="s">
        <v>150</v>
      </c>
      <c r="H3400" t="s">
        <v>150</v>
      </c>
      <c r="I3400" t="s">
        <v>37</v>
      </c>
      <c r="J3400" t="s">
        <v>38</v>
      </c>
      <c r="K3400" t="s">
        <v>47</v>
      </c>
      <c r="L3400" t="s">
        <v>48</v>
      </c>
      <c r="M3400" t="s">
        <v>139</v>
      </c>
      <c r="N3400">
        <v>595</v>
      </c>
      <c r="O3400" s="14">
        <v>7.4216806096956106E-2</v>
      </c>
      <c r="P3400" s="14">
        <v>0.43422180437482899</v>
      </c>
      <c r="Q3400" t="str">
        <f t="shared" si="106"/>
        <v>15-24</v>
      </c>
      <c r="R3400" t="str">
        <f t="shared" si="107"/>
        <v>[ul0y9diGujK]|15-24|Male|Untreated_PLHIV_Attend.T_1|CY2023Q3</v>
      </c>
    </row>
    <row r="3401" spans="4:18" x14ac:dyDescent="0.2">
      <c r="D3401" t="s">
        <v>107</v>
      </c>
      <c r="E3401" t="s">
        <v>108</v>
      </c>
      <c r="F3401" t="s">
        <v>109</v>
      </c>
      <c r="G3401" t="s">
        <v>150</v>
      </c>
      <c r="H3401" t="s">
        <v>150</v>
      </c>
      <c r="I3401" t="s">
        <v>40</v>
      </c>
      <c r="J3401" t="s">
        <v>41</v>
      </c>
      <c r="K3401" t="s">
        <v>47</v>
      </c>
      <c r="L3401" t="s">
        <v>48</v>
      </c>
      <c r="M3401" t="s">
        <v>139</v>
      </c>
      <c r="N3401">
        <v>593</v>
      </c>
      <c r="O3401" s="14">
        <v>0.66369814216159295</v>
      </c>
      <c r="P3401" s="14">
        <v>0.43422180437482899</v>
      </c>
      <c r="Q3401" t="str">
        <f t="shared" si="106"/>
        <v>25-34</v>
      </c>
      <c r="R3401" t="str">
        <f t="shared" si="107"/>
        <v>[ul0y9diGujK]|25-34|Male|Untreated_PLHIV_Attend.T_1|CY2023Q3</v>
      </c>
    </row>
    <row r="3402" spans="4:18" x14ac:dyDescent="0.2">
      <c r="D3402" t="s">
        <v>107</v>
      </c>
      <c r="E3402" t="s">
        <v>108</v>
      </c>
      <c r="F3402" t="s">
        <v>109</v>
      </c>
      <c r="G3402" t="s">
        <v>150</v>
      </c>
      <c r="H3402" t="s">
        <v>150</v>
      </c>
      <c r="I3402" t="s">
        <v>42</v>
      </c>
      <c r="J3402" t="s">
        <v>43</v>
      </c>
      <c r="K3402" t="s">
        <v>47</v>
      </c>
      <c r="L3402" t="s">
        <v>48</v>
      </c>
      <c r="M3402" t="s">
        <v>139</v>
      </c>
      <c r="N3402">
        <v>1922</v>
      </c>
      <c r="O3402" s="14">
        <v>0.90974625386297703</v>
      </c>
      <c r="P3402" s="14">
        <v>0.43422180437482899</v>
      </c>
      <c r="Q3402" t="str">
        <f t="shared" si="106"/>
        <v>35-49</v>
      </c>
      <c r="R3402" t="str">
        <f t="shared" si="107"/>
        <v>[ul0y9diGujK]|35-49|Male|Untreated_PLHIV_Attend.T_1|CY2023Q3</v>
      </c>
    </row>
    <row r="3403" spans="4:18" x14ac:dyDescent="0.2">
      <c r="D3403" t="s">
        <v>107</v>
      </c>
      <c r="E3403" t="s">
        <v>108</v>
      </c>
      <c r="F3403" t="s">
        <v>109</v>
      </c>
      <c r="G3403" t="s">
        <v>150</v>
      </c>
      <c r="H3403" t="s">
        <v>150</v>
      </c>
      <c r="I3403" t="s">
        <v>44</v>
      </c>
      <c r="J3403" t="s">
        <v>45</v>
      </c>
      <c r="K3403" t="s">
        <v>47</v>
      </c>
      <c r="L3403" t="s">
        <v>48</v>
      </c>
      <c r="M3403" t="s">
        <v>139</v>
      </c>
      <c r="N3403">
        <v>1373</v>
      </c>
      <c r="O3403" s="14">
        <v>0.65878006629645802</v>
      </c>
      <c r="P3403" s="14">
        <v>0.43422180437482899</v>
      </c>
      <c r="Q3403" t="str">
        <f t="shared" si="106"/>
        <v>50+</v>
      </c>
      <c r="R3403" t="str">
        <f t="shared" si="107"/>
        <v>[ul0y9diGujK]|50+|Male|Untreated_PLHIV_Attend.T_1|CY2023Q3</v>
      </c>
    </row>
    <row r="3404" spans="4:18" x14ac:dyDescent="0.2">
      <c r="D3404" t="s">
        <v>110</v>
      </c>
      <c r="E3404" t="s">
        <v>111</v>
      </c>
      <c r="F3404" t="s">
        <v>112</v>
      </c>
      <c r="G3404" t="s">
        <v>150</v>
      </c>
      <c r="H3404" t="s">
        <v>150</v>
      </c>
      <c r="I3404" t="s">
        <v>27</v>
      </c>
      <c r="J3404" t="s">
        <v>28</v>
      </c>
      <c r="K3404" t="s">
        <v>29</v>
      </c>
      <c r="L3404" t="s">
        <v>30</v>
      </c>
      <c r="M3404" t="s">
        <v>139</v>
      </c>
      <c r="N3404">
        <v>1652</v>
      </c>
      <c r="O3404" s="14">
        <v>0.462140164803714</v>
      </c>
      <c r="P3404" s="14">
        <v>0.33776879496872397</v>
      </c>
      <c r="Q3404" t="str">
        <f t="shared" si="106"/>
        <v>&lt;01</v>
      </c>
      <c r="R3404" t="str">
        <f t="shared" si="107"/>
        <v>[U8c0so51kT6]|&lt;01|Female|Untreated_PLHIV_Attend.T_1|CY2023Q3</v>
      </c>
    </row>
    <row r="3405" spans="4:18" x14ac:dyDescent="0.2">
      <c r="D3405" t="s">
        <v>110</v>
      </c>
      <c r="E3405" t="s">
        <v>111</v>
      </c>
      <c r="F3405" t="s">
        <v>112</v>
      </c>
      <c r="G3405" t="s">
        <v>150</v>
      </c>
      <c r="H3405" t="s">
        <v>150</v>
      </c>
      <c r="I3405" t="s">
        <v>32</v>
      </c>
      <c r="J3405" t="s">
        <v>33</v>
      </c>
      <c r="K3405" t="s">
        <v>29</v>
      </c>
      <c r="L3405" t="s">
        <v>30</v>
      </c>
      <c r="M3405" t="s">
        <v>139</v>
      </c>
      <c r="N3405">
        <v>582</v>
      </c>
      <c r="O3405" s="14">
        <v>0.62108719232492104</v>
      </c>
      <c r="P3405" s="14">
        <v>0.33776879496872397</v>
      </c>
      <c r="Q3405" t="str">
        <f t="shared" si="106"/>
        <v>01-09</v>
      </c>
      <c r="R3405" t="str">
        <f t="shared" si="107"/>
        <v>[U8c0so51kT6]|01-09|Female|Untreated_PLHIV_Attend.T_1|CY2023Q3</v>
      </c>
    </row>
    <row r="3406" spans="4:18" x14ac:dyDescent="0.2">
      <c r="D3406" t="s">
        <v>110</v>
      </c>
      <c r="E3406" t="s">
        <v>111</v>
      </c>
      <c r="F3406" t="s">
        <v>112</v>
      </c>
      <c r="G3406" t="s">
        <v>150</v>
      </c>
      <c r="H3406" t="s">
        <v>150</v>
      </c>
      <c r="I3406" t="s">
        <v>35</v>
      </c>
      <c r="J3406" t="s">
        <v>36</v>
      </c>
      <c r="K3406" t="s">
        <v>29</v>
      </c>
      <c r="L3406" t="s">
        <v>30</v>
      </c>
      <c r="M3406" t="s">
        <v>139</v>
      </c>
      <c r="N3406">
        <v>1869</v>
      </c>
      <c r="O3406" s="14">
        <v>0.69614541577175304</v>
      </c>
      <c r="P3406" s="14">
        <v>0.33776879496872397</v>
      </c>
      <c r="Q3406" t="str">
        <f t="shared" si="106"/>
        <v>10-14</v>
      </c>
      <c r="R3406" t="str">
        <f t="shared" si="107"/>
        <v>[U8c0so51kT6]|10-14|Female|Untreated_PLHIV_Attend.T_1|CY2023Q3</v>
      </c>
    </row>
    <row r="3407" spans="4:18" x14ac:dyDescent="0.2">
      <c r="D3407" t="s">
        <v>110</v>
      </c>
      <c r="E3407" t="s">
        <v>111</v>
      </c>
      <c r="F3407" t="s">
        <v>112</v>
      </c>
      <c r="G3407" t="s">
        <v>150</v>
      </c>
      <c r="H3407" t="s">
        <v>150</v>
      </c>
      <c r="I3407" t="s">
        <v>37</v>
      </c>
      <c r="J3407" t="s">
        <v>38</v>
      </c>
      <c r="K3407" t="s">
        <v>29</v>
      </c>
      <c r="L3407" t="s">
        <v>30</v>
      </c>
      <c r="M3407" t="s">
        <v>139</v>
      </c>
      <c r="N3407">
        <v>1380</v>
      </c>
      <c r="O3407" s="14">
        <v>0.80123369907960296</v>
      </c>
      <c r="P3407" s="14">
        <v>0.33776879496872397</v>
      </c>
      <c r="Q3407" t="str">
        <f t="shared" si="106"/>
        <v>15-24</v>
      </c>
      <c r="R3407" t="str">
        <f t="shared" si="107"/>
        <v>[U8c0so51kT6]|15-24|Female|Untreated_PLHIV_Attend.T_1|CY2023Q3</v>
      </c>
    </row>
    <row r="3408" spans="4:18" x14ac:dyDescent="0.2">
      <c r="D3408" t="s">
        <v>110</v>
      </c>
      <c r="E3408" t="s">
        <v>111</v>
      </c>
      <c r="F3408" t="s">
        <v>112</v>
      </c>
      <c r="G3408" t="s">
        <v>150</v>
      </c>
      <c r="H3408" t="s">
        <v>150</v>
      </c>
      <c r="I3408" t="s">
        <v>40</v>
      </c>
      <c r="J3408" t="s">
        <v>41</v>
      </c>
      <c r="K3408" t="s">
        <v>29</v>
      </c>
      <c r="L3408" t="s">
        <v>30</v>
      </c>
      <c r="M3408" t="s">
        <v>139</v>
      </c>
      <c r="N3408">
        <v>641</v>
      </c>
      <c r="O3408" s="14">
        <v>0.37643429171294002</v>
      </c>
      <c r="P3408" s="14">
        <v>0.33776879496872397</v>
      </c>
      <c r="Q3408" t="str">
        <f t="shared" si="106"/>
        <v>25-34</v>
      </c>
      <c r="R3408" t="str">
        <f t="shared" si="107"/>
        <v>[U8c0so51kT6]|25-34|Female|Untreated_PLHIV_Attend.T_1|CY2023Q3</v>
      </c>
    </row>
    <row r="3409" spans="4:18" x14ac:dyDescent="0.2">
      <c r="D3409" t="s">
        <v>110</v>
      </c>
      <c r="E3409" t="s">
        <v>111</v>
      </c>
      <c r="F3409" t="s">
        <v>112</v>
      </c>
      <c r="G3409" t="s">
        <v>150</v>
      </c>
      <c r="H3409" t="s">
        <v>150</v>
      </c>
      <c r="I3409" t="s">
        <v>42</v>
      </c>
      <c r="J3409" t="s">
        <v>43</v>
      </c>
      <c r="K3409" t="s">
        <v>29</v>
      </c>
      <c r="L3409" t="s">
        <v>30</v>
      </c>
      <c r="M3409" t="s">
        <v>139</v>
      </c>
      <c r="N3409">
        <v>725</v>
      </c>
      <c r="O3409" s="14">
        <v>0.147138192784041</v>
      </c>
      <c r="P3409" s="14">
        <v>0.33776879496872397</v>
      </c>
      <c r="Q3409" t="str">
        <f t="shared" si="106"/>
        <v>35-49</v>
      </c>
      <c r="R3409" t="str">
        <f t="shared" si="107"/>
        <v>[U8c0so51kT6]|35-49|Female|Untreated_PLHIV_Attend.T_1|CY2023Q3</v>
      </c>
    </row>
    <row r="3410" spans="4:18" x14ac:dyDescent="0.2">
      <c r="D3410" t="s">
        <v>110</v>
      </c>
      <c r="E3410" t="s">
        <v>111</v>
      </c>
      <c r="F3410" t="s">
        <v>112</v>
      </c>
      <c r="G3410" t="s">
        <v>150</v>
      </c>
      <c r="H3410" t="s">
        <v>150</v>
      </c>
      <c r="I3410" t="s">
        <v>44</v>
      </c>
      <c r="J3410" t="s">
        <v>45</v>
      </c>
      <c r="K3410" t="s">
        <v>29</v>
      </c>
      <c r="L3410" t="s">
        <v>30</v>
      </c>
      <c r="M3410" t="s">
        <v>139</v>
      </c>
      <c r="N3410">
        <v>651</v>
      </c>
      <c r="O3410" s="14">
        <v>0.14787623845040801</v>
      </c>
      <c r="P3410" s="14">
        <v>0.33776879496872397</v>
      </c>
      <c r="Q3410" t="str">
        <f t="shared" si="106"/>
        <v>50+</v>
      </c>
      <c r="R3410" t="str">
        <f t="shared" si="107"/>
        <v>[U8c0so51kT6]|50+|Female|Untreated_PLHIV_Attend.T_1|CY2023Q3</v>
      </c>
    </row>
    <row r="3411" spans="4:18" x14ac:dyDescent="0.2">
      <c r="D3411" t="s">
        <v>110</v>
      </c>
      <c r="E3411" t="s">
        <v>111</v>
      </c>
      <c r="F3411" t="s">
        <v>112</v>
      </c>
      <c r="G3411" t="s">
        <v>150</v>
      </c>
      <c r="H3411" t="s">
        <v>150</v>
      </c>
      <c r="I3411" t="s">
        <v>27</v>
      </c>
      <c r="J3411" t="s">
        <v>28</v>
      </c>
      <c r="K3411" t="s">
        <v>47</v>
      </c>
      <c r="L3411" t="s">
        <v>48</v>
      </c>
      <c r="M3411" t="s">
        <v>139</v>
      </c>
      <c r="N3411">
        <v>847</v>
      </c>
      <c r="O3411" s="14">
        <v>0.50485634151846204</v>
      </c>
      <c r="P3411" s="14">
        <v>0.33776879496872397</v>
      </c>
      <c r="Q3411" t="str">
        <f t="shared" si="106"/>
        <v>&lt;01</v>
      </c>
      <c r="R3411" t="str">
        <f t="shared" si="107"/>
        <v>[U8c0so51kT6]|&lt;01|Male|Untreated_PLHIV_Attend.T_1|CY2023Q3</v>
      </c>
    </row>
    <row r="3412" spans="4:18" x14ac:dyDescent="0.2">
      <c r="D3412" t="s">
        <v>110</v>
      </c>
      <c r="E3412" t="s">
        <v>111</v>
      </c>
      <c r="F3412" t="s">
        <v>112</v>
      </c>
      <c r="G3412" t="s">
        <v>150</v>
      </c>
      <c r="H3412" t="s">
        <v>150</v>
      </c>
      <c r="I3412" t="s">
        <v>32</v>
      </c>
      <c r="J3412" t="s">
        <v>33</v>
      </c>
      <c r="K3412" t="s">
        <v>47</v>
      </c>
      <c r="L3412" t="s">
        <v>48</v>
      </c>
      <c r="M3412" t="s">
        <v>139</v>
      </c>
      <c r="N3412">
        <v>1217</v>
      </c>
      <c r="O3412" s="14">
        <v>0.49695135466754398</v>
      </c>
      <c r="P3412" s="14">
        <v>0.33776879496872397</v>
      </c>
      <c r="Q3412" t="str">
        <f t="shared" si="106"/>
        <v>01-09</v>
      </c>
      <c r="R3412" t="str">
        <f t="shared" si="107"/>
        <v>[U8c0so51kT6]|01-09|Male|Untreated_PLHIV_Attend.T_1|CY2023Q3</v>
      </c>
    </row>
    <row r="3413" spans="4:18" x14ac:dyDescent="0.2">
      <c r="D3413" t="s">
        <v>110</v>
      </c>
      <c r="E3413" t="s">
        <v>111</v>
      </c>
      <c r="F3413" t="s">
        <v>112</v>
      </c>
      <c r="G3413" t="s">
        <v>150</v>
      </c>
      <c r="H3413" t="s">
        <v>150</v>
      </c>
      <c r="I3413" t="s">
        <v>35</v>
      </c>
      <c r="J3413" t="s">
        <v>36</v>
      </c>
      <c r="K3413" t="s">
        <v>47</v>
      </c>
      <c r="L3413" t="s">
        <v>48</v>
      </c>
      <c r="M3413" t="s">
        <v>139</v>
      </c>
      <c r="N3413">
        <v>1730</v>
      </c>
      <c r="O3413" s="14">
        <v>0.31455932254903002</v>
      </c>
      <c r="P3413" s="14">
        <v>0.33776879496872397</v>
      </c>
      <c r="Q3413" t="str">
        <f t="shared" si="106"/>
        <v>10-14</v>
      </c>
      <c r="R3413" t="str">
        <f t="shared" si="107"/>
        <v>[U8c0so51kT6]|10-14|Male|Untreated_PLHIV_Attend.T_1|CY2023Q3</v>
      </c>
    </row>
    <row r="3414" spans="4:18" x14ac:dyDescent="0.2">
      <c r="D3414" t="s">
        <v>110</v>
      </c>
      <c r="E3414" t="s">
        <v>111</v>
      </c>
      <c r="F3414" t="s">
        <v>112</v>
      </c>
      <c r="G3414" t="s">
        <v>150</v>
      </c>
      <c r="H3414" t="s">
        <v>150</v>
      </c>
      <c r="I3414" t="s">
        <v>37</v>
      </c>
      <c r="J3414" t="s">
        <v>38</v>
      </c>
      <c r="K3414" t="s">
        <v>47</v>
      </c>
      <c r="L3414" t="s">
        <v>48</v>
      </c>
      <c r="M3414" t="s">
        <v>139</v>
      </c>
      <c r="N3414">
        <v>1254</v>
      </c>
      <c r="O3414" s="14">
        <v>0.28387150657363203</v>
      </c>
      <c r="P3414" s="14">
        <v>0.33776879496872397</v>
      </c>
      <c r="Q3414" t="str">
        <f t="shared" si="106"/>
        <v>15-24</v>
      </c>
      <c r="R3414" t="str">
        <f t="shared" si="107"/>
        <v>[U8c0so51kT6]|15-24|Male|Untreated_PLHIV_Attend.T_1|CY2023Q3</v>
      </c>
    </row>
    <row r="3415" spans="4:18" x14ac:dyDescent="0.2">
      <c r="D3415" t="s">
        <v>110</v>
      </c>
      <c r="E3415" t="s">
        <v>111</v>
      </c>
      <c r="F3415" t="s">
        <v>112</v>
      </c>
      <c r="G3415" t="s">
        <v>150</v>
      </c>
      <c r="H3415" t="s">
        <v>150</v>
      </c>
      <c r="I3415" t="s">
        <v>40</v>
      </c>
      <c r="J3415" t="s">
        <v>41</v>
      </c>
      <c r="K3415" t="s">
        <v>47</v>
      </c>
      <c r="L3415" t="s">
        <v>48</v>
      </c>
      <c r="M3415" t="s">
        <v>139</v>
      </c>
      <c r="N3415">
        <v>1218</v>
      </c>
      <c r="O3415" s="14">
        <v>5.7285117916762801E-2</v>
      </c>
      <c r="P3415" s="14">
        <v>0.33776879496872397</v>
      </c>
      <c r="Q3415" t="str">
        <f t="shared" si="106"/>
        <v>25-34</v>
      </c>
      <c r="R3415" t="str">
        <f t="shared" si="107"/>
        <v>[U8c0so51kT6]|25-34|Male|Untreated_PLHIV_Attend.T_1|CY2023Q3</v>
      </c>
    </row>
    <row r="3416" spans="4:18" x14ac:dyDescent="0.2">
      <c r="D3416" t="s">
        <v>110</v>
      </c>
      <c r="E3416" t="s">
        <v>111</v>
      </c>
      <c r="F3416" t="s">
        <v>112</v>
      </c>
      <c r="G3416" t="s">
        <v>150</v>
      </c>
      <c r="H3416" t="s">
        <v>150</v>
      </c>
      <c r="I3416" t="s">
        <v>42</v>
      </c>
      <c r="J3416" t="s">
        <v>43</v>
      </c>
      <c r="K3416" t="s">
        <v>47</v>
      </c>
      <c r="L3416" t="s">
        <v>48</v>
      </c>
      <c r="M3416" t="s">
        <v>139</v>
      </c>
      <c r="N3416">
        <v>797</v>
      </c>
      <c r="O3416" s="14">
        <v>0.54077963554300401</v>
      </c>
      <c r="P3416" s="14">
        <v>0.33776879496872397</v>
      </c>
      <c r="Q3416" t="str">
        <f t="shared" si="106"/>
        <v>35-49</v>
      </c>
      <c r="R3416" t="str">
        <f t="shared" si="107"/>
        <v>[U8c0so51kT6]|35-49|Male|Untreated_PLHIV_Attend.T_1|CY2023Q3</v>
      </c>
    </row>
    <row r="3417" spans="4:18" x14ac:dyDescent="0.2">
      <c r="D3417" t="s">
        <v>110</v>
      </c>
      <c r="E3417" t="s">
        <v>111</v>
      </c>
      <c r="F3417" t="s">
        <v>112</v>
      </c>
      <c r="G3417" t="s">
        <v>150</v>
      </c>
      <c r="H3417" t="s">
        <v>150</v>
      </c>
      <c r="I3417" t="s">
        <v>44</v>
      </c>
      <c r="J3417" t="s">
        <v>45</v>
      </c>
      <c r="K3417" t="s">
        <v>47</v>
      </c>
      <c r="L3417" t="s">
        <v>48</v>
      </c>
      <c r="M3417" t="s">
        <v>139</v>
      </c>
      <c r="N3417">
        <v>593</v>
      </c>
      <c r="O3417" s="14">
        <v>0.42972749634645901</v>
      </c>
      <c r="P3417" s="14">
        <v>0.33776879496872397</v>
      </c>
      <c r="Q3417" t="str">
        <f t="shared" si="106"/>
        <v>50+</v>
      </c>
      <c r="R3417" t="str">
        <f t="shared" si="107"/>
        <v>[U8c0so51kT6]|50+|Male|Untreated_PLHIV_Attend.T_1|CY2023Q3</v>
      </c>
    </row>
    <row r="3418" spans="4:18" x14ac:dyDescent="0.2">
      <c r="D3418" t="s">
        <v>113</v>
      </c>
      <c r="E3418" t="s">
        <v>114</v>
      </c>
      <c r="F3418" t="s">
        <v>115</v>
      </c>
      <c r="G3418" t="s">
        <v>150</v>
      </c>
      <c r="H3418" t="s">
        <v>150</v>
      </c>
      <c r="I3418" t="s">
        <v>27</v>
      </c>
      <c r="J3418" t="s">
        <v>28</v>
      </c>
      <c r="K3418" t="s">
        <v>29</v>
      </c>
      <c r="L3418" t="s">
        <v>30</v>
      </c>
      <c r="M3418" t="s">
        <v>139</v>
      </c>
      <c r="N3418">
        <v>606</v>
      </c>
      <c r="O3418" s="14">
        <v>0.48480472061783098</v>
      </c>
      <c r="P3418" s="14">
        <v>0.29855980910360802</v>
      </c>
      <c r="Q3418" t="str">
        <f t="shared" si="106"/>
        <v>&lt;01</v>
      </c>
      <c r="R3418" t="str">
        <f t="shared" si="107"/>
        <v>[rpw540fmNUz]|&lt;01|Female|Untreated_PLHIV_Attend.T_1|CY2023Q3</v>
      </c>
    </row>
    <row r="3419" spans="4:18" x14ac:dyDescent="0.2">
      <c r="D3419" t="s">
        <v>113</v>
      </c>
      <c r="E3419" t="s">
        <v>114</v>
      </c>
      <c r="F3419" t="s">
        <v>115</v>
      </c>
      <c r="G3419" t="s">
        <v>150</v>
      </c>
      <c r="H3419" t="s">
        <v>150</v>
      </c>
      <c r="I3419" t="s">
        <v>32</v>
      </c>
      <c r="J3419" t="s">
        <v>33</v>
      </c>
      <c r="K3419" t="s">
        <v>29</v>
      </c>
      <c r="L3419" t="s">
        <v>30</v>
      </c>
      <c r="M3419" t="s">
        <v>139</v>
      </c>
      <c r="N3419">
        <v>1703</v>
      </c>
      <c r="O3419" s="14">
        <v>0.30832899035885902</v>
      </c>
      <c r="P3419" s="14">
        <v>0.29855980910360802</v>
      </c>
      <c r="Q3419" t="str">
        <f t="shared" si="106"/>
        <v>01-09</v>
      </c>
      <c r="R3419" t="str">
        <f t="shared" si="107"/>
        <v>[rpw540fmNUz]|01-09|Female|Untreated_PLHIV_Attend.T_1|CY2023Q3</v>
      </c>
    </row>
    <row r="3420" spans="4:18" x14ac:dyDescent="0.2">
      <c r="D3420" t="s">
        <v>113</v>
      </c>
      <c r="E3420" t="s">
        <v>114</v>
      </c>
      <c r="F3420" t="s">
        <v>115</v>
      </c>
      <c r="G3420" t="s">
        <v>150</v>
      </c>
      <c r="H3420" t="s">
        <v>150</v>
      </c>
      <c r="I3420" t="s">
        <v>35</v>
      </c>
      <c r="J3420" t="s">
        <v>36</v>
      </c>
      <c r="K3420" t="s">
        <v>29</v>
      </c>
      <c r="L3420" t="s">
        <v>30</v>
      </c>
      <c r="M3420" t="s">
        <v>139</v>
      </c>
      <c r="N3420">
        <v>665</v>
      </c>
      <c r="O3420" s="14">
        <v>0.362508179619908</v>
      </c>
      <c r="P3420" s="14">
        <v>0.29855980910360802</v>
      </c>
      <c r="Q3420" t="str">
        <f t="shared" si="106"/>
        <v>10-14</v>
      </c>
      <c r="R3420" t="str">
        <f t="shared" si="107"/>
        <v>[rpw540fmNUz]|10-14|Female|Untreated_PLHIV_Attend.T_1|CY2023Q3</v>
      </c>
    </row>
    <row r="3421" spans="4:18" x14ac:dyDescent="0.2">
      <c r="D3421" t="s">
        <v>113</v>
      </c>
      <c r="E3421" t="s">
        <v>114</v>
      </c>
      <c r="F3421" t="s">
        <v>115</v>
      </c>
      <c r="G3421" t="s">
        <v>150</v>
      </c>
      <c r="H3421" t="s">
        <v>150</v>
      </c>
      <c r="I3421" t="s">
        <v>37</v>
      </c>
      <c r="J3421" t="s">
        <v>38</v>
      </c>
      <c r="K3421" t="s">
        <v>29</v>
      </c>
      <c r="L3421" t="s">
        <v>30</v>
      </c>
      <c r="M3421" t="s">
        <v>139</v>
      </c>
      <c r="N3421">
        <v>1974</v>
      </c>
      <c r="O3421" s="14">
        <v>3.6617828533053398E-2</v>
      </c>
      <c r="P3421" s="14">
        <v>0.29855980910360802</v>
      </c>
      <c r="Q3421" t="str">
        <f t="shared" si="106"/>
        <v>15-24</v>
      </c>
      <c r="R3421" t="str">
        <f t="shared" si="107"/>
        <v>[rpw540fmNUz]|15-24|Female|Untreated_PLHIV_Attend.T_1|CY2023Q3</v>
      </c>
    </row>
    <row r="3422" spans="4:18" x14ac:dyDescent="0.2">
      <c r="D3422" t="s">
        <v>113</v>
      </c>
      <c r="E3422" t="s">
        <v>114</v>
      </c>
      <c r="F3422" t="s">
        <v>115</v>
      </c>
      <c r="G3422" t="s">
        <v>150</v>
      </c>
      <c r="H3422" t="s">
        <v>150</v>
      </c>
      <c r="I3422" t="s">
        <v>40</v>
      </c>
      <c r="J3422" t="s">
        <v>41</v>
      </c>
      <c r="K3422" t="s">
        <v>29</v>
      </c>
      <c r="L3422" t="s">
        <v>30</v>
      </c>
      <c r="M3422" t="s">
        <v>139</v>
      </c>
      <c r="N3422">
        <v>1954</v>
      </c>
      <c r="O3422" s="14">
        <v>0.69797427160665404</v>
      </c>
      <c r="P3422" s="14">
        <v>0.29855980910360802</v>
      </c>
      <c r="Q3422" t="str">
        <f t="shared" si="106"/>
        <v>25-34</v>
      </c>
      <c r="R3422" t="str">
        <f t="shared" si="107"/>
        <v>[rpw540fmNUz]|25-34|Female|Untreated_PLHIV_Attend.T_1|CY2023Q3</v>
      </c>
    </row>
    <row r="3423" spans="4:18" x14ac:dyDescent="0.2">
      <c r="D3423" t="s">
        <v>113</v>
      </c>
      <c r="E3423" t="s">
        <v>114</v>
      </c>
      <c r="F3423" t="s">
        <v>115</v>
      </c>
      <c r="G3423" t="s">
        <v>150</v>
      </c>
      <c r="H3423" t="s">
        <v>150</v>
      </c>
      <c r="I3423" t="s">
        <v>42</v>
      </c>
      <c r="J3423" t="s">
        <v>43</v>
      </c>
      <c r="K3423" t="s">
        <v>29</v>
      </c>
      <c r="L3423" t="s">
        <v>30</v>
      </c>
      <c r="M3423" t="s">
        <v>139</v>
      </c>
      <c r="N3423">
        <v>1007</v>
      </c>
      <c r="O3423" s="14">
        <v>0.75562238460406705</v>
      </c>
      <c r="P3423" s="14">
        <v>0.29855980910360802</v>
      </c>
      <c r="Q3423" t="str">
        <f t="shared" si="106"/>
        <v>35-49</v>
      </c>
      <c r="R3423" t="str">
        <f t="shared" si="107"/>
        <v>[rpw540fmNUz]|35-49|Female|Untreated_PLHIV_Attend.T_1|CY2023Q3</v>
      </c>
    </row>
    <row r="3424" spans="4:18" x14ac:dyDescent="0.2">
      <c r="D3424" t="s">
        <v>113</v>
      </c>
      <c r="E3424" t="s">
        <v>114</v>
      </c>
      <c r="F3424" t="s">
        <v>115</v>
      </c>
      <c r="G3424" t="s">
        <v>150</v>
      </c>
      <c r="H3424" t="s">
        <v>150</v>
      </c>
      <c r="I3424" t="s">
        <v>44</v>
      </c>
      <c r="J3424" t="s">
        <v>45</v>
      </c>
      <c r="K3424" t="s">
        <v>29</v>
      </c>
      <c r="L3424" t="s">
        <v>30</v>
      </c>
      <c r="M3424" t="s">
        <v>139</v>
      </c>
      <c r="N3424">
        <v>913</v>
      </c>
      <c r="O3424" s="14">
        <v>9.5467913663014797E-2</v>
      </c>
      <c r="P3424" s="14">
        <v>0.29855980910360802</v>
      </c>
      <c r="Q3424" t="str">
        <f t="shared" si="106"/>
        <v>50+</v>
      </c>
      <c r="R3424" t="str">
        <f t="shared" si="107"/>
        <v>[rpw540fmNUz]|50+|Female|Untreated_PLHIV_Attend.T_1|CY2023Q3</v>
      </c>
    </row>
    <row r="3425" spans="4:18" x14ac:dyDescent="0.2">
      <c r="D3425" t="s">
        <v>113</v>
      </c>
      <c r="E3425" t="s">
        <v>114</v>
      </c>
      <c r="F3425" t="s">
        <v>115</v>
      </c>
      <c r="G3425" t="s">
        <v>150</v>
      </c>
      <c r="H3425" t="s">
        <v>150</v>
      </c>
      <c r="I3425" t="s">
        <v>27</v>
      </c>
      <c r="J3425" t="s">
        <v>28</v>
      </c>
      <c r="K3425" t="s">
        <v>47</v>
      </c>
      <c r="L3425" t="s">
        <v>48</v>
      </c>
      <c r="M3425" t="s">
        <v>139</v>
      </c>
      <c r="N3425">
        <v>1163</v>
      </c>
      <c r="O3425" s="14">
        <v>0.75202753976918801</v>
      </c>
      <c r="P3425" s="14">
        <v>0.29855980910360802</v>
      </c>
      <c r="Q3425" t="str">
        <f t="shared" si="106"/>
        <v>&lt;01</v>
      </c>
      <c r="R3425" t="str">
        <f t="shared" si="107"/>
        <v>[rpw540fmNUz]|&lt;01|Male|Untreated_PLHIV_Attend.T_1|CY2023Q3</v>
      </c>
    </row>
    <row r="3426" spans="4:18" x14ac:dyDescent="0.2">
      <c r="D3426" t="s">
        <v>113</v>
      </c>
      <c r="E3426" t="s">
        <v>114</v>
      </c>
      <c r="F3426" t="s">
        <v>115</v>
      </c>
      <c r="G3426" t="s">
        <v>150</v>
      </c>
      <c r="H3426" t="s">
        <v>150</v>
      </c>
      <c r="I3426" t="s">
        <v>32</v>
      </c>
      <c r="J3426" t="s">
        <v>33</v>
      </c>
      <c r="K3426" t="s">
        <v>47</v>
      </c>
      <c r="L3426" t="s">
        <v>48</v>
      </c>
      <c r="M3426" t="s">
        <v>139</v>
      </c>
      <c r="N3426">
        <v>593</v>
      </c>
      <c r="O3426" s="14">
        <v>1.4030808582902E-2</v>
      </c>
      <c r="P3426" s="14">
        <v>0.29855980910360802</v>
      </c>
      <c r="Q3426" t="str">
        <f t="shared" si="106"/>
        <v>01-09</v>
      </c>
      <c r="R3426" t="str">
        <f t="shared" si="107"/>
        <v>[rpw540fmNUz]|01-09|Male|Untreated_PLHIV_Attend.T_1|CY2023Q3</v>
      </c>
    </row>
    <row r="3427" spans="4:18" x14ac:dyDescent="0.2">
      <c r="D3427" t="s">
        <v>113</v>
      </c>
      <c r="E3427" t="s">
        <v>114</v>
      </c>
      <c r="F3427" t="s">
        <v>115</v>
      </c>
      <c r="G3427" t="s">
        <v>150</v>
      </c>
      <c r="H3427" t="s">
        <v>150</v>
      </c>
      <c r="I3427" t="s">
        <v>35</v>
      </c>
      <c r="J3427" t="s">
        <v>36</v>
      </c>
      <c r="K3427" t="s">
        <v>47</v>
      </c>
      <c r="L3427" t="s">
        <v>48</v>
      </c>
      <c r="M3427" t="s">
        <v>139</v>
      </c>
      <c r="N3427">
        <v>1918</v>
      </c>
      <c r="O3427" s="14">
        <v>0.94065539049916003</v>
      </c>
      <c r="P3427" s="14">
        <v>0.29855980910360802</v>
      </c>
      <c r="Q3427" t="str">
        <f t="shared" si="106"/>
        <v>10-14</v>
      </c>
      <c r="R3427" t="str">
        <f t="shared" si="107"/>
        <v>[rpw540fmNUz]|10-14|Male|Untreated_PLHIV_Attend.T_1|CY2023Q3</v>
      </c>
    </row>
    <row r="3428" spans="4:18" x14ac:dyDescent="0.2">
      <c r="D3428" t="s">
        <v>113</v>
      </c>
      <c r="E3428" t="s">
        <v>114</v>
      </c>
      <c r="F3428" t="s">
        <v>115</v>
      </c>
      <c r="G3428" t="s">
        <v>150</v>
      </c>
      <c r="H3428" t="s">
        <v>150</v>
      </c>
      <c r="I3428" t="s">
        <v>37</v>
      </c>
      <c r="J3428" t="s">
        <v>38</v>
      </c>
      <c r="K3428" t="s">
        <v>47</v>
      </c>
      <c r="L3428" t="s">
        <v>48</v>
      </c>
      <c r="M3428" t="s">
        <v>139</v>
      </c>
      <c r="N3428">
        <v>1613</v>
      </c>
      <c r="O3428" s="14">
        <v>0.55454237037338305</v>
      </c>
      <c r="P3428" s="14">
        <v>0.29855980910360802</v>
      </c>
      <c r="Q3428" t="str">
        <f t="shared" si="106"/>
        <v>15-24</v>
      </c>
      <c r="R3428" t="str">
        <f t="shared" si="107"/>
        <v>[rpw540fmNUz]|15-24|Male|Untreated_PLHIV_Attend.T_1|CY2023Q3</v>
      </c>
    </row>
    <row r="3429" spans="4:18" x14ac:dyDescent="0.2">
      <c r="D3429" t="s">
        <v>113</v>
      </c>
      <c r="E3429" t="s">
        <v>114</v>
      </c>
      <c r="F3429" t="s">
        <v>115</v>
      </c>
      <c r="G3429" t="s">
        <v>150</v>
      </c>
      <c r="H3429" t="s">
        <v>150</v>
      </c>
      <c r="I3429" t="s">
        <v>40</v>
      </c>
      <c r="J3429" t="s">
        <v>41</v>
      </c>
      <c r="K3429" t="s">
        <v>47</v>
      </c>
      <c r="L3429" t="s">
        <v>48</v>
      </c>
      <c r="M3429" t="s">
        <v>139</v>
      </c>
      <c r="N3429">
        <v>1496</v>
      </c>
      <c r="O3429" s="14">
        <v>0.130291359033436</v>
      </c>
      <c r="P3429" s="14">
        <v>0.29855980910360802</v>
      </c>
      <c r="Q3429" t="str">
        <f t="shared" si="106"/>
        <v>25-34</v>
      </c>
      <c r="R3429" t="str">
        <f t="shared" si="107"/>
        <v>[rpw540fmNUz]|25-34|Male|Untreated_PLHIV_Attend.T_1|CY2023Q3</v>
      </c>
    </row>
    <row r="3430" spans="4:18" x14ac:dyDescent="0.2">
      <c r="D3430" t="s">
        <v>113</v>
      </c>
      <c r="E3430" t="s">
        <v>114</v>
      </c>
      <c r="F3430" t="s">
        <v>115</v>
      </c>
      <c r="G3430" t="s">
        <v>150</v>
      </c>
      <c r="H3430" t="s">
        <v>150</v>
      </c>
      <c r="I3430" t="s">
        <v>42</v>
      </c>
      <c r="J3430" t="s">
        <v>43</v>
      </c>
      <c r="K3430" t="s">
        <v>47</v>
      </c>
      <c r="L3430" t="s">
        <v>48</v>
      </c>
      <c r="M3430" t="s">
        <v>139</v>
      </c>
      <c r="N3430">
        <v>610</v>
      </c>
      <c r="O3430" s="14">
        <v>0.69802204170264304</v>
      </c>
      <c r="P3430" s="14">
        <v>0.29855980910360802</v>
      </c>
      <c r="Q3430" t="str">
        <f t="shared" si="106"/>
        <v>35-49</v>
      </c>
      <c r="R3430" t="str">
        <f t="shared" si="107"/>
        <v>[rpw540fmNUz]|35-49|Male|Untreated_PLHIV_Attend.T_1|CY2023Q3</v>
      </c>
    </row>
    <row r="3431" spans="4:18" x14ac:dyDescent="0.2">
      <c r="D3431" t="s">
        <v>113</v>
      </c>
      <c r="E3431" t="s">
        <v>114</v>
      </c>
      <c r="F3431" t="s">
        <v>115</v>
      </c>
      <c r="G3431" t="s">
        <v>150</v>
      </c>
      <c r="H3431" t="s">
        <v>150</v>
      </c>
      <c r="I3431" t="s">
        <v>44</v>
      </c>
      <c r="J3431" t="s">
        <v>45</v>
      </c>
      <c r="K3431" t="s">
        <v>47</v>
      </c>
      <c r="L3431" t="s">
        <v>48</v>
      </c>
      <c r="M3431" t="s">
        <v>139</v>
      </c>
      <c r="N3431">
        <v>1188</v>
      </c>
      <c r="O3431" s="14">
        <v>1.04524376802146E-2</v>
      </c>
      <c r="P3431" s="14">
        <v>0.29855980910360802</v>
      </c>
      <c r="Q3431" t="str">
        <f t="shared" si="106"/>
        <v>50+</v>
      </c>
      <c r="R3431" t="str">
        <f t="shared" si="107"/>
        <v>[rpw540fmNUz]|50+|Male|Untreated_PLHIV_Attend.T_1|CY2023Q3</v>
      </c>
    </row>
    <row r="3432" spans="4:18" x14ac:dyDescent="0.2">
      <c r="D3432" t="s">
        <v>116</v>
      </c>
      <c r="E3432" t="s">
        <v>117</v>
      </c>
      <c r="F3432" t="s">
        <v>118</v>
      </c>
      <c r="G3432" t="s">
        <v>150</v>
      </c>
      <c r="H3432" t="s">
        <v>150</v>
      </c>
      <c r="I3432" t="s">
        <v>27</v>
      </c>
      <c r="J3432" t="s">
        <v>28</v>
      </c>
      <c r="K3432" t="s">
        <v>29</v>
      </c>
      <c r="L3432" t="s">
        <v>30</v>
      </c>
      <c r="M3432" t="s">
        <v>139</v>
      </c>
      <c r="N3432">
        <v>1974</v>
      </c>
      <c r="O3432" s="14">
        <v>0.41868089837953398</v>
      </c>
      <c r="P3432" s="14">
        <v>0.206259709550068</v>
      </c>
      <c r="Q3432" t="str">
        <f t="shared" si="106"/>
        <v>&lt;01</v>
      </c>
      <c r="R3432" t="str">
        <f t="shared" si="107"/>
        <v>[lPTyjLi4w3d]|&lt;01|Female|Untreated_PLHIV_Attend.T_1|CY2023Q3</v>
      </c>
    </row>
    <row r="3433" spans="4:18" x14ac:dyDescent="0.2">
      <c r="D3433" t="s">
        <v>116</v>
      </c>
      <c r="E3433" t="s">
        <v>117</v>
      </c>
      <c r="F3433" t="s">
        <v>118</v>
      </c>
      <c r="G3433" t="s">
        <v>150</v>
      </c>
      <c r="H3433" t="s">
        <v>150</v>
      </c>
      <c r="I3433" t="s">
        <v>32</v>
      </c>
      <c r="J3433" t="s">
        <v>33</v>
      </c>
      <c r="K3433" t="s">
        <v>29</v>
      </c>
      <c r="L3433" t="s">
        <v>30</v>
      </c>
      <c r="M3433" t="s">
        <v>139</v>
      </c>
      <c r="N3433">
        <v>1424</v>
      </c>
      <c r="O3433" s="14">
        <v>0.84941452695056796</v>
      </c>
      <c r="P3433" s="14">
        <v>0.206259709550068</v>
      </c>
      <c r="Q3433" t="str">
        <f t="shared" si="106"/>
        <v>01-09</v>
      </c>
      <c r="R3433" t="str">
        <f t="shared" si="107"/>
        <v>[lPTyjLi4w3d]|01-09|Female|Untreated_PLHIV_Attend.T_1|CY2023Q3</v>
      </c>
    </row>
    <row r="3434" spans="4:18" x14ac:dyDescent="0.2">
      <c r="D3434" t="s">
        <v>116</v>
      </c>
      <c r="E3434" t="s">
        <v>117</v>
      </c>
      <c r="F3434" t="s">
        <v>118</v>
      </c>
      <c r="G3434" t="s">
        <v>150</v>
      </c>
      <c r="H3434" t="s">
        <v>150</v>
      </c>
      <c r="I3434" t="s">
        <v>35</v>
      </c>
      <c r="J3434" t="s">
        <v>36</v>
      </c>
      <c r="K3434" t="s">
        <v>29</v>
      </c>
      <c r="L3434" t="s">
        <v>30</v>
      </c>
      <c r="M3434" t="s">
        <v>139</v>
      </c>
      <c r="N3434">
        <v>1656</v>
      </c>
      <c r="O3434" s="14">
        <v>0.69437486911192503</v>
      </c>
      <c r="P3434" s="14">
        <v>0.206259709550068</v>
      </c>
      <c r="Q3434" t="str">
        <f t="shared" si="106"/>
        <v>10-14</v>
      </c>
      <c r="R3434" t="str">
        <f t="shared" si="107"/>
        <v>[lPTyjLi4w3d]|10-14|Female|Untreated_PLHIV_Attend.T_1|CY2023Q3</v>
      </c>
    </row>
    <row r="3435" spans="4:18" x14ac:dyDescent="0.2">
      <c r="D3435" t="s">
        <v>116</v>
      </c>
      <c r="E3435" t="s">
        <v>117</v>
      </c>
      <c r="F3435" t="s">
        <v>118</v>
      </c>
      <c r="G3435" t="s">
        <v>150</v>
      </c>
      <c r="H3435" t="s">
        <v>150</v>
      </c>
      <c r="I3435" t="s">
        <v>37</v>
      </c>
      <c r="J3435" t="s">
        <v>38</v>
      </c>
      <c r="K3435" t="s">
        <v>29</v>
      </c>
      <c r="L3435" t="s">
        <v>30</v>
      </c>
      <c r="M3435" t="s">
        <v>139</v>
      </c>
      <c r="N3435">
        <v>947</v>
      </c>
      <c r="O3435" s="14">
        <v>8.4807178704068106E-2</v>
      </c>
      <c r="P3435" s="14">
        <v>0.206259709550068</v>
      </c>
      <c r="Q3435" t="str">
        <f t="shared" si="106"/>
        <v>15-24</v>
      </c>
      <c r="R3435" t="str">
        <f t="shared" si="107"/>
        <v>[lPTyjLi4w3d]|15-24|Female|Untreated_PLHIV_Attend.T_1|CY2023Q3</v>
      </c>
    </row>
    <row r="3436" spans="4:18" x14ac:dyDescent="0.2">
      <c r="D3436" t="s">
        <v>116</v>
      </c>
      <c r="E3436" t="s">
        <v>117</v>
      </c>
      <c r="F3436" t="s">
        <v>118</v>
      </c>
      <c r="G3436" t="s">
        <v>150</v>
      </c>
      <c r="H3436" t="s">
        <v>150</v>
      </c>
      <c r="I3436" t="s">
        <v>40</v>
      </c>
      <c r="J3436" t="s">
        <v>41</v>
      </c>
      <c r="K3436" t="s">
        <v>29</v>
      </c>
      <c r="L3436" t="s">
        <v>30</v>
      </c>
      <c r="M3436" t="s">
        <v>139</v>
      </c>
      <c r="N3436">
        <v>1411</v>
      </c>
      <c r="O3436" s="14">
        <v>0.96046558185480502</v>
      </c>
      <c r="P3436" s="14">
        <v>0.206259709550068</v>
      </c>
      <c r="Q3436" t="str">
        <f t="shared" si="106"/>
        <v>25-34</v>
      </c>
      <c r="R3436" t="str">
        <f t="shared" si="107"/>
        <v>[lPTyjLi4w3d]|25-34|Female|Untreated_PLHIV_Attend.T_1|CY2023Q3</v>
      </c>
    </row>
    <row r="3437" spans="4:18" x14ac:dyDescent="0.2">
      <c r="D3437" t="s">
        <v>116</v>
      </c>
      <c r="E3437" t="s">
        <v>117</v>
      </c>
      <c r="F3437" t="s">
        <v>118</v>
      </c>
      <c r="G3437" t="s">
        <v>150</v>
      </c>
      <c r="H3437" t="s">
        <v>150</v>
      </c>
      <c r="I3437" t="s">
        <v>42</v>
      </c>
      <c r="J3437" t="s">
        <v>43</v>
      </c>
      <c r="K3437" t="s">
        <v>29</v>
      </c>
      <c r="L3437" t="s">
        <v>30</v>
      </c>
      <c r="M3437" t="s">
        <v>139</v>
      </c>
      <c r="N3437">
        <v>1456</v>
      </c>
      <c r="O3437" s="14">
        <v>0.88131008134223499</v>
      </c>
      <c r="P3437" s="14">
        <v>0.206259709550068</v>
      </c>
      <c r="Q3437" t="str">
        <f t="shared" si="106"/>
        <v>35-49</v>
      </c>
      <c r="R3437" t="str">
        <f t="shared" si="107"/>
        <v>[lPTyjLi4w3d]|35-49|Female|Untreated_PLHIV_Attend.T_1|CY2023Q3</v>
      </c>
    </row>
    <row r="3438" spans="4:18" x14ac:dyDescent="0.2">
      <c r="D3438" t="s">
        <v>116</v>
      </c>
      <c r="E3438" t="s">
        <v>117</v>
      </c>
      <c r="F3438" t="s">
        <v>118</v>
      </c>
      <c r="G3438" t="s">
        <v>150</v>
      </c>
      <c r="H3438" t="s">
        <v>150</v>
      </c>
      <c r="I3438" t="s">
        <v>44</v>
      </c>
      <c r="J3438" t="s">
        <v>45</v>
      </c>
      <c r="K3438" t="s">
        <v>29</v>
      </c>
      <c r="L3438" t="s">
        <v>30</v>
      </c>
      <c r="M3438" t="s">
        <v>139</v>
      </c>
      <c r="N3438">
        <v>1475</v>
      </c>
      <c r="O3438" s="14">
        <v>0.20743843144737201</v>
      </c>
      <c r="P3438" s="14">
        <v>0.206259709550068</v>
      </c>
      <c r="Q3438" t="str">
        <f t="shared" si="106"/>
        <v>50+</v>
      </c>
      <c r="R3438" t="str">
        <f t="shared" si="107"/>
        <v>[lPTyjLi4w3d]|50+|Female|Untreated_PLHIV_Attend.T_1|CY2023Q3</v>
      </c>
    </row>
    <row r="3439" spans="4:18" x14ac:dyDescent="0.2">
      <c r="D3439" t="s">
        <v>116</v>
      </c>
      <c r="E3439" t="s">
        <v>117</v>
      </c>
      <c r="F3439" t="s">
        <v>118</v>
      </c>
      <c r="G3439" t="s">
        <v>150</v>
      </c>
      <c r="H3439" t="s">
        <v>150</v>
      </c>
      <c r="I3439" t="s">
        <v>27</v>
      </c>
      <c r="J3439" t="s">
        <v>28</v>
      </c>
      <c r="K3439" t="s">
        <v>47</v>
      </c>
      <c r="L3439" t="s">
        <v>48</v>
      </c>
      <c r="M3439" t="s">
        <v>139</v>
      </c>
      <c r="N3439">
        <v>533</v>
      </c>
      <c r="O3439" s="14">
        <v>0.23208832507953001</v>
      </c>
      <c r="P3439" s="14">
        <v>0.206259709550068</v>
      </c>
      <c r="Q3439" t="str">
        <f t="shared" si="106"/>
        <v>&lt;01</v>
      </c>
      <c r="R3439" t="str">
        <f t="shared" si="107"/>
        <v>[lPTyjLi4w3d]|&lt;01|Male|Untreated_PLHIV_Attend.T_1|CY2023Q3</v>
      </c>
    </row>
    <row r="3440" spans="4:18" x14ac:dyDescent="0.2">
      <c r="D3440" t="s">
        <v>116</v>
      </c>
      <c r="E3440" t="s">
        <v>117</v>
      </c>
      <c r="F3440" t="s">
        <v>118</v>
      </c>
      <c r="G3440" t="s">
        <v>150</v>
      </c>
      <c r="H3440" t="s">
        <v>150</v>
      </c>
      <c r="I3440" t="s">
        <v>32</v>
      </c>
      <c r="J3440" t="s">
        <v>33</v>
      </c>
      <c r="K3440" t="s">
        <v>47</v>
      </c>
      <c r="L3440" t="s">
        <v>48</v>
      </c>
      <c r="M3440" t="s">
        <v>139</v>
      </c>
      <c r="N3440">
        <v>1415</v>
      </c>
      <c r="O3440" s="14">
        <v>9.1521183494478506E-2</v>
      </c>
      <c r="P3440" s="14">
        <v>0.206259709550068</v>
      </c>
      <c r="Q3440" t="str">
        <f t="shared" si="106"/>
        <v>01-09</v>
      </c>
      <c r="R3440" t="str">
        <f t="shared" si="107"/>
        <v>[lPTyjLi4w3d]|01-09|Male|Untreated_PLHIV_Attend.T_1|CY2023Q3</v>
      </c>
    </row>
    <row r="3441" spans="4:18" x14ac:dyDescent="0.2">
      <c r="D3441" t="s">
        <v>116</v>
      </c>
      <c r="E3441" t="s">
        <v>117</v>
      </c>
      <c r="F3441" t="s">
        <v>118</v>
      </c>
      <c r="G3441" t="s">
        <v>150</v>
      </c>
      <c r="H3441" t="s">
        <v>150</v>
      </c>
      <c r="I3441" t="s">
        <v>35</v>
      </c>
      <c r="J3441" t="s">
        <v>36</v>
      </c>
      <c r="K3441" t="s">
        <v>47</v>
      </c>
      <c r="L3441" t="s">
        <v>48</v>
      </c>
      <c r="M3441" t="s">
        <v>139</v>
      </c>
      <c r="N3441">
        <v>1636</v>
      </c>
      <c r="O3441" s="14">
        <v>0.85636086273007095</v>
      </c>
      <c r="P3441" s="14">
        <v>0.206259709550068</v>
      </c>
      <c r="Q3441" t="str">
        <f t="shared" si="106"/>
        <v>10-14</v>
      </c>
      <c r="R3441" t="str">
        <f t="shared" si="107"/>
        <v>[lPTyjLi4w3d]|10-14|Male|Untreated_PLHIV_Attend.T_1|CY2023Q3</v>
      </c>
    </row>
    <row r="3442" spans="4:18" x14ac:dyDescent="0.2">
      <c r="D3442" t="s">
        <v>116</v>
      </c>
      <c r="E3442" t="s">
        <v>117</v>
      </c>
      <c r="F3442" t="s">
        <v>118</v>
      </c>
      <c r="G3442" t="s">
        <v>150</v>
      </c>
      <c r="H3442" t="s">
        <v>150</v>
      </c>
      <c r="I3442" t="s">
        <v>37</v>
      </c>
      <c r="J3442" t="s">
        <v>38</v>
      </c>
      <c r="K3442" t="s">
        <v>47</v>
      </c>
      <c r="L3442" t="s">
        <v>48</v>
      </c>
      <c r="M3442" t="s">
        <v>139</v>
      </c>
      <c r="N3442">
        <v>1932</v>
      </c>
      <c r="O3442" s="14">
        <v>5.73910588864237E-2</v>
      </c>
      <c r="P3442" s="14">
        <v>0.206259709550068</v>
      </c>
      <c r="Q3442" t="str">
        <f t="shared" si="106"/>
        <v>15-24</v>
      </c>
      <c r="R3442" t="str">
        <f t="shared" si="107"/>
        <v>[lPTyjLi4w3d]|15-24|Male|Untreated_PLHIV_Attend.T_1|CY2023Q3</v>
      </c>
    </row>
    <row r="3443" spans="4:18" x14ac:dyDescent="0.2">
      <c r="D3443" t="s">
        <v>116</v>
      </c>
      <c r="E3443" t="s">
        <v>117</v>
      </c>
      <c r="F3443" t="s">
        <v>118</v>
      </c>
      <c r="G3443" t="s">
        <v>150</v>
      </c>
      <c r="H3443" t="s">
        <v>150</v>
      </c>
      <c r="I3443" t="s">
        <v>40</v>
      </c>
      <c r="J3443" t="s">
        <v>41</v>
      </c>
      <c r="K3443" t="s">
        <v>47</v>
      </c>
      <c r="L3443" t="s">
        <v>48</v>
      </c>
      <c r="M3443" t="s">
        <v>139</v>
      </c>
      <c r="N3443">
        <v>1431</v>
      </c>
      <c r="O3443" s="14">
        <v>0.71949521801434502</v>
      </c>
      <c r="P3443" s="14">
        <v>0.206259709550068</v>
      </c>
      <c r="Q3443" t="str">
        <f t="shared" si="106"/>
        <v>25-34</v>
      </c>
      <c r="R3443" t="str">
        <f t="shared" si="107"/>
        <v>[lPTyjLi4w3d]|25-34|Male|Untreated_PLHIV_Attend.T_1|CY2023Q3</v>
      </c>
    </row>
    <row r="3444" spans="4:18" x14ac:dyDescent="0.2">
      <c r="D3444" t="s">
        <v>116</v>
      </c>
      <c r="E3444" t="s">
        <v>117</v>
      </c>
      <c r="F3444" t="s">
        <v>118</v>
      </c>
      <c r="G3444" t="s">
        <v>150</v>
      </c>
      <c r="H3444" t="s">
        <v>150</v>
      </c>
      <c r="I3444" t="s">
        <v>42</v>
      </c>
      <c r="J3444" t="s">
        <v>43</v>
      </c>
      <c r="K3444" t="s">
        <v>47</v>
      </c>
      <c r="L3444" t="s">
        <v>48</v>
      </c>
      <c r="M3444" t="s">
        <v>139</v>
      </c>
      <c r="N3444">
        <v>1663</v>
      </c>
      <c r="O3444" s="14">
        <v>0.32554519362747703</v>
      </c>
      <c r="P3444" s="14">
        <v>0.206259709550068</v>
      </c>
      <c r="Q3444" t="str">
        <f t="shared" si="106"/>
        <v>35-49</v>
      </c>
      <c r="R3444" t="str">
        <f t="shared" si="107"/>
        <v>[lPTyjLi4w3d]|35-49|Male|Untreated_PLHIV_Attend.T_1|CY2023Q3</v>
      </c>
    </row>
    <row r="3445" spans="4:18" x14ac:dyDescent="0.2">
      <c r="D3445" t="s">
        <v>116</v>
      </c>
      <c r="E3445" t="s">
        <v>117</v>
      </c>
      <c r="F3445" t="s">
        <v>118</v>
      </c>
      <c r="G3445" t="s">
        <v>150</v>
      </c>
      <c r="H3445" t="s">
        <v>150</v>
      </c>
      <c r="I3445" t="s">
        <v>44</v>
      </c>
      <c r="J3445" t="s">
        <v>45</v>
      </c>
      <c r="K3445" t="s">
        <v>47</v>
      </c>
      <c r="L3445" t="s">
        <v>48</v>
      </c>
      <c r="M3445" t="s">
        <v>139</v>
      </c>
      <c r="N3445">
        <v>1467</v>
      </c>
      <c r="O3445" s="14">
        <v>0.76170533103868399</v>
      </c>
      <c r="P3445" s="14">
        <v>0.206259709550068</v>
      </c>
      <c r="Q3445" t="str">
        <f t="shared" si="106"/>
        <v>50+</v>
      </c>
      <c r="R3445" t="str">
        <f t="shared" si="107"/>
        <v>[lPTyjLi4w3d]|50+|Male|Untreated_PLHIV_Attend.T_1|CY2023Q3</v>
      </c>
    </row>
    <row r="3446" spans="4:18" x14ac:dyDescent="0.2">
      <c r="D3446" t="s">
        <v>119</v>
      </c>
      <c r="E3446" t="s">
        <v>120</v>
      </c>
      <c r="F3446" t="s">
        <v>121</v>
      </c>
      <c r="G3446" t="s">
        <v>150</v>
      </c>
      <c r="H3446" t="s">
        <v>150</v>
      </c>
      <c r="I3446" t="s">
        <v>27</v>
      </c>
      <c r="J3446" t="s">
        <v>28</v>
      </c>
      <c r="K3446" t="s">
        <v>29</v>
      </c>
      <c r="L3446" t="s">
        <v>30</v>
      </c>
      <c r="M3446" t="s">
        <v>139</v>
      </c>
      <c r="N3446">
        <v>1174</v>
      </c>
      <c r="O3446" s="14">
        <v>0.49471422121860098</v>
      </c>
      <c r="P3446" s="14">
        <v>0.43010397930629601</v>
      </c>
      <c r="Q3446" t="str">
        <f t="shared" si="106"/>
        <v>&lt;01</v>
      </c>
      <c r="R3446" t="str">
        <f t="shared" si="107"/>
        <v>[vA4NcHxfMBq]|&lt;01|Female|Untreated_PLHIV_Attend.T_1|CY2023Q3</v>
      </c>
    </row>
    <row r="3447" spans="4:18" x14ac:dyDescent="0.2">
      <c r="D3447" t="s">
        <v>119</v>
      </c>
      <c r="E3447" t="s">
        <v>120</v>
      </c>
      <c r="F3447" t="s">
        <v>121</v>
      </c>
      <c r="G3447" t="s">
        <v>150</v>
      </c>
      <c r="H3447" t="s">
        <v>150</v>
      </c>
      <c r="I3447" t="s">
        <v>32</v>
      </c>
      <c r="J3447" t="s">
        <v>33</v>
      </c>
      <c r="K3447" t="s">
        <v>29</v>
      </c>
      <c r="L3447" t="s">
        <v>30</v>
      </c>
      <c r="M3447" t="s">
        <v>139</v>
      </c>
      <c r="N3447">
        <v>976</v>
      </c>
      <c r="O3447" s="14">
        <v>0.76500749564729598</v>
      </c>
      <c r="P3447" s="14">
        <v>0.43010397930629601</v>
      </c>
      <c r="Q3447" t="str">
        <f t="shared" si="106"/>
        <v>01-09</v>
      </c>
      <c r="R3447" t="str">
        <f t="shared" si="107"/>
        <v>[vA4NcHxfMBq]|01-09|Female|Untreated_PLHIV_Attend.T_1|CY2023Q3</v>
      </c>
    </row>
    <row r="3448" spans="4:18" x14ac:dyDescent="0.2">
      <c r="D3448" t="s">
        <v>119</v>
      </c>
      <c r="E3448" t="s">
        <v>120</v>
      </c>
      <c r="F3448" t="s">
        <v>121</v>
      </c>
      <c r="G3448" t="s">
        <v>150</v>
      </c>
      <c r="H3448" t="s">
        <v>150</v>
      </c>
      <c r="I3448" t="s">
        <v>35</v>
      </c>
      <c r="J3448" t="s">
        <v>36</v>
      </c>
      <c r="K3448" t="s">
        <v>29</v>
      </c>
      <c r="L3448" t="s">
        <v>30</v>
      </c>
      <c r="M3448" t="s">
        <v>139</v>
      </c>
      <c r="N3448">
        <v>1557</v>
      </c>
      <c r="O3448" s="14">
        <v>0.51219938788563002</v>
      </c>
      <c r="P3448" s="14">
        <v>0.43010397930629601</v>
      </c>
      <c r="Q3448" t="str">
        <f t="shared" si="106"/>
        <v>10-14</v>
      </c>
      <c r="R3448" t="str">
        <f t="shared" si="107"/>
        <v>[vA4NcHxfMBq]|10-14|Female|Untreated_PLHIV_Attend.T_1|CY2023Q3</v>
      </c>
    </row>
    <row r="3449" spans="4:18" x14ac:dyDescent="0.2">
      <c r="D3449" t="s">
        <v>119</v>
      </c>
      <c r="E3449" t="s">
        <v>120</v>
      </c>
      <c r="F3449" t="s">
        <v>121</v>
      </c>
      <c r="G3449" t="s">
        <v>150</v>
      </c>
      <c r="H3449" t="s">
        <v>150</v>
      </c>
      <c r="I3449" t="s">
        <v>37</v>
      </c>
      <c r="J3449" t="s">
        <v>38</v>
      </c>
      <c r="K3449" t="s">
        <v>29</v>
      </c>
      <c r="L3449" t="s">
        <v>30</v>
      </c>
      <c r="M3449" t="s">
        <v>139</v>
      </c>
      <c r="N3449">
        <v>919</v>
      </c>
      <c r="O3449" s="14">
        <v>0.174198960419744</v>
      </c>
      <c r="P3449" s="14">
        <v>0.43010397930629601</v>
      </c>
      <c r="Q3449" t="str">
        <f t="shared" si="106"/>
        <v>15-24</v>
      </c>
      <c r="R3449" t="str">
        <f t="shared" si="107"/>
        <v>[vA4NcHxfMBq]|15-24|Female|Untreated_PLHIV_Attend.T_1|CY2023Q3</v>
      </c>
    </row>
    <row r="3450" spans="4:18" x14ac:dyDescent="0.2">
      <c r="D3450" t="s">
        <v>119</v>
      </c>
      <c r="E3450" t="s">
        <v>120</v>
      </c>
      <c r="F3450" t="s">
        <v>121</v>
      </c>
      <c r="G3450" t="s">
        <v>150</v>
      </c>
      <c r="H3450" t="s">
        <v>150</v>
      </c>
      <c r="I3450" t="s">
        <v>40</v>
      </c>
      <c r="J3450" t="s">
        <v>41</v>
      </c>
      <c r="K3450" t="s">
        <v>29</v>
      </c>
      <c r="L3450" t="s">
        <v>30</v>
      </c>
      <c r="M3450" t="s">
        <v>139</v>
      </c>
      <c r="N3450">
        <v>1446</v>
      </c>
      <c r="O3450" s="14">
        <v>0.29724627686664501</v>
      </c>
      <c r="P3450" s="14">
        <v>0.43010397930629601</v>
      </c>
      <c r="Q3450" t="str">
        <f t="shared" si="106"/>
        <v>25-34</v>
      </c>
      <c r="R3450" t="str">
        <f t="shared" si="107"/>
        <v>[vA4NcHxfMBq]|25-34|Female|Untreated_PLHIV_Attend.T_1|CY2023Q3</v>
      </c>
    </row>
    <row r="3451" spans="4:18" x14ac:dyDescent="0.2">
      <c r="D3451" t="s">
        <v>119</v>
      </c>
      <c r="E3451" t="s">
        <v>120</v>
      </c>
      <c r="F3451" t="s">
        <v>121</v>
      </c>
      <c r="G3451" t="s">
        <v>150</v>
      </c>
      <c r="H3451" t="s">
        <v>150</v>
      </c>
      <c r="I3451" t="s">
        <v>42</v>
      </c>
      <c r="J3451" t="s">
        <v>43</v>
      </c>
      <c r="K3451" t="s">
        <v>29</v>
      </c>
      <c r="L3451" t="s">
        <v>30</v>
      </c>
      <c r="M3451" t="s">
        <v>139</v>
      </c>
      <c r="N3451">
        <v>1754</v>
      </c>
      <c r="O3451" s="14">
        <v>0.47017365414649198</v>
      </c>
      <c r="P3451" s="14">
        <v>0.43010397930629601</v>
      </c>
      <c r="Q3451" t="str">
        <f t="shared" si="106"/>
        <v>35-49</v>
      </c>
      <c r="R3451" t="str">
        <f t="shared" si="107"/>
        <v>[vA4NcHxfMBq]|35-49|Female|Untreated_PLHIV_Attend.T_1|CY2023Q3</v>
      </c>
    </row>
    <row r="3452" spans="4:18" x14ac:dyDescent="0.2">
      <c r="D3452" t="s">
        <v>119</v>
      </c>
      <c r="E3452" t="s">
        <v>120</v>
      </c>
      <c r="F3452" t="s">
        <v>121</v>
      </c>
      <c r="G3452" t="s">
        <v>150</v>
      </c>
      <c r="H3452" t="s">
        <v>150</v>
      </c>
      <c r="I3452" t="s">
        <v>44</v>
      </c>
      <c r="J3452" t="s">
        <v>45</v>
      </c>
      <c r="K3452" t="s">
        <v>29</v>
      </c>
      <c r="L3452" t="s">
        <v>30</v>
      </c>
      <c r="M3452" t="s">
        <v>139</v>
      </c>
      <c r="N3452">
        <v>1661</v>
      </c>
      <c r="O3452" s="14">
        <v>0.80983467656187702</v>
      </c>
      <c r="P3452" s="14">
        <v>0.43010397930629601</v>
      </c>
      <c r="Q3452" t="str">
        <f t="shared" si="106"/>
        <v>50+</v>
      </c>
      <c r="R3452" t="str">
        <f t="shared" si="107"/>
        <v>[vA4NcHxfMBq]|50+|Female|Untreated_PLHIV_Attend.T_1|CY2023Q3</v>
      </c>
    </row>
    <row r="3453" spans="4:18" x14ac:dyDescent="0.2">
      <c r="D3453" t="s">
        <v>119</v>
      </c>
      <c r="E3453" t="s">
        <v>120</v>
      </c>
      <c r="F3453" t="s">
        <v>121</v>
      </c>
      <c r="G3453" t="s">
        <v>150</v>
      </c>
      <c r="H3453" t="s">
        <v>150</v>
      </c>
      <c r="I3453" t="s">
        <v>27</v>
      </c>
      <c r="J3453" t="s">
        <v>28</v>
      </c>
      <c r="K3453" t="s">
        <v>47</v>
      </c>
      <c r="L3453" t="s">
        <v>48</v>
      </c>
      <c r="M3453" t="s">
        <v>139</v>
      </c>
      <c r="N3453">
        <v>1138</v>
      </c>
      <c r="O3453" s="14">
        <v>0.92077404516749095</v>
      </c>
      <c r="P3453" s="14">
        <v>0.43010397930629601</v>
      </c>
      <c r="Q3453" t="str">
        <f t="shared" si="106"/>
        <v>&lt;01</v>
      </c>
      <c r="R3453" t="str">
        <f t="shared" si="107"/>
        <v>[vA4NcHxfMBq]|&lt;01|Male|Untreated_PLHIV_Attend.T_1|CY2023Q3</v>
      </c>
    </row>
    <row r="3454" spans="4:18" x14ac:dyDescent="0.2">
      <c r="D3454" t="s">
        <v>119</v>
      </c>
      <c r="E3454" t="s">
        <v>120</v>
      </c>
      <c r="F3454" t="s">
        <v>121</v>
      </c>
      <c r="G3454" t="s">
        <v>150</v>
      </c>
      <c r="H3454" t="s">
        <v>150</v>
      </c>
      <c r="I3454" t="s">
        <v>32</v>
      </c>
      <c r="J3454" t="s">
        <v>33</v>
      </c>
      <c r="K3454" t="s">
        <v>47</v>
      </c>
      <c r="L3454" t="s">
        <v>48</v>
      </c>
      <c r="M3454" t="s">
        <v>139</v>
      </c>
      <c r="N3454">
        <v>1443</v>
      </c>
      <c r="O3454" s="14">
        <v>0.75449569709598996</v>
      </c>
      <c r="P3454" s="14">
        <v>0.43010397930629601</v>
      </c>
      <c r="Q3454" t="str">
        <f t="shared" si="106"/>
        <v>01-09</v>
      </c>
      <c r="R3454" t="str">
        <f t="shared" si="107"/>
        <v>[vA4NcHxfMBq]|01-09|Male|Untreated_PLHIV_Attend.T_1|CY2023Q3</v>
      </c>
    </row>
    <row r="3455" spans="4:18" x14ac:dyDescent="0.2">
      <c r="D3455" t="s">
        <v>119</v>
      </c>
      <c r="E3455" t="s">
        <v>120</v>
      </c>
      <c r="F3455" t="s">
        <v>121</v>
      </c>
      <c r="G3455" t="s">
        <v>150</v>
      </c>
      <c r="H3455" t="s">
        <v>150</v>
      </c>
      <c r="I3455" t="s">
        <v>35</v>
      </c>
      <c r="J3455" t="s">
        <v>36</v>
      </c>
      <c r="K3455" t="s">
        <v>47</v>
      </c>
      <c r="L3455" t="s">
        <v>48</v>
      </c>
      <c r="M3455" t="s">
        <v>139</v>
      </c>
      <c r="N3455">
        <v>1345</v>
      </c>
      <c r="O3455" s="14">
        <v>0.98237532377242998</v>
      </c>
      <c r="P3455" s="14">
        <v>0.43010397930629601</v>
      </c>
      <c r="Q3455" t="str">
        <f t="shared" si="106"/>
        <v>10-14</v>
      </c>
      <c r="R3455" t="str">
        <f t="shared" si="107"/>
        <v>[vA4NcHxfMBq]|10-14|Male|Untreated_PLHIV_Attend.T_1|CY2023Q3</v>
      </c>
    </row>
    <row r="3456" spans="4:18" x14ac:dyDescent="0.2">
      <c r="D3456" t="s">
        <v>119</v>
      </c>
      <c r="E3456" t="s">
        <v>120</v>
      </c>
      <c r="F3456" t="s">
        <v>121</v>
      </c>
      <c r="G3456" t="s">
        <v>150</v>
      </c>
      <c r="H3456" t="s">
        <v>150</v>
      </c>
      <c r="I3456" t="s">
        <v>37</v>
      </c>
      <c r="J3456" t="s">
        <v>38</v>
      </c>
      <c r="K3456" t="s">
        <v>47</v>
      </c>
      <c r="L3456" t="s">
        <v>48</v>
      </c>
      <c r="M3456" t="s">
        <v>139</v>
      </c>
      <c r="N3456">
        <v>972</v>
      </c>
      <c r="O3456" s="14">
        <v>0.87580076674930796</v>
      </c>
      <c r="P3456" s="14">
        <v>0.43010397930629601</v>
      </c>
      <c r="Q3456" t="str">
        <f t="shared" si="106"/>
        <v>15-24</v>
      </c>
      <c r="R3456" t="str">
        <f t="shared" si="107"/>
        <v>[vA4NcHxfMBq]|15-24|Male|Untreated_PLHIV_Attend.T_1|CY2023Q3</v>
      </c>
    </row>
    <row r="3457" spans="4:18" x14ac:dyDescent="0.2">
      <c r="D3457" t="s">
        <v>119</v>
      </c>
      <c r="E3457" t="s">
        <v>120</v>
      </c>
      <c r="F3457" t="s">
        <v>121</v>
      </c>
      <c r="G3457" t="s">
        <v>150</v>
      </c>
      <c r="H3457" t="s">
        <v>150</v>
      </c>
      <c r="I3457" t="s">
        <v>40</v>
      </c>
      <c r="J3457" t="s">
        <v>41</v>
      </c>
      <c r="K3457" t="s">
        <v>47</v>
      </c>
      <c r="L3457" t="s">
        <v>48</v>
      </c>
      <c r="M3457" t="s">
        <v>139</v>
      </c>
      <c r="N3457">
        <v>812</v>
      </c>
      <c r="O3457" s="14">
        <v>0.72794766980223402</v>
      </c>
      <c r="P3457" s="14">
        <v>0.43010397930629601</v>
      </c>
      <c r="Q3457" t="str">
        <f t="shared" si="106"/>
        <v>25-34</v>
      </c>
      <c r="R3457" t="str">
        <f t="shared" si="107"/>
        <v>[vA4NcHxfMBq]|25-34|Male|Untreated_PLHIV_Attend.T_1|CY2023Q3</v>
      </c>
    </row>
    <row r="3458" spans="4:18" x14ac:dyDescent="0.2">
      <c r="D3458" t="s">
        <v>119</v>
      </c>
      <c r="E3458" t="s">
        <v>120</v>
      </c>
      <c r="F3458" t="s">
        <v>121</v>
      </c>
      <c r="G3458" t="s">
        <v>150</v>
      </c>
      <c r="H3458" t="s">
        <v>150</v>
      </c>
      <c r="I3458" t="s">
        <v>42</v>
      </c>
      <c r="J3458" t="s">
        <v>43</v>
      </c>
      <c r="K3458" t="s">
        <v>47</v>
      </c>
      <c r="L3458" t="s">
        <v>48</v>
      </c>
      <c r="M3458" t="s">
        <v>139</v>
      </c>
      <c r="N3458">
        <v>1300</v>
      </c>
      <c r="O3458" s="14">
        <v>0.31888199620880198</v>
      </c>
      <c r="P3458" s="14">
        <v>0.43010397930629601</v>
      </c>
      <c r="Q3458" t="str">
        <f t="shared" ref="Q3458:Q3521" si="108">SUBSTITUTE(SUBSTITUTE($I3458,CHAR(61),""),CHAR(34),"")</f>
        <v>35-49</v>
      </c>
      <c r="R3458" t="str">
        <f t="shared" ref="R3458:R3521" si="109">IF($D3458&lt;&gt;"","["&amp;$E3458&amp;"]"&amp;"|"&amp;$Q3458&amp;"|"&amp;$K3458&amp;"|"&amp;$G3458&amp;"|"&amp;IF($G3458="TX_CURR_SUBNAT.R","CY2022Q4",$M3458),"")</f>
        <v>[vA4NcHxfMBq]|35-49|Male|Untreated_PLHIV_Attend.T_1|CY2023Q3</v>
      </c>
    </row>
    <row r="3459" spans="4:18" x14ac:dyDescent="0.2">
      <c r="D3459" t="s">
        <v>119</v>
      </c>
      <c r="E3459" t="s">
        <v>120</v>
      </c>
      <c r="F3459" t="s">
        <v>121</v>
      </c>
      <c r="G3459" t="s">
        <v>150</v>
      </c>
      <c r="H3459" t="s">
        <v>150</v>
      </c>
      <c r="I3459" t="s">
        <v>44</v>
      </c>
      <c r="J3459" t="s">
        <v>45</v>
      </c>
      <c r="K3459" t="s">
        <v>47</v>
      </c>
      <c r="L3459" t="s">
        <v>48</v>
      </c>
      <c r="M3459" t="s">
        <v>139</v>
      </c>
      <c r="N3459">
        <v>902</v>
      </c>
      <c r="O3459" s="14">
        <v>0.91136867925524701</v>
      </c>
      <c r="P3459" s="14">
        <v>0.43010397930629601</v>
      </c>
      <c r="Q3459" t="str">
        <f t="shared" si="108"/>
        <v>50+</v>
      </c>
      <c r="R3459" t="str">
        <f t="shared" si="109"/>
        <v>[vA4NcHxfMBq]|50+|Male|Untreated_PLHIV_Attend.T_1|CY2023Q3</v>
      </c>
    </row>
    <row r="3460" spans="4:18" x14ac:dyDescent="0.2">
      <c r="D3460" t="s">
        <v>122</v>
      </c>
      <c r="E3460" t="s">
        <v>123</v>
      </c>
      <c r="F3460" t="s">
        <v>124</v>
      </c>
      <c r="G3460" t="s">
        <v>150</v>
      </c>
      <c r="H3460" t="s">
        <v>150</v>
      </c>
      <c r="I3460" t="s">
        <v>27</v>
      </c>
      <c r="J3460" t="s">
        <v>28</v>
      </c>
      <c r="K3460" t="s">
        <v>29</v>
      </c>
      <c r="L3460" t="s">
        <v>30</v>
      </c>
      <c r="M3460" t="s">
        <v>139</v>
      </c>
      <c r="N3460">
        <v>1668</v>
      </c>
      <c r="O3460" s="14">
        <v>0.94888695585541405</v>
      </c>
      <c r="P3460" s="14">
        <v>0.41950060334056599</v>
      </c>
      <c r="Q3460" t="str">
        <f t="shared" si="108"/>
        <v>&lt;01</v>
      </c>
      <c r="R3460" t="str">
        <f t="shared" si="109"/>
        <v>[E7zpfyBt7Tw]|&lt;01|Female|Untreated_PLHIV_Attend.T_1|CY2023Q3</v>
      </c>
    </row>
    <row r="3461" spans="4:18" x14ac:dyDescent="0.2">
      <c r="D3461" t="s">
        <v>122</v>
      </c>
      <c r="E3461" t="s">
        <v>123</v>
      </c>
      <c r="F3461" t="s">
        <v>124</v>
      </c>
      <c r="G3461" t="s">
        <v>150</v>
      </c>
      <c r="H3461" t="s">
        <v>150</v>
      </c>
      <c r="I3461" t="s">
        <v>32</v>
      </c>
      <c r="J3461" t="s">
        <v>33</v>
      </c>
      <c r="K3461" t="s">
        <v>29</v>
      </c>
      <c r="L3461" t="s">
        <v>30</v>
      </c>
      <c r="M3461" t="s">
        <v>139</v>
      </c>
      <c r="N3461">
        <v>503</v>
      </c>
      <c r="O3461" s="14">
        <v>0.97796832257881805</v>
      </c>
      <c r="P3461" s="14">
        <v>0.41950060334056599</v>
      </c>
      <c r="Q3461" t="str">
        <f t="shared" si="108"/>
        <v>01-09</v>
      </c>
      <c r="R3461" t="str">
        <f t="shared" si="109"/>
        <v>[E7zpfyBt7Tw]|01-09|Female|Untreated_PLHIV_Attend.T_1|CY2023Q3</v>
      </c>
    </row>
    <row r="3462" spans="4:18" x14ac:dyDescent="0.2">
      <c r="D3462" t="s">
        <v>122</v>
      </c>
      <c r="E3462" t="s">
        <v>123</v>
      </c>
      <c r="F3462" t="s">
        <v>124</v>
      </c>
      <c r="G3462" t="s">
        <v>150</v>
      </c>
      <c r="H3462" t="s">
        <v>150</v>
      </c>
      <c r="I3462" t="s">
        <v>35</v>
      </c>
      <c r="J3462" t="s">
        <v>36</v>
      </c>
      <c r="K3462" t="s">
        <v>29</v>
      </c>
      <c r="L3462" t="s">
        <v>30</v>
      </c>
      <c r="M3462" t="s">
        <v>139</v>
      </c>
      <c r="N3462">
        <v>979</v>
      </c>
      <c r="O3462" s="14">
        <v>0.49533734517172001</v>
      </c>
      <c r="P3462" s="14">
        <v>0.41950060334056599</v>
      </c>
      <c r="Q3462" t="str">
        <f t="shared" si="108"/>
        <v>10-14</v>
      </c>
      <c r="R3462" t="str">
        <f t="shared" si="109"/>
        <v>[E7zpfyBt7Tw]|10-14|Female|Untreated_PLHIV_Attend.T_1|CY2023Q3</v>
      </c>
    </row>
    <row r="3463" spans="4:18" x14ac:dyDescent="0.2">
      <c r="D3463" t="s">
        <v>122</v>
      </c>
      <c r="E3463" t="s">
        <v>123</v>
      </c>
      <c r="F3463" t="s">
        <v>124</v>
      </c>
      <c r="G3463" t="s">
        <v>150</v>
      </c>
      <c r="H3463" t="s">
        <v>150</v>
      </c>
      <c r="I3463" t="s">
        <v>37</v>
      </c>
      <c r="J3463" t="s">
        <v>38</v>
      </c>
      <c r="K3463" t="s">
        <v>29</v>
      </c>
      <c r="L3463" t="s">
        <v>30</v>
      </c>
      <c r="M3463" t="s">
        <v>139</v>
      </c>
      <c r="N3463">
        <v>521</v>
      </c>
      <c r="O3463" s="14">
        <v>0.864530893508345</v>
      </c>
      <c r="P3463" s="14">
        <v>0.41950060334056599</v>
      </c>
      <c r="Q3463" t="str">
        <f t="shared" si="108"/>
        <v>15-24</v>
      </c>
      <c r="R3463" t="str">
        <f t="shared" si="109"/>
        <v>[E7zpfyBt7Tw]|15-24|Female|Untreated_PLHIV_Attend.T_1|CY2023Q3</v>
      </c>
    </row>
    <row r="3464" spans="4:18" x14ac:dyDescent="0.2">
      <c r="D3464" t="s">
        <v>122</v>
      </c>
      <c r="E3464" t="s">
        <v>123</v>
      </c>
      <c r="F3464" t="s">
        <v>124</v>
      </c>
      <c r="G3464" t="s">
        <v>150</v>
      </c>
      <c r="H3464" t="s">
        <v>150</v>
      </c>
      <c r="I3464" t="s">
        <v>40</v>
      </c>
      <c r="J3464" t="s">
        <v>41</v>
      </c>
      <c r="K3464" t="s">
        <v>29</v>
      </c>
      <c r="L3464" t="s">
        <v>30</v>
      </c>
      <c r="M3464" t="s">
        <v>139</v>
      </c>
      <c r="N3464">
        <v>1477</v>
      </c>
      <c r="O3464" s="14">
        <v>0.35007190029136798</v>
      </c>
      <c r="P3464" s="14">
        <v>0.41950060334056599</v>
      </c>
      <c r="Q3464" t="str">
        <f t="shared" si="108"/>
        <v>25-34</v>
      </c>
      <c r="R3464" t="str">
        <f t="shared" si="109"/>
        <v>[E7zpfyBt7Tw]|25-34|Female|Untreated_PLHIV_Attend.T_1|CY2023Q3</v>
      </c>
    </row>
    <row r="3465" spans="4:18" x14ac:dyDescent="0.2">
      <c r="D3465" t="s">
        <v>122</v>
      </c>
      <c r="E3465" t="s">
        <v>123</v>
      </c>
      <c r="F3465" t="s">
        <v>124</v>
      </c>
      <c r="G3465" t="s">
        <v>150</v>
      </c>
      <c r="H3465" t="s">
        <v>150</v>
      </c>
      <c r="I3465" t="s">
        <v>42</v>
      </c>
      <c r="J3465" t="s">
        <v>43</v>
      </c>
      <c r="K3465" t="s">
        <v>29</v>
      </c>
      <c r="L3465" t="s">
        <v>30</v>
      </c>
      <c r="M3465" t="s">
        <v>139</v>
      </c>
      <c r="N3465">
        <v>984</v>
      </c>
      <c r="O3465" s="14">
        <v>0.28506012726575097</v>
      </c>
      <c r="P3465" s="14">
        <v>0.41950060334056599</v>
      </c>
      <c r="Q3465" t="str">
        <f t="shared" si="108"/>
        <v>35-49</v>
      </c>
      <c r="R3465" t="str">
        <f t="shared" si="109"/>
        <v>[E7zpfyBt7Tw]|35-49|Female|Untreated_PLHIV_Attend.T_1|CY2023Q3</v>
      </c>
    </row>
    <row r="3466" spans="4:18" x14ac:dyDescent="0.2">
      <c r="D3466" t="s">
        <v>122</v>
      </c>
      <c r="E3466" t="s">
        <v>123</v>
      </c>
      <c r="F3466" t="s">
        <v>124</v>
      </c>
      <c r="G3466" t="s">
        <v>150</v>
      </c>
      <c r="H3466" t="s">
        <v>150</v>
      </c>
      <c r="I3466" t="s">
        <v>44</v>
      </c>
      <c r="J3466" t="s">
        <v>45</v>
      </c>
      <c r="K3466" t="s">
        <v>29</v>
      </c>
      <c r="L3466" t="s">
        <v>30</v>
      </c>
      <c r="M3466" t="s">
        <v>139</v>
      </c>
      <c r="N3466">
        <v>1067</v>
      </c>
      <c r="O3466" s="14">
        <v>0.89887271495536003</v>
      </c>
      <c r="P3466" s="14">
        <v>0.41950060334056599</v>
      </c>
      <c r="Q3466" t="str">
        <f t="shared" si="108"/>
        <v>50+</v>
      </c>
      <c r="R3466" t="str">
        <f t="shared" si="109"/>
        <v>[E7zpfyBt7Tw]|50+|Female|Untreated_PLHIV_Attend.T_1|CY2023Q3</v>
      </c>
    </row>
    <row r="3467" spans="4:18" x14ac:dyDescent="0.2">
      <c r="D3467" t="s">
        <v>122</v>
      </c>
      <c r="E3467" t="s">
        <v>123</v>
      </c>
      <c r="F3467" t="s">
        <v>124</v>
      </c>
      <c r="G3467" t="s">
        <v>150</v>
      </c>
      <c r="H3467" t="s">
        <v>150</v>
      </c>
      <c r="I3467" t="s">
        <v>27</v>
      </c>
      <c r="J3467" t="s">
        <v>28</v>
      </c>
      <c r="K3467" t="s">
        <v>47</v>
      </c>
      <c r="L3467" t="s">
        <v>48</v>
      </c>
      <c r="M3467" t="s">
        <v>139</v>
      </c>
      <c r="N3467">
        <v>1002</v>
      </c>
      <c r="O3467" s="14">
        <v>0.51755065750330698</v>
      </c>
      <c r="P3467" s="14">
        <v>0.41950060334056599</v>
      </c>
      <c r="Q3467" t="str">
        <f t="shared" si="108"/>
        <v>&lt;01</v>
      </c>
      <c r="R3467" t="str">
        <f t="shared" si="109"/>
        <v>[E7zpfyBt7Tw]|&lt;01|Male|Untreated_PLHIV_Attend.T_1|CY2023Q3</v>
      </c>
    </row>
    <row r="3468" spans="4:18" x14ac:dyDescent="0.2">
      <c r="D3468" t="s">
        <v>122</v>
      </c>
      <c r="E3468" t="s">
        <v>123</v>
      </c>
      <c r="F3468" t="s">
        <v>124</v>
      </c>
      <c r="G3468" t="s">
        <v>150</v>
      </c>
      <c r="H3468" t="s">
        <v>150</v>
      </c>
      <c r="I3468" t="s">
        <v>32</v>
      </c>
      <c r="J3468" t="s">
        <v>33</v>
      </c>
      <c r="K3468" t="s">
        <v>47</v>
      </c>
      <c r="L3468" t="s">
        <v>48</v>
      </c>
      <c r="M3468" t="s">
        <v>139</v>
      </c>
      <c r="N3468">
        <v>1382</v>
      </c>
      <c r="O3468" s="14">
        <v>0.71591204521246299</v>
      </c>
      <c r="P3468" s="14">
        <v>0.41950060334056599</v>
      </c>
      <c r="Q3468" t="str">
        <f t="shared" si="108"/>
        <v>01-09</v>
      </c>
      <c r="R3468" t="str">
        <f t="shared" si="109"/>
        <v>[E7zpfyBt7Tw]|01-09|Male|Untreated_PLHIV_Attend.T_1|CY2023Q3</v>
      </c>
    </row>
    <row r="3469" spans="4:18" x14ac:dyDescent="0.2">
      <c r="D3469" t="s">
        <v>122</v>
      </c>
      <c r="E3469" t="s">
        <v>123</v>
      </c>
      <c r="F3469" t="s">
        <v>124</v>
      </c>
      <c r="G3469" t="s">
        <v>150</v>
      </c>
      <c r="H3469" t="s">
        <v>150</v>
      </c>
      <c r="I3469" t="s">
        <v>35</v>
      </c>
      <c r="J3469" t="s">
        <v>36</v>
      </c>
      <c r="K3469" t="s">
        <v>47</v>
      </c>
      <c r="L3469" t="s">
        <v>48</v>
      </c>
      <c r="M3469" t="s">
        <v>139</v>
      </c>
      <c r="N3469">
        <v>982</v>
      </c>
      <c r="O3469" s="14">
        <v>4.4981706887483597E-2</v>
      </c>
      <c r="P3469" s="14">
        <v>0.41950060334056599</v>
      </c>
      <c r="Q3469" t="str">
        <f t="shared" si="108"/>
        <v>10-14</v>
      </c>
      <c r="R3469" t="str">
        <f t="shared" si="109"/>
        <v>[E7zpfyBt7Tw]|10-14|Male|Untreated_PLHIV_Attend.T_1|CY2023Q3</v>
      </c>
    </row>
    <row r="3470" spans="4:18" x14ac:dyDescent="0.2">
      <c r="D3470" t="s">
        <v>122</v>
      </c>
      <c r="E3470" t="s">
        <v>123</v>
      </c>
      <c r="F3470" t="s">
        <v>124</v>
      </c>
      <c r="G3470" t="s">
        <v>150</v>
      </c>
      <c r="H3470" t="s">
        <v>150</v>
      </c>
      <c r="I3470" t="s">
        <v>37</v>
      </c>
      <c r="J3470" t="s">
        <v>38</v>
      </c>
      <c r="K3470" t="s">
        <v>47</v>
      </c>
      <c r="L3470" t="s">
        <v>48</v>
      </c>
      <c r="M3470" t="s">
        <v>139</v>
      </c>
      <c r="N3470">
        <v>1932</v>
      </c>
      <c r="O3470" s="14">
        <v>0.15630490379407999</v>
      </c>
      <c r="P3470" s="14">
        <v>0.41950060334056599</v>
      </c>
      <c r="Q3470" t="str">
        <f t="shared" si="108"/>
        <v>15-24</v>
      </c>
      <c r="R3470" t="str">
        <f t="shared" si="109"/>
        <v>[E7zpfyBt7Tw]|15-24|Male|Untreated_PLHIV_Attend.T_1|CY2023Q3</v>
      </c>
    </row>
    <row r="3471" spans="4:18" x14ac:dyDescent="0.2">
      <c r="D3471" t="s">
        <v>122</v>
      </c>
      <c r="E3471" t="s">
        <v>123</v>
      </c>
      <c r="F3471" t="s">
        <v>124</v>
      </c>
      <c r="G3471" t="s">
        <v>150</v>
      </c>
      <c r="H3471" t="s">
        <v>150</v>
      </c>
      <c r="I3471" t="s">
        <v>40</v>
      </c>
      <c r="J3471" t="s">
        <v>41</v>
      </c>
      <c r="K3471" t="s">
        <v>47</v>
      </c>
      <c r="L3471" t="s">
        <v>48</v>
      </c>
      <c r="M3471" t="s">
        <v>139</v>
      </c>
      <c r="N3471">
        <v>1918</v>
      </c>
      <c r="O3471" s="14">
        <v>5.5961234029382502E-2</v>
      </c>
      <c r="P3471" s="14">
        <v>0.41950060334056599</v>
      </c>
      <c r="Q3471" t="str">
        <f t="shared" si="108"/>
        <v>25-34</v>
      </c>
      <c r="R3471" t="str">
        <f t="shared" si="109"/>
        <v>[E7zpfyBt7Tw]|25-34|Male|Untreated_PLHIV_Attend.T_1|CY2023Q3</v>
      </c>
    </row>
    <row r="3472" spans="4:18" x14ac:dyDescent="0.2">
      <c r="D3472" t="s">
        <v>122</v>
      </c>
      <c r="E3472" t="s">
        <v>123</v>
      </c>
      <c r="F3472" t="s">
        <v>124</v>
      </c>
      <c r="G3472" t="s">
        <v>150</v>
      </c>
      <c r="H3472" t="s">
        <v>150</v>
      </c>
      <c r="I3472" t="s">
        <v>42</v>
      </c>
      <c r="J3472" t="s">
        <v>43</v>
      </c>
      <c r="K3472" t="s">
        <v>47</v>
      </c>
      <c r="L3472" t="s">
        <v>48</v>
      </c>
      <c r="M3472" t="s">
        <v>139</v>
      </c>
      <c r="N3472">
        <v>1551</v>
      </c>
      <c r="O3472" s="14">
        <v>0.97235988709144305</v>
      </c>
      <c r="P3472" s="14">
        <v>0.41950060334056599</v>
      </c>
      <c r="Q3472" t="str">
        <f t="shared" si="108"/>
        <v>35-49</v>
      </c>
      <c r="R3472" t="str">
        <f t="shared" si="109"/>
        <v>[E7zpfyBt7Tw]|35-49|Male|Untreated_PLHIV_Attend.T_1|CY2023Q3</v>
      </c>
    </row>
    <row r="3473" spans="4:18" x14ac:dyDescent="0.2">
      <c r="D3473" t="s">
        <v>122</v>
      </c>
      <c r="E3473" t="s">
        <v>123</v>
      </c>
      <c r="F3473" t="s">
        <v>124</v>
      </c>
      <c r="G3473" t="s">
        <v>150</v>
      </c>
      <c r="H3473" t="s">
        <v>150</v>
      </c>
      <c r="I3473" t="s">
        <v>44</v>
      </c>
      <c r="J3473" t="s">
        <v>45</v>
      </c>
      <c r="K3473" t="s">
        <v>47</v>
      </c>
      <c r="L3473" t="s">
        <v>48</v>
      </c>
      <c r="M3473" t="s">
        <v>139</v>
      </c>
      <c r="N3473">
        <v>1143</v>
      </c>
      <c r="O3473" s="14">
        <v>0.86075771180912897</v>
      </c>
      <c r="P3473" s="14">
        <v>0.41950060334056599</v>
      </c>
      <c r="Q3473" t="str">
        <f t="shared" si="108"/>
        <v>50+</v>
      </c>
      <c r="R3473" t="str">
        <f t="shared" si="109"/>
        <v>[E7zpfyBt7Tw]|50+|Male|Untreated_PLHIV_Attend.T_1|CY2023Q3</v>
      </c>
    </row>
    <row r="3474" spans="4:18" x14ac:dyDescent="0.2">
      <c r="D3474" t="s">
        <v>125</v>
      </c>
      <c r="E3474" t="s">
        <v>126</v>
      </c>
      <c r="F3474" t="s">
        <v>127</v>
      </c>
      <c r="G3474" t="s">
        <v>150</v>
      </c>
      <c r="H3474" t="s">
        <v>150</v>
      </c>
      <c r="I3474" t="s">
        <v>27</v>
      </c>
      <c r="J3474" t="s">
        <v>28</v>
      </c>
      <c r="K3474" t="s">
        <v>29</v>
      </c>
      <c r="L3474" t="s">
        <v>30</v>
      </c>
      <c r="M3474" t="s">
        <v>139</v>
      </c>
      <c r="N3474">
        <v>607</v>
      </c>
      <c r="O3474" s="14">
        <v>0.97463293699547604</v>
      </c>
      <c r="P3474" s="14">
        <v>0.25270639033988102</v>
      </c>
      <c r="Q3474" t="str">
        <f t="shared" si="108"/>
        <v>&lt;01</v>
      </c>
      <c r="R3474" t="str">
        <f t="shared" si="109"/>
        <v>[ZCjuwgaMB9u]|&lt;01|Female|Untreated_PLHIV_Attend.T_1|CY2023Q3</v>
      </c>
    </row>
    <row r="3475" spans="4:18" x14ac:dyDescent="0.2">
      <c r="D3475" t="s">
        <v>125</v>
      </c>
      <c r="E3475" t="s">
        <v>126</v>
      </c>
      <c r="F3475" t="s">
        <v>127</v>
      </c>
      <c r="G3475" t="s">
        <v>150</v>
      </c>
      <c r="H3475" t="s">
        <v>150</v>
      </c>
      <c r="I3475" t="s">
        <v>32</v>
      </c>
      <c r="J3475" t="s">
        <v>33</v>
      </c>
      <c r="K3475" t="s">
        <v>29</v>
      </c>
      <c r="L3475" t="s">
        <v>30</v>
      </c>
      <c r="M3475" t="s">
        <v>139</v>
      </c>
      <c r="N3475">
        <v>983</v>
      </c>
      <c r="O3475" s="14">
        <v>0.26212773798033601</v>
      </c>
      <c r="P3475" s="14">
        <v>0.25270639033988102</v>
      </c>
      <c r="Q3475" t="str">
        <f t="shared" si="108"/>
        <v>01-09</v>
      </c>
      <c r="R3475" t="str">
        <f t="shared" si="109"/>
        <v>[ZCjuwgaMB9u]|01-09|Female|Untreated_PLHIV_Attend.T_1|CY2023Q3</v>
      </c>
    </row>
    <row r="3476" spans="4:18" x14ac:dyDescent="0.2">
      <c r="D3476" t="s">
        <v>125</v>
      </c>
      <c r="E3476" t="s">
        <v>126</v>
      </c>
      <c r="F3476" t="s">
        <v>127</v>
      </c>
      <c r="G3476" t="s">
        <v>150</v>
      </c>
      <c r="H3476" t="s">
        <v>150</v>
      </c>
      <c r="I3476" t="s">
        <v>35</v>
      </c>
      <c r="J3476" t="s">
        <v>36</v>
      </c>
      <c r="K3476" t="s">
        <v>29</v>
      </c>
      <c r="L3476" t="s">
        <v>30</v>
      </c>
      <c r="M3476" t="s">
        <v>139</v>
      </c>
      <c r="N3476">
        <v>1829</v>
      </c>
      <c r="O3476" s="14">
        <v>0.76755358837544896</v>
      </c>
      <c r="P3476" s="14">
        <v>0.25270639033988102</v>
      </c>
      <c r="Q3476" t="str">
        <f t="shared" si="108"/>
        <v>10-14</v>
      </c>
      <c r="R3476" t="str">
        <f t="shared" si="109"/>
        <v>[ZCjuwgaMB9u]|10-14|Female|Untreated_PLHIV_Attend.T_1|CY2023Q3</v>
      </c>
    </row>
    <row r="3477" spans="4:18" x14ac:dyDescent="0.2">
      <c r="D3477" t="s">
        <v>125</v>
      </c>
      <c r="E3477" t="s">
        <v>126</v>
      </c>
      <c r="F3477" t="s">
        <v>127</v>
      </c>
      <c r="G3477" t="s">
        <v>150</v>
      </c>
      <c r="H3477" t="s">
        <v>150</v>
      </c>
      <c r="I3477" t="s">
        <v>37</v>
      </c>
      <c r="J3477" t="s">
        <v>38</v>
      </c>
      <c r="K3477" t="s">
        <v>29</v>
      </c>
      <c r="L3477" t="s">
        <v>30</v>
      </c>
      <c r="M3477" t="s">
        <v>139</v>
      </c>
      <c r="N3477">
        <v>1023</v>
      </c>
      <c r="O3477" s="14">
        <v>0.55123614519834496</v>
      </c>
      <c r="P3477" s="14">
        <v>0.25270639033988102</v>
      </c>
      <c r="Q3477" t="str">
        <f t="shared" si="108"/>
        <v>15-24</v>
      </c>
      <c r="R3477" t="str">
        <f t="shared" si="109"/>
        <v>[ZCjuwgaMB9u]|15-24|Female|Untreated_PLHIV_Attend.T_1|CY2023Q3</v>
      </c>
    </row>
    <row r="3478" spans="4:18" x14ac:dyDescent="0.2">
      <c r="D3478" t="s">
        <v>125</v>
      </c>
      <c r="E3478" t="s">
        <v>126</v>
      </c>
      <c r="F3478" t="s">
        <v>127</v>
      </c>
      <c r="G3478" t="s">
        <v>150</v>
      </c>
      <c r="H3478" t="s">
        <v>150</v>
      </c>
      <c r="I3478" t="s">
        <v>40</v>
      </c>
      <c r="J3478" t="s">
        <v>41</v>
      </c>
      <c r="K3478" t="s">
        <v>29</v>
      </c>
      <c r="L3478" t="s">
        <v>30</v>
      </c>
      <c r="M3478" t="s">
        <v>139</v>
      </c>
      <c r="N3478">
        <v>728</v>
      </c>
      <c r="O3478" s="14">
        <v>0.55092907347716402</v>
      </c>
      <c r="P3478" s="14">
        <v>0.25270639033988102</v>
      </c>
      <c r="Q3478" t="str">
        <f t="shared" si="108"/>
        <v>25-34</v>
      </c>
      <c r="R3478" t="str">
        <f t="shared" si="109"/>
        <v>[ZCjuwgaMB9u]|25-34|Female|Untreated_PLHIV_Attend.T_1|CY2023Q3</v>
      </c>
    </row>
    <row r="3479" spans="4:18" x14ac:dyDescent="0.2">
      <c r="D3479" t="s">
        <v>125</v>
      </c>
      <c r="E3479" t="s">
        <v>126</v>
      </c>
      <c r="F3479" t="s">
        <v>127</v>
      </c>
      <c r="G3479" t="s">
        <v>150</v>
      </c>
      <c r="H3479" t="s">
        <v>150</v>
      </c>
      <c r="I3479" t="s">
        <v>42</v>
      </c>
      <c r="J3479" t="s">
        <v>43</v>
      </c>
      <c r="K3479" t="s">
        <v>29</v>
      </c>
      <c r="L3479" t="s">
        <v>30</v>
      </c>
      <c r="M3479" t="s">
        <v>139</v>
      </c>
      <c r="N3479">
        <v>1510</v>
      </c>
      <c r="O3479" s="14">
        <v>0.85921938228420902</v>
      </c>
      <c r="P3479" s="14">
        <v>0.25270639033988102</v>
      </c>
      <c r="Q3479" t="str">
        <f t="shared" si="108"/>
        <v>35-49</v>
      </c>
      <c r="R3479" t="str">
        <f t="shared" si="109"/>
        <v>[ZCjuwgaMB9u]|35-49|Female|Untreated_PLHIV_Attend.T_1|CY2023Q3</v>
      </c>
    </row>
    <row r="3480" spans="4:18" x14ac:dyDescent="0.2">
      <c r="D3480" t="s">
        <v>125</v>
      </c>
      <c r="E3480" t="s">
        <v>126</v>
      </c>
      <c r="F3480" t="s">
        <v>127</v>
      </c>
      <c r="G3480" t="s">
        <v>150</v>
      </c>
      <c r="H3480" t="s">
        <v>150</v>
      </c>
      <c r="I3480" t="s">
        <v>44</v>
      </c>
      <c r="J3480" t="s">
        <v>45</v>
      </c>
      <c r="K3480" t="s">
        <v>29</v>
      </c>
      <c r="L3480" t="s">
        <v>30</v>
      </c>
      <c r="M3480" t="s">
        <v>139</v>
      </c>
      <c r="N3480">
        <v>881</v>
      </c>
      <c r="O3480" s="14">
        <v>0.48924123635515598</v>
      </c>
      <c r="P3480" s="14">
        <v>0.25270639033988102</v>
      </c>
      <c r="Q3480" t="str">
        <f t="shared" si="108"/>
        <v>50+</v>
      </c>
      <c r="R3480" t="str">
        <f t="shared" si="109"/>
        <v>[ZCjuwgaMB9u]|50+|Female|Untreated_PLHIV_Attend.T_1|CY2023Q3</v>
      </c>
    </row>
    <row r="3481" spans="4:18" x14ac:dyDescent="0.2">
      <c r="D3481" t="s">
        <v>125</v>
      </c>
      <c r="E3481" t="s">
        <v>126</v>
      </c>
      <c r="F3481" t="s">
        <v>127</v>
      </c>
      <c r="G3481" t="s">
        <v>150</v>
      </c>
      <c r="H3481" t="s">
        <v>150</v>
      </c>
      <c r="I3481" t="s">
        <v>27</v>
      </c>
      <c r="J3481" t="s">
        <v>28</v>
      </c>
      <c r="K3481" t="s">
        <v>47</v>
      </c>
      <c r="L3481" t="s">
        <v>48</v>
      </c>
      <c r="M3481" t="s">
        <v>139</v>
      </c>
      <c r="N3481">
        <v>1069</v>
      </c>
      <c r="O3481" s="14">
        <v>0.76376532926224205</v>
      </c>
      <c r="P3481" s="14">
        <v>0.25270639033988102</v>
      </c>
      <c r="Q3481" t="str">
        <f t="shared" si="108"/>
        <v>&lt;01</v>
      </c>
      <c r="R3481" t="str">
        <f t="shared" si="109"/>
        <v>[ZCjuwgaMB9u]|&lt;01|Male|Untreated_PLHIV_Attend.T_1|CY2023Q3</v>
      </c>
    </row>
    <row r="3482" spans="4:18" x14ac:dyDescent="0.2">
      <c r="D3482" t="s">
        <v>125</v>
      </c>
      <c r="E3482" t="s">
        <v>126</v>
      </c>
      <c r="F3482" t="s">
        <v>127</v>
      </c>
      <c r="G3482" t="s">
        <v>150</v>
      </c>
      <c r="H3482" t="s">
        <v>150</v>
      </c>
      <c r="I3482" t="s">
        <v>32</v>
      </c>
      <c r="J3482" t="s">
        <v>33</v>
      </c>
      <c r="K3482" t="s">
        <v>47</v>
      </c>
      <c r="L3482" t="s">
        <v>48</v>
      </c>
      <c r="M3482" t="s">
        <v>139</v>
      </c>
      <c r="N3482">
        <v>1780</v>
      </c>
      <c r="O3482" s="14">
        <v>0.65385398827493202</v>
      </c>
      <c r="P3482" s="14">
        <v>0.25270639033988102</v>
      </c>
      <c r="Q3482" t="str">
        <f t="shared" si="108"/>
        <v>01-09</v>
      </c>
      <c r="R3482" t="str">
        <f t="shared" si="109"/>
        <v>[ZCjuwgaMB9u]|01-09|Male|Untreated_PLHIV_Attend.T_1|CY2023Q3</v>
      </c>
    </row>
    <row r="3483" spans="4:18" x14ac:dyDescent="0.2">
      <c r="D3483" t="s">
        <v>125</v>
      </c>
      <c r="E3483" t="s">
        <v>126</v>
      </c>
      <c r="F3483" t="s">
        <v>127</v>
      </c>
      <c r="G3483" t="s">
        <v>150</v>
      </c>
      <c r="H3483" t="s">
        <v>150</v>
      </c>
      <c r="I3483" t="s">
        <v>35</v>
      </c>
      <c r="J3483" t="s">
        <v>36</v>
      </c>
      <c r="K3483" t="s">
        <v>47</v>
      </c>
      <c r="L3483" t="s">
        <v>48</v>
      </c>
      <c r="M3483" t="s">
        <v>139</v>
      </c>
      <c r="N3483">
        <v>1867</v>
      </c>
      <c r="O3483" s="14">
        <v>0.97389335650950704</v>
      </c>
      <c r="P3483" s="14">
        <v>0.25270639033988102</v>
      </c>
      <c r="Q3483" t="str">
        <f t="shared" si="108"/>
        <v>10-14</v>
      </c>
      <c r="R3483" t="str">
        <f t="shared" si="109"/>
        <v>[ZCjuwgaMB9u]|10-14|Male|Untreated_PLHIV_Attend.T_1|CY2023Q3</v>
      </c>
    </row>
    <row r="3484" spans="4:18" x14ac:dyDescent="0.2">
      <c r="D3484" t="s">
        <v>125</v>
      </c>
      <c r="E3484" t="s">
        <v>126</v>
      </c>
      <c r="F3484" t="s">
        <v>127</v>
      </c>
      <c r="G3484" t="s">
        <v>150</v>
      </c>
      <c r="H3484" t="s">
        <v>150</v>
      </c>
      <c r="I3484" t="s">
        <v>37</v>
      </c>
      <c r="J3484" t="s">
        <v>38</v>
      </c>
      <c r="K3484" t="s">
        <v>47</v>
      </c>
      <c r="L3484" t="s">
        <v>48</v>
      </c>
      <c r="M3484" t="s">
        <v>139</v>
      </c>
      <c r="N3484">
        <v>584</v>
      </c>
      <c r="O3484" s="14">
        <v>9.8627447849139599E-2</v>
      </c>
      <c r="P3484" s="14">
        <v>0.25270639033988102</v>
      </c>
      <c r="Q3484" t="str">
        <f t="shared" si="108"/>
        <v>15-24</v>
      </c>
      <c r="R3484" t="str">
        <f t="shared" si="109"/>
        <v>[ZCjuwgaMB9u]|15-24|Male|Untreated_PLHIV_Attend.T_1|CY2023Q3</v>
      </c>
    </row>
    <row r="3485" spans="4:18" x14ac:dyDescent="0.2">
      <c r="D3485" t="s">
        <v>125</v>
      </c>
      <c r="E3485" t="s">
        <v>126</v>
      </c>
      <c r="F3485" t="s">
        <v>127</v>
      </c>
      <c r="G3485" t="s">
        <v>150</v>
      </c>
      <c r="H3485" t="s">
        <v>150</v>
      </c>
      <c r="I3485" t="s">
        <v>40</v>
      </c>
      <c r="J3485" t="s">
        <v>41</v>
      </c>
      <c r="K3485" t="s">
        <v>47</v>
      </c>
      <c r="L3485" t="s">
        <v>48</v>
      </c>
      <c r="M3485" t="s">
        <v>139</v>
      </c>
      <c r="N3485">
        <v>1502</v>
      </c>
      <c r="O3485" s="14">
        <v>0.30273937946185497</v>
      </c>
      <c r="P3485" s="14">
        <v>0.25270639033988102</v>
      </c>
      <c r="Q3485" t="str">
        <f t="shared" si="108"/>
        <v>25-34</v>
      </c>
      <c r="R3485" t="str">
        <f t="shared" si="109"/>
        <v>[ZCjuwgaMB9u]|25-34|Male|Untreated_PLHIV_Attend.T_1|CY2023Q3</v>
      </c>
    </row>
    <row r="3486" spans="4:18" x14ac:dyDescent="0.2">
      <c r="D3486" t="s">
        <v>125</v>
      </c>
      <c r="E3486" t="s">
        <v>126</v>
      </c>
      <c r="F3486" t="s">
        <v>127</v>
      </c>
      <c r="G3486" t="s">
        <v>150</v>
      </c>
      <c r="H3486" t="s">
        <v>150</v>
      </c>
      <c r="I3486" t="s">
        <v>42</v>
      </c>
      <c r="J3486" t="s">
        <v>43</v>
      </c>
      <c r="K3486" t="s">
        <v>47</v>
      </c>
      <c r="L3486" t="s">
        <v>48</v>
      </c>
      <c r="M3486" t="s">
        <v>139</v>
      </c>
      <c r="N3486">
        <v>1317</v>
      </c>
      <c r="O3486" s="14">
        <v>0.97020981693640396</v>
      </c>
      <c r="P3486" s="14">
        <v>0.25270639033988102</v>
      </c>
      <c r="Q3486" t="str">
        <f t="shared" si="108"/>
        <v>35-49</v>
      </c>
      <c r="R3486" t="str">
        <f t="shared" si="109"/>
        <v>[ZCjuwgaMB9u]|35-49|Male|Untreated_PLHIV_Attend.T_1|CY2023Q3</v>
      </c>
    </row>
    <row r="3487" spans="4:18" x14ac:dyDescent="0.2">
      <c r="D3487" t="s">
        <v>125</v>
      </c>
      <c r="E3487" t="s">
        <v>126</v>
      </c>
      <c r="F3487" t="s">
        <v>127</v>
      </c>
      <c r="G3487" t="s">
        <v>150</v>
      </c>
      <c r="H3487" t="s">
        <v>150</v>
      </c>
      <c r="I3487" t="s">
        <v>44</v>
      </c>
      <c r="J3487" t="s">
        <v>45</v>
      </c>
      <c r="K3487" t="s">
        <v>47</v>
      </c>
      <c r="L3487" t="s">
        <v>48</v>
      </c>
      <c r="M3487" t="s">
        <v>139</v>
      </c>
      <c r="N3487">
        <v>1794</v>
      </c>
      <c r="O3487" s="14">
        <v>0.18857236555777501</v>
      </c>
      <c r="P3487" s="14">
        <v>0.25270639033988102</v>
      </c>
      <c r="Q3487" t="str">
        <f t="shared" si="108"/>
        <v>50+</v>
      </c>
      <c r="R3487" t="str">
        <f t="shared" si="109"/>
        <v>[ZCjuwgaMB9u]|50+|Male|Untreated_PLHIV_Attend.T_1|CY2023Q3</v>
      </c>
    </row>
    <row r="3488" spans="4:18" x14ac:dyDescent="0.2">
      <c r="D3488" t="s">
        <v>128</v>
      </c>
      <c r="E3488" t="s">
        <v>129</v>
      </c>
      <c r="F3488" t="s">
        <v>130</v>
      </c>
      <c r="G3488" t="s">
        <v>150</v>
      </c>
      <c r="H3488" t="s">
        <v>150</v>
      </c>
      <c r="I3488" t="s">
        <v>27</v>
      </c>
      <c r="J3488" t="s">
        <v>28</v>
      </c>
      <c r="K3488" t="s">
        <v>29</v>
      </c>
      <c r="L3488" t="s">
        <v>30</v>
      </c>
      <c r="M3488" t="s">
        <v>139</v>
      </c>
      <c r="N3488">
        <v>1706</v>
      </c>
      <c r="O3488" s="14">
        <v>0.86398595105856701</v>
      </c>
      <c r="P3488" s="14">
        <v>0.55690808477811504</v>
      </c>
      <c r="Q3488" t="str">
        <f t="shared" si="108"/>
        <v>&lt;01</v>
      </c>
      <c r="R3488" t="str">
        <f t="shared" si="109"/>
        <v>[YCKiBAp8QAg]|&lt;01|Female|Untreated_PLHIV_Attend.T_1|CY2023Q3</v>
      </c>
    </row>
    <row r="3489" spans="4:18" x14ac:dyDescent="0.2">
      <c r="D3489" t="s">
        <v>128</v>
      </c>
      <c r="E3489" t="s">
        <v>129</v>
      </c>
      <c r="F3489" t="s">
        <v>130</v>
      </c>
      <c r="G3489" t="s">
        <v>150</v>
      </c>
      <c r="H3489" t="s">
        <v>150</v>
      </c>
      <c r="I3489" t="s">
        <v>32</v>
      </c>
      <c r="J3489" t="s">
        <v>33</v>
      </c>
      <c r="K3489" t="s">
        <v>29</v>
      </c>
      <c r="L3489" t="s">
        <v>30</v>
      </c>
      <c r="M3489" t="s">
        <v>139</v>
      </c>
      <c r="N3489">
        <v>1524</v>
      </c>
      <c r="O3489" s="14">
        <v>0.92855450534261796</v>
      </c>
      <c r="P3489" s="14">
        <v>0.55690808477811504</v>
      </c>
      <c r="Q3489" t="str">
        <f t="shared" si="108"/>
        <v>01-09</v>
      </c>
      <c r="R3489" t="str">
        <f t="shared" si="109"/>
        <v>[YCKiBAp8QAg]|01-09|Female|Untreated_PLHIV_Attend.T_1|CY2023Q3</v>
      </c>
    </row>
    <row r="3490" spans="4:18" x14ac:dyDescent="0.2">
      <c r="D3490" t="s">
        <v>128</v>
      </c>
      <c r="E3490" t="s">
        <v>129</v>
      </c>
      <c r="F3490" t="s">
        <v>130</v>
      </c>
      <c r="G3490" t="s">
        <v>150</v>
      </c>
      <c r="H3490" t="s">
        <v>150</v>
      </c>
      <c r="I3490" t="s">
        <v>35</v>
      </c>
      <c r="J3490" t="s">
        <v>36</v>
      </c>
      <c r="K3490" t="s">
        <v>29</v>
      </c>
      <c r="L3490" t="s">
        <v>30</v>
      </c>
      <c r="M3490" t="s">
        <v>139</v>
      </c>
      <c r="N3490">
        <v>1874</v>
      </c>
      <c r="O3490" s="14">
        <v>0.48298193467780898</v>
      </c>
      <c r="P3490" s="14">
        <v>0.55690808477811504</v>
      </c>
      <c r="Q3490" t="str">
        <f t="shared" si="108"/>
        <v>10-14</v>
      </c>
      <c r="R3490" t="str">
        <f t="shared" si="109"/>
        <v>[YCKiBAp8QAg]|10-14|Female|Untreated_PLHIV_Attend.T_1|CY2023Q3</v>
      </c>
    </row>
    <row r="3491" spans="4:18" x14ac:dyDescent="0.2">
      <c r="D3491" t="s">
        <v>128</v>
      </c>
      <c r="E3491" t="s">
        <v>129</v>
      </c>
      <c r="F3491" t="s">
        <v>130</v>
      </c>
      <c r="G3491" t="s">
        <v>150</v>
      </c>
      <c r="H3491" t="s">
        <v>150</v>
      </c>
      <c r="I3491" t="s">
        <v>37</v>
      </c>
      <c r="J3491" t="s">
        <v>38</v>
      </c>
      <c r="K3491" t="s">
        <v>29</v>
      </c>
      <c r="L3491" t="s">
        <v>30</v>
      </c>
      <c r="M3491" t="s">
        <v>139</v>
      </c>
      <c r="N3491">
        <v>1044</v>
      </c>
      <c r="O3491" s="14">
        <v>0.33095618779771002</v>
      </c>
      <c r="P3491" s="14">
        <v>0.55690808477811504</v>
      </c>
      <c r="Q3491" t="str">
        <f t="shared" si="108"/>
        <v>15-24</v>
      </c>
      <c r="R3491" t="str">
        <f t="shared" si="109"/>
        <v>[YCKiBAp8QAg]|15-24|Female|Untreated_PLHIV_Attend.T_1|CY2023Q3</v>
      </c>
    </row>
    <row r="3492" spans="4:18" x14ac:dyDescent="0.2">
      <c r="D3492" t="s">
        <v>128</v>
      </c>
      <c r="E3492" t="s">
        <v>129</v>
      </c>
      <c r="F3492" t="s">
        <v>130</v>
      </c>
      <c r="G3492" t="s">
        <v>150</v>
      </c>
      <c r="H3492" t="s">
        <v>150</v>
      </c>
      <c r="I3492" t="s">
        <v>40</v>
      </c>
      <c r="J3492" t="s">
        <v>41</v>
      </c>
      <c r="K3492" t="s">
        <v>29</v>
      </c>
      <c r="L3492" t="s">
        <v>30</v>
      </c>
      <c r="M3492" t="s">
        <v>139</v>
      </c>
      <c r="N3492">
        <v>1357</v>
      </c>
      <c r="O3492" s="14">
        <v>0.38929826463572698</v>
      </c>
      <c r="P3492" s="14">
        <v>0.55690808477811504</v>
      </c>
      <c r="Q3492" t="str">
        <f t="shared" si="108"/>
        <v>25-34</v>
      </c>
      <c r="R3492" t="str">
        <f t="shared" si="109"/>
        <v>[YCKiBAp8QAg]|25-34|Female|Untreated_PLHIV_Attend.T_1|CY2023Q3</v>
      </c>
    </row>
    <row r="3493" spans="4:18" x14ac:dyDescent="0.2">
      <c r="D3493" t="s">
        <v>128</v>
      </c>
      <c r="E3493" t="s">
        <v>129</v>
      </c>
      <c r="F3493" t="s">
        <v>130</v>
      </c>
      <c r="G3493" t="s">
        <v>150</v>
      </c>
      <c r="H3493" t="s">
        <v>150</v>
      </c>
      <c r="I3493" t="s">
        <v>42</v>
      </c>
      <c r="J3493" t="s">
        <v>43</v>
      </c>
      <c r="K3493" t="s">
        <v>29</v>
      </c>
      <c r="L3493" t="s">
        <v>30</v>
      </c>
      <c r="M3493" t="s">
        <v>139</v>
      </c>
      <c r="N3493">
        <v>1813</v>
      </c>
      <c r="O3493" s="14">
        <v>0.46646162099205002</v>
      </c>
      <c r="P3493" s="14">
        <v>0.55690808477811504</v>
      </c>
      <c r="Q3493" t="str">
        <f t="shared" si="108"/>
        <v>35-49</v>
      </c>
      <c r="R3493" t="str">
        <f t="shared" si="109"/>
        <v>[YCKiBAp8QAg]|35-49|Female|Untreated_PLHIV_Attend.T_1|CY2023Q3</v>
      </c>
    </row>
    <row r="3494" spans="4:18" x14ac:dyDescent="0.2">
      <c r="D3494" t="s">
        <v>128</v>
      </c>
      <c r="E3494" t="s">
        <v>129</v>
      </c>
      <c r="F3494" t="s">
        <v>130</v>
      </c>
      <c r="G3494" t="s">
        <v>150</v>
      </c>
      <c r="H3494" t="s">
        <v>150</v>
      </c>
      <c r="I3494" t="s">
        <v>44</v>
      </c>
      <c r="J3494" t="s">
        <v>45</v>
      </c>
      <c r="K3494" t="s">
        <v>29</v>
      </c>
      <c r="L3494" t="s">
        <v>30</v>
      </c>
      <c r="M3494" t="s">
        <v>139</v>
      </c>
      <c r="N3494">
        <v>1566</v>
      </c>
      <c r="O3494" s="14">
        <v>0.52903472073376201</v>
      </c>
      <c r="P3494" s="14">
        <v>0.55690808477811504</v>
      </c>
      <c r="Q3494" t="str">
        <f t="shared" si="108"/>
        <v>50+</v>
      </c>
      <c r="R3494" t="str">
        <f t="shared" si="109"/>
        <v>[YCKiBAp8QAg]|50+|Female|Untreated_PLHIV_Attend.T_1|CY2023Q3</v>
      </c>
    </row>
    <row r="3495" spans="4:18" x14ac:dyDescent="0.2">
      <c r="D3495" t="s">
        <v>128</v>
      </c>
      <c r="E3495" t="s">
        <v>129</v>
      </c>
      <c r="F3495" t="s">
        <v>130</v>
      </c>
      <c r="G3495" t="s">
        <v>150</v>
      </c>
      <c r="H3495" t="s">
        <v>150</v>
      </c>
      <c r="I3495" t="s">
        <v>27</v>
      </c>
      <c r="J3495" t="s">
        <v>28</v>
      </c>
      <c r="K3495" t="s">
        <v>47</v>
      </c>
      <c r="L3495" t="s">
        <v>48</v>
      </c>
      <c r="M3495" t="s">
        <v>139</v>
      </c>
      <c r="N3495">
        <v>1839</v>
      </c>
      <c r="O3495" s="14">
        <v>0.52558463672176003</v>
      </c>
      <c r="P3495" s="14">
        <v>0.55690808477811504</v>
      </c>
      <c r="Q3495" t="str">
        <f t="shared" si="108"/>
        <v>&lt;01</v>
      </c>
      <c r="R3495" t="str">
        <f t="shared" si="109"/>
        <v>[YCKiBAp8QAg]|&lt;01|Male|Untreated_PLHIV_Attend.T_1|CY2023Q3</v>
      </c>
    </row>
    <row r="3496" spans="4:18" x14ac:dyDescent="0.2">
      <c r="D3496" t="s">
        <v>128</v>
      </c>
      <c r="E3496" t="s">
        <v>129</v>
      </c>
      <c r="F3496" t="s">
        <v>130</v>
      </c>
      <c r="G3496" t="s">
        <v>150</v>
      </c>
      <c r="H3496" t="s">
        <v>150</v>
      </c>
      <c r="I3496" t="s">
        <v>32</v>
      </c>
      <c r="J3496" t="s">
        <v>33</v>
      </c>
      <c r="K3496" t="s">
        <v>47</v>
      </c>
      <c r="L3496" t="s">
        <v>48</v>
      </c>
      <c r="M3496" t="s">
        <v>139</v>
      </c>
      <c r="N3496">
        <v>1483</v>
      </c>
      <c r="O3496" s="14">
        <v>0.90982029726728797</v>
      </c>
      <c r="P3496" s="14">
        <v>0.55690808477811504</v>
      </c>
      <c r="Q3496" t="str">
        <f t="shared" si="108"/>
        <v>01-09</v>
      </c>
      <c r="R3496" t="str">
        <f t="shared" si="109"/>
        <v>[YCKiBAp8QAg]|01-09|Male|Untreated_PLHIV_Attend.T_1|CY2023Q3</v>
      </c>
    </row>
    <row r="3497" spans="4:18" x14ac:dyDescent="0.2">
      <c r="D3497" t="s">
        <v>128</v>
      </c>
      <c r="E3497" t="s">
        <v>129</v>
      </c>
      <c r="F3497" t="s">
        <v>130</v>
      </c>
      <c r="G3497" t="s">
        <v>150</v>
      </c>
      <c r="H3497" t="s">
        <v>150</v>
      </c>
      <c r="I3497" t="s">
        <v>35</v>
      </c>
      <c r="J3497" t="s">
        <v>36</v>
      </c>
      <c r="K3497" t="s">
        <v>47</v>
      </c>
      <c r="L3497" t="s">
        <v>48</v>
      </c>
      <c r="M3497" t="s">
        <v>139</v>
      </c>
      <c r="N3497">
        <v>1064</v>
      </c>
      <c r="O3497" s="14">
        <v>0.236818583216518</v>
      </c>
      <c r="P3497" s="14">
        <v>0.55690808477811504</v>
      </c>
      <c r="Q3497" t="str">
        <f t="shared" si="108"/>
        <v>10-14</v>
      </c>
      <c r="R3497" t="str">
        <f t="shared" si="109"/>
        <v>[YCKiBAp8QAg]|10-14|Male|Untreated_PLHIV_Attend.T_1|CY2023Q3</v>
      </c>
    </row>
    <row r="3498" spans="4:18" x14ac:dyDescent="0.2">
      <c r="D3498" t="s">
        <v>128</v>
      </c>
      <c r="E3498" t="s">
        <v>129</v>
      </c>
      <c r="F3498" t="s">
        <v>130</v>
      </c>
      <c r="G3498" t="s">
        <v>150</v>
      </c>
      <c r="H3498" t="s">
        <v>150</v>
      </c>
      <c r="I3498" t="s">
        <v>37</v>
      </c>
      <c r="J3498" t="s">
        <v>38</v>
      </c>
      <c r="K3498" t="s">
        <v>47</v>
      </c>
      <c r="L3498" t="s">
        <v>48</v>
      </c>
      <c r="M3498" t="s">
        <v>139</v>
      </c>
      <c r="N3498">
        <v>1636</v>
      </c>
      <c r="O3498" s="14">
        <v>0.210966221988201</v>
      </c>
      <c r="P3498" s="14">
        <v>0.55690808477811504</v>
      </c>
      <c r="Q3498" t="str">
        <f t="shared" si="108"/>
        <v>15-24</v>
      </c>
      <c r="R3498" t="str">
        <f t="shared" si="109"/>
        <v>[YCKiBAp8QAg]|15-24|Male|Untreated_PLHIV_Attend.T_1|CY2023Q3</v>
      </c>
    </row>
    <row r="3499" spans="4:18" x14ac:dyDescent="0.2">
      <c r="D3499" t="s">
        <v>128</v>
      </c>
      <c r="E3499" t="s">
        <v>129</v>
      </c>
      <c r="F3499" t="s">
        <v>130</v>
      </c>
      <c r="G3499" t="s">
        <v>150</v>
      </c>
      <c r="H3499" t="s">
        <v>150</v>
      </c>
      <c r="I3499" t="s">
        <v>40</v>
      </c>
      <c r="J3499" t="s">
        <v>41</v>
      </c>
      <c r="K3499" t="s">
        <v>47</v>
      </c>
      <c r="L3499" t="s">
        <v>48</v>
      </c>
      <c r="M3499" t="s">
        <v>139</v>
      </c>
      <c r="N3499">
        <v>1176</v>
      </c>
      <c r="O3499" s="14">
        <v>0.34177708742208801</v>
      </c>
      <c r="P3499" s="14">
        <v>0.55690808477811504</v>
      </c>
      <c r="Q3499" t="str">
        <f t="shared" si="108"/>
        <v>25-34</v>
      </c>
      <c r="R3499" t="str">
        <f t="shared" si="109"/>
        <v>[YCKiBAp8QAg]|25-34|Male|Untreated_PLHIV_Attend.T_1|CY2023Q3</v>
      </c>
    </row>
    <row r="3500" spans="4:18" x14ac:dyDescent="0.2">
      <c r="D3500" t="s">
        <v>128</v>
      </c>
      <c r="E3500" t="s">
        <v>129</v>
      </c>
      <c r="F3500" t="s">
        <v>130</v>
      </c>
      <c r="G3500" t="s">
        <v>150</v>
      </c>
      <c r="H3500" t="s">
        <v>150</v>
      </c>
      <c r="I3500" t="s">
        <v>42</v>
      </c>
      <c r="J3500" t="s">
        <v>43</v>
      </c>
      <c r="K3500" t="s">
        <v>47</v>
      </c>
      <c r="L3500" t="s">
        <v>48</v>
      </c>
      <c r="M3500" t="s">
        <v>139</v>
      </c>
      <c r="N3500">
        <v>692</v>
      </c>
      <c r="O3500" s="14">
        <v>0.60141662321984801</v>
      </c>
      <c r="P3500" s="14">
        <v>0.55690808477811504</v>
      </c>
      <c r="Q3500" t="str">
        <f t="shared" si="108"/>
        <v>35-49</v>
      </c>
      <c r="R3500" t="str">
        <f t="shared" si="109"/>
        <v>[YCKiBAp8QAg]|35-49|Male|Untreated_PLHIV_Attend.T_1|CY2023Q3</v>
      </c>
    </row>
    <row r="3501" spans="4:18" x14ac:dyDescent="0.2">
      <c r="D3501" t="s">
        <v>128</v>
      </c>
      <c r="E3501" t="s">
        <v>129</v>
      </c>
      <c r="F3501" t="s">
        <v>130</v>
      </c>
      <c r="G3501" t="s">
        <v>150</v>
      </c>
      <c r="H3501" t="s">
        <v>150</v>
      </c>
      <c r="I3501" t="s">
        <v>44</v>
      </c>
      <c r="J3501" t="s">
        <v>45</v>
      </c>
      <c r="K3501" t="s">
        <v>47</v>
      </c>
      <c r="L3501" t="s">
        <v>48</v>
      </c>
      <c r="M3501" t="s">
        <v>139</v>
      </c>
      <c r="N3501">
        <v>1548</v>
      </c>
      <c r="O3501" s="14">
        <v>0.29218512750230702</v>
      </c>
      <c r="P3501" s="14">
        <v>0.55690808477811504</v>
      </c>
      <c r="Q3501" t="str">
        <f t="shared" si="108"/>
        <v>50+</v>
      </c>
      <c r="R3501" t="str">
        <f t="shared" si="109"/>
        <v>[YCKiBAp8QAg]|50+|Male|Untreated_PLHIV_Attend.T_1|CY2023Q3</v>
      </c>
    </row>
    <row r="3502" spans="4:18" x14ac:dyDescent="0.2">
      <c r="D3502" t="s">
        <v>131</v>
      </c>
      <c r="E3502" t="s">
        <v>132</v>
      </c>
      <c r="F3502" t="s">
        <v>133</v>
      </c>
      <c r="G3502" t="s">
        <v>150</v>
      </c>
      <c r="H3502" t="s">
        <v>150</v>
      </c>
      <c r="I3502" t="s">
        <v>27</v>
      </c>
      <c r="J3502" t="s">
        <v>28</v>
      </c>
      <c r="K3502" t="s">
        <v>29</v>
      </c>
      <c r="L3502" t="s">
        <v>30</v>
      </c>
      <c r="M3502" t="s">
        <v>139</v>
      </c>
      <c r="N3502">
        <v>1461</v>
      </c>
      <c r="O3502" s="14">
        <v>0.631812528008595</v>
      </c>
      <c r="P3502" s="14">
        <v>0.16286319401115201</v>
      </c>
      <c r="Q3502" t="str">
        <f t="shared" si="108"/>
        <v>&lt;01</v>
      </c>
      <c r="R3502" t="str">
        <f t="shared" si="109"/>
        <v>[JQKLKuVuY61]|&lt;01|Female|Untreated_PLHIV_Attend.T_1|CY2023Q3</v>
      </c>
    </row>
    <row r="3503" spans="4:18" x14ac:dyDescent="0.2">
      <c r="D3503" t="s">
        <v>131</v>
      </c>
      <c r="E3503" t="s">
        <v>132</v>
      </c>
      <c r="F3503" t="s">
        <v>133</v>
      </c>
      <c r="G3503" t="s">
        <v>150</v>
      </c>
      <c r="H3503" t="s">
        <v>150</v>
      </c>
      <c r="I3503" t="s">
        <v>32</v>
      </c>
      <c r="J3503" t="s">
        <v>33</v>
      </c>
      <c r="K3503" t="s">
        <v>29</v>
      </c>
      <c r="L3503" t="s">
        <v>30</v>
      </c>
      <c r="M3503" t="s">
        <v>139</v>
      </c>
      <c r="N3503">
        <v>1080</v>
      </c>
      <c r="O3503" s="14">
        <v>0.18779490306042099</v>
      </c>
      <c r="P3503" s="14">
        <v>0.16286319401115201</v>
      </c>
      <c r="Q3503" t="str">
        <f t="shared" si="108"/>
        <v>01-09</v>
      </c>
      <c r="R3503" t="str">
        <f t="shared" si="109"/>
        <v>[JQKLKuVuY61]|01-09|Female|Untreated_PLHIV_Attend.T_1|CY2023Q3</v>
      </c>
    </row>
    <row r="3504" spans="4:18" x14ac:dyDescent="0.2">
      <c r="D3504" t="s">
        <v>131</v>
      </c>
      <c r="E3504" t="s">
        <v>132</v>
      </c>
      <c r="F3504" t="s">
        <v>133</v>
      </c>
      <c r="G3504" t="s">
        <v>150</v>
      </c>
      <c r="H3504" t="s">
        <v>150</v>
      </c>
      <c r="I3504" t="s">
        <v>35</v>
      </c>
      <c r="J3504" t="s">
        <v>36</v>
      </c>
      <c r="K3504" t="s">
        <v>29</v>
      </c>
      <c r="L3504" t="s">
        <v>30</v>
      </c>
      <c r="M3504" t="s">
        <v>139</v>
      </c>
      <c r="N3504">
        <v>591</v>
      </c>
      <c r="O3504" s="14">
        <v>0.45157758449204299</v>
      </c>
      <c r="P3504" s="14">
        <v>0.16286319401115201</v>
      </c>
      <c r="Q3504" t="str">
        <f t="shared" si="108"/>
        <v>10-14</v>
      </c>
      <c r="R3504" t="str">
        <f t="shared" si="109"/>
        <v>[JQKLKuVuY61]|10-14|Female|Untreated_PLHIV_Attend.T_1|CY2023Q3</v>
      </c>
    </row>
    <row r="3505" spans="4:18" x14ac:dyDescent="0.2">
      <c r="D3505" t="s">
        <v>131</v>
      </c>
      <c r="E3505" t="s">
        <v>132</v>
      </c>
      <c r="F3505" t="s">
        <v>133</v>
      </c>
      <c r="G3505" t="s">
        <v>150</v>
      </c>
      <c r="H3505" t="s">
        <v>150</v>
      </c>
      <c r="I3505" t="s">
        <v>37</v>
      </c>
      <c r="J3505" t="s">
        <v>38</v>
      </c>
      <c r="K3505" t="s">
        <v>29</v>
      </c>
      <c r="L3505" t="s">
        <v>30</v>
      </c>
      <c r="M3505" t="s">
        <v>139</v>
      </c>
      <c r="N3505">
        <v>1403</v>
      </c>
      <c r="O3505" s="14">
        <v>0.80871504847891595</v>
      </c>
      <c r="P3505" s="14">
        <v>0.16286319401115201</v>
      </c>
      <c r="Q3505" t="str">
        <f t="shared" si="108"/>
        <v>15-24</v>
      </c>
      <c r="R3505" t="str">
        <f t="shared" si="109"/>
        <v>[JQKLKuVuY61]|15-24|Female|Untreated_PLHIV_Attend.T_1|CY2023Q3</v>
      </c>
    </row>
    <row r="3506" spans="4:18" x14ac:dyDescent="0.2">
      <c r="D3506" t="s">
        <v>131</v>
      </c>
      <c r="E3506" t="s">
        <v>132</v>
      </c>
      <c r="F3506" t="s">
        <v>133</v>
      </c>
      <c r="G3506" t="s">
        <v>150</v>
      </c>
      <c r="H3506" t="s">
        <v>150</v>
      </c>
      <c r="I3506" t="s">
        <v>40</v>
      </c>
      <c r="J3506" t="s">
        <v>41</v>
      </c>
      <c r="K3506" t="s">
        <v>29</v>
      </c>
      <c r="L3506" t="s">
        <v>30</v>
      </c>
      <c r="M3506" t="s">
        <v>139</v>
      </c>
      <c r="N3506">
        <v>1461</v>
      </c>
      <c r="O3506" s="14">
        <v>0.36970188142731802</v>
      </c>
      <c r="P3506" s="14">
        <v>0.16286319401115201</v>
      </c>
      <c r="Q3506" t="str">
        <f t="shared" si="108"/>
        <v>25-34</v>
      </c>
      <c r="R3506" t="str">
        <f t="shared" si="109"/>
        <v>[JQKLKuVuY61]|25-34|Female|Untreated_PLHIV_Attend.T_1|CY2023Q3</v>
      </c>
    </row>
    <row r="3507" spans="4:18" x14ac:dyDescent="0.2">
      <c r="D3507" t="s">
        <v>131</v>
      </c>
      <c r="E3507" t="s">
        <v>132</v>
      </c>
      <c r="F3507" t="s">
        <v>133</v>
      </c>
      <c r="G3507" t="s">
        <v>150</v>
      </c>
      <c r="H3507" t="s">
        <v>150</v>
      </c>
      <c r="I3507" t="s">
        <v>42</v>
      </c>
      <c r="J3507" t="s">
        <v>43</v>
      </c>
      <c r="K3507" t="s">
        <v>29</v>
      </c>
      <c r="L3507" t="s">
        <v>30</v>
      </c>
      <c r="M3507" t="s">
        <v>139</v>
      </c>
      <c r="N3507">
        <v>1038</v>
      </c>
      <c r="O3507" s="14">
        <v>0.76718736859038505</v>
      </c>
      <c r="P3507" s="14">
        <v>0.16286319401115201</v>
      </c>
      <c r="Q3507" t="str">
        <f t="shared" si="108"/>
        <v>35-49</v>
      </c>
      <c r="R3507" t="str">
        <f t="shared" si="109"/>
        <v>[JQKLKuVuY61]|35-49|Female|Untreated_PLHIV_Attend.T_1|CY2023Q3</v>
      </c>
    </row>
    <row r="3508" spans="4:18" x14ac:dyDescent="0.2">
      <c r="D3508" t="s">
        <v>131</v>
      </c>
      <c r="E3508" t="s">
        <v>132</v>
      </c>
      <c r="F3508" t="s">
        <v>133</v>
      </c>
      <c r="G3508" t="s">
        <v>150</v>
      </c>
      <c r="H3508" t="s">
        <v>150</v>
      </c>
      <c r="I3508" t="s">
        <v>44</v>
      </c>
      <c r="J3508" t="s">
        <v>45</v>
      </c>
      <c r="K3508" t="s">
        <v>29</v>
      </c>
      <c r="L3508" t="s">
        <v>30</v>
      </c>
      <c r="M3508" t="s">
        <v>139</v>
      </c>
      <c r="N3508">
        <v>957</v>
      </c>
      <c r="O3508" s="14">
        <v>0.51330382470041502</v>
      </c>
      <c r="P3508" s="14">
        <v>0.16286319401115201</v>
      </c>
      <c r="Q3508" t="str">
        <f t="shared" si="108"/>
        <v>50+</v>
      </c>
      <c r="R3508" t="str">
        <f t="shared" si="109"/>
        <v>[JQKLKuVuY61]|50+|Female|Untreated_PLHIV_Attend.T_1|CY2023Q3</v>
      </c>
    </row>
    <row r="3509" spans="4:18" x14ac:dyDescent="0.2">
      <c r="D3509" t="s">
        <v>131</v>
      </c>
      <c r="E3509" t="s">
        <v>132</v>
      </c>
      <c r="F3509" t="s">
        <v>133</v>
      </c>
      <c r="G3509" t="s">
        <v>150</v>
      </c>
      <c r="H3509" t="s">
        <v>150</v>
      </c>
      <c r="I3509" t="s">
        <v>27</v>
      </c>
      <c r="J3509" t="s">
        <v>28</v>
      </c>
      <c r="K3509" t="s">
        <v>47</v>
      </c>
      <c r="L3509" t="s">
        <v>48</v>
      </c>
      <c r="M3509" t="s">
        <v>139</v>
      </c>
      <c r="N3509">
        <v>1934</v>
      </c>
      <c r="O3509" s="14">
        <v>0.95643865945748996</v>
      </c>
      <c r="P3509" s="14">
        <v>0.16286319401115201</v>
      </c>
      <c r="Q3509" t="str">
        <f t="shared" si="108"/>
        <v>&lt;01</v>
      </c>
      <c r="R3509" t="str">
        <f t="shared" si="109"/>
        <v>[JQKLKuVuY61]|&lt;01|Male|Untreated_PLHIV_Attend.T_1|CY2023Q3</v>
      </c>
    </row>
    <row r="3510" spans="4:18" x14ac:dyDescent="0.2">
      <c r="D3510" t="s">
        <v>131</v>
      </c>
      <c r="E3510" t="s">
        <v>132</v>
      </c>
      <c r="F3510" t="s">
        <v>133</v>
      </c>
      <c r="G3510" t="s">
        <v>150</v>
      </c>
      <c r="H3510" t="s">
        <v>150</v>
      </c>
      <c r="I3510" t="s">
        <v>32</v>
      </c>
      <c r="J3510" t="s">
        <v>33</v>
      </c>
      <c r="K3510" t="s">
        <v>47</v>
      </c>
      <c r="L3510" t="s">
        <v>48</v>
      </c>
      <c r="M3510" t="s">
        <v>139</v>
      </c>
      <c r="N3510">
        <v>1456</v>
      </c>
      <c r="O3510" s="14">
        <v>5.8104508789256201E-2</v>
      </c>
      <c r="P3510" s="14">
        <v>0.16286319401115201</v>
      </c>
      <c r="Q3510" t="str">
        <f t="shared" si="108"/>
        <v>01-09</v>
      </c>
      <c r="R3510" t="str">
        <f t="shared" si="109"/>
        <v>[JQKLKuVuY61]|01-09|Male|Untreated_PLHIV_Attend.T_1|CY2023Q3</v>
      </c>
    </row>
    <row r="3511" spans="4:18" x14ac:dyDescent="0.2">
      <c r="D3511" t="s">
        <v>131</v>
      </c>
      <c r="E3511" t="s">
        <v>132</v>
      </c>
      <c r="F3511" t="s">
        <v>133</v>
      </c>
      <c r="G3511" t="s">
        <v>150</v>
      </c>
      <c r="H3511" t="s">
        <v>150</v>
      </c>
      <c r="I3511" t="s">
        <v>35</v>
      </c>
      <c r="J3511" t="s">
        <v>36</v>
      </c>
      <c r="K3511" t="s">
        <v>47</v>
      </c>
      <c r="L3511" t="s">
        <v>48</v>
      </c>
      <c r="M3511" t="s">
        <v>139</v>
      </c>
      <c r="N3511">
        <v>925</v>
      </c>
      <c r="O3511" s="14">
        <v>0.57978236465714905</v>
      </c>
      <c r="P3511" s="14">
        <v>0.16286319401115201</v>
      </c>
      <c r="Q3511" t="str">
        <f t="shared" si="108"/>
        <v>10-14</v>
      </c>
      <c r="R3511" t="str">
        <f t="shared" si="109"/>
        <v>[JQKLKuVuY61]|10-14|Male|Untreated_PLHIV_Attend.T_1|CY2023Q3</v>
      </c>
    </row>
    <row r="3512" spans="4:18" x14ac:dyDescent="0.2">
      <c r="D3512" t="s">
        <v>131</v>
      </c>
      <c r="E3512" t="s">
        <v>132</v>
      </c>
      <c r="F3512" t="s">
        <v>133</v>
      </c>
      <c r="G3512" t="s">
        <v>150</v>
      </c>
      <c r="H3512" t="s">
        <v>150</v>
      </c>
      <c r="I3512" t="s">
        <v>37</v>
      </c>
      <c r="J3512" t="s">
        <v>38</v>
      </c>
      <c r="K3512" t="s">
        <v>47</v>
      </c>
      <c r="L3512" t="s">
        <v>48</v>
      </c>
      <c r="M3512" t="s">
        <v>139</v>
      </c>
      <c r="N3512">
        <v>1872</v>
      </c>
      <c r="O3512" s="14">
        <v>0.31678735581226602</v>
      </c>
      <c r="P3512" s="14">
        <v>0.16286319401115201</v>
      </c>
      <c r="Q3512" t="str">
        <f t="shared" si="108"/>
        <v>15-24</v>
      </c>
      <c r="R3512" t="str">
        <f t="shared" si="109"/>
        <v>[JQKLKuVuY61]|15-24|Male|Untreated_PLHIV_Attend.T_1|CY2023Q3</v>
      </c>
    </row>
    <row r="3513" spans="4:18" x14ac:dyDescent="0.2">
      <c r="D3513" t="s">
        <v>131</v>
      </c>
      <c r="E3513" t="s">
        <v>132</v>
      </c>
      <c r="F3513" t="s">
        <v>133</v>
      </c>
      <c r="G3513" t="s">
        <v>150</v>
      </c>
      <c r="H3513" t="s">
        <v>150</v>
      </c>
      <c r="I3513" t="s">
        <v>40</v>
      </c>
      <c r="J3513" t="s">
        <v>41</v>
      </c>
      <c r="K3513" t="s">
        <v>47</v>
      </c>
      <c r="L3513" t="s">
        <v>48</v>
      </c>
      <c r="M3513" t="s">
        <v>139</v>
      </c>
      <c r="N3513">
        <v>1118</v>
      </c>
      <c r="O3513" s="14">
        <v>0.518232895527035</v>
      </c>
      <c r="P3513" s="14">
        <v>0.16286319401115201</v>
      </c>
      <c r="Q3513" t="str">
        <f t="shared" si="108"/>
        <v>25-34</v>
      </c>
      <c r="R3513" t="str">
        <f t="shared" si="109"/>
        <v>[JQKLKuVuY61]|25-34|Male|Untreated_PLHIV_Attend.T_1|CY2023Q3</v>
      </c>
    </row>
    <row r="3514" spans="4:18" x14ac:dyDescent="0.2">
      <c r="D3514" t="s">
        <v>131</v>
      </c>
      <c r="E3514" t="s">
        <v>132</v>
      </c>
      <c r="F3514" t="s">
        <v>133</v>
      </c>
      <c r="G3514" t="s">
        <v>150</v>
      </c>
      <c r="H3514" t="s">
        <v>150</v>
      </c>
      <c r="I3514" t="s">
        <v>42</v>
      </c>
      <c r="J3514" t="s">
        <v>43</v>
      </c>
      <c r="K3514" t="s">
        <v>47</v>
      </c>
      <c r="L3514" t="s">
        <v>48</v>
      </c>
      <c r="M3514" t="s">
        <v>139</v>
      </c>
      <c r="N3514">
        <v>1437</v>
      </c>
      <c r="O3514" s="14">
        <v>0.15940215019509199</v>
      </c>
      <c r="P3514" s="14">
        <v>0.16286319401115201</v>
      </c>
      <c r="Q3514" t="str">
        <f t="shared" si="108"/>
        <v>35-49</v>
      </c>
      <c r="R3514" t="str">
        <f t="shared" si="109"/>
        <v>[JQKLKuVuY61]|35-49|Male|Untreated_PLHIV_Attend.T_1|CY2023Q3</v>
      </c>
    </row>
    <row r="3515" spans="4:18" x14ac:dyDescent="0.2">
      <c r="D3515" t="s">
        <v>131</v>
      </c>
      <c r="E3515" t="s">
        <v>132</v>
      </c>
      <c r="F3515" t="s">
        <v>133</v>
      </c>
      <c r="G3515" t="s">
        <v>150</v>
      </c>
      <c r="H3515" t="s">
        <v>150</v>
      </c>
      <c r="I3515" t="s">
        <v>44</v>
      </c>
      <c r="J3515" t="s">
        <v>45</v>
      </c>
      <c r="K3515" t="s">
        <v>47</v>
      </c>
      <c r="L3515" t="s">
        <v>48</v>
      </c>
      <c r="M3515" t="s">
        <v>139</v>
      </c>
      <c r="N3515">
        <v>869</v>
      </c>
      <c r="O3515" s="14">
        <v>0.40526753407902999</v>
      </c>
      <c r="P3515" s="14">
        <v>0.16286319401115201</v>
      </c>
      <c r="Q3515" t="str">
        <f t="shared" si="108"/>
        <v>50+</v>
      </c>
      <c r="R3515" t="str">
        <f t="shared" si="109"/>
        <v>[JQKLKuVuY61]|50+|Male|Untreated_PLHIV_Attend.T_1|CY2023Q3</v>
      </c>
    </row>
    <row r="3516" spans="4:18" x14ac:dyDescent="0.2">
      <c r="D3516" t="s">
        <v>134</v>
      </c>
      <c r="E3516" t="s">
        <v>135</v>
      </c>
      <c r="F3516" t="s">
        <v>136</v>
      </c>
      <c r="G3516" t="s">
        <v>150</v>
      </c>
      <c r="H3516" t="s">
        <v>150</v>
      </c>
      <c r="I3516" t="s">
        <v>27</v>
      </c>
      <c r="J3516" t="s">
        <v>28</v>
      </c>
      <c r="K3516" t="s">
        <v>29</v>
      </c>
      <c r="L3516" t="s">
        <v>30</v>
      </c>
      <c r="M3516" t="s">
        <v>139</v>
      </c>
      <c r="N3516">
        <v>1490</v>
      </c>
      <c r="O3516" s="14">
        <v>0.66369149764068402</v>
      </c>
      <c r="P3516" s="14">
        <v>0.95530052832327805</v>
      </c>
      <c r="Q3516" t="str">
        <f t="shared" si="108"/>
        <v>&lt;01</v>
      </c>
      <c r="R3516" t="str">
        <f t="shared" si="109"/>
        <v>[fiRkU6gEjLz]|&lt;01|Female|Untreated_PLHIV_Attend.T_1|CY2023Q3</v>
      </c>
    </row>
    <row r="3517" spans="4:18" x14ac:dyDescent="0.2">
      <c r="D3517" t="s">
        <v>134</v>
      </c>
      <c r="E3517" t="s">
        <v>135</v>
      </c>
      <c r="F3517" t="s">
        <v>136</v>
      </c>
      <c r="G3517" t="s">
        <v>150</v>
      </c>
      <c r="H3517" t="s">
        <v>150</v>
      </c>
      <c r="I3517" t="s">
        <v>32</v>
      </c>
      <c r="J3517" t="s">
        <v>33</v>
      </c>
      <c r="K3517" t="s">
        <v>29</v>
      </c>
      <c r="L3517" t="s">
        <v>30</v>
      </c>
      <c r="M3517" t="s">
        <v>139</v>
      </c>
      <c r="N3517">
        <v>1946</v>
      </c>
      <c r="O3517" s="14">
        <v>0.139353638514876</v>
      </c>
      <c r="P3517" s="14">
        <v>0.95530052832327805</v>
      </c>
      <c r="Q3517" t="str">
        <f t="shared" si="108"/>
        <v>01-09</v>
      </c>
      <c r="R3517" t="str">
        <f t="shared" si="109"/>
        <v>[fiRkU6gEjLz]|01-09|Female|Untreated_PLHIV_Attend.T_1|CY2023Q3</v>
      </c>
    </row>
    <row r="3518" spans="4:18" x14ac:dyDescent="0.2">
      <c r="D3518" t="s">
        <v>134</v>
      </c>
      <c r="E3518" t="s">
        <v>135</v>
      </c>
      <c r="F3518" t="s">
        <v>136</v>
      </c>
      <c r="G3518" t="s">
        <v>150</v>
      </c>
      <c r="H3518" t="s">
        <v>150</v>
      </c>
      <c r="I3518" t="s">
        <v>35</v>
      </c>
      <c r="J3518" t="s">
        <v>36</v>
      </c>
      <c r="K3518" t="s">
        <v>29</v>
      </c>
      <c r="L3518" t="s">
        <v>30</v>
      </c>
      <c r="M3518" t="s">
        <v>139</v>
      </c>
      <c r="N3518">
        <v>960</v>
      </c>
      <c r="O3518" s="14">
        <v>0.162706153467298</v>
      </c>
      <c r="P3518" s="14">
        <v>0.95530052832327805</v>
      </c>
      <c r="Q3518" t="str">
        <f t="shared" si="108"/>
        <v>10-14</v>
      </c>
      <c r="R3518" t="str">
        <f t="shared" si="109"/>
        <v>[fiRkU6gEjLz]|10-14|Female|Untreated_PLHIV_Attend.T_1|CY2023Q3</v>
      </c>
    </row>
    <row r="3519" spans="4:18" x14ac:dyDescent="0.2">
      <c r="D3519" t="s">
        <v>134</v>
      </c>
      <c r="E3519" t="s">
        <v>135</v>
      </c>
      <c r="F3519" t="s">
        <v>136</v>
      </c>
      <c r="G3519" t="s">
        <v>150</v>
      </c>
      <c r="H3519" t="s">
        <v>150</v>
      </c>
      <c r="I3519" t="s">
        <v>37</v>
      </c>
      <c r="J3519" t="s">
        <v>38</v>
      </c>
      <c r="K3519" t="s">
        <v>29</v>
      </c>
      <c r="L3519" t="s">
        <v>30</v>
      </c>
      <c r="M3519" t="s">
        <v>139</v>
      </c>
      <c r="N3519">
        <v>1240</v>
      </c>
      <c r="O3519" s="14">
        <v>0.21752729522995701</v>
      </c>
      <c r="P3519" s="14">
        <v>0.95530052832327805</v>
      </c>
      <c r="Q3519" t="str">
        <f t="shared" si="108"/>
        <v>15-24</v>
      </c>
      <c r="R3519" t="str">
        <f t="shared" si="109"/>
        <v>[fiRkU6gEjLz]|15-24|Female|Untreated_PLHIV_Attend.T_1|CY2023Q3</v>
      </c>
    </row>
    <row r="3520" spans="4:18" x14ac:dyDescent="0.2">
      <c r="D3520" t="s">
        <v>134</v>
      </c>
      <c r="E3520" t="s">
        <v>135</v>
      </c>
      <c r="F3520" t="s">
        <v>136</v>
      </c>
      <c r="G3520" t="s">
        <v>150</v>
      </c>
      <c r="H3520" t="s">
        <v>150</v>
      </c>
      <c r="I3520" t="s">
        <v>40</v>
      </c>
      <c r="J3520" t="s">
        <v>41</v>
      </c>
      <c r="K3520" t="s">
        <v>29</v>
      </c>
      <c r="L3520" t="s">
        <v>30</v>
      </c>
      <c r="M3520" t="s">
        <v>139</v>
      </c>
      <c r="N3520">
        <v>1476</v>
      </c>
      <c r="O3520" s="14">
        <v>0.65250859595835198</v>
      </c>
      <c r="P3520" s="14">
        <v>0.95530052832327805</v>
      </c>
      <c r="Q3520" t="str">
        <f t="shared" si="108"/>
        <v>25-34</v>
      </c>
      <c r="R3520" t="str">
        <f t="shared" si="109"/>
        <v>[fiRkU6gEjLz]|25-34|Female|Untreated_PLHIV_Attend.T_1|CY2023Q3</v>
      </c>
    </row>
    <row r="3521" spans="4:18" x14ac:dyDescent="0.2">
      <c r="D3521" t="s">
        <v>134</v>
      </c>
      <c r="E3521" t="s">
        <v>135</v>
      </c>
      <c r="F3521" t="s">
        <v>136</v>
      </c>
      <c r="G3521" t="s">
        <v>150</v>
      </c>
      <c r="H3521" t="s">
        <v>150</v>
      </c>
      <c r="I3521" t="s">
        <v>42</v>
      </c>
      <c r="J3521" t="s">
        <v>43</v>
      </c>
      <c r="K3521" t="s">
        <v>29</v>
      </c>
      <c r="L3521" t="s">
        <v>30</v>
      </c>
      <c r="M3521" t="s">
        <v>139</v>
      </c>
      <c r="N3521">
        <v>1571</v>
      </c>
      <c r="O3521" s="14">
        <v>0.62802782817743696</v>
      </c>
      <c r="P3521" s="14">
        <v>0.95530052832327805</v>
      </c>
      <c r="Q3521" t="str">
        <f t="shared" si="108"/>
        <v>35-49</v>
      </c>
      <c r="R3521" t="str">
        <f t="shared" si="109"/>
        <v>[fiRkU6gEjLz]|35-49|Female|Untreated_PLHIV_Attend.T_1|CY2023Q3</v>
      </c>
    </row>
    <row r="3522" spans="4:18" x14ac:dyDescent="0.2">
      <c r="D3522" t="s">
        <v>134</v>
      </c>
      <c r="E3522" t="s">
        <v>135</v>
      </c>
      <c r="F3522" t="s">
        <v>136</v>
      </c>
      <c r="G3522" t="s">
        <v>150</v>
      </c>
      <c r="H3522" t="s">
        <v>150</v>
      </c>
      <c r="I3522" t="s">
        <v>44</v>
      </c>
      <c r="J3522" t="s">
        <v>45</v>
      </c>
      <c r="K3522" t="s">
        <v>29</v>
      </c>
      <c r="L3522" t="s">
        <v>30</v>
      </c>
      <c r="M3522" t="s">
        <v>139</v>
      </c>
      <c r="N3522">
        <v>1992</v>
      </c>
      <c r="O3522" s="14">
        <v>0.93246597493998695</v>
      </c>
      <c r="P3522" s="14">
        <v>0.95530052832327805</v>
      </c>
      <c r="Q3522" t="str">
        <f t="shared" ref="Q3522:Q3585" si="110">SUBSTITUTE(SUBSTITUTE($I3522,CHAR(61),""),CHAR(34),"")</f>
        <v>50+</v>
      </c>
      <c r="R3522" t="str">
        <f t="shared" ref="R3522:R3585" si="111">IF($D3522&lt;&gt;"","["&amp;$E3522&amp;"]"&amp;"|"&amp;$Q3522&amp;"|"&amp;$K3522&amp;"|"&amp;$G3522&amp;"|"&amp;IF($G3522="TX_CURR_SUBNAT.R","CY2022Q4",$M3522),"")</f>
        <v>[fiRkU6gEjLz]|50+|Female|Untreated_PLHIV_Attend.T_1|CY2023Q3</v>
      </c>
    </row>
    <row r="3523" spans="4:18" x14ac:dyDescent="0.2">
      <c r="D3523" t="s">
        <v>134</v>
      </c>
      <c r="E3523" t="s">
        <v>135</v>
      </c>
      <c r="F3523" t="s">
        <v>136</v>
      </c>
      <c r="G3523" t="s">
        <v>150</v>
      </c>
      <c r="H3523" t="s">
        <v>150</v>
      </c>
      <c r="I3523" t="s">
        <v>27</v>
      </c>
      <c r="J3523" t="s">
        <v>28</v>
      </c>
      <c r="K3523" t="s">
        <v>47</v>
      </c>
      <c r="L3523" t="s">
        <v>48</v>
      </c>
      <c r="M3523" t="s">
        <v>139</v>
      </c>
      <c r="N3523">
        <v>1373</v>
      </c>
      <c r="O3523" s="14">
        <v>8.70825981255621E-2</v>
      </c>
      <c r="P3523" s="14">
        <v>0.95530052832327805</v>
      </c>
      <c r="Q3523" t="str">
        <f t="shared" si="110"/>
        <v>&lt;01</v>
      </c>
      <c r="R3523" t="str">
        <f t="shared" si="111"/>
        <v>[fiRkU6gEjLz]|&lt;01|Male|Untreated_PLHIV_Attend.T_1|CY2023Q3</v>
      </c>
    </row>
    <row r="3524" spans="4:18" x14ac:dyDescent="0.2">
      <c r="D3524" t="s">
        <v>134</v>
      </c>
      <c r="E3524" t="s">
        <v>135</v>
      </c>
      <c r="F3524" t="s">
        <v>136</v>
      </c>
      <c r="G3524" t="s">
        <v>150</v>
      </c>
      <c r="H3524" t="s">
        <v>150</v>
      </c>
      <c r="I3524" t="s">
        <v>32</v>
      </c>
      <c r="J3524" t="s">
        <v>33</v>
      </c>
      <c r="K3524" t="s">
        <v>47</v>
      </c>
      <c r="L3524" t="s">
        <v>48</v>
      </c>
      <c r="M3524" t="s">
        <v>139</v>
      </c>
      <c r="N3524">
        <v>1473</v>
      </c>
      <c r="O3524" s="14">
        <v>0.69273309432901398</v>
      </c>
      <c r="P3524" s="14">
        <v>0.95530052832327805</v>
      </c>
      <c r="Q3524" t="str">
        <f t="shared" si="110"/>
        <v>01-09</v>
      </c>
      <c r="R3524" t="str">
        <f t="shared" si="111"/>
        <v>[fiRkU6gEjLz]|01-09|Male|Untreated_PLHIV_Attend.T_1|CY2023Q3</v>
      </c>
    </row>
    <row r="3525" spans="4:18" x14ac:dyDescent="0.2">
      <c r="D3525" t="s">
        <v>134</v>
      </c>
      <c r="E3525" t="s">
        <v>135</v>
      </c>
      <c r="F3525" t="s">
        <v>136</v>
      </c>
      <c r="G3525" t="s">
        <v>150</v>
      </c>
      <c r="H3525" t="s">
        <v>150</v>
      </c>
      <c r="I3525" t="s">
        <v>35</v>
      </c>
      <c r="J3525" t="s">
        <v>36</v>
      </c>
      <c r="K3525" t="s">
        <v>47</v>
      </c>
      <c r="L3525" t="s">
        <v>48</v>
      </c>
      <c r="M3525" t="s">
        <v>139</v>
      </c>
      <c r="N3525">
        <v>1947</v>
      </c>
      <c r="O3525" s="14">
        <v>0.85912545304745402</v>
      </c>
      <c r="P3525" s="14">
        <v>0.95530052832327805</v>
      </c>
      <c r="Q3525" t="str">
        <f t="shared" si="110"/>
        <v>10-14</v>
      </c>
      <c r="R3525" t="str">
        <f t="shared" si="111"/>
        <v>[fiRkU6gEjLz]|10-14|Male|Untreated_PLHIV_Attend.T_1|CY2023Q3</v>
      </c>
    </row>
    <row r="3526" spans="4:18" x14ac:dyDescent="0.2">
      <c r="D3526" t="s">
        <v>134</v>
      </c>
      <c r="E3526" t="s">
        <v>135</v>
      </c>
      <c r="F3526" t="s">
        <v>136</v>
      </c>
      <c r="G3526" t="s">
        <v>150</v>
      </c>
      <c r="H3526" t="s">
        <v>150</v>
      </c>
      <c r="I3526" t="s">
        <v>37</v>
      </c>
      <c r="J3526" t="s">
        <v>38</v>
      </c>
      <c r="K3526" t="s">
        <v>47</v>
      </c>
      <c r="L3526" t="s">
        <v>48</v>
      </c>
      <c r="M3526" t="s">
        <v>139</v>
      </c>
      <c r="N3526">
        <v>914</v>
      </c>
      <c r="O3526" s="14">
        <v>0.85066181933507301</v>
      </c>
      <c r="P3526" s="14">
        <v>0.95530052832327805</v>
      </c>
      <c r="Q3526" t="str">
        <f t="shared" si="110"/>
        <v>15-24</v>
      </c>
      <c r="R3526" t="str">
        <f t="shared" si="111"/>
        <v>[fiRkU6gEjLz]|15-24|Male|Untreated_PLHIV_Attend.T_1|CY2023Q3</v>
      </c>
    </row>
    <row r="3527" spans="4:18" x14ac:dyDescent="0.2">
      <c r="D3527" t="s">
        <v>134</v>
      </c>
      <c r="E3527" t="s">
        <v>135</v>
      </c>
      <c r="F3527" t="s">
        <v>136</v>
      </c>
      <c r="G3527" t="s">
        <v>150</v>
      </c>
      <c r="H3527" t="s">
        <v>150</v>
      </c>
      <c r="I3527" t="s">
        <v>40</v>
      </c>
      <c r="J3527" t="s">
        <v>41</v>
      </c>
      <c r="K3527" t="s">
        <v>47</v>
      </c>
      <c r="L3527" t="s">
        <v>48</v>
      </c>
      <c r="M3527" t="s">
        <v>139</v>
      </c>
      <c r="N3527">
        <v>675</v>
      </c>
      <c r="O3527" s="14">
        <v>0.57799762184731696</v>
      </c>
      <c r="P3527" s="14">
        <v>0.95530052832327805</v>
      </c>
      <c r="Q3527" t="str">
        <f t="shared" si="110"/>
        <v>25-34</v>
      </c>
      <c r="R3527" t="str">
        <f t="shared" si="111"/>
        <v>[fiRkU6gEjLz]|25-34|Male|Untreated_PLHIV_Attend.T_1|CY2023Q3</v>
      </c>
    </row>
    <row r="3528" spans="4:18" x14ac:dyDescent="0.2">
      <c r="D3528" t="s">
        <v>134</v>
      </c>
      <c r="E3528" t="s">
        <v>135</v>
      </c>
      <c r="F3528" t="s">
        <v>136</v>
      </c>
      <c r="G3528" t="s">
        <v>150</v>
      </c>
      <c r="H3528" t="s">
        <v>150</v>
      </c>
      <c r="I3528" t="s">
        <v>42</v>
      </c>
      <c r="J3528" t="s">
        <v>43</v>
      </c>
      <c r="K3528" t="s">
        <v>47</v>
      </c>
      <c r="L3528" t="s">
        <v>48</v>
      </c>
      <c r="M3528" t="s">
        <v>139</v>
      </c>
      <c r="N3528">
        <v>1352</v>
      </c>
      <c r="O3528" s="14">
        <v>0.28214891673997</v>
      </c>
      <c r="P3528" s="14">
        <v>0.95530052832327805</v>
      </c>
      <c r="Q3528" t="str">
        <f t="shared" si="110"/>
        <v>35-49</v>
      </c>
      <c r="R3528" t="str">
        <f t="shared" si="111"/>
        <v>[fiRkU6gEjLz]|35-49|Male|Untreated_PLHIV_Attend.T_1|CY2023Q3</v>
      </c>
    </row>
    <row r="3529" spans="4:18" x14ac:dyDescent="0.2">
      <c r="D3529" t="s">
        <v>134</v>
      </c>
      <c r="E3529" t="s">
        <v>135</v>
      </c>
      <c r="F3529" t="s">
        <v>136</v>
      </c>
      <c r="G3529" t="s">
        <v>150</v>
      </c>
      <c r="H3529" t="s">
        <v>150</v>
      </c>
      <c r="I3529" t="s">
        <v>44</v>
      </c>
      <c r="J3529" t="s">
        <v>45</v>
      </c>
      <c r="K3529" t="s">
        <v>47</v>
      </c>
      <c r="L3529" t="s">
        <v>48</v>
      </c>
      <c r="M3529" t="s">
        <v>139</v>
      </c>
      <c r="N3529">
        <v>783</v>
      </c>
      <c r="O3529" s="14">
        <v>7.2578827384859296E-2</v>
      </c>
      <c r="P3529" s="14">
        <v>0.95530052832327805</v>
      </c>
      <c r="Q3529" t="str">
        <f t="shared" si="110"/>
        <v>50+</v>
      </c>
      <c r="R3529" t="str">
        <f t="shared" si="111"/>
        <v>[fiRkU6gEjLz]|50+|Male|Untreated_PLHIV_Attend.T_1|CY2023Q3</v>
      </c>
    </row>
    <row r="3530" spans="4:18" x14ac:dyDescent="0.2">
      <c r="D3530" t="s">
        <v>22</v>
      </c>
      <c r="E3530" t="s">
        <v>23</v>
      </c>
      <c r="F3530" t="s">
        <v>24</v>
      </c>
      <c r="G3530" t="s">
        <v>151</v>
      </c>
      <c r="H3530" t="s">
        <v>151</v>
      </c>
      <c r="I3530" t="s">
        <v>27</v>
      </c>
      <c r="J3530" t="s">
        <v>28</v>
      </c>
      <c r="K3530" t="s">
        <v>29</v>
      </c>
      <c r="L3530" t="s">
        <v>30</v>
      </c>
      <c r="M3530" t="s">
        <v>139</v>
      </c>
      <c r="N3530">
        <v>1300</v>
      </c>
      <c r="O3530" s="14">
        <v>0.35878508538007697</v>
      </c>
      <c r="P3530" s="14">
        <v>0.40435861097648701</v>
      </c>
      <c r="Q3530" t="str">
        <f t="shared" si="110"/>
        <v>&lt;01</v>
      </c>
      <c r="R3530" t="str">
        <f t="shared" si="111"/>
        <v>[GkIwZrXy1h2]|&lt;01|Female|Incidence_SUBNAT.Rt.T_1|CY2023Q3</v>
      </c>
    </row>
    <row r="3531" spans="4:18" x14ac:dyDescent="0.2">
      <c r="D3531" t="s">
        <v>22</v>
      </c>
      <c r="E3531" t="s">
        <v>23</v>
      </c>
      <c r="F3531" t="s">
        <v>24</v>
      </c>
      <c r="G3531" t="s">
        <v>151</v>
      </c>
      <c r="H3531" t="s">
        <v>151</v>
      </c>
      <c r="I3531" t="s">
        <v>32</v>
      </c>
      <c r="J3531" t="s">
        <v>33</v>
      </c>
      <c r="K3531" t="s">
        <v>29</v>
      </c>
      <c r="L3531" t="s">
        <v>30</v>
      </c>
      <c r="M3531" t="s">
        <v>139</v>
      </c>
      <c r="N3531">
        <v>886</v>
      </c>
      <c r="O3531" s="14">
        <v>0.88810913800261904</v>
      </c>
      <c r="P3531" s="14">
        <v>0.40435861097648701</v>
      </c>
      <c r="Q3531" t="str">
        <f t="shared" si="110"/>
        <v>01-09</v>
      </c>
      <c r="R3531" t="str">
        <f t="shared" si="111"/>
        <v>[GkIwZrXy1h2]|01-09|Female|Incidence_SUBNAT.Rt.T_1|CY2023Q3</v>
      </c>
    </row>
    <row r="3532" spans="4:18" x14ac:dyDescent="0.2">
      <c r="D3532" t="s">
        <v>22</v>
      </c>
      <c r="E3532" t="s">
        <v>23</v>
      </c>
      <c r="F3532" t="s">
        <v>24</v>
      </c>
      <c r="G3532" t="s">
        <v>151</v>
      </c>
      <c r="H3532" t="s">
        <v>151</v>
      </c>
      <c r="I3532" t="s">
        <v>35</v>
      </c>
      <c r="J3532" t="s">
        <v>36</v>
      </c>
      <c r="K3532" t="s">
        <v>29</v>
      </c>
      <c r="L3532" t="s">
        <v>30</v>
      </c>
      <c r="M3532" t="s">
        <v>139</v>
      </c>
      <c r="N3532">
        <v>576</v>
      </c>
      <c r="O3532" s="14">
        <v>0.25775024667382201</v>
      </c>
      <c r="P3532" s="14">
        <v>0.40435861097648701</v>
      </c>
      <c r="Q3532" t="str">
        <f t="shared" si="110"/>
        <v>10-14</v>
      </c>
      <c r="R3532" t="str">
        <f t="shared" si="111"/>
        <v>[GkIwZrXy1h2]|10-14|Female|Incidence_SUBNAT.Rt.T_1|CY2023Q3</v>
      </c>
    </row>
    <row r="3533" spans="4:18" x14ac:dyDescent="0.2">
      <c r="D3533" t="s">
        <v>22</v>
      </c>
      <c r="E3533" t="s">
        <v>23</v>
      </c>
      <c r="F3533" t="s">
        <v>24</v>
      </c>
      <c r="G3533" t="s">
        <v>151</v>
      </c>
      <c r="H3533" t="s">
        <v>151</v>
      </c>
      <c r="I3533" t="s">
        <v>37</v>
      </c>
      <c r="J3533" t="s">
        <v>38</v>
      </c>
      <c r="K3533" t="s">
        <v>29</v>
      </c>
      <c r="L3533" t="s">
        <v>30</v>
      </c>
      <c r="M3533" t="s">
        <v>139</v>
      </c>
      <c r="N3533">
        <v>864</v>
      </c>
      <c r="O3533" s="14">
        <v>0.97675661183893703</v>
      </c>
      <c r="P3533" s="14">
        <v>0.40435861097648701</v>
      </c>
      <c r="Q3533" t="str">
        <f t="shared" si="110"/>
        <v>15-24</v>
      </c>
      <c r="R3533" t="str">
        <f t="shared" si="111"/>
        <v>[GkIwZrXy1h2]|15-24|Female|Incidence_SUBNAT.Rt.T_1|CY2023Q3</v>
      </c>
    </row>
    <row r="3534" spans="4:18" x14ac:dyDescent="0.2">
      <c r="D3534" t="s">
        <v>22</v>
      </c>
      <c r="E3534" t="s">
        <v>23</v>
      </c>
      <c r="F3534" t="s">
        <v>24</v>
      </c>
      <c r="G3534" t="s">
        <v>151</v>
      </c>
      <c r="H3534" t="s">
        <v>151</v>
      </c>
      <c r="I3534" t="s">
        <v>40</v>
      </c>
      <c r="J3534" t="s">
        <v>41</v>
      </c>
      <c r="K3534" t="s">
        <v>29</v>
      </c>
      <c r="L3534" t="s">
        <v>30</v>
      </c>
      <c r="M3534" t="s">
        <v>139</v>
      </c>
      <c r="N3534">
        <v>786</v>
      </c>
      <c r="O3534" s="14">
        <v>0.445917236385867</v>
      </c>
      <c r="P3534" s="14">
        <v>0.40435861097648701</v>
      </c>
      <c r="Q3534" t="str">
        <f t="shared" si="110"/>
        <v>25-34</v>
      </c>
      <c r="R3534" t="str">
        <f t="shared" si="111"/>
        <v>[GkIwZrXy1h2]|25-34|Female|Incidence_SUBNAT.Rt.T_1|CY2023Q3</v>
      </c>
    </row>
    <row r="3535" spans="4:18" x14ac:dyDescent="0.2">
      <c r="D3535" t="s">
        <v>22</v>
      </c>
      <c r="E3535" t="s">
        <v>23</v>
      </c>
      <c r="F3535" t="s">
        <v>24</v>
      </c>
      <c r="G3535" t="s">
        <v>151</v>
      </c>
      <c r="H3535" t="s">
        <v>151</v>
      </c>
      <c r="I3535" t="s">
        <v>42</v>
      </c>
      <c r="J3535" t="s">
        <v>43</v>
      </c>
      <c r="K3535" t="s">
        <v>29</v>
      </c>
      <c r="L3535" t="s">
        <v>30</v>
      </c>
      <c r="M3535" t="s">
        <v>139</v>
      </c>
      <c r="N3535">
        <v>769</v>
      </c>
      <c r="O3535" s="14">
        <v>0.55847269808873501</v>
      </c>
      <c r="P3535" s="14">
        <v>0.40435861097648701</v>
      </c>
      <c r="Q3535" t="str">
        <f t="shared" si="110"/>
        <v>35-49</v>
      </c>
      <c r="R3535" t="str">
        <f t="shared" si="111"/>
        <v>[GkIwZrXy1h2]|35-49|Female|Incidence_SUBNAT.Rt.T_1|CY2023Q3</v>
      </c>
    </row>
    <row r="3536" spans="4:18" x14ac:dyDescent="0.2">
      <c r="D3536" t="s">
        <v>22</v>
      </c>
      <c r="E3536" t="s">
        <v>23</v>
      </c>
      <c r="F3536" t="s">
        <v>24</v>
      </c>
      <c r="G3536" t="s">
        <v>151</v>
      </c>
      <c r="H3536" t="s">
        <v>151</v>
      </c>
      <c r="I3536" t="s">
        <v>44</v>
      </c>
      <c r="J3536" t="s">
        <v>45</v>
      </c>
      <c r="K3536" t="s">
        <v>29</v>
      </c>
      <c r="L3536" t="s">
        <v>30</v>
      </c>
      <c r="M3536" t="s">
        <v>139</v>
      </c>
      <c r="N3536">
        <v>1367</v>
      </c>
      <c r="O3536" s="14">
        <v>0.30786896892823301</v>
      </c>
      <c r="P3536" s="14">
        <v>0.40435861097648701</v>
      </c>
      <c r="Q3536" t="str">
        <f t="shared" si="110"/>
        <v>50+</v>
      </c>
      <c r="R3536" t="str">
        <f t="shared" si="111"/>
        <v>[GkIwZrXy1h2]|50+|Female|Incidence_SUBNAT.Rt.T_1|CY2023Q3</v>
      </c>
    </row>
    <row r="3537" spans="4:18" x14ac:dyDescent="0.2">
      <c r="D3537" t="s">
        <v>22</v>
      </c>
      <c r="E3537" t="s">
        <v>23</v>
      </c>
      <c r="F3537" t="s">
        <v>24</v>
      </c>
      <c r="G3537" t="s">
        <v>151</v>
      </c>
      <c r="H3537" t="s">
        <v>151</v>
      </c>
      <c r="I3537" t="s">
        <v>27</v>
      </c>
      <c r="J3537" t="s">
        <v>28</v>
      </c>
      <c r="K3537" t="s">
        <v>47</v>
      </c>
      <c r="L3537" t="s">
        <v>48</v>
      </c>
      <c r="M3537" t="s">
        <v>139</v>
      </c>
      <c r="N3537">
        <v>1956</v>
      </c>
      <c r="O3537" s="14">
        <v>0.60277886362746402</v>
      </c>
      <c r="P3537" s="14">
        <v>0.40435861097648701</v>
      </c>
      <c r="Q3537" t="str">
        <f t="shared" si="110"/>
        <v>&lt;01</v>
      </c>
      <c r="R3537" t="str">
        <f t="shared" si="111"/>
        <v>[GkIwZrXy1h2]|&lt;01|Male|Incidence_SUBNAT.Rt.T_1|CY2023Q3</v>
      </c>
    </row>
    <row r="3538" spans="4:18" x14ac:dyDescent="0.2">
      <c r="D3538" t="s">
        <v>22</v>
      </c>
      <c r="E3538" t="s">
        <v>23</v>
      </c>
      <c r="F3538" t="s">
        <v>24</v>
      </c>
      <c r="G3538" t="s">
        <v>151</v>
      </c>
      <c r="H3538" t="s">
        <v>151</v>
      </c>
      <c r="I3538" t="s">
        <v>32</v>
      </c>
      <c r="J3538" t="s">
        <v>33</v>
      </c>
      <c r="K3538" t="s">
        <v>47</v>
      </c>
      <c r="L3538" t="s">
        <v>48</v>
      </c>
      <c r="M3538" t="s">
        <v>139</v>
      </c>
      <c r="N3538">
        <v>1505</v>
      </c>
      <c r="O3538" s="14">
        <v>0.66010557813569903</v>
      </c>
      <c r="P3538" s="14">
        <v>0.40435861097648701</v>
      </c>
      <c r="Q3538" t="str">
        <f t="shared" si="110"/>
        <v>01-09</v>
      </c>
      <c r="R3538" t="str">
        <f t="shared" si="111"/>
        <v>[GkIwZrXy1h2]|01-09|Male|Incidence_SUBNAT.Rt.T_1|CY2023Q3</v>
      </c>
    </row>
    <row r="3539" spans="4:18" x14ac:dyDescent="0.2">
      <c r="D3539" t="s">
        <v>22</v>
      </c>
      <c r="E3539" t="s">
        <v>23</v>
      </c>
      <c r="F3539" t="s">
        <v>24</v>
      </c>
      <c r="G3539" t="s">
        <v>151</v>
      </c>
      <c r="H3539" t="s">
        <v>151</v>
      </c>
      <c r="I3539" t="s">
        <v>35</v>
      </c>
      <c r="J3539" t="s">
        <v>36</v>
      </c>
      <c r="K3539" t="s">
        <v>47</v>
      </c>
      <c r="L3539" t="s">
        <v>48</v>
      </c>
      <c r="M3539" t="s">
        <v>139</v>
      </c>
      <c r="N3539">
        <v>1642</v>
      </c>
      <c r="O3539" s="14">
        <v>0.36107631120830802</v>
      </c>
      <c r="P3539" s="14">
        <v>0.40435861097648701</v>
      </c>
      <c r="Q3539" t="str">
        <f t="shared" si="110"/>
        <v>10-14</v>
      </c>
      <c r="R3539" t="str">
        <f t="shared" si="111"/>
        <v>[GkIwZrXy1h2]|10-14|Male|Incidence_SUBNAT.Rt.T_1|CY2023Q3</v>
      </c>
    </row>
    <row r="3540" spans="4:18" x14ac:dyDescent="0.2">
      <c r="D3540" t="s">
        <v>22</v>
      </c>
      <c r="E3540" t="s">
        <v>23</v>
      </c>
      <c r="F3540" t="s">
        <v>24</v>
      </c>
      <c r="G3540" t="s">
        <v>151</v>
      </c>
      <c r="H3540" t="s">
        <v>151</v>
      </c>
      <c r="I3540" t="s">
        <v>37</v>
      </c>
      <c r="J3540" t="s">
        <v>38</v>
      </c>
      <c r="K3540" t="s">
        <v>47</v>
      </c>
      <c r="L3540" t="s">
        <v>48</v>
      </c>
      <c r="M3540" t="s">
        <v>139</v>
      </c>
      <c r="N3540">
        <v>1987</v>
      </c>
      <c r="O3540" s="14">
        <v>0.17167039960622801</v>
      </c>
      <c r="P3540" s="14">
        <v>0.40435861097648701</v>
      </c>
      <c r="Q3540" t="str">
        <f t="shared" si="110"/>
        <v>15-24</v>
      </c>
      <c r="R3540" t="str">
        <f t="shared" si="111"/>
        <v>[GkIwZrXy1h2]|15-24|Male|Incidence_SUBNAT.Rt.T_1|CY2023Q3</v>
      </c>
    </row>
    <row r="3541" spans="4:18" x14ac:dyDescent="0.2">
      <c r="D3541" t="s">
        <v>22</v>
      </c>
      <c r="E3541" t="s">
        <v>23</v>
      </c>
      <c r="F3541" t="s">
        <v>24</v>
      </c>
      <c r="G3541" t="s">
        <v>151</v>
      </c>
      <c r="H3541" t="s">
        <v>151</v>
      </c>
      <c r="I3541" t="s">
        <v>40</v>
      </c>
      <c r="J3541" t="s">
        <v>41</v>
      </c>
      <c r="K3541" t="s">
        <v>47</v>
      </c>
      <c r="L3541" t="s">
        <v>48</v>
      </c>
      <c r="M3541" t="s">
        <v>139</v>
      </c>
      <c r="N3541">
        <v>753</v>
      </c>
      <c r="O3541" s="14">
        <v>3.4801879432052402E-2</v>
      </c>
      <c r="P3541" s="14">
        <v>0.40435861097648701</v>
      </c>
      <c r="Q3541" t="str">
        <f t="shared" si="110"/>
        <v>25-34</v>
      </c>
      <c r="R3541" t="str">
        <f t="shared" si="111"/>
        <v>[GkIwZrXy1h2]|25-34|Male|Incidence_SUBNAT.Rt.T_1|CY2023Q3</v>
      </c>
    </row>
    <row r="3542" spans="4:18" x14ac:dyDescent="0.2">
      <c r="D3542" t="s">
        <v>22</v>
      </c>
      <c r="E3542" t="s">
        <v>23</v>
      </c>
      <c r="F3542" t="s">
        <v>24</v>
      </c>
      <c r="G3542" t="s">
        <v>151</v>
      </c>
      <c r="H3542" t="s">
        <v>151</v>
      </c>
      <c r="I3542" t="s">
        <v>42</v>
      </c>
      <c r="J3542" t="s">
        <v>43</v>
      </c>
      <c r="K3542" t="s">
        <v>47</v>
      </c>
      <c r="L3542" t="s">
        <v>48</v>
      </c>
      <c r="M3542" t="s">
        <v>139</v>
      </c>
      <c r="N3542">
        <v>648</v>
      </c>
      <c r="O3542" s="14">
        <v>0.633623796282336</v>
      </c>
      <c r="P3542" s="14">
        <v>0.40435861097648701</v>
      </c>
      <c r="Q3542" t="str">
        <f t="shared" si="110"/>
        <v>35-49</v>
      </c>
      <c r="R3542" t="str">
        <f t="shared" si="111"/>
        <v>[GkIwZrXy1h2]|35-49|Male|Incidence_SUBNAT.Rt.T_1|CY2023Q3</v>
      </c>
    </row>
    <row r="3543" spans="4:18" x14ac:dyDescent="0.2">
      <c r="D3543" t="s">
        <v>22</v>
      </c>
      <c r="E3543" t="s">
        <v>23</v>
      </c>
      <c r="F3543" t="s">
        <v>24</v>
      </c>
      <c r="G3543" t="s">
        <v>151</v>
      </c>
      <c r="H3543" t="s">
        <v>151</v>
      </c>
      <c r="I3543" t="s">
        <v>44</v>
      </c>
      <c r="J3543" t="s">
        <v>45</v>
      </c>
      <c r="K3543" t="s">
        <v>47</v>
      </c>
      <c r="L3543" t="s">
        <v>48</v>
      </c>
      <c r="M3543" t="s">
        <v>139</v>
      </c>
      <c r="N3543">
        <v>529</v>
      </c>
      <c r="O3543" s="14">
        <v>0.86966232233680796</v>
      </c>
      <c r="P3543" s="14">
        <v>0.40435861097648701</v>
      </c>
      <c r="Q3543" t="str">
        <f t="shared" si="110"/>
        <v>50+</v>
      </c>
      <c r="R3543" t="str">
        <f t="shared" si="111"/>
        <v>[GkIwZrXy1h2]|50+|Male|Incidence_SUBNAT.Rt.T_1|CY2023Q3</v>
      </c>
    </row>
    <row r="3544" spans="4:18" x14ac:dyDescent="0.2">
      <c r="D3544" t="s">
        <v>52</v>
      </c>
      <c r="E3544" t="s">
        <v>53</v>
      </c>
      <c r="F3544" t="s">
        <v>54</v>
      </c>
      <c r="G3544" t="s">
        <v>151</v>
      </c>
      <c r="H3544" t="s">
        <v>151</v>
      </c>
      <c r="I3544" t="s">
        <v>27</v>
      </c>
      <c r="J3544" t="s">
        <v>28</v>
      </c>
      <c r="K3544" t="s">
        <v>29</v>
      </c>
      <c r="L3544" t="s">
        <v>30</v>
      </c>
      <c r="M3544" t="s">
        <v>139</v>
      </c>
      <c r="N3544">
        <v>965</v>
      </c>
      <c r="O3544" s="14">
        <v>0.90965877356938996</v>
      </c>
      <c r="P3544" s="14">
        <v>0.61639246996492103</v>
      </c>
      <c r="Q3544" t="str">
        <f t="shared" si="110"/>
        <v>&lt;01</v>
      </c>
      <c r="R3544" t="str">
        <f t="shared" si="111"/>
        <v>[zphK9WV8JB4]|&lt;01|Female|Incidence_SUBNAT.Rt.T_1|CY2023Q3</v>
      </c>
    </row>
    <row r="3545" spans="4:18" x14ac:dyDescent="0.2">
      <c r="D3545" t="s">
        <v>52</v>
      </c>
      <c r="E3545" t="s">
        <v>53</v>
      </c>
      <c r="F3545" t="s">
        <v>54</v>
      </c>
      <c r="G3545" t="s">
        <v>151</v>
      </c>
      <c r="H3545" t="s">
        <v>151</v>
      </c>
      <c r="I3545" t="s">
        <v>32</v>
      </c>
      <c r="J3545" t="s">
        <v>33</v>
      </c>
      <c r="K3545" t="s">
        <v>29</v>
      </c>
      <c r="L3545" t="s">
        <v>30</v>
      </c>
      <c r="M3545" t="s">
        <v>139</v>
      </c>
      <c r="N3545">
        <v>1678</v>
      </c>
      <c r="O3545" s="14">
        <v>0.18364616553299101</v>
      </c>
      <c r="P3545" s="14">
        <v>0.61639246996492103</v>
      </c>
      <c r="Q3545" t="str">
        <f t="shared" si="110"/>
        <v>01-09</v>
      </c>
      <c r="R3545" t="str">
        <f t="shared" si="111"/>
        <v>[zphK9WV8JB4]|01-09|Female|Incidence_SUBNAT.Rt.T_1|CY2023Q3</v>
      </c>
    </row>
    <row r="3546" spans="4:18" x14ac:dyDescent="0.2">
      <c r="D3546" t="s">
        <v>52</v>
      </c>
      <c r="E3546" t="s">
        <v>53</v>
      </c>
      <c r="F3546" t="s">
        <v>54</v>
      </c>
      <c r="G3546" t="s">
        <v>151</v>
      </c>
      <c r="H3546" t="s">
        <v>151</v>
      </c>
      <c r="I3546" t="s">
        <v>35</v>
      </c>
      <c r="J3546" t="s">
        <v>36</v>
      </c>
      <c r="K3546" t="s">
        <v>29</v>
      </c>
      <c r="L3546" t="s">
        <v>30</v>
      </c>
      <c r="M3546" t="s">
        <v>139</v>
      </c>
      <c r="N3546">
        <v>540</v>
      </c>
      <c r="O3546" s="14">
        <v>0.69250454916618798</v>
      </c>
      <c r="P3546" s="14">
        <v>0.61639246996492103</v>
      </c>
      <c r="Q3546" t="str">
        <f t="shared" si="110"/>
        <v>10-14</v>
      </c>
      <c r="R3546" t="str">
        <f t="shared" si="111"/>
        <v>[zphK9WV8JB4]|10-14|Female|Incidence_SUBNAT.Rt.T_1|CY2023Q3</v>
      </c>
    </row>
    <row r="3547" spans="4:18" x14ac:dyDescent="0.2">
      <c r="D3547" t="s">
        <v>52</v>
      </c>
      <c r="E3547" t="s">
        <v>53</v>
      </c>
      <c r="F3547" t="s">
        <v>54</v>
      </c>
      <c r="G3547" t="s">
        <v>151</v>
      </c>
      <c r="H3547" t="s">
        <v>151</v>
      </c>
      <c r="I3547" t="s">
        <v>37</v>
      </c>
      <c r="J3547" t="s">
        <v>38</v>
      </c>
      <c r="K3547" t="s">
        <v>29</v>
      </c>
      <c r="L3547" t="s">
        <v>30</v>
      </c>
      <c r="M3547" t="s">
        <v>139</v>
      </c>
      <c r="N3547">
        <v>1639</v>
      </c>
      <c r="O3547" s="14">
        <v>0.67479702923446905</v>
      </c>
      <c r="P3547" s="14">
        <v>0.61639246996492103</v>
      </c>
      <c r="Q3547" t="str">
        <f t="shared" si="110"/>
        <v>15-24</v>
      </c>
      <c r="R3547" t="str">
        <f t="shared" si="111"/>
        <v>[zphK9WV8JB4]|15-24|Female|Incidence_SUBNAT.Rt.T_1|CY2023Q3</v>
      </c>
    </row>
    <row r="3548" spans="4:18" x14ac:dyDescent="0.2">
      <c r="D3548" t="s">
        <v>52</v>
      </c>
      <c r="E3548" t="s">
        <v>53</v>
      </c>
      <c r="F3548" t="s">
        <v>54</v>
      </c>
      <c r="G3548" t="s">
        <v>151</v>
      </c>
      <c r="H3548" t="s">
        <v>151</v>
      </c>
      <c r="I3548" t="s">
        <v>40</v>
      </c>
      <c r="J3548" t="s">
        <v>41</v>
      </c>
      <c r="K3548" t="s">
        <v>29</v>
      </c>
      <c r="L3548" t="s">
        <v>30</v>
      </c>
      <c r="M3548" t="s">
        <v>139</v>
      </c>
      <c r="N3548">
        <v>991</v>
      </c>
      <c r="O3548" s="14">
        <v>0.82818354200571798</v>
      </c>
      <c r="P3548" s="14">
        <v>0.61639246996492103</v>
      </c>
      <c r="Q3548" t="str">
        <f t="shared" si="110"/>
        <v>25-34</v>
      </c>
      <c r="R3548" t="str">
        <f t="shared" si="111"/>
        <v>[zphK9WV8JB4]|25-34|Female|Incidence_SUBNAT.Rt.T_1|CY2023Q3</v>
      </c>
    </row>
    <row r="3549" spans="4:18" x14ac:dyDescent="0.2">
      <c r="D3549" t="s">
        <v>52</v>
      </c>
      <c r="E3549" t="s">
        <v>53</v>
      </c>
      <c r="F3549" t="s">
        <v>54</v>
      </c>
      <c r="G3549" t="s">
        <v>151</v>
      </c>
      <c r="H3549" t="s">
        <v>151</v>
      </c>
      <c r="I3549" t="s">
        <v>42</v>
      </c>
      <c r="J3549" t="s">
        <v>43</v>
      </c>
      <c r="K3549" t="s">
        <v>29</v>
      </c>
      <c r="L3549" t="s">
        <v>30</v>
      </c>
      <c r="M3549" t="s">
        <v>139</v>
      </c>
      <c r="N3549">
        <v>540</v>
      </c>
      <c r="O3549" s="14">
        <v>0.191432531224564</v>
      </c>
      <c r="P3549" s="14">
        <v>0.61639246996492103</v>
      </c>
      <c r="Q3549" t="str">
        <f t="shared" si="110"/>
        <v>35-49</v>
      </c>
      <c r="R3549" t="str">
        <f t="shared" si="111"/>
        <v>[zphK9WV8JB4]|35-49|Female|Incidence_SUBNAT.Rt.T_1|CY2023Q3</v>
      </c>
    </row>
    <row r="3550" spans="4:18" x14ac:dyDescent="0.2">
      <c r="D3550" t="s">
        <v>52</v>
      </c>
      <c r="E3550" t="s">
        <v>53</v>
      </c>
      <c r="F3550" t="s">
        <v>54</v>
      </c>
      <c r="G3550" t="s">
        <v>151</v>
      </c>
      <c r="H3550" t="s">
        <v>151</v>
      </c>
      <c r="I3550" t="s">
        <v>44</v>
      </c>
      <c r="J3550" t="s">
        <v>45</v>
      </c>
      <c r="K3550" t="s">
        <v>29</v>
      </c>
      <c r="L3550" t="s">
        <v>30</v>
      </c>
      <c r="M3550" t="s">
        <v>139</v>
      </c>
      <c r="N3550">
        <v>1473</v>
      </c>
      <c r="O3550" s="14">
        <v>0.30518214870244298</v>
      </c>
      <c r="P3550" s="14">
        <v>0.61639246996492103</v>
      </c>
      <c r="Q3550" t="str">
        <f t="shared" si="110"/>
        <v>50+</v>
      </c>
      <c r="R3550" t="str">
        <f t="shared" si="111"/>
        <v>[zphK9WV8JB4]|50+|Female|Incidence_SUBNAT.Rt.T_1|CY2023Q3</v>
      </c>
    </row>
    <row r="3551" spans="4:18" x14ac:dyDescent="0.2">
      <c r="D3551" t="s">
        <v>52</v>
      </c>
      <c r="E3551" t="s">
        <v>53</v>
      </c>
      <c r="F3551" t="s">
        <v>54</v>
      </c>
      <c r="G3551" t="s">
        <v>151</v>
      </c>
      <c r="H3551" t="s">
        <v>151</v>
      </c>
      <c r="I3551" t="s">
        <v>27</v>
      </c>
      <c r="J3551" t="s">
        <v>28</v>
      </c>
      <c r="K3551" t="s">
        <v>47</v>
      </c>
      <c r="L3551" t="s">
        <v>48</v>
      </c>
      <c r="M3551" t="s">
        <v>139</v>
      </c>
      <c r="N3551">
        <v>1855</v>
      </c>
      <c r="O3551" s="14">
        <v>0.74691178137436498</v>
      </c>
      <c r="P3551" s="14">
        <v>0.61639246996492103</v>
      </c>
      <c r="Q3551" t="str">
        <f t="shared" si="110"/>
        <v>&lt;01</v>
      </c>
      <c r="R3551" t="str">
        <f t="shared" si="111"/>
        <v>[zphK9WV8JB4]|&lt;01|Male|Incidence_SUBNAT.Rt.T_1|CY2023Q3</v>
      </c>
    </row>
    <row r="3552" spans="4:18" x14ac:dyDescent="0.2">
      <c r="D3552" t="s">
        <v>52</v>
      </c>
      <c r="E3552" t="s">
        <v>53</v>
      </c>
      <c r="F3552" t="s">
        <v>54</v>
      </c>
      <c r="G3552" t="s">
        <v>151</v>
      </c>
      <c r="H3552" t="s">
        <v>151</v>
      </c>
      <c r="I3552" t="s">
        <v>32</v>
      </c>
      <c r="J3552" t="s">
        <v>33</v>
      </c>
      <c r="K3552" t="s">
        <v>47</v>
      </c>
      <c r="L3552" t="s">
        <v>48</v>
      </c>
      <c r="M3552" t="s">
        <v>139</v>
      </c>
      <c r="N3552">
        <v>1301</v>
      </c>
      <c r="O3552" s="14">
        <v>0.64125828584656097</v>
      </c>
      <c r="P3552" s="14">
        <v>0.61639246996492103</v>
      </c>
      <c r="Q3552" t="str">
        <f t="shared" si="110"/>
        <v>01-09</v>
      </c>
      <c r="R3552" t="str">
        <f t="shared" si="111"/>
        <v>[zphK9WV8JB4]|01-09|Male|Incidence_SUBNAT.Rt.T_1|CY2023Q3</v>
      </c>
    </row>
    <row r="3553" spans="4:18" x14ac:dyDescent="0.2">
      <c r="D3553" t="s">
        <v>52</v>
      </c>
      <c r="E3553" t="s">
        <v>53</v>
      </c>
      <c r="F3553" t="s">
        <v>54</v>
      </c>
      <c r="G3553" t="s">
        <v>151</v>
      </c>
      <c r="H3553" t="s">
        <v>151</v>
      </c>
      <c r="I3553" t="s">
        <v>35</v>
      </c>
      <c r="J3553" t="s">
        <v>36</v>
      </c>
      <c r="K3553" t="s">
        <v>47</v>
      </c>
      <c r="L3553" t="s">
        <v>48</v>
      </c>
      <c r="M3553" t="s">
        <v>139</v>
      </c>
      <c r="N3553">
        <v>1490</v>
      </c>
      <c r="O3553" s="14">
        <v>0.87352705490775395</v>
      </c>
      <c r="P3553" s="14">
        <v>0.61639246996492103</v>
      </c>
      <c r="Q3553" t="str">
        <f t="shared" si="110"/>
        <v>10-14</v>
      </c>
      <c r="R3553" t="str">
        <f t="shared" si="111"/>
        <v>[zphK9WV8JB4]|10-14|Male|Incidence_SUBNAT.Rt.T_1|CY2023Q3</v>
      </c>
    </row>
    <row r="3554" spans="4:18" x14ac:dyDescent="0.2">
      <c r="D3554" t="s">
        <v>52</v>
      </c>
      <c r="E3554" t="s">
        <v>53</v>
      </c>
      <c r="F3554" t="s">
        <v>54</v>
      </c>
      <c r="G3554" t="s">
        <v>151</v>
      </c>
      <c r="H3554" t="s">
        <v>151</v>
      </c>
      <c r="I3554" t="s">
        <v>37</v>
      </c>
      <c r="J3554" t="s">
        <v>38</v>
      </c>
      <c r="K3554" t="s">
        <v>47</v>
      </c>
      <c r="L3554" t="s">
        <v>48</v>
      </c>
      <c r="M3554" t="s">
        <v>139</v>
      </c>
      <c r="N3554">
        <v>1616</v>
      </c>
      <c r="O3554" s="14">
        <v>0.24336844612844299</v>
      </c>
      <c r="P3554" s="14">
        <v>0.61639246996492103</v>
      </c>
      <c r="Q3554" t="str">
        <f t="shared" si="110"/>
        <v>15-24</v>
      </c>
      <c r="R3554" t="str">
        <f t="shared" si="111"/>
        <v>[zphK9WV8JB4]|15-24|Male|Incidence_SUBNAT.Rt.T_1|CY2023Q3</v>
      </c>
    </row>
    <row r="3555" spans="4:18" x14ac:dyDescent="0.2">
      <c r="D3555" t="s">
        <v>52</v>
      </c>
      <c r="E3555" t="s">
        <v>53</v>
      </c>
      <c r="F3555" t="s">
        <v>54</v>
      </c>
      <c r="G3555" t="s">
        <v>151</v>
      </c>
      <c r="H3555" t="s">
        <v>151</v>
      </c>
      <c r="I3555" t="s">
        <v>40</v>
      </c>
      <c r="J3555" t="s">
        <v>41</v>
      </c>
      <c r="K3555" t="s">
        <v>47</v>
      </c>
      <c r="L3555" t="s">
        <v>48</v>
      </c>
      <c r="M3555" t="s">
        <v>139</v>
      </c>
      <c r="N3555">
        <v>1476</v>
      </c>
      <c r="O3555" s="14">
        <v>0.23802107921801499</v>
      </c>
      <c r="P3555" s="14">
        <v>0.61639246996492103</v>
      </c>
      <c r="Q3555" t="str">
        <f t="shared" si="110"/>
        <v>25-34</v>
      </c>
      <c r="R3555" t="str">
        <f t="shared" si="111"/>
        <v>[zphK9WV8JB4]|25-34|Male|Incidence_SUBNAT.Rt.T_1|CY2023Q3</v>
      </c>
    </row>
    <row r="3556" spans="4:18" x14ac:dyDescent="0.2">
      <c r="D3556" t="s">
        <v>52</v>
      </c>
      <c r="E3556" t="s">
        <v>53</v>
      </c>
      <c r="F3556" t="s">
        <v>54</v>
      </c>
      <c r="G3556" t="s">
        <v>151</v>
      </c>
      <c r="H3556" t="s">
        <v>151</v>
      </c>
      <c r="I3556" t="s">
        <v>42</v>
      </c>
      <c r="J3556" t="s">
        <v>43</v>
      </c>
      <c r="K3556" t="s">
        <v>47</v>
      </c>
      <c r="L3556" t="s">
        <v>48</v>
      </c>
      <c r="M3556" t="s">
        <v>139</v>
      </c>
      <c r="N3556">
        <v>561</v>
      </c>
      <c r="O3556" s="14">
        <v>0.94323412515223004</v>
      </c>
      <c r="P3556" s="14">
        <v>0.61639246996492103</v>
      </c>
      <c r="Q3556" t="str">
        <f t="shared" si="110"/>
        <v>35-49</v>
      </c>
      <c r="R3556" t="str">
        <f t="shared" si="111"/>
        <v>[zphK9WV8JB4]|35-49|Male|Incidence_SUBNAT.Rt.T_1|CY2023Q3</v>
      </c>
    </row>
    <row r="3557" spans="4:18" x14ac:dyDescent="0.2">
      <c r="D3557" t="s">
        <v>52</v>
      </c>
      <c r="E3557" t="s">
        <v>53</v>
      </c>
      <c r="F3557" t="s">
        <v>54</v>
      </c>
      <c r="G3557" t="s">
        <v>151</v>
      </c>
      <c r="H3557" t="s">
        <v>151</v>
      </c>
      <c r="I3557" t="s">
        <v>44</v>
      </c>
      <c r="J3557" t="s">
        <v>45</v>
      </c>
      <c r="K3557" t="s">
        <v>47</v>
      </c>
      <c r="L3557" t="s">
        <v>48</v>
      </c>
      <c r="M3557" t="s">
        <v>139</v>
      </c>
      <c r="N3557">
        <v>640</v>
      </c>
      <c r="O3557" s="14">
        <v>0.25102407368831298</v>
      </c>
      <c r="P3557" s="14">
        <v>0.61639246996492103</v>
      </c>
      <c r="Q3557" t="str">
        <f t="shared" si="110"/>
        <v>50+</v>
      </c>
      <c r="R3557" t="str">
        <f t="shared" si="111"/>
        <v>[zphK9WV8JB4]|50+|Male|Incidence_SUBNAT.Rt.T_1|CY2023Q3</v>
      </c>
    </row>
    <row r="3558" spans="4:18" x14ac:dyDescent="0.2">
      <c r="D3558" t="s">
        <v>59</v>
      </c>
      <c r="E3558" t="s">
        <v>60</v>
      </c>
      <c r="F3558" t="s">
        <v>61</v>
      </c>
      <c r="G3558" t="s">
        <v>151</v>
      </c>
      <c r="H3558" t="s">
        <v>151</v>
      </c>
      <c r="I3558" t="s">
        <v>27</v>
      </c>
      <c r="J3558" t="s">
        <v>28</v>
      </c>
      <c r="K3558" t="s">
        <v>29</v>
      </c>
      <c r="L3558" t="s">
        <v>30</v>
      </c>
      <c r="M3558" t="s">
        <v>139</v>
      </c>
      <c r="N3558">
        <v>600</v>
      </c>
      <c r="O3558" s="14">
        <v>0.223341513657942</v>
      </c>
      <c r="P3558" s="14">
        <v>2.6825056178495298E-2</v>
      </c>
      <c r="Q3558" t="str">
        <f t="shared" si="110"/>
        <v>&lt;01</v>
      </c>
      <c r="R3558" t="str">
        <f t="shared" si="111"/>
        <v>[msW2zpIN7up]|&lt;01|Female|Incidence_SUBNAT.Rt.T_1|CY2023Q3</v>
      </c>
    </row>
    <row r="3559" spans="4:18" x14ac:dyDescent="0.2">
      <c r="D3559" t="s">
        <v>59</v>
      </c>
      <c r="E3559" t="s">
        <v>60</v>
      </c>
      <c r="F3559" t="s">
        <v>61</v>
      </c>
      <c r="G3559" t="s">
        <v>151</v>
      </c>
      <c r="H3559" t="s">
        <v>151</v>
      </c>
      <c r="I3559" t="s">
        <v>32</v>
      </c>
      <c r="J3559" t="s">
        <v>33</v>
      </c>
      <c r="K3559" t="s">
        <v>29</v>
      </c>
      <c r="L3559" t="s">
        <v>30</v>
      </c>
      <c r="M3559" t="s">
        <v>139</v>
      </c>
      <c r="N3559">
        <v>1331</v>
      </c>
      <c r="O3559" s="14">
        <v>0.74251450854353596</v>
      </c>
      <c r="P3559" s="14">
        <v>2.6825056178495298E-2</v>
      </c>
      <c r="Q3559" t="str">
        <f t="shared" si="110"/>
        <v>01-09</v>
      </c>
      <c r="R3559" t="str">
        <f t="shared" si="111"/>
        <v>[msW2zpIN7up]|01-09|Female|Incidence_SUBNAT.Rt.T_1|CY2023Q3</v>
      </c>
    </row>
    <row r="3560" spans="4:18" x14ac:dyDescent="0.2">
      <c r="D3560" t="s">
        <v>59</v>
      </c>
      <c r="E3560" t="s">
        <v>60</v>
      </c>
      <c r="F3560" t="s">
        <v>61</v>
      </c>
      <c r="G3560" t="s">
        <v>151</v>
      </c>
      <c r="H3560" t="s">
        <v>151</v>
      </c>
      <c r="I3560" t="s">
        <v>35</v>
      </c>
      <c r="J3560" t="s">
        <v>36</v>
      </c>
      <c r="K3560" t="s">
        <v>29</v>
      </c>
      <c r="L3560" t="s">
        <v>30</v>
      </c>
      <c r="M3560" t="s">
        <v>139</v>
      </c>
      <c r="N3560">
        <v>1367</v>
      </c>
      <c r="O3560" s="14">
        <v>0.18027770589105799</v>
      </c>
      <c r="P3560" s="14">
        <v>2.6825056178495298E-2</v>
      </c>
      <c r="Q3560" t="str">
        <f t="shared" si="110"/>
        <v>10-14</v>
      </c>
      <c r="R3560" t="str">
        <f t="shared" si="111"/>
        <v>[msW2zpIN7up]|10-14|Female|Incidence_SUBNAT.Rt.T_1|CY2023Q3</v>
      </c>
    </row>
    <row r="3561" spans="4:18" x14ac:dyDescent="0.2">
      <c r="D3561" t="s">
        <v>59</v>
      </c>
      <c r="E3561" t="s">
        <v>60</v>
      </c>
      <c r="F3561" t="s">
        <v>61</v>
      </c>
      <c r="G3561" t="s">
        <v>151</v>
      </c>
      <c r="H3561" t="s">
        <v>151</v>
      </c>
      <c r="I3561" t="s">
        <v>37</v>
      </c>
      <c r="J3561" t="s">
        <v>38</v>
      </c>
      <c r="K3561" t="s">
        <v>29</v>
      </c>
      <c r="L3561" t="s">
        <v>30</v>
      </c>
      <c r="M3561" t="s">
        <v>139</v>
      </c>
      <c r="N3561">
        <v>836</v>
      </c>
      <c r="O3561" s="14">
        <v>0.13439014297910001</v>
      </c>
      <c r="P3561" s="14">
        <v>2.6825056178495298E-2</v>
      </c>
      <c r="Q3561" t="str">
        <f t="shared" si="110"/>
        <v>15-24</v>
      </c>
      <c r="R3561" t="str">
        <f t="shared" si="111"/>
        <v>[msW2zpIN7up]|15-24|Female|Incidence_SUBNAT.Rt.T_1|CY2023Q3</v>
      </c>
    </row>
    <row r="3562" spans="4:18" x14ac:dyDescent="0.2">
      <c r="D3562" t="s">
        <v>59</v>
      </c>
      <c r="E3562" t="s">
        <v>60</v>
      </c>
      <c r="F3562" t="s">
        <v>61</v>
      </c>
      <c r="G3562" t="s">
        <v>151</v>
      </c>
      <c r="H3562" t="s">
        <v>151</v>
      </c>
      <c r="I3562" t="s">
        <v>40</v>
      </c>
      <c r="J3562" t="s">
        <v>41</v>
      </c>
      <c r="K3562" t="s">
        <v>29</v>
      </c>
      <c r="L3562" t="s">
        <v>30</v>
      </c>
      <c r="M3562" t="s">
        <v>139</v>
      </c>
      <c r="N3562">
        <v>550</v>
      </c>
      <c r="O3562" s="14">
        <v>0.347310860175639</v>
      </c>
      <c r="P3562" s="14">
        <v>2.6825056178495298E-2</v>
      </c>
      <c r="Q3562" t="str">
        <f t="shared" si="110"/>
        <v>25-34</v>
      </c>
      <c r="R3562" t="str">
        <f t="shared" si="111"/>
        <v>[msW2zpIN7up]|25-34|Female|Incidence_SUBNAT.Rt.T_1|CY2023Q3</v>
      </c>
    </row>
    <row r="3563" spans="4:18" x14ac:dyDescent="0.2">
      <c r="D3563" t="s">
        <v>59</v>
      </c>
      <c r="E3563" t="s">
        <v>60</v>
      </c>
      <c r="F3563" t="s">
        <v>61</v>
      </c>
      <c r="G3563" t="s">
        <v>151</v>
      </c>
      <c r="H3563" t="s">
        <v>151</v>
      </c>
      <c r="I3563" t="s">
        <v>42</v>
      </c>
      <c r="J3563" t="s">
        <v>43</v>
      </c>
      <c r="K3563" t="s">
        <v>29</v>
      </c>
      <c r="L3563" t="s">
        <v>30</v>
      </c>
      <c r="M3563" t="s">
        <v>139</v>
      </c>
      <c r="N3563">
        <v>1377</v>
      </c>
      <c r="O3563" s="14">
        <v>0.69906871230341505</v>
      </c>
      <c r="P3563" s="14">
        <v>2.6825056178495298E-2</v>
      </c>
      <c r="Q3563" t="str">
        <f t="shared" si="110"/>
        <v>35-49</v>
      </c>
      <c r="R3563" t="str">
        <f t="shared" si="111"/>
        <v>[msW2zpIN7up]|35-49|Female|Incidence_SUBNAT.Rt.T_1|CY2023Q3</v>
      </c>
    </row>
    <row r="3564" spans="4:18" x14ac:dyDescent="0.2">
      <c r="D3564" t="s">
        <v>59</v>
      </c>
      <c r="E3564" t="s">
        <v>60</v>
      </c>
      <c r="F3564" t="s">
        <v>61</v>
      </c>
      <c r="G3564" t="s">
        <v>151</v>
      </c>
      <c r="H3564" t="s">
        <v>151</v>
      </c>
      <c r="I3564" t="s">
        <v>44</v>
      </c>
      <c r="J3564" t="s">
        <v>45</v>
      </c>
      <c r="K3564" t="s">
        <v>29</v>
      </c>
      <c r="L3564" t="s">
        <v>30</v>
      </c>
      <c r="M3564" t="s">
        <v>139</v>
      </c>
      <c r="N3564">
        <v>797</v>
      </c>
      <c r="O3564" s="14">
        <v>0.83890865300782003</v>
      </c>
      <c r="P3564" s="14">
        <v>2.6825056178495298E-2</v>
      </c>
      <c r="Q3564" t="str">
        <f t="shared" si="110"/>
        <v>50+</v>
      </c>
      <c r="R3564" t="str">
        <f t="shared" si="111"/>
        <v>[msW2zpIN7up]|50+|Female|Incidence_SUBNAT.Rt.T_1|CY2023Q3</v>
      </c>
    </row>
    <row r="3565" spans="4:18" x14ac:dyDescent="0.2">
      <c r="D3565" t="s">
        <v>59</v>
      </c>
      <c r="E3565" t="s">
        <v>60</v>
      </c>
      <c r="F3565" t="s">
        <v>61</v>
      </c>
      <c r="G3565" t="s">
        <v>151</v>
      </c>
      <c r="H3565" t="s">
        <v>151</v>
      </c>
      <c r="I3565" t="s">
        <v>27</v>
      </c>
      <c r="J3565" t="s">
        <v>28</v>
      </c>
      <c r="K3565" t="s">
        <v>47</v>
      </c>
      <c r="L3565" t="s">
        <v>48</v>
      </c>
      <c r="M3565" t="s">
        <v>139</v>
      </c>
      <c r="N3565">
        <v>1673</v>
      </c>
      <c r="O3565" s="14">
        <v>0.18171707144938401</v>
      </c>
      <c r="P3565" s="14">
        <v>2.6825056178495298E-2</v>
      </c>
      <c r="Q3565" t="str">
        <f t="shared" si="110"/>
        <v>&lt;01</v>
      </c>
      <c r="R3565" t="str">
        <f t="shared" si="111"/>
        <v>[msW2zpIN7up]|&lt;01|Male|Incidence_SUBNAT.Rt.T_1|CY2023Q3</v>
      </c>
    </row>
    <row r="3566" spans="4:18" x14ac:dyDescent="0.2">
      <c r="D3566" t="s">
        <v>59</v>
      </c>
      <c r="E3566" t="s">
        <v>60</v>
      </c>
      <c r="F3566" t="s">
        <v>61</v>
      </c>
      <c r="G3566" t="s">
        <v>151</v>
      </c>
      <c r="H3566" t="s">
        <v>151</v>
      </c>
      <c r="I3566" t="s">
        <v>32</v>
      </c>
      <c r="J3566" t="s">
        <v>33</v>
      </c>
      <c r="K3566" t="s">
        <v>47</v>
      </c>
      <c r="L3566" t="s">
        <v>48</v>
      </c>
      <c r="M3566" t="s">
        <v>139</v>
      </c>
      <c r="N3566">
        <v>614</v>
      </c>
      <c r="O3566" s="14">
        <v>0.22443716367706701</v>
      </c>
      <c r="P3566" s="14">
        <v>2.6825056178495298E-2</v>
      </c>
      <c r="Q3566" t="str">
        <f t="shared" si="110"/>
        <v>01-09</v>
      </c>
      <c r="R3566" t="str">
        <f t="shared" si="111"/>
        <v>[msW2zpIN7up]|01-09|Male|Incidence_SUBNAT.Rt.T_1|CY2023Q3</v>
      </c>
    </row>
    <row r="3567" spans="4:18" x14ac:dyDescent="0.2">
      <c r="D3567" t="s">
        <v>59</v>
      </c>
      <c r="E3567" t="s">
        <v>60</v>
      </c>
      <c r="F3567" t="s">
        <v>61</v>
      </c>
      <c r="G3567" t="s">
        <v>151</v>
      </c>
      <c r="H3567" t="s">
        <v>151</v>
      </c>
      <c r="I3567" t="s">
        <v>35</v>
      </c>
      <c r="J3567" t="s">
        <v>36</v>
      </c>
      <c r="K3567" t="s">
        <v>47</v>
      </c>
      <c r="L3567" t="s">
        <v>48</v>
      </c>
      <c r="M3567" t="s">
        <v>139</v>
      </c>
      <c r="N3567">
        <v>1512</v>
      </c>
      <c r="O3567" s="14">
        <v>0.79423679457977403</v>
      </c>
      <c r="P3567" s="14">
        <v>2.6825056178495298E-2</v>
      </c>
      <c r="Q3567" t="str">
        <f t="shared" si="110"/>
        <v>10-14</v>
      </c>
      <c r="R3567" t="str">
        <f t="shared" si="111"/>
        <v>[msW2zpIN7up]|10-14|Male|Incidence_SUBNAT.Rt.T_1|CY2023Q3</v>
      </c>
    </row>
    <row r="3568" spans="4:18" x14ac:dyDescent="0.2">
      <c r="D3568" t="s">
        <v>59</v>
      </c>
      <c r="E3568" t="s">
        <v>60</v>
      </c>
      <c r="F3568" t="s">
        <v>61</v>
      </c>
      <c r="G3568" t="s">
        <v>151</v>
      </c>
      <c r="H3568" t="s">
        <v>151</v>
      </c>
      <c r="I3568" t="s">
        <v>37</v>
      </c>
      <c r="J3568" t="s">
        <v>38</v>
      </c>
      <c r="K3568" t="s">
        <v>47</v>
      </c>
      <c r="L3568" t="s">
        <v>48</v>
      </c>
      <c r="M3568" t="s">
        <v>139</v>
      </c>
      <c r="N3568">
        <v>1615</v>
      </c>
      <c r="O3568" s="14">
        <v>8.1459979061037302E-2</v>
      </c>
      <c r="P3568" s="14">
        <v>2.6825056178495298E-2</v>
      </c>
      <c r="Q3568" t="str">
        <f t="shared" si="110"/>
        <v>15-24</v>
      </c>
      <c r="R3568" t="str">
        <f t="shared" si="111"/>
        <v>[msW2zpIN7up]|15-24|Male|Incidence_SUBNAT.Rt.T_1|CY2023Q3</v>
      </c>
    </row>
    <row r="3569" spans="4:18" x14ac:dyDescent="0.2">
      <c r="D3569" t="s">
        <v>59</v>
      </c>
      <c r="E3569" t="s">
        <v>60</v>
      </c>
      <c r="F3569" t="s">
        <v>61</v>
      </c>
      <c r="G3569" t="s">
        <v>151</v>
      </c>
      <c r="H3569" t="s">
        <v>151</v>
      </c>
      <c r="I3569" t="s">
        <v>40</v>
      </c>
      <c r="J3569" t="s">
        <v>41</v>
      </c>
      <c r="K3569" t="s">
        <v>47</v>
      </c>
      <c r="L3569" t="s">
        <v>48</v>
      </c>
      <c r="M3569" t="s">
        <v>139</v>
      </c>
      <c r="N3569">
        <v>1054</v>
      </c>
      <c r="O3569" s="14">
        <v>0.497714559780434</v>
      </c>
      <c r="P3569" s="14">
        <v>2.6825056178495298E-2</v>
      </c>
      <c r="Q3569" t="str">
        <f t="shared" si="110"/>
        <v>25-34</v>
      </c>
      <c r="R3569" t="str">
        <f t="shared" si="111"/>
        <v>[msW2zpIN7up]|25-34|Male|Incidence_SUBNAT.Rt.T_1|CY2023Q3</v>
      </c>
    </row>
    <row r="3570" spans="4:18" x14ac:dyDescent="0.2">
      <c r="D3570" t="s">
        <v>59</v>
      </c>
      <c r="E3570" t="s">
        <v>60</v>
      </c>
      <c r="F3570" t="s">
        <v>61</v>
      </c>
      <c r="G3570" t="s">
        <v>151</v>
      </c>
      <c r="H3570" t="s">
        <v>151</v>
      </c>
      <c r="I3570" t="s">
        <v>42</v>
      </c>
      <c r="J3570" t="s">
        <v>43</v>
      </c>
      <c r="K3570" t="s">
        <v>47</v>
      </c>
      <c r="L3570" t="s">
        <v>48</v>
      </c>
      <c r="M3570" t="s">
        <v>139</v>
      </c>
      <c r="N3570">
        <v>642</v>
      </c>
      <c r="O3570" s="14">
        <v>2.00617129448801E-2</v>
      </c>
      <c r="P3570" s="14">
        <v>2.6825056178495298E-2</v>
      </c>
      <c r="Q3570" t="str">
        <f t="shared" si="110"/>
        <v>35-49</v>
      </c>
      <c r="R3570" t="str">
        <f t="shared" si="111"/>
        <v>[msW2zpIN7up]|35-49|Male|Incidence_SUBNAT.Rt.T_1|CY2023Q3</v>
      </c>
    </row>
    <row r="3571" spans="4:18" x14ac:dyDescent="0.2">
      <c r="D3571" t="s">
        <v>59</v>
      </c>
      <c r="E3571" t="s">
        <v>60</v>
      </c>
      <c r="F3571" t="s">
        <v>61</v>
      </c>
      <c r="G3571" t="s">
        <v>151</v>
      </c>
      <c r="H3571" t="s">
        <v>151</v>
      </c>
      <c r="I3571" t="s">
        <v>44</v>
      </c>
      <c r="J3571" t="s">
        <v>45</v>
      </c>
      <c r="K3571" t="s">
        <v>47</v>
      </c>
      <c r="L3571" t="s">
        <v>48</v>
      </c>
      <c r="M3571" t="s">
        <v>139</v>
      </c>
      <c r="N3571">
        <v>1358</v>
      </c>
      <c r="O3571" s="14">
        <v>0.79420370305888399</v>
      </c>
      <c r="P3571" s="14">
        <v>2.6825056178495298E-2</v>
      </c>
      <c r="Q3571" t="str">
        <f t="shared" si="110"/>
        <v>50+</v>
      </c>
      <c r="R3571" t="str">
        <f t="shared" si="111"/>
        <v>[msW2zpIN7up]|50+|Male|Incidence_SUBNAT.Rt.T_1|CY2023Q3</v>
      </c>
    </row>
    <row r="3572" spans="4:18" x14ac:dyDescent="0.2">
      <c r="D3572" t="s">
        <v>62</v>
      </c>
      <c r="E3572" t="s">
        <v>63</v>
      </c>
      <c r="F3572" t="s">
        <v>64</v>
      </c>
      <c r="G3572" t="s">
        <v>151</v>
      </c>
      <c r="H3572" t="s">
        <v>151</v>
      </c>
      <c r="I3572" t="s">
        <v>27</v>
      </c>
      <c r="J3572" t="s">
        <v>28</v>
      </c>
      <c r="K3572" t="s">
        <v>29</v>
      </c>
      <c r="L3572" t="s">
        <v>30</v>
      </c>
      <c r="M3572" t="s">
        <v>139</v>
      </c>
      <c r="N3572">
        <v>632</v>
      </c>
      <c r="O3572" s="14">
        <v>0.13079927559010701</v>
      </c>
      <c r="P3572" s="14">
        <v>0.790102193132043</v>
      </c>
      <c r="Q3572" t="str">
        <f t="shared" si="110"/>
        <v>&lt;01</v>
      </c>
      <c r="R3572" t="str">
        <f t="shared" si="111"/>
        <v>[kxuuIFpOXyO]|&lt;01|Female|Incidence_SUBNAT.Rt.T_1|CY2023Q3</v>
      </c>
    </row>
    <row r="3573" spans="4:18" x14ac:dyDescent="0.2">
      <c r="D3573" t="s">
        <v>62</v>
      </c>
      <c r="E3573" t="s">
        <v>63</v>
      </c>
      <c r="F3573" t="s">
        <v>64</v>
      </c>
      <c r="G3573" t="s">
        <v>151</v>
      </c>
      <c r="H3573" t="s">
        <v>151</v>
      </c>
      <c r="I3573" t="s">
        <v>32</v>
      </c>
      <c r="J3573" t="s">
        <v>33</v>
      </c>
      <c r="K3573" t="s">
        <v>29</v>
      </c>
      <c r="L3573" t="s">
        <v>30</v>
      </c>
      <c r="M3573" t="s">
        <v>139</v>
      </c>
      <c r="N3573">
        <v>667</v>
      </c>
      <c r="O3573" s="14">
        <v>0.44593944097869098</v>
      </c>
      <c r="P3573" s="14">
        <v>0.790102193132043</v>
      </c>
      <c r="Q3573" t="str">
        <f t="shared" si="110"/>
        <v>01-09</v>
      </c>
      <c r="R3573" t="str">
        <f t="shared" si="111"/>
        <v>[kxuuIFpOXyO]|01-09|Female|Incidence_SUBNAT.Rt.T_1|CY2023Q3</v>
      </c>
    </row>
    <row r="3574" spans="4:18" x14ac:dyDescent="0.2">
      <c r="D3574" t="s">
        <v>62</v>
      </c>
      <c r="E3574" t="s">
        <v>63</v>
      </c>
      <c r="F3574" t="s">
        <v>64</v>
      </c>
      <c r="G3574" t="s">
        <v>151</v>
      </c>
      <c r="H3574" t="s">
        <v>151</v>
      </c>
      <c r="I3574" t="s">
        <v>35</v>
      </c>
      <c r="J3574" t="s">
        <v>36</v>
      </c>
      <c r="K3574" t="s">
        <v>29</v>
      </c>
      <c r="L3574" t="s">
        <v>30</v>
      </c>
      <c r="M3574" t="s">
        <v>139</v>
      </c>
      <c r="N3574">
        <v>1463</v>
      </c>
      <c r="O3574" s="14">
        <v>0.92194182728417196</v>
      </c>
      <c r="P3574" s="14">
        <v>0.790102193132043</v>
      </c>
      <c r="Q3574" t="str">
        <f t="shared" si="110"/>
        <v>10-14</v>
      </c>
      <c r="R3574" t="str">
        <f t="shared" si="111"/>
        <v>[kxuuIFpOXyO]|10-14|Female|Incidence_SUBNAT.Rt.T_1|CY2023Q3</v>
      </c>
    </row>
    <row r="3575" spans="4:18" x14ac:dyDescent="0.2">
      <c r="D3575" t="s">
        <v>62</v>
      </c>
      <c r="E3575" t="s">
        <v>63</v>
      </c>
      <c r="F3575" t="s">
        <v>64</v>
      </c>
      <c r="G3575" t="s">
        <v>151</v>
      </c>
      <c r="H3575" t="s">
        <v>151</v>
      </c>
      <c r="I3575" t="s">
        <v>37</v>
      </c>
      <c r="J3575" t="s">
        <v>38</v>
      </c>
      <c r="K3575" t="s">
        <v>29</v>
      </c>
      <c r="L3575" t="s">
        <v>30</v>
      </c>
      <c r="M3575" t="s">
        <v>139</v>
      </c>
      <c r="N3575">
        <v>780</v>
      </c>
      <c r="O3575" s="14">
        <v>0.119801895227283</v>
      </c>
      <c r="P3575" s="14">
        <v>0.790102193132043</v>
      </c>
      <c r="Q3575" t="str">
        <f t="shared" si="110"/>
        <v>15-24</v>
      </c>
      <c r="R3575" t="str">
        <f t="shared" si="111"/>
        <v>[kxuuIFpOXyO]|15-24|Female|Incidence_SUBNAT.Rt.T_1|CY2023Q3</v>
      </c>
    </row>
    <row r="3576" spans="4:18" x14ac:dyDescent="0.2">
      <c r="D3576" t="s">
        <v>62</v>
      </c>
      <c r="E3576" t="s">
        <v>63</v>
      </c>
      <c r="F3576" t="s">
        <v>64</v>
      </c>
      <c r="G3576" t="s">
        <v>151</v>
      </c>
      <c r="H3576" t="s">
        <v>151</v>
      </c>
      <c r="I3576" t="s">
        <v>40</v>
      </c>
      <c r="J3576" t="s">
        <v>41</v>
      </c>
      <c r="K3576" t="s">
        <v>29</v>
      </c>
      <c r="L3576" t="s">
        <v>30</v>
      </c>
      <c r="M3576" t="s">
        <v>139</v>
      </c>
      <c r="N3576">
        <v>566</v>
      </c>
      <c r="O3576" s="14">
        <v>0.199009307660162</v>
      </c>
      <c r="P3576" s="14">
        <v>0.790102193132043</v>
      </c>
      <c r="Q3576" t="str">
        <f t="shared" si="110"/>
        <v>25-34</v>
      </c>
      <c r="R3576" t="str">
        <f t="shared" si="111"/>
        <v>[kxuuIFpOXyO]|25-34|Female|Incidence_SUBNAT.Rt.T_1|CY2023Q3</v>
      </c>
    </row>
    <row r="3577" spans="4:18" x14ac:dyDescent="0.2">
      <c r="D3577" t="s">
        <v>62</v>
      </c>
      <c r="E3577" t="s">
        <v>63</v>
      </c>
      <c r="F3577" t="s">
        <v>64</v>
      </c>
      <c r="G3577" t="s">
        <v>151</v>
      </c>
      <c r="H3577" t="s">
        <v>151</v>
      </c>
      <c r="I3577" t="s">
        <v>42</v>
      </c>
      <c r="J3577" t="s">
        <v>43</v>
      </c>
      <c r="K3577" t="s">
        <v>29</v>
      </c>
      <c r="L3577" t="s">
        <v>30</v>
      </c>
      <c r="M3577" t="s">
        <v>139</v>
      </c>
      <c r="N3577">
        <v>769</v>
      </c>
      <c r="O3577" s="14">
        <v>0.90107960184104696</v>
      </c>
      <c r="P3577" s="14">
        <v>0.790102193132043</v>
      </c>
      <c r="Q3577" t="str">
        <f t="shared" si="110"/>
        <v>35-49</v>
      </c>
      <c r="R3577" t="str">
        <f t="shared" si="111"/>
        <v>[kxuuIFpOXyO]|35-49|Female|Incidence_SUBNAT.Rt.T_1|CY2023Q3</v>
      </c>
    </row>
    <row r="3578" spans="4:18" x14ac:dyDescent="0.2">
      <c r="D3578" t="s">
        <v>62</v>
      </c>
      <c r="E3578" t="s">
        <v>63</v>
      </c>
      <c r="F3578" t="s">
        <v>64</v>
      </c>
      <c r="G3578" t="s">
        <v>151</v>
      </c>
      <c r="H3578" t="s">
        <v>151</v>
      </c>
      <c r="I3578" t="s">
        <v>44</v>
      </c>
      <c r="J3578" t="s">
        <v>45</v>
      </c>
      <c r="K3578" t="s">
        <v>29</v>
      </c>
      <c r="L3578" t="s">
        <v>30</v>
      </c>
      <c r="M3578" t="s">
        <v>139</v>
      </c>
      <c r="N3578">
        <v>703</v>
      </c>
      <c r="O3578" s="14">
        <v>0.94729642011225201</v>
      </c>
      <c r="P3578" s="14">
        <v>0.790102193132043</v>
      </c>
      <c r="Q3578" t="str">
        <f t="shared" si="110"/>
        <v>50+</v>
      </c>
      <c r="R3578" t="str">
        <f t="shared" si="111"/>
        <v>[kxuuIFpOXyO]|50+|Female|Incidence_SUBNAT.Rt.T_1|CY2023Q3</v>
      </c>
    </row>
    <row r="3579" spans="4:18" x14ac:dyDescent="0.2">
      <c r="D3579" t="s">
        <v>62</v>
      </c>
      <c r="E3579" t="s">
        <v>63</v>
      </c>
      <c r="F3579" t="s">
        <v>64</v>
      </c>
      <c r="G3579" t="s">
        <v>151</v>
      </c>
      <c r="H3579" t="s">
        <v>151</v>
      </c>
      <c r="I3579" t="s">
        <v>27</v>
      </c>
      <c r="J3579" t="s">
        <v>28</v>
      </c>
      <c r="K3579" t="s">
        <v>47</v>
      </c>
      <c r="L3579" t="s">
        <v>48</v>
      </c>
      <c r="M3579" t="s">
        <v>139</v>
      </c>
      <c r="N3579">
        <v>1907</v>
      </c>
      <c r="O3579" s="14">
        <v>0.90308019868098199</v>
      </c>
      <c r="P3579" s="14">
        <v>0.790102193132043</v>
      </c>
      <c r="Q3579" t="str">
        <f t="shared" si="110"/>
        <v>&lt;01</v>
      </c>
      <c r="R3579" t="str">
        <f t="shared" si="111"/>
        <v>[kxuuIFpOXyO]|&lt;01|Male|Incidence_SUBNAT.Rt.T_1|CY2023Q3</v>
      </c>
    </row>
    <row r="3580" spans="4:18" x14ac:dyDescent="0.2">
      <c r="D3580" t="s">
        <v>62</v>
      </c>
      <c r="E3580" t="s">
        <v>63</v>
      </c>
      <c r="F3580" t="s">
        <v>64</v>
      </c>
      <c r="G3580" t="s">
        <v>151</v>
      </c>
      <c r="H3580" t="s">
        <v>151</v>
      </c>
      <c r="I3580" t="s">
        <v>32</v>
      </c>
      <c r="J3580" t="s">
        <v>33</v>
      </c>
      <c r="K3580" t="s">
        <v>47</v>
      </c>
      <c r="L3580" t="s">
        <v>48</v>
      </c>
      <c r="M3580" t="s">
        <v>139</v>
      </c>
      <c r="N3580">
        <v>672</v>
      </c>
      <c r="O3580" s="14">
        <v>0.54901125025935504</v>
      </c>
      <c r="P3580" s="14">
        <v>0.790102193132043</v>
      </c>
      <c r="Q3580" t="str">
        <f t="shared" si="110"/>
        <v>01-09</v>
      </c>
      <c r="R3580" t="str">
        <f t="shared" si="111"/>
        <v>[kxuuIFpOXyO]|01-09|Male|Incidence_SUBNAT.Rt.T_1|CY2023Q3</v>
      </c>
    </row>
    <row r="3581" spans="4:18" x14ac:dyDescent="0.2">
      <c r="D3581" t="s">
        <v>62</v>
      </c>
      <c r="E3581" t="s">
        <v>63</v>
      </c>
      <c r="F3581" t="s">
        <v>64</v>
      </c>
      <c r="G3581" t="s">
        <v>151</v>
      </c>
      <c r="H3581" t="s">
        <v>151</v>
      </c>
      <c r="I3581" t="s">
        <v>35</v>
      </c>
      <c r="J3581" t="s">
        <v>36</v>
      </c>
      <c r="K3581" t="s">
        <v>47</v>
      </c>
      <c r="L3581" t="s">
        <v>48</v>
      </c>
      <c r="M3581" t="s">
        <v>139</v>
      </c>
      <c r="N3581">
        <v>1626</v>
      </c>
      <c r="O3581" s="14">
        <v>0.53735885745845702</v>
      </c>
      <c r="P3581" s="14">
        <v>0.790102193132043</v>
      </c>
      <c r="Q3581" t="str">
        <f t="shared" si="110"/>
        <v>10-14</v>
      </c>
      <c r="R3581" t="str">
        <f t="shared" si="111"/>
        <v>[kxuuIFpOXyO]|10-14|Male|Incidence_SUBNAT.Rt.T_1|CY2023Q3</v>
      </c>
    </row>
    <row r="3582" spans="4:18" x14ac:dyDescent="0.2">
      <c r="D3582" t="s">
        <v>62</v>
      </c>
      <c r="E3582" t="s">
        <v>63</v>
      </c>
      <c r="F3582" t="s">
        <v>64</v>
      </c>
      <c r="G3582" t="s">
        <v>151</v>
      </c>
      <c r="H3582" t="s">
        <v>151</v>
      </c>
      <c r="I3582" t="s">
        <v>37</v>
      </c>
      <c r="J3582" t="s">
        <v>38</v>
      </c>
      <c r="K3582" t="s">
        <v>47</v>
      </c>
      <c r="L3582" t="s">
        <v>48</v>
      </c>
      <c r="M3582" t="s">
        <v>139</v>
      </c>
      <c r="N3582">
        <v>690</v>
      </c>
      <c r="O3582" s="14">
        <v>0.51357434410601899</v>
      </c>
      <c r="P3582" s="14">
        <v>0.790102193132043</v>
      </c>
      <c r="Q3582" t="str">
        <f t="shared" si="110"/>
        <v>15-24</v>
      </c>
      <c r="R3582" t="str">
        <f t="shared" si="111"/>
        <v>[kxuuIFpOXyO]|15-24|Male|Incidence_SUBNAT.Rt.T_1|CY2023Q3</v>
      </c>
    </row>
    <row r="3583" spans="4:18" x14ac:dyDescent="0.2">
      <c r="D3583" t="s">
        <v>62</v>
      </c>
      <c r="E3583" t="s">
        <v>63</v>
      </c>
      <c r="F3583" t="s">
        <v>64</v>
      </c>
      <c r="G3583" t="s">
        <v>151</v>
      </c>
      <c r="H3583" t="s">
        <v>151</v>
      </c>
      <c r="I3583" t="s">
        <v>40</v>
      </c>
      <c r="J3583" t="s">
        <v>41</v>
      </c>
      <c r="K3583" t="s">
        <v>47</v>
      </c>
      <c r="L3583" t="s">
        <v>48</v>
      </c>
      <c r="M3583" t="s">
        <v>139</v>
      </c>
      <c r="N3583">
        <v>1815</v>
      </c>
      <c r="O3583" s="14">
        <v>0.91160577326081704</v>
      </c>
      <c r="P3583" s="14">
        <v>0.790102193132043</v>
      </c>
      <c r="Q3583" t="str">
        <f t="shared" si="110"/>
        <v>25-34</v>
      </c>
      <c r="R3583" t="str">
        <f t="shared" si="111"/>
        <v>[kxuuIFpOXyO]|25-34|Male|Incidence_SUBNAT.Rt.T_1|CY2023Q3</v>
      </c>
    </row>
    <row r="3584" spans="4:18" x14ac:dyDescent="0.2">
      <c r="D3584" t="s">
        <v>62</v>
      </c>
      <c r="E3584" t="s">
        <v>63</v>
      </c>
      <c r="F3584" t="s">
        <v>64</v>
      </c>
      <c r="G3584" t="s">
        <v>151</v>
      </c>
      <c r="H3584" t="s">
        <v>151</v>
      </c>
      <c r="I3584" t="s">
        <v>42</v>
      </c>
      <c r="J3584" t="s">
        <v>43</v>
      </c>
      <c r="K3584" t="s">
        <v>47</v>
      </c>
      <c r="L3584" t="s">
        <v>48</v>
      </c>
      <c r="M3584" t="s">
        <v>139</v>
      </c>
      <c r="N3584">
        <v>1893</v>
      </c>
      <c r="O3584" s="14">
        <v>0.55177535326220095</v>
      </c>
      <c r="P3584" s="14">
        <v>0.790102193132043</v>
      </c>
      <c r="Q3584" t="str">
        <f t="shared" si="110"/>
        <v>35-49</v>
      </c>
      <c r="R3584" t="str">
        <f t="shared" si="111"/>
        <v>[kxuuIFpOXyO]|35-49|Male|Incidence_SUBNAT.Rt.T_1|CY2023Q3</v>
      </c>
    </row>
    <row r="3585" spans="4:18" x14ac:dyDescent="0.2">
      <c r="D3585" t="s">
        <v>62</v>
      </c>
      <c r="E3585" t="s">
        <v>63</v>
      </c>
      <c r="F3585" t="s">
        <v>64</v>
      </c>
      <c r="G3585" t="s">
        <v>151</v>
      </c>
      <c r="H3585" t="s">
        <v>151</v>
      </c>
      <c r="I3585" t="s">
        <v>44</v>
      </c>
      <c r="J3585" t="s">
        <v>45</v>
      </c>
      <c r="K3585" t="s">
        <v>47</v>
      </c>
      <c r="L3585" t="s">
        <v>48</v>
      </c>
      <c r="M3585" t="s">
        <v>139</v>
      </c>
      <c r="N3585">
        <v>990</v>
      </c>
      <c r="O3585" s="14">
        <v>0.105609651654959</v>
      </c>
      <c r="P3585" s="14">
        <v>0.790102193132043</v>
      </c>
      <c r="Q3585" t="str">
        <f t="shared" si="110"/>
        <v>50+</v>
      </c>
      <c r="R3585" t="str">
        <f t="shared" si="111"/>
        <v>[kxuuIFpOXyO]|50+|Male|Incidence_SUBNAT.Rt.T_1|CY2023Q3</v>
      </c>
    </row>
    <row r="3586" spans="4:18" x14ac:dyDescent="0.2">
      <c r="D3586" t="s">
        <v>65</v>
      </c>
      <c r="E3586" t="s">
        <v>66</v>
      </c>
      <c r="F3586" t="s">
        <v>67</v>
      </c>
      <c r="G3586" t="s">
        <v>151</v>
      </c>
      <c r="H3586" t="s">
        <v>151</v>
      </c>
      <c r="I3586" t="s">
        <v>27</v>
      </c>
      <c r="J3586" t="s">
        <v>28</v>
      </c>
      <c r="K3586" t="s">
        <v>29</v>
      </c>
      <c r="L3586" t="s">
        <v>30</v>
      </c>
      <c r="M3586" t="s">
        <v>139</v>
      </c>
      <c r="N3586">
        <v>656</v>
      </c>
      <c r="O3586" s="14">
        <v>0.46128845307976002</v>
      </c>
      <c r="P3586" s="14">
        <v>0.16460988437756899</v>
      </c>
      <c r="Q3586" t="str">
        <f t="shared" ref="Q3586:Q3649" si="112">SUBSTITUTE(SUBSTITUTE($I3586,CHAR(61),""),CHAR(34),"")</f>
        <v>&lt;01</v>
      </c>
      <c r="R3586" t="str">
        <f t="shared" ref="R3586:R3649" si="113">IF($D3586&lt;&gt;"","["&amp;$E3586&amp;"]"&amp;"|"&amp;$Q3586&amp;"|"&amp;$K3586&amp;"|"&amp;$G3586&amp;"|"&amp;IF($G3586="TX_CURR_SUBNAT.R","CY2022Q4",$M3586),"")</f>
        <v>[ScR9iFKAasW]|&lt;01|Female|Incidence_SUBNAT.Rt.T_1|CY2023Q3</v>
      </c>
    </row>
    <row r="3587" spans="4:18" x14ac:dyDescent="0.2">
      <c r="D3587" t="s">
        <v>65</v>
      </c>
      <c r="E3587" t="s">
        <v>66</v>
      </c>
      <c r="F3587" t="s">
        <v>67</v>
      </c>
      <c r="G3587" t="s">
        <v>151</v>
      </c>
      <c r="H3587" t="s">
        <v>151</v>
      </c>
      <c r="I3587" t="s">
        <v>32</v>
      </c>
      <c r="J3587" t="s">
        <v>33</v>
      </c>
      <c r="K3587" t="s">
        <v>29</v>
      </c>
      <c r="L3587" t="s">
        <v>30</v>
      </c>
      <c r="M3587" t="s">
        <v>139</v>
      </c>
      <c r="N3587">
        <v>568</v>
      </c>
      <c r="O3587" s="14">
        <v>0.63120164838619497</v>
      </c>
      <c r="P3587" s="14">
        <v>0.16460988437756899</v>
      </c>
      <c r="Q3587" t="str">
        <f t="shared" si="112"/>
        <v>01-09</v>
      </c>
      <c r="R3587" t="str">
        <f t="shared" si="113"/>
        <v>[ScR9iFKAasW]|01-09|Female|Incidence_SUBNAT.Rt.T_1|CY2023Q3</v>
      </c>
    </row>
    <row r="3588" spans="4:18" x14ac:dyDescent="0.2">
      <c r="D3588" t="s">
        <v>65</v>
      </c>
      <c r="E3588" t="s">
        <v>66</v>
      </c>
      <c r="F3588" t="s">
        <v>67</v>
      </c>
      <c r="G3588" t="s">
        <v>151</v>
      </c>
      <c r="H3588" t="s">
        <v>151</v>
      </c>
      <c r="I3588" t="s">
        <v>35</v>
      </c>
      <c r="J3588" t="s">
        <v>36</v>
      </c>
      <c r="K3588" t="s">
        <v>29</v>
      </c>
      <c r="L3588" t="s">
        <v>30</v>
      </c>
      <c r="M3588" t="s">
        <v>139</v>
      </c>
      <c r="N3588">
        <v>899</v>
      </c>
      <c r="O3588" s="14">
        <v>0.24760838830843601</v>
      </c>
      <c r="P3588" s="14">
        <v>0.16460988437756899</v>
      </c>
      <c r="Q3588" t="str">
        <f t="shared" si="112"/>
        <v>10-14</v>
      </c>
      <c r="R3588" t="str">
        <f t="shared" si="113"/>
        <v>[ScR9iFKAasW]|10-14|Female|Incidence_SUBNAT.Rt.T_1|CY2023Q3</v>
      </c>
    </row>
    <row r="3589" spans="4:18" x14ac:dyDescent="0.2">
      <c r="D3589" t="s">
        <v>65</v>
      </c>
      <c r="E3589" t="s">
        <v>66</v>
      </c>
      <c r="F3589" t="s">
        <v>67</v>
      </c>
      <c r="G3589" t="s">
        <v>151</v>
      </c>
      <c r="H3589" t="s">
        <v>151</v>
      </c>
      <c r="I3589" t="s">
        <v>37</v>
      </c>
      <c r="J3589" t="s">
        <v>38</v>
      </c>
      <c r="K3589" t="s">
        <v>29</v>
      </c>
      <c r="L3589" t="s">
        <v>30</v>
      </c>
      <c r="M3589" t="s">
        <v>139</v>
      </c>
      <c r="N3589">
        <v>1297</v>
      </c>
      <c r="O3589" s="14">
        <v>0.13334730337373901</v>
      </c>
      <c r="P3589" s="14">
        <v>0.16460988437756899</v>
      </c>
      <c r="Q3589" t="str">
        <f t="shared" si="112"/>
        <v>15-24</v>
      </c>
      <c r="R3589" t="str">
        <f t="shared" si="113"/>
        <v>[ScR9iFKAasW]|15-24|Female|Incidence_SUBNAT.Rt.T_1|CY2023Q3</v>
      </c>
    </row>
    <row r="3590" spans="4:18" x14ac:dyDescent="0.2">
      <c r="D3590" t="s">
        <v>65</v>
      </c>
      <c r="E3590" t="s">
        <v>66</v>
      </c>
      <c r="F3590" t="s">
        <v>67</v>
      </c>
      <c r="G3590" t="s">
        <v>151</v>
      </c>
      <c r="H3590" t="s">
        <v>151</v>
      </c>
      <c r="I3590" t="s">
        <v>40</v>
      </c>
      <c r="J3590" t="s">
        <v>41</v>
      </c>
      <c r="K3590" t="s">
        <v>29</v>
      </c>
      <c r="L3590" t="s">
        <v>30</v>
      </c>
      <c r="M3590" t="s">
        <v>139</v>
      </c>
      <c r="N3590">
        <v>1084</v>
      </c>
      <c r="O3590" s="14">
        <v>8.1215555081144003E-2</v>
      </c>
      <c r="P3590" s="14">
        <v>0.16460988437756899</v>
      </c>
      <c r="Q3590" t="str">
        <f t="shared" si="112"/>
        <v>25-34</v>
      </c>
      <c r="R3590" t="str">
        <f t="shared" si="113"/>
        <v>[ScR9iFKAasW]|25-34|Female|Incidence_SUBNAT.Rt.T_1|CY2023Q3</v>
      </c>
    </row>
    <row r="3591" spans="4:18" x14ac:dyDescent="0.2">
      <c r="D3591" t="s">
        <v>65</v>
      </c>
      <c r="E3591" t="s">
        <v>66</v>
      </c>
      <c r="F3591" t="s">
        <v>67</v>
      </c>
      <c r="G3591" t="s">
        <v>151</v>
      </c>
      <c r="H3591" t="s">
        <v>151</v>
      </c>
      <c r="I3591" t="s">
        <v>42</v>
      </c>
      <c r="J3591" t="s">
        <v>43</v>
      </c>
      <c r="K3591" t="s">
        <v>29</v>
      </c>
      <c r="L3591" t="s">
        <v>30</v>
      </c>
      <c r="M3591" t="s">
        <v>139</v>
      </c>
      <c r="N3591">
        <v>521</v>
      </c>
      <c r="O3591" s="14">
        <v>0.94124905765056599</v>
      </c>
      <c r="P3591" s="14">
        <v>0.16460988437756899</v>
      </c>
      <c r="Q3591" t="str">
        <f t="shared" si="112"/>
        <v>35-49</v>
      </c>
      <c r="R3591" t="str">
        <f t="shared" si="113"/>
        <v>[ScR9iFKAasW]|35-49|Female|Incidence_SUBNAT.Rt.T_1|CY2023Q3</v>
      </c>
    </row>
    <row r="3592" spans="4:18" x14ac:dyDescent="0.2">
      <c r="D3592" t="s">
        <v>65</v>
      </c>
      <c r="E3592" t="s">
        <v>66</v>
      </c>
      <c r="F3592" t="s">
        <v>67</v>
      </c>
      <c r="G3592" t="s">
        <v>151</v>
      </c>
      <c r="H3592" t="s">
        <v>151</v>
      </c>
      <c r="I3592" t="s">
        <v>44</v>
      </c>
      <c r="J3592" t="s">
        <v>45</v>
      </c>
      <c r="K3592" t="s">
        <v>29</v>
      </c>
      <c r="L3592" t="s">
        <v>30</v>
      </c>
      <c r="M3592" t="s">
        <v>139</v>
      </c>
      <c r="N3592">
        <v>1354</v>
      </c>
      <c r="O3592" s="14">
        <v>0.51778433541767299</v>
      </c>
      <c r="P3592" s="14">
        <v>0.16460988437756899</v>
      </c>
      <c r="Q3592" t="str">
        <f t="shared" si="112"/>
        <v>50+</v>
      </c>
      <c r="R3592" t="str">
        <f t="shared" si="113"/>
        <v>[ScR9iFKAasW]|50+|Female|Incidence_SUBNAT.Rt.T_1|CY2023Q3</v>
      </c>
    </row>
    <row r="3593" spans="4:18" x14ac:dyDescent="0.2">
      <c r="D3593" t="s">
        <v>65</v>
      </c>
      <c r="E3593" t="s">
        <v>66</v>
      </c>
      <c r="F3593" t="s">
        <v>67</v>
      </c>
      <c r="G3593" t="s">
        <v>151</v>
      </c>
      <c r="H3593" t="s">
        <v>151</v>
      </c>
      <c r="I3593" t="s">
        <v>27</v>
      </c>
      <c r="J3593" t="s">
        <v>28</v>
      </c>
      <c r="K3593" t="s">
        <v>47</v>
      </c>
      <c r="L3593" t="s">
        <v>48</v>
      </c>
      <c r="M3593" t="s">
        <v>139</v>
      </c>
      <c r="N3593">
        <v>1516</v>
      </c>
      <c r="O3593" s="14">
        <v>0.192990111652762</v>
      </c>
      <c r="P3593" s="14">
        <v>0.16460988437756899</v>
      </c>
      <c r="Q3593" t="str">
        <f t="shared" si="112"/>
        <v>&lt;01</v>
      </c>
      <c r="R3593" t="str">
        <f t="shared" si="113"/>
        <v>[ScR9iFKAasW]|&lt;01|Male|Incidence_SUBNAT.Rt.T_1|CY2023Q3</v>
      </c>
    </row>
    <row r="3594" spans="4:18" x14ac:dyDescent="0.2">
      <c r="D3594" t="s">
        <v>65</v>
      </c>
      <c r="E3594" t="s">
        <v>66</v>
      </c>
      <c r="F3594" t="s">
        <v>67</v>
      </c>
      <c r="G3594" t="s">
        <v>151</v>
      </c>
      <c r="H3594" t="s">
        <v>151</v>
      </c>
      <c r="I3594" t="s">
        <v>32</v>
      </c>
      <c r="J3594" t="s">
        <v>33</v>
      </c>
      <c r="K3594" t="s">
        <v>47</v>
      </c>
      <c r="L3594" t="s">
        <v>48</v>
      </c>
      <c r="M3594" t="s">
        <v>139</v>
      </c>
      <c r="N3594">
        <v>1065</v>
      </c>
      <c r="O3594" s="14">
        <v>0.52636270551011</v>
      </c>
      <c r="P3594" s="14">
        <v>0.16460988437756899</v>
      </c>
      <c r="Q3594" t="str">
        <f t="shared" si="112"/>
        <v>01-09</v>
      </c>
      <c r="R3594" t="str">
        <f t="shared" si="113"/>
        <v>[ScR9iFKAasW]|01-09|Male|Incidence_SUBNAT.Rt.T_1|CY2023Q3</v>
      </c>
    </row>
    <row r="3595" spans="4:18" x14ac:dyDescent="0.2">
      <c r="D3595" t="s">
        <v>65</v>
      </c>
      <c r="E3595" t="s">
        <v>66</v>
      </c>
      <c r="F3595" t="s">
        <v>67</v>
      </c>
      <c r="G3595" t="s">
        <v>151</v>
      </c>
      <c r="H3595" t="s">
        <v>151</v>
      </c>
      <c r="I3595" t="s">
        <v>35</v>
      </c>
      <c r="J3595" t="s">
        <v>36</v>
      </c>
      <c r="K3595" t="s">
        <v>47</v>
      </c>
      <c r="L3595" t="s">
        <v>48</v>
      </c>
      <c r="M3595" t="s">
        <v>139</v>
      </c>
      <c r="N3595">
        <v>792</v>
      </c>
      <c r="O3595" s="14">
        <v>0.85431767418049298</v>
      </c>
      <c r="P3595" s="14">
        <v>0.16460988437756899</v>
      </c>
      <c r="Q3595" t="str">
        <f t="shared" si="112"/>
        <v>10-14</v>
      </c>
      <c r="R3595" t="str">
        <f t="shared" si="113"/>
        <v>[ScR9iFKAasW]|10-14|Male|Incidence_SUBNAT.Rt.T_1|CY2023Q3</v>
      </c>
    </row>
    <row r="3596" spans="4:18" x14ac:dyDescent="0.2">
      <c r="D3596" t="s">
        <v>65</v>
      </c>
      <c r="E3596" t="s">
        <v>66</v>
      </c>
      <c r="F3596" t="s">
        <v>67</v>
      </c>
      <c r="G3596" t="s">
        <v>151</v>
      </c>
      <c r="H3596" t="s">
        <v>151</v>
      </c>
      <c r="I3596" t="s">
        <v>37</v>
      </c>
      <c r="J3596" t="s">
        <v>38</v>
      </c>
      <c r="K3596" t="s">
        <v>47</v>
      </c>
      <c r="L3596" t="s">
        <v>48</v>
      </c>
      <c r="M3596" t="s">
        <v>139</v>
      </c>
      <c r="N3596">
        <v>1833</v>
      </c>
      <c r="O3596" s="14">
        <v>5.61588564887643E-2</v>
      </c>
      <c r="P3596" s="14">
        <v>0.16460988437756899</v>
      </c>
      <c r="Q3596" t="str">
        <f t="shared" si="112"/>
        <v>15-24</v>
      </c>
      <c r="R3596" t="str">
        <f t="shared" si="113"/>
        <v>[ScR9iFKAasW]|15-24|Male|Incidence_SUBNAT.Rt.T_1|CY2023Q3</v>
      </c>
    </row>
    <row r="3597" spans="4:18" x14ac:dyDescent="0.2">
      <c r="D3597" t="s">
        <v>65</v>
      </c>
      <c r="E3597" t="s">
        <v>66</v>
      </c>
      <c r="F3597" t="s">
        <v>67</v>
      </c>
      <c r="G3597" t="s">
        <v>151</v>
      </c>
      <c r="H3597" t="s">
        <v>151</v>
      </c>
      <c r="I3597" t="s">
        <v>40</v>
      </c>
      <c r="J3597" t="s">
        <v>41</v>
      </c>
      <c r="K3597" t="s">
        <v>47</v>
      </c>
      <c r="L3597" t="s">
        <v>48</v>
      </c>
      <c r="M3597" t="s">
        <v>139</v>
      </c>
      <c r="N3597">
        <v>1464</v>
      </c>
      <c r="O3597" s="14">
        <v>0.45699427276849702</v>
      </c>
      <c r="P3597" s="14">
        <v>0.16460988437756899</v>
      </c>
      <c r="Q3597" t="str">
        <f t="shared" si="112"/>
        <v>25-34</v>
      </c>
      <c r="R3597" t="str">
        <f t="shared" si="113"/>
        <v>[ScR9iFKAasW]|25-34|Male|Incidence_SUBNAT.Rt.T_1|CY2023Q3</v>
      </c>
    </row>
    <row r="3598" spans="4:18" x14ac:dyDescent="0.2">
      <c r="D3598" t="s">
        <v>65</v>
      </c>
      <c r="E3598" t="s">
        <v>66</v>
      </c>
      <c r="F3598" t="s">
        <v>67</v>
      </c>
      <c r="G3598" t="s">
        <v>151</v>
      </c>
      <c r="H3598" t="s">
        <v>151</v>
      </c>
      <c r="I3598" t="s">
        <v>42</v>
      </c>
      <c r="J3598" t="s">
        <v>43</v>
      </c>
      <c r="K3598" t="s">
        <v>47</v>
      </c>
      <c r="L3598" t="s">
        <v>48</v>
      </c>
      <c r="M3598" t="s">
        <v>139</v>
      </c>
      <c r="N3598">
        <v>1492</v>
      </c>
      <c r="O3598" s="14">
        <v>1.12127754837275E-2</v>
      </c>
      <c r="P3598" s="14">
        <v>0.16460988437756899</v>
      </c>
      <c r="Q3598" t="str">
        <f t="shared" si="112"/>
        <v>35-49</v>
      </c>
      <c r="R3598" t="str">
        <f t="shared" si="113"/>
        <v>[ScR9iFKAasW]|35-49|Male|Incidence_SUBNAT.Rt.T_1|CY2023Q3</v>
      </c>
    </row>
    <row r="3599" spans="4:18" x14ac:dyDescent="0.2">
      <c r="D3599" t="s">
        <v>65</v>
      </c>
      <c r="E3599" t="s">
        <v>66</v>
      </c>
      <c r="F3599" t="s">
        <v>67</v>
      </c>
      <c r="G3599" t="s">
        <v>151</v>
      </c>
      <c r="H3599" t="s">
        <v>151</v>
      </c>
      <c r="I3599" t="s">
        <v>44</v>
      </c>
      <c r="J3599" t="s">
        <v>45</v>
      </c>
      <c r="K3599" t="s">
        <v>47</v>
      </c>
      <c r="L3599" t="s">
        <v>48</v>
      </c>
      <c r="M3599" t="s">
        <v>139</v>
      </c>
      <c r="N3599">
        <v>1681</v>
      </c>
      <c r="O3599" s="14">
        <v>0.63694891543127596</v>
      </c>
      <c r="P3599" s="14">
        <v>0.16460988437756899</v>
      </c>
      <c r="Q3599" t="str">
        <f t="shared" si="112"/>
        <v>50+</v>
      </c>
      <c r="R3599" t="str">
        <f t="shared" si="113"/>
        <v>[ScR9iFKAasW]|50+|Male|Incidence_SUBNAT.Rt.T_1|CY2023Q3</v>
      </c>
    </row>
    <row r="3600" spans="4:18" x14ac:dyDescent="0.2">
      <c r="D3600" t="s">
        <v>68</v>
      </c>
      <c r="E3600" t="s">
        <v>69</v>
      </c>
      <c r="F3600" t="s">
        <v>70</v>
      </c>
      <c r="G3600" t="s">
        <v>151</v>
      </c>
      <c r="H3600" t="s">
        <v>151</v>
      </c>
      <c r="I3600" t="s">
        <v>27</v>
      </c>
      <c r="J3600" t="s">
        <v>28</v>
      </c>
      <c r="K3600" t="s">
        <v>29</v>
      </c>
      <c r="L3600" t="s">
        <v>30</v>
      </c>
      <c r="M3600" t="s">
        <v>139</v>
      </c>
      <c r="N3600">
        <v>1649</v>
      </c>
      <c r="O3600" s="14">
        <v>0.36328542931005398</v>
      </c>
      <c r="P3600" s="14">
        <v>0.19881726312451101</v>
      </c>
      <c r="Q3600" t="str">
        <f t="shared" si="112"/>
        <v>&lt;01</v>
      </c>
      <c r="R3600" t="str">
        <f t="shared" si="113"/>
        <v>[PekKUkKHAzY]|&lt;01|Female|Incidence_SUBNAT.Rt.T_1|CY2023Q3</v>
      </c>
    </row>
    <row r="3601" spans="4:18" x14ac:dyDescent="0.2">
      <c r="D3601" t="s">
        <v>68</v>
      </c>
      <c r="E3601" t="s">
        <v>69</v>
      </c>
      <c r="F3601" t="s">
        <v>70</v>
      </c>
      <c r="G3601" t="s">
        <v>151</v>
      </c>
      <c r="H3601" t="s">
        <v>151</v>
      </c>
      <c r="I3601" t="s">
        <v>32</v>
      </c>
      <c r="J3601" t="s">
        <v>33</v>
      </c>
      <c r="K3601" t="s">
        <v>29</v>
      </c>
      <c r="L3601" t="s">
        <v>30</v>
      </c>
      <c r="M3601" t="s">
        <v>139</v>
      </c>
      <c r="N3601">
        <v>662</v>
      </c>
      <c r="O3601" s="14">
        <v>0.20142006198875601</v>
      </c>
      <c r="P3601" s="14">
        <v>0.19881726312451101</v>
      </c>
      <c r="Q3601" t="str">
        <f t="shared" si="112"/>
        <v>01-09</v>
      </c>
      <c r="R3601" t="str">
        <f t="shared" si="113"/>
        <v>[PekKUkKHAzY]|01-09|Female|Incidence_SUBNAT.Rt.T_1|CY2023Q3</v>
      </c>
    </row>
    <row r="3602" spans="4:18" x14ac:dyDescent="0.2">
      <c r="D3602" t="s">
        <v>68</v>
      </c>
      <c r="E3602" t="s">
        <v>69</v>
      </c>
      <c r="F3602" t="s">
        <v>70</v>
      </c>
      <c r="G3602" t="s">
        <v>151</v>
      </c>
      <c r="H3602" t="s">
        <v>151</v>
      </c>
      <c r="I3602" t="s">
        <v>35</v>
      </c>
      <c r="J3602" t="s">
        <v>36</v>
      </c>
      <c r="K3602" t="s">
        <v>29</v>
      </c>
      <c r="L3602" t="s">
        <v>30</v>
      </c>
      <c r="M3602" t="s">
        <v>139</v>
      </c>
      <c r="N3602">
        <v>1688</v>
      </c>
      <c r="O3602" s="14">
        <v>0.31272185267880598</v>
      </c>
      <c r="P3602" s="14">
        <v>0.19881726312451101</v>
      </c>
      <c r="Q3602" t="str">
        <f t="shared" si="112"/>
        <v>10-14</v>
      </c>
      <c r="R3602" t="str">
        <f t="shared" si="113"/>
        <v>[PekKUkKHAzY]|10-14|Female|Incidence_SUBNAT.Rt.T_1|CY2023Q3</v>
      </c>
    </row>
    <row r="3603" spans="4:18" x14ac:dyDescent="0.2">
      <c r="D3603" t="s">
        <v>68</v>
      </c>
      <c r="E3603" t="s">
        <v>69</v>
      </c>
      <c r="F3603" t="s">
        <v>70</v>
      </c>
      <c r="G3603" t="s">
        <v>151</v>
      </c>
      <c r="H3603" t="s">
        <v>151</v>
      </c>
      <c r="I3603" t="s">
        <v>37</v>
      </c>
      <c r="J3603" t="s">
        <v>38</v>
      </c>
      <c r="K3603" t="s">
        <v>29</v>
      </c>
      <c r="L3603" t="s">
        <v>30</v>
      </c>
      <c r="M3603" t="s">
        <v>139</v>
      </c>
      <c r="N3603">
        <v>1047</v>
      </c>
      <c r="O3603" s="14">
        <v>8.2775834249332506E-2</v>
      </c>
      <c r="P3603" s="14">
        <v>0.19881726312451101</v>
      </c>
      <c r="Q3603" t="str">
        <f t="shared" si="112"/>
        <v>15-24</v>
      </c>
      <c r="R3603" t="str">
        <f t="shared" si="113"/>
        <v>[PekKUkKHAzY]|15-24|Female|Incidence_SUBNAT.Rt.T_1|CY2023Q3</v>
      </c>
    </row>
    <row r="3604" spans="4:18" x14ac:dyDescent="0.2">
      <c r="D3604" t="s">
        <v>68</v>
      </c>
      <c r="E3604" t="s">
        <v>69</v>
      </c>
      <c r="F3604" t="s">
        <v>70</v>
      </c>
      <c r="G3604" t="s">
        <v>151</v>
      </c>
      <c r="H3604" t="s">
        <v>151</v>
      </c>
      <c r="I3604" t="s">
        <v>40</v>
      </c>
      <c r="J3604" t="s">
        <v>41</v>
      </c>
      <c r="K3604" t="s">
        <v>29</v>
      </c>
      <c r="L3604" t="s">
        <v>30</v>
      </c>
      <c r="M3604" t="s">
        <v>139</v>
      </c>
      <c r="N3604">
        <v>519</v>
      </c>
      <c r="O3604" s="14">
        <v>0.568391174077988</v>
      </c>
      <c r="P3604" s="14">
        <v>0.19881726312451101</v>
      </c>
      <c r="Q3604" t="str">
        <f t="shared" si="112"/>
        <v>25-34</v>
      </c>
      <c r="R3604" t="str">
        <f t="shared" si="113"/>
        <v>[PekKUkKHAzY]|25-34|Female|Incidence_SUBNAT.Rt.T_1|CY2023Q3</v>
      </c>
    </row>
    <row r="3605" spans="4:18" x14ac:dyDescent="0.2">
      <c r="D3605" t="s">
        <v>68</v>
      </c>
      <c r="E3605" t="s">
        <v>69</v>
      </c>
      <c r="F3605" t="s">
        <v>70</v>
      </c>
      <c r="G3605" t="s">
        <v>151</v>
      </c>
      <c r="H3605" t="s">
        <v>151</v>
      </c>
      <c r="I3605" t="s">
        <v>42</v>
      </c>
      <c r="J3605" t="s">
        <v>43</v>
      </c>
      <c r="K3605" t="s">
        <v>29</v>
      </c>
      <c r="L3605" t="s">
        <v>30</v>
      </c>
      <c r="M3605" t="s">
        <v>139</v>
      </c>
      <c r="N3605">
        <v>1119</v>
      </c>
      <c r="O3605" s="14">
        <v>0.78205292532220505</v>
      </c>
      <c r="P3605" s="14">
        <v>0.19881726312451101</v>
      </c>
      <c r="Q3605" t="str">
        <f t="shared" si="112"/>
        <v>35-49</v>
      </c>
      <c r="R3605" t="str">
        <f t="shared" si="113"/>
        <v>[PekKUkKHAzY]|35-49|Female|Incidence_SUBNAT.Rt.T_1|CY2023Q3</v>
      </c>
    </row>
    <row r="3606" spans="4:18" x14ac:dyDescent="0.2">
      <c r="D3606" t="s">
        <v>68</v>
      </c>
      <c r="E3606" t="s">
        <v>69</v>
      </c>
      <c r="F3606" t="s">
        <v>70</v>
      </c>
      <c r="G3606" t="s">
        <v>151</v>
      </c>
      <c r="H3606" t="s">
        <v>151</v>
      </c>
      <c r="I3606" t="s">
        <v>44</v>
      </c>
      <c r="J3606" t="s">
        <v>45</v>
      </c>
      <c r="K3606" t="s">
        <v>29</v>
      </c>
      <c r="L3606" t="s">
        <v>30</v>
      </c>
      <c r="M3606" t="s">
        <v>139</v>
      </c>
      <c r="N3606">
        <v>1463</v>
      </c>
      <c r="O3606" s="14">
        <v>0.36642680177465098</v>
      </c>
      <c r="P3606" s="14">
        <v>0.19881726312451101</v>
      </c>
      <c r="Q3606" t="str">
        <f t="shared" si="112"/>
        <v>50+</v>
      </c>
      <c r="R3606" t="str">
        <f t="shared" si="113"/>
        <v>[PekKUkKHAzY]|50+|Female|Incidence_SUBNAT.Rt.T_1|CY2023Q3</v>
      </c>
    </row>
    <row r="3607" spans="4:18" x14ac:dyDescent="0.2">
      <c r="D3607" t="s">
        <v>68</v>
      </c>
      <c r="E3607" t="s">
        <v>69</v>
      </c>
      <c r="F3607" t="s">
        <v>70</v>
      </c>
      <c r="G3607" t="s">
        <v>151</v>
      </c>
      <c r="H3607" t="s">
        <v>151</v>
      </c>
      <c r="I3607" t="s">
        <v>27</v>
      </c>
      <c r="J3607" t="s">
        <v>28</v>
      </c>
      <c r="K3607" t="s">
        <v>47</v>
      </c>
      <c r="L3607" t="s">
        <v>48</v>
      </c>
      <c r="M3607" t="s">
        <v>139</v>
      </c>
      <c r="N3607">
        <v>1089</v>
      </c>
      <c r="O3607" s="14">
        <v>0.97206250694580398</v>
      </c>
      <c r="P3607" s="14">
        <v>0.19881726312451101</v>
      </c>
      <c r="Q3607" t="str">
        <f t="shared" si="112"/>
        <v>&lt;01</v>
      </c>
      <c r="R3607" t="str">
        <f t="shared" si="113"/>
        <v>[PekKUkKHAzY]|&lt;01|Male|Incidence_SUBNAT.Rt.T_1|CY2023Q3</v>
      </c>
    </row>
    <row r="3608" spans="4:18" x14ac:dyDescent="0.2">
      <c r="D3608" t="s">
        <v>68</v>
      </c>
      <c r="E3608" t="s">
        <v>69</v>
      </c>
      <c r="F3608" t="s">
        <v>70</v>
      </c>
      <c r="G3608" t="s">
        <v>151</v>
      </c>
      <c r="H3608" t="s">
        <v>151</v>
      </c>
      <c r="I3608" t="s">
        <v>32</v>
      </c>
      <c r="J3608" t="s">
        <v>33</v>
      </c>
      <c r="K3608" t="s">
        <v>47</v>
      </c>
      <c r="L3608" t="s">
        <v>48</v>
      </c>
      <c r="M3608" t="s">
        <v>139</v>
      </c>
      <c r="N3608">
        <v>862</v>
      </c>
      <c r="O3608" s="14">
        <v>4.7034645220264799E-2</v>
      </c>
      <c r="P3608" s="14">
        <v>0.19881726312451101</v>
      </c>
      <c r="Q3608" t="str">
        <f t="shared" si="112"/>
        <v>01-09</v>
      </c>
      <c r="R3608" t="str">
        <f t="shared" si="113"/>
        <v>[PekKUkKHAzY]|01-09|Male|Incidence_SUBNAT.Rt.T_1|CY2023Q3</v>
      </c>
    </row>
    <row r="3609" spans="4:18" x14ac:dyDescent="0.2">
      <c r="D3609" t="s">
        <v>68</v>
      </c>
      <c r="E3609" t="s">
        <v>69</v>
      </c>
      <c r="F3609" t="s">
        <v>70</v>
      </c>
      <c r="G3609" t="s">
        <v>151</v>
      </c>
      <c r="H3609" t="s">
        <v>151</v>
      </c>
      <c r="I3609" t="s">
        <v>35</v>
      </c>
      <c r="J3609" t="s">
        <v>36</v>
      </c>
      <c r="K3609" t="s">
        <v>47</v>
      </c>
      <c r="L3609" t="s">
        <v>48</v>
      </c>
      <c r="M3609" t="s">
        <v>139</v>
      </c>
      <c r="N3609">
        <v>1234</v>
      </c>
      <c r="O3609" s="14">
        <v>0.857234941795468</v>
      </c>
      <c r="P3609" s="14">
        <v>0.19881726312451101</v>
      </c>
      <c r="Q3609" t="str">
        <f t="shared" si="112"/>
        <v>10-14</v>
      </c>
      <c r="R3609" t="str">
        <f t="shared" si="113"/>
        <v>[PekKUkKHAzY]|10-14|Male|Incidence_SUBNAT.Rt.T_1|CY2023Q3</v>
      </c>
    </row>
    <row r="3610" spans="4:18" x14ac:dyDescent="0.2">
      <c r="D3610" t="s">
        <v>68</v>
      </c>
      <c r="E3610" t="s">
        <v>69</v>
      </c>
      <c r="F3610" t="s">
        <v>70</v>
      </c>
      <c r="G3610" t="s">
        <v>151</v>
      </c>
      <c r="H3610" t="s">
        <v>151</v>
      </c>
      <c r="I3610" t="s">
        <v>37</v>
      </c>
      <c r="J3610" t="s">
        <v>38</v>
      </c>
      <c r="K3610" t="s">
        <v>47</v>
      </c>
      <c r="L3610" t="s">
        <v>48</v>
      </c>
      <c r="M3610" t="s">
        <v>139</v>
      </c>
      <c r="N3610">
        <v>1381</v>
      </c>
      <c r="O3610" s="14">
        <v>0.19755495386198199</v>
      </c>
      <c r="P3610" s="14">
        <v>0.19881726312451101</v>
      </c>
      <c r="Q3610" t="str">
        <f t="shared" si="112"/>
        <v>15-24</v>
      </c>
      <c r="R3610" t="str">
        <f t="shared" si="113"/>
        <v>[PekKUkKHAzY]|15-24|Male|Incidence_SUBNAT.Rt.T_1|CY2023Q3</v>
      </c>
    </row>
    <row r="3611" spans="4:18" x14ac:dyDescent="0.2">
      <c r="D3611" t="s">
        <v>68</v>
      </c>
      <c r="E3611" t="s">
        <v>69</v>
      </c>
      <c r="F3611" t="s">
        <v>70</v>
      </c>
      <c r="G3611" t="s">
        <v>151</v>
      </c>
      <c r="H3611" t="s">
        <v>151</v>
      </c>
      <c r="I3611" t="s">
        <v>40</v>
      </c>
      <c r="J3611" t="s">
        <v>41</v>
      </c>
      <c r="K3611" t="s">
        <v>47</v>
      </c>
      <c r="L3611" t="s">
        <v>48</v>
      </c>
      <c r="M3611" t="s">
        <v>139</v>
      </c>
      <c r="N3611">
        <v>1590</v>
      </c>
      <c r="O3611" s="14">
        <v>0.60923193092457995</v>
      </c>
      <c r="P3611" s="14">
        <v>0.19881726312451101</v>
      </c>
      <c r="Q3611" t="str">
        <f t="shared" si="112"/>
        <v>25-34</v>
      </c>
      <c r="R3611" t="str">
        <f t="shared" si="113"/>
        <v>[PekKUkKHAzY]|25-34|Male|Incidence_SUBNAT.Rt.T_1|CY2023Q3</v>
      </c>
    </row>
    <row r="3612" spans="4:18" x14ac:dyDescent="0.2">
      <c r="D3612" t="s">
        <v>68</v>
      </c>
      <c r="E3612" t="s">
        <v>69</v>
      </c>
      <c r="F3612" t="s">
        <v>70</v>
      </c>
      <c r="G3612" t="s">
        <v>151</v>
      </c>
      <c r="H3612" t="s">
        <v>151</v>
      </c>
      <c r="I3612" t="s">
        <v>42</v>
      </c>
      <c r="J3612" t="s">
        <v>43</v>
      </c>
      <c r="K3612" t="s">
        <v>47</v>
      </c>
      <c r="L3612" t="s">
        <v>48</v>
      </c>
      <c r="M3612" t="s">
        <v>139</v>
      </c>
      <c r="N3612">
        <v>569</v>
      </c>
      <c r="O3612" s="14">
        <v>0.65463643148541495</v>
      </c>
      <c r="P3612" s="14">
        <v>0.19881726312451101</v>
      </c>
      <c r="Q3612" t="str">
        <f t="shared" si="112"/>
        <v>35-49</v>
      </c>
      <c r="R3612" t="str">
        <f t="shared" si="113"/>
        <v>[PekKUkKHAzY]|35-49|Male|Incidence_SUBNAT.Rt.T_1|CY2023Q3</v>
      </c>
    </row>
    <row r="3613" spans="4:18" x14ac:dyDescent="0.2">
      <c r="D3613" t="s">
        <v>68</v>
      </c>
      <c r="E3613" t="s">
        <v>69</v>
      </c>
      <c r="F3613" t="s">
        <v>70</v>
      </c>
      <c r="G3613" t="s">
        <v>151</v>
      </c>
      <c r="H3613" t="s">
        <v>151</v>
      </c>
      <c r="I3613" t="s">
        <v>44</v>
      </c>
      <c r="J3613" t="s">
        <v>45</v>
      </c>
      <c r="K3613" t="s">
        <v>47</v>
      </c>
      <c r="L3613" t="s">
        <v>48</v>
      </c>
      <c r="M3613" t="s">
        <v>139</v>
      </c>
      <c r="N3613">
        <v>871</v>
      </c>
      <c r="O3613" s="14">
        <v>8.5237782914191502E-3</v>
      </c>
      <c r="P3613" s="14">
        <v>0.19881726312451101</v>
      </c>
      <c r="Q3613" t="str">
        <f t="shared" si="112"/>
        <v>50+</v>
      </c>
      <c r="R3613" t="str">
        <f t="shared" si="113"/>
        <v>[PekKUkKHAzY]|50+|Male|Incidence_SUBNAT.Rt.T_1|CY2023Q3</v>
      </c>
    </row>
    <row r="3614" spans="4:18" x14ac:dyDescent="0.2">
      <c r="D3614" t="s">
        <v>71</v>
      </c>
      <c r="E3614" t="s">
        <v>72</v>
      </c>
      <c r="F3614" t="s">
        <v>73</v>
      </c>
      <c r="G3614" t="s">
        <v>151</v>
      </c>
      <c r="H3614" t="s">
        <v>151</v>
      </c>
      <c r="I3614" t="s">
        <v>27</v>
      </c>
      <c r="J3614" t="s">
        <v>28</v>
      </c>
      <c r="K3614" t="s">
        <v>29</v>
      </c>
      <c r="L3614" t="s">
        <v>30</v>
      </c>
      <c r="M3614" t="s">
        <v>139</v>
      </c>
      <c r="N3614">
        <v>846</v>
      </c>
      <c r="O3614" s="14">
        <v>0.74083615746349096</v>
      </c>
      <c r="P3614" s="14">
        <v>0.28972870693542102</v>
      </c>
      <c r="Q3614" t="str">
        <f t="shared" si="112"/>
        <v>&lt;01</v>
      </c>
      <c r="R3614" t="str">
        <f t="shared" si="113"/>
        <v>[am530wpaGvr]|&lt;01|Female|Incidence_SUBNAT.Rt.T_1|CY2023Q3</v>
      </c>
    </row>
    <row r="3615" spans="4:18" x14ac:dyDescent="0.2">
      <c r="D3615" t="s">
        <v>71</v>
      </c>
      <c r="E3615" t="s">
        <v>72</v>
      </c>
      <c r="F3615" t="s">
        <v>73</v>
      </c>
      <c r="G3615" t="s">
        <v>151</v>
      </c>
      <c r="H3615" t="s">
        <v>151</v>
      </c>
      <c r="I3615" t="s">
        <v>32</v>
      </c>
      <c r="J3615" t="s">
        <v>33</v>
      </c>
      <c r="K3615" t="s">
        <v>29</v>
      </c>
      <c r="L3615" t="s">
        <v>30</v>
      </c>
      <c r="M3615" t="s">
        <v>139</v>
      </c>
      <c r="N3615">
        <v>1519</v>
      </c>
      <c r="O3615" s="14">
        <v>0.29428297793492703</v>
      </c>
      <c r="P3615" s="14">
        <v>0.28972870693542102</v>
      </c>
      <c r="Q3615" t="str">
        <f t="shared" si="112"/>
        <v>01-09</v>
      </c>
      <c r="R3615" t="str">
        <f t="shared" si="113"/>
        <v>[am530wpaGvr]|01-09|Female|Incidence_SUBNAT.Rt.T_1|CY2023Q3</v>
      </c>
    </row>
    <row r="3616" spans="4:18" x14ac:dyDescent="0.2">
      <c r="D3616" t="s">
        <v>71</v>
      </c>
      <c r="E3616" t="s">
        <v>72</v>
      </c>
      <c r="F3616" t="s">
        <v>73</v>
      </c>
      <c r="G3616" t="s">
        <v>151</v>
      </c>
      <c r="H3616" t="s">
        <v>151</v>
      </c>
      <c r="I3616" t="s">
        <v>35</v>
      </c>
      <c r="J3616" t="s">
        <v>36</v>
      </c>
      <c r="K3616" t="s">
        <v>29</v>
      </c>
      <c r="L3616" t="s">
        <v>30</v>
      </c>
      <c r="M3616" t="s">
        <v>139</v>
      </c>
      <c r="N3616">
        <v>1215</v>
      </c>
      <c r="O3616" s="14">
        <v>0.25995422969572202</v>
      </c>
      <c r="P3616" s="14">
        <v>0.28972870693542102</v>
      </c>
      <c r="Q3616" t="str">
        <f t="shared" si="112"/>
        <v>10-14</v>
      </c>
      <c r="R3616" t="str">
        <f t="shared" si="113"/>
        <v>[am530wpaGvr]|10-14|Female|Incidence_SUBNAT.Rt.T_1|CY2023Q3</v>
      </c>
    </row>
    <row r="3617" spans="4:18" x14ac:dyDescent="0.2">
      <c r="D3617" t="s">
        <v>71</v>
      </c>
      <c r="E3617" t="s">
        <v>72</v>
      </c>
      <c r="F3617" t="s">
        <v>73</v>
      </c>
      <c r="G3617" t="s">
        <v>151</v>
      </c>
      <c r="H3617" t="s">
        <v>151</v>
      </c>
      <c r="I3617" t="s">
        <v>37</v>
      </c>
      <c r="J3617" t="s">
        <v>38</v>
      </c>
      <c r="K3617" t="s">
        <v>29</v>
      </c>
      <c r="L3617" t="s">
        <v>30</v>
      </c>
      <c r="M3617" t="s">
        <v>139</v>
      </c>
      <c r="N3617">
        <v>1720</v>
      </c>
      <c r="O3617" s="14">
        <v>0.58185643213801097</v>
      </c>
      <c r="P3617" s="14">
        <v>0.28972870693542102</v>
      </c>
      <c r="Q3617" t="str">
        <f t="shared" si="112"/>
        <v>15-24</v>
      </c>
      <c r="R3617" t="str">
        <f t="shared" si="113"/>
        <v>[am530wpaGvr]|15-24|Female|Incidence_SUBNAT.Rt.T_1|CY2023Q3</v>
      </c>
    </row>
    <row r="3618" spans="4:18" x14ac:dyDescent="0.2">
      <c r="D3618" t="s">
        <v>71</v>
      </c>
      <c r="E3618" t="s">
        <v>72</v>
      </c>
      <c r="F3618" t="s">
        <v>73</v>
      </c>
      <c r="G3618" t="s">
        <v>151</v>
      </c>
      <c r="H3618" t="s">
        <v>151</v>
      </c>
      <c r="I3618" t="s">
        <v>40</v>
      </c>
      <c r="J3618" t="s">
        <v>41</v>
      </c>
      <c r="K3618" t="s">
        <v>29</v>
      </c>
      <c r="L3618" t="s">
        <v>30</v>
      </c>
      <c r="M3618" t="s">
        <v>139</v>
      </c>
      <c r="N3618">
        <v>531</v>
      </c>
      <c r="O3618" s="14">
        <v>0.31139338645152698</v>
      </c>
      <c r="P3618" s="14">
        <v>0.28972870693542102</v>
      </c>
      <c r="Q3618" t="str">
        <f t="shared" si="112"/>
        <v>25-34</v>
      </c>
      <c r="R3618" t="str">
        <f t="shared" si="113"/>
        <v>[am530wpaGvr]|25-34|Female|Incidence_SUBNAT.Rt.T_1|CY2023Q3</v>
      </c>
    </row>
    <row r="3619" spans="4:18" x14ac:dyDescent="0.2">
      <c r="D3619" t="s">
        <v>71</v>
      </c>
      <c r="E3619" t="s">
        <v>72</v>
      </c>
      <c r="F3619" t="s">
        <v>73</v>
      </c>
      <c r="G3619" t="s">
        <v>151</v>
      </c>
      <c r="H3619" t="s">
        <v>151</v>
      </c>
      <c r="I3619" t="s">
        <v>42</v>
      </c>
      <c r="J3619" t="s">
        <v>43</v>
      </c>
      <c r="K3619" t="s">
        <v>29</v>
      </c>
      <c r="L3619" t="s">
        <v>30</v>
      </c>
      <c r="M3619" t="s">
        <v>139</v>
      </c>
      <c r="N3619">
        <v>1737</v>
      </c>
      <c r="O3619" s="14">
        <v>0.74887933954596497</v>
      </c>
      <c r="P3619" s="14">
        <v>0.28972870693542102</v>
      </c>
      <c r="Q3619" t="str">
        <f t="shared" si="112"/>
        <v>35-49</v>
      </c>
      <c r="R3619" t="str">
        <f t="shared" si="113"/>
        <v>[am530wpaGvr]|35-49|Female|Incidence_SUBNAT.Rt.T_1|CY2023Q3</v>
      </c>
    </row>
    <row r="3620" spans="4:18" x14ac:dyDescent="0.2">
      <c r="D3620" t="s">
        <v>71</v>
      </c>
      <c r="E3620" t="s">
        <v>72</v>
      </c>
      <c r="F3620" t="s">
        <v>73</v>
      </c>
      <c r="G3620" t="s">
        <v>151</v>
      </c>
      <c r="H3620" t="s">
        <v>151</v>
      </c>
      <c r="I3620" t="s">
        <v>44</v>
      </c>
      <c r="J3620" t="s">
        <v>45</v>
      </c>
      <c r="K3620" t="s">
        <v>29</v>
      </c>
      <c r="L3620" t="s">
        <v>30</v>
      </c>
      <c r="M3620" t="s">
        <v>139</v>
      </c>
      <c r="N3620">
        <v>666</v>
      </c>
      <c r="O3620" s="14">
        <v>0.86412103008478902</v>
      </c>
      <c r="P3620" s="14">
        <v>0.28972870693542102</v>
      </c>
      <c r="Q3620" t="str">
        <f t="shared" si="112"/>
        <v>50+</v>
      </c>
      <c r="R3620" t="str">
        <f t="shared" si="113"/>
        <v>[am530wpaGvr]|50+|Female|Incidence_SUBNAT.Rt.T_1|CY2023Q3</v>
      </c>
    </row>
    <row r="3621" spans="4:18" x14ac:dyDescent="0.2">
      <c r="D3621" t="s">
        <v>71</v>
      </c>
      <c r="E3621" t="s">
        <v>72</v>
      </c>
      <c r="F3621" t="s">
        <v>73</v>
      </c>
      <c r="G3621" t="s">
        <v>151</v>
      </c>
      <c r="H3621" t="s">
        <v>151</v>
      </c>
      <c r="I3621" t="s">
        <v>27</v>
      </c>
      <c r="J3621" t="s">
        <v>28</v>
      </c>
      <c r="K3621" t="s">
        <v>47</v>
      </c>
      <c r="L3621" t="s">
        <v>48</v>
      </c>
      <c r="M3621" t="s">
        <v>139</v>
      </c>
      <c r="N3621">
        <v>1547</v>
      </c>
      <c r="O3621" s="14">
        <v>0.57612066878937196</v>
      </c>
      <c r="P3621" s="14">
        <v>0.28972870693542102</v>
      </c>
      <c r="Q3621" t="str">
        <f t="shared" si="112"/>
        <v>&lt;01</v>
      </c>
      <c r="R3621" t="str">
        <f t="shared" si="113"/>
        <v>[am530wpaGvr]|&lt;01|Male|Incidence_SUBNAT.Rt.T_1|CY2023Q3</v>
      </c>
    </row>
    <row r="3622" spans="4:18" x14ac:dyDescent="0.2">
      <c r="D3622" t="s">
        <v>71</v>
      </c>
      <c r="E3622" t="s">
        <v>72</v>
      </c>
      <c r="F3622" t="s">
        <v>73</v>
      </c>
      <c r="G3622" t="s">
        <v>151</v>
      </c>
      <c r="H3622" t="s">
        <v>151</v>
      </c>
      <c r="I3622" t="s">
        <v>32</v>
      </c>
      <c r="J3622" t="s">
        <v>33</v>
      </c>
      <c r="K3622" t="s">
        <v>47</v>
      </c>
      <c r="L3622" t="s">
        <v>48</v>
      </c>
      <c r="M3622" t="s">
        <v>139</v>
      </c>
      <c r="N3622">
        <v>1634</v>
      </c>
      <c r="O3622" s="14">
        <v>0.50205023796297599</v>
      </c>
      <c r="P3622" s="14">
        <v>0.28972870693542102</v>
      </c>
      <c r="Q3622" t="str">
        <f t="shared" si="112"/>
        <v>01-09</v>
      </c>
      <c r="R3622" t="str">
        <f t="shared" si="113"/>
        <v>[am530wpaGvr]|01-09|Male|Incidence_SUBNAT.Rt.T_1|CY2023Q3</v>
      </c>
    </row>
    <row r="3623" spans="4:18" x14ac:dyDescent="0.2">
      <c r="D3623" t="s">
        <v>71</v>
      </c>
      <c r="E3623" t="s">
        <v>72</v>
      </c>
      <c r="F3623" t="s">
        <v>73</v>
      </c>
      <c r="G3623" t="s">
        <v>151</v>
      </c>
      <c r="H3623" t="s">
        <v>151</v>
      </c>
      <c r="I3623" t="s">
        <v>35</v>
      </c>
      <c r="J3623" t="s">
        <v>36</v>
      </c>
      <c r="K3623" t="s">
        <v>47</v>
      </c>
      <c r="L3623" t="s">
        <v>48</v>
      </c>
      <c r="M3623" t="s">
        <v>139</v>
      </c>
      <c r="N3623">
        <v>1024</v>
      </c>
      <c r="O3623" s="14">
        <v>0.87009071256034098</v>
      </c>
      <c r="P3623" s="14">
        <v>0.28972870693542102</v>
      </c>
      <c r="Q3623" t="str">
        <f t="shared" si="112"/>
        <v>10-14</v>
      </c>
      <c r="R3623" t="str">
        <f t="shared" si="113"/>
        <v>[am530wpaGvr]|10-14|Male|Incidence_SUBNAT.Rt.T_1|CY2023Q3</v>
      </c>
    </row>
    <row r="3624" spans="4:18" x14ac:dyDescent="0.2">
      <c r="D3624" t="s">
        <v>71</v>
      </c>
      <c r="E3624" t="s">
        <v>72</v>
      </c>
      <c r="F3624" t="s">
        <v>73</v>
      </c>
      <c r="G3624" t="s">
        <v>151</v>
      </c>
      <c r="H3624" t="s">
        <v>151</v>
      </c>
      <c r="I3624" t="s">
        <v>37</v>
      </c>
      <c r="J3624" t="s">
        <v>38</v>
      </c>
      <c r="K3624" t="s">
        <v>47</v>
      </c>
      <c r="L3624" t="s">
        <v>48</v>
      </c>
      <c r="M3624" t="s">
        <v>139</v>
      </c>
      <c r="N3624">
        <v>1411</v>
      </c>
      <c r="O3624" s="14">
        <v>0.795210787560791</v>
      </c>
      <c r="P3624" s="14">
        <v>0.28972870693542102</v>
      </c>
      <c r="Q3624" t="str">
        <f t="shared" si="112"/>
        <v>15-24</v>
      </c>
      <c r="R3624" t="str">
        <f t="shared" si="113"/>
        <v>[am530wpaGvr]|15-24|Male|Incidence_SUBNAT.Rt.T_1|CY2023Q3</v>
      </c>
    </row>
    <row r="3625" spans="4:18" x14ac:dyDescent="0.2">
      <c r="D3625" t="s">
        <v>71</v>
      </c>
      <c r="E3625" t="s">
        <v>72</v>
      </c>
      <c r="F3625" t="s">
        <v>73</v>
      </c>
      <c r="G3625" t="s">
        <v>151</v>
      </c>
      <c r="H3625" t="s">
        <v>151</v>
      </c>
      <c r="I3625" t="s">
        <v>40</v>
      </c>
      <c r="J3625" t="s">
        <v>41</v>
      </c>
      <c r="K3625" t="s">
        <v>47</v>
      </c>
      <c r="L3625" t="s">
        <v>48</v>
      </c>
      <c r="M3625" t="s">
        <v>139</v>
      </c>
      <c r="N3625">
        <v>1542</v>
      </c>
      <c r="O3625" s="14">
        <v>0.16438863170333201</v>
      </c>
      <c r="P3625" s="14">
        <v>0.28972870693542102</v>
      </c>
      <c r="Q3625" t="str">
        <f t="shared" si="112"/>
        <v>25-34</v>
      </c>
      <c r="R3625" t="str">
        <f t="shared" si="113"/>
        <v>[am530wpaGvr]|25-34|Male|Incidence_SUBNAT.Rt.T_1|CY2023Q3</v>
      </c>
    </row>
    <row r="3626" spans="4:18" x14ac:dyDescent="0.2">
      <c r="D3626" t="s">
        <v>71</v>
      </c>
      <c r="E3626" t="s">
        <v>72</v>
      </c>
      <c r="F3626" t="s">
        <v>73</v>
      </c>
      <c r="G3626" t="s">
        <v>151</v>
      </c>
      <c r="H3626" t="s">
        <v>151</v>
      </c>
      <c r="I3626" t="s">
        <v>42</v>
      </c>
      <c r="J3626" t="s">
        <v>43</v>
      </c>
      <c r="K3626" t="s">
        <v>47</v>
      </c>
      <c r="L3626" t="s">
        <v>48</v>
      </c>
      <c r="M3626" t="s">
        <v>139</v>
      </c>
      <c r="N3626">
        <v>1388</v>
      </c>
      <c r="O3626" s="14">
        <v>0.70463676261715602</v>
      </c>
      <c r="P3626" s="14">
        <v>0.28972870693542102</v>
      </c>
      <c r="Q3626" t="str">
        <f t="shared" si="112"/>
        <v>35-49</v>
      </c>
      <c r="R3626" t="str">
        <f t="shared" si="113"/>
        <v>[am530wpaGvr]|35-49|Male|Incidence_SUBNAT.Rt.T_1|CY2023Q3</v>
      </c>
    </row>
    <row r="3627" spans="4:18" x14ac:dyDescent="0.2">
      <c r="D3627" t="s">
        <v>71</v>
      </c>
      <c r="E3627" t="s">
        <v>72</v>
      </c>
      <c r="F3627" t="s">
        <v>73</v>
      </c>
      <c r="G3627" t="s">
        <v>151</v>
      </c>
      <c r="H3627" t="s">
        <v>151</v>
      </c>
      <c r="I3627" t="s">
        <v>44</v>
      </c>
      <c r="J3627" t="s">
        <v>45</v>
      </c>
      <c r="K3627" t="s">
        <v>47</v>
      </c>
      <c r="L3627" t="s">
        <v>48</v>
      </c>
      <c r="M3627" t="s">
        <v>139</v>
      </c>
      <c r="N3627">
        <v>859</v>
      </c>
      <c r="O3627" s="14">
        <v>0.58860348700545695</v>
      </c>
      <c r="P3627" s="14">
        <v>0.28972870693542102</v>
      </c>
      <c r="Q3627" t="str">
        <f t="shared" si="112"/>
        <v>50+</v>
      </c>
      <c r="R3627" t="str">
        <f t="shared" si="113"/>
        <v>[am530wpaGvr]|50+|Male|Incidence_SUBNAT.Rt.T_1|CY2023Q3</v>
      </c>
    </row>
    <row r="3628" spans="4:18" x14ac:dyDescent="0.2">
      <c r="D3628" t="s">
        <v>74</v>
      </c>
      <c r="E3628" t="s">
        <v>75</v>
      </c>
      <c r="F3628" t="s">
        <v>76</v>
      </c>
      <c r="G3628" t="s">
        <v>151</v>
      </c>
      <c r="H3628" t="s">
        <v>151</v>
      </c>
      <c r="I3628" t="s">
        <v>27</v>
      </c>
      <c r="J3628" t="s">
        <v>28</v>
      </c>
      <c r="K3628" t="s">
        <v>29</v>
      </c>
      <c r="L3628" t="s">
        <v>30</v>
      </c>
      <c r="M3628" t="s">
        <v>139</v>
      </c>
      <c r="N3628">
        <v>1570</v>
      </c>
      <c r="O3628" s="14">
        <v>0.863927314989269</v>
      </c>
      <c r="P3628" s="14">
        <v>0.30305550759658201</v>
      </c>
      <c r="Q3628" t="str">
        <f t="shared" si="112"/>
        <v>&lt;01</v>
      </c>
      <c r="R3628" t="str">
        <f t="shared" si="113"/>
        <v>[lLDyBx5XyUi]|&lt;01|Female|Incidence_SUBNAT.Rt.T_1|CY2023Q3</v>
      </c>
    </row>
    <row r="3629" spans="4:18" x14ac:dyDescent="0.2">
      <c r="D3629" t="s">
        <v>74</v>
      </c>
      <c r="E3629" t="s">
        <v>75</v>
      </c>
      <c r="F3629" t="s">
        <v>76</v>
      </c>
      <c r="G3629" t="s">
        <v>151</v>
      </c>
      <c r="H3629" t="s">
        <v>151</v>
      </c>
      <c r="I3629" t="s">
        <v>32</v>
      </c>
      <c r="J3629" t="s">
        <v>33</v>
      </c>
      <c r="K3629" t="s">
        <v>29</v>
      </c>
      <c r="L3629" t="s">
        <v>30</v>
      </c>
      <c r="M3629" t="s">
        <v>139</v>
      </c>
      <c r="N3629">
        <v>1165</v>
      </c>
      <c r="O3629" s="14">
        <v>0.57581009971909203</v>
      </c>
      <c r="P3629" s="14">
        <v>0.30305550759658201</v>
      </c>
      <c r="Q3629" t="str">
        <f t="shared" si="112"/>
        <v>01-09</v>
      </c>
      <c r="R3629" t="str">
        <f t="shared" si="113"/>
        <v>[lLDyBx5XyUi]|01-09|Female|Incidence_SUBNAT.Rt.T_1|CY2023Q3</v>
      </c>
    </row>
    <row r="3630" spans="4:18" x14ac:dyDescent="0.2">
      <c r="D3630" t="s">
        <v>74</v>
      </c>
      <c r="E3630" t="s">
        <v>75</v>
      </c>
      <c r="F3630" t="s">
        <v>76</v>
      </c>
      <c r="G3630" t="s">
        <v>151</v>
      </c>
      <c r="H3630" t="s">
        <v>151</v>
      </c>
      <c r="I3630" t="s">
        <v>35</v>
      </c>
      <c r="J3630" t="s">
        <v>36</v>
      </c>
      <c r="K3630" t="s">
        <v>29</v>
      </c>
      <c r="L3630" t="s">
        <v>30</v>
      </c>
      <c r="M3630" t="s">
        <v>139</v>
      </c>
      <c r="N3630">
        <v>1022</v>
      </c>
      <c r="O3630" s="14">
        <v>0.75133083993569005</v>
      </c>
      <c r="P3630" s="14">
        <v>0.30305550759658201</v>
      </c>
      <c r="Q3630" t="str">
        <f t="shared" si="112"/>
        <v>10-14</v>
      </c>
      <c r="R3630" t="str">
        <f t="shared" si="113"/>
        <v>[lLDyBx5XyUi]|10-14|Female|Incidence_SUBNAT.Rt.T_1|CY2023Q3</v>
      </c>
    </row>
    <row r="3631" spans="4:18" x14ac:dyDescent="0.2">
      <c r="D3631" t="s">
        <v>74</v>
      </c>
      <c r="E3631" t="s">
        <v>75</v>
      </c>
      <c r="F3631" t="s">
        <v>76</v>
      </c>
      <c r="G3631" t="s">
        <v>151</v>
      </c>
      <c r="H3631" t="s">
        <v>151</v>
      </c>
      <c r="I3631" t="s">
        <v>37</v>
      </c>
      <c r="J3631" t="s">
        <v>38</v>
      </c>
      <c r="K3631" t="s">
        <v>29</v>
      </c>
      <c r="L3631" t="s">
        <v>30</v>
      </c>
      <c r="M3631" t="s">
        <v>139</v>
      </c>
      <c r="N3631">
        <v>1381</v>
      </c>
      <c r="O3631" s="14">
        <v>0.53532674303278305</v>
      </c>
      <c r="P3631" s="14">
        <v>0.30305550759658201</v>
      </c>
      <c r="Q3631" t="str">
        <f t="shared" si="112"/>
        <v>15-24</v>
      </c>
      <c r="R3631" t="str">
        <f t="shared" si="113"/>
        <v>[lLDyBx5XyUi]|15-24|Female|Incidence_SUBNAT.Rt.T_1|CY2023Q3</v>
      </c>
    </row>
    <row r="3632" spans="4:18" x14ac:dyDescent="0.2">
      <c r="D3632" t="s">
        <v>74</v>
      </c>
      <c r="E3632" t="s">
        <v>75</v>
      </c>
      <c r="F3632" t="s">
        <v>76</v>
      </c>
      <c r="G3632" t="s">
        <v>151</v>
      </c>
      <c r="H3632" t="s">
        <v>151</v>
      </c>
      <c r="I3632" t="s">
        <v>40</v>
      </c>
      <c r="J3632" t="s">
        <v>41</v>
      </c>
      <c r="K3632" t="s">
        <v>29</v>
      </c>
      <c r="L3632" t="s">
        <v>30</v>
      </c>
      <c r="M3632" t="s">
        <v>139</v>
      </c>
      <c r="N3632">
        <v>1824</v>
      </c>
      <c r="O3632" s="14">
        <v>0.84892726666294005</v>
      </c>
      <c r="P3632" s="14">
        <v>0.30305550759658201</v>
      </c>
      <c r="Q3632" t="str">
        <f t="shared" si="112"/>
        <v>25-34</v>
      </c>
      <c r="R3632" t="str">
        <f t="shared" si="113"/>
        <v>[lLDyBx5XyUi]|25-34|Female|Incidence_SUBNAT.Rt.T_1|CY2023Q3</v>
      </c>
    </row>
    <row r="3633" spans="4:18" x14ac:dyDescent="0.2">
      <c r="D3633" t="s">
        <v>74</v>
      </c>
      <c r="E3633" t="s">
        <v>75</v>
      </c>
      <c r="F3633" t="s">
        <v>76</v>
      </c>
      <c r="G3633" t="s">
        <v>151</v>
      </c>
      <c r="H3633" t="s">
        <v>151</v>
      </c>
      <c r="I3633" t="s">
        <v>42</v>
      </c>
      <c r="J3633" t="s">
        <v>43</v>
      </c>
      <c r="K3633" t="s">
        <v>29</v>
      </c>
      <c r="L3633" t="s">
        <v>30</v>
      </c>
      <c r="M3633" t="s">
        <v>139</v>
      </c>
      <c r="N3633">
        <v>826</v>
      </c>
      <c r="O3633" s="14">
        <v>0.94195233099162601</v>
      </c>
      <c r="P3633" s="14">
        <v>0.30305550759658201</v>
      </c>
      <c r="Q3633" t="str">
        <f t="shared" si="112"/>
        <v>35-49</v>
      </c>
      <c r="R3633" t="str">
        <f t="shared" si="113"/>
        <v>[lLDyBx5XyUi]|35-49|Female|Incidence_SUBNAT.Rt.T_1|CY2023Q3</v>
      </c>
    </row>
    <row r="3634" spans="4:18" x14ac:dyDescent="0.2">
      <c r="D3634" t="s">
        <v>74</v>
      </c>
      <c r="E3634" t="s">
        <v>75</v>
      </c>
      <c r="F3634" t="s">
        <v>76</v>
      </c>
      <c r="G3634" t="s">
        <v>151</v>
      </c>
      <c r="H3634" t="s">
        <v>151</v>
      </c>
      <c r="I3634" t="s">
        <v>44</v>
      </c>
      <c r="J3634" t="s">
        <v>45</v>
      </c>
      <c r="K3634" t="s">
        <v>29</v>
      </c>
      <c r="L3634" t="s">
        <v>30</v>
      </c>
      <c r="M3634" t="s">
        <v>139</v>
      </c>
      <c r="N3634">
        <v>1504</v>
      </c>
      <c r="O3634" s="14">
        <v>0.3062562874984</v>
      </c>
      <c r="P3634" s="14">
        <v>0.30305550759658201</v>
      </c>
      <c r="Q3634" t="str">
        <f t="shared" si="112"/>
        <v>50+</v>
      </c>
      <c r="R3634" t="str">
        <f t="shared" si="113"/>
        <v>[lLDyBx5XyUi]|50+|Female|Incidence_SUBNAT.Rt.T_1|CY2023Q3</v>
      </c>
    </row>
    <row r="3635" spans="4:18" x14ac:dyDescent="0.2">
      <c r="D3635" t="s">
        <v>74</v>
      </c>
      <c r="E3635" t="s">
        <v>75</v>
      </c>
      <c r="F3635" t="s">
        <v>76</v>
      </c>
      <c r="G3635" t="s">
        <v>151</v>
      </c>
      <c r="H3635" t="s">
        <v>151</v>
      </c>
      <c r="I3635" t="s">
        <v>27</v>
      </c>
      <c r="J3635" t="s">
        <v>28</v>
      </c>
      <c r="K3635" t="s">
        <v>47</v>
      </c>
      <c r="L3635" t="s">
        <v>48</v>
      </c>
      <c r="M3635" t="s">
        <v>139</v>
      </c>
      <c r="N3635">
        <v>1621</v>
      </c>
      <c r="O3635" s="14">
        <v>0.87877606530673802</v>
      </c>
      <c r="P3635" s="14">
        <v>0.30305550759658201</v>
      </c>
      <c r="Q3635" t="str">
        <f t="shared" si="112"/>
        <v>&lt;01</v>
      </c>
      <c r="R3635" t="str">
        <f t="shared" si="113"/>
        <v>[lLDyBx5XyUi]|&lt;01|Male|Incidence_SUBNAT.Rt.T_1|CY2023Q3</v>
      </c>
    </row>
    <row r="3636" spans="4:18" x14ac:dyDescent="0.2">
      <c r="D3636" t="s">
        <v>74</v>
      </c>
      <c r="E3636" t="s">
        <v>75</v>
      </c>
      <c r="F3636" t="s">
        <v>76</v>
      </c>
      <c r="G3636" t="s">
        <v>151</v>
      </c>
      <c r="H3636" t="s">
        <v>151</v>
      </c>
      <c r="I3636" t="s">
        <v>32</v>
      </c>
      <c r="J3636" t="s">
        <v>33</v>
      </c>
      <c r="K3636" t="s">
        <v>47</v>
      </c>
      <c r="L3636" t="s">
        <v>48</v>
      </c>
      <c r="M3636" t="s">
        <v>139</v>
      </c>
      <c r="N3636">
        <v>1221</v>
      </c>
      <c r="O3636" s="14">
        <v>0.64917614962905601</v>
      </c>
      <c r="P3636" s="14">
        <v>0.30305550759658201</v>
      </c>
      <c r="Q3636" t="str">
        <f t="shared" si="112"/>
        <v>01-09</v>
      </c>
      <c r="R3636" t="str">
        <f t="shared" si="113"/>
        <v>[lLDyBx5XyUi]|01-09|Male|Incidence_SUBNAT.Rt.T_1|CY2023Q3</v>
      </c>
    </row>
    <row r="3637" spans="4:18" x14ac:dyDescent="0.2">
      <c r="D3637" t="s">
        <v>74</v>
      </c>
      <c r="E3637" t="s">
        <v>75</v>
      </c>
      <c r="F3637" t="s">
        <v>76</v>
      </c>
      <c r="G3637" t="s">
        <v>151</v>
      </c>
      <c r="H3637" t="s">
        <v>151</v>
      </c>
      <c r="I3637" t="s">
        <v>35</v>
      </c>
      <c r="J3637" t="s">
        <v>36</v>
      </c>
      <c r="K3637" t="s">
        <v>47</v>
      </c>
      <c r="L3637" t="s">
        <v>48</v>
      </c>
      <c r="M3637" t="s">
        <v>139</v>
      </c>
      <c r="N3637">
        <v>1094</v>
      </c>
      <c r="O3637" s="14">
        <v>0.77156952302902904</v>
      </c>
      <c r="P3637" s="14">
        <v>0.30305550759658201</v>
      </c>
      <c r="Q3637" t="str">
        <f t="shared" si="112"/>
        <v>10-14</v>
      </c>
      <c r="R3637" t="str">
        <f t="shared" si="113"/>
        <v>[lLDyBx5XyUi]|10-14|Male|Incidence_SUBNAT.Rt.T_1|CY2023Q3</v>
      </c>
    </row>
    <row r="3638" spans="4:18" x14ac:dyDescent="0.2">
      <c r="D3638" t="s">
        <v>74</v>
      </c>
      <c r="E3638" t="s">
        <v>75</v>
      </c>
      <c r="F3638" t="s">
        <v>76</v>
      </c>
      <c r="G3638" t="s">
        <v>151</v>
      </c>
      <c r="H3638" t="s">
        <v>151</v>
      </c>
      <c r="I3638" t="s">
        <v>37</v>
      </c>
      <c r="J3638" t="s">
        <v>38</v>
      </c>
      <c r="K3638" t="s">
        <v>47</v>
      </c>
      <c r="L3638" t="s">
        <v>48</v>
      </c>
      <c r="M3638" t="s">
        <v>139</v>
      </c>
      <c r="N3638">
        <v>751</v>
      </c>
      <c r="O3638" s="14">
        <v>0.46748453634791098</v>
      </c>
      <c r="P3638" s="14">
        <v>0.30305550759658201</v>
      </c>
      <c r="Q3638" t="str">
        <f t="shared" si="112"/>
        <v>15-24</v>
      </c>
      <c r="R3638" t="str">
        <f t="shared" si="113"/>
        <v>[lLDyBx5XyUi]|15-24|Male|Incidence_SUBNAT.Rt.T_1|CY2023Q3</v>
      </c>
    </row>
    <row r="3639" spans="4:18" x14ac:dyDescent="0.2">
      <c r="D3639" t="s">
        <v>74</v>
      </c>
      <c r="E3639" t="s">
        <v>75</v>
      </c>
      <c r="F3639" t="s">
        <v>76</v>
      </c>
      <c r="G3639" t="s">
        <v>151</v>
      </c>
      <c r="H3639" t="s">
        <v>151</v>
      </c>
      <c r="I3639" t="s">
        <v>40</v>
      </c>
      <c r="J3639" t="s">
        <v>41</v>
      </c>
      <c r="K3639" t="s">
        <v>47</v>
      </c>
      <c r="L3639" t="s">
        <v>48</v>
      </c>
      <c r="M3639" t="s">
        <v>139</v>
      </c>
      <c r="N3639">
        <v>1942</v>
      </c>
      <c r="O3639" s="14">
        <v>0.82855851319618501</v>
      </c>
      <c r="P3639" s="14">
        <v>0.30305550759658201</v>
      </c>
      <c r="Q3639" t="str">
        <f t="shared" si="112"/>
        <v>25-34</v>
      </c>
      <c r="R3639" t="str">
        <f t="shared" si="113"/>
        <v>[lLDyBx5XyUi]|25-34|Male|Incidence_SUBNAT.Rt.T_1|CY2023Q3</v>
      </c>
    </row>
    <row r="3640" spans="4:18" x14ac:dyDescent="0.2">
      <c r="D3640" t="s">
        <v>74</v>
      </c>
      <c r="E3640" t="s">
        <v>75</v>
      </c>
      <c r="F3640" t="s">
        <v>76</v>
      </c>
      <c r="G3640" t="s">
        <v>151</v>
      </c>
      <c r="H3640" t="s">
        <v>151</v>
      </c>
      <c r="I3640" t="s">
        <v>42</v>
      </c>
      <c r="J3640" t="s">
        <v>43</v>
      </c>
      <c r="K3640" t="s">
        <v>47</v>
      </c>
      <c r="L3640" t="s">
        <v>48</v>
      </c>
      <c r="M3640" t="s">
        <v>139</v>
      </c>
      <c r="N3640">
        <v>1877</v>
      </c>
      <c r="O3640" s="14">
        <v>0.21814650855958501</v>
      </c>
      <c r="P3640" s="14">
        <v>0.30305550759658201</v>
      </c>
      <c r="Q3640" t="str">
        <f t="shared" si="112"/>
        <v>35-49</v>
      </c>
      <c r="R3640" t="str">
        <f t="shared" si="113"/>
        <v>[lLDyBx5XyUi]|35-49|Male|Incidence_SUBNAT.Rt.T_1|CY2023Q3</v>
      </c>
    </row>
    <row r="3641" spans="4:18" x14ac:dyDescent="0.2">
      <c r="D3641" t="s">
        <v>74</v>
      </c>
      <c r="E3641" t="s">
        <v>75</v>
      </c>
      <c r="F3641" t="s">
        <v>76</v>
      </c>
      <c r="G3641" t="s">
        <v>151</v>
      </c>
      <c r="H3641" t="s">
        <v>151</v>
      </c>
      <c r="I3641" t="s">
        <v>44</v>
      </c>
      <c r="J3641" t="s">
        <v>45</v>
      </c>
      <c r="K3641" t="s">
        <v>47</v>
      </c>
      <c r="L3641" t="s">
        <v>48</v>
      </c>
      <c r="M3641" t="s">
        <v>139</v>
      </c>
      <c r="N3641">
        <v>1941</v>
      </c>
      <c r="O3641" s="14">
        <v>0.166637846035883</v>
      </c>
      <c r="P3641" s="14">
        <v>0.30305550759658201</v>
      </c>
      <c r="Q3641" t="str">
        <f t="shared" si="112"/>
        <v>50+</v>
      </c>
      <c r="R3641" t="str">
        <f t="shared" si="113"/>
        <v>[lLDyBx5XyUi]|50+|Male|Incidence_SUBNAT.Rt.T_1|CY2023Q3</v>
      </c>
    </row>
    <row r="3642" spans="4:18" x14ac:dyDescent="0.2">
      <c r="D3642" t="s">
        <v>77</v>
      </c>
      <c r="E3642" t="s">
        <v>78</v>
      </c>
      <c r="F3642" t="s">
        <v>79</v>
      </c>
      <c r="G3642" t="s">
        <v>151</v>
      </c>
      <c r="H3642" t="s">
        <v>151</v>
      </c>
      <c r="I3642" t="s">
        <v>27</v>
      </c>
      <c r="J3642" t="s">
        <v>28</v>
      </c>
      <c r="K3642" t="s">
        <v>29</v>
      </c>
      <c r="L3642" t="s">
        <v>30</v>
      </c>
      <c r="M3642" t="s">
        <v>139</v>
      </c>
      <c r="N3642">
        <v>1718</v>
      </c>
      <c r="O3642" s="14">
        <v>0.114208842860535</v>
      </c>
      <c r="P3642" s="14">
        <v>0.83159798220731296</v>
      </c>
      <c r="Q3642" t="str">
        <f t="shared" si="112"/>
        <v>&lt;01</v>
      </c>
      <c r="R3642" t="str">
        <f t="shared" si="113"/>
        <v>[TYnMSwzko3z]|&lt;01|Female|Incidence_SUBNAT.Rt.T_1|CY2023Q3</v>
      </c>
    </row>
    <row r="3643" spans="4:18" x14ac:dyDescent="0.2">
      <c r="D3643" t="s">
        <v>77</v>
      </c>
      <c r="E3643" t="s">
        <v>78</v>
      </c>
      <c r="F3643" t="s">
        <v>79</v>
      </c>
      <c r="G3643" t="s">
        <v>151</v>
      </c>
      <c r="H3643" t="s">
        <v>151</v>
      </c>
      <c r="I3643" t="s">
        <v>32</v>
      </c>
      <c r="J3643" t="s">
        <v>33</v>
      </c>
      <c r="K3643" t="s">
        <v>29</v>
      </c>
      <c r="L3643" t="s">
        <v>30</v>
      </c>
      <c r="M3643" t="s">
        <v>139</v>
      </c>
      <c r="N3643">
        <v>1581</v>
      </c>
      <c r="O3643" s="14">
        <v>0.38304187403991802</v>
      </c>
      <c r="P3643" s="14">
        <v>0.83159798220731296</v>
      </c>
      <c r="Q3643" t="str">
        <f t="shared" si="112"/>
        <v>01-09</v>
      </c>
      <c r="R3643" t="str">
        <f t="shared" si="113"/>
        <v>[TYnMSwzko3z]|01-09|Female|Incidence_SUBNAT.Rt.T_1|CY2023Q3</v>
      </c>
    </row>
    <row r="3644" spans="4:18" x14ac:dyDescent="0.2">
      <c r="D3644" t="s">
        <v>77</v>
      </c>
      <c r="E3644" t="s">
        <v>78</v>
      </c>
      <c r="F3644" t="s">
        <v>79</v>
      </c>
      <c r="G3644" t="s">
        <v>151</v>
      </c>
      <c r="H3644" t="s">
        <v>151</v>
      </c>
      <c r="I3644" t="s">
        <v>35</v>
      </c>
      <c r="J3644" t="s">
        <v>36</v>
      </c>
      <c r="K3644" t="s">
        <v>29</v>
      </c>
      <c r="L3644" t="s">
        <v>30</v>
      </c>
      <c r="M3644" t="s">
        <v>139</v>
      </c>
      <c r="N3644">
        <v>1235</v>
      </c>
      <c r="O3644" s="14">
        <v>0.600772152421996</v>
      </c>
      <c r="P3644" s="14">
        <v>0.83159798220731296</v>
      </c>
      <c r="Q3644" t="str">
        <f t="shared" si="112"/>
        <v>10-14</v>
      </c>
      <c r="R3644" t="str">
        <f t="shared" si="113"/>
        <v>[TYnMSwzko3z]|10-14|Female|Incidence_SUBNAT.Rt.T_1|CY2023Q3</v>
      </c>
    </row>
    <row r="3645" spans="4:18" x14ac:dyDescent="0.2">
      <c r="D3645" t="s">
        <v>77</v>
      </c>
      <c r="E3645" t="s">
        <v>78</v>
      </c>
      <c r="F3645" t="s">
        <v>79</v>
      </c>
      <c r="G3645" t="s">
        <v>151</v>
      </c>
      <c r="H3645" t="s">
        <v>151</v>
      </c>
      <c r="I3645" t="s">
        <v>37</v>
      </c>
      <c r="J3645" t="s">
        <v>38</v>
      </c>
      <c r="K3645" t="s">
        <v>29</v>
      </c>
      <c r="L3645" t="s">
        <v>30</v>
      </c>
      <c r="M3645" t="s">
        <v>139</v>
      </c>
      <c r="N3645">
        <v>1232</v>
      </c>
      <c r="O3645" s="14">
        <v>0.58440940780565098</v>
      </c>
      <c r="P3645" s="14">
        <v>0.83159798220731296</v>
      </c>
      <c r="Q3645" t="str">
        <f t="shared" si="112"/>
        <v>15-24</v>
      </c>
      <c r="R3645" t="str">
        <f t="shared" si="113"/>
        <v>[TYnMSwzko3z]|15-24|Female|Incidence_SUBNAT.Rt.T_1|CY2023Q3</v>
      </c>
    </row>
    <row r="3646" spans="4:18" x14ac:dyDescent="0.2">
      <c r="D3646" t="s">
        <v>77</v>
      </c>
      <c r="E3646" t="s">
        <v>78</v>
      </c>
      <c r="F3646" t="s">
        <v>79</v>
      </c>
      <c r="G3646" t="s">
        <v>151</v>
      </c>
      <c r="H3646" t="s">
        <v>151</v>
      </c>
      <c r="I3646" t="s">
        <v>40</v>
      </c>
      <c r="J3646" t="s">
        <v>41</v>
      </c>
      <c r="K3646" t="s">
        <v>29</v>
      </c>
      <c r="L3646" t="s">
        <v>30</v>
      </c>
      <c r="M3646" t="s">
        <v>139</v>
      </c>
      <c r="N3646">
        <v>957</v>
      </c>
      <c r="O3646" s="14">
        <v>0.72335301432758603</v>
      </c>
      <c r="P3646" s="14">
        <v>0.83159798220731296</v>
      </c>
      <c r="Q3646" t="str">
        <f t="shared" si="112"/>
        <v>25-34</v>
      </c>
      <c r="R3646" t="str">
        <f t="shared" si="113"/>
        <v>[TYnMSwzko3z]|25-34|Female|Incidence_SUBNAT.Rt.T_1|CY2023Q3</v>
      </c>
    </row>
    <row r="3647" spans="4:18" x14ac:dyDescent="0.2">
      <c r="D3647" t="s">
        <v>77</v>
      </c>
      <c r="E3647" t="s">
        <v>78</v>
      </c>
      <c r="F3647" t="s">
        <v>79</v>
      </c>
      <c r="G3647" t="s">
        <v>151</v>
      </c>
      <c r="H3647" t="s">
        <v>151</v>
      </c>
      <c r="I3647" t="s">
        <v>42</v>
      </c>
      <c r="J3647" t="s">
        <v>43</v>
      </c>
      <c r="K3647" t="s">
        <v>29</v>
      </c>
      <c r="L3647" t="s">
        <v>30</v>
      </c>
      <c r="M3647" t="s">
        <v>139</v>
      </c>
      <c r="N3647">
        <v>720</v>
      </c>
      <c r="O3647" s="14">
        <v>1.84638577047735E-2</v>
      </c>
      <c r="P3647" s="14">
        <v>0.83159798220731296</v>
      </c>
      <c r="Q3647" t="str">
        <f t="shared" si="112"/>
        <v>35-49</v>
      </c>
      <c r="R3647" t="str">
        <f t="shared" si="113"/>
        <v>[TYnMSwzko3z]|35-49|Female|Incidence_SUBNAT.Rt.T_1|CY2023Q3</v>
      </c>
    </row>
    <row r="3648" spans="4:18" x14ac:dyDescent="0.2">
      <c r="D3648" t="s">
        <v>77</v>
      </c>
      <c r="E3648" t="s">
        <v>78</v>
      </c>
      <c r="F3648" t="s">
        <v>79</v>
      </c>
      <c r="G3648" t="s">
        <v>151</v>
      </c>
      <c r="H3648" t="s">
        <v>151</v>
      </c>
      <c r="I3648" t="s">
        <v>44</v>
      </c>
      <c r="J3648" t="s">
        <v>45</v>
      </c>
      <c r="K3648" t="s">
        <v>29</v>
      </c>
      <c r="L3648" t="s">
        <v>30</v>
      </c>
      <c r="M3648" t="s">
        <v>139</v>
      </c>
      <c r="N3648">
        <v>900</v>
      </c>
      <c r="O3648" s="14">
        <v>0.65314877568744101</v>
      </c>
      <c r="P3648" s="14">
        <v>0.83159798220731296</v>
      </c>
      <c r="Q3648" t="str">
        <f t="shared" si="112"/>
        <v>50+</v>
      </c>
      <c r="R3648" t="str">
        <f t="shared" si="113"/>
        <v>[TYnMSwzko3z]|50+|Female|Incidence_SUBNAT.Rt.T_1|CY2023Q3</v>
      </c>
    </row>
    <row r="3649" spans="4:18" x14ac:dyDescent="0.2">
      <c r="D3649" t="s">
        <v>77</v>
      </c>
      <c r="E3649" t="s">
        <v>78</v>
      </c>
      <c r="F3649" t="s">
        <v>79</v>
      </c>
      <c r="G3649" t="s">
        <v>151</v>
      </c>
      <c r="H3649" t="s">
        <v>151</v>
      </c>
      <c r="I3649" t="s">
        <v>27</v>
      </c>
      <c r="J3649" t="s">
        <v>28</v>
      </c>
      <c r="K3649" t="s">
        <v>47</v>
      </c>
      <c r="L3649" t="s">
        <v>48</v>
      </c>
      <c r="M3649" t="s">
        <v>139</v>
      </c>
      <c r="N3649">
        <v>1853</v>
      </c>
      <c r="O3649" s="14">
        <v>0.92113882582634699</v>
      </c>
      <c r="P3649" s="14">
        <v>0.83159798220731296</v>
      </c>
      <c r="Q3649" t="str">
        <f t="shared" si="112"/>
        <v>&lt;01</v>
      </c>
      <c r="R3649" t="str">
        <f t="shared" si="113"/>
        <v>[TYnMSwzko3z]|&lt;01|Male|Incidence_SUBNAT.Rt.T_1|CY2023Q3</v>
      </c>
    </row>
    <row r="3650" spans="4:18" x14ac:dyDescent="0.2">
      <c r="D3650" t="s">
        <v>77</v>
      </c>
      <c r="E3650" t="s">
        <v>78</v>
      </c>
      <c r="F3650" t="s">
        <v>79</v>
      </c>
      <c r="G3650" t="s">
        <v>151</v>
      </c>
      <c r="H3650" t="s">
        <v>151</v>
      </c>
      <c r="I3650" t="s">
        <v>32</v>
      </c>
      <c r="J3650" t="s">
        <v>33</v>
      </c>
      <c r="K3650" t="s">
        <v>47</v>
      </c>
      <c r="L3650" t="s">
        <v>48</v>
      </c>
      <c r="M3650" t="s">
        <v>139</v>
      </c>
      <c r="N3650">
        <v>1754</v>
      </c>
      <c r="O3650" s="14">
        <v>0.39493640162982002</v>
      </c>
      <c r="P3650" s="14">
        <v>0.83159798220731296</v>
      </c>
      <c r="Q3650" t="str">
        <f t="shared" ref="Q3650:Q3713" si="114">SUBSTITUTE(SUBSTITUTE($I3650,CHAR(61),""),CHAR(34),"")</f>
        <v>01-09</v>
      </c>
      <c r="R3650" t="str">
        <f t="shared" ref="R3650:R3713" si="115">IF($D3650&lt;&gt;"","["&amp;$E3650&amp;"]"&amp;"|"&amp;$Q3650&amp;"|"&amp;$K3650&amp;"|"&amp;$G3650&amp;"|"&amp;IF($G3650="TX_CURR_SUBNAT.R","CY2022Q4",$M3650),"")</f>
        <v>[TYnMSwzko3z]|01-09|Male|Incidence_SUBNAT.Rt.T_1|CY2023Q3</v>
      </c>
    </row>
    <row r="3651" spans="4:18" x14ac:dyDescent="0.2">
      <c r="D3651" t="s">
        <v>77</v>
      </c>
      <c r="E3651" t="s">
        <v>78</v>
      </c>
      <c r="F3651" t="s">
        <v>79</v>
      </c>
      <c r="G3651" t="s">
        <v>151</v>
      </c>
      <c r="H3651" t="s">
        <v>151</v>
      </c>
      <c r="I3651" t="s">
        <v>35</v>
      </c>
      <c r="J3651" t="s">
        <v>36</v>
      </c>
      <c r="K3651" t="s">
        <v>47</v>
      </c>
      <c r="L3651" t="s">
        <v>48</v>
      </c>
      <c r="M3651" t="s">
        <v>139</v>
      </c>
      <c r="N3651">
        <v>1388</v>
      </c>
      <c r="O3651" s="14">
        <v>8.3192509599030004E-2</v>
      </c>
      <c r="P3651" s="14">
        <v>0.83159798220731296</v>
      </c>
      <c r="Q3651" t="str">
        <f t="shared" si="114"/>
        <v>10-14</v>
      </c>
      <c r="R3651" t="str">
        <f t="shared" si="115"/>
        <v>[TYnMSwzko3z]|10-14|Male|Incidence_SUBNAT.Rt.T_1|CY2023Q3</v>
      </c>
    </row>
    <row r="3652" spans="4:18" x14ac:dyDescent="0.2">
      <c r="D3652" t="s">
        <v>77</v>
      </c>
      <c r="E3652" t="s">
        <v>78</v>
      </c>
      <c r="F3652" t="s">
        <v>79</v>
      </c>
      <c r="G3652" t="s">
        <v>151</v>
      </c>
      <c r="H3652" t="s">
        <v>151</v>
      </c>
      <c r="I3652" t="s">
        <v>37</v>
      </c>
      <c r="J3652" t="s">
        <v>38</v>
      </c>
      <c r="K3652" t="s">
        <v>47</v>
      </c>
      <c r="L3652" t="s">
        <v>48</v>
      </c>
      <c r="M3652" t="s">
        <v>139</v>
      </c>
      <c r="N3652">
        <v>1374</v>
      </c>
      <c r="O3652" s="14">
        <v>0.182577289408073</v>
      </c>
      <c r="P3652" s="14">
        <v>0.83159798220731296</v>
      </c>
      <c r="Q3652" t="str">
        <f t="shared" si="114"/>
        <v>15-24</v>
      </c>
      <c r="R3652" t="str">
        <f t="shared" si="115"/>
        <v>[TYnMSwzko3z]|15-24|Male|Incidence_SUBNAT.Rt.T_1|CY2023Q3</v>
      </c>
    </row>
    <row r="3653" spans="4:18" x14ac:dyDescent="0.2">
      <c r="D3653" t="s">
        <v>77</v>
      </c>
      <c r="E3653" t="s">
        <v>78</v>
      </c>
      <c r="F3653" t="s">
        <v>79</v>
      </c>
      <c r="G3653" t="s">
        <v>151</v>
      </c>
      <c r="H3653" t="s">
        <v>151</v>
      </c>
      <c r="I3653" t="s">
        <v>40</v>
      </c>
      <c r="J3653" t="s">
        <v>41</v>
      </c>
      <c r="K3653" t="s">
        <v>47</v>
      </c>
      <c r="L3653" t="s">
        <v>48</v>
      </c>
      <c r="M3653" t="s">
        <v>139</v>
      </c>
      <c r="N3653">
        <v>1488</v>
      </c>
      <c r="O3653" s="14">
        <v>0.78422684781253305</v>
      </c>
      <c r="P3653" s="14">
        <v>0.83159798220731296</v>
      </c>
      <c r="Q3653" t="str">
        <f t="shared" si="114"/>
        <v>25-34</v>
      </c>
      <c r="R3653" t="str">
        <f t="shared" si="115"/>
        <v>[TYnMSwzko3z]|25-34|Male|Incidence_SUBNAT.Rt.T_1|CY2023Q3</v>
      </c>
    </row>
    <row r="3654" spans="4:18" x14ac:dyDescent="0.2">
      <c r="D3654" t="s">
        <v>77</v>
      </c>
      <c r="E3654" t="s">
        <v>78</v>
      </c>
      <c r="F3654" t="s">
        <v>79</v>
      </c>
      <c r="G3654" t="s">
        <v>151</v>
      </c>
      <c r="H3654" t="s">
        <v>151</v>
      </c>
      <c r="I3654" t="s">
        <v>42</v>
      </c>
      <c r="J3654" t="s">
        <v>43</v>
      </c>
      <c r="K3654" t="s">
        <v>47</v>
      </c>
      <c r="L3654" t="s">
        <v>48</v>
      </c>
      <c r="M3654" t="s">
        <v>139</v>
      </c>
      <c r="N3654">
        <v>1182</v>
      </c>
      <c r="O3654" s="14">
        <v>0.268066031858325</v>
      </c>
      <c r="P3654" s="14">
        <v>0.83159798220731296</v>
      </c>
      <c r="Q3654" t="str">
        <f t="shared" si="114"/>
        <v>35-49</v>
      </c>
      <c r="R3654" t="str">
        <f t="shared" si="115"/>
        <v>[TYnMSwzko3z]|35-49|Male|Incidence_SUBNAT.Rt.T_1|CY2023Q3</v>
      </c>
    </row>
    <row r="3655" spans="4:18" x14ac:dyDescent="0.2">
      <c r="D3655" t="s">
        <v>77</v>
      </c>
      <c r="E3655" t="s">
        <v>78</v>
      </c>
      <c r="F3655" t="s">
        <v>79</v>
      </c>
      <c r="G3655" t="s">
        <v>151</v>
      </c>
      <c r="H3655" t="s">
        <v>151</v>
      </c>
      <c r="I3655" t="s">
        <v>44</v>
      </c>
      <c r="J3655" t="s">
        <v>45</v>
      </c>
      <c r="K3655" t="s">
        <v>47</v>
      </c>
      <c r="L3655" t="s">
        <v>48</v>
      </c>
      <c r="M3655" t="s">
        <v>139</v>
      </c>
      <c r="N3655">
        <v>1837</v>
      </c>
      <c r="O3655" s="14">
        <v>4.2349858675152098E-2</v>
      </c>
      <c r="P3655" s="14">
        <v>0.83159798220731296</v>
      </c>
      <c r="Q3655" t="str">
        <f t="shared" si="114"/>
        <v>50+</v>
      </c>
      <c r="R3655" t="str">
        <f t="shared" si="115"/>
        <v>[TYnMSwzko3z]|50+|Male|Incidence_SUBNAT.Rt.T_1|CY2023Q3</v>
      </c>
    </row>
    <row r="3656" spans="4:18" x14ac:dyDescent="0.2">
      <c r="D3656" t="s">
        <v>80</v>
      </c>
      <c r="E3656" t="s">
        <v>81</v>
      </c>
      <c r="F3656" t="s">
        <v>82</v>
      </c>
      <c r="G3656" t="s">
        <v>151</v>
      </c>
      <c r="H3656" t="s">
        <v>151</v>
      </c>
      <c r="I3656" t="s">
        <v>27</v>
      </c>
      <c r="J3656" t="s">
        <v>28</v>
      </c>
      <c r="K3656" t="s">
        <v>29</v>
      </c>
      <c r="L3656" t="s">
        <v>30</v>
      </c>
      <c r="M3656" t="s">
        <v>139</v>
      </c>
      <c r="N3656">
        <v>895</v>
      </c>
      <c r="O3656" s="14">
        <v>0.79610481951385703</v>
      </c>
      <c r="P3656" s="14">
        <v>0.14333142153918699</v>
      </c>
      <c r="Q3656" t="str">
        <f t="shared" si="114"/>
        <v>&lt;01</v>
      </c>
      <c r="R3656" t="str">
        <f t="shared" si="115"/>
        <v>[ir8wuHHzoSs]|&lt;01|Female|Incidence_SUBNAT.Rt.T_1|CY2023Q3</v>
      </c>
    </row>
    <row r="3657" spans="4:18" x14ac:dyDescent="0.2">
      <c r="D3657" t="s">
        <v>80</v>
      </c>
      <c r="E3657" t="s">
        <v>81</v>
      </c>
      <c r="F3657" t="s">
        <v>82</v>
      </c>
      <c r="G3657" t="s">
        <v>151</v>
      </c>
      <c r="H3657" t="s">
        <v>151</v>
      </c>
      <c r="I3657" t="s">
        <v>32</v>
      </c>
      <c r="J3657" t="s">
        <v>33</v>
      </c>
      <c r="K3657" t="s">
        <v>29</v>
      </c>
      <c r="L3657" t="s">
        <v>30</v>
      </c>
      <c r="M3657" t="s">
        <v>139</v>
      </c>
      <c r="N3657">
        <v>1756</v>
      </c>
      <c r="O3657" s="14">
        <v>0.30359477805905</v>
      </c>
      <c r="P3657" s="14">
        <v>0.14333142153918699</v>
      </c>
      <c r="Q3657" t="str">
        <f t="shared" si="114"/>
        <v>01-09</v>
      </c>
      <c r="R3657" t="str">
        <f t="shared" si="115"/>
        <v>[ir8wuHHzoSs]|01-09|Female|Incidence_SUBNAT.Rt.T_1|CY2023Q3</v>
      </c>
    </row>
    <row r="3658" spans="4:18" x14ac:dyDescent="0.2">
      <c r="D3658" t="s">
        <v>80</v>
      </c>
      <c r="E3658" t="s">
        <v>81</v>
      </c>
      <c r="F3658" t="s">
        <v>82</v>
      </c>
      <c r="G3658" t="s">
        <v>151</v>
      </c>
      <c r="H3658" t="s">
        <v>151</v>
      </c>
      <c r="I3658" t="s">
        <v>35</v>
      </c>
      <c r="J3658" t="s">
        <v>36</v>
      </c>
      <c r="K3658" t="s">
        <v>29</v>
      </c>
      <c r="L3658" t="s">
        <v>30</v>
      </c>
      <c r="M3658" t="s">
        <v>139</v>
      </c>
      <c r="N3658">
        <v>1369</v>
      </c>
      <c r="O3658" s="14">
        <v>0.16254028398543599</v>
      </c>
      <c r="P3658" s="14">
        <v>0.14333142153918699</v>
      </c>
      <c r="Q3658" t="str">
        <f t="shared" si="114"/>
        <v>10-14</v>
      </c>
      <c r="R3658" t="str">
        <f t="shared" si="115"/>
        <v>[ir8wuHHzoSs]|10-14|Female|Incidence_SUBNAT.Rt.T_1|CY2023Q3</v>
      </c>
    </row>
    <row r="3659" spans="4:18" x14ac:dyDescent="0.2">
      <c r="D3659" t="s">
        <v>80</v>
      </c>
      <c r="E3659" t="s">
        <v>81</v>
      </c>
      <c r="F3659" t="s">
        <v>82</v>
      </c>
      <c r="G3659" t="s">
        <v>151</v>
      </c>
      <c r="H3659" t="s">
        <v>151</v>
      </c>
      <c r="I3659" t="s">
        <v>37</v>
      </c>
      <c r="J3659" t="s">
        <v>38</v>
      </c>
      <c r="K3659" t="s">
        <v>29</v>
      </c>
      <c r="L3659" t="s">
        <v>30</v>
      </c>
      <c r="M3659" t="s">
        <v>139</v>
      </c>
      <c r="N3659">
        <v>1192</v>
      </c>
      <c r="O3659" s="14">
        <v>0.53950337949208904</v>
      </c>
      <c r="P3659" s="14">
        <v>0.14333142153918699</v>
      </c>
      <c r="Q3659" t="str">
        <f t="shared" si="114"/>
        <v>15-24</v>
      </c>
      <c r="R3659" t="str">
        <f t="shared" si="115"/>
        <v>[ir8wuHHzoSs]|15-24|Female|Incidence_SUBNAT.Rt.T_1|CY2023Q3</v>
      </c>
    </row>
    <row r="3660" spans="4:18" x14ac:dyDescent="0.2">
      <c r="D3660" t="s">
        <v>80</v>
      </c>
      <c r="E3660" t="s">
        <v>81</v>
      </c>
      <c r="F3660" t="s">
        <v>82</v>
      </c>
      <c r="G3660" t="s">
        <v>151</v>
      </c>
      <c r="H3660" t="s">
        <v>151</v>
      </c>
      <c r="I3660" t="s">
        <v>40</v>
      </c>
      <c r="J3660" t="s">
        <v>41</v>
      </c>
      <c r="K3660" t="s">
        <v>29</v>
      </c>
      <c r="L3660" t="s">
        <v>30</v>
      </c>
      <c r="M3660" t="s">
        <v>139</v>
      </c>
      <c r="N3660">
        <v>1531</v>
      </c>
      <c r="O3660" s="14">
        <v>0.58435158268548504</v>
      </c>
      <c r="P3660" s="14">
        <v>0.14333142153918699</v>
      </c>
      <c r="Q3660" t="str">
        <f t="shared" si="114"/>
        <v>25-34</v>
      </c>
      <c r="R3660" t="str">
        <f t="shared" si="115"/>
        <v>[ir8wuHHzoSs]|25-34|Female|Incidence_SUBNAT.Rt.T_1|CY2023Q3</v>
      </c>
    </row>
    <row r="3661" spans="4:18" x14ac:dyDescent="0.2">
      <c r="D3661" t="s">
        <v>80</v>
      </c>
      <c r="E3661" t="s">
        <v>81</v>
      </c>
      <c r="F3661" t="s">
        <v>82</v>
      </c>
      <c r="G3661" t="s">
        <v>151</v>
      </c>
      <c r="H3661" t="s">
        <v>151</v>
      </c>
      <c r="I3661" t="s">
        <v>42</v>
      </c>
      <c r="J3661" t="s">
        <v>43</v>
      </c>
      <c r="K3661" t="s">
        <v>29</v>
      </c>
      <c r="L3661" t="s">
        <v>30</v>
      </c>
      <c r="M3661" t="s">
        <v>139</v>
      </c>
      <c r="N3661">
        <v>1933</v>
      </c>
      <c r="O3661" s="14">
        <v>0.51797885377891395</v>
      </c>
      <c r="P3661" s="14">
        <v>0.14333142153918699</v>
      </c>
      <c r="Q3661" t="str">
        <f t="shared" si="114"/>
        <v>35-49</v>
      </c>
      <c r="R3661" t="str">
        <f t="shared" si="115"/>
        <v>[ir8wuHHzoSs]|35-49|Female|Incidence_SUBNAT.Rt.T_1|CY2023Q3</v>
      </c>
    </row>
    <row r="3662" spans="4:18" x14ac:dyDescent="0.2">
      <c r="D3662" t="s">
        <v>80</v>
      </c>
      <c r="E3662" t="s">
        <v>81</v>
      </c>
      <c r="F3662" t="s">
        <v>82</v>
      </c>
      <c r="G3662" t="s">
        <v>151</v>
      </c>
      <c r="H3662" t="s">
        <v>151</v>
      </c>
      <c r="I3662" t="s">
        <v>44</v>
      </c>
      <c r="J3662" t="s">
        <v>45</v>
      </c>
      <c r="K3662" t="s">
        <v>29</v>
      </c>
      <c r="L3662" t="s">
        <v>30</v>
      </c>
      <c r="M3662" t="s">
        <v>139</v>
      </c>
      <c r="N3662">
        <v>827</v>
      </c>
      <c r="O3662" s="14">
        <v>0.52644282160326805</v>
      </c>
      <c r="P3662" s="14">
        <v>0.14333142153918699</v>
      </c>
      <c r="Q3662" t="str">
        <f t="shared" si="114"/>
        <v>50+</v>
      </c>
      <c r="R3662" t="str">
        <f t="shared" si="115"/>
        <v>[ir8wuHHzoSs]|50+|Female|Incidence_SUBNAT.Rt.T_1|CY2023Q3</v>
      </c>
    </row>
    <row r="3663" spans="4:18" x14ac:dyDescent="0.2">
      <c r="D3663" t="s">
        <v>80</v>
      </c>
      <c r="E3663" t="s">
        <v>81</v>
      </c>
      <c r="F3663" t="s">
        <v>82</v>
      </c>
      <c r="G3663" t="s">
        <v>151</v>
      </c>
      <c r="H3663" t="s">
        <v>151</v>
      </c>
      <c r="I3663" t="s">
        <v>27</v>
      </c>
      <c r="J3663" t="s">
        <v>28</v>
      </c>
      <c r="K3663" t="s">
        <v>47</v>
      </c>
      <c r="L3663" t="s">
        <v>48</v>
      </c>
      <c r="M3663" t="s">
        <v>139</v>
      </c>
      <c r="N3663">
        <v>811</v>
      </c>
      <c r="O3663" s="14">
        <v>0.48967022961005602</v>
      </c>
      <c r="P3663" s="14">
        <v>0.14333142153918699</v>
      </c>
      <c r="Q3663" t="str">
        <f t="shared" si="114"/>
        <v>&lt;01</v>
      </c>
      <c r="R3663" t="str">
        <f t="shared" si="115"/>
        <v>[ir8wuHHzoSs]|&lt;01|Male|Incidence_SUBNAT.Rt.T_1|CY2023Q3</v>
      </c>
    </row>
    <row r="3664" spans="4:18" x14ac:dyDescent="0.2">
      <c r="D3664" t="s">
        <v>80</v>
      </c>
      <c r="E3664" t="s">
        <v>81</v>
      </c>
      <c r="F3664" t="s">
        <v>82</v>
      </c>
      <c r="G3664" t="s">
        <v>151</v>
      </c>
      <c r="H3664" t="s">
        <v>151</v>
      </c>
      <c r="I3664" t="s">
        <v>32</v>
      </c>
      <c r="J3664" t="s">
        <v>33</v>
      </c>
      <c r="K3664" t="s">
        <v>47</v>
      </c>
      <c r="L3664" t="s">
        <v>48</v>
      </c>
      <c r="M3664" t="s">
        <v>139</v>
      </c>
      <c r="N3664">
        <v>1933</v>
      </c>
      <c r="O3664" s="14">
        <v>0.44100793218240097</v>
      </c>
      <c r="P3664" s="14">
        <v>0.14333142153918699</v>
      </c>
      <c r="Q3664" t="str">
        <f t="shared" si="114"/>
        <v>01-09</v>
      </c>
      <c r="R3664" t="str">
        <f t="shared" si="115"/>
        <v>[ir8wuHHzoSs]|01-09|Male|Incidence_SUBNAT.Rt.T_1|CY2023Q3</v>
      </c>
    </row>
    <row r="3665" spans="4:18" x14ac:dyDescent="0.2">
      <c r="D3665" t="s">
        <v>80</v>
      </c>
      <c r="E3665" t="s">
        <v>81</v>
      </c>
      <c r="F3665" t="s">
        <v>82</v>
      </c>
      <c r="G3665" t="s">
        <v>151</v>
      </c>
      <c r="H3665" t="s">
        <v>151</v>
      </c>
      <c r="I3665" t="s">
        <v>35</v>
      </c>
      <c r="J3665" t="s">
        <v>36</v>
      </c>
      <c r="K3665" t="s">
        <v>47</v>
      </c>
      <c r="L3665" t="s">
        <v>48</v>
      </c>
      <c r="M3665" t="s">
        <v>139</v>
      </c>
      <c r="N3665">
        <v>1724</v>
      </c>
      <c r="O3665" s="14">
        <v>0.71556223393417895</v>
      </c>
      <c r="P3665" s="14">
        <v>0.14333142153918699</v>
      </c>
      <c r="Q3665" t="str">
        <f t="shared" si="114"/>
        <v>10-14</v>
      </c>
      <c r="R3665" t="str">
        <f t="shared" si="115"/>
        <v>[ir8wuHHzoSs]|10-14|Male|Incidence_SUBNAT.Rt.T_1|CY2023Q3</v>
      </c>
    </row>
    <row r="3666" spans="4:18" x14ac:dyDescent="0.2">
      <c r="D3666" t="s">
        <v>80</v>
      </c>
      <c r="E3666" t="s">
        <v>81</v>
      </c>
      <c r="F3666" t="s">
        <v>82</v>
      </c>
      <c r="G3666" t="s">
        <v>151</v>
      </c>
      <c r="H3666" t="s">
        <v>151</v>
      </c>
      <c r="I3666" t="s">
        <v>37</v>
      </c>
      <c r="J3666" t="s">
        <v>38</v>
      </c>
      <c r="K3666" t="s">
        <v>47</v>
      </c>
      <c r="L3666" t="s">
        <v>48</v>
      </c>
      <c r="M3666" t="s">
        <v>139</v>
      </c>
      <c r="N3666">
        <v>1030</v>
      </c>
      <c r="O3666" s="14">
        <v>4.88316901028156E-2</v>
      </c>
      <c r="P3666" s="14">
        <v>0.14333142153918699</v>
      </c>
      <c r="Q3666" t="str">
        <f t="shared" si="114"/>
        <v>15-24</v>
      </c>
      <c r="R3666" t="str">
        <f t="shared" si="115"/>
        <v>[ir8wuHHzoSs]|15-24|Male|Incidence_SUBNAT.Rt.T_1|CY2023Q3</v>
      </c>
    </row>
    <row r="3667" spans="4:18" x14ac:dyDescent="0.2">
      <c r="D3667" t="s">
        <v>80</v>
      </c>
      <c r="E3667" t="s">
        <v>81</v>
      </c>
      <c r="F3667" t="s">
        <v>82</v>
      </c>
      <c r="G3667" t="s">
        <v>151</v>
      </c>
      <c r="H3667" t="s">
        <v>151</v>
      </c>
      <c r="I3667" t="s">
        <v>40</v>
      </c>
      <c r="J3667" t="s">
        <v>41</v>
      </c>
      <c r="K3667" t="s">
        <v>47</v>
      </c>
      <c r="L3667" t="s">
        <v>48</v>
      </c>
      <c r="M3667" t="s">
        <v>139</v>
      </c>
      <c r="N3667">
        <v>569</v>
      </c>
      <c r="O3667" s="14">
        <v>0.22456188336946101</v>
      </c>
      <c r="P3667" s="14">
        <v>0.14333142153918699</v>
      </c>
      <c r="Q3667" t="str">
        <f t="shared" si="114"/>
        <v>25-34</v>
      </c>
      <c r="R3667" t="str">
        <f t="shared" si="115"/>
        <v>[ir8wuHHzoSs]|25-34|Male|Incidence_SUBNAT.Rt.T_1|CY2023Q3</v>
      </c>
    </row>
    <row r="3668" spans="4:18" x14ac:dyDescent="0.2">
      <c r="D3668" t="s">
        <v>80</v>
      </c>
      <c r="E3668" t="s">
        <v>81</v>
      </c>
      <c r="F3668" t="s">
        <v>82</v>
      </c>
      <c r="G3668" t="s">
        <v>151</v>
      </c>
      <c r="H3668" t="s">
        <v>151</v>
      </c>
      <c r="I3668" t="s">
        <v>42</v>
      </c>
      <c r="J3668" t="s">
        <v>43</v>
      </c>
      <c r="K3668" t="s">
        <v>47</v>
      </c>
      <c r="L3668" t="s">
        <v>48</v>
      </c>
      <c r="M3668" t="s">
        <v>139</v>
      </c>
      <c r="N3668">
        <v>1637</v>
      </c>
      <c r="O3668" s="14">
        <v>0.34202540037222201</v>
      </c>
      <c r="P3668" s="14">
        <v>0.14333142153918699</v>
      </c>
      <c r="Q3668" t="str">
        <f t="shared" si="114"/>
        <v>35-49</v>
      </c>
      <c r="R3668" t="str">
        <f t="shared" si="115"/>
        <v>[ir8wuHHzoSs]|35-49|Male|Incidence_SUBNAT.Rt.T_1|CY2023Q3</v>
      </c>
    </row>
    <row r="3669" spans="4:18" x14ac:dyDescent="0.2">
      <c r="D3669" t="s">
        <v>80</v>
      </c>
      <c r="E3669" t="s">
        <v>81</v>
      </c>
      <c r="F3669" t="s">
        <v>82</v>
      </c>
      <c r="G3669" t="s">
        <v>151</v>
      </c>
      <c r="H3669" t="s">
        <v>151</v>
      </c>
      <c r="I3669" t="s">
        <v>44</v>
      </c>
      <c r="J3669" t="s">
        <v>45</v>
      </c>
      <c r="K3669" t="s">
        <v>47</v>
      </c>
      <c r="L3669" t="s">
        <v>48</v>
      </c>
      <c r="M3669" t="s">
        <v>139</v>
      </c>
      <c r="N3669">
        <v>817</v>
      </c>
      <c r="O3669" s="14">
        <v>6.3350805547088399E-2</v>
      </c>
      <c r="P3669" s="14">
        <v>0.14333142153918699</v>
      </c>
      <c r="Q3669" t="str">
        <f t="shared" si="114"/>
        <v>50+</v>
      </c>
      <c r="R3669" t="str">
        <f t="shared" si="115"/>
        <v>[ir8wuHHzoSs]|50+|Male|Incidence_SUBNAT.Rt.T_1|CY2023Q3</v>
      </c>
    </row>
    <row r="3670" spans="4:18" x14ac:dyDescent="0.2">
      <c r="D3670" t="s">
        <v>83</v>
      </c>
      <c r="E3670" t="s">
        <v>84</v>
      </c>
      <c r="F3670" t="s">
        <v>85</v>
      </c>
      <c r="G3670" t="s">
        <v>151</v>
      </c>
      <c r="H3670" t="s">
        <v>151</v>
      </c>
      <c r="I3670" t="s">
        <v>27</v>
      </c>
      <c r="J3670" t="s">
        <v>28</v>
      </c>
      <c r="K3670" t="s">
        <v>29</v>
      </c>
      <c r="L3670" t="s">
        <v>30</v>
      </c>
      <c r="M3670" t="s">
        <v>139</v>
      </c>
      <c r="N3670">
        <v>947</v>
      </c>
      <c r="O3670" s="14">
        <v>7.3914033593609901E-2</v>
      </c>
      <c r="P3670" s="14">
        <v>2.9788714367896301E-2</v>
      </c>
      <c r="Q3670" t="str">
        <f t="shared" si="114"/>
        <v>&lt;01</v>
      </c>
      <c r="R3670" t="str">
        <f t="shared" si="115"/>
        <v>[fyEoGEPERdI]|&lt;01|Female|Incidence_SUBNAT.Rt.T_1|CY2023Q3</v>
      </c>
    </row>
    <row r="3671" spans="4:18" x14ac:dyDescent="0.2">
      <c r="D3671" t="s">
        <v>83</v>
      </c>
      <c r="E3671" t="s">
        <v>84</v>
      </c>
      <c r="F3671" t="s">
        <v>85</v>
      </c>
      <c r="G3671" t="s">
        <v>151</v>
      </c>
      <c r="H3671" t="s">
        <v>151</v>
      </c>
      <c r="I3671" t="s">
        <v>32</v>
      </c>
      <c r="J3671" t="s">
        <v>33</v>
      </c>
      <c r="K3671" t="s">
        <v>29</v>
      </c>
      <c r="L3671" t="s">
        <v>30</v>
      </c>
      <c r="M3671" t="s">
        <v>139</v>
      </c>
      <c r="N3671">
        <v>1299</v>
      </c>
      <c r="O3671" s="14">
        <v>0.78253617743030202</v>
      </c>
      <c r="P3671" s="14">
        <v>2.9788714367896301E-2</v>
      </c>
      <c r="Q3671" t="str">
        <f t="shared" si="114"/>
        <v>01-09</v>
      </c>
      <c r="R3671" t="str">
        <f t="shared" si="115"/>
        <v>[fyEoGEPERdI]|01-09|Female|Incidence_SUBNAT.Rt.T_1|CY2023Q3</v>
      </c>
    </row>
    <row r="3672" spans="4:18" x14ac:dyDescent="0.2">
      <c r="D3672" t="s">
        <v>83</v>
      </c>
      <c r="E3672" t="s">
        <v>84</v>
      </c>
      <c r="F3672" t="s">
        <v>85</v>
      </c>
      <c r="G3672" t="s">
        <v>151</v>
      </c>
      <c r="H3672" t="s">
        <v>151</v>
      </c>
      <c r="I3672" t="s">
        <v>35</v>
      </c>
      <c r="J3672" t="s">
        <v>36</v>
      </c>
      <c r="K3672" t="s">
        <v>29</v>
      </c>
      <c r="L3672" t="s">
        <v>30</v>
      </c>
      <c r="M3672" t="s">
        <v>139</v>
      </c>
      <c r="N3672">
        <v>1359</v>
      </c>
      <c r="O3672" s="14">
        <v>0.42706132377497902</v>
      </c>
      <c r="P3672" s="14">
        <v>2.9788714367896301E-2</v>
      </c>
      <c r="Q3672" t="str">
        <f t="shared" si="114"/>
        <v>10-14</v>
      </c>
      <c r="R3672" t="str">
        <f t="shared" si="115"/>
        <v>[fyEoGEPERdI]|10-14|Female|Incidence_SUBNAT.Rt.T_1|CY2023Q3</v>
      </c>
    </row>
    <row r="3673" spans="4:18" x14ac:dyDescent="0.2">
      <c r="D3673" t="s">
        <v>83</v>
      </c>
      <c r="E3673" t="s">
        <v>84</v>
      </c>
      <c r="F3673" t="s">
        <v>85</v>
      </c>
      <c r="G3673" t="s">
        <v>151</v>
      </c>
      <c r="H3673" t="s">
        <v>151</v>
      </c>
      <c r="I3673" t="s">
        <v>37</v>
      </c>
      <c r="J3673" t="s">
        <v>38</v>
      </c>
      <c r="K3673" t="s">
        <v>29</v>
      </c>
      <c r="L3673" t="s">
        <v>30</v>
      </c>
      <c r="M3673" t="s">
        <v>139</v>
      </c>
      <c r="N3673">
        <v>605</v>
      </c>
      <c r="O3673" s="14">
        <v>4.0014742640778402E-2</v>
      </c>
      <c r="P3673" s="14">
        <v>2.9788714367896301E-2</v>
      </c>
      <c r="Q3673" t="str">
        <f t="shared" si="114"/>
        <v>15-24</v>
      </c>
      <c r="R3673" t="str">
        <f t="shared" si="115"/>
        <v>[fyEoGEPERdI]|15-24|Female|Incidence_SUBNAT.Rt.T_1|CY2023Q3</v>
      </c>
    </row>
    <row r="3674" spans="4:18" x14ac:dyDescent="0.2">
      <c r="D3674" t="s">
        <v>83</v>
      </c>
      <c r="E3674" t="s">
        <v>84</v>
      </c>
      <c r="F3674" t="s">
        <v>85</v>
      </c>
      <c r="G3674" t="s">
        <v>151</v>
      </c>
      <c r="H3674" t="s">
        <v>151</v>
      </c>
      <c r="I3674" t="s">
        <v>40</v>
      </c>
      <c r="J3674" t="s">
        <v>41</v>
      </c>
      <c r="K3674" t="s">
        <v>29</v>
      </c>
      <c r="L3674" t="s">
        <v>30</v>
      </c>
      <c r="M3674" t="s">
        <v>139</v>
      </c>
      <c r="N3674">
        <v>1933</v>
      </c>
      <c r="O3674" s="14">
        <v>0.109011528547853</v>
      </c>
      <c r="P3674" s="14">
        <v>2.9788714367896301E-2</v>
      </c>
      <c r="Q3674" t="str">
        <f t="shared" si="114"/>
        <v>25-34</v>
      </c>
      <c r="R3674" t="str">
        <f t="shared" si="115"/>
        <v>[fyEoGEPERdI]|25-34|Female|Incidence_SUBNAT.Rt.T_1|CY2023Q3</v>
      </c>
    </row>
    <row r="3675" spans="4:18" x14ac:dyDescent="0.2">
      <c r="D3675" t="s">
        <v>83</v>
      </c>
      <c r="E3675" t="s">
        <v>84</v>
      </c>
      <c r="F3675" t="s">
        <v>85</v>
      </c>
      <c r="G3675" t="s">
        <v>151</v>
      </c>
      <c r="H3675" t="s">
        <v>151</v>
      </c>
      <c r="I3675" t="s">
        <v>42</v>
      </c>
      <c r="J3675" t="s">
        <v>43</v>
      </c>
      <c r="K3675" t="s">
        <v>29</v>
      </c>
      <c r="L3675" t="s">
        <v>30</v>
      </c>
      <c r="M3675" t="s">
        <v>139</v>
      </c>
      <c r="N3675">
        <v>957</v>
      </c>
      <c r="O3675" s="14">
        <v>0.45027193520218101</v>
      </c>
      <c r="P3675" s="14">
        <v>2.9788714367896301E-2</v>
      </c>
      <c r="Q3675" t="str">
        <f t="shared" si="114"/>
        <v>35-49</v>
      </c>
      <c r="R3675" t="str">
        <f t="shared" si="115"/>
        <v>[fyEoGEPERdI]|35-49|Female|Incidence_SUBNAT.Rt.T_1|CY2023Q3</v>
      </c>
    </row>
    <row r="3676" spans="4:18" x14ac:dyDescent="0.2">
      <c r="D3676" t="s">
        <v>83</v>
      </c>
      <c r="E3676" t="s">
        <v>84</v>
      </c>
      <c r="F3676" t="s">
        <v>85</v>
      </c>
      <c r="G3676" t="s">
        <v>151</v>
      </c>
      <c r="H3676" t="s">
        <v>151</v>
      </c>
      <c r="I3676" t="s">
        <v>44</v>
      </c>
      <c r="J3676" t="s">
        <v>45</v>
      </c>
      <c r="K3676" t="s">
        <v>29</v>
      </c>
      <c r="L3676" t="s">
        <v>30</v>
      </c>
      <c r="M3676" t="s">
        <v>139</v>
      </c>
      <c r="N3676">
        <v>1843</v>
      </c>
      <c r="O3676" s="14">
        <v>0.108970561530441</v>
      </c>
      <c r="P3676" s="14">
        <v>2.9788714367896301E-2</v>
      </c>
      <c r="Q3676" t="str">
        <f t="shared" si="114"/>
        <v>50+</v>
      </c>
      <c r="R3676" t="str">
        <f t="shared" si="115"/>
        <v>[fyEoGEPERdI]|50+|Female|Incidence_SUBNAT.Rt.T_1|CY2023Q3</v>
      </c>
    </row>
    <row r="3677" spans="4:18" x14ac:dyDescent="0.2">
      <c r="D3677" t="s">
        <v>83</v>
      </c>
      <c r="E3677" t="s">
        <v>84</v>
      </c>
      <c r="F3677" t="s">
        <v>85</v>
      </c>
      <c r="G3677" t="s">
        <v>151</v>
      </c>
      <c r="H3677" t="s">
        <v>151</v>
      </c>
      <c r="I3677" t="s">
        <v>27</v>
      </c>
      <c r="J3677" t="s">
        <v>28</v>
      </c>
      <c r="K3677" t="s">
        <v>47</v>
      </c>
      <c r="L3677" t="s">
        <v>48</v>
      </c>
      <c r="M3677" t="s">
        <v>139</v>
      </c>
      <c r="N3677">
        <v>1038</v>
      </c>
      <c r="O3677" s="14">
        <v>8.5841821040958194E-2</v>
      </c>
      <c r="P3677" s="14">
        <v>2.9788714367896301E-2</v>
      </c>
      <c r="Q3677" t="str">
        <f t="shared" si="114"/>
        <v>&lt;01</v>
      </c>
      <c r="R3677" t="str">
        <f t="shared" si="115"/>
        <v>[fyEoGEPERdI]|&lt;01|Male|Incidence_SUBNAT.Rt.T_1|CY2023Q3</v>
      </c>
    </row>
    <row r="3678" spans="4:18" x14ac:dyDescent="0.2">
      <c r="D3678" t="s">
        <v>83</v>
      </c>
      <c r="E3678" t="s">
        <v>84</v>
      </c>
      <c r="F3678" t="s">
        <v>85</v>
      </c>
      <c r="G3678" t="s">
        <v>151</v>
      </c>
      <c r="H3678" t="s">
        <v>151</v>
      </c>
      <c r="I3678" t="s">
        <v>32</v>
      </c>
      <c r="J3678" t="s">
        <v>33</v>
      </c>
      <c r="K3678" t="s">
        <v>47</v>
      </c>
      <c r="L3678" t="s">
        <v>48</v>
      </c>
      <c r="M3678" t="s">
        <v>139</v>
      </c>
      <c r="N3678">
        <v>1582</v>
      </c>
      <c r="O3678" s="14">
        <v>0.84289010730572</v>
      </c>
      <c r="P3678" s="14">
        <v>2.9788714367896301E-2</v>
      </c>
      <c r="Q3678" t="str">
        <f t="shared" si="114"/>
        <v>01-09</v>
      </c>
      <c r="R3678" t="str">
        <f t="shared" si="115"/>
        <v>[fyEoGEPERdI]|01-09|Male|Incidence_SUBNAT.Rt.T_1|CY2023Q3</v>
      </c>
    </row>
    <row r="3679" spans="4:18" x14ac:dyDescent="0.2">
      <c r="D3679" t="s">
        <v>83</v>
      </c>
      <c r="E3679" t="s">
        <v>84</v>
      </c>
      <c r="F3679" t="s">
        <v>85</v>
      </c>
      <c r="G3679" t="s">
        <v>151</v>
      </c>
      <c r="H3679" t="s">
        <v>151</v>
      </c>
      <c r="I3679" t="s">
        <v>35</v>
      </c>
      <c r="J3679" t="s">
        <v>36</v>
      </c>
      <c r="K3679" t="s">
        <v>47</v>
      </c>
      <c r="L3679" t="s">
        <v>48</v>
      </c>
      <c r="M3679" t="s">
        <v>139</v>
      </c>
      <c r="N3679">
        <v>1433</v>
      </c>
      <c r="O3679" s="14">
        <v>0.37382041616365302</v>
      </c>
      <c r="P3679" s="14">
        <v>2.9788714367896301E-2</v>
      </c>
      <c r="Q3679" t="str">
        <f t="shared" si="114"/>
        <v>10-14</v>
      </c>
      <c r="R3679" t="str">
        <f t="shared" si="115"/>
        <v>[fyEoGEPERdI]|10-14|Male|Incidence_SUBNAT.Rt.T_1|CY2023Q3</v>
      </c>
    </row>
    <row r="3680" spans="4:18" x14ac:dyDescent="0.2">
      <c r="D3680" t="s">
        <v>83</v>
      </c>
      <c r="E3680" t="s">
        <v>84</v>
      </c>
      <c r="F3680" t="s">
        <v>85</v>
      </c>
      <c r="G3680" t="s">
        <v>151</v>
      </c>
      <c r="H3680" t="s">
        <v>151</v>
      </c>
      <c r="I3680" t="s">
        <v>37</v>
      </c>
      <c r="J3680" t="s">
        <v>38</v>
      </c>
      <c r="K3680" t="s">
        <v>47</v>
      </c>
      <c r="L3680" t="s">
        <v>48</v>
      </c>
      <c r="M3680" t="s">
        <v>139</v>
      </c>
      <c r="N3680">
        <v>1119</v>
      </c>
      <c r="O3680" s="14">
        <v>0.403612477239221</v>
      </c>
      <c r="P3680" s="14">
        <v>2.9788714367896301E-2</v>
      </c>
      <c r="Q3680" t="str">
        <f t="shared" si="114"/>
        <v>15-24</v>
      </c>
      <c r="R3680" t="str">
        <f t="shared" si="115"/>
        <v>[fyEoGEPERdI]|15-24|Male|Incidence_SUBNAT.Rt.T_1|CY2023Q3</v>
      </c>
    </row>
    <row r="3681" spans="4:18" x14ac:dyDescent="0.2">
      <c r="D3681" t="s">
        <v>83</v>
      </c>
      <c r="E3681" t="s">
        <v>84</v>
      </c>
      <c r="F3681" t="s">
        <v>85</v>
      </c>
      <c r="G3681" t="s">
        <v>151</v>
      </c>
      <c r="H3681" t="s">
        <v>151</v>
      </c>
      <c r="I3681" t="s">
        <v>40</v>
      </c>
      <c r="J3681" t="s">
        <v>41</v>
      </c>
      <c r="K3681" t="s">
        <v>47</v>
      </c>
      <c r="L3681" t="s">
        <v>48</v>
      </c>
      <c r="M3681" t="s">
        <v>139</v>
      </c>
      <c r="N3681">
        <v>708</v>
      </c>
      <c r="O3681" s="14">
        <v>0.92341317632235598</v>
      </c>
      <c r="P3681" s="14">
        <v>2.9788714367896301E-2</v>
      </c>
      <c r="Q3681" t="str">
        <f t="shared" si="114"/>
        <v>25-34</v>
      </c>
      <c r="R3681" t="str">
        <f t="shared" si="115"/>
        <v>[fyEoGEPERdI]|25-34|Male|Incidence_SUBNAT.Rt.T_1|CY2023Q3</v>
      </c>
    </row>
    <row r="3682" spans="4:18" x14ac:dyDescent="0.2">
      <c r="D3682" t="s">
        <v>83</v>
      </c>
      <c r="E3682" t="s">
        <v>84</v>
      </c>
      <c r="F3682" t="s">
        <v>85</v>
      </c>
      <c r="G3682" t="s">
        <v>151</v>
      </c>
      <c r="H3682" t="s">
        <v>151</v>
      </c>
      <c r="I3682" t="s">
        <v>42</v>
      </c>
      <c r="J3682" t="s">
        <v>43</v>
      </c>
      <c r="K3682" t="s">
        <v>47</v>
      </c>
      <c r="L3682" t="s">
        <v>48</v>
      </c>
      <c r="M3682" t="s">
        <v>139</v>
      </c>
      <c r="N3682">
        <v>789</v>
      </c>
      <c r="O3682" s="14">
        <v>0.43995647737756399</v>
      </c>
      <c r="P3682" s="14">
        <v>2.9788714367896301E-2</v>
      </c>
      <c r="Q3682" t="str">
        <f t="shared" si="114"/>
        <v>35-49</v>
      </c>
      <c r="R3682" t="str">
        <f t="shared" si="115"/>
        <v>[fyEoGEPERdI]|35-49|Male|Incidence_SUBNAT.Rt.T_1|CY2023Q3</v>
      </c>
    </row>
    <row r="3683" spans="4:18" x14ac:dyDescent="0.2">
      <c r="D3683" t="s">
        <v>83</v>
      </c>
      <c r="E3683" t="s">
        <v>84</v>
      </c>
      <c r="F3683" t="s">
        <v>85</v>
      </c>
      <c r="G3683" t="s">
        <v>151</v>
      </c>
      <c r="H3683" t="s">
        <v>151</v>
      </c>
      <c r="I3683" t="s">
        <v>44</v>
      </c>
      <c r="J3683" t="s">
        <v>45</v>
      </c>
      <c r="K3683" t="s">
        <v>47</v>
      </c>
      <c r="L3683" t="s">
        <v>48</v>
      </c>
      <c r="M3683" t="s">
        <v>139</v>
      </c>
      <c r="N3683">
        <v>1469</v>
      </c>
      <c r="O3683" s="14">
        <v>6.5191010013222694E-2</v>
      </c>
      <c r="P3683" s="14">
        <v>2.9788714367896301E-2</v>
      </c>
      <c r="Q3683" t="str">
        <f t="shared" si="114"/>
        <v>50+</v>
      </c>
      <c r="R3683" t="str">
        <f t="shared" si="115"/>
        <v>[fyEoGEPERdI]|50+|Male|Incidence_SUBNAT.Rt.T_1|CY2023Q3</v>
      </c>
    </row>
    <row r="3684" spans="4:18" x14ac:dyDescent="0.2">
      <c r="D3684" t="s">
        <v>86</v>
      </c>
      <c r="E3684" t="s">
        <v>87</v>
      </c>
      <c r="F3684" t="s">
        <v>88</v>
      </c>
      <c r="G3684" t="s">
        <v>151</v>
      </c>
      <c r="H3684" t="s">
        <v>151</v>
      </c>
      <c r="I3684" t="s">
        <v>27</v>
      </c>
      <c r="J3684" t="s">
        <v>28</v>
      </c>
      <c r="K3684" t="s">
        <v>29</v>
      </c>
      <c r="L3684" t="s">
        <v>30</v>
      </c>
      <c r="M3684" t="s">
        <v>139</v>
      </c>
      <c r="N3684">
        <v>940</v>
      </c>
      <c r="O3684" s="14">
        <v>0.88600526307709504</v>
      </c>
      <c r="P3684" s="14">
        <v>0.13333638082258401</v>
      </c>
      <c r="Q3684" t="str">
        <f t="shared" si="114"/>
        <v>&lt;01</v>
      </c>
      <c r="R3684" t="str">
        <f t="shared" si="115"/>
        <v>[cPtvxaZqXIH]|&lt;01|Female|Incidence_SUBNAT.Rt.T_1|CY2023Q3</v>
      </c>
    </row>
    <row r="3685" spans="4:18" x14ac:dyDescent="0.2">
      <c r="D3685" t="s">
        <v>86</v>
      </c>
      <c r="E3685" t="s">
        <v>87</v>
      </c>
      <c r="F3685" t="s">
        <v>88</v>
      </c>
      <c r="G3685" t="s">
        <v>151</v>
      </c>
      <c r="H3685" t="s">
        <v>151</v>
      </c>
      <c r="I3685" t="s">
        <v>32</v>
      </c>
      <c r="J3685" t="s">
        <v>33</v>
      </c>
      <c r="K3685" t="s">
        <v>29</v>
      </c>
      <c r="L3685" t="s">
        <v>30</v>
      </c>
      <c r="M3685" t="s">
        <v>139</v>
      </c>
      <c r="N3685">
        <v>1632</v>
      </c>
      <c r="O3685" s="14">
        <v>9.6466397866606698E-2</v>
      </c>
      <c r="P3685" s="14">
        <v>0.13333638082258401</v>
      </c>
      <c r="Q3685" t="str">
        <f t="shared" si="114"/>
        <v>01-09</v>
      </c>
      <c r="R3685" t="str">
        <f t="shared" si="115"/>
        <v>[cPtvxaZqXIH]|01-09|Female|Incidence_SUBNAT.Rt.T_1|CY2023Q3</v>
      </c>
    </row>
    <row r="3686" spans="4:18" x14ac:dyDescent="0.2">
      <c r="D3686" t="s">
        <v>86</v>
      </c>
      <c r="E3686" t="s">
        <v>87</v>
      </c>
      <c r="F3686" t="s">
        <v>88</v>
      </c>
      <c r="G3686" t="s">
        <v>151</v>
      </c>
      <c r="H3686" t="s">
        <v>151</v>
      </c>
      <c r="I3686" t="s">
        <v>35</v>
      </c>
      <c r="J3686" t="s">
        <v>36</v>
      </c>
      <c r="K3686" t="s">
        <v>29</v>
      </c>
      <c r="L3686" t="s">
        <v>30</v>
      </c>
      <c r="M3686" t="s">
        <v>139</v>
      </c>
      <c r="N3686">
        <v>1168</v>
      </c>
      <c r="O3686" s="14">
        <v>0.78711798181757298</v>
      </c>
      <c r="P3686" s="14">
        <v>0.13333638082258401</v>
      </c>
      <c r="Q3686" t="str">
        <f t="shared" si="114"/>
        <v>10-14</v>
      </c>
      <c r="R3686" t="str">
        <f t="shared" si="115"/>
        <v>[cPtvxaZqXIH]|10-14|Female|Incidence_SUBNAT.Rt.T_1|CY2023Q3</v>
      </c>
    </row>
    <row r="3687" spans="4:18" x14ac:dyDescent="0.2">
      <c r="D3687" t="s">
        <v>86</v>
      </c>
      <c r="E3687" t="s">
        <v>87</v>
      </c>
      <c r="F3687" t="s">
        <v>88</v>
      </c>
      <c r="G3687" t="s">
        <v>151</v>
      </c>
      <c r="H3687" t="s">
        <v>151</v>
      </c>
      <c r="I3687" t="s">
        <v>37</v>
      </c>
      <c r="J3687" t="s">
        <v>38</v>
      </c>
      <c r="K3687" t="s">
        <v>29</v>
      </c>
      <c r="L3687" t="s">
        <v>30</v>
      </c>
      <c r="M3687" t="s">
        <v>139</v>
      </c>
      <c r="N3687">
        <v>806</v>
      </c>
      <c r="O3687" s="14">
        <v>0.56135492189787295</v>
      </c>
      <c r="P3687" s="14">
        <v>0.13333638082258401</v>
      </c>
      <c r="Q3687" t="str">
        <f t="shared" si="114"/>
        <v>15-24</v>
      </c>
      <c r="R3687" t="str">
        <f t="shared" si="115"/>
        <v>[cPtvxaZqXIH]|15-24|Female|Incidence_SUBNAT.Rt.T_1|CY2023Q3</v>
      </c>
    </row>
    <row r="3688" spans="4:18" x14ac:dyDescent="0.2">
      <c r="D3688" t="s">
        <v>86</v>
      </c>
      <c r="E3688" t="s">
        <v>87</v>
      </c>
      <c r="F3688" t="s">
        <v>88</v>
      </c>
      <c r="G3688" t="s">
        <v>151</v>
      </c>
      <c r="H3688" t="s">
        <v>151</v>
      </c>
      <c r="I3688" t="s">
        <v>40</v>
      </c>
      <c r="J3688" t="s">
        <v>41</v>
      </c>
      <c r="K3688" t="s">
        <v>29</v>
      </c>
      <c r="L3688" t="s">
        <v>30</v>
      </c>
      <c r="M3688" t="s">
        <v>139</v>
      </c>
      <c r="N3688">
        <v>1047</v>
      </c>
      <c r="O3688" s="14">
        <v>0.72120164404623199</v>
      </c>
      <c r="P3688" s="14">
        <v>0.13333638082258401</v>
      </c>
      <c r="Q3688" t="str">
        <f t="shared" si="114"/>
        <v>25-34</v>
      </c>
      <c r="R3688" t="str">
        <f t="shared" si="115"/>
        <v>[cPtvxaZqXIH]|25-34|Female|Incidence_SUBNAT.Rt.T_1|CY2023Q3</v>
      </c>
    </row>
    <row r="3689" spans="4:18" x14ac:dyDescent="0.2">
      <c r="D3689" t="s">
        <v>86</v>
      </c>
      <c r="E3689" t="s">
        <v>87</v>
      </c>
      <c r="F3689" t="s">
        <v>88</v>
      </c>
      <c r="G3689" t="s">
        <v>151</v>
      </c>
      <c r="H3689" t="s">
        <v>151</v>
      </c>
      <c r="I3689" t="s">
        <v>42</v>
      </c>
      <c r="J3689" t="s">
        <v>43</v>
      </c>
      <c r="K3689" t="s">
        <v>29</v>
      </c>
      <c r="L3689" t="s">
        <v>30</v>
      </c>
      <c r="M3689" t="s">
        <v>139</v>
      </c>
      <c r="N3689">
        <v>1275</v>
      </c>
      <c r="O3689" s="14">
        <v>0.68711554142646503</v>
      </c>
      <c r="P3689" s="14">
        <v>0.13333638082258401</v>
      </c>
      <c r="Q3689" t="str">
        <f t="shared" si="114"/>
        <v>35-49</v>
      </c>
      <c r="R3689" t="str">
        <f t="shared" si="115"/>
        <v>[cPtvxaZqXIH]|35-49|Female|Incidence_SUBNAT.Rt.T_1|CY2023Q3</v>
      </c>
    </row>
    <row r="3690" spans="4:18" x14ac:dyDescent="0.2">
      <c r="D3690" t="s">
        <v>86</v>
      </c>
      <c r="E3690" t="s">
        <v>87</v>
      </c>
      <c r="F3690" t="s">
        <v>88</v>
      </c>
      <c r="G3690" t="s">
        <v>151</v>
      </c>
      <c r="H3690" t="s">
        <v>151</v>
      </c>
      <c r="I3690" t="s">
        <v>44</v>
      </c>
      <c r="J3690" t="s">
        <v>45</v>
      </c>
      <c r="K3690" t="s">
        <v>29</v>
      </c>
      <c r="L3690" t="s">
        <v>30</v>
      </c>
      <c r="M3690" t="s">
        <v>139</v>
      </c>
      <c r="N3690">
        <v>1852</v>
      </c>
      <c r="O3690" s="14">
        <v>0.36914944835007202</v>
      </c>
      <c r="P3690" s="14">
        <v>0.13333638082258401</v>
      </c>
      <c r="Q3690" t="str">
        <f t="shared" si="114"/>
        <v>50+</v>
      </c>
      <c r="R3690" t="str">
        <f t="shared" si="115"/>
        <v>[cPtvxaZqXIH]|50+|Female|Incidence_SUBNAT.Rt.T_1|CY2023Q3</v>
      </c>
    </row>
    <row r="3691" spans="4:18" x14ac:dyDescent="0.2">
      <c r="D3691" t="s">
        <v>86</v>
      </c>
      <c r="E3691" t="s">
        <v>87</v>
      </c>
      <c r="F3691" t="s">
        <v>88</v>
      </c>
      <c r="G3691" t="s">
        <v>151</v>
      </c>
      <c r="H3691" t="s">
        <v>151</v>
      </c>
      <c r="I3691" t="s">
        <v>27</v>
      </c>
      <c r="J3691" t="s">
        <v>28</v>
      </c>
      <c r="K3691" t="s">
        <v>47</v>
      </c>
      <c r="L3691" t="s">
        <v>48</v>
      </c>
      <c r="M3691" t="s">
        <v>139</v>
      </c>
      <c r="N3691">
        <v>1389</v>
      </c>
      <c r="O3691" s="14">
        <v>0.98312981054186799</v>
      </c>
      <c r="P3691" s="14">
        <v>0.13333638082258401</v>
      </c>
      <c r="Q3691" t="str">
        <f t="shared" si="114"/>
        <v>&lt;01</v>
      </c>
      <c r="R3691" t="str">
        <f t="shared" si="115"/>
        <v>[cPtvxaZqXIH]|&lt;01|Male|Incidence_SUBNAT.Rt.T_1|CY2023Q3</v>
      </c>
    </row>
    <row r="3692" spans="4:18" x14ac:dyDescent="0.2">
      <c r="D3692" t="s">
        <v>86</v>
      </c>
      <c r="E3692" t="s">
        <v>87</v>
      </c>
      <c r="F3692" t="s">
        <v>88</v>
      </c>
      <c r="G3692" t="s">
        <v>151</v>
      </c>
      <c r="H3692" t="s">
        <v>151</v>
      </c>
      <c r="I3692" t="s">
        <v>32</v>
      </c>
      <c r="J3692" t="s">
        <v>33</v>
      </c>
      <c r="K3692" t="s">
        <v>47</v>
      </c>
      <c r="L3692" t="s">
        <v>48</v>
      </c>
      <c r="M3692" t="s">
        <v>139</v>
      </c>
      <c r="N3692">
        <v>1547</v>
      </c>
      <c r="O3692" s="14">
        <v>1.6474086092785001E-2</v>
      </c>
      <c r="P3692" s="14">
        <v>0.13333638082258401</v>
      </c>
      <c r="Q3692" t="str">
        <f t="shared" si="114"/>
        <v>01-09</v>
      </c>
      <c r="R3692" t="str">
        <f t="shared" si="115"/>
        <v>[cPtvxaZqXIH]|01-09|Male|Incidence_SUBNAT.Rt.T_1|CY2023Q3</v>
      </c>
    </row>
    <row r="3693" spans="4:18" x14ac:dyDescent="0.2">
      <c r="D3693" t="s">
        <v>86</v>
      </c>
      <c r="E3693" t="s">
        <v>87</v>
      </c>
      <c r="F3693" t="s">
        <v>88</v>
      </c>
      <c r="G3693" t="s">
        <v>151</v>
      </c>
      <c r="H3693" t="s">
        <v>151</v>
      </c>
      <c r="I3693" t="s">
        <v>35</v>
      </c>
      <c r="J3693" t="s">
        <v>36</v>
      </c>
      <c r="K3693" t="s">
        <v>47</v>
      </c>
      <c r="L3693" t="s">
        <v>48</v>
      </c>
      <c r="M3693" t="s">
        <v>139</v>
      </c>
      <c r="N3693">
        <v>1457</v>
      </c>
      <c r="O3693" s="14">
        <v>0.78378823376260698</v>
      </c>
      <c r="P3693" s="14">
        <v>0.13333638082258401</v>
      </c>
      <c r="Q3693" t="str">
        <f t="shared" si="114"/>
        <v>10-14</v>
      </c>
      <c r="R3693" t="str">
        <f t="shared" si="115"/>
        <v>[cPtvxaZqXIH]|10-14|Male|Incidence_SUBNAT.Rt.T_1|CY2023Q3</v>
      </c>
    </row>
    <row r="3694" spans="4:18" x14ac:dyDescent="0.2">
      <c r="D3694" t="s">
        <v>86</v>
      </c>
      <c r="E3694" t="s">
        <v>87</v>
      </c>
      <c r="F3694" t="s">
        <v>88</v>
      </c>
      <c r="G3694" t="s">
        <v>151</v>
      </c>
      <c r="H3694" t="s">
        <v>151</v>
      </c>
      <c r="I3694" t="s">
        <v>37</v>
      </c>
      <c r="J3694" t="s">
        <v>38</v>
      </c>
      <c r="K3694" t="s">
        <v>47</v>
      </c>
      <c r="L3694" t="s">
        <v>48</v>
      </c>
      <c r="M3694" t="s">
        <v>139</v>
      </c>
      <c r="N3694">
        <v>1495</v>
      </c>
      <c r="O3694" s="14">
        <v>0.205779896350577</v>
      </c>
      <c r="P3694" s="14">
        <v>0.13333638082258401</v>
      </c>
      <c r="Q3694" t="str">
        <f t="shared" si="114"/>
        <v>15-24</v>
      </c>
      <c r="R3694" t="str">
        <f t="shared" si="115"/>
        <v>[cPtvxaZqXIH]|15-24|Male|Incidence_SUBNAT.Rt.T_1|CY2023Q3</v>
      </c>
    </row>
    <row r="3695" spans="4:18" x14ac:dyDescent="0.2">
      <c r="D3695" t="s">
        <v>86</v>
      </c>
      <c r="E3695" t="s">
        <v>87</v>
      </c>
      <c r="F3695" t="s">
        <v>88</v>
      </c>
      <c r="G3695" t="s">
        <v>151</v>
      </c>
      <c r="H3695" t="s">
        <v>151</v>
      </c>
      <c r="I3695" t="s">
        <v>40</v>
      </c>
      <c r="J3695" t="s">
        <v>41</v>
      </c>
      <c r="K3695" t="s">
        <v>47</v>
      </c>
      <c r="L3695" t="s">
        <v>48</v>
      </c>
      <c r="M3695" t="s">
        <v>139</v>
      </c>
      <c r="N3695">
        <v>1476</v>
      </c>
      <c r="O3695" s="14">
        <v>0.74241969967261001</v>
      </c>
      <c r="P3695" s="14">
        <v>0.13333638082258401</v>
      </c>
      <c r="Q3695" t="str">
        <f t="shared" si="114"/>
        <v>25-34</v>
      </c>
      <c r="R3695" t="str">
        <f t="shared" si="115"/>
        <v>[cPtvxaZqXIH]|25-34|Male|Incidence_SUBNAT.Rt.T_1|CY2023Q3</v>
      </c>
    </row>
    <row r="3696" spans="4:18" x14ac:dyDescent="0.2">
      <c r="D3696" t="s">
        <v>86</v>
      </c>
      <c r="E3696" t="s">
        <v>87</v>
      </c>
      <c r="F3696" t="s">
        <v>88</v>
      </c>
      <c r="G3696" t="s">
        <v>151</v>
      </c>
      <c r="H3696" t="s">
        <v>151</v>
      </c>
      <c r="I3696" t="s">
        <v>42</v>
      </c>
      <c r="J3696" t="s">
        <v>43</v>
      </c>
      <c r="K3696" t="s">
        <v>47</v>
      </c>
      <c r="L3696" t="s">
        <v>48</v>
      </c>
      <c r="M3696" t="s">
        <v>139</v>
      </c>
      <c r="N3696">
        <v>654</v>
      </c>
      <c r="O3696" s="14">
        <v>0.31713248207233802</v>
      </c>
      <c r="P3696" s="14">
        <v>0.13333638082258401</v>
      </c>
      <c r="Q3696" t="str">
        <f t="shared" si="114"/>
        <v>35-49</v>
      </c>
      <c r="R3696" t="str">
        <f t="shared" si="115"/>
        <v>[cPtvxaZqXIH]|35-49|Male|Incidence_SUBNAT.Rt.T_1|CY2023Q3</v>
      </c>
    </row>
    <row r="3697" spans="4:18" x14ac:dyDescent="0.2">
      <c r="D3697" t="s">
        <v>86</v>
      </c>
      <c r="E3697" t="s">
        <v>87</v>
      </c>
      <c r="F3697" t="s">
        <v>88</v>
      </c>
      <c r="G3697" t="s">
        <v>151</v>
      </c>
      <c r="H3697" t="s">
        <v>151</v>
      </c>
      <c r="I3697" t="s">
        <v>44</v>
      </c>
      <c r="J3697" t="s">
        <v>45</v>
      </c>
      <c r="K3697" t="s">
        <v>47</v>
      </c>
      <c r="L3697" t="s">
        <v>48</v>
      </c>
      <c r="M3697" t="s">
        <v>139</v>
      </c>
      <c r="N3697">
        <v>1358</v>
      </c>
      <c r="O3697" s="14">
        <v>3.6535230698063997E-2</v>
      </c>
      <c r="P3697" s="14">
        <v>0.13333638082258401</v>
      </c>
      <c r="Q3697" t="str">
        <f t="shared" si="114"/>
        <v>50+</v>
      </c>
      <c r="R3697" t="str">
        <f t="shared" si="115"/>
        <v>[cPtvxaZqXIH]|50+|Male|Incidence_SUBNAT.Rt.T_1|CY2023Q3</v>
      </c>
    </row>
    <row r="3698" spans="4:18" x14ac:dyDescent="0.2">
      <c r="D3698" t="s">
        <v>89</v>
      </c>
      <c r="E3698" t="s">
        <v>90</v>
      </c>
      <c r="F3698" t="s">
        <v>91</v>
      </c>
      <c r="G3698" t="s">
        <v>151</v>
      </c>
      <c r="H3698" t="s">
        <v>151</v>
      </c>
      <c r="I3698" t="s">
        <v>27</v>
      </c>
      <c r="J3698" t="s">
        <v>28</v>
      </c>
      <c r="K3698" t="s">
        <v>29</v>
      </c>
      <c r="L3698" t="s">
        <v>30</v>
      </c>
      <c r="M3698" t="s">
        <v>139</v>
      </c>
      <c r="N3698">
        <v>940</v>
      </c>
      <c r="O3698" s="14">
        <v>0.10683631012216201</v>
      </c>
      <c r="P3698" s="14">
        <v>0.71991415042430196</v>
      </c>
      <c r="Q3698" t="str">
        <f t="shared" si="114"/>
        <v>&lt;01</v>
      </c>
      <c r="R3698" t="str">
        <f t="shared" si="115"/>
        <v>[AZyWpGzhcaA]|&lt;01|Female|Incidence_SUBNAT.Rt.T_1|CY2023Q3</v>
      </c>
    </row>
    <row r="3699" spans="4:18" x14ac:dyDescent="0.2">
      <c r="D3699" t="s">
        <v>89</v>
      </c>
      <c r="E3699" t="s">
        <v>90</v>
      </c>
      <c r="F3699" t="s">
        <v>91</v>
      </c>
      <c r="G3699" t="s">
        <v>151</v>
      </c>
      <c r="H3699" t="s">
        <v>151</v>
      </c>
      <c r="I3699" t="s">
        <v>32</v>
      </c>
      <c r="J3699" t="s">
        <v>33</v>
      </c>
      <c r="K3699" t="s">
        <v>29</v>
      </c>
      <c r="L3699" t="s">
        <v>30</v>
      </c>
      <c r="M3699" t="s">
        <v>139</v>
      </c>
      <c r="N3699">
        <v>1531</v>
      </c>
      <c r="O3699" s="14">
        <v>0.25070917094126299</v>
      </c>
      <c r="P3699" s="14">
        <v>0.71991415042430196</v>
      </c>
      <c r="Q3699" t="str">
        <f t="shared" si="114"/>
        <v>01-09</v>
      </c>
      <c r="R3699" t="str">
        <f t="shared" si="115"/>
        <v>[AZyWpGzhcaA]|01-09|Female|Incidence_SUBNAT.Rt.T_1|CY2023Q3</v>
      </c>
    </row>
    <row r="3700" spans="4:18" x14ac:dyDescent="0.2">
      <c r="D3700" t="s">
        <v>89</v>
      </c>
      <c r="E3700" t="s">
        <v>90</v>
      </c>
      <c r="F3700" t="s">
        <v>91</v>
      </c>
      <c r="G3700" t="s">
        <v>151</v>
      </c>
      <c r="H3700" t="s">
        <v>151</v>
      </c>
      <c r="I3700" t="s">
        <v>35</v>
      </c>
      <c r="J3700" t="s">
        <v>36</v>
      </c>
      <c r="K3700" t="s">
        <v>29</v>
      </c>
      <c r="L3700" t="s">
        <v>30</v>
      </c>
      <c r="M3700" t="s">
        <v>139</v>
      </c>
      <c r="N3700">
        <v>1423</v>
      </c>
      <c r="O3700" s="14">
        <v>0.24485383066348701</v>
      </c>
      <c r="P3700" s="14">
        <v>0.71991415042430196</v>
      </c>
      <c r="Q3700" t="str">
        <f t="shared" si="114"/>
        <v>10-14</v>
      </c>
      <c r="R3700" t="str">
        <f t="shared" si="115"/>
        <v>[AZyWpGzhcaA]|10-14|Female|Incidence_SUBNAT.Rt.T_1|CY2023Q3</v>
      </c>
    </row>
    <row r="3701" spans="4:18" x14ac:dyDescent="0.2">
      <c r="D3701" t="s">
        <v>89</v>
      </c>
      <c r="E3701" t="s">
        <v>90</v>
      </c>
      <c r="F3701" t="s">
        <v>91</v>
      </c>
      <c r="G3701" t="s">
        <v>151</v>
      </c>
      <c r="H3701" t="s">
        <v>151</v>
      </c>
      <c r="I3701" t="s">
        <v>37</v>
      </c>
      <c r="J3701" t="s">
        <v>38</v>
      </c>
      <c r="K3701" t="s">
        <v>29</v>
      </c>
      <c r="L3701" t="s">
        <v>30</v>
      </c>
      <c r="M3701" t="s">
        <v>139</v>
      </c>
      <c r="N3701">
        <v>1790</v>
      </c>
      <c r="O3701" s="14">
        <v>0.99558738223276999</v>
      </c>
      <c r="P3701" s="14">
        <v>0.71991415042430196</v>
      </c>
      <c r="Q3701" t="str">
        <f t="shared" si="114"/>
        <v>15-24</v>
      </c>
      <c r="R3701" t="str">
        <f t="shared" si="115"/>
        <v>[AZyWpGzhcaA]|15-24|Female|Incidence_SUBNAT.Rt.T_1|CY2023Q3</v>
      </c>
    </row>
    <row r="3702" spans="4:18" x14ac:dyDescent="0.2">
      <c r="D3702" t="s">
        <v>89</v>
      </c>
      <c r="E3702" t="s">
        <v>90</v>
      </c>
      <c r="F3702" t="s">
        <v>91</v>
      </c>
      <c r="G3702" t="s">
        <v>151</v>
      </c>
      <c r="H3702" t="s">
        <v>151</v>
      </c>
      <c r="I3702" t="s">
        <v>40</v>
      </c>
      <c r="J3702" t="s">
        <v>41</v>
      </c>
      <c r="K3702" t="s">
        <v>29</v>
      </c>
      <c r="L3702" t="s">
        <v>30</v>
      </c>
      <c r="M3702" t="s">
        <v>139</v>
      </c>
      <c r="N3702">
        <v>1554</v>
      </c>
      <c r="O3702" s="14">
        <v>0.44493477582000202</v>
      </c>
      <c r="P3702" s="14">
        <v>0.71991415042430196</v>
      </c>
      <c r="Q3702" t="str">
        <f t="shared" si="114"/>
        <v>25-34</v>
      </c>
      <c r="R3702" t="str">
        <f t="shared" si="115"/>
        <v>[AZyWpGzhcaA]|25-34|Female|Incidence_SUBNAT.Rt.T_1|CY2023Q3</v>
      </c>
    </row>
    <row r="3703" spans="4:18" x14ac:dyDescent="0.2">
      <c r="D3703" t="s">
        <v>89</v>
      </c>
      <c r="E3703" t="s">
        <v>90</v>
      </c>
      <c r="F3703" t="s">
        <v>91</v>
      </c>
      <c r="G3703" t="s">
        <v>151</v>
      </c>
      <c r="H3703" t="s">
        <v>151</v>
      </c>
      <c r="I3703" t="s">
        <v>42</v>
      </c>
      <c r="J3703" t="s">
        <v>43</v>
      </c>
      <c r="K3703" t="s">
        <v>29</v>
      </c>
      <c r="L3703" t="s">
        <v>30</v>
      </c>
      <c r="M3703" t="s">
        <v>139</v>
      </c>
      <c r="N3703">
        <v>1085</v>
      </c>
      <c r="O3703" s="14">
        <v>0.23277763533406001</v>
      </c>
      <c r="P3703" s="14">
        <v>0.71991415042430196</v>
      </c>
      <c r="Q3703" t="str">
        <f t="shared" si="114"/>
        <v>35-49</v>
      </c>
      <c r="R3703" t="str">
        <f t="shared" si="115"/>
        <v>[AZyWpGzhcaA]|35-49|Female|Incidence_SUBNAT.Rt.T_1|CY2023Q3</v>
      </c>
    </row>
    <row r="3704" spans="4:18" x14ac:dyDescent="0.2">
      <c r="D3704" t="s">
        <v>89</v>
      </c>
      <c r="E3704" t="s">
        <v>90</v>
      </c>
      <c r="F3704" t="s">
        <v>91</v>
      </c>
      <c r="G3704" t="s">
        <v>151</v>
      </c>
      <c r="H3704" t="s">
        <v>151</v>
      </c>
      <c r="I3704" t="s">
        <v>44</v>
      </c>
      <c r="J3704" t="s">
        <v>45</v>
      </c>
      <c r="K3704" t="s">
        <v>29</v>
      </c>
      <c r="L3704" t="s">
        <v>30</v>
      </c>
      <c r="M3704" t="s">
        <v>139</v>
      </c>
      <c r="N3704">
        <v>1551</v>
      </c>
      <c r="O3704" s="14">
        <v>0.33450036053545801</v>
      </c>
      <c r="P3704" s="14">
        <v>0.71991415042430196</v>
      </c>
      <c r="Q3704" t="str">
        <f t="shared" si="114"/>
        <v>50+</v>
      </c>
      <c r="R3704" t="str">
        <f t="shared" si="115"/>
        <v>[AZyWpGzhcaA]|50+|Female|Incidence_SUBNAT.Rt.T_1|CY2023Q3</v>
      </c>
    </row>
    <row r="3705" spans="4:18" x14ac:dyDescent="0.2">
      <c r="D3705" t="s">
        <v>89</v>
      </c>
      <c r="E3705" t="s">
        <v>90</v>
      </c>
      <c r="F3705" t="s">
        <v>91</v>
      </c>
      <c r="G3705" t="s">
        <v>151</v>
      </c>
      <c r="H3705" t="s">
        <v>151</v>
      </c>
      <c r="I3705" t="s">
        <v>27</v>
      </c>
      <c r="J3705" t="s">
        <v>28</v>
      </c>
      <c r="K3705" t="s">
        <v>47</v>
      </c>
      <c r="L3705" t="s">
        <v>48</v>
      </c>
      <c r="M3705" t="s">
        <v>139</v>
      </c>
      <c r="N3705">
        <v>728</v>
      </c>
      <c r="O3705" s="14">
        <v>0.81933287950232603</v>
      </c>
      <c r="P3705" s="14">
        <v>0.71991415042430196</v>
      </c>
      <c r="Q3705" t="str">
        <f t="shared" si="114"/>
        <v>&lt;01</v>
      </c>
      <c r="R3705" t="str">
        <f t="shared" si="115"/>
        <v>[AZyWpGzhcaA]|&lt;01|Male|Incidence_SUBNAT.Rt.T_1|CY2023Q3</v>
      </c>
    </row>
    <row r="3706" spans="4:18" x14ac:dyDescent="0.2">
      <c r="D3706" t="s">
        <v>89</v>
      </c>
      <c r="E3706" t="s">
        <v>90</v>
      </c>
      <c r="F3706" t="s">
        <v>91</v>
      </c>
      <c r="G3706" t="s">
        <v>151</v>
      </c>
      <c r="H3706" t="s">
        <v>151</v>
      </c>
      <c r="I3706" t="s">
        <v>32</v>
      </c>
      <c r="J3706" t="s">
        <v>33</v>
      </c>
      <c r="K3706" t="s">
        <v>47</v>
      </c>
      <c r="L3706" t="s">
        <v>48</v>
      </c>
      <c r="M3706" t="s">
        <v>139</v>
      </c>
      <c r="N3706">
        <v>1414</v>
      </c>
      <c r="O3706" s="14">
        <v>0.784557725768536</v>
      </c>
      <c r="P3706" s="14">
        <v>0.71991415042430196</v>
      </c>
      <c r="Q3706" t="str">
        <f t="shared" si="114"/>
        <v>01-09</v>
      </c>
      <c r="R3706" t="str">
        <f t="shared" si="115"/>
        <v>[AZyWpGzhcaA]|01-09|Male|Incidence_SUBNAT.Rt.T_1|CY2023Q3</v>
      </c>
    </row>
    <row r="3707" spans="4:18" x14ac:dyDescent="0.2">
      <c r="D3707" t="s">
        <v>89</v>
      </c>
      <c r="E3707" t="s">
        <v>90</v>
      </c>
      <c r="F3707" t="s">
        <v>91</v>
      </c>
      <c r="G3707" t="s">
        <v>151</v>
      </c>
      <c r="H3707" t="s">
        <v>151</v>
      </c>
      <c r="I3707" t="s">
        <v>35</v>
      </c>
      <c r="J3707" t="s">
        <v>36</v>
      </c>
      <c r="K3707" t="s">
        <v>47</v>
      </c>
      <c r="L3707" t="s">
        <v>48</v>
      </c>
      <c r="M3707" t="s">
        <v>139</v>
      </c>
      <c r="N3707">
        <v>601</v>
      </c>
      <c r="O3707" s="14">
        <v>0.80940724699758004</v>
      </c>
      <c r="P3707" s="14">
        <v>0.71991415042430196</v>
      </c>
      <c r="Q3707" t="str">
        <f t="shared" si="114"/>
        <v>10-14</v>
      </c>
      <c r="R3707" t="str">
        <f t="shared" si="115"/>
        <v>[AZyWpGzhcaA]|10-14|Male|Incidence_SUBNAT.Rt.T_1|CY2023Q3</v>
      </c>
    </row>
    <row r="3708" spans="4:18" x14ac:dyDescent="0.2">
      <c r="D3708" t="s">
        <v>89</v>
      </c>
      <c r="E3708" t="s">
        <v>90</v>
      </c>
      <c r="F3708" t="s">
        <v>91</v>
      </c>
      <c r="G3708" t="s">
        <v>151</v>
      </c>
      <c r="H3708" t="s">
        <v>151</v>
      </c>
      <c r="I3708" t="s">
        <v>37</v>
      </c>
      <c r="J3708" t="s">
        <v>38</v>
      </c>
      <c r="K3708" t="s">
        <v>47</v>
      </c>
      <c r="L3708" t="s">
        <v>48</v>
      </c>
      <c r="M3708" t="s">
        <v>139</v>
      </c>
      <c r="N3708">
        <v>1008</v>
      </c>
      <c r="O3708" s="14">
        <v>0.45855396240949597</v>
      </c>
      <c r="P3708" s="14">
        <v>0.71991415042430196</v>
      </c>
      <c r="Q3708" t="str">
        <f t="shared" si="114"/>
        <v>15-24</v>
      </c>
      <c r="R3708" t="str">
        <f t="shared" si="115"/>
        <v>[AZyWpGzhcaA]|15-24|Male|Incidence_SUBNAT.Rt.T_1|CY2023Q3</v>
      </c>
    </row>
    <row r="3709" spans="4:18" x14ac:dyDescent="0.2">
      <c r="D3709" t="s">
        <v>89</v>
      </c>
      <c r="E3709" t="s">
        <v>90</v>
      </c>
      <c r="F3709" t="s">
        <v>91</v>
      </c>
      <c r="G3709" t="s">
        <v>151</v>
      </c>
      <c r="H3709" t="s">
        <v>151</v>
      </c>
      <c r="I3709" t="s">
        <v>40</v>
      </c>
      <c r="J3709" t="s">
        <v>41</v>
      </c>
      <c r="K3709" t="s">
        <v>47</v>
      </c>
      <c r="L3709" t="s">
        <v>48</v>
      </c>
      <c r="M3709" t="s">
        <v>139</v>
      </c>
      <c r="N3709">
        <v>1136</v>
      </c>
      <c r="O3709" s="14">
        <v>0.228620321955532</v>
      </c>
      <c r="P3709" s="14">
        <v>0.71991415042430196</v>
      </c>
      <c r="Q3709" t="str">
        <f t="shared" si="114"/>
        <v>25-34</v>
      </c>
      <c r="R3709" t="str">
        <f t="shared" si="115"/>
        <v>[AZyWpGzhcaA]|25-34|Male|Incidence_SUBNAT.Rt.T_1|CY2023Q3</v>
      </c>
    </row>
    <row r="3710" spans="4:18" x14ac:dyDescent="0.2">
      <c r="D3710" t="s">
        <v>89</v>
      </c>
      <c r="E3710" t="s">
        <v>90</v>
      </c>
      <c r="F3710" t="s">
        <v>91</v>
      </c>
      <c r="G3710" t="s">
        <v>151</v>
      </c>
      <c r="H3710" t="s">
        <v>151</v>
      </c>
      <c r="I3710" t="s">
        <v>42</v>
      </c>
      <c r="J3710" t="s">
        <v>43</v>
      </c>
      <c r="K3710" t="s">
        <v>47</v>
      </c>
      <c r="L3710" t="s">
        <v>48</v>
      </c>
      <c r="M3710" t="s">
        <v>139</v>
      </c>
      <c r="N3710">
        <v>509</v>
      </c>
      <c r="O3710" s="14">
        <v>0.80343334097415198</v>
      </c>
      <c r="P3710" s="14">
        <v>0.71991415042430196</v>
      </c>
      <c r="Q3710" t="str">
        <f t="shared" si="114"/>
        <v>35-49</v>
      </c>
      <c r="R3710" t="str">
        <f t="shared" si="115"/>
        <v>[AZyWpGzhcaA]|35-49|Male|Incidence_SUBNAT.Rt.T_1|CY2023Q3</v>
      </c>
    </row>
    <row r="3711" spans="4:18" x14ac:dyDescent="0.2">
      <c r="D3711" t="s">
        <v>89</v>
      </c>
      <c r="E3711" t="s">
        <v>90</v>
      </c>
      <c r="F3711" t="s">
        <v>91</v>
      </c>
      <c r="G3711" t="s">
        <v>151</v>
      </c>
      <c r="H3711" t="s">
        <v>151</v>
      </c>
      <c r="I3711" t="s">
        <v>44</v>
      </c>
      <c r="J3711" t="s">
        <v>45</v>
      </c>
      <c r="K3711" t="s">
        <v>47</v>
      </c>
      <c r="L3711" t="s">
        <v>48</v>
      </c>
      <c r="M3711" t="s">
        <v>139</v>
      </c>
      <c r="N3711">
        <v>1190</v>
      </c>
      <c r="O3711" s="14">
        <v>0.53416996193118405</v>
      </c>
      <c r="P3711" s="14">
        <v>0.71991415042430196</v>
      </c>
      <c r="Q3711" t="str">
        <f t="shared" si="114"/>
        <v>50+</v>
      </c>
      <c r="R3711" t="str">
        <f t="shared" si="115"/>
        <v>[AZyWpGzhcaA]|50+|Male|Incidence_SUBNAT.Rt.T_1|CY2023Q3</v>
      </c>
    </row>
    <row r="3712" spans="4:18" x14ac:dyDescent="0.2">
      <c r="D3712" t="s">
        <v>92</v>
      </c>
      <c r="E3712" t="s">
        <v>93</v>
      </c>
      <c r="F3712" t="s">
        <v>94</v>
      </c>
      <c r="G3712" t="s">
        <v>151</v>
      </c>
      <c r="H3712" t="s">
        <v>151</v>
      </c>
      <c r="I3712" t="s">
        <v>27</v>
      </c>
      <c r="J3712" t="s">
        <v>28</v>
      </c>
      <c r="K3712" t="s">
        <v>29</v>
      </c>
      <c r="L3712" t="s">
        <v>30</v>
      </c>
      <c r="M3712" t="s">
        <v>139</v>
      </c>
      <c r="N3712">
        <v>923</v>
      </c>
      <c r="O3712" s="14">
        <v>0.54390521300956596</v>
      </c>
      <c r="P3712" s="14">
        <v>0.36227229656651599</v>
      </c>
      <c r="Q3712" t="str">
        <f t="shared" si="114"/>
        <v>&lt;01</v>
      </c>
      <c r="R3712" t="str">
        <f t="shared" si="115"/>
        <v>[umc2n1Z4wNv]|&lt;01|Female|Incidence_SUBNAT.Rt.T_1|CY2023Q3</v>
      </c>
    </row>
    <row r="3713" spans="4:18" x14ac:dyDescent="0.2">
      <c r="D3713" t="s">
        <v>92</v>
      </c>
      <c r="E3713" t="s">
        <v>93</v>
      </c>
      <c r="F3713" t="s">
        <v>94</v>
      </c>
      <c r="G3713" t="s">
        <v>151</v>
      </c>
      <c r="H3713" t="s">
        <v>151</v>
      </c>
      <c r="I3713" t="s">
        <v>32</v>
      </c>
      <c r="J3713" t="s">
        <v>33</v>
      </c>
      <c r="K3713" t="s">
        <v>29</v>
      </c>
      <c r="L3713" t="s">
        <v>30</v>
      </c>
      <c r="M3713" t="s">
        <v>139</v>
      </c>
      <c r="N3713">
        <v>741</v>
      </c>
      <c r="O3713" s="14">
        <v>0.123776806984097</v>
      </c>
      <c r="P3713" s="14">
        <v>0.36227229656651599</v>
      </c>
      <c r="Q3713" t="str">
        <f t="shared" si="114"/>
        <v>01-09</v>
      </c>
      <c r="R3713" t="str">
        <f t="shared" si="115"/>
        <v>[umc2n1Z4wNv]|01-09|Female|Incidence_SUBNAT.Rt.T_1|CY2023Q3</v>
      </c>
    </row>
    <row r="3714" spans="4:18" x14ac:dyDescent="0.2">
      <c r="D3714" t="s">
        <v>92</v>
      </c>
      <c r="E3714" t="s">
        <v>93</v>
      </c>
      <c r="F3714" t="s">
        <v>94</v>
      </c>
      <c r="G3714" t="s">
        <v>151</v>
      </c>
      <c r="H3714" t="s">
        <v>151</v>
      </c>
      <c r="I3714" t="s">
        <v>35</v>
      </c>
      <c r="J3714" t="s">
        <v>36</v>
      </c>
      <c r="K3714" t="s">
        <v>29</v>
      </c>
      <c r="L3714" t="s">
        <v>30</v>
      </c>
      <c r="M3714" t="s">
        <v>139</v>
      </c>
      <c r="N3714">
        <v>1296</v>
      </c>
      <c r="O3714" s="14">
        <v>0.92658935626968697</v>
      </c>
      <c r="P3714" s="14">
        <v>0.36227229656651599</v>
      </c>
      <c r="Q3714" t="str">
        <f t="shared" ref="Q3714:Q3777" si="116">SUBSTITUTE(SUBSTITUTE($I3714,CHAR(61),""),CHAR(34),"")</f>
        <v>10-14</v>
      </c>
      <c r="R3714" t="str">
        <f t="shared" ref="R3714:R3777" si="117">IF($D3714&lt;&gt;"","["&amp;$E3714&amp;"]"&amp;"|"&amp;$Q3714&amp;"|"&amp;$K3714&amp;"|"&amp;$G3714&amp;"|"&amp;IF($G3714="TX_CURR_SUBNAT.R","CY2022Q4",$M3714),"")</f>
        <v>[umc2n1Z4wNv]|10-14|Female|Incidence_SUBNAT.Rt.T_1|CY2023Q3</v>
      </c>
    </row>
    <row r="3715" spans="4:18" x14ac:dyDescent="0.2">
      <c r="D3715" t="s">
        <v>92</v>
      </c>
      <c r="E3715" t="s">
        <v>93</v>
      </c>
      <c r="F3715" t="s">
        <v>94</v>
      </c>
      <c r="G3715" t="s">
        <v>151</v>
      </c>
      <c r="H3715" t="s">
        <v>151</v>
      </c>
      <c r="I3715" t="s">
        <v>37</v>
      </c>
      <c r="J3715" t="s">
        <v>38</v>
      </c>
      <c r="K3715" t="s">
        <v>29</v>
      </c>
      <c r="L3715" t="s">
        <v>30</v>
      </c>
      <c r="M3715" t="s">
        <v>139</v>
      </c>
      <c r="N3715">
        <v>1350</v>
      </c>
      <c r="O3715" s="14">
        <v>0.85121128126047596</v>
      </c>
      <c r="P3715" s="14">
        <v>0.36227229656651599</v>
      </c>
      <c r="Q3715" t="str">
        <f t="shared" si="116"/>
        <v>15-24</v>
      </c>
      <c r="R3715" t="str">
        <f t="shared" si="117"/>
        <v>[umc2n1Z4wNv]|15-24|Female|Incidence_SUBNAT.Rt.T_1|CY2023Q3</v>
      </c>
    </row>
    <row r="3716" spans="4:18" x14ac:dyDescent="0.2">
      <c r="D3716" t="s">
        <v>92</v>
      </c>
      <c r="E3716" t="s">
        <v>93</v>
      </c>
      <c r="F3716" t="s">
        <v>94</v>
      </c>
      <c r="G3716" t="s">
        <v>151</v>
      </c>
      <c r="H3716" t="s">
        <v>151</v>
      </c>
      <c r="I3716" t="s">
        <v>40</v>
      </c>
      <c r="J3716" t="s">
        <v>41</v>
      </c>
      <c r="K3716" t="s">
        <v>29</v>
      </c>
      <c r="L3716" t="s">
        <v>30</v>
      </c>
      <c r="M3716" t="s">
        <v>139</v>
      </c>
      <c r="N3716">
        <v>877</v>
      </c>
      <c r="O3716" s="14">
        <v>0.90843874658457902</v>
      </c>
      <c r="P3716" s="14">
        <v>0.36227229656651599</v>
      </c>
      <c r="Q3716" t="str">
        <f t="shared" si="116"/>
        <v>25-34</v>
      </c>
      <c r="R3716" t="str">
        <f t="shared" si="117"/>
        <v>[umc2n1Z4wNv]|25-34|Female|Incidence_SUBNAT.Rt.T_1|CY2023Q3</v>
      </c>
    </row>
    <row r="3717" spans="4:18" x14ac:dyDescent="0.2">
      <c r="D3717" t="s">
        <v>92</v>
      </c>
      <c r="E3717" t="s">
        <v>93</v>
      </c>
      <c r="F3717" t="s">
        <v>94</v>
      </c>
      <c r="G3717" t="s">
        <v>151</v>
      </c>
      <c r="H3717" t="s">
        <v>151</v>
      </c>
      <c r="I3717" t="s">
        <v>42</v>
      </c>
      <c r="J3717" t="s">
        <v>43</v>
      </c>
      <c r="K3717" t="s">
        <v>29</v>
      </c>
      <c r="L3717" t="s">
        <v>30</v>
      </c>
      <c r="M3717" t="s">
        <v>139</v>
      </c>
      <c r="N3717">
        <v>1843</v>
      </c>
      <c r="O3717" s="14">
        <v>0.86526481201872196</v>
      </c>
      <c r="P3717" s="14">
        <v>0.36227229656651599</v>
      </c>
      <c r="Q3717" t="str">
        <f t="shared" si="116"/>
        <v>35-49</v>
      </c>
      <c r="R3717" t="str">
        <f t="shared" si="117"/>
        <v>[umc2n1Z4wNv]|35-49|Female|Incidence_SUBNAT.Rt.T_1|CY2023Q3</v>
      </c>
    </row>
    <row r="3718" spans="4:18" x14ac:dyDescent="0.2">
      <c r="D3718" t="s">
        <v>92</v>
      </c>
      <c r="E3718" t="s">
        <v>93</v>
      </c>
      <c r="F3718" t="s">
        <v>94</v>
      </c>
      <c r="G3718" t="s">
        <v>151</v>
      </c>
      <c r="H3718" t="s">
        <v>151</v>
      </c>
      <c r="I3718" t="s">
        <v>44</v>
      </c>
      <c r="J3718" t="s">
        <v>45</v>
      </c>
      <c r="K3718" t="s">
        <v>29</v>
      </c>
      <c r="L3718" t="s">
        <v>30</v>
      </c>
      <c r="M3718" t="s">
        <v>139</v>
      </c>
      <c r="N3718">
        <v>1066</v>
      </c>
      <c r="O3718" s="14">
        <v>0.343573712045327</v>
      </c>
      <c r="P3718" s="14">
        <v>0.36227229656651599</v>
      </c>
      <c r="Q3718" t="str">
        <f t="shared" si="116"/>
        <v>50+</v>
      </c>
      <c r="R3718" t="str">
        <f t="shared" si="117"/>
        <v>[umc2n1Z4wNv]|50+|Female|Incidence_SUBNAT.Rt.T_1|CY2023Q3</v>
      </c>
    </row>
    <row r="3719" spans="4:18" x14ac:dyDescent="0.2">
      <c r="D3719" t="s">
        <v>92</v>
      </c>
      <c r="E3719" t="s">
        <v>93</v>
      </c>
      <c r="F3719" t="s">
        <v>94</v>
      </c>
      <c r="G3719" t="s">
        <v>151</v>
      </c>
      <c r="H3719" t="s">
        <v>151</v>
      </c>
      <c r="I3719" t="s">
        <v>27</v>
      </c>
      <c r="J3719" t="s">
        <v>28</v>
      </c>
      <c r="K3719" t="s">
        <v>47</v>
      </c>
      <c r="L3719" t="s">
        <v>48</v>
      </c>
      <c r="M3719" t="s">
        <v>139</v>
      </c>
      <c r="N3719">
        <v>1099</v>
      </c>
      <c r="O3719" s="14">
        <v>0.330586643423885</v>
      </c>
      <c r="P3719" s="14">
        <v>0.36227229656651599</v>
      </c>
      <c r="Q3719" t="str">
        <f t="shared" si="116"/>
        <v>&lt;01</v>
      </c>
      <c r="R3719" t="str">
        <f t="shared" si="117"/>
        <v>[umc2n1Z4wNv]|&lt;01|Male|Incidence_SUBNAT.Rt.T_1|CY2023Q3</v>
      </c>
    </row>
    <row r="3720" spans="4:18" x14ac:dyDescent="0.2">
      <c r="D3720" t="s">
        <v>92</v>
      </c>
      <c r="E3720" t="s">
        <v>93</v>
      </c>
      <c r="F3720" t="s">
        <v>94</v>
      </c>
      <c r="G3720" t="s">
        <v>151</v>
      </c>
      <c r="H3720" t="s">
        <v>151</v>
      </c>
      <c r="I3720" t="s">
        <v>32</v>
      </c>
      <c r="J3720" t="s">
        <v>33</v>
      </c>
      <c r="K3720" t="s">
        <v>47</v>
      </c>
      <c r="L3720" t="s">
        <v>48</v>
      </c>
      <c r="M3720" t="s">
        <v>139</v>
      </c>
      <c r="N3720">
        <v>790</v>
      </c>
      <c r="O3720" s="14">
        <v>0.30981002724729501</v>
      </c>
      <c r="P3720" s="14">
        <v>0.36227229656651599</v>
      </c>
      <c r="Q3720" t="str">
        <f t="shared" si="116"/>
        <v>01-09</v>
      </c>
      <c r="R3720" t="str">
        <f t="shared" si="117"/>
        <v>[umc2n1Z4wNv]|01-09|Male|Incidence_SUBNAT.Rt.T_1|CY2023Q3</v>
      </c>
    </row>
    <row r="3721" spans="4:18" x14ac:dyDescent="0.2">
      <c r="D3721" t="s">
        <v>92</v>
      </c>
      <c r="E3721" t="s">
        <v>93</v>
      </c>
      <c r="F3721" t="s">
        <v>94</v>
      </c>
      <c r="G3721" t="s">
        <v>151</v>
      </c>
      <c r="H3721" t="s">
        <v>151</v>
      </c>
      <c r="I3721" t="s">
        <v>35</v>
      </c>
      <c r="J3721" t="s">
        <v>36</v>
      </c>
      <c r="K3721" t="s">
        <v>47</v>
      </c>
      <c r="L3721" t="s">
        <v>48</v>
      </c>
      <c r="M3721" t="s">
        <v>139</v>
      </c>
      <c r="N3721">
        <v>1008</v>
      </c>
      <c r="O3721" s="14">
        <v>0.33937229542061698</v>
      </c>
      <c r="P3721" s="14">
        <v>0.36227229656651599</v>
      </c>
      <c r="Q3721" t="str">
        <f t="shared" si="116"/>
        <v>10-14</v>
      </c>
      <c r="R3721" t="str">
        <f t="shared" si="117"/>
        <v>[umc2n1Z4wNv]|10-14|Male|Incidence_SUBNAT.Rt.T_1|CY2023Q3</v>
      </c>
    </row>
    <row r="3722" spans="4:18" x14ac:dyDescent="0.2">
      <c r="D3722" t="s">
        <v>92</v>
      </c>
      <c r="E3722" t="s">
        <v>93</v>
      </c>
      <c r="F3722" t="s">
        <v>94</v>
      </c>
      <c r="G3722" t="s">
        <v>151</v>
      </c>
      <c r="H3722" t="s">
        <v>151</v>
      </c>
      <c r="I3722" t="s">
        <v>37</v>
      </c>
      <c r="J3722" t="s">
        <v>38</v>
      </c>
      <c r="K3722" t="s">
        <v>47</v>
      </c>
      <c r="L3722" t="s">
        <v>48</v>
      </c>
      <c r="M3722" t="s">
        <v>139</v>
      </c>
      <c r="N3722">
        <v>914</v>
      </c>
      <c r="O3722" s="14">
        <v>1.47934607230127E-2</v>
      </c>
      <c r="P3722" s="14">
        <v>0.36227229656651599</v>
      </c>
      <c r="Q3722" t="str">
        <f t="shared" si="116"/>
        <v>15-24</v>
      </c>
      <c r="R3722" t="str">
        <f t="shared" si="117"/>
        <v>[umc2n1Z4wNv]|15-24|Male|Incidence_SUBNAT.Rt.T_1|CY2023Q3</v>
      </c>
    </row>
    <row r="3723" spans="4:18" x14ac:dyDescent="0.2">
      <c r="D3723" t="s">
        <v>92</v>
      </c>
      <c r="E3723" t="s">
        <v>93</v>
      </c>
      <c r="F3723" t="s">
        <v>94</v>
      </c>
      <c r="G3723" t="s">
        <v>151</v>
      </c>
      <c r="H3723" t="s">
        <v>151</v>
      </c>
      <c r="I3723" t="s">
        <v>40</v>
      </c>
      <c r="J3723" t="s">
        <v>41</v>
      </c>
      <c r="K3723" t="s">
        <v>47</v>
      </c>
      <c r="L3723" t="s">
        <v>48</v>
      </c>
      <c r="M3723" t="s">
        <v>139</v>
      </c>
      <c r="N3723">
        <v>1990</v>
      </c>
      <c r="O3723" s="14">
        <v>0.96966748358681798</v>
      </c>
      <c r="P3723" s="14">
        <v>0.36227229656651599</v>
      </c>
      <c r="Q3723" t="str">
        <f t="shared" si="116"/>
        <v>25-34</v>
      </c>
      <c r="R3723" t="str">
        <f t="shared" si="117"/>
        <v>[umc2n1Z4wNv]|25-34|Male|Incidence_SUBNAT.Rt.T_1|CY2023Q3</v>
      </c>
    </row>
    <row r="3724" spans="4:18" x14ac:dyDescent="0.2">
      <c r="D3724" t="s">
        <v>92</v>
      </c>
      <c r="E3724" t="s">
        <v>93</v>
      </c>
      <c r="F3724" t="s">
        <v>94</v>
      </c>
      <c r="G3724" t="s">
        <v>151</v>
      </c>
      <c r="H3724" t="s">
        <v>151</v>
      </c>
      <c r="I3724" t="s">
        <v>42</v>
      </c>
      <c r="J3724" t="s">
        <v>43</v>
      </c>
      <c r="K3724" t="s">
        <v>47</v>
      </c>
      <c r="L3724" t="s">
        <v>48</v>
      </c>
      <c r="M3724" t="s">
        <v>139</v>
      </c>
      <c r="N3724">
        <v>892</v>
      </c>
      <c r="O3724" s="14">
        <v>0.20052803703583799</v>
      </c>
      <c r="P3724" s="14">
        <v>0.36227229656651599</v>
      </c>
      <c r="Q3724" t="str">
        <f t="shared" si="116"/>
        <v>35-49</v>
      </c>
      <c r="R3724" t="str">
        <f t="shared" si="117"/>
        <v>[umc2n1Z4wNv]|35-49|Male|Incidence_SUBNAT.Rt.T_1|CY2023Q3</v>
      </c>
    </row>
    <row r="3725" spans="4:18" x14ac:dyDescent="0.2">
      <c r="D3725" t="s">
        <v>92</v>
      </c>
      <c r="E3725" t="s">
        <v>93</v>
      </c>
      <c r="F3725" t="s">
        <v>94</v>
      </c>
      <c r="G3725" t="s">
        <v>151</v>
      </c>
      <c r="H3725" t="s">
        <v>151</v>
      </c>
      <c r="I3725" t="s">
        <v>44</v>
      </c>
      <c r="J3725" t="s">
        <v>45</v>
      </c>
      <c r="K3725" t="s">
        <v>47</v>
      </c>
      <c r="L3725" t="s">
        <v>48</v>
      </c>
      <c r="M3725" t="s">
        <v>139</v>
      </c>
      <c r="N3725">
        <v>1753</v>
      </c>
      <c r="O3725" s="14">
        <v>0.36270226445048998</v>
      </c>
      <c r="P3725" s="14">
        <v>0.36227229656651599</v>
      </c>
      <c r="Q3725" t="str">
        <f t="shared" si="116"/>
        <v>50+</v>
      </c>
      <c r="R3725" t="str">
        <f t="shared" si="117"/>
        <v>[umc2n1Z4wNv]|50+|Male|Incidence_SUBNAT.Rt.T_1|CY2023Q3</v>
      </c>
    </row>
    <row r="3726" spans="4:18" x14ac:dyDescent="0.2">
      <c r="D3726" t="s">
        <v>95</v>
      </c>
      <c r="E3726" t="s">
        <v>96</v>
      </c>
      <c r="F3726" t="s">
        <v>97</v>
      </c>
      <c r="G3726" t="s">
        <v>151</v>
      </c>
      <c r="H3726" t="s">
        <v>151</v>
      </c>
      <c r="I3726" t="s">
        <v>27</v>
      </c>
      <c r="J3726" t="s">
        <v>28</v>
      </c>
      <c r="K3726" t="s">
        <v>29</v>
      </c>
      <c r="L3726" t="s">
        <v>30</v>
      </c>
      <c r="M3726" t="s">
        <v>139</v>
      </c>
      <c r="N3726">
        <v>994</v>
      </c>
      <c r="O3726" s="14">
        <v>0.96561992168426503</v>
      </c>
      <c r="P3726" s="14">
        <v>0.60125171788968101</v>
      </c>
      <c r="Q3726" t="str">
        <f t="shared" si="116"/>
        <v>&lt;01</v>
      </c>
      <c r="R3726" t="str">
        <f t="shared" si="117"/>
        <v>[gwVYinjBAe9]|&lt;01|Female|Incidence_SUBNAT.Rt.T_1|CY2023Q3</v>
      </c>
    </row>
    <row r="3727" spans="4:18" x14ac:dyDescent="0.2">
      <c r="D3727" t="s">
        <v>95</v>
      </c>
      <c r="E3727" t="s">
        <v>96</v>
      </c>
      <c r="F3727" t="s">
        <v>97</v>
      </c>
      <c r="G3727" t="s">
        <v>151</v>
      </c>
      <c r="H3727" t="s">
        <v>151</v>
      </c>
      <c r="I3727" t="s">
        <v>32</v>
      </c>
      <c r="J3727" t="s">
        <v>33</v>
      </c>
      <c r="K3727" t="s">
        <v>29</v>
      </c>
      <c r="L3727" t="s">
        <v>30</v>
      </c>
      <c r="M3727" t="s">
        <v>139</v>
      </c>
      <c r="N3727">
        <v>1779</v>
      </c>
      <c r="O3727" s="14">
        <v>0.41659121727570902</v>
      </c>
      <c r="P3727" s="14">
        <v>0.60125171788968101</v>
      </c>
      <c r="Q3727" t="str">
        <f t="shared" si="116"/>
        <v>01-09</v>
      </c>
      <c r="R3727" t="str">
        <f t="shared" si="117"/>
        <v>[gwVYinjBAe9]|01-09|Female|Incidence_SUBNAT.Rt.T_1|CY2023Q3</v>
      </c>
    </row>
    <row r="3728" spans="4:18" x14ac:dyDescent="0.2">
      <c r="D3728" t="s">
        <v>95</v>
      </c>
      <c r="E3728" t="s">
        <v>96</v>
      </c>
      <c r="F3728" t="s">
        <v>97</v>
      </c>
      <c r="G3728" t="s">
        <v>151</v>
      </c>
      <c r="H3728" t="s">
        <v>151</v>
      </c>
      <c r="I3728" t="s">
        <v>35</v>
      </c>
      <c r="J3728" t="s">
        <v>36</v>
      </c>
      <c r="K3728" t="s">
        <v>29</v>
      </c>
      <c r="L3728" t="s">
        <v>30</v>
      </c>
      <c r="M3728" t="s">
        <v>139</v>
      </c>
      <c r="N3728">
        <v>1987</v>
      </c>
      <c r="O3728" s="14">
        <v>0.147189003415406</v>
      </c>
      <c r="P3728" s="14">
        <v>0.60125171788968101</v>
      </c>
      <c r="Q3728" t="str">
        <f t="shared" si="116"/>
        <v>10-14</v>
      </c>
      <c r="R3728" t="str">
        <f t="shared" si="117"/>
        <v>[gwVYinjBAe9]|10-14|Female|Incidence_SUBNAT.Rt.T_1|CY2023Q3</v>
      </c>
    </row>
    <row r="3729" spans="4:18" x14ac:dyDescent="0.2">
      <c r="D3729" t="s">
        <v>95</v>
      </c>
      <c r="E3729" t="s">
        <v>96</v>
      </c>
      <c r="F3729" t="s">
        <v>97</v>
      </c>
      <c r="G3729" t="s">
        <v>151</v>
      </c>
      <c r="H3729" t="s">
        <v>151</v>
      </c>
      <c r="I3729" t="s">
        <v>37</v>
      </c>
      <c r="J3729" t="s">
        <v>38</v>
      </c>
      <c r="K3729" t="s">
        <v>29</v>
      </c>
      <c r="L3729" t="s">
        <v>30</v>
      </c>
      <c r="M3729" t="s">
        <v>139</v>
      </c>
      <c r="N3729">
        <v>1380</v>
      </c>
      <c r="O3729" s="14">
        <v>9.4319327734410804E-2</v>
      </c>
      <c r="P3729" s="14">
        <v>0.60125171788968101</v>
      </c>
      <c r="Q3729" t="str">
        <f t="shared" si="116"/>
        <v>15-24</v>
      </c>
      <c r="R3729" t="str">
        <f t="shared" si="117"/>
        <v>[gwVYinjBAe9]|15-24|Female|Incidence_SUBNAT.Rt.T_1|CY2023Q3</v>
      </c>
    </row>
    <row r="3730" spans="4:18" x14ac:dyDescent="0.2">
      <c r="D3730" t="s">
        <v>95</v>
      </c>
      <c r="E3730" t="s">
        <v>96</v>
      </c>
      <c r="F3730" t="s">
        <v>97</v>
      </c>
      <c r="G3730" t="s">
        <v>151</v>
      </c>
      <c r="H3730" t="s">
        <v>151</v>
      </c>
      <c r="I3730" t="s">
        <v>40</v>
      </c>
      <c r="J3730" t="s">
        <v>41</v>
      </c>
      <c r="K3730" t="s">
        <v>29</v>
      </c>
      <c r="L3730" t="s">
        <v>30</v>
      </c>
      <c r="M3730" t="s">
        <v>139</v>
      </c>
      <c r="N3730">
        <v>1318</v>
      </c>
      <c r="O3730" s="14">
        <v>8.4917922504246202E-4</v>
      </c>
      <c r="P3730" s="14">
        <v>0.60125171788968101</v>
      </c>
      <c r="Q3730" t="str">
        <f t="shared" si="116"/>
        <v>25-34</v>
      </c>
      <c r="R3730" t="str">
        <f t="shared" si="117"/>
        <v>[gwVYinjBAe9]|25-34|Female|Incidence_SUBNAT.Rt.T_1|CY2023Q3</v>
      </c>
    </row>
    <row r="3731" spans="4:18" x14ac:dyDescent="0.2">
      <c r="D3731" t="s">
        <v>95</v>
      </c>
      <c r="E3731" t="s">
        <v>96</v>
      </c>
      <c r="F3731" t="s">
        <v>97</v>
      </c>
      <c r="G3731" t="s">
        <v>151</v>
      </c>
      <c r="H3731" t="s">
        <v>151</v>
      </c>
      <c r="I3731" t="s">
        <v>42</v>
      </c>
      <c r="J3731" t="s">
        <v>43</v>
      </c>
      <c r="K3731" t="s">
        <v>29</v>
      </c>
      <c r="L3731" t="s">
        <v>30</v>
      </c>
      <c r="M3731" t="s">
        <v>139</v>
      </c>
      <c r="N3731">
        <v>1834</v>
      </c>
      <c r="O3731" s="14">
        <v>0.27943485463038098</v>
      </c>
      <c r="P3731" s="14">
        <v>0.60125171788968101</v>
      </c>
      <c r="Q3731" t="str">
        <f t="shared" si="116"/>
        <v>35-49</v>
      </c>
      <c r="R3731" t="str">
        <f t="shared" si="117"/>
        <v>[gwVYinjBAe9]|35-49|Female|Incidence_SUBNAT.Rt.T_1|CY2023Q3</v>
      </c>
    </row>
    <row r="3732" spans="4:18" x14ac:dyDescent="0.2">
      <c r="D3732" t="s">
        <v>95</v>
      </c>
      <c r="E3732" t="s">
        <v>96</v>
      </c>
      <c r="F3732" t="s">
        <v>97</v>
      </c>
      <c r="G3732" t="s">
        <v>151</v>
      </c>
      <c r="H3732" t="s">
        <v>151</v>
      </c>
      <c r="I3732" t="s">
        <v>44</v>
      </c>
      <c r="J3732" t="s">
        <v>45</v>
      </c>
      <c r="K3732" t="s">
        <v>29</v>
      </c>
      <c r="L3732" t="s">
        <v>30</v>
      </c>
      <c r="M3732" t="s">
        <v>139</v>
      </c>
      <c r="N3732">
        <v>1350</v>
      </c>
      <c r="O3732" s="14">
        <v>0.91346741840243295</v>
      </c>
      <c r="P3732" s="14">
        <v>0.60125171788968101</v>
      </c>
      <c r="Q3732" t="str">
        <f t="shared" si="116"/>
        <v>50+</v>
      </c>
      <c r="R3732" t="str">
        <f t="shared" si="117"/>
        <v>[gwVYinjBAe9]|50+|Female|Incidence_SUBNAT.Rt.T_1|CY2023Q3</v>
      </c>
    </row>
    <row r="3733" spans="4:18" x14ac:dyDescent="0.2">
      <c r="D3733" t="s">
        <v>95</v>
      </c>
      <c r="E3733" t="s">
        <v>96</v>
      </c>
      <c r="F3733" t="s">
        <v>97</v>
      </c>
      <c r="G3733" t="s">
        <v>151</v>
      </c>
      <c r="H3733" t="s">
        <v>151</v>
      </c>
      <c r="I3733" t="s">
        <v>27</v>
      </c>
      <c r="J3733" t="s">
        <v>28</v>
      </c>
      <c r="K3733" t="s">
        <v>47</v>
      </c>
      <c r="L3733" t="s">
        <v>48</v>
      </c>
      <c r="M3733" t="s">
        <v>139</v>
      </c>
      <c r="N3733">
        <v>554</v>
      </c>
      <c r="O3733" s="14">
        <v>0.50825233012437798</v>
      </c>
      <c r="P3733" s="14">
        <v>0.60125171788968101</v>
      </c>
      <c r="Q3733" t="str">
        <f t="shared" si="116"/>
        <v>&lt;01</v>
      </c>
      <c r="R3733" t="str">
        <f t="shared" si="117"/>
        <v>[gwVYinjBAe9]|&lt;01|Male|Incidence_SUBNAT.Rt.T_1|CY2023Q3</v>
      </c>
    </row>
    <row r="3734" spans="4:18" x14ac:dyDescent="0.2">
      <c r="D3734" t="s">
        <v>95</v>
      </c>
      <c r="E3734" t="s">
        <v>96</v>
      </c>
      <c r="F3734" t="s">
        <v>97</v>
      </c>
      <c r="G3734" t="s">
        <v>151</v>
      </c>
      <c r="H3734" t="s">
        <v>151</v>
      </c>
      <c r="I3734" t="s">
        <v>32</v>
      </c>
      <c r="J3734" t="s">
        <v>33</v>
      </c>
      <c r="K3734" t="s">
        <v>47</v>
      </c>
      <c r="L3734" t="s">
        <v>48</v>
      </c>
      <c r="M3734" t="s">
        <v>139</v>
      </c>
      <c r="N3734">
        <v>1890</v>
      </c>
      <c r="O3734" s="14">
        <v>0.93770037288777497</v>
      </c>
      <c r="P3734" s="14">
        <v>0.60125171788968101</v>
      </c>
      <c r="Q3734" t="str">
        <f t="shared" si="116"/>
        <v>01-09</v>
      </c>
      <c r="R3734" t="str">
        <f t="shared" si="117"/>
        <v>[gwVYinjBAe9]|01-09|Male|Incidence_SUBNAT.Rt.T_1|CY2023Q3</v>
      </c>
    </row>
    <row r="3735" spans="4:18" x14ac:dyDescent="0.2">
      <c r="D3735" t="s">
        <v>95</v>
      </c>
      <c r="E3735" t="s">
        <v>96</v>
      </c>
      <c r="F3735" t="s">
        <v>97</v>
      </c>
      <c r="G3735" t="s">
        <v>151</v>
      </c>
      <c r="H3735" t="s">
        <v>151</v>
      </c>
      <c r="I3735" t="s">
        <v>35</v>
      </c>
      <c r="J3735" t="s">
        <v>36</v>
      </c>
      <c r="K3735" t="s">
        <v>47</v>
      </c>
      <c r="L3735" t="s">
        <v>48</v>
      </c>
      <c r="M3735" t="s">
        <v>139</v>
      </c>
      <c r="N3735">
        <v>775</v>
      </c>
      <c r="O3735" s="14">
        <v>0.55857015447691105</v>
      </c>
      <c r="P3735" s="14">
        <v>0.60125171788968101</v>
      </c>
      <c r="Q3735" t="str">
        <f t="shared" si="116"/>
        <v>10-14</v>
      </c>
      <c r="R3735" t="str">
        <f t="shared" si="117"/>
        <v>[gwVYinjBAe9]|10-14|Male|Incidence_SUBNAT.Rt.T_1|CY2023Q3</v>
      </c>
    </row>
    <row r="3736" spans="4:18" x14ac:dyDescent="0.2">
      <c r="D3736" t="s">
        <v>95</v>
      </c>
      <c r="E3736" t="s">
        <v>96</v>
      </c>
      <c r="F3736" t="s">
        <v>97</v>
      </c>
      <c r="G3736" t="s">
        <v>151</v>
      </c>
      <c r="H3736" t="s">
        <v>151</v>
      </c>
      <c r="I3736" t="s">
        <v>37</v>
      </c>
      <c r="J3736" t="s">
        <v>38</v>
      </c>
      <c r="K3736" t="s">
        <v>47</v>
      </c>
      <c r="L3736" t="s">
        <v>48</v>
      </c>
      <c r="M3736" t="s">
        <v>139</v>
      </c>
      <c r="N3736">
        <v>784</v>
      </c>
      <c r="O3736" s="14">
        <v>0.92308455612510398</v>
      </c>
      <c r="P3736" s="14">
        <v>0.60125171788968101</v>
      </c>
      <c r="Q3736" t="str">
        <f t="shared" si="116"/>
        <v>15-24</v>
      </c>
      <c r="R3736" t="str">
        <f t="shared" si="117"/>
        <v>[gwVYinjBAe9]|15-24|Male|Incidence_SUBNAT.Rt.T_1|CY2023Q3</v>
      </c>
    </row>
    <row r="3737" spans="4:18" x14ac:dyDescent="0.2">
      <c r="D3737" t="s">
        <v>95</v>
      </c>
      <c r="E3737" t="s">
        <v>96</v>
      </c>
      <c r="F3737" t="s">
        <v>97</v>
      </c>
      <c r="G3737" t="s">
        <v>151</v>
      </c>
      <c r="H3737" t="s">
        <v>151</v>
      </c>
      <c r="I3737" t="s">
        <v>40</v>
      </c>
      <c r="J3737" t="s">
        <v>41</v>
      </c>
      <c r="K3737" t="s">
        <v>47</v>
      </c>
      <c r="L3737" t="s">
        <v>48</v>
      </c>
      <c r="M3737" t="s">
        <v>139</v>
      </c>
      <c r="N3737">
        <v>1317</v>
      </c>
      <c r="O3737" s="14">
        <v>0.53131417254917301</v>
      </c>
      <c r="P3737" s="14">
        <v>0.60125171788968101</v>
      </c>
      <c r="Q3737" t="str">
        <f t="shared" si="116"/>
        <v>25-34</v>
      </c>
      <c r="R3737" t="str">
        <f t="shared" si="117"/>
        <v>[gwVYinjBAe9]|25-34|Male|Incidence_SUBNAT.Rt.T_1|CY2023Q3</v>
      </c>
    </row>
    <row r="3738" spans="4:18" x14ac:dyDescent="0.2">
      <c r="D3738" t="s">
        <v>95</v>
      </c>
      <c r="E3738" t="s">
        <v>96</v>
      </c>
      <c r="F3738" t="s">
        <v>97</v>
      </c>
      <c r="G3738" t="s">
        <v>151</v>
      </c>
      <c r="H3738" t="s">
        <v>151</v>
      </c>
      <c r="I3738" t="s">
        <v>42</v>
      </c>
      <c r="J3738" t="s">
        <v>43</v>
      </c>
      <c r="K3738" t="s">
        <v>47</v>
      </c>
      <c r="L3738" t="s">
        <v>48</v>
      </c>
      <c r="M3738" t="s">
        <v>139</v>
      </c>
      <c r="N3738">
        <v>529</v>
      </c>
      <c r="O3738" s="14">
        <v>0.358767443103716</v>
      </c>
      <c r="P3738" s="14">
        <v>0.60125171788968101</v>
      </c>
      <c r="Q3738" t="str">
        <f t="shared" si="116"/>
        <v>35-49</v>
      </c>
      <c r="R3738" t="str">
        <f t="shared" si="117"/>
        <v>[gwVYinjBAe9]|35-49|Male|Incidence_SUBNAT.Rt.T_1|CY2023Q3</v>
      </c>
    </row>
    <row r="3739" spans="4:18" x14ac:dyDescent="0.2">
      <c r="D3739" t="s">
        <v>95</v>
      </c>
      <c r="E3739" t="s">
        <v>96</v>
      </c>
      <c r="F3739" t="s">
        <v>97</v>
      </c>
      <c r="G3739" t="s">
        <v>151</v>
      </c>
      <c r="H3739" t="s">
        <v>151</v>
      </c>
      <c r="I3739" t="s">
        <v>44</v>
      </c>
      <c r="J3739" t="s">
        <v>45</v>
      </c>
      <c r="K3739" t="s">
        <v>47</v>
      </c>
      <c r="L3739" t="s">
        <v>48</v>
      </c>
      <c r="M3739" t="s">
        <v>139</v>
      </c>
      <c r="N3739">
        <v>856</v>
      </c>
      <c r="O3739" s="14">
        <v>0.59959695930592705</v>
      </c>
      <c r="P3739" s="14">
        <v>0.60125171788968101</v>
      </c>
      <c r="Q3739" t="str">
        <f t="shared" si="116"/>
        <v>50+</v>
      </c>
      <c r="R3739" t="str">
        <f t="shared" si="117"/>
        <v>[gwVYinjBAe9]|50+|Male|Incidence_SUBNAT.Rt.T_1|CY2023Q3</v>
      </c>
    </row>
    <row r="3740" spans="4:18" x14ac:dyDescent="0.2">
      <c r="D3740" t="s">
        <v>98</v>
      </c>
      <c r="E3740" t="s">
        <v>99</v>
      </c>
      <c r="F3740" t="s">
        <v>100</v>
      </c>
      <c r="G3740" t="s">
        <v>151</v>
      </c>
      <c r="H3740" t="s">
        <v>151</v>
      </c>
      <c r="I3740" t="s">
        <v>27</v>
      </c>
      <c r="J3740" t="s">
        <v>28</v>
      </c>
      <c r="K3740" t="s">
        <v>29</v>
      </c>
      <c r="L3740" t="s">
        <v>30</v>
      </c>
      <c r="M3740" t="s">
        <v>139</v>
      </c>
      <c r="N3740">
        <v>1704</v>
      </c>
      <c r="O3740" s="14">
        <v>0.76069301646202803</v>
      </c>
      <c r="P3740" s="14">
        <v>0.57728803809732199</v>
      </c>
      <c r="Q3740" t="str">
        <f t="shared" si="116"/>
        <v>&lt;01</v>
      </c>
      <c r="R3740" t="str">
        <f t="shared" si="117"/>
        <v>[mxqa3CDFmIT]|&lt;01|Female|Incidence_SUBNAT.Rt.T_1|CY2023Q3</v>
      </c>
    </row>
    <row r="3741" spans="4:18" x14ac:dyDescent="0.2">
      <c r="D3741" t="s">
        <v>98</v>
      </c>
      <c r="E3741" t="s">
        <v>99</v>
      </c>
      <c r="F3741" t="s">
        <v>100</v>
      </c>
      <c r="G3741" t="s">
        <v>151</v>
      </c>
      <c r="H3741" t="s">
        <v>151</v>
      </c>
      <c r="I3741" t="s">
        <v>32</v>
      </c>
      <c r="J3741" t="s">
        <v>33</v>
      </c>
      <c r="K3741" t="s">
        <v>29</v>
      </c>
      <c r="L3741" t="s">
        <v>30</v>
      </c>
      <c r="M3741" t="s">
        <v>139</v>
      </c>
      <c r="N3741">
        <v>1309</v>
      </c>
      <c r="O3741" s="14">
        <v>0.33997694426216202</v>
      </c>
      <c r="P3741" s="14">
        <v>0.57728803809732199</v>
      </c>
      <c r="Q3741" t="str">
        <f t="shared" si="116"/>
        <v>01-09</v>
      </c>
      <c r="R3741" t="str">
        <f t="shared" si="117"/>
        <v>[mxqa3CDFmIT]|01-09|Female|Incidence_SUBNAT.Rt.T_1|CY2023Q3</v>
      </c>
    </row>
    <row r="3742" spans="4:18" x14ac:dyDescent="0.2">
      <c r="D3742" t="s">
        <v>98</v>
      </c>
      <c r="E3742" t="s">
        <v>99</v>
      </c>
      <c r="F3742" t="s">
        <v>100</v>
      </c>
      <c r="G3742" t="s">
        <v>151</v>
      </c>
      <c r="H3742" t="s">
        <v>151</v>
      </c>
      <c r="I3742" t="s">
        <v>35</v>
      </c>
      <c r="J3742" t="s">
        <v>36</v>
      </c>
      <c r="K3742" t="s">
        <v>29</v>
      </c>
      <c r="L3742" t="s">
        <v>30</v>
      </c>
      <c r="M3742" t="s">
        <v>139</v>
      </c>
      <c r="N3742">
        <v>1903</v>
      </c>
      <c r="O3742" s="14">
        <v>0.398930942872539</v>
      </c>
      <c r="P3742" s="14">
        <v>0.57728803809732199</v>
      </c>
      <c r="Q3742" t="str">
        <f t="shared" si="116"/>
        <v>10-14</v>
      </c>
      <c r="R3742" t="str">
        <f t="shared" si="117"/>
        <v>[mxqa3CDFmIT]|10-14|Female|Incidence_SUBNAT.Rt.T_1|CY2023Q3</v>
      </c>
    </row>
    <row r="3743" spans="4:18" x14ac:dyDescent="0.2">
      <c r="D3743" t="s">
        <v>98</v>
      </c>
      <c r="E3743" t="s">
        <v>99</v>
      </c>
      <c r="F3743" t="s">
        <v>100</v>
      </c>
      <c r="G3743" t="s">
        <v>151</v>
      </c>
      <c r="H3743" t="s">
        <v>151</v>
      </c>
      <c r="I3743" t="s">
        <v>37</v>
      </c>
      <c r="J3743" t="s">
        <v>38</v>
      </c>
      <c r="K3743" t="s">
        <v>29</v>
      </c>
      <c r="L3743" t="s">
        <v>30</v>
      </c>
      <c r="M3743" t="s">
        <v>139</v>
      </c>
      <c r="N3743">
        <v>1095</v>
      </c>
      <c r="O3743" s="14">
        <v>0.74255865649320196</v>
      </c>
      <c r="P3743" s="14">
        <v>0.57728803809732199</v>
      </c>
      <c r="Q3743" t="str">
        <f t="shared" si="116"/>
        <v>15-24</v>
      </c>
      <c r="R3743" t="str">
        <f t="shared" si="117"/>
        <v>[mxqa3CDFmIT]|15-24|Female|Incidence_SUBNAT.Rt.T_1|CY2023Q3</v>
      </c>
    </row>
    <row r="3744" spans="4:18" x14ac:dyDescent="0.2">
      <c r="D3744" t="s">
        <v>98</v>
      </c>
      <c r="E3744" t="s">
        <v>99</v>
      </c>
      <c r="F3744" t="s">
        <v>100</v>
      </c>
      <c r="G3744" t="s">
        <v>151</v>
      </c>
      <c r="H3744" t="s">
        <v>151</v>
      </c>
      <c r="I3744" t="s">
        <v>40</v>
      </c>
      <c r="J3744" t="s">
        <v>41</v>
      </c>
      <c r="K3744" t="s">
        <v>29</v>
      </c>
      <c r="L3744" t="s">
        <v>30</v>
      </c>
      <c r="M3744" t="s">
        <v>139</v>
      </c>
      <c r="N3744">
        <v>1806</v>
      </c>
      <c r="O3744" s="14">
        <v>6.2744294758886099E-2</v>
      </c>
      <c r="P3744" s="14">
        <v>0.57728803809732199</v>
      </c>
      <c r="Q3744" t="str">
        <f t="shared" si="116"/>
        <v>25-34</v>
      </c>
      <c r="R3744" t="str">
        <f t="shared" si="117"/>
        <v>[mxqa3CDFmIT]|25-34|Female|Incidence_SUBNAT.Rt.T_1|CY2023Q3</v>
      </c>
    </row>
    <row r="3745" spans="4:18" x14ac:dyDescent="0.2">
      <c r="D3745" t="s">
        <v>98</v>
      </c>
      <c r="E3745" t="s">
        <v>99</v>
      </c>
      <c r="F3745" t="s">
        <v>100</v>
      </c>
      <c r="G3745" t="s">
        <v>151</v>
      </c>
      <c r="H3745" t="s">
        <v>151</v>
      </c>
      <c r="I3745" t="s">
        <v>42</v>
      </c>
      <c r="J3745" t="s">
        <v>43</v>
      </c>
      <c r="K3745" t="s">
        <v>29</v>
      </c>
      <c r="L3745" t="s">
        <v>30</v>
      </c>
      <c r="M3745" t="s">
        <v>139</v>
      </c>
      <c r="N3745">
        <v>1517</v>
      </c>
      <c r="O3745" s="14">
        <v>0.356553389225155</v>
      </c>
      <c r="P3745" s="14">
        <v>0.57728803809732199</v>
      </c>
      <c r="Q3745" t="str">
        <f t="shared" si="116"/>
        <v>35-49</v>
      </c>
      <c r="R3745" t="str">
        <f t="shared" si="117"/>
        <v>[mxqa3CDFmIT]|35-49|Female|Incidence_SUBNAT.Rt.T_1|CY2023Q3</v>
      </c>
    </row>
    <row r="3746" spans="4:18" x14ac:dyDescent="0.2">
      <c r="D3746" t="s">
        <v>98</v>
      </c>
      <c r="E3746" t="s">
        <v>99</v>
      </c>
      <c r="F3746" t="s">
        <v>100</v>
      </c>
      <c r="G3746" t="s">
        <v>151</v>
      </c>
      <c r="H3746" t="s">
        <v>151</v>
      </c>
      <c r="I3746" t="s">
        <v>44</v>
      </c>
      <c r="J3746" t="s">
        <v>45</v>
      </c>
      <c r="K3746" t="s">
        <v>29</v>
      </c>
      <c r="L3746" t="s">
        <v>30</v>
      </c>
      <c r="M3746" t="s">
        <v>139</v>
      </c>
      <c r="N3746">
        <v>1942</v>
      </c>
      <c r="O3746" s="14">
        <v>0.61034765909425903</v>
      </c>
      <c r="P3746" s="14">
        <v>0.57728803809732199</v>
      </c>
      <c r="Q3746" t="str">
        <f t="shared" si="116"/>
        <v>50+</v>
      </c>
      <c r="R3746" t="str">
        <f t="shared" si="117"/>
        <v>[mxqa3CDFmIT]|50+|Female|Incidence_SUBNAT.Rt.T_1|CY2023Q3</v>
      </c>
    </row>
    <row r="3747" spans="4:18" x14ac:dyDescent="0.2">
      <c r="D3747" t="s">
        <v>98</v>
      </c>
      <c r="E3747" t="s">
        <v>99</v>
      </c>
      <c r="F3747" t="s">
        <v>100</v>
      </c>
      <c r="G3747" t="s">
        <v>151</v>
      </c>
      <c r="H3747" t="s">
        <v>151</v>
      </c>
      <c r="I3747" t="s">
        <v>27</v>
      </c>
      <c r="J3747" t="s">
        <v>28</v>
      </c>
      <c r="K3747" t="s">
        <v>47</v>
      </c>
      <c r="L3747" t="s">
        <v>48</v>
      </c>
      <c r="M3747" t="s">
        <v>139</v>
      </c>
      <c r="N3747">
        <v>1035</v>
      </c>
      <c r="O3747" s="14">
        <v>0.242152867140248</v>
      </c>
      <c r="P3747" s="14">
        <v>0.57728803809732199</v>
      </c>
      <c r="Q3747" t="str">
        <f t="shared" si="116"/>
        <v>&lt;01</v>
      </c>
      <c r="R3747" t="str">
        <f t="shared" si="117"/>
        <v>[mxqa3CDFmIT]|&lt;01|Male|Incidence_SUBNAT.Rt.T_1|CY2023Q3</v>
      </c>
    </row>
    <row r="3748" spans="4:18" x14ac:dyDescent="0.2">
      <c r="D3748" t="s">
        <v>98</v>
      </c>
      <c r="E3748" t="s">
        <v>99</v>
      </c>
      <c r="F3748" t="s">
        <v>100</v>
      </c>
      <c r="G3748" t="s">
        <v>151</v>
      </c>
      <c r="H3748" t="s">
        <v>151</v>
      </c>
      <c r="I3748" t="s">
        <v>32</v>
      </c>
      <c r="J3748" t="s">
        <v>33</v>
      </c>
      <c r="K3748" t="s">
        <v>47</v>
      </c>
      <c r="L3748" t="s">
        <v>48</v>
      </c>
      <c r="M3748" t="s">
        <v>139</v>
      </c>
      <c r="N3748">
        <v>1811</v>
      </c>
      <c r="O3748" s="14">
        <v>0.79525835998356298</v>
      </c>
      <c r="P3748" s="14">
        <v>0.57728803809732199</v>
      </c>
      <c r="Q3748" t="str">
        <f t="shared" si="116"/>
        <v>01-09</v>
      </c>
      <c r="R3748" t="str">
        <f t="shared" si="117"/>
        <v>[mxqa3CDFmIT]|01-09|Male|Incidence_SUBNAT.Rt.T_1|CY2023Q3</v>
      </c>
    </row>
    <row r="3749" spans="4:18" x14ac:dyDescent="0.2">
      <c r="D3749" t="s">
        <v>98</v>
      </c>
      <c r="E3749" t="s">
        <v>99</v>
      </c>
      <c r="F3749" t="s">
        <v>100</v>
      </c>
      <c r="G3749" t="s">
        <v>151</v>
      </c>
      <c r="H3749" t="s">
        <v>151</v>
      </c>
      <c r="I3749" t="s">
        <v>35</v>
      </c>
      <c r="J3749" t="s">
        <v>36</v>
      </c>
      <c r="K3749" t="s">
        <v>47</v>
      </c>
      <c r="L3749" t="s">
        <v>48</v>
      </c>
      <c r="M3749" t="s">
        <v>139</v>
      </c>
      <c r="N3749">
        <v>1529</v>
      </c>
      <c r="O3749" s="14">
        <v>0.18007431714795499</v>
      </c>
      <c r="P3749" s="14">
        <v>0.57728803809732199</v>
      </c>
      <c r="Q3749" t="str">
        <f t="shared" si="116"/>
        <v>10-14</v>
      </c>
      <c r="R3749" t="str">
        <f t="shared" si="117"/>
        <v>[mxqa3CDFmIT]|10-14|Male|Incidence_SUBNAT.Rt.T_1|CY2023Q3</v>
      </c>
    </row>
    <row r="3750" spans="4:18" x14ac:dyDescent="0.2">
      <c r="D3750" t="s">
        <v>98</v>
      </c>
      <c r="E3750" t="s">
        <v>99</v>
      </c>
      <c r="F3750" t="s">
        <v>100</v>
      </c>
      <c r="G3750" t="s">
        <v>151</v>
      </c>
      <c r="H3750" t="s">
        <v>151</v>
      </c>
      <c r="I3750" t="s">
        <v>37</v>
      </c>
      <c r="J3750" t="s">
        <v>38</v>
      </c>
      <c r="K3750" t="s">
        <v>47</v>
      </c>
      <c r="L3750" t="s">
        <v>48</v>
      </c>
      <c r="M3750" t="s">
        <v>139</v>
      </c>
      <c r="N3750">
        <v>594</v>
      </c>
      <c r="O3750" s="14">
        <v>0.18017079657874999</v>
      </c>
      <c r="P3750" s="14">
        <v>0.57728803809732199</v>
      </c>
      <c r="Q3750" t="str">
        <f t="shared" si="116"/>
        <v>15-24</v>
      </c>
      <c r="R3750" t="str">
        <f t="shared" si="117"/>
        <v>[mxqa3CDFmIT]|15-24|Male|Incidence_SUBNAT.Rt.T_1|CY2023Q3</v>
      </c>
    </row>
    <row r="3751" spans="4:18" x14ac:dyDescent="0.2">
      <c r="D3751" t="s">
        <v>98</v>
      </c>
      <c r="E3751" t="s">
        <v>99</v>
      </c>
      <c r="F3751" t="s">
        <v>100</v>
      </c>
      <c r="G3751" t="s">
        <v>151</v>
      </c>
      <c r="H3751" t="s">
        <v>151</v>
      </c>
      <c r="I3751" t="s">
        <v>40</v>
      </c>
      <c r="J3751" t="s">
        <v>41</v>
      </c>
      <c r="K3751" t="s">
        <v>47</v>
      </c>
      <c r="L3751" t="s">
        <v>48</v>
      </c>
      <c r="M3751" t="s">
        <v>139</v>
      </c>
      <c r="N3751">
        <v>782</v>
      </c>
      <c r="O3751" s="14">
        <v>0.59799047349952195</v>
      </c>
      <c r="P3751" s="14">
        <v>0.57728803809732199</v>
      </c>
      <c r="Q3751" t="str">
        <f t="shared" si="116"/>
        <v>25-34</v>
      </c>
      <c r="R3751" t="str">
        <f t="shared" si="117"/>
        <v>[mxqa3CDFmIT]|25-34|Male|Incidence_SUBNAT.Rt.T_1|CY2023Q3</v>
      </c>
    </row>
    <row r="3752" spans="4:18" x14ac:dyDescent="0.2">
      <c r="D3752" t="s">
        <v>98</v>
      </c>
      <c r="E3752" t="s">
        <v>99</v>
      </c>
      <c r="F3752" t="s">
        <v>100</v>
      </c>
      <c r="G3752" t="s">
        <v>151</v>
      </c>
      <c r="H3752" t="s">
        <v>151</v>
      </c>
      <c r="I3752" t="s">
        <v>42</v>
      </c>
      <c r="J3752" t="s">
        <v>43</v>
      </c>
      <c r="K3752" t="s">
        <v>47</v>
      </c>
      <c r="L3752" t="s">
        <v>48</v>
      </c>
      <c r="M3752" t="s">
        <v>139</v>
      </c>
      <c r="N3752">
        <v>1641</v>
      </c>
      <c r="O3752" s="14">
        <v>0.49428205681033399</v>
      </c>
      <c r="P3752" s="14">
        <v>0.57728803809732199</v>
      </c>
      <c r="Q3752" t="str">
        <f t="shared" si="116"/>
        <v>35-49</v>
      </c>
      <c r="R3752" t="str">
        <f t="shared" si="117"/>
        <v>[mxqa3CDFmIT]|35-49|Male|Incidence_SUBNAT.Rt.T_1|CY2023Q3</v>
      </c>
    </row>
    <row r="3753" spans="4:18" x14ac:dyDescent="0.2">
      <c r="D3753" t="s">
        <v>98</v>
      </c>
      <c r="E3753" t="s">
        <v>99</v>
      </c>
      <c r="F3753" t="s">
        <v>100</v>
      </c>
      <c r="G3753" t="s">
        <v>151</v>
      </c>
      <c r="H3753" t="s">
        <v>151</v>
      </c>
      <c r="I3753" t="s">
        <v>44</v>
      </c>
      <c r="J3753" t="s">
        <v>45</v>
      </c>
      <c r="K3753" t="s">
        <v>47</v>
      </c>
      <c r="L3753" t="s">
        <v>48</v>
      </c>
      <c r="M3753" t="s">
        <v>139</v>
      </c>
      <c r="N3753">
        <v>934</v>
      </c>
      <c r="O3753" s="14">
        <v>0.225829203845933</v>
      </c>
      <c r="P3753" s="14">
        <v>0.57728803809732199</v>
      </c>
      <c r="Q3753" t="str">
        <f t="shared" si="116"/>
        <v>50+</v>
      </c>
      <c r="R3753" t="str">
        <f t="shared" si="117"/>
        <v>[mxqa3CDFmIT]|50+|Male|Incidence_SUBNAT.Rt.T_1|CY2023Q3</v>
      </c>
    </row>
    <row r="3754" spans="4:18" x14ac:dyDescent="0.2">
      <c r="D3754" t="s">
        <v>101</v>
      </c>
      <c r="E3754" t="s">
        <v>102</v>
      </c>
      <c r="F3754" t="s">
        <v>103</v>
      </c>
      <c r="G3754" t="s">
        <v>151</v>
      </c>
      <c r="H3754" t="s">
        <v>151</v>
      </c>
      <c r="I3754" t="s">
        <v>27</v>
      </c>
      <c r="J3754" t="s">
        <v>28</v>
      </c>
      <c r="K3754" t="s">
        <v>29</v>
      </c>
      <c r="L3754" t="s">
        <v>30</v>
      </c>
      <c r="M3754" t="s">
        <v>139</v>
      </c>
      <c r="N3754">
        <v>1302</v>
      </c>
      <c r="O3754" s="14">
        <v>0.84039535815827504</v>
      </c>
      <c r="P3754" s="14">
        <v>0.52621235931292198</v>
      </c>
      <c r="Q3754" t="str">
        <f t="shared" si="116"/>
        <v>&lt;01</v>
      </c>
      <c r="R3754" t="str">
        <f t="shared" si="117"/>
        <v>[wNqJp8oRIcF]|&lt;01|Female|Incidence_SUBNAT.Rt.T_1|CY2023Q3</v>
      </c>
    </row>
    <row r="3755" spans="4:18" x14ac:dyDescent="0.2">
      <c r="D3755" t="s">
        <v>101</v>
      </c>
      <c r="E3755" t="s">
        <v>102</v>
      </c>
      <c r="F3755" t="s">
        <v>103</v>
      </c>
      <c r="G3755" t="s">
        <v>151</v>
      </c>
      <c r="H3755" t="s">
        <v>151</v>
      </c>
      <c r="I3755" t="s">
        <v>32</v>
      </c>
      <c r="J3755" t="s">
        <v>33</v>
      </c>
      <c r="K3755" t="s">
        <v>29</v>
      </c>
      <c r="L3755" t="s">
        <v>30</v>
      </c>
      <c r="M3755" t="s">
        <v>139</v>
      </c>
      <c r="N3755">
        <v>1882</v>
      </c>
      <c r="O3755" s="14">
        <v>0.236723611596972</v>
      </c>
      <c r="P3755" s="14">
        <v>0.52621235931292198</v>
      </c>
      <c r="Q3755" t="str">
        <f t="shared" si="116"/>
        <v>01-09</v>
      </c>
      <c r="R3755" t="str">
        <f t="shared" si="117"/>
        <v>[wNqJp8oRIcF]|01-09|Female|Incidence_SUBNAT.Rt.T_1|CY2023Q3</v>
      </c>
    </row>
    <row r="3756" spans="4:18" x14ac:dyDescent="0.2">
      <c r="D3756" t="s">
        <v>101</v>
      </c>
      <c r="E3756" t="s">
        <v>102</v>
      </c>
      <c r="F3756" t="s">
        <v>103</v>
      </c>
      <c r="G3756" t="s">
        <v>151</v>
      </c>
      <c r="H3756" t="s">
        <v>151</v>
      </c>
      <c r="I3756" t="s">
        <v>35</v>
      </c>
      <c r="J3756" t="s">
        <v>36</v>
      </c>
      <c r="K3756" t="s">
        <v>29</v>
      </c>
      <c r="L3756" t="s">
        <v>30</v>
      </c>
      <c r="M3756" t="s">
        <v>139</v>
      </c>
      <c r="N3756">
        <v>1705</v>
      </c>
      <c r="O3756" s="14">
        <v>0.25225913035683301</v>
      </c>
      <c r="P3756" s="14">
        <v>0.52621235931292198</v>
      </c>
      <c r="Q3756" t="str">
        <f t="shared" si="116"/>
        <v>10-14</v>
      </c>
      <c r="R3756" t="str">
        <f t="shared" si="117"/>
        <v>[wNqJp8oRIcF]|10-14|Female|Incidence_SUBNAT.Rt.T_1|CY2023Q3</v>
      </c>
    </row>
    <row r="3757" spans="4:18" x14ac:dyDescent="0.2">
      <c r="D3757" t="s">
        <v>101</v>
      </c>
      <c r="E3757" t="s">
        <v>102</v>
      </c>
      <c r="F3757" t="s">
        <v>103</v>
      </c>
      <c r="G3757" t="s">
        <v>151</v>
      </c>
      <c r="H3757" t="s">
        <v>151</v>
      </c>
      <c r="I3757" t="s">
        <v>37</v>
      </c>
      <c r="J3757" t="s">
        <v>38</v>
      </c>
      <c r="K3757" t="s">
        <v>29</v>
      </c>
      <c r="L3757" t="s">
        <v>30</v>
      </c>
      <c r="M3757" t="s">
        <v>139</v>
      </c>
      <c r="N3757">
        <v>831</v>
      </c>
      <c r="O3757" s="14">
        <v>0.56778296129778005</v>
      </c>
      <c r="P3757" s="14">
        <v>0.52621235931292198</v>
      </c>
      <c r="Q3757" t="str">
        <f t="shared" si="116"/>
        <v>15-24</v>
      </c>
      <c r="R3757" t="str">
        <f t="shared" si="117"/>
        <v>[wNqJp8oRIcF]|15-24|Female|Incidence_SUBNAT.Rt.T_1|CY2023Q3</v>
      </c>
    </row>
    <row r="3758" spans="4:18" x14ac:dyDescent="0.2">
      <c r="D3758" t="s">
        <v>101</v>
      </c>
      <c r="E3758" t="s">
        <v>102</v>
      </c>
      <c r="F3758" t="s">
        <v>103</v>
      </c>
      <c r="G3758" t="s">
        <v>151</v>
      </c>
      <c r="H3758" t="s">
        <v>151</v>
      </c>
      <c r="I3758" t="s">
        <v>40</v>
      </c>
      <c r="J3758" t="s">
        <v>41</v>
      </c>
      <c r="K3758" t="s">
        <v>29</v>
      </c>
      <c r="L3758" t="s">
        <v>30</v>
      </c>
      <c r="M3758" t="s">
        <v>139</v>
      </c>
      <c r="N3758">
        <v>866</v>
      </c>
      <c r="O3758" s="14">
        <v>0.60215484467335001</v>
      </c>
      <c r="P3758" s="14">
        <v>0.52621235931292198</v>
      </c>
      <c r="Q3758" t="str">
        <f t="shared" si="116"/>
        <v>25-34</v>
      </c>
      <c r="R3758" t="str">
        <f t="shared" si="117"/>
        <v>[wNqJp8oRIcF]|25-34|Female|Incidence_SUBNAT.Rt.T_1|CY2023Q3</v>
      </c>
    </row>
    <row r="3759" spans="4:18" x14ac:dyDescent="0.2">
      <c r="D3759" t="s">
        <v>101</v>
      </c>
      <c r="E3759" t="s">
        <v>102</v>
      </c>
      <c r="F3759" t="s">
        <v>103</v>
      </c>
      <c r="G3759" t="s">
        <v>151</v>
      </c>
      <c r="H3759" t="s">
        <v>151</v>
      </c>
      <c r="I3759" t="s">
        <v>42</v>
      </c>
      <c r="J3759" t="s">
        <v>43</v>
      </c>
      <c r="K3759" t="s">
        <v>29</v>
      </c>
      <c r="L3759" t="s">
        <v>30</v>
      </c>
      <c r="M3759" t="s">
        <v>139</v>
      </c>
      <c r="N3759">
        <v>1006</v>
      </c>
      <c r="O3759" s="14">
        <v>0.71145563502796005</v>
      </c>
      <c r="P3759" s="14">
        <v>0.52621235931292198</v>
      </c>
      <c r="Q3759" t="str">
        <f t="shared" si="116"/>
        <v>35-49</v>
      </c>
      <c r="R3759" t="str">
        <f t="shared" si="117"/>
        <v>[wNqJp8oRIcF]|35-49|Female|Incidence_SUBNAT.Rt.T_1|CY2023Q3</v>
      </c>
    </row>
    <row r="3760" spans="4:18" x14ac:dyDescent="0.2">
      <c r="D3760" t="s">
        <v>101</v>
      </c>
      <c r="E3760" t="s">
        <v>102</v>
      </c>
      <c r="F3760" t="s">
        <v>103</v>
      </c>
      <c r="G3760" t="s">
        <v>151</v>
      </c>
      <c r="H3760" t="s">
        <v>151</v>
      </c>
      <c r="I3760" t="s">
        <v>44</v>
      </c>
      <c r="J3760" t="s">
        <v>45</v>
      </c>
      <c r="K3760" t="s">
        <v>29</v>
      </c>
      <c r="L3760" t="s">
        <v>30</v>
      </c>
      <c r="M3760" t="s">
        <v>139</v>
      </c>
      <c r="N3760">
        <v>1875</v>
      </c>
      <c r="O3760" s="14">
        <v>4.9440800910815597E-2</v>
      </c>
      <c r="P3760" s="14">
        <v>0.52621235931292198</v>
      </c>
      <c r="Q3760" t="str">
        <f t="shared" si="116"/>
        <v>50+</v>
      </c>
      <c r="R3760" t="str">
        <f t="shared" si="117"/>
        <v>[wNqJp8oRIcF]|50+|Female|Incidence_SUBNAT.Rt.T_1|CY2023Q3</v>
      </c>
    </row>
    <row r="3761" spans="4:18" x14ac:dyDescent="0.2">
      <c r="D3761" t="s">
        <v>101</v>
      </c>
      <c r="E3761" t="s">
        <v>102</v>
      </c>
      <c r="F3761" t="s">
        <v>103</v>
      </c>
      <c r="G3761" t="s">
        <v>151</v>
      </c>
      <c r="H3761" t="s">
        <v>151</v>
      </c>
      <c r="I3761" t="s">
        <v>27</v>
      </c>
      <c r="J3761" t="s">
        <v>28</v>
      </c>
      <c r="K3761" t="s">
        <v>47</v>
      </c>
      <c r="L3761" t="s">
        <v>48</v>
      </c>
      <c r="M3761" t="s">
        <v>139</v>
      </c>
      <c r="N3761">
        <v>1717</v>
      </c>
      <c r="O3761" s="14">
        <v>0.83322323719039604</v>
      </c>
      <c r="P3761" s="14">
        <v>0.52621235931292198</v>
      </c>
      <c r="Q3761" t="str">
        <f t="shared" si="116"/>
        <v>&lt;01</v>
      </c>
      <c r="R3761" t="str">
        <f t="shared" si="117"/>
        <v>[wNqJp8oRIcF]|&lt;01|Male|Incidence_SUBNAT.Rt.T_1|CY2023Q3</v>
      </c>
    </row>
    <row r="3762" spans="4:18" x14ac:dyDescent="0.2">
      <c r="D3762" t="s">
        <v>101</v>
      </c>
      <c r="E3762" t="s">
        <v>102</v>
      </c>
      <c r="F3762" t="s">
        <v>103</v>
      </c>
      <c r="G3762" t="s">
        <v>151</v>
      </c>
      <c r="H3762" t="s">
        <v>151</v>
      </c>
      <c r="I3762" t="s">
        <v>32</v>
      </c>
      <c r="J3762" t="s">
        <v>33</v>
      </c>
      <c r="K3762" t="s">
        <v>47</v>
      </c>
      <c r="L3762" t="s">
        <v>48</v>
      </c>
      <c r="M3762" t="s">
        <v>139</v>
      </c>
      <c r="N3762">
        <v>856</v>
      </c>
      <c r="O3762" s="14">
        <v>0.69263067026622605</v>
      </c>
      <c r="P3762" s="14">
        <v>0.52621235931292198</v>
      </c>
      <c r="Q3762" t="str">
        <f t="shared" si="116"/>
        <v>01-09</v>
      </c>
      <c r="R3762" t="str">
        <f t="shared" si="117"/>
        <v>[wNqJp8oRIcF]|01-09|Male|Incidence_SUBNAT.Rt.T_1|CY2023Q3</v>
      </c>
    </row>
    <row r="3763" spans="4:18" x14ac:dyDescent="0.2">
      <c r="D3763" t="s">
        <v>101</v>
      </c>
      <c r="E3763" t="s">
        <v>102</v>
      </c>
      <c r="F3763" t="s">
        <v>103</v>
      </c>
      <c r="G3763" t="s">
        <v>151</v>
      </c>
      <c r="H3763" t="s">
        <v>151</v>
      </c>
      <c r="I3763" t="s">
        <v>35</v>
      </c>
      <c r="J3763" t="s">
        <v>36</v>
      </c>
      <c r="K3763" t="s">
        <v>47</v>
      </c>
      <c r="L3763" t="s">
        <v>48</v>
      </c>
      <c r="M3763" t="s">
        <v>139</v>
      </c>
      <c r="N3763">
        <v>598</v>
      </c>
      <c r="O3763" s="14">
        <v>0.119392997119576</v>
      </c>
      <c r="P3763" s="14">
        <v>0.52621235931292198</v>
      </c>
      <c r="Q3763" t="str">
        <f t="shared" si="116"/>
        <v>10-14</v>
      </c>
      <c r="R3763" t="str">
        <f t="shared" si="117"/>
        <v>[wNqJp8oRIcF]|10-14|Male|Incidence_SUBNAT.Rt.T_1|CY2023Q3</v>
      </c>
    </row>
    <row r="3764" spans="4:18" x14ac:dyDescent="0.2">
      <c r="D3764" t="s">
        <v>101</v>
      </c>
      <c r="E3764" t="s">
        <v>102</v>
      </c>
      <c r="F3764" t="s">
        <v>103</v>
      </c>
      <c r="G3764" t="s">
        <v>151</v>
      </c>
      <c r="H3764" t="s">
        <v>151</v>
      </c>
      <c r="I3764" t="s">
        <v>37</v>
      </c>
      <c r="J3764" t="s">
        <v>38</v>
      </c>
      <c r="K3764" t="s">
        <v>47</v>
      </c>
      <c r="L3764" t="s">
        <v>48</v>
      </c>
      <c r="M3764" t="s">
        <v>139</v>
      </c>
      <c r="N3764">
        <v>1277</v>
      </c>
      <c r="O3764" s="14">
        <v>0.96187409106641997</v>
      </c>
      <c r="P3764" s="14">
        <v>0.52621235931292198</v>
      </c>
      <c r="Q3764" t="str">
        <f t="shared" si="116"/>
        <v>15-24</v>
      </c>
      <c r="R3764" t="str">
        <f t="shared" si="117"/>
        <v>[wNqJp8oRIcF]|15-24|Male|Incidence_SUBNAT.Rt.T_1|CY2023Q3</v>
      </c>
    </row>
    <row r="3765" spans="4:18" x14ac:dyDescent="0.2">
      <c r="D3765" t="s">
        <v>101</v>
      </c>
      <c r="E3765" t="s">
        <v>102</v>
      </c>
      <c r="F3765" t="s">
        <v>103</v>
      </c>
      <c r="G3765" t="s">
        <v>151</v>
      </c>
      <c r="H3765" t="s">
        <v>151</v>
      </c>
      <c r="I3765" t="s">
        <v>40</v>
      </c>
      <c r="J3765" t="s">
        <v>41</v>
      </c>
      <c r="K3765" t="s">
        <v>47</v>
      </c>
      <c r="L3765" t="s">
        <v>48</v>
      </c>
      <c r="M3765" t="s">
        <v>139</v>
      </c>
      <c r="N3765">
        <v>1091</v>
      </c>
      <c r="O3765" s="14">
        <v>0.55258329724892996</v>
      </c>
      <c r="P3765" s="14">
        <v>0.52621235931292198</v>
      </c>
      <c r="Q3765" t="str">
        <f t="shared" si="116"/>
        <v>25-34</v>
      </c>
      <c r="R3765" t="str">
        <f t="shared" si="117"/>
        <v>[wNqJp8oRIcF]|25-34|Male|Incidence_SUBNAT.Rt.T_1|CY2023Q3</v>
      </c>
    </row>
    <row r="3766" spans="4:18" x14ac:dyDescent="0.2">
      <c r="D3766" t="s">
        <v>101</v>
      </c>
      <c r="E3766" t="s">
        <v>102</v>
      </c>
      <c r="F3766" t="s">
        <v>103</v>
      </c>
      <c r="G3766" t="s">
        <v>151</v>
      </c>
      <c r="H3766" t="s">
        <v>151</v>
      </c>
      <c r="I3766" t="s">
        <v>42</v>
      </c>
      <c r="J3766" t="s">
        <v>43</v>
      </c>
      <c r="K3766" t="s">
        <v>47</v>
      </c>
      <c r="L3766" t="s">
        <v>48</v>
      </c>
      <c r="M3766" t="s">
        <v>139</v>
      </c>
      <c r="N3766">
        <v>928</v>
      </c>
      <c r="O3766" s="14">
        <v>0.75439591822214402</v>
      </c>
      <c r="P3766" s="14">
        <v>0.52621235931292198</v>
      </c>
      <c r="Q3766" t="str">
        <f t="shared" si="116"/>
        <v>35-49</v>
      </c>
      <c r="R3766" t="str">
        <f t="shared" si="117"/>
        <v>[wNqJp8oRIcF]|35-49|Male|Incidence_SUBNAT.Rt.T_1|CY2023Q3</v>
      </c>
    </row>
    <row r="3767" spans="4:18" x14ac:dyDescent="0.2">
      <c r="D3767" t="s">
        <v>101</v>
      </c>
      <c r="E3767" t="s">
        <v>102</v>
      </c>
      <c r="F3767" t="s">
        <v>103</v>
      </c>
      <c r="G3767" t="s">
        <v>151</v>
      </c>
      <c r="H3767" t="s">
        <v>151</v>
      </c>
      <c r="I3767" t="s">
        <v>44</v>
      </c>
      <c r="J3767" t="s">
        <v>45</v>
      </c>
      <c r="K3767" t="s">
        <v>47</v>
      </c>
      <c r="L3767" t="s">
        <v>48</v>
      </c>
      <c r="M3767" t="s">
        <v>139</v>
      </c>
      <c r="N3767">
        <v>1002</v>
      </c>
      <c r="O3767" s="14">
        <v>0.991954995552078</v>
      </c>
      <c r="P3767" s="14">
        <v>0.52621235931292198</v>
      </c>
      <c r="Q3767" t="str">
        <f t="shared" si="116"/>
        <v>50+</v>
      </c>
      <c r="R3767" t="str">
        <f t="shared" si="117"/>
        <v>[wNqJp8oRIcF]|50+|Male|Incidence_SUBNAT.Rt.T_1|CY2023Q3</v>
      </c>
    </row>
    <row r="3768" spans="4:18" x14ac:dyDescent="0.2">
      <c r="D3768" t="s">
        <v>104</v>
      </c>
      <c r="E3768" t="s">
        <v>105</v>
      </c>
      <c r="F3768" t="s">
        <v>106</v>
      </c>
      <c r="G3768" t="s">
        <v>151</v>
      </c>
      <c r="H3768" t="s">
        <v>151</v>
      </c>
      <c r="I3768" t="s">
        <v>27</v>
      </c>
      <c r="J3768" t="s">
        <v>28</v>
      </c>
      <c r="K3768" t="s">
        <v>29</v>
      </c>
      <c r="L3768" t="s">
        <v>30</v>
      </c>
      <c r="M3768" t="s">
        <v>139</v>
      </c>
      <c r="N3768">
        <v>1732</v>
      </c>
      <c r="O3768" s="14">
        <v>0.63895955425687101</v>
      </c>
      <c r="P3768" s="14">
        <v>0.21824956033378801</v>
      </c>
      <c r="Q3768" t="str">
        <f t="shared" si="116"/>
        <v>&lt;01</v>
      </c>
      <c r="R3768" t="str">
        <f t="shared" si="117"/>
        <v>[oiPR2CiVJbf]|&lt;01|Female|Incidence_SUBNAT.Rt.T_1|CY2023Q3</v>
      </c>
    </row>
    <row r="3769" spans="4:18" x14ac:dyDescent="0.2">
      <c r="D3769" t="s">
        <v>104</v>
      </c>
      <c r="E3769" t="s">
        <v>105</v>
      </c>
      <c r="F3769" t="s">
        <v>106</v>
      </c>
      <c r="G3769" t="s">
        <v>151</v>
      </c>
      <c r="H3769" t="s">
        <v>151</v>
      </c>
      <c r="I3769" t="s">
        <v>32</v>
      </c>
      <c r="J3769" t="s">
        <v>33</v>
      </c>
      <c r="K3769" t="s">
        <v>29</v>
      </c>
      <c r="L3769" t="s">
        <v>30</v>
      </c>
      <c r="M3769" t="s">
        <v>139</v>
      </c>
      <c r="N3769">
        <v>661</v>
      </c>
      <c r="O3769" s="14">
        <v>0.54349136631935802</v>
      </c>
      <c r="P3769" s="14">
        <v>0.21824956033378801</v>
      </c>
      <c r="Q3769" t="str">
        <f t="shared" si="116"/>
        <v>01-09</v>
      </c>
      <c r="R3769" t="str">
        <f t="shared" si="117"/>
        <v>[oiPR2CiVJbf]|01-09|Female|Incidence_SUBNAT.Rt.T_1|CY2023Q3</v>
      </c>
    </row>
    <row r="3770" spans="4:18" x14ac:dyDescent="0.2">
      <c r="D3770" t="s">
        <v>104</v>
      </c>
      <c r="E3770" t="s">
        <v>105</v>
      </c>
      <c r="F3770" t="s">
        <v>106</v>
      </c>
      <c r="G3770" t="s">
        <v>151</v>
      </c>
      <c r="H3770" t="s">
        <v>151</v>
      </c>
      <c r="I3770" t="s">
        <v>35</v>
      </c>
      <c r="J3770" t="s">
        <v>36</v>
      </c>
      <c r="K3770" t="s">
        <v>29</v>
      </c>
      <c r="L3770" t="s">
        <v>30</v>
      </c>
      <c r="M3770" t="s">
        <v>139</v>
      </c>
      <c r="N3770">
        <v>1211</v>
      </c>
      <c r="O3770" s="14">
        <v>0.53214316884987101</v>
      </c>
      <c r="P3770" s="14">
        <v>0.21824956033378801</v>
      </c>
      <c r="Q3770" t="str">
        <f t="shared" si="116"/>
        <v>10-14</v>
      </c>
      <c r="R3770" t="str">
        <f t="shared" si="117"/>
        <v>[oiPR2CiVJbf]|10-14|Female|Incidence_SUBNAT.Rt.T_1|CY2023Q3</v>
      </c>
    </row>
    <row r="3771" spans="4:18" x14ac:dyDescent="0.2">
      <c r="D3771" t="s">
        <v>104</v>
      </c>
      <c r="E3771" t="s">
        <v>105</v>
      </c>
      <c r="F3771" t="s">
        <v>106</v>
      </c>
      <c r="G3771" t="s">
        <v>151</v>
      </c>
      <c r="H3771" t="s">
        <v>151</v>
      </c>
      <c r="I3771" t="s">
        <v>37</v>
      </c>
      <c r="J3771" t="s">
        <v>38</v>
      </c>
      <c r="K3771" t="s">
        <v>29</v>
      </c>
      <c r="L3771" t="s">
        <v>30</v>
      </c>
      <c r="M3771" t="s">
        <v>139</v>
      </c>
      <c r="N3771">
        <v>1095</v>
      </c>
      <c r="O3771" s="14">
        <v>0.155619917204604</v>
      </c>
      <c r="P3771" s="14">
        <v>0.21824956033378801</v>
      </c>
      <c r="Q3771" t="str">
        <f t="shared" si="116"/>
        <v>15-24</v>
      </c>
      <c r="R3771" t="str">
        <f t="shared" si="117"/>
        <v>[oiPR2CiVJbf]|15-24|Female|Incidence_SUBNAT.Rt.T_1|CY2023Q3</v>
      </c>
    </row>
    <row r="3772" spans="4:18" x14ac:dyDescent="0.2">
      <c r="D3772" t="s">
        <v>104</v>
      </c>
      <c r="E3772" t="s">
        <v>105</v>
      </c>
      <c r="F3772" t="s">
        <v>106</v>
      </c>
      <c r="G3772" t="s">
        <v>151</v>
      </c>
      <c r="H3772" t="s">
        <v>151</v>
      </c>
      <c r="I3772" t="s">
        <v>40</v>
      </c>
      <c r="J3772" t="s">
        <v>41</v>
      </c>
      <c r="K3772" t="s">
        <v>29</v>
      </c>
      <c r="L3772" t="s">
        <v>30</v>
      </c>
      <c r="M3772" t="s">
        <v>139</v>
      </c>
      <c r="N3772">
        <v>1823</v>
      </c>
      <c r="O3772" s="14">
        <v>0.41472855443134898</v>
      </c>
      <c r="P3772" s="14">
        <v>0.21824956033378801</v>
      </c>
      <c r="Q3772" t="str">
        <f t="shared" si="116"/>
        <v>25-34</v>
      </c>
      <c r="R3772" t="str">
        <f t="shared" si="117"/>
        <v>[oiPR2CiVJbf]|25-34|Female|Incidence_SUBNAT.Rt.T_1|CY2023Q3</v>
      </c>
    </row>
    <row r="3773" spans="4:18" x14ac:dyDescent="0.2">
      <c r="D3773" t="s">
        <v>104</v>
      </c>
      <c r="E3773" t="s">
        <v>105</v>
      </c>
      <c r="F3773" t="s">
        <v>106</v>
      </c>
      <c r="G3773" t="s">
        <v>151</v>
      </c>
      <c r="H3773" t="s">
        <v>151</v>
      </c>
      <c r="I3773" t="s">
        <v>42</v>
      </c>
      <c r="J3773" t="s">
        <v>43</v>
      </c>
      <c r="K3773" t="s">
        <v>29</v>
      </c>
      <c r="L3773" t="s">
        <v>30</v>
      </c>
      <c r="M3773" t="s">
        <v>139</v>
      </c>
      <c r="N3773">
        <v>1007</v>
      </c>
      <c r="O3773" s="14">
        <v>0.98260282119736098</v>
      </c>
      <c r="P3773" s="14">
        <v>0.21824956033378801</v>
      </c>
      <c r="Q3773" t="str">
        <f t="shared" si="116"/>
        <v>35-49</v>
      </c>
      <c r="R3773" t="str">
        <f t="shared" si="117"/>
        <v>[oiPR2CiVJbf]|35-49|Female|Incidence_SUBNAT.Rt.T_1|CY2023Q3</v>
      </c>
    </row>
    <row r="3774" spans="4:18" x14ac:dyDescent="0.2">
      <c r="D3774" t="s">
        <v>104</v>
      </c>
      <c r="E3774" t="s">
        <v>105</v>
      </c>
      <c r="F3774" t="s">
        <v>106</v>
      </c>
      <c r="G3774" t="s">
        <v>151</v>
      </c>
      <c r="H3774" t="s">
        <v>151</v>
      </c>
      <c r="I3774" t="s">
        <v>44</v>
      </c>
      <c r="J3774" t="s">
        <v>45</v>
      </c>
      <c r="K3774" t="s">
        <v>29</v>
      </c>
      <c r="L3774" t="s">
        <v>30</v>
      </c>
      <c r="M3774" t="s">
        <v>139</v>
      </c>
      <c r="N3774">
        <v>992</v>
      </c>
      <c r="O3774" s="14">
        <v>0.16829659580253101</v>
      </c>
      <c r="P3774" s="14">
        <v>0.21824956033378801</v>
      </c>
      <c r="Q3774" t="str">
        <f t="shared" si="116"/>
        <v>50+</v>
      </c>
      <c r="R3774" t="str">
        <f t="shared" si="117"/>
        <v>[oiPR2CiVJbf]|50+|Female|Incidence_SUBNAT.Rt.T_1|CY2023Q3</v>
      </c>
    </row>
    <row r="3775" spans="4:18" x14ac:dyDescent="0.2">
      <c r="D3775" t="s">
        <v>104</v>
      </c>
      <c r="E3775" t="s">
        <v>105</v>
      </c>
      <c r="F3775" t="s">
        <v>106</v>
      </c>
      <c r="G3775" t="s">
        <v>151</v>
      </c>
      <c r="H3775" t="s">
        <v>151</v>
      </c>
      <c r="I3775" t="s">
        <v>27</v>
      </c>
      <c r="J3775" t="s">
        <v>28</v>
      </c>
      <c r="K3775" t="s">
        <v>47</v>
      </c>
      <c r="L3775" t="s">
        <v>48</v>
      </c>
      <c r="M3775" t="s">
        <v>139</v>
      </c>
      <c r="N3775">
        <v>679</v>
      </c>
      <c r="O3775" s="14">
        <v>0.75810670433565996</v>
      </c>
      <c r="P3775" s="14">
        <v>0.21824956033378801</v>
      </c>
      <c r="Q3775" t="str">
        <f t="shared" si="116"/>
        <v>&lt;01</v>
      </c>
      <c r="R3775" t="str">
        <f t="shared" si="117"/>
        <v>[oiPR2CiVJbf]|&lt;01|Male|Incidence_SUBNAT.Rt.T_1|CY2023Q3</v>
      </c>
    </row>
    <row r="3776" spans="4:18" x14ac:dyDescent="0.2">
      <c r="D3776" t="s">
        <v>104</v>
      </c>
      <c r="E3776" t="s">
        <v>105</v>
      </c>
      <c r="F3776" t="s">
        <v>106</v>
      </c>
      <c r="G3776" t="s">
        <v>151</v>
      </c>
      <c r="H3776" t="s">
        <v>151</v>
      </c>
      <c r="I3776" t="s">
        <v>32</v>
      </c>
      <c r="J3776" t="s">
        <v>33</v>
      </c>
      <c r="K3776" t="s">
        <v>47</v>
      </c>
      <c r="L3776" t="s">
        <v>48</v>
      </c>
      <c r="M3776" t="s">
        <v>139</v>
      </c>
      <c r="N3776">
        <v>1082</v>
      </c>
      <c r="O3776" s="14">
        <v>0.282564643537626</v>
      </c>
      <c r="P3776" s="14">
        <v>0.21824956033378801</v>
      </c>
      <c r="Q3776" t="str">
        <f t="shared" si="116"/>
        <v>01-09</v>
      </c>
      <c r="R3776" t="str">
        <f t="shared" si="117"/>
        <v>[oiPR2CiVJbf]|01-09|Male|Incidence_SUBNAT.Rt.T_1|CY2023Q3</v>
      </c>
    </row>
    <row r="3777" spans="4:18" x14ac:dyDescent="0.2">
      <c r="D3777" t="s">
        <v>104</v>
      </c>
      <c r="E3777" t="s">
        <v>105</v>
      </c>
      <c r="F3777" t="s">
        <v>106</v>
      </c>
      <c r="G3777" t="s">
        <v>151</v>
      </c>
      <c r="H3777" t="s">
        <v>151</v>
      </c>
      <c r="I3777" t="s">
        <v>35</v>
      </c>
      <c r="J3777" t="s">
        <v>36</v>
      </c>
      <c r="K3777" t="s">
        <v>47</v>
      </c>
      <c r="L3777" t="s">
        <v>48</v>
      </c>
      <c r="M3777" t="s">
        <v>139</v>
      </c>
      <c r="N3777">
        <v>866</v>
      </c>
      <c r="O3777" s="14">
        <v>0.71585852093994595</v>
      </c>
      <c r="P3777" s="14">
        <v>0.21824956033378801</v>
      </c>
      <c r="Q3777" t="str">
        <f t="shared" si="116"/>
        <v>10-14</v>
      </c>
      <c r="R3777" t="str">
        <f t="shared" si="117"/>
        <v>[oiPR2CiVJbf]|10-14|Male|Incidence_SUBNAT.Rt.T_1|CY2023Q3</v>
      </c>
    </row>
    <row r="3778" spans="4:18" x14ac:dyDescent="0.2">
      <c r="D3778" t="s">
        <v>104</v>
      </c>
      <c r="E3778" t="s">
        <v>105</v>
      </c>
      <c r="F3778" t="s">
        <v>106</v>
      </c>
      <c r="G3778" t="s">
        <v>151</v>
      </c>
      <c r="H3778" t="s">
        <v>151</v>
      </c>
      <c r="I3778" t="s">
        <v>37</v>
      </c>
      <c r="J3778" t="s">
        <v>38</v>
      </c>
      <c r="K3778" t="s">
        <v>47</v>
      </c>
      <c r="L3778" t="s">
        <v>48</v>
      </c>
      <c r="M3778" t="s">
        <v>139</v>
      </c>
      <c r="N3778">
        <v>1189</v>
      </c>
      <c r="O3778" s="14">
        <v>3.1949828378856203E-2</v>
      </c>
      <c r="P3778" s="14">
        <v>0.21824956033378801</v>
      </c>
      <c r="Q3778" t="str">
        <f t="shared" ref="Q3778:Q3841" si="118">SUBSTITUTE(SUBSTITUTE($I3778,CHAR(61),""),CHAR(34),"")</f>
        <v>15-24</v>
      </c>
      <c r="R3778" t="str">
        <f t="shared" ref="R3778:R3841" si="119">IF($D3778&lt;&gt;"","["&amp;$E3778&amp;"]"&amp;"|"&amp;$Q3778&amp;"|"&amp;$K3778&amp;"|"&amp;$G3778&amp;"|"&amp;IF($G3778="TX_CURR_SUBNAT.R","CY2022Q4",$M3778),"")</f>
        <v>[oiPR2CiVJbf]|15-24|Male|Incidence_SUBNAT.Rt.T_1|CY2023Q3</v>
      </c>
    </row>
    <row r="3779" spans="4:18" x14ac:dyDescent="0.2">
      <c r="D3779" t="s">
        <v>104</v>
      </c>
      <c r="E3779" t="s">
        <v>105</v>
      </c>
      <c r="F3779" t="s">
        <v>106</v>
      </c>
      <c r="G3779" t="s">
        <v>151</v>
      </c>
      <c r="H3779" t="s">
        <v>151</v>
      </c>
      <c r="I3779" t="s">
        <v>40</v>
      </c>
      <c r="J3779" t="s">
        <v>41</v>
      </c>
      <c r="K3779" t="s">
        <v>47</v>
      </c>
      <c r="L3779" t="s">
        <v>48</v>
      </c>
      <c r="M3779" t="s">
        <v>139</v>
      </c>
      <c r="N3779">
        <v>1154</v>
      </c>
      <c r="O3779" s="14">
        <v>0.21483300114050499</v>
      </c>
      <c r="P3779" s="14">
        <v>0.21824956033378801</v>
      </c>
      <c r="Q3779" t="str">
        <f t="shared" si="118"/>
        <v>25-34</v>
      </c>
      <c r="R3779" t="str">
        <f t="shared" si="119"/>
        <v>[oiPR2CiVJbf]|25-34|Male|Incidence_SUBNAT.Rt.T_1|CY2023Q3</v>
      </c>
    </row>
    <row r="3780" spans="4:18" x14ac:dyDescent="0.2">
      <c r="D3780" t="s">
        <v>104</v>
      </c>
      <c r="E3780" t="s">
        <v>105</v>
      </c>
      <c r="F3780" t="s">
        <v>106</v>
      </c>
      <c r="G3780" t="s">
        <v>151</v>
      </c>
      <c r="H3780" t="s">
        <v>151</v>
      </c>
      <c r="I3780" t="s">
        <v>42</v>
      </c>
      <c r="J3780" t="s">
        <v>43</v>
      </c>
      <c r="K3780" t="s">
        <v>47</v>
      </c>
      <c r="L3780" t="s">
        <v>48</v>
      </c>
      <c r="M3780" t="s">
        <v>139</v>
      </c>
      <c r="N3780">
        <v>758</v>
      </c>
      <c r="O3780" s="14">
        <v>0.80376160447485701</v>
      </c>
      <c r="P3780" s="14">
        <v>0.21824956033378801</v>
      </c>
      <c r="Q3780" t="str">
        <f t="shared" si="118"/>
        <v>35-49</v>
      </c>
      <c r="R3780" t="str">
        <f t="shared" si="119"/>
        <v>[oiPR2CiVJbf]|35-49|Male|Incidence_SUBNAT.Rt.T_1|CY2023Q3</v>
      </c>
    </row>
    <row r="3781" spans="4:18" x14ac:dyDescent="0.2">
      <c r="D3781" t="s">
        <v>104</v>
      </c>
      <c r="E3781" t="s">
        <v>105</v>
      </c>
      <c r="F3781" t="s">
        <v>106</v>
      </c>
      <c r="G3781" t="s">
        <v>151</v>
      </c>
      <c r="H3781" t="s">
        <v>151</v>
      </c>
      <c r="I3781" t="s">
        <v>44</v>
      </c>
      <c r="J3781" t="s">
        <v>45</v>
      </c>
      <c r="K3781" t="s">
        <v>47</v>
      </c>
      <c r="L3781" t="s">
        <v>48</v>
      </c>
      <c r="M3781" t="s">
        <v>139</v>
      </c>
      <c r="N3781">
        <v>1928</v>
      </c>
      <c r="O3781" s="14">
        <v>0.23636550828814501</v>
      </c>
      <c r="P3781" s="14">
        <v>0.21824956033378801</v>
      </c>
      <c r="Q3781" t="str">
        <f t="shared" si="118"/>
        <v>50+</v>
      </c>
      <c r="R3781" t="str">
        <f t="shared" si="119"/>
        <v>[oiPR2CiVJbf]|50+|Male|Incidence_SUBNAT.Rt.T_1|CY2023Q3</v>
      </c>
    </row>
    <row r="3782" spans="4:18" x14ac:dyDescent="0.2">
      <c r="D3782" t="s">
        <v>107</v>
      </c>
      <c r="E3782" t="s">
        <v>108</v>
      </c>
      <c r="F3782" t="s">
        <v>109</v>
      </c>
      <c r="G3782" t="s">
        <v>151</v>
      </c>
      <c r="H3782" t="s">
        <v>151</v>
      </c>
      <c r="I3782" t="s">
        <v>27</v>
      </c>
      <c r="J3782" t="s">
        <v>28</v>
      </c>
      <c r="K3782" t="s">
        <v>29</v>
      </c>
      <c r="L3782" t="s">
        <v>30</v>
      </c>
      <c r="M3782" t="s">
        <v>139</v>
      </c>
      <c r="N3782">
        <v>1820</v>
      </c>
      <c r="O3782" s="14">
        <v>6.4707189332693801E-2</v>
      </c>
      <c r="P3782" s="14">
        <v>0.43422180437482899</v>
      </c>
      <c r="Q3782" t="str">
        <f t="shared" si="118"/>
        <v>&lt;01</v>
      </c>
      <c r="R3782" t="str">
        <f t="shared" si="119"/>
        <v>[ul0y9diGujK]|&lt;01|Female|Incidence_SUBNAT.Rt.T_1|CY2023Q3</v>
      </c>
    </row>
    <row r="3783" spans="4:18" x14ac:dyDescent="0.2">
      <c r="D3783" t="s">
        <v>107</v>
      </c>
      <c r="E3783" t="s">
        <v>108</v>
      </c>
      <c r="F3783" t="s">
        <v>109</v>
      </c>
      <c r="G3783" t="s">
        <v>151</v>
      </c>
      <c r="H3783" t="s">
        <v>151</v>
      </c>
      <c r="I3783" t="s">
        <v>32</v>
      </c>
      <c r="J3783" t="s">
        <v>33</v>
      </c>
      <c r="K3783" t="s">
        <v>29</v>
      </c>
      <c r="L3783" t="s">
        <v>30</v>
      </c>
      <c r="M3783" t="s">
        <v>139</v>
      </c>
      <c r="N3783">
        <v>1050</v>
      </c>
      <c r="O3783" s="14">
        <v>9.61680982727557E-2</v>
      </c>
      <c r="P3783" s="14">
        <v>0.43422180437482899</v>
      </c>
      <c r="Q3783" t="str">
        <f t="shared" si="118"/>
        <v>01-09</v>
      </c>
      <c r="R3783" t="str">
        <f t="shared" si="119"/>
        <v>[ul0y9diGujK]|01-09|Female|Incidence_SUBNAT.Rt.T_1|CY2023Q3</v>
      </c>
    </row>
    <row r="3784" spans="4:18" x14ac:dyDescent="0.2">
      <c r="D3784" t="s">
        <v>107</v>
      </c>
      <c r="E3784" t="s">
        <v>108</v>
      </c>
      <c r="F3784" t="s">
        <v>109</v>
      </c>
      <c r="G3784" t="s">
        <v>151</v>
      </c>
      <c r="H3784" t="s">
        <v>151</v>
      </c>
      <c r="I3784" t="s">
        <v>35</v>
      </c>
      <c r="J3784" t="s">
        <v>36</v>
      </c>
      <c r="K3784" t="s">
        <v>29</v>
      </c>
      <c r="L3784" t="s">
        <v>30</v>
      </c>
      <c r="M3784" t="s">
        <v>139</v>
      </c>
      <c r="N3784">
        <v>756</v>
      </c>
      <c r="O3784" s="14">
        <v>0.75913617294281699</v>
      </c>
      <c r="P3784" s="14">
        <v>0.43422180437482899</v>
      </c>
      <c r="Q3784" t="str">
        <f t="shared" si="118"/>
        <v>10-14</v>
      </c>
      <c r="R3784" t="str">
        <f t="shared" si="119"/>
        <v>[ul0y9diGujK]|10-14|Female|Incidence_SUBNAT.Rt.T_1|CY2023Q3</v>
      </c>
    </row>
    <row r="3785" spans="4:18" x14ac:dyDescent="0.2">
      <c r="D3785" t="s">
        <v>107</v>
      </c>
      <c r="E3785" t="s">
        <v>108</v>
      </c>
      <c r="F3785" t="s">
        <v>109</v>
      </c>
      <c r="G3785" t="s">
        <v>151</v>
      </c>
      <c r="H3785" t="s">
        <v>151</v>
      </c>
      <c r="I3785" t="s">
        <v>37</v>
      </c>
      <c r="J3785" t="s">
        <v>38</v>
      </c>
      <c r="K3785" t="s">
        <v>29</v>
      </c>
      <c r="L3785" t="s">
        <v>30</v>
      </c>
      <c r="M3785" t="s">
        <v>139</v>
      </c>
      <c r="N3785">
        <v>1281</v>
      </c>
      <c r="O3785" s="14">
        <v>0.43160599377006298</v>
      </c>
      <c r="P3785" s="14">
        <v>0.43422180437482899</v>
      </c>
      <c r="Q3785" t="str">
        <f t="shared" si="118"/>
        <v>15-24</v>
      </c>
      <c r="R3785" t="str">
        <f t="shared" si="119"/>
        <v>[ul0y9diGujK]|15-24|Female|Incidence_SUBNAT.Rt.T_1|CY2023Q3</v>
      </c>
    </row>
    <row r="3786" spans="4:18" x14ac:dyDescent="0.2">
      <c r="D3786" t="s">
        <v>107</v>
      </c>
      <c r="E3786" t="s">
        <v>108</v>
      </c>
      <c r="F3786" t="s">
        <v>109</v>
      </c>
      <c r="G3786" t="s">
        <v>151</v>
      </c>
      <c r="H3786" t="s">
        <v>151</v>
      </c>
      <c r="I3786" t="s">
        <v>40</v>
      </c>
      <c r="J3786" t="s">
        <v>41</v>
      </c>
      <c r="K3786" t="s">
        <v>29</v>
      </c>
      <c r="L3786" t="s">
        <v>30</v>
      </c>
      <c r="M3786" t="s">
        <v>139</v>
      </c>
      <c r="N3786">
        <v>712</v>
      </c>
      <c r="O3786" s="14">
        <v>0.12095378595404301</v>
      </c>
      <c r="P3786" s="14">
        <v>0.43422180437482899</v>
      </c>
      <c r="Q3786" t="str">
        <f t="shared" si="118"/>
        <v>25-34</v>
      </c>
      <c r="R3786" t="str">
        <f t="shared" si="119"/>
        <v>[ul0y9diGujK]|25-34|Female|Incidence_SUBNAT.Rt.T_1|CY2023Q3</v>
      </c>
    </row>
    <row r="3787" spans="4:18" x14ac:dyDescent="0.2">
      <c r="D3787" t="s">
        <v>107</v>
      </c>
      <c r="E3787" t="s">
        <v>108</v>
      </c>
      <c r="F3787" t="s">
        <v>109</v>
      </c>
      <c r="G3787" t="s">
        <v>151</v>
      </c>
      <c r="H3787" t="s">
        <v>151</v>
      </c>
      <c r="I3787" t="s">
        <v>42</v>
      </c>
      <c r="J3787" t="s">
        <v>43</v>
      </c>
      <c r="K3787" t="s">
        <v>29</v>
      </c>
      <c r="L3787" t="s">
        <v>30</v>
      </c>
      <c r="M3787" t="s">
        <v>139</v>
      </c>
      <c r="N3787">
        <v>1153</v>
      </c>
      <c r="O3787" s="14">
        <v>0.739209599560127</v>
      </c>
      <c r="P3787" s="14">
        <v>0.43422180437482899</v>
      </c>
      <c r="Q3787" t="str">
        <f t="shared" si="118"/>
        <v>35-49</v>
      </c>
      <c r="R3787" t="str">
        <f t="shared" si="119"/>
        <v>[ul0y9diGujK]|35-49|Female|Incidence_SUBNAT.Rt.T_1|CY2023Q3</v>
      </c>
    </row>
    <row r="3788" spans="4:18" x14ac:dyDescent="0.2">
      <c r="D3788" t="s">
        <v>107</v>
      </c>
      <c r="E3788" t="s">
        <v>108</v>
      </c>
      <c r="F3788" t="s">
        <v>109</v>
      </c>
      <c r="G3788" t="s">
        <v>151</v>
      </c>
      <c r="H3788" t="s">
        <v>151</v>
      </c>
      <c r="I3788" t="s">
        <v>44</v>
      </c>
      <c r="J3788" t="s">
        <v>45</v>
      </c>
      <c r="K3788" t="s">
        <v>29</v>
      </c>
      <c r="L3788" t="s">
        <v>30</v>
      </c>
      <c r="M3788" t="s">
        <v>139</v>
      </c>
      <c r="N3788">
        <v>999</v>
      </c>
      <c r="O3788" s="14">
        <v>0.70545511785894599</v>
      </c>
      <c r="P3788" s="14">
        <v>0.43422180437482899</v>
      </c>
      <c r="Q3788" t="str">
        <f t="shared" si="118"/>
        <v>50+</v>
      </c>
      <c r="R3788" t="str">
        <f t="shared" si="119"/>
        <v>[ul0y9diGujK]|50+|Female|Incidence_SUBNAT.Rt.T_1|CY2023Q3</v>
      </c>
    </row>
    <row r="3789" spans="4:18" x14ac:dyDescent="0.2">
      <c r="D3789" t="s">
        <v>107</v>
      </c>
      <c r="E3789" t="s">
        <v>108</v>
      </c>
      <c r="F3789" t="s">
        <v>109</v>
      </c>
      <c r="G3789" t="s">
        <v>151</v>
      </c>
      <c r="H3789" t="s">
        <v>151</v>
      </c>
      <c r="I3789" t="s">
        <v>27</v>
      </c>
      <c r="J3789" t="s">
        <v>28</v>
      </c>
      <c r="K3789" t="s">
        <v>47</v>
      </c>
      <c r="L3789" t="s">
        <v>48</v>
      </c>
      <c r="M3789" t="s">
        <v>139</v>
      </c>
      <c r="N3789">
        <v>1341</v>
      </c>
      <c r="O3789" s="14">
        <v>0.85381279885768901</v>
      </c>
      <c r="P3789" s="14">
        <v>0.43422180437482899</v>
      </c>
      <c r="Q3789" t="str">
        <f t="shared" si="118"/>
        <v>&lt;01</v>
      </c>
      <c r="R3789" t="str">
        <f t="shared" si="119"/>
        <v>[ul0y9diGujK]|&lt;01|Male|Incidence_SUBNAT.Rt.T_1|CY2023Q3</v>
      </c>
    </row>
    <row r="3790" spans="4:18" x14ac:dyDescent="0.2">
      <c r="D3790" t="s">
        <v>107</v>
      </c>
      <c r="E3790" t="s">
        <v>108</v>
      </c>
      <c r="F3790" t="s">
        <v>109</v>
      </c>
      <c r="G3790" t="s">
        <v>151</v>
      </c>
      <c r="H3790" t="s">
        <v>151</v>
      </c>
      <c r="I3790" t="s">
        <v>32</v>
      </c>
      <c r="J3790" t="s">
        <v>33</v>
      </c>
      <c r="K3790" t="s">
        <v>47</v>
      </c>
      <c r="L3790" t="s">
        <v>48</v>
      </c>
      <c r="M3790" t="s">
        <v>139</v>
      </c>
      <c r="N3790">
        <v>1464</v>
      </c>
      <c r="O3790" s="14">
        <v>0.25841975258663302</v>
      </c>
      <c r="P3790" s="14">
        <v>0.43422180437482899</v>
      </c>
      <c r="Q3790" t="str">
        <f t="shared" si="118"/>
        <v>01-09</v>
      </c>
      <c r="R3790" t="str">
        <f t="shared" si="119"/>
        <v>[ul0y9diGujK]|01-09|Male|Incidence_SUBNAT.Rt.T_1|CY2023Q3</v>
      </c>
    </row>
    <row r="3791" spans="4:18" x14ac:dyDescent="0.2">
      <c r="D3791" t="s">
        <v>107</v>
      </c>
      <c r="E3791" t="s">
        <v>108</v>
      </c>
      <c r="F3791" t="s">
        <v>109</v>
      </c>
      <c r="G3791" t="s">
        <v>151</v>
      </c>
      <c r="H3791" t="s">
        <v>151</v>
      </c>
      <c r="I3791" t="s">
        <v>35</v>
      </c>
      <c r="J3791" t="s">
        <v>36</v>
      </c>
      <c r="K3791" t="s">
        <v>47</v>
      </c>
      <c r="L3791" t="s">
        <v>48</v>
      </c>
      <c r="M3791" t="s">
        <v>139</v>
      </c>
      <c r="N3791">
        <v>1760</v>
      </c>
      <c r="O3791" s="14">
        <v>0.264151219744235</v>
      </c>
      <c r="P3791" s="14">
        <v>0.43422180437482899</v>
      </c>
      <c r="Q3791" t="str">
        <f t="shared" si="118"/>
        <v>10-14</v>
      </c>
      <c r="R3791" t="str">
        <f t="shared" si="119"/>
        <v>[ul0y9diGujK]|10-14|Male|Incidence_SUBNAT.Rt.T_1|CY2023Q3</v>
      </c>
    </row>
    <row r="3792" spans="4:18" x14ac:dyDescent="0.2">
      <c r="D3792" t="s">
        <v>107</v>
      </c>
      <c r="E3792" t="s">
        <v>108</v>
      </c>
      <c r="F3792" t="s">
        <v>109</v>
      </c>
      <c r="G3792" t="s">
        <v>151</v>
      </c>
      <c r="H3792" t="s">
        <v>151</v>
      </c>
      <c r="I3792" t="s">
        <v>37</v>
      </c>
      <c r="J3792" t="s">
        <v>38</v>
      </c>
      <c r="K3792" t="s">
        <v>47</v>
      </c>
      <c r="L3792" t="s">
        <v>48</v>
      </c>
      <c r="M3792" t="s">
        <v>139</v>
      </c>
      <c r="N3792">
        <v>601</v>
      </c>
      <c r="O3792" s="14">
        <v>0.73827278497628901</v>
      </c>
      <c r="P3792" s="14">
        <v>0.43422180437482899</v>
      </c>
      <c r="Q3792" t="str">
        <f t="shared" si="118"/>
        <v>15-24</v>
      </c>
      <c r="R3792" t="str">
        <f t="shared" si="119"/>
        <v>[ul0y9diGujK]|15-24|Male|Incidence_SUBNAT.Rt.T_1|CY2023Q3</v>
      </c>
    </row>
    <row r="3793" spans="4:18" x14ac:dyDescent="0.2">
      <c r="D3793" t="s">
        <v>107</v>
      </c>
      <c r="E3793" t="s">
        <v>108</v>
      </c>
      <c r="F3793" t="s">
        <v>109</v>
      </c>
      <c r="G3793" t="s">
        <v>151</v>
      </c>
      <c r="H3793" t="s">
        <v>151</v>
      </c>
      <c r="I3793" t="s">
        <v>40</v>
      </c>
      <c r="J3793" t="s">
        <v>41</v>
      </c>
      <c r="K3793" t="s">
        <v>47</v>
      </c>
      <c r="L3793" t="s">
        <v>48</v>
      </c>
      <c r="M3793" t="s">
        <v>139</v>
      </c>
      <c r="N3793">
        <v>1317</v>
      </c>
      <c r="O3793" s="14">
        <v>0.475023406557739</v>
      </c>
      <c r="P3793" s="14">
        <v>0.43422180437482899</v>
      </c>
      <c r="Q3793" t="str">
        <f t="shared" si="118"/>
        <v>25-34</v>
      </c>
      <c r="R3793" t="str">
        <f t="shared" si="119"/>
        <v>[ul0y9diGujK]|25-34|Male|Incidence_SUBNAT.Rt.T_1|CY2023Q3</v>
      </c>
    </row>
    <row r="3794" spans="4:18" x14ac:dyDescent="0.2">
      <c r="D3794" t="s">
        <v>107</v>
      </c>
      <c r="E3794" t="s">
        <v>108</v>
      </c>
      <c r="F3794" t="s">
        <v>109</v>
      </c>
      <c r="G3794" t="s">
        <v>151</v>
      </c>
      <c r="H3794" t="s">
        <v>151</v>
      </c>
      <c r="I3794" t="s">
        <v>42</v>
      </c>
      <c r="J3794" t="s">
        <v>43</v>
      </c>
      <c r="K3794" t="s">
        <v>47</v>
      </c>
      <c r="L3794" t="s">
        <v>48</v>
      </c>
      <c r="M3794" t="s">
        <v>139</v>
      </c>
      <c r="N3794">
        <v>1391</v>
      </c>
      <c r="O3794" s="14">
        <v>0.21525442297570399</v>
      </c>
      <c r="P3794" s="14">
        <v>0.43422180437482899</v>
      </c>
      <c r="Q3794" t="str">
        <f t="shared" si="118"/>
        <v>35-49</v>
      </c>
      <c r="R3794" t="str">
        <f t="shared" si="119"/>
        <v>[ul0y9diGujK]|35-49|Male|Incidence_SUBNAT.Rt.T_1|CY2023Q3</v>
      </c>
    </row>
    <row r="3795" spans="4:18" x14ac:dyDescent="0.2">
      <c r="D3795" t="s">
        <v>107</v>
      </c>
      <c r="E3795" t="s">
        <v>108</v>
      </c>
      <c r="F3795" t="s">
        <v>109</v>
      </c>
      <c r="G3795" t="s">
        <v>151</v>
      </c>
      <c r="H3795" t="s">
        <v>151</v>
      </c>
      <c r="I3795" t="s">
        <v>44</v>
      </c>
      <c r="J3795" t="s">
        <v>45</v>
      </c>
      <c r="K3795" t="s">
        <v>47</v>
      </c>
      <c r="L3795" t="s">
        <v>48</v>
      </c>
      <c r="M3795" t="s">
        <v>139</v>
      </c>
      <c r="N3795">
        <v>555</v>
      </c>
      <c r="O3795" s="14">
        <v>0.56927027506753802</v>
      </c>
      <c r="P3795" s="14">
        <v>0.43422180437482899</v>
      </c>
      <c r="Q3795" t="str">
        <f t="shared" si="118"/>
        <v>50+</v>
      </c>
      <c r="R3795" t="str">
        <f t="shared" si="119"/>
        <v>[ul0y9diGujK]|50+|Male|Incidence_SUBNAT.Rt.T_1|CY2023Q3</v>
      </c>
    </row>
    <row r="3796" spans="4:18" x14ac:dyDescent="0.2">
      <c r="D3796" t="s">
        <v>110</v>
      </c>
      <c r="E3796" t="s">
        <v>111</v>
      </c>
      <c r="F3796" t="s">
        <v>112</v>
      </c>
      <c r="G3796" t="s">
        <v>151</v>
      </c>
      <c r="H3796" t="s">
        <v>151</v>
      </c>
      <c r="I3796" t="s">
        <v>27</v>
      </c>
      <c r="J3796" t="s">
        <v>28</v>
      </c>
      <c r="K3796" t="s">
        <v>29</v>
      </c>
      <c r="L3796" t="s">
        <v>30</v>
      </c>
      <c r="M3796" t="s">
        <v>139</v>
      </c>
      <c r="N3796">
        <v>1244</v>
      </c>
      <c r="O3796" s="14">
        <v>0.163796033011749</v>
      </c>
      <c r="P3796" s="14">
        <v>0.33776879496872397</v>
      </c>
      <c r="Q3796" t="str">
        <f t="shared" si="118"/>
        <v>&lt;01</v>
      </c>
      <c r="R3796" t="str">
        <f t="shared" si="119"/>
        <v>[U8c0so51kT6]|&lt;01|Female|Incidence_SUBNAT.Rt.T_1|CY2023Q3</v>
      </c>
    </row>
    <row r="3797" spans="4:18" x14ac:dyDescent="0.2">
      <c r="D3797" t="s">
        <v>110</v>
      </c>
      <c r="E3797" t="s">
        <v>111</v>
      </c>
      <c r="F3797" t="s">
        <v>112</v>
      </c>
      <c r="G3797" t="s">
        <v>151</v>
      </c>
      <c r="H3797" t="s">
        <v>151</v>
      </c>
      <c r="I3797" t="s">
        <v>32</v>
      </c>
      <c r="J3797" t="s">
        <v>33</v>
      </c>
      <c r="K3797" t="s">
        <v>29</v>
      </c>
      <c r="L3797" t="s">
        <v>30</v>
      </c>
      <c r="M3797" t="s">
        <v>139</v>
      </c>
      <c r="N3797">
        <v>1891</v>
      </c>
      <c r="O3797" s="14">
        <v>0.33919610688462898</v>
      </c>
      <c r="P3797" s="14">
        <v>0.33776879496872397</v>
      </c>
      <c r="Q3797" t="str">
        <f t="shared" si="118"/>
        <v>01-09</v>
      </c>
      <c r="R3797" t="str">
        <f t="shared" si="119"/>
        <v>[U8c0so51kT6]|01-09|Female|Incidence_SUBNAT.Rt.T_1|CY2023Q3</v>
      </c>
    </row>
    <row r="3798" spans="4:18" x14ac:dyDescent="0.2">
      <c r="D3798" t="s">
        <v>110</v>
      </c>
      <c r="E3798" t="s">
        <v>111</v>
      </c>
      <c r="F3798" t="s">
        <v>112</v>
      </c>
      <c r="G3798" t="s">
        <v>151</v>
      </c>
      <c r="H3798" t="s">
        <v>151</v>
      </c>
      <c r="I3798" t="s">
        <v>35</v>
      </c>
      <c r="J3798" t="s">
        <v>36</v>
      </c>
      <c r="K3798" t="s">
        <v>29</v>
      </c>
      <c r="L3798" t="s">
        <v>30</v>
      </c>
      <c r="M3798" t="s">
        <v>139</v>
      </c>
      <c r="N3798">
        <v>1226</v>
      </c>
      <c r="O3798" s="14">
        <v>0.56864949385635599</v>
      </c>
      <c r="P3798" s="14">
        <v>0.33776879496872397</v>
      </c>
      <c r="Q3798" t="str">
        <f t="shared" si="118"/>
        <v>10-14</v>
      </c>
      <c r="R3798" t="str">
        <f t="shared" si="119"/>
        <v>[U8c0so51kT6]|10-14|Female|Incidence_SUBNAT.Rt.T_1|CY2023Q3</v>
      </c>
    </row>
    <row r="3799" spans="4:18" x14ac:dyDescent="0.2">
      <c r="D3799" t="s">
        <v>110</v>
      </c>
      <c r="E3799" t="s">
        <v>111</v>
      </c>
      <c r="F3799" t="s">
        <v>112</v>
      </c>
      <c r="G3799" t="s">
        <v>151</v>
      </c>
      <c r="H3799" t="s">
        <v>151</v>
      </c>
      <c r="I3799" t="s">
        <v>37</v>
      </c>
      <c r="J3799" t="s">
        <v>38</v>
      </c>
      <c r="K3799" t="s">
        <v>29</v>
      </c>
      <c r="L3799" t="s">
        <v>30</v>
      </c>
      <c r="M3799" t="s">
        <v>139</v>
      </c>
      <c r="N3799">
        <v>1494</v>
      </c>
      <c r="O3799" s="14">
        <v>0.436120094964281</v>
      </c>
      <c r="P3799" s="14">
        <v>0.33776879496872397</v>
      </c>
      <c r="Q3799" t="str">
        <f t="shared" si="118"/>
        <v>15-24</v>
      </c>
      <c r="R3799" t="str">
        <f t="shared" si="119"/>
        <v>[U8c0so51kT6]|15-24|Female|Incidence_SUBNAT.Rt.T_1|CY2023Q3</v>
      </c>
    </row>
    <row r="3800" spans="4:18" x14ac:dyDescent="0.2">
      <c r="D3800" t="s">
        <v>110</v>
      </c>
      <c r="E3800" t="s">
        <v>111</v>
      </c>
      <c r="F3800" t="s">
        <v>112</v>
      </c>
      <c r="G3800" t="s">
        <v>151</v>
      </c>
      <c r="H3800" t="s">
        <v>151</v>
      </c>
      <c r="I3800" t="s">
        <v>40</v>
      </c>
      <c r="J3800" t="s">
        <v>41</v>
      </c>
      <c r="K3800" t="s">
        <v>29</v>
      </c>
      <c r="L3800" t="s">
        <v>30</v>
      </c>
      <c r="M3800" t="s">
        <v>139</v>
      </c>
      <c r="N3800">
        <v>1881</v>
      </c>
      <c r="O3800" s="14">
        <v>0.68489320552907895</v>
      </c>
      <c r="P3800" s="14">
        <v>0.33776879496872397</v>
      </c>
      <c r="Q3800" t="str">
        <f t="shared" si="118"/>
        <v>25-34</v>
      </c>
      <c r="R3800" t="str">
        <f t="shared" si="119"/>
        <v>[U8c0so51kT6]|25-34|Female|Incidence_SUBNAT.Rt.T_1|CY2023Q3</v>
      </c>
    </row>
    <row r="3801" spans="4:18" x14ac:dyDescent="0.2">
      <c r="D3801" t="s">
        <v>110</v>
      </c>
      <c r="E3801" t="s">
        <v>111</v>
      </c>
      <c r="F3801" t="s">
        <v>112</v>
      </c>
      <c r="G3801" t="s">
        <v>151</v>
      </c>
      <c r="H3801" t="s">
        <v>151</v>
      </c>
      <c r="I3801" t="s">
        <v>42</v>
      </c>
      <c r="J3801" t="s">
        <v>43</v>
      </c>
      <c r="K3801" t="s">
        <v>29</v>
      </c>
      <c r="L3801" t="s">
        <v>30</v>
      </c>
      <c r="M3801" t="s">
        <v>139</v>
      </c>
      <c r="N3801">
        <v>589</v>
      </c>
      <c r="O3801" s="14">
        <v>0.75136661203578103</v>
      </c>
      <c r="P3801" s="14">
        <v>0.33776879496872397</v>
      </c>
      <c r="Q3801" t="str">
        <f t="shared" si="118"/>
        <v>35-49</v>
      </c>
      <c r="R3801" t="str">
        <f t="shared" si="119"/>
        <v>[U8c0so51kT6]|35-49|Female|Incidence_SUBNAT.Rt.T_1|CY2023Q3</v>
      </c>
    </row>
    <row r="3802" spans="4:18" x14ac:dyDescent="0.2">
      <c r="D3802" t="s">
        <v>110</v>
      </c>
      <c r="E3802" t="s">
        <v>111</v>
      </c>
      <c r="F3802" t="s">
        <v>112</v>
      </c>
      <c r="G3802" t="s">
        <v>151</v>
      </c>
      <c r="H3802" t="s">
        <v>151</v>
      </c>
      <c r="I3802" t="s">
        <v>44</v>
      </c>
      <c r="J3802" t="s">
        <v>45</v>
      </c>
      <c r="K3802" t="s">
        <v>29</v>
      </c>
      <c r="L3802" t="s">
        <v>30</v>
      </c>
      <c r="M3802" t="s">
        <v>139</v>
      </c>
      <c r="N3802">
        <v>1638</v>
      </c>
      <c r="O3802" s="14">
        <v>0.84989922051318001</v>
      </c>
      <c r="P3802" s="14">
        <v>0.33776879496872397</v>
      </c>
      <c r="Q3802" t="str">
        <f t="shared" si="118"/>
        <v>50+</v>
      </c>
      <c r="R3802" t="str">
        <f t="shared" si="119"/>
        <v>[U8c0so51kT6]|50+|Female|Incidence_SUBNAT.Rt.T_1|CY2023Q3</v>
      </c>
    </row>
    <row r="3803" spans="4:18" x14ac:dyDescent="0.2">
      <c r="D3803" t="s">
        <v>110</v>
      </c>
      <c r="E3803" t="s">
        <v>111</v>
      </c>
      <c r="F3803" t="s">
        <v>112</v>
      </c>
      <c r="G3803" t="s">
        <v>151</v>
      </c>
      <c r="H3803" t="s">
        <v>151</v>
      </c>
      <c r="I3803" t="s">
        <v>27</v>
      </c>
      <c r="J3803" t="s">
        <v>28</v>
      </c>
      <c r="K3803" t="s">
        <v>47</v>
      </c>
      <c r="L3803" t="s">
        <v>48</v>
      </c>
      <c r="M3803" t="s">
        <v>139</v>
      </c>
      <c r="N3803">
        <v>1575</v>
      </c>
      <c r="O3803" s="14">
        <v>8.2479132339358302E-2</v>
      </c>
      <c r="P3803" s="14">
        <v>0.33776879496872397</v>
      </c>
      <c r="Q3803" t="str">
        <f t="shared" si="118"/>
        <v>&lt;01</v>
      </c>
      <c r="R3803" t="str">
        <f t="shared" si="119"/>
        <v>[U8c0so51kT6]|&lt;01|Male|Incidence_SUBNAT.Rt.T_1|CY2023Q3</v>
      </c>
    </row>
    <row r="3804" spans="4:18" x14ac:dyDescent="0.2">
      <c r="D3804" t="s">
        <v>110</v>
      </c>
      <c r="E3804" t="s">
        <v>111</v>
      </c>
      <c r="F3804" t="s">
        <v>112</v>
      </c>
      <c r="G3804" t="s">
        <v>151</v>
      </c>
      <c r="H3804" t="s">
        <v>151</v>
      </c>
      <c r="I3804" t="s">
        <v>32</v>
      </c>
      <c r="J3804" t="s">
        <v>33</v>
      </c>
      <c r="K3804" t="s">
        <v>47</v>
      </c>
      <c r="L3804" t="s">
        <v>48</v>
      </c>
      <c r="M3804" t="s">
        <v>139</v>
      </c>
      <c r="N3804">
        <v>1298</v>
      </c>
      <c r="O3804" s="14">
        <v>0.96995760453864899</v>
      </c>
      <c r="P3804" s="14">
        <v>0.33776879496872397</v>
      </c>
      <c r="Q3804" t="str">
        <f t="shared" si="118"/>
        <v>01-09</v>
      </c>
      <c r="R3804" t="str">
        <f t="shared" si="119"/>
        <v>[U8c0so51kT6]|01-09|Male|Incidence_SUBNAT.Rt.T_1|CY2023Q3</v>
      </c>
    </row>
    <row r="3805" spans="4:18" x14ac:dyDescent="0.2">
      <c r="D3805" t="s">
        <v>110</v>
      </c>
      <c r="E3805" t="s">
        <v>111</v>
      </c>
      <c r="F3805" t="s">
        <v>112</v>
      </c>
      <c r="G3805" t="s">
        <v>151</v>
      </c>
      <c r="H3805" t="s">
        <v>151</v>
      </c>
      <c r="I3805" t="s">
        <v>35</v>
      </c>
      <c r="J3805" t="s">
        <v>36</v>
      </c>
      <c r="K3805" t="s">
        <v>47</v>
      </c>
      <c r="L3805" t="s">
        <v>48</v>
      </c>
      <c r="M3805" t="s">
        <v>139</v>
      </c>
      <c r="N3805">
        <v>512</v>
      </c>
      <c r="O3805" s="14">
        <v>0.59873079298995402</v>
      </c>
      <c r="P3805" s="14">
        <v>0.33776879496872397</v>
      </c>
      <c r="Q3805" t="str">
        <f t="shared" si="118"/>
        <v>10-14</v>
      </c>
      <c r="R3805" t="str">
        <f t="shared" si="119"/>
        <v>[U8c0so51kT6]|10-14|Male|Incidence_SUBNAT.Rt.T_1|CY2023Q3</v>
      </c>
    </row>
    <row r="3806" spans="4:18" x14ac:dyDescent="0.2">
      <c r="D3806" t="s">
        <v>110</v>
      </c>
      <c r="E3806" t="s">
        <v>111</v>
      </c>
      <c r="F3806" t="s">
        <v>112</v>
      </c>
      <c r="G3806" t="s">
        <v>151</v>
      </c>
      <c r="H3806" t="s">
        <v>151</v>
      </c>
      <c r="I3806" t="s">
        <v>37</v>
      </c>
      <c r="J3806" t="s">
        <v>38</v>
      </c>
      <c r="K3806" t="s">
        <v>47</v>
      </c>
      <c r="L3806" t="s">
        <v>48</v>
      </c>
      <c r="M3806" t="s">
        <v>139</v>
      </c>
      <c r="N3806">
        <v>813</v>
      </c>
      <c r="O3806" s="14">
        <v>0.143686907598749</v>
      </c>
      <c r="P3806" s="14">
        <v>0.33776879496872397</v>
      </c>
      <c r="Q3806" t="str">
        <f t="shared" si="118"/>
        <v>15-24</v>
      </c>
      <c r="R3806" t="str">
        <f t="shared" si="119"/>
        <v>[U8c0so51kT6]|15-24|Male|Incidence_SUBNAT.Rt.T_1|CY2023Q3</v>
      </c>
    </row>
    <row r="3807" spans="4:18" x14ac:dyDescent="0.2">
      <c r="D3807" t="s">
        <v>110</v>
      </c>
      <c r="E3807" t="s">
        <v>111</v>
      </c>
      <c r="F3807" t="s">
        <v>112</v>
      </c>
      <c r="G3807" t="s">
        <v>151</v>
      </c>
      <c r="H3807" t="s">
        <v>151</v>
      </c>
      <c r="I3807" t="s">
        <v>40</v>
      </c>
      <c r="J3807" t="s">
        <v>41</v>
      </c>
      <c r="K3807" t="s">
        <v>47</v>
      </c>
      <c r="L3807" t="s">
        <v>48</v>
      </c>
      <c r="M3807" t="s">
        <v>139</v>
      </c>
      <c r="N3807">
        <v>1752</v>
      </c>
      <c r="O3807" s="14">
        <v>0.69244940625503704</v>
      </c>
      <c r="P3807" s="14">
        <v>0.33776879496872397</v>
      </c>
      <c r="Q3807" t="str">
        <f t="shared" si="118"/>
        <v>25-34</v>
      </c>
      <c r="R3807" t="str">
        <f t="shared" si="119"/>
        <v>[U8c0so51kT6]|25-34|Male|Incidence_SUBNAT.Rt.T_1|CY2023Q3</v>
      </c>
    </row>
    <row r="3808" spans="4:18" x14ac:dyDescent="0.2">
      <c r="D3808" t="s">
        <v>110</v>
      </c>
      <c r="E3808" t="s">
        <v>111</v>
      </c>
      <c r="F3808" t="s">
        <v>112</v>
      </c>
      <c r="G3808" t="s">
        <v>151</v>
      </c>
      <c r="H3808" t="s">
        <v>151</v>
      </c>
      <c r="I3808" t="s">
        <v>42</v>
      </c>
      <c r="J3808" t="s">
        <v>43</v>
      </c>
      <c r="K3808" t="s">
        <v>47</v>
      </c>
      <c r="L3808" t="s">
        <v>48</v>
      </c>
      <c r="M3808" t="s">
        <v>139</v>
      </c>
      <c r="N3808">
        <v>1676</v>
      </c>
      <c r="O3808" s="14">
        <v>0.92681333795189902</v>
      </c>
      <c r="P3808" s="14">
        <v>0.33776879496872397</v>
      </c>
      <c r="Q3808" t="str">
        <f t="shared" si="118"/>
        <v>35-49</v>
      </c>
      <c r="R3808" t="str">
        <f t="shared" si="119"/>
        <v>[U8c0so51kT6]|35-49|Male|Incidence_SUBNAT.Rt.T_1|CY2023Q3</v>
      </c>
    </row>
    <row r="3809" spans="4:18" x14ac:dyDescent="0.2">
      <c r="D3809" t="s">
        <v>110</v>
      </c>
      <c r="E3809" t="s">
        <v>111</v>
      </c>
      <c r="F3809" t="s">
        <v>112</v>
      </c>
      <c r="G3809" t="s">
        <v>151</v>
      </c>
      <c r="H3809" t="s">
        <v>151</v>
      </c>
      <c r="I3809" t="s">
        <v>44</v>
      </c>
      <c r="J3809" t="s">
        <v>45</v>
      </c>
      <c r="K3809" t="s">
        <v>47</v>
      </c>
      <c r="L3809" t="s">
        <v>48</v>
      </c>
      <c r="M3809" t="s">
        <v>139</v>
      </c>
      <c r="N3809">
        <v>1664</v>
      </c>
      <c r="O3809" s="14">
        <v>0.55801993305794895</v>
      </c>
      <c r="P3809" s="14">
        <v>0.33776879496872397</v>
      </c>
      <c r="Q3809" t="str">
        <f t="shared" si="118"/>
        <v>50+</v>
      </c>
      <c r="R3809" t="str">
        <f t="shared" si="119"/>
        <v>[U8c0so51kT6]|50+|Male|Incidence_SUBNAT.Rt.T_1|CY2023Q3</v>
      </c>
    </row>
    <row r="3810" spans="4:18" x14ac:dyDescent="0.2">
      <c r="D3810" t="s">
        <v>113</v>
      </c>
      <c r="E3810" t="s">
        <v>114</v>
      </c>
      <c r="F3810" t="s">
        <v>115</v>
      </c>
      <c r="G3810" t="s">
        <v>151</v>
      </c>
      <c r="H3810" t="s">
        <v>151</v>
      </c>
      <c r="I3810" t="s">
        <v>27</v>
      </c>
      <c r="J3810" t="s">
        <v>28</v>
      </c>
      <c r="K3810" t="s">
        <v>29</v>
      </c>
      <c r="L3810" t="s">
        <v>30</v>
      </c>
      <c r="M3810" t="s">
        <v>139</v>
      </c>
      <c r="N3810">
        <v>703</v>
      </c>
      <c r="O3810" s="14">
        <v>3.2282375730574103E-2</v>
      </c>
      <c r="P3810" s="14">
        <v>0.29855980910360802</v>
      </c>
      <c r="Q3810" t="str">
        <f t="shared" si="118"/>
        <v>&lt;01</v>
      </c>
      <c r="R3810" t="str">
        <f t="shared" si="119"/>
        <v>[rpw540fmNUz]|&lt;01|Female|Incidence_SUBNAT.Rt.T_1|CY2023Q3</v>
      </c>
    </row>
    <row r="3811" spans="4:18" x14ac:dyDescent="0.2">
      <c r="D3811" t="s">
        <v>113</v>
      </c>
      <c r="E3811" t="s">
        <v>114</v>
      </c>
      <c r="F3811" t="s">
        <v>115</v>
      </c>
      <c r="G3811" t="s">
        <v>151</v>
      </c>
      <c r="H3811" t="s">
        <v>151</v>
      </c>
      <c r="I3811" t="s">
        <v>32</v>
      </c>
      <c r="J3811" t="s">
        <v>33</v>
      </c>
      <c r="K3811" t="s">
        <v>29</v>
      </c>
      <c r="L3811" t="s">
        <v>30</v>
      </c>
      <c r="M3811" t="s">
        <v>139</v>
      </c>
      <c r="N3811">
        <v>801</v>
      </c>
      <c r="O3811" s="14">
        <v>0.62988158012740303</v>
      </c>
      <c r="P3811" s="14">
        <v>0.29855980910360802</v>
      </c>
      <c r="Q3811" t="str">
        <f t="shared" si="118"/>
        <v>01-09</v>
      </c>
      <c r="R3811" t="str">
        <f t="shared" si="119"/>
        <v>[rpw540fmNUz]|01-09|Female|Incidence_SUBNAT.Rt.T_1|CY2023Q3</v>
      </c>
    </row>
    <row r="3812" spans="4:18" x14ac:dyDescent="0.2">
      <c r="D3812" t="s">
        <v>113</v>
      </c>
      <c r="E3812" t="s">
        <v>114</v>
      </c>
      <c r="F3812" t="s">
        <v>115</v>
      </c>
      <c r="G3812" t="s">
        <v>151</v>
      </c>
      <c r="H3812" t="s">
        <v>151</v>
      </c>
      <c r="I3812" t="s">
        <v>35</v>
      </c>
      <c r="J3812" t="s">
        <v>36</v>
      </c>
      <c r="K3812" t="s">
        <v>29</v>
      </c>
      <c r="L3812" t="s">
        <v>30</v>
      </c>
      <c r="M3812" t="s">
        <v>139</v>
      </c>
      <c r="N3812">
        <v>1393</v>
      </c>
      <c r="O3812" s="14">
        <v>2.4461267283186299E-2</v>
      </c>
      <c r="P3812" s="14">
        <v>0.29855980910360802</v>
      </c>
      <c r="Q3812" t="str">
        <f t="shared" si="118"/>
        <v>10-14</v>
      </c>
      <c r="R3812" t="str">
        <f t="shared" si="119"/>
        <v>[rpw540fmNUz]|10-14|Female|Incidence_SUBNAT.Rt.T_1|CY2023Q3</v>
      </c>
    </row>
    <row r="3813" spans="4:18" x14ac:dyDescent="0.2">
      <c r="D3813" t="s">
        <v>113</v>
      </c>
      <c r="E3813" t="s">
        <v>114</v>
      </c>
      <c r="F3813" t="s">
        <v>115</v>
      </c>
      <c r="G3813" t="s">
        <v>151</v>
      </c>
      <c r="H3813" t="s">
        <v>151</v>
      </c>
      <c r="I3813" t="s">
        <v>37</v>
      </c>
      <c r="J3813" t="s">
        <v>38</v>
      </c>
      <c r="K3813" t="s">
        <v>29</v>
      </c>
      <c r="L3813" t="s">
        <v>30</v>
      </c>
      <c r="M3813" t="s">
        <v>139</v>
      </c>
      <c r="N3813">
        <v>1286</v>
      </c>
      <c r="O3813" s="14">
        <v>0.75268483441322998</v>
      </c>
      <c r="P3813" s="14">
        <v>0.29855980910360802</v>
      </c>
      <c r="Q3813" t="str">
        <f t="shared" si="118"/>
        <v>15-24</v>
      </c>
      <c r="R3813" t="str">
        <f t="shared" si="119"/>
        <v>[rpw540fmNUz]|15-24|Female|Incidence_SUBNAT.Rt.T_1|CY2023Q3</v>
      </c>
    </row>
    <row r="3814" spans="4:18" x14ac:dyDescent="0.2">
      <c r="D3814" t="s">
        <v>113</v>
      </c>
      <c r="E3814" t="s">
        <v>114</v>
      </c>
      <c r="F3814" t="s">
        <v>115</v>
      </c>
      <c r="G3814" t="s">
        <v>151</v>
      </c>
      <c r="H3814" t="s">
        <v>151</v>
      </c>
      <c r="I3814" t="s">
        <v>40</v>
      </c>
      <c r="J3814" t="s">
        <v>41</v>
      </c>
      <c r="K3814" t="s">
        <v>29</v>
      </c>
      <c r="L3814" t="s">
        <v>30</v>
      </c>
      <c r="M3814" t="s">
        <v>139</v>
      </c>
      <c r="N3814">
        <v>1440</v>
      </c>
      <c r="O3814" s="14">
        <v>0.52816118253394995</v>
      </c>
      <c r="P3814" s="14">
        <v>0.29855980910360802</v>
      </c>
      <c r="Q3814" t="str">
        <f t="shared" si="118"/>
        <v>25-34</v>
      </c>
      <c r="R3814" t="str">
        <f t="shared" si="119"/>
        <v>[rpw540fmNUz]|25-34|Female|Incidence_SUBNAT.Rt.T_1|CY2023Q3</v>
      </c>
    </row>
    <row r="3815" spans="4:18" x14ac:dyDescent="0.2">
      <c r="D3815" t="s">
        <v>113</v>
      </c>
      <c r="E3815" t="s">
        <v>114</v>
      </c>
      <c r="F3815" t="s">
        <v>115</v>
      </c>
      <c r="G3815" t="s">
        <v>151</v>
      </c>
      <c r="H3815" t="s">
        <v>151</v>
      </c>
      <c r="I3815" t="s">
        <v>42</v>
      </c>
      <c r="J3815" t="s">
        <v>43</v>
      </c>
      <c r="K3815" t="s">
        <v>29</v>
      </c>
      <c r="L3815" t="s">
        <v>30</v>
      </c>
      <c r="M3815" t="s">
        <v>139</v>
      </c>
      <c r="N3815">
        <v>859</v>
      </c>
      <c r="O3815" s="14">
        <v>0.91708415444008995</v>
      </c>
      <c r="P3815" s="14">
        <v>0.29855980910360802</v>
      </c>
      <c r="Q3815" t="str">
        <f t="shared" si="118"/>
        <v>35-49</v>
      </c>
      <c r="R3815" t="str">
        <f t="shared" si="119"/>
        <v>[rpw540fmNUz]|35-49|Female|Incidence_SUBNAT.Rt.T_1|CY2023Q3</v>
      </c>
    </row>
    <row r="3816" spans="4:18" x14ac:dyDescent="0.2">
      <c r="D3816" t="s">
        <v>113</v>
      </c>
      <c r="E3816" t="s">
        <v>114</v>
      </c>
      <c r="F3816" t="s">
        <v>115</v>
      </c>
      <c r="G3816" t="s">
        <v>151</v>
      </c>
      <c r="H3816" t="s">
        <v>151</v>
      </c>
      <c r="I3816" t="s">
        <v>44</v>
      </c>
      <c r="J3816" t="s">
        <v>45</v>
      </c>
      <c r="K3816" t="s">
        <v>29</v>
      </c>
      <c r="L3816" t="s">
        <v>30</v>
      </c>
      <c r="M3816" t="s">
        <v>139</v>
      </c>
      <c r="N3816">
        <v>1308</v>
      </c>
      <c r="O3816" s="14">
        <v>0.64150118152611002</v>
      </c>
      <c r="P3816" s="14">
        <v>0.29855980910360802</v>
      </c>
      <c r="Q3816" t="str">
        <f t="shared" si="118"/>
        <v>50+</v>
      </c>
      <c r="R3816" t="str">
        <f t="shared" si="119"/>
        <v>[rpw540fmNUz]|50+|Female|Incidence_SUBNAT.Rt.T_1|CY2023Q3</v>
      </c>
    </row>
    <row r="3817" spans="4:18" x14ac:dyDescent="0.2">
      <c r="D3817" t="s">
        <v>113</v>
      </c>
      <c r="E3817" t="s">
        <v>114</v>
      </c>
      <c r="F3817" t="s">
        <v>115</v>
      </c>
      <c r="G3817" t="s">
        <v>151</v>
      </c>
      <c r="H3817" t="s">
        <v>151</v>
      </c>
      <c r="I3817" t="s">
        <v>27</v>
      </c>
      <c r="J3817" t="s">
        <v>28</v>
      </c>
      <c r="K3817" t="s">
        <v>47</v>
      </c>
      <c r="L3817" t="s">
        <v>48</v>
      </c>
      <c r="M3817" t="s">
        <v>139</v>
      </c>
      <c r="N3817">
        <v>1155</v>
      </c>
      <c r="O3817" s="14">
        <v>0.39101417968049601</v>
      </c>
      <c r="P3817" s="14">
        <v>0.29855980910360802</v>
      </c>
      <c r="Q3817" t="str">
        <f t="shared" si="118"/>
        <v>&lt;01</v>
      </c>
      <c r="R3817" t="str">
        <f t="shared" si="119"/>
        <v>[rpw540fmNUz]|&lt;01|Male|Incidence_SUBNAT.Rt.T_1|CY2023Q3</v>
      </c>
    </row>
    <row r="3818" spans="4:18" x14ac:dyDescent="0.2">
      <c r="D3818" t="s">
        <v>113</v>
      </c>
      <c r="E3818" t="s">
        <v>114</v>
      </c>
      <c r="F3818" t="s">
        <v>115</v>
      </c>
      <c r="G3818" t="s">
        <v>151</v>
      </c>
      <c r="H3818" t="s">
        <v>151</v>
      </c>
      <c r="I3818" t="s">
        <v>32</v>
      </c>
      <c r="J3818" t="s">
        <v>33</v>
      </c>
      <c r="K3818" t="s">
        <v>47</v>
      </c>
      <c r="L3818" t="s">
        <v>48</v>
      </c>
      <c r="M3818" t="s">
        <v>139</v>
      </c>
      <c r="N3818">
        <v>1450</v>
      </c>
      <c r="O3818" s="14">
        <v>0.37109625106677402</v>
      </c>
      <c r="P3818" s="14">
        <v>0.29855980910360802</v>
      </c>
      <c r="Q3818" t="str">
        <f t="shared" si="118"/>
        <v>01-09</v>
      </c>
      <c r="R3818" t="str">
        <f t="shared" si="119"/>
        <v>[rpw540fmNUz]|01-09|Male|Incidence_SUBNAT.Rt.T_1|CY2023Q3</v>
      </c>
    </row>
    <row r="3819" spans="4:18" x14ac:dyDescent="0.2">
      <c r="D3819" t="s">
        <v>113</v>
      </c>
      <c r="E3819" t="s">
        <v>114</v>
      </c>
      <c r="F3819" t="s">
        <v>115</v>
      </c>
      <c r="G3819" t="s">
        <v>151</v>
      </c>
      <c r="H3819" t="s">
        <v>151</v>
      </c>
      <c r="I3819" t="s">
        <v>35</v>
      </c>
      <c r="J3819" t="s">
        <v>36</v>
      </c>
      <c r="K3819" t="s">
        <v>47</v>
      </c>
      <c r="L3819" t="s">
        <v>48</v>
      </c>
      <c r="M3819" t="s">
        <v>139</v>
      </c>
      <c r="N3819">
        <v>1183</v>
      </c>
      <c r="O3819" s="14">
        <v>0.89292622217908502</v>
      </c>
      <c r="P3819" s="14">
        <v>0.29855980910360802</v>
      </c>
      <c r="Q3819" t="str">
        <f t="shared" si="118"/>
        <v>10-14</v>
      </c>
      <c r="R3819" t="str">
        <f t="shared" si="119"/>
        <v>[rpw540fmNUz]|10-14|Male|Incidence_SUBNAT.Rt.T_1|CY2023Q3</v>
      </c>
    </row>
    <row r="3820" spans="4:18" x14ac:dyDescent="0.2">
      <c r="D3820" t="s">
        <v>113</v>
      </c>
      <c r="E3820" t="s">
        <v>114</v>
      </c>
      <c r="F3820" t="s">
        <v>115</v>
      </c>
      <c r="G3820" t="s">
        <v>151</v>
      </c>
      <c r="H3820" t="s">
        <v>151</v>
      </c>
      <c r="I3820" t="s">
        <v>37</v>
      </c>
      <c r="J3820" t="s">
        <v>38</v>
      </c>
      <c r="K3820" t="s">
        <v>47</v>
      </c>
      <c r="L3820" t="s">
        <v>48</v>
      </c>
      <c r="M3820" t="s">
        <v>139</v>
      </c>
      <c r="N3820">
        <v>1174</v>
      </c>
      <c r="O3820" s="14">
        <v>0.79601027187891304</v>
      </c>
      <c r="P3820" s="14">
        <v>0.29855980910360802</v>
      </c>
      <c r="Q3820" t="str">
        <f t="shared" si="118"/>
        <v>15-24</v>
      </c>
      <c r="R3820" t="str">
        <f t="shared" si="119"/>
        <v>[rpw540fmNUz]|15-24|Male|Incidence_SUBNAT.Rt.T_1|CY2023Q3</v>
      </c>
    </row>
    <row r="3821" spans="4:18" x14ac:dyDescent="0.2">
      <c r="D3821" t="s">
        <v>113</v>
      </c>
      <c r="E3821" t="s">
        <v>114</v>
      </c>
      <c r="F3821" t="s">
        <v>115</v>
      </c>
      <c r="G3821" t="s">
        <v>151</v>
      </c>
      <c r="H3821" t="s">
        <v>151</v>
      </c>
      <c r="I3821" t="s">
        <v>40</v>
      </c>
      <c r="J3821" t="s">
        <v>41</v>
      </c>
      <c r="K3821" t="s">
        <v>47</v>
      </c>
      <c r="L3821" t="s">
        <v>48</v>
      </c>
      <c r="M3821" t="s">
        <v>139</v>
      </c>
      <c r="N3821">
        <v>952</v>
      </c>
      <c r="O3821" s="14">
        <v>0.32178547978401201</v>
      </c>
      <c r="P3821" s="14">
        <v>0.29855980910360802</v>
      </c>
      <c r="Q3821" t="str">
        <f t="shared" si="118"/>
        <v>25-34</v>
      </c>
      <c r="R3821" t="str">
        <f t="shared" si="119"/>
        <v>[rpw540fmNUz]|25-34|Male|Incidence_SUBNAT.Rt.T_1|CY2023Q3</v>
      </c>
    </row>
    <row r="3822" spans="4:18" x14ac:dyDescent="0.2">
      <c r="D3822" t="s">
        <v>113</v>
      </c>
      <c r="E3822" t="s">
        <v>114</v>
      </c>
      <c r="F3822" t="s">
        <v>115</v>
      </c>
      <c r="G3822" t="s">
        <v>151</v>
      </c>
      <c r="H3822" t="s">
        <v>151</v>
      </c>
      <c r="I3822" t="s">
        <v>42</v>
      </c>
      <c r="J3822" t="s">
        <v>43</v>
      </c>
      <c r="K3822" t="s">
        <v>47</v>
      </c>
      <c r="L3822" t="s">
        <v>48</v>
      </c>
      <c r="M3822" t="s">
        <v>139</v>
      </c>
      <c r="N3822">
        <v>1570</v>
      </c>
      <c r="O3822" s="14">
        <v>0.44953418080695001</v>
      </c>
      <c r="P3822" s="14">
        <v>0.29855980910360802</v>
      </c>
      <c r="Q3822" t="str">
        <f t="shared" si="118"/>
        <v>35-49</v>
      </c>
      <c r="R3822" t="str">
        <f t="shared" si="119"/>
        <v>[rpw540fmNUz]|35-49|Male|Incidence_SUBNAT.Rt.T_1|CY2023Q3</v>
      </c>
    </row>
    <row r="3823" spans="4:18" x14ac:dyDescent="0.2">
      <c r="D3823" t="s">
        <v>113</v>
      </c>
      <c r="E3823" t="s">
        <v>114</v>
      </c>
      <c r="F3823" t="s">
        <v>115</v>
      </c>
      <c r="G3823" t="s">
        <v>151</v>
      </c>
      <c r="H3823" t="s">
        <v>151</v>
      </c>
      <c r="I3823" t="s">
        <v>44</v>
      </c>
      <c r="J3823" t="s">
        <v>45</v>
      </c>
      <c r="K3823" t="s">
        <v>47</v>
      </c>
      <c r="L3823" t="s">
        <v>48</v>
      </c>
      <c r="M3823" t="s">
        <v>139</v>
      </c>
      <c r="N3823">
        <v>1139</v>
      </c>
      <c r="O3823" s="14">
        <v>0.151516231242567</v>
      </c>
      <c r="P3823" s="14">
        <v>0.29855980910360802</v>
      </c>
      <c r="Q3823" t="str">
        <f t="shared" si="118"/>
        <v>50+</v>
      </c>
      <c r="R3823" t="str">
        <f t="shared" si="119"/>
        <v>[rpw540fmNUz]|50+|Male|Incidence_SUBNAT.Rt.T_1|CY2023Q3</v>
      </c>
    </row>
    <row r="3824" spans="4:18" x14ac:dyDescent="0.2">
      <c r="D3824" t="s">
        <v>116</v>
      </c>
      <c r="E3824" t="s">
        <v>117</v>
      </c>
      <c r="F3824" t="s">
        <v>118</v>
      </c>
      <c r="G3824" t="s">
        <v>151</v>
      </c>
      <c r="H3824" t="s">
        <v>151</v>
      </c>
      <c r="I3824" t="s">
        <v>27</v>
      </c>
      <c r="J3824" t="s">
        <v>28</v>
      </c>
      <c r="K3824" t="s">
        <v>29</v>
      </c>
      <c r="L3824" t="s">
        <v>30</v>
      </c>
      <c r="M3824" t="s">
        <v>139</v>
      </c>
      <c r="N3824">
        <v>1877</v>
      </c>
      <c r="O3824" s="14">
        <v>0.23556043789722</v>
      </c>
      <c r="P3824" s="14">
        <v>0.206259709550068</v>
      </c>
      <c r="Q3824" t="str">
        <f t="shared" si="118"/>
        <v>&lt;01</v>
      </c>
      <c r="R3824" t="str">
        <f t="shared" si="119"/>
        <v>[lPTyjLi4w3d]|&lt;01|Female|Incidence_SUBNAT.Rt.T_1|CY2023Q3</v>
      </c>
    </row>
    <row r="3825" spans="4:18" x14ac:dyDescent="0.2">
      <c r="D3825" t="s">
        <v>116</v>
      </c>
      <c r="E3825" t="s">
        <v>117</v>
      </c>
      <c r="F3825" t="s">
        <v>118</v>
      </c>
      <c r="G3825" t="s">
        <v>151</v>
      </c>
      <c r="H3825" t="s">
        <v>151</v>
      </c>
      <c r="I3825" t="s">
        <v>32</v>
      </c>
      <c r="J3825" t="s">
        <v>33</v>
      </c>
      <c r="K3825" t="s">
        <v>29</v>
      </c>
      <c r="L3825" t="s">
        <v>30</v>
      </c>
      <c r="M3825" t="s">
        <v>139</v>
      </c>
      <c r="N3825">
        <v>1098</v>
      </c>
      <c r="O3825" s="14">
        <v>6.6811023280024501E-2</v>
      </c>
      <c r="P3825" s="14">
        <v>0.206259709550068</v>
      </c>
      <c r="Q3825" t="str">
        <f t="shared" si="118"/>
        <v>01-09</v>
      </c>
      <c r="R3825" t="str">
        <f t="shared" si="119"/>
        <v>[lPTyjLi4w3d]|01-09|Female|Incidence_SUBNAT.Rt.T_1|CY2023Q3</v>
      </c>
    </row>
    <row r="3826" spans="4:18" x14ac:dyDescent="0.2">
      <c r="D3826" t="s">
        <v>116</v>
      </c>
      <c r="E3826" t="s">
        <v>117</v>
      </c>
      <c r="F3826" t="s">
        <v>118</v>
      </c>
      <c r="G3826" t="s">
        <v>151</v>
      </c>
      <c r="H3826" t="s">
        <v>151</v>
      </c>
      <c r="I3826" t="s">
        <v>35</v>
      </c>
      <c r="J3826" t="s">
        <v>36</v>
      </c>
      <c r="K3826" t="s">
        <v>29</v>
      </c>
      <c r="L3826" t="s">
        <v>30</v>
      </c>
      <c r="M3826" t="s">
        <v>139</v>
      </c>
      <c r="N3826">
        <v>1601</v>
      </c>
      <c r="O3826" s="14">
        <v>0.69226247654296502</v>
      </c>
      <c r="P3826" s="14">
        <v>0.206259709550068</v>
      </c>
      <c r="Q3826" t="str">
        <f t="shared" si="118"/>
        <v>10-14</v>
      </c>
      <c r="R3826" t="str">
        <f t="shared" si="119"/>
        <v>[lPTyjLi4w3d]|10-14|Female|Incidence_SUBNAT.Rt.T_1|CY2023Q3</v>
      </c>
    </row>
    <row r="3827" spans="4:18" x14ac:dyDescent="0.2">
      <c r="D3827" t="s">
        <v>116</v>
      </c>
      <c r="E3827" t="s">
        <v>117</v>
      </c>
      <c r="F3827" t="s">
        <v>118</v>
      </c>
      <c r="G3827" t="s">
        <v>151</v>
      </c>
      <c r="H3827" t="s">
        <v>151</v>
      </c>
      <c r="I3827" t="s">
        <v>37</v>
      </c>
      <c r="J3827" t="s">
        <v>38</v>
      </c>
      <c r="K3827" t="s">
        <v>29</v>
      </c>
      <c r="L3827" t="s">
        <v>30</v>
      </c>
      <c r="M3827" t="s">
        <v>139</v>
      </c>
      <c r="N3827">
        <v>852</v>
      </c>
      <c r="O3827" s="14">
        <v>0.668837778735906</v>
      </c>
      <c r="P3827" s="14">
        <v>0.206259709550068</v>
      </c>
      <c r="Q3827" t="str">
        <f t="shared" si="118"/>
        <v>15-24</v>
      </c>
      <c r="R3827" t="str">
        <f t="shared" si="119"/>
        <v>[lPTyjLi4w3d]|15-24|Female|Incidence_SUBNAT.Rt.T_1|CY2023Q3</v>
      </c>
    </row>
    <row r="3828" spans="4:18" x14ac:dyDescent="0.2">
      <c r="D3828" t="s">
        <v>116</v>
      </c>
      <c r="E3828" t="s">
        <v>117</v>
      </c>
      <c r="F3828" t="s">
        <v>118</v>
      </c>
      <c r="G3828" t="s">
        <v>151</v>
      </c>
      <c r="H3828" t="s">
        <v>151</v>
      </c>
      <c r="I3828" t="s">
        <v>40</v>
      </c>
      <c r="J3828" t="s">
        <v>41</v>
      </c>
      <c r="K3828" t="s">
        <v>29</v>
      </c>
      <c r="L3828" t="s">
        <v>30</v>
      </c>
      <c r="M3828" t="s">
        <v>139</v>
      </c>
      <c r="N3828">
        <v>1880</v>
      </c>
      <c r="O3828" s="14">
        <v>0.53899808879941702</v>
      </c>
      <c r="P3828" s="14">
        <v>0.206259709550068</v>
      </c>
      <c r="Q3828" t="str">
        <f t="shared" si="118"/>
        <v>25-34</v>
      </c>
      <c r="R3828" t="str">
        <f t="shared" si="119"/>
        <v>[lPTyjLi4w3d]|25-34|Female|Incidence_SUBNAT.Rt.T_1|CY2023Q3</v>
      </c>
    </row>
    <row r="3829" spans="4:18" x14ac:dyDescent="0.2">
      <c r="D3829" t="s">
        <v>116</v>
      </c>
      <c r="E3829" t="s">
        <v>117</v>
      </c>
      <c r="F3829" t="s">
        <v>118</v>
      </c>
      <c r="G3829" t="s">
        <v>151</v>
      </c>
      <c r="H3829" t="s">
        <v>151</v>
      </c>
      <c r="I3829" t="s">
        <v>42</v>
      </c>
      <c r="J3829" t="s">
        <v>43</v>
      </c>
      <c r="K3829" t="s">
        <v>29</v>
      </c>
      <c r="L3829" t="s">
        <v>30</v>
      </c>
      <c r="M3829" t="s">
        <v>139</v>
      </c>
      <c r="N3829">
        <v>1868</v>
      </c>
      <c r="O3829" s="14">
        <v>0.55417257826775301</v>
      </c>
      <c r="P3829" s="14">
        <v>0.206259709550068</v>
      </c>
      <c r="Q3829" t="str">
        <f t="shared" si="118"/>
        <v>35-49</v>
      </c>
      <c r="R3829" t="str">
        <f t="shared" si="119"/>
        <v>[lPTyjLi4w3d]|35-49|Female|Incidence_SUBNAT.Rt.T_1|CY2023Q3</v>
      </c>
    </row>
    <row r="3830" spans="4:18" x14ac:dyDescent="0.2">
      <c r="D3830" t="s">
        <v>116</v>
      </c>
      <c r="E3830" t="s">
        <v>117</v>
      </c>
      <c r="F3830" t="s">
        <v>118</v>
      </c>
      <c r="G3830" t="s">
        <v>151</v>
      </c>
      <c r="H3830" t="s">
        <v>151</v>
      </c>
      <c r="I3830" t="s">
        <v>44</v>
      </c>
      <c r="J3830" t="s">
        <v>45</v>
      </c>
      <c r="K3830" t="s">
        <v>29</v>
      </c>
      <c r="L3830" t="s">
        <v>30</v>
      </c>
      <c r="M3830" t="s">
        <v>139</v>
      </c>
      <c r="N3830">
        <v>779</v>
      </c>
      <c r="O3830" s="14">
        <v>0.28930174279957999</v>
      </c>
      <c r="P3830" s="14">
        <v>0.206259709550068</v>
      </c>
      <c r="Q3830" t="str">
        <f t="shared" si="118"/>
        <v>50+</v>
      </c>
      <c r="R3830" t="str">
        <f t="shared" si="119"/>
        <v>[lPTyjLi4w3d]|50+|Female|Incidence_SUBNAT.Rt.T_1|CY2023Q3</v>
      </c>
    </row>
    <row r="3831" spans="4:18" x14ac:dyDescent="0.2">
      <c r="D3831" t="s">
        <v>116</v>
      </c>
      <c r="E3831" t="s">
        <v>117</v>
      </c>
      <c r="F3831" t="s">
        <v>118</v>
      </c>
      <c r="G3831" t="s">
        <v>151</v>
      </c>
      <c r="H3831" t="s">
        <v>151</v>
      </c>
      <c r="I3831" t="s">
        <v>27</v>
      </c>
      <c r="J3831" t="s">
        <v>28</v>
      </c>
      <c r="K3831" t="s">
        <v>47</v>
      </c>
      <c r="L3831" t="s">
        <v>48</v>
      </c>
      <c r="M3831" t="s">
        <v>139</v>
      </c>
      <c r="N3831">
        <v>1457</v>
      </c>
      <c r="O3831" s="14">
        <v>5.1447899080812903E-2</v>
      </c>
      <c r="P3831" s="14">
        <v>0.206259709550068</v>
      </c>
      <c r="Q3831" t="str">
        <f t="shared" si="118"/>
        <v>&lt;01</v>
      </c>
      <c r="R3831" t="str">
        <f t="shared" si="119"/>
        <v>[lPTyjLi4w3d]|&lt;01|Male|Incidence_SUBNAT.Rt.T_1|CY2023Q3</v>
      </c>
    </row>
    <row r="3832" spans="4:18" x14ac:dyDescent="0.2">
      <c r="D3832" t="s">
        <v>116</v>
      </c>
      <c r="E3832" t="s">
        <v>117</v>
      </c>
      <c r="F3832" t="s">
        <v>118</v>
      </c>
      <c r="G3832" t="s">
        <v>151</v>
      </c>
      <c r="H3832" t="s">
        <v>151</v>
      </c>
      <c r="I3832" t="s">
        <v>32</v>
      </c>
      <c r="J3832" t="s">
        <v>33</v>
      </c>
      <c r="K3832" t="s">
        <v>47</v>
      </c>
      <c r="L3832" t="s">
        <v>48</v>
      </c>
      <c r="M3832" t="s">
        <v>139</v>
      </c>
      <c r="N3832">
        <v>1486</v>
      </c>
      <c r="O3832" s="14">
        <v>0.53889262443408403</v>
      </c>
      <c r="P3832" s="14">
        <v>0.206259709550068</v>
      </c>
      <c r="Q3832" t="str">
        <f t="shared" si="118"/>
        <v>01-09</v>
      </c>
      <c r="R3832" t="str">
        <f t="shared" si="119"/>
        <v>[lPTyjLi4w3d]|01-09|Male|Incidence_SUBNAT.Rt.T_1|CY2023Q3</v>
      </c>
    </row>
    <row r="3833" spans="4:18" x14ac:dyDescent="0.2">
      <c r="D3833" t="s">
        <v>116</v>
      </c>
      <c r="E3833" t="s">
        <v>117</v>
      </c>
      <c r="F3833" t="s">
        <v>118</v>
      </c>
      <c r="G3833" t="s">
        <v>151</v>
      </c>
      <c r="H3833" t="s">
        <v>151</v>
      </c>
      <c r="I3833" t="s">
        <v>35</v>
      </c>
      <c r="J3833" t="s">
        <v>36</v>
      </c>
      <c r="K3833" t="s">
        <v>47</v>
      </c>
      <c r="L3833" t="s">
        <v>48</v>
      </c>
      <c r="M3833" t="s">
        <v>139</v>
      </c>
      <c r="N3833">
        <v>1106</v>
      </c>
      <c r="O3833" s="14">
        <v>0.72644456638954602</v>
      </c>
      <c r="P3833" s="14">
        <v>0.206259709550068</v>
      </c>
      <c r="Q3833" t="str">
        <f t="shared" si="118"/>
        <v>10-14</v>
      </c>
      <c r="R3833" t="str">
        <f t="shared" si="119"/>
        <v>[lPTyjLi4w3d]|10-14|Male|Incidence_SUBNAT.Rt.T_1|CY2023Q3</v>
      </c>
    </row>
    <row r="3834" spans="4:18" x14ac:dyDescent="0.2">
      <c r="D3834" t="s">
        <v>116</v>
      </c>
      <c r="E3834" t="s">
        <v>117</v>
      </c>
      <c r="F3834" t="s">
        <v>118</v>
      </c>
      <c r="G3834" t="s">
        <v>151</v>
      </c>
      <c r="H3834" t="s">
        <v>151</v>
      </c>
      <c r="I3834" t="s">
        <v>37</v>
      </c>
      <c r="J3834" t="s">
        <v>38</v>
      </c>
      <c r="K3834" t="s">
        <v>47</v>
      </c>
      <c r="L3834" t="s">
        <v>48</v>
      </c>
      <c r="M3834" t="s">
        <v>139</v>
      </c>
      <c r="N3834">
        <v>1570</v>
      </c>
      <c r="O3834" s="14">
        <v>0.97061403538100399</v>
      </c>
      <c r="P3834" s="14">
        <v>0.206259709550068</v>
      </c>
      <c r="Q3834" t="str">
        <f t="shared" si="118"/>
        <v>15-24</v>
      </c>
      <c r="R3834" t="str">
        <f t="shared" si="119"/>
        <v>[lPTyjLi4w3d]|15-24|Male|Incidence_SUBNAT.Rt.T_1|CY2023Q3</v>
      </c>
    </row>
    <row r="3835" spans="4:18" x14ac:dyDescent="0.2">
      <c r="D3835" t="s">
        <v>116</v>
      </c>
      <c r="E3835" t="s">
        <v>117</v>
      </c>
      <c r="F3835" t="s">
        <v>118</v>
      </c>
      <c r="G3835" t="s">
        <v>151</v>
      </c>
      <c r="H3835" t="s">
        <v>151</v>
      </c>
      <c r="I3835" t="s">
        <v>40</v>
      </c>
      <c r="J3835" t="s">
        <v>41</v>
      </c>
      <c r="K3835" t="s">
        <v>47</v>
      </c>
      <c r="L3835" t="s">
        <v>48</v>
      </c>
      <c r="M3835" t="s">
        <v>139</v>
      </c>
      <c r="N3835">
        <v>1398</v>
      </c>
      <c r="O3835" s="14">
        <v>0.89111034967936598</v>
      </c>
      <c r="P3835" s="14">
        <v>0.206259709550068</v>
      </c>
      <c r="Q3835" t="str">
        <f t="shared" si="118"/>
        <v>25-34</v>
      </c>
      <c r="R3835" t="str">
        <f t="shared" si="119"/>
        <v>[lPTyjLi4w3d]|25-34|Male|Incidence_SUBNAT.Rt.T_1|CY2023Q3</v>
      </c>
    </row>
    <row r="3836" spans="4:18" x14ac:dyDescent="0.2">
      <c r="D3836" t="s">
        <v>116</v>
      </c>
      <c r="E3836" t="s">
        <v>117</v>
      </c>
      <c r="F3836" t="s">
        <v>118</v>
      </c>
      <c r="G3836" t="s">
        <v>151</v>
      </c>
      <c r="H3836" t="s">
        <v>151</v>
      </c>
      <c r="I3836" t="s">
        <v>42</v>
      </c>
      <c r="J3836" t="s">
        <v>43</v>
      </c>
      <c r="K3836" t="s">
        <v>47</v>
      </c>
      <c r="L3836" t="s">
        <v>48</v>
      </c>
      <c r="M3836" t="s">
        <v>139</v>
      </c>
      <c r="N3836">
        <v>1822</v>
      </c>
      <c r="O3836" s="14">
        <v>0.32522557978518302</v>
      </c>
      <c r="P3836" s="14">
        <v>0.206259709550068</v>
      </c>
      <c r="Q3836" t="str">
        <f t="shared" si="118"/>
        <v>35-49</v>
      </c>
      <c r="R3836" t="str">
        <f t="shared" si="119"/>
        <v>[lPTyjLi4w3d]|35-49|Male|Incidence_SUBNAT.Rt.T_1|CY2023Q3</v>
      </c>
    </row>
    <row r="3837" spans="4:18" x14ac:dyDescent="0.2">
      <c r="D3837" t="s">
        <v>116</v>
      </c>
      <c r="E3837" t="s">
        <v>117</v>
      </c>
      <c r="F3837" t="s">
        <v>118</v>
      </c>
      <c r="G3837" t="s">
        <v>151</v>
      </c>
      <c r="H3837" t="s">
        <v>151</v>
      </c>
      <c r="I3837" t="s">
        <v>44</v>
      </c>
      <c r="J3837" t="s">
        <v>45</v>
      </c>
      <c r="K3837" t="s">
        <v>47</v>
      </c>
      <c r="L3837" t="s">
        <v>48</v>
      </c>
      <c r="M3837" t="s">
        <v>139</v>
      </c>
      <c r="N3837">
        <v>1434</v>
      </c>
      <c r="O3837" s="14">
        <v>0.96816779207438197</v>
      </c>
      <c r="P3837" s="14">
        <v>0.206259709550068</v>
      </c>
      <c r="Q3837" t="str">
        <f t="shared" si="118"/>
        <v>50+</v>
      </c>
      <c r="R3837" t="str">
        <f t="shared" si="119"/>
        <v>[lPTyjLi4w3d]|50+|Male|Incidence_SUBNAT.Rt.T_1|CY2023Q3</v>
      </c>
    </row>
    <row r="3838" spans="4:18" x14ac:dyDescent="0.2">
      <c r="D3838" t="s">
        <v>119</v>
      </c>
      <c r="E3838" t="s">
        <v>120</v>
      </c>
      <c r="F3838" t="s">
        <v>121</v>
      </c>
      <c r="G3838" t="s">
        <v>151</v>
      </c>
      <c r="H3838" t="s">
        <v>151</v>
      </c>
      <c r="I3838" t="s">
        <v>27</v>
      </c>
      <c r="J3838" t="s">
        <v>28</v>
      </c>
      <c r="K3838" t="s">
        <v>29</v>
      </c>
      <c r="L3838" t="s">
        <v>30</v>
      </c>
      <c r="M3838" t="s">
        <v>139</v>
      </c>
      <c r="N3838">
        <v>1904</v>
      </c>
      <c r="O3838" s="14">
        <v>5.0429974682629101E-2</v>
      </c>
      <c r="P3838" s="14">
        <v>0.43010397930629601</v>
      </c>
      <c r="Q3838" t="str">
        <f t="shared" si="118"/>
        <v>&lt;01</v>
      </c>
      <c r="R3838" t="str">
        <f t="shared" si="119"/>
        <v>[vA4NcHxfMBq]|&lt;01|Female|Incidence_SUBNAT.Rt.T_1|CY2023Q3</v>
      </c>
    </row>
    <row r="3839" spans="4:18" x14ac:dyDescent="0.2">
      <c r="D3839" t="s">
        <v>119</v>
      </c>
      <c r="E3839" t="s">
        <v>120</v>
      </c>
      <c r="F3839" t="s">
        <v>121</v>
      </c>
      <c r="G3839" t="s">
        <v>151</v>
      </c>
      <c r="H3839" t="s">
        <v>151</v>
      </c>
      <c r="I3839" t="s">
        <v>32</v>
      </c>
      <c r="J3839" t="s">
        <v>33</v>
      </c>
      <c r="K3839" t="s">
        <v>29</v>
      </c>
      <c r="L3839" t="s">
        <v>30</v>
      </c>
      <c r="M3839" t="s">
        <v>139</v>
      </c>
      <c r="N3839">
        <v>1564</v>
      </c>
      <c r="O3839" s="14">
        <v>0.131353260483593</v>
      </c>
      <c r="P3839" s="14">
        <v>0.43010397930629601</v>
      </c>
      <c r="Q3839" t="str">
        <f t="shared" si="118"/>
        <v>01-09</v>
      </c>
      <c r="R3839" t="str">
        <f t="shared" si="119"/>
        <v>[vA4NcHxfMBq]|01-09|Female|Incidence_SUBNAT.Rt.T_1|CY2023Q3</v>
      </c>
    </row>
    <row r="3840" spans="4:18" x14ac:dyDescent="0.2">
      <c r="D3840" t="s">
        <v>119</v>
      </c>
      <c r="E3840" t="s">
        <v>120</v>
      </c>
      <c r="F3840" t="s">
        <v>121</v>
      </c>
      <c r="G3840" t="s">
        <v>151</v>
      </c>
      <c r="H3840" t="s">
        <v>151</v>
      </c>
      <c r="I3840" t="s">
        <v>35</v>
      </c>
      <c r="J3840" t="s">
        <v>36</v>
      </c>
      <c r="K3840" t="s">
        <v>29</v>
      </c>
      <c r="L3840" t="s">
        <v>30</v>
      </c>
      <c r="M3840" t="s">
        <v>139</v>
      </c>
      <c r="N3840">
        <v>1498</v>
      </c>
      <c r="O3840" s="14">
        <v>0.511510644340888</v>
      </c>
      <c r="P3840" s="14">
        <v>0.43010397930629601</v>
      </c>
      <c r="Q3840" t="str">
        <f t="shared" si="118"/>
        <v>10-14</v>
      </c>
      <c r="R3840" t="str">
        <f t="shared" si="119"/>
        <v>[vA4NcHxfMBq]|10-14|Female|Incidence_SUBNAT.Rt.T_1|CY2023Q3</v>
      </c>
    </row>
    <row r="3841" spans="4:18" x14ac:dyDescent="0.2">
      <c r="D3841" t="s">
        <v>119</v>
      </c>
      <c r="E3841" t="s">
        <v>120</v>
      </c>
      <c r="F3841" t="s">
        <v>121</v>
      </c>
      <c r="G3841" t="s">
        <v>151</v>
      </c>
      <c r="H3841" t="s">
        <v>151</v>
      </c>
      <c r="I3841" t="s">
        <v>37</v>
      </c>
      <c r="J3841" t="s">
        <v>38</v>
      </c>
      <c r="K3841" t="s">
        <v>29</v>
      </c>
      <c r="L3841" t="s">
        <v>30</v>
      </c>
      <c r="M3841" t="s">
        <v>139</v>
      </c>
      <c r="N3841">
        <v>1829</v>
      </c>
      <c r="O3841" s="14">
        <v>0.84362239716574505</v>
      </c>
      <c r="P3841" s="14">
        <v>0.43010397930629601</v>
      </c>
      <c r="Q3841" t="str">
        <f t="shared" si="118"/>
        <v>15-24</v>
      </c>
      <c r="R3841" t="str">
        <f t="shared" si="119"/>
        <v>[vA4NcHxfMBq]|15-24|Female|Incidence_SUBNAT.Rt.T_1|CY2023Q3</v>
      </c>
    </row>
    <row r="3842" spans="4:18" x14ac:dyDescent="0.2">
      <c r="D3842" t="s">
        <v>119</v>
      </c>
      <c r="E3842" t="s">
        <v>120</v>
      </c>
      <c r="F3842" t="s">
        <v>121</v>
      </c>
      <c r="G3842" t="s">
        <v>151</v>
      </c>
      <c r="H3842" t="s">
        <v>151</v>
      </c>
      <c r="I3842" t="s">
        <v>40</v>
      </c>
      <c r="J3842" t="s">
        <v>41</v>
      </c>
      <c r="K3842" t="s">
        <v>29</v>
      </c>
      <c r="L3842" t="s">
        <v>30</v>
      </c>
      <c r="M3842" t="s">
        <v>139</v>
      </c>
      <c r="N3842">
        <v>541</v>
      </c>
      <c r="O3842" s="14">
        <v>0.30081616272218498</v>
      </c>
      <c r="P3842" s="14">
        <v>0.43010397930629601</v>
      </c>
      <c r="Q3842" t="str">
        <f t="shared" ref="Q3842:Q3905" si="120">SUBSTITUTE(SUBSTITUTE($I3842,CHAR(61),""),CHAR(34),"")</f>
        <v>25-34</v>
      </c>
      <c r="R3842" t="str">
        <f t="shared" ref="R3842:R3905" si="121">IF($D3842&lt;&gt;"","["&amp;$E3842&amp;"]"&amp;"|"&amp;$Q3842&amp;"|"&amp;$K3842&amp;"|"&amp;$G3842&amp;"|"&amp;IF($G3842="TX_CURR_SUBNAT.R","CY2022Q4",$M3842),"")</f>
        <v>[vA4NcHxfMBq]|25-34|Female|Incidence_SUBNAT.Rt.T_1|CY2023Q3</v>
      </c>
    </row>
    <row r="3843" spans="4:18" x14ac:dyDescent="0.2">
      <c r="D3843" t="s">
        <v>119</v>
      </c>
      <c r="E3843" t="s">
        <v>120</v>
      </c>
      <c r="F3843" t="s">
        <v>121</v>
      </c>
      <c r="G3843" t="s">
        <v>151</v>
      </c>
      <c r="H3843" t="s">
        <v>151</v>
      </c>
      <c r="I3843" t="s">
        <v>42</v>
      </c>
      <c r="J3843" t="s">
        <v>43</v>
      </c>
      <c r="K3843" t="s">
        <v>29</v>
      </c>
      <c r="L3843" t="s">
        <v>30</v>
      </c>
      <c r="M3843" t="s">
        <v>139</v>
      </c>
      <c r="N3843">
        <v>1353</v>
      </c>
      <c r="O3843" s="14">
        <v>0.98249083291739203</v>
      </c>
      <c r="P3843" s="14">
        <v>0.43010397930629601</v>
      </c>
      <c r="Q3843" t="str">
        <f t="shared" si="120"/>
        <v>35-49</v>
      </c>
      <c r="R3843" t="str">
        <f t="shared" si="121"/>
        <v>[vA4NcHxfMBq]|35-49|Female|Incidence_SUBNAT.Rt.T_1|CY2023Q3</v>
      </c>
    </row>
    <row r="3844" spans="4:18" x14ac:dyDescent="0.2">
      <c r="D3844" t="s">
        <v>119</v>
      </c>
      <c r="E3844" t="s">
        <v>120</v>
      </c>
      <c r="F3844" t="s">
        <v>121</v>
      </c>
      <c r="G3844" t="s">
        <v>151</v>
      </c>
      <c r="H3844" t="s">
        <v>151</v>
      </c>
      <c r="I3844" t="s">
        <v>44</v>
      </c>
      <c r="J3844" t="s">
        <v>45</v>
      </c>
      <c r="K3844" t="s">
        <v>29</v>
      </c>
      <c r="L3844" t="s">
        <v>30</v>
      </c>
      <c r="M3844" t="s">
        <v>139</v>
      </c>
      <c r="N3844">
        <v>1509</v>
      </c>
      <c r="O3844" s="14">
        <v>0.37494930904358598</v>
      </c>
      <c r="P3844" s="14">
        <v>0.43010397930629601</v>
      </c>
      <c r="Q3844" t="str">
        <f t="shared" si="120"/>
        <v>50+</v>
      </c>
      <c r="R3844" t="str">
        <f t="shared" si="121"/>
        <v>[vA4NcHxfMBq]|50+|Female|Incidence_SUBNAT.Rt.T_1|CY2023Q3</v>
      </c>
    </row>
    <row r="3845" spans="4:18" x14ac:dyDescent="0.2">
      <c r="D3845" t="s">
        <v>119</v>
      </c>
      <c r="E3845" t="s">
        <v>120</v>
      </c>
      <c r="F3845" t="s">
        <v>121</v>
      </c>
      <c r="G3845" t="s">
        <v>151</v>
      </c>
      <c r="H3845" t="s">
        <v>151</v>
      </c>
      <c r="I3845" t="s">
        <v>27</v>
      </c>
      <c r="J3845" t="s">
        <v>28</v>
      </c>
      <c r="K3845" t="s">
        <v>47</v>
      </c>
      <c r="L3845" t="s">
        <v>48</v>
      </c>
      <c r="M3845" t="s">
        <v>139</v>
      </c>
      <c r="N3845">
        <v>1033</v>
      </c>
      <c r="O3845" s="14">
        <v>0.83885327330790505</v>
      </c>
      <c r="P3845" s="14">
        <v>0.43010397930629601</v>
      </c>
      <c r="Q3845" t="str">
        <f t="shared" si="120"/>
        <v>&lt;01</v>
      </c>
      <c r="R3845" t="str">
        <f t="shared" si="121"/>
        <v>[vA4NcHxfMBq]|&lt;01|Male|Incidence_SUBNAT.Rt.T_1|CY2023Q3</v>
      </c>
    </row>
    <row r="3846" spans="4:18" x14ac:dyDescent="0.2">
      <c r="D3846" t="s">
        <v>119</v>
      </c>
      <c r="E3846" t="s">
        <v>120</v>
      </c>
      <c r="F3846" t="s">
        <v>121</v>
      </c>
      <c r="G3846" t="s">
        <v>151</v>
      </c>
      <c r="H3846" t="s">
        <v>151</v>
      </c>
      <c r="I3846" t="s">
        <v>32</v>
      </c>
      <c r="J3846" t="s">
        <v>33</v>
      </c>
      <c r="K3846" t="s">
        <v>47</v>
      </c>
      <c r="L3846" t="s">
        <v>48</v>
      </c>
      <c r="M3846" t="s">
        <v>139</v>
      </c>
      <c r="N3846">
        <v>1729</v>
      </c>
      <c r="O3846" s="14">
        <v>0.133559457026422</v>
      </c>
      <c r="P3846" s="14">
        <v>0.43010397930629601</v>
      </c>
      <c r="Q3846" t="str">
        <f t="shared" si="120"/>
        <v>01-09</v>
      </c>
      <c r="R3846" t="str">
        <f t="shared" si="121"/>
        <v>[vA4NcHxfMBq]|01-09|Male|Incidence_SUBNAT.Rt.T_1|CY2023Q3</v>
      </c>
    </row>
    <row r="3847" spans="4:18" x14ac:dyDescent="0.2">
      <c r="D3847" t="s">
        <v>119</v>
      </c>
      <c r="E3847" t="s">
        <v>120</v>
      </c>
      <c r="F3847" t="s">
        <v>121</v>
      </c>
      <c r="G3847" t="s">
        <v>151</v>
      </c>
      <c r="H3847" t="s">
        <v>151</v>
      </c>
      <c r="I3847" t="s">
        <v>35</v>
      </c>
      <c r="J3847" t="s">
        <v>36</v>
      </c>
      <c r="K3847" t="s">
        <v>47</v>
      </c>
      <c r="L3847" t="s">
        <v>48</v>
      </c>
      <c r="M3847" t="s">
        <v>139</v>
      </c>
      <c r="N3847">
        <v>1582</v>
      </c>
      <c r="O3847" s="14">
        <v>0.474653082899749</v>
      </c>
      <c r="P3847" s="14">
        <v>0.43010397930629601</v>
      </c>
      <c r="Q3847" t="str">
        <f t="shared" si="120"/>
        <v>10-14</v>
      </c>
      <c r="R3847" t="str">
        <f t="shared" si="121"/>
        <v>[vA4NcHxfMBq]|10-14|Male|Incidence_SUBNAT.Rt.T_1|CY2023Q3</v>
      </c>
    </row>
    <row r="3848" spans="4:18" x14ac:dyDescent="0.2">
      <c r="D3848" t="s">
        <v>119</v>
      </c>
      <c r="E3848" t="s">
        <v>120</v>
      </c>
      <c r="F3848" t="s">
        <v>121</v>
      </c>
      <c r="G3848" t="s">
        <v>151</v>
      </c>
      <c r="H3848" t="s">
        <v>151</v>
      </c>
      <c r="I3848" t="s">
        <v>37</v>
      </c>
      <c r="J3848" t="s">
        <v>38</v>
      </c>
      <c r="K3848" t="s">
        <v>47</v>
      </c>
      <c r="L3848" t="s">
        <v>48</v>
      </c>
      <c r="M3848" t="s">
        <v>139</v>
      </c>
      <c r="N3848">
        <v>813</v>
      </c>
      <c r="O3848" s="14">
        <v>0.247436287114397</v>
      </c>
      <c r="P3848" s="14">
        <v>0.43010397930629601</v>
      </c>
      <c r="Q3848" t="str">
        <f t="shared" si="120"/>
        <v>15-24</v>
      </c>
      <c r="R3848" t="str">
        <f t="shared" si="121"/>
        <v>[vA4NcHxfMBq]|15-24|Male|Incidence_SUBNAT.Rt.T_1|CY2023Q3</v>
      </c>
    </row>
    <row r="3849" spans="4:18" x14ac:dyDescent="0.2">
      <c r="D3849" t="s">
        <v>119</v>
      </c>
      <c r="E3849" t="s">
        <v>120</v>
      </c>
      <c r="F3849" t="s">
        <v>121</v>
      </c>
      <c r="G3849" t="s">
        <v>151</v>
      </c>
      <c r="H3849" t="s">
        <v>151</v>
      </c>
      <c r="I3849" t="s">
        <v>40</v>
      </c>
      <c r="J3849" t="s">
        <v>41</v>
      </c>
      <c r="K3849" t="s">
        <v>47</v>
      </c>
      <c r="L3849" t="s">
        <v>48</v>
      </c>
      <c r="M3849" t="s">
        <v>139</v>
      </c>
      <c r="N3849">
        <v>1366</v>
      </c>
      <c r="O3849" s="14">
        <v>0.52642755443230305</v>
      </c>
      <c r="P3849" s="14">
        <v>0.43010397930629601</v>
      </c>
      <c r="Q3849" t="str">
        <f t="shared" si="120"/>
        <v>25-34</v>
      </c>
      <c r="R3849" t="str">
        <f t="shared" si="121"/>
        <v>[vA4NcHxfMBq]|25-34|Male|Incidence_SUBNAT.Rt.T_1|CY2023Q3</v>
      </c>
    </row>
    <row r="3850" spans="4:18" x14ac:dyDescent="0.2">
      <c r="D3850" t="s">
        <v>119</v>
      </c>
      <c r="E3850" t="s">
        <v>120</v>
      </c>
      <c r="F3850" t="s">
        <v>121</v>
      </c>
      <c r="G3850" t="s">
        <v>151</v>
      </c>
      <c r="H3850" t="s">
        <v>151</v>
      </c>
      <c r="I3850" t="s">
        <v>42</v>
      </c>
      <c r="J3850" t="s">
        <v>43</v>
      </c>
      <c r="K3850" t="s">
        <v>47</v>
      </c>
      <c r="L3850" t="s">
        <v>48</v>
      </c>
      <c r="M3850" t="s">
        <v>139</v>
      </c>
      <c r="N3850">
        <v>1751</v>
      </c>
      <c r="O3850" s="14">
        <v>0.459208940621465</v>
      </c>
      <c r="P3850" s="14">
        <v>0.43010397930629601</v>
      </c>
      <c r="Q3850" t="str">
        <f t="shared" si="120"/>
        <v>35-49</v>
      </c>
      <c r="R3850" t="str">
        <f t="shared" si="121"/>
        <v>[vA4NcHxfMBq]|35-49|Male|Incidence_SUBNAT.Rt.T_1|CY2023Q3</v>
      </c>
    </row>
    <row r="3851" spans="4:18" x14ac:dyDescent="0.2">
      <c r="D3851" t="s">
        <v>119</v>
      </c>
      <c r="E3851" t="s">
        <v>120</v>
      </c>
      <c r="F3851" t="s">
        <v>121</v>
      </c>
      <c r="G3851" t="s">
        <v>151</v>
      </c>
      <c r="H3851" t="s">
        <v>151</v>
      </c>
      <c r="I3851" t="s">
        <v>44</v>
      </c>
      <c r="J3851" t="s">
        <v>45</v>
      </c>
      <c r="K3851" t="s">
        <v>47</v>
      </c>
      <c r="L3851" t="s">
        <v>48</v>
      </c>
      <c r="M3851" t="s">
        <v>139</v>
      </c>
      <c r="N3851">
        <v>1045</v>
      </c>
      <c r="O3851" s="14">
        <v>0.34826187649741802</v>
      </c>
      <c r="P3851" s="14">
        <v>0.43010397930629601</v>
      </c>
      <c r="Q3851" t="str">
        <f t="shared" si="120"/>
        <v>50+</v>
      </c>
      <c r="R3851" t="str">
        <f t="shared" si="121"/>
        <v>[vA4NcHxfMBq]|50+|Male|Incidence_SUBNAT.Rt.T_1|CY2023Q3</v>
      </c>
    </row>
    <row r="3852" spans="4:18" x14ac:dyDescent="0.2">
      <c r="D3852" t="s">
        <v>122</v>
      </c>
      <c r="E3852" t="s">
        <v>123</v>
      </c>
      <c r="F3852" t="s">
        <v>124</v>
      </c>
      <c r="G3852" t="s">
        <v>151</v>
      </c>
      <c r="H3852" t="s">
        <v>151</v>
      </c>
      <c r="I3852" t="s">
        <v>27</v>
      </c>
      <c r="J3852" t="s">
        <v>28</v>
      </c>
      <c r="K3852" t="s">
        <v>29</v>
      </c>
      <c r="L3852" t="s">
        <v>30</v>
      </c>
      <c r="M3852" t="s">
        <v>139</v>
      </c>
      <c r="N3852">
        <v>1548</v>
      </c>
      <c r="O3852" s="14">
        <v>0.52747185900807403</v>
      </c>
      <c r="P3852" s="14">
        <v>0.41950060334056599</v>
      </c>
      <c r="Q3852" t="str">
        <f t="shared" si="120"/>
        <v>&lt;01</v>
      </c>
      <c r="R3852" t="str">
        <f t="shared" si="121"/>
        <v>[E7zpfyBt7Tw]|&lt;01|Female|Incidence_SUBNAT.Rt.T_1|CY2023Q3</v>
      </c>
    </row>
    <row r="3853" spans="4:18" x14ac:dyDescent="0.2">
      <c r="D3853" t="s">
        <v>122</v>
      </c>
      <c r="E3853" t="s">
        <v>123</v>
      </c>
      <c r="F3853" t="s">
        <v>124</v>
      </c>
      <c r="G3853" t="s">
        <v>151</v>
      </c>
      <c r="H3853" t="s">
        <v>151</v>
      </c>
      <c r="I3853" t="s">
        <v>32</v>
      </c>
      <c r="J3853" t="s">
        <v>33</v>
      </c>
      <c r="K3853" t="s">
        <v>29</v>
      </c>
      <c r="L3853" t="s">
        <v>30</v>
      </c>
      <c r="M3853" t="s">
        <v>139</v>
      </c>
      <c r="N3853">
        <v>1243</v>
      </c>
      <c r="O3853" s="14">
        <v>8.2594336709007607E-2</v>
      </c>
      <c r="P3853" s="14">
        <v>0.41950060334056599</v>
      </c>
      <c r="Q3853" t="str">
        <f t="shared" si="120"/>
        <v>01-09</v>
      </c>
      <c r="R3853" t="str">
        <f t="shared" si="121"/>
        <v>[E7zpfyBt7Tw]|01-09|Female|Incidence_SUBNAT.Rt.T_1|CY2023Q3</v>
      </c>
    </row>
    <row r="3854" spans="4:18" x14ac:dyDescent="0.2">
      <c r="D3854" t="s">
        <v>122</v>
      </c>
      <c r="E3854" t="s">
        <v>123</v>
      </c>
      <c r="F3854" t="s">
        <v>124</v>
      </c>
      <c r="G3854" t="s">
        <v>151</v>
      </c>
      <c r="H3854" t="s">
        <v>151</v>
      </c>
      <c r="I3854" t="s">
        <v>35</v>
      </c>
      <c r="J3854" t="s">
        <v>36</v>
      </c>
      <c r="K3854" t="s">
        <v>29</v>
      </c>
      <c r="L3854" t="s">
        <v>30</v>
      </c>
      <c r="M3854" t="s">
        <v>139</v>
      </c>
      <c r="N3854">
        <v>1288</v>
      </c>
      <c r="O3854" s="14">
        <v>0.18634265894070301</v>
      </c>
      <c r="P3854" s="14">
        <v>0.41950060334056599</v>
      </c>
      <c r="Q3854" t="str">
        <f t="shared" si="120"/>
        <v>10-14</v>
      </c>
      <c r="R3854" t="str">
        <f t="shared" si="121"/>
        <v>[E7zpfyBt7Tw]|10-14|Female|Incidence_SUBNAT.Rt.T_1|CY2023Q3</v>
      </c>
    </row>
    <row r="3855" spans="4:18" x14ac:dyDescent="0.2">
      <c r="D3855" t="s">
        <v>122</v>
      </c>
      <c r="E3855" t="s">
        <v>123</v>
      </c>
      <c r="F3855" t="s">
        <v>124</v>
      </c>
      <c r="G3855" t="s">
        <v>151</v>
      </c>
      <c r="H3855" t="s">
        <v>151</v>
      </c>
      <c r="I3855" t="s">
        <v>37</v>
      </c>
      <c r="J3855" t="s">
        <v>38</v>
      </c>
      <c r="K3855" t="s">
        <v>29</v>
      </c>
      <c r="L3855" t="s">
        <v>30</v>
      </c>
      <c r="M3855" t="s">
        <v>139</v>
      </c>
      <c r="N3855">
        <v>528</v>
      </c>
      <c r="O3855" s="14">
        <v>0.844986842712387</v>
      </c>
      <c r="P3855" s="14">
        <v>0.41950060334056599</v>
      </c>
      <c r="Q3855" t="str">
        <f t="shared" si="120"/>
        <v>15-24</v>
      </c>
      <c r="R3855" t="str">
        <f t="shared" si="121"/>
        <v>[E7zpfyBt7Tw]|15-24|Female|Incidence_SUBNAT.Rt.T_1|CY2023Q3</v>
      </c>
    </row>
    <row r="3856" spans="4:18" x14ac:dyDescent="0.2">
      <c r="D3856" t="s">
        <v>122</v>
      </c>
      <c r="E3856" t="s">
        <v>123</v>
      </c>
      <c r="F3856" t="s">
        <v>124</v>
      </c>
      <c r="G3856" t="s">
        <v>151</v>
      </c>
      <c r="H3856" t="s">
        <v>151</v>
      </c>
      <c r="I3856" t="s">
        <v>40</v>
      </c>
      <c r="J3856" t="s">
        <v>41</v>
      </c>
      <c r="K3856" t="s">
        <v>29</v>
      </c>
      <c r="L3856" t="s">
        <v>30</v>
      </c>
      <c r="M3856" t="s">
        <v>139</v>
      </c>
      <c r="N3856">
        <v>747</v>
      </c>
      <c r="O3856" s="14">
        <v>0.97147477348335098</v>
      </c>
      <c r="P3856" s="14">
        <v>0.41950060334056599</v>
      </c>
      <c r="Q3856" t="str">
        <f t="shared" si="120"/>
        <v>25-34</v>
      </c>
      <c r="R3856" t="str">
        <f t="shared" si="121"/>
        <v>[E7zpfyBt7Tw]|25-34|Female|Incidence_SUBNAT.Rt.T_1|CY2023Q3</v>
      </c>
    </row>
    <row r="3857" spans="4:18" x14ac:dyDescent="0.2">
      <c r="D3857" t="s">
        <v>122</v>
      </c>
      <c r="E3857" t="s">
        <v>123</v>
      </c>
      <c r="F3857" t="s">
        <v>124</v>
      </c>
      <c r="G3857" t="s">
        <v>151</v>
      </c>
      <c r="H3857" t="s">
        <v>151</v>
      </c>
      <c r="I3857" t="s">
        <v>42</v>
      </c>
      <c r="J3857" t="s">
        <v>43</v>
      </c>
      <c r="K3857" t="s">
        <v>29</v>
      </c>
      <c r="L3857" t="s">
        <v>30</v>
      </c>
      <c r="M3857" t="s">
        <v>139</v>
      </c>
      <c r="N3857">
        <v>868</v>
      </c>
      <c r="O3857" s="14">
        <v>0.36220427905209401</v>
      </c>
      <c r="P3857" s="14">
        <v>0.41950060334056599</v>
      </c>
      <c r="Q3857" t="str">
        <f t="shared" si="120"/>
        <v>35-49</v>
      </c>
      <c r="R3857" t="str">
        <f t="shared" si="121"/>
        <v>[E7zpfyBt7Tw]|35-49|Female|Incidence_SUBNAT.Rt.T_1|CY2023Q3</v>
      </c>
    </row>
    <row r="3858" spans="4:18" x14ac:dyDescent="0.2">
      <c r="D3858" t="s">
        <v>122</v>
      </c>
      <c r="E3858" t="s">
        <v>123</v>
      </c>
      <c r="F3858" t="s">
        <v>124</v>
      </c>
      <c r="G3858" t="s">
        <v>151</v>
      </c>
      <c r="H3858" t="s">
        <v>151</v>
      </c>
      <c r="I3858" t="s">
        <v>44</v>
      </c>
      <c r="J3858" t="s">
        <v>45</v>
      </c>
      <c r="K3858" t="s">
        <v>29</v>
      </c>
      <c r="L3858" t="s">
        <v>30</v>
      </c>
      <c r="M3858" t="s">
        <v>139</v>
      </c>
      <c r="N3858">
        <v>1392</v>
      </c>
      <c r="O3858" s="14">
        <v>0.52068845252506402</v>
      </c>
      <c r="P3858" s="14">
        <v>0.41950060334056599</v>
      </c>
      <c r="Q3858" t="str">
        <f t="shared" si="120"/>
        <v>50+</v>
      </c>
      <c r="R3858" t="str">
        <f t="shared" si="121"/>
        <v>[E7zpfyBt7Tw]|50+|Female|Incidence_SUBNAT.Rt.T_1|CY2023Q3</v>
      </c>
    </row>
    <row r="3859" spans="4:18" x14ac:dyDescent="0.2">
      <c r="D3859" t="s">
        <v>122</v>
      </c>
      <c r="E3859" t="s">
        <v>123</v>
      </c>
      <c r="F3859" t="s">
        <v>124</v>
      </c>
      <c r="G3859" t="s">
        <v>151</v>
      </c>
      <c r="H3859" t="s">
        <v>151</v>
      </c>
      <c r="I3859" t="s">
        <v>27</v>
      </c>
      <c r="J3859" t="s">
        <v>28</v>
      </c>
      <c r="K3859" t="s">
        <v>47</v>
      </c>
      <c r="L3859" t="s">
        <v>48</v>
      </c>
      <c r="M3859" t="s">
        <v>139</v>
      </c>
      <c r="N3859">
        <v>1941</v>
      </c>
      <c r="O3859" s="14">
        <v>0.99347069580107905</v>
      </c>
      <c r="P3859" s="14">
        <v>0.41950060334056599</v>
      </c>
      <c r="Q3859" t="str">
        <f t="shared" si="120"/>
        <v>&lt;01</v>
      </c>
      <c r="R3859" t="str">
        <f t="shared" si="121"/>
        <v>[E7zpfyBt7Tw]|&lt;01|Male|Incidence_SUBNAT.Rt.T_1|CY2023Q3</v>
      </c>
    </row>
    <row r="3860" spans="4:18" x14ac:dyDescent="0.2">
      <c r="D3860" t="s">
        <v>122</v>
      </c>
      <c r="E3860" t="s">
        <v>123</v>
      </c>
      <c r="F3860" t="s">
        <v>124</v>
      </c>
      <c r="G3860" t="s">
        <v>151</v>
      </c>
      <c r="H3860" t="s">
        <v>151</v>
      </c>
      <c r="I3860" t="s">
        <v>32</v>
      </c>
      <c r="J3860" t="s">
        <v>33</v>
      </c>
      <c r="K3860" t="s">
        <v>47</v>
      </c>
      <c r="L3860" t="s">
        <v>48</v>
      </c>
      <c r="M3860" t="s">
        <v>139</v>
      </c>
      <c r="N3860">
        <v>1462</v>
      </c>
      <c r="O3860" s="14">
        <v>0.41138099692761898</v>
      </c>
      <c r="P3860" s="14">
        <v>0.41950060334056599</v>
      </c>
      <c r="Q3860" t="str">
        <f t="shared" si="120"/>
        <v>01-09</v>
      </c>
      <c r="R3860" t="str">
        <f t="shared" si="121"/>
        <v>[E7zpfyBt7Tw]|01-09|Male|Incidence_SUBNAT.Rt.T_1|CY2023Q3</v>
      </c>
    </row>
    <row r="3861" spans="4:18" x14ac:dyDescent="0.2">
      <c r="D3861" t="s">
        <v>122</v>
      </c>
      <c r="E3861" t="s">
        <v>123</v>
      </c>
      <c r="F3861" t="s">
        <v>124</v>
      </c>
      <c r="G3861" t="s">
        <v>151</v>
      </c>
      <c r="H3861" t="s">
        <v>151</v>
      </c>
      <c r="I3861" t="s">
        <v>35</v>
      </c>
      <c r="J3861" t="s">
        <v>36</v>
      </c>
      <c r="K3861" t="s">
        <v>47</v>
      </c>
      <c r="L3861" t="s">
        <v>48</v>
      </c>
      <c r="M3861" t="s">
        <v>139</v>
      </c>
      <c r="N3861">
        <v>655</v>
      </c>
      <c r="O3861" s="14">
        <v>0.53032882791012503</v>
      </c>
      <c r="P3861" s="14">
        <v>0.41950060334056599</v>
      </c>
      <c r="Q3861" t="str">
        <f t="shared" si="120"/>
        <v>10-14</v>
      </c>
      <c r="R3861" t="str">
        <f t="shared" si="121"/>
        <v>[E7zpfyBt7Tw]|10-14|Male|Incidence_SUBNAT.Rt.T_1|CY2023Q3</v>
      </c>
    </row>
    <row r="3862" spans="4:18" x14ac:dyDescent="0.2">
      <c r="D3862" t="s">
        <v>122</v>
      </c>
      <c r="E3862" t="s">
        <v>123</v>
      </c>
      <c r="F3862" t="s">
        <v>124</v>
      </c>
      <c r="G3862" t="s">
        <v>151</v>
      </c>
      <c r="H3862" t="s">
        <v>151</v>
      </c>
      <c r="I3862" t="s">
        <v>37</v>
      </c>
      <c r="J3862" t="s">
        <v>38</v>
      </c>
      <c r="K3862" t="s">
        <v>47</v>
      </c>
      <c r="L3862" t="s">
        <v>48</v>
      </c>
      <c r="M3862" t="s">
        <v>139</v>
      </c>
      <c r="N3862">
        <v>1433</v>
      </c>
      <c r="O3862" s="14">
        <v>0.83327795262448501</v>
      </c>
      <c r="P3862" s="14">
        <v>0.41950060334056599</v>
      </c>
      <c r="Q3862" t="str">
        <f t="shared" si="120"/>
        <v>15-24</v>
      </c>
      <c r="R3862" t="str">
        <f t="shared" si="121"/>
        <v>[E7zpfyBt7Tw]|15-24|Male|Incidence_SUBNAT.Rt.T_1|CY2023Q3</v>
      </c>
    </row>
    <row r="3863" spans="4:18" x14ac:dyDescent="0.2">
      <c r="D3863" t="s">
        <v>122</v>
      </c>
      <c r="E3863" t="s">
        <v>123</v>
      </c>
      <c r="F3863" t="s">
        <v>124</v>
      </c>
      <c r="G3863" t="s">
        <v>151</v>
      </c>
      <c r="H3863" t="s">
        <v>151</v>
      </c>
      <c r="I3863" t="s">
        <v>40</v>
      </c>
      <c r="J3863" t="s">
        <v>41</v>
      </c>
      <c r="K3863" t="s">
        <v>47</v>
      </c>
      <c r="L3863" t="s">
        <v>48</v>
      </c>
      <c r="M3863" t="s">
        <v>139</v>
      </c>
      <c r="N3863">
        <v>1176</v>
      </c>
      <c r="O3863" s="14">
        <v>0.24766129371710099</v>
      </c>
      <c r="P3863" s="14">
        <v>0.41950060334056599</v>
      </c>
      <c r="Q3863" t="str">
        <f t="shared" si="120"/>
        <v>25-34</v>
      </c>
      <c r="R3863" t="str">
        <f t="shared" si="121"/>
        <v>[E7zpfyBt7Tw]|25-34|Male|Incidence_SUBNAT.Rt.T_1|CY2023Q3</v>
      </c>
    </row>
    <row r="3864" spans="4:18" x14ac:dyDescent="0.2">
      <c r="D3864" t="s">
        <v>122</v>
      </c>
      <c r="E3864" t="s">
        <v>123</v>
      </c>
      <c r="F3864" t="s">
        <v>124</v>
      </c>
      <c r="G3864" t="s">
        <v>151</v>
      </c>
      <c r="H3864" t="s">
        <v>151</v>
      </c>
      <c r="I3864" t="s">
        <v>42</v>
      </c>
      <c r="J3864" t="s">
        <v>43</v>
      </c>
      <c r="K3864" t="s">
        <v>47</v>
      </c>
      <c r="L3864" t="s">
        <v>48</v>
      </c>
      <c r="M3864" t="s">
        <v>139</v>
      </c>
      <c r="N3864">
        <v>628</v>
      </c>
      <c r="O3864" s="14">
        <v>0.70499121397733699</v>
      </c>
      <c r="P3864" s="14">
        <v>0.41950060334056599</v>
      </c>
      <c r="Q3864" t="str">
        <f t="shared" si="120"/>
        <v>35-49</v>
      </c>
      <c r="R3864" t="str">
        <f t="shared" si="121"/>
        <v>[E7zpfyBt7Tw]|35-49|Male|Incidence_SUBNAT.Rt.T_1|CY2023Q3</v>
      </c>
    </row>
    <row r="3865" spans="4:18" x14ac:dyDescent="0.2">
      <c r="D3865" t="s">
        <v>122</v>
      </c>
      <c r="E3865" t="s">
        <v>123</v>
      </c>
      <c r="F3865" t="s">
        <v>124</v>
      </c>
      <c r="G3865" t="s">
        <v>151</v>
      </c>
      <c r="H3865" t="s">
        <v>151</v>
      </c>
      <c r="I3865" t="s">
        <v>44</v>
      </c>
      <c r="J3865" t="s">
        <v>45</v>
      </c>
      <c r="K3865" t="s">
        <v>47</v>
      </c>
      <c r="L3865" t="s">
        <v>48</v>
      </c>
      <c r="M3865" t="s">
        <v>139</v>
      </c>
      <c r="N3865">
        <v>1344</v>
      </c>
      <c r="O3865" s="14">
        <v>0.94049635273404397</v>
      </c>
      <c r="P3865" s="14">
        <v>0.41950060334056599</v>
      </c>
      <c r="Q3865" t="str">
        <f t="shared" si="120"/>
        <v>50+</v>
      </c>
      <c r="R3865" t="str">
        <f t="shared" si="121"/>
        <v>[E7zpfyBt7Tw]|50+|Male|Incidence_SUBNAT.Rt.T_1|CY2023Q3</v>
      </c>
    </row>
    <row r="3866" spans="4:18" x14ac:dyDescent="0.2">
      <c r="D3866" t="s">
        <v>125</v>
      </c>
      <c r="E3866" t="s">
        <v>126</v>
      </c>
      <c r="F3866" t="s">
        <v>127</v>
      </c>
      <c r="G3866" t="s">
        <v>151</v>
      </c>
      <c r="H3866" t="s">
        <v>151</v>
      </c>
      <c r="I3866" t="s">
        <v>27</v>
      </c>
      <c r="J3866" t="s">
        <v>28</v>
      </c>
      <c r="K3866" t="s">
        <v>29</v>
      </c>
      <c r="L3866" t="s">
        <v>30</v>
      </c>
      <c r="M3866" t="s">
        <v>139</v>
      </c>
      <c r="N3866">
        <v>789</v>
      </c>
      <c r="O3866" s="14">
        <v>0.94184164353646305</v>
      </c>
      <c r="P3866" s="14">
        <v>0.25270639033988102</v>
      </c>
      <c r="Q3866" t="str">
        <f t="shared" si="120"/>
        <v>&lt;01</v>
      </c>
      <c r="R3866" t="str">
        <f t="shared" si="121"/>
        <v>[ZCjuwgaMB9u]|&lt;01|Female|Incidence_SUBNAT.Rt.T_1|CY2023Q3</v>
      </c>
    </row>
    <row r="3867" spans="4:18" x14ac:dyDescent="0.2">
      <c r="D3867" t="s">
        <v>125</v>
      </c>
      <c r="E3867" t="s">
        <v>126</v>
      </c>
      <c r="F3867" t="s">
        <v>127</v>
      </c>
      <c r="G3867" t="s">
        <v>151</v>
      </c>
      <c r="H3867" t="s">
        <v>151</v>
      </c>
      <c r="I3867" t="s">
        <v>32</v>
      </c>
      <c r="J3867" t="s">
        <v>33</v>
      </c>
      <c r="K3867" t="s">
        <v>29</v>
      </c>
      <c r="L3867" t="s">
        <v>30</v>
      </c>
      <c r="M3867" t="s">
        <v>139</v>
      </c>
      <c r="N3867">
        <v>1266</v>
      </c>
      <c r="O3867" s="14">
        <v>9.1503086965531097E-2</v>
      </c>
      <c r="P3867" s="14">
        <v>0.25270639033988102</v>
      </c>
      <c r="Q3867" t="str">
        <f t="shared" si="120"/>
        <v>01-09</v>
      </c>
      <c r="R3867" t="str">
        <f t="shared" si="121"/>
        <v>[ZCjuwgaMB9u]|01-09|Female|Incidence_SUBNAT.Rt.T_1|CY2023Q3</v>
      </c>
    </row>
    <row r="3868" spans="4:18" x14ac:dyDescent="0.2">
      <c r="D3868" t="s">
        <v>125</v>
      </c>
      <c r="E3868" t="s">
        <v>126</v>
      </c>
      <c r="F3868" t="s">
        <v>127</v>
      </c>
      <c r="G3868" t="s">
        <v>151</v>
      </c>
      <c r="H3868" t="s">
        <v>151</v>
      </c>
      <c r="I3868" t="s">
        <v>35</v>
      </c>
      <c r="J3868" t="s">
        <v>36</v>
      </c>
      <c r="K3868" t="s">
        <v>29</v>
      </c>
      <c r="L3868" t="s">
        <v>30</v>
      </c>
      <c r="M3868" t="s">
        <v>139</v>
      </c>
      <c r="N3868">
        <v>1538</v>
      </c>
      <c r="O3868" s="14">
        <v>0.39108437881805003</v>
      </c>
      <c r="P3868" s="14">
        <v>0.25270639033988102</v>
      </c>
      <c r="Q3868" t="str">
        <f t="shared" si="120"/>
        <v>10-14</v>
      </c>
      <c r="R3868" t="str">
        <f t="shared" si="121"/>
        <v>[ZCjuwgaMB9u]|10-14|Female|Incidence_SUBNAT.Rt.T_1|CY2023Q3</v>
      </c>
    </row>
    <row r="3869" spans="4:18" x14ac:dyDescent="0.2">
      <c r="D3869" t="s">
        <v>125</v>
      </c>
      <c r="E3869" t="s">
        <v>126</v>
      </c>
      <c r="F3869" t="s">
        <v>127</v>
      </c>
      <c r="G3869" t="s">
        <v>151</v>
      </c>
      <c r="H3869" t="s">
        <v>151</v>
      </c>
      <c r="I3869" t="s">
        <v>37</v>
      </c>
      <c r="J3869" t="s">
        <v>38</v>
      </c>
      <c r="K3869" t="s">
        <v>29</v>
      </c>
      <c r="L3869" t="s">
        <v>30</v>
      </c>
      <c r="M3869" t="s">
        <v>139</v>
      </c>
      <c r="N3869">
        <v>866</v>
      </c>
      <c r="O3869" s="14">
        <v>0.34923669439740501</v>
      </c>
      <c r="P3869" s="14">
        <v>0.25270639033988102</v>
      </c>
      <c r="Q3869" t="str">
        <f t="shared" si="120"/>
        <v>15-24</v>
      </c>
      <c r="R3869" t="str">
        <f t="shared" si="121"/>
        <v>[ZCjuwgaMB9u]|15-24|Female|Incidence_SUBNAT.Rt.T_1|CY2023Q3</v>
      </c>
    </row>
    <row r="3870" spans="4:18" x14ac:dyDescent="0.2">
      <c r="D3870" t="s">
        <v>125</v>
      </c>
      <c r="E3870" t="s">
        <v>126</v>
      </c>
      <c r="F3870" t="s">
        <v>127</v>
      </c>
      <c r="G3870" t="s">
        <v>151</v>
      </c>
      <c r="H3870" t="s">
        <v>151</v>
      </c>
      <c r="I3870" t="s">
        <v>40</v>
      </c>
      <c r="J3870" t="s">
        <v>41</v>
      </c>
      <c r="K3870" t="s">
        <v>29</v>
      </c>
      <c r="L3870" t="s">
        <v>30</v>
      </c>
      <c r="M3870" t="s">
        <v>139</v>
      </c>
      <c r="N3870">
        <v>519</v>
      </c>
      <c r="O3870" s="14">
        <v>0.963535479269922</v>
      </c>
      <c r="P3870" s="14">
        <v>0.25270639033988102</v>
      </c>
      <c r="Q3870" t="str">
        <f t="shared" si="120"/>
        <v>25-34</v>
      </c>
      <c r="R3870" t="str">
        <f t="shared" si="121"/>
        <v>[ZCjuwgaMB9u]|25-34|Female|Incidence_SUBNAT.Rt.T_1|CY2023Q3</v>
      </c>
    </row>
    <row r="3871" spans="4:18" x14ac:dyDescent="0.2">
      <c r="D3871" t="s">
        <v>125</v>
      </c>
      <c r="E3871" t="s">
        <v>126</v>
      </c>
      <c r="F3871" t="s">
        <v>127</v>
      </c>
      <c r="G3871" t="s">
        <v>151</v>
      </c>
      <c r="H3871" t="s">
        <v>151</v>
      </c>
      <c r="I3871" t="s">
        <v>42</v>
      </c>
      <c r="J3871" t="s">
        <v>43</v>
      </c>
      <c r="K3871" t="s">
        <v>29</v>
      </c>
      <c r="L3871" t="s">
        <v>30</v>
      </c>
      <c r="M3871" t="s">
        <v>139</v>
      </c>
      <c r="N3871">
        <v>505</v>
      </c>
      <c r="O3871" s="14">
        <v>0.98286837595514998</v>
      </c>
      <c r="P3871" s="14">
        <v>0.25270639033988102</v>
      </c>
      <c r="Q3871" t="str">
        <f t="shared" si="120"/>
        <v>35-49</v>
      </c>
      <c r="R3871" t="str">
        <f t="shared" si="121"/>
        <v>[ZCjuwgaMB9u]|35-49|Female|Incidence_SUBNAT.Rt.T_1|CY2023Q3</v>
      </c>
    </row>
    <row r="3872" spans="4:18" x14ac:dyDescent="0.2">
      <c r="D3872" t="s">
        <v>125</v>
      </c>
      <c r="E3872" t="s">
        <v>126</v>
      </c>
      <c r="F3872" t="s">
        <v>127</v>
      </c>
      <c r="G3872" t="s">
        <v>151</v>
      </c>
      <c r="H3872" t="s">
        <v>151</v>
      </c>
      <c r="I3872" t="s">
        <v>44</v>
      </c>
      <c r="J3872" t="s">
        <v>45</v>
      </c>
      <c r="K3872" t="s">
        <v>29</v>
      </c>
      <c r="L3872" t="s">
        <v>30</v>
      </c>
      <c r="M3872" t="s">
        <v>139</v>
      </c>
      <c r="N3872">
        <v>822</v>
      </c>
      <c r="O3872" s="14">
        <v>0.87016482511535298</v>
      </c>
      <c r="P3872" s="14">
        <v>0.25270639033988102</v>
      </c>
      <c r="Q3872" t="str">
        <f t="shared" si="120"/>
        <v>50+</v>
      </c>
      <c r="R3872" t="str">
        <f t="shared" si="121"/>
        <v>[ZCjuwgaMB9u]|50+|Female|Incidence_SUBNAT.Rt.T_1|CY2023Q3</v>
      </c>
    </row>
    <row r="3873" spans="4:18" x14ac:dyDescent="0.2">
      <c r="D3873" t="s">
        <v>125</v>
      </c>
      <c r="E3873" t="s">
        <v>126</v>
      </c>
      <c r="F3873" t="s">
        <v>127</v>
      </c>
      <c r="G3873" t="s">
        <v>151</v>
      </c>
      <c r="H3873" t="s">
        <v>151</v>
      </c>
      <c r="I3873" t="s">
        <v>27</v>
      </c>
      <c r="J3873" t="s">
        <v>28</v>
      </c>
      <c r="K3873" t="s">
        <v>47</v>
      </c>
      <c r="L3873" t="s">
        <v>48</v>
      </c>
      <c r="M3873" t="s">
        <v>139</v>
      </c>
      <c r="N3873">
        <v>721</v>
      </c>
      <c r="O3873" s="14">
        <v>0.73519087303429798</v>
      </c>
      <c r="P3873" s="14">
        <v>0.25270639033988102</v>
      </c>
      <c r="Q3873" t="str">
        <f t="shared" si="120"/>
        <v>&lt;01</v>
      </c>
      <c r="R3873" t="str">
        <f t="shared" si="121"/>
        <v>[ZCjuwgaMB9u]|&lt;01|Male|Incidence_SUBNAT.Rt.T_1|CY2023Q3</v>
      </c>
    </row>
    <row r="3874" spans="4:18" x14ac:dyDescent="0.2">
      <c r="D3874" t="s">
        <v>125</v>
      </c>
      <c r="E3874" t="s">
        <v>126</v>
      </c>
      <c r="F3874" t="s">
        <v>127</v>
      </c>
      <c r="G3874" t="s">
        <v>151</v>
      </c>
      <c r="H3874" t="s">
        <v>151</v>
      </c>
      <c r="I3874" t="s">
        <v>32</v>
      </c>
      <c r="J3874" t="s">
        <v>33</v>
      </c>
      <c r="K3874" t="s">
        <v>47</v>
      </c>
      <c r="L3874" t="s">
        <v>48</v>
      </c>
      <c r="M3874" t="s">
        <v>139</v>
      </c>
      <c r="N3874">
        <v>531</v>
      </c>
      <c r="O3874" s="14">
        <v>0.77220870926976204</v>
      </c>
      <c r="P3874" s="14">
        <v>0.25270639033988102</v>
      </c>
      <c r="Q3874" t="str">
        <f t="shared" si="120"/>
        <v>01-09</v>
      </c>
      <c r="R3874" t="str">
        <f t="shared" si="121"/>
        <v>[ZCjuwgaMB9u]|01-09|Male|Incidence_SUBNAT.Rt.T_1|CY2023Q3</v>
      </c>
    </row>
    <row r="3875" spans="4:18" x14ac:dyDescent="0.2">
      <c r="D3875" t="s">
        <v>125</v>
      </c>
      <c r="E3875" t="s">
        <v>126</v>
      </c>
      <c r="F3875" t="s">
        <v>127</v>
      </c>
      <c r="G3875" t="s">
        <v>151</v>
      </c>
      <c r="H3875" t="s">
        <v>151</v>
      </c>
      <c r="I3875" t="s">
        <v>35</v>
      </c>
      <c r="J3875" t="s">
        <v>36</v>
      </c>
      <c r="K3875" t="s">
        <v>47</v>
      </c>
      <c r="L3875" t="s">
        <v>48</v>
      </c>
      <c r="M3875" t="s">
        <v>139</v>
      </c>
      <c r="N3875">
        <v>1266</v>
      </c>
      <c r="O3875" s="14">
        <v>0.37107500643469399</v>
      </c>
      <c r="P3875" s="14">
        <v>0.25270639033988102</v>
      </c>
      <c r="Q3875" t="str">
        <f t="shared" si="120"/>
        <v>10-14</v>
      </c>
      <c r="R3875" t="str">
        <f t="shared" si="121"/>
        <v>[ZCjuwgaMB9u]|10-14|Male|Incidence_SUBNAT.Rt.T_1|CY2023Q3</v>
      </c>
    </row>
    <row r="3876" spans="4:18" x14ac:dyDescent="0.2">
      <c r="D3876" t="s">
        <v>125</v>
      </c>
      <c r="E3876" t="s">
        <v>126</v>
      </c>
      <c r="F3876" t="s">
        <v>127</v>
      </c>
      <c r="G3876" t="s">
        <v>151</v>
      </c>
      <c r="H3876" t="s">
        <v>151</v>
      </c>
      <c r="I3876" t="s">
        <v>37</v>
      </c>
      <c r="J3876" t="s">
        <v>38</v>
      </c>
      <c r="K3876" t="s">
        <v>47</v>
      </c>
      <c r="L3876" t="s">
        <v>48</v>
      </c>
      <c r="M3876" t="s">
        <v>139</v>
      </c>
      <c r="N3876">
        <v>1631</v>
      </c>
      <c r="O3876" s="14">
        <v>0.35455929022282401</v>
      </c>
      <c r="P3876" s="14">
        <v>0.25270639033988102</v>
      </c>
      <c r="Q3876" t="str">
        <f t="shared" si="120"/>
        <v>15-24</v>
      </c>
      <c r="R3876" t="str">
        <f t="shared" si="121"/>
        <v>[ZCjuwgaMB9u]|15-24|Male|Incidence_SUBNAT.Rt.T_1|CY2023Q3</v>
      </c>
    </row>
    <row r="3877" spans="4:18" x14ac:dyDescent="0.2">
      <c r="D3877" t="s">
        <v>125</v>
      </c>
      <c r="E3877" t="s">
        <v>126</v>
      </c>
      <c r="F3877" t="s">
        <v>127</v>
      </c>
      <c r="G3877" t="s">
        <v>151</v>
      </c>
      <c r="H3877" t="s">
        <v>151</v>
      </c>
      <c r="I3877" t="s">
        <v>40</v>
      </c>
      <c r="J3877" t="s">
        <v>41</v>
      </c>
      <c r="K3877" t="s">
        <v>47</v>
      </c>
      <c r="L3877" t="s">
        <v>48</v>
      </c>
      <c r="M3877" t="s">
        <v>139</v>
      </c>
      <c r="N3877">
        <v>827</v>
      </c>
      <c r="O3877" s="14">
        <v>0.40284303156659002</v>
      </c>
      <c r="P3877" s="14">
        <v>0.25270639033988102</v>
      </c>
      <c r="Q3877" t="str">
        <f t="shared" si="120"/>
        <v>25-34</v>
      </c>
      <c r="R3877" t="str">
        <f t="shared" si="121"/>
        <v>[ZCjuwgaMB9u]|25-34|Male|Incidence_SUBNAT.Rt.T_1|CY2023Q3</v>
      </c>
    </row>
    <row r="3878" spans="4:18" x14ac:dyDescent="0.2">
      <c r="D3878" t="s">
        <v>125</v>
      </c>
      <c r="E3878" t="s">
        <v>126</v>
      </c>
      <c r="F3878" t="s">
        <v>127</v>
      </c>
      <c r="G3878" t="s">
        <v>151</v>
      </c>
      <c r="H3878" t="s">
        <v>151</v>
      </c>
      <c r="I3878" t="s">
        <v>42</v>
      </c>
      <c r="J3878" t="s">
        <v>43</v>
      </c>
      <c r="K3878" t="s">
        <v>47</v>
      </c>
      <c r="L3878" t="s">
        <v>48</v>
      </c>
      <c r="M3878" t="s">
        <v>139</v>
      </c>
      <c r="N3878">
        <v>1961</v>
      </c>
      <c r="O3878" s="14">
        <v>0.338425634196028</v>
      </c>
      <c r="P3878" s="14">
        <v>0.25270639033988102</v>
      </c>
      <c r="Q3878" t="str">
        <f t="shared" si="120"/>
        <v>35-49</v>
      </c>
      <c r="R3878" t="str">
        <f t="shared" si="121"/>
        <v>[ZCjuwgaMB9u]|35-49|Male|Incidence_SUBNAT.Rt.T_1|CY2023Q3</v>
      </c>
    </row>
    <row r="3879" spans="4:18" x14ac:dyDescent="0.2">
      <c r="D3879" t="s">
        <v>125</v>
      </c>
      <c r="E3879" t="s">
        <v>126</v>
      </c>
      <c r="F3879" t="s">
        <v>127</v>
      </c>
      <c r="G3879" t="s">
        <v>151</v>
      </c>
      <c r="H3879" t="s">
        <v>151</v>
      </c>
      <c r="I3879" t="s">
        <v>44</v>
      </c>
      <c r="J3879" t="s">
        <v>45</v>
      </c>
      <c r="K3879" t="s">
        <v>47</v>
      </c>
      <c r="L3879" t="s">
        <v>48</v>
      </c>
      <c r="M3879" t="s">
        <v>139</v>
      </c>
      <c r="N3879">
        <v>1116</v>
      </c>
      <c r="O3879" s="14">
        <v>0.64370806585065998</v>
      </c>
      <c r="P3879" s="14">
        <v>0.25270639033988102</v>
      </c>
      <c r="Q3879" t="str">
        <f t="shared" si="120"/>
        <v>50+</v>
      </c>
      <c r="R3879" t="str">
        <f t="shared" si="121"/>
        <v>[ZCjuwgaMB9u]|50+|Male|Incidence_SUBNAT.Rt.T_1|CY2023Q3</v>
      </c>
    </row>
    <row r="3880" spans="4:18" x14ac:dyDescent="0.2">
      <c r="D3880" t="s">
        <v>128</v>
      </c>
      <c r="E3880" t="s">
        <v>129</v>
      </c>
      <c r="F3880" t="s">
        <v>130</v>
      </c>
      <c r="G3880" t="s">
        <v>151</v>
      </c>
      <c r="H3880" t="s">
        <v>151</v>
      </c>
      <c r="I3880" t="s">
        <v>27</v>
      </c>
      <c r="J3880" t="s">
        <v>28</v>
      </c>
      <c r="K3880" t="s">
        <v>29</v>
      </c>
      <c r="L3880" t="s">
        <v>30</v>
      </c>
      <c r="M3880" t="s">
        <v>139</v>
      </c>
      <c r="N3880">
        <v>1562</v>
      </c>
      <c r="O3880" s="14">
        <v>0.84817024506628502</v>
      </c>
      <c r="P3880" s="14">
        <v>0.55690808477811504</v>
      </c>
      <c r="Q3880" t="str">
        <f t="shared" si="120"/>
        <v>&lt;01</v>
      </c>
      <c r="R3880" t="str">
        <f t="shared" si="121"/>
        <v>[YCKiBAp8QAg]|&lt;01|Female|Incidence_SUBNAT.Rt.T_1|CY2023Q3</v>
      </c>
    </row>
    <row r="3881" spans="4:18" x14ac:dyDescent="0.2">
      <c r="D3881" t="s">
        <v>128</v>
      </c>
      <c r="E3881" t="s">
        <v>129</v>
      </c>
      <c r="F3881" t="s">
        <v>130</v>
      </c>
      <c r="G3881" t="s">
        <v>151</v>
      </c>
      <c r="H3881" t="s">
        <v>151</v>
      </c>
      <c r="I3881" t="s">
        <v>32</v>
      </c>
      <c r="J3881" t="s">
        <v>33</v>
      </c>
      <c r="K3881" t="s">
        <v>29</v>
      </c>
      <c r="L3881" t="s">
        <v>30</v>
      </c>
      <c r="M3881" t="s">
        <v>139</v>
      </c>
      <c r="N3881">
        <v>1199</v>
      </c>
      <c r="O3881" s="14">
        <v>7.20419157296419E-2</v>
      </c>
      <c r="P3881" s="14">
        <v>0.55690808477811504</v>
      </c>
      <c r="Q3881" t="str">
        <f t="shared" si="120"/>
        <v>01-09</v>
      </c>
      <c r="R3881" t="str">
        <f t="shared" si="121"/>
        <v>[YCKiBAp8QAg]|01-09|Female|Incidence_SUBNAT.Rt.T_1|CY2023Q3</v>
      </c>
    </row>
    <row r="3882" spans="4:18" x14ac:dyDescent="0.2">
      <c r="D3882" t="s">
        <v>128</v>
      </c>
      <c r="E3882" t="s">
        <v>129</v>
      </c>
      <c r="F3882" t="s">
        <v>130</v>
      </c>
      <c r="G3882" t="s">
        <v>151</v>
      </c>
      <c r="H3882" t="s">
        <v>151</v>
      </c>
      <c r="I3882" t="s">
        <v>35</v>
      </c>
      <c r="J3882" t="s">
        <v>36</v>
      </c>
      <c r="K3882" t="s">
        <v>29</v>
      </c>
      <c r="L3882" t="s">
        <v>30</v>
      </c>
      <c r="M3882" t="s">
        <v>139</v>
      </c>
      <c r="N3882">
        <v>1352</v>
      </c>
      <c r="O3882" s="14">
        <v>0.42648169258609397</v>
      </c>
      <c r="P3882" s="14">
        <v>0.55690808477811504</v>
      </c>
      <c r="Q3882" t="str">
        <f t="shared" si="120"/>
        <v>10-14</v>
      </c>
      <c r="R3882" t="str">
        <f t="shared" si="121"/>
        <v>[YCKiBAp8QAg]|10-14|Female|Incidence_SUBNAT.Rt.T_1|CY2023Q3</v>
      </c>
    </row>
    <row r="3883" spans="4:18" x14ac:dyDescent="0.2">
      <c r="D3883" t="s">
        <v>128</v>
      </c>
      <c r="E3883" t="s">
        <v>129</v>
      </c>
      <c r="F3883" t="s">
        <v>130</v>
      </c>
      <c r="G3883" t="s">
        <v>151</v>
      </c>
      <c r="H3883" t="s">
        <v>151</v>
      </c>
      <c r="I3883" t="s">
        <v>37</v>
      </c>
      <c r="J3883" t="s">
        <v>38</v>
      </c>
      <c r="K3883" t="s">
        <v>29</v>
      </c>
      <c r="L3883" t="s">
        <v>30</v>
      </c>
      <c r="M3883" t="s">
        <v>139</v>
      </c>
      <c r="N3883">
        <v>1019</v>
      </c>
      <c r="O3883" s="14">
        <v>3.1880398746579898E-3</v>
      </c>
      <c r="P3883" s="14">
        <v>0.55690808477811504</v>
      </c>
      <c r="Q3883" t="str">
        <f t="shared" si="120"/>
        <v>15-24</v>
      </c>
      <c r="R3883" t="str">
        <f t="shared" si="121"/>
        <v>[YCKiBAp8QAg]|15-24|Female|Incidence_SUBNAT.Rt.T_1|CY2023Q3</v>
      </c>
    </row>
    <row r="3884" spans="4:18" x14ac:dyDescent="0.2">
      <c r="D3884" t="s">
        <v>128</v>
      </c>
      <c r="E3884" t="s">
        <v>129</v>
      </c>
      <c r="F3884" t="s">
        <v>130</v>
      </c>
      <c r="G3884" t="s">
        <v>151</v>
      </c>
      <c r="H3884" t="s">
        <v>151</v>
      </c>
      <c r="I3884" t="s">
        <v>40</v>
      </c>
      <c r="J3884" t="s">
        <v>41</v>
      </c>
      <c r="K3884" t="s">
        <v>29</v>
      </c>
      <c r="L3884" t="s">
        <v>30</v>
      </c>
      <c r="M3884" t="s">
        <v>139</v>
      </c>
      <c r="N3884">
        <v>1507</v>
      </c>
      <c r="O3884" s="14">
        <v>0.20975525933317801</v>
      </c>
      <c r="P3884" s="14">
        <v>0.55690808477811504</v>
      </c>
      <c r="Q3884" t="str">
        <f t="shared" si="120"/>
        <v>25-34</v>
      </c>
      <c r="R3884" t="str">
        <f t="shared" si="121"/>
        <v>[YCKiBAp8QAg]|25-34|Female|Incidence_SUBNAT.Rt.T_1|CY2023Q3</v>
      </c>
    </row>
    <row r="3885" spans="4:18" x14ac:dyDescent="0.2">
      <c r="D3885" t="s">
        <v>128</v>
      </c>
      <c r="E3885" t="s">
        <v>129</v>
      </c>
      <c r="F3885" t="s">
        <v>130</v>
      </c>
      <c r="G3885" t="s">
        <v>151</v>
      </c>
      <c r="H3885" t="s">
        <v>151</v>
      </c>
      <c r="I3885" t="s">
        <v>42</v>
      </c>
      <c r="J3885" t="s">
        <v>43</v>
      </c>
      <c r="K3885" t="s">
        <v>29</v>
      </c>
      <c r="L3885" t="s">
        <v>30</v>
      </c>
      <c r="M3885" t="s">
        <v>139</v>
      </c>
      <c r="N3885">
        <v>1145</v>
      </c>
      <c r="O3885" s="14">
        <v>0.45305923232808698</v>
      </c>
      <c r="P3885" s="14">
        <v>0.55690808477811504</v>
      </c>
      <c r="Q3885" t="str">
        <f t="shared" si="120"/>
        <v>35-49</v>
      </c>
      <c r="R3885" t="str">
        <f t="shared" si="121"/>
        <v>[YCKiBAp8QAg]|35-49|Female|Incidence_SUBNAT.Rt.T_1|CY2023Q3</v>
      </c>
    </row>
    <row r="3886" spans="4:18" x14ac:dyDescent="0.2">
      <c r="D3886" t="s">
        <v>128</v>
      </c>
      <c r="E3886" t="s">
        <v>129</v>
      </c>
      <c r="F3886" t="s">
        <v>130</v>
      </c>
      <c r="G3886" t="s">
        <v>151</v>
      </c>
      <c r="H3886" t="s">
        <v>151</v>
      </c>
      <c r="I3886" t="s">
        <v>44</v>
      </c>
      <c r="J3886" t="s">
        <v>45</v>
      </c>
      <c r="K3886" t="s">
        <v>29</v>
      </c>
      <c r="L3886" t="s">
        <v>30</v>
      </c>
      <c r="M3886" t="s">
        <v>139</v>
      </c>
      <c r="N3886">
        <v>1214</v>
      </c>
      <c r="O3886" s="14">
        <v>0.82977812271565199</v>
      </c>
      <c r="P3886" s="14">
        <v>0.55690808477811504</v>
      </c>
      <c r="Q3886" t="str">
        <f t="shared" si="120"/>
        <v>50+</v>
      </c>
      <c r="R3886" t="str">
        <f t="shared" si="121"/>
        <v>[YCKiBAp8QAg]|50+|Female|Incidence_SUBNAT.Rt.T_1|CY2023Q3</v>
      </c>
    </row>
    <row r="3887" spans="4:18" x14ac:dyDescent="0.2">
      <c r="D3887" t="s">
        <v>128</v>
      </c>
      <c r="E3887" t="s">
        <v>129</v>
      </c>
      <c r="F3887" t="s">
        <v>130</v>
      </c>
      <c r="G3887" t="s">
        <v>151</v>
      </c>
      <c r="H3887" t="s">
        <v>151</v>
      </c>
      <c r="I3887" t="s">
        <v>27</v>
      </c>
      <c r="J3887" t="s">
        <v>28</v>
      </c>
      <c r="K3887" t="s">
        <v>47</v>
      </c>
      <c r="L3887" t="s">
        <v>48</v>
      </c>
      <c r="M3887" t="s">
        <v>139</v>
      </c>
      <c r="N3887">
        <v>590</v>
      </c>
      <c r="O3887" s="14">
        <v>0.23903787299059301</v>
      </c>
      <c r="P3887" s="14">
        <v>0.55690808477811504</v>
      </c>
      <c r="Q3887" t="str">
        <f t="shared" si="120"/>
        <v>&lt;01</v>
      </c>
      <c r="R3887" t="str">
        <f t="shared" si="121"/>
        <v>[YCKiBAp8QAg]|&lt;01|Male|Incidence_SUBNAT.Rt.T_1|CY2023Q3</v>
      </c>
    </row>
    <row r="3888" spans="4:18" x14ac:dyDescent="0.2">
      <c r="D3888" t="s">
        <v>128</v>
      </c>
      <c r="E3888" t="s">
        <v>129</v>
      </c>
      <c r="F3888" t="s">
        <v>130</v>
      </c>
      <c r="G3888" t="s">
        <v>151</v>
      </c>
      <c r="H3888" t="s">
        <v>151</v>
      </c>
      <c r="I3888" t="s">
        <v>32</v>
      </c>
      <c r="J3888" t="s">
        <v>33</v>
      </c>
      <c r="K3888" t="s">
        <v>47</v>
      </c>
      <c r="L3888" t="s">
        <v>48</v>
      </c>
      <c r="M3888" t="s">
        <v>139</v>
      </c>
      <c r="N3888">
        <v>1300</v>
      </c>
      <c r="O3888" s="14">
        <v>0.16278333961963701</v>
      </c>
      <c r="P3888" s="14">
        <v>0.55690808477811504</v>
      </c>
      <c r="Q3888" t="str">
        <f t="shared" si="120"/>
        <v>01-09</v>
      </c>
      <c r="R3888" t="str">
        <f t="shared" si="121"/>
        <v>[YCKiBAp8QAg]|01-09|Male|Incidence_SUBNAT.Rt.T_1|CY2023Q3</v>
      </c>
    </row>
    <row r="3889" spans="4:18" x14ac:dyDescent="0.2">
      <c r="D3889" t="s">
        <v>128</v>
      </c>
      <c r="E3889" t="s">
        <v>129</v>
      </c>
      <c r="F3889" t="s">
        <v>130</v>
      </c>
      <c r="G3889" t="s">
        <v>151</v>
      </c>
      <c r="H3889" t="s">
        <v>151</v>
      </c>
      <c r="I3889" t="s">
        <v>35</v>
      </c>
      <c r="J3889" t="s">
        <v>36</v>
      </c>
      <c r="K3889" t="s">
        <v>47</v>
      </c>
      <c r="L3889" t="s">
        <v>48</v>
      </c>
      <c r="M3889" t="s">
        <v>139</v>
      </c>
      <c r="N3889">
        <v>756</v>
      </c>
      <c r="O3889" s="14">
        <v>0.95048326253891002</v>
      </c>
      <c r="P3889" s="14">
        <v>0.55690808477811504</v>
      </c>
      <c r="Q3889" t="str">
        <f t="shared" si="120"/>
        <v>10-14</v>
      </c>
      <c r="R3889" t="str">
        <f t="shared" si="121"/>
        <v>[YCKiBAp8QAg]|10-14|Male|Incidence_SUBNAT.Rt.T_1|CY2023Q3</v>
      </c>
    </row>
    <row r="3890" spans="4:18" x14ac:dyDescent="0.2">
      <c r="D3890" t="s">
        <v>128</v>
      </c>
      <c r="E3890" t="s">
        <v>129</v>
      </c>
      <c r="F3890" t="s">
        <v>130</v>
      </c>
      <c r="G3890" t="s">
        <v>151</v>
      </c>
      <c r="H3890" t="s">
        <v>151</v>
      </c>
      <c r="I3890" t="s">
        <v>37</v>
      </c>
      <c r="J3890" t="s">
        <v>38</v>
      </c>
      <c r="K3890" t="s">
        <v>47</v>
      </c>
      <c r="L3890" t="s">
        <v>48</v>
      </c>
      <c r="M3890" t="s">
        <v>139</v>
      </c>
      <c r="N3890">
        <v>1395</v>
      </c>
      <c r="O3890" s="14">
        <v>0.47406865470111398</v>
      </c>
      <c r="P3890" s="14">
        <v>0.55690808477811504</v>
      </c>
      <c r="Q3890" t="str">
        <f t="shared" si="120"/>
        <v>15-24</v>
      </c>
      <c r="R3890" t="str">
        <f t="shared" si="121"/>
        <v>[YCKiBAp8QAg]|15-24|Male|Incidence_SUBNAT.Rt.T_1|CY2023Q3</v>
      </c>
    </row>
    <row r="3891" spans="4:18" x14ac:dyDescent="0.2">
      <c r="D3891" t="s">
        <v>128</v>
      </c>
      <c r="E3891" t="s">
        <v>129</v>
      </c>
      <c r="F3891" t="s">
        <v>130</v>
      </c>
      <c r="G3891" t="s">
        <v>151</v>
      </c>
      <c r="H3891" t="s">
        <v>151</v>
      </c>
      <c r="I3891" t="s">
        <v>40</v>
      </c>
      <c r="J3891" t="s">
        <v>41</v>
      </c>
      <c r="K3891" t="s">
        <v>47</v>
      </c>
      <c r="L3891" t="s">
        <v>48</v>
      </c>
      <c r="M3891" t="s">
        <v>139</v>
      </c>
      <c r="N3891">
        <v>1305</v>
      </c>
      <c r="O3891" s="14">
        <v>0.41321594058535999</v>
      </c>
      <c r="P3891" s="14">
        <v>0.55690808477811504</v>
      </c>
      <c r="Q3891" t="str">
        <f t="shared" si="120"/>
        <v>25-34</v>
      </c>
      <c r="R3891" t="str">
        <f t="shared" si="121"/>
        <v>[YCKiBAp8QAg]|25-34|Male|Incidence_SUBNAT.Rt.T_1|CY2023Q3</v>
      </c>
    </row>
    <row r="3892" spans="4:18" x14ac:dyDescent="0.2">
      <c r="D3892" t="s">
        <v>128</v>
      </c>
      <c r="E3892" t="s">
        <v>129</v>
      </c>
      <c r="F3892" t="s">
        <v>130</v>
      </c>
      <c r="G3892" t="s">
        <v>151</v>
      </c>
      <c r="H3892" t="s">
        <v>151</v>
      </c>
      <c r="I3892" t="s">
        <v>42</v>
      </c>
      <c r="J3892" t="s">
        <v>43</v>
      </c>
      <c r="K3892" t="s">
        <v>47</v>
      </c>
      <c r="L3892" t="s">
        <v>48</v>
      </c>
      <c r="M3892" t="s">
        <v>139</v>
      </c>
      <c r="N3892">
        <v>1248</v>
      </c>
      <c r="O3892" s="14">
        <v>0.81113796401768901</v>
      </c>
      <c r="P3892" s="14">
        <v>0.55690808477811504</v>
      </c>
      <c r="Q3892" t="str">
        <f t="shared" si="120"/>
        <v>35-49</v>
      </c>
      <c r="R3892" t="str">
        <f t="shared" si="121"/>
        <v>[YCKiBAp8QAg]|35-49|Male|Incidence_SUBNAT.Rt.T_1|CY2023Q3</v>
      </c>
    </row>
    <row r="3893" spans="4:18" x14ac:dyDescent="0.2">
      <c r="D3893" t="s">
        <v>128</v>
      </c>
      <c r="E3893" t="s">
        <v>129</v>
      </c>
      <c r="F3893" t="s">
        <v>130</v>
      </c>
      <c r="G3893" t="s">
        <v>151</v>
      </c>
      <c r="H3893" t="s">
        <v>151</v>
      </c>
      <c r="I3893" t="s">
        <v>44</v>
      </c>
      <c r="J3893" t="s">
        <v>45</v>
      </c>
      <c r="K3893" t="s">
        <v>47</v>
      </c>
      <c r="L3893" t="s">
        <v>48</v>
      </c>
      <c r="M3893" t="s">
        <v>139</v>
      </c>
      <c r="N3893">
        <v>591</v>
      </c>
      <c r="O3893" s="14">
        <v>0.66192611795850098</v>
      </c>
      <c r="P3893" s="14">
        <v>0.55690808477811504</v>
      </c>
      <c r="Q3893" t="str">
        <f t="shared" si="120"/>
        <v>50+</v>
      </c>
      <c r="R3893" t="str">
        <f t="shared" si="121"/>
        <v>[YCKiBAp8QAg]|50+|Male|Incidence_SUBNAT.Rt.T_1|CY2023Q3</v>
      </c>
    </row>
    <row r="3894" spans="4:18" x14ac:dyDescent="0.2">
      <c r="D3894" t="s">
        <v>131</v>
      </c>
      <c r="E3894" t="s">
        <v>132</v>
      </c>
      <c r="F3894" t="s">
        <v>133</v>
      </c>
      <c r="G3894" t="s">
        <v>151</v>
      </c>
      <c r="H3894" t="s">
        <v>151</v>
      </c>
      <c r="I3894" t="s">
        <v>27</v>
      </c>
      <c r="J3894" t="s">
        <v>28</v>
      </c>
      <c r="K3894" t="s">
        <v>29</v>
      </c>
      <c r="L3894" t="s">
        <v>30</v>
      </c>
      <c r="M3894" t="s">
        <v>139</v>
      </c>
      <c r="N3894">
        <v>1099</v>
      </c>
      <c r="O3894" s="14">
        <v>0.98368141404353104</v>
      </c>
      <c r="P3894" s="14">
        <v>0.16286319401115201</v>
      </c>
      <c r="Q3894" t="str">
        <f t="shared" si="120"/>
        <v>&lt;01</v>
      </c>
      <c r="R3894" t="str">
        <f t="shared" si="121"/>
        <v>[JQKLKuVuY61]|&lt;01|Female|Incidence_SUBNAT.Rt.T_1|CY2023Q3</v>
      </c>
    </row>
    <row r="3895" spans="4:18" x14ac:dyDescent="0.2">
      <c r="D3895" t="s">
        <v>131</v>
      </c>
      <c r="E3895" t="s">
        <v>132</v>
      </c>
      <c r="F3895" t="s">
        <v>133</v>
      </c>
      <c r="G3895" t="s">
        <v>151</v>
      </c>
      <c r="H3895" t="s">
        <v>151</v>
      </c>
      <c r="I3895" t="s">
        <v>32</v>
      </c>
      <c r="J3895" t="s">
        <v>33</v>
      </c>
      <c r="K3895" t="s">
        <v>29</v>
      </c>
      <c r="L3895" t="s">
        <v>30</v>
      </c>
      <c r="M3895" t="s">
        <v>139</v>
      </c>
      <c r="N3895">
        <v>590</v>
      </c>
      <c r="O3895" s="14">
        <v>0.53277493035420798</v>
      </c>
      <c r="P3895" s="14">
        <v>0.16286319401115201</v>
      </c>
      <c r="Q3895" t="str">
        <f t="shared" si="120"/>
        <v>01-09</v>
      </c>
      <c r="R3895" t="str">
        <f t="shared" si="121"/>
        <v>[JQKLKuVuY61]|01-09|Female|Incidence_SUBNAT.Rt.T_1|CY2023Q3</v>
      </c>
    </row>
    <row r="3896" spans="4:18" x14ac:dyDescent="0.2">
      <c r="D3896" t="s">
        <v>131</v>
      </c>
      <c r="E3896" t="s">
        <v>132</v>
      </c>
      <c r="F3896" t="s">
        <v>133</v>
      </c>
      <c r="G3896" t="s">
        <v>151</v>
      </c>
      <c r="H3896" t="s">
        <v>151</v>
      </c>
      <c r="I3896" t="s">
        <v>35</v>
      </c>
      <c r="J3896" t="s">
        <v>36</v>
      </c>
      <c r="K3896" t="s">
        <v>29</v>
      </c>
      <c r="L3896" t="s">
        <v>30</v>
      </c>
      <c r="M3896" t="s">
        <v>139</v>
      </c>
      <c r="N3896">
        <v>770</v>
      </c>
      <c r="O3896" s="14">
        <v>0.57668512221425805</v>
      </c>
      <c r="P3896" s="14">
        <v>0.16286319401115201</v>
      </c>
      <c r="Q3896" t="str">
        <f t="shared" si="120"/>
        <v>10-14</v>
      </c>
      <c r="R3896" t="str">
        <f t="shared" si="121"/>
        <v>[JQKLKuVuY61]|10-14|Female|Incidence_SUBNAT.Rt.T_1|CY2023Q3</v>
      </c>
    </row>
    <row r="3897" spans="4:18" x14ac:dyDescent="0.2">
      <c r="D3897" t="s">
        <v>131</v>
      </c>
      <c r="E3897" t="s">
        <v>132</v>
      </c>
      <c r="F3897" t="s">
        <v>133</v>
      </c>
      <c r="G3897" t="s">
        <v>151</v>
      </c>
      <c r="H3897" t="s">
        <v>151</v>
      </c>
      <c r="I3897" t="s">
        <v>37</v>
      </c>
      <c r="J3897" t="s">
        <v>38</v>
      </c>
      <c r="K3897" t="s">
        <v>29</v>
      </c>
      <c r="L3897" t="s">
        <v>30</v>
      </c>
      <c r="M3897" t="s">
        <v>139</v>
      </c>
      <c r="N3897">
        <v>885</v>
      </c>
      <c r="O3897" s="14">
        <v>0.24820150807499899</v>
      </c>
      <c r="P3897" s="14">
        <v>0.16286319401115201</v>
      </c>
      <c r="Q3897" t="str">
        <f t="shared" si="120"/>
        <v>15-24</v>
      </c>
      <c r="R3897" t="str">
        <f t="shared" si="121"/>
        <v>[JQKLKuVuY61]|15-24|Female|Incidence_SUBNAT.Rt.T_1|CY2023Q3</v>
      </c>
    </row>
    <row r="3898" spans="4:18" x14ac:dyDescent="0.2">
      <c r="D3898" t="s">
        <v>131</v>
      </c>
      <c r="E3898" t="s">
        <v>132</v>
      </c>
      <c r="F3898" t="s">
        <v>133</v>
      </c>
      <c r="G3898" t="s">
        <v>151</v>
      </c>
      <c r="H3898" t="s">
        <v>151</v>
      </c>
      <c r="I3898" t="s">
        <v>40</v>
      </c>
      <c r="J3898" t="s">
        <v>41</v>
      </c>
      <c r="K3898" t="s">
        <v>29</v>
      </c>
      <c r="L3898" t="s">
        <v>30</v>
      </c>
      <c r="M3898" t="s">
        <v>139</v>
      </c>
      <c r="N3898">
        <v>1234</v>
      </c>
      <c r="O3898" s="14">
        <v>0.64229553379118398</v>
      </c>
      <c r="P3898" s="14">
        <v>0.16286319401115201</v>
      </c>
      <c r="Q3898" t="str">
        <f t="shared" si="120"/>
        <v>25-34</v>
      </c>
      <c r="R3898" t="str">
        <f t="shared" si="121"/>
        <v>[JQKLKuVuY61]|25-34|Female|Incidence_SUBNAT.Rt.T_1|CY2023Q3</v>
      </c>
    </row>
    <row r="3899" spans="4:18" x14ac:dyDescent="0.2">
      <c r="D3899" t="s">
        <v>131</v>
      </c>
      <c r="E3899" t="s">
        <v>132</v>
      </c>
      <c r="F3899" t="s">
        <v>133</v>
      </c>
      <c r="G3899" t="s">
        <v>151</v>
      </c>
      <c r="H3899" t="s">
        <v>151</v>
      </c>
      <c r="I3899" t="s">
        <v>42</v>
      </c>
      <c r="J3899" t="s">
        <v>43</v>
      </c>
      <c r="K3899" t="s">
        <v>29</v>
      </c>
      <c r="L3899" t="s">
        <v>30</v>
      </c>
      <c r="M3899" t="s">
        <v>139</v>
      </c>
      <c r="N3899">
        <v>1436</v>
      </c>
      <c r="O3899" s="14">
        <v>3.13376120757312E-2</v>
      </c>
      <c r="P3899" s="14">
        <v>0.16286319401115201</v>
      </c>
      <c r="Q3899" t="str">
        <f t="shared" si="120"/>
        <v>35-49</v>
      </c>
      <c r="R3899" t="str">
        <f t="shared" si="121"/>
        <v>[JQKLKuVuY61]|35-49|Female|Incidence_SUBNAT.Rt.T_1|CY2023Q3</v>
      </c>
    </row>
    <row r="3900" spans="4:18" x14ac:dyDescent="0.2">
      <c r="D3900" t="s">
        <v>131</v>
      </c>
      <c r="E3900" t="s">
        <v>132</v>
      </c>
      <c r="F3900" t="s">
        <v>133</v>
      </c>
      <c r="G3900" t="s">
        <v>151</v>
      </c>
      <c r="H3900" t="s">
        <v>151</v>
      </c>
      <c r="I3900" t="s">
        <v>44</v>
      </c>
      <c r="J3900" t="s">
        <v>45</v>
      </c>
      <c r="K3900" t="s">
        <v>29</v>
      </c>
      <c r="L3900" t="s">
        <v>30</v>
      </c>
      <c r="M3900" t="s">
        <v>139</v>
      </c>
      <c r="N3900">
        <v>1991</v>
      </c>
      <c r="O3900" s="14">
        <v>0.39536878094077099</v>
      </c>
      <c r="P3900" s="14">
        <v>0.16286319401115201</v>
      </c>
      <c r="Q3900" t="str">
        <f t="shared" si="120"/>
        <v>50+</v>
      </c>
      <c r="R3900" t="str">
        <f t="shared" si="121"/>
        <v>[JQKLKuVuY61]|50+|Female|Incidence_SUBNAT.Rt.T_1|CY2023Q3</v>
      </c>
    </row>
    <row r="3901" spans="4:18" x14ac:dyDescent="0.2">
      <c r="D3901" t="s">
        <v>131</v>
      </c>
      <c r="E3901" t="s">
        <v>132</v>
      </c>
      <c r="F3901" t="s">
        <v>133</v>
      </c>
      <c r="G3901" t="s">
        <v>151</v>
      </c>
      <c r="H3901" t="s">
        <v>151</v>
      </c>
      <c r="I3901" t="s">
        <v>27</v>
      </c>
      <c r="J3901" t="s">
        <v>28</v>
      </c>
      <c r="K3901" t="s">
        <v>47</v>
      </c>
      <c r="L3901" t="s">
        <v>48</v>
      </c>
      <c r="M3901" t="s">
        <v>139</v>
      </c>
      <c r="N3901">
        <v>1921</v>
      </c>
      <c r="O3901" s="14">
        <v>0.15702816937118799</v>
      </c>
      <c r="P3901" s="14">
        <v>0.16286319401115201</v>
      </c>
      <c r="Q3901" t="str">
        <f t="shared" si="120"/>
        <v>&lt;01</v>
      </c>
      <c r="R3901" t="str">
        <f t="shared" si="121"/>
        <v>[JQKLKuVuY61]|&lt;01|Male|Incidence_SUBNAT.Rt.T_1|CY2023Q3</v>
      </c>
    </row>
    <row r="3902" spans="4:18" x14ac:dyDescent="0.2">
      <c r="D3902" t="s">
        <v>131</v>
      </c>
      <c r="E3902" t="s">
        <v>132</v>
      </c>
      <c r="F3902" t="s">
        <v>133</v>
      </c>
      <c r="G3902" t="s">
        <v>151</v>
      </c>
      <c r="H3902" t="s">
        <v>151</v>
      </c>
      <c r="I3902" t="s">
        <v>32</v>
      </c>
      <c r="J3902" t="s">
        <v>33</v>
      </c>
      <c r="K3902" t="s">
        <v>47</v>
      </c>
      <c r="L3902" t="s">
        <v>48</v>
      </c>
      <c r="M3902" t="s">
        <v>139</v>
      </c>
      <c r="N3902">
        <v>668</v>
      </c>
      <c r="O3902" s="14">
        <v>0.29690171498805301</v>
      </c>
      <c r="P3902" s="14">
        <v>0.16286319401115201</v>
      </c>
      <c r="Q3902" t="str">
        <f t="shared" si="120"/>
        <v>01-09</v>
      </c>
      <c r="R3902" t="str">
        <f t="shared" si="121"/>
        <v>[JQKLKuVuY61]|01-09|Male|Incidence_SUBNAT.Rt.T_1|CY2023Q3</v>
      </c>
    </row>
    <row r="3903" spans="4:18" x14ac:dyDescent="0.2">
      <c r="D3903" t="s">
        <v>131</v>
      </c>
      <c r="E3903" t="s">
        <v>132</v>
      </c>
      <c r="F3903" t="s">
        <v>133</v>
      </c>
      <c r="G3903" t="s">
        <v>151</v>
      </c>
      <c r="H3903" t="s">
        <v>151</v>
      </c>
      <c r="I3903" t="s">
        <v>35</v>
      </c>
      <c r="J3903" t="s">
        <v>36</v>
      </c>
      <c r="K3903" t="s">
        <v>47</v>
      </c>
      <c r="L3903" t="s">
        <v>48</v>
      </c>
      <c r="M3903" t="s">
        <v>139</v>
      </c>
      <c r="N3903">
        <v>1037</v>
      </c>
      <c r="O3903" s="14">
        <v>0.76382344448938999</v>
      </c>
      <c r="P3903" s="14">
        <v>0.16286319401115201</v>
      </c>
      <c r="Q3903" t="str">
        <f t="shared" si="120"/>
        <v>10-14</v>
      </c>
      <c r="R3903" t="str">
        <f t="shared" si="121"/>
        <v>[JQKLKuVuY61]|10-14|Male|Incidence_SUBNAT.Rt.T_1|CY2023Q3</v>
      </c>
    </row>
    <row r="3904" spans="4:18" x14ac:dyDescent="0.2">
      <c r="D3904" t="s">
        <v>131</v>
      </c>
      <c r="E3904" t="s">
        <v>132</v>
      </c>
      <c r="F3904" t="s">
        <v>133</v>
      </c>
      <c r="G3904" t="s">
        <v>151</v>
      </c>
      <c r="H3904" t="s">
        <v>151</v>
      </c>
      <c r="I3904" t="s">
        <v>37</v>
      </c>
      <c r="J3904" t="s">
        <v>38</v>
      </c>
      <c r="K3904" t="s">
        <v>47</v>
      </c>
      <c r="L3904" t="s">
        <v>48</v>
      </c>
      <c r="M3904" t="s">
        <v>139</v>
      </c>
      <c r="N3904">
        <v>1558</v>
      </c>
      <c r="O3904" s="14">
        <v>0.22722974256612399</v>
      </c>
      <c r="P3904" s="14">
        <v>0.16286319401115201</v>
      </c>
      <c r="Q3904" t="str">
        <f t="shared" si="120"/>
        <v>15-24</v>
      </c>
      <c r="R3904" t="str">
        <f t="shared" si="121"/>
        <v>[JQKLKuVuY61]|15-24|Male|Incidence_SUBNAT.Rt.T_1|CY2023Q3</v>
      </c>
    </row>
    <row r="3905" spans="4:18" x14ac:dyDescent="0.2">
      <c r="D3905" t="s">
        <v>131</v>
      </c>
      <c r="E3905" t="s">
        <v>132</v>
      </c>
      <c r="F3905" t="s">
        <v>133</v>
      </c>
      <c r="G3905" t="s">
        <v>151</v>
      </c>
      <c r="H3905" t="s">
        <v>151</v>
      </c>
      <c r="I3905" t="s">
        <v>40</v>
      </c>
      <c r="J3905" t="s">
        <v>41</v>
      </c>
      <c r="K3905" t="s">
        <v>47</v>
      </c>
      <c r="L3905" t="s">
        <v>48</v>
      </c>
      <c r="M3905" t="s">
        <v>139</v>
      </c>
      <c r="N3905">
        <v>1163</v>
      </c>
      <c r="O3905" s="14">
        <v>0.98541953461244702</v>
      </c>
      <c r="P3905" s="14">
        <v>0.16286319401115201</v>
      </c>
      <c r="Q3905" t="str">
        <f t="shared" si="120"/>
        <v>25-34</v>
      </c>
      <c r="R3905" t="str">
        <f t="shared" si="121"/>
        <v>[JQKLKuVuY61]|25-34|Male|Incidence_SUBNAT.Rt.T_1|CY2023Q3</v>
      </c>
    </row>
    <row r="3906" spans="4:18" x14ac:dyDescent="0.2">
      <c r="D3906" t="s">
        <v>131</v>
      </c>
      <c r="E3906" t="s">
        <v>132</v>
      </c>
      <c r="F3906" t="s">
        <v>133</v>
      </c>
      <c r="G3906" t="s">
        <v>151</v>
      </c>
      <c r="H3906" t="s">
        <v>151</v>
      </c>
      <c r="I3906" t="s">
        <v>42</v>
      </c>
      <c r="J3906" t="s">
        <v>43</v>
      </c>
      <c r="K3906" t="s">
        <v>47</v>
      </c>
      <c r="L3906" t="s">
        <v>48</v>
      </c>
      <c r="M3906" t="s">
        <v>139</v>
      </c>
      <c r="N3906">
        <v>907</v>
      </c>
      <c r="O3906" s="14">
        <v>0.89992354460991897</v>
      </c>
      <c r="P3906" s="14">
        <v>0.16286319401115201</v>
      </c>
      <c r="Q3906" t="str">
        <f t="shared" ref="Q3906:Q3969" si="122">SUBSTITUTE(SUBSTITUTE($I3906,CHAR(61),""),CHAR(34),"")</f>
        <v>35-49</v>
      </c>
      <c r="R3906" t="str">
        <f t="shared" ref="R3906:R3969" si="123">IF($D3906&lt;&gt;"","["&amp;$E3906&amp;"]"&amp;"|"&amp;$Q3906&amp;"|"&amp;$K3906&amp;"|"&amp;$G3906&amp;"|"&amp;IF($G3906="TX_CURR_SUBNAT.R","CY2022Q4",$M3906),"")</f>
        <v>[JQKLKuVuY61]|35-49|Male|Incidence_SUBNAT.Rt.T_1|CY2023Q3</v>
      </c>
    </row>
    <row r="3907" spans="4:18" x14ac:dyDescent="0.2">
      <c r="D3907" t="s">
        <v>131</v>
      </c>
      <c r="E3907" t="s">
        <v>132</v>
      </c>
      <c r="F3907" t="s">
        <v>133</v>
      </c>
      <c r="G3907" t="s">
        <v>151</v>
      </c>
      <c r="H3907" t="s">
        <v>151</v>
      </c>
      <c r="I3907" t="s">
        <v>44</v>
      </c>
      <c r="J3907" t="s">
        <v>45</v>
      </c>
      <c r="K3907" t="s">
        <v>47</v>
      </c>
      <c r="L3907" t="s">
        <v>48</v>
      </c>
      <c r="M3907" t="s">
        <v>139</v>
      </c>
      <c r="N3907">
        <v>1143</v>
      </c>
      <c r="O3907" s="14">
        <v>0.83331518736667898</v>
      </c>
      <c r="P3907" s="14">
        <v>0.16286319401115201</v>
      </c>
      <c r="Q3907" t="str">
        <f t="shared" si="122"/>
        <v>50+</v>
      </c>
      <c r="R3907" t="str">
        <f t="shared" si="123"/>
        <v>[JQKLKuVuY61]|50+|Male|Incidence_SUBNAT.Rt.T_1|CY2023Q3</v>
      </c>
    </row>
    <row r="3908" spans="4:18" x14ac:dyDescent="0.2">
      <c r="D3908" t="s">
        <v>134</v>
      </c>
      <c r="E3908" t="s">
        <v>135</v>
      </c>
      <c r="F3908" t="s">
        <v>136</v>
      </c>
      <c r="G3908" t="s">
        <v>151</v>
      </c>
      <c r="H3908" t="s">
        <v>151</v>
      </c>
      <c r="I3908" t="s">
        <v>27</v>
      </c>
      <c r="J3908" t="s">
        <v>28</v>
      </c>
      <c r="K3908" t="s">
        <v>29</v>
      </c>
      <c r="L3908" t="s">
        <v>30</v>
      </c>
      <c r="M3908" t="s">
        <v>139</v>
      </c>
      <c r="N3908">
        <v>1202</v>
      </c>
      <c r="O3908" s="14">
        <v>0.66445754352025699</v>
      </c>
      <c r="P3908" s="14">
        <v>0.95530052832327805</v>
      </c>
      <c r="Q3908" t="str">
        <f t="shared" si="122"/>
        <v>&lt;01</v>
      </c>
      <c r="R3908" t="str">
        <f t="shared" si="123"/>
        <v>[fiRkU6gEjLz]|&lt;01|Female|Incidence_SUBNAT.Rt.T_1|CY2023Q3</v>
      </c>
    </row>
    <row r="3909" spans="4:18" x14ac:dyDescent="0.2">
      <c r="D3909" t="s">
        <v>134</v>
      </c>
      <c r="E3909" t="s">
        <v>135</v>
      </c>
      <c r="F3909" t="s">
        <v>136</v>
      </c>
      <c r="G3909" t="s">
        <v>151</v>
      </c>
      <c r="H3909" t="s">
        <v>151</v>
      </c>
      <c r="I3909" t="s">
        <v>32</v>
      </c>
      <c r="J3909" t="s">
        <v>33</v>
      </c>
      <c r="K3909" t="s">
        <v>29</v>
      </c>
      <c r="L3909" t="s">
        <v>30</v>
      </c>
      <c r="M3909" t="s">
        <v>139</v>
      </c>
      <c r="N3909">
        <v>940</v>
      </c>
      <c r="O3909" s="14">
        <v>0.93797434982843697</v>
      </c>
      <c r="P3909" s="14">
        <v>0.95530052832327805</v>
      </c>
      <c r="Q3909" t="str">
        <f t="shared" si="122"/>
        <v>01-09</v>
      </c>
      <c r="R3909" t="str">
        <f t="shared" si="123"/>
        <v>[fiRkU6gEjLz]|01-09|Female|Incidence_SUBNAT.Rt.T_1|CY2023Q3</v>
      </c>
    </row>
    <row r="3910" spans="4:18" x14ac:dyDescent="0.2">
      <c r="D3910" t="s">
        <v>134</v>
      </c>
      <c r="E3910" t="s">
        <v>135</v>
      </c>
      <c r="F3910" t="s">
        <v>136</v>
      </c>
      <c r="G3910" t="s">
        <v>151</v>
      </c>
      <c r="H3910" t="s">
        <v>151</v>
      </c>
      <c r="I3910" t="s">
        <v>35</v>
      </c>
      <c r="J3910" t="s">
        <v>36</v>
      </c>
      <c r="K3910" t="s">
        <v>29</v>
      </c>
      <c r="L3910" t="s">
        <v>30</v>
      </c>
      <c r="M3910" t="s">
        <v>139</v>
      </c>
      <c r="N3910">
        <v>1565</v>
      </c>
      <c r="O3910" s="14">
        <v>0.61208458058536097</v>
      </c>
      <c r="P3910" s="14">
        <v>0.95530052832327805</v>
      </c>
      <c r="Q3910" t="str">
        <f t="shared" si="122"/>
        <v>10-14</v>
      </c>
      <c r="R3910" t="str">
        <f t="shared" si="123"/>
        <v>[fiRkU6gEjLz]|10-14|Female|Incidence_SUBNAT.Rt.T_1|CY2023Q3</v>
      </c>
    </row>
    <row r="3911" spans="4:18" x14ac:dyDescent="0.2">
      <c r="D3911" t="s">
        <v>134</v>
      </c>
      <c r="E3911" t="s">
        <v>135</v>
      </c>
      <c r="F3911" t="s">
        <v>136</v>
      </c>
      <c r="G3911" t="s">
        <v>151</v>
      </c>
      <c r="H3911" t="s">
        <v>151</v>
      </c>
      <c r="I3911" t="s">
        <v>37</v>
      </c>
      <c r="J3911" t="s">
        <v>38</v>
      </c>
      <c r="K3911" t="s">
        <v>29</v>
      </c>
      <c r="L3911" t="s">
        <v>30</v>
      </c>
      <c r="M3911" t="s">
        <v>139</v>
      </c>
      <c r="N3911">
        <v>792</v>
      </c>
      <c r="O3911" s="14">
        <v>0.42400520690716798</v>
      </c>
      <c r="P3911" s="14">
        <v>0.95530052832327805</v>
      </c>
      <c r="Q3911" t="str">
        <f t="shared" si="122"/>
        <v>15-24</v>
      </c>
      <c r="R3911" t="str">
        <f t="shared" si="123"/>
        <v>[fiRkU6gEjLz]|15-24|Female|Incidence_SUBNAT.Rt.T_1|CY2023Q3</v>
      </c>
    </row>
    <row r="3912" spans="4:18" x14ac:dyDescent="0.2">
      <c r="D3912" t="s">
        <v>134</v>
      </c>
      <c r="E3912" t="s">
        <v>135</v>
      </c>
      <c r="F3912" t="s">
        <v>136</v>
      </c>
      <c r="G3912" t="s">
        <v>151</v>
      </c>
      <c r="H3912" t="s">
        <v>151</v>
      </c>
      <c r="I3912" t="s">
        <v>40</v>
      </c>
      <c r="J3912" t="s">
        <v>41</v>
      </c>
      <c r="K3912" t="s">
        <v>29</v>
      </c>
      <c r="L3912" t="s">
        <v>30</v>
      </c>
      <c r="M3912" t="s">
        <v>139</v>
      </c>
      <c r="N3912">
        <v>1135</v>
      </c>
      <c r="O3912" s="14">
        <v>0.18914316105656301</v>
      </c>
      <c r="P3912" s="14">
        <v>0.95530052832327805</v>
      </c>
      <c r="Q3912" t="str">
        <f t="shared" si="122"/>
        <v>25-34</v>
      </c>
      <c r="R3912" t="str">
        <f t="shared" si="123"/>
        <v>[fiRkU6gEjLz]|25-34|Female|Incidence_SUBNAT.Rt.T_1|CY2023Q3</v>
      </c>
    </row>
    <row r="3913" spans="4:18" x14ac:dyDescent="0.2">
      <c r="D3913" t="s">
        <v>134</v>
      </c>
      <c r="E3913" t="s">
        <v>135</v>
      </c>
      <c r="F3913" t="s">
        <v>136</v>
      </c>
      <c r="G3913" t="s">
        <v>151</v>
      </c>
      <c r="H3913" t="s">
        <v>151</v>
      </c>
      <c r="I3913" t="s">
        <v>42</v>
      </c>
      <c r="J3913" t="s">
        <v>43</v>
      </c>
      <c r="K3913" t="s">
        <v>29</v>
      </c>
      <c r="L3913" t="s">
        <v>30</v>
      </c>
      <c r="M3913" t="s">
        <v>139</v>
      </c>
      <c r="N3913">
        <v>514</v>
      </c>
      <c r="O3913" s="14">
        <v>0.68389729107730102</v>
      </c>
      <c r="P3913" s="14">
        <v>0.95530052832327805</v>
      </c>
      <c r="Q3913" t="str">
        <f t="shared" si="122"/>
        <v>35-49</v>
      </c>
      <c r="R3913" t="str">
        <f t="shared" si="123"/>
        <v>[fiRkU6gEjLz]|35-49|Female|Incidence_SUBNAT.Rt.T_1|CY2023Q3</v>
      </c>
    </row>
    <row r="3914" spans="4:18" x14ac:dyDescent="0.2">
      <c r="D3914" t="s">
        <v>134</v>
      </c>
      <c r="E3914" t="s">
        <v>135</v>
      </c>
      <c r="F3914" t="s">
        <v>136</v>
      </c>
      <c r="G3914" t="s">
        <v>151</v>
      </c>
      <c r="H3914" t="s">
        <v>151</v>
      </c>
      <c r="I3914" t="s">
        <v>44</v>
      </c>
      <c r="J3914" t="s">
        <v>45</v>
      </c>
      <c r="K3914" t="s">
        <v>29</v>
      </c>
      <c r="L3914" t="s">
        <v>30</v>
      </c>
      <c r="M3914" t="s">
        <v>139</v>
      </c>
      <c r="N3914">
        <v>840</v>
      </c>
      <c r="O3914" s="14">
        <v>5.14644992072135E-2</v>
      </c>
      <c r="P3914" s="14">
        <v>0.95530052832327805</v>
      </c>
      <c r="Q3914" t="str">
        <f t="shared" si="122"/>
        <v>50+</v>
      </c>
      <c r="R3914" t="str">
        <f t="shared" si="123"/>
        <v>[fiRkU6gEjLz]|50+|Female|Incidence_SUBNAT.Rt.T_1|CY2023Q3</v>
      </c>
    </row>
    <row r="3915" spans="4:18" x14ac:dyDescent="0.2">
      <c r="D3915" t="s">
        <v>134</v>
      </c>
      <c r="E3915" t="s">
        <v>135</v>
      </c>
      <c r="F3915" t="s">
        <v>136</v>
      </c>
      <c r="G3915" t="s">
        <v>151</v>
      </c>
      <c r="H3915" t="s">
        <v>151</v>
      </c>
      <c r="I3915" t="s">
        <v>27</v>
      </c>
      <c r="J3915" t="s">
        <v>28</v>
      </c>
      <c r="K3915" t="s">
        <v>47</v>
      </c>
      <c r="L3915" t="s">
        <v>48</v>
      </c>
      <c r="M3915" t="s">
        <v>139</v>
      </c>
      <c r="N3915">
        <v>1523</v>
      </c>
      <c r="O3915" s="14">
        <v>0.49132105777971402</v>
      </c>
      <c r="P3915" s="14">
        <v>0.95530052832327805</v>
      </c>
      <c r="Q3915" t="str">
        <f t="shared" si="122"/>
        <v>&lt;01</v>
      </c>
      <c r="R3915" t="str">
        <f t="shared" si="123"/>
        <v>[fiRkU6gEjLz]|&lt;01|Male|Incidence_SUBNAT.Rt.T_1|CY2023Q3</v>
      </c>
    </row>
    <row r="3916" spans="4:18" x14ac:dyDescent="0.2">
      <c r="D3916" t="s">
        <v>134</v>
      </c>
      <c r="E3916" t="s">
        <v>135</v>
      </c>
      <c r="F3916" t="s">
        <v>136</v>
      </c>
      <c r="G3916" t="s">
        <v>151</v>
      </c>
      <c r="H3916" t="s">
        <v>151</v>
      </c>
      <c r="I3916" t="s">
        <v>32</v>
      </c>
      <c r="J3916" t="s">
        <v>33</v>
      </c>
      <c r="K3916" t="s">
        <v>47</v>
      </c>
      <c r="L3916" t="s">
        <v>48</v>
      </c>
      <c r="M3916" t="s">
        <v>139</v>
      </c>
      <c r="N3916">
        <v>1528</v>
      </c>
      <c r="O3916" s="14">
        <v>0.35572018707171099</v>
      </c>
      <c r="P3916" s="14">
        <v>0.95530052832327805</v>
      </c>
      <c r="Q3916" t="str">
        <f t="shared" si="122"/>
        <v>01-09</v>
      </c>
      <c r="R3916" t="str">
        <f t="shared" si="123"/>
        <v>[fiRkU6gEjLz]|01-09|Male|Incidence_SUBNAT.Rt.T_1|CY2023Q3</v>
      </c>
    </row>
    <row r="3917" spans="4:18" x14ac:dyDescent="0.2">
      <c r="D3917" t="s">
        <v>134</v>
      </c>
      <c r="E3917" t="s">
        <v>135</v>
      </c>
      <c r="F3917" t="s">
        <v>136</v>
      </c>
      <c r="G3917" t="s">
        <v>151</v>
      </c>
      <c r="H3917" t="s">
        <v>151</v>
      </c>
      <c r="I3917" t="s">
        <v>35</v>
      </c>
      <c r="J3917" t="s">
        <v>36</v>
      </c>
      <c r="K3917" t="s">
        <v>47</v>
      </c>
      <c r="L3917" t="s">
        <v>48</v>
      </c>
      <c r="M3917" t="s">
        <v>139</v>
      </c>
      <c r="N3917">
        <v>1111</v>
      </c>
      <c r="O3917" s="14">
        <v>0.65549970208667196</v>
      </c>
      <c r="P3917" s="14">
        <v>0.95530052832327805</v>
      </c>
      <c r="Q3917" t="str">
        <f t="shared" si="122"/>
        <v>10-14</v>
      </c>
      <c r="R3917" t="str">
        <f t="shared" si="123"/>
        <v>[fiRkU6gEjLz]|10-14|Male|Incidence_SUBNAT.Rt.T_1|CY2023Q3</v>
      </c>
    </row>
    <row r="3918" spans="4:18" x14ac:dyDescent="0.2">
      <c r="D3918" t="s">
        <v>134</v>
      </c>
      <c r="E3918" t="s">
        <v>135</v>
      </c>
      <c r="F3918" t="s">
        <v>136</v>
      </c>
      <c r="G3918" t="s">
        <v>151</v>
      </c>
      <c r="H3918" t="s">
        <v>151</v>
      </c>
      <c r="I3918" t="s">
        <v>37</v>
      </c>
      <c r="J3918" t="s">
        <v>38</v>
      </c>
      <c r="K3918" t="s">
        <v>47</v>
      </c>
      <c r="L3918" t="s">
        <v>48</v>
      </c>
      <c r="M3918" t="s">
        <v>139</v>
      </c>
      <c r="N3918">
        <v>1562</v>
      </c>
      <c r="O3918" s="14">
        <v>0.48119869176298402</v>
      </c>
      <c r="P3918" s="14">
        <v>0.95530052832327805</v>
      </c>
      <c r="Q3918" t="str">
        <f t="shared" si="122"/>
        <v>15-24</v>
      </c>
      <c r="R3918" t="str">
        <f t="shared" si="123"/>
        <v>[fiRkU6gEjLz]|15-24|Male|Incidence_SUBNAT.Rt.T_1|CY2023Q3</v>
      </c>
    </row>
    <row r="3919" spans="4:18" x14ac:dyDescent="0.2">
      <c r="D3919" t="s">
        <v>134</v>
      </c>
      <c r="E3919" t="s">
        <v>135</v>
      </c>
      <c r="F3919" t="s">
        <v>136</v>
      </c>
      <c r="G3919" t="s">
        <v>151</v>
      </c>
      <c r="H3919" t="s">
        <v>151</v>
      </c>
      <c r="I3919" t="s">
        <v>40</v>
      </c>
      <c r="J3919" t="s">
        <v>41</v>
      </c>
      <c r="K3919" t="s">
        <v>47</v>
      </c>
      <c r="L3919" t="s">
        <v>48</v>
      </c>
      <c r="M3919" t="s">
        <v>139</v>
      </c>
      <c r="N3919">
        <v>1094</v>
      </c>
      <c r="O3919" s="14">
        <v>0.66391632379964005</v>
      </c>
      <c r="P3919" s="14">
        <v>0.95530052832327805</v>
      </c>
      <c r="Q3919" t="str">
        <f t="shared" si="122"/>
        <v>25-34</v>
      </c>
      <c r="R3919" t="str">
        <f t="shared" si="123"/>
        <v>[fiRkU6gEjLz]|25-34|Male|Incidence_SUBNAT.Rt.T_1|CY2023Q3</v>
      </c>
    </row>
    <row r="3920" spans="4:18" x14ac:dyDescent="0.2">
      <c r="D3920" t="s">
        <v>134</v>
      </c>
      <c r="E3920" t="s">
        <v>135</v>
      </c>
      <c r="F3920" t="s">
        <v>136</v>
      </c>
      <c r="G3920" t="s">
        <v>151</v>
      </c>
      <c r="H3920" t="s">
        <v>151</v>
      </c>
      <c r="I3920" t="s">
        <v>42</v>
      </c>
      <c r="J3920" t="s">
        <v>43</v>
      </c>
      <c r="K3920" t="s">
        <v>47</v>
      </c>
      <c r="L3920" t="s">
        <v>48</v>
      </c>
      <c r="M3920" t="s">
        <v>139</v>
      </c>
      <c r="N3920">
        <v>1750</v>
      </c>
      <c r="O3920" s="14">
        <v>0.43563701887614997</v>
      </c>
      <c r="P3920" s="14">
        <v>0.95530052832327805</v>
      </c>
      <c r="Q3920" t="str">
        <f t="shared" si="122"/>
        <v>35-49</v>
      </c>
      <c r="R3920" t="str">
        <f t="shared" si="123"/>
        <v>[fiRkU6gEjLz]|35-49|Male|Incidence_SUBNAT.Rt.T_1|CY2023Q3</v>
      </c>
    </row>
    <row r="3921" spans="4:18" x14ac:dyDescent="0.2">
      <c r="D3921" t="s">
        <v>134</v>
      </c>
      <c r="E3921" t="s">
        <v>135</v>
      </c>
      <c r="F3921" t="s">
        <v>136</v>
      </c>
      <c r="G3921" t="s">
        <v>151</v>
      </c>
      <c r="H3921" t="s">
        <v>151</v>
      </c>
      <c r="I3921" t="s">
        <v>44</v>
      </c>
      <c r="J3921" t="s">
        <v>45</v>
      </c>
      <c r="K3921" t="s">
        <v>47</v>
      </c>
      <c r="L3921" t="s">
        <v>48</v>
      </c>
      <c r="M3921" t="s">
        <v>139</v>
      </c>
      <c r="N3921">
        <v>807</v>
      </c>
      <c r="O3921" s="14">
        <v>0.19666633731685601</v>
      </c>
      <c r="P3921" s="14">
        <v>0.95530052832327805</v>
      </c>
      <c r="Q3921" t="str">
        <f t="shared" si="122"/>
        <v>50+</v>
      </c>
      <c r="R3921" t="str">
        <f t="shared" si="123"/>
        <v>[fiRkU6gEjLz]|50+|Male|Incidence_SUBNAT.Rt.T_1|CY2023Q3</v>
      </c>
    </row>
    <row r="3922" spans="4:18" x14ac:dyDescent="0.2">
      <c r="D3922" t="s">
        <v>22</v>
      </c>
      <c r="E3922" t="s">
        <v>23</v>
      </c>
      <c r="F3922" t="s">
        <v>24</v>
      </c>
      <c r="G3922" t="s">
        <v>152</v>
      </c>
      <c r="H3922" t="s">
        <v>152</v>
      </c>
      <c r="I3922" t="s">
        <v>27</v>
      </c>
      <c r="J3922" t="s">
        <v>28</v>
      </c>
      <c r="K3922" t="s">
        <v>29</v>
      </c>
      <c r="L3922" t="s">
        <v>30</v>
      </c>
      <c r="M3922" t="s">
        <v>139</v>
      </c>
      <c r="N3922">
        <v>605</v>
      </c>
      <c r="O3922" s="14">
        <v>0.82062971079722002</v>
      </c>
      <c r="P3922" s="14">
        <v>0.40435861097648701</v>
      </c>
      <c r="Q3922" t="str">
        <f t="shared" si="122"/>
        <v>&lt;01</v>
      </c>
      <c r="R3922" t="str">
        <f t="shared" si="123"/>
        <v>[GkIwZrXy1h2]|&lt;01|Female|NEW_INFECTIONS_SUBNAT.T_1|CY2023Q3</v>
      </c>
    </row>
    <row r="3923" spans="4:18" x14ac:dyDescent="0.2">
      <c r="D3923" t="s">
        <v>22</v>
      </c>
      <c r="E3923" t="s">
        <v>23</v>
      </c>
      <c r="F3923" t="s">
        <v>24</v>
      </c>
      <c r="G3923" t="s">
        <v>152</v>
      </c>
      <c r="H3923" t="s">
        <v>152</v>
      </c>
      <c r="I3923" t="s">
        <v>32</v>
      </c>
      <c r="J3923" t="s">
        <v>33</v>
      </c>
      <c r="K3923" t="s">
        <v>29</v>
      </c>
      <c r="L3923" t="s">
        <v>30</v>
      </c>
      <c r="M3923" t="s">
        <v>139</v>
      </c>
      <c r="N3923">
        <v>1934</v>
      </c>
      <c r="O3923" s="14">
        <v>0.58218740532174695</v>
      </c>
      <c r="P3923" s="14">
        <v>0.40435861097648701</v>
      </c>
      <c r="Q3923" t="str">
        <f t="shared" si="122"/>
        <v>01-09</v>
      </c>
      <c r="R3923" t="str">
        <f t="shared" si="123"/>
        <v>[GkIwZrXy1h2]|01-09|Female|NEW_INFECTIONS_SUBNAT.T_1|CY2023Q3</v>
      </c>
    </row>
    <row r="3924" spans="4:18" x14ac:dyDescent="0.2">
      <c r="D3924" t="s">
        <v>22</v>
      </c>
      <c r="E3924" t="s">
        <v>23</v>
      </c>
      <c r="F3924" t="s">
        <v>24</v>
      </c>
      <c r="G3924" t="s">
        <v>152</v>
      </c>
      <c r="H3924" t="s">
        <v>152</v>
      </c>
      <c r="I3924" t="s">
        <v>35</v>
      </c>
      <c r="J3924" t="s">
        <v>36</v>
      </c>
      <c r="K3924" t="s">
        <v>29</v>
      </c>
      <c r="L3924" t="s">
        <v>30</v>
      </c>
      <c r="M3924" t="s">
        <v>139</v>
      </c>
      <c r="N3924">
        <v>632</v>
      </c>
      <c r="O3924" s="14">
        <v>0.67082963697612297</v>
      </c>
      <c r="P3924" s="14">
        <v>0.40435861097648701</v>
      </c>
      <c r="Q3924" t="str">
        <f t="shared" si="122"/>
        <v>10-14</v>
      </c>
      <c r="R3924" t="str">
        <f t="shared" si="123"/>
        <v>[GkIwZrXy1h2]|10-14|Female|NEW_INFECTIONS_SUBNAT.T_1|CY2023Q3</v>
      </c>
    </row>
    <row r="3925" spans="4:18" x14ac:dyDescent="0.2">
      <c r="D3925" t="s">
        <v>22</v>
      </c>
      <c r="E3925" t="s">
        <v>23</v>
      </c>
      <c r="F3925" t="s">
        <v>24</v>
      </c>
      <c r="G3925" t="s">
        <v>152</v>
      </c>
      <c r="H3925" t="s">
        <v>152</v>
      </c>
      <c r="I3925" t="s">
        <v>37</v>
      </c>
      <c r="J3925" t="s">
        <v>38</v>
      </c>
      <c r="K3925" t="s">
        <v>29</v>
      </c>
      <c r="L3925" t="s">
        <v>30</v>
      </c>
      <c r="M3925" t="s">
        <v>139</v>
      </c>
      <c r="N3925">
        <v>1506</v>
      </c>
      <c r="O3925" s="14">
        <v>0.69205901515670099</v>
      </c>
      <c r="P3925" s="14">
        <v>0.40435861097648701</v>
      </c>
      <c r="Q3925" t="str">
        <f t="shared" si="122"/>
        <v>15-24</v>
      </c>
      <c r="R3925" t="str">
        <f t="shared" si="123"/>
        <v>[GkIwZrXy1h2]|15-24|Female|NEW_INFECTIONS_SUBNAT.T_1|CY2023Q3</v>
      </c>
    </row>
    <row r="3926" spans="4:18" x14ac:dyDescent="0.2">
      <c r="D3926" t="s">
        <v>22</v>
      </c>
      <c r="E3926" t="s">
        <v>23</v>
      </c>
      <c r="F3926" t="s">
        <v>24</v>
      </c>
      <c r="G3926" t="s">
        <v>152</v>
      </c>
      <c r="H3926" t="s">
        <v>152</v>
      </c>
      <c r="I3926" t="s">
        <v>40</v>
      </c>
      <c r="J3926" t="s">
        <v>41</v>
      </c>
      <c r="K3926" t="s">
        <v>29</v>
      </c>
      <c r="L3926" t="s">
        <v>30</v>
      </c>
      <c r="M3926" t="s">
        <v>139</v>
      </c>
      <c r="N3926">
        <v>1019</v>
      </c>
      <c r="O3926" s="14">
        <v>0.87719631358049799</v>
      </c>
      <c r="P3926" s="14">
        <v>0.40435861097648701</v>
      </c>
      <c r="Q3926" t="str">
        <f t="shared" si="122"/>
        <v>25-34</v>
      </c>
      <c r="R3926" t="str">
        <f t="shared" si="123"/>
        <v>[GkIwZrXy1h2]|25-34|Female|NEW_INFECTIONS_SUBNAT.T_1|CY2023Q3</v>
      </c>
    </row>
    <row r="3927" spans="4:18" x14ac:dyDescent="0.2">
      <c r="D3927" t="s">
        <v>22</v>
      </c>
      <c r="E3927" t="s">
        <v>23</v>
      </c>
      <c r="F3927" t="s">
        <v>24</v>
      </c>
      <c r="G3927" t="s">
        <v>152</v>
      </c>
      <c r="H3927" t="s">
        <v>152</v>
      </c>
      <c r="I3927" t="s">
        <v>42</v>
      </c>
      <c r="J3927" t="s">
        <v>43</v>
      </c>
      <c r="K3927" t="s">
        <v>29</v>
      </c>
      <c r="L3927" t="s">
        <v>30</v>
      </c>
      <c r="M3927" t="s">
        <v>139</v>
      </c>
      <c r="N3927">
        <v>1935</v>
      </c>
      <c r="O3927" s="14">
        <v>0.45041442220099298</v>
      </c>
      <c r="P3927" s="14">
        <v>0.40435861097648701</v>
      </c>
      <c r="Q3927" t="str">
        <f t="shared" si="122"/>
        <v>35-49</v>
      </c>
      <c r="R3927" t="str">
        <f t="shared" si="123"/>
        <v>[GkIwZrXy1h2]|35-49|Female|NEW_INFECTIONS_SUBNAT.T_1|CY2023Q3</v>
      </c>
    </row>
    <row r="3928" spans="4:18" x14ac:dyDescent="0.2">
      <c r="D3928" t="s">
        <v>22</v>
      </c>
      <c r="E3928" t="s">
        <v>23</v>
      </c>
      <c r="F3928" t="s">
        <v>24</v>
      </c>
      <c r="G3928" t="s">
        <v>152</v>
      </c>
      <c r="H3928" t="s">
        <v>152</v>
      </c>
      <c r="I3928" t="s">
        <v>44</v>
      </c>
      <c r="J3928" t="s">
        <v>45</v>
      </c>
      <c r="K3928" t="s">
        <v>29</v>
      </c>
      <c r="L3928" t="s">
        <v>30</v>
      </c>
      <c r="M3928" t="s">
        <v>139</v>
      </c>
      <c r="N3928">
        <v>824</v>
      </c>
      <c r="O3928" s="14">
        <v>0.52658299659378804</v>
      </c>
      <c r="P3928" s="14">
        <v>0.40435861097648701</v>
      </c>
      <c r="Q3928" t="str">
        <f t="shared" si="122"/>
        <v>50+</v>
      </c>
      <c r="R3928" t="str">
        <f t="shared" si="123"/>
        <v>[GkIwZrXy1h2]|50+|Female|NEW_INFECTIONS_SUBNAT.T_1|CY2023Q3</v>
      </c>
    </row>
    <row r="3929" spans="4:18" x14ac:dyDescent="0.2">
      <c r="D3929" t="s">
        <v>22</v>
      </c>
      <c r="E3929" t="s">
        <v>23</v>
      </c>
      <c r="F3929" t="s">
        <v>24</v>
      </c>
      <c r="G3929" t="s">
        <v>152</v>
      </c>
      <c r="H3929" t="s">
        <v>152</v>
      </c>
      <c r="I3929" t="s">
        <v>27</v>
      </c>
      <c r="J3929" t="s">
        <v>28</v>
      </c>
      <c r="K3929" t="s">
        <v>47</v>
      </c>
      <c r="L3929" t="s">
        <v>48</v>
      </c>
      <c r="M3929" t="s">
        <v>139</v>
      </c>
      <c r="N3929">
        <v>1928</v>
      </c>
      <c r="O3929" s="14">
        <v>0.24075885443016901</v>
      </c>
      <c r="P3929" s="14">
        <v>0.40435861097648701</v>
      </c>
      <c r="Q3929" t="str">
        <f t="shared" si="122"/>
        <v>&lt;01</v>
      </c>
      <c r="R3929" t="str">
        <f t="shared" si="123"/>
        <v>[GkIwZrXy1h2]|&lt;01|Male|NEW_INFECTIONS_SUBNAT.T_1|CY2023Q3</v>
      </c>
    </row>
    <row r="3930" spans="4:18" x14ac:dyDescent="0.2">
      <c r="D3930" t="s">
        <v>22</v>
      </c>
      <c r="E3930" t="s">
        <v>23</v>
      </c>
      <c r="F3930" t="s">
        <v>24</v>
      </c>
      <c r="G3930" t="s">
        <v>152</v>
      </c>
      <c r="H3930" t="s">
        <v>152</v>
      </c>
      <c r="I3930" t="s">
        <v>32</v>
      </c>
      <c r="J3930" t="s">
        <v>33</v>
      </c>
      <c r="K3930" t="s">
        <v>47</v>
      </c>
      <c r="L3930" t="s">
        <v>48</v>
      </c>
      <c r="M3930" t="s">
        <v>139</v>
      </c>
      <c r="N3930">
        <v>948</v>
      </c>
      <c r="O3930" s="14">
        <v>0.83429197175428305</v>
      </c>
      <c r="P3930" s="14">
        <v>0.40435861097648701</v>
      </c>
      <c r="Q3930" t="str">
        <f t="shared" si="122"/>
        <v>01-09</v>
      </c>
      <c r="R3930" t="str">
        <f t="shared" si="123"/>
        <v>[GkIwZrXy1h2]|01-09|Male|NEW_INFECTIONS_SUBNAT.T_1|CY2023Q3</v>
      </c>
    </row>
    <row r="3931" spans="4:18" x14ac:dyDescent="0.2">
      <c r="D3931" t="s">
        <v>22</v>
      </c>
      <c r="E3931" t="s">
        <v>23</v>
      </c>
      <c r="F3931" t="s">
        <v>24</v>
      </c>
      <c r="G3931" t="s">
        <v>152</v>
      </c>
      <c r="H3931" t="s">
        <v>152</v>
      </c>
      <c r="I3931" t="s">
        <v>35</v>
      </c>
      <c r="J3931" t="s">
        <v>36</v>
      </c>
      <c r="K3931" t="s">
        <v>47</v>
      </c>
      <c r="L3931" t="s">
        <v>48</v>
      </c>
      <c r="M3931" t="s">
        <v>139</v>
      </c>
      <c r="N3931">
        <v>966</v>
      </c>
      <c r="O3931" s="14">
        <v>0.46999354870058602</v>
      </c>
      <c r="P3931" s="14">
        <v>0.40435861097648701</v>
      </c>
      <c r="Q3931" t="str">
        <f t="shared" si="122"/>
        <v>10-14</v>
      </c>
      <c r="R3931" t="str">
        <f t="shared" si="123"/>
        <v>[GkIwZrXy1h2]|10-14|Male|NEW_INFECTIONS_SUBNAT.T_1|CY2023Q3</v>
      </c>
    </row>
    <row r="3932" spans="4:18" x14ac:dyDescent="0.2">
      <c r="D3932" t="s">
        <v>22</v>
      </c>
      <c r="E3932" t="s">
        <v>23</v>
      </c>
      <c r="F3932" t="s">
        <v>24</v>
      </c>
      <c r="G3932" t="s">
        <v>152</v>
      </c>
      <c r="H3932" t="s">
        <v>152</v>
      </c>
      <c r="I3932" t="s">
        <v>37</v>
      </c>
      <c r="J3932" t="s">
        <v>38</v>
      </c>
      <c r="K3932" t="s">
        <v>47</v>
      </c>
      <c r="L3932" t="s">
        <v>48</v>
      </c>
      <c r="M3932" t="s">
        <v>139</v>
      </c>
      <c r="N3932">
        <v>623</v>
      </c>
      <c r="O3932" s="14">
        <v>0.58430747408419803</v>
      </c>
      <c r="P3932" s="14">
        <v>0.40435861097648701</v>
      </c>
      <c r="Q3932" t="str">
        <f t="shared" si="122"/>
        <v>15-24</v>
      </c>
      <c r="R3932" t="str">
        <f t="shared" si="123"/>
        <v>[GkIwZrXy1h2]|15-24|Male|NEW_INFECTIONS_SUBNAT.T_1|CY2023Q3</v>
      </c>
    </row>
    <row r="3933" spans="4:18" x14ac:dyDescent="0.2">
      <c r="D3933" t="s">
        <v>22</v>
      </c>
      <c r="E3933" t="s">
        <v>23</v>
      </c>
      <c r="F3933" t="s">
        <v>24</v>
      </c>
      <c r="G3933" t="s">
        <v>152</v>
      </c>
      <c r="H3933" t="s">
        <v>152</v>
      </c>
      <c r="I3933" t="s">
        <v>40</v>
      </c>
      <c r="J3933" t="s">
        <v>41</v>
      </c>
      <c r="K3933" t="s">
        <v>47</v>
      </c>
      <c r="L3933" t="s">
        <v>48</v>
      </c>
      <c r="M3933" t="s">
        <v>139</v>
      </c>
      <c r="N3933">
        <v>1631</v>
      </c>
      <c r="O3933" s="14">
        <v>0.19463076302781701</v>
      </c>
      <c r="P3933" s="14">
        <v>0.40435861097648701</v>
      </c>
      <c r="Q3933" t="str">
        <f t="shared" si="122"/>
        <v>25-34</v>
      </c>
      <c r="R3933" t="str">
        <f t="shared" si="123"/>
        <v>[GkIwZrXy1h2]|25-34|Male|NEW_INFECTIONS_SUBNAT.T_1|CY2023Q3</v>
      </c>
    </row>
    <row r="3934" spans="4:18" x14ac:dyDescent="0.2">
      <c r="D3934" t="s">
        <v>22</v>
      </c>
      <c r="E3934" t="s">
        <v>23</v>
      </c>
      <c r="F3934" t="s">
        <v>24</v>
      </c>
      <c r="G3934" t="s">
        <v>152</v>
      </c>
      <c r="H3934" t="s">
        <v>152</v>
      </c>
      <c r="I3934" t="s">
        <v>42</v>
      </c>
      <c r="J3934" t="s">
        <v>43</v>
      </c>
      <c r="K3934" t="s">
        <v>47</v>
      </c>
      <c r="L3934" t="s">
        <v>48</v>
      </c>
      <c r="M3934" t="s">
        <v>139</v>
      </c>
      <c r="N3934">
        <v>586</v>
      </c>
      <c r="O3934" s="14">
        <v>0.25673199747689102</v>
      </c>
      <c r="P3934" s="14">
        <v>0.40435861097648701</v>
      </c>
      <c r="Q3934" t="str">
        <f t="shared" si="122"/>
        <v>35-49</v>
      </c>
      <c r="R3934" t="str">
        <f t="shared" si="123"/>
        <v>[GkIwZrXy1h2]|35-49|Male|NEW_INFECTIONS_SUBNAT.T_1|CY2023Q3</v>
      </c>
    </row>
    <row r="3935" spans="4:18" x14ac:dyDescent="0.2">
      <c r="D3935" t="s">
        <v>22</v>
      </c>
      <c r="E3935" t="s">
        <v>23</v>
      </c>
      <c r="F3935" t="s">
        <v>24</v>
      </c>
      <c r="G3935" t="s">
        <v>152</v>
      </c>
      <c r="H3935" t="s">
        <v>152</v>
      </c>
      <c r="I3935" t="s">
        <v>44</v>
      </c>
      <c r="J3935" t="s">
        <v>45</v>
      </c>
      <c r="K3935" t="s">
        <v>47</v>
      </c>
      <c r="L3935" t="s">
        <v>48</v>
      </c>
      <c r="M3935" t="s">
        <v>139</v>
      </c>
      <c r="N3935">
        <v>1317</v>
      </c>
      <c r="O3935" s="14">
        <v>0.149486851878464</v>
      </c>
      <c r="P3935" s="14">
        <v>0.40435861097648701</v>
      </c>
      <c r="Q3935" t="str">
        <f t="shared" si="122"/>
        <v>50+</v>
      </c>
      <c r="R3935" t="str">
        <f t="shared" si="123"/>
        <v>[GkIwZrXy1h2]|50+|Male|NEW_INFECTIONS_SUBNAT.T_1|CY2023Q3</v>
      </c>
    </row>
    <row r="3936" spans="4:18" x14ac:dyDescent="0.2">
      <c r="D3936" t="s">
        <v>52</v>
      </c>
      <c r="E3936" t="s">
        <v>53</v>
      </c>
      <c r="F3936" t="s">
        <v>54</v>
      </c>
      <c r="G3936" t="s">
        <v>152</v>
      </c>
      <c r="H3936" t="s">
        <v>152</v>
      </c>
      <c r="I3936" t="s">
        <v>27</v>
      </c>
      <c r="J3936" t="s">
        <v>28</v>
      </c>
      <c r="K3936" t="s">
        <v>29</v>
      </c>
      <c r="L3936" t="s">
        <v>30</v>
      </c>
      <c r="M3936" t="s">
        <v>139</v>
      </c>
      <c r="N3936">
        <v>1839</v>
      </c>
      <c r="O3936" s="14">
        <v>0.41118138609454002</v>
      </c>
      <c r="P3936" s="14">
        <v>0.61639246996492103</v>
      </c>
      <c r="Q3936" t="str">
        <f t="shared" si="122"/>
        <v>&lt;01</v>
      </c>
      <c r="R3936" t="str">
        <f t="shared" si="123"/>
        <v>[zphK9WV8JB4]|&lt;01|Female|NEW_INFECTIONS_SUBNAT.T_1|CY2023Q3</v>
      </c>
    </row>
    <row r="3937" spans="4:18" x14ac:dyDescent="0.2">
      <c r="D3937" t="s">
        <v>52</v>
      </c>
      <c r="E3937" t="s">
        <v>53</v>
      </c>
      <c r="F3937" t="s">
        <v>54</v>
      </c>
      <c r="G3937" t="s">
        <v>152</v>
      </c>
      <c r="H3937" t="s">
        <v>152</v>
      </c>
      <c r="I3937" t="s">
        <v>32</v>
      </c>
      <c r="J3937" t="s">
        <v>33</v>
      </c>
      <c r="K3937" t="s">
        <v>29</v>
      </c>
      <c r="L3937" t="s">
        <v>30</v>
      </c>
      <c r="M3937" t="s">
        <v>139</v>
      </c>
      <c r="N3937">
        <v>829</v>
      </c>
      <c r="O3937" s="14">
        <v>0.47869126568548398</v>
      </c>
      <c r="P3937" s="14">
        <v>0.61639246996492103</v>
      </c>
      <c r="Q3937" t="str">
        <f t="shared" si="122"/>
        <v>01-09</v>
      </c>
      <c r="R3937" t="str">
        <f t="shared" si="123"/>
        <v>[zphK9WV8JB4]|01-09|Female|NEW_INFECTIONS_SUBNAT.T_1|CY2023Q3</v>
      </c>
    </row>
    <row r="3938" spans="4:18" x14ac:dyDescent="0.2">
      <c r="D3938" t="s">
        <v>52</v>
      </c>
      <c r="E3938" t="s">
        <v>53</v>
      </c>
      <c r="F3938" t="s">
        <v>54</v>
      </c>
      <c r="G3938" t="s">
        <v>152</v>
      </c>
      <c r="H3938" t="s">
        <v>152</v>
      </c>
      <c r="I3938" t="s">
        <v>35</v>
      </c>
      <c r="J3938" t="s">
        <v>36</v>
      </c>
      <c r="K3938" t="s">
        <v>29</v>
      </c>
      <c r="L3938" t="s">
        <v>30</v>
      </c>
      <c r="M3938" t="s">
        <v>139</v>
      </c>
      <c r="N3938">
        <v>1631</v>
      </c>
      <c r="O3938" s="14">
        <v>0.93347388901747796</v>
      </c>
      <c r="P3938" s="14">
        <v>0.61639246996492103</v>
      </c>
      <c r="Q3938" t="str">
        <f t="shared" si="122"/>
        <v>10-14</v>
      </c>
      <c r="R3938" t="str">
        <f t="shared" si="123"/>
        <v>[zphK9WV8JB4]|10-14|Female|NEW_INFECTIONS_SUBNAT.T_1|CY2023Q3</v>
      </c>
    </row>
    <row r="3939" spans="4:18" x14ac:dyDescent="0.2">
      <c r="D3939" t="s">
        <v>52</v>
      </c>
      <c r="E3939" t="s">
        <v>53</v>
      </c>
      <c r="F3939" t="s">
        <v>54</v>
      </c>
      <c r="G3939" t="s">
        <v>152</v>
      </c>
      <c r="H3939" t="s">
        <v>152</v>
      </c>
      <c r="I3939" t="s">
        <v>37</v>
      </c>
      <c r="J3939" t="s">
        <v>38</v>
      </c>
      <c r="K3939" t="s">
        <v>29</v>
      </c>
      <c r="L3939" t="s">
        <v>30</v>
      </c>
      <c r="M3939" t="s">
        <v>139</v>
      </c>
      <c r="N3939">
        <v>532</v>
      </c>
      <c r="O3939" s="14">
        <v>0.15103844017721699</v>
      </c>
      <c r="P3939" s="14">
        <v>0.61639246996492103</v>
      </c>
      <c r="Q3939" t="str">
        <f t="shared" si="122"/>
        <v>15-24</v>
      </c>
      <c r="R3939" t="str">
        <f t="shared" si="123"/>
        <v>[zphK9WV8JB4]|15-24|Female|NEW_INFECTIONS_SUBNAT.T_1|CY2023Q3</v>
      </c>
    </row>
    <row r="3940" spans="4:18" x14ac:dyDescent="0.2">
      <c r="D3940" t="s">
        <v>52</v>
      </c>
      <c r="E3940" t="s">
        <v>53</v>
      </c>
      <c r="F3940" t="s">
        <v>54</v>
      </c>
      <c r="G3940" t="s">
        <v>152</v>
      </c>
      <c r="H3940" t="s">
        <v>152</v>
      </c>
      <c r="I3940" t="s">
        <v>40</v>
      </c>
      <c r="J3940" t="s">
        <v>41</v>
      </c>
      <c r="K3940" t="s">
        <v>29</v>
      </c>
      <c r="L3940" t="s">
        <v>30</v>
      </c>
      <c r="M3940" t="s">
        <v>139</v>
      </c>
      <c r="N3940">
        <v>1850</v>
      </c>
      <c r="O3940" s="14">
        <v>0.63546948437578998</v>
      </c>
      <c r="P3940" s="14">
        <v>0.61639246996492103</v>
      </c>
      <c r="Q3940" t="str">
        <f t="shared" si="122"/>
        <v>25-34</v>
      </c>
      <c r="R3940" t="str">
        <f t="shared" si="123"/>
        <v>[zphK9WV8JB4]|25-34|Female|NEW_INFECTIONS_SUBNAT.T_1|CY2023Q3</v>
      </c>
    </row>
    <row r="3941" spans="4:18" x14ac:dyDescent="0.2">
      <c r="D3941" t="s">
        <v>52</v>
      </c>
      <c r="E3941" t="s">
        <v>53</v>
      </c>
      <c r="F3941" t="s">
        <v>54</v>
      </c>
      <c r="G3941" t="s">
        <v>152</v>
      </c>
      <c r="H3941" t="s">
        <v>152</v>
      </c>
      <c r="I3941" t="s">
        <v>42</v>
      </c>
      <c r="J3941" t="s">
        <v>43</v>
      </c>
      <c r="K3941" t="s">
        <v>29</v>
      </c>
      <c r="L3941" t="s">
        <v>30</v>
      </c>
      <c r="M3941" t="s">
        <v>139</v>
      </c>
      <c r="N3941">
        <v>1492</v>
      </c>
      <c r="O3941" s="14">
        <v>0.42227493366226598</v>
      </c>
      <c r="P3941" s="14">
        <v>0.61639246996492103</v>
      </c>
      <c r="Q3941" t="str">
        <f t="shared" si="122"/>
        <v>35-49</v>
      </c>
      <c r="R3941" t="str">
        <f t="shared" si="123"/>
        <v>[zphK9WV8JB4]|35-49|Female|NEW_INFECTIONS_SUBNAT.T_1|CY2023Q3</v>
      </c>
    </row>
    <row r="3942" spans="4:18" x14ac:dyDescent="0.2">
      <c r="D3942" t="s">
        <v>52</v>
      </c>
      <c r="E3942" t="s">
        <v>53</v>
      </c>
      <c r="F3942" t="s">
        <v>54</v>
      </c>
      <c r="G3942" t="s">
        <v>152</v>
      </c>
      <c r="H3942" t="s">
        <v>152</v>
      </c>
      <c r="I3942" t="s">
        <v>44</v>
      </c>
      <c r="J3942" t="s">
        <v>45</v>
      </c>
      <c r="K3942" t="s">
        <v>29</v>
      </c>
      <c r="L3942" t="s">
        <v>30</v>
      </c>
      <c r="M3942" t="s">
        <v>139</v>
      </c>
      <c r="N3942">
        <v>1637</v>
      </c>
      <c r="O3942" s="14">
        <v>0.87749187811277796</v>
      </c>
      <c r="P3942" s="14">
        <v>0.61639246996492103</v>
      </c>
      <c r="Q3942" t="str">
        <f t="shared" si="122"/>
        <v>50+</v>
      </c>
      <c r="R3942" t="str">
        <f t="shared" si="123"/>
        <v>[zphK9WV8JB4]|50+|Female|NEW_INFECTIONS_SUBNAT.T_1|CY2023Q3</v>
      </c>
    </row>
    <row r="3943" spans="4:18" x14ac:dyDescent="0.2">
      <c r="D3943" t="s">
        <v>52</v>
      </c>
      <c r="E3943" t="s">
        <v>53</v>
      </c>
      <c r="F3943" t="s">
        <v>54</v>
      </c>
      <c r="G3943" t="s">
        <v>152</v>
      </c>
      <c r="H3943" t="s">
        <v>152</v>
      </c>
      <c r="I3943" t="s">
        <v>27</v>
      </c>
      <c r="J3943" t="s">
        <v>28</v>
      </c>
      <c r="K3943" t="s">
        <v>47</v>
      </c>
      <c r="L3943" t="s">
        <v>48</v>
      </c>
      <c r="M3943" t="s">
        <v>139</v>
      </c>
      <c r="N3943">
        <v>1854</v>
      </c>
      <c r="O3943" s="14">
        <v>0.29701014677993998</v>
      </c>
      <c r="P3943" s="14">
        <v>0.61639246996492103</v>
      </c>
      <c r="Q3943" t="str">
        <f t="shared" si="122"/>
        <v>&lt;01</v>
      </c>
      <c r="R3943" t="str">
        <f t="shared" si="123"/>
        <v>[zphK9WV8JB4]|&lt;01|Male|NEW_INFECTIONS_SUBNAT.T_1|CY2023Q3</v>
      </c>
    </row>
    <row r="3944" spans="4:18" x14ac:dyDescent="0.2">
      <c r="D3944" t="s">
        <v>52</v>
      </c>
      <c r="E3944" t="s">
        <v>53</v>
      </c>
      <c r="F3944" t="s">
        <v>54</v>
      </c>
      <c r="G3944" t="s">
        <v>152</v>
      </c>
      <c r="H3944" t="s">
        <v>152</v>
      </c>
      <c r="I3944" t="s">
        <v>32</v>
      </c>
      <c r="J3944" t="s">
        <v>33</v>
      </c>
      <c r="K3944" t="s">
        <v>47</v>
      </c>
      <c r="L3944" t="s">
        <v>48</v>
      </c>
      <c r="M3944" t="s">
        <v>139</v>
      </c>
      <c r="N3944">
        <v>622</v>
      </c>
      <c r="O3944" s="14">
        <v>0.44089283933862999</v>
      </c>
      <c r="P3944" s="14">
        <v>0.61639246996492103</v>
      </c>
      <c r="Q3944" t="str">
        <f t="shared" si="122"/>
        <v>01-09</v>
      </c>
      <c r="R3944" t="str">
        <f t="shared" si="123"/>
        <v>[zphK9WV8JB4]|01-09|Male|NEW_INFECTIONS_SUBNAT.T_1|CY2023Q3</v>
      </c>
    </row>
    <row r="3945" spans="4:18" x14ac:dyDescent="0.2">
      <c r="D3945" t="s">
        <v>52</v>
      </c>
      <c r="E3945" t="s">
        <v>53</v>
      </c>
      <c r="F3945" t="s">
        <v>54</v>
      </c>
      <c r="G3945" t="s">
        <v>152</v>
      </c>
      <c r="H3945" t="s">
        <v>152</v>
      </c>
      <c r="I3945" t="s">
        <v>35</v>
      </c>
      <c r="J3945" t="s">
        <v>36</v>
      </c>
      <c r="K3945" t="s">
        <v>47</v>
      </c>
      <c r="L3945" t="s">
        <v>48</v>
      </c>
      <c r="M3945" t="s">
        <v>139</v>
      </c>
      <c r="N3945">
        <v>1304</v>
      </c>
      <c r="O3945" s="14">
        <v>0.36456532380543599</v>
      </c>
      <c r="P3945" s="14">
        <v>0.61639246996492103</v>
      </c>
      <c r="Q3945" t="str">
        <f t="shared" si="122"/>
        <v>10-14</v>
      </c>
      <c r="R3945" t="str">
        <f t="shared" si="123"/>
        <v>[zphK9WV8JB4]|10-14|Male|NEW_INFECTIONS_SUBNAT.T_1|CY2023Q3</v>
      </c>
    </row>
    <row r="3946" spans="4:18" x14ac:dyDescent="0.2">
      <c r="D3946" t="s">
        <v>52</v>
      </c>
      <c r="E3946" t="s">
        <v>53</v>
      </c>
      <c r="F3946" t="s">
        <v>54</v>
      </c>
      <c r="G3946" t="s">
        <v>152</v>
      </c>
      <c r="H3946" t="s">
        <v>152</v>
      </c>
      <c r="I3946" t="s">
        <v>37</v>
      </c>
      <c r="J3946" t="s">
        <v>38</v>
      </c>
      <c r="K3946" t="s">
        <v>47</v>
      </c>
      <c r="L3946" t="s">
        <v>48</v>
      </c>
      <c r="M3946" t="s">
        <v>139</v>
      </c>
      <c r="N3946">
        <v>1009</v>
      </c>
      <c r="O3946" s="14">
        <v>0.60518971527926602</v>
      </c>
      <c r="P3946" s="14">
        <v>0.61639246996492103</v>
      </c>
      <c r="Q3946" t="str">
        <f t="shared" si="122"/>
        <v>15-24</v>
      </c>
      <c r="R3946" t="str">
        <f t="shared" si="123"/>
        <v>[zphK9WV8JB4]|15-24|Male|NEW_INFECTIONS_SUBNAT.T_1|CY2023Q3</v>
      </c>
    </row>
    <row r="3947" spans="4:18" x14ac:dyDescent="0.2">
      <c r="D3947" t="s">
        <v>52</v>
      </c>
      <c r="E3947" t="s">
        <v>53</v>
      </c>
      <c r="F3947" t="s">
        <v>54</v>
      </c>
      <c r="G3947" t="s">
        <v>152</v>
      </c>
      <c r="H3947" t="s">
        <v>152</v>
      </c>
      <c r="I3947" t="s">
        <v>40</v>
      </c>
      <c r="J3947" t="s">
        <v>41</v>
      </c>
      <c r="K3947" t="s">
        <v>47</v>
      </c>
      <c r="L3947" t="s">
        <v>48</v>
      </c>
      <c r="M3947" t="s">
        <v>139</v>
      </c>
      <c r="N3947">
        <v>564</v>
      </c>
      <c r="O3947" s="14">
        <v>0.46300903870724103</v>
      </c>
      <c r="P3947" s="14">
        <v>0.61639246996492103</v>
      </c>
      <c r="Q3947" t="str">
        <f t="shared" si="122"/>
        <v>25-34</v>
      </c>
      <c r="R3947" t="str">
        <f t="shared" si="123"/>
        <v>[zphK9WV8JB4]|25-34|Male|NEW_INFECTIONS_SUBNAT.T_1|CY2023Q3</v>
      </c>
    </row>
    <row r="3948" spans="4:18" x14ac:dyDescent="0.2">
      <c r="D3948" t="s">
        <v>52</v>
      </c>
      <c r="E3948" t="s">
        <v>53</v>
      </c>
      <c r="F3948" t="s">
        <v>54</v>
      </c>
      <c r="G3948" t="s">
        <v>152</v>
      </c>
      <c r="H3948" t="s">
        <v>152</v>
      </c>
      <c r="I3948" t="s">
        <v>42</v>
      </c>
      <c r="J3948" t="s">
        <v>43</v>
      </c>
      <c r="K3948" t="s">
        <v>47</v>
      </c>
      <c r="L3948" t="s">
        <v>48</v>
      </c>
      <c r="M3948" t="s">
        <v>139</v>
      </c>
      <c r="N3948">
        <v>1333</v>
      </c>
      <c r="O3948" s="14">
        <v>0.99511160398833498</v>
      </c>
      <c r="P3948" s="14">
        <v>0.61639246996492103</v>
      </c>
      <c r="Q3948" t="str">
        <f t="shared" si="122"/>
        <v>35-49</v>
      </c>
      <c r="R3948" t="str">
        <f t="shared" si="123"/>
        <v>[zphK9WV8JB4]|35-49|Male|NEW_INFECTIONS_SUBNAT.T_1|CY2023Q3</v>
      </c>
    </row>
    <row r="3949" spans="4:18" x14ac:dyDescent="0.2">
      <c r="D3949" t="s">
        <v>52</v>
      </c>
      <c r="E3949" t="s">
        <v>53</v>
      </c>
      <c r="F3949" t="s">
        <v>54</v>
      </c>
      <c r="G3949" t="s">
        <v>152</v>
      </c>
      <c r="H3949" t="s">
        <v>152</v>
      </c>
      <c r="I3949" t="s">
        <v>44</v>
      </c>
      <c r="J3949" t="s">
        <v>45</v>
      </c>
      <c r="K3949" t="s">
        <v>47</v>
      </c>
      <c r="L3949" t="s">
        <v>48</v>
      </c>
      <c r="M3949" t="s">
        <v>139</v>
      </c>
      <c r="N3949">
        <v>957</v>
      </c>
      <c r="O3949" s="14">
        <v>0.68658366450108599</v>
      </c>
      <c r="P3949" s="14">
        <v>0.61639246996492103</v>
      </c>
      <c r="Q3949" t="str">
        <f t="shared" si="122"/>
        <v>50+</v>
      </c>
      <c r="R3949" t="str">
        <f t="shared" si="123"/>
        <v>[zphK9WV8JB4]|50+|Male|NEW_INFECTIONS_SUBNAT.T_1|CY2023Q3</v>
      </c>
    </row>
    <row r="3950" spans="4:18" x14ac:dyDescent="0.2">
      <c r="D3950" t="s">
        <v>59</v>
      </c>
      <c r="E3950" t="s">
        <v>60</v>
      </c>
      <c r="F3950" t="s">
        <v>61</v>
      </c>
      <c r="G3950" t="s">
        <v>152</v>
      </c>
      <c r="H3950" t="s">
        <v>152</v>
      </c>
      <c r="I3950" t="s">
        <v>27</v>
      </c>
      <c r="J3950" t="s">
        <v>28</v>
      </c>
      <c r="K3950" t="s">
        <v>29</v>
      </c>
      <c r="L3950" t="s">
        <v>30</v>
      </c>
      <c r="M3950" t="s">
        <v>139</v>
      </c>
      <c r="N3950">
        <v>1252</v>
      </c>
      <c r="O3950" s="14">
        <v>0.40781815047375902</v>
      </c>
      <c r="P3950" s="14">
        <v>2.6825056178495298E-2</v>
      </c>
      <c r="Q3950" t="str">
        <f t="shared" si="122"/>
        <v>&lt;01</v>
      </c>
      <c r="R3950" t="str">
        <f t="shared" si="123"/>
        <v>[msW2zpIN7up]|&lt;01|Female|NEW_INFECTIONS_SUBNAT.T_1|CY2023Q3</v>
      </c>
    </row>
    <row r="3951" spans="4:18" x14ac:dyDescent="0.2">
      <c r="D3951" t="s">
        <v>59</v>
      </c>
      <c r="E3951" t="s">
        <v>60</v>
      </c>
      <c r="F3951" t="s">
        <v>61</v>
      </c>
      <c r="G3951" t="s">
        <v>152</v>
      </c>
      <c r="H3951" t="s">
        <v>152</v>
      </c>
      <c r="I3951" t="s">
        <v>32</v>
      </c>
      <c r="J3951" t="s">
        <v>33</v>
      </c>
      <c r="K3951" t="s">
        <v>29</v>
      </c>
      <c r="L3951" t="s">
        <v>30</v>
      </c>
      <c r="M3951" t="s">
        <v>139</v>
      </c>
      <c r="N3951">
        <v>719</v>
      </c>
      <c r="O3951" s="14">
        <v>0.96222737408243098</v>
      </c>
      <c r="P3951" s="14">
        <v>2.6825056178495298E-2</v>
      </c>
      <c r="Q3951" t="str">
        <f t="shared" si="122"/>
        <v>01-09</v>
      </c>
      <c r="R3951" t="str">
        <f t="shared" si="123"/>
        <v>[msW2zpIN7up]|01-09|Female|NEW_INFECTIONS_SUBNAT.T_1|CY2023Q3</v>
      </c>
    </row>
    <row r="3952" spans="4:18" x14ac:dyDescent="0.2">
      <c r="D3952" t="s">
        <v>59</v>
      </c>
      <c r="E3952" t="s">
        <v>60</v>
      </c>
      <c r="F3952" t="s">
        <v>61</v>
      </c>
      <c r="G3952" t="s">
        <v>152</v>
      </c>
      <c r="H3952" t="s">
        <v>152</v>
      </c>
      <c r="I3952" t="s">
        <v>35</v>
      </c>
      <c r="J3952" t="s">
        <v>36</v>
      </c>
      <c r="K3952" t="s">
        <v>29</v>
      </c>
      <c r="L3952" t="s">
        <v>30</v>
      </c>
      <c r="M3952" t="s">
        <v>139</v>
      </c>
      <c r="N3952">
        <v>1603</v>
      </c>
      <c r="O3952" s="14">
        <v>9.4248850131407394E-2</v>
      </c>
      <c r="P3952" s="14">
        <v>2.6825056178495298E-2</v>
      </c>
      <c r="Q3952" t="str">
        <f t="shared" si="122"/>
        <v>10-14</v>
      </c>
      <c r="R3952" t="str">
        <f t="shared" si="123"/>
        <v>[msW2zpIN7up]|10-14|Female|NEW_INFECTIONS_SUBNAT.T_1|CY2023Q3</v>
      </c>
    </row>
    <row r="3953" spans="4:18" x14ac:dyDescent="0.2">
      <c r="D3953" t="s">
        <v>59</v>
      </c>
      <c r="E3953" t="s">
        <v>60</v>
      </c>
      <c r="F3953" t="s">
        <v>61</v>
      </c>
      <c r="G3953" t="s">
        <v>152</v>
      </c>
      <c r="H3953" t="s">
        <v>152</v>
      </c>
      <c r="I3953" t="s">
        <v>37</v>
      </c>
      <c r="J3953" t="s">
        <v>38</v>
      </c>
      <c r="K3953" t="s">
        <v>29</v>
      </c>
      <c r="L3953" t="s">
        <v>30</v>
      </c>
      <c r="M3953" t="s">
        <v>139</v>
      </c>
      <c r="N3953">
        <v>1675</v>
      </c>
      <c r="O3953" s="14">
        <v>0.76572980987839401</v>
      </c>
      <c r="P3953" s="14">
        <v>2.6825056178495298E-2</v>
      </c>
      <c r="Q3953" t="str">
        <f t="shared" si="122"/>
        <v>15-24</v>
      </c>
      <c r="R3953" t="str">
        <f t="shared" si="123"/>
        <v>[msW2zpIN7up]|15-24|Female|NEW_INFECTIONS_SUBNAT.T_1|CY2023Q3</v>
      </c>
    </row>
    <row r="3954" spans="4:18" x14ac:dyDescent="0.2">
      <c r="D3954" t="s">
        <v>59</v>
      </c>
      <c r="E3954" t="s">
        <v>60</v>
      </c>
      <c r="F3954" t="s">
        <v>61</v>
      </c>
      <c r="G3954" t="s">
        <v>152</v>
      </c>
      <c r="H3954" t="s">
        <v>152</v>
      </c>
      <c r="I3954" t="s">
        <v>40</v>
      </c>
      <c r="J3954" t="s">
        <v>41</v>
      </c>
      <c r="K3954" t="s">
        <v>29</v>
      </c>
      <c r="L3954" t="s">
        <v>30</v>
      </c>
      <c r="M3954" t="s">
        <v>139</v>
      </c>
      <c r="N3954">
        <v>1493</v>
      </c>
      <c r="O3954" s="14">
        <v>0.44015080947428897</v>
      </c>
      <c r="P3954" s="14">
        <v>2.6825056178495298E-2</v>
      </c>
      <c r="Q3954" t="str">
        <f t="shared" si="122"/>
        <v>25-34</v>
      </c>
      <c r="R3954" t="str">
        <f t="shared" si="123"/>
        <v>[msW2zpIN7up]|25-34|Female|NEW_INFECTIONS_SUBNAT.T_1|CY2023Q3</v>
      </c>
    </row>
    <row r="3955" spans="4:18" x14ac:dyDescent="0.2">
      <c r="D3955" t="s">
        <v>59</v>
      </c>
      <c r="E3955" t="s">
        <v>60</v>
      </c>
      <c r="F3955" t="s">
        <v>61</v>
      </c>
      <c r="G3955" t="s">
        <v>152</v>
      </c>
      <c r="H3955" t="s">
        <v>152</v>
      </c>
      <c r="I3955" t="s">
        <v>42</v>
      </c>
      <c r="J3955" t="s">
        <v>43</v>
      </c>
      <c r="K3955" t="s">
        <v>29</v>
      </c>
      <c r="L3955" t="s">
        <v>30</v>
      </c>
      <c r="M3955" t="s">
        <v>139</v>
      </c>
      <c r="N3955">
        <v>1836</v>
      </c>
      <c r="O3955" s="14">
        <v>0.54066383512690697</v>
      </c>
      <c r="P3955" s="14">
        <v>2.6825056178495298E-2</v>
      </c>
      <c r="Q3955" t="str">
        <f t="shared" si="122"/>
        <v>35-49</v>
      </c>
      <c r="R3955" t="str">
        <f t="shared" si="123"/>
        <v>[msW2zpIN7up]|35-49|Female|NEW_INFECTIONS_SUBNAT.T_1|CY2023Q3</v>
      </c>
    </row>
    <row r="3956" spans="4:18" x14ac:dyDescent="0.2">
      <c r="D3956" t="s">
        <v>59</v>
      </c>
      <c r="E3956" t="s">
        <v>60</v>
      </c>
      <c r="F3956" t="s">
        <v>61</v>
      </c>
      <c r="G3956" t="s">
        <v>152</v>
      </c>
      <c r="H3956" t="s">
        <v>152</v>
      </c>
      <c r="I3956" t="s">
        <v>44</v>
      </c>
      <c r="J3956" t="s">
        <v>45</v>
      </c>
      <c r="K3956" t="s">
        <v>29</v>
      </c>
      <c r="L3956" t="s">
        <v>30</v>
      </c>
      <c r="M3956" t="s">
        <v>139</v>
      </c>
      <c r="N3956">
        <v>1027</v>
      </c>
      <c r="O3956" s="14">
        <v>0.72850157599896204</v>
      </c>
      <c r="P3956" s="14">
        <v>2.6825056178495298E-2</v>
      </c>
      <c r="Q3956" t="str">
        <f t="shared" si="122"/>
        <v>50+</v>
      </c>
      <c r="R3956" t="str">
        <f t="shared" si="123"/>
        <v>[msW2zpIN7up]|50+|Female|NEW_INFECTIONS_SUBNAT.T_1|CY2023Q3</v>
      </c>
    </row>
    <row r="3957" spans="4:18" x14ac:dyDescent="0.2">
      <c r="D3957" t="s">
        <v>59</v>
      </c>
      <c r="E3957" t="s">
        <v>60</v>
      </c>
      <c r="F3957" t="s">
        <v>61</v>
      </c>
      <c r="G3957" t="s">
        <v>152</v>
      </c>
      <c r="H3957" t="s">
        <v>152</v>
      </c>
      <c r="I3957" t="s">
        <v>27</v>
      </c>
      <c r="J3957" t="s">
        <v>28</v>
      </c>
      <c r="K3957" t="s">
        <v>47</v>
      </c>
      <c r="L3957" t="s">
        <v>48</v>
      </c>
      <c r="M3957" t="s">
        <v>139</v>
      </c>
      <c r="N3957">
        <v>525</v>
      </c>
      <c r="O3957" s="14">
        <v>0.325613635592163</v>
      </c>
      <c r="P3957" s="14">
        <v>2.6825056178495298E-2</v>
      </c>
      <c r="Q3957" t="str">
        <f t="shared" si="122"/>
        <v>&lt;01</v>
      </c>
      <c r="R3957" t="str">
        <f t="shared" si="123"/>
        <v>[msW2zpIN7up]|&lt;01|Male|NEW_INFECTIONS_SUBNAT.T_1|CY2023Q3</v>
      </c>
    </row>
    <row r="3958" spans="4:18" x14ac:dyDescent="0.2">
      <c r="D3958" t="s">
        <v>59</v>
      </c>
      <c r="E3958" t="s">
        <v>60</v>
      </c>
      <c r="F3958" t="s">
        <v>61</v>
      </c>
      <c r="G3958" t="s">
        <v>152</v>
      </c>
      <c r="H3958" t="s">
        <v>152</v>
      </c>
      <c r="I3958" t="s">
        <v>32</v>
      </c>
      <c r="J3958" t="s">
        <v>33</v>
      </c>
      <c r="K3958" t="s">
        <v>47</v>
      </c>
      <c r="L3958" t="s">
        <v>48</v>
      </c>
      <c r="M3958" t="s">
        <v>139</v>
      </c>
      <c r="N3958">
        <v>1364</v>
      </c>
      <c r="O3958" s="14">
        <v>0.59688280732370902</v>
      </c>
      <c r="P3958" s="14">
        <v>2.6825056178495298E-2</v>
      </c>
      <c r="Q3958" t="str">
        <f t="shared" si="122"/>
        <v>01-09</v>
      </c>
      <c r="R3958" t="str">
        <f t="shared" si="123"/>
        <v>[msW2zpIN7up]|01-09|Male|NEW_INFECTIONS_SUBNAT.T_1|CY2023Q3</v>
      </c>
    </row>
    <row r="3959" spans="4:18" x14ac:dyDescent="0.2">
      <c r="D3959" t="s">
        <v>59</v>
      </c>
      <c r="E3959" t="s">
        <v>60</v>
      </c>
      <c r="F3959" t="s">
        <v>61</v>
      </c>
      <c r="G3959" t="s">
        <v>152</v>
      </c>
      <c r="H3959" t="s">
        <v>152</v>
      </c>
      <c r="I3959" t="s">
        <v>35</v>
      </c>
      <c r="J3959" t="s">
        <v>36</v>
      </c>
      <c r="K3959" t="s">
        <v>47</v>
      </c>
      <c r="L3959" t="s">
        <v>48</v>
      </c>
      <c r="M3959" t="s">
        <v>139</v>
      </c>
      <c r="N3959">
        <v>1532</v>
      </c>
      <c r="O3959" s="14">
        <v>0.38484014198184002</v>
      </c>
      <c r="P3959" s="14">
        <v>2.6825056178495298E-2</v>
      </c>
      <c r="Q3959" t="str">
        <f t="shared" si="122"/>
        <v>10-14</v>
      </c>
      <c r="R3959" t="str">
        <f t="shared" si="123"/>
        <v>[msW2zpIN7up]|10-14|Male|NEW_INFECTIONS_SUBNAT.T_1|CY2023Q3</v>
      </c>
    </row>
    <row r="3960" spans="4:18" x14ac:dyDescent="0.2">
      <c r="D3960" t="s">
        <v>59</v>
      </c>
      <c r="E3960" t="s">
        <v>60</v>
      </c>
      <c r="F3960" t="s">
        <v>61</v>
      </c>
      <c r="G3960" t="s">
        <v>152</v>
      </c>
      <c r="H3960" t="s">
        <v>152</v>
      </c>
      <c r="I3960" t="s">
        <v>37</v>
      </c>
      <c r="J3960" t="s">
        <v>38</v>
      </c>
      <c r="K3960" t="s">
        <v>47</v>
      </c>
      <c r="L3960" t="s">
        <v>48</v>
      </c>
      <c r="M3960" t="s">
        <v>139</v>
      </c>
      <c r="N3960">
        <v>811</v>
      </c>
      <c r="O3960" s="14">
        <v>0.82451005722396098</v>
      </c>
      <c r="P3960" s="14">
        <v>2.6825056178495298E-2</v>
      </c>
      <c r="Q3960" t="str">
        <f t="shared" si="122"/>
        <v>15-24</v>
      </c>
      <c r="R3960" t="str">
        <f t="shared" si="123"/>
        <v>[msW2zpIN7up]|15-24|Male|NEW_INFECTIONS_SUBNAT.T_1|CY2023Q3</v>
      </c>
    </row>
    <row r="3961" spans="4:18" x14ac:dyDescent="0.2">
      <c r="D3961" t="s">
        <v>59</v>
      </c>
      <c r="E3961" t="s">
        <v>60</v>
      </c>
      <c r="F3961" t="s">
        <v>61</v>
      </c>
      <c r="G3961" t="s">
        <v>152</v>
      </c>
      <c r="H3961" t="s">
        <v>152</v>
      </c>
      <c r="I3961" t="s">
        <v>40</v>
      </c>
      <c r="J3961" t="s">
        <v>41</v>
      </c>
      <c r="K3961" t="s">
        <v>47</v>
      </c>
      <c r="L3961" t="s">
        <v>48</v>
      </c>
      <c r="M3961" t="s">
        <v>139</v>
      </c>
      <c r="N3961">
        <v>1789</v>
      </c>
      <c r="O3961" s="14">
        <v>0.18587095872498999</v>
      </c>
      <c r="P3961" s="14">
        <v>2.6825056178495298E-2</v>
      </c>
      <c r="Q3961" t="str">
        <f t="shared" si="122"/>
        <v>25-34</v>
      </c>
      <c r="R3961" t="str">
        <f t="shared" si="123"/>
        <v>[msW2zpIN7up]|25-34|Male|NEW_INFECTIONS_SUBNAT.T_1|CY2023Q3</v>
      </c>
    </row>
    <row r="3962" spans="4:18" x14ac:dyDescent="0.2">
      <c r="D3962" t="s">
        <v>59</v>
      </c>
      <c r="E3962" t="s">
        <v>60</v>
      </c>
      <c r="F3962" t="s">
        <v>61</v>
      </c>
      <c r="G3962" t="s">
        <v>152</v>
      </c>
      <c r="H3962" t="s">
        <v>152</v>
      </c>
      <c r="I3962" t="s">
        <v>42</v>
      </c>
      <c r="J3962" t="s">
        <v>43</v>
      </c>
      <c r="K3962" t="s">
        <v>47</v>
      </c>
      <c r="L3962" t="s">
        <v>48</v>
      </c>
      <c r="M3962" t="s">
        <v>139</v>
      </c>
      <c r="N3962">
        <v>676</v>
      </c>
      <c r="O3962" s="14">
        <v>0.16541219665668899</v>
      </c>
      <c r="P3962" s="14">
        <v>2.6825056178495298E-2</v>
      </c>
      <c r="Q3962" t="str">
        <f t="shared" si="122"/>
        <v>35-49</v>
      </c>
      <c r="R3962" t="str">
        <f t="shared" si="123"/>
        <v>[msW2zpIN7up]|35-49|Male|NEW_INFECTIONS_SUBNAT.T_1|CY2023Q3</v>
      </c>
    </row>
    <row r="3963" spans="4:18" x14ac:dyDescent="0.2">
      <c r="D3963" t="s">
        <v>59</v>
      </c>
      <c r="E3963" t="s">
        <v>60</v>
      </c>
      <c r="F3963" t="s">
        <v>61</v>
      </c>
      <c r="G3963" t="s">
        <v>152</v>
      </c>
      <c r="H3963" t="s">
        <v>152</v>
      </c>
      <c r="I3963" t="s">
        <v>44</v>
      </c>
      <c r="J3963" t="s">
        <v>45</v>
      </c>
      <c r="K3963" t="s">
        <v>47</v>
      </c>
      <c r="L3963" t="s">
        <v>48</v>
      </c>
      <c r="M3963" t="s">
        <v>139</v>
      </c>
      <c r="N3963">
        <v>879</v>
      </c>
      <c r="O3963" s="14">
        <v>0.18278988543897901</v>
      </c>
      <c r="P3963" s="14">
        <v>2.6825056178495298E-2</v>
      </c>
      <c r="Q3963" t="str">
        <f t="shared" si="122"/>
        <v>50+</v>
      </c>
      <c r="R3963" t="str">
        <f t="shared" si="123"/>
        <v>[msW2zpIN7up]|50+|Male|NEW_INFECTIONS_SUBNAT.T_1|CY2023Q3</v>
      </c>
    </row>
    <row r="3964" spans="4:18" x14ac:dyDescent="0.2">
      <c r="D3964" t="s">
        <v>62</v>
      </c>
      <c r="E3964" t="s">
        <v>63</v>
      </c>
      <c r="F3964" t="s">
        <v>64</v>
      </c>
      <c r="G3964" t="s">
        <v>152</v>
      </c>
      <c r="H3964" t="s">
        <v>152</v>
      </c>
      <c r="I3964" t="s">
        <v>27</v>
      </c>
      <c r="J3964" t="s">
        <v>28</v>
      </c>
      <c r="K3964" t="s">
        <v>29</v>
      </c>
      <c r="L3964" t="s">
        <v>30</v>
      </c>
      <c r="M3964" t="s">
        <v>139</v>
      </c>
      <c r="N3964">
        <v>648</v>
      </c>
      <c r="O3964" s="14">
        <v>0.16808846546337</v>
      </c>
      <c r="P3964" s="14">
        <v>0.790102193132043</v>
      </c>
      <c r="Q3964" t="str">
        <f t="shared" si="122"/>
        <v>&lt;01</v>
      </c>
      <c r="R3964" t="str">
        <f t="shared" si="123"/>
        <v>[kxuuIFpOXyO]|&lt;01|Female|NEW_INFECTIONS_SUBNAT.T_1|CY2023Q3</v>
      </c>
    </row>
    <row r="3965" spans="4:18" x14ac:dyDescent="0.2">
      <c r="D3965" t="s">
        <v>62</v>
      </c>
      <c r="E3965" t="s">
        <v>63</v>
      </c>
      <c r="F3965" t="s">
        <v>64</v>
      </c>
      <c r="G3965" t="s">
        <v>152</v>
      </c>
      <c r="H3965" t="s">
        <v>152</v>
      </c>
      <c r="I3965" t="s">
        <v>32</v>
      </c>
      <c r="J3965" t="s">
        <v>33</v>
      </c>
      <c r="K3965" t="s">
        <v>29</v>
      </c>
      <c r="L3965" t="s">
        <v>30</v>
      </c>
      <c r="M3965" t="s">
        <v>139</v>
      </c>
      <c r="N3965">
        <v>1708</v>
      </c>
      <c r="O3965" s="14">
        <v>0.26077197678387198</v>
      </c>
      <c r="P3965" s="14">
        <v>0.790102193132043</v>
      </c>
      <c r="Q3965" t="str">
        <f t="shared" si="122"/>
        <v>01-09</v>
      </c>
      <c r="R3965" t="str">
        <f t="shared" si="123"/>
        <v>[kxuuIFpOXyO]|01-09|Female|NEW_INFECTIONS_SUBNAT.T_1|CY2023Q3</v>
      </c>
    </row>
    <row r="3966" spans="4:18" x14ac:dyDescent="0.2">
      <c r="D3966" t="s">
        <v>62</v>
      </c>
      <c r="E3966" t="s">
        <v>63</v>
      </c>
      <c r="F3966" t="s">
        <v>64</v>
      </c>
      <c r="G3966" t="s">
        <v>152</v>
      </c>
      <c r="H3966" t="s">
        <v>152</v>
      </c>
      <c r="I3966" t="s">
        <v>35</v>
      </c>
      <c r="J3966" t="s">
        <v>36</v>
      </c>
      <c r="K3966" t="s">
        <v>29</v>
      </c>
      <c r="L3966" t="s">
        <v>30</v>
      </c>
      <c r="M3966" t="s">
        <v>139</v>
      </c>
      <c r="N3966">
        <v>1954</v>
      </c>
      <c r="O3966" s="14">
        <v>0.66101997066289198</v>
      </c>
      <c r="P3966" s="14">
        <v>0.790102193132043</v>
      </c>
      <c r="Q3966" t="str">
        <f t="shared" si="122"/>
        <v>10-14</v>
      </c>
      <c r="R3966" t="str">
        <f t="shared" si="123"/>
        <v>[kxuuIFpOXyO]|10-14|Female|NEW_INFECTIONS_SUBNAT.T_1|CY2023Q3</v>
      </c>
    </row>
    <row r="3967" spans="4:18" x14ac:dyDescent="0.2">
      <c r="D3967" t="s">
        <v>62</v>
      </c>
      <c r="E3967" t="s">
        <v>63</v>
      </c>
      <c r="F3967" t="s">
        <v>64</v>
      </c>
      <c r="G3967" t="s">
        <v>152</v>
      </c>
      <c r="H3967" t="s">
        <v>152</v>
      </c>
      <c r="I3967" t="s">
        <v>37</v>
      </c>
      <c r="J3967" t="s">
        <v>38</v>
      </c>
      <c r="K3967" t="s">
        <v>29</v>
      </c>
      <c r="L3967" t="s">
        <v>30</v>
      </c>
      <c r="M3967" t="s">
        <v>139</v>
      </c>
      <c r="N3967">
        <v>1736</v>
      </c>
      <c r="O3967" s="14">
        <v>0.20197942689992501</v>
      </c>
      <c r="P3967" s="14">
        <v>0.790102193132043</v>
      </c>
      <c r="Q3967" t="str">
        <f t="shared" si="122"/>
        <v>15-24</v>
      </c>
      <c r="R3967" t="str">
        <f t="shared" si="123"/>
        <v>[kxuuIFpOXyO]|15-24|Female|NEW_INFECTIONS_SUBNAT.T_1|CY2023Q3</v>
      </c>
    </row>
    <row r="3968" spans="4:18" x14ac:dyDescent="0.2">
      <c r="D3968" t="s">
        <v>62</v>
      </c>
      <c r="E3968" t="s">
        <v>63</v>
      </c>
      <c r="F3968" t="s">
        <v>64</v>
      </c>
      <c r="G3968" t="s">
        <v>152</v>
      </c>
      <c r="H3968" t="s">
        <v>152</v>
      </c>
      <c r="I3968" t="s">
        <v>40</v>
      </c>
      <c r="J3968" t="s">
        <v>41</v>
      </c>
      <c r="K3968" t="s">
        <v>29</v>
      </c>
      <c r="L3968" t="s">
        <v>30</v>
      </c>
      <c r="M3968" t="s">
        <v>139</v>
      </c>
      <c r="N3968">
        <v>1361</v>
      </c>
      <c r="O3968" s="14">
        <v>0.191563038853928</v>
      </c>
      <c r="P3968" s="14">
        <v>0.790102193132043</v>
      </c>
      <c r="Q3968" t="str">
        <f t="shared" si="122"/>
        <v>25-34</v>
      </c>
      <c r="R3968" t="str">
        <f t="shared" si="123"/>
        <v>[kxuuIFpOXyO]|25-34|Female|NEW_INFECTIONS_SUBNAT.T_1|CY2023Q3</v>
      </c>
    </row>
    <row r="3969" spans="4:18" x14ac:dyDescent="0.2">
      <c r="D3969" t="s">
        <v>62</v>
      </c>
      <c r="E3969" t="s">
        <v>63</v>
      </c>
      <c r="F3969" t="s">
        <v>64</v>
      </c>
      <c r="G3969" t="s">
        <v>152</v>
      </c>
      <c r="H3969" t="s">
        <v>152</v>
      </c>
      <c r="I3969" t="s">
        <v>42</v>
      </c>
      <c r="J3969" t="s">
        <v>43</v>
      </c>
      <c r="K3969" t="s">
        <v>29</v>
      </c>
      <c r="L3969" t="s">
        <v>30</v>
      </c>
      <c r="M3969" t="s">
        <v>139</v>
      </c>
      <c r="N3969">
        <v>1462</v>
      </c>
      <c r="O3969" s="14">
        <v>0.94780626636929799</v>
      </c>
      <c r="P3969" s="14">
        <v>0.790102193132043</v>
      </c>
      <c r="Q3969" t="str">
        <f t="shared" si="122"/>
        <v>35-49</v>
      </c>
      <c r="R3969" t="str">
        <f t="shared" si="123"/>
        <v>[kxuuIFpOXyO]|35-49|Female|NEW_INFECTIONS_SUBNAT.T_1|CY2023Q3</v>
      </c>
    </row>
    <row r="3970" spans="4:18" x14ac:dyDescent="0.2">
      <c r="D3970" t="s">
        <v>62</v>
      </c>
      <c r="E3970" t="s">
        <v>63</v>
      </c>
      <c r="F3970" t="s">
        <v>64</v>
      </c>
      <c r="G3970" t="s">
        <v>152</v>
      </c>
      <c r="H3970" t="s">
        <v>152</v>
      </c>
      <c r="I3970" t="s">
        <v>44</v>
      </c>
      <c r="J3970" t="s">
        <v>45</v>
      </c>
      <c r="K3970" t="s">
        <v>29</v>
      </c>
      <c r="L3970" t="s">
        <v>30</v>
      </c>
      <c r="M3970" t="s">
        <v>139</v>
      </c>
      <c r="N3970">
        <v>1000</v>
      </c>
      <c r="O3970" s="14">
        <v>0.35414966871030601</v>
      </c>
      <c r="P3970" s="14">
        <v>0.790102193132043</v>
      </c>
      <c r="Q3970" t="str">
        <f t="shared" ref="Q3970:Q4033" si="124">SUBSTITUTE(SUBSTITUTE($I3970,CHAR(61),""),CHAR(34),"")</f>
        <v>50+</v>
      </c>
      <c r="R3970" t="str">
        <f t="shared" ref="R3970:R4033" si="125">IF($D3970&lt;&gt;"","["&amp;$E3970&amp;"]"&amp;"|"&amp;$Q3970&amp;"|"&amp;$K3970&amp;"|"&amp;$G3970&amp;"|"&amp;IF($G3970="TX_CURR_SUBNAT.R","CY2022Q4",$M3970),"")</f>
        <v>[kxuuIFpOXyO]|50+|Female|NEW_INFECTIONS_SUBNAT.T_1|CY2023Q3</v>
      </c>
    </row>
    <row r="3971" spans="4:18" x14ac:dyDescent="0.2">
      <c r="D3971" t="s">
        <v>62</v>
      </c>
      <c r="E3971" t="s">
        <v>63</v>
      </c>
      <c r="F3971" t="s">
        <v>64</v>
      </c>
      <c r="G3971" t="s">
        <v>152</v>
      </c>
      <c r="H3971" t="s">
        <v>152</v>
      </c>
      <c r="I3971" t="s">
        <v>27</v>
      </c>
      <c r="J3971" t="s">
        <v>28</v>
      </c>
      <c r="K3971" t="s">
        <v>47</v>
      </c>
      <c r="L3971" t="s">
        <v>48</v>
      </c>
      <c r="M3971" t="s">
        <v>139</v>
      </c>
      <c r="N3971">
        <v>1108</v>
      </c>
      <c r="O3971" s="14">
        <v>0.853154513286427</v>
      </c>
      <c r="P3971" s="14">
        <v>0.790102193132043</v>
      </c>
      <c r="Q3971" t="str">
        <f t="shared" si="124"/>
        <v>&lt;01</v>
      </c>
      <c r="R3971" t="str">
        <f t="shared" si="125"/>
        <v>[kxuuIFpOXyO]|&lt;01|Male|NEW_INFECTIONS_SUBNAT.T_1|CY2023Q3</v>
      </c>
    </row>
    <row r="3972" spans="4:18" x14ac:dyDescent="0.2">
      <c r="D3972" t="s">
        <v>62</v>
      </c>
      <c r="E3972" t="s">
        <v>63</v>
      </c>
      <c r="F3972" t="s">
        <v>64</v>
      </c>
      <c r="G3972" t="s">
        <v>152</v>
      </c>
      <c r="H3972" t="s">
        <v>152</v>
      </c>
      <c r="I3972" t="s">
        <v>32</v>
      </c>
      <c r="J3972" t="s">
        <v>33</v>
      </c>
      <c r="K3972" t="s">
        <v>47</v>
      </c>
      <c r="L3972" t="s">
        <v>48</v>
      </c>
      <c r="M3972" t="s">
        <v>139</v>
      </c>
      <c r="N3972">
        <v>567</v>
      </c>
      <c r="O3972" s="14">
        <v>0.17398242279887199</v>
      </c>
      <c r="P3972" s="14">
        <v>0.790102193132043</v>
      </c>
      <c r="Q3972" t="str">
        <f t="shared" si="124"/>
        <v>01-09</v>
      </c>
      <c r="R3972" t="str">
        <f t="shared" si="125"/>
        <v>[kxuuIFpOXyO]|01-09|Male|NEW_INFECTIONS_SUBNAT.T_1|CY2023Q3</v>
      </c>
    </row>
    <row r="3973" spans="4:18" x14ac:dyDescent="0.2">
      <c r="D3973" t="s">
        <v>62</v>
      </c>
      <c r="E3973" t="s">
        <v>63</v>
      </c>
      <c r="F3973" t="s">
        <v>64</v>
      </c>
      <c r="G3973" t="s">
        <v>152</v>
      </c>
      <c r="H3973" t="s">
        <v>152</v>
      </c>
      <c r="I3973" t="s">
        <v>35</v>
      </c>
      <c r="J3973" t="s">
        <v>36</v>
      </c>
      <c r="K3973" t="s">
        <v>47</v>
      </c>
      <c r="L3973" t="s">
        <v>48</v>
      </c>
      <c r="M3973" t="s">
        <v>139</v>
      </c>
      <c r="N3973">
        <v>700</v>
      </c>
      <c r="O3973" s="14">
        <v>0.957497632596642</v>
      </c>
      <c r="P3973" s="14">
        <v>0.790102193132043</v>
      </c>
      <c r="Q3973" t="str">
        <f t="shared" si="124"/>
        <v>10-14</v>
      </c>
      <c r="R3973" t="str">
        <f t="shared" si="125"/>
        <v>[kxuuIFpOXyO]|10-14|Male|NEW_INFECTIONS_SUBNAT.T_1|CY2023Q3</v>
      </c>
    </row>
    <row r="3974" spans="4:18" x14ac:dyDescent="0.2">
      <c r="D3974" t="s">
        <v>62</v>
      </c>
      <c r="E3974" t="s">
        <v>63</v>
      </c>
      <c r="F3974" t="s">
        <v>64</v>
      </c>
      <c r="G3974" t="s">
        <v>152</v>
      </c>
      <c r="H3974" t="s">
        <v>152</v>
      </c>
      <c r="I3974" t="s">
        <v>37</v>
      </c>
      <c r="J3974" t="s">
        <v>38</v>
      </c>
      <c r="K3974" t="s">
        <v>47</v>
      </c>
      <c r="L3974" t="s">
        <v>48</v>
      </c>
      <c r="M3974" t="s">
        <v>139</v>
      </c>
      <c r="N3974">
        <v>1265</v>
      </c>
      <c r="O3974" s="14">
        <v>0.71122996881604195</v>
      </c>
      <c r="P3974" s="14">
        <v>0.790102193132043</v>
      </c>
      <c r="Q3974" t="str">
        <f t="shared" si="124"/>
        <v>15-24</v>
      </c>
      <c r="R3974" t="str">
        <f t="shared" si="125"/>
        <v>[kxuuIFpOXyO]|15-24|Male|NEW_INFECTIONS_SUBNAT.T_1|CY2023Q3</v>
      </c>
    </row>
    <row r="3975" spans="4:18" x14ac:dyDescent="0.2">
      <c r="D3975" t="s">
        <v>62</v>
      </c>
      <c r="E3975" t="s">
        <v>63</v>
      </c>
      <c r="F3975" t="s">
        <v>64</v>
      </c>
      <c r="G3975" t="s">
        <v>152</v>
      </c>
      <c r="H3975" t="s">
        <v>152</v>
      </c>
      <c r="I3975" t="s">
        <v>40</v>
      </c>
      <c r="J3975" t="s">
        <v>41</v>
      </c>
      <c r="K3975" t="s">
        <v>47</v>
      </c>
      <c r="L3975" t="s">
        <v>48</v>
      </c>
      <c r="M3975" t="s">
        <v>139</v>
      </c>
      <c r="N3975">
        <v>1911</v>
      </c>
      <c r="O3975" s="14">
        <v>0.179697273764759</v>
      </c>
      <c r="P3975" s="14">
        <v>0.790102193132043</v>
      </c>
      <c r="Q3975" t="str">
        <f t="shared" si="124"/>
        <v>25-34</v>
      </c>
      <c r="R3975" t="str">
        <f t="shared" si="125"/>
        <v>[kxuuIFpOXyO]|25-34|Male|NEW_INFECTIONS_SUBNAT.T_1|CY2023Q3</v>
      </c>
    </row>
    <row r="3976" spans="4:18" x14ac:dyDescent="0.2">
      <c r="D3976" t="s">
        <v>62</v>
      </c>
      <c r="E3976" t="s">
        <v>63</v>
      </c>
      <c r="F3976" t="s">
        <v>64</v>
      </c>
      <c r="G3976" t="s">
        <v>152</v>
      </c>
      <c r="H3976" t="s">
        <v>152</v>
      </c>
      <c r="I3976" t="s">
        <v>42</v>
      </c>
      <c r="J3976" t="s">
        <v>43</v>
      </c>
      <c r="K3976" t="s">
        <v>47</v>
      </c>
      <c r="L3976" t="s">
        <v>48</v>
      </c>
      <c r="M3976" t="s">
        <v>139</v>
      </c>
      <c r="N3976">
        <v>1319</v>
      </c>
      <c r="O3976" s="14">
        <v>0.456978338537738</v>
      </c>
      <c r="P3976" s="14">
        <v>0.790102193132043</v>
      </c>
      <c r="Q3976" t="str">
        <f t="shared" si="124"/>
        <v>35-49</v>
      </c>
      <c r="R3976" t="str">
        <f t="shared" si="125"/>
        <v>[kxuuIFpOXyO]|35-49|Male|NEW_INFECTIONS_SUBNAT.T_1|CY2023Q3</v>
      </c>
    </row>
    <row r="3977" spans="4:18" x14ac:dyDescent="0.2">
      <c r="D3977" t="s">
        <v>62</v>
      </c>
      <c r="E3977" t="s">
        <v>63</v>
      </c>
      <c r="F3977" t="s">
        <v>64</v>
      </c>
      <c r="G3977" t="s">
        <v>152</v>
      </c>
      <c r="H3977" t="s">
        <v>152</v>
      </c>
      <c r="I3977" t="s">
        <v>44</v>
      </c>
      <c r="J3977" t="s">
        <v>45</v>
      </c>
      <c r="K3977" t="s">
        <v>47</v>
      </c>
      <c r="L3977" t="s">
        <v>48</v>
      </c>
      <c r="M3977" t="s">
        <v>139</v>
      </c>
      <c r="N3977">
        <v>800</v>
      </c>
      <c r="O3977" s="14">
        <v>0.59206206584349297</v>
      </c>
      <c r="P3977" s="14">
        <v>0.790102193132043</v>
      </c>
      <c r="Q3977" t="str">
        <f t="shared" si="124"/>
        <v>50+</v>
      </c>
      <c r="R3977" t="str">
        <f t="shared" si="125"/>
        <v>[kxuuIFpOXyO]|50+|Male|NEW_INFECTIONS_SUBNAT.T_1|CY2023Q3</v>
      </c>
    </row>
    <row r="3978" spans="4:18" x14ac:dyDescent="0.2">
      <c r="D3978" t="s">
        <v>65</v>
      </c>
      <c r="E3978" t="s">
        <v>66</v>
      </c>
      <c r="F3978" t="s">
        <v>67</v>
      </c>
      <c r="G3978" t="s">
        <v>152</v>
      </c>
      <c r="H3978" t="s">
        <v>152</v>
      </c>
      <c r="I3978" t="s">
        <v>27</v>
      </c>
      <c r="J3978" t="s">
        <v>28</v>
      </c>
      <c r="K3978" t="s">
        <v>29</v>
      </c>
      <c r="L3978" t="s">
        <v>30</v>
      </c>
      <c r="M3978" t="s">
        <v>139</v>
      </c>
      <c r="N3978">
        <v>1984</v>
      </c>
      <c r="O3978" s="14">
        <v>0.269850570475683</v>
      </c>
      <c r="P3978" s="14">
        <v>0.16460988437756899</v>
      </c>
      <c r="Q3978" t="str">
        <f t="shared" si="124"/>
        <v>&lt;01</v>
      </c>
      <c r="R3978" t="str">
        <f t="shared" si="125"/>
        <v>[ScR9iFKAasW]|&lt;01|Female|NEW_INFECTIONS_SUBNAT.T_1|CY2023Q3</v>
      </c>
    </row>
    <row r="3979" spans="4:18" x14ac:dyDescent="0.2">
      <c r="D3979" t="s">
        <v>65</v>
      </c>
      <c r="E3979" t="s">
        <v>66</v>
      </c>
      <c r="F3979" t="s">
        <v>67</v>
      </c>
      <c r="G3979" t="s">
        <v>152</v>
      </c>
      <c r="H3979" t="s">
        <v>152</v>
      </c>
      <c r="I3979" t="s">
        <v>32</v>
      </c>
      <c r="J3979" t="s">
        <v>33</v>
      </c>
      <c r="K3979" t="s">
        <v>29</v>
      </c>
      <c r="L3979" t="s">
        <v>30</v>
      </c>
      <c r="M3979" t="s">
        <v>139</v>
      </c>
      <c r="N3979">
        <v>656</v>
      </c>
      <c r="O3979" s="14">
        <v>0.88785164337605205</v>
      </c>
      <c r="P3979" s="14">
        <v>0.16460988437756899</v>
      </c>
      <c r="Q3979" t="str">
        <f t="shared" si="124"/>
        <v>01-09</v>
      </c>
      <c r="R3979" t="str">
        <f t="shared" si="125"/>
        <v>[ScR9iFKAasW]|01-09|Female|NEW_INFECTIONS_SUBNAT.T_1|CY2023Q3</v>
      </c>
    </row>
    <row r="3980" spans="4:18" x14ac:dyDescent="0.2">
      <c r="D3980" t="s">
        <v>65</v>
      </c>
      <c r="E3980" t="s">
        <v>66</v>
      </c>
      <c r="F3980" t="s">
        <v>67</v>
      </c>
      <c r="G3980" t="s">
        <v>152</v>
      </c>
      <c r="H3980" t="s">
        <v>152</v>
      </c>
      <c r="I3980" t="s">
        <v>35</v>
      </c>
      <c r="J3980" t="s">
        <v>36</v>
      </c>
      <c r="K3980" t="s">
        <v>29</v>
      </c>
      <c r="L3980" t="s">
        <v>30</v>
      </c>
      <c r="M3980" t="s">
        <v>139</v>
      </c>
      <c r="N3980">
        <v>642</v>
      </c>
      <c r="O3980" s="14">
        <v>0.31790054659359201</v>
      </c>
      <c r="P3980" s="14">
        <v>0.16460988437756899</v>
      </c>
      <c r="Q3980" t="str">
        <f t="shared" si="124"/>
        <v>10-14</v>
      </c>
      <c r="R3980" t="str">
        <f t="shared" si="125"/>
        <v>[ScR9iFKAasW]|10-14|Female|NEW_INFECTIONS_SUBNAT.T_1|CY2023Q3</v>
      </c>
    </row>
    <row r="3981" spans="4:18" x14ac:dyDescent="0.2">
      <c r="D3981" t="s">
        <v>65</v>
      </c>
      <c r="E3981" t="s">
        <v>66</v>
      </c>
      <c r="F3981" t="s">
        <v>67</v>
      </c>
      <c r="G3981" t="s">
        <v>152</v>
      </c>
      <c r="H3981" t="s">
        <v>152</v>
      </c>
      <c r="I3981" t="s">
        <v>37</v>
      </c>
      <c r="J3981" t="s">
        <v>38</v>
      </c>
      <c r="K3981" t="s">
        <v>29</v>
      </c>
      <c r="L3981" t="s">
        <v>30</v>
      </c>
      <c r="M3981" t="s">
        <v>139</v>
      </c>
      <c r="N3981">
        <v>1865</v>
      </c>
      <c r="O3981" s="14">
        <v>0.93891332275234196</v>
      </c>
      <c r="P3981" s="14">
        <v>0.16460988437756899</v>
      </c>
      <c r="Q3981" t="str">
        <f t="shared" si="124"/>
        <v>15-24</v>
      </c>
      <c r="R3981" t="str">
        <f t="shared" si="125"/>
        <v>[ScR9iFKAasW]|15-24|Female|NEW_INFECTIONS_SUBNAT.T_1|CY2023Q3</v>
      </c>
    </row>
    <row r="3982" spans="4:18" x14ac:dyDescent="0.2">
      <c r="D3982" t="s">
        <v>65</v>
      </c>
      <c r="E3982" t="s">
        <v>66</v>
      </c>
      <c r="F3982" t="s">
        <v>67</v>
      </c>
      <c r="G3982" t="s">
        <v>152</v>
      </c>
      <c r="H3982" t="s">
        <v>152</v>
      </c>
      <c r="I3982" t="s">
        <v>40</v>
      </c>
      <c r="J3982" t="s">
        <v>41</v>
      </c>
      <c r="K3982" t="s">
        <v>29</v>
      </c>
      <c r="L3982" t="s">
        <v>30</v>
      </c>
      <c r="M3982" t="s">
        <v>139</v>
      </c>
      <c r="N3982">
        <v>1762</v>
      </c>
      <c r="O3982" s="14">
        <v>0.94964844384230696</v>
      </c>
      <c r="P3982" s="14">
        <v>0.16460988437756899</v>
      </c>
      <c r="Q3982" t="str">
        <f t="shared" si="124"/>
        <v>25-34</v>
      </c>
      <c r="R3982" t="str">
        <f t="shared" si="125"/>
        <v>[ScR9iFKAasW]|25-34|Female|NEW_INFECTIONS_SUBNAT.T_1|CY2023Q3</v>
      </c>
    </row>
    <row r="3983" spans="4:18" x14ac:dyDescent="0.2">
      <c r="D3983" t="s">
        <v>65</v>
      </c>
      <c r="E3983" t="s">
        <v>66</v>
      </c>
      <c r="F3983" t="s">
        <v>67</v>
      </c>
      <c r="G3983" t="s">
        <v>152</v>
      </c>
      <c r="H3983" t="s">
        <v>152</v>
      </c>
      <c r="I3983" t="s">
        <v>42</v>
      </c>
      <c r="J3983" t="s">
        <v>43</v>
      </c>
      <c r="K3983" t="s">
        <v>29</v>
      </c>
      <c r="L3983" t="s">
        <v>30</v>
      </c>
      <c r="M3983" t="s">
        <v>139</v>
      </c>
      <c r="N3983">
        <v>1879</v>
      </c>
      <c r="O3983" s="14">
        <v>0.81248741247691203</v>
      </c>
      <c r="P3983" s="14">
        <v>0.16460988437756899</v>
      </c>
      <c r="Q3983" t="str">
        <f t="shared" si="124"/>
        <v>35-49</v>
      </c>
      <c r="R3983" t="str">
        <f t="shared" si="125"/>
        <v>[ScR9iFKAasW]|35-49|Female|NEW_INFECTIONS_SUBNAT.T_1|CY2023Q3</v>
      </c>
    </row>
    <row r="3984" spans="4:18" x14ac:dyDescent="0.2">
      <c r="D3984" t="s">
        <v>65</v>
      </c>
      <c r="E3984" t="s">
        <v>66</v>
      </c>
      <c r="F3984" t="s">
        <v>67</v>
      </c>
      <c r="G3984" t="s">
        <v>152</v>
      </c>
      <c r="H3984" t="s">
        <v>152</v>
      </c>
      <c r="I3984" t="s">
        <v>44</v>
      </c>
      <c r="J3984" t="s">
        <v>45</v>
      </c>
      <c r="K3984" t="s">
        <v>29</v>
      </c>
      <c r="L3984" t="s">
        <v>30</v>
      </c>
      <c r="M3984" t="s">
        <v>139</v>
      </c>
      <c r="N3984">
        <v>1577</v>
      </c>
      <c r="O3984" s="14">
        <v>0.57340714195743203</v>
      </c>
      <c r="P3984" s="14">
        <v>0.16460988437756899</v>
      </c>
      <c r="Q3984" t="str">
        <f t="shared" si="124"/>
        <v>50+</v>
      </c>
      <c r="R3984" t="str">
        <f t="shared" si="125"/>
        <v>[ScR9iFKAasW]|50+|Female|NEW_INFECTIONS_SUBNAT.T_1|CY2023Q3</v>
      </c>
    </row>
    <row r="3985" spans="4:18" x14ac:dyDescent="0.2">
      <c r="D3985" t="s">
        <v>65</v>
      </c>
      <c r="E3985" t="s">
        <v>66</v>
      </c>
      <c r="F3985" t="s">
        <v>67</v>
      </c>
      <c r="G3985" t="s">
        <v>152</v>
      </c>
      <c r="H3985" t="s">
        <v>152</v>
      </c>
      <c r="I3985" t="s">
        <v>27</v>
      </c>
      <c r="J3985" t="s">
        <v>28</v>
      </c>
      <c r="K3985" t="s">
        <v>47</v>
      </c>
      <c r="L3985" t="s">
        <v>48</v>
      </c>
      <c r="M3985" t="s">
        <v>139</v>
      </c>
      <c r="N3985">
        <v>1386</v>
      </c>
      <c r="O3985" s="14">
        <v>0.84179020021110795</v>
      </c>
      <c r="P3985" s="14">
        <v>0.16460988437756899</v>
      </c>
      <c r="Q3985" t="str">
        <f t="shared" si="124"/>
        <v>&lt;01</v>
      </c>
      <c r="R3985" t="str">
        <f t="shared" si="125"/>
        <v>[ScR9iFKAasW]|&lt;01|Male|NEW_INFECTIONS_SUBNAT.T_1|CY2023Q3</v>
      </c>
    </row>
    <row r="3986" spans="4:18" x14ac:dyDescent="0.2">
      <c r="D3986" t="s">
        <v>65</v>
      </c>
      <c r="E3986" t="s">
        <v>66</v>
      </c>
      <c r="F3986" t="s">
        <v>67</v>
      </c>
      <c r="G3986" t="s">
        <v>152</v>
      </c>
      <c r="H3986" t="s">
        <v>152</v>
      </c>
      <c r="I3986" t="s">
        <v>32</v>
      </c>
      <c r="J3986" t="s">
        <v>33</v>
      </c>
      <c r="K3986" t="s">
        <v>47</v>
      </c>
      <c r="L3986" t="s">
        <v>48</v>
      </c>
      <c r="M3986" t="s">
        <v>139</v>
      </c>
      <c r="N3986">
        <v>1850</v>
      </c>
      <c r="O3986" s="14">
        <v>0.22398926201276501</v>
      </c>
      <c r="P3986" s="14">
        <v>0.16460988437756899</v>
      </c>
      <c r="Q3986" t="str">
        <f t="shared" si="124"/>
        <v>01-09</v>
      </c>
      <c r="R3986" t="str">
        <f t="shared" si="125"/>
        <v>[ScR9iFKAasW]|01-09|Male|NEW_INFECTIONS_SUBNAT.T_1|CY2023Q3</v>
      </c>
    </row>
    <row r="3987" spans="4:18" x14ac:dyDescent="0.2">
      <c r="D3987" t="s">
        <v>65</v>
      </c>
      <c r="E3987" t="s">
        <v>66</v>
      </c>
      <c r="F3987" t="s">
        <v>67</v>
      </c>
      <c r="G3987" t="s">
        <v>152</v>
      </c>
      <c r="H3987" t="s">
        <v>152</v>
      </c>
      <c r="I3987" t="s">
        <v>35</v>
      </c>
      <c r="J3987" t="s">
        <v>36</v>
      </c>
      <c r="K3987" t="s">
        <v>47</v>
      </c>
      <c r="L3987" t="s">
        <v>48</v>
      </c>
      <c r="M3987" t="s">
        <v>139</v>
      </c>
      <c r="N3987">
        <v>1051</v>
      </c>
      <c r="O3987" s="14">
        <v>0.28625804232433399</v>
      </c>
      <c r="P3987" s="14">
        <v>0.16460988437756899</v>
      </c>
      <c r="Q3987" t="str">
        <f t="shared" si="124"/>
        <v>10-14</v>
      </c>
      <c r="R3987" t="str">
        <f t="shared" si="125"/>
        <v>[ScR9iFKAasW]|10-14|Male|NEW_INFECTIONS_SUBNAT.T_1|CY2023Q3</v>
      </c>
    </row>
    <row r="3988" spans="4:18" x14ac:dyDescent="0.2">
      <c r="D3988" t="s">
        <v>65</v>
      </c>
      <c r="E3988" t="s">
        <v>66</v>
      </c>
      <c r="F3988" t="s">
        <v>67</v>
      </c>
      <c r="G3988" t="s">
        <v>152</v>
      </c>
      <c r="H3988" t="s">
        <v>152</v>
      </c>
      <c r="I3988" t="s">
        <v>37</v>
      </c>
      <c r="J3988" t="s">
        <v>38</v>
      </c>
      <c r="K3988" t="s">
        <v>47</v>
      </c>
      <c r="L3988" t="s">
        <v>48</v>
      </c>
      <c r="M3988" t="s">
        <v>139</v>
      </c>
      <c r="N3988">
        <v>1433</v>
      </c>
      <c r="O3988" s="14">
        <v>0.57721319561824203</v>
      </c>
      <c r="P3988" s="14">
        <v>0.16460988437756899</v>
      </c>
      <c r="Q3988" t="str">
        <f t="shared" si="124"/>
        <v>15-24</v>
      </c>
      <c r="R3988" t="str">
        <f t="shared" si="125"/>
        <v>[ScR9iFKAasW]|15-24|Male|NEW_INFECTIONS_SUBNAT.T_1|CY2023Q3</v>
      </c>
    </row>
    <row r="3989" spans="4:18" x14ac:dyDescent="0.2">
      <c r="D3989" t="s">
        <v>65</v>
      </c>
      <c r="E3989" t="s">
        <v>66</v>
      </c>
      <c r="F3989" t="s">
        <v>67</v>
      </c>
      <c r="G3989" t="s">
        <v>152</v>
      </c>
      <c r="H3989" t="s">
        <v>152</v>
      </c>
      <c r="I3989" t="s">
        <v>40</v>
      </c>
      <c r="J3989" t="s">
        <v>41</v>
      </c>
      <c r="K3989" t="s">
        <v>47</v>
      </c>
      <c r="L3989" t="s">
        <v>48</v>
      </c>
      <c r="M3989" t="s">
        <v>139</v>
      </c>
      <c r="N3989">
        <v>1025</v>
      </c>
      <c r="O3989" s="14">
        <v>0.78370747528970197</v>
      </c>
      <c r="P3989" s="14">
        <v>0.16460988437756899</v>
      </c>
      <c r="Q3989" t="str">
        <f t="shared" si="124"/>
        <v>25-34</v>
      </c>
      <c r="R3989" t="str">
        <f t="shared" si="125"/>
        <v>[ScR9iFKAasW]|25-34|Male|NEW_INFECTIONS_SUBNAT.T_1|CY2023Q3</v>
      </c>
    </row>
    <row r="3990" spans="4:18" x14ac:dyDescent="0.2">
      <c r="D3990" t="s">
        <v>65</v>
      </c>
      <c r="E3990" t="s">
        <v>66</v>
      </c>
      <c r="F3990" t="s">
        <v>67</v>
      </c>
      <c r="G3990" t="s">
        <v>152</v>
      </c>
      <c r="H3990" t="s">
        <v>152</v>
      </c>
      <c r="I3990" t="s">
        <v>42</v>
      </c>
      <c r="J3990" t="s">
        <v>43</v>
      </c>
      <c r="K3990" t="s">
        <v>47</v>
      </c>
      <c r="L3990" t="s">
        <v>48</v>
      </c>
      <c r="M3990" t="s">
        <v>139</v>
      </c>
      <c r="N3990">
        <v>1693</v>
      </c>
      <c r="O3990" s="14">
        <v>0.13502007653005399</v>
      </c>
      <c r="P3990" s="14">
        <v>0.16460988437756899</v>
      </c>
      <c r="Q3990" t="str">
        <f t="shared" si="124"/>
        <v>35-49</v>
      </c>
      <c r="R3990" t="str">
        <f t="shared" si="125"/>
        <v>[ScR9iFKAasW]|35-49|Male|NEW_INFECTIONS_SUBNAT.T_1|CY2023Q3</v>
      </c>
    </row>
    <row r="3991" spans="4:18" x14ac:dyDescent="0.2">
      <c r="D3991" t="s">
        <v>65</v>
      </c>
      <c r="E3991" t="s">
        <v>66</v>
      </c>
      <c r="F3991" t="s">
        <v>67</v>
      </c>
      <c r="G3991" t="s">
        <v>152</v>
      </c>
      <c r="H3991" t="s">
        <v>152</v>
      </c>
      <c r="I3991" t="s">
        <v>44</v>
      </c>
      <c r="J3991" t="s">
        <v>45</v>
      </c>
      <c r="K3991" t="s">
        <v>47</v>
      </c>
      <c r="L3991" t="s">
        <v>48</v>
      </c>
      <c r="M3991" t="s">
        <v>139</v>
      </c>
      <c r="N3991">
        <v>856</v>
      </c>
      <c r="O3991" s="14">
        <v>0.271262066671625</v>
      </c>
      <c r="P3991" s="14">
        <v>0.16460988437756899</v>
      </c>
      <c r="Q3991" t="str">
        <f t="shared" si="124"/>
        <v>50+</v>
      </c>
      <c r="R3991" t="str">
        <f t="shared" si="125"/>
        <v>[ScR9iFKAasW]|50+|Male|NEW_INFECTIONS_SUBNAT.T_1|CY2023Q3</v>
      </c>
    </row>
    <row r="3992" spans="4:18" x14ac:dyDescent="0.2">
      <c r="D3992" t="s">
        <v>68</v>
      </c>
      <c r="E3992" t="s">
        <v>69</v>
      </c>
      <c r="F3992" t="s">
        <v>70</v>
      </c>
      <c r="G3992" t="s">
        <v>152</v>
      </c>
      <c r="H3992" t="s">
        <v>152</v>
      </c>
      <c r="I3992" t="s">
        <v>27</v>
      </c>
      <c r="J3992" t="s">
        <v>28</v>
      </c>
      <c r="K3992" t="s">
        <v>29</v>
      </c>
      <c r="L3992" t="s">
        <v>30</v>
      </c>
      <c r="M3992" t="s">
        <v>139</v>
      </c>
      <c r="N3992">
        <v>1870</v>
      </c>
      <c r="O3992" s="14">
        <v>0.22962272167205799</v>
      </c>
      <c r="P3992" s="14">
        <v>0.19881726312451101</v>
      </c>
      <c r="Q3992" t="str">
        <f t="shared" si="124"/>
        <v>&lt;01</v>
      </c>
      <c r="R3992" t="str">
        <f t="shared" si="125"/>
        <v>[PekKUkKHAzY]|&lt;01|Female|NEW_INFECTIONS_SUBNAT.T_1|CY2023Q3</v>
      </c>
    </row>
    <row r="3993" spans="4:18" x14ac:dyDescent="0.2">
      <c r="D3993" t="s">
        <v>68</v>
      </c>
      <c r="E3993" t="s">
        <v>69</v>
      </c>
      <c r="F3993" t="s">
        <v>70</v>
      </c>
      <c r="G3993" t="s">
        <v>152</v>
      </c>
      <c r="H3993" t="s">
        <v>152</v>
      </c>
      <c r="I3993" t="s">
        <v>32</v>
      </c>
      <c r="J3993" t="s">
        <v>33</v>
      </c>
      <c r="K3993" t="s">
        <v>29</v>
      </c>
      <c r="L3993" t="s">
        <v>30</v>
      </c>
      <c r="M3993" t="s">
        <v>139</v>
      </c>
      <c r="N3993">
        <v>1261</v>
      </c>
      <c r="O3993" s="14">
        <v>0.40650231763720501</v>
      </c>
      <c r="P3993" s="14">
        <v>0.19881726312451101</v>
      </c>
      <c r="Q3993" t="str">
        <f t="shared" si="124"/>
        <v>01-09</v>
      </c>
      <c r="R3993" t="str">
        <f t="shared" si="125"/>
        <v>[PekKUkKHAzY]|01-09|Female|NEW_INFECTIONS_SUBNAT.T_1|CY2023Q3</v>
      </c>
    </row>
    <row r="3994" spans="4:18" x14ac:dyDescent="0.2">
      <c r="D3994" t="s">
        <v>68</v>
      </c>
      <c r="E3994" t="s">
        <v>69</v>
      </c>
      <c r="F3994" t="s">
        <v>70</v>
      </c>
      <c r="G3994" t="s">
        <v>152</v>
      </c>
      <c r="H3994" t="s">
        <v>152</v>
      </c>
      <c r="I3994" t="s">
        <v>35</v>
      </c>
      <c r="J3994" t="s">
        <v>36</v>
      </c>
      <c r="K3994" t="s">
        <v>29</v>
      </c>
      <c r="L3994" t="s">
        <v>30</v>
      </c>
      <c r="M3994" t="s">
        <v>139</v>
      </c>
      <c r="N3994">
        <v>1910</v>
      </c>
      <c r="O3994" s="14">
        <v>1.1568862479180099E-2</v>
      </c>
      <c r="P3994" s="14">
        <v>0.19881726312451101</v>
      </c>
      <c r="Q3994" t="str">
        <f t="shared" si="124"/>
        <v>10-14</v>
      </c>
      <c r="R3994" t="str">
        <f t="shared" si="125"/>
        <v>[PekKUkKHAzY]|10-14|Female|NEW_INFECTIONS_SUBNAT.T_1|CY2023Q3</v>
      </c>
    </row>
    <row r="3995" spans="4:18" x14ac:dyDescent="0.2">
      <c r="D3995" t="s">
        <v>68</v>
      </c>
      <c r="E3995" t="s">
        <v>69</v>
      </c>
      <c r="F3995" t="s">
        <v>70</v>
      </c>
      <c r="G3995" t="s">
        <v>152</v>
      </c>
      <c r="H3995" t="s">
        <v>152</v>
      </c>
      <c r="I3995" t="s">
        <v>37</v>
      </c>
      <c r="J3995" t="s">
        <v>38</v>
      </c>
      <c r="K3995" t="s">
        <v>29</v>
      </c>
      <c r="L3995" t="s">
        <v>30</v>
      </c>
      <c r="M3995" t="s">
        <v>139</v>
      </c>
      <c r="N3995">
        <v>1204</v>
      </c>
      <c r="O3995" s="14">
        <v>0.59396668826229904</v>
      </c>
      <c r="P3995" s="14">
        <v>0.19881726312451101</v>
      </c>
      <c r="Q3995" t="str">
        <f t="shared" si="124"/>
        <v>15-24</v>
      </c>
      <c r="R3995" t="str">
        <f t="shared" si="125"/>
        <v>[PekKUkKHAzY]|15-24|Female|NEW_INFECTIONS_SUBNAT.T_1|CY2023Q3</v>
      </c>
    </row>
    <row r="3996" spans="4:18" x14ac:dyDescent="0.2">
      <c r="D3996" t="s">
        <v>68</v>
      </c>
      <c r="E3996" t="s">
        <v>69</v>
      </c>
      <c r="F3996" t="s">
        <v>70</v>
      </c>
      <c r="G3996" t="s">
        <v>152</v>
      </c>
      <c r="H3996" t="s">
        <v>152</v>
      </c>
      <c r="I3996" t="s">
        <v>40</v>
      </c>
      <c r="J3996" t="s">
        <v>41</v>
      </c>
      <c r="K3996" t="s">
        <v>29</v>
      </c>
      <c r="L3996" t="s">
        <v>30</v>
      </c>
      <c r="M3996" t="s">
        <v>139</v>
      </c>
      <c r="N3996">
        <v>1602</v>
      </c>
      <c r="O3996" s="14">
        <v>0.65149691491387796</v>
      </c>
      <c r="P3996" s="14">
        <v>0.19881726312451101</v>
      </c>
      <c r="Q3996" t="str">
        <f t="shared" si="124"/>
        <v>25-34</v>
      </c>
      <c r="R3996" t="str">
        <f t="shared" si="125"/>
        <v>[PekKUkKHAzY]|25-34|Female|NEW_INFECTIONS_SUBNAT.T_1|CY2023Q3</v>
      </c>
    </row>
    <row r="3997" spans="4:18" x14ac:dyDescent="0.2">
      <c r="D3997" t="s">
        <v>68</v>
      </c>
      <c r="E3997" t="s">
        <v>69</v>
      </c>
      <c r="F3997" t="s">
        <v>70</v>
      </c>
      <c r="G3997" t="s">
        <v>152</v>
      </c>
      <c r="H3997" t="s">
        <v>152</v>
      </c>
      <c r="I3997" t="s">
        <v>42</v>
      </c>
      <c r="J3997" t="s">
        <v>43</v>
      </c>
      <c r="K3997" t="s">
        <v>29</v>
      </c>
      <c r="L3997" t="s">
        <v>30</v>
      </c>
      <c r="M3997" t="s">
        <v>139</v>
      </c>
      <c r="N3997">
        <v>1326</v>
      </c>
      <c r="O3997" s="14">
        <v>0.32685517962090699</v>
      </c>
      <c r="P3997" s="14">
        <v>0.19881726312451101</v>
      </c>
      <c r="Q3997" t="str">
        <f t="shared" si="124"/>
        <v>35-49</v>
      </c>
      <c r="R3997" t="str">
        <f t="shared" si="125"/>
        <v>[PekKUkKHAzY]|35-49|Female|NEW_INFECTIONS_SUBNAT.T_1|CY2023Q3</v>
      </c>
    </row>
    <row r="3998" spans="4:18" x14ac:dyDescent="0.2">
      <c r="D3998" t="s">
        <v>68</v>
      </c>
      <c r="E3998" t="s">
        <v>69</v>
      </c>
      <c r="F3998" t="s">
        <v>70</v>
      </c>
      <c r="G3998" t="s">
        <v>152</v>
      </c>
      <c r="H3998" t="s">
        <v>152</v>
      </c>
      <c r="I3998" t="s">
        <v>44</v>
      </c>
      <c r="J3998" t="s">
        <v>45</v>
      </c>
      <c r="K3998" t="s">
        <v>29</v>
      </c>
      <c r="L3998" t="s">
        <v>30</v>
      </c>
      <c r="M3998" t="s">
        <v>139</v>
      </c>
      <c r="N3998">
        <v>1240</v>
      </c>
      <c r="O3998" s="14">
        <v>0.90531583549454797</v>
      </c>
      <c r="P3998" s="14">
        <v>0.19881726312451101</v>
      </c>
      <c r="Q3998" t="str">
        <f t="shared" si="124"/>
        <v>50+</v>
      </c>
      <c r="R3998" t="str">
        <f t="shared" si="125"/>
        <v>[PekKUkKHAzY]|50+|Female|NEW_INFECTIONS_SUBNAT.T_1|CY2023Q3</v>
      </c>
    </row>
    <row r="3999" spans="4:18" x14ac:dyDescent="0.2">
      <c r="D3999" t="s">
        <v>68</v>
      </c>
      <c r="E3999" t="s">
        <v>69</v>
      </c>
      <c r="F3999" t="s">
        <v>70</v>
      </c>
      <c r="G3999" t="s">
        <v>152</v>
      </c>
      <c r="H3999" t="s">
        <v>152</v>
      </c>
      <c r="I3999" t="s">
        <v>27</v>
      </c>
      <c r="J3999" t="s">
        <v>28</v>
      </c>
      <c r="K3999" t="s">
        <v>47</v>
      </c>
      <c r="L3999" t="s">
        <v>48</v>
      </c>
      <c r="M3999" t="s">
        <v>139</v>
      </c>
      <c r="N3999">
        <v>643</v>
      </c>
      <c r="O3999" s="14">
        <v>0.32713153469376299</v>
      </c>
      <c r="P3999" s="14">
        <v>0.19881726312451101</v>
      </c>
      <c r="Q3999" t="str">
        <f t="shared" si="124"/>
        <v>&lt;01</v>
      </c>
      <c r="R3999" t="str">
        <f t="shared" si="125"/>
        <v>[PekKUkKHAzY]|&lt;01|Male|NEW_INFECTIONS_SUBNAT.T_1|CY2023Q3</v>
      </c>
    </row>
    <row r="4000" spans="4:18" x14ac:dyDescent="0.2">
      <c r="D4000" t="s">
        <v>68</v>
      </c>
      <c r="E4000" t="s">
        <v>69</v>
      </c>
      <c r="F4000" t="s">
        <v>70</v>
      </c>
      <c r="G4000" t="s">
        <v>152</v>
      </c>
      <c r="H4000" t="s">
        <v>152</v>
      </c>
      <c r="I4000" t="s">
        <v>32</v>
      </c>
      <c r="J4000" t="s">
        <v>33</v>
      </c>
      <c r="K4000" t="s">
        <v>47</v>
      </c>
      <c r="L4000" t="s">
        <v>48</v>
      </c>
      <c r="M4000" t="s">
        <v>139</v>
      </c>
      <c r="N4000">
        <v>1687</v>
      </c>
      <c r="O4000" s="14">
        <v>3.6561243468895603E-2</v>
      </c>
      <c r="P4000" s="14">
        <v>0.19881726312451101</v>
      </c>
      <c r="Q4000" t="str">
        <f t="shared" si="124"/>
        <v>01-09</v>
      </c>
      <c r="R4000" t="str">
        <f t="shared" si="125"/>
        <v>[PekKUkKHAzY]|01-09|Male|NEW_INFECTIONS_SUBNAT.T_1|CY2023Q3</v>
      </c>
    </row>
    <row r="4001" spans="4:18" x14ac:dyDescent="0.2">
      <c r="D4001" t="s">
        <v>68</v>
      </c>
      <c r="E4001" t="s">
        <v>69</v>
      </c>
      <c r="F4001" t="s">
        <v>70</v>
      </c>
      <c r="G4001" t="s">
        <v>152</v>
      </c>
      <c r="H4001" t="s">
        <v>152</v>
      </c>
      <c r="I4001" t="s">
        <v>35</v>
      </c>
      <c r="J4001" t="s">
        <v>36</v>
      </c>
      <c r="K4001" t="s">
        <v>47</v>
      </c>
      <c r="L4001" t="s">
        <v>48</v>
      </c>
      <c r="M4001" t="s">
        <v>139</v>
      </c>
      <c r="N4001">
        <v>1922</v>
      </c>
      <c r="O4001" s="14">
        <v>0.110988823929802</v>
      </c>
      <c r="P4001" s="14">
        <v>0.19881726312451101</v>
      </c>
      <c r="Q4001" t="str">
        <f t="shared" si="124"/>
        <v>10-14</v>
      </c>
      <c r="R4001" t="str">
        <f t="shared" si="125"/>
        <v>[PekKUkKHAzY]|10-14|Male|NEW_INFECTIONS_SUBNAT.T_1|CY2023Q3</v>
      </c>
    </row>
    <row r="4002" spans="4:18" x14ac:dyDescent="0.2">
      <c r="D4002" t="s">
        <v>68</v>
      </c>
      <c r="E4002" t="s">
        <v>69</v>
      </c>
      <c r="F4002" t="s">
        <v>70</v>
      </c>
      <c r="G4002" t="s">
        <v>152</v>
      </c>
      <c r="H4002" t="s">
        <v>152</v>
      </c>
      <c r="I4002" t="s">
        <v>37</v>
      </c>
      <c r="J4002" t="s">
        <v>38</v>
      </c>
      <c r="K4002" t="s">
        <v>47</v>
      </c>
      <c r="L4002" t="s">
        <v>48</v>
      </c>
      <c r="M4002" t="s">
        <v>139</v>
      </c>
      <c r="N4002">
        <v>581</v>
      </c>
      <c r="O4002" s="14">
        <v>0.73600252810865596</v>
      </c>
      <c r="P4002" s="14">
        <v>0.19881726312451101</v>
      </c>
      <c r="Q4002" t="str">
        <f t="shared" si="124"/>
        <v>15-24</v>
      </c>
      <c r="R4002" t="str">
        <f t="shared" si="125"/>
        <v>[PekKUkKHAzY]|15-24|Male|NEW_INFECTIONS_SUBNAT.T_1|CY2023Q3</v>
      </c>
    </row>
    <row r="4003" spans="4:18" x14ac:dyDescent="0.2">
      <c r="D4003" t="s">
        <v>68</v>
      </c>
      <c r="E4003" t="s">
        <v>69</v>
      </c>
      <c r="F4003" t="s">
        <v>70</v>
      </c>
      <c r="G4003" t="s">
        <v>152</v>
      </c>
      <c r="H4003" t="s">
        <v>152</v>
      </c>
      <c r="I4003" t="s">
        <v>40</v>
      </c>
      <c r="J4003" t="s">
        <v>41</v>
      </c>
      <c r="K4003" t="s">
        <v>47</v>
      </c>
      <c r="L4003" t="s">
        <v>48</v>
      </c>
      <c r="M4003" t="s">
        <v>139</v>
      </c>
      <c r="N4003">
        <v>848</v>
      </c>
      <c r="O4003" s="14">
        <v>0.84361404343508195</v>
      </c>
      <c r="P4003" s="14">
        <v>0.19881726312451101</v>
      </c>
      <c r="Q4003" t="str">
        <f t="shared" si="124"/>
        <v>25-34</v>
      </c>
      <c r="R4003" t="str">
        <f t="shared" si="125"/>
        <v>[PekKUkKHAzY]|25-34|Male|NEW_INFECTIONS_SUBNAT.T_1|CY2023Q3</v>
      </c>
    </row>
    <row r="4004" spans="4:18" x14ac:dyDescent="0.2">
      <c r="D4004" t="s">
        <v>68</v>
      </c>
      <c r="E4004" t="s">
        <v>69</v>
      </c>
      <c r="F4004" t="s">
        <v>70</v>
      </c>
      <c r="G4004" t="s">
        <v>152</v>
      </c>
      <c r="H4004" t="s">
        <v>152</v>
      </c>
      <c r="I4004" t="s">
        <v>42</v>
      </c>
      <c r="J4004" t="s">
        <v>43</v>
      </c>
      <c r="K4004" t="s">
        <v>47</v>
      </c>
      <c r="L4004" t="s">
        <v>48</v>
      </c>
      <c r="M4004" t="s">
        <v>139</v>
      </c>
      <c r="N4004">
        <v>1509</v>
      </c>
      <c r="O4004" s="14">
        <v>0.15381116094067701</v>
      </c>
      <c r="P4004" s="14">
        <v>0.19881726312451101</v>
      </c>
      <c r="Q4004" t="str">
        <f t="shared" si="124"/>
        <v>35-49</v>
      </c>
      <c r="R4004" t="str">
        <f t="shared" si="125"/>
        <v>[PekKUkKHAzY]|35-49|Male|NEW_INFECTIONS_SUBNAT.T_1|CY2023Q3</v>
      </c>
    </row>
    <row r="4005" spans="4:18" x14ac:dyDescent="0.2">
      <c r="D4005" t="s">
        <v>68</v>
      </c>
      <c r="E4005" t="s">
        <v>69</v>
      </c>
      <c r="F4005" t="s">
        <v>70</v>
      </c>
      <c r="G4005" t="s">
        <v>152</v>
      </c>
      <c r="H4005" t="s">
        <v>152</v>
      </c>
      <c r="I4005" t="s">
        <v>44</v>
      </c>
      <c r="J4005" t="s">
        <v>45</v>
      </c>
      <c r="K4005" t="s">
        <v>47</v>
      </c>
      <c r="L4005" t="s">
        <v>48</v>
      </c>
      <c r="M4005" t="s">
        <v>139</v>
      </c>
      <c r="N4005">
        <v>1470</v>
      </c>
      <c r="O4005" s="14">
        <v>0.88059147610329103</v>
      </c>
      <c r="P4005" s="14">
        <v>0.19881726312451101</v>
      </c>
      <c r="Q4005" t="str">
        <f t="shared" si="124"/>
        <v>50+</v>
      </c>
      <c r="R4005" t="str">
        <f t="shared" si="125"/>
        <v>[PekKUkKHAzY]|50+|Male|NEW_INFECTIONS_SUBNAT.T_1|CY2023Q3</v>
      </c>
    </row>
    <row r="4006" spans="4:18" x14ac:dyDescent="0.2">
      <c r="D4006" t="s">
        <v>71</v>
      </c>
      <c r="E4006" t="s">
        <v>72</v>
      </c>
      <c r="F4006" t="s">
        <v>73</v>
      </c>
      <c r="G4006" t="s">
        <v>152</v>
      </c>
      <c r="H4006" t="s">
        <v>152</v>
      </c>
      <c r="I4006" t="s">
        <v>27</v>
      </c>
      <c r="J4006" t="s">
        <v>28</v>
      </c>
      <c r="K4006" t="s">
        <v>29</v>
      </c>
      <c r="L4006" t="s">
        <v>30</v>
      </c>
      <c r="M4006" t="s">
        <v>139</v>
      </c>
      <c r="N4006">
        <v>1388</v>
      </c>
      <c r="O4006" s="14">
        <v>0.41923876223154399</v>
      </c>
      <c r="P4006" s="14">
        <v>0.28972870693542102</v>
      </c>
      <c r="Q4006" t="str">
        <f t="shared" si="124"/>
        <v>&lt;01</v>
      </c>
      <c r="R4006" t="str">
        <f t="shared" si="125"/>
        <v>[am530wpaGvr]|&lt;01|Female|NEW_INFECTIONS_SUBNAT.T_1|CY2023Q3</v>
      </c>
    </row>
    <row r="4007" spans="4:18" x14ac:dyDescent="0.2">
      <c r="D4007" t="s">
        <v>71</v>
      </c>
      <c r="E4007" t="s">
        <v>72</v>
      </c>
      <c r="F4007" t="s">
        <v>73</v>
      </c>
      <c r="G4007" t="s">
        <v>152</v>
      </c>
      <c r="H4007" t="s">
        <v>152</v>
      </c>
      <c r="I4007" t="s">
        <v>32</v>
      </c>
      <c r="J4007" t="s">
        <v>33</v>
      </c>
      <c r="K4007" t="s">
        <v>29</v>
      </c>
      <c r="L4007" t="s">
        <v>30</v>
      </c>
      <c r="M4007" t="s">
        <v>139</v>
      </c>
      <c r="N4007">
        <v>1938</v>
      </c>
      <c r="O4007" s="14">
        <v>0.449059201870114</v>
      </c>
      <c r="P4007" s="14">
        <v>0.28972870693542102</v>
      </c>
      <c r="Q4007" t="str">
        <f t="shared" si="124"/>
        <v>01-09</v>
      </c>
      <c r="R4007" t="str">
        <f t="shared" si="125"/>
        <v>[am530wpaGvr]|01-09|Female|NEW_INFECTIONS_SUBNAT.T_1|CY2023Q3</v>
      </c>
    </row>
    <row r="4008" spans="4:18" x14ac:dyDescent="0.2">
      <c r="D4008" t="s">
        <v>71</v>
      </c>
      <c r="E4008" t="s">
        <v>72</v>
      </c>
      <c r="F4008" t="s">
        <v>73</v>
      </c>
      <c r="G4008" t="s">
        <v>152</v>
      </c>
      <c r="H4008" t="s">
        <v>152</v>
      </c>
      <c r="I4008" t="s">
        <v>35</v>
      </c>
      <c r="J4008" t="s">
        <v>36</v>
      </c>
      <c r="K4008" t="s">
        <v>29</v>
      </c>
      <c r="L4008" t="s">
        <v>30</v>
      </c>
      <c r="M4008" t="s">
        <v>139</v>
      </c>
      <c r="N4008">
        <v>1526</v>
      </c>
      <c r="O4008" s="14">
        <v>0.68994564702734396</v>
      </c>
      <c r="P4008" s="14">
        <v>0.28972870693542102</v>
      </c>
      <c r="Q4008" t="str">
        <f t="shared" si="124"/>
        <v>10-14</v>
      </c>
      <c r="R4008" t="str">
        <f t="shared" si="125"/>
        <v>[am530wpaGvr]|10-14|Female|NEW_INFECTIONS_SUBNAT.T_1|CY2023Q3</v>
      </c>
    </row>
    <row r="4009" spans="4:18" x14ac:dyDescent="0.2">
      <c r="D4009" t="s">
        <v>71</v>
      </c>
      <c r="E4009" t="s">
        <v>72</v>
      </c>
      <c r="F4009" t="s">
        <v>73</v>
      </c>
      <c r="G4009" t="s">
        <v>152</v>
      </c>
      <c r="H4009" t="s">
        <v>152</v>
      </c>
      <c r="I4009" t="s">
        <v>37</v>
      </c>
      <c r="J4009" t="s">
        <v>38</v>
      </c>
      <c r="K4009" t="s">
        <v>29</v>
      </c>
      <c r="L4009" t="s">
        <v>30</v>
      </c>
      <c r="M4009" t="s">
        <v>139</v>
      </c>
      <c r="N4009">
        <v>1573</v>
      </c>
      <c r="O4009" s="14">
        <v>0.66634880704805299</v>
      </c>
      <c r="P4009" s="14">
        <v>0.28972870693542102</v>
      </c>
      <c r="Q4009" t="str">
        <f t="shared" si="124"/>
        <v>15-24</v>
      </c>
      <c r="R4009" t="str">
        <f t="shared" si="125"/>
        <v>[am530wpaGvr]|15-24|Female|NEW_INFECTIONS_SUBNAT.T_1|CY2023Q3</v>
      </c>
    </row>
    <row r="4010" spans="4:18" x14ac:dyDescent="0.2">
      <c r="D4010" t="s">
        <v>71</v>
      </c>
      <c r="E4010" t="s">
        <v>72</v>
      </c>
      <c r="F4010" t="s">
        <v>73</v>
      </c>
      <c r="G4010" t="s">
        <v>152</v>
      </c>
      <c r="H4010" t="s">
        <v>152</v>
      </c>
      <c r="I4010" t="s">
        <v>40</v>
      </c>
      <c r="J4010" t="s">
        <v>41</v>
      </c>
      <c r="K4010" t="s">
        <v>29</v>
      </c>
      <c r="L4010" t="s">
        <v>30</v>
      </c>
      <c r="M4010" t="s">
        <v>139</v>
      </c>
      <c r="N4010">
        <v>1687</v>
      </c>
      <c r="O4010" s="14">
        <v>0.650957742473111</v>
      </c>
      <c r="P4010" s="14">
        <v>0.28972870693542102</v>
      </c>
      <c r="Q4010" t="str">
        <f t="shared" si="124"/>
        <v>25-34</v>
      </c>
      <c r="R4010" t="str">
        <f t="shared" si="125"/>
        <v>[am530wpaGvr]|25-34|Female|NEW_INFECTIONS_SUBNAT.T_1|CY2023Q3</v>
      </c>
    </row>
    <row r="4011" spans="4:18" x14ac:dyDescent="0.2">
      <c r="D4011" t="s">
        <v>71</v>
      </c>
      <c r="E4011" t="s">
        <v>72</v>
      </c>
      <c r="F4011" t="s">
        <v>73</v>
      </c>
      <c r="G4011" t="s">
        <v>152</v>
      </c>
      <c r="H4011" t="s">
        <v>152</v>
      </c>
      <c r="I4011" t="s">
        <v>42</v>
      </c>
      <c r="J4011" t="s">
        <v>43</v>
      </c>
      <c r="K4011" t="s">
        <v>29</v>
      </c>
      <c r="L4011" t="s">
        <v>30</v>
      </c>
      <c r="M4011" t="s">
        <v>139</v>
      </c>
      <c r="N4011">
        <v>1913</v>
      </c>
      <c r="O4011" s="14">
        <v>0.42426791531033797</v>
      </c>
      <c r="P4011" s="14">
        <v>0.28972870693542102</v>
      </c>
      <c r="Q4011" t="str">
        <f t="shared" si="124"/>
        <v>35-49</v>
      </c>
      <c r="R4011" t="str">
        <f t="shared" si="125"/>
        <v>[am530wpaGvr]|35-49|Female|NEW_INFECTIONS_SUBNAT.T_1|CY2023Q3</v>
      </c>
    </row>
    <row r="4012" spans="4:18" x14ac:dyDescent="0.2">
      <c r="D4012" t="s">
        <v>71</v>
      </c>
      <c r="E4012" t="s">
        <v>72</v>
      </c>
      <c r="F4012" t="s">
        <v>73</v>
      </c>
      <c r="G4012" t="s">
        <v>152</v>
      </c>
      <c r="H4012" t="s">
        <v>152</v>
      </c>
      <c r="I4012" t="s">
        <v>44</v>
      </c>
      <c r="J4012" t="s">
        <v>45</v>
      </c>
      <c r="K4012" t="s">
        <v>29</v>
      </c>
      <c r="L4012" t="s">
        <v>30</v>
      </c>
      <c r="M4012" t="s">
        <v>139</v>
      </c>
      <c r="N4012">
        <v>525</v>
      </c>
      <c r="O4012" s="14">
        <v>0.13648971170186999</v>
      </c>
      <c r="P4012" s="14">
        <v>0.28972870693542102</v>
      </c>
      <c r="Q4012" t="str">
        <f t="shared" si="124"/>
        <v>50+</v>
      </c>
      <c r="R4012" t="str">
        <f t="shared" si="125"/>
        <v>[am530wpaGvr]|50+|Female|NEW_INFECTIONS_SUBNAT.T_1|CY2023Q3</v>
      </c>
    </row>
    <row r="4013" spans="4:18" x14ac:dyDescent="0.2">
      <c r="D4013" t="s">
        <v>71</v>
      </c>
      <c r="E4013" t="s">
        <v>72</v>
      </c>
      <c r="F4013" t="s">
        <v>73</v>
      </c>
      <c r="G4013" t="s">
        <v>152</v>
      </c>
      <c r="H4013" t="s">
        <v>152</v>
      </c>
      <c r="I4013" t="s">
        <v>27</v>
      </c>
      <c r="J4013" t="s">
        <v>28</v>
      </c>
      <c r="K4013" t="s">
        <v>47</v>
      </c>
      <c r="L4013" t="s">
        <v>48</v>
      </c>
      <c r="M4013" t="s">
        <v>139</v>
      </c>
      <c r="N4013">
        <v>683</v>
      </c>
      <c r="O4013" s="14">
        <v>0.591564764035866</v>
      </c>
      <c r="P4013" s="14">
        <v>0.28972870693542102</v>
      </c>
      <c r="Q4013" t="str">
        <f t="shared" si="124"/>
        <v>&lt;01</v>
      </c>
      <c r="R4013" t="str">
        <f t="shared" si="125"/>
        <v>[am530wpaGvr]|&lt;01|Male|NEW_INFECTIONS_SUBNAT.T_1|CY2023Q3</v>
      </c>
    </row>
    <row r="4014" spans="4:18" x14ac:dyDescent="0.2">
      <c r="D4014" t="s">
        <v>71</v>
      </c>
      <c r="E4014" t="s">
        <v>72</v>
      </c>
      <c r="F4014" t="s">
        <v>73</v>
      </c>
      <c r="G4014" t="s">
        <v>152</v>
      </c>
      <c r="H4014" t="s">
        <v>152</v>
      </c>
      <c r="I4014" t="s">
        <v>32</v>
      </c>
      <c r="J4014" t="s">
        <v>33</v>
      </c>
      <c r="K4014" t="s">
        <v>47</v>
      </c>
      <c r="L4014" t="s">
        <v>48</v>
      </c>
      <c r="M4014" t="s">
        <v>139</v>
      </c>
      <c r="N4014">
        <v>1027</v>
      </c>
      <c r="O4014" s="14">
        <v>0.88118641474284198</v>
      </c>
      <c r="P4014" s="14">
        <v>0.28972870693542102</v>
      </c>
      <c r="Q4014" t="str">
        <f t="shared" si="124"/>
        <v>01-09</v>
      </c>
      <c r="R4014" t="str">
        <f t="shared" si="125"/>
        <v>[am530wpaGvr]|01-09|Male|NEW_INFECTIONS_SUBNAT.T_1|CY2023Q3</v>
      </c>
    </row>
    <row r="4015" spans="4:18" x14ac:dyDescent="0.2">
      <c r="D4015" t="s">
        <v>71</v>
      </c>
      <c r="E4015" t="s">
        <v>72</v>
      </c>
      <c r="F4015" t="s">
        <v>73</v>
      </c>
      <c r="G4015" t="s">
        <v>152</v>
      </c>
      <c r="H4015" t="s">
        <v>152</v>
      </c>
      <c r="I4015" t="s">
        <v>35</v>
      </c>
      <c r="J4015" t="s">
        <v>36</v>
      </c>
      <c r="K4015" t="s">
        <v>47</v>
      </c>
      <c r="L4015" t="s">
        <v>48</v>
      </c>
      <c r="M4015" t="s">
        <v>139</v>
      </c>
      <c r="N4015">
        <v>1525</v>
      </c>
      <c r="O4015" s="14">
        <v>0.31242475728504399</v>
      </c>
      <c r="P4015" s="14">
        <v>0.28972870693542102</v>
      </c>
      <c r="Q4015" t="str">
        <f t="shared" si="124"/>
        <v>10-14</v>
      </c>
      <c r="R4015" t="str">
        <f t="shared" si="125"/>
        <v>[am530wpaGvr]|10-14|Male|NEW_INFECTIONS_SUBNAT.T_1|CY2023Q3</v>
      </c>
    </row>
    <row r="4016" spans="4:18" x14ac:dyDescent="0.2">
      <c r="D4016" t="s">
        <v>71</v>
      </c>
      <c r="E4016" t="s">
        <v>72</v>
      </c>
      <c r="F4016" t="s">
        <v>73</v>
      </c>
      <c r="G4016" t="s">
        <v>152</v>
      </c>
      <c r="H4016" t="s">
        <v>152</v>
      </c>
      <c r="I4016" t="s">
        <v>37</v>
      </c>
      <c r="J4016" t="s">
        <v>38</v>
      </c>
      <c r="K4016" t="s">
        <v>47</v>
      </c>
      <c r="L4016" t="s">
        <v>48</v>
      </c>
      <c r="M4016" t="s">
        <v>139</v>
      </c>
      <c r="N4016">
        <v>1217</v>
      </c>
      <c r="O4016" s="14">
        <v>0.91800258704461202</v>
      </c>
      <c r="P4016" s="14">
        <v>0.28972870693542102</v>
      </c>
      <c r="Q4016" t="str">
        <f t="shared" si="124"/>
        <v>15-24</v>
      </c>
      <c r="R4016" t="str">
        <f t="shared" si="125"/>
        <v>[am530wpaGvr]|15-24|Male|NEW_INFECTIONS_SUBNAT.T_1|CY2023Q3</v>
      </c>
    </row>
    <row r="4017" spans="4:18" x14ac:dyDescent="0.2">
      <c r="D4017" t="s">
        <v>71</v>
      </c>
      <c r="E4017" t="s">
        <v>72</v>
      </c>
      <c r="F4017" t="s">
        <v>73</v>
      </c>
      <c r="G4017" t="s">
        <v>152</v>
      </c>
      <c r="H4017" t="s">
        <v>152</v>
      </c>
      <c r="I4017" t="s">
        <v>40</v>
      </c>
      <c r="J4017" t="s">
        <v>41</v>
      </c>
      <c r="K4017" t="s">
        <v>47</v>
      </c>
      <c r="L4017" t="s">
        <v>48</v>
      </c>
      <c r="M4017" t="s">
        <v>139</v>
      </c>
      <c r="N4017">
        <v>1604</v>
      </c>
      <c r="O4017" s="14">
        <v>2.39601540379226E-2</v>
      </c>
      <c r="P4017" s="14">
        <v>0.28972870693542102</v>
      </c>
      <c r="Q4017" t="str">
        <f t="shared" si="124"/>
        <v>25-34</v>
      </c>
      <c r="R4017" t="str">
        <f t="shared" si="125"/>
        <v>[am530wpaGvr]|25-34|Male|NEW_INFECTIONS_SUBNAT.T_1|CY2023Q3</v>
      </c>
    </row>
    <row r="4018" spans="4:18" x14ac:dyDescent="0.2">
      <c r="D4018" t="s">
        <v>71</v>
      </c>
      <c r="E4018" t="s">
        <v>72</v>
      </c>
      <c r="F4018" t="s">
        <v>73</v>
      </c>
      <c r="G4018" t="s">
        <v>152</v>
      </c>
      <c r="H4018" t="s">
        <v>152</v>
      </c>
      <c r="I4018" t="s">
        <v>42</v>
      </c>
      <c r="J4018" t="s">
        <v>43</v>
      </c>
      <c r="K4018" t="s">
        <v>47</v>
      </c>
      <c r="L4018" t="s">
        <v>48</v>
      </c>
      <c r="M4018" t="s">
        <v>139</v>
      </c>
      <c r="N4018">
        <v>1719</v>
      </c>
      <c r="O4018" s="14">
        <v>0.76958351628854904</v>
      </c>
      <c r="P4018" s="14">
        <v>0.28972870693542102</v>
      </c>
      <c r="Q4018" t="str">
        <f t="shared" si="124"/>
        <v>35-49</v>
      </c>
      <c r="R4018" t="str">
        <f t="shared" si="125"/>
        <v>[am530wpaGvr]|35-49|Male|NEW_INFECTIONS_SUBNAT.T_1|CY2023Q3</v>
      </c>
    </row>
    <row r="4019" spans="4:18" x14ac:dyDescent="0.2">
      <c r="D4019" t="s">
        <v>71</v>
      </c>
      <c r="E4019" t="s">
        <v>72</v>
      </c>
      <c r="F4019" t="s">
        <v>73</v>
      </c>
      <c r="G4019" t="s">
        <v>152</v>
      </c>
      <c r="H4019" t="s">
        <v>152</v>
      </c>
      <c r="I4019" t="s">
        <v>44</v>
      </c>
      <c r="J4019" t="s">
        <v>45</v>
      </c>
      <c r="K4019" t="s">
        <v>47</v>
      </c>
      <c r="L4019" t="s">
        <v>48</v>
      </c>
      <c r="M4019" t="s">
        <v>139</v>
      </c>
      <c r="N4019">
        <v>873</v>
      </c>
      <c r="O4019" s="14">
        <v>0.54503786982968405</v>
      </c>
      <c r="P4019" s="14">
        <v>0.28972870693542102</v>
      </c>
      <c r="Q4019" t="str">
        <f t="shared" si="124"/>
        <v>50+</v>
      </c>
      <c r="R4019" t="str">
        <f t="shared" si="125"/>
        <v>[am530wpaGvr]|50+|Male|NEW_INFECTIONS_SUBNAT.T_1|CY2023Q3</v>
      </c>
    </row>
    <row r="4020" spans="4:18" x14ac:dyDescent="0.2">
      <c r="D4020" t="s">
        <v>74</v>
      </c>
      <c r="E4020" t="s">
        <v>75</v>
      </c>
      <c r="F4020" t="s">
        <v>76</v>
      </c>
      <c r="G4020" t="s">
        <v>152</v>
      </c>
      <c r="H4020" t="s">
        <v>152</v>
      </c>
      <c r="I4020" t="s">
        <v>27</v>
      </c>
      <c r="J4020" t="s">
        <v>28</v>
      </c>
      <c r="K4020" t="s">
        <v>29</v>
      </c>
      <c r="L4020" t="s">
        <v>30</v>
      </c>
      <c r="M4020" t="s">
        <v>139</v>
      </c>
      <c r="N4020">
        <v>1976</v>
      </c>
      <c r="O4020" s="14">
        <v>0.89589404547587004</v>
      </c>
      <c r="P4020" s="14">
        <v>0.30305550759658201</v>
      </c>
      <c r="Q4020" t="str">
        <f t="shared" si="124"/>
        <v>&lt;01</v>
      </c>
      <c r="R4020" t="str">
        <f t="shared" si="125"/>
        <v>[lLDyBx5XyUi]|&lt;01|Female|NEW_INFECTIONS_SUBNAT.T_1|CY2023Q3</v>
      </c>
    </row>
    <row r="4021" spans="4:18" x14ac:dyDescent="0.2">
      <c r="D4021" t="s">
        <v>74</v>
      </c>
      <c r="E4021" t="s">
        <v>75</v>
      </c>
      <c r="F4021" t="s">
        <v>76</v>
      </c>
      <c r="G4021" t="s">
        <v>152</v>
      </c>
      <c r="H4021" t="s">
        <v>152</v>
      </c>
      <c r="I4021" t="s">
        <v>32</v>
      </c>
      <c r="J4021" t="s">
        <v>33</v>
      </c>
      <c r="K4021" t="s">
        <v>29</v>
      </c>
      <c r="L4021" t="s">
        <v>30</v>
      </c>
      <c r="M4021" t="s">
        <v>139</v>
      </c>
      <c r="N4021">
        <v>1471</v>
      </c>
      <c r="O4021" s="14">
        <v>0.258560954127461</v>
      </c>
      <c r="P4021" s="14">
        <v>0.30305550759658201</v>
      </c>
      <c r="Q4021" t="str">
        <f t="shared" si="124"/>
        <v>01-09</v>
      </c>
      <c r="R4021" t="str">
        <f t="shared" si="125"/>
        <v>[lLDyBx5XyUi]|01-09|Female|NEW_INFECTIONS_SUBNAT.T_1|CY2023Q3</v>
      </c>
    </row>
    <row r="4022" spans="4:18" x14ac:dyDescent="0.2">
      <c r="D4022" t="s">
        <v>74</v>
      </c>
      <c r="E4022" t="s">
        <v>75</v>
      </c>
      <c r="F4022" t="s">
        <v>76</v>
      </c>
      <c r="G4022" t="s">
        <v>152</v>
      </c>
      <c r="H4022" t="s">
        <v>152</v>
      </c>
      <c r="I4022" t="s">
        <v>35</v>
      </c>
      <c r="J4022" t="s">
        <v>36</v>
      </c>
      <c r="K4022" t="s">
        <v>29</v>
      </c>
      <c r="L4022" t="s">
        <v>30</v>
      </c>
      <c r="M4022" t="s">
        <v>139</v>
      </c>
      <c r="N4022">
        <v>677</v>
      </c>
      <c r="O4022" s="14">
        <v>7.9855648800730705E-4</v>
      </c>
      <c r="P4022" s="14">
        <v>0.30305550759658201</v>
      </c>
      <c r="Q4022" t="str">
        <f t="shared" si="124"/>
        <v>10-14</v>
      </c>
      <c r="R4022" t="str">
        <f t="shared" si="125"/>
        <v>[lLDyBx5XyUi]|10-14|Female|NEW_INFECTIONS_SUBNAT.T_1|CY2023Q3</v>
      </c>
    </row>
    <row r="4023" spans="4:18" x14ac:dyDescent="0.2">
      <c r="D4023" t="s">
        <v>74</v>
      </c>
      <c r="E4023" t="s">
        <v>75</v>
      </c>
      <c r="F4023" t="s">
        <v>76</v>
      </c>
      <c r="G4023" t="s">
        <v>152</v>
      </c>
      <c r="H4023" t="s">
        <v>152</v>
      </c>
      <c r="I4023" t="s">
        <v>37</v>
      </c>
      <c r="J4023" t="s">
        <v>38</v>
      </c>
      <c r="K4023" t="s">
        <v>29</v>
      </c>
      <c r="L4023" t="s">
        <v>30</v>
      </c>
      <c r="M4023" t="s">
        <v>139</v>
      </c>
      <c r="N4023">
        <v>1847</v>
      </c>
      <c r="O4023" s="14">
        <v>0.56440209969878197</v>
      </c>
      <c r="P4023" s="14">
        <v>0.30305550759658201</v>
      </c>
      <c r="Q4023" t="str">
        <f t="shared" si="124"/>
        <v>15-24</v>
      </c>
      <c r="R4023" t="str">
        <f t="shared" si="125"/>
        <v>[lLDyBx5XyUi]|15-24|Female|NEW_INFECTIONS_SUBNAT.T_1|CY2023Q3</v>
      </c>
    </row>
    <row r="4024" spans="4:18" x14ac:dyDescent="0.2">
      <c r="D4024" t="s">
        <v>74</v>
      </c>
      <c r="E4024" t="s">
        <v>75</v>
      </c>
      <c r="F4024" t="s">
        <v>76</v>
      </c>
      <c r="G4024" t="s">
        <v>152</v>
      </c>
      <c r="H4024" t="s">
        <v>152</v>
      </c>
      <c r="I4024" t="s">
        <v>40</v>
      </c>
      <c r="J4024" t="s">
        <v>41</v>
      </c>
      <c r="K4024" t="s">
        <v>29</v>
      </c>
      <c r="L4024" t="s">
        <v>30</v>
      </c>
      <c r="M4024" t="s">
        <v>139</v>
      </c>
      <c r="N4024">
        <v>720</v>
      </c>
      <c r="O4024" s="14">
        <v>0.96468933485448405</v>
      </c>
      <c r="P4024" s="14">
        <v>0.30305550759658201</v>
      </c>
      <c r="Q4024" t="str">
        <f t="shared" si="124"/>
        <v>25-34</v>
      </c>
      <c r="R4024" t="str">
        <f t="shared" si="125"/>
        <v>[lLDyBx5XyUi]|25-34|Female|NEW_INFECTIONS_SUBNAT.T_1|CY2023Q3</v>
      </c>
    </row>
    <row r="4025" spans="4:18" x14ac:dyDescent="0.2">
      <c r="D4025" t="s">
        <v>74</v>
      </c>
      <c r="E4025" t="s">
        <v>75</v>
      </c>
      <c r="F4025" t="s">
        <v>76</v>
      </c>
      <c r="G4025" t="s">
        <v>152</v>
      </c>
      <c r="H4025" t="s">
        <v>152</v>
      </c>
      <c r="I4025" t="s">
        <v>42</v>
      </c>
      <c r="J4025" t="s">
        <v>43</v>
      </c>
      <c r="K4025" t="s">
        <v>29</v>
      </c>
      <c r="L4025" t="s">
        <v>30</v>
      </c>
      <c r="M4025" t="s">
        <v>139</v>
      </c>
      <c r="N4025">
        <v>749</v>
      </c>
      <c r="O4025" s="14">
        <v>0.74203083221800603</v>
      </c>
      <c r="P4025" s="14">
        <v>0.30305550759658201</v>
      </c>
      <c r="Q4025" t="str">
        <f t="shared" si="124"/>
        <v>35-49</v>
      </c>
      <c r="R4025" t="str">
        <f t="shared" si="125"/>
        <v>[lLDyBx5XyUi]|35-49|Female|NEW_INFECTIONS_SUBNAT.T_1|CY2023Q3</v>
      </c>
    </row>
    <row r="4026" spans="4:18" x14ac:dyDescent="0.2">
      <c r="D4026" t="s">
        <v>74</v>
      </c>
      <c r="E4026" t="s">
        <v>75</v>
      </c>
      <c r="F4026" t="s">
        <v>76</v>
      </c>
      <c r="G4026" t="s">
        <v>152</v>
      </c>
      <c r="H4026" t="s">
        <v>152</v>
      </c>
      <c r="I4026" t="s">
        <v>44</v>
      </c>
      <c r="J4026" t="s">
        <v>45</v>
      </c>
      <c r="K4026" t="s">
        <v>29</v>
      </c>
      <c r="L4026" t="s">
        <v>30</v>
      </c>
      <c r="M4026" t="s">
        <v>139</v>
      </c>
      <c r="N4026">
        <v>1434</v>
      </c>
      <c r="O4026" s="14">
        <v>0.80764956353232298</v>
      </c>
      <c r="P4026" s="14">
        <v>0.30305550759658201</v>
      </c>
      <c r="Q4026" t="str">
        <f t="shared" si="124"/>
        <v>50+</v>
      </c>
      <c r="R4026" t="str">
        <f t="shared" si="125"/>
        <v>[lLDyBx5XyUi]|50+|Female|NEW_INFECTIONS_SUBNAT.T_1|CY2023Q3</v>
      </c>
    </row>
    <row r="4027" spans="4:18" x14ac:dyDescent="0.2">
      <c r="D4027" t="s">
        <v>74</v>
      </c>
      <c r="E4027" t="s">
        <v>75</v>
      </c>
      <c r="F4027" t="s">
        <v>76</v>
      </c>
      <c r="G4027" t="s">
        <v>152</v>
      </c>
      <c r="H4027" t="s">
        <v>152</v>
      </c>
      <c r="I4027" t="s">
        <v>27</v>
      </c>
      <c r="J4027" t="s">
        <v>28</v>
      </c>
      <c r="K4027" t="s">
        <v>47</v>
      </c>
      <c r="L4027" t="s">
        <v>48</v>
      </c>
      <c r="M4027" t="s">
        <v>139</v>
      </c>
      <c r="N4027">
        <v>841</v>
      </c>
      <c r="O4027" s="14">
        <v>0.36754539748653797</v>
      </c>
      <c r="P4027" s="14">
        <v>0.30305550759658201</v>
      </c>
      <c r="Q4027" t="str">
        <f t="shared" si="124"/>
        <v>&lt;01</v>
      </c>
      <c r="R4027" t="str">
        <f t="shared" si="125"/>
        <v>[lLDyBx5XyUi]|&lt;01|Male|NEW_INFECTIONS_SUBNAT.T_1|CY2023Q3</v>
      </c>
    </row>
    <row r="4028" spans="4:18" x14ac:dyDescent="0.2">
      <c r="D4028" t="s">
        <v>74</v>
      </c>
      <c r="E4028" t="s">
        <v>75</v>
      </c>
      <c r="F4028" t="s">
        <v>76</v>
      </c>
      <c r="G4028" t="s">
        <v>152</v>
      </c>
      <c r="H4028" t="s">
        <v>152</v>
      </c>
      <c r="I4028" t="s">
        <v>32</v>
      </c>
      <c r="J4028" t="s">
        <v>33</v>
      </c>
      <c r="K4028" t="s">
        <v>47</v>
      </c>
      <c r="L4028" t="s">
        <v>48</v>
      </c>
      <c r="M4028" t="s">
        <v>139</v>
      </c>
      <c r="N4028">
        <v>953</v>
      </c>
      <c r="O4028" s="14">
        <v>3.3602026291191599E-2</v>
      </c>
      <c r="P4028" s="14">
        <v>0.30305550759658201</v>
      </c>
      <c r="Q4028" t="str">
        <f t="shared" si="124"/>
        <v>01-09</v>
      </c>
      <c r="R4028" t="str">
        <f t="shared" si="125"/>
        <v>[lLDyBx5XyUi]|01-09|Male|NEW_INFECTIONS_SUBNAT.T_1|CY2023Q3</v>
      </c>
    </row>
    <row r="4029" spans="4:18" x14ac:dyDescent="0.2">
      <c r="D4029" t="s">
        <v>74</v>
      </c>
      <c r="E4029" t="s">
        <v>75</v>
      </c>
      <c r="F4029" t="s">
        <v>76</v>
      </c>
      <c r="G4029" t="s">
        <v>152</v>
      </c>
      <c r="H4029" t="s">
        <v>152</v>
      </c>
      <c r="I4029" t="s">
        <v>35</v>
      </c>
      <c r="J4029" t="s">
        <v>36</v>
      </c>
      <c r="K4029" t="s">
        <v>47</v>
      </c>
      <c r="L4029" t="s">
        <v>48</v>
      </c>
      <c r="M4029" t="s">
        <v>139</v>
      </c>
      <c r="N4029">
        <v>1686</v>
      </c>
      <c r="O4029" s="14">
        <v>0.104304261039943</v>
      </c>
      <c r="P4029" s="14">
        <v>0.30305550759658201</v>
      </c>
      <c r="Q4029" t="str">
        <f t="shared" si="124"/>
        <v>10-14</v>
      </c>
      <c r="R4029" t="str">
        <f t="shared" si="125"/>
        <v>[lLDyBx5XyUi]|10-14|Male|NEW_INFECTIONS_SUBNAT.T_1|CY2023Q3</v>
      </c>
    </row>
    <row r="4030" spans="4:18" x14ac:dyDescent="0.2">
      <c r="D4030" t="s">
        <v>74</v>
      </c>
      <c r="E4030" t="s">
        <v>75</v>
      </c>
      <c r="F4030" t="s">
        <v>76</v>
      </c>
      <c r="G4030" t="s">
        <v>152</v>
      </c>
      <c r="H4030" t="s">
        <v>152</v>
      </c>
      <c r="I4030" t="s">
        <v>37</v>
      </c>
      <c r="J4030" t="s">
        <v>38</v>
      </c>
      <c r="K4030" t="s">
        <v>47</v>
      </c>
      <c r="L4030" t="s">
        <v>48</v>
      </c>
      <c r="M4030" t="s">
        <v>139</v>
      </c>
      <c r="N4030">
        <v>778</v>
      </c>
      <c r="O4030" s="14">
        <v>0.388025374384597</v>
      </c>
      <c r="P4030" s="14">
        <v>0.30305550759658201</v>
      </c>
      <c r="Q4030" t="str">
        <f t="shared" si="124"/>
        <v>15-24</v>
      </c>
      <c r="R4030" t="str">
        <f t="shared" si="125"/>
        <v>[lLDyBx5XyUi]|15-24|Male|NEW_INFECTIONS_SUBNAT.T_1|CY2023Q3</v>
      </c>
    </row>
    <row r="4031" spans="4:18" x14ac:dyDescent="0.2">
      <c r="D4031" t="s">
        <v>74</v>
      </c>
      <c r="E4031" t="s">
        <v>75</v>
      </c>
      <c r="F4031" t="s">
        <v>76</v>
      </c>
      <c r="G4031" t="s">
        <v>152</v>
      </c>
      <c r="H4031" t="s">
        <v>152</v>
      </c>
      <c r="I4031" t="s">
        <v>40</v>
      </c>
      <c r="J4031" t="s">
        <v>41</v>
      </c>
      <c r="K4031" t="s">
        <v>47</v>
      </c>
      <c r="L4031" t="s">
        <v>48</v>
      </c>
      <c r="M4031" t="s">
        <v>139</v>
      </c>
      <c r="N4031">
        <v>1280</v>
      </c>
      <c r="O4031" s="14">
        <v>0.87482976983301297</v>
      </c>
      <c r="P4031" s="14">
        <v>0.30305550759658201</v>
      </c>
      <c r="Q4031" t="str">
        <f t="shared" si="124"/>
        <v>25-34</v>
      </c>
      <c r="R4031" t="str">
        <f t="shared" si="125"/>
        <v>[lLDyBx5XyUi]|25-34|Male|NEW_INFECTIONS_SUBNAT.T_1|CY2023Q3</v>
      </c>
    </row>
    <row r="4032" spans="4:18" x14ac:dyDescent="0.2">
      <c r="D4032" t="s">
        <v>74</v>
      </c>
      <c r="E4032" t="s">
        <v>75</v>
      </c>
      <c r="F4032" t="s">
        <v>76</v>
      </c>
      <c r="G4032" t="s">
        <v>152</v>
      </c>
      <c r="H4032" t="s">
        <v>152</v>
      </c>
      <c r="I4032" t="s">
        <v>42</v>
      </c>
      <c r="J4032" t="s">
        <v>43</v>
      </c>
      <c r="K4032" t="s">
        <v>47</v>
      </c>
      <c r="L4032" t="s">
        <v>48</v>
      </c>
      <c r="M4032" t="s">
        <v>139</v>
      </c>
      <c r="N4032">
        <v>1217</v>
      </c>
      <c r="O4032" s="14">
        <v>0.71403674827888597</v>
      </c>
      <c r="P4032" s="14">
        <v>0.30305550759658201</v>
      </c>
      <c r="Q4032" t="str">
        <f t="shared" si="124"/>
        <v>35-49</v>
      </c>
      <c r="R4032" t="str">
        <f t="shared" si="125"/>
        <v>[lLDyBx5XyUi]|35-49|Male|NEW_INFECTIONS_SUBNAT.T_1|CY2023Q3</v>
      </c>
    </row>
    <row r="4033" spans="4:18" x14ac:dyDescent="0.2">
      <c r="D4033" t="s">
        <v>74</v>
      </c>
      <c r="E4033" t="s">
        <v>75</v>
      </c>
      <c r="F4033" t="s">
        <v>76</v>
      </c>
      <c r="G4033" t="s">
        <v>152</v>
      </c>
      <c r="H4033" t="s">
        <v>152</v>
      </c>
      <c r="I4033" t="s">
        <v>44</v>
      </c>
      <c r="J4033" t="s">
        <v>45</v>
      </c>
      <c r="K4033" t="s">
        <v>47</v>
      </c>
      <c r="L4033" t="s">
        <v>48</v>
      </c>
      <c r="M4033" t="s">
        <v>139</v>
      </c>
      <c r="N4033">
        <v>1806</v>
      </c>
      <c r="O4033" s="14">
        <v>0.67954682838171698</v>
      </c>
      <c r="P4033" s="14">
        <v>0.30305550759658201</v>
      </c>
      <c r="Q4033" t="str">
        <f t="shared" si="124"/>
        <v>50+</v>
      </c>
      <c r="R4033" t="str">
        <f t="shared" si="125"/>
        <v>[lLDyBx5XyUi]|50+|Male|NEW_INFECTIONS_SUBNAT.T_1|CY2023Q3</v>
      </c>
    </row>
    <row r="4034" spans="4:18" x14ac:dyDescent="0.2">
      <c r="D4034" t="s">
        <v>77</v>
      </c>
      <c r="E4034" t="s">
        <v>78</v>
      </c>
      <c r="F4034" t="s">
        <v>79</v>
      </c>
      <c r="G4034" t="s">
        <v>152</v>
      </c>
      <c r="H4034" t="s">
        <v>152</v>
      </c>
      <c r="I4034" t="s">
        <v>27</v>
      </c>
      <c r="J4034" t="s">
        <v>28</v>
      </c>
      <c r="K4034" t="s">
        <v>29</v>
      </c>
      <c r="L4034" t="s">
        <v>30</v>
      </c>
      <c r="M4034" t="s">
        <v>139</v>
      </c>
      <c r="N4034">
        <v>1568</v>
      </c>
      <c r="O4034" s="14">
        <v>0.242075841408223</v>
      </c>
      <c r="P4034" s="14">
        <v>0.83159798220731296</v>
      </c>
      <c r="Q4034" t="str">
        <f t="shared" ref="Q4034:Q4097" si="126">SUBSTITUTE(SUBSTITUTE($I4034,CHAR(61),""),CHAR(34),"")</f>
        <v>&lt;01</v>
      </c>
      <c r="R4034" t="str">
        <f t="shared" ref="R4034:R4097" si="127">IF($D4034&lt;&gt;"","["&amp;$E4034&amp;"]"&amp;"|"&amp;$Q4034&amp;"|"&amp;$K4034&amp;"|"&amp;$G4034&amp;"|"&amp;IF($G4034="TX_CURR_SUBNAT.R","CY2022Q4",$M4034),"")</f>
        <v>[TYnMSwzko3z]|&lt;01|Female|NEW_INFECTIONS_SUBNAT.T_1|CY2023Q3</v>
      </c>
    </row>
    <row r="4035" spans="4:18" x14ac:dyDescent="0.2">
      <c r="D4035" t="s">
        <v>77</v>
      </c>
      <c r="E4035" t="s">
        <v>78</v>
      </c>
      <c r="F4035" t="s">
        <v>79</v>
      </c>
      <c r="G4035" t="s">
        <v>152</v>
      </c>
      <c r="H4035" t="s">
        <v>152</v>
      </c>
      <c r="I4035" t="s">
        <v>32</v>
      </c>
      <c r="J4035" t="s">
        <v>33</v>
      </c>
      <c r="K4035" t="s">
        <v>29</v>
      </c>
      <c r="L4035" t="s">
        <v>30</v>
      </c>
      <c r="M4035" t="s">
        <v>139</v>
      </c>
      <c r="N4035">
        <v>1453</v>
      </c>
      <c r="O4035" s="14">
        <v>0.38939348771236798</v>
      </c>
      <c r="P4035" s="14">
        <v>0.83159798220731296</v>
      </c>
      <c r="Q4035" t="str">
        <f t="shared" si="126"/>
        <v>01-09</v>
      </c>
      <c r="R4035" t="str">
        <f t="shared" si="127"/>
        <v>[TYnMSwzko3z]|01-09|Female|NEW_INFECTIONS_SUBNAT.T_1|CY2023Q3</v>
      </c>
    </row>
    <row r="4036" spans="4:18" x14ac:dyDescent="0.2">
      <c r="D4036" t="s">
        <v>77</v>
      </c>
      <c r="E4036" t="s">
        <v>78</v>
      </c>
      <c r="F4036" t="s">
        <v>79</v>
      </c>
      <c r="G4036" t="s">
        <v>152</v>
      </c>
      <c r="H4036" t="s">
        <v>152</v>
      </c>
      <c r="I4036" t="s">
        <v>35</v>
      </c>
      <c r="J4036" t="s">
        <v>36</v>
      </c>
      <c r="K4036" t="s">
        <v>29</v>
      </c>
      <c r="L4036" t="s">
        <v>30</v>
      </c>
      <c r="M4036" t="s">
        <v>139</v>
      </c>
      <c r="N4036">
        <v>932</v>
      </c>
      <c r="O4036" s="14">
        <v>0.67892901506274905</v>
      </c>
      <c r="P4036" s="14">
        <v>0.83159798220731296</v>
      </c>
      <c r="Q4036" t="str">
        <f t="shared" si="126"/>
        <v>10-14</v>
      </c>
      <c r="R4036" t="str">
        <f t="shared" si="127"/>
        <v>[TYnMSwzko3z]|10-14|Female|NEW_INFECTIONS_SUBNAT.T_1|CY2023Q3</v>
      </c>
    </row>
    <row r="4037" spans="4:18" x14ac:dyDescent="0.2">
      <c r="D4037" t="s">
        <v>77</v>
      </c>
      <c r="E4037" t="s">
        <v>78</v>
      </c>
      <c r="F4037" t="s">
        <v>79</v>
      </c>
      <c r="G4037" t="s">
        <v>152</v>
      </c>
      <c r="H4037" t="s">
        <v>152</v>
      </c>
      <c r="I4037" t="s">
        <v>37</v>
      </c>
      <c r="J4037" t="s">
        <v>38</v>
      </c>
      <c r="K4037" t="s">
        <v>29</v>
      </c>
      <c r="L4037" t="s">
        <v>30</v>
      </c>
      <c r="M4037" t="s">
        <v>139</v>
      </c>
      <c r="N4037">
        <v>1353</v>
      </c>
      <c r="O4037" s="14">
        <v>0.79968639253638696</v>
      </c>
      <c r="P4037" s="14">
        <v>0.83159798220731296</v>
      </c>
      <c r="Q4037" t="str">
        <f t="shared" si="126"/>
        <v>15-24</v>
      </c>
      <c r="R4037" t="str">
        <f t="shared" si="127"/>
        <v>[TYnMSwzko3z]|15-24|Female|NEW_INFECTIONS_SUBNAT.T_1|CY2023Q3</v>
      </c>
    </row>
    <row r="4038" spans="4:18" x14ac:dyDescent="0.2">
      <c r="D4038" t="s">
        <v>77</v>
      </c>
      <c r="E4038" t="s">
        <v>78</v>
      </c>
      <c r="F4038" t="s">
        <v>79</v>
      </c>
      <c r="G4038" t="s">
        <v>152</v>
      </c>
      <c r="H4038" t="s">
        <v>152</v>
      </c>
      <c r="I4038" t="s">
        <v>40</v>
      </c>
      <c r="J4038" t="s">
        <v>41</v>
      </c>
      <c r="K4038" t="s">
        <v>29</v>
      </c>
      <c r="L4038" t="s">
        <v>30</v>
      </c>
      <c r="M4038" t="s">
        <v>139</v>
      </c>
      <c r="N4038">
        <v>849</v>
      </c>
      <c r="O4038" s="14">
        <v>0.52766146301291905</v>
      </c>
      <c r="P4038" s="14">
        <v>0.83159798220731296</v>
      </c>
      <c r="Q4038" t="str">
        <f t="shared" si="126"/>
        <v>25-34</v>
      </c>
      <c r="R4038" t="str">
        <f t="shared" si="127"/>
        <v>[TYnMSwzko3z]|25-34|Female|NEW_INFECTIONS_SUBNAT.T_1|CY2023Q3</v>
      </c>
    </row>
    <row r="4039" spans="4:18" x14ac:dyDescent="0.2">
      <c r="D4039" t="s">
        <v>77</v>
      </c>
      <c r="E4039" t="s">
        <v>78</v>
      </c>
      <c r="F4039" t="s">
        <v>79</v>
      </c>
      <c r="G4039" t="s">
        <v>152</v>
      </c>
      <c r="H4039" t="s">
        <v>152</v>
      </c>
      <c r="I4039" t="s">
        <v>42</v>
      </c>
      <c r="J4039" t="s">
        <v>43</v>
      </c>
      <c r="K4039" t="s">
        <v>29</v>
      </c>
      <c r="L4039" t="s">
        <v>30</v>
      </c>
      <c r="M4039" t="s">
        <v>139</v>
      </c>
      <c r="N4039">
        <v>536</v>
      </c>
      <c r="O4039" s="14">
        <v>0.61777629051357497</v>
      </c>
      <c r="P4039" s="14">
        <v>0.83159798220731296</v>
      </c>
      <c r="Q4039" t="str">
        <f t="shared" si="126"/>
        <v>35-49</v>
      </c>
      <c r="R4039" t="str">
        <f t="shared" si="127"/>
        <v>[TYnMSwzko3z]|35-49|Female|NEW_INFECTIONS_SUBNAT.T_1|CY2023Q3</v>
      </c>
    </row>
    <row r="4040" spans="4:18" x14ac:dyDescent="0.2">
      <c r="D4040" t="s">
        <v>77</v>
      </c>
      <c r="E4040" t="s">
        <v>78</v>
      </c>
      <c r="F4040" t="s">
        <v>79</v>
      </c>
      <c r="G4040" t="s">
        <v>152</v>
      </c>
      <c r="H4040" t="s">
        <v>152</v>
      </c>
      <c r="I4040" t="s">
        <v>44</v>
      </c>
      <c r="J4040" t="s">
        <v>45</v>
      </c>
      <c r="K4040" t="s">
        <v>29</v>
      </c>
      <c r="L4040" t="s">
        <v>30</v>
      </c>
      <c r="M4040" t="s">
        <v>139</v>
      </c>
      <c r="N4040">
        <v>899</v>
      </c>
      <c r="O4040" s="14">
        <v>0.793658434646204</v>
      </c>
      <c r="P4040" s="14">
        <v>0.83159798220731296</v>
      </c>
      <c r="Q4040" t="str">
        <f t="shared" si="126"/>
        <v>50+</v>
      </c>
      <c r="R4040" t="str">
        <f t="shared" si="127"/>
        <v>[TYnMSwzko3z]|50+|Female|NEW_INFECTIONS_SUBNAT.T_1|CY2023Q3</v>
      </c>
    </row>
    <row r="4041" spans="4:18" x14ac:dyDescent="0.2">
      <c r="D4041" t="s">
        <v>77</v>
      </c>
      <c r="E4041" t="s">
        <v>78</v>
      </c>
      <c r="F4041" t="s">
        <v>79</v>
      </c>
      <c r="G4041" t="s">
        <v>152</v>
      </c>
      <c r="H4041" t="s">
        <v>152</v>
      </c>
      <c r="I4041" t="s">
        <v>27</v>
      </c>
      <c r="J4041" t="s">
        <v>28</v>
      </c>
      <c r="K4041" t="s">
        <v>47</v>
      </c>
      <c r="L4041" t="s">
        <v>48</v>
      </c>
      <c r="M4041" t="s">
        <v>139</v>
      </c>
      <c r="N4041">
        <v>878</v>
      </c>
      <c r="O4041" s="14">
        <v>0.70188141660764802</v>
      </c>
      <c r="P4041" s="14">
        <v>0.83159798220731296</v>
      </c>
      <c r="Q4041" t="str">
        <f t="shared" si="126"/>
        <v>&lt;01</v>
      </c>
      <c r="R4041" t="str">
        <f t="shared" si="127"/>
        <v>[TYnMSwzko3z]|&lt;01|Male|NEW_INFECTIONS_SUBNAT.T_1|CY2023Q3</v>
      </c>
    </row>
    <row r="4042" spans="4:18" x14ac:dyDescent="0.2">
      <c r="D4042" t="s">
        <v>77</v>
      </c>
      <c r="E4042" t="s">
        <v>78</v>
      </c>
      <c r="F4042" t="s">
        <v>79</v>
      </c>
      <c r="G4042" t="s">
        <v>152</v>
      </c>
      <c r="H4042" t="s">
        <v>152</v>
      </c>
      <c r="I4042" t="s">
        <v>32</v>
      </c>
      <c r="J4042" t="s">
        <v>33</v>
      </c>
      <c r="K4042" t="s">
        <v>47</v>
      </c>
      <c r="L4042" t="s">
        <v>48</v>
      </c>
      <c r="M4042" t="s">
        <v>139</v>
      </c>
      <c r="N4042">
        <v>546</v>
      </c>
      <c r="O4042" s="14">
        <v>0.27483830437995499</v>
      </c>
      <c r="P4042" s="14">
        <v>0.83159798220731296</v>
      </c>
      <c r="Q4042" t="str">
        <f t="shared" si="126"/>
        <v>01-09</v>
      </c>
      <c r="R4042" t="str">
        <f t="shared" si="127"/>
        <v>[TYnMSwzko3z]|01-09|Male|NEW_INFECTIONS_SUBNAT.T_1|CY2023Q3</v>
      </c>
    </row>
    <row r="4043" spans="4:18" x14ac:dyDescent="0.2">
      <c r="D4043" t="s">
        <v>77</v>
      </c>
      <c r="E4043" t="s">
        <v>78</v>
      </c>
      <c r="F4043" t="s">
        <v>79</v>
      </c>
      <c r="G4043" t="s">
        <v>152</v>
      </c>
      <c r="H4043" t="s">
        <v>152</v>
      </c>
      <c r="I4043" t="s">
        <v>35</v>
      </c>
      <c r="J4043" t="s">
        <v>36</v>
      </c>
      <c r="K4043" t="s">
        <v>47</v>
      </c>
      <c r="L4043" t="s">
        <v>48</v>
      </c>
      <c r="M4043" t="s">
        <v>139</v>
      </c>
      <c r="N4043">
        <v>871</v>
      </c>
      <c r="O4043" s="14">
        <v>0.41178943705745003</v>
      </c>
      <c r="P4043" s="14">
        <v>0.83159798220731296</v>
      </c>
      <c r="Q4043" t="str">
        <f t="shared" si="126"/>
        <v>10-14</v>
      </c>
      <c r="R4043" t="str">
        <f t="shared" si="127"/>
        <v>[TYnMSwzko3z]|10-14|Male|NEW_INFECTIONS_SUBNAT.T_1|CY2023Q3</v>
      </c>
    </row>
    <row r="4044" spans="4:18" x14ac:dyDescent="0.2">
      <c r="D4044" t="s">
        <v>77</v>
      </c>
      <c r="E4044" t="s">
        <v>78</v>
      </c>
      <c r="F4044" t="s">
        <v>79</v>
      </c>
      <c r="G4044" t="s">
        <v>152</v>
      </c>
      <c r="H4044" t="s">
        <v>152</v>
      </c>
      <c r="I4044" t="s">
        <v>37</v>
      </c>
      <c r="J4044" t="s">
        <v>38</v>
      </c>
      <c r="K4044" t="s">
        <v>47</v>
      </c>
      <c r="L4044" t="s">
        <v>48</v>
      </c>
      <c r="M4044" t="s">
        <v>139</v>
      </c>
      <c r="N4044">
        <v>881</v>
      </c>
      <c r="O4044" s="14">
        <v>0.63557006255723503</v>
      </c>
      <c r="P4044" s="14">
        <v>0.83159798220731296</v>
      </c>
      <c r="Q4044" t="str">
        <f t="shared" si="126"/>
        <v>15-24</v>
      </c>
      <c r="R4044" t="str">
        <f t="shared" si="127"/>
        <v>[TYnMSwzko3z]|15-24|Male|NEW_INFECTIONS_SUBNAT.T_1|CY2023Q3</v>
      </c>
    </row>
    <row r="4045" spans="4:18" x14ac:dyDescent="0.2">
      <c r="D4045" t="s">
        <v>77</v>
      </c>
      <c r="E4045" t="s">
        <v>78</v>
      </c>
      <c r="F4045" t="s">
        <v>79</v>
      </c>
      <c r="G4045" t="s">
        <v>152</v>
      </c>
      <c r="H4045" t="s">
        <v>152</v>
      </c>
      <c r="I4045" t="s">
        <v>40</v>
      </c>
      <c r="J4045" t="s">
        <v>41</v>
      </c>
      <c r="K4045" t="s">
        <v>47</v>
      </c>
      <c r="L4045" t="s">
        <v>48</v>
      </c>
      <c r="M4045" t="s">
        <v>139</v>
      </c>
      <c r="N4045">
        <v>1317</v>
      </c>
      <c r="O4045" s="14">
        <v>0.67740713246166695</v>
      </c>
      <c r="P4045" s="14">
        <v>0.83159798220731296</v>
      </c>
      <c r="Q4045" t="str">
        <f t="shared" si="126"/>
        <v>25-34</v>
      </c>
      <c r="R4045" t="str">
        <f t="shared" si="127"/>
        <v>[TYnMSwzko3z]|25-34|Male|NEW_INFECTIONS_SUBNAT.T_1|CY2023Q3</v>
      </c>
    </row>
    <row r="4046" spans="4:18" x14ac:dyDescent="0.2">
      <c r="D4046" t="s">
        <v>77</v>
      </c>
      <c r="E4046" t="s">
        <v>78</v>
      </c>
      <c r="F4046" t="s">
        <v>79</v>
      </c>
      <c r="G4046" t="s">
        <v>152</v>
      </c>
      <c r="H4046" t="s">
        <v>152</v>
      </c>
      <c r="I4046" t="s">
        <v>42</v>
      </c>
      <c r="J4046" t="s">
        <v>43</v>
      </c>
      <c r="K4046" t="s">
        <v>47</v>
      </c>
      <c r="L4046" t="s">
        <v>48</v>
      </c>
      <c r="M4046" t="s">
        <v>139</v>
      </c>
      <c r="N4046">
        <v>1716</v>
      </c>
      <c r="O4046" s="14">
        <v>0.97892396431416295</v>
      </c>
      <c r="P4046" s="14">
        <v>0.83159798220731296</v>
      </c>
      <c r="Q4046" t="str">
        <f t="shared" si="126"/>
        <v>35-49</v>
      </c>
      <c r="R4046" t="str">
        <f t="shared" si="127"/>
        <v>[TYnMSwzko3z]|35-49|Male|NEW_INFECTIONS_SUBNAT.T_1|CY2023Q3</v>
      </c>
    </row>
    <row r="4047" spans="4:18" x14ac:dyDescent="0.2">
      <c r="D4047" t="s">
        <v>77</v>
      </c>
      <c r="E4047" t="s">
        <v>78</v>
      </c>
      <c r="F4047" t="s">
        <v>79</v>
      </c>
      <c r="G4047" t="s">
        <v>152</v>
      </c>
      <c r="H4047" t="s">
        <v>152</v>
      </c>
      <c r="I4047" t="s">
        <v>44</v>
      </c>
      <c r="J4047" t="s">
        <v>45</v>
      </c>
      <c r="K4047" t="s">
        <v>47</v>
      </c>
      <c r="L4047" t="s">
        <v>48</v>
      </c>
      <c r="M4047" t="s">
        <v>139</v>
      </c>
      <c r="N4047">
        <v>1771</v>
      </c>
      <c r="O4047" s="14">
        <v>0.27440317324362701</v>
      </c>
      <c r="P4047" s="14">
        <v>0.83159798220731296</v>
      </c>
      <c r="Q4047" t="str">
        <f t="shared" si="126"/>
        <v>50+</v>
      </c>
      <c r="R4047" t="str">
        <f t="shared" si="127"/>
        <v>[TYnMSwzko3z]|50+|Male|NEW_INFECTIONS_SUBNAT.T_1|CY2023Q3</v>
      </c>
    </row>
    <row r="4048" spans="4:18" x14ac:dyDescent="0.2">
      <c r="D4048" t="s">
        <v>80</v>
      </c>
      <c r="E4048" t="s">
        <v>81</v>
      </c>
      <c r="F4048" t="s">
        <v>82</v>
      </c>
      <c r="G4048" t="s">
        <v>152</v>
      </c>
      <c r="H4048" t="s">
        <v>152</v>
      </c>
      <c r="I4048" t="s">
        <v>27</v>
      </c>
      <c r="J4048" t="s">
        <v>28</v>
      </c>
      <c r="K4048" t="s">
        <v>29</v>
      </c>
      <c r="L4048" t="s">
        <v>30</v>
      </c>
      <c r="M4048" t="s">
        <v>139</v>
      </c>
      <c r="N4048">
        <v>968</v>
      </c>
      <c r="O4048" s="14">
        <v>0.36333097750320997</v>
      </c>
      <c r="P4048" s="14">
        <v>0.14333142153918699</v>
      </c>
      <c r="Q4048" t="str">
        <f t="shared" si="126"/>
        <v>&lt;01</v>
      </c>
      <c r="R4048" t="str">
        <f t="shared" si="127"/>
        <v>[ir8wuHHzoSs]|&lt;01|Female|NEW_INFECTIONS_SUBNAT.T_1|CY2023Q3</v>
      </c>
    </row>
    <row r="4049" spans="4:18" x14ac:dyDescent="0.2">
      <c r="D4049" t="s">
        <v>80</v>
      </c>
      <c r="E4049" t="s">
        <v>81</v>
      </c>
      <c r="F4049" t="s">
        <v>82</v>
      </c>
      <c r="G4049" t="s">
        <v>152</v>
      </c>
      <c r="H4049" t="s">
        <v>152</v>
      </c>
      <c r="I4049" t="s">
        <v>32</v>
      </c>
      <c r="J4049" t="s">
        <v>33</v>
      </c>
      <c r="K4049" t="s">
        <v>29</v>
      </c>
      <c r="L4049" t="s">
        <v>30</v>
      </c>
      <c r="M4049" t="s">
        <v>139</v>
      </c>
      <c r="N4049">
        <v>1814</v>
      </c>
      <c r="O4049" s="14">
        <v>0.79200415266677704</v>
      </c>
      <c r="P4049" s="14">
        <v>0.14333142153918699</v>
      </c>
      <c r="Q4049" t="str">
        <f t="shared" si="126"/>
        <v>01-09</v>
      </c>
      <c r="R4049" t="str">
        <f t="shared" si="127"/>
        <v>[ir8wuHHzoSs]|01-09|Female|NEW_INFECTIONS_SUBNAT.T_1|CY2023Q3</v>
      </c>
    </row>
    <row r="4050" spans="4:18" x14ac:dyDescent="0.2">
      <c r="D4050" t="s">
        <v>80</v>
      </c>
      <c r="E4050" t="s">
        <v>81</v>
      </c>
      <c r="F4050" t="s">
        <v>82</v>
      </c>
      <c r="G4050" t="s">
        <v>152</v>
      </c>
      <c r="H4050" t="s">
        <v>152</v>
      </c>
      <c r="I4050" t="s">
        <v>35</v>
      </c>
      <c r="J4050" t="s">
        <v>36</v>
      </c>
      <c r="K4050" t="s">
        <v>29</v>
      </c>
      <c r="L4050" t="s">
        <v>30</v>
      </c>
      <c r="M4050" t="s">
        <v>139</v>
      </c>
      <c r="N4050">
        <v>698</v>
      </c>
      <c r="O4050" s="14">
        <v>0.80315693584270798</v>
      </c>
      <c r="P4050" s="14">
        <v>0.14333142153918699</v>
      </c>
      <c r="Q4050" t="str">
        <f t="shared" si="126"/>
        <v>10-14</v>
      </c>
      <c r="R4050" t="str">
        <f t="shared" si="127"/>
        <v>[ir8wuHHzoSs]|10-14|Female|NEW_INFECTIONS_SUBNAT.T_1|CY2023Q3</v>
      </c>
    </row>
    <row r="4051" spans="4:18" x14ac:dyDescent="0.2">
      <c r="D4051" t="s">
        <v>80</v>
      </c>
      <c r="E4051" t="s">
        <v>81</v>
      </c>
      <c r="F4051" t="s">
        <v>82</v>
      </c>
      <c r="G4051" t="s">
        <v>152</v>
      </c>
      <c r="H4051" t="s">
        <v>152</v>
      </c>
      <c r="I4051" t="s">
        <v>37</v>
      </c>
      <c r="J4051" t="s">
        <v>38</v>
      </c>
      <c r="K4051" t="s">
        <v>29</v>
      </c>
      <c r="L4051" t="s">
        <v>30</v>
      </c>
      <c r="M4051" t="s">
        <v>139</v>
      </c>
      <c r="N4051">
        <v>1752</v>
      </c>
      <c r="O4051" s="14">
        <v>6.0588270658627201E-2</v>
      </c>
      <c r="P4051" s="14">
        <v>0.14333142153918699</v>
      </c>
      <c r="Q4051" t="str">
        <f t="shared" si="126"/>
        <v>15-24</v>
      </c>
      <c r="R4051" t="str">
        <f t="shared" si="127"/>
        <v>[ir8wuHHzoSs]|15-24|Female|NEW_INFECTIONS_SUBNAT.T_1|CY2023Q3</v>
      </c>
    </row>
    <row r="4052" spans="4:18" x14ac:dyDescent="0.2">
      <c r="D4052" t="s">
        <v>80</v>
      </c>
      <c r="E4052" t="s">
        <v>81</v>
      </c>
      <c r="F4052" t="s">
        <v>82</v>
      </c>
      <c r="G4052" t="s">
        <v>152</v>
      </c>
      <c r="H4052" t="s">
        <v>152</v>
      </c>
      <c r="I4052" t="s">
        <v>40</v>
      </c>
      <c r="J4052" t="s">
        <v>41</v>
      </c>
      <c r="K4052" t="s">
        <v>29</v>
      </c>
      <c r="L4052" t="s">
        <v>30</v>
      </c>
      <c r="M4052" t="s">
        <v>139</v>
      </c>
      <c r="N4052">
        <v>1014</v>
      </c>
      <c r="O4052" s="14">
        <v>0.18470015656203001</v>
      </c>
      <c r="P4052" s="14">
        <v>0.14333142153918699</v>
      </c>
      <c r="Q4052" t="str">
        <f t="shared" si="126"/>
        <v>25-34</v>
      </c>
      <c r="R4052" t="str">
        <f t="shared" si="127"/>
        <v>[ir8wuHHzoSs]|25-34|Female|NEW_INFECTIONS_SUBNAT.T_1|CY2023Q3</v>
      </c>
    </row>
    <row r="4053" spans="4:18" x14ac:dyDescent="0.2">
      <c r="D4053" t="s">
        <v>80</v>
      </c>
      <c r="E4053" t="s">
        <v>81</v>
      </c>
      <c r="F4053" t="s">
        <v>82</v>
      </c>
      <c r="G4053" t="s">
        <v>152</v>
      </c>
      <c r="H4053" t="s">
        <v>152</v>
      </c>
      <c r="I4053" t="s">
        <v>42</v>
      </c>
      <c r="J4053" t="s">
        <v>43</v>
      </c>
      <c r="K4053" t="s">
        <v>29</v>
      </c>
      <c r="L4053" t="s">
        <v>30</v>
      </c>
      <c r="M4053" t="s">
        <v>139</v>
      </c>
      <c r="N4053">
        <v>802</v>
      </c>
      <c r="O4053" s="14">
        <v>0.27505016420036599</v>
      </c>
      <c r="P4053" s="14">
        <v>0.14333142153918699</v>
      </c>
      <c r="Q4053" t="str">
        <f t="shared" si="126"/>
        <v>35-49</v>
      </c>
      <c r="R4053" t="str">
        <f t="shared" si="127"/>
        <v>[ir8wuHHzoSs]|35-49|Female|NEW_INFECTIONS_SUBNAT.T_1|CY2023Q3</v>
      </c>
    </row>
    <row r="4054" spans="4:18" x14ac:dyDescent="0.2">
      <c r="D4054" t="s">
        <v>80</v>
      </c>
      <c r="E4054" t="s">
        <v>81</v>
      </c>
      <c r="F4054" t="s">
        <v>82</v>
      </c>
      <c r="G4054" t="s">
        <v>152</v>
      </c>
      <c r="H4054" t="s">
        <v>152</v>
      </c>
      <c r="I4054" t="s">
        <v>44</v>
      </c>
      <c r="J4054" t="s">
        <v>45</v>
      </c>
      <c r="K4054" t="s">
        <v>29</v>
      </c>
      <c r="L4054" t="s">
        <v>30</v>
      </c>
      <c r="M4054" t="s">
        <v>139</v>
      </c>
      <c r="N4054">
        <v>849</v>
      </c>
      <c r="O4054" s="14">
        <v>0.41771718137897601</v>
      </c>
      <c r="P4054" s="14">
        <v>0.14333142153918699</v>
      </c>
      <c r="Q4054" t="str">
        <f t="shared" si="126"/>
        <v>50+</v>
      </c>
      <c r="R4054" t="str">
        <f t="shared" si="127"/>
        <v>[ir8wuHHzoSs]|50+|Female|NEW_INFECTIONS_SUBNAT.T_1|CY2023Q3</v>
      </c>
    </row>
    <row r="4055" spans="4:18" x14ac:dyDescent="0.2">
      <c r="D4055" t="s">
        <v>80</v>
      </c>
      <c r="E4055" t="s">
        <v>81</v>
      </c>
      <c r="F4055" t="s">
        <v>82</v>
      </c>
      <c r="G4055" t="s">
        <v>152</v>
      </c>
      <c r="H4055" t="s">
        <v>152</v>
      </c>
      <c r="I4055" t="s">
        <v>27</v>
      </c>
      <c r="J4055" t="s">
        <v>28</v>
      </c>
      <c r="K4055" t="s">
        <v>47</v>
      </c>
      <c r="L4055" t="s">
        <v>48</v>
      </c>
      <c r="M4055" t="s">
        <v>139</v>
      </c>
      <c r="N4055">
        <v>1108</v>
      </c>
      <c r="O4055" s="14">
        <v>0.58282815059646997</v>
      </c>
      <c r="P4055" s="14">
        <v>0.14333142153918699</v>
      </c>
      <c r="Q4055" t="str">
        <f t="shared" si="126"/>
        <v>&lt;01</v>
      </c>
      <c r="R4055" t="str">
        <f t="shared" si="127"/>
        <v>[ir8wuHHzoSs]|&lt;01|Male|NEW_INFECTIONS_SUBNAT.T_1|CY2023Q3</v>
      </c>
    </row>
    <row r="4056" spans="4:18" x14ac:dyDescent="0.2">
      <c r="D4056" t="s">
        <v>80</v>
      </c>
      <c r="E4056" t="s">
        <v>81</v>
      </c>
      <c r="F4056" t="s">
        <v>82</v>
      </c>
      <c r="G4056" t="s">
        <v>152</v>
      </c>
      <c r="H4056" t="s">
        <v>152</v>
      </c>
      <c r="I4056" t="s">
        <v>32</v>
      </c>
      <c r="J4056" t="s">
        <v>33</v>
      </c>
      <c r="K4056" t="s">
        <v>47</v>
      </c>
      <c r="L4056" t="s">
        <v>48</v>
      </c>
      <c r="M4056" t="s">
        <v>139</v>
      </c>
      <c r="N4056">
        <v>602</v>
      </c>
      <c r="O4056" s="14">
        <v>0.39226054376922498</v>
      </c>
      <c r="P4056" s="14">
        <v>0.14333142153918699</v>
      </c>
      <c r="Q4056" t="str">
        <f t="shared" si="126"/>
        <v>01-09</v>
      </c>
      <c r="R4056" t="str">
        <f t="shared" si="127"/>
        <v>[ir8wuHHzoSs]|01-09|Male|NEW_INFECTIONS_SUBNAT.T_1|CY2023Q3</v>
      </c>
    </row>
    <row r="4057" spans="4:18" x14ac:dyDescent="0.2">
      <c r="D4057" t="s">
        <v>80</v>
      </c>
      <c r="E4057" t="s">
        <v>81</v>
      </c>
      <c r="F4057" t="s">
        <v>82</v>
      </c>
      <c r="G4057" t="s">
        <v>152</v>
      </c>
      <c r="H4057" t="s">
        <v>152</v>
      </c>
      <c r="I4057" t="s">
        <v>35</v>
      </c>
      <c r="J4057" t="s">
        <v>36</v>
      </c>
      <c r="K4057" t="s">
        <v>47</v>
      </c>
      <c r="L4057" t="s">
        <v>48</v>
      </c>
      <c r="M4057" t="s">
        <v>139</v>
      </c>
      <c r="N4057">
        <v>1792</v>
      </c>
      <c r="O4057" s="14">
        <v>0.26902843988500502</v>
      </c>
      <c r="P4057" s="14">
        <v>0.14333142153918699</v>
      </c>
      <c r="Q4057" t="str">
        <f t="shared" si="126"/>
        <v>10-14</v>
      </c>
      <c r="R4057" t="str">
        <f t="shared" si="127"/>
        <v>[ir8wuHHzoSs]|10-14|Male|NEW_INFECTIONS_SUBNAT.T_1|CY2023Q3</v>
      </c>
    </row>
    <row r="4058" spans="4:18" x14ac:dyDescent="0.2">
      <c r="D4058" t="s">
        <v>80</v>
      </c>
      <c r="E4058" t="s">
        <v>81</v>
      </c>
      <c r="F4058" t="s">
        <v>82</v>
      </c>
      <c r="G4058" t="s">
        <v>152</v>
      </c>
      <c r="H4058" t="s">
        <v>152</v>
      </c>
      <c r="I4058" t="s">
        <v>37</v>
      </c>
      <c r="J4058" t="s">
        <v>38</v>
      </c>
      <c r="K4058" t="s">
        <v>47</v>
      </c>
      <c r="L4058" t="s">
        <v>48</v>
      </c>
      <c r="M4058" t="s">
        <v>139</v>
      </c>
      <c r="N4058">
        <v>1703</v>
      </c>
      <c r="O4058" s="14">
        <v>0.40892934310250001</v>
      </c>
      <c r="P4058" s="14">
        <v>0.14333142153918699</v>
      </c>
      <c r="Q4058" t="str">
        <f t="shared" si="126"/>
        <v>15-24</v>
      </c>
      <c r="R4058" t="str">
        <f t="shared" si="127"/>
        <v>[ir8wuHHzoSs]|15-24|Male|NEW_INFECTIONS_SUBNAT.T_1|CY2023Q3</v>
      </c>
    </row>
    <row r="4059" spans="4:18" x14ac:dyDescent="0.2">
      <c r="D4059" t="s">
        <v>80</v>
      </c>
      <c r="E4059" t="s">
        <v>81</v>
      </c>
      <c r="F4059" t="s">
        <v>82</v>
      </c>
      <c r="G4059" t="s">
        <v>152</v>
      </c>
      <c r="H4059" t="s">
        <v>152</v>
      </c>
      <c r="I4059" t="s">
        <v>40</v>
      </c>
      <c r="J4059" t="s">
        <v>41</v>
      </c>
      <c r="K4059" t="s">
        <v>47</v>
      </c>
      <c r="L4059" t="s">
        <v>48</v>
      </c>
      <c r="M4059" t="s">
        <v>139</v>
      </c>
      <c r="N4059">
        <v>1379</v>
      </c>
      <c r="O4059" s="14">
        <v>0.270094557665288</v>
      </c>
      <c r="P4059" s="14">
        <v>0.14333142153918699</v>
      </c>
      <c r="Q4059" t="str">
        <f t="shared" si="126"/>
        <v>25-34</v>
      </c>
      <c r="R4059" t="str">
        <f t="shared" si="127"/>
        <v>[ir8wuHHzoSs]|25-34|Male|NEW_INFECTIONS_SUBNAT.T_1|CY2023Q3</v>
      </c>
    </row>
    <row r="4060" spans="4:18" x14ac:dyDescent="0.2">
      <c r="D4060" t="s">
        <v>80</v>
      </c>
      <c r="E4060" t="s">
        <v>81</v>
      </c>
      <c r="F4060" t="s">
        <v>82</v>
      </c>
      <c r="G4060" t="s">
        <v>152</v>
      </c>
      <c r="H4060" t="s">
        <v>152</v>
      </c>
      <c r="I4060" t="s">
        <v>42</v>
      </c>
      <c r="J4060" t="s">
        <v>43</v>
      </c>
      <c r="K4060" t="s">
        <v>47</v>
      </c>
      <c r="L4060" t="s">
        <v>48</v>
      </c>
      <c r="M4060" t="s">
        <v>139</v>
      </c>
      <c r="N4060">
        <v>536</v>
      </c>
      <c r="O4060" s="14">
        <v>0.10931314947083599</v>
      </c>
      <c r="P4060" s="14">
        <v>0.14333142153918699</v>
      </c>
      <c r="Q4060" t="str">
        <f t="shared" si="126"/>
        <v>35-49</v>
      </c>
      <c r="R4060" t="str">
        <f t="shared" si="127"/>
        <v>[ir8wuHHzoSs]|35-49|Male|NEW_INFECTIONS_SUBNAT.T_1|CY2023Q3</v>
      </c>
    </row>
    <row r="4061" spans="4:18" x14ac:dyDescent="0.2">
      <c r="D4061" t="s">
        <v>80</v>
      </c>
      <c r="E4061" t="s">
        <v>81</v>
      </c>
      <c r="F4061" t="s">
        <v>82</v>
      </c>
      <c r="G4061" t="s">
        <v>152</v>
      </c>
      <c r="H4061" t="s">
        <v>152</v>
      </c>
      <c r="I4061" t="s">
        <v>44</v>
      </c>
      <c r="J4061" t="s">
        <v>45</v>
      </c>
      <c r="K4061" t="s">
        <v>47</v>
      </c>
      <c r="L4061" t="s">
        <v>48</v>
      </c>
      <c r="M4061" t="s">
        <v>139</v>
      </c>
      <c r="N4061">
        <v>1349</v>
      </c>
      <c r="O4061" s="14">
        <v>0.19985946221277101</v>
      </c>
      <c r="P4061" s="14">
        <v>0.14333142153918699</v>
      </c>
      <c r="Q4061" t="str">
        <f t="shared" si="126"/>
        <v>50+</v>
      </c>
      <c r="R4061" t="str">
        <f t="shared" si="127"/>
        <v>[ir8wuHHzoSs]|50+|Male|NEW_INFECTIONS_SUBNAT.T_1|CY2023Q3</v>
      </c>
    </row>
    <row r="4062" spans="4:18" x14ac:dyDescent="0.2">
      <c r="D4062" t="s">
        <v>83</v>
      </c>
      <c r="E4062" t="s">
        <v>84</v>
      </c>
      <c r="F4062" t="s">
        <v>85</v>
      </c>
      <c r="G4062" t="s">
        <v>152</v>
      </c>
      <c r="H4062" t="s">
        <v>152</v>
      </c>
      <c r="I4062" t="s">
        <v>27</v>
      </c>
      <c r="J4062" t="s">
        <v>28</v>
      </c>
      <c r="K4062" t="s">
        <v>29</v>
      </c>
      <c r="L4062" t="s">
        <v>30</v>
      </c>
      <c r="M4062" t="s">
        <v>139</v>
      </c>
      <c r="N4062">
        <v>1726</v>
      </c>
      <c r="O4062" s="14">
        <v>0.72060461458750102</v>
      </c>
      <c r="P4062" s="14">
        <v>2.9788714367896301E-2</v>
      </c>
      <c r="Q4062" t="str">
        <f t="shared" si="126"/>
        <v>&lt;01</v>
      </c>
      <c r="R4062" t="str">
        <f t="shared" si="127"/>
        <v>[fyEoGEPERdI]|&lt;01|Female|NEW_INFECTIONS_SUBNAT.T_1|CY2023Q3</v>
      </c>
    </row>
    <row r="4063" spans="4:18" x14ac:dyDescent="0.2">
      <c r="D4063" t="s">
        <v>83</v>
      </c>
      <c r="E4063" t="s">
        <v>84</v>
      </c>
      <c r="F4063" t="s">
        <v>85</v>
      </c>
      <c r="G4063" t="s">
        <v>152</v>
      </c>
      <c r="H4063" t="s">
        <v>152</v>
      </c>
      <c r="I4063" t="s">
        <v>32</v>
      </c>
      <c r="J4063" t="s">
        <v>33</v>
      </c>
      <c r="K4063" t="s">
        <v>29</v>
      </c>
      <c r="L4063" t="s">
        <v>30</v>
      </c>
      <c r="M4063" t="s">
        <v>139</v>
      </c>
      <c r="N4063">
        <v>1183</v>
      </c>
      <c r="O4063" s="14">
        <v>0.123526179930195</v>
      </c>
      <c r="P4063" s="14">
        <v>2.9788714367896301E-2</v>
      </c>
      <c r="Q4063" t="str">
        <f t="shared" si="126"/>
        <v>01-09</v>
      </c>
      <c r="R4063" t="str">
        <f t="shared" si="127"/>
        <v>[fyEoGEPERdI]|01-09|Female|NEW_INFECTIONS_SUBNAT.T_1|CY2023Q3</v>
      </c>
    </row>
    <row r="4064" spans="4:18" x14ac:dyDescent="0.2">
      <c r="D4064" t="s">
        <v>83</v>
      </c>
      <c r="E4064" t="s">
        <v>84</v>
      </c>
      <c r="F4064" t="s">
        <v>85</v>
      </c>
      <c r="G4064" t="s">
        <v>152</v>
      </c>
      <c r="H4064" t="s">
        <v>152</v>
      </c>
      <c r="I4064" t="s">
        <v>35</v>
      </c>
      <c r="J4064" t="s">
        <v>36</v>
      </c>
      <c r="K4064" t="s">
        <v>29</v>
      </c>
      <c r="L4064" t="s">
        <v>30</v>
      </c>
      <c r="M4064" t="s">
        <v>139</v>
      </c>
      <c r="N4064">
        <v>1694</v>
      </c>
      <c r="O4064" s="14">
        <v>0.108122819801793</v>
      </c>
      <c r="P4064" s="14">
        <v>2.9788714367896301E-2</v>
      </c>
      <c r="Q4064" t="str">
        <f t="shared" si="126"/>
        <v>10-14</v>
      </c>
      <c r="R4064" t="str">
        <f t="shared" si="127"/>
        <v>[fyEoGEPERdI]|10-14|Female|NEW_INFECTIONS_SUBNAT.T_1|CY2023Q3</v>
      </c>
    </row>
    <row r="4065" spans="4:18" x14ac:dyDescent="0.2">
      <c r="D4065" t="s">
        <v>83</v>
      </c>
      <c r="E4065" t="s">
        <v>84</v>
      </c>
      <c r="F4065" t="s">
        <v>85</v>
      </c>
      <c r="G4065" t="s">
        <v>152</v>
      </c>
      <c r="H4065" t="s">
        <v>152</v>
      </c>
      <c r="I4065" t="s">
        <v>37</v>
      </c>
      <c r="J4065" t="s">
        <v>38</v>
      </c>
      <c r="K4065" t="s">
        <v>29</v>
      </c>
      <c r="L4065" t="s">
        <v>30</v>
      </c>
      <c r="M4065" t="s">
        <v>139</v>
      </c>
      <c r="N4065">
        <v>1117</v>
      </c>
      <c r="O4065" s="14">
        <v>0.63878813409246504</v>
      </c>
      <c r="P4065" s="14">
        <v>2.9788714367896301E-2</v>
      </c>
      <c r="Q4065" t="str">
        <f t="shared" si="126"/>
        <v>15-24</v>
      </c>
      <c r="R4065" t="str">
        <f t="shared" si="127"/>
        <v>[fyEoGEPERdI]|15-24|Female|NEW_INFECTIONS_SUBNAT.T_1|CY2023Q3</v>
      </c>
    </row>
    <row r="4066" spans="4:18" x14ac:dyDescent="0.2">
      <c r="D4066" t="s">
        <v>83</v>
      </c>
      <c r="E4066" t="s">
        <v>84</v>
      </c>
      <c r="F4066" t="s">
        <v>85</v>
      </c>
      <c r="G4066" t="s">
        <v>152</v>
      </c>
      <c r="H4066" t="s">
        <v>152</v>
      </c>
      <c r="I4066" t="s">
        <v>40</v>
      </c>
      <c r="J4066" t="s">
        <v>41</v>
      </c>
      <c r="K4066" t="s">
        <v>29</v>
      </c>
      <c r="L4066" t="s">
        <v>30</v>
      </c>
      <c r="M4066" t="s">
        <v>139</v>
      </c>
      <c r="N4066">
        <v>520</v>
      </c>
      <c r="O4066" s="14">
        <v>0.65412210975773599</v>
      </c>
      <c r="P4066" s="14">
        <v>2.9788714367896301E-2</v>
      </c>
      <c r="Q4066" t="str">
        <f t="shared" si="126"/>
        <v>25-34</v>
      </c>
      <c r="R4066" t="str">
        <f t="shared" si="127"/>
        <v>[fyEoGEPERdI]|25-34|Female|NEW_INFECTIONS_SUBNAT.T_1|CY2023Q3</v>
      </c>
    </row>
    <row r="4067" spans="4:18" x14ac:dyDescent="0.2">
      <c r="D4067" t="s">
        <v>83</v>
      </c>
      <c r="E4067" t="s">
        <v>84</v>
      </c>
      <c r="F4067" t="s">
        <v>85</v>
      </c>
      <c r="G4067" t="s">
        <v>152</v>
      </c>
      <c r="H4067" t="s">
        <v>152</v>
      </c>
      <c r="I4067" t="s">
        <v>42</v>
      </c>
      <c r="J4067" t="s">
        <v>43</v>
      </c>
      <c r="K4067" t="s">
        <v>29</v>
      </c>
      <c r="L4067" t="s">
        <v>30</v>
      </c>
      <c r="M4067" t="s">
        <v>139</v>
      </c>
      <c r="N4067">
        <v>1649</v>
      </c>
      <c r="O4067" s="14">
        <v>0.455497626215219</v>
      </c>
      <c r="P4067" s="14">
        <v>2.9788714367896301E-2</v>
      </c>
      <c r="Q4067" t="str">
        <f t="shared" si="126"/>
        <v>35-49</v>
      </c>
      <c r="R4067" t="str">
        <f t="shared" si="127"/>
        <v>[fyEoGEPERdI]|35-49|Female|NEW_INFECTIONS_SUBNAT.T_1|CY2023Q3</v>
      </c>
    </row>
    <row r="4068" spans="4:18" x14ac:dyDescent="0.2">
      <c r="D4068" t="s">
        <v>83</v>
      </c>
      <c r="E4068" t="s">
        <v>84</v>
      </c>
      <c r="F4068" t="s">
        <v>85</v>
      </c>
      <c r="G4068" t="s">
        <v>152</v>
      </c>
      <c r="H4068" t="s">
        <v>152</v>
      </c>
      <c r="I4068" t="s">
        <v>44</v>
      </c>
      <c r="J4068" t="s">
        <v>45</v>
      </c>
      <c r="K4068" t="s">
        <v>29</v>
      </c>
      <c r="L4068" t="s">
        <v>30</v>
      </c>
      <c r="M4068" t="s">
        <v>139</v>
      </c>
      <c r="N4068">
        <v>780</v>
      </c>
      <c r="O4068" s="14">
        <v>0.55028475052677095</v>
      </c>
      <c r="P4068" s="14">
        <v>2.9788714367896301E-2</v>
      </c>
      <c r="Q4068" t="str">
        <f t="shared" si="126"/>
        <v>50+</v>
      </c>
      <c r="R4068" t="str">
        <f t="shared" si="127"/>
        <v>[fyEoGEPERdI]|50+|Female|NEW_INFECTIONS_SUBNAT.T_1|CY2023Q3</v>
      </c>
    </row>
    <row r="4069" spans="4:18" x14ac:dyDescent="0.2">
      <c r="D4069" t="s">
        <v>83</v>
      </c>
      <c r="E4069" t="s">
        <v>84</v>
      </c>
      <c r="F4069" t="s">
        <v>85</v>
      </c>
      <c r="G4069" t="s">
        <v>152</v>
      </c>
      <c r="H4069" t="s">
        <v>152</v>
      </c>
      <c r="I4069" t="s">
        <v>27</v>
      </c>
      <c r="J4069" t="s">
        <v>28</v>
      </c>
      <c r="K4069" t="s">
        <v>47</v>
      </c>
      <c r="L4069" t="s">
        <v>48</v>
      </c>
      <c r="M4069" t="s">
        <v>139</v>
      </c>
      <c r="N4069">
        <v>870</v>
      </c>
      <c r="O4069" s="14">
        <v>0.73152878577821001</v>
      </c>
      <c r="P4069" s="14">
        <v>2.9788714367896301E-2</v>
      </c>
      <c r="Q4069" t="str">
        <f t="shared" si="126"/>
        <v>&lt;01</v>
      </c>
      <c r="R4069" t="str">
        <f t="shared" si="127"/>
        <v>[fyEoGEPERdI]|&lt;01|Male|NEW_INFECTIONS_SUBNAT.T_1|CY2023Q3</v>
      </c>
    </row>
    <row r="4070" spans="4:18" x14ac:dyDescent="0.2">
      <c r="D4070" t="s">
        <v>83</v>
      </c>
      <c r="E4070" t="s">
        <v>84</v>
      </c>
      <c r="F4070" t="s">
        <v>85</v>
      </c>
      <c r="G4070" t="s">
        <v>152</v>
      </c>
      <c r="H4070" t="s">
        <v>152</v>
      </c>
      <c r="I4070" t="s">
        <v>32</v>
      </c>
      <c r="J4070" t="s">
        <v>33</v>
      </c>
      <c r="K4070" t="s">
        <v>47</v>
      </c>
      <c r="L4070" t="s">
        <v>48</v>
      </c>
      <c r="M4070" t="s">
        <v>139</v>
      </c>
      <c r="N4070">
        <v>1065</v>
      </c>
      <c r="O4070" s="14">
        <v>0.416773626580834</v>
      </c>
      <c r="P4070" s="14">
        <v>2.9788714367896301E-2</v>
      </c>
      <c r="Q4070" t="str">
        <f t="shared" si="126"/>
        <v>01-09</v>
      </c>
      <c r="R4070" t="str">
        <f t="shared" si="127"/>
        <v>[fyEoGEPERdI]|01-09|Male|NEW_INFECTIONS_SUBNAT.T_1|CY2023Q3</v>
      </c>
    </row>
    <row r="4071" spans="4:18" x14ac:dyDescent="0.2">
      <c r="D4071" t="s">
        <v>83</v>
      </c>
      <c r="E4071" t="s">
        <v>84</v>
      </c>
      <c r="F4071" t="s">
        <v>85</v>
      </c>
      <c r="G4071" t="s">
        <v>152</v>
      </c>
      <c r="H4071" t="s">
        <v>152</v>
      </c>
      <c r="I4071" t="s">
        <v>35</v>
      </c>
      <c r="J4071" t="s">
        <v>36</v>
      </c>
      <c r="K4071" t="s">
        <v>47</v>
      </c>
      <c r="L4071" t="s">
        <v>48</v>
      </c>
      <c r="M4071" t="s">
        <v>139</v>
      </c>
      <c r="N4071">
        <v>1817</v>
      </c>
      <c r="O4071" s="14">
        <v>0.17323494167067099</v>
      </c>
      <c r="P4071" s="14">
        <v>2.9788714367896301E-2</v>
      </c>
      <c r="Q4071" t="str">
        <f t="shared" si="126"/>
        <v>10-14</v>
      </c>
      <c r="R4071" t="str">
        <f t="shared" si="127"/>
        <v>[fyEoGEPERdI]|10-14|Male|NEW_INFECTIONS_SUBNAT.T_1|CY2023Q3</v>
      </c>
    </row>
    <row r="4072" spans="4:18" x14ac:dyDescent="0.2">
      <c r="D4072" t="s">
        <v>83</v>
      </c>
      <c r="E4072" t="s">
        <v>84</v>
      </c>
      <c r="F4072" t="s">
        <v>85</v>
      </c>
      <c r="G4072" t="s">
        <v>152</v>
      </c>
      <c r="H4072" t="s">
        <v>152</v>
      </c>
      <c r="I4072" t="s">
        <v>37</v>
      </c>
      <c r="J4072" t="s">
        <v>38</v>
      </c>
      <c r="K4072" t="s">
        <v>47</v>
      </c>
      <c r="L4072" t="s">
        <v>48</v>
      </c>
      <c r="M4072" t="s">
        <v>139</v>
      </c>
      <c r="N4072">
        <v>1550</v>
      </c>
      <c r="O4072" s="14">
        <v>0.45706462208181597</v>
      </c>
      <c r="P4072" s="14">
        <v>2.9788714367896301E-2</v>
      </c>
      <c r="Q4072" t="str">
        <f t="shared" si="126"/>
        <v>15-24</v>
      </c>
      <c r="R4072" t="str">
        <f t="shared" si="127"/>
        <v>[fyEoGEPERdI]|15-24|Male|NEW_INFECTIONS_SUBNAT.T_1|CY2023Q3</v>
      </c>
    </row>
    <row r="4073" spans="4:18" x14ac:dyDescent="0.2">
      <c r="D4073" t="s">
        <v>83</v>
      </c>
      <c r="E4073" t="s">
        <v>84</v>
      </c>
      <c r="F4073" t="s">
        <v>85</v>
      </c>
      <c r="G4073" t="s">
        <v>152</v>
      </c>
      <c r="H4073" t="s">
        <v>152</v>
      </c>
      <c r="I4073" t="s">
        <v>40</v>
      </c>
      <c r="J4073" t="s">
        <v>41</v>
      </c>
      <c r="K4073" t="s">
        <v>47</v>
      </c>
      <c r="L4073" t="s">
        <v>48</v>
      </c>
      <c r="M4073" t="s">
        <v>139</v>
      </c>
      <c r="N4073">
        <v>1796</v>
      </c>
      <c r="O4073" s="14">
        <v>0.37416855851188302</v>
      </c>
      <c r="P4073" s="14">
        <v>2.9788714367896301E-2</v>
      </c>
      <c r="Q4073" t="str">
        <f t="shared" si="126"/>
        <v>25-34</v>
      </c>
      <c r="R4073" t="str">
        <f t="shared" si="127"/>
        <v>[fyEoGEPERdI]|25-34|Male|NEW_INFECTIONS_SUBNAT.T_1|CY2023Q3</v>
      </c>
    </row>
    <row r="4074" spans="4:18" x14ac:dyDescent="0.2">
      <c r="D4074" t="s">
        <v>83</v>
      </c>
      <c r="E4074" t="s">
        <v>84</v>
      </c>
      <c r="F4074" t="s">
        <v>85</v>
      </c>
      <c r="G4074" t="s">
        <v>152</v>
      </c>
      <c r="H4074" t="s">
        <v>152</v>
      </c>
      <c r="I4074" t="s">
        <v>42</v>
      </c>
      <c r="J4074" t="s">
        <v>43</v>
      </c>
      <c r="K4074" t="s">
        <v>47</v>
      </c>
      <c r="L4074" t="s">
        <v>48</v>
      </c>
      <c r="M4074" t="s">
        <v>139</v>
      </c>
      <c r="N4074">
        <v>1706</v>
      </c>
      <c r="O4074" s="14">
        <v>0.76196919777430605</v>
      </c>
      <c r="P4074" s="14">
        <v>2.9788714367896301E-2</v>
      </c>
      <c r="Q4074" t="str">
        <f t="shared" si="126"/>
        <v>35-49</v>
      </c>
      <c r="R4074" t="str">
        <f t="shared" si="127"/>
        <v>[fyEoGEPERdI]|35-49|Male|NEW_INFECTIONS_SUBNAT.T_1|CY2023Q3</v>
      </c>
    </row>
    <row r="4075" spans="4:18" x14ac:dyDescent="0.2">
      <c r="D4075" t="s">
        <v>83</v>
      </c>
      <c r="E4075" t="s">
        <v>84</v>
      </c>
      <c r="F4075" t="s">
        <v>85</v>
      </c>
      <c r="G4075" t="s">
        <v>152</v>
      </c>
      <c r="H4075" t="s">
        <v>152</v>
      </c>
      <c r="I4075" t="s">
        <v>44</v>
      </c>
      <c r="J4075" t="s">
        <v>45</v>
      </c>
      <c r="K4075" t="s">
        <v>47</v>
      </c>
      <c r="L4075" t="s">
        <v>48</v>
      </c>
      <c r="M4075" t="s">
        <v>139</v>
      </c>
      <c r="N4075">
        <v>1405</v>
      </c>
      <c r="O4075" s="14">
        <v>0.61347522446885705</v>
      </c>
      <c r="P4075" s="14">
        <v>2.9788714367896301E-2</v>
      </c>
      <c r="Q4075" t="str">
        <f t="shared" si="126"/>
        <v>50+</v>
      </c>
      <c r="R4075" t="str">
        <f t="shared" si="127"/>
        <v>[fyEoGEPERdI]|50+|Male|NEW_INFECTIONS_SUBNAT.T_1|CY2023Q3</v>
      </c>
    </row>
    <row r="4076" spans="4:18" x14ac:dyDescent="0.2">
      <c r="D4076" t="s">
        <v>86</v>
      </c>
      <c r="E4076" t="s">
        <v>87</v>
      </c>
      <c r="F4076" t="s">
        <v>88</v>
      </c>
      <c r="G4076" t="s">
        <v>152</v>
      </c>
      <c r="H4076" t="s">
        <v>152</v>
      </c>
      <c r="I4076" t="s">
        <v>27</v>
      </c>
      <c r="J4076" t="s">
        <v>28</v>
      </c>
      <c r="K4076" t="s">
        <v>29</v>
      </c>
      <c r="L4076" t="s">
        <v>30</v>
      </c>
      <c r="M4076" t="s">
        <v>139</v>
      </c>
      <c r="N4076">
        <v>1390</v>
      </c>
      <c r="O4076" s="14">
        <v>0.372081525390968</v>
      </c>
      <c r="P4076" s="14">
        <v>0.13333638082258401</v>
      </c>
      <c r="Q4076" t="str">
        <f t="shared" si="126"/>
        <v>&lt;01</v>
      </c>
      <c r="R4076" t="str">
        <f t="shared" si="127"/>
        <v>[cPtvxaZqXIH]|&lt;01|Female|NEW_INFECTIONS_SUBNAT.T_1|CY2023Q3</v>
      </c>
    </row>
    <row r="4077" spans="4:18" x14ac:dyDescent="0.2">
      <c r="D4077" t="s">
        <v>86</v>
      </c>
      <c r="E4077" t="s">
        <v>87</v>
      </c>
      <c r="F4077" t="s">
        <v>88</v>
      </c>
      <c r="G4077" t="s">
        <v>152</v>
      </c>
      <c r="H4077" t="s">
        <v>152</v>
      </c>
      <c r="I4077" t="s">
        <v>32</v>
      </c>
      <c r="J4077" t="s">
        <v>33</v>
      </c>
      <c r="K4077" t="s">
        <v>29</v>
      </c>
      <c r="L4077" t="s">
        <v>30</v>
      </c>
      <c r="M4077" t="s">
        <v>139</v>
      </c>
      <c r="N4077">
        <v>680</v>
      </c>
      <c r="O4077" s="14">
        <v>0.17798673501238199</v>
      </c>
      <c r="P4077" s="14">
        <v>0.13333638082258401</v>
      </c>
      <c r="Q4077" t="str">
        <f t="shared" si="126"/>
        <v>01-09</v>
      </c>
      <c r="R4077" t="str">
        <f t="shared" si="127"/>
        <v>[cPtvxaZqXIH]|01-09|Female|NEW_INFECTIONS_SUBNAT.T_1|CY2023Q3</v>
      </c>
    </row>
    <row r="4078" spans="4:18" x14ac:dyDescent="0.2">
      <c r="D4078" t="s">
        <v>86</v>
      </c>
      <c r="E4078" t="s">
        <v>87</v>
      </c>
      <c r="F4078" t="s">
        <v>88</v>
      </c>
      <c r="G4078" t="s">
        <v>152</v>
      </c>
      <c r="H4078" t="s">
        <v>152</v>
      </c>
      <c r="I4078" t="s">
        <v>35</v>
      </c>
      <c r="J4078" t="s">
        <v>36</v>
      </c>
      <c r="K4078" t="s">
        <v>29</v>
      </c>
      <c r="L4078" t="s">
        <v>30</v>
      </c>
      <c r="M4078" t="s">
        <v>139</v>
      </c>
      <c r="N4078">
        <v>1262</v>
      </c>
      <c r="O4078" s="14">
        <v>0.130868235602975</v>
      </c>
      <c r="P4078" s="14">
        <v>0.13333638082258401</v>
      </c>
      <c r="Q4078" t="str">
        <f t="shared" si="126"/>
        <v>10-14</v>
      </c>
      <c r="R4078" t="str">
        <f t="shared" si="127"/>
        <v>[cPtvxaZqXIH]|10-14|Female|NEW_INFECTIONS_SUBNAT.T_1|CY2023Q3</v>
      </c>
    </row>
    <row r="4079" spans="4:18" x14ac:dyDescent="0.2">
      <c r="D4079" t="s">
        <v>86</v>
      </c>
      <c r="E4079" t="s">
        <v>87</v>
      </c>
      <c r="F4079" t="s">
        <v>88</v>
      </c>
      <c r="G4079" t="s">
        <v>152</v>
      </c>
      <c r="H4079" t="s">
        <v>152</v>
      </c>
      <c r="I4079" t="s">
        <v>37</v>
      </c>
      <c r="J4079" t="s">
        <v>38</v>
      </c>
      <c r="K4079" t="s">
        <v>29</v>
      </c>
      <c r="L4079" t="s">
        <v>30</v>
      </c>
      <c r="M4079" t="s">
        <v>139</v>
      </c>
      <c r="N4079">
        <v>1313</v>
      </c>
      <c r="O4079" s="14">
        <v>0.98170923395082399</v>
      </c>
      <c r="P4079" s="14">
        <v>0.13333638082258401</v>
      </c>
      <c r="Q4079" t="str">
        <f t="shared" si="126"/>
        <v>15-24</v>
      </c>
      <c r="R4079" t="str">
        <f t="shared" si="127"/>
        <v>[cPtvxaZqXIH]|15-24|Female|NEW_INFECTIONS_SUBNAT.T_1|CY2023Q3</v>
      </c>
    </row>
    <row r="4080" spans="4:18" x14ac:dyDescent="0.2">
      <c r="D4080" t="s">
        <v>86</v>
      </c>
      <c r="E4080" t="s">
        <v>87</v>
      </c>
      <c r="F4080" t="s">
        <v>88</v>
      </c>
      <c r="G4080" t="s">
        <v>152</v>
      </c>
      <c r="H4080" t="s">
        <v>152</v>
      </c>
      <c r="I4080" t="s">
        <v>40</v>
      </c>
      <c r="J4080" t="s">
        <v>41</v>
      </c>
      <c r="K4080" t="s">
        <v>29</v>
      </c>
      <c r="L4080" t="s">
        <v>30</v>
      </c>
      <c r="M4080" t="s">
        <v>139</v>
      </c>
      <c r="N4080">
        <v>1923</v>
      </c>
      <c r="O4080" s="14">
        <v>0.19655812764540301</v>
      </c>
      <c r="P4080" s="14">
        <v>0.13333638082258401</v>
      </c>
      <c r="Q4080" t="str">
        <f t="shared" si="126"/>
        <v>25-34</v>
      </c>
      <c r="R4080" t="str">
        <f t="shared" si="127"/>
        <v>[cPtvxaZqXIH]|25-34|Female|NEW_INFECTIONS_SUBNAT.T_1|CY2023Q3</v>
      </c>
    </row>
    <row r="4081" spans="4:18" x14ac:dyDescent="0.2">
      <c r="D4081" t="s">
        <v>86</v>
      </c>
      <c r="E4081" t="s">
        <v>87</v>
      </c>
      <c r="F4081" t="s">
        <v>88</v>
      </c>
      <c r="G4081" t="s">
        <v>152</v>
      </c>
      <c r="H4081" t="s">
        <v>152</v>
      </c>
      <c r="I4081" t="s">
        <v>42</v>
      </c>
      <c r="J4081" t="s">
        <v>43</v>
      </c>
      <c r="K4081" t="s">
        <v>29</v>
      </c>
      <c r="L4081" t="s">
        <v>30</v>
      </c>
      <c r="M4081" t="s">
        <v>139</v>
      </c>
      <c r="N4081">
        <v>1127</v>
      </c>
      <c r="O4081" s="14">
        <v>0.11219684057869</v>
      </c>
      <c r="P4081" s="14">
        <v>0.13333638082258401</v>
      </c>
      <c r="Q4081" t="str">
        <f t="shared" si="126"/>
        <v>35-49</v>
      </c>
      <c r="R4081" t="str">
        <f t="shared" si="127"/>
        <v>[cPtvxaZqXIH]|35-49|Female|NEW_INFECTIONS_SUBNAT.T_1|CY2023Q3</v>
      </c>
    </row>
    <row r="4082" spans="4:18" x14ac:dyDescent="0.2">
      <c r="D4082" t="s">
        <v>86</v>
      </c>
      <c r="E4082" t="s">
        <v>87</v>
      </c>
      <c r="F4082" t="s">
        <v>88</v>
      </c>
      <c r="G4082" t="s">
        <v>152</v>
      </c>
      <c r="H4082" t="s">
        <v>152</v>
      </c>
      <c r="I4082" t="s">
        <v>44</v>
      </c>
      <c r="J4082" t="s">
        <v>45</v>
      </c>
      <c r="K4082" t="s">
        <v>29</v>
      </c>
      <c r="L4082" t="s">
        <v>30</v>
      </c>
      <c r="M4082" t="s">
        <v>139</v>
      </c>
      <c r="N4082">
        <v>924</v>
      </c>
      <c r="O4082" s="14">
        <v>0.16867421800270699</v>
      </c>
      <c r="P4082" s="14">
        <v>0.13333638082258401</v>
      </c>
      <c r="Q4082" t="str">
        <f t="shared" si="126"/>
        <v>50+</v>
      </c>
      <c r="R4082" t="str">
        <f t="shared" si="127"/>
        <v>[cPtvxaZqXIH]|50+|Female|NEW_INFECTIONS_SUBNAT.T_1|CY2023Q3</v>
      </c>
    </row>
    <row r="4083" spans="4:18" x14ac:dyDescent="0.2">
      <c r="D4083" t="s">
        <v>86</v>
      </c>
      <c r="E4083" t="s">
        <v>87</v>
      </c>
      <c r="F4083" t="s">
        <v>88</v>
      </c>
      <c r="G4083" t="s">
        <v>152</v>
      </c>
      <c r="H4083" t="s">
        <v>152</v>
      </c>
      <c r="I4083" t="s">
        <v>27</v>
      </c>
      <c r="J4083" t="s">
        <v>28</v>
      </c>
      <c r="K4083" t="s">
        <v>47</v>
      </c>
      <c r="L4083" t="s">
        <v>48</v>
      </c>
      <c r="M4083" t="s">
        <v>139</v>
      </c>
      <c r="N4083">
        <v>574</v>
      </c>
      <c r="O4083" s="14">
        <v>0.266392573248595</v>
      </c>
      <c r="P4083" s="14">
        <v>0.13333638082258401</v>
      </c>
      <c r="Q4083" t="str">
        <f t="shared" si="126"/>
        <v>&lt;01</v>
      </c>
      <c r="R4083" t="str">
        <f t="shared" si="127"/>
        <v>[cPtvxaZqXIH]|&lt;01|Male|NEW_INFECTIONS_SUBNAT.T_1|CY2023Q3</v>
      </c>
    </row>
    <row r="4084" spans="4:18" x14ac:dyDescent="0.2">
      <c r="D4084" t="s">
        <v>86</v>
      </c>
      <c r="E4084" t="s">
        <v>87</v>
      </c>
      <c r="F4084" t="s">
        <v>88</v>
      </c>
      <c r="G4084" t="s">
        <v>152</v>
      </c>
      <c r="H4084" t="s">
        <v>152</v>
      </c>
      <c r="I4084" t="s">
        <v>32</v>
      </c>
      <c r="J4084" t="s">
        <v>33</v>
      </c>
      <c r="K4084" t="s">
        <v>47</v>
      </c>
      <c r="L4084" t="s">
        <v>48</v>
      </c>
      <c r="M4084" t="s">
        <v>139</v>
      </c>
      <c r="N4084">
        <v>1553</v>
      </c>
      <c r="O4084" s="14">
        <v>3.9937931578606402E-3</v>
      </c>
      <c r="P4084" s="14">
        <v>0.13333638082258401</v>
      </c>
      <c r="Q4084" t="str">
        <f t="shared" si="126"/>
        <v>01-09</v>
      </c>
      <c r="R4084" t="str">
        <f t="shared" si="127"/>
        <v>[cPtvxaZqXIH]|01-09|Male|NEW_INFECTIONS_SUBNAT.T_1|CY2023Q3</v>
      </c>
    </row>
    <row r="4085" spans="4:18" x14ac:dyDescent="0.2">
      <c r="D4085" t="s">
        <v>86</v>
      </c>
      <c r="E4085" t="s">
        <v>87</v>
      </c>
      <c r="F4085" t="s">
        <v>88</v>
      </c>
      <c r="G4085" t="s">
        <v>152</v>
      </c>
      <c r="H4085" t="s">
        <v>152</v>
      </c>
      <c r="I4085" t="s">
        <v>35</v>
      </c>
      <c r="J4085" t="s">
        <v>36</v>
      </c>
      <c r="K4085" t="s">
        <v>47</v>
      </c>
      <c r="L4085" t="s">
        <v>48</v>
      </c>
      <c r="M4085" t="s">
        <v>139</v>
      </c>
      <c r="N4085">
        <v>1106</v>
      </c>
      <c r="O4085" s="14">
        <v>0.179610560182482</v>
      </c>
      <c r="P4085" s="14">
        <v>0.13333638082258401</v>
      </c>
      <c r="Q4085" t="str">
        <f t="shared" si="126"/>
        <v>10-14</v>
      </c>
      <c r="R4085" t="str">
        <f t="shared" si="127"/>
        <v>[cPtvxaZqXIH]|10-14|Male|NEW_INFECTIONS_SUBNAT.T_1|CY2023Q3</v>
      </c>
    </row>
    <row r="4086" spans="4:18" x14ac:dyDescent="0.2">
      <c r="D4086" t="s">
        <v>86</v>
      </c>
      <c r="E4086" t="s">
        <v>87</v>
      </c>
      <c r="F4086" t="s">
        <v>88</v>
      </c>
      <c r="G4086" t="s">
        <v>152</v>
      </c>
      <c r="H4086" t="s">
        <v>152</v>
      </c>
      <c r="I4086" t="s">
        <v>37</v>
      </c>
      <c r="J4086" t="s">
        <v>38</v>
      </c>
      <c r="K4086" t="s">
        <v>47</v>
      </c>
      <c r="L4086" t="s">
        <v>48</v>
      </c>
      <c r="M4086" t="s">
        <v>139</v>
      </c>
      <c r="N4086">
        <v>1957</v>
      </c>
      <c r="O4086" s="14">
        <v>0.38360152184031898</v>
      </c>
      <c r="P4086" s="14">
        <v>0.13333638082258401</v>
      </c>
      <c r="Q4086" t="str">
        <f t="shared" si="126"/>
        <v>15-24</v>
      </c>
      <c r="R4086" t="str">
        <f t="shared" si="127"/>
        <v>[cPtvxaZqXIH]|15-24|Male|NEW_INFECTIONS_SUBNAT.T_1|CY2023Q3</v>
      </c>
    </row>
    <row r="4087" spans="4:18" x14ac:dyDescent="0.2">
      <c r="D4087" t="s">
        <v>86</v>
      </c>
      <c r="E4087" t="s">
        <v>87</v>
      </c>
      <c r="F4087" t="s">
        <v>88</v>
      </c>
      <c r="G4087" t="s">
        <v>152</v>
      </c>
      <c r="H4087" t="s">
        <v>152</v>
      </c>
      <c r="I4087" t="s">
        <v>40</v>
      </c>
      <c r="J4087" t="s">
        <v>41</v>
      </c>
      <c r="K4087" t="s">
        <v>47</v>
      </c>
      <c r="L4087" t="s">
        <v>48</v>
      </c>
      <c r="M4087" t="s">
        <v>139</v>
      </c>
      <c r="N4087">
        <v>730</v>
      </c>
      <c r="O4087" s="14">
        <v>0.55811019567772702</v>
      </c>
      <c r="P4087" s="14">
        <v>0.13333638082258401</v>
      </c>
      <c r="Q4087" t="str">
        <f t="shared" si="126"/>
        <v>25-34</v>
      </c>
      <c r="R4087" t="str">
        <f t="shared" si="127"/>
        <v>[cPtvxaZqXIH]|25-34|Male|NEW_INFECTIONS_SUBNAT.T_1|CY2023Q3</v>
      </c>
    </row>
    <row r="4088" spans="4:18" x14ac:dyDescent="0.2">
      <c r="D4088" t="s">
        <v>86</v>
      </c>
      <c r="E4088" t="s">
        <v>87</v>
      </c>
      <c r="F4088" t="s">
        <v>88</v>
      </c>
      <c r="G4088" t="s">
        <v>152</v>
      </c>
      <c r="H4088" t="s">
        <v>152</v>
      </c>
      <c r="I4088" t="s">
        <v>42</v>
      </c>
      <c r="J4088" t="s">
        <v>43</v>
      </c>
      <c r="K4088" t="s">
        <v>47</v>
      </c>
      <c r="L4088" t="s">
        <v>48</v>
      </c>
      <c r="M4088" t="s">
        <v>139</v>
      </c>
      <c r="N4088">
        <v>1869</v>
      </c>
      <c r="O4088" s="14">
        <v>0.956310405861586</v>
      </c>
      <c r="P4088" s="14">
        <v>0.13333638082258401</v>
      </c>
      <c r="Q4088" t="str">
        <f t="shared" si="126"/>
        <v>35-49</v>
      </c>
      <c r="R4088" t="str">
        <f t="shared" si="127"/>
        <v>[cPtvxaZqXIH]|35-49|Male|NEW_INFECTIONS_SUBNAT.T_1|CY2023Q3</v>
      </c>
    </row>
    <row r="4089" spans="4:18" x14ac:dyDescent="0.2">
      <c r="D4089" t="s">
        <v>86</v>
      </c>
      <c r="E4089" t="s">
        <v>87</v>
      </c>
      <c r="F4089" t="s">
        <v>88</v>
      </c>
      <c r="G4089" t="s">
        <v>152</v>
      </c>
      <c r="H4089" t="s">
        <v>152</v>
      </c>
      <c r="I4089" t="s">
        <v>44</v>
      </c>
      <c r="J4089" t="s">
        <v>45</v>
      </c>
      <c r="K4089" t="s">
        <v>47</v>
      </c>
      <c r="L4089" t="s">
        <v>48</v>
      </c>
      <c r="M4089" t="s">
        <v>139</v>
      </c>
      <c r="N4089">
        <v>911</v>
      </c>
      <c r="O4089" s="14">
        <v>0.84934504423290502</v>
      </c>
      <c r="P4089" s="14">
        <v>0.13333638082258401</v>
      </c>
      <c r="Q4089" t="str">
        <f t="shared" si="126"/>
        <v>50+</v>
      </c>
      <c r="R4089" t="str">
        <f t="shared" si="127"/>
        <v>[cPtvxaZqXIH]|50+|Male|NEW_INFECTIONS_SUBNAT.T_1|CY2023Q3</v>
      </c>
    </row>
    <row r="4090" spans="4:18" x14ac:dyDescent="0.2">
      <c r="D4090" t="s">
        <v>89</v>
      </c>
      <c r="E4090" t="s">
        <v>90</v>
      </c>
      <c r="F4090" t="s">
        <v>91</v>
      </c>
      <c r="G4090" t="s">
        <v>152</v>
      </c>
      <c r="H4090" t="s">
        <v>152</v>
      </c>
      <c r="I4090" t="s">
        <v>27</v>
      </c>
      <c r="J4090" t="s">
        <v>28</v>
      </c>
      <c r="K4090" t="s">
        <v>29</v>
      </c>
      <c r="L4090" t="s">
        <v>30</v>
      </c>
      <c r="M4090" t="s">
        <v>139</v>
      </c>
      <c r="N4090">
        <v>540</v>
      </c>
      <c r="O4090" s="14">
        <v>0.36205873335711702</v>
      </c>
      <c r="P4090" s="14">
        <v>0.71991415042430196</v>
      </c>
      <c r="Q4090" t="str">
        <f t="shared" si="126"/>
        <v>&lt;01</v>
      </c>
      <c r="R4090" t="str">
        <f t="shared" si="127"/>
        <v>[AZyWpGzhcaA]|&lt;01|Female|NEW_INFECTIONS_SUBNAT.T_1|CY2023Q3</v>
      </c>
    </row>
    <row r="4091" spans="4:18" x14ac:dyDescent="0.2">
      <c r="D4091" t="s">
        <v>89</v>
      </c>
      <c r="E4091" t="s">
        <v>90</v>
      </c>
      <c r="F4091" t="s">
        <v>91</v>
      </c>
      <c r="G4091" t="s">
        <v>152</v>
      </c>
      <c r="H4091" t="s">
        <v>152</v>
      </c>
      <c r="I4091" t="s">
        <v>32</v>
      </c>
      <c r="J4091" t="s">
        <v>33</v>
      </c>
      <c r="K4091" t="s">
        <v>29</v>
      </c>
      <c r="L4091" t="s">
        <v>30</v>
      </c>
      <c r="M4091" t="s">
        <v>139</v>
      </c>
      <c r="N4091">
        <v>1069</v>
      </c>
      <c r="O4091" s="14">
        <v>0.93804463604465105</v>
      </c>
      <c r="P4091" s="14">
        <v>0.71991415042430196</v>
      </c>
      <c r="Q4091" t="str">
        <f t="shared" si="126"/>
        <v>01-09</v>
      </c>
      <c r="R4091" t="str">
        <f t="shared" si="127"/>
        <v>[AZyWpGzhcaA]|01-09|Female|NEW_INFECTIONS_SUBNAT.T_1|CY2023Q3</v>
      </c>
    </row>
    <row r="4092" spans="4:18" x14ac:dyDescent="0.2">
      <c r="D4092" t="s">
        <v>89</v>
      </c>
      <c r="E4092" t="s">
        <v>90</v>
      </c>
      <c r="F4092" t="s">
        <v>91</v>
      </c>
      <c r="G4092" t="s">
        <v>152</v>
      </c>
      <c r="H4092" t="s">
        <v>152</v>
      </c>
      <c r="I4092" t="s">
        <v>35</v>
      </c>
      <c r="J4092" t="s">
        <v>36</v>
      </c>
      <c r="K4092" t="s">
        <v>29</v>
      </c>
      <c r="L4092" t="s">
        <v>30</v>
      </c>
      <c r="M4092" t="s">
        <v>139</v>
      </c>
      <c r="N4092">
        <v>620</v>
      </c>
      <c r="O4092" s="14">
        <v>0.90441183722578</v>
      </c>
      <c r="P4092" s="14">
        <v>0.71991415042430196</v>
      </c>
      <c r="Q4092" t="str">
        <f t="shared" si="126"/>
        <v>10-14</v>
      </c>
      <c r="R4092" t="str">
        <f t="shared" si="127"/>
        <v>[AZyWpGzhcaA]|10-14|Female|NEW_INFECTIONS_SUBNAT.T_1|CY2023Q3</v>
      </c>
    </row>
    <row r="4093" spans="4:18" x14ac:dyDescent="0.2">
      <c r="D4093" t="s">
        <v>89</v>
      </c>
      <c r="E4093" t="s">
        <v>90</v>
      </c>
      <c r="F4093" t="s">
        <v>91</v>
      </c>
      <c r="G4093" t="s">
        <v>152</v>
      </c>
      <c r="H4093" t="s">
        <v>152</v>
      </c>
      <c r="I4093" t="s">
        <v>37</v>
      </c>
      <c r="J4093" t="s">
        <v>38</v>
      </c>
      <c r="K4093" t="s">
        <v>29</v>
      </c>
      <c r="L4093" t="s">
        <v>30</v>
      </c>
      <c r="M4093" t="s">
        <v>139</v>
      </c>
      <c r="N4093">
        <v>1335</v>
      </c>
      <c r="O4093" s="14">
        <v>0.123442432144657</v>
      </c>
      <c r="P4093" s="14">
        <v>0.71991415042430196</v>
      </c>
      <c r="Q4093" t="str">
        <f t="shared" si="126"/>
        <v>15-24</v>
      </c>
      <c r="R4093" t="str">
        <f t="shared" si="127"/>
        <v>[AZyWpGzhcaA]|15-24|Female|NEW_INFECTIONS_SUBNAT.T_1|CY2023Q3</v>
      </c>
    </row>
    <row r="4094" spans="4:18" x14ac:dyDescent="0.2">
      <c r="D4094" t="s">
        <v>89</v>
      </c>
      <c r="E4094" t="s">
        <v>90</v>
      </c>
      <c r="F4094" t="s">
        <v>91</v>
      </c>
      <c r="G4094" t="s">
        <v>152</v>
      </c>
      <c r="H4094" t="s">
        <v>152</v>
      </c>
      <c r="I4094" t="s">
        <v>40</v>
      </c>
      <c r="J4094" t="s">
        <v>41</v>
      </c>
      <c r="K4094" t="s">
        <v>29</v>
      </c>
      <c r="L4094" t="s">
        <v>30</v>
      </c>
      <c r="M4094" t="s">
        <v>139</v>
      </c>
      <c r="N4094">
        <v>1746</v>
      </c>
      <c r="O4094" s="14">
        <v>0.155579414218664</v>
      </c>
      <c r="P4094" s="14">
        <v>0.71991415042430196</v>
      </c>
      <c r="Q4094" t="str">
        <f t="shared" si="126"/>
        <v>25-34</v>
      </c>
      <c r="R4094" t="str">
        <f t="shared" si="127"/>
        <v>[AZyWpGzhcaA]|25-34|Female|NEW_INFECTIONS_SUBNAT.T_1|CY2023Q3</v>
      </c>
    </row>
    <row r="4095" spans="4:18" x14ac:dyDescent="0.2">
      <c r="D4095" t="s">
        <v>89</v>
      </c>
      <c r="E4095" t="s">
        <v>90</v>
      </c>
      <c r="F4095" t="s">
        <v>91</v>
      </c>
      <c r="G4095" t="s">
        <v>152</v>
      </c>
      <c r="H4095" t="s">
        <v>152</v>
      </c>
      <c r="I4095" t="s">
        <v>42</v>
      </c>
      <c r="J4095" t="s">
        <v>43</v>
      </c>
      <c r="K4095" t="s">
        <v>29</v>
      </c>
      <c r="L4095" t="s">
        <v>30</v>
      </c>
      <c r="M4095" t="s">
        <v>139</v>
      </c>
      <c r="N4095">
        <v>1200</v>
      </c>
      <c r="O4095" s="14">
        <v>0.73560079257003996</v>
      </c>
      <c r="P4095" s="14">
        <v>0.71991415042430196</v>
      </c>
      <c r="Q4095" t="str">
        <f t="shared" si="126"/>
        <v>35-49</v>
      </c>
      <c r="R4095" t="str">
        <f t="shared" si="127"/>
        <v>[AZyWpGzhcaA]|35-49|Female|NEW_INFECTIONS_SUBNAT.T_1|CY2023Q3</v>
      </c>
    </row>
    <row r="4096" spans="4:18" x14ac:dyDescent="0.2">
      <c r="D4096" t="s">
        <v>89</v>
      </c>
      <c r="E4096" t="s">
        <v>90</v>
      </c>
      <c r="F4096" t="s">
        <v>91</v>
      </c>
      <c r="G4096" t="s">
        <v>152</v>
      </c>
      <c r="H4096" t="s">
        <v>152</v>
      </c>
      <c r="I4096" t="s">
        <v>44</v>
      </c>
      <c r="J4096" t="s">
        <v>45</v>
      </c>
      <c r="K4096" t="s">
        <v>29</v>
      </c>
      <c r="L4096" t="s">
        <v>30</v>
      </c>
      <c r="M4096" t="s">
        <v>139</v>
      </c>
      <c r="N4096">
        <v>622</v>
      </c>
      <c r="O4096" s="14">
        <v>8.6137545993551598E-2</v>
      </c>
      <c r="P4096" s="14">
        <v>0.71991415042430196</v>
      </c>
      <c r="Q4096" t="str">
        <f t="shared" si="126"/>
        <v>50+</v>
      </c>
      <c r="R4096" t="str">
        <f t="shared" si="127"/>
        <v>[AZyWpGzhcaA]|50+|Female|NEW_INFECTIONS_SUBNAT.T_1|CY2023Q3</v>
      </c>
    </row>
    <row r="4097" spans="4:18" x14ac:dyDescent="0.2">
      <c r="D4097" t="s">
        <v>89</v>
      </c>
      <c r="E4097" t="s">
        <v>90</v>
      </c>
      <c r="F4097" t="s">
        <v>91</v>
      </c>
      <c r="G4097" t="s">
        <v>152</v>
      </c>
      <c r="H4097" t="s">
        <v>152</v>
      </c>
      <c r="I4097" t="s">
        <v>27</v>
      </c>
      <c r="J4097" t="s">
        <v>28</v>
      </c>
      <c r="K4097" t="s">
        <v>47</v>
      </c>
      <c r="L4097" t="s">
        <v>48</v>
      </c>
      <c r="M4097" t="s">
        <v>139</v>
      </c>
      <c r="N4097">
        <v>975</v>
      </c>
      <c r="O4097" s="14">
        <v>0.43242452736012599</v>
      </c>
      <c r="P4097" s="14">
        <v>0.71991415042430196</v>
      </c>
      <c r="Q4097" t="str">
        <f t="shared" si="126"/>
        <v>&lt;01</v>
      </c>
      <c r="R4097" t="str">
        <f t="shared" si="127"/>
        <v>[AZyWpGzhcaA]|&lt;01|Male|NEW_INFECTIONS_SUBNAT.T_1|CY2023Q3</v>
      </c>
    </row>
    <row r="4098" spans="4:18" x14ac:dyDescent="0.2">
      <c r="D4098" t="s">
        <v>89</v>
      </c>
      <c r="E4098" t="s">
        <v>90</v>
      </c>
      <c r="F4098" t="s">
        <v>91</v>
      </c>
      <c r="G4098" t="s">
        <v>152</v>
      </c>
      <c r="H4098" t="s">
        <v>152</v>
      </c>
      <c r="I4098" t="s">
        <v>32</v>
      </c>
      <c r="J4098" t="s">
        <v>33</v>
      </c>
      <c r="K4098" t="s">
        <v>47</v>
      </c>
      <c r="L4098" t="s">
        <v>48</v>
      </c>
      <c r="M4098" t="s">
        <v>139</v>
      </c>
      <c r="N4098">
        <v>1194</v>
      </c>
      <c r="O4098" s="14">
        <v>0.68958246381953403</v>
      </c>
      <c r="P4098" s="14">
        <v>0.71991415042430196</v>
      </c>
      <c r="Q4098" t="str">
        <f t="shared" ref="Q4098:Q4161" si="128">SUBSTITUTE(SUBSTITUTE($I4098,CHAR(61),""),CHAR(34),"")</f>
        <v>01-09</v>
      </c>
      <c r="R4098" t="str">
        <f t="shared" ref="R4098:R4161" si="129">IF($D4098&lt;&gt;"","["&amp;$E4098&amp;"]"&amp;"|"&amp;$Q4098&amp;"|"&amp;$K4098&amp;"|"&amp;$G4098&amp;"|"&amp;IF($G4098="TX_CURR_SUBNAT.R","CY2022Q4",$M4098),"")</f>
        <v>[AZyWpGzhcaA]|01-09|Male|NEW_INFECTIONS_SUBNAT.T_1|CY2023Q3</v>
      </c>
    </row>
    <row r="4099" spans="4:18" x14ac:dyDescent="0.2">
      <c r="D4099" t="s">
        <v>89</v>
      </c>
      <c r="E4099" t="s">
        <v>90</v>
      </c>
      <c r="F4099" t="s">
        <v>91</v>
      </c>
      <c r="G4099" t="s">
        <v>152</v>
      </c>
      <c r="H4099" t="s">
        <v>152</v>
      </c>
      <c r="I4099" t="s">
        <v>35</v>
      </c>
      <c r="J4099" t="s">
        <v>36</v>
      </c>
      <c r="K4099" t="s">
        <v>47</v>
      </c>
      <c r="L4099" t="s">
        <v>48</v>
      </c>
      <c r="M4099" t="s">
        <v>139</v>
      </c>
      <c r="N4099">
        <v>1173</v>
      </c>
      <c r="O4099" s="14">
        <v>0.282562816282734</v>
      </c>
      <c r="P4099" s="14">
        <v>0.71991415042430196</v>
      </c>
      <c r="Q4099" t="str">
        <f t="shared" si="128"/>
        <v>10-14</v>
      </c>
      <c r="R4099" t="str">
        <f t="shared" si="129"/>
        <v>[AZyWpGzhcaA]|10-14|Male|NEW_INFECTIONS_SUBNAT.T_1|CY2023Q3</v>
      </c>
    </row>
    <row r="4100" spans="4:18" x14ac:dyDescent="0.2">
      <c r="D4100" t="s">
        <v>89</v>
      </c>
      <c r="E4100" t="s">
        <v>90</v>
      </c>
      <c r="F4100" t="s">
        <v>91</v>
      </c>
      <c r="G4100" t="s">
        <v>152</v>
      </c>
      <c r="H4100" t="s">
        <v>152</v>
      </c>
      <c r="I4100" t="s">
        <v>37</v>
      </c>
      <c r="J4100" t="s">
        <v>38</v>
      </c>
      <c r="K4100" t="s">
        <v>47</v>
      </c>
      <c r="L4100" t="s">
        <v>48</v>
      </c>
      <c r="M4100" t="s">
        <v>139</v>
      </c>
      <c r="N4100">
        <v>1714</v>
      </c>
      <c r="O4100" s="14">
        <v>0.67068494181148697</v>
      </c>
      <c r="P4100" s="14">
        <v>0.71991415042430196</v>
      </c>
      <c r="Q4100" t="str">
        <f t="shared" si="128"/>
        <v>15-24</v>
      </c>
      <c r="R4100" t="str">
        <f t="shared" si="129"/>
        <v>[AZyWpGzhcaA]|15-24|Male|NEW_INFECTIONS_SUBNAT.T_1|CY2023Q3</v>
      </c>
    </row>
    <row r="4101" spans="4:18" x14ac:dyDescent="0.2">
      <c r="D4101" t="s">
        <v>89</v>
      </c>
      <c r="E4101" t="s">
        <v>90</v>
      </c>
      <c r="F4101" t="s">
        <v>91</v>
      </c>
      <c r="G4101" t="s">
        <v>152</v>
      </c>
      <c r="H4101" t="s">
        <v>152</v>
      </c>
      <c r="I4101" t="s">
        <v>40</v>
      </c>
      <c r="J4101" t="s">
        <v>41</v>
      </c>
      <c r="K4101" t="s">
        <v>47</v>
      </c>
      <c r="L4101" t="s">
        <v>48</v>
      </c>
      <c r="M4101" t="s">
        <v>139</v>
      </c>
      <c r="N4101">
        <v>628</v>
      </c>
      <c r="O4101" s="14">
        <v>0.54659185744822003</v>
      </c>
      <c r="P4101" s="14">
        <v>0.71991415042430196</v>
      </c>
      <c r="Q4101" t="str">
        <f t="shared" si="128"/>
        <v>25-34</v>
      </c>
      <c r="R4101" t="str">
        <f t="shared" si="129"/>
        <v>[AZyWpGzhcaA]|25-34|Male|NEW_INFECTIONS_SUBNAT.T_1|CY2023Q3</v>
      </c>
    </row>
    <row r="4102" spans="4:18" x14ac:dyDescent="0.2">
      <c r="D4102" t="s">
        <v>89</v>
      </c>
      <c r="E4102" t="s">
        <v>90</v>
      </c>
      <c r="F4102" t="s">
        <v>91</v>
      </c>
      <c r="G4102" t="s">
        <v>152</v>
      </c>
      <c r="H4102" t="s">
        <v>152</v>
      </c>
      <c r="I4102" t="s">
        <v>42</v>
      </c>
      <c r="J4102" t="s">
        <v>43</v>
      </c>
      <c r="K4102" t="s">
        <v>47</v>
      </c>
      <c r="L4102" t="s">
        <v>48</v>
      </c>
      <c r="M4102" t="s">
        <v>139</v>
      </c>
      <c r="N4102">
        <v>1793</v>
      </c>
      <c r="O4102" s="14">
        <v>0.631006222916767</v>
      </c>
      <c r="P4102" s="14">
        <v>0.71991415042430196</v>
      </c>
      <c r="Q4102" t="str">
        <f t="shared" si="128"/>
        <v>35-49</v>
      </c>
      <c r="R4102" t="str">
        <f t="shared" si="129"/>
        <v>[AZyWpGzhcaA]|35-49|Male|NEW_INFECTIONS_SUBNAT.T_1|CY2023Q3</v>
      </c>
    </row>
    <row r="4103" spans="4:18" x14ac:dyDescent="0.2">
      <c r="D4103" t="s">
        <v>89</v>
      </c>
      <c r="E4103" t="s">
        <v>90</v>
      </c>
      <c r="F4103" t="s">
        <v>91</v>
      </c>
      <c r="G4103" t="s">
        <v>152</v>
      </c>
      <c r="H4103" t="s">
        <v>152</v>
      </c>
      <c r="I4103" t="s">
        <v>44</v>
      </c>
      <c r="J4103" t="s">
        <v>45</v>
      </c>
      <c r="K4103" t="s">
        <v>47</v>
      </c>
      <c r="L4103" t="s">
        <v>48</v>
      </c>
      <c r="M4103" t="s">
        <v>139</v>
      </c>
      <c r="N4103">
        <v>963</v>
      </c>
      <c r="O4103" s="14">
        <v>0.72661943314597</v>
      </c>
      <c r="P4103" s="14">
        <v>0.71991415042430196</v>
      </c>
      <c r="Q4103" t="str">
        <f t="shared" si="128"/>
        <v>50+</v>
      </c>
      <c r="R4103" t="str">
        <f t="shared" si="129"/>
        <v>[AZyWpGzhcaA]|50+|Male|NEW_INFECTIONS_SUBNAT.T_1|CY2023Q3</v>
      </c>
    </row>
    <row r="4104" spans="4:18" x14ac:dyDescent="0.2">
      <c r="D4104" t="s">
        <v>92</v>
      </c>
      <c r="E4104" t="s">
        <v>93</v>
      </c>
      <c r="F4104" t="s">
        <v>94</v>
      </c>
      <c r="G4104" t="s">
        <v>152</v>
      </c>
      <c r="H4104" t="s">
        <v>152</v>
      </c>
      <c r="I4104" t="s">
        <v>27</v>
      </c>
      <c r="J4104" t="s">
        <v>28</v>
      </c>
      <c r="K4104" t="s">
        <v>29</v>
      </c>
      <c r="L4104" t="s">
        <v>30</v>
      </c>
      <c r="M4104" t="s">
        <v>139</v>
      </c>
      <c r="N4104">
        <v>734</v>
      </c>
      <c r="O4104" s="14">
        <v>0.62723691412247695</v>
      </c>
      <c r="P4104" s="14">
        <v>0.36227229656651599</v>
      </c>
      <c r="Q4104" t="str">
        <f t="shared" si="128"/>
        <v>&lt;01</v>
      </c>
      <c r="R4104" t="str">
        <f t="shared" si="129"/>
        <v>[umc2n1Z4wNv]|&lt;01|Female|NEW_INFECTIONS_SUBNAT.T_1|CY2023Q3</v>
      </c>
    </row>
    <row r="4105" spans="4:18" x14ac:dyDescent="0.2">
      <c r="D4105" t="s">
        <v>92</v>
      </c>
      <c r="E4105" t="s">
        <v>93</v>
      </c>
      <c r="F4105" t="s">
        <v>94</v>
      </c>
      <c r="G4105" t="s">
        <v>152</v>
      </c>
      <c r="H4105" t="s">
        <v>152</v>
      </c>
      <c r="I4105" t="s">
        <v>32</v>
      </c>
      <c r="J4105" t="s">
        <v>33</v>
      </c>
      <c r="K4105" t="s">
        <v>29</v>
      </c>
      <c r="L4105" t="s">
        <v>30</v>
      </c>
      <c r="M4105" t="s">
        <v>139</v>
      </c>
      <c r="N4105">
        <v>1832</v>
      </c>
      <c r="O4105" s="14">
        <v>0.24133352050557699</v>
      </c>
      <c r="P4105" s="14">
        <v>0.36227229656651599</v>
      </c>
      <c r="Q4105" t="str">
        <f t="shared" si="128"/>
        <v>01-09</v>
      </c>
      <c r="R4105" t="str">
        <f t="shared" si="129"/>
        <v>[umc2n1Z4wNv]|01-09|Female|NEW_INFECTIONS_SUBNAT.T_1|CY2023Q3</v>
      </c>
    </row>
    <row r="4106" spans="4:18" x14ac:dyDescent="0.2">
      <c r="D4106" t="s">
        <v>92</v>
      </c>
      <c r="E4106" t="s">
        <v>93</v>
      </c>
      <c r="F4106" t="s">
        <v>94</v>
      </c>
      <c r="G4106" t="s">
        <v>152</v>
      </c>
      <c r="H4106" t="s">
        <v>152</v>
      </c>
      <c r="I4106" t="s">
        <v>35</v>
      </c>
      <c r="J4106" t="s">
        <v>36</v>
      </c>
      <c r="K4106" t="s">
        <v>29</v>
      </c>
      <c r="L4106" t="s">
        <v>30</v>
      </c>
      <c r="M4106" t="s">
        <v>139</v>
      </c>
      <c r="N4106">
        <v>1961</v>
      </c>
      <c r="O4106" s="14">
        <v>0.86811736878007695</v>
      </c>
      <c r="P4106" s="14">
        <v>0.36227229656651599</v>
      </c>
      <c r="Q4106" t="str">
        <f t="shared" si="128"/>
        <v>10-14</v>
      </c>
      <c r="R4106" t="str">
        <f t="shared" si="129"/>
        <v>[umc2n1Z4wNv]|10-14|Female|NEW_INFECTIONS_SUBNAT.T_1|CY2023Q3</v>
      </c>
    </row>
    <row r="4107" spans="4:18" x14ac:dyDescent="0.2">
      <c r="D4107" t="s">
        <v>92</v>
      </c>
      <c r="E4107" t="s">
        <v>93</v>
      </c>
      <c r="F4107" t="s">
        <v>94</v>
      </c>
      <c r="G4107" t="s">
        <v>152</v>
      </c>
      <c r="H4107" t="s">
        <v>152</v>
      </c>
      <c r="I4107" t="s">
        <v>37</v>
      </c>
      <c r="J4107" t="s">
        <v>38</v>
      </c>
      <c r="K4107" t="s">
        <v>29</v>
      </c>
      <c r="L4107" t="s">
        <v>30</v>
      </c>
      <c r="M4107" t="s">
        <v>139</v>
      </c>
      <c r="N4107">
        <v>1243</v>
      </c>
      <c r="O4107" s="14">
        <v>0.56010294961743101</v>
      </c>
      <c r="P4107" s="14">
        <v>0.36227229656651599</v>
      </c>
      <c r="Q4107" t="str">
        <f t="shared" si="128"/>
        <v>15-24</v>
      </c>
      <c r="R4107" t="str">
        <f t="shared" si="129"/>
        <v>[umc2n1Z4wNv]|15-24|Female|NEW_INFECTIONS_SUBNAT.T_1|CY2023Q3</v>
      </c>
    </row>
    <row r="4108" spans="4:18" x14ac:dyDescent="0.2">
      <c r="D4108" t="s">
        <v>92</v>
      </c>
      <c r="E4108" t="s">
        <v>93</v>
      </c>
      <c r="F4108" t="s">
        <v>94</v>
      </c>
      <c r="G4108" t="s">
        <v>152</v>
      </c>
      <c r="H4108" t="s">
        <v>152</v>
      </c>
      <c r="I4108" t="s">
        <v>40</v>
      </c>
      <c r="J4108" t="s">
        <v>41</v>
      </c>
      <c r="K4108" t="s">
        <v>29</v>
      </c>
      <c r="L4108" t="s">
        <v>30</v>
      </c>
      <c r="M4108" t="s">
        <v>139</v>
      </c>
      <c r="N4108">
        <v>1413</v>
      </c>
      <c r="O4108" s="14">
        <v>0.50439398433081795</v>
      </c>
      <c r="P4108" s="14">
        <v>0.36227229656651599</v>
      </c>
      <c r="Q4108" t="str">
        <f t="shared" si="128"/>
        <v>25-34</v>
      </c>
      <c r="R4108" t="str">
        <f t="shared" si="129"/>
        <v>[umc2n1Z4wNv]|25-34|Female|NEW_INFECTIONS_SUBNAT.T_1|CY2023Q3</v>
      </c>
    </row>
    <row r="4109" spans="4:18" x14ac:dyDescent="0.2">
      <c r="D4109" t="s">
        <v>92</v>
      </c>
      <c r="E4109" t="s">
        <v>93</v>
      </c>
      <c r="F4109" t="s">
        <v>94</v>
      </c>
      <c r="G4109" t="s">
        <v>152</v>
      </c>
      <c r="H4109" t="s">
        <v>152</v>
      </c>
      <c r="I4109" t="s">
        <v>42</v>
      </c>
      <c r="J4109" t="s">
        <v>43</v>
      </c>
      <c r="K4109" t="s">
        <v>29</v>
      </c>
      <c r="L4109" t="s">
        <v>30</v>
      </c>
      <c r="M4109" t="s">
        <v>139</v>
      </c>
      <c r="N4109">
        <v>652</v>
      </c>
      <c r="O4109" s="14">
        <v>0.34368934435769899</v>
      </c>
      <c r="P4109" s="14">
        <v>0.36227229656651599</v>
      </c>
      <c r="Q4109" t="str">
        <f t="shared" si="128"/>
        <v>35-49</v>
      </c>
      <c r="R4109" t="str">
        <f t="shared" si="129"/>
        <v>[umc2n1Z4wNv]|35-49|Female|NEW_INFECTIONS_SUBNAT.T_1|CY2023Q3</v>
      </c>
    </row>
    <row r="4110" spans="4:18" x14ac:dyDescent="0.2">
      <c r="D4110" t="s">
        <v>92</v>
      </c>
      <c r="E4110" t="s">
        <v>93</v>
      </c>
      <c r="F4110" t="s">
        <v>94</v>
      </c>
      <c r="G4110" t="s">
        <v>152</v>
      </c>
      <c r="H4110" t="s">
        <v>152</v>
      </c>
      <c r="I4110" t="s">
        <v>44</v>
      </c>
      <c r="J4110" t="s">
        <v>45</v>
      </c>
      <c r="K4110" t="s">
        <v>29</v>
      </c>
      <c r="L4110" t="s">
        <v>30</v>
      </c>
      <c r="M4110" t="s">
        <v>139</v>
      </c>
      <c r="N4110">
        <v>832</v>
      </c>
      <c r="O4110" s="14">
        <v>7.3710002936422797E-2</v>
      </c>
      <c r="P4110" s="14">
        <v>0.36227229656651599</v>
      </c>
      <c r="Q4110" t="str">
        <f t="shared" si="128"/>
        <v>50+</v>
      </c>
      <c r="R4110" t="str">
        <f t="shared" si="129"/>
        <v>[umc2n1Z4wNv]|50+|Female|NEW_INFECTIONS_SUBNAT.T_1|CY2023Q3</v>
      </c>
    </row>
    <row r="4111" spans="4:18" x14ac:dyDescent="0.2">
      <c r="D4111" t="s">
        <v>92</v>
      </c>
      <c r="E4111" t="s">
        <v>93</v>
      </c>
      <c r="F4111" t="s">
        <v>94</v>
      </c>
      <c r="G4111" t="s">
        <v>152</v>
      </c>
      <c r="H4111" t="s">
        <v>152</v>
      </c>
      <c r="I4111" t="s">
        <v>27</v>
      </c>
      <c r="J4111" t="s">
        <v>28</v>
      </c>
      <c r="K4111" t="s">
        <v>47</v>
      </c>
      <c r="L4111" t="s">
        <v>48</v>
      </c>
      <c r="M4111" t="s">
        <v>139</v>
      </c>
      <c r="N4111">
        <v>1290</v>
      </c>
      <c r="O4111" s="14">
        <v>0.72723426343873099</v>
      </c>
      <c r="P4111" s="14">
        <v>0.36227229656651599</v>
      </c>
      <c r="Q4111" t="str">
        <f t="shared" si="128"/>
        <v>&lt;01</v>
      </c>
      <c r="R4111" t="str">
        <f t="shared" si="129"/>
        <v>[umc2n1Z4wNv]|&lt;01|Male|NEW_INFECTIONS_SUBNAT.T_1|CY2023Q3</v>
      </c>
    </row>
    <row r="4112" spans="4:18" x14ac:dyDescent="0.2">
      <c r="D4112" t="s">
        <v>92</v>
      </c>
      <c r="E4112" t="s">
        <v>93</v>
      </c>
      <c r="F4112" t="s">
        <v>94</v>
      </c>
      <c r="G4112" t="s">
        <v>152</v>
      </c>
      <c r="H4112" t="s">
        <v>152</v>
      </c>
      <c r="I4112" t="s">
        <v>32</v>
      </c>
      <c r="J4112" t="s">
        <v>33</v>
      </c>
      <c r="K4112" t="s">
        <v>47</v>
      </c>
      <c r="L4112" t="s">
        <v>48</v>
      </c>
      <c r="M4112" t="s">
        <v>139</v>
      </c>
      <c r="N4112">
        <v>1253</v>
      </c>
      <c r="O4112" s="14">
        <v>0.32504572393372699</v>
      </c>
      <c r="P4112" s="14">
        <v>0.36227229656651599</v>
      </c>
      <c r="Q4112" t="str">
        <f t="shared" si="128"/>
        <v>01-09</v>
      </c>
      <c r="R4112" t="str">
        <f t="shared" si="129"/>
        <v>[umc2n1Z4wNv]|01-09|Male|NEW_INFECTIONS_SUBNAT.T_1|CY2023Q3</v>
      </c>
    </row>
    <row r="4113" spans="4:18" x14ac:dyDescent="0.2">
      <c r="D4113" t="s">
        <v>92</v>
      </c>
      <c r="E4113" t="s">
        <v>93</v>
      </c>
      <c r="F4113" t="s">
        <v>94</v>
      </c>
      <c r="G4113" t="s">
        <v>152</v>
      </c>
      <c r="H4113" t="s">
        <v>152</v>
      </c>
      <c r="I4113" t="s">
        <v>35</v>
      </c>
      <c r="J4113" t="s">
        <v>36</v>
      </c>
      <c r="K4113" t="s">
        <v>47</v>
      </c>
      <c r="L4113" t="s">
        <v>48</v>
      </c>
      <c r="M4113" t="s">
        <v>139</v>
      </c>
      <c r="N4113">
        <v>1858</v>
      </c>
      <c r="O4113" s="14">
        <v>0.45898896758444602</v>
      </c>
      <c r="P4113" s="14">
        <v>0.36227229656651599</v>
      </c>
      <c r="Q4113" t="str">
        <f t="shared" si="128"/>
        <v>10-14</v>
      </c>
      <c r="R4113" t="str">
        <f t="shared" si="129"/>
        <v>[umc2n1Z4wNv]|10-14|Male|NEW_INFECTIONS_SUBNAT.T_1|CY2023Q3</v>
      </c>
    </row>
    <row r="4114" spans="4:18" x14ac:dyDescent="0.2">
      <c r="D4114" t="s">
        <v>92</v>
      </c>
      <c r="E4114" t="s">
        <v>93</v>
      </c>
      <c r="F4114" t="s">
        <v>94</v>
      </c>
      <c r="G4114" t="s">
        <v>152</v>
      </c>
      <c r="H4114" t="s">
        <v>152</v>
      </c>
      <c r="I4114" t="s">
        <v>37</v>
      </c>
      <c r="J4114" t="s">
        <v>38</v>
      </c>
      <c r="K4114" t="s">
        <v>47</v>
      </c>
      <c r="L4114" t="s">
        <v>48</v>
      </c>
      <c r="M4114" t="s">
        <v>139</v>
      </c>
      <c r="N4114">
        <v>904</v>
      </c>
      <c r="O4114" s="14">
        <v>0.85714429384097501</v>
      </c>
      <c r="P4114" s="14">
        <v>0.36227229656651599</v>
      </c>
      <c r="Q4114" t="str">
        <f t="shared" si="128"/>
        <v>15-24</v>
      </c>
      <c r="R4114" t="str">
        <f t="shared" si="129"/>
        <v>[umc2n1Z4wNv]|15-24|Male|NEW_INFECTIONS_SUBNAT.T_1|CY2023Q3</v>
      </c>
    </row>
    <row r="4115" spans="4:18" x14ac:dyDescent="0.2">
      <c r="D4115" t="s">
        <v>92</v>
      </c>
      <c r="E4115" t="s">
        <v>93</v>
      </c>
      <c r="F4115" t="s">
        <v>94</v>
      </c>
      <c r="G4115" t="s">
        <v>152</v>
      </c>
      <c r="H4115" t="s">
        <v>152</v>
      </c>
      <c r="I4115" t="s">
        <v>40</v>
      </c>
      <c r="J4115" t="s">
        <v>41</v>
      </c>
      <c r="K4115" t="s">
        <v>47</v>
      </c>
      <c r="L4115" t="s">
        <v>48</v>
      </c>
      <c r="M4115" t="s">
        <v>139</v>
      </c>
      <c r="N4115">
        <v>1942</v>
      </c>
      <c r="O4115" s="14">
        <v>0.37395222112536403</v>
      </c>
      <c r="P4115" s="14">
        <v>0.36227229656651599</v>
      </c>
      <c r="Q4115" t="str">
        <f t="shared" si="128"/>
        <v>25-34</v>
      </c>
      <c r="R4115" t="str">
        <f t="shared" si="129"/>
        <v>[umc2n1Z4wNv]|25-34|Male|NEW_INFECTIONS_SUBNAT.T_1|CY2023Q3</v>
      </c>
    </row>
    <row r="4116" spans="4:18" x14ac:dyDescent="0.2">
      <c r="D4116" t="s">
        <v>92</v>
      </c>
      <c r="E4116" t="s">
        <v>93</v>
      </c>
      <c r="F4116" t="s">
        <v>94</v>
      </c>
      <c r="G4116" t="s">
        <v>152</v>
      </c>
      <c r="H4116" t="s">
        <v>152</v>
      </c>
      <c r="I4116" t="s">
        <v>42</v>
      </c>
      <c r="J4116" t="s">
        <v>43</v>
      </c>
      <c r="K4116" t="s">
        <v>47</v>
      </c>
      <c r="L4116" t="s">
        <v>48</v>
      </c>
      <c r="M4116" t="s">
        <v>139</v>
      </c>
      <c r="N4116">
        <v>847</v>
      </c>
      <c r="O4116" s="14">
        <v>0.39818415767513199</v>
      </c>
      <c r="P4116" s="14">
        <v>0.36227229656651599</v>
      </c>
      <c r="Q4116" t="str">
        <f t="shared" si="128"/>
        <v>35-49</v>
      </c>
      <c r="R4116" t="str">
        <f t="shared" si="129"/>
        <v>[umc2n1Z4wNv]|35-49|Male|NEW_INFECTIONS_SUBNAT.T_1|CY2023Q3</v>
      </c>
    </row>
    <row r="4117" spans="4:18" x14ac:dyDescent="0.2">
      <c r="D4117" t="s">
        <v>92</v>
      </c>
      <c r="E4117" t="s">
        <v>93</v>
      </c>
      <c r="F4117" t="s">
        <v>94</v>
      </c>
      <c r="G4117" t="s">
        <v>152</v>
      </c>
      <c r="H4117" t="s">
        <v>152</v>
      </c>
      <c r="I4117" t="s">
        <v>44</v>
      </c>
      <c r="J4117" t="s">
        <v>45</v>
      </c>
      <c r="K4117" t="s">
        <v>47</v>
      </c>
      <c r="L4117" t="s">
        <v>48</v>
      </c>
      <c r="M4117" t="s">
        <v>139</v>
      </c>
      <c r="N4117">
        <v>513</v>
      </c>
      <c r="O4117" s="14">
        <v>0.92069043032825004</v>
      </c>
      <c r="P4117" s="14">
        <v>0.36227229656651599</v>
      </c>
      <c r="Q4117" t="str">
        <f t="shared" si="128"/>
        <v>50+</v>
      </c>
      <c r="R4117" t="str">
        <f t="shared" si="129"/>
        <v>[umc2n1Z4wNv]|50+|Male|NEW_INFECTIONS_SUBNAT.T_1|CY2023Q3</v>
      </c>
    </row>
    <row r="4118" spans="4:18" x14ac:dyDescent="0.2">
      <c r="D4118" t="s">
        <v>95</v>
      </c>
      <c r="E4118" t="s">
        <v>96</v>
      </c>
      <c r="F4118" t="s">
        <v>97</v>
      </c>
      <c r="G4118" t="s">
        <v>152</v>
      </c>
      <c r="H4118" t="s">
        <v>152</v>
      </c>
      <c r="I4118" t="s">
        <v>27</v>
      </c>
      <c r="J4118" t="s">
        <v>28</v>
      </c>
      <c r="K4118" t="s">
        <v>29</v>
      </c>
      <c r="L4118" t="s">
        <v>30</v>
      </c>
      <c r="M4118" t="s">
        <v>139</v>
      </c>
      <c r="N4118">
        <v>1299</v>
      </c>
      <c r="O4118" s="14">
        <v>0.90507172187790297</v>
      </c>
      <c r="P4118" s="14">
        <v>0.60125171788968101</v>
      </c>
      <c r="Q4118" t="str">
        <f t="shared" si="128"/>
        <v>&lt;01</v>
      </c>
      <c r="R4118" t="str">
        <f t="shared" si="129"/>
        <v>[gwVYinjBAe9]|&lt;01|Female|NEW_INFECTIONS_SUBNAT.T_1|CY2023Q3</v>
      </c>
    </row>
    <row r="4119" spans="4:18" x14ac:dyDescent="0.2">
      <c r="D4119" t="s">
        <v>95</v>
      </c>
      <c r="E4119" t="s">
        <v>96</v>
      </c>
      <c r="F4119" t="s">
        <v>97</v>
      </c>
      <c r="G4119" t="s">
        <v>152</v>
      </c>
      <c r="H4119" t="s">
        <v>152</v>
      </c>
      <c r="I4119" t="s">
        <v>32</v>
      </c>
      <c r="J4119" t="s">
        <v>33</v>
      </c>
      <c r="K4119" t="s">
        <v>29</v>
      </c>
      <c r="L4119" t="s">
        <v>30</v>
      </c>
      <c r="M4119" t="s">
        <v>139</v>
      </c>
      <c r="N4119">
        <v>1820</v>
      </c>
      <c r="O4119" s="14">
        <v>0.28973022173158802</v>
      </c>
      <c r="P4119" s="14">
        <v>0.60125171788968101</v>
      </c>
      <c r="Q4119" t="str">
        <f t="shared" si="128"/>
        <v>01-09</v>
      </c>
      <c r="R4119" t="str">
        <f t="shared" si="129"/>
        <v>[gwVYinjBAe9]|01-09|Female|NEW_INFECTIONS_SUBNAT.T_1|CY2023Q3</v>
      </c>
    </row>
    <row r="4120" spans="4:18" x14ac:dyDescent="0.2">
      <c r="D4120" t="s">
        <v>95</v>
      </c>
      <c r="E4120" t="s">
        <v>96</v>
      </c>
      <c r="F4120" t="s">
        <v>97</v>
      </c>
      <c r="G4120" t="s">
        <v>152</v>
      </c>
      <c r="H4120" t="s">
        <v>152</v>
      </c>
      <c r="I4120" t="s">
        <v>35</v>
      </c>
      <c r="J4120" t="s">
        <v>36</v>
      </c>
      <c r="K4120" t="s">
        <v>29</v>
      </c>
      <c r="L4120" t="s">
        <v>30</v>
      </c>
      <c r="M4120" t="s">
        <v>139</v>
      </c>
      <c r="N4120">
        <v>1084</v>
      </c>
      <c r="O4120" s="14">
        <v>0.61813793214969304</v>
      </c>
      <c r="P4120" s="14">
        <v>0.60125171788968101</v>
      </c>
      <c r="Q4120" t="str">
        <f t="shared" si="128"/>
        <v>10-14</v>
      </c>
      <c r="R4120" t="str">
        <f t="shared" si="129"/>
        <v>[gwVYinjBAe9]|10-14|Female|NEW_INFECTIONS_SUBNAT.T_1|CY2023Q3</v>
      </c>
    </row>
    <row r="4121" spans="4:18" x14ac:dyDescent="0.2">
      <c r="D4121" t="s">
        <v>95</v>
      </c>
      <c r="E4121" t="s">
        <v>96</v>
      </c>
      <c r="F4121" t="s">
        <v>97</v>
      </c>
      <c r="G4121" t="s">
        <v>152</v>
      </c>
      <c r="H4121" t="s">
        <v>152</v>
      </c>
      <c r="I4121" t="s">
        <v>37</v>
      </c>
      <c r="J4121" t="s">
        <v>38</v>
      </c>
      <c r="K4121" t="s">
        <v>29</v>
      </c>
      <c r="L4121" t="s">
        <v>30</v>
      </c>
      <c r="M4121" t="s">
        <v>139</v>
      </c>
      <c r="N4121">
        <v>1612</v>
      </c>
      <c r="O4121" s="14">
        <v>0.90382358245551597</v>
      </c>
      <c r="P4121" s="14">
        <v>0.60125171788968101</v>
      </c>
      <c r="Q4121" t="str">
        <f t="shared" si="128"/>
        <v>15-24</v>
      </c>
      <c r="R4121" t="str">
        <f t="shared" si="129"/>
        <v>[gwVYinjBAe9]|15-24|Female|NEW_INFECTIONS_SUBNAT.T_1|CY2023Q3</v>
      </c>
    </row>
    <row r="4122" spans="4:18" x14ac:dyDescent="0.2">
      <c r="D4122" t="s">
        <v>95</v>
      </c>
      <c r="E4122" t="s">
        <v>96</v>
      </c>
      <c r="F4122" t="s">
        <v>97</v>
      </c>
      <c r="G4122" t="s">
        <v>152</v>
      </c>
      <c r="H4122" t="s">
        <v>152</v>
      </c>
      <c r="I4122" t="s">
        <v>40</v>
      </c>
      <c r="J4122" t="s">
        <v>41</v>
      </c>
      <c r="K4122" t="s">
        <v>29</v>
      </c>
      <c r="L4122" t="s">
        <v>30</v>
      </c>
      <c r="M4122" t="s">
        <v>139</v>
      </c>
      <c r="N4122">
        <v>1879</v>
      </c>
      <c r="O4122" s="14">
        <v>0.37901744781993302</v>
      </c>
      <c r="P4122" s="14">
        <v>0.60125171788968101</v>
      </c>
      <c r="Q4122" t="str">
        <f t="shared" si="128"/>
        <v>25-34</v>
      </c>
      <c r="R4122" t="str">
        <f t="shared" si="129"/>
        <v>[gwVYinjBAe9]|25-34|Female|NEW_INFECTIONS_SUBNAT.T_1|CY2023Q3</v>
      </c>
    </row>
    <row r="4123" spans="4:18" x14ac:dyDescent="0.2">
      <c r="D4123" t="s">
        <v>95</v>
      </c>
      <c r="E4123" t="s">
        <v>96</v>
      </c>
      <c r="F4123" t="s">
        <v>97</v>
      </c>
      <c r="G4123" t="s">
        <v>152</v>
      </c>
      <c r="H4123" t="s">
        <v>152</v>
      </c>
      <c r="I4123" t="s">
        <v>42</v>
      </c>
      <c r="J4123" t="s">
        <v>43</v>
      </c>
      <c r="K4123" t="s">
        <v>29</v>
      </c>
      <c r="L4123" t="s">
        <v>30</v>
      </c>
      <c r="M4123" t="s">
        <v>139</v>
      </c>
      <c r="N4123">
        <v>1623</v>
      </c>
      <c r="O4123" s="14">
        <v>0.80290111736394498</v>
      </c>
      <c r="P4123" s="14">
        <v>0.60125171788968101</v>
      </c>
      <c r="Q4123" t="str">
        <f t="shared" si="128"/>
        <v>35-49</v>
      </c>
      <c r="R4123" t="str">
        <f t="shared" si="129"/>
        <v>[gwVYinjBAe9]|35-49|Female|NEW_INFECTIONS_SUBNAT.T_1|CY2023Q3</v>
      </c>
    </row>
    <row r="4124" spans="4:18" x14ac:dyDescent="0.2">
      <c r="D4124" t="s">
        <v>95</v>
      </c>
      <c r="E4124" t="s">
        <v>96</v>
      </c>
      <c r="F4124" t="s">
        <v>97</v>
      </c>
      <c r="G4124" t="s">
        <v>152</v>
      </c>
      <c r="H4124" t="s">
        <v>152</v>
      </c>
      <c r="I4124" t="s">
        <v>44</v>
      </c>
      <c r="J4124" t="s">
        <v>45</v>
      </c>
      <c r="K4124" t="s">
        <v>29</v>
      </c>
      <c r="L4124" t="s">
        <v>30</v>
      </c>
      <c r="M4124" t="s">
        <v>139</v>
      </c>
      <c r="N4124">
        <v>1226</v>
      </c>
      <c r="O4124" s="14">
        <v>0.28377688257023698</v>
      </c>
      <c r="P4124" s="14">
        <v>0.60125171788968101</v>
      </c>
      <c r="Q4124" t="str">
        <f t="shared" si="128"/>
        <v>50+</v>
      </c>
      <c r="R4124" t="str">
        <f t="shared" si="129"/>
        <v>[gwVYinjBAe9]|50+|Female|NEW_INFECTIONS_SUBNAT.T_1|CY2023Q3</v>
      </c>
    </row>
    <row r="4125" spans="4:18" x14ac:dyDescent="0.2">
      <c r="D4125" t="s">
        <v>95</v>
      </c>
      <c r="E4125" t="s">
        <v>96</v>
      </c>
      <c r="F4125" t="s">
        <v>97</v>
      </c>
      <c r="G4125" t="s">
        <v>152</v>
      </c>
      <c r="H4125" t="s">
        <v>152</v>
      </c>
      <c r="I4125" t="s">
        <v>27</v>
      </c>
      <c r="J4125" t="s">
        <v>28</v>
      </c>
      <c r="K4125" t="s">
        <v>47</v>
      </c>
      <c r="L4125" t="s">
        <v>48</v>
      </c>
      <c r="M4125" t="s">
        <v>139</v>
      </c>
      <c r="N4125">
        <v>1146</v>
      </c>
      <c r="O4125" s="14">
        <v>0.480426737340167</v>
      </c>
      <c r="P4125" s="14">
        <v>0.60125171788968101</v>
      </c>
      <c r="Q4125" t="str">
        <f t="shared" si="128"/>
        <v>&lt;01</v>
      </c>
      <c r="R4125" t="str">
        <f t="shared" si="129"/>
        <v>[gwVYinjBAe9]|&lt;01|Male|NEW_INFECTIONS_SUBNAT.T_1|CY2023Q3</v>
      </c>
    </row>
    <row r="4126" spans="4:18" x14ac:dyDescent="0.2">
      <c r="D4126" t="s">
        <v>95</v>
      </c>
      <c r="E4126" t="s">
        <v>96</v>
      </c>
      <c r="F4126" t="s">
        <v>97</v>
      </c>
      <c r="G4126" t="s">
        <v>152</v>
      </c>
      <c r="H4126" t="s">
        <v>152</v>
      </c>
      <c r="I4126" t="s">
        <v>32</v>
      </c>
      <c r="J4126" t="s">
        <v>33</v>
      </c>
      <c r="K4126" t="s">
        <v>47</v>
      </c>
      <c r="L4126" t="s">
        <v>48</v>
      </c>
      <c r="M4126" t="s">
        <v>139</v>
      </c>
      <c r="N4126">
        <v>796</v>
      </c>
      <c r="O4126" s="14">
        <v>0.13477492029778701</v>
      </c>
      <c r="P4126" s="14">
        <v>0.60125171788968101</v>
      </c>
      <c r="Q4126" t="str">
        <f t="shared" si="128"/>
        <v>01-09</v>
      </c>
      <c r="R4126" t="str">
        <f t="shared" si="129"/>
        <v>[gwVYinjBAe9]|01-09|Male|NEW_INFECTIONS_SUBNAT.T_1|CY2023Q3</v>
      </c>
    </row>
    <row r="4127" spans="4:18" x14ac:dyDescent="0.2">
      <c r="D4127" t="s">
        <v>95</v>
      </c>
      <c r="E4127" t="s">
        <v>96</v>
      </c>
      <c r="F4127" t="s">
        <v>97</v>
      </c>
      <c r="G4127" t="s">
        <v>152</v>
      </c>
      <c r="H4127" t="s">
        <v>152</v>
      </c>
      <c r="I4127" t="s">
        <v>35</v>
      </c>
      <c r="J4127" t="s">
        <v>36</v>
      </c>
      <c r="K4127" t="s">
        <v>47</v>
      </c>
      <c r="L4127" t="s">
        <v>48</v>
      </c>
      <c r="M4127" t="s">
        <v>139</v>
      </c>
      <c r="N4127">
        <v>1368</v>
      </c>
      <c r="O4127" s="14">
        <v>0.32153418008238099</v>
      </c>
      <c r="P4127" s="14">
        <v>0.60125171788968101</v>
      </c>
      <c r="Q4127" t="str">
        <f t="shared" si="128"/>
        <v>10-14</v>
      </c>
      <c r="R4127" t="str">
        <f t="shared" si="129"/>
        <v>[gwVYinjBAe9]|10-14|Male|NEW_INFECTIONS_SUBNAT.T_1|CY2023Q3</v>
      </c>
    </row>
    <row r="4128" spans="4:18" x14ac:dyDescent="0.2">
      <c r="D4128" t="s">
        <v>95</v>
      </c>
      <c r="E4128" t="s">
        <v>96</v>
      </c>
      <c r="F4128" t="s">
        <v>97</v>
      </c>
      <c r="G4128" t="s">
        <v>152</v>
      </c>
      <c r="H4128" t="s">
        <v>152</v>
      </c>
      <c r="I4128" t="s">
        <v>37</v>
      </c>
      <c r="J4128" t="s">
        <v>38</v>
      </c>
      <c r="K4128" t="s">
        <v>47</v>
      </c>
      <c r="L4128" t="s">
        <v>48</v>
      </c>
      <c r="M4128" t="s">
        <v>139</v>
      </c>
      <c r="N4128">
        <v>1552</v>
      </c>
      <c r="O4128" s="14">
        <v>0.51127921487204697</v>
      </c>
      <c r="P4128" s="14">
        <v>0.60125171788968101</v>
      </c>
      <c r="Q4128" t="str">
        <f t="shared" si="128"/>
        <v>15-24</v>
      </c>
      <c r="R4128" t="str">
        <f t="shared" si="129"/>
        <v>[gwVYinjBAe9]|15-24|Male|NEW_INFECTIONS_SUBNAT.T_1|CY2023Q3</v>
      </c>
    </row>
    <row r="4129" spans="4:18" x14ac:dyDescent="0.2">
      <c r="D4129" t="s">
        <v>95</v>
      </c>
      <c r="E4129" t="s">
        <v>96</v>
      </c>
      <c r="F4129" t="s">
        <v>97</v>
      </c>
      <c r="G4129" t="s">
        <v>152</v>
      </c>
      <c r="H4129" t="s">
        <v>152</v>
      </c>
      <c r="I4129" t="s">
        <v>40</v>
      </c>
      <c r="J4129" t="s">
        <v>41</v>
      </c>
      <c r="K4129" t="s">
        <v>47</v>
      </c>
      <c r="L4129" t="s">
        <v>48</v>
      </c>
      <c r="M4129" t="s">
        <v>139</v>
      </c>
      <c r="N4129">
        <v>1341</v>
      </c>
      <c r="O4129" s="14">
        <v>0.23122670082375399</v>
      </c>
      <c r="P4129" s="14">
        <v>0.60125171788968101</v>
      </c>
      <c r="Q4129" t="str">
        <f t="shared" si="128"/>
        <v>25-34</v>
      </c>
      <c r="R4129" t="str">
        <f t="shared" si="129"/>
        <v>[gwVYinjBAe9]|25-34|Male|NEW_INFECTIONS_SUBNAT.T_1|CY2023Q3</v>
      </c>
    </row>
    <row r="4130" spans="4:18" x14ac:dyDescent="0.2">
      <c r="D4130" t="s">
        <v>95</v>
      </c>
      <c r="E4130" t="s">
        <v>96</v>
      </c>
      <c r="F4130" t="s">
        <v>97</v>
      </c>
      <c r="G4130" t="s">
        <v>152</v>
      </c>
      <c r="H4130" t="s">
        <v>152</v>
      </c>
      <c r="I4130" t="s">
        <v>42</v>
      </c>
      <c r="J4130" t="s">
        <v>43</v>
      </c>
      <c r="K4130" t="s">
        <v>47</v>
      </c>
      <c r="L4130" t="s">
        <v>48</v>
      </c>
      <c r="M4130" t="s">
        <v>139</v>
      </c>
      <c r="N4130">
        <v>1370</v>
      </c>
      <c r="O4130" s="14">
        <v>0.10101187624968599</v>
      </c>
      <c r="P4130" s="14">
        <v>0.60125171788968101</v>
      </c>
      <c r="Q4130" t="str">
        <f t="shared" si="128"/>
        <v>35-49</v>
      </c>
      <c r="R4130" t="str">
        <f t="shared" si="129"/>
        <v>[gwVYinjBAe9]|35-49|Male|NEW_INFECTIONS_SUBNAT.T_1|CY2023Q3</v>
      </c>
    </row>
    <row r="4131" spans="4:18" x14ac:dyDescent="0.2">
      <c r="D4131" t="s">
        <v>95</v>
      </c>
      <c r="E4131" t="s">
        <v>96</v>
      </c>
      <c r="F4131" t="s">
        <v>97</v>
      </c>
      <c r="G4131" t="s">
        <v>152</v>
      </c>
      <c r="H4131" t="s">
        <v>152</v>
      </c>
      <c r="I4131" t="s">
        <v>44</v>
      </c>
      <c r="J4131" t="s">
        <v>45</v>
      </c>
      <c r="K4131" t="s">
        <v>47</v>
      </c>
      <c r="L4131" t="s">
        <v>48</v>
      </c>
      <c r="M4131" t="s">
        <v>139</v>
      </c>
      <c r="N4131">
        <v>673</v>
      </c>
      <c r="O4131" s="14">
        <v>0.493059838190675</v>
      </c>
      <c r="P4131" s="14">
        <v>0.60125171788968101</v>
      </c>
      <c r="Q4131" t="str">
        <f t="shared" si="128"/>
        <v>50+</v>
      </c>
      <c r="R4131" t="str">
        <f t="shared" si="129"/>
        <v>[gwVYinjBAe9]|50+|Male|NEW_INFECTIONS_SUBNAT.T_1|CY2023Q3</v>
      </c>
    </row>
    <row r="4132" spans="4:18" x14ac:dyDescent="0.2">
      <c r="D4132" t="s">
        <v>98</v>
      </c>
      <c r="E4132" t="s">
        <v>99</v>
      </c>
      <c r="F4132" t="s">
        <v>100</v>
      </c>
      <c r="G4132" t="s">
        <v>152</v>
      </c>
      <c r="H4132" t="s">
        <v>152</v>
      </c>
      <c r="I4132" t="s">
        <v>27</v>
      </c>
      <c r="J4132" t="s">
        <v>28</v>
      </c>
      <c r="K4132" t="s">
        <v>29</v>
      </c>
      <c r="L4132" t="s">
        <v>30</v>
      </c>
      <c r="M4132" t="s">
        <v>139</v>
      </c>
      <c r="N4132">
        <v>1967</v>
      </c>
      <c r="O4132" s="14">
        <v>0.67098141391761601</v>
      </c>
      <c r="P4132" s="14">
        <v>0.57728803809732199</v>
      </c>
      <c r="Q4132" t="str">
        <f t="shared" si="128"/>
        <v>&lt;01</v>
      </c>
      <c r="R4132" t="str">
        <f t="shared" si="129"/>
        <v>[mxqa3CDFmIT]|&lt;01|Female|NEW_INFECTIONS_SUBNAT.T_1|CY2023Q3</v>
      </c>
    </row>
    <row r="4133" spans="4:18" x14ac:dyDescent="0.2">
      <c r="D4133" t="s">
        <v>98</v>
      </c>
      <c r="E4133" t="s">
        <v>99</v>
      </c>
      <c r="F4133" t="s">
        <v>100</v>
      </c>
      <c r="G4133" t="s">
        <v>152</v>
      </c>
      <c r="H4133" t="s">
        <v>152</v>
      </c>
      <c r="I4133" t="s">
        <v>32</v>
      </c>
      <c r="J4133" t="s">
        <v>33</v>
      </c>
      <c r="K4133" t="s">
        <v>29</v>
      </c>
      <c r="L4133" t="s">
        <v>30</v>
      </c>
      <c r="M4133" t="s">
        <v>139</v>
      </c>
      <c r="N4133">
        <v>867</v>
      </c>
      <c r="O4133" s="14">
        <v>0.99496862548403397</v>
      </c>
      <c r="P4133" s="14">
        <v>0.57728803809732199</v>
      </c>
      <c r="Q4133" t="str">
        <f t="shared" si="128"/>
        <v>01-09</v>
      </c>
      <c r="R4133" t="str">
        <f t="shared" si="129"/>
        <v>[mxqa3CDFmIT]|01-09|Female|NEW_INFECTIONS_SUBNAT.T_1|CY2023Q3</v>
      </c>
    </row>
    <row r="4134" spans="4:18" x14ac:dyDescent="0.2">
      <c r="D4134" t="s">
        <v>98</v>
      </c>
      <c r="E4134" t="s">
        <v>99</v>
      </c>
      <c r="F4134" t="s">
        <v>100</v>
      </c>
      <c r="G4134" t="s">
        <v>152</v>
      </c>
      <c r="H4134" t="s">
        <v>152</v>
      </c>
      <c r="I4134" t="s">
        <v>35</v>
      </c>
      <c r="J4134" t="s">
        <v>36</v>
      </c>
      <c r="K4134" t="s">
        <v>29</v>
      </c>
      <c r="L4134" t="s">
        <v>30</v>
      </c>
      <c r="M4134" t="s">
        <v>139</v>
      </c>
      <c r="N4134">
        <v>1055</v>
      </c>
      <c r="O4134" s="14">
        <v>0.65235272119753096</v>
      </c>
      <c r="P4134" s="14">
        <v>0.57728803809732199</v>
      </c>
      <c r="Q4134" t="str">
        <f t="shared" si="128"/>
        <v>10-14</v>
      </c>
      <c r="R4134" t="str">
        <f t="shared" si="129"/>
        <v>[mxqa3CDFmIT]|10-14|Female|NEW_INFECTIONS_SUBNAT.T_1|CY2023Q3</v>
      </c>
    </row>
    <row r="4135" spans="4:18" x14ac:dyDescent="0.2">
      <c r="D4135" t="s">
        <v>98</v>
      </c>
      <c r="E4135" t="s">
        <v>99</v>
      </c>
      <c r="F4135" t="s">
        <v>100</v>
      </c>
      <c r="G4135" t="s">
        <v>152</v>
      </c>
      <c r="H4135" t="s">
        <v>152</v>
      </c>
      <c r="I4135" t="s">
        <v>37</v>
      </c>
      <c r="J4135" t="s">
        <v>38</v>
      </c>
      <c r="K4135" t="s">
        <v>29</v>
      </c>
      <c r="L4135" t="s">
        <v>30</v>
      </c>
      <c r="M4135" t="s">
        <v>139</v>
      </c>
      <c r="N4135">
        <v>1643</v>
      </c>
      <c r="O4135" s="14">
        <v>0.24419811717234599</v>
      </c>
      <c r="P4135" s="14">
        <v>0.57728803809732199</v>
      </c>
      <c r="Q4135" t="str">
        <f t="shared" si="128"/>
        <v>15-24</v>
      </c>
      <c r="R4135" t="str">
        <f t="shared" si="129"/>
        <v>[mxqa3CDFmIT]|15-24|Female|NEW_INFECTIONS_SUBNAT.T_1|CY2023Q3</v>
      </c>
    </row>
    <row r="4136" spans="4:18" x14ac:dyDescent="0.2">
      <c r="D4136" t="s">
        <v>98</v>
      </c>
      <c r="E4136" t="s">
        <v>99</v>
      </c>
      <c r="F4136" t="s">
        <v>100</v>
      </c>
      <c r="G4136" t="s">
        <v>152</v>
      </c>
      <c r="H4136" t="s">
        <v>152</v>
      </c>
      <c r="I4136" t="s">
        <v>40</v>
      </c>
      <c r="J4136" t="s">
        <v>41</v>
      </c>
      <c r="K4136" t="s">
        <v>29</v>
      </c>
      <c r="L4136" t="s">
        <v>30</v>
      </c>
      <c r="M4136" t="s">
        <v>139</v>
      </c>
      <c r="N4136">
        <v>1092</v>
      </c>
      <c r="O4136" s="14">
        <v>0.36066591995768199</v>
      </c>
      <c r="P4136" s="14">
        <v>0.57728803809732199</v>
      </c>
      <c r="Q4136" t="str">
        <f t="shared" si="128"/>
        <v>25-34</v>
      </c>
      <c r="R4136" t="str">
        <f t="shared" si="129"/>
        <v>[mxqa3CDFmIT]|25-34|Female|NEW_INFECTIONS_SUBNAT.T_1|CY2023Q3</v>
      </c>
    </row>
    <row r="4137" spans="4:18" x14ac:dyDescent="0.2">
      <c r="D4137" t="s">
        <v>98</v>
      </c>
      <c r="E4137" t="s">
        <v>99</v>
      </c>
      <c r="F4137" t="s">
        <v>100</v>
      </c>
      <c r="G4137" t="s">
        <v>152</v>
      </c>
      <c r="H4137" t="s">
        <v>152</v>
      </c>
      <c r="I4137" t="s">
        <v>42</v>
      </c>
      <c r="J4137" t="s">
        <v>43</v>
      </c>
      <c r="K4137" t="s">
        <v>29</v>
      </c>
      <c r="L4137" t="s">
        <v>30</v>
      </c>
      <c r="M4137" t="s">
        <v>139</v>
      </c>
      <c r="N4137">
        <v>1008</v>
      </c>
      <c r="O4137" s="14">
        <v>0.340564352460206</v>
      </c>
      <c r="P4137" s="14">
        <v>0.57728803809732199</v>
      </c>
      <c r="Q4137" t="str">
        <f t="shared" si="128"/>
        <v>35-49</v>
      </c>
      <c r="R4137" t="str">
        <f t="shared" si="129"/>
        <v>[mxqa3CDFmIT]|35-49|Female|NEW_INFECTIONS_SUBNAT.T_1|CY2023Q3</v>
      </c>
    </row>
    <row r="4138" spans="4:18" x14ac:dyDescent="0.2">
      <c r="D4138" t="s">
        <v>98</v>
      </c>
      <c r="E4138" t="s">
        <v>99</v>
      </c>
      <c r="F4138" t="s">
        <v>100</v>
      </c>
      <c r="G4138" t="s">
        <v>152</v>
      </c>
      <c r="H4138" t="s">
        <v>152</v>
      </c>
      <c r="I4138" t="s">
        <v>44</v>
      </c>
      <c r="J4138" t="s">
        <v>45</v>
      </c>
      <c r="K4138" t="s">
        <v>29</v>
      </c>
      <c r="L4138" t="s">
        <v>30</v>
      </c>
      <c r="M4138" t="s">
        <v>139</v>
      </c>
      <c r="N4138">
        <v>1901</v>
      </c>
      <c r="O4138" s="14">
        <v>0.54446920612826899</v>
      </c>
      <c r="P4138" s="14">
        <v>0.57728803809732199</v>
      </c>
      <c r="Q4138" t="str">
        <f t="shared" si="128"/>
        <v>50+</v>
      </c>
      <c r="R4138" t="str">
        <f t="shared" si="129"/>
        <v>[mxqa3CDFmIT]|50+|Female|NEW_INFECTIONS_SUBNAT.T_1|CY2023Q3</v>
      </c>
    </row>
    <row r="4139" spans="4:18" x14ac:dyDescent="0.2">
      <c r="D4139" t="s">
        <v>98</v>
      </c>
      <c r="E4139" t="s">
        <v>99</v>
      </c>
      <c r="F4139" t="s">
        <v>100</v>
      </c>
      <c r="G4139" t="s">
        <v>152</v>
      </c>
      <c r="H4139" t="s">
        <v>152</v>
      </c>
      <c r="I4139" t="s">
        <v>27</v>
      </c>
      <c r="J4139" t="s">
        <v>28</v>
      </c>
      <c r="K4139" t="s">
        <v>47</v>
      </c>
      <c r="L4139" t="s">
        <v>48</v>
      </c>
      <c r="M4139" t="s">
        <v>139</v>
      </c>
      <c r="N4139">
        <v>1080</v>
      </c>
      <c r="O4139" s="14">
        <v>0.52385448245331601</v>
      </c>
      <c r="P4139" s="14">
        <v>0.57728803809732199</v>
      </c>
      <c r="Q4139" t="str">
        <f t="shared" si="128"/>
        <v>&lt;01</v>
      </c>
      <c r="R4139" t="str">
        <f t="shared" si="129"/>
        <v>[mxqa3CDFmIT]|&lt;01|Male|NEW_INFECTIONS_SUBNAT.T_1|CY2023Q3</v>
      </c>
    </row>
    <row r="4140" spans="4:18" x14ac:dyDescent="0.2">
      <c r="D4140" t="s">
        <v>98</v>
      </c>
      <c r="E4140" t="s">
        <v>99</v>
      </c>
      <c r="F4140" t="s">
        <v>100</v>
      </c>
      <c r="G4140" t="s">
        <v>152</v>
      </c>
      <c r="H4140" t="s">
        <v>152</v>
      </c>
      <c r="I4140" t="s">
        <v>32</v>
      </c>
      <c r="J4140" t="s">
        <v>33</v>
      </c>
      <c r="K4140" t="s">
        <v>47</v>
      </c>
      <c r="L4140" t="s">
        <v>48</v>
      </c>
      <c r="M4140" t="s">
        <v>139</v>
      </c>
      <c r="N4140">
        <v>1469</v>
      </c>
      <c r="O4140" s="14">
        <v>0.80671851313673004</v>
      </c>
      <c r="P4140" s="14">
        <v>0.57728803809732199</v>
      </c>
      <c r="Q4140" t="str">
        <f t="shared" si="128"/>
        <v>01-09</v>
      </c>
      <c r="R4140" t="str">
        <f t="shared" si="129"/>
        <v>[mxqa3CDFmIT]|01-09|Male|NEW_INFECTIONS_SUBNAT.T_1|CY2023Q3</v>
      </c>
    </row>
    <row r="4141" spans="4:18" x14ac:dyDescent="0.2">
      <c r="D4141" t="s">
        <v>98</v>
      </c>
      <c r="E4141" t="s">
        <v>99</v>
      </c>
      <c r="F4141" t="s">
        <v>100</v>
      </c>
      <c r="G4141" t="s">
        <v>152</v>
      </c>
      <c r="H4141" t="s">
        <v>152</v>
      </c>
      <c r="I4141" t="s">
        <v>35</v>
      </c>
      <c r="J4141" t="s">
        <v>36</v>
      </c>
      <c r="K4141" t="s">
        <v>47</v>
      </c>
      <c r="L4141" t="s">
        <v>48</v>
      </c>
      <c r="M4141" t="s">
        <v>139</v>
      </c>
      <c r="N4141">
        <v>873</v>
      </c>
      <c r="O4141" s="14">
        <v>0.16741864732466599</v>
      </c>
      <c r="P4141" s="14">
        <v>0.57728803809732199</v>
      </c>
      <c r="Q4141" t="str">
        <f t="shared" si="128"/>
        <v>10-14</v>
      </c>
      <c r="R4141" t="str">
        <f t="shared" si="129"/>
        <v>[mxqa3CDFmIT]|10-14|Male|NEW_INFECTIONS_SUBNAT.T_1|CY2023Q3</v>
      </c>
    </row>
    <row r="4142" spans="4:18" x14ac:dyDescent="0.2">
      <c r="D4142" t="s">
        <v>98</v>
      </c>
      <c r="E4142" t="s">
        <v>99</v>
      </c>
      <c r="F4142" t="s">
        <v>100</v>
      </c>
      <c r="G4142" t="s">
        <v>152</v>
      </c>
      <c r="H4142" t="s">
        <v>152</v>
      </c>
      <c r="I4142" t="s">
        <v>37</v>
      </c>
      <c r="J4142" t="s">
        <v>38</v>
      </c>
      <c r="K4142" t="s">
        <v>47</v>
      </c>
      <c r="L4142" t="s">
        <v>48</v>
      </c>
      <c r="M4142" t="s">
        <v>139</v>
      </c>
      <c r="N4142">
        <v>956</v>
      </c>
      <c r="O4142" s="14">
        <v>0.53977361018769399</v>
      </c>
      <c r="P4142" s="14">
        <v>0.57728803809732199</v>
      </c>
      <c r="Q4142" t="str">
        <f t="shared" si="128"/>
        <v>15-24</v>
      </c>
      <c r="R4142" t="str">
        <f t="shared" si="129"/>
        <v>[mxqa3CDFmIT]|15-24|Male|NEW_INFECTIONS_SUBNAT.T_1|CY2023Q3</v>
      </c>
    </row>
    <row r="4143" spans="4:18" x14ac:dyDescent="0.2">
      <c r="D4143" t="s">
        <v>98</v>
      </c>
      <c r="E4143" t="s">
        <v>99</v>
      </c>
      <c r="F4143" t="s">
        <v>100</v>
      </c>
      <c r="G4143" t="s">
        <v>152</v>
      </c>
      <c r="H4143" t="s">
        <v>152</v>
      </c>
      <c r="I4143" t="s">
        <v>40</v>
      </c>
      <c r="J4143" t="s">
        <v>41</v>
      </c>
      <c r="K4143" t="s">
        <v>47</v>
      </c>
      <c r="L4143" t="s">
        <v>48</v>
      </c>
      <c r="M4143" t="s">
        <v>139</v>
      </c>
      <c r="N4143">
        <v>1651</v>
      </c>
      <c r="O4143" s="14">
        <v>0.22116764052771001</v>
      </c>
      <c r="P4143" s="14">
        <v>0.57728803809732199</v>
      </c>
      <c r="Q4143" t="str">
        <f t="shared" si="128"/>
        <v>25-34</v>
      </c>
      <c r="R4143" t="str">
        <f t="shared" si="129"/>
        <v>[mxqa3CDFmIT]|25-34|Male|NEW_INFECTIONS_SUBNAT.T_1|CY2023Q3</v>
      </c>
    </row>
    <row r="4144" spans="4:18" x14ac:dyDescent="0.2">
      <c r="D4144" t="s">
        <v>98</v>
      </c>
      <c r="E4144" t="s">
        <v>99</v>
      </c>
      <c r="F4144" t="s">
        <v>100</v>
      </c>
      <c r="G4144" t="s">
        <v>152</v>
      </c>
      <c r="H4144" t="s">
        <v>152</v>
      </c>
      <c r="I4144" t="s">
        <v>42</v>
      </c>
      <c r="J4144" t="s">
        <v>43</v>
      </c>
      <c r="K4144" t="s">
        <v>47</v>
      </c>
      <c r="L4144" t="s">
        <v>48</v>
      </c>
      <c r="M4144" t="s">
        <v>139</v>
      </c>
      <c r="N4144">
        <v>1286</v>
      </c>
      <c r="O4144" s="14">
        <v>0.63982019643299304</v>
      </c>
      <c r="P4144" s="14">
        <v>0.57728803809732199</v>
      </c>
      <c r="Q4144" t="str">
        <f t="shared" si="128"/>
        <v>35-49</v>
      </c>
      <c r="R4144" t="str">
        <f t="shared" si="129"/>
        <v>[mxqa3CDFmIT]|35-49|Male|NEW_INFECTIONS_SUBNAT.T_1|CY2023Q3</v>
      </c>
    </row>
    <row r="4145" spans="4:18" x14ac:dyDescent="0.2">
      <c r="D4145" t="s">
        <v>98</v>
      </c>
      <c r="E4145" t="s">
        <v>99</v>
      </c>
      <c r="F4145" t="s">
        <v>100</v>
      </c>
      <c r="G4145" t="s">
        <v>152</v>
      </c>
      <c r="H4145" t="s">
        <v>152</v>
      </c>
      <c r="I4145" t="s">
        <v>44</v>
      </c>
      <c r="J4145" t="s">
        <v>45</v>
      </c>
      <c r="K4145" t="s">
        <v>47</v>
      </c>
      <c r="L4145" t="s">
        <v>48</v>
      </c>
      <c r="M4145" t="s">
        <v>139</v>
      </c>
      <c r="N4145">
        <v>501</v>
      </c>
      <c r="O4145" s="14">
        <v>0.292636304860935</v>
      </c>
      <c r="P4145" s="14">
        <v>0.57728803809732199</v>
      </c>
      <c r="Q4145" t="str">
        <f t="shared" si="128"/>
        <v>50+</v>
      </c>
      <c r="R4145" t="str">
        <f t="shared" si="129"/>
        <v>[mxqa3CDFmIT]|50+|Male|NEW_INFECTIONS_SUBNAT.T_1|CY2023Q3</v>
      </c>
    </row>
    <row r="4146" spans="4:18" x14ac:dyDescent="0.2">
      <c r="D4146" t="s">
        <v>101</v>
      </c>
      <c r="E4146" t="s">
        <v>102</v>
      </c>
      <c r="F4146" t="s">
        <v>103</v>
      </c>
      <c r="G4146" t="s">
        <v>152</v>
      </c>
      <c r="H4146" t="s">
        <v>152</v>
      </c>
      <c r="I4146" t="s">
        <v>27</v>
      </c>
      <c r="J4146" t="s">
        <v>28</v>
      </c>
      <c r="K4146" t="s">
        <v>29</v>
      </c>
      <c r="L4146" t="s">
        <v>30</v>
      </c>
      <c r="M4146" t="s">
        <v>139</v>
      </c>
      <c r="N4146">
        <v>1369</v>
      </c>
      <c r="O4146" s="14">
        <v>0.52178695006296005</v>
      </c>
      <c r="P4146" s="14">
        <v>0.52621235931292198</v>
      </c>
      <c r="Q4146" t="str">
        <f t="shared" si="128"/>
        <v>&lt;01</v>
      </c>
      <c r="R4146" t="str">
        <f t="shared" si="129"/>
        <v>[wNqJp8oRIcF]|&lt;01|Female|NEW_INFECTIONS_SUBNAT.T_1|CY2023Q3</v>
      </c>
    </row>
    <row r="4147" spans="4:18" x14ac:dyDescent="0.2">
      <c r="D4147" t="s">
        <v>101</v>
      </c>
      <c r="E4147" t="s">
        <v>102</v>
      </c>
      <c r="F4147" t="s">
        <v>103</v>
      </c>
      <c r="G4147" t="s">
        <v>152</v>
      </c>
      <c r="H4147" t="s">
        <v>152</v>
      </c>
      <c r="I4147" t="s">
        <v>32</v>
      </c>
      <c r="J4147" t="s">
        <v>33</v>
      </c>
      <c r="K4147" t="s">
        <v>29</v>
      </c>
      <c r="L4147" t="s">
        <v>30</v>
      </c>
      <c r="M4147" t="s">
        <v>139</v>
      </c>
      <c r="N4147">
        <v>1545</v>
      </c>
      <c r="O4147" s="14">
        <v>0.72928924858570099</v>
      </c>
      <c r="P4147" s="14">
        <v>0.52621235931292198</v>
      </c>
      <c r="Q4147" t="str">
        <f t="shared" si="128"/>
        <v>01-09</v>
      </c>
      <c r="R4147" t="str">
        <f t="shared" si="129"/>
        <v>[wNqJp8oRIcF]|01-09|Female|NEW_INFECTIONS_SUBNAT.T_1|CY2023Q3</v>
      </c>
    </row>
    <row r="4148" spans="4:18" x14ac:dyDescent="0.2">
      <c r="D4148" t="s">
        <v>101</v>
      </c>
      <c r="E4148" t="s">
        <v>102</v>
      </c>
      <c r="F4148" t="s">
        <v>103</v>
      </c>
      <c r="G4148" t="s">
        <v>152</v>
      </c>
      <c r="H4148" t="s">
        <v>152</v>
      </c>
      <c r="I4148" t="s">
        <v>35</v>
      </c>
      <c r="J4148" t="s">
        <v>36</v>
      </c>
      <c r="K4148" t="s">
        <v>29</v>
      </c>
      <c r="L4148" t="s">
        <v>30</v>
      </c>
      <c r="M4148" t="s">
        <v>139</v>
      </c>
      <c r="N4148">
        <v>1282</v>
      </c>
      <c r="O4148" s="14">
        <v>0.21068548248149499</v>
      </c>
      <c r="P4148" s="14">
        <v>0.52621235931292198</v>
      </c>
      <c r="Q4148" t="str">
        <f t="shared" si="128"/>
        <v>10-14</v>
      </c>
      <c r="R4148" t="str">
        <f t="shared" si="129"/>
        <v>[wNqJp8oRIcF]|10-14|Female|NEW_INFECTIONS_SUBNAT.T_1|CY2023Q3</v>
      </c>
    </row>
    <row r="4149" spans="4:18" x14ac:dyDescent="0.2">
      <c r="D4149" t="s">
        <v>101</v>
      </c>
      <c r="E4149" t="s">
        <v>102</v>
      </c>
      <c r="F4149" t="s">
        <v>103</v>
      </c>
      <c r="G4149" t="s">
        <v>152</v>
      </c>
      <c r="H4149" t="s">
        <v>152</v>
      </c>
      <c r="I4149" t="s">
        <v>37</v>
      </c>
      <c r="J4149" t="s">
        <v>38</v>
      </c>
      <c r="K4149" t="s">
        <v>29</v>
      </c>
      <c r="L4149" t="s">
        <v>30</v>
      </c>
      <c r="M4149" t="s">
        <v>139</v>
      </c>
      <c r="N4149">
        <v>1180</v>
      </c>
      <c r="O4149" s="14">
        <v>0.31960154627449799</v>
      </c>
      <c r="P4149" s="14">
        <v>0.52621235931292198</v>
      </c>
      <c r="Q4149" t="str">
        <f t="shared" si="128"/>
        <v>15-24</v>
      </c>
      <c r="R4149" t="str">
        <f t="shared" si="129"/>
        <v>[wNqJp8oRIcF]|15-24|Female|NEW_INFECTIONS_SUBNAT.T_1|CY2023Q3</v>
      </c>
    </row>
    <row r="4150" spans="4:18" x14ac:dyDescent="0.2">
      <c r="D4150" t="s">
        <v>101</v>
      </c>
      <c r="E4150" t="s">
        <v>102</v>
      </c>
      <c r="F4150" t="s">
        <v>103</v>
      </c>
      <c r="G4150" t="s">
        <v>152</v>
      </c>
      <c r="H4150" t="s">
        <v>152</v>
      </c>
      <c r="I4150" t="s">
        <v>40</v>
      </c>
      <c r="J4150" t="s">
        <v>41</v>
      </c>
      <c r="K4150" t="s">
        <v>29</v>
      </c>
      <c r="L4150" t="s">
        <v>30</v>
      </c>
      <c r="M4150" t="s">
        <v>139</v>
      </c>
      <c r="N4150">
        <v>1801</v>
      </c>
      <c r="O4150" s="14">
        <v>0.812976278597489</v>
      </c>
      <c r="P4150" s="14">
        <v>0.52621235931292198</v>
      </c>
      <c r="Q4150" t="str">
        <f t="shared" si="128"/>
        <v>25-34</v>
      </c>
      <c r="R4150" t="str">
        <f t="shared" si="129"/>
        <v>[wNqJp8oRIcF]|25-34|Female|NEW_INFECTIONS_SUBNAT.T_1|CY2023Q3</v>
      </c>
    </row>
    <row r="4151" spans="4:18" x14ac:dyDescent="0.2">
      <c r="D4151" t="s">
        <v>101</v>
      </c>
      <c r="E4151" t="s">
        <v>102</v>
      </c>
      <c r="F4151" t="s">
        <v>103</v>
      </c>
      <c r="G4151" t="s">
        <v>152</v>
      </c>
      <c r="H4151" t="s">
        <v>152</v>
      </c>
      <c r="I4151" t="s">
        <v>42</v>
      </c>
      <c r="J4151" t="s">
        <v>43</v>
      </c>
      <c r="K4151" t="s">
        <v>29</v>
      </c>
      <c r="L4151" t="s">
        <v>30</v>
      </c>
      <c r="M4151" t="s">
        <v>139</v>
      </c>
      <c r="N4151">
        <v>1616</v>
      </c>
      <c r="O4151" s="14">
        <v>0.94595556193962704</v>
      </c>
      <c r="P4151" s="14">
        <v>0.52621235931292198</v>
      </c>
      <c r="Q4151" t="str">
        <f t="shared" si="128"/>
        <v>35-49</v>
      </c>
      <c r="R4151" t="str">
        <f t="shared" si="129"/>
        <v>[wNqJp8oRIcF]|35-49|Female|NEW_INFECTIONS_SUBNAT.T_1|CY2023Q3</v>
      </c>
    </row>
    <row r="4152" spans="4:18" x14ac:dyDescent="0.2">
      <c r="D4152" t="s">
        <v>101</v>
      </c>
      <c r="E4152" t="s">
        <v>102</v>
      </c>
      <c r="F4152" t="s">
        <v>103</v>
      </c>
      <c r="G4152" t="s">
        <v>152</v>
      </c>
      <c r="H4152" t="s">
        <v>152</v>
      </c>
      <c r="I4152" t="s">
        <v>44</v>
      </c>
      <c r="J4152" t="s">
        <v>45</v>
      </c>
      <c r="K4152" t="s">
        <v>29</v>
      </c>
      <c r="L4152" t="s">
        <v>30</v>
      </c>
      <c r="M4152" t="s">
        <v>139</v>
      </c>
      <c r="N4152">
        <v>1627</v>
      </c>
      <c r="O4152" s="14">
        <v>6.0396499466150999E-2</v>
      </c>
      <c r="P4152" s="14">
        <v>0.52621235931292198</v>
      </c>
      <c r="Q4152" t="str">
        <f t="shared" si="128"/>
        <v>50+</v>
      </c>
      <c r="R4152" t="str">
        <f t="shared" si="129"/>
        <v>[wNqJp8oRIcF]|50+|Female|NEW_INFECTIONS_SUBNAT.T_1|CY2023Q3</v>
      </c>
    </row>
    <row r="4153" spans="4:18" x14ac:dyDescent="0.2">
      <c r="D4153" t="s">
        <v>101</v>
      </c>
      <c r="E4153" t="s">
        <v>102</v>
      </c>
      <c r="F4153" t="s">
        <v>103</v>
      </c>
      <c r="G4153" t="s">
        <v>152</v>
      </c>
      <c r="H4153" t="s">
        <v>152</v>
      </c>
      <c r="I4153" t="s">
        <v>27</v>
      </c>
      <c r="J4153" t="s">
        <v>28</v>
      </c>
      <c r="K4153" t="s">
        <v>47</v>
      </c>
      <c r="L4153" t="s">
        <v>48</v>
      </c>
      <c r="M4153" t="s">
        <v>139</v>
      </c>
      <c r="N4153">
        <v>1795</v>
      </c>
      <c r="O4153" s="14">
        <v>0.35440464247949399</v>
      </c>
      <c r="P4153" s="14">
        <v>0.52621235931292198</v>
      </c>
      <c r="Q4153" t="str">
        <f t="shared" si="128"/>
        <v>&lt;01</v>
      </c>
      <c r="R4153" t="str">
        <f t="shared" si="129"/>
        <v>[wNqJp8oRIcF]|&lt;01|Male|NEW_INFECTIONS_SUBNAT.T_1|CY2023Q3</v>
      </c>
    </row>
    <row r="4154" spans="4:18" x14ac:dyDescent="0.2">
      <c r="D4154" t="s">
        <v>101</v>
      </c>
      <c r="E4154" t="s">
        <v>102</v>
      </c>
      <c r="F4154" t="s">
        <v>103</v>
      </c>
      <c r="G4154" t="s">
        <v>152</v>
      </c>
      <c r="H4154" t="s">
        <v>152</v>
      </c>
      <c r="I4154" t="s">
        <v>32</v>
      </c>
      <c r="J4154" t="s">
        <v>33</v>
      </c>
      <c r="K4154" t="s">
        <v>47</v>
      </c>
      <c r="L4154" t="s">
        <v>48</v>
      </c>
      <c r="M4154" t="s">
        <v>139</v>
      </c>
      <c r="N4154">
        <v>1934</v>
      </c>
      <c r="O4154" s="14">
        <v>0.73957166518084705</v>
      </c>
      <c r="P4154" s="14">
        <v>0.52621235931292198</v>
      </c>
      <c r="Q4154" t="str">
        <f t="shared" si="128"/>
        <v>01-09</v>
      </c>
      <c r="R4154" t="str">
        <f t="shared" si="129"/>
        <v>[wNqJp8oRIcF]|01-09|Male|NEW_INFECTIONS_SUBNAT.T_1|CY2023Q3</v>
      </c>
    </row>
    <row r="4155" spans="4:18" x14ac:dyDescent="0.2">
      <c r="D4155" t="s">
        <v>101</v>
      </c>
      <c r="E4155" t="s">
        <v>102</v>
      </c>
      <c r="F4155" t="s">
        <v>103</v>
      </c>
      <c r="G4155" t="s">
        <v>152</v>
      </c>
      <c r="H4155" t="s">
        <v>152</v>
      </c>
      <c r="I4155" t="s">
        <v>35</v>
      </c>
      <c r="J4155" t="s">
        <v>36</v>
      </c>
      <c r="K4155" t="s">
        <v>47</v>
      </c>
      <c r="L4155" t="s">
        <v>48</v>
      </c>
      <c r="M4155" t="s">
        <v>139</v>
      </c>
      <c r="N4155">
        <v>579</v>
      </c>
      <c r="O4155" s="14">
        <v>0.42659739218652198</v>
      </c>
      <c r="P4155" s="14">
        <v>0.52621235931292198</v>
      </c>
      <c r="Q4155" t="str">
        <f t="shared" si="128"/>
        <v>10-14</v>
      </c>
      <c r="R4155" t="str">
        <f t="shared" si="129"/>
        <v>[wNqJp8oRIcF]|10-14|Male|NEW_INFECTIONS_SUBNAT.T_1|CY2023Q3</v>
      </c>
    </row>
    <row r="4156" spans="4:18" x14ac:dyDescent="0.2">
      <c r="D4156" t="s">
        <v>101</v>
      </c>
      <c r="E4156" t="s">
        <v>102</v>
      </c>
      <c r="F4156" t="s">
        <v>103</v>
      </c>
      <c r="G4156" t="s">
        <v>152</v>
      </c>
      <c r="H4156" t="s">
        <v>152</v>
      </c>
      <c r="I4156" t="s">
        <v>37</v>
      </c>
      <c r="J4156" t="s">
        <v>38</v>
      </c>
      <c r="K4156" t="s">
        <v>47</v>
      </c>
      <c r="L4156" t="s">
        <v>48</v>
      </c>
      <c r="M4156" t="s">
        <v>139</v>
      </c>
      <c r="N4156">
        <v>1177</v>
      </c>
      <c r="O4156" s="14">
        <v>0.65089258248917803</v>
      </c>
      <c r="P4156" s="14">
        <v>0.52621235931292198</v>
      </c>
      <c r="Q4156" t="str">
        <f t="shared" si="128"/>
        <v>15-24</v>
      </c>
      <c r="R4156" t="str">
        <f t="shared" si="129"/>
        <v>[wNqJp8oRIcF]|15-24|Male|NEW_INFECTIONS_SUBNAT.T_1|CY2023Q3</v>
      </c>
    </row>
    <row r="4157" spans="4:18" x14ac:dyDescent="0.2">
      <c r="D4157" t="s">
        <v>101</v>
      </c>
      <c r="E4157" t="s">
        <v>102</v>
      </c>
      <c r="F4157" t="s">
        <v>103</v>
      </c>
      <c r="G4157" t="s">
        <v>152</v>
      </c>
      <c r="H4157" t="s">
        <v>152</v>
      </c>
      <c r="I4157" t="s">
        <v>40</v>
      </c>
      <c r="J4157" t="s">
        <v>41</v>
      </c>
      <c r="K4157" t="s">
        <v>47</v>
      </c>
      <c r="L4157" t="s">
        <v>48</v>
      </c>
      <c r="M4157" t="s">
        <v>139</v>
      </c>
      <c r="N4157">
        <v>1710</v>
      </c>
      <c r="O4157" s="14">
        <v>0.967554553411901</v>
      </c>
      <c r="P4157" s="14">
        <v>0.52621235931292198</v>
      </c>
      <c r="Q4157" t="str">
        <f t="shared" si="128"/>
        <v>25-34</v>
      </c>
      <c r="R4157" t="str">
        <f t="shared" si="129"/>
        <v>[wNqJp8oRIcF]|25-34|Male|NEW_INFECTIONS_SUBNAT.T_1|CY2023Q3</v>
      </c>
    </row>
    <row r="4158" spans="4:18" x14ac:dyDescent="0.2">
      <c r="D4158" t="s">
        <v>101</v>
      </c>
      <c r="E4158" t="s">
        <v>102</v>
      </c>
      <c r="F4158" t="s">
        <v>103</v>
      </c>
      <c r="G4158" t="s">
        <v>152</v>
      </c>
      <c r="H4158" t="s">
        <v>152</v>
      </c>
      <c r="I4158" t="s">
        <v>42</v>
      </c>
      <c r="J4158" t="s">
        <v>43</v>
      </c>
      <c r="K4158" t="s">
        <v>47</v>
      </c>
      <c r="L4158" t="s">
        <v>48</v>
      </c>
      <c r="M4158" t="s">
        <v>139</v>
      </c>
      <c r="N4158">
        <v>1585</v>
      </c>
      <c r="O4158" s="14">
        <v>0.36847218871116599</v>
      </c>
      <c r="P4158" s="14">
        <v>0.52621235931292198</v>
      </c>
      <c r="Q4158" t="str">
        <f t="shared" si="128"/>
        <v>35-49</v>
      </c>
      <c r="R4158" t="str">
        <f t="shared" si="129"/>
        <v>[wNqJp8oRIcF]|35-49|Male|NEW_INFECTIONS_SUBNAT.T_1|CY2023Q3</v>
      </c>
    </row>
    <row r="4159" spans="4:18" x14ac:dyDescent="0.2">
      <c r="D4159" t="s">
        <v>101</v>
      </c>
      <c r="E4159" t="s">
        <v>102</v>
      </c>
      <c r="F4159" t="s">
        <v>103</v>
      </c>
      <c r="G4159" t="s">
        <v>152</v>
      </c>
      <c r="H4159" t="s">
        <v>152</v>
      </c>
      <c r="I4159" t="s">
        <v>44</v>
      </c>
      <c r="J4159" t="s">
        <v>45</v>
      </c>
      <c r="K4159" t="s">
        <v>47</v>
      </c>
      <c r="L4159" t="s">
        <v>48</v>
      </c>
      <c r="M4159" t="s">
        <v>139</v>
      </c>
      <c r="N4159">
        <v>943</v>
      </c>
      <c r="O4159" s="14">
        <v>0.765497452812269</v>
      </c>
      <c r="P4159" s="14">
        <v>0.52621235931292198</v>
      </c>
      <c r="Q4159" t="str">
        <f t="shared" si="128"/>
        <v>50+</v>
      </c>
      <c r="R4159" t="str">
        <f t="shared" si="129"/>
        <v>[wNqJp8oRIcF]|50+|Male|NEW_INFECTIONS_SUBNAT.T_1|CY2023Q3</v>
      </c>
    </row>
    <row r="4160" spans="4:18" x14ac:dyDescent="0.2">
      <c r="D4160" t="s">
        <v>104</v>
      </c>
      <c r="E4160" t="s">
        <v>105</v>
      </c>
      <c r="F4160" t="s">
        <v>106</v>
      </c>
      <c r="G4160" t="s">
        <v>152</v>
      </c>
      <c r="H4160" t="s">
        <v>152</v>
      </c>
      <c r="I4160" t="s">
        <v>27</v>
      </c>
      <c r="J4160" t="s">
        <v>28</v>
      </c>
      <c r="K4160" t="s">
        <v>29</v>
      </c>
      <c r="L4160" t="s">
        <v>30</v>
      </c>
      <c r="M4160" t="s">
        <v>139</v>
      </c>
      <c r="N4160">
        <v>746</v>
      </c>
      <c r="O4160" s="14">
        <v>0.119628937682137</v>
      </c>
      <c r="P4160" s="14">
        <v>0.21824956033378801</v>
      </c>
      <c r="Q4160" t="str">
        <f t="shared" si="128"/>
        <v>&lt;01</v>
      </c>
      <c r="R4160" t="str">
        <f t="shared" si="129"/>
        <v>[oiPR2CiVJbf]|&lt;01|Female|NEW_INFECTIONS_SUBNAT.T_1|CY2023Q3</v>
      </c>
    </row>
    <row r="4161" spans="4:18" x14ac:dyDescent="0.2">
      <c r="D4161" t="s">
        <v>104</v>
      </c>
      <c r="E4161" t="s">
        <v>105</v>
      </c>
      <c r="F4161" t="s">
        <v>106</v>
      </c>
      <c r="G4161" t="s">
        <v>152</v>
      </c>
      <c r="H4161" t="s">
        <v>152</v>
      </c>
      <c r="I4161" t="s">
        <v>32</v>
      </c>
      <c r="J4161" t="s">
        <v>33</v>
      </c>
      <c r="K4161" t="s">
        <v>29</v>
      </c>
      <c r="L4161" t="s">
        <v>30</v>
      </c>
      <c r="M4161" t="s">
        <v>139</v>
      </c>
      <c r="N4161">
        <v>1582</v>
      </c>
      <c r="O4161" s="14">
        <v>8.7600393453612896E-2</v>
      </c>
      <c r="P4161" s="14">
        <v>0.21824956033378801</v>
      </c>
      <c r="Q4161" t="str">
        <f t="shared" si="128"/>
        <v>01-09</v>
      </c>
      <c r="R4161" t="str">
        <f t="shared" si="129"/>
        <v>[oiPR2CiVJbf]|01-09|Female|NEW_INFECTIONS_SUBNAT.T_1|CY2023Q3</v>
      </c>
    </row>
    <row r="4162" spans="4:18" x14ac:dyDescent="0.2">
      <c r="D4162" t="s">
        <v>104</v>
      </c>
      <c r="E4162" t="s">
        <v>105</v>
      </c>
      <c r="F4162" t="s">
        <v>106</v>
      </c>
      <c r="G4162" t="s">
        <v>152</v>
      </c>
      <c r="H4162" t="s">
        <v>152</v>
      </c>
      <c r="I4162" t="s">
        <v>35</v>
      </c>
      <c r="J4162" t="s">
        <v>36</v>
      </c>
      <c r="K4162" t="s">
        <v>29</v>
      </c>
      <c r="L4162" t="s">
        <v>30</v>
      </c>
      <c r="M4162" t="s">
        <v>139</v>
      </c>
      <c r="N4162">
        <v>1045</v>
      </c>
      <c r="O4162" s="14">
        <v>0.71918123727664396</v>
      </c>
      <c r="P4162" s="14">
        <v>0.21824956033378801</v>
      </c>
      <c r="Q4162" t="str">
        <f t="shared" ref="Q4162:Q4225" si="130">SUBSTITUTE(SUBSTITUTE($I4162,CHAR(61),""),CHAR(34),"")</f>
        <v>10-14</v>
      </c>
      <c r="R4162" t="str">
        <f t="shared" ref="R4162:R4225" si="131">IF($D4162&lt;&gt;"","["&amp;$E4162&amp;"]"&amp;"|"&amp;$Q4162&amp;"|"&amp;$K4162&amp;"|"&amp;$G4162&amp;"|"&amp;IF($G4162="TX_CURR_SUBNAT.R","CY2022Q4",$M4162),"")</f>
        <v>[oiPR2CiVJbf]|10-14|Female|NEW_INFECTIONS_SUBNAT.T_1|CY2023Q3</v>
      </c>
    </row>
    <row r="4163" spans="4:18" x14ac:dyDescent="0.2">
      <c r="D4163" t="s">
        <v>104</v>
      </c>
      <c r="E4163" t="s">
        <v>105</v>
      </c>
      <c r="F4163" t="s">
        <v>106</v>
      </c>
      <c r="G4163" t="s">
        <v>152</v>
      </c>
      <c r="H4163" t="s">
        <v>152</v>
      </c>
      <c r="I4163" t="s">
        <v>37</v>
      </c>
      <c r="J4163" t="s">
        <v>38</v>
      </c>
      <c r="K4163" t="s">
        <v>29</v>
      </c>
      <c r="L4163" t="s">
        <v>30</v>
      </c>
      <c r="M4163" t="s">
        <v>139</v>
      </c>
      <c r="N4163">
        <v>704</v>
      </c>
      <c r="O4163" s="14">
        <v>0.70568391727283597</v>
      </c>
      <c r="P4163" s="14">
        <v>0.21824956033378801</v>
      </c>
      <c r="Q4163" t="str">
        <f t="shared" si="130"/>
        <v>15-24</v>
      </c>
      <c r="R4163" t="str">
        <f t="shared" si="131"/>
        <v>[oiPR2CiVJbf]|15-24|Female|NEW_INFECTIONS_SUBNAT.T_1|CY2023Q3</v>
      </c>
    </row>
    <row r="4164" spans="4:18" x14ac:dyDescent="0.2">
      <c r="D4164" t="s">
        <v>104</v>
      </c>
      <c r="E4164" t="s">
        <v>105</v>
      </c>
      <c r="F4164" t="s">
        <v>106</v>
      </c>
      <c r="G4164" t="s">
        <v>152</v>
      </c>
      <c r="H4164" t="s">
        <v>152</v>
      </c>
      <c r="I4164" t="s">
        <v>40</v>
      </c>
      <c r="J4164" t="s">
        <v>41</v>
      </c>
      <c r="K4164" t="s">
        <v>29</v>
      </c>
      <c r="L4164" t="s">
        <v>30</v>
      </c>
      <c r="M4164" t="s">
        <v>139</v>
      </c>
      <c r="N4164">
        <v>1094</v>
      </c>
      <c r="O4164" s="14">
        <v>0.62525111297145497</v>
      </c>
      <c r="P4164" s="14">
        <v>0.21824956033378801</v>
      </c>
      <c r="Q4164" t="str">
        <f t="shared" si="130"/>
        <v>25-34</v>
      </c>
      <c r="R4164" t="str">
        <f t="shared" si="131"/>
        <v>[oiPR2CiVJbf]|25-34|Female|NEW_INFECTIONS_SUBNAT.T_1|CY2023Q3</v>
      </c>
    </row>
    <row r="4165" spans="4:18" x14ac:dyDescent="0.2">
      <c r="D4165" t="s">
        <v>104</v>
      </c>
      <c r="E4165" t="s">
        <v>105</v>
      </c>
      <c r="F4165" t="s">
        <v>106</v>
      </c>
      <c r="G4165" t="s">
        <v>152</v>
      </c>
      <c r="H4165" t="s">
        <v>152</v>
      </c>
      <c r="I4165" t="s">
        <v>42</v>
      </c>
      <c r="J4165" t="s">
        <v>43</v>
      </c>
      <c r="K4165" t="s">
        <v>29</v>
      </c>
      <c r="L4165" t="s">
        <v>30</v>
      </c>
      <c r="M4165" t="s">
        <v>139</v>
      </c>
      <c r="N4165">
        <v>1440</v>
      </c>
      <c r="O4165" s="14">
        <v>0.141622087685391</v>
      </c>
      <c r="P4165" s="14">
        <v>0.21824956033378801</v>
      </c>
      <c r="Q4165" t="str">
        <f t="shared" si="130"/>
        <v>35-49</v>
      </c>
      <c r="R4165" t="str">
        <f t="shared" si="131"/>
        <v>[oiPR2CiVJbf]|35-49|Female|NEW_INFECTIONS_SUBNAT.T_1|CY2023Q3</v>
      </c>
    </row>
    <row r="4166" spans="4:18" x14ac:dyDescent="0.2">
      <c r="D4166" t="s">
        <v>104</v>
      </c>
      <c r="E4166" t="s">
        <v>105</v>
      </c>
      <c r="F4166" t="s">
        <v>106</v>
      </c>
      <c r="G4166" t="s">
        <v>152</v>
      </c>
      <c r="H4166" t="s">
        <v>152</v>
      </c>
      <c r="I4166" t="s">
        <v>44</v>
      </c>
      <c r="J4166" t="s">
        <v>45</v>
      </c>
      <c r="K4166" t="s">
        <v>29</v>
      </c>
      <c r="L4166" t="s">
        <v>30</v>
      </c>
      <c r="M4166" t="s">
        <v>139</v>
      </c>
      <c r="N4166">
        <v>1028</v>
      </c>
      <c r="O4166" s="14">
        <v>0.22739268792793199</v>
      </c>
      <c r="P4166" s="14">
        <v>0.21824956033378801</v>
      </c>
      <c r="Q4166" t="str">
        <f t="shared" si="130"/>
        <v>50+</v>
      </c>
      <c r="R4166" t="str">
        <f t="shared" si="131"/>
        <v>[oiPR2CiVJbf]|50+|Female|NEW_INFECTIONS_SUBNAT.T_1|CY2023Q3</v>
      </c>
    </row>
    <row r="4167" spans="4:18" x14ac:dyDescent="0.2">
      <c r="D4167" t="s">
        <v>104</v>
      </c>
      <c r="E4167" t="s">
        <v>105</v>
      </c>
      <c r="F4167" t="s">
        <v>106</v>
      </c>
      <c r="G4167" t="s">
        <v>152</v>
      </c>
      <c r="H4167" t="s">
        <v>152</v>
      </c>
      <c r="I4167" t="s">
        <v>27</v>
      </c>
      <c r="J4167" t="s">
        <v>28</v>
      </c>
      <c r="K4167" t="s">
        <v>47</v>
      </c>
      <c r="L4167" t="s">
        <v>48</v>
      </c>
      <c r="M4167" t="s">
        <v>139</v>
      </c>
      <c r="N4167">
        <v>1715</v>
      </c>
      <c r="O4167" s="14">
        <v>0.80257253162562803</v>
      </c>
      <c r="P4167" s="14">
        <v>0.21824956033378801</v>
      </c>
      <c r="Q4167" t="str">
        <f t="shared" si="130"/>
        <v>&lt;01</v>
      </c>
      <c r="R4167" t="str">
        <f t="shared" si="131"/>
        <v>[oiPR2CiVJbf]|&lt;01|Male|NEW_INFECTIONS_SUBNAT.T_1|CY2023Q3</v>
      </c>
    </row>
    <row r="4168" spans="4:18" x14ac:dyDescent="0.2">
      <c r="D4168" t="s">
        <v>104</v>
      </c>
      <c r="E4168" t="s">
        <v>105</v>
      </c>
      <c r="F4168" t="s">
        <v>106</v>
      </c>
      <c r="G4168" t="s">
        <v>152</v>
      </c>
      <c r="H4168" t="s">
        <v>152</v>
      </c>
      <c r="I4168" t="s">
        <v>32</v>
      </c>
      <c r="J4168" t="s">
        <v>33</v>
      </c>
      <c r="K4168" t="s">
        <v>47</v>
      </c>
      <c r="L4168" t="s">
        <v>48</v>
      </c>
      <c r="M4168" t="s">
        <v>139</v>
      </c>
      <c r="N4168">
        <v>1818</v>
      </c>
      <c r="O4168" s="14">
        <v>0.22138457791879801</v>
      </c>
      <c r="P4168" s="14">
        <v>0.21824956033378801</v>
      </c>
      <c r="Q4168" t="str">
        <f t="shared" si="130"/>
        <v>01-09</v>
      </c>
      <c r="R4168" t="str">
        <f t="shared" si="131"/>
        <v>[oiPR2CiVJbf]|01-09|Male|NEW_INFECTIONS_SUBNAT.T_1|CY2023Q3</v>
      </c>
    </row>
    <row r="4169" spans="4:18" x14ac:dyDescent="0.2">
      <c r="D4169" t="s">
        <v>104</v>
      </c>
      <c r="E4169" t="s">
        <v>105</v>
      </c>
      <c r="F4169" t="s">
        <v>106</v>
      </c>
      <c r="G4169" t="s">
        <v>152</v>
      </c>
      <c r="H4169" t="s">
        <v>152</v>
      </c>
      <c r="I4169" t="s">
        <v>35</v>
      </c>
      <c r="J4169" t="s">
        <v>36</v>
      </c>
      <c r="K4169" t="s">
        <v>47</v>
      </c>
      <c r="L4169" t="s">
        <v>48</v>
      </c>
      <c r="M4169" t="s">
        <v>139</v>
      </c>
      <c r="N4169">
        <v>542</v>
      </c>
      <c r="O4169" s="14">
        <v>0.96564392466098103</v>
      </c>
      <c r="P4169" s="14">
        <v>0.21824956033378801</v>
      </c>
      <c r="Q4169" t="str">
        <f t="shared" si="130"/>
        <v>10-14</v>
      </c>
      <c r="R4169" t="str">
        <f t="shared" si="131"/>
        <v>[oiPR2CiVJbf]|10-14|Male|NEW_INFECTIONS_SUBNAT.T_1|CY2023Q3</v>
      </c>
    </row>
    <row r="4170" spans="4:18" x14ac:dyDescent="0.2">
      <c r="D4170" t="s">
        <v>104</v>
      </c>
      <c r="E4170" t="s">
        <v>105</v>
      </c>
      <c r="F4170" t="s">
        <v>106</v>
      </c>
      <c r="G4170" t="s">
        <v>152</v>
      </c>
      <c r="H4170" t="s">
        <v>152</v>
      </c>
      <c r="I4170" t="s">
        <v>37</v>
      </c>
      <c r="J4170" t="s">
        <v>38</v>
      </c>
      <c r="K4170" t="s">
        <v>47</v>
      </c>
      <c r="L4170" t="s">
        <v>48</v>
      </c>
      <c r="M4170" t="s">
        <v>139</v>
      </c>
      <c r="N4170">
        <v>1433</v>
      </c>
      <c r="O4170" s="14">
        <v>0.70008253515698005</v>
      </c>
      <c r="P4170" s="14">
        <v>0.21824956033378801</v>
      </c>
      <c r="Q4170" t="str">
        <f t="shared" si="130"/>
        <v>15-24</v>
      </c>
      <c r="R4170" t="str">
        <f t="shared" si="131"/>
        <v>[oiPR2CiVJbf]|15-24|Male|NEW_INFECTIONS_SUBNAT.T_1|CY2023Q3</v>
      </c>
    </row>
    <row r="4171" spans="4:18" x14ac:dyDescent="0.2">
      <c r="D4171" t="s">
        <v>104</v>
      </c>
      <c r="E4171" t="s">
        <v>105</v>
      </c>
      <c r="F4171" t="s">
        <v>106</v>
      </c>
      <c r="G4171" t="s">
        <v>152</v>
      </c>
      <c r="H4171" t="s">
        <v>152</v>
      </c>
      <c r="I4171" t="s">
        <v>40</v>
      </c>
      <c r="J4171" t="s">
        <v>41</v>
      </c>
      <c r="K4171" t="s">
        <v>47</v>
      </c>
      <c r="L4171" t="s">
        <v>48</v>
      </c>
      <c r="M4171" t="s">
        <v>139</v>
      </c>
      <c r="N4171">
        <v>1777</v>
      </c>
      <c r="O4171" s="14">
        <v>2.5282100774347799E-2</v>
      </c>
      <c r="P4171" s="14">
        <v>0.21824956033378801</v>
      </c>
      <c r="Q4171" t="str">
        <f t="shared" si="130"/>
        <v>25-34</v>
      </c>
      <c r="R4171" t="str">
        <f t="shared" si="131"/>
        <v>[oiPR2CiVJbf]|25-34|Male|NEW_INFECTIONS_SUBNAT.T_1|CY2023Q3</v>
      </c>
    </row>
    <row r="4172" spans="4:18" x14ac:dyDescent="0.2">
      <c r="D4172" t="s">
        <v>104</v>
      </c>
      <c r="E4172" t="s">
        <v>105</v>
      </c>
      <c r="F4172" t="s">
        <v>106</v>
      </c>
      <c r="G4172" t="s">
        <v>152</v>
      </c>
      <c r="H4172" t="s">
        <v>152</v>
      </c>
      <c r="I4172" t="s">
        <v>42</v>
      </c>
      <c r="J4172" t="s">
        <v>43</v>
      </c>
      <c r="K4172" t="s">
        <v>47</v>
      </c>
      <c r="L4172" t="s">
        <v>48</v>
      </c>
      <c r="M4172" t="s">
        <v>139</v>
      </c>
      <c r="N4172">
        <v>1328</v>
      </c>
      <c r="O4172" s="14">
        <v>9.4193702330812798E-2</v>
      </c>
      <c r="P4172" s="14">
        <v>0.21824956033378801</v>
      </c>
      <c r="Q4172" t="str">
        <f t="shared" si="130"/>
        <v>35-49</v>
      </c>
      <c r="R4172" t="str">
        <f t="shared" si="131"/>
        <v>[oiPR2CiVJbf]|35-49|Male|NEW_INFECTIONS_SUBNAT.T_1|CY2023Q3</v>
      </c>
    </row>
    <row r="4173" spans="4:18" x14ac:dyDescent="0.2">
      <c r="D4173" t="s">
        <v>104</v>
      </c>
      <c r="E4173" t="s">
        <v>105</v>
      </c>
      <c r="F4173" t="s">
        <v>106</v>
      </c>
      <c r="G4173" t="s">
        <v>152</v>
      </c>
      <c r="H4173" t="s">
        <v>152</v>
      </c>
      <c r="I4173" t="s">
        <v>44</v>
      </c>
      <c r="J4173" t="s">
        <v>45</v>
      </c>
      <c r="K4173" t="s">
        <v>47</v>
      </c>
      <c r="L4173" t="s">
        <v>48</v>
      </c>
      <c r="M4173" t="s">
        <v>139</v>
      </c>
      <c r="N4173">
        <v>1146</v>
      </c>
      <c r="O4173" s="14">
        <v>0.90128857037052501</v>
      </c>
      <c r="P4173" s="14">
        <v>0.21824956033378801</v>
      </c>
      <c r="Q4173" t="str">
        <f t="shared" si="130"/>
        <v>50+</v>
      </c>
      <c r="R4173" t="str">
        <f t="shared" si="131"/>
        <v>[oiPR2CiVJbf]|50+|Male|NEW_INFECTIONS_SUBNAT.T_1|CY2023Q3</v>
      </c>
    </row>
    <row r="4174" spans="4:18" x14ac:dyDescent="0.2">
      <c r="D4174" t="s">
        <v>107</v>
      </c>
      <c r="E4174" t="s">
        <v>108</v>
      </c>
      <c r="F4174" t="s">
        <v>109</v>
      </c>
      <c r="G4174" t="s">
        <v>152</v>
      </c>
      <c r="H4174" t="s">
        <v>152</v>
      </c>
      <c r="I4174" t="s">
        <v>27</v>
      </c>
      <c r="J4174" t="s">
        <v>28</v>
      </c>
      <c r="K4174" t="s">
        <v>29</v>
      </c>
      <c r="L4174" t="s">
        <v>30</v>
      </c>
      <c r="M4174" t="s">
        <v>139</v>
      </c>
      <c r="N4174">
        <v>1754</v>
      </c>
      <c r="O4174" s="14">
        <v>0.54793393146246705</v>
      </c>
      <c r="P4174" s="14">
        <v>0.43422180437482899</v>
      </c>
      <c r="Q4174" t="str">
        <f t="shared" si="130"/>
        <v>&lt;01</v>
      </c>
      <c r="R4174" t="str">
        <f t="shared" si="131"/>
        <v>[ul0y9diGujK]|&lt;01|Female|NEW_INFECTIONS_SUBNAT.T_1|CY2023Q3</v>
      </c>
    </row>
    <row r="4175" spans="4:18" x14ac:dyDescent="0.2">
      <c r="D4175" t="s">
        <v>107</v>
      </c>
      <c r="E4175" t="s">
        <v>108</v>
      </c>
      <c r="F4175" t="s">
        <v>109</v>
      </c>
      <c r="G4175" t="s">
        <v>152</v>
      </c>
      <c r="H4175" t="s">
        <v>152</v>
      </c>
      <c r="I4175" t="s">
        <v>32</v>
      </c>
      <c r="J4175" t="s">
        <v>33</v>
      </c>
      <c r="K4175" t="s">
        <v>29</v>
      </c>
      <c r="L4175" t="s">
        <v>30</v>
      </c>
      <c r="M4175" t="s">
        <v>139</v>
      </c>
      <c r="N4175">
        <v>1494</v>
      </c>
      <c r="O4175" s="14">
        <v>0.85831107199192003</v>
      </c>
      <c r="P4175" s="14">
        <v>0.43422180437482899</v>
      </c>
      <c r="Q4175" t="str">
        <f t="shared" si="130"/>
        <v>01-09</v>
      </c>
      <c r="R4175" t="str">
        <f t="shared" si="131"/>
        <v>[ul0y9diGujK]|01-09|Female|NEW_INFECTIONS_SUBNAT.T_1|CY2023Q3</v>
      </c>
    </row>
    <row r="4176" spans="4:18" x14ac:dyDescent="0.2">
      <c r="D4176" t="s">
        <v>107</v>
      </c>
      <c r="E4176" t="s">
        <v>108</v>
      </c>
      <c r="F4176" t="s">
        <v>109</v>
      </c>
      <c r="G4176" t="s">
        <v>152</v>
      </c>
      <c r="H4176" t="s">
        <v>152</v>
      </c>
      <c r="I4176" t="s">
        <v>35</v>
      </c>
      <c r="J4176" t="s">
        <v>36</v>
      </c>
      <c r="K4176" t="s">
        <v>29</v>
      </c>
      <c r="L4176" t="s">
        <v>30</v>
      </c>
      <c r="M4176" t="s">
        <v>139</v>
      </c>
      <c r="N4176">
        <v>1564</v>
      </c>
      <c r="O4176" s="14">
        <v>0.170807984191924</v>
      </c>
      <c r="P4176" s="14">
        <v>0.43422180437482899</v>
      </c>
      <c r="Q4176" t="str">
        <f t="shared" si="130"/>
        <v>10-14</v>
      </c>
      <c r="R4176" t="str">
        <f t="shared" si="131"/>
        <v>[ul0y9diGujK]|10-14|Female|NEW_INFECTIONS_SUBNAT.T_1|CY2023Q3</v>
      </c>
    </row>
    <row r="4177" spans="4:18" x14ac:dyDescent="0.2">
      <c r="D4177" t="s">
        <v>107</v>
      </c>
      <c r="E4177" t="s">
        <v>108</v>
      </c>
      <c r="F4177" t="s">
        <v>109</v>
      </c>
      <c r="G4177" t="s">
        <v>152</v>
      </c>
      <c r="H4177" t="s">
        <v>152</v>
      </c>
      <c r="I4177" t="s">
        <v>37</v>
      </c>
      <c r="J4177" t="s">
        <v>38</v>
      </c>
      <c r="K4177" t="s">
        <v>29</v>
      </c>
      <c r="L4177" t="s">
        <v>30</v>
      </c>
      <c r="M4177" t="s">
        <v>139</v>
      </c>
      <c r="N4177">
        <v>1481</v>
      </c>
      <c r="O4177" s="14">
        <v>0.42084019747562701</v>
      </c>
      <c r="P4177" s="14">
        <v>0.43422180437482899</v>
      </c>
      <c r="Q4177" t="str">
        <f t="shared" si="130"/>
        <v>15-24</v>
      </c>
      <c r="R4177" t="str">
        <f t="shared" si="131"/>
        <v>[ul0y9diGujK]|15-24|Female|NEW_INFECTIONS_SUBNAT.T_1|CY2023Q3</v>
      </c>
    </row>
    <row r="4178" spans="4:18" x14ac:dyDescent="0.2">
      <c r="D4178" t="s">
        <v>107</v>
      </c>
      <c r="E4178" t="s">
        <v>108</v>
      </c>
      <c r="F4178" t="s">
        <v>109</v>
      </c>
      <c r="G4178" t="s">
        <v>152</v>
      </c>
      <c r="H4178" t="s">
        <v>152</v>
      </c>
      <c r="I4178" t="s">
        <v>40</v>
      </c>
      <c r="J4178" t="s">
        <v>41</v>
      </c>
      <c r="K4178" t="s">
        <v>29</v>
      </c>
      <c r="L4178" t="s">
        <v>30</v>
      </c>
      <c r="M4178" t="s">
        <v>139</v>
      </c>
      <c r="N4178">
        <v>1041</v>
      </c>
      <c r="O4178" s="14">
        <v>0.35789175564423198</v>
      </c>
      <c r="P4178" s="14">
        <v>0.43422180437482899</v>
      </c>
      <c r="Q4178" t="str">
        <f t="shared" si="130"/>
        <v>25-34</v>
      </c>
      <c r="R4178" t="str">
        <f t="shared" si="131"/>
        <v>[ul0y9diGujK]|25-34|Female|NEW_INFECTIONS_SUBNAT.T_1|CY2023Q3</v>
      </c>
    </row>
    <row r="4179" spans="4:18" x14ac:dyDescent="0.2">
      <c r="D4179" t="s">
        <v>107</v>
      </c>
      <c r="E4179" t="s">
        <v>108</v>
      </c>
      <c r="F4179" t="s">
        <v>109</v>
      </c>
      <c r="G4179" t="s">
        <v>152</v>
      </c>
      <c r="H4179" t="s">
        <v>152</v>
      </c>
      <c r="I4179" t="s">
        <v>42</v>
      </c>
      <c r="J4179" t="s">
        <v>43</v>
      </c>
      <c r="K4179" t="s">
        <v>29</v>
      </c>
      <c r="L4179" t="s">
        <v>30</v>
      </c>
      <c r="M4179" t="s">
        <v>139</v>
      </c>
      <c r="N4179">
        <v>1506</v>
      </c>
      <c r="O4179" s="14">
        <v>0.27089566923677899</v>
      </c>
      <c r="P4179" s="14">
        <v>0.43422180437482899</v>
      </c>
      <c r="Q4179" t="str">
        <f t="shared" si="130"/>
        <v>35-49</v>
      </c>
      <c r="R4179" t="str">
        <f t="shared" si="131"/>
        <v>[ul0y9diGujK]|35-49|Female|NEW_INFECTIONS_SUBNAT.T_1|CY2023Q3</v>
      </c>
    </row>
    <row r="4180" spans="4:18" x14ac:dyDescent="0.2">
      <c r="D4180" t="s">
        <v>107</v>
      </c>
      <c r="E4180" t="s">
        <v>108</v>
      </c>
      <c r="F4180" t="s">
        <v>109</v>
      </c>
      <c r="G4180" t="s">
        <v>152</v>
      </c>
      <c r="H4180" t="s">
        <v>152</v>
      </c>
      <c r="I4180" t="s">
        <v>44</v>
      </c>
      <c r="J4180" t="s">
        <v>45</v>
      </c>
      <c r="K4180" t="s">
        <v>29</v>
      </c>
      <c r="L4180" t="s">
        <v>30</v>
      </c>
      <c r="M4180" t="s">
        <v>139</v>
      </c>
      <c r="N4180">
        <v>1408</v>
      </c>
      <c r="O4180" s="14">
        <v>0.33268832042813301</v>
      </c>
      <c r="P4180" s="14">
        <v>0.43422180437482899</v>
      </c>
      <c r="Q4180" t="str">
        <f t="shared" si="130"/>
        <v>50+</v>
      </c>
      <c r="R4180" t="str">
        <f t="shared" si="131"/>
        <v>[ul0y9diGujK]|50+|Female|NEW_INFECTIONS_SUBNAT.T_1|CY2023Q3</v>
      </c>
    </row>
    <row r="4181" spans="4:18" x14ac:dyDescent="0.2">
      <c r="D4181" t="s">
        <v>107</v>
      </c>
      <c r="E4181" t="s">
        <v>108</v>
      </c>
      <c r="F4181" t="s">
        <v>109</v>
      </c>
      <c r="G4181" t="s">
        <v>152</v>
      </c>
      <c r="H4181" t="s">
        <v>152</v>
      </c>
      <c r="I4181" t="s">
        <v>27</v>
      </c>
      <c r="J4181" t="s">
        <v>28</v>
      </c>
      <c r="K4181" t="s">
        <v>47</v>
      </c>
      <c r="L4181" t="s">
        <v>48</v>
      </c>
      <c r="M4181" t="s">
        <v>139</v>
      </c>
      <c r="N4181">
        <v>758</v>
      </c>
      <c r="O4181" s="14">
        <v>0.64354271721094802</v>
      </c>
      <c r="P4181" s="14">
        <v>0.43422180437482899</v>
      </c>
      <c r="Q4181" t="str">
        <f t="shared" si="130"/>
        <v>&lt;01</v>
      </c>
      <c r="R4181" t="str">
        <f t="shared" si="131"/>
        <v>[ul0y9diGujK]|&lt;01|Male|NEW_INFECTIONS_SUBNAT.T_1|CY2023Q3</v>
      </c>
    </row>
    <row r="4182" spans="4:18" x14ac:dyDescent="0.2">
      <c r="D4182" t="s">
        <v>107</v>
      </c>
      <c r="E4182" t="s">
        <v>108</v>
      </c>
      <c r="F4182" t="s">
        <v>109</v>
      </c>
      <c r="G4182" t="s">
        <v>152</v>
      </c>
      <c r="H4182" t="s">
        <v>152</v>
      </c>
      <c r="I4182" t="s">
        <v>32</v>
      </c>
      <c r="J4182" t="s">
        <v>33</v>
      </c>
      <c r="K4182" t="s">
        <v>47</v>
      </c>
      <c r="L4182" t="s">
        <v>48</v>
      </c>
      <c r="M4182" t="s">
        <v>139</v>
      </c>
      <c r="N4182">
        <v>1721</v>
      </c>
      <c r="O4182" s="14">
        <v>0.82709406595677104</v>
      </c>
      <c r="P4182" s="14">
        <v>0.43422180437482899</v>
      </c>
      <c r="Q4182" t="str">
        <f t="shared" si="130"/>
        <v>01-09</v>
      </c>
      <c r="R4182" t="str">
        <f t="shared" si="131"/>
        <v>[ul0y9diGujK]|01-09|Male|NEW_INFECTIONS_SUBNAT.T_1|CY2023Q3</v>
      </c>
    </row>
    <row r="4183" spans="4:18" x14ac:dyDescent="0.2">
      <c r="D4183" t="s">
        <v>107</v>
      </c>
      <c r="E4183" t="s">
        <v>108</v>
      </c>
      <c r="F4183" t="s">
        <v>109</v>
      </c>
      <c r="G4183" t="s">
        <v>152</v>
      </c>
      <c r="H4183" t="s">
        <v>152</v>
      </c>
      <c r="I4183" t="s">
        <v>35</v>
      </c>
      <c r="J4183" t="s">
        <v>36</v>
      </c>
      <c r="K4183" t="s">
        <v>47</v>
      </c>
      <c r="L4183" t="s">
        <v>48</v>
      </c>
      <c r="M4183" t="s">
        <v>139</v>
      </c>
      <c r="N4183">
        <v>549</v>
      </c>
      <c r="O4183" s="14">
        <v>0.100400095572695</v>
      </c>
      <c r="P4183" s="14">
        <v>0.43422180437482899</v>
      </c>
      <c r="Q4183" t="str">
        <f t="shared" si="130"/>
        <v>10-14</v>
      </c>
      <c r="R4183" t="str">
        <f t="shared" si="131"/>
        <v>[ul0y9diGujK]|10-14|Male|NEW_INFECTIONS_SUBNAT.T_1|CY2023Q3</v>
      </c>
    </row>
    <row r="4184" spans="4:18" x14ac:dyDescent="0.2">
      <c r="D4184" t="s">
        <v>107</v>
      </c>
      <c r="E4184" t="s">
        <v>108</v>
      </c>
      <c r="F4184" t="s">
        <v>109</v>
      </c>
      <c r="G4184" t="s">
        <v>152</v>
      </c>
      <c r="H4184" t="s">
        <v>152</v>
      </c>
      <c r="I4184" t="s">
        <v>37</v>
      </c>
      <c r="J4184" t="s">
        <v>38</v>
      </c>
      <c r="K4184" t="s">
        <v>47</v>
      </c>
      <c r="L4184" t="s">
        <v>48</v>
      </c>
      <c r="M4184" t="s">
        <v>139</v>
      </c>
      <c r="N4184">
        <v>1638</v>
      </c>
      <c r="O4184" s="14">
        <v>0.45054075750522299</v>
      </c>
      <c r="P4184" s="14">
        <v>0.43422180437482899</v>
      </c>
      <c r="Q4184" t="str">
        <f t="shared" si="130"/>
        <v>15-24</v>
      </c>
      <c r="R4184" t="str">
        <f t="shared" si="131"/>
        <v>[ul0y9diGujK]|15-24|Male|NEW_INFECTIONS_SUBNAT.T_1|CY2023Q3</v>
      </c>
    </row>
    <row r="4185" spans="4:18" x14ac:dyDescent="0.2">
      <c r="D4185" t="s">
        <v>107</v>
      </c>
      <c r="E4185" t="s">
        <v>108</v>
      </c>
      <c r="F4185" t="s">
        <v>109</v>
      </c>
      <c r="G4185" t="s">
        <v>152</v>
      </c>
      <c r="H4185" t="s">
        <v>152</v>
      </c>
      <c r="I4185" t="s">
        <v>40</v>
      </c>
      <c r="J4185" t="s">
        <v>41</v>
      </c>
      <c r="K4185" t="s">
        <v>47</v>
      </c>
      <c r="L4185" t="s">
        <v>48</v>
      </c>
      <c r="M4185" t="s">
        <v>139</v>
      </c>
      <c r="N4185">
        <v>500</v>
      </c>
      <c r="O4185" s="14">
        <v>7.9605930717662005E-2</v>
      </c>
      <c r="P4185" s="14">
        <v>0.43422180437482899</v>
      </c>
      <c r="Q4185" t="str">
        <f t="shared" si="130"/>
        <v>25-34</v>
      </c>
      <c r="R4185" t="str">
        <f t="shared" si="131"/>
        <v>[ul0y9diGujK]|25-34|Male|NEW_INFECTIONS_SUBNAT.T_1|CY2023Q3</v>
      </c>
    </row>
    <row r="4186" spans="4:18" x14ac:dyDescent="0.2">
      <c r="D4186" t="s">
        <v>107</v>
      </c>
      <c r="E4186" t="s">
        <v>108</v>
      </c>
      <c r="F4186" t="s">
        <v>109</v>
      </c>
      <c r="G4186" t="s">
        <v>152</v>
      </c>
      <c r="H4186" t="s">
        <v>152</v>
      </c>
      <c r="I4186" t="s">
        <v>42</v>
      </c>
      <c r="J4186" t="s">
        <v>43</v>
      </c>
      <c r="K4186" t="s">
        <v>47</v>
      </c>
      <c r="L4186" t="s">
        <v>48</v>
      </c>
      <c r="M4186" t="s">
        <v>139</v>
      </c>
      <c r="N4186">
        <v>520</v>
      </c>
      <c r="O4186" s="14">
        <v>0.88375232554972205</v>
      </c>
      <c r="P4186" s="14">
        <v>0.43422180437482899</v>
      </c>
      <c r="Q4186" t="str">
        <f t="shared" si="130"/>
        <v>35-49</v>
      </c>
      <c r="R4186" t="str">
        <f t="shared" si="131"/>
        <v>[ul0y9diGujK]|35-49|Male|NEW_INFECTIONS_SUBNAT.T_1|CY2023Q3</v>
      </c>
    </row>
    <row r="4187" spans="4:18" x14ac:dyDescent="0.2">
      <c r="D4187" t="s">
        <v>107</v>
      </c>
      <c r="E4187" t="s">
        <v>108</v>
      </c>
      <c r="F4187" t="s">
        <v>109</v>
      </c>
      <c r="G4187" t="s">
        <v>152</v>
      </c>
      <c r="H4187" t="s">
        <v>152</v>
      </c>
      <c r="I4187" t="s">
        <v>44</v>
      </c>
      <c r="J4187" t="s">
        <v>45</v>
      </c>
      <c r="K4187" t="s">
        <v>47</v>
      </c>
      <c r="L4187" t="s">
        <v>48</v>
      </c>
      <c r="M4187" t="s">
        <v>139</v>
      </c>
      <c r="N4187">
        <v>948</v>
      </c>
      <c r="O4187" s="14">
        <v>0.918722185771912</v>
      </c>
      <c r="P4187" s="14">
        <v>0.43422180437482899</v>
      </c>
      <c r="Q4187" t="str">
        <f t="shared" si="130"/>
        <v>50+</v>
      </c>
      <c r="R4187" t="str">
        <f t="shared" si="131"/>
        <v>[ul0y9diGujK]|50+|Male|NEW_INFECTIONS_SUBNAT.T_1|CY2023Q3</v>
      </c>
    </row>
    <row r="4188" spans="4:18" x14ac:dyDescent="0.2">
      <c r="D4188" t="s">
        <v>110</v>
      </c>
      <c r="E4188" t="s">
        <v>111</v>
      </c>
      <c r="F4188" t="s">
        <v>112</v>
      </c>
      <c r="G4188" t="s">
        <v>152</v>
      </c>
      <c r="H4188" t="s">
        <v>152</v>
      </c>
      <c r="I4188" t="s">
        <v>27</v>
      </c>
      <c r="J4188" t="s">
        <v>28</v>
      </c>
      <c r="K4188" t="s">
        <v>29</v>
      </c>
      <c r="L4188" t="s">
        <v>30</v>
      </c>
      <c r="M4188" t="s">
        <v>139</v>
      </c>
      <c r="N4188">
        <v>1325</v>
      </c>
      <c r="O4188" s="14">
        <v>0.21912337909452601</v>
      </c>
      <c r="P4188" s="14">
        <v>0.33776879496872397</v>
      </c>
      <c r="Q4188" t="str">
        <f t="shared" si="130"/>
        <v>&lt;01</v>
      </c>
      <c r="R4188" t="str">
        <f t="shared" si="131"/>
        <v>[U8c0so51kT6]|&lt;01|Female|NEW_INFECTIONS_SUBNAT.T_1|CY2023Q3</v>
      </c>
    </row>
    <row r="4189" spans="4:18" x14ac:dyDescent="0.2">
      <c r="D4189" t="s">
        <v>110</v>
      </c>
      <c r="E4189" t="s">
        <v>111</v>
      </c>
      <c r="F4189" t="s">
        <v>112</v>
      </c>
      <c r="G4189" t="s">
        <v>152</v>
      </c>
      <c r="H4189" t="s">
        <v>152</v>
      </c>
      <c r="I4189" t="s">
        <v>32</v>
      </c>
      <c r="J4189" t="s">
        <v>33</v>
      </c>
      <c r="K4189" t="s">
        <v>29</v>
      </c>
      <c r="L4189" t="s">
        <v>30</v>
      </c>
      <c r="M4189" t="s">
        <v>139</v>
      </c>
      <c r="N4189">
        <v>1316</v>
      </c>
      <c r="O4189" s="14">
        <v>0.265946448547766</v>
      </c>
      <c r="P4189" s="14">
        <v>0.33776879496872397</v>
      </c>
      <c r="Q4189" t="str">
        <f t="shared" si="130"/>
        <v>01-09</v>
      </c>
      <c r="R4189" t="str">
        <f t="shared" si="131"/>
        <v>[U8c0so51kT6]|01-09|Female|NEW_INFECTIONS_SUBNAT.T_1|CY2023Q3</v>
      </c>
    </row>
    <row r="4190" spans="4:18" x14ac:dyDescent="0.2">
      <c r="D4190" t="s">
        <v>110</v>
      </c>
      <c r="E4190" t="s">
        <v>111</v>
      </c>
      <c r="F4190" t="s">
        <v>112</v>
      </c>
      <c r="G4190" t="s">
        <v>152</v>
      </c>
      <c r="H4190" t="s">
        <v>152</v>
      </c>
      <c r="I4190" t="s">
        <v>35</v>
      </c>
      <c r="J4190" t="s">
        <v>36</v>
      </c>
      <c r="K4190" t="s">
        <v>29</v>
      </c>
      <c r="L4190" t="s">
        <v>30</v>
      </c>
      <c r="M4190" t="s">
        <v>139</v>
      </c>
      <c r="N4190">
        <v>1639</v>
      </c>
      <c r="O4190" s="14">
        <v>0.59681561519391801</v>
      </c>
      <c r="P4190" s="14">
        <v>0.33776879496872397</v>
      </c>
      <c r="Q4190" t="str">
        <f t="shared" si="130"/>
        <v>10-14</v>
      </c>
      <c r="R4190" t="str">
        <f t="shared" si="131"/>
        <v>[U8c0so51kT6]|10-14|Female|NEW_INFECTIONS_SUBNAT.T_1|CY2023Q3</v>
      </c>
    </row>
    <row r="4191" spans="4:18" x14ac:dyDescent="0.2">
      <c r="D4191" t="s">
        <v>110</v>
      </c>
      <c r="E4191" t="s">
        <v>111</v>
      </c>
      <c r="F4191" t="s">
        <v>112</v>
      </c>
      <c r="G4191" t="s">
        <v>152</v>
      </c>
      <c r="H4191" t="s">
        <v>152</v>
      </c>
      <c r="I4191" t="s">
        <v>37</v>
      </c>
      <c r="J4191" t="s">
        <v>38</v>
      </c>
      <c r="K4191" t="s">
        <v>29</v>
      </c>
      <c r="L4191" t="s">
        <v>30</v>
      </c>
      <c r="M4191" t="s">
        <v>139</v>
      </c>
      <c r="N4191">
        <v>1780</v>
      </c>
      <c r="O4191" s="14">
        <v>0.38823150796815797</v>
      </c>
      <c r="P4191" s="14">
        <v>0.33776879496872397</v>
      </c>
      <c r="Q4191" t="str">
        <f t="shared" si="130"/>
        <v>15-24</v>
      </c>
      <c r="R4191" t="str">
        <f t="shared" si="131"/>
        <v>[U8c0so51kT6]|15-24|Female|NEW_INFECTIONS_SUBNAT.T_1|CY2023Q3</v>
      </c>
    </row>
    <row r="4192" spans="4:18" x14ac:dyDescent="0.2">
      <c r="D4192" t="s">
        <v>110</v>
      </c>
      <c r="E4192" t="s">
        <v>111</v>
      </c>
      <c r="F4192" t="s">
        <v>112</v>
      </c>
      <c r="G4192" t="s">
        <v>152</v>
      </c>
      <c r="H4192" t="s">
        <v>152</v>
      </c>
      <c r="I4192" t="s">
        <v>40</v>
      </c>
      <c r="J4192" t="s">
        <v>41</v>
      </c>
      <c r="K4192" t="s">
        <v>29</v>
      </c>
      <c r="L4192" t="s">
        <v>30</v>
      </c>
      <c r="M4192" t="s">
        <v>139</v>
      </c>
      <c r="N4192">
        <v>1703</v>
      </c>
      <c r="O4192" s="14">
        <v>0.23272270848974599</v>
      </c>
      <c r="P4192" s="14">
        <v>0.33776879496872397</v>
      </c>
      <c r="Q4192" t="str">
        <f t="shared" si="130"/>
        <v>25-34</v>
      </c>
      <c r="R4192" t="str">
        <f t="shared" si="131"/>
        <v>[U8c0so51kT6]|25-34|Female|NEW_INFECTIONS_SUBNAT.T_1|CY2023Q3</v>
      </c>
    </row>
    <row r="4193" spans="4:18" x14ac:dyDescent="0.2">
      <c r="D4193" t="s">
        <v>110</v>
      </c>
      <c r="E4193" t="s">
        <v>111</v>
      </c>
      <c r="F4193" t="s">
        <v>112</v>
      </c>
      <c r="G4193" t="s">
        <v>152</v>
      </c>
      <c r="H4193" t="s">
        <v>152</v>
      </c>
      <c r="I4193" t="s">
        <v>42</v>
      </c>
      <c r="J4193" t="s">
        <v>43</v>
      </c>
      <c r="K4193" t="s">
        <v>29</v>
      </c>
      <c r="L4193" t="s">
        <v>30</v>
      </c>
      <c r="M4193" t="s">
        <v>139</v>
      </c>
      <c r="N4193">
        <v>1125</v>
      </c>
      <c r="O4193" s="14">
        <v>0.36532610352151101</v>
      </c>
      <c r="P4193" s="14">
        <v>0.33776879496872397</v>
      </c>
      <c r="Q4193" t="str">
        <f t="shared" si="130"/>
        <v>35-49</v>
      </c>
      <c r="R4193" t="str">
        <f t="shared" si="131"/>
        <v>[U8c0so51kT6]|35-49|Female|NEW_INFECTIONS_SUBNAT.T_1|CY2023Q3</v>
      </c>
    </row>
    <row r="4194" spans="4:18" x14ac:dyDescent="0.2">
      <c r="D4194" t="s">
        <v>110</v>
      </c>
      <c r="E4194" t="s">
        <v>111</v>
      </c>
      <c r="F4194" t="s">
        <v>112</v>
      </c>
      <c r="G4194" t="s">
        <v>152</v>
      </c>
      <c r="H4194" t="s">
        <v>152</v>
      </c>
      <c r="I4194" t="s">
        <v>44</v>
      </c>
      <c r="J4194" t="s">
        <v>45</v>
      </c>
      <c r="K4194" t="s">
        <v>29</v>
      </c>
      <c r="L4194" t="s">
        <v>30</v>
      </c>
      <c r="M4194" t="s">
        <v>139</v>
      </c>
      <c r="N4194">
        <v>1096</v>
      </c>
      <c r="O4194" s="14">
        <v>0.76978407683782302</v>
      </c>
      <c r="P4194" s="14">
        <v>0.33776879496872397</v>
      </c>
      <c r="Q4194" t="str">
        <f t="shared" si="130"/>
        <v>50+</v>
      </c>
      <c r="R4194" t="str">
        <f t="shared" si="131"/>
        <v>[U8c0so51kT6]|50+|Female|NEW_INFECTIONS_SUBNAT.T_1|CY2023Q3</v>
      </c>
    </row>
    <row r="4195" spans="4:18" x14ac:dyDescent="0.2">
      <c r="D4195" t="s">
        <v>110</v>
      </c>
      <c r="E4195" t="s">
        <v>111</v>
      </c>
      <c r="F4195" t="s">
        <v>112</v>
      </c>
      <c r="G4195" t="s">
        <v>152</v>
      </c>
      <c r="H4195" t="s">
        <v>152</v>
      </c>
      <c r="I4195" t="s">
        <v>27</v>
      </c>
      <c r="J4195" t="s">
        <v>28</v>
      </c>
      <c r="K4195" t="s">
        <v>47</v>
      </c>
      <c r="L4195" t="s">
        <v>48</v>
      </c>
      <c r="M4195" t="s">
        <v>139</v>
      </c>
      <c r="N4195">
        <v>1591</v>
      </c>
      <c r="O4195" s="14">
        <v>0.253728896845132</v>
      </c>
      <c r="P4195" s="14">
        <v>0.33776879496872397</v>
      </c>
      <c r="Q4195" t="str">
        <f t="shared" si="130"/>
        <v>&lt;01</v>
      </c>
      <c r="R4195" t="str">
        <f t="shared" si="131"/>
        <v>[U8c0so51kT6]|&lt;01|Male|NEW_INFECTIONS_SUBNAT.T_1|CY2023Q3</v>
      </c>
    </row>
    <row r="4196" spans="4:18" x14ac:dyDescent="0.2">
      <c r="D4196" t="s">
        <v>110</v>
      </c>
      <c r="E4196" t="s">
        <v>111</v>
      </c>
      <c r="F4196" t="s">
        <v>112</v>
      </c>
      <c r="G4196" t="s">
        <v>152</v>
      </c>
      <c r="H4196" t="s">
        <v>152</v>
      </c>
      <c r="I4196" t="s">
        <v>32</v>
      </c>
      <c r="J4196" t="s">
        <v>33</v>
      </c>
      <c r="K4196" t="s">
        <v>47</v>
      </c>
      <c r="L4196" t="s">
        <v>48</v>
      </c>
      <c r="M4196" t="s">
        <v>139</v>
      </c>
      <c r="N4196">
        <v>922</v>
      </c>
      <c r="O4196" s="14">
        <v>0.72438246011733998</v>
      </c>
      <c r="P4196" s="14">
        <v>0.33776879496872397</v>
      </c>
      <c r="Q4196" t="str">
        <f t="shared" si="130"/>
        <v>01-09</v>
      </c>
      <c r="R4196" t="str">
        <f t="shared" si="131"/>
        <v>[U8c0so51kT6]|01-09|Male|NEW_INFECTIONS_SUBNAT.T_1|CY2023Q3</v>
      </c>
    </row>
    <row r="4197" spans="4:18" x14ac:dyDescent="0.2">
      <c r="D4197" t="s">
        <v>110</v>
      </c>
      <c r="E4197" t="s">
        <v>111</v>
      </c>
      <c r="F4197" t="s">
        <v>112</v>
      </c>
      <c r="G4197" t="s">
        <v>152</v>
      </c>
      <c r="H4197" t="s">
        <v>152</v>
      </c>
      <c r="I4197" t="s">
        <v>35</v>
      </c>
      <c r="J4197" t="s">
        <v>36</v>
      </c>
      <c r="K4197" t="s">
        <v>47</v>
      </c>
      <c r="L4197" t="s">
        <v>48</v>
      </c>
      <c r="M4197" t="s">
        <v>139</v>
      </c>
      <c r="N4197">
        <v>1825</v>
      </c>
      <c r="O4197" s="14">
        <v>0.39614390209317202</v>
      </c>
      <c r="P4197" s="14">
        <v>0.33776879496872397</v>
      </c>
      <c r="Q4197" t="str">
        <f t="shared" si="130"/>
        <v>10-14</v>
      </c>
      <c r="R4197" t="str">
        <f t="shared" si="131"/>
        <v>[U8c0so51kT6]|10-14|Male|NEW_INFECTIONS_SUBNAT.T_1|CY2023Q3</v>
      </c>
    </row>
    <row r="4198" spans="4:18" x14ac:dyDescent="0.2">
      <c r="D4198" t="s">
        <v>110</v>
      </c>
      <c r="E4198" t="s">
        <v>111</v>
      </c>
      <c r="F4198" t="s">
        <v>112</v>
      </c>
      <c r="G4198" t="s">
        <v>152</v>
      </c>
      <c r="H4198" t="s">
        <v>152</v>
      </c>
      <c r="I4198" t="s">
        <v>37</v>
      </c>
      <c r="J4198" t="s">
        <v>38</v>
      </c>
      <c r="K4198" t="s">
        <v>47</v>
      </c>
      <c r="L4198" t="s">
        <v>48</v>
      </c>
      <c r="M4198" t="s">
        <v>139</v>
      </c>
      <c r="N4198">
        <v>622</v>
      </c>
      <c r="O4198" s="14">
        <v>0.70087434048764397</v>
      </c>
      <c r="P4198" s="14">
        <v>0.33776879496872397</v>
      </c>
      <c r="Q4198" t="str">
        <f t="shared" si="130"/>
        <v>15-24</v>
      </c>
      <c r="R4198" t="str">
        <f t="shared" si="131"/>
        <v>[U8c0so51kT6]|15-24|Male|NEW_INFECTIONS_SUBNAT.T_1|CY2023Q3</v>
      </c>
    </row>
    <row r="4199" spans="4:18" x14ac:dyDescent="0.2">
      <c r="D4199" t="s">
        <v>110</v>
      </c>
      <c r="E4199" t="s">
        <v>111</v>
      </c>
      <c r="F4199" t="s">
        <v>112</v>
      </c>
      <c r="G4199" t="s">
        <v>152</v>
      </c>
      <c r="H4199" t="s">
        <v>152</v>
      </c>
      <c r="I4199" t="s">
        <v>40</v>
      </c>
      <c r="J4199" t="s">
        <v>41</v>
      </c>
      <c r="K4199" t="s">
        <v>47</v>
      </c>
      <c r="L4199" t="s">
        <v>48</v>
      </c>
      <c r="M4199" t="s">
        <v>139</v>
      </c>
      <c r="N4199">
        <v>1565</v>
      </c>
      <c r="O4199" s="14">
        <v>0.63057399378158197</v>
      </c>
      <c r="P4199" s="14">
        <v>0.33776879496872397</v>
      </c>
      <c r="Q4199" t="str">
        <f t="shared" si="130"/>
        <v>25-34</v>
      </c>
      <c r="R4199" t="str">
        <f t="shared" si="131"/>
        <v>[U8c0so51kT6]|25-34|Male|NEW_INFECTIONS_SUBNAT.T_1|CY2023Q3</v>
      </c>
    </row>
    <row r="4200" spans="4:18" x14ac:dyDescent="0.2">
      <c r="D4200" t="s">
        <v>110</v>
      </c>
      <c r="E4200" t="s">
        <v>111</v>
      </c>
      <c r="F4200" t="s">
        <v>112</v>
      </c>
      <c r="G4200" t="s">
        <v>152</v>
      </c>
      <c r="H4200" t="s">
        <v>152</v>
      </c>
      <c r="I4200" t="s">
        <v>42</v>
      </c>
      <c r="J4200" t="s">
        <v>43</v>
      </c>
      <c r="K4200" t="s">
        <v>47</v>
      </c>
      <c r="L4200" t="s">
        <v>48</v>
      </c>
      <c r="M4200" t="s">
        <v>139</v>
      </c>
      <c r="N4200">
        <v>1577</v>
      </c>
      <c r="O4200" s="14">
        <v>0.92574017564766098</v>
      </c>
      <c r="P4200" s="14">
        <v>0.33776879496872397</v>
      </c>
      <c r="Q4200" t="str">
        <f t="shared" si="130"/>
        <v>35-49</v>
      </c>
      <c r="R4200" t="str">
        <f t="shared" si="131"/>
        <v>[U8c0so51kT6]|35-49|Male|NEW_INFECTIONS_SUBNAT.T_1|CY2023Q3</v>
      </c>
    </row>
    <row r="4201" spans="4:18" x14ac:dyDescent="0.2">
      <c r="D4201" t="s">
        <v>110</v>
      </c>
      <c r="E4201" t="s">
        <v>111</v>
      </c>
      <c r="F4201" t="s">
        <v>112</v>
      </c>
      <c r="G4201" t="s">
        <v>152</v>
      </c>
      <c r="H4201" t="s">
        <v>152</v>
      </c>
      <c r="I4201" t="s">
        <v>44</v>
      </c>
      <c r="J4201" t="s">
        <v>45</v>
      </c>
      <c r="K4201" t="s">
        <v>47</v>
      </c>
      <c r="L4201" t="s">
        <v>48</v>
      </c>
      <c r="M4201" t="s">
        <v>139</v>
      </c>
      <c r="N4201">
        <v>620</v>
      </c>
      <c r="O4201" s="14">
        <v>0.63238549139350697</v>
      </c>
      <c r="P4201" s="14">
        <v>0.33776879496872397</v>
      </c>
      <c r="Q4201" t="str">
        <f t="shared" si="130"/>
        <v>50+</v>
      </c>
      <c r="R4201" t="str">
        <f t="shared" si="131"/>
        <v>[U8c0so51kT6]|50+|Male|NEW_INFECTIONS_SUBNAT.T_1|CY2023Q3</v>
      </c>
    </row>
    <row r="4202" spans="4:18" x14ac:dyDescent="0.2">
      <c r="D4202" t="s">
        <v>113</v>
      </c>
      <c r="E4202" t="s">
        <v>114</v>
      </c>
      <c r="F4202" t="s">
        <v>115</v>
      </c>
      <c r="G4202" t="s">
        <v>152</v>
      </c>
      <c r="H4202" t="s">
        <v>152</v>
      </c>
      <c r="I4202" t="s">
        <v>27</v>
      </c>
      <c r="J4202" t="s">
        <v>28</v>
      </c>
      <c r="K4202" t="s">
        <v>29</v>
      </c>
      <c r="L4202" t="s">
        <v>30</v>
      </c>
      <c r="M4202" t="s">
        <v>139</v>
      </c>
      <c r="N4202">
        <v>1223</v>
      </c>
      <c r="O4202" s="14">
        <v>0.658206869615242</v>
      </c>
      <c r="P4202" s="14">
        <v>0.29855980910360802</v>
      </c>
      <c r="Q4202" t="str">
        <f t="shared" si="130"/>
        <v>&lt;01</v>
      </c>
      <c r="R4202" t="str">
        <f t="shared" si="131"/>
        <v>[rpw540fmNUz]|&lt;01|Female|NEW_INFECTIONS_SUBNAT.T_1|CY2023Q3</v>
      </c>
    </row>
    <row r="4203" spans="4:18" x14ac:dyDescent="0.2">
      <c r="D4203" t="s">
        <v>113</v>
      </c>
      <c r="E4203" t="s">
        <v>114</v>
      </c>
      <c r="F4203" t="s">
        <v>115</v>
      </c>
      <c r="G4203" t="s">
        <v>152</v>
      </c>
      <c r="H4203" t="s">
        <v>152</v>
      </c>
      <c r="I4203" t="s">
        <v>32</v>
      </c>
      <c r="J4203" t="s">
        <v>33</v>
      </c>
      <c r="K4203" t="s">
        <v>29</v>
      </c>
      <c r="L4203" t="s">
        <v>30</v>
      </c>
      <c r="M4203" t="s">
        <v>139</v>
      </c>
      <c r="N4203">
        <v>773</v>
      </c>
      <c r="O4203" s="14">
        <v>4.4868078548461199E-3</v>
      </c>
      <c r="P4203" s="14">
        <v>0.29855980910360802</v>
      </c>
      <c r="Q4203" t="str">
        <f t="shared" si="130"/>
        <v>01-09</v>
      </c>
      <c r="R4203" t="str">
        <f t="shared" si="131"/>
        <v>[rpw540fmNUz]|01-09|Female|NEW_INFECTIONS_SUBNAT.T_1|CY2023Q3</v>
      </c>
    </row>
    <row r="4204" spans="4:18" x14ac:dyDescent="0.2">
      <c r="D4204" t="s">
        <v>113</v>
      </c>
      <c r="E4204" t="s">
        <v>114</v>
      </c>
      <c r="F4204" t="s">
        <v>115</v>
      </c>
      <c r="G4204" t="s">
        <v>152</v>
      </c>
      <c r="H4204" t="s">
        <v>152</v>
      </c>
      <c r="I4204" t="s">
        <v>35</v>
      </c>
      <c r="J4204" t="s">
        <v>36</v>
      </c>
      <c r="K4204" t="s">
        <v>29</v>
      </c>
      <c r="L4204" t="s">
        <v>30</v>
      </c>
      <c r="M4204" t="s">
        <v>139</v>
      </c>
      <c r="N4204">
        <v>633</v>
      </c>
      <c r="O4204" s="14">
        <v>0.132562413113192</v>
      </c>
      <c r="P4204" s="14">
        <v>0.29855980910360802</v>
      </c>
      <c r="Q4204" t="str">
        <f t="shared" si="130"/>
        <v>10-14</v>
      </c>
      <c r="R4204" t="str">
        <f t="shared" si="131"/>
        <v>[rpw540fmNUz]|10-14|Female|NEW_INFECTIONS_SUBNAT.T_1|CY2023Q3</v>
      </c>
    </row>
    <row r="4205" spans="4:18" x14ac:dyDescent="0.2">
      <c r="D4205" t="s">
        <v>113</v>
      </c>
      <c r="E4205" t="s">
        <v>114</v>
      </c>
      <c r="F4205" t="s">
        <v>115</v>
      </c>
      <c r="G4205" t="s">
        <v>152</v>
      </c>
      <c r="H4205" t="s">
        <v>152</v>
      </c>
      <c r="I4205" t="s">
        <v>37</v>
      </c>
      <c r="J4205" t="s">
        <v>38</v>
      </c>
      <c r="K4205" t="s">
        <v>29</v>
      </c>
      <c r="L4205" t="s">
        <v>30</v>
      </c>
      <c r="M4205" t="s">
        <v>139</v>
      </c>
      <c r="N4205">
        <v>931</v>
      </c>
      <c r="O4205" s="14">
        <v>0.34263295657001402</v>
      </c>
      <c r="P4205" s="14">
        <v>0.29855980910360802</v>
      </c>
      <c r="Q4205" t="str">
        <f t="shared" si="130"/>
        <v>15-24</v>
      </c>
      <c r="R4205" t="str">
        <f t="shared" si="131"/>
        <v>[rpw540fmNUz]|15-24|Female|NEW_INFECTIONS_SUBNAT.T_1|CY2023Q3</v>
      </c>
    </row>
    <row r="4206" spans="4:18" x14ac:dyDescent="0.2">
      <c r="D4206" t="s">
        <v>113</v>
      </c>
      <c r="E4206" t="s">
        <v>114</v>
      </c>
      <c r="F4206" t="s">
        <v>115</v>
      </c>
      <c r="G4206" t="s">
        <v>152</v>
      </c>
      <c r="H4206" t="s">
        <v>152</v>
      </c>
      <c r="I4206" t="s">
        <v>40</v>
      </c>
      <c r="J4206" t="s">
        <v>41</v>
      </c>
      <c r="K4206" t="s">
        <v>29</v>
      </c>
      <c r="L4206" t="s">
        <v>30</v>
      </c>
      <c r="M4206" t="s">
        <v>139</v>
      </c>
      <c r="N4206">
        <v>1800</v>
      </c>
      <c r="O4206" s="14">
        <v>0.29676445201039298</v>
      </c>
      <c r="P4206" s="14">
        <v>0.29855980910360802</v>
      </c>
      <c r="Q4206" t="str">
        <f t="shared" si="130"/>
        <v>25-34</v>
      </c>
      <c r="R4206" t="str">
        <f t="shared" si="131"/>
        <v>[rpw540fmNUz]|25-34|Female|NEW_INFECTIONS_SUBNAT.T_1|CY2023Q3</v>
      </c>
    </row>
    <row r="4207" spans="4:18" x14ac:dyDescent="0.2">
      <c r="D4207" t="s">
        <v>113</v>
      </c>
      <c r="E4207" t="s">
        <v>114</v>
      </c>
      <c r="F4207" t="s">
        <v>115</v>
      </c>
      <c r="G4207" t="s">
        <v>152</v>
      </c>
      <c r="H4207" t="s">
        <v>152</v>
      </c>
      <c r="I4207" t="s">
        <v>42</v>
      </c>
      <c r="J4207" t="s">
        <v>43</v>
      </c>
      <c r="K4207" t="s">
        <v>29</v>
      </c>
      <c r="L4207" t="s">
        <v>30</v>
      </c>
      <c r="M4207" t="s">
        <v>139</v>
      </c>
      <c r="N4207">
        <v>1902</v>
      </c>
      <c r="O4207" s="14">
        <v>0.505414139013737</v>
      </c>
      <c r="P4207" s="14">
        <v>0.29855980910360802</v>
      </c>
      <c r="Q4207" t="str">
        <f t="shared" si="130"/>
        <v>35-49</v>
      </c>
      <c r="R4207" t="str">
        <f t="shared" si="131"/>
        <v>[rpw540fmNUz]|35-49|Female|NEW_INFECTIONS_SUBNAT.T_1|CY2023Q3</v>
      </c>
    </row>
    <row r="4208" spans="4:18" x14ac:dyDescent="0.2">
      <c r="D4208" t="s">
        <v>113</v>
      </c>
      <c r="E4208" t="s">
        <v>114</v>
      </c>
      <c r="F4208" t="s">
        <v>115</v>
      </c>
      <c r="G4208" t="s">
        <v>152</v>
      </c>
      <c r="H4208" t="s">
        <v>152</v>
      </c>
      <c r="I4208" t="s">
        <v>44</v>
      </c>
      <c r="J4208" t="s">
        <v>45</v>
      </c>
      <c r="K4208" t="s">
        <v>29</v>
      </c>
      <c r="L4208" t="s">
        <v>30</v>
      </c>
      <c r="M4208" t="s">
        <v>139</v>
      </c>
      <c r="N4208">
        <v>521</v>
      </c>
      <c r="O4208" s="14">
        <v>5.9893095633015002E-2</v>
      </c>
      <c r="P4208" s="14">
        <v>0.29855980910360802</v>
      </c>
      <c r="Q4208" t="str">
        <f t="shared" si="130"/>
        <v>50+</v>
      </c>
      <c r="R4208" t="str">
        <f t="shared" si="131"/>
        <v>[rpw540fmNUz]|50+|Female|NEW_INFECTIONS_SUBNAT.T_1|CY2023Q3</v>
      </c>
    </row>
    <row r="4209" spans="4:18" x14ac:dyDescent="0.2">
      <c r="D4209" t="s">
        <v>113</v>
      </c>
      <c r="E4209" t="s">
        <v>114</v>
      </c>
      <c r="F4209" t="s">
        <v>115</v>
      </c>
      <c r="G4209" t="s">
        <v>152</v>
      </c>
      <c r="H4209" t="s">
        <v>152</v>
      </c>
      <c r="I4209" t="s">
        <v>27</v>
      </c>
      <c r="J4209" t="s">
        <v>28</v>
      </c>
      <c r="K4209" t="s">
        <v>47</v>
      </c>
      <c r="L4209" t="s">
        <v>48</v>
      </c>
      <c r="M4209" t="s">
        <v>139</v>
      </c>
      <c r="N4209">
        <v>1210</v>
      </c>
      <c r="O4209" s="14">
        <v>0.40370539622381302</v>
      </c>
      <c r="P4209" s="14">
        <v>0.29855980910360802</v>
      </c>
      <c r="Q4209" t="str">
        <f t="shared" si="130"/>
        <v>&lt;01</v>
      </c>
      <c r="R4209" t="str">
        <f t="shared" si="131"/>
        <v>[rpw540fmNUz]|&lt;01|Male|NEW_INFECTIONS_SUBNAT.T_1|CY2023Q3</v>
      </c>
    </row>
    <row r="4210" spans="4:18" x14ac:dyDescent="0.2">
      <c r="D4210" t="s">
        <v>113</v>
      </c>
      <c r="E4210" t="s">
        <v>114</v>
      </c>
      <c r="F4210" t="s">
        <v>115</v>
      </c>
      <c r="G4210" t="s">
        <v>152</v>
      </c>
      <c r="H4210" t="s">
        <v>152</v>
      </c>
      <c r="I4210" t="s">
        <v>32</v>
      </c>
      <c r="J4210" t="s">
        <v>33</v>
      </c>
      <c r="K4210" t="s">
        <v>47</v>
      </c>
      <c r="L4210" t="s">
        <v>48</v>
      </c>
      <c r="M4210" t="s">
        <v>139</v>
      </c>
      <c r="N4210">
        <v>972</v>
      </c>
      <c r="O4210" s="14">
        <v>0.26008853968232898</v>
      </c>
      <c r="P4210" s="14">
        <v>0.29855980910360802</v>
      </c>
      <c r="Q4210" t="str">
        <f t="shared" si="130"/>
        <v>01-09</v>
      </c>
      <c r="R4210" t="str">
        <f t="shared" si="131"/>
        <v>[rpw540fmNUz]|01-09|Male|NEW_INFECTIONS_SUBNAT.T_1|CY2023Q3</v>
      </c>
    </row>
    <row r="4211" spans="4:18" x14ac:dyDescent="0.2">
      <c r="D4211" t="s">
        <v>113</v>
      </c>
      <c r="E4211" t="s">
        <v>114</v>
      </c>
      <c r="F4211" t="s">
        <v>115</v>
      </c>
      <c r="G4211" t="s">
        <v>152</v>
      </c>
      <c r="H4211" t="s">
        <v>152</v>
      </c>
      <c r="I4211" t="s">
        <v>35</v>
      </c>
      <c r="J4211" t="s">
        <v>36</v>
      </c>
      <c r="K4211" t="s">
        <v>47</v>
      </c>
      <c r="L4211" t="s">
        <v>48</v>
      </c>
      <c r="M4211" t="s">
        <v>139</v>
      </c>
      <c r="N4211">
        <v>1254</v>
      </c>
      <c r="O4211" s="14">
        <v>0.85767688695341304</v>
      </c>
      <c r="P4211" s="14">
        <v>0.29855980910360802</v>
      </c>
      <c r="Q4211" t="str">
        <f t="shared" si="130"/>
        <v>10-14</v>
      </c>
      <c r="R4211" t="str">
        <f t="shared" si="131"/>
        <v>[rpw540fmNUz]|10-14|Male|NEW_INFECTIONS_SUBNAT.T_1|CY2023Q3</v>
      </c>
    </row>
    <row r="4212" spans="4:18" x14ac:dyDescent="0.2">
      <c r="D4212" t="s">
        <v>113</v>
      </c>
      <c r="E4212" t="s">
        <v>114</v>
      </c>
      <c r="F4212" t="s">
        <v>115</v>
      </c>
      <c r="G4212" t="s">
        <v>152</v>
      </c>
      <c r="H4212" t="s">
        <v>152</v>
      </c>
      <c r="I4212" t="s">
        <v>37</v>
      </c>
      <c r="J4212" t="s">
        <v>38</v>
      </c>
      <c r="K4212" t="s">
        <v>47</v>
      </c>
      <c r="L4212" t="s">
        <v>48</v>
      </c>
      <c r="M4212" t="s">
        <v>139</v>
      </c>
      <c r="N4212">
        <v>1019</v>
      </c>
      <c r="O4212" s="14">
        <v>0.73380784015171197</v>
      </c>
      <c r="P4212" s="14">
        <v>0.29855980910360802</v>
      </c>
      <c r="Q4212" t="str">
        <f t="shared" si="130"/>
        <v>15-24</v>
      </c>
      <c r="R4212" t="str">
        <f t="shared" si="131"/>
        <v>[rpw540fmNUz]|15-24|Male|NEW_INFECTIONS_SUBNAT.T_1|CY2023Q3</v>
      </c>
    </row>
    <row r="4213" spans="4:18" x14ac:dyDescent="0.2">
      <c r="D4213" t="s">
        <v>113</v>
      </c>
      <c r="E4213" t="s">
        <v>114</v>
      </c>
      <c r="F4213" t="s">
        <v>115</v>
      </c>
      <c r="G4213" t="s">
        <v>152</v>
      </c>
      <c r="H4213" t="s">
        <v>152</v>
      </c>
      <c r="I4213" t="s">
        <v>40</v>
      </c>
      <c r="J4213" t="s">
        <v>41</v>
      </c>
      <c r="K4213" t="s">
        <v>47</v>
      </c>
      <c r="L4213" t="s">
        <v>48</v>
      </c>
      <c r="M4213" t="s">
        <v>139</v>
      </c>
      <c r="N4213">
        <v>1201</v>
      </c>
      <c r="O4213" s="14">
        <v>0.16561401123180999</v>
      </c>
      <c r="P4213" s="14">
        <v>0.29855980910360802</v>
      </c>
      <c r="Q4213" t="str">
        <f t="shared" si="130"/>
        <v>25-34</v>
      </c>
      <c r="R4213" t="str">
        <f t="shared" si="131"/>
        <v>[rpw540fmNUz]|25-34|Male|NEW_INFECTIONS_SUBNAT.T_1|CY2023Q3</v>
      </c>
    </row>
    <row r="4214" spans="4:18" x14ac:dyDescent="0.2">
      <c r="D4214" t="s">
        <v>113</v>
      </c>
      <c r="E4214" t="s">
        <v>114</v>
      </c>
      <c r="F4214" t="s">
        <v>115</v>
      </c>
      <c r="G4214" t="s">
        <v>152</v>
      </c>
      <c r="H4214" t="s">
        <v>152</v>
      </c>
      <c r="I4214" t="s">
        <v>42</v>
      </c>
      <c r="J4214" t="s">
        <v>43</v>
      </c>
      <c r="K4214" t="s">
        <v>47</v>
      </c>
      <c r="L4214" t="s">
        <v>48</v>
      </c>
      <c r="M4214" t="s">
        <v>139</v>
      </c>
      <c r="N4214">
        <v>1946</v>
      </c>
      <c r="O4214" s="14">
        <v>0.67381598893552996</v>
      </c>
      <c r="P4214" s="14">
        <v>0.29855980910360802</v>
      </c>
      <c r="Q4214" t="str">
        <f t="shared" si="130"/>
        <v>35-49</v>
      </c>
      <c r="R4214" t="str">
        <f t="shared" si="131"/>
        <v>[rpw540fmNUz]|35-49|Male|NEW_INFECTIONS_SUBNAT.T_1|CY2023Q3</v>
      </c>
    </row>
    <row r="4215" spans="4:18" x14ac:dyDescent="0.2">
      <c r="D4215" t="s">
        <v>113</v>
      </c>
      <c r="E4215" t="s">
        <v>114</v>
      </c>
      <c r="F4215" t="s">
        <v>115</v>
      </c>
      <c r="G4215" t="s">
        <v>152</v>
      </c>
      <c r="H4215" t="s">
        <v>152</v>
      </c>
      <c r="I4215" t="s">
        <v>44</v>
      </c>
      <c r="J4215" t="s">
        <v>45</v>
      </c>
      <c r="K4215" t="s">
        <v>47</v>
      </c>
      <c r="L4215" t="s">
        <v>48</v>
      </c>
      <c r="M4215" t="s">
        <v>139</v>
      </c>
      <c r="N4215">
        <v>1537</v>
      </c>
      <c r="O4215" s="14">
        <v>0.656138166319579</v>
      </c>
      <c r="P4215" s="14">
        <v>0.29855980910360802</v>
      </c>
      <c r="Q4215" t="str">
        <f t="shared" si="130"/>
        <v>50+</v>
      </c>
      <c r="R4215" t="str">
        <f t="shared" si="131"/>
        <v>[rpw540fmNUz]|50+|Male|NEW_INFECTIONS_SUBNAT.T_1|CY2023Q3</v>
      </c>
    </row>
    <row r="4216" spans="4:18" x14ac:dyDescent="0.2">
      <c r="D4216" t="s">
        <v>116</v>
      </c>
      <c r="E4216" t="s">
        <v>117</v>
      </c>
      <c r="F4216" t="s">
        <v>118</v>
      </c>
      <c r="G4216" t="s">
        <v>152</v>
      </c>
      <c r="H4216" t="s">
        <v>152</v>
      </c>
      <c r="I4216" t="s">
        <v>27</v>
      </c>
      <c r="J4216" t="s">
        <v>28</v>
      </c>
      <c r="K4216" t="s">
        <v>29</v>
      </c>
      <c r="L4216" t="s">
        <v>30</v>
      </c>
      <c r="M4216" t="s">
        <v>139</v>
      </c>
      <c r="N4216">
        <v>882</v>
      </c>
      <c r="O4216" s="14">
        <v>0.75174994440749299</v>
      </c>
      <c r="P4216" s="14">
        <v>0.206259709550068</v>
      </c>
      <c r="Q4216" t="str">
        <f t="shared" si="130"/>
        <v>&lt;01</v>
      </c>
      <c r="R4216" t="str">
        <f t="shared" si="131"/>
        <v>[lPTyjLi4w3d]|&lt;01|Female|NEW_INFECTIONS_SUBNAT.T_1|CY2023Q3</v>
      </c>
    </row>
    <row r="4217" spans="4:18" x14ac:dyDescent="0.2">
      <c r="D4217" t="s">
        <v>116</v>
      </c>
      <c r="E4217" t="s">
        <v>117</v>
      </c>
      <c r="F4217" t="s">
        <v>118</v>
      </c>
      <c r="G4217" t="s">
        <v>152</v>
      </c>
      <c r="H4217" t="s">
        <v>152</v>
      </c>
      <c r="I4217" t="s">
        <v>32</v>
      </c>
      <c r="J4217" t="s">
        <v>33</v>
      </c>
      <c r="K4217" t="s">
        <v>29</v>
      </c>
      <c r="L4217" t="s">
        <v>30</v>
      </c>
      <c r="M4217" t="s">
        <v>139</v>
      </c>
      <c r="N4217">
        <v>869</v>
      </c>
      <c r="O4217" s="14">
        <v>2.2860746830701802E-3</v>
      </c>
      <c r="P4217" s="14">
        <v>0.206259709550068</v>
      </c>
      <c r="Q4217" t="str">
        <f t="shared" si="130"/>
        <v>01-09</v>
      </c>
      <c r="R4217" t="str">
        <f t="shared" si="131"/>
        <v>[lPTyjLi4w3d]|01-09|Female|NEW_INFECTIONS_SUBNAT.T_1|CY2023Q3</v>
      </c>
    </row>
    <row r="4218" spans="4:18" x14ac:dyDescent="0.2">
      <c r="D4218" t="s">
        <v>116</v>
      </c>
      <c r="E4218" t="s">
        <v>117</v>
      </c>
      <c r="F4218" t="s">
        <v>118</v>
      </c>
      <c r="G4218" t="s">
        <v>152</v>
      </c>
      <c r="H4218" t="s">
        <v>152</v>
      </c>
      <c r="I4218" t="s">
        <v>35</v>
      </c>
      <c r="J4218" t="s">
        <v>36</v>
      </c>
      <c r="K4218" t="s">
        <v>29</v>
      </c>
      <c r="L4218" t="s">
        <v>30</v>
      </c>
      <c r="M4218" t="s">
        <v>139</v>
      </c>
      <c r="N4218">
        <v>1671</v>
      </c>
      <c r="O4218" s="14">
        <v>0.63429442583583295</v>
      </c>
      <c r="P4218" s="14">
        <v>0.206259709550068</v>
      </c>
      <c r="Q4218" t="str">
        <f t="shared" si="130"/>
        <v>10-14</v>
      </c>
      <c r="R4218" t="str">
        <f t="shared" si="131"/>
        <v>[lPTyjLi4w3d]|10-14|Female|NEW_INFECTIONS_SUBNAT.T_1|CY2023Q3</v>
      </c>
    </row>
    <row r="4219" spans="4:18" x14ac:dyDescent="0.2">
      <c r="D4219" t="s">
        <v>116</v>
      </c>
      <c r="E4219" t="s">
        <v>117</v>
      </c>
      <c r="F4219" t="s">
        <v>118</v>
      </c>
      <c r="G4219" t="s">
        <v>152</v>
      </c>
      <c r="H4219" t="s">
        <v>152</v>
      </c>
      <c r="I4219" t="s">
        <v>37</v>
      </c>
      <c r="J4219" t="s">
        <v>38</v>
      </c>
      <c r="K4219" t="s">
        <v>29</v>
      </c>
      <c r="L4219" t="s">
        <v>30</v>
      </c>
      <c r="M4219" t="s">
        <v>139</v>
      </c>
      <c r="N4219">
        <v>1585</v>
      </c>
      <c r="O4219" s="14">
        <v>0.505555089563131</v>
      </c>
      <c r="P4219" s="14">
        <v>0.206259709550068</v>
      </c>
      <c r="Q4219" t="str">
        <f t="shared" si="130"/>
        <v>15-24</v>
      </c>
      <c r="R4219" t="str">
        <f t="shared" si="131"/>
        <v>[lPTyjLi4w3d]|15-24|Female|NEW_INFECTIONS_SUBNAT.T_1|CY2023Q3</v>
      </c>
    </row>
    <row r="4220" spans="4:18" x14ac:dyDescent="0.2">
      <c r="D4220" t="s">
        <v>116</v>
      </c>
      <c r="E4220" t="s">
        <v>117</v>
      </c>
      <c r="F4220" t="s">
        <v>118</v>
      </c>
      <c r="G4220" t="s">
        <v>152</v>
      </c>
      <c r="H4220" t="s">
        <v>152</v>
      </c>
      <c r="I4220" t="s">
        <v>40</v>
      </c>
      <c r="J4220" t="s">
        <v>41</v>
      </c>
      <c r="K4220" t="s">
        <v>29</v>
      </c>
      <c r="L4220" t="s">
        <v>30</v>
      </c>
      <c r="M4220" t="s">
        <v>139</v>
      </c>
      <c r="N4220">
        <v>1214</v>
      </c>
      <c r="O4220" s="14">
        <v>0.79233936476521205</v>
      </c>
      <c r="P4220" s="14">
        <v>0.206259709550068</v>
      </c>
      <c r="Q4220" t="str">
        <f t="shared" si="130"/>
        <v>25-34</v>
      </c>
      <c r="R4220" t="str">
        <f t="shared" si="131"/>
        <v>[lPTyjLi4w3d]|25-34|Female|NEW_INFECTIONS_SUBNAT.T_1|CY2023Q3</v>
      </c>
    </row>
    <row r="4221" spans="4:18" x14ac:dyDescent="0.2">
      <c r="D4221" t="s">
        <v>116</v>
      </c>
      <c r="E4221" t="s">
        <v>117</v>
      </c>
      <c r="F4221" t="s">
        <v>118</v>
      </c>
      <c r="G4221" t="s">
        <v>152</v>
      </c>
      <c r="H4221" t="s">
        <v>152</v>
      </c>
      <c r="I4221" t="s">
        <v>42</v>
      </c>
      <c r="J4221" t="s">
        <v>43</v>
      </c>
      <c r="K4221" t="s">
        <v>29</v>
      </c>
      <c r="L4221" t="s">
        <v>30</v>
      </c>
      <c r="M4221" t="s">
        <v>139</v>
      </c>
      <c r="N4221">
        <v>1118</v>
      </c>
      <c r="O4221" s="14">
        <v>0.74409984285011899</v>
      </c>
      <c r="P4221" s="14">
        <v>0.206259709550068</v>
      </c>
      <c r="Q4221" t="str">
        <f t="shared" si="130"/>
        <v>35-49</v>
      </c>
      <c r="R4221" t="str">
        <f t="shared" si="131"/>
        <v>[lPTyjLi4w3d]|35-49|Female|NEW_INFECTIONS_SUBNAT.T_1|CY2023Q3</v>
      </c>
    </row>
    <row r="4222" spans="4:18" x14ac:dyDescent="0.2">
      <c r="D4222" t="s">
        <v>116</v>
      </c>
      <c r="E4222" t="s">
        <v>117</v>
      </c>
      <c r="F4222" t="s">
        <v>118</v>
      </c>
      <c r="G4222" t="s">
        <v>152</v>
      </c>
      <c r="H4222" t="s">
        <v>152</v>
      </c>
      <c r="I4222" t="s">
        <v>44</v>
      </c>
      <c r="J4222" t="s">
        <v>45</v>
      </c>
      <c r="K4222" t="s">
        <v>29</v>
      </c>
      <c r="L4222" t="s">
        <v>30</v>
      </c>
      <c r="M4222" t="s">
        <v>139</v>
      </c>
      <c r="N4222">
        <v>955</v>
      </c>
      <c r="O4222" s="14">
        <v>0.51379506033845201</v>
      </c>
      <c r="P4222" s="14">
        <v>0.206259709550068</v>
      </c>
      <c r="Q4222" t="str">
        <f t="shared" si="130"/>
        <v>50+</v>
      </c>
      <c r="R4222" t="str">
        <f t="shared" si="131"/>
        <v>[lPTyjLi4w3d]|50+|Female|NEW_INFECTIONS_SUBNAT.T_1|CY2023Q3</v>
      </c>
    </row>
    <row r="4223" spans="4:18" x14ac:dyDescent="0.2">
      <c r="D4223" t="s">
        <v>116</v>
      </c>
      <c r="E4223" t="s">
        <v>117</v>
      </c>
      <c r="F4223" t="s">
        <v>118</v>
      </c>
      <c r="G4223" t="s">
        <v>152</v>
      </c>
      <c r="H4223" t="s">
        <v>152</v>
      </c>
      <c r="I4223" t="s">
        <v>27</v>
      </c>
      <c r="J4223" t="s">
        <v>28</v>
      </c>
      <c r="K4223" t="s">
        <v>47</v>
      </c>
      <c r="L4223" t="s">
        <v>48</v>
      </c>
      <c r="M4223" t="s">
        <v>139</v>
      </c>
      <c r="N4223">
        <v>953</v>
      </c>
      <c r="O4223" s="14">
        <v>0.45625603385269597</v>
      </c>
      <c r="P4223" s="14">
        <v>0.206259709550068</v>
      </c>
      <c r="Q4223" t="str">
        <f t="shared" si="130"/>
        <v>&lt;01</v>
      </c>
      <c r="R4223" t="str">
        <f t="shared" si="131"/>
        <v>[lPTyjLi4w3d]|&lt;01|Male|NEW_INFECTIONS_SUBNAT.T_1|CY2023Q3</v>
      </c>
    </row>
    <row r="4224" spans="4:18" x14ac:dyDescent="0.2">
      <c r="D4224" t="s">
        <v>116</v>
      </c>
      <c r="E4224" t="s">
        <v>117</v>
      </c>
      <c r="F4224" t="s">
        <v>118</v>
      </c>
      <c r="G4224" t="s">
        <v>152</v>
      </c>
      <c r="H4224" t="s">
        <v>152</v>
      </c>
      <c r="I4224" t="s">
        <v>32</v>
      </c>
      <c r="J4224" t="s">
        <v>33</v>
      </c>
      <c r="K4224" t="s">
        <v>47</v>
      </c>
      <c r="L4224" t="s">
        <v>48</v>
      </c>
      <c r="M4224" t="s">
        <v>139</v>
      </c>
      <c r="N4224">
        <v>1488</v>
      </c>
      <c r="O4224" s="14">
        <v>1.33898702915758E-2</v>
      </c>
      <c r="P4224" s="14">
        <v>0.206259709550068</v>
      </c>
      <c r="Q4224" t="str">
        <f t="shared" si="130"/>
        <v>01-09</v>
      </c>
      <c r="R4224" t="str">
        <f t="shared" si="131"/>
        <v>[lPTyjLi4w3d]|01-09|Male|NEW_INFECTIONS_SUBNAT.T_1|CY2023Q3</v>
      </c>
    </row>
    <row r="4225" spans="4:18" x14ac:dyDescent="0.2">
      <c r="D4225" t="s">
        <v>116</v>
      </c>
      <c r="E4225" t="s">
        <v>117</v>
      </c>
      <c r="F4225" t="s">
        <v>118</v>
      </c>
      <c r="G4225" t="s">
        <v>152</v>
      </c>
      <c r="H4225" t="s">
        <v>152</v>
      </c>
      <c r="I4225" t="s">
        <v>35</v>
      </c>
      <c r="J4225" t="s">
        <v>36</v>
      </c>
      <c r="K4225" t="s">
        <v>47</v>
      </c>
      <c r="L4225" t="s">
        <v>48</v>
      </c>
      <c r="M4225" t="s">
        <v>139</v>
      </c>
      <c r="N4225">
        <v>1505</v>
      </c>
      <c r="O4225" s="14">
        <v>0.19026946579106199</v>
      </c>
      <c r="P4225" s="14">
        <v>0.206259709550068</v>
      </c>
      <c r="Q4225" t="str">
        <f t="shared" si="130"/>
        <v>10-14</v>
      </c>
      <c r="R4225" t="str">
        <f t="shared" si="131"/>
        <v>[lPTyjLi4w3d]|10-14|Male|NEW_INFECTIONS_SUBNAT.T_1|CY2023Q3</v>
      </c>
    </row>
    <row r="4226" spans="4:18" x14ac:dyDescent="0.2">
      <c r="D4226" t="s">
        <v>116</v>
      </c>
      <c r="E4226" t="s">
        <v>117</v>
      </c>
      <c r="F4226" t="s">
        <v>118</v>
      </c>
      <c r="G4226" t="s">
        <v>152</v>
      </c>
      <c r="H4226" t="s">
        <v>152</v>
      </c>
      <c r="I4226" t="s">
        <v>37</v>
      </c>
      <c r="J4226" t="s">
        <v>38</v>
      </c>
      <c r="K4226" t="s">
        <v>47</v>
      </c>
      <c r="L4226" t="s">
        <v>48</v>
      </c>
      <c r="M4226" t="s">
        <v>139</v>
      </c>
      <c r="N4226">
        <v>1686</v>
      </c>
      <c r="O4226" s="14">
        <v>0.102604237385094</v>
      </c>
      <c r="P4226" s="14">
        <v>0.206259709550068</v>
      </c>
      <c r="Q4226" t="str">
        <f t="shared" ref="Q4226:Q4289" si="132">SUBSTITUTE(SUBSTITUTE($I4226,CHAR(61),""),CHAR(34),"")</f>
        <v>15-24</v>
      </c>
      <c r="R4226" t="str">
        <f t="shared" ref="R4226:R4289" si="133">IF($D4226&lt;&gt;"","["&amp;$E4226&amp;"]"&amp;"|"&amp;$Q4226&amp;"|"&amp;$K4226&amp;"|"&amp;$G4226&amp;"|"&amp;IF($G4226="TX_CURR_SUBNAT.R","CY2022Q4",$M4226),"")</f>
        <v>[lPTyjLi4w3d]|15-24|Male|NEW_INFECTIONS_SUBNAT.T_1|CY2023Q3</v>
      </c>
    </row>
    <row r="4227" spans="4:18" x14ac:dyDescent="0.2">
      <c r="D4227" t="s">
        <v>116</v>
      </c>
      <c r="E4227" t="s">
        <v>117</v>
      </c>
      <c r="F4227" t="s">
        <v>118</v>
      </c>
      <c r="G4227" t="s">
        <v>152</v>
      </c>
      <c r="H4227" t="s">
        <v>152</v>
      </c>
      <c r="I4227" t="s">
        <v>40</v>
      </c>
      <c r="J4227" t="s">
        <v>41</v>
      </c>
      <c r="K4227" t="s">
        <v>47</v>
      </c>
      <c r="L4227" t="s">
        <v>48</v>
      </c>
      <c r="M4227" t="s">
        <v>139</v>
      </c>
      <c r="N4227">
        <v>1373</v>
      </c>
      <c r="O4227" s="14">
        <v>0.28530710586346703</v>
      </c>
      <c r="P4227" s="14">
        <v>0.206259709550068</v>
      </c>
      <c r="Q4227" t="str">
        <f t="shared" si="132"/>
        <v>25-34</v>
      </c>
      <c r="R4227" t="str">
        <f t="shared" si="133"/>
        <v>[lPTyjLi4w3d]|25-34|Male|NEW_INFECTIONS_SUBNAT.T_1|CY2023Q3</v>
      </c>
    </row>
    <row r="4228" spans="4:18" x14ac:dyDescent="0.2">
      <c r="D4228" t="s">
        <v>116</v>
      </c>
      <c r="E4228" t="s">
        <v>117</v>
      </c>
      <c r="F4228" t="s">
        <v>118</v>
      </c>
      <c r="G4228" t="s">
        <v>152</v>
      </c>
      <c r="H4228" t="s">
        <v>152</v>
      </c>
      <c r="I4228" t="s">
        <v>42</v>
      </c>
      <c r="J4228" t="s">
        <v>43</v>
      </c>
      <c r="K4228" t="s">
        <v>47</v>
      </c>
      <c r="L4228" t="s">
        <v>48</v>
      </c>
      <c r="M4228" t="s">
        <v>139</v>
      </c>
      <c r="N4228">
        <v>1377</v>
      </c>
      <c r="O4228" s="14">
        <v>0.38464000332169201</v>
      </c>
      <c r="P4228" s="14">
        <v>0.206259709550068</v>
      </c>
      <c r="Q4228" t="str">
        <f t="shared" si="132"/>
        <v>35-49</v>
      </c>
      <c r="R4228" t="str">
        <f t="shared" si="133"/>
        <v>[lPTyjLi4w3d]|35-49|Male|NEW_INFECTIONS_SUBNAT.T_1|CY2023Q3</v>
      </c>
    </row>
    <row r="4229" spans="4:18" x14ac:dyDescent="0.2">
      <c r="D4229" t="s">
        <v>116</v>
      </c>
      <c r="E4229" t="s">
        <v>117</v>
      </c>
      <c r="F4229" t="s">
        <v>118</v>
      </c>
      <c r="G4229" t="s">
        <v>152</v>
      </c>
      <c r="H4229" t="s">
        <v>152</v>
      </c>
      <c r="I4229" t="s">
        <v>44</v>
      </c>
      <c r="J4229" t="s">
        <v>45</v>
      </c>
      <c r="K4229" t="s">
        <v>47</v>
      </c>
      <c r="L4229" t="s">
        <v>48</v>
      </c>
      <c r="M4229" t="s">
        <v>139</v>
      </c>
      <c r="N4229">
        <v>1137</v>
      </c>
      <c r="O4229" s="14">
        <v>0.24165573786012801</v>
      </c>
      <c r="P4229" s="14">
        <v>0.206259709550068</v>
      </c>
      <c r="Q4229" t="str">
        <f t="shared" si="132"/>
        <v>50+</v>
      </c>
      <c r="R4229" t="str">
        <f t="shared" si="133"/>
        <v>[lPTyjLi4w3d]|50+|Male|NEW_INFECTIONS_SUBNAT.T_1|CY2023Q3</v>
      </c>
    </row>
    <row r="4230" spans="4:18" x14ac:dyDescent="0.2">
      <c r="D4230" t="s">
        <v>119</v>
      </c>
      <c r="E4230" t="s">
        <v>120</v>
      </c>
      <c r="F4230" t="s">
        <v>121</v>
      </c>
      <c r="G4230" t="s">
        <v>152</v>
      </c>
      <c r="H4230" t="s">
        <v>152</v>
      </c>
      <c r="I4230" t="s">
        <v>27</v>
      </c>
      <c r="J4230" t="s">
        <v>28</v>
      </c>
      <c r="K4230" t="s">
        <v>29</v>
      </c>
      <c r="L4230" t="s">
        <v>30</v>
      </c>
      <c r="M4230" t="s">
        <v>139</v>
      </c>
      <c r="N4230">
        <v>757</v>
      </c>
      <c r="O4230" s="14">
        <v>0.31032370589673502</v>
      </c>
      <c r="P4230" s="14">
        <v>0.43010397930629601</v>
      </c>
      <c r="Q4230" t="str">
        <f t="shared" si="132"/>
        <v>&lt;01</v>
      </c>
      <c r="R4230" t="str">
        <f t="shared" si="133"/>
        <v>[vA4NcHxfMBq]|&lt;01|Female|NEW_INFECTIONS_SUBNAT.T_1|CY2023Q3</v>
      </c>
    </row>
    <row r="4231" spans="4:18" x14ac:dyDescent="0.2">
      <c r="D4231" t="s">
        <v>119</v>
      </c>
      <c r="E4231" t="s">
        <v>120</v>
      </c>
      <c r="F4231" t="s">
        <v>121</v>
      </c>
      <c r="G4231" t="s">
        <v>152</v>
      </c>
      <c r="H4231" t="s">
        <v>152</v>
      </c>
      <c r="I4231" t="s">
        <v>32</v>
      </c>
      <c r="J4231" t="s">
        <v>33</v>
      </c>
      <c r="K4231" t="s">
        <v>29</v>
      </c>
      <c r="L4231" t="s">
        <v>30</v>
      </c>
      <c r="M4231" t="s">
        <v>139</v>
      </c>
      <c r="N4231">
        <v>1381</v>
      </c>
      <c r="O4231" s="14">
        <v>0.79311425448395301</v>
      </c>
      <c r="P4231" s="14">
        <v>0.43010397930629601</v>
      </c>
      <c r="Q4231" t="str">
        <f t="shared" si="132"/>
        <v>01-09</v>
      </c>
      <c r="R4231" t="str">
        <f t="shared" si="133"/>
        <v>[vA4NcHxfMBq]|01-09|Female|NEW_INFECTIONS_SUBNAT.T_1|CY2023Q3</v>
      </c>
    </row>
    <row r="4232" spans="4:18" x14ac:dyDescent="0.2">
      <c r="D4232" t="s">
        <v>119</v>
      </c>
      <c r="E4232" t="s">
        <v>120</v>
      </c>
      <c r="F4232" t="s">
        <v>121</v>
      </c>
      <c r="G4232" t="s">
        <v>152</v>
      </c>
      <c r="H4232" t="s">
        <v>152</v>
      </c>
      <c r="I4232" t="s">
        <v>35</v>
      </c>
      <c r="J4232" t="s">
        <v>36</v>
      </c>
      <c r="K4232" t="s">
        <v>29</v>
      </c>
      <c r="L4232" t="s">
        <v>30</v>
      </c>
      <c r="M4232" t="s">
        <v>139</v>
      </c>
      <c r="N4232">
        <v>969</v>
      </c>
      <c r="O4232" s="14">
        <v>0.83413778385147497</v>
      </c>
      <c r="P4232" s="14">
        <v>0.43010397930629601</v>
      </c>
      <c r="Q4232" t="str">
        <f t="shared" si="132"/>
        <v>10-14</v>
      </c>
      <c r="R4232" t="str">
        <f t="shared" si="133"/>
        <v>[vA4NcHxfMBq]|10-14|Female|NEW_INFECTIONS_SUBNAT.T_1|CY2023Q3</v>
      </c>
    </row>
    <row r="4233" spans="4:18" x14ac:dyDescent="0.2">
      <c r="D4233" t="s">
        <v>119</v>
      </c>
      <c r="E4233" t="s">
        <v>120</v>
      </c>
      <c r="F4233" t="s">
        <v>121</v>
      </c>
      <c r="G4233" t="s">
        <v>152</v>
      </c>
      <c r="H4233" t="s">
        <v>152</v>
      </c>
      <c r="I4233" t="s">
        <v>37</v>
      </c>
      <c r="J4233" t="s">
        <v>38</v>
      </c>
      <c r="K4233" t="s">
        <v>29</v>
      </c>
      <c r="L4233" t="s">
        <v>30</v>
      </c>
      <c r="M4233" t="s">
        <v>139</v>
      </c>
      <c r="N4233">
        <v>1997</v>
      </c>
      <c r="O4233" s="14">
        <v>0.631197811337188</v>
      </c>
      <c r="P4233" s="14">
        <v>0.43010397930629601</v>
      </c>
      <c r="Q4233" t="str">
        <f t="shared" si="132"/>
        <v>15-24</v>
      </c>
      <c r="R4233" t="str">
        <f t="shared" si="133"/>
        <v>[vA4NcHxfMBq]|15-24|Female|NEW_INFECTIONS_SUBNAT.T_1|CY2023Q3</v>
      </c>
    </row>
    <row r="4234" spans="4:18" x14ac:dyDescent="0.2">
      <c r="D4234" t="s">
        <v>119</v>
      </c>
      <c r="E4234" t="s">
        <v>120</v>
      </c>
      <c r="F4234" t="s">
        <v>121</v>
      </c>
      <c r="G4234" t="s">
        <v>152</v>
      </c>
      <c r="H4234" t="s">
        <v>152</v>
      </c>
      <c r="I4234" t="s">
        <v>40</v>
      </c>
      <c r="J4234" t="s">
        <v>41</v>
      </c>
      <c r="K4234" t="s">
        <v>29</v>
      </c>
      <c r="L4234" t="s">
        <v>30</v>
      </c>
      <c r="M4234" t="s">
        <v>139</v>
      </c>
      <c r="N4234">
        <v>1049</v>
      </c>
      <c r="O4234" s="14">
        <v>0.43884671106934497</v>
      </c>
      <c r="P4234" s="14">
        <v>0.43010397930629601</v>
      </c>
      <c r="Q4234" t="str">
        <f t="shared" si="132"/>
        <v>25-34</v>
      </c>
      <c r="R4234" t="str">
        <f t="shared" si="133"/>
        <v>[vA4NcHxfMBq]|25-34|Female|NEW_INFECTIONS_SUBNAT.T_1|CY2023Q3</v>
      </c>
    </row>
    <row r="4235" spans="4:18" x14ac:dyDescent="0.2">
      <c r="D4235" t="s">
        <v>119</v>
      </c>
      <c r="E4235" t="s">
        <v>120</v>
      </c>
      <c r="F4235" t="s">
        <v>121</v>
      </c>
      <c r="G4235" t="s">
        <v>152</v>
      </c>
      <c r="H4235" t="s">
        <v>152</v>
      </c>
      <c r="I4235" t="s">
        <v>42</v>
      </c>
      <c r="J4235" t="s">
        <v>43</v>
      </c>
      <c r="K4235" t="s">
        <v>29</v>
      </c>
      <c r="L4235" t="s">
        <v>30</v>
      </c>
      <c r="M4235" t="s">
        <v>139</v>
      </c>
      <c r="N4235">
        <v>875</v>
      </c>
      <c r="O4235" s="14">
        <v>0.97249882039614</v>
      </c>
      <c r="P4235" s="14">
        <v>0.43010397930629601</v>
      </c>
      <c r="Q4235" t="str">
        <f t="shared" si="132"/>
        <v>35-49</v>
      </c>
      <c r="R4235" t="str">
        <f t="shared" si="133"/>
        <v>[vA4NcHxfMBq]|35-49|Female|NEW_INFECTIONS_SUBNAT.T_1|CY2023Q3</v>
      </c>
    </row>
    <row r="4236" spans="4:18" x14ac:dyDescent="0.2">
      <c r="D4236" t="s">
        <v>119</v>
      </c>
      <c r="E4236" t="s">
        <v>120</v>
      </c>
      <c r="F4236" t="s">
        <v>121</v>
      </c>
      <c r="G4236" t="s">
        <v>152</v>
      </c>
      <c r="H4236" t="s">
        <v>152</v>
      </c>
      <c r="I4236" t="s">
        <v>44</v>
      </c>
      <c r="J4236" t="s">
        <v>45</v>
      </c>
      <c r="K4236" t="s">
        <v>29</v>
      </c>
      <c r="L4236" t="s">
        <v>30</v>
      </c>
      <c r="M4236" t="s">
        <v>139</v>
      </c>
      <c r="N4236">
        <v>739</v>
      </c>
      <c r="O4236" s="14">
        <v>0.76333069754764404</v>
      </c>
      <c r="P4236" s="14">
        <v>0.43010397930629601</v>
      </c>
      <c r="Q4236" t="str">
        <f t="shared" si="132"/>
        <v>50+</v>
      </c>
      <c r="R4236" t="str">
        <f t="shared" si="133"/>
        <v>[vA4NcHxfMBq]|50+|Female|NEW_INFECTIONS_SUBNAT.T_1|CY2023Q3</v>
      </c>
    </row>
    <row r="4237" spans="4:18" x14ac:dyDescent="0.2">
      <c r="D4237" t="s">
        <v>119</v>
      </c>
      <c r="E4237" t="s">
        <v>120</v>
      </c>
      <c r="F4237" t="s">
        <v>121</v>
      </c>
      <c r="G4237" t="s">
        <v>152</v>
      </c>
      <c r="H4237" t="s">
        <v>152</v>
      </c>
      <c r="I4237" t="s">
        <v>27</v>
      </c>
      <c r="J4237" t="s">
        <v>28</v>
      </c>
      <c r="K4237" t="s">
        <v>47</v>
      </c>
      <c r="L4237" t="s">
        <v>48</v>
      </c>
      <c r="M4237" t="s">
        <v>139</v>
      </c>
      <c r="N4237">
        <v>1231</v>
      </c>
      <c r="O4237" s="14">
        <v>1.47570816334337E-2</v>
      </c>
      <c r="P4237" s="14">
        <v>0.43010397930629601</v>
      </c>
      <c r="Q4237" t="str">
        <f t="shared" si="132"/>
        <v>&lt;01</v>
      </c>
      <c r="R4237" t="str">
        <f t="shared" si="133"/>
        <v>[vA4NcHxfMBq]|&lt;01|Male|NEW_INFECTIONS_SUBNAT.T_1|CY2023Q3</v>
      </c>
    </row>
    <row r="4238" spans="4:18" x14ac:dyDescent="0.2">
      <c r="D4238" t="s">
        <v>119</v>
      </c>
      <c r="E4238" t="s">
        <v>120</v>
      </c>
      <c r="F4238" t="s">
        <v>121</v>
      </c>
      <c r="G4238" t="s">
        <v>152</v>
      </c>
      <c r="H4238" t="s">
        <v>152</v>
      </c>
      <c r="I4238" t="s">
        <v>32</v>
      </c>
      <c r="J4238" t="s">
        <v>33</v>
      </c>
      <c r="K4238" t="s">
        <v>47</v>
      </c>
      <c r="L4238" t="s">
        <v>48</v>
      </c>
      <c r="M4238" t="s">
        <v>139</v>
      </c>
      <c r="N4238">
        <v>944</v>
      </c>
      <c r="O4238" s="14">
        <v>0.31204060558229701</v>
      </c>
      <c r="P4238" s="14">
        <v>0.43010397930629601</v>
      </c>
      <c r="Q4238" t="str">
        <f t="shared" si="132"/>
        <v>01-09</v>
      </c>
      <c r="R4238" t="str">
        <f t="shared" si="133"/>
        <v>[vA4NcHxfMBq]|01-09|Male|NEW_INFECTIONS_SUBNAT.T_1|CY2023Q3</v>
      </c>
    </row>
    <row r="4239" spans="4:18" x14ac:dyDescent="0.2">
      <c r="D4239" t="s">
        <v>119</v>
      </c>
      <c r="E4239" t="s">
        <v>120</v>
      </c>
      <c r="F4239" t="s">
        <v>121</v>
      </c>
      <c r="G4239" t="s">
        <v>152</v>
      </c>
      <c r="H4239" t="s">
        <v>152</v>
      </c>
      <c r="I4239" t="s">
        <v>35</v>
      </c>
      <c r="J4239" t="s">
        <v>36</v>
      </c>
      <c r="K4239" t="s">
        <v>47</v>
      </c>
      <c r="L4239" t="s">
        <v>48</v>
      </c>
      <c r="M4239" t="s">
        <v>139</v>
      </c>
      <c r="N4239">
        <v>820</v>
      </c>
      <c r="O4239" s="14">
        <v>0.66014232602901801</v>
      </c>
      <c r="P4239" s="14">
        <v>0.43010397930629601</v>
      </c>
      <c r="Q4239" t="str">
        <f t="shared" si="132"/>
        <v>10-14</v>
      </c>
      <c r="R4239" t="str">
        <f t="shared" si="133"/>
        <v>[vA4NcHxfMBq]|10-14|Male|NEW_INFECTIONS_SUBNAT.T_1|CY2023Q3</v>
      </c>
    </row>
    <row r="4240" spans="4:18" x14ac:dyDescent="0.2">
      <c r="D4240" t="s">
        <v>119</v>
      </c>
      <c r="E4240" t="s">
        <v>120</v>
      </c>
      <c r="F4240" t="s">
        <v>121</v>
      </c>
      <c r="G4240" t="s">
        <v>152</v>
      </c>
      <c r="H4240" t="s">
        <v>152</v>
      </c>
      <c r="I4240" t="s">
        <v>37</v>
      </c>
      <c r="J4240" t="s">
        <v>38</v>
      </c>
      <c r="K4240" t="s">
        <v>47</v>
      </c>
      <c r="L4240" t="s">
        <v>48</v>
      </c>
      <c r="M4240" t="s">
        <v>139</v>
      </c>
      <c r="N4240">
        <v>1138</v>
      </c>
      <c r="O4240" s="14">
        <v>0.118748670676723</v>
      </c>
      <c r="P4240" s="14">
        <v>0.43010397930629601</v>
      </c>
      <c r="Q4240" t="str">
        <f t="shared" si="132"/>
        <v>15-24</v>
      </c>
      <c r="R4240" t="str">
        <f t="shared" si="133"/>
        <v>[vA4NcHxfMBq]|15-24|Male|NEW_INFECTIONS_SUBNAT.T_1|CY2023Q3</v>
      </c>
    </row>
    <row r="4241" spans="4:18" x14ac:dyDescent="0.2">
      <c r="D4241" t="s">
        <v>119</v>
      </c>
      <c r="E4241" t="s">
        <v>120</v>
      </c>
      <c r="F4241" t="s">
        <v>121</v>
      </c>
      <c r="G4241" t="s">
        <v>152</v>
      </c>
      <c r="H4241" t="s">
        <v>152</v>
      </c>
      <c r="I4241" t="s">
        <v>40</v>
      </c>
      <c r="J4241" t="s">
        <v>41</v>
      </c>
      <c r="K4241" t="s">
        <v>47</v>
      </c>
      <c r="L4241" t="s">
        <v>48</v>
      </c>
      <c r="M4241" t="s">
        <v>139</v>
      </c>
      <c r="N4241">
        <v>681</v>
      </c>
      <c r="O4241" s="14">
        <v>0.703319376334548</v>
      </c>
      <c r="P4241" s="14">
        <v>0.43010397930629601</v>
      </c>
      <c r="Q4241" t="str">
        <f t="shared" si="132"/>
        <v>25-34</v>
      </c>
      <c r="R4241" t="str">
        <f t="shared" si="133"/>
        <v>[vA4NcHxfMBq]|25-34|Male|NEW_INFECTIONS_SUBNAT.T_1|CY2023Q3</v>
      </c>
    </row>
    <row r="4242" spans="4:18" x14ac:dyDescent="0.2">
      <c r="D4242" t="s">
        <v>119</v>
      </c>
      <c r="E4242" t="s">
        <v>120</v>
      </c>
      <c r="F4242" t="s">
        <v>121</v>
      </c>
      <c r="G4242" t="s">
        <v>152</v>
      </c>
      <c r="H4242" t="s">
        <v>152</v>
      </c>
      <c r="I4242" t="s">
        <v>42</v>
      </c>
      <c r="J4242" t="s">
        <v>43</v>
      </c>
      <c r="K4242" t="s">
        <v>47</v>
      </c>
      <c r="L4242" t="s">
        <v>48</v>
      </c>
      <c r="M4242" t="s">
        <v>139</v>
      </c>
      <c r="N4242">
        <v>572</v>
      </c>
      <c r="O4242" s="14">
        <v>0.71524325129576005</v>
      </c>
      <c r="P4242" s="14">
        <v>0.43010397930629601</v>
      </c>
      <c r="Q4242" t="str">
        <f t="shared" si="132"/>
        <v>35-49</v>
      </c>
      <c r="R4242" t="str">
        <f t="shared" si="133"/>
        <v>[vA4NcHxfMBq]|35-49|Male|NEW_INFECTIONS_SUBNAT.T_1|CY2023Q3</v>
      </c>
    </row>
    <row r="4243" spans="4:18" x14ac:dyDescent="0.2">
      <c r="D4243" t="s">
        <v>119</v>
      </c>
      <c r="E4243" t="s">
        <v>120</v>
      </c>
      <c r="F4243" t="s">
        <v>121</v>
      </c>
      <c r="G4243" t="s">
        <v>152</v>
      </c>
      <c r="H4243" t="s">
        <v>152</v>
      </c>
      <c r="I4243" t="s">
        <v>44</v>
      </c>
      <c r="J4243" t="s">
        <v>45</v>
      </c>
      <c r="K4243" t="s">
        <v>47</v>
      </c>
      <c r="L4243" t="s">
        <v>48</v>
      </c>
      <c r="M4243" t="s">
        <v>139</v>
      </c>
      <c r="N4243">
        <v>1939</v>
      </c>
      <c r="O4243" s="14">
        <v>0.13326743012294201</v>
      </c>
      <c r="P4243" s="14">
        <v>0.43010397930629601</v>
      </c>
      <c r="Q4243" t="str">
        <f t="shared" si="132"/>
        <v>50+</v>
      </c>
      <c r="R4243" t="str">
        <f t="shared" si="133"/>
        <v>[vA4NcHxfMBq]|50+|Male|NEW_INFECTIONS_SUBNAT.T_1|CY2023Q3</v>
      </c>
    </row>
    <row r="4244" spans="4:18" x14ac:dyDescent="0.2">
      <c r="D4244" t="s">
        <v>122</v>
      </c>
      <c r="E4244" t="s">
        <v>123</v>
      </c>
      <c r="F4244" t="s">
        <v>124</v>
      </c>
      <c r="G4244" t="s">
        <v>152</v>
      </c>
      <c r="H4244" t="s">
        <v>152</v>
      </c>
      <c r="I4244" t="s">
        <v>27</v>
      </c>
      <c r="J4244" t="s">
        <v>28</v>
      </c>
      <c r="K4244" t="s">
        <v>29</v>
      </c>
      <c r="L4244" t="s">
        <v>30</v>
      </c>
      <c r="M4244" t="s">
        <v>139</v>
      </c>
      <c r="N4244">
        <v>1165</v>
      </c>
      <c r="O4244" s="14">
        <v>0.14188478607684399</v>
      </c>
      <c r="P4244" s="14">
        <v>0.41950060334056599</v>
      </c>
      <c r="Q4244" t="str">
        <f t="shared" si="132"/>
        <v>&lt;01</v>
      </c>
      <c r="R4244" t="str">
        <f t="shared" si="133"/>
        <v>[E7zpfyBt7Tw]|&lt;01|Female|NEW_INFECTIONS_SUBNAT.T_1|CY2023Q3</v>
      </c>
    </row>
    <row r="4245" spans="4:18" x14ac:dyDescent="0.2">
      <c r="D4245" t="s">
        <v>122</v>
      </c>
      <c r="E4245" t="s">
        <v>123</v>
      </c>
      <c r="F4245" t="s">
        <v>124</v>
      </c>
      <c r="G4245" t="s">
        <v>152</v>
      </c>
      <c r="H4245" t="s">
        <v>152</v>
      </c>
      <c r="I4245" t="s">
        <v>32</v>
      </c>
      <c r="J4245" t="s">
        <v>33</v>
      </c>
      <c r="K4245" t="s">
        <v>29</v>
      </c>
      <c r="L4245" t="s">
        <v>30</v>
      </c>
      <c r="M4245" t="s">
        <v>139</v>
      </c>
      <c r="N4245">
        <v>1308</v>
      </c>
      <c r="O4245" s="14">
        <v>0.71583961159922205</v>
      </c>
      <c r="P4245" s="14">
        <v>0.41950060334056599</v>
      </c>
      <c r="Q4245" t="str">
        <f t="shared" si="132"/>
        <v>01-09</v>
      </c>
      <c r="R4245" t="str">
        <f t="shared" si="133"/>
        <v>[E7zpfyBt7Tw]|01-09|Female|NEW_INFECTIONS_SUBNAT.T_1|CY2023Q3</v>
      </c>
    </row>
    <row r="4246" spans="4:18" x14ac:dyDescent="0.2">
      <c r="D4246" t="s">
        <v>122</v>
      </c>
      <c r="E4246" t="s">
        <v>123</v>
      </c>
      <c r="F4246" t="s">
        <v>124</v>
      </c>
      <c r="G4246" t="s">
        <v>152</v>
      </c>
      <c r="H4246" t="s">
        <v>152</v>
      </c>
      <c r="I4246" t="s">
        <v>35</v>
      </c>
      <c r="J4246" t="s">
        <v>36</v>
      </c>
      <c r="K4246" t="s">
        <v>29</v>
      </c>
      <c r="L4246" t="s">
        <v>30</v>
      </c>
      <c r="M4246" t="s">
        <v>139</v>
      </c>
      <c r="N4246">
        <v>1393</v>
      </c>
      <c r="O4246" s="14">
        <v>0.85648848977871195</v>
      </c>
      <c r="P4246" s="14">
        <v>0.41950060334056599</v>
      </c>
      <c r="Q4246" t="str">
        <f t="shared" si="132"/>
        <v>10-14</v>
      </c>
      <c r="R4246" t="str">
        <f t="shared" si="133"/>
        <v>[E7zpfyBt7Tw]|10-14|Female|NEW_INFECTIONS_SUBNAT.T_1|CY2023Q3</v>
      </c>
    </row>
    <row r="4247" spans="4:18" x14ac:dyDescent="0.2">
      <c r="D4247" t="s">
        <v>122</v>
      </c>
      <c r="E4247" t="s">
        <v>123</v>
      </c>
      <c r="F4247" t="s">
        <v>124</v>
      </c>
      <c r="G4247" t="s">
        <v>152</v>
      </c>
      <c r="H4247" t="s">
        <v>152</v>
      </c>
      <c r="I4247" t="s">
        <v>37</v>
      </c>
      <c r="J4247" t="s">
        <v>38</v>
      </c>
      <c r="K4247" t="s">
        <v>29</v>
      </c>
      <c r="L4247" t="s">
        <v>30</v>
      </c>
      <c r="M4247" t="s">
        <v>139</v>
      </c>
      <c r="N4247">
        <v>1847</v>
      </c>
      <c r="O4247" s="14">
        <v>0.71631670999340702</v>
      </c>
      <c r="P4247" s="14">
        <v>0.41950060334056599</v>
      </c>
      <c r="Q4247" t="str">
        <f t="shared" si="132"/>
        <v>15-24</v>
      </c>
      <c r="R4247" t="str">
        <f t="shared" si="133"/>
        <v>[E7zpfyBt7Tw]|15-24|Female|NEW_INFECTIONS_SUBNAT.T_1|CY2023Q3</v>
      </c>
    </row>
    <row r="4248" spans="4:18" x14ac:dyDescent="0.2">
      <c r="D4248" t="s">
        <v>122</v>
      </c>
      <c r="E4248" t="s">
        <v>123</v>
      </c>
      <c r="F4248" t="s">
        <v>124</v>
      </c>
      <c r="G4248" t="s">
        <v>152</v>
      </c>
      <c r="H4248" t="s">
        <v>152</v>
      </c>
      <c r="I4248" t="s">
        <v>40</v>
      </c>
      <c r="J4248" t="s">
        <v>41</v>
      </c>
      <c r="K4248" t="s">
        <v>29</v>
      </c>
      <c r="L4248" t="s">
        <v>30</v>
      </c>
      <c r="M4248" t="s">
        <v>139</v>
      </c>
      <c r="N4248">
        <v>1081</v>
      </c>
      <c r="O4248" s="14">
        <v>0.15939310123212599</v>
      </c>
      <c r="P4248" s="14">
        <v>0.41950060334056599</v>
      </c>
      <c r="Q4248" t="str">
        <f t="shared" si="132"/>
        <v>25-34</v>
      </c>
      <c r="R4248" t="str">
        <f t="shared" si="133"/>
        <v>[E7zpfyBt7Tw]|25-34|Female|NEW_INFECTIONS_SUBNAT.T_1|CY2023Q3</v>
      </c>
    </row>
    <row r="4249" spans="4:18" x14ac:dyDescent="0.2">
      <c r="D4249" t="s">
        <v>122</v>
      </c>
      <c r="E4249" t="s">
        <v>123</v>
      </c>
      <c r="F4249" t="s">
        <v>124</v>
      </c>
      <c r="G4249" t="s">
        <v>152</v>
      </c>
      <c r="H4249" t="s">
        <v>152</v>
      </c>
      <c r="I4249" t="s">
        <v>42</v>
      </c>
      <c r="J4249" t="s">
        <v>43</v>
      </c>
      <c r="K4249" t="s">
        <v>29</v>
      </c>
      <c r="L4249" t="s">
        <v>30</v>
      </c>
      <c r="M4249" t="s">
        <v>139</v>
      </c>
      <c r="N4249">
        <v>765</v>
      </c>
      <c r="O4249" s="14">
        <v>0.81079151853918996</v>
      </c>
      <c r="P4249" s="14">
        <v>0.41950060334056599</v>
      </c>
      <c r="Q4249" t="str">
        <f t="shared" si="132"/>
        <v>35-49</v>
      </c>
      <c r="R4249" t="str">
        <f t="shared" si="133"/>
        <v>[E7zpfyBt7Tw]|35-49|Female|NEW_INFECTIONS_SUBNAT.T_1|CY2023Q3</v>
      </c>
    </row>
    <row r="4250" spans="4:18" x14ac:dyDescent="0.2">
      <c r="D4250" t="s">
        <v>122</v>
      </c>
      <c r="E4250" t="s">
        <v>123</v>
      </c>
      <c r="F4250" t="s">
        <v>124</v>
      </c>
      <c r="G4250" t="s">
        <v>152</v>
      </c>
      <c r="H4250" t="s">
        <v>152</v>
      </c>
      <c r="I4250" t="s">
        <v>44</v>
      </c>
      <c r="J4250" t="s">
        <v>45</v>
      </c>
      <c r="K4250" t="s">
        <v>29</v>
      </c>
      <c r="L4250" t="s">
        <v>30</v>
      </c>
      <c r="M4250" t="s">
        <v>139</v>
      </c>
      <c r="N4250">
        <v>1220</v>
      </c>
      <c r="O4250" s="14">
        <v>0.46405680337920802</v>
      </c>
      <c r="P4250" s="14">
        <v>0.41950060334056599</v>
      </c>
      <c r="Q4250" t="str">
        <f t="shared" si="132"/>
        <v>50+</v>
      </c>
      <c r="R4250" t="str">
        <f t="shared" si="133"/>
        <v>[E7zpfyBt7Tw]|50+|Female|NEW_INFECTIONS_SUBNAT.T_1|CY2023Q3</v>
      </c>
    </row>
    <row r="4251" spans="4:18" x14ac:dyDescent="0.2">
      <c r="D4251" t="s">
        <v>122</v>
      </c>
      <c r="E4251" t="s">
        <v>123</v>
      </c>
      <c r="F4251" t="s">
        <v>124</v>
      </c>
      <c r="G4251" t="s">
        <v>152</v>
      </c>
      <c r="H4251" t="s">
        <v>152</v>
      </c>
      <c r="I4251" t="s">
        <v>27</v>
      </c>
      <c r="J4251" t="s">
        <v>28</v>
      </c>
      <c r="K4251" t="s">
        <v>47</v>
      </c>
      <c r="L4251" t="s">
        <v>48</v>
      </c>
      <c r="M4251" t="s">
        <v>139</v>
      </c>
      <c r="N4251">
        <v>1711</v>
      </c>
      <c r="O4251" s="14">
        <v>0.65511573618277896</v>
      </c>
      <c r="P4251" s="14">
        <v>0.41950060334056599</v>
      </c>
      <c r="Q4251" t="str">
        <f t="shared" si="132"/>
        <v>&lt;01</v>
      </c>
      <c r="R4251" t="str">
        <f t="shared" si="133"/>
        <v>[E7zpfyBt7Tw]|&lt;01|Male|NEW_INFECTIONS_SUBNAT.T_1|CY2023Q3</v>
      </c>
    </row>
    <row r="4252" spans="4:18" x14ac:dyDescent="0.2">
      <c r="D4252" t="s">
        <v>122</v>
      </c>
      <c r="E4252" t="s">
        <v>123</v>
      </c>
      <c r="F4252" t="s">
        <v>124</v>
      </c>
      <c r="G4252" t="s">
        <v>152</v>
      </c>
      <c r="H4252" t="s">
        <v>152</v>
      </c>
      <c r="I4252" t="s">
        <v>32</v>
      </c>
      <c r="J4252" t="s">
        <v>33</v>
      </c>
      <c r="K4252" t="s">
        <v>47</v>
      </c>
      <c r="L4252" t="s">
        <v>48</v>
      </c>
      <c r="M4252" t="s">
        <v>139</v>
      </c>
      <c r="N4252">
        <v>1726</v>
      </c>
      <c r="O4252" s="14">
        <v>0.44518970302306099</v>
      </c>
      <c r="P4252" s="14">
        <v>0.41950060334056599</v>
      </c>
      <c r="Q4252" t="str">
        <f t="shared" si="132"/>
        <v>01-09</v>
      </c>
      <c r="R4252" t="str">
        <f t="shared" si="133"/>
        <v>[E7zpfyBt7Tw]|01-09|Male|NEW_INFECTIONS_SUBNAT.T_1|CY2023Q3</v>
      </c>
    </row>
    <row r="4253" spans="4:18" x14ac:dyDescent="0.2">
      <c r="D4253" t="s">
        <v>122</v>
      </c>
      <c r="E4253" t="s">
        <v>123</v>
      </c>
      <c r="F4253" t="s">
        <v>124</v>
      </c>
      <c r="G4253" t="s">
        <v>152</v>
      </c>
      <c r="H4253" t="s">
        <v>152</v>
      </c>
      <c r="I4253" t="s">
        <v>35</v>
      </c>
      <c r="J4253" t="s">
        <v>36</v>
      </c>
      <c r="K4253" t="s">
        <v>47</v>
      </c>
      <c r="L4253" t="s">
        <v>48</v>
      </c>
      <c r="M4253" t="s">
        <v>139</v>
      </c>
      <c r="N4253">
        <v>526</v>
      </c>
      <c r="O4253" s="14">
        <v>0.46498247236013401</v>
      </c>
      <c r="P4253" s="14">
        <v>0.41950060334056599</v>
      </c>
      <c r="Q4253" t="str">
        <f t="shared" si="132"/>
        <v>10-14</v>
      </c>
      <c r="R4253" t="str">
        <f t="shared" si="133"/>
        <v>[E7zpfyBt7Tw]|10-14|Male|NEW_INFECTIONS_SUBNAT.T_1|CY2023Q3</v>
      </c>
    </row>
    <row r="4254" spans="4:18" x14ac:dyDescent="0.2">
      <c r="D4254" t="s">
        <v>122</v>
      </c>
      <c r="E4254" t="s">
        <v>123</v>
      </c>
      <c r="F4254" t="s">
        <v>124</v>
      </c>
      <c r="G4254" t="s">
        <v>152</v>
      </c>
      <c r="H4254" t="s">
        <v>152</v>
      </c>
      <c r="I4254" t="s">
        <v>37</v>
      </c>
      <c r="J4254" t="s">
        <v>38</v>
      </c>
      <c r="K4254" t="s">
        <v>47</v>
      </c>
      <c r="L4254" t="s">
        <v>48</v>
      </c>
      <c r="M4254" t="s">
        <v>139</v>
      </c>
      <c r="N4254">
        <v>789</v>
      </c>
      <c r="O4254" s="14">
        <v>0.35481350589543598</v>
      </c>
      <c r="P4254" s="14">
        <v>0.41950060334056599</v>
      </c>
      <c r="Q4254" t="str">
        <f t="shared" si="132"/>
        <v>15-24</v>
      </c>
      <c r="R4254" t="str">
        <f t="shared" si="133"/>
        <v>[E7zpfyBt7Tw]|15-24|Male|NEW_INFECTIONS_SUBNAT.T_1|CY2023Q3</v>
      </c>
    </row>
    <row r="4255" spans="4:18" x14ac:dyDescent="0.2">
      <c r="D4255" t="s">
        <v>122</v>
      </c>
      <c r="E4255" t="s">
        <v>123</v>
      </c>
      <c r="F4255" t="s">
        <v>124</v>
      </c>
      <c r="G4255" t="s">
        <v>152</v>
      </c>
      <c r="H4255" t="s">
        <v>152</v>
      </c>
      <c r="I4255" t="s">
        <v>40</v>
      </c>
      <c r="J4255" t="s">
        <v>41</v>
      </c>
      <c r="K4255" t="s">
        <v>47</v>
      </c>
      <c r="L4255" t="s">
        <v>48</v>
      </c>
      <c r="M4255" t="s">
        <v>139</v>
      </c>
      <c r="N4255">
        <v>1891</v>
      </c>
      <c r="O4255" s="14">
        <v>0.234688076423481</v>
      </c>
      <c r="P4255" s="14">
        <v>0.41950060334056599</v>
      </c>
      <c r="Q4255" t="str">
        <f t="shared" si="132"/>
        <v>25-34</v>
      </c>
      <c r="R4255" t="str">
        <f t="shared" si="133"/>
        <v>[E7zpfyBt7Tw]|25-34|Male|NEW_INFECTIONS_SUBNAT.T_1|CY2023Q3</v>
      </c>
    </row>
    <row r="4256" spans="4:18" x14ac:dyDescent="0.2">
      <c r="D4256" t="s">
        <v>122</v>
      </c>
      <c r="E4256" t="s">
        <v>123</v>
      </c>
      <c r="F4256" t="s">
        <v>124</v>
      </c>
      <c r="G4256" t="s">
        <v>152</v>
      </c>
      <c r="H4256" t="s">
        <v>152</v>
      </c>
      <c r="I4256" t="s">
        <v>42</v>
      </c>
      <c r="J4256" t="s">
        <v>43</v>
      </c>
      <c r="K4256" t="s">
        <v>47</v>
      </c>
      <c r="L4256" t="s">
        <v>48</v>
      </c>
      <c r="M4256" t="s">
        <v>139</v>
      </c>
      <c r="N4256">
        <v>587</v>
      </c>
      <c r="O4256" s="14">
        <v>0.63640825729817196</v>
      </c>
      <c r="P4256" s="14">
        <v>0.41950060334056599</v>
      </c>
      <c r="Q4256" t="str">
        <f t="shared" si="132"/>
        <v>35-49</v>
      </c>
      <c r="R4256" t="str">
        <f t="shared" si="133"/>
        <v>[E7zpfyBt7Tw]|35-49|Male|NEW_INFECTIONS_SUBNAT.T_1|CY2023Q3</v>
      </c>
    </row>
    <row r="4257" spans="4:18" x14ac:dyDescent="0.2">
      <c r="D4257" t="s">
        <v>122</v>
      </c>
      <c r="E4257" t="s">
        <v>123</v>
      </c>
      <c r="F4257" t="s">
        <v>124</v>
      </c>
      <c r="G4257" t="s">
        <v>152</v>
      </c>
      <c r="H4257" t="s">
        <v>152</v>
      </c>
      <c r="I4257" t="s">
        <v>44</v>
      </c>
      <c r="J4257" t="s">
        <v>45</v>
      </c>
      <c r="K4257" t="s">
        <v>47</v>
      </c>
      <c r="L4257" t="s">
        <v>48</v>
      </c>
      <c r="M4257" t="s">
        <v>139</v>
      </c>
      <c r="N4257">
        <v>1283</v>
      </c>
      <c r="O4257" s="14">
        <v>0.80551636219024703</v>
      </c>
      <c r="P4257" s="14">
        <v>0.41950060334056599</v>
      </c>
      <c r="Q4257" t="str">
        <f t="shared" si="132"/>
        <v>50+</v>
      </c>
      <c r="R4257" t="str">
        <f t="shared" si="133"/>
        <v>[E7zpfyBt7Tw]|50+|Male|NEW_INFECTIONS_SUBNAT.T_1|CY2023Q3</v>
      </c>
    </row>
    <row r="4258" spans="4:18" x14ac:dyDescent="0.2">
      <c r="D4258" t="s">
        <v>125</v>
      </c>
      <c r="E4258" t="s">
        <v>126</v>
      </c>
      <c r="F4258" t="s">
        <v>127</v>
      </c>
      <c r="G4258" t="s">
        <v>152</v>
      </c>
      <c r="H4258" t="s">
        <v>152</v>
      </c>
      <c r="I4258" t="s">
        <v>27</v>
      </c>
      <c r="J4258" t="s">
        <v>28</v>
      </c>
      <c r="K4258" t="s">
        <v>29</v>
      </c>
      <c r="L4258" t="s">
        <v>30</v>
      </c>
      <c r="M4258" t="s">
        <v>139</v>
      </c>
      <c r="N4258">
        <v>1761</v>
      </c>
      <c r="O4258" s="14">
        <v>0.37026898423209798</v>
      </c>
      <c r="P4258" s="14">
        <v>0.25270639033988102</v>
      </c>
      <c r="Q4258" t="str">
        <f t="shared" si="132"/>
        <v>&lt;01</v>
      </c>
      <c r="R4258" t="str">
        <f t="shared" si="133"/>
        <v>[ZCjuwgaMB9u]|&lt;01|Female|NEW_INFECTIONS_SUBNAT.T_1|CY2023Q3</v>
      </c>
    </row>
    <row r="4259" spans="4:18" x14ac:dyDescent="0.2">
      <c r="D4259" t="s">
        <v>125</v>
      </c>
      <c r="E4259" t="s">
        <v>126</v>
      </c>
      <c r="F4259" t="s">
        <v>127</v>
      </c>
      <c r="G4259" t="s">
        <v>152</v>
      </c>
      <c r="H4259" t="s">
        <v>152</v>
      </c>
      <c r="I4259" t="s">
        <v>32</v>
      </c>
      <c r="J4259" t="s">
        <v>33</v>
      </c>
      <c r="K4259" t="s">
        <v>29</v>
      </c>
      <c r="L4259" t="s">
        <v>30</v>
      </c>
      <c r="M4259" t="s">
        <v>139</v>
      </c>
      <c r="N4259">
        <v>1698</v>
      </c>
      <c r="O4259" s="14">
        <v>0.682507015299052</v>
      </c>
      <c r="P4259" s="14">
        <v>0.25270639033988102</v>
      </c>
      <c r="Q4259" t="str">
        <f t="shared" si="132"/>
        <v>01-09</v>
      </c>
      <c r="R4259" t="str">
        <f t="shared" si="133"/>
        <v>[ZCjuwgaMB9u]|01-09|Female|NEW_INFECTIONS_SUBNAT.T_1|CY2023Q3</v>
      </c>
    </row>
    <row r="4260" spans="4:18" x14ac:dyDescent="0.2">
      <c r="D4260" t="s">
        <v>125</v>
      </c>
      <c r="E4260" t="s">
        <v>126</v>
      </c>
      <c r="F4260" t="s">
        <v>127</v>
      </c>
      <c r="G4260" t="s">
        <v>152</v>
      </c>
      <c r="H4260" t="s">
        <v>152</v>
      </c>
      <c r="I4260" t="s">
        <v>35</v>
      </c>
      <c r="J4260" t="s">
        <v>36</v>
      </c>
      <c r="K4260" t="s">
        <v>29</v>
      </c>
      <c r="L4260" t="s">
        <v>30</v>
      </c>
      <c r="M4260" t="s">
        <v>139</v>
      </c>
      <c r="N4260">
        <v>860</v>
      </c>
      <c r="O4260" s="14">
        <v>8.1448215292766704E-2</v>
      </c>
      <c r="P4260" s="14">
        <v>0.25270639033988102</v>
      </c>
      <c r="Q4260" t="str">
        <f t="shared" si="132"/>
        <v>10-14</v>
      </c>
      <c r="R4260" t="str">
        <f t="shared" si="133"/>
        <v>[ZCjuwgaMB9u]|10-14|Female|NEW_INFECTIONS_SUBNAT.T_1|CY2023Q3</v>
      </c>
    </row>
    <row r="4261" spans="4:18" x14ac:dyDescent="0.2">
      <c r="D4261" t="s">
        <v>125</v>
      </c>
      <c r="E4261" t="s">
        <v>126</v>
      </c>
      <c r="F4261" t="s">
        <v>127</v>
      </c>
      <c r="G4261" t="s">
        <v>152</v>
      </c>
      <c r="H4261" t="s">
        <v>152</v>
      </c>
      <c r="I4261" t="s">
        <v>37</v>
      </c>
      <c r="J4261" t="s">
        <v>38</v>
      </c>
      <c r="K4261" t="s">
        <v>29</v>
      </c>
      <c r="L4261" t="s">
        <v>30</v>
      </c>
      <c r="M4261" t="s">
        <v>139</v>
      </c>
      <c r="N4261">
        <v>1869</v>
      </c>
      <c r="O4261" s="14">
        <v>0.51609839359298304</v>
      </c>
      <c r="P4261" s="14">
        <v>0.25270639033988102</v>
      </c>
      <c r="Q4261" t="str">
        <f t="shared" si="132"/>
        <v>15-24</v>
      </c>
      <c r="R4261" t="str">
        <f t="shared" si="133"/>
        <v>[ZCjuwgaMB9u]|15-24|Female|NEW_INFECTIONS_SUBNAT.T_1|CY2023Q3</v>
      </c>
    </row>
    <row r="4262" spans="4:18" x14ac:dyDescent="0.2">
      <c r="D4262" t="s">
        <v>125</v>
      </c>
      <c r="E4262" t="s">
        <v>126</v>
      </c>
      <c r="F4262" t="s">
        <v>127</v>
      </c>
      <c r="G4262" t="s">
        <v>152</v>
      </c>
      <c r="H4262" t="s">
        <v>152</v>
      </c>
      <c r="I4262" t="s">
        <v>40</v>
      </c>
      <c r="J4262" t="s">
        <v>41</v>
      </c>
      <c r="K4262" t="s">
        <v>29</v>
      </c>
      <c r="L4262" t="s">
        <v>30</v>
      </c>
      <c r="M4262" t="s">
        <v>139</v>
      </c>
      <c r="N4262">
        <v>660</v>
      </c>
      <c r="O4262" s="14">
        <v>0.140245466958731</v>
      </c>
      <c r="P4262" s="14">
        <v>0.25270639033988102</v>
      </c>
      <c r="Q4262" t="str">
        <f t="shared" si="132"/>
        <v>25-34</v>
      </c>
      <c r="R4262" t="str">
        <f t="shared" si="133"/>
        <v>[ZCjuwgaMB9u]|25-34|Female|NEW_INFECTIONS_SUBNAT.T_1|CY2023Q3</v>
      </c>
    </row>
    <row r="4263" spans="4:18" x14ac:dyDescent="0.2">
      <c r="D4263" t="s">
        <v>125</v>
      </c>
      <c r="E4263" t="s">
        <v>126</v>
      </c>
      <c r="F4263" t="s">
        <v>127</v>
      </c>
      <c r="G4263" t="s">
        <v>152</v>
      </c>
      <c r="H4263" t="s">
        <v>152</v>
      </c>
      <c r="I4263" t="s">
        <v>42</v>
      </c>
      <c r="J4263" t="s">
        <v>43</v>
      </c>
      <c r="K4263" t="s">
        <v>29</v>
      </c>
      <c r="L4263" t="s">
        <v>30</v>
      </c>
      <c r="M4263" t="s">
        <v>139</v>
      </c>
      <c r="N4263">
        <v>1035</v>
      </c>
      <c r="O4263" s="14">
        <v>0.64948502206243597</v>
      </c>
      <c r="P4263" s="14">
        <v>0.25270639033988102</v>
      </c>
      <c r="Q4263" t="str">
        <f t="shared" si="132"/>
        <v>35-49</v>
      </c>
      <c r="R4263" t="str">
        <f t="shared" si="133"/>
        <v>[ZCjuwgaMB9u]|35-49|Female|NEW_INFECTIONS_SUBNAT.T_1|CY2023Q3</v>
      </c>
    </row>
    <row r="4264" spans="4:18" x14ac:dyDescent="0.2">
      <c r="D4264" t="s">
        <v>125</v>
      </c>
      <c r="E4264" t="s">
        <v>126</v>
      </c>
      <c r="F4264" t="s">
        <v>127</v>
      </c>
      <c r="G4264" t="s">
        <v>152</v>
      </c>
      <c r="H4264" t="s">
        <v>152</v>
      </c>
      <c r="I4264" t="s">
        <v>44</v>
      </c>
      <c r="J4264" t="s">
        <v>45</v>
      </c>
      <c r="K4264" t="s">
        <v>29</v>
      </c>
      <c r="L4264" t="s">
        <v>30</v>
      </c>
      <c r="M4264" t="s">
        <v>139</v>
      </c>
      <c r="N4264">
        <v>1449</v>
      </c>
      <c r="O4264" s="14">
        <v>0.26433175220154198</v>
      </c>
      <c r="P4264" s="14">
        <v>0.25270639033988102</v>
      </c>
      <c r="Q4264" t="str">
        <f t="shared" si="132"/>
        <v>50+</v>
      </c>
      <c r="R4264" t="str">
        <f t="shared" si="133"/>
        <v>[ZCjuwgaMB9u]|50+|Female|NEW_INFECTIONS_SUBNAT.T_1|CY2023Q3</v>
      </c>
    </row>
    <row r="4265" spans="4:18" x14ac:dyDescent="0.2">
      <c r="D4265" t="s">
        <v>125</v>
      </c>
      <c r="E4265" t="s">
        <v>126</v>
      </c>
      <c r="F4265" t="s">
        <v>127</v>
      </c>
      <c r="G4265" t="s">
        <v>152</v>
      </c>
      <c r="H4265" t="s">
        <v>152</v>
      </c>
      <c r="I4265" t="s">
        <v>27</v>
      </c>
      <c r="J4265" t="s">
        <v>28</v>
      </c>
      <c r="K4265" t="s">
        <v>47</v>
      </c>
      <c r="L4265" t="s">
        <v>48</v>
      </c>
      <c r="M4265" t="s">
        <v>139</v>
      </c>
      <c r="N4265">
        <v>1297</v>
      </c>
      <c r="O4265" s="14">
        <v>0.134758098982275</v>
      </c>
      <c r="P4265" s="14">
        <v>0.25270639033988102</v>
      </c>
      <c r="Q4265" t="str">
        <f t="shared" si="132"/>
        <v>&lt;01</v>
      </c>
      <c r="R4265" t="str">
        <f t="shared" si="133"/>
        <v>[ZCjuwgaMB9u]|&lt;01|Male|NEW_INFECTIONS_SUBNAT.T_1|CY2023Q3</v>
      </c>
    </row>
    <row r="4266" spans="4:18" x14ac:dyDescent="0.2">
      <c r="D4266" t="s">
        <v>125</v>
      </c>
      <c r="E4266" t="s">
        <v>126</v>
      </c>
      <c r="F4266" t="s">
        <v>127</v>
      </c>
      <c r="G4266" t="s">
        <v>152</v>
      </c>
      <c r="H4266" t="s">
        <v>152</v>
      </c>
      <c r="I4266" t="s">
        <v>32</v>
      </c>
      <c r="J4266" t="s">
        <v>33</v>
      </c>
      <c r="K4266" t="s">
        <v>47</v>
      </c>
      <c r="L4266" t="s">
        <v>48</v>
      </c>
      <c r="M4266" t="s">
        <v>139</v>
      </c>
      <c r="N4266">
        <v>1777</v>
      </c>
      <c r="O4266" s="14">
        <v>0.14977036835625801</v>
      </c>
      <c r="P4266" s="14">
        <v>0.25270639033988102</v>
      </c>
      <c r="Q4266" t="str">
        <f t="shared" si="132"/>
        <v>01-09</v>
      </c>
      <c r="R4266" t="str">
        <f t="shared" si="133"/>
        <v>[ZCjuwgaMB9u]|01-09|Male|NEW_INFECTIONS_SUBNAT.T_1|CY2023Q3</v>
      </c>
    </row>
    <row r="4267" spans="4:18" x14ac:dyDescent="0.2">
      <c r="D4267" t="s">
        <v>125</v>
      </c>
      <c r="E4267" t="s">
        <v>126</v>
      </c>
      <c r="F4267" t="s">
        <v>127</v>
      </c>
      <c r="G4267" t="s">
        <v>152</v>
      </c>
      <c r="H4267" t="s">
        <v>152</v>
      </c>
      <c r="I4267" t="s">
        <v>35</v>
      </c>
      <c r="J4267" t="s">
        <v>36</v>
      </c>
      <c r="K4267" t="s">
        <v>47</v>
      </c>
      <c r="L4267" t="s">
        <v>48</v>
      </c>
      <c r="M4267" t="s">
        <v>139</v>
      </c>
      <c r="N4267">
        <v>995</v>
      </c>
      <c r="O4267" s="14">
        <v>0.895410120720044</v>
      </c>
      <c r="P4267" s="14">
        <v>0.25270639033988102</v>
      </c>
      <c r="Q4267" t="str">
        <f t="shared" si="132"/>
        <v>10-14</v>
      </c>
      <c r="R4267" t="str">
        <f t="shared" si="133"/>
        <v>[ZCjuwgaMB9u]|10-14|Male|NEW_INFECTIONS_SUBNAT.T_1|CY2023Q3</v>
      </c>
    </row>
    <row r="4268" spans="4:18" x14ac:dyDescent="0.2">
      <c r="D4268" t="s">
        <v>125</v>
      </c>
      <c r="E4268" t="s">
        <v>126</v>
      </c>
      <c r="F4268" t="s">
        <v>127</v>
      </c>
      <c r="G4268" t="s">
        <v>152</v>
      </c>
      <c r="H4268" t="s">
        <v>152</v>
      </c>
      <c r="I4268" t="s">
        <v>37</v>
      </c>
      <c r="J4268" t="s">
        <v>38</v>
      </c>
      <c r="K4268" t="s">
        <v>47</v>
      </c>
      <c r="L4268" t="s">
        <v>48</v>
      </c>
      <c r="M4268" t="s">
        <v>139</v>
      </c>
      <c r="N4268">
        <v>1028</v>
      </c>
      <c r="O4268" s="14">
        <v>0.552121980814263</v>
      </c>
      <c r="P4268" s="14">
        <v>0.25270639033988102</v>
      </c>
      <c r="Q4268" t="str">
        <f t="shared" si="132"/>
        <v>15-24</v>
      </c>
      <c r="R4268" t="str">
        <f t="shared" si="133"/>
        <v>[ZCjuwgaMB9u]|15-24|Male|NEW_INFECTIONS_SUBNAT.T_1|CY2023Q3</v>
      </c>
    </row>
    <row r="4269" spans="4:18" x14ac:dyDescent="0.2">
      <c r="D4269" t="s">
        <v>125</v>
      </c>
      <c r="E4269" t="s">
        <v>126</v>
      </c>
      <c r="F4269" t="s">
        <v>127</v>
      </c>
      <c r="G4269" t="s">
        <v>152</v>
      </c>
      <c r="H4269" t="s">
        <v>152</v>
      </c>
      <c r="I4269" t="s">
        <v>40</v>
      </c>
      <c r="J4269" t="s">
        <v>41</v>
      </c>
      <c r="K4269" t="s">
        <v>47</v>
      </c>
      <c r="L4269" t="s">
        <v>48</v>
      </c>
      <c r="M4269" t="s">
        <v>139</v>
      </c>
      <c r="N4269">
        <v>603</v>
      </c>
      <c r="O4269" s="14">
        <v>0.21844523190520701</v>
      </c>
      <c r="P4269" s="14">
        <v>0.25270639033988102</v>
      </c>
      <c r="Q4269" t="str">
        <f t="shared" si="132"/>
        <v>25-34</v>
      </c>
      <c r="R4269" t="str">
        <f t="shared" si="133"/>
        <v>[ZCjuwgaMB9u]|25-34|Male|NEW_INFECTIONS_SUBNAT.T_1|CY2023Q3</v>
      </c>
    </row>
    <row r="4270" spans="4:18" x14ac:dyDescent="0.2">
      <c r="D4270" t="s">
        <v>125</v>
      </c>
      <c r="E4270" t="s">
        <v>126</v>
      </c>
      <c r="F4270" t="s">
        <v>127</v>
      </c>
      <c r="G4270" t="s">
        <v>152</v>
      </c>
      <c r="H4270" t="s">
        <v>152</v>
      </c>
      <c r="I4270" t="s">
        <v>42</v>
      </c>
      <c r="J4270" t="s">
        <v>43</v>
      </c>
      <c r="K4270" t="s">
        <v>47</v>
      </c>
      <c r="L4270" t="s">
        <v>48</v>
      </c>
      <c r="M4270" t="s">
        <v>139</v>
      </c>
      <c r="N4270">
        <v>1703</v>
      </c>
      <c r="O4270" s="14">
        <v>0.66639253543689803</v>
      </c>
      <c r="P4270" s="14">
        <v>0.25270639033988102</v>
      </c>
      <c r="Q4270" t="str">
        <f t="shared" si="132"/>
        <v>35-49</v>
      </c>
      <c r="R4270" t="str">
        <f t="shared" si="133"/>
        <v>[ZCjuwgaMB9u]|35-49|Male|NEW_INFECTIONS_SUBNAT.T_1|CY2023Q3</v>
      </c>
    </row>
    <row r="4271" spans="4:18" x14ac:dyDescent="0.2">
      <c r="D4271" t="s">
        <v>125</v>
      </c>
      <c r="E4271" t="s">
        <v>126</v>
      </c>
      <c r="F4271" t="s">
        <v>127</v>
      </c>
      <c r="G4271" t="s">
        <v>152</v>
      </c>
      <c r="H4271" t="s">
        <v>152</v>
      </c>
      <c r="I4271" t="s">
        <v>44</v>
      </c>
      <c r="J4271" t="s">
        <v>45</v>
      </c>
      <c r="K4271" t="s">
        <v>47</v>
      </c>
      <c r="L4271" t="s">
        <v>48</v>
      </c>
      <c r="M4271" t="s">
        <v>139</v>
      </c>
      <c r="N4271">
        <v>1402</v>
      </c>
      <c r="O4271" s="14">
        <v>0.19736319663934401</v>
      </c>
      <c r="P4271" s="14">
        <v>0.25270639033988102</v>
      </c>
      <c r="Q4271" t="str">
        <f t="shared" si="132"/>
        <v>50+</v>
      </c>
      <c r="R4271" t="str">
        <f t="shared" si="133"/>
        <v>[ZCjuwgaMB9u]|50+|Male|NEW_INFECTIONS_SUBNAT.T_1|CY2023Q3</v>
      </c>
    </row>
    <row r="4272" spans="4:18" x14ac:dyDescent="0.2">
      <c r="D4272" t="s">
        <v>128</v>
      </c>
      <c r="E4272" t="s">
        <v>129</v>
      </c>
      <c r="F4272" t="s">
        <v>130</v>
      </c>
      <c r="G4272" t="s">
        <v>152</v>
      </c>
      <c r="H4272" t="s">
        <v>152</v>
      </c>
      <c r="I4272" t="s">
        <v>27</v>
      </c>
      <c r="J4272" t="s">
        <v>28</v>
      </c>
      <c r="K4272" t="s">
        <v>29</v>
      </c>
      <c r="L4272" t="s">
        <v>30</v>
      </c>
      <c r="M4272" t="s">
        <v>139</v>
      </c>
      <c r="N4272">
        <v>876</v>
      </c>
      <c r="O4272" s="14">
        <v>0.33261363254859999</v>
      </c>
      <c r="P4272" s="14">
        <v>0.55690808477811504</v>
      </c>
      <c r="Q4272" t="str">
        <f t="shared" si="132"/>
        <v>&lt;01</v>
      </c>
      <c r="R4272" t="str">
        <f t="shared" si="133"/>
        <v>[YCKiBAp8QAg]|&lt;01|Female|NEW_INFECTIONS_SUBNAT.T_1|CY2023Q3</v>
      </c>
    </row>
    <row r="4273" spans="4:18" x14ac:dyDescent="0.2">
      <c r="D4273" t="s">
        <v>128</v>
      </c>
      <c r="E4273" t="s">
        <v>129</v>
      </c>
      <c r="F4273" t="s">
        <v>130</v>
      </c>
      <c r="G4273" t="s">
        <v>152</v>
      </c>
      <c r="H4273" t="s">
        <v>152</v>
      </c>
      <c r="I4273" t="s">
        <v>32</v>
      </c>
      <c r="J4273" t="s">
        <v>33</v>
      </c>
      <c r="K4273" t="s">
        <v>29</v>
      </c>
      <c r="L4273" t="s">
        <v>30</v>
      </c>
      <c r="M4273" t="s">
        <v>139</v>
      </c>
      <c r="N4273">
        <v>1034</v>
      </c>
      <c r="O4273" s="14">
        <v>0.89330287091434002</v>
      </c>
      <c r="P4273" s="14">
        <v>0.55690808477811504</v>
      </c>
      <c r="Q4273" t="str">
        <f t="shared" si="132"/>
        <v>01-09</v>
      </c>
      <c r="R4273" t="str">
        <f t="shared" si="133"/>
        <v>[YCKiBAp8QAg]|01-09|Female|NEW_INFECTIONS_SUBNAT.T_1|CY2023Q3</v>
      </c>
    </row>
    <row r="4274" spans="4:18" x14ac:dyDescent="0.2">
      <c r="D4274" t="s">
        <v>128</v>
      </c>
      <c r="E4274" t="s">
        <v>129</v>
      </c>
      <c r="F4274" t="s">
        <v>130</v>
      </c>
      <c r="G4274" t="s">
        <v>152</v>
      </c>
      <c r="H4274" t="s">
        <v>152</v>
      </c>
      <c r="I4274" t="s">
        <v>35</v>
      </c>
      <c r="J4274" t="s">
        <v>36</v>
      </c>
      <c r="K4274" t="s">
        <v>29</v>
      </c>
      <c r="L4274" t="s">
        <v>30</v>
      </c>
      <c r="M4274" t="s">
        <v>139</v>
      </c>
      <c r="N4274">
        <v>1389</v>
      </c>
      <c r="O4274" s="14">
        <v>0.27486569830216501</v>
      </c>
      <c r="P4274" s="14">
        <v>0.55690808477811504</v>
      </c>
      <c r="Q4274" t="str">
        <f t="shared" si="132"/>
        <v>10-14</v>
      </c>
      <c r="R4274" t="str">
        <f t="shared" si="133"/>
        <v>[YCKiBAp8QAg]|10-14|Female|NEW_INFECTIONS_SUBNAT.T_1|CY2023Q3</v>
      </c>
    </row>
    <row r="4275" spans="4:18" x14ac:dyDescent="0.2">
      <c r="D4275" t="s">
        <v>128</v>
      </c>
      <c r="E4275" t="s">
        <v>129</v>
      </c>
      <c r="F4275" t="s">
        <v>130</v>
      </c>
      <c r="G4275" t="s">
        <v>152</v>
      </c>
      <c r="H4275" t="s">
        <v>152</v>
      </c>
      <c r="I4275" t="s">
        <v>37</v>
      </c>
      <c r="J4275" t="s">
        <v>38</v>
      </c>
      <c r="K4275" t="s">
        <v>29</v>
      </c>
      <c r="L4275" t="s">
        <v>30</v>
      </c>
      <c r="M4275" t="s">
        <v>139</v>
      </c>
      <c r="N4275">
        <v>937</v>
      </c>
      <c r="O4275" s="14">
        <v>0.34628687100485001</v>
      </c>
      <c r="P4275" s="14">
        <v>0.55690808477811504</v>
      </c>
      <c r="Q4275" t="str">
        <f t="shared" si="132"/>
        <v>15-24</v>
      </c>
      <c r="R4275" t="str">
        <f t="shared" si="133"/>
        <v>[YCKiBAp8QAg]|15-24|Female|NEW_INFECTIONS_SUBNAT.T_1|CY2023Q3</v>
      </c>
    </row>
    <row r="4276" spans="4:18" x14ac:dyDescent="0.2">
      <c r="D4276" t="s">
        <v>128</v>
      </c>
      <c r="E4276" t="s">
        <v>129</v>
      </c>
      <c r="F4276" t="s">
        <v>130</v>
      </c>
      <c r="G4276" t="s">
        <v>152</v>
      </c>
      <c r="H4276" t="s">
        <v>152</v>
      </c>
      <c r="I4276" t="s">
        <v>40</v>
      </c>
      <c r="J4276" t="s">
        <v>41</v>
      </c>
      <c r="K4276" t="s">
        <v>29</v>
      </c>
      <c r="L4276" t="s">
        <v>30</v>
      </c>
      <c r="M4276" t="s">
        <v>139</v>
      </c>
      <c r="N4276">
        <v>1147</v>
      </c>
      <c r="O4276" s="14">
        <v>3.73442557174712E-2</v>
      </c>
      <c r="P4276" s="14">
        <v>0.55690808477811504</v>
      </c>
      <c r="Q4276" t="str">
        <f t="shared" si="132"/>
        <v>25-34</v>
      </c>
      <c r="R4276" t="str">
        <f t="shared" si="133"/>
        <v>[YCKiBAp8QAg]|25-34|Female|NEW_INFECTIONS_SUBNAT.T_1|CY2023Q3</v>
      </c>
    </row>
    <row r="4277" spans="4:18" x14ac:dyDescent="0.2">
      <c r="D4277" t="s">
        <v>128</v>
      </c>
      <c r="E4277" t="s">
        <v>129</v>
      </c>
      <c r="F4277" t="s">
        <v>130</v>
      </c>
      <c r="G4277" t="s">
        <v>152</v>
      </c>
      <c r="H4277" t="s">
        <v>152</v>
      </c>
      <c r="I4277" t="s">
        <v>42</v>
      </c>
      <c r="J4277" t="s">
        <v>43</v>
      </c>
      <c r="K4277" t="s">
        <v>29</v>
      </c>
      <c r="L4277" t="s">
        <v>30</v>
      </c>
      <c r="M4277" t="s">
        <v>139</v>
      </c>
      <c r="N4277">
        <v>1539</v>
      </c>
      <c r="O4277" s="14">
        <v>0.85582809057086695</v>
      </c>
      <c r="P4277" s="14">
        <v>0.55690808477811504</v>
      </c>
      <c r="Q4277" t="str">
        <f t="shared" si="132"/>
        <v>35-49</v>
      </c>
      <c r="R4277" t="str">
        <f t="shared" si="133"/>
        <v>[YCKiBAp8QAg]|35-49|Female|NEW_INFECTIONS_SUBNAT.T_1|CY2023Q3</v>
      </c>
    </row>
    <row r="4278" spans="4:18" x14ac:dyDescent="0.2">
      <c r="D4278" t="s">
        <v>128</v>
      </c>
      <c r="E4278" t="s">
        <v>129</v>
      </c>
      <c r="F4278" t="s">
        <v>130</v>
      </c>
      <c r="G4278" t="s">
        <v>152</v>
      </c>
      <c r="H4278" t="s">
        <v>152</v>
      </c>
      <c r="I4278" t="s">
        <v>44</v>
      </c>
      <c r="J4278" t="s">
        <v>45</v>
      </c>
      <c r="K4278" t="s">
        <v>29</v>
      </c>
      <c r="L4278" t="s">
        <v>30</v>
      </c>
      <c r="M4278" t="s">
        <v>139</v>
      </c>
      <c r="N4278">
        <v>1473</v>
      </c>
      <c r="O4278" s="14">
        <v>1.7041207291185901E-2</v>
      </c>
      <c r="P4278" s="14">
        <v>0.55690808477811504</v>
      </c>
      <c r="Q4278" t="str">
        <f t="shared" si="132"/>
        <v>50+</v>
      </c>
      <c r="R4278" t="str">
        <f t="shared" si="133"/>
        <v>[YCKiBAp8QAg]|50+|Female|NEW_INFECTIONS_SUBNAT.T_1|CY2023Q3</v>
      </c>
    </row>
    <row r="4279" spans="4:18" x14ac:dyDescent="0.2">
      <c r="D4279" t="s">
        <v>128</v>
      </c>
      <c r="E4279" t="s">
        <v>129</v>
      </c>
      <c r="F4279" t="s">
        <v>130</v>
      </c>
      <c r="G4279" t="s">
        <v>152</v>
      </c>
      <c r="H4279" t="s">
        <v>152</v>
      </c>
      <c r="I4279" t="s">
        <v>27</v>
      </c>
      <c r="J4279" t="s">
        <v>28</v>
      </c>
      <c r="K4279" t="s">
        <v>47</v>
      </c>
      <c r="L4279" t="s">
        <v>48</v>
      </c>
      <c r="M4279" t="s">
        <v>139</v>
      </c>
      <c r="N4279">
        <v>1502</v>
      </c>
      <c r="O4279" s="14">
        <v>0.219916446367279</v>
      </c>
      <c r="P4279" s="14">
        <v>0.55690808477811504</v>
      </c>
      <c r="Q4279" t="str">
        <f t="shared" si="132"/>
        <v>&lt;01</v>
      </c>
      <c r="R4279" t="str">
        <f t="shared" si="133"/>
        <v>[YCKiBAp8QAg]|&lt;01|Male|NEW_INFECTIONS_SUBNAT.T_1|CY2023Q3</v>
      </c>
    </row>
    <row r="4280" spans="4:18" x14ac:dyDescent="0.2">
      <c r="D4280" t="s">
        <v>128</v>
      </c>
      <c r="E4280" t="s">
        <v>129</v>
      </c>
      <c r="F4280" t="s">
        <v>130</v>
      </c>
      <c r="G4280" t="s">
        <v>152</v>
      </c>
      <c r="H4280" t="s">
        <v>152</v>
      </c>
      <c r="I4280" t="s">
        <v>32</v>
      </c>
      <c r="J4280" t="s">
        <v>33</v>
      </c>
      <c r="K4280" t="s">
        <v>47</v>
      </c>
      <c r="L4280" t="s">
        <v>48</v>
      </c>
      <c r="M4280" t="s">
        <v>139</v>
      </c>
      <c r="N4280">
        <v>1914</v>
      </c>
      <c r="O4280" s="14">
        <v>0.62698918837122597</v>
      </c>
      <c r="P4280" s="14">
        <v>0.55690808477811504</v>
      </c>
      <c r="Q4280" t="str">
        <f t="shared" si="132"/>
        <v>01-09</v>
      </c>
      <c r="R4280" t="str">
        <f t="shared" si="133"/>
        <v>[YCKiBAp8QAg]|01-09|Male|NEW_INFECTIONS_SUBNAT.T_1|CY2023Q3</v>
      </c>
    </row>
    <row r="4281" spans="4:18" x14ac:dyDescent="0.2">
      <c r="D4281" t="s">
        <v>128</v>
      </c>
      <c r="E4281" t="s">
        <v>129</v>
      </c>
      <c r="F4281" t="s">
        <v>130</v>
      </c>
      <c r="G4281" t="s">
        <v>152</v>
      </c>
      <c r="H4281" t="s">
        <v>152</v>
      </c>
      <c r="I4281" t="s">
        <v>35</v>
      </c>
      <c r="J4281" t="s">
        <v>36</v>
      </c>
      <c r="K4281" t="s">
        <v>47</v>
      </c>
      <c r="L4281" t="s">
        <v>48</v>
      </c>
      <c r="M4281" t="s">
        <v>139</v>
      </c>
      <c r="N4281">
        <v>1227</v>
      </c>
      <c r="O4281" s="14">
        <v>0.63293460244312905</v>
      </c>
      <c r="P4281" s="14">
        <v>0.55690808477811504</v>
      </c>
      <c r="Q4281" t="str">
        <f t="shared" si="132"/>
        <v>10-14</v>
      </c>
      <c r="R4281" t="str">
        <f t="shared" si="133"/>
        <v>[YCKiBAp8QAg]|10-14|Male|NEW_INFECTIONS_SUBNAT.T_1|CY2023Q3</v>
      </c>
    </row>
    <row r="4282" spans="4:18" x14ac:dyDescent="0.2">
      <c r="D4282" t="s">
        <v>128</v>
      </c>
      <c r="E4282" t="s">
        <v>129</v>
      </c>
      <c r="F4282" t="s">
        <v>130</v>
      </c>
      <c r="G4282" t="s">
        <v>152</v>
      </c>
      <c r="H4282" t="s">
        <v>152</v>
      </c>
      <c r="I4282" t="s">
        <v>37</v>
      </c>
      <c r="J4282" t="s">
        <v>38</v>
      </c>
      <c r="K4282" t="s">
        <v>47</v>
      </c>
      <c r="L4282" t="s">
        <v>48</v>
      </c>
      <c r="M4282" t="s">
        <v>139</v>
      </c>
      <c r="N4282">
        <v>882</v>
      </c>
      <c r="O4282" s="14">
        <v>0.239586129086092</v>
      </c>
      <c r="P4282" s="14">
        <v>0.55690808477811504</v>
      </c>
      <c r="Q4282" t="str">
        <f t="shared" si="132"/>
        <v>15-24</v>
      </c>
      <c r="R4282" t="str">
        <f t="shared" si="133"/>
        <v>[YCKiBAp8QAg]|15-24|Male|NEW_INFECTIONS_SUBNAT.T_1|CY2023Q3</v>
      </c>
    </row>
    <row r="4283" spans="4:18" x14ac:dyDescent="0.2">
      <c r="D4283" t="s">
        <v>128</v>
      </c>
      <c r="E4283" t="s">
        <v>129</v>
      </c>
      <c r="F4283" t="s">
        <v>130</v>
      </c>
      <c r="G4283" t="s">
        <v>152</v>
      </c>
      <c r="H4283" t="s">
        <v>152</v>
      </c>
      <c r="I4283" t="s">
        <v>40</v>
      </c>
      <c r="J4283" t="s">
        <v>41</v>
      </c>
      <c r="K4283" t="s">
        <v>47</v>
      </c>
      <c r="L4283" t="s">
        <v>48</v>
      </c>
      <c r="M4283" t="s">
        <v>139</v>
      </c>
      <c r="N4283">
        <v>847</v>
      </c>
      <c r="O4283" s="14">
        <v>0.29114066809415801</v>
      </c>
      <c r="P4283" s="14">
        <v>0.55690808477811504</v>
      </c>
      <c r="Q4283" t="str">
        <f t="shared" si="132"/>
        <v>25-34</v>
      </c>
      <c r="R4283" t="str">
        <f t="shared" si="133"/>
        <v>[YCKiBAp8QAg]|25-34|Male|NEW_INFECTIONS_SUBNAT.T_1|CY2023Q3</v>
      </c>
    </row>
    <row r="4284" spans="4:18" x14ac:dyDescent="0.2">
      <c r="D4284" t="s">
        <v>128</v>
      </c>
      <c r="E4284" t="s">
        <v>129</v>
      </c>
      <c r="F4284" t="s">
        <v>130</v>
      </c>
      <c r="G4284" t="s">
        <v>152</v>
      </c>
      <c r="H4284" t="s">
        <v>152</v>
      </c>
      <c r="I4284" t="s">
        <v>42</v>
      </c>
      <c r="J4284" t="s">
        <v>43</v>
      </c>
      <c r="K4284" t="s">
        <v>47</v>
      </c>
      <c r="L4284" t="s">
        <v>48</v>
      </c>
      <c r="M4284" t="s">
        <v>139</v>
      </c>
      <c r="N4284">
        <v>1496</v>
      </c>
      <c r="O4284" s="14">
        <v>0.276266599306837</v>
      </c>
      <c r="P4284" s="14">
        <v>0.55690808477811504</v>
      </c>
      <c r="Q4284" t="str">
        <f t="shared" si="132"/>
        <v>35-49</v>
      </c>
      <c r="R4284" t="str">
        <f t="shared" si="133"/>
        <v>[YCKiBAp8QAg]|35-49|Male|NEW_INFECTIONS_SUBNAT.T_1|CY2023Q3</v>
      </c>
    </row>
    <row r="4285" spans="4:18" x14ac:dyDescent="0.2">
      <c r="D4285" t="s">
        <v>128</v>
      </c>
      <c r="E4285" t="s">
        <v>129</v>
      </c>
      <c r="F4285" t="s">
        <v>130</v>
      </c>
      <c r="G4285" t="s">
        <v>152</v>
      </c>
      <c r="H4285" t="s">
        <v>152</v>
      </c>
      <c r="I4285" t="s">
        <v>44</v>
      </c>
      <c r="J4285" t="s">
        <v>45</v>
      </c>
      <c r="K4285" t="s">
        <v>47</v>
      </c>
      <c r="L4285" t="s">
        <v>48</v>
      </c>
      <c r="M4285" t="s">
        <v>139</v>
      </c>
      <c r="N4285">
        <v>1640</v>
      </c>
      <c r="O4285" s="14">
        <v>3.8609299808740602E-2</v>
      </c>
      <c r="P4285" s="14">
        <v>0.55690808477811504</v>
      </c>
      <c r="Q4285" t="str">
        <f t="shared" si="132"/>
        <v>50+</v>
      </c>
      <c r="R4285" t="str">
        <f t="shared" si="133"/>
        <v>[YCKiBAp8QAg]|50+|Male|NEW_INFECTIONS_SUBNAT.T_1|CY2023Q3</v>
      </c>
    </row>
    <row r="4286" spans="4:18" x14ac:dyDescent="0.2">
      <c r="D4286" t="s">
        <v>131</v>
      </c>
      <c r="E4286" t="s">
        <v>132</v>
      </c>
      <c r="F4286" t="s">
        <v>133</v>
      </c>
      <c r="G4286" t="s">
        <v>152</v>
      </c>
      <c r="H4286" t="s">
        <v>152</v>
      </c>
      <c r="I4286" t="s">
        <v>27</v>
      </c>
      <c r="J4286" t="s">
        <v>28</v>
      </c>
      <c r="K4286" t="s">
        <v>29</v>
      </c>
      <c r="L4286" t="s">
        <v>30</v>
      </c>
      <c r="M4286" t="s">
        <v>139</v>
      </c>
      <c r="N4286">
        <v>597</v>
      </c>
      <c r="O4286" s="14">
        <v>0.95287352567538597</v>
      </c>
      <c r="P4286" s="14">
        <v>0.16286319401115201</v>
      </c>
      <c r="Q4286" t="str">
        <f t="shared" si="132"/>
        <v>&lt;01</v>
      </c>
      <c r="R4286" t="str">
        <f t="shared" si="133"/>
        <v>[JQKLKuVuY61]|&lt;01|Female|NEW_INFECTIONS_SUBNAT.T_1|CY2023Q3</v>
      </c>
    </row>
    <row r="4287" spans="4:18" x14ac:dyDescent="0.2">
      <c r="D4287" t="s">
        <v>131</v>
      </c>
      <c r="E4287" t="s">
        <v>132</v>
      </c>
      <c r="F4287" t="s">
        <v>133</v>
      </c>
      <c r="G4287" t="s">
        <v>152</v>
      </c>
      <c r="H4287" t="s">
        <v>152</v>
      </c>
      <c r="I4287" t="s">
        <v>32</v>
      </c>
      <c r="J4287" t="s">
        <v>33</v>
      </c>
      <c r="K4287" t="s">
        <v>29</v>
      </c>
      <c r="L4287" t="s">
        <v>30</v>
      </c>
      <c r="M4287" t="s">
        <v>139</v>
      </c>
      <c r="N4287">
        <v>1085</v>
      </c>
      <c r="O4287" s="14">
        <v>0.50648948666639604</v>
      </c>
      <c r="P4287" s="14">
        <v>0.16286319401115201</v>
      </c>
      <c r="Q4287" t="str">
        <f t="shared" si="132"/>
        <v>01-09</v>
      </c>
      <c r="R4287" t="str">
        <f t="shared" si="133"/>
        <v>[JQKLKuVuY61]|01-09|Female|NEW_INFECTIONS_SUBNAT.T_1|CY2023Q3</v>
      </c>
    </row>
    <row r="4288" spans="4:18" x14ac:dyDescent="0.2">
      <c r="D4288" t="s">
        <v>131</v>
      </c>
      <c r="E4288" t="s">
        <v>132</v>
      </c>
      <c r="F4288" t="s">
        <v>133</v>
      </c>
      <c r="G4288" t="s">
        <v>152</v>
      </c>
      <c r="H4288" t="s">
        <v>152</v>
      </c>
      <c r="I4288" t="s">
        <v>35</v>
      </c>
      <c r="J4288" t="s">
        <v>36</v>
      </c>
      <c r="K4288" t="s">
        <v>29</v>
      </c>
      <c r="L4288" t="s">
        <v>30</v>
      </c>
      <c r="M4288" t="s">
        <v>139</v>
      </c>
      <c r="N4288">
        <v>957</v>
      </c>
      <c r="O4288" s="14">
        <v>4.2127437191084E-2</v>
      </c>
      <c r="P4288" s="14">
        <v>0.16286319401115201</v>
      </c>
      <c r="Q4288" t="str">
        <f t="shared" si="132"/>
        <v>10-14</v>
      </c>
      <c r="R4288" t="str">
        <f t="shared" si="133"/>
        <v>[JQKLKuVuY61]|10-14|Female|NEW_INFECTIONS_SUBNAT.T_1|CY2023Q3</v>
      </c>
    </row>
    <row r="4289" spans="4:18" x14ac:dyDescent="0.2">
      <c r="D4289" t="s">
        <v>131</v>
      </c>
      <c r="E4289" t="s">
        <v>132</v>
      </c>
      <c r="F4289" t="s">
        <v>133</v>
      </c>
      <c r="G4289" t="s">
        <v>152</v>
      </c>
      <c r="H4289" t="s">
        <v>152</v>
      </c>
      <c r="I4289" t="s">
        <v>37</v>
      </c>
      <c r="J4289" t="s">
        <v>38</v>
      </c>
      <c r="K4289" t="s">
        <v>29</v>
      </c>
      <c r="L4289" t="s">
        <v>30</v>
      </c>
      <c r="M4289" t="s">
        <v>139</v>
      </c>
      <c r="N4289">
        <v>1522</v>
      </c>
      <c r="O4289" s="14">
        <v>0.62779862643219497</v>
      </c>
      <c r="P4289" s="14">
        <v>0.16286319401115201</v>
      </c>
      <c r="Q4289" t="str">
        <f t="shared" si="132"/>
        <v>15-24</v>
      </c>
      <c r="R4289" t="str">
        <f t="shared" si="133"/>
        <v>[JQKLKuVuY61]|15-24|Female|NEW_INFECTIONS_SUBNAT.T_1|CY2023Q3</v>
      </c>
    </row>
    <row r="4290" spans="4:18" x14ac:dyDescent="0.2">
      <c r="D4290" t="s">
        <v>131</v>
      </c>
      <c r="E4290" t="s">
        <v>132</v>
      </c>
      <c r="F4290" t="s">
        <v>133</v>
      </c>
      <c r="G4290" t="s">
        <v>152</v>
      </c>
      <c r="H4290" t="s">
        <v>152</v>
      </c>
      <c r="I4290" t="s">
        <v>40</v>
      </c>
      <c r="J4290" t="s">
        <v>41</v>
      </c>
      <c r="K4290" t="s">
        <v>29</v>
      </c>
      <c r="L4290" t="s">
        <v>30</v>
      </c>
      <c r="M4290" t="s">
        <v>139</v>
      </c>
      <c r="N4290">
        <v>1429</v>
      </c>
      <c r="O4290" s="14">
        <v>0.531610294478014</v>
      </c>
      <c r="P4290" s="14">
        <v>0.16286319401115201</v>
      </c>
      <c r="Q4290" t="str">
        <f t="shared" ref="Q4290:Q4353" si="134">SUBSTITUTE(SUBSTITUTE($I4290,CHAR(61),""),CHAR(34),"")</f>
        <v>25-34</v>
      </c>
      <c r="R4290" t="str">
        <f t="shared" ref="R4290:R4353" si="135">IF($D4290&lt;&gt;"","["&amp;$E4290&amp;"]"&amp;"|"&amp;$Q4290&amp;"|"&amp;$K4290&amp;"|"&amp;$G4290&amp;"|"&amp;IF($G4290="TX_CURR_SUBNAT.R","CY2022Q4",$M4290),"")</f>
        <v>[JQKLKuVuY61]|25-34|Female|NEW_INFECTIONS_SUBNAT.T_1|CY2023Q3</v>
      </c>
    </row>
    <row r="4291" spans="4:18" x14ac:dyDescent="0.2">
      <c r="D4291" t="s">
        <v>131</v>
      </c>
      <c r="E4291" t="s">
        <v>132</v>
      </c>
      <c r="F4291" t="s">
        <v>133</v>
      </c>
      <c r="G4291" t="s">
        <v>152</v>
      </c>
      <c r="H4291" t="s">
        <v>152</v>
      </c>
      <c r="I4291" t="s">
        <v>42</v>
      </c>
      <c r="J4291" t="s">
        <v>43</v>
      </c>
      <c r="K4291" t="s">
        <v>29</v>
      </c>
      <c r="L4291" t="s">
        <v>30</v>
      </c>
      <c r="M4291" t="s">
        <v>139</v>
      </c>
      <c r="N4291">
        <v>1555</v>
      </c>
      <c r="O4291" s="14">
        <v>0.92666609701700497</v>
      </c>
      <c r="P4291" s="14">
        <v>0.16286319401115201</v>
      </c>
      <c r="Q4291" t="str">
        <f t="shared" si="134"/>
        <v>35-49</v>
      </c>
      <c r="R4291" t="str">
        <f t="shared" si="135"/>
        <v>[JQKLKuVuY61]|35-49|Female|NEW_INFECTIONS_SUBNAT.T_1|CY2023Q3</v>
      </c>
    </row>
    <row r="4292" spans="4:18" x14ac:dyDescent="0.2">
      <c r="D4292" t="s">
        <v>131</v>
      </c>
      <c r="E4292" t="s">
        <v>132</v>
      </c>
      <c r="F4292" t="s">
        <v>133</v>
      </c>
      <c r="G4292" t="s">
        <v>152</v>
      </c>
      <c r="H4292" t="s">
        <v>152</v>
      </c>
      <c r="I4292" t="s">
        <v>44</v>
      </c>
      <c r="J4292" t="s">
        <v>45</v>
      </c>
      <c r="K4292" t="s">
        <v>29</v>
      </c>
      <c r="L4292" t="s">
        <v>30</v>
      </c>
      <c r="M4292" t="s">
        <v>139</v>
      </c>
      <c r="N4292">
        <v>1218</v>
      </c>
      <c r="O4292" s="14">
        <v>0.103889394551516</v>
      </c>
      <c r="P4292" s="14">
        <v>0.16286319401115201</v>
      </c>
      <c r="Q4292" t="str">
        <f t="shared" si="134"/>
        <v>50+</v>
      </c>
      <c r="R4292" t="str">
        <f t="shared" si="135"/>
        <v>[JQKLKuVuY61]|50+|Female|NEW_INFECTIONS_SUBNAT.T_1|CY2023Q3</v>
      </c>
    </row>
    <row r="4293" spans="4:18" x14ac:dyDescent="0.2">
      <c r="D4293" t="s">
        <v>131</v>
      </c>
      <c r="E4293" t="s">
        <v>132</v>
      </c>
      <c r="F4293" t="s">
        <v>133</v>
      </c>
      <c r="G4293" t="s">
        <v>152</v>
      </c>
      <c r="H4293" t="s">
        <v>152</v>
      </c>
      <c r="I4293" t="s">
        <v>27</v>
      </c>
      <c r="J4293" t="s">
        <v>28</v>
      </c>
      <c r="K4293" t="s">
        <v>47</v>
      </c>
      <c r="L4293" t="s">
        <v>48</v>
      </c>
      <c r="M4293" t="s">
        <v>139</v>
      </c>
      <c r="N4293">
        <v>1566</v>
      </c>
      <c r="O4293" s="14">
        <v>0.53229088778607503</v>
      </c>
      <c r="P4293" s="14">
        <v>0.16286319401115201</v>
      </c>
      <c r="Q4293" t="str">
        <f t="shared" si="134"/>
        <v>&lt;01</v>
      </c>
      <c r="R4293" t="str">
        <f t="shared" si="135"/>
        <v>[JQKLKuVuY61]|&lt;01|Male|NEW_INFECTIONS_SUBNAT.T_1|CY2023Q3</v>
      </c>
    </row>
    <row r="4294" spans="4:18" x14ac:dyDescent="0.2">
      <c r="D4294" t="s">
        <v>131</v>
      </c>
      <c r="E4294" t="s">
        <v>132</v>
      </c>
      <c r="F4294" t="s">
        <v>133</v>
      </c>
      <c r="G4294" t="s">
        <v>152</v>
      </c>
      <c r="H4294" t="s">
        <v>152</v>
      </c>
      <c r="I4294" t="s">
        <v>32</v>
      </c>
      <c r="J4294" t="s">
        <v>33</v>
      </c>
      <c r="K4294" t="s">
        <v>47</v>
      </c>
      <c r="L4294" t="s">
        <v>48</v>
      </c>
      <c r="M4294" t="s">
        <v>139</v>
      </c>
      <c r="N4294">
        <v>609</v>
      </c>
      <c r="O4294" s="14">
        <v>0.23779279994778299</v>
      </c>
      <c r="P4294" s="14">
        <v>0.16286319401115201</v>
      </c>
      <c r="Q4294" t="str">
        <f t="shared" si="134"/>
        <v>01-09</v>
      </c>
      <c r="R4294" t="str">
        <f t="shared" si="135"/>
        <v>[JQKLKuVuY61]|01-09|Male|NEW_INFECTIONS_SUBNAT.T_1|CY2023Q3</v>
      </c>
    </row>
    <row r="4295" spans="4:18" x14ac:dyDescent="0.2">
      <c r="D4295" t="s">
        <v>131</v>
      </c>
      <c r="E4295" t="s">
        <v>132</v>
      </c>
      <c r="F4295" t="s">
        <v>133</v>
      </c>
      <c r="G4295" t="s">
        <v>152</v>
      </c>
      <c r="H4295" t="s">
        <v>152</v>
      </c>
      <c r="I4295" t="s">
        <v>35</v>
      </c>
      <c r="J4295" t="s">
        <v>36</v>
      </c>
      <c r="K4295" t="s">
        <v>47</v>
      </c>
      <c r="L4295" t="s">
        <v>48</v>
      </c>
      <c r="M4295" t="s">
        <v>139</v>
      </c>
      <c r="N4295">
        <v>607</v>
      </c>
      <c r="O4295" s="14">
        <v>0.51996901305392396</v>
      </c>
      <c r="P4295" s="14">
        <v>0.16286319401115201</v>
      </c>
      <c r="Q4295" t="str">
        <f t="shared" si="134"/>
        <v>10-14</v>
      </c>
      <c r="R4295" t="str">
        <f t="shared" si="135"/>
        <v>[JQKLKuVuY61]|10-14|Male|NEW_INFECTIONS_SUBNAT.T_1|CY2023Q3</v>
      </c>
    </row>
    <row r="4296" spans="4:18" x14ac:dyDescent="0.2">
      <c r="D4296" t="s">
        <v>131</v>
      </c>
      <c r="E4296" t="s">
        <v>132</v>
      </c>
      <c r="F4296" t="s">
        <v>133</v>
      </c>
      <c r="G4296" t="s">
        <v>152</v>
      </c>
      <c r="H4296" t="s">
        <v>152</v>
      </c>
      <c r="I4296" t="s">
        <v>37</v>
      </c>
      <c r="J4296" t="s">
        <v>38</v>
      </c>
      <c r="K4296" t="s">
        <v>47</v>
      </c>
      <c r="L4296" t="s">
        <v>48</v>
      </c>
      <c r="M4296" t="s">
        <v>139</v>
      </c>
      <c r="N4296">
        <v>676</v>
      </c>
      <c r="O4296" s="14">
        <v>0.86545819160528503</v>
      </c>
      <c r="P4296" s="14">
        <v>0.16286319401115201</v>
      </c>
      <c r="Q4296" t="str">
        <f t="shared" si="134"/>
        <v>15-24</v>
      </c>
      <c r="R4296" t="str">
        <f t="shared" si="135"/>
        <v>[JQKLKuVuY61]|15-24|Male|NEW_INFECTIONS_SUBNAT.T_1|CY2023Q3</v>
      </c>
    </row>
    <row r="4297" spans="4:18" x14ac:dyDescent="0.2">
      <c r="D4297" t="s">
        <v>131</v>
      </c>
      <c r="E4297" t="s">
        <v>132</v>
      </c>
      <c r="F4297" t="s">
        <v>133</v>
      </c>
      <c r="G4297" t="s">
        <v>152</v>
      </c>
      <c r="H4297" t="s">
        <v>152</v>
      </c>
      <c r="I4297" t="s">
        <v>40</v>
      </c>
      <c r="J4297" t="s">
        <v>41</v>
      </c>
      <c r="K4297" t="s">
        <v>47</v>
      </c>
      <c r="L4297" t="s">
        <v>48</v>
      </c>
      <c r="M4297" t="s">
        <v>139</v>
      </c>
      <c r="N4297">
        <v>535</v>
      </c>
      <c r="O4297" s="14">
        <v>6.8917838623747202E-2</v>
      </c>
      <c r="P4297" s="14">
        <v>0.16286319401115201</v>
      </c>
      <c r="Q4297" t="str">
        <f t="shared" si="134"/>
        <v>25-34</v>
      </c>
      <c r="R4297" t="str">
        <f t="shared" si="135"/>
        <v>[JQKLKuVuY61]|25-34|Male|NEW_INFECTIONS_SUBNAT.T_1|CY2023Q3</v>
      </c>
    </row>
    <row r="4298" spans="4:18" x14ac:dyDescent="0.2">
      <c r="D4298" t="s">
        <v>131</v>
      </c>
      <c r="E4298" t="s">
        <v>132</v>
      </c>
      <c r="F4298" t="s">
        <v>133</v>
      </c>
      <c r="G4298" t="s">
        <v>152</v>
      </c>
      <c r="H4298" t="s">
        <v>152</v>
      </c>
      <c r="I4298" t="s">
        <v>42</v>
      </c>
      <c r="J4298" t="s">
        <v>43</v>
      </c>
      <c r="K4298" t="s">
        <v>47</v>
      </c>
      <c r="L4298" t="s">
        <v>48</v>
      </c>
      <c r="M4298" t="s">
        <v>139</v>
      </c>
      <c r="N4298">
        <v>517</v>
      </c>
      <c r="O4298" s="14">
        <v>0.43078654492273899</v>
      </c>
      <c r="P4298" s="14">
        <v>0.16286319401115201</v>
      </c>
      <c r="Q4298" t="str">
        <f t="shared" si="134"/>
        <v>35-49</v>
      </c>
      <c r="R4298" t="str">
        <f t="shared" si="135"/>
        <v>[JQKLKuVuY61]|35-49|Male|NEW_INFECTIONS_SUBNAT.T_1|CY2023Q3</v>
      </c>
    </row>
    <row r="4299" spans="4:18" x14ac:dyDescent="0.2">
      <c r="D4299" t="s">
        <v>131</v>
      </c>
      <c r="E4299" t="s">
        <v>132</v>
      </c>
      <c r="F4299" t="s">
        <v>133</v>
      </c>
      <c r="G4299" t="s">
        <v>152</v>
      </c>
      <c r="H4299" t="s">
        <v>152</v>
      </c>
      <c r="I4299" t="s">
        <v>44</v>
      </c>
      <c r="J4299" t="s">
        <v>45</v>
      </c>
      <c r="K4299" t="s">
        <v>47</v>
      </c>
      <c r="L4299" t="s">
        <v>48</v>
      </c>
      <c r="M4299" t="s">
        <v>139</v>
      </c>
      <c r="N4299">
        <v>907</v>
      </c>
      <c r="O4299" s="14">
        <v>0.28542014188133202</v>
      </c>
      <c r="P4299" s="14">
        <v>0.16286319401115201</v>
      </c>
      <c r="Q4299" t="str">
        <f t="shared" si="134"/>
        <v>50+</v>
      </c>
      <c r="R4299" t="str">
        <f t="shared" si="135"/>
        <v>[JQKLKuVuY61]|50+|Male|NEW_INFECTIONS_SUBNAT.T_1|CY2023Q3</v>
      </c>
    </row>
    <row r="4300" spans="4:18" x14ac:dyDescent="0.2">
      <c r="D4300" t="s">
        <v>134</v>
      </c>
      <c r="E4300" t="s">
        <v>135</v>
      </c>
      <c r="F4300" t="s">
        <v>136</v>
      </c>
      <c r="G4300" t="s">
        <v>152</v>
      </c>
      <c r="H4300" t="s">
        <v>152</v>
      </c>
      <c r="I4300" t="s">
        <v>27</v>
      </c>
      <c r="J4300" t="s">
        <v>28</v>
      </c>
      <c r="K4300" t="s">
        <v>29</v>
      </c>
      <c r="L4300" t="s">
        <v>30</v>
      </c>
      <c r="M4300" t="s">
        <v>139</v>
      </c>
      <c r="N4300">
        <v>1714</v>
      </c>
      <c r="O4300" s="14">
        <v>0.665235840016976</v>
      </c>
      <c r="P4300" s="14">
        <v>0.95530052832327805</v>
      </c>
      <c r="Q4300" t="str">
        <f t="shared" si="134"/>
        <v>&lt;01</v>
      </c>
      <c r="R4300" t="str">
        <f t="shared" si="135"/>
        <v>[fiRkU6gEjLz]|&lt;01|Female|NEW_INFECTIONS_SUBNAT.T_1|CY2023Q3</v>
      </c>
    </row>
    <row r="4301" spans="4:18" x14ac:dyDescent="0.2">
      <c r="D4301" t="s">
        <v>134</v>
      </c>
      <c r="E4301" t="s">
        <v>135</v>
      </c>
      <c r="F4301" t="s">
        <v>136</v>
      </c>
      <c r="G4301" t="s">
        <v>152</v>
      </c>
      <c r="H4301" t="s">
        <v>152</v>
      </c>
      <c r="I4301" t="s">
        <v>32</v>
      </c>
      <c r="J4301" t="s">
        <v>33</v>
      </c>
      <c r="K4301" t="s">
        <v>29</v>
      </c>
      <c r="L4301" t="s">
        <v>30</v>
      </c>
      <c r="M4301" t="s">
        <v>139</v>
      </c>
      <c r="N4301">
        <v>933</v>
      </c>
      <c r="O4301" s="14">
        <v>0.40613374765962401</v>
      </c>
      <c r="P4301" s="14">
        <v>0.95530052832327805</v>
      </c>
      <c r="Q4301" t="str">
        <f t="shared" si="134"/>
        <v>01-09</v>
      </c>
      <c r="R4301" t="str">
        <f t="shared" si="135"/>
        <v>[fiRkU6gEjLz]|01-09|Female|NEW_INFECTIONS_SUBNAT.T_1|CY2023Q3</v>
      </c>
    </row>
    <row r="4302" spans="4:18" x14ac:dyDescent="0.2">
      <c r="D4302" t="s">
        <v>134</v>
      </c>
      <c r="E4302" t="s">
        <v>135</v>
      </c>
      <c r="F4302" t="s">
        <v>136</v>
      </c>
      <c r="G4302" t="s">
        <v>152</v>
      </c>
      <c r="H4302" t="s">
        <v>152</v>
      </c>
      <c r="I4302" t="s">
        <v>35</v>
      </c>
      <c r="J4302" t="s">
        <v>36</v>
      </c>
      <c r="K4302" t="s">
        <v>29</v>
      </c>
      <c r="L4302" t="s">
        <v>30</v>
      </c>
      <c r="M4302" t="s">
        <v>139</v>
      </c>
      <c r="N4302">
        <v>1796</v>
      </c>
      <c r="O4302" s="14">
        <v>0.73342472407966897</v>
      </c>
      <c r="P4302" s="14">
        <v>0.95530052832327805</v>
      </c>
      <c r="Q4302" t="str">
        <f t="shared" si="134"/>
        <v>10-14</v>
      </c>
      <c r="R4302" t="str">
        <f t="shared" si="135"/>
        <v>[fiRkU6gEjLz]|10-14|Female|NEW_INFECTIONS_SUBNAT.T_1|CY2023Q3</v>
      </c>
    </row>
    <row r="4303" spans="4:18" x14ac:dyDescent="0.2">
      <c r="D4303" t="s">
        <v>134</v>
      </c>
      <c r="E4303" t="s">
        <v>135</v>
      </c>
      <c r="F4303" t="s">
        <v>136</v>
      </c>
      <c r="G4303" t="s">
        <v>152</v>
      </c>
      <c r="H4303" t="s">
        <v>152</v>
      </c>
      <c r="I4303" t="s">
        <v>37</v>
      </c>
      <c r="J4303" t="s">
        <v>38</v>
      </c>
      <c r="K4303" t="s">
        <v>29</v>
      </c>
      <c r="L4303" t="s">
        <v>30</v>
      </c>
      <c r="M4303" t="s">
        <v>139</v>
      </c>
      <c r="N4303">
        <v>1800</v>
      </c>
      <c r="O4303" s="14">
        <v>0.760024315677583</v>
      </c>
      <c r="P4303" s="14">
        <v>0.95530052832327805</v>
      </c>
      <c r="Q4303" t="str">
        <f t="shared" si="134"/>
        <v>15-24</v>
      </c>
      <c r="R4303" t="str">
        <f t="shared" si="135"/>
        <v>[fiRkU6gEjLz]|15-24|Female|NEW_INFECTIONS_SUBNAT.T_1|CY2023Q3</v>
      </c>
    </row>
    <row r="4304" spans="4:18" x14ac:dyDescent="0.2">
      <c r="D4304" t="s">
        <v>134</v>
      </c>
      <c r="E4304" t="s">
        <v>135</v>
      </c>
      <c r="F4304" t="s">
        <v>136</v>
      </c>
      <c r="G4304" t="s">
        <v>152</v>
      </c>
      <c r="H4304" t="s">
        <v>152</v>
      </c>
      <c r="I4304" t="s">
        <v>40</v>
      </c>
      <c r="J4304" t="s">
        <v>41</v>
      </c>
      <c r="K4304" t="s">
        <v>29</v>
      </c>
      <c r="L4304" t="s">
        <v>30</v>
      </c>
      <c r="M4304" t="s">
        <v>139</v>
      </c>
      <c r="N4304">
        <v>1722</v>
      </c>
      <c r="O4304" s="14">
        <v>0.98322014277800895</v>
      </c>
      <c r="P4304" s="14">
        <v>0.95530052832327805</v>
      </c>
      <c r="Q4304" t="str">
        <f t="shared" si="134"/>
        <v>25-34</v>
      </c>
      <c r="R4304" t="str">
        <f t="shared" si="135"/>
        <v>[fiRkU6gEjLz]|25-34|Female|NEW_INFECTIONS_SUBNAT.T_1|CY2023Q3</v>
      </c>
    </row>
    <row r="4305" spans="4:18" x14ac:dyDescent="0.2">
      <c r="D4305" t="s">
        <v>134</v>
      </c>
      <c r="E4305" t="s">
        <v>135</v>
      </c>
      <c r="F4305" t="s">
        <v>136</v>
      </c>
      <c r="G4305" t="s">
        <v>152</v>
      </c>
      <c r="H4305" t="s">
        <v>152</v>
      </c>
      <c r="I4305" t="s">
        <v>42</v>
      </c>
      <c r="J4305" t="s">
        <v>43</v>
      </c>
      <c r="K4305" t="s">
        <v>29</v>
      </c>
      <c r="L4305" t="s">
        <v>30</v>
      </c>
      <c r="M4305" t="s">
        <v>139</v>
      </c>
      <c r="N4305">
        <v>528</v>
      </c>
      <c r="O4305" s="14">
        <v>0.39110211632214498</v>
      </c>
      <c r="P4305" s="14">
        <v>0.95530052832327805</v>
      </c>
      <c r="Q4305" t="str">
        <f t="shared" si="134"/>
        <v>35-49</v>
      </c>
      <c r="R4305" t="str">
        <f t="shared" si="135"/>
        <v>[fiRkU6gEjLz]|35-49|Female|NEW_INFECTIONS_SUBNAT.T_1|CY2023Q3</v>
      </c>
    </row>
    <row r="4306" spans="4:18" x14ac:dyDescent="0.2">
      <c r="D4306" t="s">
        <v>134</v>
      </c>
      <c r="E4306" t="s">
        <v>135</v>
      </c>
      <c r="F4306" t="s">
        <v>136</v>
      </c>
      <c r="G4306" t="s">
        <v>152</v>
      </c>
      <c r="H4306" t="s">
        <v>152</v>
      </c>
      <c r="I4306" t="s">
        <v>44</v>
      </c>
      <c r="J4306" t="s">
        <v>45</v>
      </c>
      <c r="K4306" t="s">
        <v>29</v>
      </c>
      <c r="L4306" t="s">
        <v>30</v>
      </c>
      <c r="M4306" t="s">
        <v>139</v>
      </c>
      <c r="N4306">
        <v>1711</v>
      </c>
      <c r="O4306" s="14">
        <v>0.31214643409475701</v>
      </c>
      <c r="P4306" s="14">
        <v>0.95530052832327805</v>
      </c>
      <c r="Q4306" t="str">
        <f t="shared" si="134"/>
        <v>50+</v>
      </c>
      <c r="R4306" t="str">
        <f t="shared" si="135"/>
        <v>[fiRkU6gEjLz]|50+|Female|NEW_INFECTIONS_SUBNAT.T_1|CY2023Q3</v>
      </c>
    </row>
    <row r="4307" spans="4:18" x14ac:dyDescent="0.2">
      <c r="D4307" t="s">
        <v>134</v>
      </c>
      <c r="E4307" t="s">
        <v>135</v>
      </c>
      <c r="F4307" t="s">
        <v>136</v>
      </c>
      <c r="G4307" t="s">
        <v>152</v>
      </c>
      <c r="H4307" t="s">
        <v>152</v>
      </c>
      <c r="I4307" t="s">
        <v>27</v>
      </c>
      <c r="J4307" t="s">
        <v>28</v>
      </c>
      <c r="K4307" t="s">
        <v>47</v>
      </c>
      <c r="L4307" t="s">
        <v>48</v>
      </c>
      <c r="M4307" t="s">
        <v>139</v>
      </c>
      <c r="N4307">
        <v>1195</v>
      </c>
      <c r="O4307" s="14">
        <v>0.30008622235618498</v>
      </c>
      <c r="P4307" s="14">
        <v>0.95530052832327805</v>
      </c>
      <c r="Q4307" t="str">
        <f t="shared" si="134"/>
        <v>&lt;01</v>
      </c>
      <c r="R4307" t="str">
        <f t="shared" si="135"/>
        <v>[fiRkU6gEjLz]|&lt;01|Male|NEW_INFECTIONS_SUBNAT.T_1|CY2023Q3</v>
      </c>
    </row>
    <row r="4308" spans="4:18" x14ac:dyDescent="0.2">
      <c r="D4308" t="s">
        <v>134</v>
      </c>
      <c r="E4308" t="s">
        <v>135</v>
      </c>
      <c r="F4308" t="s">
        <v>136</v>
      </c>
      <c r="G4308" t="s">
        <v>152</v>
      </c>
      <c r="H4308" t="s">
        <v>152</v>
      </c>
      <c r="I4308" t="s">
        <v>32</v>
      </c>
      <c r="J4308" t="s">
        <v>33</v>
      </c>
      <c r="K4308" t="s">
        <v>47</v>
      </c>
      <c r="L4308" t="s">
        <v>48</v>
      </c>
      <c r="M4308" t="s">
        <v>139</v>
      </c>
      <c r="N4308">
        <v>1824</v>
      </c>
      <c r="O4308" s="14">
        <v>0.64686838234774802</v>
      </c>
      <c r="P4308" s="14">
        <v>0.95530052832327805</v>
      </c>
      <c r="Q4308" t="str">
        <f t="shared" si="134"/>
        <v>01-09</v>
      </c>
      <c r="R4308" t="str">
        <f t="shared" si="135"/>
        <v>[fiRkU6gEjLz]|01-09|Male|NEW_INFECTIONS_SUBNAT.T_1|CY2023Q3</v>
      </c>
    </row>
    <row r="4309" spans="4:18" x14ac:dyDescent="0.2">
      <c r="D4309" t="s">
        <v>134</v>
      </c>
      <c r="E4309" t="s">
        <v>135</v>
      </c>
      <c r="F4309" t="s">
        <v>136</v>
      </c>
      <c r="G4309" t="s">
        <v>152</v>
      </c>
      <c r="H4309" t="s">
        <v>152</v>
      </c>
      <c r="I4309" t="s">
        <v>35</v>
      </c>
      <c r="J4309" t="s">
        <v>36</v>
      </c>
      <c r="K4309" t="s">
        <v>47</v>
      </c>
      <c r="L4309" t="s">
        <v>48</v>
      </c>
      <c r="M4309" t="s">
        <v>139</v>
      </c>
      <c r="N4309">
        <v>713</v>
      </c>
      <c r="O4309" s="14">
        <v>0.97989156399853505</v>
      </c>
      <c r="P4309" s="14">
        <v>0.95530052832327805</v>
      </c>
      <c r="Q4309" t="str">
        <f t="shared" si="134"/>
        <v>10-14</v>
      </c>
      <c r="R4309" t="str">
        <f t="shared" si="135"/>
        <v>[fiRkU6gEjLz]|10-14|Male|NEW_INFECTIONS_SUBNAT.T_1|CY2023Q3</v>
      </c>
    </row>
    <row r="4310" spans="4:18" x14ac:dyDescent="0.2">
      <c r="D4310" t="s">
        <v>134</v>
      </c>
      <c r="E4310" t="s">
        <v>135</v>
      </c>
      <c r="F4310" t="s">
        <v>136</v>
      </c>
      <c r="G4310" t="s">
        <v>152</v>
      </c>
      <c r="H4310" t="s">
        <v>152</v>
      </c>
      <c r="I4310" t="s">
        <v>37</v>
      </c>
      <c r="J4310" t="s">
        <v>38</v>
      </c>
      <c r="K4310" t="s">
        <v>47</v>
      </c>
      <c r="L4310" t="s">
        <v>48</v>
      </c>
      <c r="M4310" t="s">
        <v>139</v>
      </c>
      <c r="N4310">
        <v>1419</v>
      </c>
      <c r="O4310" s="14">
        <v>0.43442122219130402</v>
      </c>
      <c r="P4310" s="14">
        <v>0.95530052832327805</v>
      </c>
      <c r="Q4310" t="str">
        <f t="shared" si="134"/>
        <v>15-24</v>
      </c>
      <c r="R4310" t="str">
        <f t="shared" si="135"/>
        <v>[fiRkU6gEjLz]|15-24|Male|NEW_INFECTIONS_SUBNAT.T_1|CY2023Q3</v>
      </c>
    </row>
    <row r="4311" spans="4:18" x14ac:dyDescent="0.2">
      <c r="D4311" t="s">
        <v>134</v>
      </c>
      <c r="E4311" t="s">
        <v>135</v>
      </c>
      <c r="F4311" t="s">
        <v>136</v>
      </c>
      <c r="G4311" t="s">
        <v>152</v>
      </c>
      <c r="H4311" t="s">
        <v>152</v>
      </c>
      <c r="I4311" t="s">
        <v>40</v>
      </c>
      <c r="J4311" t="s">
        <v>41</v>
      </c>
      <c r="K4311" t="s">
        <v>47</v>
      </c>
      <c r="L4311" t="s">
        <v>48</v>
      </c>
      <c r="M4311" t="s">
        <v>139</v>
      </c>
      <c r="N4311">
        <v>642</v>
      </c>
      <c r="O4311" s="14">
        <v>0.68548617861233696</v>
      </c>
      <c r="P4311" s="14">
        <v>0.95530052832327805</v>
      </c>
      <c r="Q4311" t="str">
        <f t="shared" si="134"/>
        <v>25-34</v>
      </c>
      <c r="R4311" t="str">
        <f t="shared" si="135"/>
        <v>[fiRkU6gEjLz]|25-34|Male|NEW_INFECTIONS_SUBNAT.T_1|CY2023Q3</v>
      </c>
    </row>
    <row r="4312" spans="4:18" x14ac:dyDescent="0.2">
      <c r="D4312" t="s">
        <v>134</v>
      </c>
      <c r="E4312" t="s">
        <v>135</v>
      </c>
      <c r="F4312" t="s">
        <v>136</v>
      </c>
      <c r="G4312" t="s">
        <v>152</v>
      </c>
      <c r="H4312" t="s">
        <v>152</v>
      </c>
      <c r="I4312" t="s">
        <v>42</v>
      </c>
      <c r="J4312" t="s">
        <v>43</v>
      </c>
      <c r="K4312" t="s">
        <v>47</v>
      </c>
      <c r="L4312" t="s">
        <v>48</v>
      </c>
      <c r="M4312" t="s">
        <v>139</v>
      </c>
      <c r="N4312">
        <v>539</v>
      </c>
      <c r="O4312" s="14">
        <v>0.46222434239462001</v>
      </c>
      <c r="P4312" s="14">
        <v>0.95530052832327805</v>
      </c>
      <c r="Q4312" t="str">
        <f t="shared" si="134"/>
        <v>35-49</v>
      </c>
      <c r="R4312" t="str">
        <f t="shared" si="135"/>
        <v>[fiRkU6gEjLz]|35-49|Male|NEW_INFECTIONS_SUBNAT.T_1|CY2023Q3</v>
      </c>
    </row>
    <row r="4313" spans="4:18" x14ac:dyDescent="0.2">
      <c r="D4313" t="s">
        <v>134</v>
      </c>
      <c r="E4313" t="s">
        <v>135</v>
      </c>
      <c r="F4313" t="s">
        <v>136</v>
      </c>
      <c r="G4313" t="s">
        <v>152</v>
      </c>
      <c r="H4313" t="s">
        <v>152</v>
      </c>
      <c r="I4313" t="s">
        <v>44</v>
      </c>
      <c r="J4313" t="s">
        <v>45</v>
      </c>
      <c r="K4313" t="s">
        <v>47</v>
      </c>
      <c r="L4313" t="s">
        <v>48</v>
      </c>
      <c r="M4313" t="s">
        <v>139</v>
      </c>
      <c r="N4313">
        <v>1313</v>
      </c>
      <c r="O4313" s="14">
        <v>0.92159471753984701</v>
      </c>
      <c r="P4313" s="14">
        <v>0.95530052832327805</v>
      </c>
      <c r="Q4313" t="str">
        <f t="shared" si="134"/>
        <v>50+</v>
      </c>
      <c r="R4313" t="str">
        <f t="shared" si="135"/>
        <v>[fiRkU6gEjLz]|50+|Male|NEW_INFECTIONS_SUBNAT.T_1|CY2023Q3</v>
      </c>
    </row>
    <row r="4314" spans="4:18" x14ac:dyDescent="0.2">
      <c r="D4314" t="s">
        <v>22</v>
      </c>
      <c r="E4314" t="s">
        <v>23</v>
      </c>
      <c r="F4314" t="s">
        <v>24</v>
      </c>
      <c r="G4314" t="s">
        <v>153</v>
      </c>
      <c r="H4314" t="s">
        <v>154</v>
      </c>
      <c r="I4314" t="s">
        <v>37</v>
      </c>
      <c r="J4314" t="s">
        <v>38</v>
      </c>
      <c r="K4314" t="s">
        <v>29</v>
      </c>
      <c r="L4314" t="s">
        <v>30</v>
      </c>
      <c r="M4314" t="s">
        <v>139</v>
      </c>
      <c r="N4314">
        <v>1304</v>
      </c>
      <c r="O4314" s="14">
        <v>0.72109626419842199</v>
      </c>
      <c r="P4314" s="14">
        <v>0.40435861097648701</v>
      </c>
      <c r="Q4314" t="str">
        <f t="shared" si="134"/>
        <v>15-24</v>
      </c>
      <c r="R4314" t="str">
        <f t="shared" si="135"/>
        <v>[GkIwZrXy1h2]|15-24|Female|PMTCT_STAT_SUBNAT.D.T_1|CY2023Q3</v>
      </c>
    </row>
    <row r="4315" spans="4:18" x14ac:dyDescent="0.2">
      <c r="D4315" t="s">
        <v>22</v>
      </c>
      <c r="E4315" t="s">
        <v>23</v>
      </c>
      <c r="F4315" t="s">
        <v>24</v>
      </c>
      <c r="G4315" t="s">
        <v>153</v>
      </c>
      <c r="H4315" t="s">
        <v>154</v>
      </c>
      <c r="I4315" t="s">
        <v>40</v>
      </c>
      <c r="J4315" t="s">
        <v>41</v>
      </c>
      <c r="K4315" t="s">
        <v>29</v>
      </c>
      <c r="L4315" t="s">
        <v>30</v>
      </c>
      <c r="M4315" t="s">
        <v>139</v>
      </c>
      <c r="N4315">
        <v>569</v>
      </c>
      <c r="O4315" s="14">
        <v>0.42748882598243698</v>
      </c>
      <c r="P4315" s="14">
        <v>0.40435861097648701</v>
      </c>
      <c r="Q4315" t="str">
        <f t="shared" si="134"/>
        <v>25-34</v>
      </c>
      <c r="R4315" t="str">
        <f t="shared" si="135"/>
        <v>[GkIwZrXy1h2]|25-34|Female|PMTCT_STAT_SUBNAT.D.T_1|CY2023Q3</v>
      </c>
    </row>
    <row r="4316" spans="4:18" x14ac:dyDescent="0.2">
      <c r="D4316" t="s">
        <v>22</v>
      </c>
      <c r="E4316" t="s">
        <v>23</v>
      </c>
      <c r="F4316" t="s">
        <v>24</v>
      </c>
      <c r="G4316" t="s">
        <v>153</v>
      </c>
      <c r="H4316" t="s">
        <v>154</v>
      </c>
      <c r="I4316" t="s">
        <v>42</v>
      </c>
      <c r="J4316" t="s">
        <v>43</v>
      </c>
      <c r="K4316" t="s">
        <v>29</v>
      </c>
      <c r="L4316" t="s">
        <v>30</v>
      </c>
      <c r="M4316" t="s">
        <v>139</v>
      </c>
      <c r="N4316">
        <v>1084</v>
      </c>
      <c r="O4316" s="14">
        <v>0.28359293448738798</v>
      </c>
      <c r="P4316" s="14">
        <v>0.40435861097648701</v>
      </c>
      <c r="Q4316" t="str">
        <f t="shared" si="134"/>
        <v>35-49</v>
      </c>
      <c r="R4316" t="str">
        <f t="shared" si="135"/>
        <v>[GkIwZrXy1h2]|35-49|Female|PMTCT_STAT_SUBNAT.D.T_1|CY2023Q3</v>
      </c>
    </row>
    <row r="4317" spans="4:18" x14ac:dyDescent="0.2">
      <c r="D4317" t="s">
        <v>52</v>
      </c>
      <c r="E4317" t="s">
        <v>53</v>
      </c>
      <c r="F4317" t="s">
        <v>54</v>
      </c>
      <c r="G4317" t="s">
        <v>153</v>
      </c>
      <c r="H4317" t="s">
        <v>154</v>
      </c>
      <c r="I4317" t="s">
        <v>37</v>
      </c>
      <c r="J4317" t="s">
        <v>38</v>
      </c>
      <c r="K4317" t="s">
        <v>29</v>
      </c>
      <c r="L4317" t="s">
        <v>30</v>
      </c>
      <c r="M4317" t="s">
        <v>139</v>
      </c>
      <c r="N4317">
        <v>941</v>
      </c>
      <c r="O4317" s="14">
        <v>0.34726986079476801</v>
      </c>
      <c r="P4317" s="14">
        <v>0.61639246996492103</v>
      </c>
      <c r="Q4317" t="str">
        <f t="shared" si="134"/>
        <v>15-24</v>
      </c>
      <c r="R4317" t="str">
        <f t="shared" si="135"/>
        <v>[zphK9WV8JB4]|15-24|Female|PMTCT_STAT_SUBNAT.D.T_1|CY2023Q3</v>
      </c>
    </row>
    <row r="4318" spans="4:18" x14ac:dyDescent="0.2">
      <c r="D4318" t="s">
        <v>52</v>
      </c>
      <c r="E4318" t="s">
        <v>53</v>
      </c>
      <c r="F4318" t="s">
        <v>54</v>
      </c>
      <c r="G4318" t="s">
        <v>153</v>
      </c>
      <c r="H4318" t="s">
        <v>154</v>
      </c>
      <c r="I4318" t="s">
        <v>40</v>
      </c>
      <c r="J4318" t="s">
        <v>41</v>
      </c>
      <c r="K4318" t="s">
        <v>29</v>
      </c>
      <c r="L4318" t="s">
        <v>30</v>
      </c>
      <c r="M4318" t="s">
        <v>139</v>
      </c>
      <c r="N4318">
        <v>1097</v>
      </c>
      <c r="O4318" s="14">
        <v>0.176047177985311</v>
      </c>
      <c r="P4318" s="14">
        <v>0.61639246996492103</v>
      </c>
      <c r="Q4318" t="str">
        <f t="shared" si="134"/>
        <v>25-34</v>
      </c>
      <c r="R4318" t="str">
        <f t="shared" si="135"/>
        <v>[zphK9WV8JB4]|25-34|Female|PMTCT_STAT_SUBNAT.D.T_1|CY2023Q3</v>
      </c>
    </row>
    <row r="4319" spans="4:18" x14ac:dyDescent="0.2">
      <c r="D4319" t="s">
        <v>52</v>
      </c>
      <c r="E4319" t="s">
        <v>53</v>
      </c>
      <c r="F4319" t="s">
        <v>54</v>
      </c>
      <c r="G4319" t="s">
        <v>153</v>
      </c>
      <c r="H4319" t="s">
        <v>154</v>
      </c>
      <c r="I4319" t="s">
        <v>42</v>
      </c>
      <c r="J4319" t="s">
        <v>43</v>
      </c>
      <c r="K4319" t="s">
        <v>29</v>
      </c>
      <c r="L4319" t="s">
        <v>30</v>
      </c>
      <c r="M4319" t="s">
        <v>139</v>
      </c>
      <c r="N4319">
        <v>1468</v>
      </c>
      <c r="O4319" s="14">
        <v>0.501698147505522</v>
      </c>
      <c r="P4319" s="14">
        <v>0.61639246996492103</v>
      </c>
      <c r="Q4319" t="str">
        <f t="shared" si="134"/>
        <v>35-49</v>
      </c>
      <c r="R4319" t="str">
        <f t="shared" si="135"/>
        <v>[zphK9WV8JB4]|35-49|Female|PMTCT_STAT_SUBNAT.D.T_1|CY2023Q3</v>
      </c>
    </row>
    <row r="4320" spans="4:18" x14ac:dyDescent="0.2">
      <c r="D4320" t="s">
        <v>59</v>
      </c>
      <c r="E4320" t="s">
        <v>60</v>
      </c>
      <c r="F4320" t="s">
        <v>61</v>
      </c>
      <c r="G4320" t="s">
        <v>153</v>
      </c>
      <c r="H4320" t="s">
        <v>154</v>
      </c>
      <c r="I4320" t="s">
        <v>37</v>
      </c>
      <c r="J4320" t="s">
        <v>38</v>
      </c>
      <c r="K4320" t="s">
        <v>29</v>
      </c>
      <c r="L4320" t="s">
        <v>30</v>
      </c>
      <c r="M4320" t="s">
        <v>139</v>
      </c>
      <c r="N4320">
        <v>1251</v>
      </c>
      <c r="O4320" s="14">
        <v>0.52030555601231798</v>
      </c>
      <c r="P4320" s="14">
        <v>2.6825056178495298E-2</v>
      </c>
      <c r="Q4320" t="str">
        <f t="shared" si="134"/>
        <v>15-24</v>
      </c>
      <c r="R4320" t="str">
        <f t="shared" si="135"/>
        <v>[msW2zpIN7up]|15-24|Female|PMTCT_STAT_SUBNAT.D.T_1|CY2023Q3</v>
      </c>
    </row>
    <row r="4321" spans="4:18" x14ac:dyDescent="0.2">
      <c r="D4321" t="s">
        <v>59</v>
      </c>
      <c r="E4321" t="s">
        <v>60</v>
      </c>
      <c r="F4321" t="s">
        <v>61</v>
      </c>
      <c r="G4321" t="s">
        <v>153</v>
      </c>
      <c r="H4321" t="s">
        <v>154</v>
      </c>
      <c r="I4321" t="s">
        <v>40</v>
      </c>
      <c r="J4321" t="s">
        <v>41</v>
      </c>
      <c r="K4321" t="s">
        <v>29</v>
      </c>
      <c r="L4321" t="s">
        <v>30</v>
      </c>
      <c r="M4321" t="s">
        <v>139</v>
      </c>
      <c r="N4321">
        <v>1748</v>
      </c>
      <c r="O4321" s="14">
        <v>0.28227761038579002</v>
      </c>
      <c r="P4321" s="14">
        <v>2.6825056178495298E-2</v>
      </c>
      <c r="Q4321" t="str">
        <f t="shared" si="134"/>
        <v>25-34</v>
      </c>
      <c r="R4321" t="str">
        <f t="shared" si="135"/>
        <v>[msW2zpIN7up]|25-34|Female|PMTCT_STAT_SUBNAT.D.T_1|CY2023Q3</v>
      </c>
    </row>
    <row r="4322" spans="4:18" x14ac:dyDescent="0.2">
      <c r="D4322" t="s">
        <v>59</v>
      </c>
      <c r="E4322" t="s">
        <v>60</v>
      </c>
      <c r="F4322" t="s">
        <v>61</v>
      </c>
      <c r="G4322" t="s">
        <v>153</v>
      </c>
      <c r="H4322" t="s">
        <v>154</v>
      </c>
      <c r="I4322" t="s">
        <v>42</v>
      </c>
      <c r="J4322" t="s">
        <v>43</v>
      </c>
      <c r="K4322" t="s">
        <v>29</v>
      </c>
      <c r="L4322" t="s">
        <v>30</v>
      </c>
      <c r="M4322" t="s">
        <v>139</v>
      </c>
      <c r="N4322">
        <v>1692</v>
      </c>
      <c r="O4322" s="14">
        <v>0.295138265704736</v>
      </c>
      <c r="P4322" s="14">
        <v>2.6825056178495298E-2</v>
      </c>
      <c r="Q4322" t="str">
        <f t="shared" si="134"/>
        <v>35-49</v>
      </c>
      <c r="R4322" t="str">
        <f t="shared" si="135"/>
        <v>[msW2zpIN7up]|35-49|Female|PMTCT_STAT_SUBNAT.D.T_1|CY2023Q3</v>
      </c>
    </row>
    <row r="4323" spans="4:18" x14ac:dyDescent="0.2">
      <c r="D4323" t="s">
        <v>62</v>
      </c>
      <c r="E4323" t="s">
        <v>63</v>
      </c>
      <c r="F4323" t="s">
        <v>64</v>
      </c>
      <c r="G4323" t="s">
        <v>153</v>
      </c>
      <c r="H4323" t="s">
        <v>154</v>
      </c>
      <c r="I4323" t="s">
        <v>37</v>
      </c>
      <c r="J4323" t="s">
        <v>38</v>
      </c>
      <c r="K4323" t="s">
        <v>29</v>
      </c>
      <c r="L4323" t="s">
        <v>30</v>
      </c>
      <c r="M4323" t="s">
        <v>139</v>
      </c>
      <c r="N4323">
        <v>775</v>
      </c>
      <c r="O4323" s="14">
        <v>0.48887389339506598</v>
      </c>
      <c r="P4323" s="14">
        <v>0.790102193132043</v>
      </c>
      <c r="Q4323" t="str">
        <f t="shared" si="134"/>
        <v>15-24</v>
      </c>
      <c r="R4323" t="str">
        <f t="shared" si="135"/>
        <v>[kxuuIFpOXyO]|15-24|Female|PMTCT_STAT_SUBNAT.D.T_1|CY2023Q3</v>
      </c>
    </row>
    <row r="4324" spans="4:18" x14ac:dyDescent="0.2">
      <c r="D4324" t="s">
        <v>62</v>
      </c>
      <c r="E4324" t="s">
        <v>63</v>
      </c>
      <c r="F4324" t="s">
        <v>64</v>
      </c>
      <c r="G4324" t="s">
        <v>153</v>
      </c>
      <c r="H4324" t="s">
        <v>154</v>
      </c>
      <c r="I4324" t="s">
        <v>40</v>
      </c>
      <c r="J4324" t="s">
        <v>41</v>
      </c>
      <c r="K4324" t="s">
        <v>29</v>
      </c>
      <c r="L4324" t="s">
        <v>30</v>
      </c>
      <c r="M4324" t="s">
        <v>139</v>
      </c>
      <c r="N4324">
        <v>985</v>
      </c>
      <c r="O4324" s="14">
        <v>0.32762816152535401</v>
      </c>
      <c r="P4324" s="14">
        <v>0.790102193132043</v>
      </c>
      <c r="Q4324" t="str">
        <f t="shared" si="134"/>
        <v>25-34</v>
      </c>
      <c r="R4324" t="str">
        <f t="shared" si="135"/>
        <v>[kxuuIFpOXyO]|25-34|Female|PMTCT_STAT_SUBNAT.D.T_1|CY2023Q3</v>
      </c>
    </row>
    <row r="4325" spans="4:18" x14ac:dyDescent="0.2">
      <c r="D4325" t="s">
        <v>62</v>
      </c>
      <c r="E4325" t="s">
        <v>63</v>
      </c>
      <c r="F4325" t="s">
        <v>64</v>
      </c>
      <c r="G4325" t="s">
        <v>153</v>
      </c>
      <c r="H4325" t="s">
        <v>154</v>
      </c>
      <c r="I4325" t="s">
        <v>42</v>
      </c>
      <c r="J4325" t="s">
        <v>43</v>
      </c>
      <c r="K4325" t="s">
        <v>29</v>
      </c>
      <c r="L4325" t="s">
        <v>30</v>
      </c>
      <c r="M4325" t="s">
        <v>139</v>
      </c>
      <c r="N4325">
        <v>1540</v>
      </c>
      <c r="O4325" s="14">
        <v>0.62145434366539098</v>
      </c>
      <c r="P4325" s="14">
        <v>0.790102193132043</v>
      </c>
      <c r="Q4325" t="str">
        <f t="shared" si="134"/>
        <v>35-49</v>
      </c>
      <c r="R4325" t="str">
        <f t="shared" si="135"/>
        <v>[kxuuIFpOXyO]|35-49|Female|PMTCT_STAT_SUBNAT.D.T_1|CY2023Q3</v>
      </c>
    </row>
    <row r="4326" spans="4:18" x14ac:dyDescent="0.2">
      <c r="D4326" t="s">
        <v>65</v>
      </c>
      <c r="E4326" t="s">
        <v>66</v>
      </c>
      <c r="F4326" t="s">
        <v>67</v>
      </c>
      <c r="G4326" t="s">
        <v>153</v>
      </c>
      <c r="H4326" t="s">
        <v>154</v>
      </c>
      <c r="I4326" t="s">
        <v>37</v>
      </c>
      <c r="J4326" t="s">
        <v>38</v>
      </c>
      <c r="K4326" t="s">
        <v>29</v>
      </c>
      <c r="L4326" t="s">
        <v>30</v>
      </c>
      <c r="M4326" t="s">
        <v>139</v>
      </c>
      <c r="N4326">
        <v>555</v>
      </c>
      <c r="O4326" s="14">
        <v>0.106922894716263</v>
      </c>
      <c r="P4326" s="14">
        <v>0.16460988437756899</v>
      </c>
      <c r="Q4326" t="str">
        <f t="shared" si="134"/>
        <v>15-24</v>
      </c>
      <c r="R4326" t="str">
        <f t="shared" si="135"/>
        <v>[ScR9iFKAasW]|15-24|Female|PMTCT_STAT_SUBNAT.D.T_1|CY2023Q3</v>
      </c>
    </row>
    <row r="4327" spans="4:18" x14ac:dyDescent="0.2">
      <c r="D4327" t="s">
        <v>65</v>
      </c>
      <c r="E4327" t="s">
        <v>66</v>
      </c>
      <c r="F4327" t="s">
        <v>67</v>
      </c>
      <c r="G4327" t="s">
        <v>153</v>
      </c>
      <c r="H4327" t="s">
        <v>154</v>
      </c>
      <c r="I4327" t="s">
        <v>40</v>
      </c>
      <c r="J4327" t="s">
        <v>41</v>
      </c>
      <c r="K4327" t="s">
        <v>29</v>
      </c>
      <c r="L4327" t="s">
        <v>30</v>
      </c>
      <c r="M4327" t="s">
        <v>139</v>
      </c>
      <c r="N4327">
        <v>1491</v>
      </c>
      <c r="O4327" s="14">
        <v>0.17664997302927099</v>
      </c>
      <c r="P4327" s="14">
        <v>0.16460988437756899</v>
      </c>
      <c r="Q4327" t="str">
        <f t="shared" si="134"/>
        <v>25-34</v>
      </c>
      <c r="R4327" t="str">
        <f t="shared" si="135"/>
        <v>[ScR9iFKAasW]|25-34|Female|PMTCT_STAT_SUBNAT.D.T_1|CY2023Q3</v>
      </c>
    </row>
    <row r="4328" spans="4:18" x14ac:dyDescent="0.2">
      <c r="D4328" t="s">
        <v>65</v>
      </c>
      <c r="E4328" t="s">
        <v>66</v>
      </c>
      <c r="F4328" t="s">
        <v>67</v>
      </c>
      <c r="G4328" t="s">
        <v>153</v>
      </c>
      <c r="H4328" t="s">
        <v>154</v>
      </c>
      <c r="I4328" t="s">
        <v>42</v>
      </c>
      <c r="J4328" t="s">
        <v>43</v>
      </c>
      <c r="K4328" t="s">
        <v>29</v>
      </c>
      <c r="L4328" t="s">
        <v>30</v>
      </c>
      <c r="M4328" t="s">
        <v>139</v>
      </c>
      <c r="N4328">
        <v>1313</v>
      </c>
      <c r="O4328" s="14">
        <v>0.41825845371931802</v>
      </c>
      <c r="P4328" s="14">
        <v>0.16460988437756899</v>
      </c>
      <c r="Q4328" t="str">
        <f t="shared" si="134"/>
        <v>35-49</v>
      </c>
      <c r="R4328" t="str">
        <f t="shared" si="135"/>
        <v>[ScR9iFKAasW]|35-49|Female|PMTCT_STAT_SUBNAT.D.T_1|CY2023Q3</v>
      </c>
    </row>
    <row r="4329" spans="4:18" x14ac:dyDescent="0.2">
      <c r="D4329" t="s">
        <v>68</v>
      </c>
      <c r="E4329" t="s">
        <v>69</v>
      </c>
      <c r="F4329" t="s">
        <v>70</v>
      </c>
      <c r="G4329" t="s">
        <v>153</v>
      </c>
      <c r="H4329" t="s">
        <v>154</v>
      </c>
      <c r="I4329" t="s">
        <v>37</v>
      </c>
      <c r="J4329" t="s">
        <v>38</v>
      </c>
      <c r="K4329" t="s">
        <v>29</v>
      </c>
      <c r="L4329" t="s">
        <v>30</v>
      </c>
      <c r="M4329" t="s">
        <v>139</v>
      </c>
      <c r="N4329">
        <v>814</v>
      </c>
      <c r="O4329" s="14">
        <v>0.33347280486486902</v>
      </c>
      <c r="P4329" s="14">
        <v>0.19881726312451101</v>
      </c>
      <c r="Q4329" t="str">
        <f t="shared" si="134"/>
        <v>15-24</v>
      </c>
      <c r="R4329" t="str">
        <f t="shared" si="135"/>
        <v>[PekKUkKHAzY]|15-24|Female|PMTCT_STAT_SUBNAT.D.T_1|CY2023Q3</v>
      </c>
    </row>
    <row r="4330" spans="4:18" x14ac:dyDescent="0.2">
      <c r="D4330" t="s">
        <v>68</v>
      </c>
      <c r="E4330" t="s">
        <v>69</v>
      </c>
      <c r="F4330" t="s">
        <v>70</v>
      </c>
      <c r="G4330" t="s">
        <v>153</v>
      </c>
      <c r="H4330" t="s">
        <v>154</v>
      </c>
      <c r="I4330" t="s">
        <v>40</v>
      </c>
      <c r="J4330" t="s">
        <v>41</v>
      </c>
      <c r="K4330" t="s">
        <v>29</v>
      </c>
      <c r="L4330" t="s">
        <v>30</v>
      </c>
      <c r="M4330" t="s">
        <v>139</v>
      </c>
      <c r="N4330">
        <v>1775</v>
      </c>
      <c r="O4330" s="14">
        <v>0.41349797323346099</v>
      </c>
      <c r="P4330" s="14">
        <v>0.19881726312451101</v>
      </c>
      <c r="Q4330" t="str">
        <f t="shared" si="134"/>
        <v>25-34</v>
      </c>
      <c r="R4330" t="str">
        <f t="shared" si="135"/>
        <v>[PekKUkKHAzY]|25-34|Female|PMTCT_STAT_SUBNAT.D.T_1|CY2023Q3</v>
      </c>
    </row>
    <row r="4331" spans="4:18" x14ac:dyDescent="0.2">
      <c r="D4331" t="s">
        <v>68</v>
      </c>
      <c r="E4331" t="s">
        <v>69</v>
      </c>
      <c r="F4331" t="s">
        <v>70</v>
      </c>
      <c r="G4331" t="s">
        <v>153</v>
      </c>
      <c r="H4331" t="s">
        <v>154</v>
      </c>
      <c r="I4331" t="s">
        <v>42</v>
      </c>
      <c r="J4331" t="s">
        <v>43</v>
      </c>
      <c r="K4331" t="s">
        <v>29</v>
      </c>
      <c r="L4331" t="s">
        <v>30</v>
      </c>
      <c r="M4331" t="s">
        <v>139</v>
      </c>
      <c r="N4331">
        <v>1230</v>
      </c>
      <c r="O4331" s="14">
        <v>0.68225990934297398</v>
      </c>
      <c r="P4331" s="14">
        <v>0.19881726312451101</v>
      </c>
      <c r="Q4331" t="str">
        <f t="shared" si="134"/>
        <v>35-49</v>
      </c>
      <c r="R4331" t="str">
        <f t="shared" si="135"/>
        <v>[PekKUkKHAzY]|35-49|Female|PMTCT_STAT_SUBNAT.D.T_1|CY2023Q3</v>
      </c>
    </row>
    <row r="4332" spans="4:18" x14ac:dyDescent="0.2">
      <c r="D4332" t="s">
        <v>71</v>
      </c>
      <c r="E4332" t="s">
        <v>72</v>
      </c>
      <c r="F4332" t="s">
        <v>73</v>
      </c>
      <c r="G4332" t="s">
        <v>153</v>
      </c>
      <c r="H4332" t="s">
        <v>154</v>
      </c>
      <c r="I4332" t="s">
        <v>37</v>
      </c>
      <c r="J4332" t="s">
        <v>38</v>
      </c>
      <c r="K4332" t="s">
        <v>29</v>
      </c>
      <c r="L4332" t="s">
        <v>30</v>
      </c>
      <c r="M4332" t="s">
        <v>139</v>
      </c>
      <c r="N4332">
        <v>563</v>
      </c>
      <c r="O4332" s="14">
        <v>0.167729100910947</v>
      </c>
      <c r="P4332" s="14">
        <v>0.28972870693542102</v>
      </c>
      <c r="Q4332" t="str">
        <f t="shared" si="134"/>
        <v>15-24</v>
      </c>
      <c r="R4332" t="str">
        <f t="shared" si="135"/>
        <v>[am530wpaGvr]|15-24|Female|PMTCT_STAT_SUBNAT.D.T_1|CY2023Q3</v>
      </c>
    </row>
    <row r="4333" spans="4:18" x14ac:dyDescent="0.2">
      <c r="D4333" t="s">
        <v>71</v>
      </c>
      <c r="E4333" t="s">
        <v>72</v>
      </c>
      <c r="F4333" t="s">
        <v>73</v>
      </c>
      <c r="G4333" t="s">
        <v>153</v>
      </c>
      <c r="H4333" t="s">
        <v>154</v>
      </c>
      <c r="I4333" t="s">
        <v>40</v>
      </c>
      <c r="J4333" t="s">
        <v>41</v>
      </c>
      <c r="K4333" t="s">
        <v>29</v>
      </c>
      <c r="L4333" t="s">
        <v>30</v>
      </c>
      <c r="M4333" t="s">
        <v>139</v>
      </c>
      <c r="N4333">
        <v>592</v>
      </c>
      <c r="O4333" s="14">
        <v>0.52213080623187103</v>
      </c>
      <c r="P4333" s="14">
        <v>0.28972870693542102</v>
      </c>
      <c r="Q4333" t="str">
        <f t="shared" si="134"/>
        <v>25-34</v>
      </c>
      <c r="R4333" t="str">
        <f t="shared" si="135"/>
        <v>[am530wpaGvr]|25-34|Female|PMTCT_STAT_SUBNAT.D.T_1|CY2023Q3</v>
      </c>
    </row>
    <row r="4334" spans="4:18" x14ac:dyDescent="0.2">
      <c r="D4334" t="s">
        <v>71</v>
      </c>
      <c r="E4334" t="s">
        <v>72</v>
      </c>
      <c r="F4334" t="s">
        <v>73</v>
      </c>
      <c r="G4334" t="s">
        <v>153</v>
      </c>
      <c r="H4334" t="s">
        <v>154</v>
      </c>
      <c r="I4334" t="s">
        <v>42</v>
      </c>
      <c r="J4334" t="s">
        <v>43</v>
      </c>
      <c r="K4334" t="s">
        <v>29</v>
      </c>
      <c r="L4334" t="s">
        <v>30</v>
      </c>
      <c r="M4334" t="s">
        <v>139</v>
      </c>
      <c r="N4334">
        <v>1128</v>
      </c>
      <c r="O4334" s="14">
        <v>0.84963857708498802</v>
      </c>
      <c r="P4334" s="14">
        <v>0.28972870693542102</v>
      </c>
      <c r="Q4334" t="str">
        <f t="shared" si="134"/>
        <v>35-49</v>
      </c>
      <c r="R4334" t="str">
        <f t="shared" si="135"/>
        <v>[am530wpaGvr]|35-49|Female|PMTCT_STAT_SUBNAT.D.T_1|CY2023Q3</v>
      </c>
    </row>
    <row r="4335" spans="4:18" x14ac:dyDescent="0.2">
      <c r="D4335" t="s">
        <v>74</v>
      </c>
      <c r="E4335" t="s">
        <v>75</v>
      </c>
      <c r="F4335" t="s">
        <v>76</v>
      </c>
      <c r="G4335" t="s">
        <v>153</v>
      </c>
      <c r="H4335" t="s">
        <v>154</v>
      </c>
      <c r="I4335" t="s">
        <v>37</v>
      </c>
      <c r="J4335" t="s">
        <v>38</v>
      </c>
      <c r="K4335" t="s">
        <v>29</v>
      </c>
      <c r="L4335" t="s">
        <v>30</v>
      </c>
      <c r="M4335" t="s">
        <v>139</v>
      </c>
      <c r="N4335">
        <v>1129</v>
      </c>
      <c r="O4335" s="14">
        <v>0.47522227140143503</v>
      </c>
      <c r="P4335" s="14">
        <v>0.30305550759658201</v>
      </c>
      <c r="Q4335" t="str">
        <f t="shared" si="134"/>
        <v>15-24</v>
      </c>
      <c r="R4335" t="str">
        <f t="shared" si="135"/>
        <v>[lLDyBx5XyUi]|15-24|Female|PMTCT_STAT_SUBNAT.D.T_1|CY2023Q3</v>
      </c>
    </row>
    <row r="4336" spans="4:18" x14ac:dyDescent="0.2">
      <c r="D4336" t="s">
        <v>74</v>
      </c>
      <c r="E4336" t="s">
        <v>75</v>
      </c>
      <c r="F4336" t="s">
        <v>76</v>
      </c>
      <c r="G4336" t="s">
        <v>153</v>
      </c>
      <c r="H4336" t="s">
        <v>154</v>
      </c>
      <c r="I4336" t="s">
        <v>40</v>
      </c>
      <c r="J4336" t="s">
        <v>41</v>
      </c>
      <c r="K4336" t="s">
        <v>29</v>
      </c>
      <c r="L4336" t="s">
        <v>30</v>
      </c>
      <c r="M4336" t="s">
        <v>139</v>
      </c>
      <c r="N4336">
        <v>984</v>
      </c>
      <c r="O4336" s="14">
        <v>0.26731986785307499</v>
      </c>
      <c r="P4336" s="14">
        <v>0.30305550759658201</v>
      </c>
      <c r="Q4336" t="str">
        <f t="shared" si="134"/>
        <v>25-34</v>
      </c>
      <c r="R4336" t="str">
        <f t="shared" si="135"/>
        <v>[lLDyBx5XyUi]|25-34|Female|PMTCT_STAT_SUBNAT.D.T_1|CY2023Q3</v>
      </c>
    </row>
    <row r="4337" spans="4:18" x14ac:dyDescent="0.2">
      <c r="D4337" t="s">
        <v>74</v>
      </c>
      <c r="E4337" t="s">
        <v>75</v>
      </c>
      <c r="F4337" t="s">
        <v>76</v>
      </c>
      <c r="G4337" t="s">
        <v>153</v>
      </c>
      <c r="H4337" t="s">
        <v>154</v>
      </c>
      <c r="I4337" t="s">
        <v>42</v>
      </c>
      <c r="J4337" t="s">
        <v>43</v>
      </c>
      <c r="K4337" t="s">
        <v>29</v>
      </c>
      <c r="L4337" t="s">
        <v>30</v>
      </c>
      <c r="M4337" t="s">
        <v>139</v>
      </c>
      <c r="N4337">
        <v>593</v>
      </c>
      <c r="O4337" s="14">
        <v>2.9519058531150201E-2</v>
      </c>
      <c r="P4337" s="14">
        <v>0.30305550759658201</v>
      </c>
      <c r="Q4337" t="str">
        <f t="shared" si="134"/>
        <v>35-49</v>
      </c>
      <c r="R4337" t="str">
        <f t="shared" si="135"/>
        <v>[lLDyBx5XyUi]|35-49|Female|PMTCT_STAT_SUBNAT.D.T_1|CY2023Q3</v>
      </c>
    </row>
    <row r="4338" spans="4:18" x14ac:dyDescent="0.2">
      <c r="D4338" t="s">
        <v>77</v>
      </c>
      <c r="E4338" t="s">
        <v>78</v>
      </c>
      <c r="F4338" t="s">
        <v>79</v>
      </c>
      <c r="G4338" t="s">
        <v>153</v>
      </c>
      <c r="H4338" t="s">
        <v>154</v>
      </c>
      <c r="I4338" t="s">
        <v>37</v>
      </c>
      <c r="J4338" t="s">
        <v>38</v>
      </c>
      <c r="K4338" t="s">
        <v>29</v>
      </c>
      <c r="L4338" t="s">
        <v>30</v>
      </c>
      <c r="M4338" t="s">
        <v>139</v>
      </c>
      <c r="N4338">
        <v>1991</v>
      </c>
      <c r="O4338" s="14">
        <v>7.77348470874131E-2</v>
      </c>
      <c r="P4338" s="14">
        <v>0.83159798220731296</v>
      </c>
      <c r="Q4338" t="str">
        <f t="shared" si="134"/>
        <v>15-24</v>
      </c>
      <c r="R4338" t="str">
        <f t="shared" si="135"/>
        <v>[TYnMSwzko3z]|15-24|Female|PMTCT_STAT_SUBNAT.D.T_1|CY2023Q3</v>
      </c>
    </row>
    <row r="4339" spans="4:18" x14ac:dyDescent="0.2">
      <c r="D4339" t="s">
        <v>77</v>
      </c>
      <c r="E4339" t="s">
        <v>78</v>
      </c>
      <c r="F4339" t="s">
        <v>79</v>
      </c>
      <c r="G4339" t="s">
        <v>153</v>
      </c>
      <c r="H4339" t="s">
        <v>154</v>
      </c>
      <c r="I4339" t="s">
        <v>40</v>
      </c>
      <c r="J4339" t="s">
        <v>41</v>
      </c>
      <c r="K4339" t="s">
        <v>29</v>
      </c>
      <c r="L4339" t="s">
        <v>30</v>
      </c>
      <c r="M4339" t="s">
        <v>139</v>
      </c>
      <c r="N4339">
        <v>851</v>
      </c>
      <c r="O4339" s="14">
        <v>0.360373195260763</v>
      </c>
      <c r="P4339" s="14">
        <v>0.83159798220731296</v>
      </c>
      <c r="Q4339" t="str">
        <f t="shared" si="134"/>
        <v>25-34</v>
      </c>
      <c r="R4339" t="str">
        <f t="shared" si="135"/>
        <v>[TYnMSwzko3z]|25-34|Female|PMTCT_STAT_SUBNAT.D.T_1|CY2023Q3</v>
      </c>
    </row>
    <row r="4340" spans="4:18" x14ac:dyDescent="0.2">
      <c r="D4340" t="s">
        <v>77</v>
      </c>
      <c r="E4340" t="s">
        <v>78</v>
      </c>
      <c r="F4340" t="s">
        <v>79</v>
      </c>
      <c r="G4340" t="s">
        <v>153</v>
      </c>
      <c r="H4340" t="s">
        <v>154</v>
      </c>
      <c r="I4340" t="s">
        <v>42</v>
      </c>
      <c r="J4340" t="s">
        <v>43</v>
      </c>
      <c r="K4340" t="s">
        <v>29</v>
      </c>
      <c r="L4340" t="s">
        <v>30</v>
      </c>
      <c r="M4340" t="s">
        <v>139</v>
      </c>
      <c r="N4340">
        <v>1447</v>
      </c>
      <c r="O4340" s="14">
        <v>0.50664752209559105</v>
      </c>
      <c r="P4340" s="14">
        <v>0.83159798220731296</v>
      </c>
      <c r="Q4340" t="str">
        <f t="shared" si="134"/>
        <v>35-49</v>
      </c>
      <c r="R4340" t="str">
        <f t="shared" si="135"/>
        <v>[TYnMSwzko3z]|35-49|Female|PMTCT_STAT_SUBNAT.D.T_1|CY2023Q3</v>
      </c>
    </row>
    <row r="4341" spans="4:18" x14ac:dyDescent="0.2">
      <c r="D4341" t="s">
        <v>80</v>
      </c>
      <c r="E4341" t="s">
        <v>81</v>
      </c>
      <c r="F4341" t="s">
        <v>82</v>
      </c>
      <c r="G4341" t="s">
        <v>153</v>
      </c>
      <c r="H4341" t="s">
        <v>154</v>
      </c>
      <c r="I4341" t="s">
        <v>37</v>
      </c>
      <c r="J4341" t="s">
        <v>38</v>
      </c>
      <c r="K4341" t="s">
        <v>29</v>
      </c>
      <c r="L4341" t="s">
        <v>30</v>
      </c>
      <c r="M4341" t="s">
        <v>139</v>
      </c>
      <c r="N4341">
        <v>812</v>
      </c>
      <c r="O4341" s="14">
        <v>0.25960211036726799</v>
      </c>
      <c r="P4341" s="14">
        <v>0.14333142153918699</v>
      </c>
      <c r="Q4341" t="str">
        <f t="shared" si="134"/>
        <v>15-24</v>
      </c>
      <c r="R4341" t="str">
        <f t="shared" si="135"/>
        <v>[ir8wuHHzoSs]|15-24|Female|PMTCT_STAT_SUBNAT.D.T_1|CY2023Q3</v>
      </c>
    </row>
    <row r="4342" spans="4:18" x14ac:dyDescent="0.2">
      <c r="D4342" t="s">
        <v>80</v>
      </c>
      <c r="E4342" t="s">
        <v>81</v>
      </c>
      <c r="F4342" t="s">
        <v>82</v>
      </c>
      <c r="G4342" t="s">
        <v>153</v>
      </c>
      <c r="H4342" t="s">
        <v>154</v>
      </c>
      <c r="I4342" t="s">
        <v>40</v>
      </c>
      <c r="J4342" t="s">
        <v>41</v>
      </c>
      <c r="K4342" t="s">
        <v>29</v>
      </c>
      <c r="L4342" t="s">
        <v>30</v>
      </c>
      <c r="M4342" t="s">
        <v>139</v>
      </c>
      <c r="N4342">
        <v>1180</v>
      </c>
      <c r="O4342" s="14">
        <v>0.138870227150619</v>
      </c>
      <c r="P4342" s="14">
        <v>0.14333142153918699</v>
      </c>
      <c r="Q4342" t="str">
        <f t="shared" si="134"/>
        <v>25-34</v>
      </c>
      <c r="R4342" t="str">
        <f t="shared" si="135"/>
        <v>[ir8wuHHzoSs]|25-34|Female|PMTCT_STAT_SUBNAT.D.T_1|CY2023Q3</v>
      </c>
    </row>
    <row r="4343" spans="4:18" x14ac:dyDescent="0.2">
      <c r="D4343" t="s">
        <v>80</v>
      </c>
      <c r="E4343" t="s">
        <v>81</v>
      </c>
      <c r="F4343" t="s">
        <v>82</v>
      </c>
      <c r="G4343" t="s">
        <v>153</v>
      </c>
      <c r="H4343" t="s">
        <v>154</v>
      </c>
      <c r="I4343" t="s">
        <v>42</v>
      </c>
      <c r="J4343" t="s">
        <v>43</v>
      </c>
      <c r="K4343" t="s">
        <v>29</v>
      </c>
      <c r="L4343" t="s">
        <v>30</v>
      </c>
      <c r="M4343" t="s">
        <v>139</v>
      </c>
      <c r="N4343">
        <v>1479</v>
      </c>
      <c r="O4343" s="14">
        <v>0.45951185608282702</v>
      </c>
      <c r="P4343" s="14">
        <v>0.14333142153918699</v>
      </c>
      <c r="Q4343" t="str">
        <f t="shared" si="134"/>
        <v>35-49</v>
      </c>
      <c r="R4343" t="str">
        <f t="shared" si="135"/>
        <v>[ir8wuHHzoSs]|35-49|Female|PMTCT_STAT_SUBNAT.D.T_1|CY2023Q3</v>
      </c>
    </row>
    <row r="4344" spans="4:18" x14ac:dyDescent="0.2">
      <c r="D4344" t="s">
        <v>83</v>
      </c>
      <c r="E4344" t="s">
        <v>84</v>
      </c>
      <c r="F4344" t="s">
        <v>85</v>
      </c>
      <c r="G4344" t="s">
        <v>153</v>
      </c>
      <c r="H4344" t="s">
        <v>154</v>
      </c>
      <c r="I4344" t="s">
        <v>37</v>
      </c>
      <c r="J4344" t="s">
        <v>38</v>
      </c>
      <c r="K4344" t="s">
        <v>29</v>
      </c>
      <c r="L4344" t="s">
        <v>30</v>
      </c>
      <c r="M4344" t="s">
        <v>139</v>
      </c>
      <c r="N4344">
        <v>1476</v>
      </c>
      <c r="O4344" s="14">
        <v>0.16485116351395801</v>
      </c>
      <c r="P4344" s="14">
        <v>2.9788714367896301E-2</v>
      </c>
      <c r="Q4344" t="str">
        <f t="shared" si="134"/>
        <v>15-24</v>
      </c>
      <c r="R4344" t="str">
        <f t="shared" si="135"/>
        <v>[fyEoGEPERdI]|15-24|Female|PMTCT_STAT_SUBNAT.D.T_1|CY2023Q3</v>
      </c>
    </row>
    <row r="4345" spans="4:18" x14ac:dyDescent="0.2">
      <c r="D4345" t="s">
        <v>83</v>
      </c>
      <c r="E4345" t="s">
        <v>84</v>
      </c>
      <c r="F4345" t="s">
        <v>85</v>
      </c>
      <c r="G4345" t="s">
        <v>153</v>
      </c>
      <c r="H4345" t="s">
        <v>154</v>
      </c>
      <c r="I4345" t="s">
        <v>40</v>
      </c>
      <c r="J4345" t="s">
        <v>41</v>
      </c>
      <c r="K4345" t="s">
        <v>29</v>
      </c>
      <c r="L4345" t="s">
        <v>30</v>
      </c>
      <c r="M4345" t="s">
        <v>139</v>
      </c>
      <c r="N4345">
        <v>741</v>
      </c>
      <c r="O4345" s="14">
        <v>0.48639502562582498</v>
      </c>
      <c r="P4345" s="14">
        <v>2.9788714367896301E-2</v>
      </c>
      <c r="Q4345" t="str">
        <f t="shared" si="134"/>
        <v>25-34</v>
      </c>
      <c r="R4345" t="str">
        <f t="shared" si="135"/>
        <v>[fyEoGEPERdI]|25-34|Female|PMTCT_STAT_SUBNAT.D.T_1|CY2023Q3</v>
      </c>
    </row>
    <row r="4346" spans="4:18" x14ac:dyDescent="0.2">
      <c r="D4346" t="s">
        <v>83</v>
      </c>
      <c r="E4346" t="s">
        <v>84</v>
      </c>
      <c r="F4346" t="s">
        <v>85</v>
      </c>
      <c r="G4346" t="s">
        <v>153</v>
      </c>
      <c r="H4346" t="s">
        <v>154</v>
      </c>
      <c r="I4346" t="s">
        <v>42</v>
      </c>
      <c r="J4346" t="s">
        <v>43</v>
      </c>
      <c r="K4346" t="s">
        <v>29</v>
      </c>
      <c r="L4346" t="s">
        <v>30</v>
      </c>
      <c r="M4346" t="s">
        <v>139</v>
      </c>
      <c r="N4346">
        <v>983</v>
      </c>
      <c r="O4346" s="14">
        <v>7.0102109573781504E-2</v>
      </c>
      <c r="P4346" s="14">
        <v>2.9788714367896301E-2</v>
      </c>
      <c r="Q4346" t="str">
        <f t="shared" si="134"/>
        <v>35-49</v>
      </c>
      <c r="R4346" t="str">
        <f t="shared" si="135"/>
        <v>[fyEoGEPERdI]|35-49|Female|PMTCT_STAT_SUBNAT.D.T_1|CY2023Q3</v>
      </c>
    </row>
    <row r="4347" spans="4:18" x14ac:dyDescent="0.2">
      <c r="D4347" t="s">
        <v>86</v>
      </c>
      <c r="E4347" t="s">
        <v>87</v>
      </c>
      <c r="F4347" t="s">
        <v>88</v>
      </c>
      <c r="G4347" t="s">
        <v>153</v>
      </c>
      <c r="H4347" t="s">
        <v>154</v>
      </c>
      <c r="I4347" t="s">
        <v>37</v>
      </c>
      <c r="J4347" t="s">
        <v>38</v>
      </c>
      <c r="K4347" t="s">
        <v>29</v>
      </c>
      <c r="L4347" t="s">
        <v>30</v>
      </c>
      <c r="M4347" t="s">
        <v>139</v>
      </c>
      <c r="N4347">
        <v>1419</v>
      </c>
      <c r="O4347" s="14">
        <v>0.69977754657156799</v>
      </c>
      <c r="P4347" s="14">
        <v>0.13333638082258401</v>
      </c>
      <c r="Q4347" t="str">
        <f t="shared" si="134"/>
        <v>15-24</v>
      </c>
      <c r="R4347" t="str">
        <f t="shared" si="135"/>
        <v>[cPtvxaZqXIH]|15-24|Female|PMTCT_STAT_SUBNAT.D.T_1|CY2023Q3</v>
      </c>
    </row>
    <row r="4348" spans="4:18" x14ac:dyDescent="0.2">
      <c r="D4348" t="s">
        <v>86</v>
      </c>
      <c r="E4348" t="s">
        <v>87</v>
      </c>
      <c r="F4348" t="s">
        <v>88</v>
      </c>
      <c r="G4348" t="s">
        <v>153</v>
      </c>
      <c r="H4348" t="s">
        <v>154</v>
      </c>
      <c r="I4348" t="s">
        <v>40</v>
      </c>
      <c r="J4348" t="s">
        <v>41</v>
      </c>
      <c r="K4348" t="s">
        <v>29</v>
      </c>
      <c r="L4348" t="s">
        <v>30</v>
      </c>
      <c r="M4348" t="s">
        <v>139</v>
      </c>
      <c r="N4348">
        <v>1454</v>
      </c>
      <c r="O4348" s="14">
        <v>0.36814790731295899</v>
      </c>
      <c r="P4348" s="14">
        <v>0.13333638082258401</v>
      </c>
      <c r="Q4348" t="str">
        <f t="shared" si="134"/>
        <v>25-34</v>
      </c>
      <c r="R4348" t="str">
        <f t="shared" si="135"/>
        <v>[cPtvxaZqXIH]|25-34|Female|PMTCT_STAT_SUBNAT.D.T_1|CY2023Q3</v>
      </c>
    </row>
    <row r="4349" spans="4:18" x14ac:dyDescent="0.2">
      <c r="D4349" t="s">
        <v>86</v>
      </c>
      <c r="E4349" t="s">
        <v>87</v>
      </c>
      <c r="F4349" t="s">
        <v>88</v>
      </c>
      <c r="G4349" t="s">
        <v>153</v>
      </c>
      <c r="H4349" t="s">
        <v>154</v>
      </c>
      <c r="I4349" t="s">
        <v>42</v>
      </c>
      <c r="J4349" t="s">
        <v>43</v>
      </c>
      <c r="K4349" t="s">
        <v>29</v>
      </c>
      <c r="L4349" t="s">
        <v>30</v>
      </c>
      <c r="M4349" t="s">
        <v>139</v>
      </c>
      <c r="N4349">
        <v>868</v>
      </c>
      <c r="O4349" s="14">
        <v>0.79081577342003595</v>
      </c>
      <c r="P4349" s="14">
        <v>0.13333638082258401</v>
      </c>
      <c r="Q4349" t="str">
        <f t="shared" si="134"/>
        <v>35-49</v>
      </c>
      <c r="R4349" t="str">
        <f t="shared" si="135"/>
        <v>[cPtvxaZqXIH]|35-49|Female|PMTCT_STAT_SUBNAT.D.T_1|CY2023Q3</v>
      </c>
    </row>
    <row r="4350" spans="4:18" x14ac:dyDescent="0.2">
      <c r="D4350" t="s">
        <v>89</v>
      </c>
      <c r="E4350" t="s">
        <v>90</v>
      </c>
      <c r="F4350" t="s">
        <v>91</v>
      </c>
      <c r="G4350" t="s">
        <v>153</v>
      </c>
      <c r="H4350" t="s">
        <v>154</v>
      </c>
      <c r="I4350" t="s">
        <v>37</v>
      </c>
      <c r="J4350" t="s">
        <v>38</v>
      </c>
      <c r="K4350" t="s">
        <v>29</v>
      </c>
      <c r="L4350" t="s">
        <v>30</v>
      </c>
      <c r="M4350" t="s">
        <v>139</v>
      </c>
      <c r="N4350">
        <v>1553</v>
      </c>
      <c r="O4350" s="14">
        <v>0.73187175556086004</v>
      </c>
      <c r="P4350" s="14">
        <v>0.71991415042430196</v>
      </c>
      <c r="Q4350" t="str">
        <f t="shared" si="134"/>
        <v>15-24</v>
      </c>
      <c r="R4350" t="str">
        <f t="shared" si="135"/>
        <v>[AZyWpGzhcaA]|15-24|Female|PMTCT_STAT_SUBNAT.D.T_1|CY2023Q3</v>
      </c>
    </row>
    <row r="4351" spans="4:18" x14ac:dyDescent="0.2">
      <c r="D4351" t="s">
        <v>89</v>
      </c>
      <c r="E4351" t="s">
        <v>90</v>
      </c>
      <c r="F4351" t="s">
        <v>91</v>
      </c>
      <c r="G4351" t="s">
        <v>153</v>
      </c>
      <c r="H4351" t="s">
        <v>154</v>
      </c>
      <c r="I4351" t="s">
        <v>40</v>
      </c>
      <c r="J4351" t="s">
        <v>41</v>
      </c>
      <c r="K4351" t="s">
        <v>29</v>
      </c>
      <c r="L4351" t="s">
        <v>30</v>
      </c>
      <c r="M4351" t="s">
        <v>139</v>
      </c>
      <c r="N4351">
        <v>1972</v>
      </c>
      <c r="O4351" s="14">
        <v>6.7183930426836E-2</v>
      </c>
      <c r="P4351" s="14">
        <v>0.71991415042430196</v>
      </c>
      <c r="Q4351" t="str">
        <f t="shared" si="134"/>
        <v>25-34</v>
      </c>
      <c r="R4351" t="str">
        <f t="shared" si="135"/>
        <v>[AZyWpGzhcaA]|25-34|Female|PMTCT_STAT_SUBNAT.D.T_1|CY2023Q3</v>
      </c>
    </row>
    <row r="4352" spans="4:18" x14ac:dyDescent="0.2">
      <c r="D4352" t="s">
        <v>89</v>
      </c>
      <c r="E4352" t="s">
        <v>90</v>
      </c>
      <c r="F4352" t="s">
        <v>91</v>
      </c>
      <c r="G4352" t="s">
        <v>153</v>
      </c>
      <c r="H4352" t="s">
        <v>154</v>
      </c>
      <c r="I4352" t="s">
        <v>42</v>
      </c>
      <c r="J4352" t="s">
        <v>43</v>
      </c>
      <c r="K4352" t="s">
        <v>29</v>
      </c>
      <c r="L4352" t="s">
        <v>30</v>
      </c>
      <c r="M4352" t="s">
        <v>139</v>
      </c>
      <c r="N4352">
        <v>1926</v>
      </c>
      <c r="O4352" s="14">
        <v>5.06766717880964E-2</v>
      </c>
      <c r="P4352" s="14">
        <v>0.71991415042430196</v>
      </c>
      <c r="Q4352" t="str">
        <f t="shared" si="134"/>
        <v>35-49</v>
      </c>
      <c r="R4352" t="str">
        <f t="shared" si="135"/>
        <v>[AZyWpGzhcaA]|35-49|Female|PMTCT_STAT_SUBNAT.D.T_1|CY2023Q3</v>
      </c>
    </row>
    <row r="4353" spans="4:18" x14ac:dyDescent="0.2">
      <c r="D4353" t="s">
        <v>92</v>
      </c>
      <c r="E4353" t="s">
        <v>93</v>
      </c>
      <c r="F4353" t="s">
        <v>94</v>
      </c>
      <c r="G4353" t="s">
        <v>153</v>
      </c>
      <c r="H4353" t="s">
        <v>154</v>
      </c>
      <c r="I4353" t="s">
        <v>37</v>
      </c>
      <c r="J4353" t="s">
        <v>38</v>
      </c>
      <c r="K4353" t="s">
        <v>29</v>
      </c>
      <c r="L4353" t="s">
        <v>30</v>
      </c>
      <c r="M4353" t="s">
        <v>139</v>
      </c>
      <c r="N4353">
        <v>1395</v>
      </c>
      <c r="O4353" s="14">
        <v>0.89544928469695195</v>
      </c>
      <c r="P4353" s="14">
        <v>0.36227229656651599</v>
      </c>
      <c r="Q4353" t="str">
        <f t="shared" si="134"/>
        <v>15-24</v>
      </c>
      <c r="R4353" t="str">
        <f t="shared" si="135"/>
        <v>[umc2n1Z4wNv]|15-24|Female|PMTCT_STAT_SUBNAT.D.T_1|CY2023Q3</v>
      </c>
    </row>
    <row r="4354" spans="4:18" x14ac:dyDescent="0.2">
      <c r="D4354" t="s">
        <v>92</v>
      </c>
      <c r="E4354" t="s">
        <v>93</v>
      </c>
      <c r="F4354" t="s">
        <v>94</v>
      </c>
      <c r="G4354" t="s">
        <v>153</v>
      </c>
      <c r="H4354" t="s">
        <v>154</v>
      </c>
      <c r="I4354" t="s">
        <v>40</v>
      </c>
      <c r="J4354" t="s">
        <v>41</v>
      </c>
      <c r="K4354" t="s">
        <v>29</v>
      </c>
      <c r="L4354" t="s">
        <v>30</v>
      </c>
      <c r="M4354" t="s">
        <v>139</v>
      </c>
      <c r="N4354">
        <v>1693</v>
      </c>
      <c r="O4354" s="14">
        <v>5.4018273716792499E-2</v>
      </c>
      <c r="P4354" s="14">
        <v>0.36227229656651599</v>
      </c>
      <c r="Q4354" t="str">
        <f t="shared" ref="Q4354:Q4417" si="136">SUBSTITUTE(SUBSTITUTE($I4354,CHAR(61),""),CHAR(34),"")</f>
        <v>25-34</v>
      </c>
      <c r="R4354" t="str">
        <f t="shared" ref="R4354:R4417" si="137">IF($D4354&lt;&gt;"","["&amp;$E4354&amp;"]"&amp;"|"&amp;$Q4354&amp;"|"&amp;$K4354&amp;"|"&amp;$G4354&amp;"|"&amp;IF($G4354="TX_CURR_SUBNAT.R","CY2022Q4",$M4354),"")</f>
        <v>[umc2n1Z4wNv]|25-34|Female|PMTCT_STAT_SUBNAT.D.T_1|CY2023Q3</v>
      </c>
    </row>
    <row r="4355" spans="4:18" x14ac:dyDescent="0.2">
      <c r="D4355" t="s">
        <v>92</v>
      </c>
      <c r="E4355" t="s">
        <v>93</v>
      </c>
      <c r="F4355" t="s">
        <v>94</v>
      </c>
      <c r="G4355" t="s">
        <v>153</v>
      </c>
      <c r="H4355" t="s">
        <v>154</v>
      </c>
      <c r="I4355" t="s">
        <v>42</v>
      </c>
      <c r="J4355" t="s">
        <v>43</v>
      </c>
      <c r="K4355" t="s">
        <v>29</v>
      </c>
      <c r="L4355" t="s">
        <v>30</v>
      </c>
      <c r="M4355" t="s">
        <v>139</v>
      </c>
      <c r="N4355">
        <v>649</v>
      </c>
      <c r="O4355" s="14">
        <v>1.01605034433305E-2</v>
      </c>
      <c r="P4355" s="14">
        <v>0.36227229656651599</v>
      </c>
      <c r="Q4355" t="str">
        <f t="shared" si="136"/>
        <v>35-49</v>
      </c>
      <c r="R4355" t="str">
        <f t="shared" si="137"/>
        <v>[umc2n1Z4wNv]|35-49|Female|PMTCT_STAT_SUBNAT.D.T_1|CY2023Q3</v>
      </c>
    </row>
    <row r="4356" spans="4:18" x14ac:dyDescent="0.2">
      <c r="D4356" t="s">
        <v>95</v>
      </c>
      <c r="E4356" t="s">
        <v>96</v>
      </c>
      <c r="F4356" t="s">
        <v>97</v>
      </c>
      <c r="G4356" t="s">
        <v>153</v>
      </c>
      <c r="H4356" t="s">
        <v>154</v>
      </c>
      <c r="I4356" t="s">
        <v>37</v>
      </c>
      <c r="J4356" t="s">
        <v>38</v>
      </c>
      <c r="K4356" t="s">
        <v>29</v>
      </c>
      <c r="L4356" t="s">
        <v>30</v>
      </c>
      <c r="M4356" t="s">
        <v>139</v>
      </c>
      <c r="N4356">
        <v>676</v>
      </c>
      <c r="O4356" s="14">
        <v>0.20645414106547799</v>
      </c>
      <c r="P4356" s="14">
        <v>0.60125171788968101</v>
      </c>
      <c r="Q4356" t="str">
        <f t="shared" si="136"/>
        <v>15-24</v>
      </c>
      <c r="R4356" t="str">
        <f t="shared" si="137"/>
        <v>[gwVYinjBAe9]|15-24|Female|PMTCT_STAT_SUBNAT.D.T_1|CY2023Q3</v>
      </c>
    </row>
    <row r="4357" spans="4:18" x14ac:dyDescent="0.2">
      <c r="D4357" t="s">
        <v>95</v>
      </c>
      <c r="E4357" t="s">
        <v>96</v>
      </c>
      <c r="F4357" t="s">
        <v>97</v>
      </c>
      <c r="G4357" t="s">
        <v>153</v>
      </c>
      <c r="H4357" t="s">
        <v>154</v>
      </c>
      <c r="I4357" t="s">
        <v>40</v>
      </c>
      <c r="J4357" t="s">
        <v>41</v>
      </c>
      <c r="K4357" t="s">
        <v>29</v>
      </c>
      <c r="L4357" t="s">
        <v>30</v>
      </c>
      <c r="M4357" t="s">
        <v>139</v>
      </c>
      <c r="N4357">
        <v>1831</v>
      </c>
      <c r="O4357" s="14">
        <v>0.72955946973524999</v>
      </c>
      <c r="P4357" s="14">
        <v>0.60125171788968101</v>
      </c>
      <c r="Q4357" t="str">
        <f t="shared" si="136"/>
        <v>25-34</v>
      </c>
      <c r="R4357" t="str">
        <f t="shared" si="137"/>
        <v>[gwVYinjBAe9]|25-34|Female|PMTCT_STAT_SUBNAT.D.T_1|CY2023Q3</v>
      </c>
    </row>
    <row r="4358" spans="4:18" x14ac:dyDescent="0.2">
      <c r="D4358" t="s">
        <v>95</v>
      </c>
      <c r="E4358" t="s">
        <v>96</v>
      </c>
      <c r="F4358" t="s">
        <v>97</v>
      </c>
      <c r="G4358" t="s">
        <v>153</v>
      </c>
      <c r="H4358" t="s">
        <v>154</v>
      </c>
      <c r="I4358" t="s">
        <v>42</v>
      </c>
      <c r="J4358" t="s">
        <v>43</v>
      </c>
      <c r="K4358" t="s">
        <v>29</v>
      </c>
      <c r="L4358" t="s">
        <v>30</v>
      </c>
      <c r="M4358" t="s">
        <v>139</v>
      </c>
      <c r="N4358">
        <v>1602</v>
      </c>
      <c r="O4358" s="14">
        <v>0.21162123745307301</v>
      </c>
      <c r="P4358" s="14">
        <v>0.60125171788968101</v>
      </c>
      <c r="Q4358" t="str">
        <f t="shared" si="136"/>
        <v>35-49</v>
      </c>
      <c r="R4358" t="str">
        <f t="shared" si="137"/>
        <v>[gwVYinjBAe9]|35-49|Female|PMTCT_STAT_SUBNAT.D.T_1|CY2023Q3</v>
      </c>
    </row>
    <row r="4359" spans="4:18" x14ac:dyDescent="0.2">
      <c r="D4359" t="s">
        <v>98</v>
      </c>
      <c r="E4359" t="s">
        <v>99</v>
      </c>
      <c r="F4359" t="s">
        <v>100</v>
      </c>
      <c r="G4359" t="s">
        <v>153</v>
      </c>
      <c r="H4359" t="s">
        <v>154</v>
      </c>
      <c r="I4359" t="s">
        <v>37</v>
      </c>
      <c r="J4359" t="s">
        <v>38</v>
      </c>
      <c r="K4359" t="s">
        <v>29</v>
      </c>
      <c r="L4359" t="s">
        <v>30</v>
      </c>
      <c r="M4359" t="s">
        <v>139</v>
      </c>
      <c r="N4359">
        <v>917</v>
      </c>
      <c r="O4359" s="14">
        <v>0.308248535031453</v>
      </c>
      <c r="P4359" s="14">
        <v>0.57728803809732199</v>
      </c>
      <c r="Q4359" t="str">
        <f t="shared" si="136"/>
        <v>15-24</v>
      </c>
      <c r="R4359" t="str">
        <f t="shared" si="137"/>
        <v>[mxqa3CDFmIT]|15-24|Female|PMTCT_STAT_SUBNAT.D.T_1|CY2023Q3</v>
      </c>
    </row>
    <row r="4360" spans="4:18" x14ac:dyDescent="0.2">
      <c r="D4360" t="s">
        <v>98</v>
      </c>
      <c r="E4360" t="s">
        <v>99</v>
      </c>
      <c r="F4360" t="s">
        <v>100</v>
      </c>
      <c r="G4360" t="s">
        <v>153</v>
      </c>
      <c r="H4360" t="s">
        <v>154</v>
      </c>
      <c r="I4360" t="s">
        <v>40</v>
      </c>
      <c r="J4360" t="s">
        <v>41</v>
      </c>
      <c r="K4360" t="s">
        <v>29</v>
      </c>
      <c r="L4360" t="s">
        <v>30</v>
      </c>
      <c r="M4360" t="s">
        <v>139</v>
      </c>
      <c r="N4360">
        <v>1696</v>
      </c>
      <c r="O4360" s="14">
        <v>0.63985397759825002</v>
      </c>
      <c r="P4360" s="14">
        <v>0.57728803809732199</v>
      </c>
      <c r="Q4360" t="str">
        <f t="shared" si="136"/>
        <v>25-34</v>
      </c>
      <c r="R4360" t="str">
        <f t="shared" si="137"/>
        <v>[mxqa3CDFmIT]|25-34|Female|PMTCT_STAT_SUBNAT.D.T_1|CY2023Q3</v>
      </c>
    </row>
    <row r="4361" spans="4:18" x14ac:dyDescent="0.2">
      <c r="D4361" t="s">
        <v>98</v>
      </c>
      <c r="E4361" t="s">
        <v>99</v>
      </c>
      <c r="F4361" t="s">
        <v>100</v>
      </c>
      <c r="G4361" t="s">
        <v>153</v>
      </c>
      <c r="H4361" t="s">
        <v>154</v>
      </c>
      <c r="I4361" t="s">
        <v>42</v>
      </c>
      <c r="J4361" t="s">
        <v>43</v>
      </c>
      <c r="K4361" t="s">
        <v>29</v>
      </c>
      <c r="L4361" t="s">
        <v>30</v>
      </c>
      <c r="M4361" t="s">
        <v>139</v>
      </c>
      <c r="N4361">
        <v>833</v>
      </c>
      <c r="O4361" s="14">
        <v>0.39889638987369802</v>
      </c>
      <c r="P4361" s="14">
        <v>0.57728803809732199</v>
      </c>
      <c r="Q4361" t="str">
        <f t="shared" si="136"/>
        <v>35-49</v>
      </c>
      <c r="R4361" t="str">
        <f t="shared" si="137"/>
        <v>[mxqa3CDFmIT]|35-49|Female|PMTCT_STAT_SUBNAT.D.T_1|CY2023Q3</v>
      </c>
    </row>
    <row r="4362" spans="4:18" x14ac:dyDescent="0.2">
      <c r="D4362" t="s">
        <v>101</v>
      </c>
      <c r="E4362" t="s">
        <v>102</v>
      </c>
      <c r="F4362" t="s">
        <v>103</v>
      </c>
      <c r="G4362" t="s">
        <v>153</v>
      </c>
      <c r="H4362" t="s">
        <v>154</v>
      </c>
      <c r="I4362" t="s">
        <v>37</v>
      </c>
      <c r="J4362" t="s">
        <v>38</v>
      </c>
      <c r="K4362" t="s">
        <v>29</v>
      </c>
      <c r="L4362" t="s">
        <v>30</v>
      </c>
      <c r="M4362" t="s">
        <v>139</v>
      </c>
      <c r="N4362">
        <v>838</v>
      </c>
      <c r="O4362" s="14">
        <v>0.51802330021746501</v>
      </c>
      <c r="P4362" s="14">
        <v>0.52621235931292198</v>
      </c>
      <c r="Q4362" t="str">
        <f t="shared" si="136"/>
        <v>15-24</v>
      </c>
      <c r="R4362" t="str">
        <f t="shared" si="137"/>
        <v>[wNqJp8oRIcF]|15-24|Female|PMTCT_STAT_SUBNAT.D.T_1|CY2023Q3</v>
      </c>
    </row>
    <row r="4363" spans="4:18" x14ac:dyDescent="0.2">
      <c r="D4363" t="s">
        <v>101</v>
      </c>
      <c r="E4363" t="s">
        <v>102</v>
      </c>
      <c r="F4363" t="s">
        <v>103</v>
      </c>
      <c r="G4363" t="s">
        <v>153</v>
      </c>
      <c r="H4363" t="s">
        <v>154</v>
      </c>
      <c r="I4363" t="s">
        <v>40</v>
      </c>
      <c r="J4363" t="s">
        <v>41</v>
      </c>
      <c r="K4363" t="s">
        <v>29</v>
      </c>
      <c r="L4363" t="s">
        <v>30</v>
      </c>
      <c r="M4363" t="s">
        <v>139</v>
      </c>
      <c r="N4363">
        <v>984</v>
      </c>
      <c r="O4363" s="14">
        <v>0.96877777483314298</v>
      </c>
      <c r="P4363" s="14">
        <v>0.52621235931292198</v>
      </c>
      <c r="Q4363" t="str">
        <f t="shared" si="136"/>
        <v>25-34</v>
      </c>
      <c r="R4363" t="str">
        <f t="shared" si="137"/>
        <v>[wNqJp8oRIcF]|25-34|Female|PMTCT_STAT_SUBNAT.D.T_1|CY2023Q3</v>
      </c>
    </row>
    <row r="4364" spans="4:18" x14ac:dyDescent="0.2">
      <c r="D4364" t="s">
        <v>101</v>
      </c>
      <c r="E4364" t="s">
        <v>102</v>
      </c>
      <c r="F4364" t="s">
        <v>103</v>
      </c>
      <c r="G4364" t="s">
        <v>153</v>
      </c>
      <c r="H4364" t="s">
        <v>154</v>
      </c>
      <c r="I4364" t="s">
        <v>42</v>
      </c>
      <c r="J4364" t="s">
        <v>43</v>
      </c>
      <c r="K4364" t="s">
        <v>29</v>
      </c>
      <c r="L4364" t="s">
        <v>30</v>
      </c>
      <c r="M4364" t="s">
        <v>139</v>
      </c>
      <c r="N4364">
        <v>1154</v>
      </c>
      <c r="O4364" s="14">
        <v>0.22761399345472499</v>
      </c>
      <c r="P4364" s="14">
        <v>0.52621235931292198</v>
      </c>
      <c r="Q4364" t="str">
        <f t="shared" si="136"/>
        <v>35-49</v>
      </c>
      <c r="R4364" t="str">
        <f t="shared" si="137"/>
        <v>[wNqJp8oRIcF]|35-49|Female|PMTCT_STAT_SUBNAT.D.T_1|CY2023Q3</v>
      </c>
    </row>
    <row r="4365" spans="4:18" x14ac:dyDescent="0.2">
      <c r="D4365" t="s">
        <v>104</v>
      </c>
      <c r="E4365" t="s">
        <v>105</v>
      </c>
      <c r="F4365" t="s">
        <v>106</v>
      </c>
      <c r="G4365" t="s">
        <v>153</v>
      </c>
      <c r="H4365" t="s">
        <v>154</v>
      </c>
      <c r="I4365" t="s">
        <v>37</v>
      </c>
      <c r="J4365" t="s">
        <v>38</v>
      </c>
      <c r="K4365" t="s">
        <v>29</v>
      </c>
      <c r="L4365" t="s">
        <v>30</v>
      </c>
      <c r="M4365" t="s">
        <v>139</v>
      </c>
      <c r="N4365">
        <v>1333</v>
      </c>
      <c r="O4365" s="14">
        <v>0.93882746668532502</v>
      </c>
      <c r="P4365" s="14">
        <v>0.21824956033378801</v>
      </c>
      <c r="Q4365" t="str">
        <f t="shared" si="136"/>
        <v>15-24</v>
      </c>
      <c r="R4365" t="str">
        <f t="shared" si="137"/>
        <v>[oiPR2CiVJbf]|15-24|Female|PMTCT_STAT_SUBNAT.D.T_1|CY2023Q3</v>
      </c>
    </row>
    <row r="4366" spans="4:18" x14ac:dyDescent="0.2">
      <c r="D4366" t="s">
        <v>104</v>
      </c>
      <c r="E4366" t="s">
        <v>105</v>
      </c>
      <c r="F4366" t="s">
        <v>106</v>
      </c>
      <c r="G4366" t="s">
        <v>153</v>
      </c>
      <c r="H4366" t="s">
        <v>154</v>
      </c>
      <c r="I4366" t="s">
        <v>40</v>
      </c>
      <c r="J4366" t="s">
        <v>41</v>
      </c>
      <c r="K4366" t="s">
        <v>29</v>
      </c>
      <c r="L4366" t="s">
        <v>30</v>
      </c>
      <c r="M4366" t="s">
        <v>139</v>
      </c>
      <c r="N4366">
        <v>1617</v>
      </c>
      <c r="O4366" s="14">
        <v>0.64200272364541899</v>
      </c>
      <c r="P4366" s="14">
        <v>0.21824956033378801</v>
      </c>
      <c r="Q4366" t="str">
        <f t="shared" si="136"/>
        <v>25-34</v>
      </c>
      <c r="R4366" t="str">
        <f t="shared" si="137"/>
        <v>[oiPR2CiVJbf]|25-34|Female|PMTCT_STAT_SUBNAT.D.T_1|CY2023Q3</v>
      </c>
    </row>
    <row r="4367" spans="4:18" x14ac:dyDescent="0.2">
      <c r="D4367" t="s">
        <v>104</v>
      </c>
      <c r="E4367" t="s">
        <v>105</v>
      </c>
      <c r="F4367" t="s">
        <v>106</v>
      </c>
      <c r="G4367" t="s">
        <v>153</v>
      </c>
      <c r="H4367" t="s">
        <v>154</v>
      </c>
      <c r="I4367" t="s">
        <v>42</v>
      </c>
      <c r="J4367" t="s">
        <v>43</v>
      </c>
      <c r="K4367" t="s">
        <v>29</v>
      </c>
      <c r="L4367" t="s">
        <v>30</v>
      </c>
      <c r="M4367" t="s">
        <v>139</v>
      </c>
      <c r="N4367">
        <v>1794</v>
      </c>
      <c r="O4367" s="14">
        <v>2.2407313110306901E-2</v>
      </c>
      <c r="P4367" s="14">
        <v>0.21824956033378801</v>
      </c>
      <c r="Q4367" t="str">
        <f t="shared" si="136"/>
        <v>35-49</v>
      </c>
      <c r="R4367" t="str">
        <f t="shared" si="137"/>
        <v>[oiPR2CiVJbf]|35-49|Female|PMTCT_STAT_SUBNAT.D.T_1|CY2023Q3</v>
      </c>
    </row>
    <row r="4368" spans="4:18" x14ac:dyDescent="0.2">
      <c r="D4368" t="s">
        <v>107</v>
      </c>
      <c r="E4368" t="s">
        <v>108</v>
      </c>
      <c r="F4368" t="s">
        <v>109</v>
      </c>
      <c r="G4368" t="s">
        <v>153</v>
      </c>
      <c r="H4368" t="s">
        <v>154</v>
      </c>
      <c r="I4368" t="s">
        <v>37</v>
      </c>
      <c r="J4368" t="s">
        <v>38</v>
      </c>
      <c r="K4368" t="s">
        <v>29</v>
      </c>
      <c r="L4368" t="s">
        <v>30</v>
      </c>
      <c r="M4368" t="s">
        <v>139</v>
      </c>
      <c r="N4368">
        <v>1711</v>
      </c>
      <c r="O4368" s="14">
        <v>0.366123014129698</v>
      </c>
      <c r="P4368" s="14">
        <v>0.43422180437482899</v>
      </c>
      <c r="Q4368" t="str">
        <f t="shared" si="136"/>
        <v>15-24</v>
      </c>
      <c r="R4368" t="str">
        <f t="shared" si="137"/>
        <v>[ul0y9diGujK]|15-24|Female|PMTCT_STAT_SUBNAT.D.T_1|CY2023Q3</v>
      </c>
    </row>
    <row r="4369" spans="4:18" x14ac:dyDescent="0.2">
      <c r="D4369" t="s">
        <v>107</v>
      </c>
      <c r="E4369" t="s">
        <v>108</v>
      </c>
      <c r="F4369" t="s">
        <v>109</v>
      </c>
      <c r="G4369" t="s">
        <v>153</v>
      </c>
      <c r="H4369" t="s">
        <v>154</v>
      </c>
      <c r="I4369" t="s">
        <v>40</v>
      </c>
      <c r="J4369" t="s">
        <v>41</v>
      </c>
      <c r="K4369" t="s">
        <v>29</v>
      </c>
      <c r="L4369" t="s">
        <v>30</v>
      </c>
      <c r="M4369" t="s">
        <v>139</v>
      </c>
      <c r="N4369">
        <v>1994</v>
      </c>
      <c r="O4369" s="14">
        <v>8.7772898841649294E-3</v>
      </c>
      <c r="P4369" s="14">
        <v>0.43422180437482899</v>
      </c>
      <c r="Q4369" t="str">
        <f t="shared" si="136"/>
        <v>25-34</v>
      </c>
      <c r="R4369" t="str">
        <f t="shared" si="137"/>
        <v>[ul0y9diGujK]|25-34|Female|PMTCT_STAT_SUBNAT.D.T_1|CY2023Q3</v>
      </c>
    </row>
    <row r="4370" spans="4:18" x14ac:dyDescent="0.2">
      <c r="D4370" t="s">
        <v>107</v>
      </c>
      <c r="E4370" t="s">
        <v>108</v>
      </c>
      <c r="F4370" t="s">
        <v>109</v>
      </c>
      <c r="G4370" t="s">
        <v>153</v>
      </c>
      <c r="H4370" t="s">
        <v>154</v>
      </c>
      <c r="I4370" t="s">
        <v>42</v>
      </c>
      <c r="J4370" t="s">
        <v>43</v>
      </c>
      <c r="K4370" t="s">
        <v>29</v>
      </c>
      <c r="L4370" t="s">
        <v>30</v>
      </c>
      <c r="M4370" t="s">
        <v>139</v>
      </c>
      <c r="N4370">
        <v>1787</v>
      </c>
      <c r="O4370" s="14">
        <v>0.35240601748228101</v>
      </c>
      <c r="P4370" s="14">
        <v>0.43422180437482899</v>
      </c>
      <c r="Q4370" t="str">
        <f t="shared" si="136"/>
        <v>35-49</v>
      </c>
      <c r="R4370" t="str">
        <f t="shared" si="137"/>
        <v>[ul0y9diGujK]|35-49|Female|PMTCT_STAT_SUBNAT.D.T_1|CY2023Q3</v>
      </c>
    </row>
    <row r="4371" spans="4:18" x14ac:dyDescent="0.2">
      <c r="D4371" t="s">
        <v>110</v>
      </c>
      <c r="E4371" t="s">
        <v>111</v>
      </c>
      <c r="F4371" t="s">
        <v>112</v>
      </c>
      <c r="G4371" t="s">
        <v>153</v>
      </c>
      <c r="H4371" t="s">
        <v>154</v>
      </c>
      <c r="I4371" t="s">
        <v>37</v>
      </c>
      <c r="J4371" t="s">
        <v>38</v>
      </c>
      <c r="K4371" t="s">
        <v>29</v>
      </c>
      <c r="L4371" t="s">
        <v>30</v>
      </c>
      <c r="M4371" t="s">
        <v>139</v>
      </c>
      <c r="N4371">
        <v>1018</v>
      </c>
      <c r="O4371" s="14">
        <v>0.74646888300776504</v>
      </c>
      <c r="P4371" s="14">
        <v>0.33776879496872397</v>
      </c>
      <c r="Q4371" t="str">
        <f t="shared" si="136"/>
        <v>15-24</v>
      </c>
      <c r="R4371" t="str">
        <f t="shared" si="137"/>
        <v>[U8c0so51kT6]|15-24|Female|PMTCT_STAT_SUBNAT.D.T_1|CY2023Q3</v>
      </c>
    </row>
    <row r="4372" spans="4:18" x14ac:dyDescent="0.2">
      <c r="D4372" t="s">
        <v>110</v>
      </c>
      <c r="E4372" t="s">
        <v>111</v>
      </c>
      <c r="F4372" t="s">
        <v>112</v>
      </c>
      <c r="G4372" t="s">
        <v>153</v>
      </c>
      <c r="H4372" t="s">
        <v>154</v>
      </c>
      <c r="I4372" t="s">
        <v>40</v>
      </c>
      <c r="J4372" t="s">
        <v>41</v>
      </c>
      <c r="K4372" t="s">
        <v>29</v>
      </c>
      <c r="L4372" t="s">
        <v>30</v>
      </c>
      <c r="M4372" t="s">
        <v>139</v>
      </c>
      <c r="N4372">
        <v>1401</v>
      </c>
      <c r="O4372" s="14">
        <v>0.77498380001634404</v>
      </c>
      <c r="P4372" s="14">
        <v>0.33776879496872397</v>
      </c>
      <c r="Q4372" t="str">
        <f t="shared" si="136"/>
        <v>25-34</v>
      </c>
      <c r="R4372" t="str">
        <f t="shared" si="137"/>
        <v>[U8c0so51kT6]|25-34|Female|PMTCT_STAT_SUBNAT.D.T_1|CY2023Q3</v>
      </c>
    </row>
    <row r="4373" spans="4:18" x14ac:dyDescent="0.2">
      <c r="D4373" t="s">
        <v>110</v>
      </c>
      <c r="E4373" t="s">
        <v>111</v>
      </c>
      <c r="F4373" t="s">
        <v>112</v>
      </c>
      <c r="G4373" t="s">
        <v>153</v>
      </c>
      <c r="H4373" t="s">
        <v>154</v>
      </c>
      <c r="I4373" t="s">
        <v>42</v>
      </c>
      <c r="J4373" t="s">
        <v>43</v>
      </c>
      <c r="K4373" t="s">
        <v>29</v>
      </c>
      <c r="L4373" t="s">
        <v>30</v>
      </c>
      <c r="M4373" t="s">
        <v>139</v>
      </c>
      <c r="N4373">
        <v>1287</v>
      </c>
      <c r="O4373" s="14">
        <v>0.102768450044096</v>
      </c>
      <c r="P4373" s="14">
        <v>0.33776879496872397</v>
      </c>
      <c r="Q4373" t="str">
        <f t="shared" si="136"/>
        <v>35-49</v>
      </c>
      <c r="R4373" t="str">
        <f t="shared" si="137"/>
        <v>[U8c0so51kT6]|35-49|Female|PMTCT_STAT_SUBNAT.D.T_1|CY2023Q3</v>
      </c>
    </row>
    <row r="4374" spans="4:18" x14ac:dyDescent="0.2">
      <c r="D4374" t="s">
        <v>113</v>
      </c>
      <c r="E4374" t="s">
        <v>114</v>
      </c>
      <c r="F4374" t="s">
        <v>115</v>
      </c>
      <c r="G4374" t="s">
        <v>153</v>
      </c>
      <c r="H4374" t="s">
        <v>154</v>
      </c>
      <c r="I4374" t="s">
        <v>37</v>
      </c>
      <c r="J4374" t="s">
        <v>38</v>
      </c>
      <c r="K4374" t="s">
        <v>29</v>
      </c>
      <c r="L4374" t="s">
        <v>30</v>
      </c>
      <c r="M4374" t="s">
        <v>139</v>
      </c>
      <c r="N4374">
        <v>718</v>
      </c>
      <c r="O4374" s="14">
        <v>6.8193070590496105E-2</v>
      </c>
      <c r="P4374" s="14">
        <v>0.29855980910360802</v>
      </c>
      <c r="Q4374" t="str">
        <f t="shared" si="136"/>
        <v>15-24</v>
      </c>
      <c r="R4374" t="str">
        <f t="shared" si="137"/>
        <v>[rpw540fmNUz]|15-24|Female|PMTCT_STAT_SUBNAT.D.T_1|CY2023Q3</v>
      </c>
    </row>
    <row r="4375" spans="4:18" x14ac:dyDescent="0.2">
      <c r="D4375" t="s">
        <v>113</v>
      </c>
      <c r="E4375" t="s">
        <v>114</v>
      </c>
      <c r="F4375" t="s">
        <v>115</v>
      </c>
      <c r="G4375" t="s">
        <v>153</v>
      </c>
      <c r="H4375" t="s">
        <v>154</v>
      </c>
      <c r="I4375" t="s">
        <v>40</v>
      </c>
      <c r="J4375" t="s">
        <v>41</v>
      </c>
      <c r="K4375" t="s">
        <v>29</v>
      </c>
      <c r="L4375" t="s">
        <v>30</v>
      </c>
      <c r="M4375" t="s">
        <v>139</v>
      </c>
      <c r="N4375">
        <v>1585</v>
      </c>
      <c r="O4375" s="14">
        <v>0.352183087030426</v>
      </c>
      <c r="P4375" s="14">
        <v>0.29855980910360802</v>
      </c>
      <c r="Q4375" t="str">
        <f t="shared" si="136"/>
        <v>25-34</v>
      </c>
      <c r="R4375" t="str">
        <f t="shared" si="137"/>
        <v>[rpw540fmNUz]|25-34|Female|PMTCT_STAT_SUBNAT.D.T_1|CY2023Q3</v>
      </c>
    </row>
    <row r="4376" spans="4:18" x14ac:dyDescent="0.2">
      <c r="D4376" t="s">
        <v>113</v>
      </c>
      <c r="E4376" t="s">
        <v>114</v>
      </c>
      <c r="F4376" t="s">
        <v>115</v>
      </c>
      <c r="G4376" t="s">
        <v>153</v>
      </c>
      <c r="H4376" t="s">
        <v>154</v>
      </c>
      <c r="I4376" t="s">
        <v>42</v>
      </c>
      <c r="J4376" t="s">
        <v>43</v>
      </c>
      <c r="K4376" t="s">
        <v>29</v>
      </c>
      <c r="L4376" t="s">
        <v>30</v>
      </c>
      <c r="M4376" t="s">
        <v>139</v>
      </c>
      <c r="N4376">
        <v>955</v>
      </c>
      <c r="O4376" s="14">
        <v>0.255462570581585</v>
      </c>
      <c r="P4376" s="14">
        <v>0.29855980910360802</v>
      </c>
      <c r="Q4376" t="str">
        <f t="shared" si="136"/>
        <v>35-49</v>
      </c>
      <c r="R4376" t="str">
        <f t="shared" si="137"/>
        <v>[rpw540fmNUz]|35-49|Female|PMTCT_STAT_SUBNAT.D.T_1|CY2023Q3</v>
      </c>
    </row>
    <row r="4377" spans="4:18" x14ac:dyDescent="0.2">
      <c r="D4377" t="s">
        <v>116</v>
      </c>
      <c r="E4377" t="s">
        <v>117</v>
      </c>
      <c r="F4377" t="s">
        <v>118</v>
      </c>
      <c r="G4377" t="s">
        <v>153</v>
      </c>
      <c r="H4377" t="s">
        <v>154</v>
      </c>
      <c r="I4377" t="s">
        <v>37</v>
      </c>
      <c r="J4377" t="s">
        <v>38</v>
      </c>
      <c r="K4377" t="s">
        <v>29</v>
      </c>
      <c r="L4377" t="s">
        <v>30</v>
      </c>
      <c r="M4377" t="s">
        <v>139</v>
      </c>
      <c r="N4377">
        <v>1027</v>
      </c>
      <c r="O4377" s="14">
        <v>0.51749316346831598</v>
      </c>
      <c r="P4377" s="14">
        <v>0.206259709550068</v>
      </c>
      <c r="Q4377" t="str">
        <f t="shared" si="136"/>
        <v>15-24</v>
      </c>
      <c r="R4377" t="str">
        <f t="shared" si="137"/>
        <v>[lPTyjLi4w3d]|15-24|Female|PMTCT_STAT_SUBNAT.D.T_1|CY2023Q3</v>
      </c>
    </row>
    <row r="4378" spans="4:18" x14ac:dyDescent="0.2">
      <c r="D4378" t="s">
        <v>116</v>
      </c>
      <c r="E4378" t="s">
        <v>117</v>
      </c>
      <c r="F4378" t="s">
        <v>118</v>
      </c>
      <c r="G4378" t="s">
        <v>153</v>
      </c>
      <c r="H4378" t="s">
        <v>154</v>
      </c>
      <c r="I4378" t="s">
        <v>40</v>
      </c>
      <c r="J4378" t="s">
        <v>41</v>
      </c>
      <c r="K4378" t="s">
        <v>29</v>
      </c>
      <c r="L4378" t="s">
        <v>30</v>
      </c>
      <c r="M4378" t="s">
        <v>139</v>
      </c>
      <c r="N4378">
        <v>768</v>
      </c>
      <c r="O4378" s="14">
        <v>0.35207324638031401</v>
      </c>
      <c r="P4378" s="14">
        <v>0.206259709550068</v>
      </c>
      <c r="Q4378" t="str">
        <f t="shared" si="136"/>
        <v>25-34</v>
      </c>
      <c r="R4378" t="str">
        <f t="shared" si="137"/>
        <v>[lPTyjLi4w3d]|25-34|Female|PMTCT_STAT_SUBNAT.D.T_1|CY2023Q3</v>
      </c>
    </row>
    <row r="4379" spans="4:18" x14ac:dyDescent="0.2">
      <c r="D4379" t="s">
        <v>116</v>
      </c>
      <c r="E4379" t="s">
        <v>117</v>
      </c>
      <c r="F4379" t="s">
        <v>118</v>
      </c>
      <c r="G4379" t="s">
        <v>153</v>
      </c>
      <c r="H4379" t="s">
        <v>154</v>
      </c>
      <c r="I4379" t="s">
        <v>42</v>
      </c>
      <c r="J4379" t="s">
        <v>43</v>
      </c>
      <c r="K4379" t="s">
        <v>29</v>
      </c>
      <c r="L4379" t="s">
        <v>30</v>
      </c>
      <c r="M4379" t="s">
        <v>139</v>
      </c>
      <c r="N4379">
        <v>1096</v>
      </c>
      <c r="O4379" s="14">
        <v>0.89213694166392099</v>
      </c>
      <c r="P4379" s="14">
        <v>0.206259709550068</v>
      </c>
      <c r="Q4379" t="str">
        <f t="shared" si="136"/>
        <v>35-49</v>
      </c>
      <c r="R4379" t="str">
        <f t="shared" si="137"/>
        <v>[lPTyjLi4w3d]|35-49|Female|PMTCT_STAT_SUBNAT.D.T_1|CY2023Q3</v>
      </c>
    </row>
    <row r="4380" spans="4:18" x14ac:dyDescent="0.2">
      <c r="D4380" t="s">
        <v>119</v>
      </c>
      <c r="E4380" t="s">
        <v>120</v>
      </c>
      <c r="F4380" t="s">
        <v>121</v>
      </c>
      <c r="G4380" t="s">
        <v>153</v>
      </c>
      <c r="H4380" t="s">
        <v>154</v>
      </c>
      <c r="I4380" t="s">
        <v>37</v>
      </c>
      <c r="J4380" t="s">
        <v>38</v>
      </c>
      <c r="K4380" t="s">
        <v>29</v>
      </c>
      <c r="L4380" t="s">
        <v>30</v>
      </c>
      <c r="M4380" t="s">
        <v>139</v>
      </c>
      <c r="N4380">
        <v>1490</v>
      </c>
      <c r="O4380" s="14">
        <v>0.76667657936923195</v>
      </c>
      <c r="P4380" s="14">
        <v>0.43010397930629601</v>
      </c>
      <c r="Q4380" t="str">
        <f t="shared" si="136"/>
        <v>15-24</v>
      </c>
      <c r="R4380" t="str">
        <f t="shared" si="137"/>
        <v>[vA4NcHxfMBq]|15-24|Female|PMTCT_STAT_SUBNAT.D.T_1|CY2023Q3</v>
      </c>
    </row>
    <row r="4381" spans="4:18" x14ac:dyDescent="0.2">
      <c r="D4381" t="s">
        <v>119</v>
      </c>
      <c r="E4381" t="s">
        <v>120</v>
      </c>
      <c r="F4381" t="s">
        <v>121</v>
      </c>
      <c r="G4381" t="s">
        <v>153</v>
      </c>
      <c r="H4381" t="s">
        <v>154</v>
      </c>
      <c r="I4381" t="s">
        <v>40</v>
      </c>
      <c r="J4381" t="s">
        <v>41</v>
      </c>
      <c r="K4381" t="s">
        <v>29</v>
      </c>
      <c r="L4381" t="s">
        <v>30</v>
      </c>
      <c r="M4381" t="s">
        <v>139</v>
      </c>
      <c r="N4381">
        <v>631</v>
      </c>
      <c r="O4381" s="14">
        <v>0.49537864443846003</v>
      </c>
      <c r="P4381" s="14">
        <v>0.43010397930629601</v>
      </c>
      <c r="Q4381" t="str">
        <f t="shared" si="136"/>
        <v>25-34</v>
      </c>
      <c r="R4381" t="str">
        <f t="shared" si="137"/>
        <v>[vA4NcHxfMBq]|25-34|Female|PMTCT_STAT_SUBNAT.D.T_1|CY2023Q3</v>
      </c>
    </row>
    <row r="4382" spans="4:18" x14ac:dyDescent="0.2">
      <c r="D4382" t="s">
        <v>119</v>
      </c>
      <c r="E4382" t="s">
        <v>120</v>
      </c>
      <c r="F4382" t="s">
        <v>121</v>
      </c>
      <c r="G4382" t="s">
        <v>153</v>
      </c>
      <c r="H4382" t="s">
        <v>154</v>
      </c>
      <c r="I4382" t="s">
        <v>42</v>
      </c>
      <c r="J4382" t="s">
        <v>43</v>
      </c>
      <c r="K4382" t="s">
        <v>29</v>
      </c>
      <c r="L4382" t="s">
        <v>30</v>
      </c>
      <c r="M4382" t="s">
        <v>139</v>
      </c>
      <c r="N4382">
        <v>1133</v>
      </c>
      <c r="O4382" s="14">
        <v>0.94486273149959699</v>
      </c>
      <c r="P4382" s="14">
        <v>0.43010397930629601</v>
      </c>
      <c r="Q4382" t="str">
        <f t="shared" si="136"/>
        <v>35-49</v>
      </c>
      <c r="R4382" t="str">
        <f t="shared" si="137"/>
        <v>[vA4NcHxfMBq]|35-49|Female|PMTCT_STAT_SUBNAT.D.T_1|CY2023Q3</v>
      </c>
    </row>
    <row r="4383" spans="4:18" x14ac:dyDescent="0.2">
      <c r="D4383" t="s">
        <v>122</v>
      </c>
      <c r="E4383" t="s">
        <v>123</v>
      </c>
      <c r="F4383" t="s">
        <v>124</v>
      </c>
      <c r="G4383" t="s">
        <v>153</v>
      </c>
      <c r="H4383" t="s">
        <v>154</v>
      </c>
      <c r="I4383" t="s">
        <v>37</v>
      </c>
      <c r="J4383" t="s">
        <v>38</v>
      </c>
      <c r="K4383" t="s">
        <v>29</v>
      </c>
      <c r="L4383" t="s">
        <v>30</v>
      </c>
      <c r="M4383" t="s">
        <v>139</v>
      </c>
      <c r="N4383">
        <v>1525</v>
      </c>
      <c r="O4383" s="14">
        <v>0.77558658341877196</v>
      </c>
      <c r="P4383" s="14">
        <v>0.41950060334056599</v>
      </c>
      <c r="Q4383" t="str">
        <f t="shared" si="136"/>
        <v>15-24</v>
      </c>
      <c r="R4383" t="str">
        <f t="shared" si="137"/>
        <v>[E7zpfyBt7Tw]|15-24|Female|PMTCT_STAT_SUBNAT.D.T_1|CY2023Q3</v>
      </c>
    </row>
    <row r="4384" spans="4:18" x14ac:dyDescent="0.2">
      <c r="D4384" t="s">
        <v>122</v>
      </c>
      <c r="E4384" t="s">
        <v>123</v>
      </c>
      <c r="F4384" t="s">
        <v>124</v>
      </c>
      <c r="G4384" t="s">
        <v>153</v>
      </c>
      <c r="H4384" t="s">
        <v>154</v>
      </c>
      <c r="I4384" t="s">
        <v>40</v>
      </c>
      <c r="J4384" t="s">
        <v>41</v>
      </c>
      <c r="K4384" t="s">
        <v>29</v>
      </c>
      <c r="L4384" t="s">
        <v>30</v>
      </c>
      <c r="M4384" t="s">
        <v>139</v>
      </c>
      <c r="N4384">
        <v>552</v>
      </c>
      <c r="O4384" s="14">
        <v>0.936715496936813</v>
      </c>
      <c r="P4384" s="14">
        <v>0.41950060334056599</v>
      </c>
      <c r="Q4384" t="str">
        <f t="shared" si="136"/>
        <v>25-34</v>
      </c>
      <c r="R4384" t="str">
        <f t="shared" si="137"/>
        <v>[E7zpfyBt7Tw]|25-34|Female|PMTCT_STAT_SUBNAT.D.T_1|CY2023Q3</v>
      </c>
    </row>
    <row r="4385" spans="4:18" x14ac:dyDescent="0.2">
      <c r="D4385" t="s">
        <v>122</v>
      </c>
      <c r="E4385" t="s">
        <v>123</v>
      </c>
      <c r="F4385" t="s">
        <v>124</v>
      </c>
      <c r="G4385" t="s">
        <v>153</v>
      </c>
      <c r="H4385" t="s">
        <v>154</v>
      </c>
      <c r="I4385" t="s">
        <v>42</v>
      </c>
      <c r="J4385" t="s">
        <v>43</v>
      </c>
      <c r="K4385" t="s">
        <v>29</v>
      </c>
      <c r="L4385" t="s">
        <v>30</v>
      </c>
      <c r="M4385" t="s">
        <v>139</v>
      </c>
      <c r="N4385">
        <v>1592</v>
      </c>
      <c r="O4385" s="14">
        <v>0.872551348526031</v>
      </c>
      <c r="P4385" s="14">
        <v>0.41950060334056599</v>
      </c>
      <c r="Q4385" t="str">
        <f t="shared" si="136"/>
        <v>35-49</v>
      </c>
      <c r="R4385" t="str">
        <f t="shared" si="137"/>
        <v>[E7zpfyBt7Tw]|35-49|Female|PMTCT_STAT_SUBNAT.D.T_1|CY2023Q3</v>
      </c>
    </row>
    <row r="4386" spans="4:18" x14ac:dyDescent="0.2">
      <c r="D4386" t="s">
        <v>125</v>
      </c>
      <c r="E4386" t="s">
        <v>126</v>
      </c>
      <c r="F4386" t="s">
        <v>127</v>
      </c>
      <c r="G4386" t="s">
        <v>153</v>
      </c>
      <c r="H4386" t="s">
        <v>154</v>
      </c>
      <c r="I4386" t="s">
        <v>37</v>
      </c>
      <c r="J4386" t="s">
        <v>38</v>
      </c>
      <c r="K4386" t="s">
        <v>29</v>
      </c>
      <c r="L4386" t="s">
        <v>30</v>
      </c>
      <c r="M4386" t="s">
        <v>139</v>
      </c>
      <c r="N4386">
        <v>1217</v>
      </c>
      <c r="O4386" s="14">
        <v>0.34916815324686501</v>
      </c>
      <c r="P4386" s="14">
        <v>0.25270639033988102</v>
      </c>
      <c r="Q4386" t="str">
        <f t="shared" si="136"/>
        <v>15-24</v>
      </c>
      <c r="R4386" t="str">
        <f t="shared" si="137"/>
        <v>[ZCjuwgaMB9u]|15-24|Female|PMTCT_STAT_SUBNAT.D.T_1|CY2023Q3</v>
      </c>
    </row>
    <row r="4387" spans="4:18" x14ac:dyDescent="0.2">
      <c r="D4387" t="s">
        <v>125</v>
      </c>
      <c r="E4387" t="s">
        <v>126</v>
      </c>
      <c r="F4387" t="s">
        <v>127</v>
      </c>
      <c r="G4387" t="s">
        <v>153</v>
      </c>
      <c r="H4387" t="s">
        <v>154</v>
      </c>
      <c r="I4387" t="s">
        <v>40</v>
      </c>
      <c r="J4387" t="s">
        <v>41</v>
      </c>
      <c r="K4387" t="s">
        <v>29</v>
      </c>
      <c r="L4387" t="s">
        <v>30</v>
      </c>
      <c r="M4387" t="s">
        <v>139</v>
      </c>
      <c r="N4387">
        <v>1005</v>
      </c>
      <c r="O4387" s="14">
        <v>0.26814045081846399</v>
      </c>
      <c r="P4387" s="14">
        <v>0.25270639033988102</v>
      </c>
      <c r="Q4387" t="str">
        <f t="shared" si="136"/>
        <v>25-34</v>
      </c>
      <c r="R4387" t="str">
        <f t="shared" si="137"/>
        <v>[ZCjuwgaMB9u]|25-34|Female|PMTCT_STAT_SUBNAT.D.T_1|CY2023Q3</v>
      </c>
    </row>
    <row r="4388" spans="4:18" x14ac:dyDescent="0.2">
      <c r="D4388" t="s">
        <v>125</v>
      </c>
      <c r="E4388" t="s">
        <v>126</v>
      </c>
      <c r="F4388" t="s">
        <v>127</v>
      </c>
      <c r="G4388" t="s">
        <v>153</v>
      </c>
      <c r="H4388" t="s">
        <v>154</v>
      </c>
      <c r="I4388" t="s">
        <v>42</v>
      </c>
      <c r="J4388" t="s">
        <v>43</v>
      </c>
      <c r="K4388" t="s">
        <v>29</v>
      </c>
      <c r="L4388" t="s">
        <v>30</v>
      </c>
      <c r="M4388" t="s">
        <v>139</v>
      </c>
      <c r="N4388">
        <v>1638</v>
      </c>
      <c r="O4388" s="14">
        <v>0.65968031017109796</v>
      </c>
      <c r="P4388" s="14">
        <v>0.25270639033988102</v>
      </c>
      <c r="Q4388" t="str">
        <f t="shared" si="136"/>
        <v>35-49</v>
      </c>
      <c r="R4388" t="str">
        <f t="shared" si="137"/>
        <v>[ZCjuwgaMB9u]|35-49|Female|PMTCT_STAT_SUBNAT.D.T_1|CY2023Q3</v>
      </c>
    </row>
    <row r="4389" spans="4:18" x14ac:dyDescent="0.2">
      <c r="D4389" t="s">
        <v>128</v>
      </c>
      <c r="E4389" t="s">
        <v>129</v>
      </c>
      <c r="F4389" t="s">
        <v>130</v>
      </c>
      <c r="G4389" t="s">
        <v>153</v>
      </c>
      <c r="H4389" t="s">
        <v>154</v>
      </c>
      <c r="I4389" t="s">
        <v>37</v>
      </c>
      <c r="J4389" t="s">
        <v>38</v>
      </c>
      <c r="K4389" t="s">
        <v>29</v>
      </c>
      <c r="L4389" t="s">
        <v>30</v>
      </c>
      <c r="M4389" t="s">
        <v>139</v>
      </c>
      <c r="N4389">
        <v>1919</v>
      </c>
      <c r="O4389" s="14">
        <v>0.78958003455772996</v>
      </c>
      <c r="P4389" s="14">
        <v>0.55690808477811504</v>
      </c>
      <c r="Q4389" t="str">
        <f t="shared" si="136"/>
        <v>15-24</v>
      </c>
      <c r="R4389" t="str">
        <f t="shared" si="137"/>
        <v>[YCKiBAp8QAg]|15-24|Female|PMTCT_STAT_SUBNAT.D.T_1|CY2023Q3</v>
      </c>
    </row>
    <row r="4390" spans="4:18" x14ac:dyDescent="0.2">
      <c r="D4390" t="s">
        <v>128</v>
      </c>
      <c r="E4390" t="s">
        <v>129</v>
      </c>
      <c r="F4390" t="s">
        <v>130</v>
      </c>
      <c r="G4390" t="s">
        <v>153</v>
      </c>
      <c r="H4390" t="s">
        <v>154</v>
      </c>
      <c r="I4390" t="s">
        <v>40</v>
      </c>
      <c r="J4390" t="s">
        <v>41</v>
      </c>
      <c r="K4390" t="s">
        <v>29</v>
      </c>
      <c r="L4390" t="s">
        <v>30</v>
      </c>
      <c r="M4390" t="s">
        <v>139</v>
      </c>
      <c r="N4390">
        <v>600</v>
      </c>
      <c r="O4390" s="14">
        <v>0.58971296646632299</v>
      </c>
      <c r="P4390" s="14">
        <v>0.55690808477811504</v>
      </c>
      <c r="Q4390" t="str">
        <f t="shared" si="136"/>
        <v>25-34</v>
      </c>
      <c r="R4390" t="str">
        <f t="shared" si="137"/>
        <v>[YCKiBAp8QAg]|25-34|Female|PMTCT_STAT_SUBNAT.D.T_1|CY2023Q3</v>
      </c>
    </row>
    <row r="4391" spans="4:18" x14ac:dyDescent="0.2">
      <c r="D4391" t="s">
        <v>128</v>
      </c>
      <c r="E4391" t="s">
        <v>129</v>
      </c>
      <c r="F4391" t="s">
        <v>130</v>
      </c>
      <c r="G4391" t="s">
        <v>153</v>
      </c>
      <c r="H4391" t="s">
        <v>154</v>
      </c>
      <c r="I4391" t="s">
        <v>42</v>
      </c>
      <c r="J4391" t="s">
        <v>43</v>
      </c>
      <c r="K4391" t="s">
        <v>29</v>
      </c>
      <c r="L4391" t="s">
        <v>30</v>
      </c>
      <c r="M4391" t="s">
        <v>139</v>
      </c>
      <c r="N4391">
        <v>505</v>
      </c>
      <c r="O4391" s="14">
        <v>0.47346955211833103</v>
      </c>
      <c r="P4391" s="14">
        <v>0.55690808477811504</v>
      </c>
      <c r="Q4391" t="str">
        <f t="shared" si="136"/>
        <v>35-49</v>
      </c>
      <c r="R4391" t="str">
        <f t="shared" si="137"/>
        <v>[YCKiBAp8QAg]|35-49|Female|PMTCT_STAT_SUBNAT.D.T_1|CY2023Q3</v>
      </c>
    </row>
    <row r="4392" spans="4:18" x14ac:dyDescent="0.2">
      <c r="D4392" t="s">
        <v>131</v>
      </c>
      <c r="E4392" t="s">
        <v>132</v>
      </c>
      <c r="F4392" t="s">
        <v>133</v>
      </c>
      <c r="G4392" t="s">
        <v>153</v>
      </c>
      <c r="H4392" t="s">
        <v>154</v>
      </c>
      <c r="I4392" t="s">
        <v>37</v>
      </c>
      <c r="J4392" t="s">
        <v>38</v>
      </c>
      <c r="K4392" t="s">
        <v>29</v>
      </c>
      <c r="L4392" t="s">
        <v>30</v>
      </c>
      <c r="M4392" t="s">
        <v>139</v>
      </c>
      <c r="N4392">
        <v>790</v>
      </c>
      <c r="O4392" s="14">
        <v>0.26598818087950299</v>
      </c>
      <c r="P4392" s="14">
        <v>0.16286319401115201</v>
      </c>
      <c r="Q4392" t="str">
        <f t="shared" si="136"/>
        <v>15-24</v>
      </c>
      <c r="R4392" t="str">
        <f t="shared" si="137"/>
        <v>[JQKLKuVuY61]|15-24|Female|PMTCT_STAT_SUBNAT.D.T_1|CY2023Q3</v>
      </c>
    </row>
    <row r="4393" spans="4:18" x14ac:dyDescent="0.2">
      <c r="D4393" t="s">
        <v>131</v>
      </c>
      <c r="E4393" t="s">
        <v>132</v>
      </c>
      <c r="F4393" t="s">
        <v>133</v>
      </c>
      <c r="G4393" t="s">
        <v>153</v>
      </c>
      <c r="H4393" t="s">
        <v>154</v>
      </c>
      <c r="I4393" t="s">
        <v>40</v>
      </c>
      <c r="J4393" t="s">
        <v>41</v>
      </c>
      <c r="K4393" t="s">
        <v>29</v>
      </c>
      <c r="L4393" t="s">
        <v>30</v>
      </c>
      <c r="M4393" t="s">
        <v>139</v>
      </c>
      <c r="N4393">
        <v>938</v>
      </c>
      <c r="O4393" s="14">
        <v>0.298544513992965</v>
      </c>
      <c r="P4393" s="14">
        <v>0.16286319401115201</v>
      </c>
      <c r="Q4393" t="str">
        <f t="shared" si="136"/>
        <v>25-34</v>
      </c>
      <c r="R4393" t="str">
        <f t="shared" si="137"/>
        <v>[JQKLKuVuY61]|25-34|Female|PMTCT_STAT_SUBNAT.D.T_1|CY2023Q3</v>
      </c>
    </row>
    <row r="4394" spans="4:18" x14ac:dyDescent="0.2">
      <c r="D4394" t="s">
        <v>131</v>
      </c>
      <c r="E4394" t="s">
        <v>132</v>
      </c>
      <c r="F4394" t="s">
        <v>133</v>
      </c>
      <c r="G4394" t="s">
        <v>153</v>
      </c>
      <c r="H4394" t="s">
        <v>154</v>
      </c>
      <c r="I4394" t="s">
        <v>42</v>
      </c>
      <c r="J4394" t="s">
        <v>43</v>
      </c>
      <c r="K4394" t="s">
        <v>29</v>
      </c>
      <c r="L4394" t="s">
        <v>30</v>
      </c>
      <c r="M4394" t="s">
        <v>139</v>
      </c>
      <c r="N4394">
        <v>1413</v>
      </c>
      <c r="O4394" s="14">
        <v>0.40922035672701901</v>
      </c>
      <c r="P4394" s="14">
        <v>0.16286319401115201</v>
      </c>
      <c r="Q4394" t="str">
        <f t="shared" si="136"/>
        <v>35-49</v>
      </c>
      <c r="R4394" t="str">
        <f t="shared" si="137"/>
        <v>[JQKLKuVuY61]|35-49|Female|PMTCT_STAT_SUBNAT.D.T_1|CY2023Q3</v>
      </c>
    </row>
    <row r="4395" spans="4:18" x14ac:dyDescent="0.2">
      <c r="D4395" t="s">
        <v>134</v>
      </c>
      <c r="E4395" t="s">
        <v>135</v>
      </c>
      <c r="F4395" t="s">
        <v>136</v>
      </c>
      <c r="G4395" t="s">
        <v>153</v>
      </c>
      <c r="H4395" t="s">
        <v>154</v>
      </c>
      <c r="I4395" t="s">
        <v>37</v>
      </c>
      <c r="J4395" t="s">
        <v>38</v>
      </c>
      <c r="K4395" t="s">
        <v>29</v>
      </c>
      <c r="L4395" t="s">
        <v>30</v>
      </c>
      <c r="M4395" t="s">
        <v>139</v>
      </c>
      <c r="N4395">
        <v>681</v>
      </c>
      <c r="O4395" s="14">
        <v>0.20846128067933001</v>
      </c>
      <c r="P4395" s="14">
        <v>0.95530052832327805</v>
      </c>
      <c r="Q4395" t="str">
        <f t="shared" si="136"/>
        <v>15-24</v>
      </c>
      <c r="R4395" t="str">
        <f t="shared" si="137"/>
        <v>[fiRkU6gEjLz]|15-24|Female|PMTCT_STAT_SUBNAT.D.T_1|CY2023Q3</v>
      </c>
    </row>
    <row r="4396" spans="4:18" x14ac:dyDescent="0.2">
      <c r="D4396" t="s">
        <v>134</v>
      </c>
      <c r="E4396" t="s">
        <v>135</v>
      </c>
      <c r="F4396" t="s">
        <v>136</v>
      </c>
      <c r="G4396" t="s">
        <v>153</v>
      </c>
      <c r="H4396" t="s">
        <v>154</v>
      </c>
      <c r="I4396" t="s">
        <v>40</v>
      </c>
      <c r="J4396" t="s">
        <v>41</v>
      </c>
      <c r="K4396" t="s">
        <v>29</v>
      </c>
      <c r="L4396" t="s">
        <v>30</v>
      </c>
      <c r="M4396" t="s">
        <v>139</v>
      </c>
      <c r="N4396">
        <v>1407</v>
      </c>
      <c r="O4396" s="14">
        <v>0.66211994038894795</v>
      </c>
      <c r="P4396" s="14">
        <v>0.95530052832327805</v>
      </c>
      <c r="Q4396" t="str">
        <f t="shared" si="136"/>
        <v>25-34</v>
      </c>
      <c r="R4396" t="str">
        <f t="shared" si="137"/>
        <v>[fiRkU6gEjLz]|25-34|Female|PMTCT_STAT_SUBNAT.D.T_1|CY2023Q3</v>
      </c>
    </row>
    <row r="4397" spans="4:18" x14ac:dyDescent="0.2">
      <c r="D4397" t="s">
        <v>134</v>
      </c>
      <c r="E4397" t="s">
        <v>135</v>
      </c>
      <c r="F4397" t="s">
        <v>136</v>
      </c>
      <c r="G4397" t="s">
        <v>153</v>
      </c>
      <c r="H4397" t="s">
        <v>154</v>
      </c>
      <c r="I4397" t="s">
        <v>42</v>
      </c>
      <c r="J4397" t="s">
        <v>43</v>
      </c>
      <c r="K4397" t="s">
        <v>29</v>
      </c>
      <c r="L4397" t="s">
        <v>30</v>
      </c>
      <c r="M4397" t="s">
        <v>139</v>
      </c>
      <c r="N4397">
        <v>977</v>
      </c>
      <c r="O4397" s="14">
        <v>0.24985802732408</v>
      </c>
      <c r="P4397" s="14">
        <v>0.95530052832327805</v>
      </c>
      <c r="Q4397" t="str">
        <f t="shared" si="136"/>
        <v>35-49</v>
      </c>
      <c r="R4397" t="str">
        <f t="shared" si="137"/>
        <v>[fiRkU6gEjLz]|35-49|Female|PMTCT_STAT_SUBNAT.D.T_1|CY2023Q3</v>
      </c>
    </row>
    <row r="4398" spans="4:18" x14ac:dyDescent="0.2">
      <c r="D4398" t="s">
        <v>22</v>
      </c>
      <c r="E4398" t="s">
        <v>23</v>
      </c>
      <c r="F4398" t="s">
        <v>24</v>
      </c>
      <c r="G4398" t="s">
        <v>155</v>
      </c>
      <c r="H4398" t="s">
        <v>156</v>
      </c>
      <c r="I4398" t="s">
        <v>37</v>
      </c>
      <c r="J4398" t="s">
        <v>38</v>
      </c>
      <c r="K4398" t="s">
        <v>29</v>
      </c>
      <c r="L4398" t="s">
        <v>30</v>
      </c>
      <c r="M4398" t="s">
        <v>139</v>
      </c>
      <c r="N4398">
        <v>899</v>
      </c>
      <c r="O4398" s="14">
        <v>0.62863979861140296</v>
      </c>
      <c r="P4398" s="14">
        <v>0.40435861097648701</v>
      </c>
      <c r="Q4398" t="str">
        <f t="shared" si="136"/>
        <v>15-24</v>
      </c>
      <c r="R4398" t="str">
        <f t="shared" si="137"/>
        <v>[GkIwZrXy1h2]|15-24|Female|PMTCT_ART_SUBNAT.D.T_1|CY2023Q3</v>
      </c>
    </row>
    <row r="4399" spans="4:18" x14ac:dyDescent="0.2">
      <c r="D4399" t="s">
        <v>22</v>
      </c>
      <c r="E4399" t="s">
        <v>23</v>
      </c>
      <c r="F4399" t="s">
        <v>24</v>
      </c>
      <c r="G4399" t="s">
        <v>155</v>
      </c>
      <c r="H4399" t="s">
        <v>156</v>
      </c>
      <c r="I4399" t="s">
        <v>40</v>
      </c>
      <c r="J4399" t="s">
        <v>41</v>
      </c>
      <c r="K4399" t="s">
        <v>29</v>
      </c>
      <c r="L4399" t="s">
        <v>30</v>
      </c>
      <c r="M4399" t="s">
        <v>139</v>
      </c>
      <c r="N4399">
        <v>1417</v>
      </c>
      <c r="O4399" s="14">
        <v>0.85515995207242701</v>
      </c>
      <c r="P4399" s="14">
        <v>0.40435861097648701</v>
      </c>
      <c r="Q4399" t="str">
        <f t="shared" si="136"/>
        <v>25-34</v>
      </c>
      <c r="R4399" t="str">
        <f t="shared" si="137"/>
        <v>[GkIwZrXy1h2]|25-34|Female|PMTCT_ART_SUBNAT.D.T_1|CY2023Q3</v>
      </c>
    </row>
    <row r="4400" spans="4:18" x14ac:dyDescent="0.2">
      <c r="D4400" t="s">
        <v>22</v>
      </c>
      <c r="E4400" t="s">
        <v>23</v>
      </c>
      <c r="F4400" t="s">
        <v>24</v>
      </c>
      <c r="G4400" t="s">
        <v>155</v>
      </c>
      <c r="H4400" t="s">
        <v>156</v>
      </c>
      <c r="I4400" t="s">
        <v>42</v>
      </c>
      <c r="J4400" t="s">
        <v>43</v>
      </c>
      <c r="K4400" t="s">
        <v>29</v>
      </c>
      <c r="L4400" t="s">
        <v>30</v>
      </c>
      <c r="M4400" t="s">
        <v>139</v>
      </c>
      <c r="N4400">
        <v>1516</v>
      </c>
      <c r="O4400" s="14">
        <v>0.54714741185307503</v>
      </c>
      <c r="P4400" s="14">
        <v>0.40435861097648701</v>
      </c>
      <c r="Q4400" t="str">
        <f t="shared" si="136"/>
        <v>35-49</v>
      </c>
      <c r="R4400" t="str">
        <f t="shared" si="137"/>
        <v>[GkIwZrXy1h2]|35-49|Female|PMTCT_ART_SUBNAT.D.T_1|CY2023Q3</v>
      </c>
    </row>
    <row r="4401" spans="4:18" x14ac:dyDescent="0.2">
      <c r="D4401" t="s">
        <v>52</v>
      </c>
      <c r="E4401" t="s">
        <v>53</v>
      </c>
      <c r="F4401" t="s">
        <v>54</v>
      </c>
      <c r="G4401" t="s">
        <v>155</v>
      </c>
      <c r="H4401" t="s">
        <v>156</v>
      </c>
      <c r="I4401" t="s">
        <v>37</v>
      </c>
      <c r="J4401" t="s">
        <v>38</v>
      </c>
      <c r="K4401" t="s">
        <v>29</v>
      </c>
      <c r="L4401" t="s">
        <v>30</v>
      </c>
      <c r="M4401" t="s">
        <v>139</v>
      </c>
      <c r="N4401">
        <v>1422</v>
      </c>
      <c r="O4401" s="14">
        <v>0.16496422654017801</v>
      </c>
      <c r="P4401" s="14">
        <v>0.61639246996492103</v>
      </c>
      <c r="Q4401" t="str">
        <f t="shared" si="136"/>
        <v>15-24</v>
      </c>
      <c r="R4401" t="str">
        <f t="shared" si="137"/>
        <v>[zphK9WV8JB4]|15-24|Female|PMTCT_ART_SUBNAT.D.T_1|CY2023Q3</v>
      </c>
    </row>
    <row r="4402" spans="4:18" x14ac:dyDescent="0.2">
      <c r="D4402" t="s">
        <v>52</v>
      </c>
      <c r="E4402" t="s">
        <v>53</v>
      </c>
      <c r="F4402" t="s">
        <v>54</v>
      </c>
      <c r="G4402" t="s">
        <v>155</v>
      </c>
      <c r="H4402" t="s">
        <v>156</v>
      </c>
      <c r="I4402" t="s">
        <v>40</v>
      </c>
      <c r="J4402" t="s">
        <v>41</v>
      </c>
      <c r="K4402" t="s">
        <v>29</v>
      </c>
      <c r="L4402" t="s">
        <v>30</v>
      </c>
      <c r="M4402" t="s">
        <v>139</v>
      </c>
      <c r="N4402">
        <v>1973</v>
      </c>
      <c r="O4402" s="14">
        <v>0.92703382740728602</v>
      </c>
      <c r="P4402" s="14">
        <v>0.61639246996492103</v>
      </c>
      <c r="Q4402" t="str">
        <f t="shared" si="136"/>
        <v>25-34</v>
      </c>
      <c r="R4402" t="str">
        <f t="shared" si="137"/>
        <v>[zphK9WV8JB4]|25-34|Female|PMTCT_ART_SUBNAT.D.T_1|CY2023Q3</v>
      </c>
    </row>
    <row r="4403" spans="4:18" x14ac:dyDescent="0.2">
      <c r="D4403" t="s">
        <v>52</v>
      </c>
      <c r="E4403" t="s">
        <v>53</v>
      </c>
      <c r="F4403" t="s">
        <v>54</v>
      </c>
      <c r="G4403" t="s">
        <v>155</v>
      </c>
      <c r="H4403" t="s">
        <v>156</v>
      </c>
      <c r="I4403" t="s">
        <v>42</v>
      </c>
      <c r="J4403" t="s">
        <v>43</v>
      </c>
      <c r="K4403" t="s">
        <v>29</v>
      </c>
      <c r="L4403" t="s">
        <v>30</v>
      </c>
      <c r="M4403" t="s">
        <v>139</v>
      </c>
      <c r="N4403">
        <v>791</v>
      </c>
      <c r="O4403" s="14">
        <v>0.287139262538403</v>
      </c>
      <c r="P4403" s="14">
        <v>0.61639246996492103</v>
      </c>
      <c r="Q4403" t="str">
        <f t="shared" si="136"/>
        <v>35-49</v>
      </c>
      <c r="R4403" t="str">
        <f t="shared" si="137"/>
        <v>[zphK9WV8JB4]|35-49|Female|PMTCT_ART_SUBNAT.D.T_1|CY2023Q3</v>
      </c>
    </row>
    <row r="4404" spans="4:18" x14ac:dyDescent="0.2">
      <c r="D4404" t="s">
        <v>59</v>
      </c>
      <c r="E4404" t="s">
        <v>60</v>
      </c>
      <c r="F4404" t="s">
        <v>61</v>
      </c>
      <c r="G4404" t="s">
        <v>155</v>
      </c>
      <c r="H4404" t="s">
        <v>156</v>
      </c>
      <c r="I4404" t="s">
        <v>37</v>
      </c>
      <c r="J4404" t="s">
        <v>38</v>
      </c>
      <c r="K4404" t="s">
        <v>29</v>
      </c>
      <c r="L4404" t="s">
        <v>30</v>
      </c>
      <c r="M4404" t="s">
        <v>139</v>
      </c>
      <c r="N4404">
        <v>1484</v>
      </c>
      <c r="O4404" s="14">
        <v>6.8782869493588805E-2</v>
      </c>
      <c r="P4404" s="14">
        <v>2.6825056178495298E-2</v>
      </c>
      <c r="Q4404" t="str">
        <f t="shared" si="136"/>
        <v>15-24</v>
      </c>
      <c r="R4404" t="str">
        <f t="shared" si="137"/>
        <v>[msW2zpIN7up]|15-24|Female|PMTCT_ART_SUBNAT.D.T_1|CY2023Q3</v>
      </c>
    </row>
    <row r="4405" spans="4:18" x14ac:dyDescent="0.2">
      <c r="D4405" t="s">
        <v>59</v>
      </c>
      <c r="E4405" t="s">
        <v>60</v>
      </c>
      <c r="F4405" t="s">
        <v>61</v>
      </c>
      <c r="G4405" t="s">
        <v>155</v>
      </c>
      <c r="H4405" t="s">
        <v>156</v>
      </c>
      <c r="I4405" t="s">
        <v>40</v>
      </c>
      <c r="J4405" t="s">
        <v>41</v>
      </c>
      <c r="K4405" t="s">
        <v>29</v>
      </c>
      <c r="L4405" t="s">
        <v>30</v>
      </c>
      <c r="M4405" t="s">
        <v>139</v>
      </c>
      <c r="N4405">
        <v>1370</v>
      </c>
      <c r="O4405" s="14">
        <v>0.90550518687814496</v>
      </c>
      <c r="P4405" s="14">
        <v>2.6825056178495298E-2</v>
      </c>
      <c r="Q4405" t="str">
        <f t="shared" si="136"/>
        <v>25-34</v>
      </c>
      <c r="R4405" t="str">
        <f t="shared" si="137"/>
        <v>[msW2zpIN7up]|25-34|Female|PMTCT_ART_SUBNAT.D.T_1|CY2023Q3</v>
      </c>
    </row>
    <row r="4406" spans="4:18" x14ac:dyDescent="0.2">
      <c r="D4406" t="s">
        <v>59</v>
      </c>
      <c r="E4406" t="s">
        <v>60</v>
      </c>
      <c r="F4406" t="s">
        <v>61</v>
      </c>
      <c r="G4406" t="s">
        <v>155</v>
      </c>
      <c r="H4406" t="s">
        <v>156</v>
      </c>
      <c r="I4406" t="s">
        <v>42</v>
      </c>
      <c r="J4406" t="s">
        <v>43</v>
      </c>
      <c r="K4406" t="s">
        <v>29</v>
      </c>
      <c r="L4406" t="s">
        <v>30</v>
      </c>
      <c r="M4406" t="s">
        <v>139</v>
      </c>
      <c r="N4406">
        <v>615</v>
      </c>
      <c r="O4406" s="14">
        <v>0.51983989961445298</v>
      </c>
      <c r="P4406" s="14">
        <v>2.6825056178495298E-2</v>
      </c>
      <c r="Q4406" t="str">
        <f t="shared" si="136"/>
        <v>35-49</v>
      </c>
      <c r="R4406" t="str">
        <f t="shared" si="137"/>
        <v>[msW2zpIN7up]|35-49|Female|PMTCT_ART_SUBNAT.D.T_1|CY2023Q3</v>
      </c>
    </row>
    <row r="4407" spans="4:18" x14ac:dyDescent="0.2">
      <c r="D4407" t="s">
        <v>62</v>
      </c>
      <c r="E4407" t="s">
        <v>63</v>
      </c>
      <c r="F4407" t="s">
        <v>64</v>
      </c>
      <c r="G4407" t="s">
        <v>155</v>
      </c>
      <c r="H4407" t="s">
        <v>156</v>
      </c>
      <c r="I4407" t="s">
        <v>37</v>
      </c>
      <c r="J4407" t="s">
        <v>38</v>
      </c>
      <c r="K4407" t="s">
        <v>29</v>
      </c>
      <c r="L4407" t="s">
        <v>30</v>
      </c>
      <c r="M4407" t="s">
        <v>139</v>
      </c>
      <c r="N4407">
        <v>793</v>
      </c>
      <c r="O4407" s="14">
        <v>8.1027319887652993E-2</v>
      </c>
      <c r="P4407" s="14">
        <v>0.790102193132043</v>
      </c>
      <c r="Q4407" t="str">
        <f t="shared" si="136"/>
        <v>15-24</v>
      </c>
      <c r="R4407" t="str">
        <f t="shared" si="137"/>
        <v>[kxuuIFpOXyO]|15-24|Female|PMTCT_ART_SUBNAT.D.T_1|CY2023Q3</v>
      </c>
    </row>
    <row r="4408" spans="4:18" x14ac:dyDescent="0.2">
      <c r="D4408" t="s">
        <v>62</v>
      </c>
      <c r="E4408" t="s">
        <v>63</v>
      </c>
      <c r="F4408" t="s">
        <v>64</v>
      </c>
      <c r="G4408" t="s">
        <v>155</v>
      </c>
      <c r="H4408" t="s">
        <v>156</v>
      </c>
      <c r="I4408" t="s">
        <v>40</v>
      </c>
      <c r="J4408" t="s">
        <v>41</v>
      </c>
      <c r="K4408" t="s">
        <v>29</v>
      </c>
      <c r="L4408" t="s">
        <v>30</v>
      </c>
      <c r="M4408" t="s">
        <v>139</v>
      </c>
      <c r="N4408">
        <v>640</v>
      </c>
      <c r="O4408" s="14">
        <v>0.92586629441939305</v>
      </c>
      <c r="P4408" s="14">
        <v>0.790102193132043</v>
      </c>
      <c r="Q4408" t="str">
        <f t="shared" si="136"/>
        <v>25-34</v>
      </c>
      <c r="R4408" t="str">
        <f t="shared" si="137"/>
        <v>[kxuuIFpOXyO]|25-34|Female|PMTCT_ART_SUBNAT.D.T_1|CY2023Q3</v>
      </c>
    </row>
    <row r="4409" spans="4:18" x14ac:dyDescent="0.2">
      <c r="D4409" t="s">
        <v>62</v>
      </c>
      <c r="E4409" t="s">
        <v>63</v>
      </c>
      <c r="F4409" t="s">
        <v>64</v>
      </c>
      <c r="G4409" t="s">
        <v>155</v>
      </c>
      <c r="H4409" t="s">
        <v>156</v>
      </c>
      <c r="I4409" t="s">
        <v>42</v>
      </c>
      <c r="J4409" t="s">
        <v>43</v>
      </c>
      <c r="K4409" t="s">
        <v>29</v>
      </c>
      <c r="L4409" t="s">
        <v>30</v>
      </c>
      <c r="M4409" t="s">
        <v>139</v>
      </c>
      <c r="N4409">
        <v>720</v>
      </c>
      <c r="O4409" s="14">
        <v>0.31181733333505701</v>
      </c>
      <c r="P4409" s="14">
        <v>0.790102193132043</v>
      </c>
      <c r="Q4409" t="str">
        <f t="shared" si="136"/>
        <v>35-49</v>
      </c>
      <c r="R4409" t="str">
        <f t="shared" si="137"/>
        <v>[kxuuIFpOXyO]|35-49|Female|PMTCT_ART_SUBNAT.D.T_1|CY2023Q3</v>
      </c>
    </row>
    <row r="4410" spans="4:18" x14ac:dyDescent="0.2">
      <c r="D4410" t="s">
        <v>65</v>
      </c>
      <c r="E4410" t="s">
        <v>66</v>
      </c>
      <c r="F4410" t="s">
        <v>67</v>
      </c>
      <c r="G4410" t="s">
        <v>155</v>
      </c>
      <c r="H4410" t="s">
        <v>156</v>
      </c>
      <c r="I4410" t="s">
        <v>37</v>
      </c>
      <c r="J4410" t="s">
        <v>38</v>
      </c>
      <c r="K4410" t="s">
        <v>29</v>
      </c>
      <c r="L4410" t="s">
        <v>30</v>
      </c>
      <c r="M4410" t="s">
        <v>139</v>
      </c>
      <c r="N4410">
        <v>1745</v>
      </c>
      <c r="O4410" s="14">
        <v>0.67603187565691802</v>
      </c>
      <c r="P4410" s="14">
        <v>0.16460988437756899</v>
      </c>
      <c r="Q4410" t="str">
        <f t="shared" si="136"/>
        <v>15-24</v>
      </c>
      <c r="R4410" t="str">
        <f t="shared" si="137"/>
        <v>[ScR9iFKAasW]|15-24|Female|PMTCT_ART_SUBNAT.D.T_1|CY2023Q3</v>
      </c>
    </row>
    <row r="4411" spans="4:18" x14ac:dyDescent="0.2">
      <c r="D4411" t="s">
        <v>65</v>
      </c>
      <c r="E4411" t="s">
        <v>66</v>
      </c>
      <c r="F4411" t="s">
        <v>67</v>
      </c>
      <c r="G4411" t="s">
        <v>155</v>
      </c>
      <c r="H4411" t="s">
        <v>156</v>
      </c>
      <c r="I4411" t="s">
        <v>40</v>
      </c>
      <c r="J4411" t="s">
        <v>41</v>
      </c>
      <c r="K4411" t="s">
        <v>29</v>
      </c>
      <c r="L4411" t="s">
        <v>30</v>
      </c>
      <c r="M4411" t="s">
        <v>139</v>
      </c>
      <c r="N4411">
        <v>1511</v>
      </c>
      <c r="O4411" s="14">
        <v>0.35493405302986503</v>
      </c>
      <c r="P4411" s="14">
        <v>0.16460988437756899</v>
      </c>
      <c r="Q4411" t="str">
        <f t="shared" si="136"/>
        <v>25-34</v>
      </c>
      <c r="R4411" t="str">
        <f t="shared" si="137"/>
        <v>[ScR9iFKAasW]|25-34|Female|PMTCT_ART_SUBNAT.D.T_1|CY2023Q3</v>
      </c>
    </row>
    <row r="4412" spans="4:18" x14ac:dyDescent="0.2">
      <c r="D4412" t="s">
        <v>65</v>
      </c>
      <c r="E4412" t="s">
        <v>66</v>
      </c>
      <c r="F4412" t="s">
        <v>67</v>
      </c>
      <c r="G4412" t="s">
        <v>155</v>
      </c>
      <c r="H4412" t="s">
        <v>156</v>
      </c>
      <c r="I4412" t="s">
        <v>42</v>
      </c>
      <c r="J4412" t="s">
        <v>43</v>
      </c>
      <c r="K4412" t="s">
        <v>29</v>
      </c>
      <c r="L4412" t="s">
        <v>30</v>
      </c>
      <c r="M4412" t="s">
        <v>139</v>
      </c>
      <c r="N4412">
        <v>585</v>
      </c>
      <c r="O4412" s="14">
        <v>0.241333461366594</v>
      </c>
      <c r="P4412" s="14">
        <v>0.16460988437756899</v>
      </c>
      <c r="Q4412" t="str">
        <f t="shared" si="136"/>
        <v>35-49</v>
      </c>
      <c r="R4412" t="str">
        <f t="shared" si="137"/>
        <v>[ScR9iFKAasW]|35-49|Female|PMTCT_ART_SUBNAT.D.T_1|CY2023Q3</v>
      </c>
    </row>
    <row r="4413" spans="4:18" x14ac:dyDescent="0.2">
      <c r="D4413" t="s">
        <v>68</v>
      </c>
      <c r="E4413" t="s">
        <v>69</v>
      </c>
      <c r="F4413" t="s">
        <v>70</v>
      </c>
      <c r="G4413" t="s">
        <v>155</v>
      </c>
      <c r="H4413" t="s">
        <v>156</v>
      </c>
      <c r="I4413" t="s">
        <v>37</v>
      </c>
      <c r="J4413" t="s">
        <v>38</v>
      </c>
      <c r="K4413" t="s">
        <v>29</v>
      </c>
      <c r="L4413" t="s">
        <v>30</v>
      </c>
      <c r="M4413" t="s">
        <v>139</v>
      </c>
      <c r="N4413">
        <v>630</v>
      </c>
      <c r="O4413" s="14">
        <v>0.76939426548779</v>
      </c>
      <c r="P4413" s="14">
        <v>0.19881726312451101</v>
      </c>
      <c r="Q4413" t="str">
        <f t="shared" si="136"/>
        <v>15-24</v>
      </c>
      <c r="R4413" t="str">
        <f t="shared" si="137"/>
        <v>[PekKUkKHAzY]|15-24|Female|PMTCT_ART_SUBNAT.D.T_1|CY2023Q3</v>
      </c>
    </row>
    <row r="4414" spans="4:18" x14ac:dyDescent="0.2">
      <c r="D4414" t="s">
        <v>68</v>
      </c>
      <c r="E4414" t="s">
        <v>69</v>
      </c>
      <c r="F4414" t="s">
        <v>70</v>
      </c>
      <c r="G4414" t="s">
        <v>155</v>
      </c>
      <c r="H4414" t="s">
        <v>156</v>
      </c>
      <c r="I4414" t="s">
        <v>40</v>
      </c>
      <c r="J4414" t="s">
        <v>41</v>
      </c>
      <c r="K4414" t="s">
        <v>29</v>
      </c>
      <c r="L4414" t="s">
        <v>30</v>
      </c>
      <c r="M4414" t="s">
        <v>139</v>
      </c>
      <c r="N4414">
        <v>1659</v>
      </c>
      <c r="O4414" s="14">
        <v>0.73653456359170399</v>
      </c>
      <c r="P4414" s="14">
        <v>0.19881726312451101</v>
      </c>
      <c r="Q4414" t="str">
        <f t="shared" si="136"/>
        <v>25-34</v>
      </c>
      <c r="R4414" t="str">
        <f t="shared" si="137"/>
        <v>[PekKUkKHAzY]|25-34|Female|PMTCT_ART_SUBNAT.D.T_1|CY2023Q3</v>
      </c>
    </row>
    <row r="4415" spans="4:18" x14ac:dyDescent="0.2">
      <c r="D4415" t="s">
        <v>68</v>
      </c>
      <c r="E4415" t="s">
        <v>69</v>
      </c>
      <c r="F4415" t="s">
        <v>70</v>
      </c>
      <c r="G4415" t="s">
        <v>155</v>
      </c>
      <c r="H4415" t="s">
        <v>156</v>
      </c>
      <c r="I4415" t="s">
        <v>42</v>
      </c>
      <c r="J4415" t="s">
        <v>43</v>
      </c>
      <c r="K4415" t="s">
        <v>29</v>
      </c>
      <c r="L4415" t="s">
        <v>30</v>
      </c>
      <c r="M4415" t="s">
        <v>139</v>
      </c>
      <c r="N4415">
        <v>1675</v>
      </c>
      <c r="O4415" s="14">
        <v>0.753800562117249</v>
      </c>
      <c r="P4415" s="14">
        <v>0.19881726312451101</v>
      </c>
      <c r="Q4415" t="str">
        <f t="shared" si="136"/>
        <v>35-49</v>
      </c>
      <c r="R4415" t="str">
        <f t="shared" si="137"/>
        <v>[PekKUkKHAzY]|35-49|Female|PMTCT_ART_SUBNAT.D.T_1|CY2023Q3</v>
      </c>
    </row>
    <row r="4416" spans="4:18" x14ac:dyDescent="0.2">
      <c r="D4416" t="s">
        <v>71</v>
      </c>
      <c r="E4416" t="s">
        <v>72</v>
      </c>
      <c r="F4416" t="s">
        <v>73</v>
      </c>
      <c r="G4416" t="s">
        <v>155</v>
      </c>
      <c r="H4416" t="s">
        <v>156</v>
      </c>
      <c r="I4416" t="s">
        <v>37</v>
      </c>
      <c r="J4416" t="s">
        <v>38</v>
      </c>
      <c r="K4416" t="s">
        <v>29</v>
      </c>
      <c r="L4416" t="s">
        <v>30</v>
      </c>
      <c r="M4416" t="s">
        <v>139</v>
      </c>
      <c r="N4416">
        <v>826</v>
      </c>
      <c r="O4416" s="14">
        <v>0.60793804097920701</v>
      </c>
      <c r="P4416" s="14">
        <v>0.28972870693542102</v>
      </c>
      <c r="Q4416" t="str">
        <f t="shared" si="136"/>
        <v>15-24</v>
      </c>
      <c r="R4416" t="str">
        <f t="shared" si="137"/>
        <v>[am530wpaGvr]|15-24|Female|PMTCT_ART_SUBNAT.D.T_1|CY2023Q3</v>
      </c>
    </row>
    <row r="4417" spans="4:18" x14ac:dyDescent="0.2">
      <c r="D4417" t="s">
        <v>71</v>
      </c>
      <c r="E4417" t="s">
        <v>72</v>
      </c>
      <c r="F4417" t="s">
        <v>73</v>
      </c>
      <c r="G4417" t="s">
        <v>155</v>
      </c>
      <c r="H4417" t="s">
        <v>156</v>
      </c>
      <c r="I4417" t="s">
        <v>40</v>
      </c>
      <c r="J4417" t="s">
        <v>41</v>
      </c>
      <c r="K4417" t="s">
        <v>29</v>
      </c>
      <c r="L4417" t="s">
        <v>30</v>
      </c>
      <c r="M4417" t="s">
        <v>139</v>
      </c>
      <c r="N4417">
        <v>999</v>
      </c>
      <c r="O4417" s="14">
        <v>0.59490075055509795</v>
      </c>
      <c r="P4417" s="14">
        <v>0.28972870693542102</v>
      </c>
      <c r="Q4417" t="str">
        <f t="shared" si="136"/>
        <v>25-34</v>
      </c>
      <c r="R4417" t="str">
        <f t="shared" si="137"/>
        <v>[am530wpaGvr]|25-34|Female|PMTCT_ART_SUBNAT.D.T_1|CY2023Q3</v>
      </c>
    </row>
    <row r="4418" spans="4:18" x14ac:dyDescent="0.2">
      <c r="D4418" t="s">
        <v>71</v>
      </c>
      <c r="E4418" t="s">
        <v>72</v>
      </c>
      <c r="F4418" t="s">
        <v>73</v>
      </c>
      <c r="G4418" t="s">
        <v>155</v>
      </c>
      <c r="H4418" t="s">
        <v>156</v>
      </c>
      <c r="I4418" t="s">
        <v>42</v>
      </c>
      <c r="J4418" t="s">
        <v>43</v>
      </c>
      <c r="K4418" t="s">
        <v>29</v>
      </c>
      <c r="L4418" t="s">
        <v>30</v>
      </c>
      <c r="M4418" t="s">
        <v>139</v>
      </c>
      <c r="N4418">
        <v>1906</v>
      </c>
      <c r="O4418" s="14">
        <v>0.85145358787849501</v>
      </c>
      <c r="P4418" s="14">
        <v>0.28972870693542102</v>
      </c>
      <c r="Q4418" t="str">
        <f t="shared" ref="Q4418:Q4481" si="138">SUBSTITUTE(SUBSTITUTE($I4418,CHAR(61),""),CHAR(34),"")</f>
        <v>35-49</v>
      </c>
      <c r="R4418" t="str">
        <f t="shared" ref="R4418:R4481" si="139">IF($D4418&lt;&gt;"","["&amp;$E4418&amp;"]"&amp;"|"&amp;$Q4418&amp;"|"&amp;$K4418&amp;"|"&amp;$G4418&amp;"|"&amp;IF($G4418="TX_CURR_SUBNAT.R","CY2022Q4",$M4418),"")</f>
        <v>[am530wpaGvr]|35-49|Female|PMTCT_ART_SUBNAT.D.T_1|CY2023Q3</v>
      </c>
    </row>
    <row r="4419" spans="4:18" x14ac:dyDescent="0.2">
      <c r="D4419" t="s">
        <v>74</v>
      </c>
      <c r="E4419" t="s">
        <v>75</v>
      </c>
      <c r="F4419" t="s">
        <v>76</v>
      </c>
      <c r="G4419" t="s">
        <v>155</v>
      </c>
      <c r="H4419" t="s">
        <v>156</v>
      </c>
      <c r="I4419" t="s">
        <v>37</v>
      </c>
      <c r="J4419" t="s">
        <v>38</v>
      </c>
      <c r="K4419" t="s">
        <v>29</v>
      </c>
      <c r="L4419" t="s">
        <v>30</v>
      </c>
      <c r="M4419" t="s">
        <v>139</v>
      </c>
      <c r="N4419">
        <v>1159</v>
      </c>
      <c r="O4419" s="14">
        <v>2.3878927109762998E-2</v>
      </c>
      <c r="P4419" s="14">
        <v>0.30305550759658201</v>
      </c>
      <c r="Q4419" t="str">
        <f t="shared" si="138"/>
        <v>15-24</v>
      </c>
      <c r="R4419" t="str">
        <f t="shared" si="139"/>
        <v>[lLDyBx5XyUi]|15-24|Female|PMTCT_ART_SUBNAT.D.T_1|CY2023Q3</v>
      </c>
    </row>
    <row r="4420" spans="4:18" x14ac:dyDescent="0.2">
      <c r="D4420" t="s">
        <v>74</v>
      </c>
      <c r="E4420" t="s">
        <v>75</v>
      </c>
      <c r="F4420" t="s">
        <v>76</v>
      </c>
      <c r="G4420" t="s">
        <v>155</v>
      </c>
      <c r="H4420" t="s">
        <v>156</v>
      </c>
      <c r="I4420" t="s">
        <v>40</v>
      </c>
      <c r="J4420" t="s">
        <v>41</v>
      </c>
      <c r="K4420" t="s">
        <v>29</v>
      </c>
      <c r="L4420" t="s">
        <v>30</v>
      </c>
      <c r="M4420" t="s">
        <v>139</v>
      </c>
      <c r="N4420">
        <v>997</v>
      </c>
      <c r="O4420" s="14">
        <v>0.54266513860784504</v>
      </c>
      <c r="P4420" s="14">
        <v>0.30305550759658201</v>
      </c>
      <c r="Q4420" t="str">
        <f t="shared" si="138"/>
        <v>25-34</v>
      </c>
      <c r="R4420" t="str">
        <f t="shared" si="139"/>
        <v>[lLDyBx5XyUi]|25-34|Female|PMTCT_ART_SUBNAT.D.T_1|CY2023Q3</v>
      </c>
    </row>
    <row r="4421" spans="4:18" x14ac:dyDescent="0.2">
      <c r="D4421" t="s">
        <v>74</v>
      </c>
      <c r="E4421" t="s">
        <v>75</v>
      </c>
      <c r="F4421" t="s">
        <v>76</v>
      </c>
      <c r="G4421" t="s">
        <v>155</v>
      </c>
      <c r="H4421" t="s">
        <v>156</v>
      </c>
      <c r="I4421" t="s">
        <v>42</v>
      </c>
      <c r="J4421" t="s">
        <v>43</v>
      </c>
      <c r="K4421" t="s">
        <v>29</v>
      </c>
      <c r="L4421" t="s">
        <v>30</v>
      </c>
      <c r="M4421" t="s">
        <v>139</v>
      </c>
      <c r="N4421">
        <v>1303</v>
      </c>
      <c r="O4421" s="14">
        <v>0.80117997410707198</v>
      </c>
      <c r="P4421" s="14">
        <v>0.30305550759658201</v>
      </c>
      <c r="Q4421" t="str">
        <f t="shared" si="138"/>
        <v>35-49</v>
      </c>
      <c r="R4421" t="str">
        <f t="shared" si="139"/>
        <v>[lLDyBx5XyUi]|35-49|Female|PMTCT_ART_SUBNAT.D.T_1|CY2023Q3</v>
      </c>
    </row>
    <row r="4422" spans="4:18" x14ac:dyDescent="0.2">
      <c r="D4422" t="s">
        <v>77</v>
      </c>
      <c r="E4422" t="s">
        <v>78</v>
      </c>
      <c r="F4422" t="s">
        <v>79</v>
      </c>
      <c r="G4422" t="s">
        <v>155</v>
      </c>
      <c r="H4422" t="s">
        <v>156</v>
      </c>
      <c r="I4422" t="s">
        <v>37</v>
      </c>
      <c r="J4422" t="s">
        <v>38</v>
      </c>
      <c r="K4422" t="s">
        <v>29</v>
      </c>
      <c r="L4422" t="s">
        <v>30</v>
      </c>
      <c r="M4422" t="s">
        <v>139</v>
      </c>
      <c r="N4422">
        <v>1516</v>
      </c>
      <c r="O4422" s="14">
        <v>0.64508175896480702</v>
      </c>
      <c r="P4422" s="14">
        <v>0.83159798220731296</v>
      </c>
      <c r="Q4422" t="str">
        <f t="shared" si="138"/>
        <v>15-24</v>
      </c>
      <c r="R4422" t="str">
        <f t="shared" si="139"/>
        <v>[TYnMSwzko3z]|15-24|Female|PMTCT_ART_SUBNAT.D.T_1|CY2023Q3</v>
      </c>
    </row>
    <row r="4423" spans="4:18" x14ac:dyDescent="0.2">
      <c r="D4423" t="s">
        <v>77</v>
      </c>
      <c r="E4423" t="s">
        <v>78</v>
      </c>
      <c r="F4423" t="s">
        <v>79</v>
      </c>
      <c r="G4423" t="s">
        <v>155</v>
      </c>
      <c r="H4423" t="s">
        <v>156</v>
      </c>
      <c r="I4423" t="s">
        <v>40</v>
      </c>
      <c r="J4423" t="s">
        <v>41</v>
      </c>
      <c r="K4423" t="s">
        <v>29</v>
      </c>
      <c r="L4423" t="s">
        <v>30</v>
      </c>
      <c r="M4423" t="s">
        <v>139</v>
      </c>
      <c r="N4423">
        <v>849</v>
      </c>
      <c r="O4423" s="14">
        <v>0.33178099989891102</v>
      </c>
      <c r="P4423" s="14">
        <v>0.83159798220731296</v>
      </c>
      <c r="Q4423" t="str">
        <f t="shared" si="138"/>
        <v>25-34</v>
      </c>
      <c r="R4423" t="str">
        <f t="shared" si="139"/>
        <v>[TYnMSwzko3z]|25-34|Female|PMTCT_ART_SUBNAT.D.T_1|CY2023Q3</v>
      </c>
    </row>
    <row r="4424" spans="4:18" x14ac:dyDescent="0.2">
      <c r="D4424" t="s">
        <v>77</v>
      </c>
      <c r="E4424" t="s">
        <v>78</v>
      </c>
      <c r="F4424" t="s">
        <v>79</v>
      </c>
      <c r="G4424" t="s">
        <v>155</v>
      </c>
      <c r="H4424" t="s">
        <v>156</v>
      </c>
      <c r="I4424" t="s">
        <v>42</v>
      </c>
      <c r="J4424" t="s">
        <v>43</v>
      </c>
      <c r="K4424" t="s">
        <v>29</v>
      </c>
      <c r="L4424" t="s">
        <v>30</v>
      </c>
      <c r="M4424" t="s">
        <v>139</v>
      </c>
      <c r="N4424">
        <v>1875</v>
      </c>
      <c r="O4424" s="14">
        <v>0.19258850510232201</v>
      </c>
      <c r="P4424" s="14">
        <v>0.83159798220731296</v>
      </c>
      <c r="Q4424" t="str">
        <f t="shared" si="138"/>
        <v>35-49</v>
      </c>
      <c r="R4424" t="str">
        <f t="shared" si="139"/>
        <v>[TYnMSwzko3z]|35-49|Female|PMTCT_ART_SUBNAT.D.T_1|CY2023Q3</v>
      </c>
    </row>
    <row r="4425" spans="4:18" x14ac:dyDescent="0.2">
      <c r="D4425" t="s">
        <v>80</v>
      </c>
      <c r="E4425" t="s">
        <v>81</v>
      </c>
      <c r="F4425" t="s">
        <v>82</v>
      </c>
      <c r="G4425" t="s">
        <v>155</v>
      </c>
      <c r="H4425" t="s">
        <v>156</v>
      </c>
      <c r="I4425" t="s">
        <v>37</v>
      </c>
      <c r="J4425" t="s">
        <v>38</v>
      </c>
      <c r="K4425" t="s">
        <v>29</v>
      </c>
      <c r="L4425" t="s">
        <v>30</v>
      </c>
      <c r="M4425" t="s">
        <v>139</v>
      </c>
      <c r="N4425">
        <v>539</v>
      </c>
      <c r="O4425" s="14">
        <v>0.60356014524586499</v>
      </c>
      <c r="P4425" s="14">
        <v>0.14333142153918699</v>
      </c>
      <c r="Q4425" t="str">
        <f t="shared" si="138"/>
        <v>15-24</v>
      </c>
      <c r="R4425" t="str">
        <f t="shared" si="139"/>
        <v>[ir8wuHHzoSs]|15-24|Female|PMTCT_ART_SUBNAT.D.T_1|CY2023Q3</v>
      </c>
    </row>
    <row r="4426" spans="4:18" x14ac:dyDescent="0.2">
      <c r="D4426" t="s">
        <v>80</v>
      </c>
      <c r="E4426" t="s">
        <v>81</v>
      </c>
      <c r="F4426" t="s">
        <v>82</v>
      </c>
      <c r="G4426" t="s">
        <v>155</v>
      </c>
      <c r="H4426" t="s">
        <v>156</v>
      </c>
      <c r="I4426" t="s">
        <v>40</v>
      </c>
      <c r="J4426" t="s">
        <v>41</v>
      </c>
      <c r="K4426" t="s">
        <v>29</v>
      </c>
      <c r="L4426" t="s">
        <v>30</v>
      </c>
      <c r="M4426" t="s">
        <v>139</v>
      </c>
      <c r="N4426">
        <v>1414</v>
      </c>
      <c r="O4426" s="14">
        <v>0.380184968234971</v>
      </c>
      <c r="P4426" s="14">
        <v>0.14333142153918699</v>
      </c>
      <c r="Q4426" t="str">
        <f t="shared" si="138"/>
        <v>25-34</v>
      </c>
      <c r="R4426" t="str">
        <f t="shared" si="139"/>
        <v>[ir8wuHHzoSs]|25-34|Female|PMTCT_ART_SUBNAT.D.T_1|CY2023Q3</v>
      </c>
    </row>
    <row r="4427" spans="4:18" x14ac:dyDescent="0.2">
      <c r="D4427" t="s">
        <v>80</v>
      </c>
      <c r="E4427" t="s">
        <v>81</v>
      </c>
      <c r="F4427" t="s">
        <v>82</v>
      </c>
      <c r="G4427" t="s">
        <v>155</v>
      </c>
      <c r="H4427" t="s">
        <v>156</v>
      </c>
      <c r="I4427" t="s">
        <v>42</v>
      </c>
      <c r="J4427" t="s">
        <v>43</v>
      </c>
      <c r="K4427" t="s">
        <v>29</v>
      </c>
      <c r="L4427" t="s">
        <v>30</v>
      </c>
      <c r="M4427" t="s">
        <v>139</v>
      </c>
      <c r="N4427">
        <v>678</v>
      </c>
      <c r="O4427" s="14">
        <v>0.55634179129265204</v>
      </c>
      <c r="P4427" s="14">
        <v>0.14333142153918699</v>
      </c>
      <c r="Q4427" t="str">
        <f t="shared" si="138"/>
        <v>35-49</v>
      </c>
      <c r="R4427" t="str">
        <f t="shared" si="139"/>
        <v>[ir8wuHHzoSs]|35-49|Female|PMTCT_ART_SUBNAT.D.T_1|CY2023Q3</v>
      </c>
    </row>
    <row r="4428" spans="4:18" x14ac:dyDescent="0.2">
      <c r="D4428" t="s">
        <v>83</v>
      </c>
      <c r="E4428" t="s">
        <v>84</v>
      </c>
      <c r="F4428" t="s">
        <v>85</v>
      </c>
      <c r="G4428" t="s">
        <v>155</v>
      </c>
      <c r="H4428" t="s">
        <v>156</v>
      </c>
      <c r="I4428" t="s">
        <v>37</v>
      </c>
      <c r="J4428" t="s">
        <v>38</v>
      </c>
      <c r="K4428" t="s">
        <v>29</v>
      </c>
      <c r="L4428" t="s">
        <v>30</v>
      </c>
      <c r="M4428" t="s">
        <v>139</v>
      </c>
      <c r="N4428">
        <v>627</v>
      </c>
      <c r="O4428" s="14">
        <v>0.720987096894532</v>
      </c>
      <c r="P4428" s="14">
        <v>2.9788714367896301E-2</v>
      </c>
      <c r="Q4428" t="str">
        <f t="shared" si="138"/>
        <v>15-24</v>
      </c>
      <c r="R4428" t="str">
        <f t="shared" si="139"/>
        <v>[fyEoGEPERdI]|15-24|Female|PMTCT_ART_SUBNAT.D.T_1|CY2023Q3</v>
      </c>
    </row>
    <row r="4429" spans="4:18" x14ac:dyDescent="0.2">
      <c r="D4429" t="s">
        <v>83</v>
      </c>
      <c r="E4429" t="s">
        <v>84</v>
      </c>
      <c r="F4429" t="s">
        <v>85</v>
      </c>
      <c r="G4429" t="s">
        <v>155</v>
      </c>
      <c r="H4429" t="s">
        <v>156</v>
      </c>
      <c r="I4429" t="s">
        <v>40</v>
      </c>
      <c r="J4429" t="s">
        <v>41</v>
      </c>
      <c r="K4429" t="s">
        <v>29</v>
      </c>
      <c r="L4429" t="s">
        <v>30</v>
      </c>
      <c r="M4429" t="s">
        <v>139</v>
      </c>
      <c r="N4429">
        <v>1159</v>
      </c>
      <c r="O4429" s="14">
        <v>0.40119523298926701</v>
      </c>
      <c r="P4429" s="14">
        <v>2.9788714367896301E-2</v>
      </c>
      <c r="Q4429" t="str">
        <f t="shared" si="138"/>
        <v>25-34</v>
      </c>
      <c r="R4429" t="str">
        <f t="shared" si="139"/>
        <v>[fyEoGEPERdI]|25-34|Female|PMTCT_ART_SUBNAT.D.T_1|CY2023Q3</v>
      </c>
    </row>
    <row r="4430" spans="4:18" x14ac:dyDescent="0.2">
      <c r="D4430" t="s">
        <v>83</v>
      </c>
      <c r="E4430" t="s">
        <v>84</v>
      </c>
      <c r="F4430" t="s">
        <v>85</v>
      </c>
      <c r="G4430" t="s">
        <v>155</v>
      </c>
      <c r="H4430" t="s">
        <v>156</v>
      </c>
      <c r="I4430" t="s">
        <v>42</v>
      </c>
      <c r="J4430" t="s">
        <v>43</v>
      </c>
      <c r="K4430" t="s">
        <v>29</v>
      </c>
      <c r="L4430" t="s">
        <v>30</v>
      </c>
      <c r="M4430" t="s">
        <v>139</v>
      </c>
      <c r="N4430">
        <v>1648</v>
      </c>
      <c r="O4430" s="14">
        <v>0.73918623733334199</v>
      </c>
      <c r="P4430" s="14">
        <v>2.9788714367896301E-2</v>
      </c>
      <c r="Q4430" t="str">
        <f t="shared" si="138"/>
        <v>35-49</v>
      </c>
      <c r="R4430" t="str">
        <f t="shared" si="139"/>
        <v>[fyEoGEPERdI]|35-49|Female|PMTCT_ART_SUBNAT.D.T_1|CY2023Q3</v>
      </c>
    </row>
    <row r="4431" spans="4:18" x14ac:dyDescent="0.2">
      <c r="D4431" t="s">
        <v>86</v>
      </c>
      <c r="E4431" t="s">
        <v>87</v>
      </c>
      <c r="F4431" t="s">
        <v>88</v>
      </c>
      <c r="G4431" t="s">
        <v>155</v>
      </c>
      <c r="H4431" t="s">
        <v>156</v>
      </c>
      <c r="I4431" t="s">
        <v>37</v>
      </c>
      <c r="J4431" t="s">
        <v>38</v>
      </c>
      <c r="K4431" t="s">
        <v>29</v>
      </c>
      <c r="L4431" t="s">
        <v>30</v>
      </c>
      <c r="M4431" t="s">
        <v>139</v>
      </c>
      <c r="N4431">
        <v>1073</v>
      </c>
      <c r="O4431" s="14">
        <v>0.69135427800938498</v>
      </c>
      <c r="P4431" s="14">
        <v>0.13333638082258401</v>
      </c>
      <c r="Q4431" t="str">
        <f t="shared" si="138"/>
        <v>15-24</v>
      </c>
      <c r="R4431" t="str">
        <f t="shared" si="139"/>
        <v>[cPtvxaZqXIH]|15-24|Female|PMTCT_ART_SUBNAT.D.T_1|CY2023Q3</v>
      </c>
    </row>
    <row r="4432" spans="4:18" x14ac:dyDescent="0.2">
      <c r="D4432" t="s">
        <v>86</v>
      </c>
      <c r="E4432" t="s">
        <v>87</v>
      </c>
      <c r="F4432" t="s">
        <v>88</v>
      </c>
      <c r="G4432" t="s">
        <v>155</v>
      </c>
      <c r="H4432" t="s">
        <v>156</v>
      </c>
      <c r="I4432" t="s">
        <v>40</v>
      </c>
      <c r="J4432" t="s">
        <v>41</v>
      </c>
      <c r="K4432" t="s">
        <v>29</v>
      </c>
      <c r="L4432" t="s">
        <v>30</v>
      </c>
      <c r="M4432" t="s">
        <v>139</v>
      </c>
      <c r="N4432">
        <v>1103</v>
      </c>
      <c r="O4432" s="14">
        <v>0.88022023509256497</v>
      </c>
      <c r="P4432" s="14">
        <v>0.13333638082258401</v>
      </c>
      <c r="Q4432" t="str">
        <f t="shared" si="138"/>
        <v>25-34</v>
      </c>
      <c r="R4432" t="str">
        <f t="shared" si="139"/>
        <v>[cPtvxaZqXIH]|25-34|Female|PMTCT_ART_SUBNAT.D.T_1|CY2023Q3</v>
      </c>
    </row>
    <row r="4433" spans="4:18" x14ac:dyDescent="0.2">
      <c r="D4433" t="s">
        <v>86</v>
      </c>
      <c r="E4433" t="s">
        <v>87</v>
      </c>
      <c r="F4433" t="s">
        <v>88</v>
      </c>
      <c r="G4433" t="s">
        <v>155</v>
      </c>
      <c r="H4433" t="s">
        <v>156</v>
      </c>
      <c r="I4433" t="s">
        <v>42</v>
      </c>
      <c r="J4433" t="s">
        <v>43</v>
      </c>
      <c r="K4433" t="s">
        <v>29</v>
      </c>
      <c r="L4433" t="s">
        <v>30</v>
      </c>
      <c r="M4433" t="s">
        <v>139</v>
      </c>
      <c r="N4433">
        <v>771</v>
      </c>
      <c r="O4433" s="14">
        <v>0.70876898244023301</v>
      </c>
      <c r="P4433" s="14">
        <v>0.13333638082258401</v>
      </c>
      <c r="Q4433" t="str">
        <f t="shared" si="138"/>
        <v>35-49</v>
      </c>
      <c r="R4433" t="str">
        <f t="shared" si="139"/>
        <v>[cPtvxaZqXIH]|35-49|Female|PMTCT_ART_SUBNAT.D.T_1|CY2023Q3</v>
      </c>
    </row>
    <row r="4434" spans="4:18" x14ac:dyDescent="0.2">
      <c r="D4434" t="s">
        <v>89</v>
      </c>
      <c r="E4434" t="s">
        <v>90</v>
      </c>
      <c r="F4434" t="s">
        <v>91</v>
      </c>
      <c r="G4434" t="s">
        <v>155</v>
      </c>
      <c r="H4434" t="s">
        <v>156</v>
      </c>
      <c r="I4434" t="s">
        <v>37</v>
      </c>
      <c r="J4434" t="s">
        <v>38</v>
      </c>
      <c r="K4434" t="s">
        <v>29</v>
      </c>
      <c r="L4434" t="s">
        <v>30</v>
      </c>
      <c r="M4434" t="s">
        <v>139</v>
      </c>
      <c r="N4434">
        <v>1109</v>
      </c>
      <c r="O4434" s="14">
        <v>0.31418653181754103</v>
      </c>
      <c r="P4434" s="14">
        <v>0.71991415042430196</v>
      </c>
      <c r="Q4434" t="str">
        <f t="shared" si="138"/>
        <v>15-24</v>
      </c>
      <c r="R4434" t="str">
        <f t="shared" si="139"/>
        <v>[AZyWpGzhcaA]|15-24|Female|PMTCT_ART_SUBNAT.D.T_1|CY2023Q3</v>
      </c>
    </row>
    <row r="4435" spans="4:18" x14ac:dyDescent="0.2">
      <c r="D4435" t="s">
        <v>89</v>
      </c>
      <c r="E4435" t="s">
        <v>90</v>
      </c>
      <c r="F4435" t="s">
        <v>91</v>
      </c>
      <c r="G4435" t="s">
        <v>155</v>
      </c>
      <c r="H4435" t="s">
        <v>156</v>
      </c>
      <c r="I4435" t="s">
        <v>40</v>
      </c>
      <c r="J4435" t="s">
        <v>41</v>
      </c>
      <c r="K4435" t="s">
        <v>29</v>
      </c>
      <c r="L4435" t="s">
        <v>30</v>
      </c>
      <c r="M4435" t="s">
        <v>139</v>
      </c>
      <c r="N4435">
        <v>504</v>
      </c>
      <c r="O4435" s="14">
        <v>0.48786840029060802</v>
      </c>
      <c r="P4435" s="14">
        <v>0.71991415042430196</v>
      </c>
      <c r="Q4435" t="str">
        <f t="shared" si="138"/>
        <v>25-34</v>
      </c>
      <c r="R4435" t="str">
        <f t="shared" si="139"/>
        <v>[AZyWpGzhcaA]|25-34|Female|PMTCT_ART_SUBNAT.D.T_1|CY2023Q3</v>
      </c>
    </row>
    <row r="4436" spans="4:18" x14ac:dyDescent="0.2">
      <c r="D4436" t="s">
        <v>89</v>
      </c>
      <c r="E4436" t="s">
        <v>90</v>
      </c>
      <c r="F4436" t="s">
        <v>91</v>
      </c>
      <c r="G4436" t="s">
        <v>155</v>
      </c>
      <c r="H4436" t="s">
        <v>156</v>
      </c>
      <c r="I4436" t="s">
        <v>42</v>
      </c>
      <c r="J4436" t="s">
        <v>43</v>
      </c>
      <c r="K4436" t="s">
        <v>29</v>
      </c>
      <c r="L4436" t="s">
        <v>30</v>
      </c>
      <c r="M4436" t="s">
        <v>139</v>
      </c>
      <c r="N4436">
        <v>1810</v>
      </c>
      <c r="O4436" s="14">
        <v>0.75040029338560998</v>
      </c>
      <c r="P4436" s="14">
        <v>0.71991415042430196</v>
      </c>
      <c r="Q4436" t="str">
        <f t="shared" si="138"/>
        <v>35-49</v>
      </c>
      <c r="R4436" t="str">
        <f t="shared" si="139"/>
        <v>[AZyWpGzhcaA]|35-49|Female|PMTCT_ART_SUBNAT.D.T_1|CY2023Q3</v>
      </c>
    </row>
    <row r="4437" spans="4:18" x14ac:dyDescent="0.2">
      <c r="D4437" t="s">
        <v>92</v>
      </c>
      <c r="E4437" t="s">
        <v>93</v>
      </c>
      <c r="F4437" t="s">
        <v>94</v>
      </c>
      <c r="G4437" t="s">
        <v>155</v>
      </c>
      <c r="H4437" t="s">
        <v>156</v>
      </c>
      <c r="I4437" t="s">
        <v>37</v>
      </c>
      <c r="J4437" t="s">
        <v>38</v>
      </c>
      <c r="K4437" t="s">
        <v>29</v>
      </c>
      <c r="L4437" t="s">
        <v>30</v>
      </c>
      <c r="M4437" t="s">
        <v>139</v>
      </c>
      <c r="N4437">
        <v>742</v>
      </c>
      <c r="O4437" s="14">
        <v>0.91155998641625002</v>
      </c>
      <c r="P4437" s="14">
        <v>0.36227229656651599</v>
      </c>
      <c r="Q4437" t="str">
        <f t="shared" si="138"/>
        <v>15-24</v>
      </c>
      <c r="R4437" t="str">
        <f t="shared" si="139"/>
        <v>[umc2n1Z4wNv]|15-24|Female|PMTCT_ART_SUBNAT.D.T_1|CY2023Q3</v>
      </c>
    </row>
    <row r="4438" spans="4:18" x14ac:dyDescent="0.2">
      <c r="D4438" t="s">
        <v>92</v>
      </c>
      <c r="E4438" t="s">
        <v>93</v>
      </c>
      <c r="F4438" t="s">
        <v>94</v>
      </c>
      <c r="G4438" t="s">
        <v>155</v>
      </c>
      <c r="H4438" t="s">
        <v>156</v>
      </c>
      <c r="I4438" t="s">
        <v>40</v>
      </c>
      <c r="J4438" t="s">
        <v>41</v>
      </c>
      <c r="K4438" t="s">
        <v>29</v>
      </c>
      <c r="L4438" t="s">
        <v>30</v>
      </c>
      <c r="M4438" t="s">
        <v>139</v>
      </c>
      <c r="N4438">
        <v>1320</v>
      </c>
      <c r="O4438" s="14">
        <v>0.17947076074779</v>
      </c>
      <c r="P4438" s="14">
        <v>0.36227229656651599</v>
      </c>
      <c r="Q4438" t="str">
        <f t="shared" si="138"/>
        <v>25-34</v>
      </c>
      <c r="R4438" t="str">
        <f t="shared" si="139"/>
        <v>[umc2n1Z4wNv]|25-34|Female|PMTCT_ART_SUBNAT.D.T_1|CY2023Q3</v>
      </c>
    </row>
    <row r="4439" spans="4:18" x14ac:dyDescent="0.2">
      <c r="D4439" t="s">
        <v>92</v>
      </c>
      <c r="E4439" t="s">
        <v>93</v>
      </c>
      <c r="F4439" t="s">
        <v>94</v>
      </c>
      <c r="G4439" t="s">
        <v>155</v>
      </c>
      <c r="H4439" t="s">
        <v>156</v>
      </c>
      <c r="I4439" t="s">
        <v>42</v>
      </c>
      <c r="J4439" t="s">
        <v>43</v>
      </c>
      <c r="K4439" t="s">
        <v>29</v>
      </c>
      <c r="L4439" t="s">
        <v>30</v>
      </c>
      <c r="M4439" t="s">
        <v>139</v>
      </c>
      <c r="N4439">
        <v>1237</v>
      </c>
      <c r="O4439" s="14">
        <v>0.64171603205613803</v>
      </c>
      <c r="P4439" s="14">
        <v>0.36227229656651599</v>
      </c>
      <c r="Q4439" t="str">
        <f t="shared" si="138"/>
        <v>35-49</v>
      </c>
      <c r="R4439" t="str">
        <f t="shared" si="139"/>
        <v>[umc2n1Z4wNv]|35-49|Female|PMTCT_ART_SUBNAT.D.T_1|CY2023Q3</v>
      </c>
    </row>
    <row r="4440" spans="4:18" x14ac:dyDescent="0.2">
      <c r="D4440" t="s">
        <v>95</v>
      </c>
      <c r="E4440" t="s">
        <v>96</v>
      </c>
      <c r="F4440" t="s">
        <v>97</v>
      </c>
      <c r="G4440" t="s">
        <v>155</v>
      </c>
      <c r="H4440" t="s">
        <v>156</v>
      </c>
      <c r="I4440" t="s">
        <v>37</v>
      </c>
      <c r="J4440" t="s">
        <v>38</v>
      </c>
      <c r="K4440" t="s">
        <v>29</v>
      </c>
      <c r="L4440" t="s">
        <v>30</v>
      </c>
      <c r="M4440" t="s">
        <v>139</v>
      </c>
      <c r="N4440">
        <v>645</v>
      </c>
      <c r="O4440" s="14">
        <v>0.223836496239528</v>
      </c>
      <c r="P4440" s="14">
        <v>0.60125171788968101</v>
      </c>
      <c r="Q4440" t="str">
        <f t="shared" si="138"/>
        <v>15-24</v>
      </c>
      <c r="R4440" t="str">
        <f t="shared" si="139"/>
        <v>[gwVYinjBAe9]|15-24|Female|PMTCT_ART_SUBNAT.D.T_1|CY2023Q3</v>
      </c>
    </row>
    <row r="4441" spans="4:18" x14ac:dyDescent="0.2">
      <c r="D4441" t="s">
        <v>95</v>
      </c>
      <c r="E4441" t="s">
        <v>96</v>
      </c>
      <c r="F4441" t="s">
        <v>97</v>
      </c>
      <c r="G4441" t="s">
        <v>155</v>
      </c>
      <c r="H4441" t="s">
        <v>156</v>
      </c>
      <c r="I4441" t="s">
        <v>40</v>
      </c>
      <c r="J4441" t="s">
        <v>41</v>
      </c>
      <c r="K4441" t="s">
        <v>29</v>
      </c>
      <c r="L4441" t="s">
        <v>30</v>
      </c>
      <c r="M4441" t="s">
        <v>139</v>
      </c>
      <c r="N4441">
        <v>1181</v>
      </c>
      <c r="O4441" s="14">
        <v>0.93181615159846798</v>
      </c>
      <c r="P4441" s="14">
        <v>0.60125171788968101</v>
      </c>
      <c r="Q4441" t="str">
        <f t="shared" si="138"/>
        <v>25-34</v>
      </c>
      <c r="R4441" t="str">
        <f t="shared" si="139"/>
        <v>[gwVYinjBAe9]|25-34|Female|PMTCT_ART_SUBNAT.D.T_1|CY2023Q3</v>
      </c>
    </row>
    <row r="4442" spans="4:18" x14ac:dyDescent="0.2">
      <c r="D4442" t="s">
        <v>95</v>
      </c>
      <c r="E4442" t="s">
        <v>96</v>
      </c>
      <c r="F4442" t="s">
        <v>97</v>
      </c>
      <c r="G4442" t="s">
        <v>155</v>
      </c>
      <c r="H4442" t="s">
        <v>156</v>
      </c>
      <c r="I4442" t="s">
        <v>42</v>
      </c>
      <c r="J4442" t="s">
        <v>43</v>
      </c>
      <c r="K4442" t="s">
        <v>29</v>
      </c>
      <c r="L4442" t="s">
        <v>30</v>
      </c>
      <c r="M4442" t="s">
        <v>139</v>
      </c>
      <c r="N4442">
        <v>1972</v>
      </c>
      <c r="O4442" s="14">
        <v>0.69632128369994495</v>
      </c>
      <c r="P4442" s="14">
        <v>0.60125171788968101</v>
      </c>
      <c r="Q4442" t="str">
        <f t="shared" si="138"/>
        <v>35-49</v>
      </c>
      <c r="R4442" t="str">
        <f t="shared" si="139"/>
        <v>[gwVYinjBAe9]|35-49|Female|PMTCT_ART_SUBNAT.D.T_1|CY2023Q3</v>
      </c>
    </row>
    <row r="4443" spans="4:18" x14ac:dyDescent="0.2">
      <c r="D4443" t="s">
        <v>98</v>
      </c>
      <c r="E4443" t="s">
        <v>99</v>
      </c>
      <c r="F4443" t="s">
        <v>100</v>
      </c>
      <c r="G4443" t="s">
        <v>155</v>
      </c>
      <c r="H4443" t="s">
        <v>156</v>
      </c>
      <c r="I4443" t="s">
        <v>37</v>
      </c>
      <c r="J4443" t="s">
        <v>38</v>
      </c>
      <c r="K4443" t="s">
        <v>29</v>
      </c>
      <c r="L4443" t="s">
        <v>30</v>
      </c>
      <c r="M4443" t="s">
        <v>139</v>
      </c>
      <c r="N4443">
        <v>722</v>
      </c>
      <c r="O4443" s="14">
        <v>0.66266210423782501</v>
      </c>
      <c r="P4443" s="14">
        <v>0.57728803809732199</v>
      </c>
      <c r="Q4443" t="str">
        <f t="shared" si="138"/>
        <v>15-24</v>
      </c>
      <c r="R4443" t="str">
        <f t="shared" si="139"/>
        <v>[mxqa3CDFmIT]|15-24|Female|PMTCT_ART_SUBNAT.D.T_1|CY2023Q3</v>
      </c>
    </row>
    <row r="4444" spans="4:18" x14ac:dyDescent="0.2">
      <c r="D4444" t="s">
        <v>98</v>
      </c>
      <c r="E4444" t="s">
        <v>99</v>
      </c>
      <c r="F4444" t="s">
        <v>100</v>
      </c>
      <c r="G4444" t="s">
        <v>155</v>
      </c>
      <c r="H4444" t="s">
        <v>156</v>
      </c>
      <c r="I4444" t="s">
        <v>40</v>
      </c>
      <c r="J4444" t="s">
        <v>41</v>
      </c>
      <c r="K4444" t="s">
        <v>29</v>
      </c>
      <c r="L4444" t="s">
        <v>30</v>
      </c>
      <c r="M4444" t="s">
        <v>139</v>
      </c>
      <c r="N4444">
        <v>698</v>
      </c>
      <c r="O4444" s="14">
        <v>0.43592003895901099</v>
      </c>
      <c r="P4444" s="14">
        <v>0.57728803809732199</v>
      </c>
      <c r="Q4444" t="str">
        <f t="shared" si="138"/>
        <v>25-34</v>
      </c>
      <c r="R4444" t="str">
        <f t="shared" si="139"/>
        <v>[mxqa3CDFmIT]|25-34|Female|PMTCT_ART_SUBNAT.D.T_1|CY2023Q3</v>
      </c>
    </row>
    <row r="4445" spans="4:18" x14ac:dyDescent="0.2">
      <c r="D4445" t="s">
        <v>98</v>
      </c>
      <c r="E4445" t="s">
        <v>99</v>
      </c>
      <c r="F4445" t="s">
        <v>100</v>
      </c>
      <c r="G4445" t="s">
        <v>155</v>
      </c>
      <c r="H4445" t="s">
        <v>156</v>
      </c>
      <c r="I4445" t="s">
        <v>42</v>
      </c>
      <c r="J4445" t="s">
        <v>43</v>
      </c>
      <c r="K4445" t="s">
        <v>29</v>
      </c>
      <c r="L4445" t="s">
        <v>30</v>
      </c>
      <c r="M4445" t="s">
        <v>139</v>
      </c>
      <c r="N4445">
        <v>1035</v>
      </c>
      <c r="O4445" s="14">
        <v>0.68636833014898002</v>
      </c>
      <c r="P4445" s="14">
        <v>0.57728803809732199</v>
      </c>
      <c r="Q4445" t="str">
        <f t="shared" si="138"/>
        <v>35-49</v>
      </c>
      <c r="R4445" t="str">
        <f t="shared" si="139"/>
        <v>[mxqa3CDFmIT]|35-49|Female|PMTCT_ART_SUBNAT.D.T_1|CY2023Q3</v>
      </c>
    </row>
    <row r="4446" spans="4:18" x14ac:dyDescent="0.2">
      <c r="D4446" t="s">
        <v>101</v>
      </c>
      <c r="E4446" t="s">
        <v>102</v>
      </c>
      <c r="F4446" t="s">
        <v>103</v>
      </c>
      <c r="G4446" t="s">
        <v>155</v>
      </c>
      <c r="H4446" t="s">
        <v>156</v>
      </c>
      <c r="I4446" t="s">
        <v>37</v>
      </c>
      <c r="J4446" t="s">
        <v>38</v>
      </c>
      <c r="K4446" t="s">
        <v>29</v>
      </c>
      <c r="L4446" t="s">
        <v>30</v>
      </c>
      <c r="M4446" t="s">
        <v>139</v>
      </c>
      <c r="N4446">
        <v>1203</v>
      </c>
      <c r="O4446" s="14">
        <v>0.13327564811334</v>
      </c>
      <c r="P4446" s="14">
        <v>0.52621235931292198</v>
      </c>
      <c r="Q4446" t="str">
        <f t="shared" si="138"/>
        <v>15-24</v>
      </c>
      <c r="R4446" t="str">
        <f t="shared" si="139"/>
        <v>[wNqJp8oRIcF]|15-24|Female|PMTCT_ART_SUBNAT.D.T_1|CY2023Q3</v>
      </c>
    </row>
    <row r="4447" spans="4:18" x14ac:dyDescent="0.2">
      <c r="D4447" t="s">
        <v>101</v>
      </c>
      <c r="E4447" t="s">
        <v>102</v>
      </c>
      <c r="F4447" t="s">
        <v>103</v>
      </c>
      <c r="G4447" t="s">
        <v>155</v>
      </c>
      <c r="H4447" t="s">
        <v>156</v>
      </c>
      <c r="I4447" t="s">
        <v>40</v>
      </c>
      <c r="J4447" t="s">
        <v>41</v>
      </c>
      <c r="K4447" t="s">
        <v>29</v>
      </c>
      <c r="L4447" t="s">
        <v>30</v>
      </c>
      <c r="M4447" t="s">
        <v>139</v>
      </c>
      <c r="N4447">
        <v>1608</v>
      </c>
      <c r="O4447" s="14">
        <v>0.81893759989179704</v>
      </c>
      <c r="P4447" s="14">
        <v>0.52621235931292198</v>
      </c>
      <c r="Q4447" t="str">
        <f t="shared" si="138"/>
        <v>25-34</v>
      </c>
      <c r="R4447" t="str">
        <f t="shared" si="139"/>
        <v>[wNqJp8oRIcF]|25-34|Female|PMTCT_ART_SUBNAT.D.T_1|CY2023Q3</v>
      </c>
    </row>
    <row r="4448" spans="4:18" x14ac:dyDescent="0.2">
      <c r="D4448" t="s">
        <v>101</v>
      </c>
      <c r="E4448" t="s">
        <v>102</v>
      </c>
      <c r="F4448" t="s">
        <v>103</v>
      </c>
      <c r="G4448" t="s">
        <v>155</v>
      </c>
      <c r="H4448" t="s">
        <v>156</v>
      </c>
      <c r="I4448" t="s">
        <v>42</v>
      </c>
      <c r="J4448" t="s">
        <v>43</v>
      </c>
      <c r="K4448" t="s">
        <v>29</v>
      </c>
      <c r="L4448" t="s">
        <v>30</v>
      </c>
      <c r="M4448" t="s">
        <v>139</v>
      </c>
      <c r="N4448">
        <v>1943</v>
      </c>
      <c r="O4448" s="14">
        <v>0.186365687754005</v>
      </c>
      <c r="P4448" s="14">
        <v>0.52621235931292198</v>
      </c>
      <c r="Q4448" t="str">
        <f t="shared" si="138"/>
        <v>35-49</v>
      </c>
      <c r="R4448" t="str">
        <f t="shared" si="139"/>
        <v>[wNqJp8oRIcF]|35-49|Female|PMTCT_ART_SUBNAT.D.T_1|CY2023Q3</v>
      </c>
    </row>
    <row r="4449" spans="4:18" x14ac:dyDescent="0.2">
      <c r="D4449" t="s">
        <v>104</v>
      </c>
      <c r="E4449" t="s">
        <v>105</v>
      </c>
      <c r="F4449" t="s">
        <v>106</v>
      </c>
      <c r="G4449" t="s">
        <v>155</v>
      </c>
      <c r="H4449" t="s">
        <v>156</v>
      </c>
      <c r="I4449" t="s">
        <v>37</v>
      </c>
      <c r="J4449" t="s">
        <v>38</v>
      </c>
      <c r="K4449" t="s">
        <v>29</v>
      </c>
      <c r="L4449" t="s">
        <v>30</v>
      </c>
      <c r="M4449" t="s">
        <v>139</v>
      </c>
      <c r="N4449">
        <v>1582</v>
      </c>
      <c r="O4449" s="14">
        <v>0.42842626408673801</v>
      </c>
      <c r="P4449" s="14">
        <v>0.21824956033378801</v>
      </c>
      <c r="Q4449" t="str">
        <f t="shared" si="138"/>
        <v>15-24</v>
      </c>
      <c r="R4449" t="str">
        <f t="shared" si="139"/>
        <v>[oiPR2CiVJbf]|15-24|Female|PMTCT_ART_SUBNAT.D.T_1|CY2023Q3</v>
      </c>
    </row>
    <row r="4450" spans="4:18" x14ac:dyDescent="0.2">
      <c r="D4450" t="s">
        <v>104</v>
      </c>
      <c r="E4450" t="s">
        <v>105</v>
      </c>
      <c r="F4450" t="s">
        <v>106</v>
      </c>
      <c r="G4450" t="s">
        <v>155</v>
      </c>
      <c r="H4450" t="s">
        <v>156</v>
      </c>
      <c r="I4450" t="s">
        <v>40</v>
      </c>
      <c r="J4450" t="s">
        <v>41</v>
      </c>
      <c r="K4450" t="s">
        <v>29</v>
      </c>
      <c r="L4450" t="s">
        <v>30</v>
      </c>
      <c r="M4450" t="s">
        <v>139</v>
      </c>
      <c r="N4450">
        <v>748</v>
      </c>
      <c r="O4450" s="14">
        <v>0.56680839415639594</v>
      </c>
      <c r="P4450" s="14">
        <v>0.21824956033378801</v>
      </c>
      <c r="Q4450" t="str">
        <f t="shared" si="138"/>
        <v>25-34</v>
      </c>
      <c r="R4450" t="str">
        <f t="shared" si="139"/>
        <v>[oiPR2CiVJbf]|25-34|Female|PMTCT_ART_SUBNAT.D.T_1|CY2023Q3</v>
      </c>
    </row>
    <row r="4451" spans="4:18" x14ac:dyDescent="0.2">
      <c r="D4451" t="s">
        <v>104</v>
      </c>
      <c r="E4451" t="s">
        <v>105</v>
      </c>
      <c r="F4451" t="s">
        <v>106</v>
      </c>
      <c r="G4451" t="s">
        <v>155</v>
      </c>
      <c r="H4451" t="s">
        <v>156</v>
      </c>
      <c r="I4451" t="s">
        <v>42</v>
      </c>
      <c r="J4451" t="s">
        <v>43</v>
      </c>
      <c r="K4451" t="s">
        <v>29</v>
      </c>
      <c r="L4451" t="s">
        <v>30</v>
      </c>
      <c r="M4451" t="s">
        <v>139</v>
      </c>
      <c r="N4451">
        <v>940</v>
      </c>
      <c r="O4451" s="14">
        <v>0.84473715629428603</v>
      </c>
      <c r="P4451" s="14">
        <v>0.21824956033378801</v>
      </c>
      <c r="Q4451" t="str">
        <f t="shared" si="138"/>
        <v>35-49</v>
      </c>
      <c r="R4451" t="str">
        <f t="shared" si="139"/>
        <v>[oiPR2CiVJbf]|35-49|Female|PMTCT_ART_SUBNAT.D.T_1|CY2023Q3</v>
      </c>
    </row>
    <row r="4452" spans="4:18" x14ac:dyDescent="0.2">
      <c r="D4452" t="s">
        <v>107</v>
      </c>
      <c r="E4452" t="s">
        <v>108</v>
      </c>
      <c r="F4452" t="s">
        <v>109</v>
      </c>
      <c r="G4452" t="s">
        <v>155</v>
      </c>
      <c r="H4452" t="s">
        <v>156</v>
      </c>
      <c r="I4452" t="s">
        <v>37</v>
      </c>
      <c r="J4452" t="s">
        <v>38</v>
      </c>
      <c r="K4452" t="s">
        <v>29</v>
      </c>
      <c r="L4452" t="s">
        <v>30</v>
      </c>
      <c r="M4452" t="s">
        <v>139</v>
      </c>
      <c r="N4452">
        <v>1566</v>
      </c>
      <c r="O4452" s="14">
        <v>0.41345283552072898</v>
      </c>
      <c r="P4452" s="14">
        <v>0.43422180437482899</v>
      </c>
      <c r="Q4452" t="str">
        <f t="shared" si="138"/>
        <v>15-24</v>
      </c>
      <c r="R4452" t="str">
        <f t="shared" si="139"/>
        <v>[ul0y9diGujK]|15-24|Female|PMTCT_ART_SUBNAT.D.T_1|CY2023Q3</v>
      </c>
    </row>
    <row r="4453" spans="4:18" x14ac:dyDescent="0.2">
      <c r="D4453" t="s">
        <v>107</v>
      </c>
      <c r="E4453" t="s">
        <v>108</v>
      </c>
      <c r="F4453" t="s">
        <v>109</v>
      </c>
      <c r="G4453" t="s">
        <v>155</v>
      </c>
      <c r="H4453" t="s">
        <v>156</v>
      </c>
      <c r="I4453" t="s">
        <v>40</v>
      </c>
      <c r="J4453" t="s">
        <v>41</v>
      </c>
      <c r="K4453" t="s">
        <v>29</v>
      </c>
      <c r="L4453" t="s">
        <v>30</v>
      </c>
      <c r="M4453" t="s">
        <v>139</v>
      </c>
      <c r="N4453">
        <v>623</v>
      </c>
      <c r="O4453" s="14">
        <v>0.202117185574025</v>
      </c>
      <c r="P4453" s="14">
        <v>0.43422180437482899</v>
      </c>
      <c r="Q4453" t="str">
        <f t="shared" si="138"/>
        <v>25-34</v>
      </c>
      <c r="R4453" t="str">
        <f t="shared" si="139"/>
        <v>[ul0y9diGujK]|25-34|Female|PMTCT_ART_SUBNAT.D.T_1|CY2023Q3</v>
      </c>
    </row>
    <row r="4454" spans="4:18" x14ac:dyDescent="0.2">
      <c r="D4454" t="s">
        <v>107</v>
      </c>
      <c r="E4454" t="s">
        <v>108</v>
      </c>
      <c r="F4454" t="s">
        <v>109</v>
      </c>
      <c r="G4454" t="s">
        <v>155</v>
      </c>
      <c r="H4454" t="s">
        <v>156</v>
      </c>
      <c r="I4454" t="s">
        <v>42</v>
      </c>
      <c r="J4454" t="s">
        <v>43</v>
      </c>
      <c r="K4454" t="s">
        <v>29</v>
      </c>
      <c r="L4454" t="s">
        <v>30</v>
      </c>
      <c r="M4454" t="s">
        <v>139</v>
      </c>
      <c r="N4454">
        <v>1266</v>
      </c>
      <c r="O4454" s="14">
        <v>0.67152791935950495</v>
      </c>
      <c r="P4454" s="14">
        <v>0.43422180437482899</v>
      </c>
      <c r="Q4454" t="str">
        <f t="shared" si="138"/>
        <v>35-49</v>
      </c>
      <c r="R4454" t="str">
        <f t="shared" si="139"/>
        <v>[ul0y9diGujK]|35-49|Female|PMTCT_ART_SUBNAT.D.T_1|CY2023Q3</v>
      </c>
    </row>
    <row r="4455" spans="4:18" x14ac:dyDescent="0.2">
      <c r="D4455" t="s">
        <v>110</v>
      </c>
      <c r="E4455" t="s">
        <v>111</v>
      </c>
      <c r="F4455" t="s">
        <v>112</v>
      </c>
      <c r="G4455" t="s">
        <v>155</v>
      </c>
      <c r="H4455" t="s">
        <v>156</v>
      </c>
      <c r="I4455" t="s">
        <v>37</v>
      </c>
      <c r="J4455" t="s">
        <v>38</v>
      </c>
      <c r="K4455" t="s">
        <v>29</v>
      </c>
      <c r="L4455" t="s">
        <v>30</v>
      </c>
      <c r="M4455" t="s">
        <v>139</v>
      </c>
      <c r="N4455">
        <v>1612</v>
      </c>
      <c r="O4455" s="14">
        <v>0.33029385958798202</v>
      </c>
      <c r="P4455" s="14">
        <v>0.33776879496872397</v>
      </c>
      <c r="Q4455" t="str">
        <f t="shared" si="138"/>
        <v>15-24</v>
      </c>
      <c r="R4455" t="str">
        <f t="shared" si="139"/>
        <v>[U8c0so51kT6]|15-24|Female|PMTCT_ART_SUBNAT.D.T_1|CY2023Q3</v>
      </c>
    </row>
    <row r="4456" spans="4:18" x14ac:dyDescent="0.2">
      <c r="D4456" t="s">
        <v>110</v>
      </c>
      <c r="E4456" t="s">
        <v>111</v>
      </c>
      <c r="F4456" t="s">
        <v>112</v>
      </c>
      <c r="G4456" t="s">
        <v>155</v>
      </c>
      <c r="H4456" t="s">
        <v>156</v>
      </c>
      <c r="I4456" t="s">
        <v>40</v>
      </c>
      <c r="J4456" t="s">
        <v>41</v>
      </c>
      <c r="K4456" t="s">
        <v>29</v>
      </c>
      <c r="L4456" t="s">
        <v>30</v>
      </c>
      <c r="M4456" t="s">
        <v>139</v>
      </c>
      <c r="N4456">
        <v>1218</v>
      </c>
      <c r="O4456" s="14">
        <v>6.9957498926669403E-3</v>
      </c>
      <c r="P4456" s="14">
        <v>0.33776879496872397</v>
      </c>
      <c r="Q4456" t="str">
        <f t="shared" si="138"/>
        <v>25-34</v>
      </c>
      <c r="R4456" t="str">
        <f t="shared" si="139"/>
        <v>[U8c0so51kT6]|25-34|Female|PMTCT_ART_SUBNAT.D.T_1|CY2023Q3</v>
      </c>
    </row>
    <row r="4457" spans="4:18" x14ac:dyDescent="0.2">
      <c r="D4457" t="s">
        <v>110</v>
      </c>
      <c r="E4457" t="s">
        <v>111</v>
      </c>
      <c r="F4457" t="s">
        <v>112</v>
      </c>
      <c r="G4457" t="s">
        <v>155</v>
      </c>
      <c r="H4457" t="s">
        <v>156</v>
      </c>
      <c r="I4457" t="s">
        <v>42</v>
      </c>
      <c r="J4457" t="s">
        <v>43</v>
      </c>
      <c r="K4457" t="s">
        <v>29</v>
      </c>
      <c r="L4457" t="s">
        <v>30</v>
      </c>
      <c r="M4457" t="s">
        <v>139</v>
      </c>
      <c r="N4457">
        <v>1581</v>
      </c>
      <c r="O4457" s="14">
        <v>0.281834057997912</v>
      </c>
      <c r="P4457" s="14">
        <v>0.33776879496872397</v>
      </c>
      <c r="Q4457" t="str">
        <f t="shared" si="138"/>
        <v>35-49</v>
      </c>
      <c r="R4457" t="str">
        <f t="shared" si="139"/>
        <v>[U8c0so51kT6]|35-49|Female|PMTCT_ART_SUBNAT.D.T_1|CY2023Q3</v>
      </c>
    </row>
    <row r="4458" spans="4:18" x14ac:dyDescent="0.2">
      <c r="D4458" t="s">
        <v>113</v>
      </c>
      <c r="E4458" t="s">
        <v>114</v>
      </c>
      <c r="F4458" t="s">
        <v>115</v>
      </c>
      <c r="G4458" t="s">
        <v>155</v>
      </c>
      <c r="H4458" t="s">
        <v>156</v>
      </c>
      <c r="I4458" t="s">
        <v>37</v>
      </c>
      <c r="J4458" t="s">
        <v>38</v>
      </c>
      <c r="K4458" t="s">
        <v>29</v>
      </c>
      <c r="L4458" t="s">
        <v>30</v>
      </c>
      <c r="M4458" t="s">
        <v>139</v>
      </c>
      <c r="N4458">
        <v>1212</v>
      </c>
      <c r="O4458" s="14">
        <v>0.77178655355237402</v>
      </c>
      <c r="P4458" s="14">
        <v>0.29855980910360802</v>
      </c>
      <c r="Q4458" t="str">
        <f t="shared" si="138"/>
        <v>15-24</v>
      </c>
      <c r="R4458" t="str">
        <f t="shared" si="139"/>
        <v>[rpw540fmNUz]|15-24|Female|PMTCT_ART_SUBNAT.D.T_1|CY2023Q3</v>
      </c>
    </row>
    <row r="4459" spans="4:18" x14ac:dyDescent="0.2">
      <c r="D4459" t="s">
        <v>113</v>
      </c>
      <c r="E4459" t="s">
        <v>114</v>
      </c>
      <c r="F4459" t="s">
        <v>115</v>
      </c>
      <c r="G4459" t="s">
        <v>155</v>
      </c>
      <c r="H4459" t="s">
        <v>156</v>
      </c>
      <c r="I4459" t="s">
        <v>40</v>
      </c>
      <c r="J4459" t="s">
        <v>41</v>
      </c>
      <c r="K4459" t="s">
        <v>29</v>
      </c>
      <c r="L4459" t="s">
        <v>30</v>
      </c>
      <c r="M4459" t="s">
        <v>139</v>
      </c>
      <c r="N4459">
        <v>1665</v>
      </c>
      <c r="O4459" s="14">
        <v>0.98621271410957001</v>
      </c>
      <c r="P4459" s="14">
        <v>0.29855980910360802</v>
      </c>
      <c r="Q4459" t="str">
        <f t="shared" si="138"/>
        <v>25-34</v>
      </c>
      <c r="R4459" t="str">
        <f t="shared" si="139"/>
        <v>[rpw540fmNUz]|25-34|Female|PMTCT_ART_SUBNAT.D.T_1|CY2023Q3</v>
      </c>
    </row>
    <row r="4460" spans="4:18" x14ac:dyDescent="0.2">
      <c r="D4460" t="s">
        <v>113</v>
      </c>
      <c r="E4460" t="s">
        <v>114</v>
      </c>
      <c r="F4460" t="s">
        <v>115</v>
      </c>
      <c r="G4460" t="s">
        <v>155</v>
      </c>
      <c r="H4460" t="s">
        <v>156</v>
      </c>
      <c r="I4460" t="s">
        <v>42</v>
      </c>
      <c r="J4460" t="s">
        <v>43</v>
      </c>
      <c r="K4460" t="s">
        <v>29</v>
      </c>
      <c r="L4460" t="s">
        <v>30</v>
      </c>
      <c r="M4460" t="s">
        <v>139</v>
      </c>
      <c r="N4460">
        <v>713</v>
      </c>
      <c r="O4460" s="14">
        <v>0.73675499437376901</v>
      </c>
      <c r="P4460" s="14">
        <v>0.29855980910360802</v>
      </c>
      <c r="Q4460" t="str">
        <f t="shared" si="138"/>
        <v>35-49</v>
      </c>
      <c r="R4460" t="str">
        <f t="shared" si="139"/>
        <v>[rpw540fmNUz]|35-49|Female|PMTCT_ART_SUBNAT.D.T_1|CY2023Q3</v>
      </c>
    </row>
    <row r="4461" spans="4:18" x14ac:dyDescent="0.2">
      <c r="D4461" t="s">
        <v>116</v>
      </c>
      <c r="E4461" t="s">
        <v>117</v>
      </c>
      <c r="F4461" t="s">
        <v>118</v>
      </c>
      <c r="G4461" t="s">
        <v>155</v>
      </c>
      <c r="H4461" t="s">
        <v>156</v>
      </c>
      <c r="I4461" t="s">
        <v>37</v>
      </c>
      <c r="J4461" t="s">
        <v>38</v>
      </c>
      <c r="K4461" t="s">
        <v>29</v>
      </c>
      <c r="L4461" t="s">
        <v>30</v>
      </c>
      <c r="M4461" t="s">
        <v>139</v>
      </c>
      <c r="N4461">
        <v>1459</v>
      </c>
      <c r="O4461" s="14">
        <v>0.45072439452633301</v>
      </c>
      <c r="P4461" s="14">
        <v>0.206259709550068</v>
      </c>
      <c r="Q4461" t="str">
        <f t="shared" si="138"/>
        <v>15-24</v>
      </c>
      <c r="R4461" t="str">
        <f t="shared" si="139"/>
        <v>[lPTyjLi4w3d]|15-24|Female|PMTCT_ART_SUBNAT.D.T_1|CY2023Q3</v>
      </c>
    </row>
    <row r="4462" spans="4:18" x14ac:dyDescent="0.2">
      <c r="D4462" t="s">
        <v>116</v>
      </c>
      <c r="E4462" t="s">
        <v>117</v>
      </c>
      <c r="F4462" t="s">
        <v>118</v>
      </c>
      <c r="G4462" t="s">
        <v>155</v>
      </c>
      <c r="H4462" t="s">
        <v>156</v>
      </c>
      <c r="I4462" t="s">
        <v>40</v>
      </c>
      <c r="J4462" t="s">
        <v>41</v>
      </c>
      <c r="K4462" t="s">
        <v>29</v>
      </c>
      <c r="L4462" t="s">
        <v>30</v>
      </c>
      <c r="M4462" t="s">
        <v>139</v>
      </c>
      <c r="N4462">
        <v>677</v>
      </c>
      <c r="O4462" s="14">
        <v>0.103770412970334</v>
      </c>
      <c r="P4462" s="14">
        <v>0.206259709550068</v>
      </c>
      <c r="Q4462" t="str">
        <f t="shared" si="138"/>
        <v>25-34</v>
      </c>
      <c r="R4462" t="str">
        <f t="shared" si="139"/>
        <v>[lPTyjLi4w3d]|25-34|Female|PMTCT_ART_SUBNAT.D.T_1|CY2023Q3</v>
      </c>
    </row>
    <row r="4463" spans="4:18" x14ac:dyDescent="0.2">
      <c r="D4463" t="s">
        <v>116</v>
      </c>
      <c r="E4463" t="s">
        <v>117</v>
      </c>
      <c r="F4463" t="s">
        <v>118</v>
      </c>
      <c r="G4463" t="s">
        <v>155</v>
      </c>
      <c r="H4463" t="s">
        <v>156</v>
      </c>
      <c r="I4463" t="s">
        <v>42</v>
      </c>
      <c r="J4463" t="s">
        <v>43</v>
      </c>
      <c r="K4463" t="s">
        <v>29</v>
      </c>
      <c r="L4463" t="s">
        <v>30</v>
      </c>
      <c r="M4463" t="s">
        <v>139</v>
      </c>
      <c r="N4463">
        <v>838</v>
      </c>
      <c r="O4463" s="14">
        <v>0.97878384101204596</v>
      </c>
      <c r="P4463" s="14">
        <v>0.206259709550068</v>
      </c>
      <c r="Q4463" t="str">
        <f t="shared" si="138"/>
        <v>35-49</v>
      </c>
      <c r="R4463" t="str">
        <f t="shared" si="139"/>
        <v>[lPTyjLi4w3d]|35-49|Female|PMTCT_ART_SUBNAT.D.T_1|CY2023Q3</v>
      </c>
    </row>
    <row r="4464" spans="4:18" x14ac:dyDescent="0.2">
      <c r="D4464" t="s">
        <v>119</v>
      </c>
      <c r="E4464" t="s">
        <v>120</v>
      </c>
      <c r="F4464" t="s">
        <v>121</v>
      </c>
      <c r="G4464" t="s">
        <v>155</v>
      </c>
      <c r="H4464" t="s">
        <v>156</v>
      </c>
      <c r="I4464" t="s">
        <v>37</v>
      </c>
      <c r="J4464" t="s">
        <v>38</v>
      </c>
      <c r="K4464" t="s">
        <v>29</v>
      </c>
      <c r="L4464" t="s">
        <v>30</v>
      </c>
      <c r="M4464" t="s">
        <v>139</v>
      </c>
      <c r="N4464">
        <v>1279</v>
      </c>
      <c r="O4464" s="14">
        <v>0.64722032588906597</v>
      </c>
      <c r="P4464" s="14">
        <v>0.43010397930629601</v>
      </c>
      <c r="Q4464" t="str">
        <f t="shared" si="138"/>
        <v>15-24</v>
      </c>
      <c r="R4464" t="str">
        <f t="shared" si="139"/>
        <v>[vA4NcHxfMBq]|15-24|Female|PMTCT_ART_SUBNAT.D.T_1|CY2023Q3</v>
      </c>
    </row>
    <row r="4465" spans="4:18" x14ac:dyDescent="0.2">
      <c r="D4465" t="s">
        <v>119</v>
      </c>
      <c r="E4465" t="s">
        <v>120</v>
      </c>
      <c r="F4465" t="s">
        <v>121</v>
      </c>
      <c r="G4465" t="s">
        <v>155</v>
      </c>
      <c r="H4465" t="s">
        <v>156</v>
      </c>
      <c r="I4465" t="s">
        <v>40</v>
      </c>
      <c r="J4465" t="s">
        <v>41</v>
      </c>
      <c r="K4465" t="s">
        <v>29</v>
      </c>
      <c r="L4465" t="s">
        <v>30</v>
      </c>
      <c r="M4465" t="s">
        <v>139</v>
      </c>
      <c r="N4465">
        <v>1834</v>
      </c>
      <c r="O4465" s="14">
        <v>0.413544632028788</v>
      </c>
      <c r="P4465" s="14">
        <v>0.43010397930629601</v>
      </c>
      <c r="Q4465" t="str">
        <f t="shared" si="138"/>
        <v>25-34</v>
      </c>
      <c r="R4465" t="str">
        <f t="shared" si="139"/>
        <v>[vA4NcHxfMBq]|25-34|Female|PMTCT_ART_SUBNAT.D.T_1|CY2023Q3</v>
      </c>
    </row>
    <row r="4466" spans="4:18" x14ac:dyDescent="0.2">
      <c r="D4466" t="s">
        <v>119</v>
      </c>
      <c r="E4466" t="s">
        <v>120</v>
      </c>
      <c r="F4466" t="s">
        <v>121</v>
      </c>
      <c r="G4466" t="s">
        <v>155</v>
      </c>
      <c r="H4466" t="s">
        <v>156</v>
      </c>
      <c r="I4466" t="s">
        <v>42</v>
      </c>
      <c r="J4466" t="s">
        <v>43</v>
      </c>
      <c r="K4466" t="s">
        <v>29</v>
      </c>
      <c r="L4466" t="s">
        <v>30</v>
      </c>
      <c r="M4466" t="s">
        <v>139</v>
      </c>
      <c r="N4466">
        <v>540</v>
      </c>
      <c r="O4466" s="14">
        <v>0.32092827069573099</v>
      </c>
      <c r="P4466" s="14">
        <v>0.43010397930629601</v>
      </c>
      <c r="Q4466" t="str">
        <f t="shared" si="138"/>
        <v>35-49</v>
      </c>
      <c r="R4466" t="str">
        <f t="shared" si="139"/>
        <v>[vA4NcHxfMBq]|35-49|Female|PMTCT_ART_SUBNAT.D.T_1|CY2023Q3</v>
      </c>
    </row>
    <row r="4467" spans="4:18" x14ac:dyDescent="0.2">
      <c r="D4467" t="s">
        <v>122</v>
      </c>
      <c r="E4467" t="s">
        <v>123</v>
      </c>
      <c r="F4467" t="s">
        <v>124</v>
      </c>
      <c r="G4467" t="s">
        <v>155</v>
      </c>
      <c r="H4467" t="s">
        <v>156</v>
      </c>
      <c r="I4467" t="s">
        <v>37</v>
      </c>
      <c r="J4467" t="s">
        <v>38</v>
      </c>
      <c r="K4467" t="s">
        <v>29</v>
      </c>
      <c r="L4467" t="s">
        <v>30</v>
      </c>
      <c r="M4467" t="s">
        <v>139</v>
      </c>
      <c r="N4467">
        <v>623</v>
      </c>
      <c r="O4467" s="14">
        <v>0.16220685606822399</v>
      </c>
      <c r="P4467" s="14">
        <v>0.41950060334056599</v>
      </c>
      <c r="Q4467" t="str">
        <f t="shared" si="138"/>
        <v>15-24</v>
      </c>
      <c r="R4467" t="str">
        <f t="shared" si="139"/>
        <v>[E7zpfyBt7Tw]|15-24|Female|PMTCT_ART_SUBNAT.D.T_1|CY2023Q3</v>
      </c>
    </row>
    <row r="4468" spans="4:18" x14ac:dyDescent="0.2">
      <c r="D4468" t="s">
        <v>122</v>
      </c>
      <c r="E4468" t="s">
        <v>123</v>
      </c>
      <c r="F4468" t="s">
        <v>124</v>
      </c>
      <c r="G4468" t="s">
        <v>155</v>
      </c>
      <c r="H4468" t="s">
        <v>156</v>
      </c>
      <c r="I4468" t="s">
        <v>40</v>
      </c>
      <c r="J4468" t="s">
        <v>41</v>
      </c>
      <c r="K4468" t="s">
        <v>29</v>
      </c>
      <c r="L4468" t="s">
        <v>30</v>
      </c>
      <c r="M4468" t="s">
        <v>139</v>
      </c>
      <c r="N4468">
        <v>1475</v>
      </c>
      <c r="O4468" s="14">
        <v>0.59369569760747298</v>
      </c>
      <c r="P4468" s="14">
        <v>0.41950060334056599</v>
      </c>
      <c r="Q4468" t="str">
        <f t="shared" si="138"/>
        <v>25-34</v>
      </c>
      <c r="R4468" t="str">
        <f t="shared" si="139"/>
        <v>[E7zpfyBt7Tw]|25-34|Female|PMTCT_ART_SUBNAT.D.T_1|CY2023Q3</v>
      </c>
    </row>
    <row r="4469" spans="4:18" x14ac:dyDescent="0.2">
      <c r="D4469" t="s">
        <v>122</v>
      </c>
      <c r="E4469" t="s">
        <v>123</v>
      </c>
      <c r="F4469" t="s">
        <v>124</v>
      </c>
      <c r="G4469" t="s">
        <v>155</v>
      </c>
      <c r="H4469" t="s">
        <v>156</v>
      </c>
      <c r="I4469" t="s">
        <v>42</v>
      </c>
      <c r="J4469" t="s">
        <v>43</v>
      </c>
      <c r="K4469" t="s">
        <v>29</v>
      </c>
      <c r="L4469" t="s">
        <v>30</v>
      </c>
      <c r="M4469" t="s">
        <v>139</v>
      </c>
      <c r="N4469">
        <v>1807</v>
      </c>
      <c r="O4469" s="14">
        <v>0.64839256973937198</v>
      </c>
      <c r="P4469" s="14">
        <v>0.41950060334056599</v>
      </c>
      <c r="Q4469" t="str">
        <f t="shared" si="138"/>
        <v>35-49</v>
      </c>
      <c r="R4469" t="str">
        <f t="shared" si="139"/>
        <v>[E7zpfyBt7Tw]|35-49|Female|PMTCT_ART_SUBNAT.D.T_1|CY2023Q3</v>
      </c>
    </row>
    <row r="4470" spans="4:18" x14ac:dyDescent="0.2">
      <c r="D4470" t="s">
        <v>125</v>
      </c>
      <c r="E4470" t="s">
        <v>126</v>
      </c>
      <c r="F4470" t="s">
        <v>127</v>
      </c>
      <c r="G4470" t="s">
        <v>155</v>
      </c>
      <c r="H4470" t="s">
        <v>156</v>
      </c>
      <c r="I4470" t="s">
        <v>37</v>
      </c>
      <c r="J4470" t="s">
        <v>38</v>
      </c>
      <c r="K4470" t="s">
        <v>29</v>
      </c>
      <c r="L4470" t="s">
        <v>30</v>
      </c>
      <c r="M4470" t="s">
        <v>139</v>
      </c>
      <c r="N4470">
        <v>1710</v>
      </c>
      <c r="O4470" s="14">
        <v>0.35857840045355299</v>
      </c>
      <c r="P4470" s="14">
        <v>0.25270639033988102</v>
      </c>
      <c r="Q4470" t="str">
        <f t="shared" si="138"/>
        <v>15-24</v>
      </c>
      <c r="R4470" t="str">
        <f t="shared" si="139"/>
        <v>[ZCjuwgaMB9u]|15-24|Female|PMTCT_ART_SUBNAT.D.T_1|CY2023Q3</v>
      </c>
    </row>
    <row r="4471" spans="4:18" x14ac:dyDescent="0.2">
      <c r="D4471" t="s">
        <v>125</v>
      </c>
      <c r="E4471" t="s">
        <v>126</v>
      </c>
      <c r="F4471" t="s">
        <v>127</v>
      </c>
      <c r="G4471" t="s">
        <v>155</v>
      </c>
      <c r="H4471" t="s">
        <v>156</v>
      </c>
      <c r="I4471" t="s">
        <v>40</v>
      </c>
      <c r="J4471" t="s">
        <v>41</v>
      </c>
      <c r="K4471" t="s">
        <v>29</v>
      </c>
      <c r="L4471" t="s">
        <v>30</v>
      </c>
      <c r="M4471" t="s">
        <v>139</v>
      </c>
      <c r="N4471">
        <v>1845</v>
      </c>
      <c r="O4471" s="14">
        <v>0.87373343762010303</v>
      </c>
      <c r="P4471" s="14">
        <v>0.25270639033988102</v>
      </c>
      <c r="Q4471" t="str">
        <f t="shared" si="138"/>
        <v>25-34</v>
      </c>
      <c r="R4471" t="str">
        <f t="shared" si="139"/>
        <v>[ZCjuwgaMB9u]|25-34|Female|PMTCT_ART_SUBNAT.D.T_1|CY2023Q3</v>
      </c>
    </row>
    <row r="4472" spans="4:18" x14ac:dyDescent="0.2">
      <c r="D4472" t="s">
        <v>125</v>
      </c>
      <c r="E4472" t="s">
        <v>126</v>
      </c>
      <c r="F4472" t="s">
        <v>127</v>
      </c>
      <c r="G4472" t="s">
        <v>155</v>
      </c>
      <c r="H4472" t="s">
        <v>156</v>
      </c>
      <c r="I4472" t="s">
        <v>42</v>
      </c>
      <c r="J4472" t="s">
        <v>43</v>
      </c>
      <c r="K4472" t="s">
        <v>29</v>
      </c>
      <c r="L4472" t="s">
        <v>30</v>
      </c>
      <c r="M4472" t="s">
        <v>139</v>
      </c>
      <c r="N4472">
        <v>1220</v>
      </c>
      <c r="O4472" s="14">
        <v>5.6460441555827899E-3</v>
      </c>
      <c r="P4472" s="14">
        <v>0.25270639033988102</v>
      </c>
      <c r="Q4472" t="str">
        <f t="shared" si="138"/>
        <v>35-49</v>
      </c>
      <c r="R4472" t="str">
        <f t="shared" si="139"/>
        <v>[ZCjuwgaMB9u]|35-49|Female|PMTCT_ART_SUBNAT.D.T_1|CY2023Q3</v>
      </c>
    </row>
    <row r="4473" spans="4:18" x14ac:dyDescent="0.2">
      <c r="D4473" t="s">
        <v>128</v>
      </c>
      <c r="E4473" t="s">
        <v>129</v>
      </c>
      <c r="F4473" t="s">
        <v>130</v>
      </c>
      <c r="G4473" t="s">
        <v>155</v>
      </c>
      <c r="H4473" t="s">
        <v>156</v>
      </c>
      <c r="I4473" t="s">
        <v>37</v>
      </c>
      <c r="J4473" t="s">
        <v>38</v>
      </c>
      <c r="K4473" t="s">
        <v>29</v>
      </c>
      <c r="L4473" t="s">
        <v>30</v>
      </c>
      <c r="M4473" t="s">
        <v>139</v>
      </c>
      <c r="N4473">
        <v>591</v>
      </c>
      <c r="O4473" s="14">
        <v>0.33661024621687802</v>
      </c>
      <c r="P4473" s="14">
        <v>0.55690808477811504</v>
      </c>
      <c r="Q4473" t="str">
        <f t="shared" si="138"/>
        <v>15-24</v>
      </c>
      <c r="R4473" t="str">
        <f t="shared" si="139"/>
        <v>[YCKiBAp8QAg]|15-24|Female|PMTCT_ART_SUBNAT.D.T_1|CY2023Q3</v>
      </c>
    </row>
    <row r="4474" spans="4:18" x14ac:dyDescent="0.2">
      <c r="D4474" t="s">
        <v>128</v>
      </c>
      <c r="E4474" t="s">
        <v>129</v>
      </c>
      <c r="F4474" t="s">
        <v>130</v>
      </c>
      <c r="G4474" t="s">
        <v>155</v>
      </c>
      <c r="H4474" t="s">
        <v>156</v>
      </c>
      <c r="I4474" t="s">
        <v>40</v>
      </c>
      <c r="J4474" t="s">
        <v>41</v>
      </c>
      <c r="K4474" t="s">
        <v>29</v>
      </c>
      <c r="L4474" t="s">
        <v>30</v>
      </c>
      <c r="M4474" t="s">
        <v>139</v>
      </c>
      <c r="N4474">
        <v>1138</v>
      </c>
      <c r="O4474" s="14">
        <v>0.52639049384742997</v>
      </c>
      <c r="P4474" s="14">
        <v>0.55690808477811504</v>
      </c>
      <c r="Q4474" t="str">
        <f t="shared" si="138"/>
        <v>25-34</v>
      </c>
      <c r="R4474" t="str">
        <f t="shared" si="139"/>
        <v>[YCKiBAp8QAg]|25-34|Female|PMTCT_ART_SUBNAT.D.T_1|CY2023Q3</v>
      </c>
    </row>
    <row r="4475" spans="4:18" x14ac:dyDescent="0.2">
      <c r="D4475" t="s">
        <v>128</v>
      </c>
      <c r="E4475" t="s">
        <v>129</v>
      </c>
      <c r="F4475" t="s">
        <v>130</v>
      </c>
      <c r="G4475" t="s">
        <v>155</v>
      </c>
      <c r="H4475" t="s">
        <v>156</v>
      </c>
      <c r="I4475" t="s">
        <v>42</v>
      </c>
      <c r="J4475" t="s">
        <v>43</v>
      </c>
      <c r="K4475" t="s">
        <v>29</v>
      </c>
      <c r="L4475" t="s">
        <v>30</v>
      </c>
      <c r="M4475" t="s">
        <v>139</v>
      </c>
      <c r="N4475">
        <v>1345</v>
      </c>
      <c r="O4475" s="14">
        <v>0.12911466974765101</v>
      </c>
      <c r="P4475" s="14">
        <v>0.55690808477811504</v>
      </c>
      <c r="Q4475" t="str">
        <f t="shared" si="138"/>
        <v>35-49</v>
      </c>
      <c r="R4475" t="str">
        <f t="shared" si="139"/>
        <v>[YCKiBAp8QAg]|35-49|Female|PMTCT_ART_SUBNAT.D.T_1|CY2023Q3</v>
      </c>
    </row>
    <row r="4476" spans="4:18" x14ac:dyDescent="0.2">
      <c r="D4476" t="s">
        <v>131</v>
      </c>
      <c r="E4476" t="s">
        <v>132</v>
      </c>
      <c r="F4476" t="s">
        <v>133</v>
      </c>
      <c r="G4476" t="s">
        <v>155</v>
      </c>
      <c r="H4476" t="s">
        <v>156</v>
      </c>
      <c r="I4476" t="s">
        <v>37</v>
      </c>
      <c r="J4476" t="s">
        <v>38</v>
      </c>
      <c r="K4476" t="s">
        <v>29</v>
      </c>
      <c r="L4476" t="s">
        <v>30</v>
      </c>
      <c r="M4476" t="s">
        <v>139</v>
      </c>
      <c r="N4476">
        <v>1088</v>
      </c>
      <c r="O4476" s="14">
        <v>0.36976086441427503</v>
      </c>
      <c r="P4476" s="14">
        <v>0.16286319401115201</v>
      </c>
      <c r="Q4476" t="str">
        <f t="shared" si="138"/>
        <v>15-24</v>
      </c>
      <c r="R4476" t="str">
        <f t="shared" si="139"/>
        <v>[JQKLKuVuY61]|15-24|Female|PMTCT_ART_SUBNAT.D.T_1|CY2023Q3</v>
      </c>
    </row>
    <row r="4477" spans="4:18" x14ac:dyDescent="0.2">
      <c r="D4477" t="s">
        <v>131</v>
      </c>
      <c r="E4477" t="s">
        <v>132</v>
      </c>
      <c r="F4477" t="s">
        <v>133</v>
      </c>
      <c r="G4477" t="s">
        <v>155</v>
      </c>
      <c r="H4477" t="s">
        <v>156</v>
      </c>
      <c r="I4477" t="s">
        <v>40</v>
      </c>
      <c r="J4477" t="s">
        <v>41</v>
      </c>
      <c r="K4477" t="s">
        <v>29</v>
      </c>
      <c r="L4477" t="s">
        <v>30</v>
      </c>
      <c r="M4477" t="s">
        <v>139</v>
      </c>
      <c r="N4477">
        <v>719</v>
      </c>
      <c r="O4477" s="14">
        <v>0.48699655779637402</v>
      </c>
      <c r="P4477" s="14">
        <v>0.16286319401115201</v>
      </c>
      <c r="Q4477" t="str">
        <f t="shared" si="138"/>
        <v>25-34</v>
      </c>
      <c r="R4477" t="str">
        <f t="shared" si="139"/>
        <v>[JQKLKuVuY61]|25-34|Female|PMTCT_ART_SUBNAT.D.T_1|CY2023Q3</v>
      </c>
    </row>
    <row r="4478" spans="4:18" x14ac:dyDescent="0.2">
      <c r="D4478" t="s">
        <v>131</v>
      </c>
      <c r="E4478" t="s">
        <v>132</v>
      </c>
      <c r="F4478" t="s">
        <v>133</v>
      </c>
      <c r="G4478" t="s">
        <v>155</v>
      </c>
      <c r="H4478" t="s">
        <v>156</v>
      </c>
      <c r="I4478" t="s">
        <v>42</v>
      </c>
      <c r="J4478" t="s">
        <v>43</v>
      </c>
      <c r="K4478" t="s">
        <v>29</v>
      </c>
      <c r="L4478" t="s">
        <v>30</v>
      </c>
      <c r="M4478" t="s">
        <v>139</v>
      </c>
      <c r="N4478">
        <v>848</v>
      </c>
      <c r="O4478" s="14">
        <v>0.80668452312238503</v>
      </c>
      <c r="P4478" s="14">
        <v>0.16286319401115201</v>
      </c>
      <c r="Q4478" t="str">
        <f t="shared" si="138"/>
        <v>35-49</v>
      </c>
      <c r="R4478" t="str">
        <f t="shared" si="139"/>
        <v>[JQKLKuVuY61]|35-49|Female|PMTCT_ART_SUBNAT.D.T_1|CY2023Q3</v>
      </c>
    </row>
    <row r="4479" spans="4:18" x14ac:dyDescent="0.2">
      <c r="D4479" t="s">
        <v>134</v>
      </c>
      <c r="E4479" t="s">
        <v>135</v>
      </c>
      <c r="F4479" t="s">
        <v>136</v>
      </c>
      <c r="G4479" t="s">
        <v>155</v>
      </c>
      <c r="H4479" t="s">
        <v>156</v>
      </c>
      <c r="I4479" t="s">
        <v>37</v>
      </c>
      <c r="J4479" t="s">
        <v>38</v>
      </c>
      <c r="K4479" t="s">
        <v>29</v>
      </c>
      <c r="L4479" t="s">
        <v>30</v>
      </c>
      <c r="M4479" t="s">
        <v>139</v>
      </c>
      <c r="N4479">
        <v>995</v>
      </c>
      <c r="O4479" s="14">
        <v>0.26010915869846901</v>
      </c>
      <c r="P4479" s="14">
        <v>0.95530052832327805</v>
      </c>
      <c r="Q4479" t="str">
        <f t="shared" si="138"/>
        <v>15-24</v>
      </c>
      <c r="R4479" t="str">
        <f t="shared" si="139"/>
        <v>[fiRkU6gEjLz]|15-24|Female|PMTCT_ART_SUBNAT.D.T_1|CY2023Q3</v>
      </c>
    </row>
    <row r="4480" spans="4:18" x14ac:dyDescent="0.2">
      <c r="D4480" t="s">
        <v>134</v>
      </c>
      <c r="E4480" t="s">
        <v>135</v>
      </c>
      <c r="F4480" t="s">
        <v>136</v>
      </c>
      <c r="G4480" t="s">
        <v>155</v>
      </c>
      <c r="H4480" t="s">
        <v>156</v>
      </c>
      <c r="I4480" t="s">
        <v>40</v>
      </c>
      <c r="J4480" t="s">
        <v>41</v>
      </c>
      <c r="K4480" t="s">
        <v>29</v>
      </c>
      <c r="L4480" t="s">
        <v>30</v>
      </c>
      <c r="M4480" t="s">
        <v>139</v>
      </c>
      <c r="N4480">
        <v>1891</v>
      </c>
      <c r="O4480" s="14">
        <v>0.81317606801167097</v>
      </c>
      <c r="P4480" s="14">
        <v>0.95530052832327805</v>
      </c>
      <c r="Q4480" t="str">
        <f t="shared" si="138"/>
        <v>25-34</v>
      </c>
      <c r="R4480" t="str">
        <f t="shared" si="139"/>
        <v>[fiRkU6gEjLz]|25-34|Female|PMTCT_ART_SUBNAT.D.T_1|CY2023Q3</v>
      </c>
    </row>
    <row r="4481" spans="4:18" x14ac:dyDescent="0.2">
      <c r="D4481" t="s">
        <v>134</v>
      </c>
      <c r="E4481" t="s">
        <v>135</v>
      </c>
      <c r="F4481" t="s">
        <v>136</v>
      </c>
      <c r="G4481" t="s">
        <v>155</v>
      </c>
      <c r="H4481" t="s">
        <v>156</v>
      </c>
      <c r="I4481" t="s">
        <v>42</v>
      </c>
      <c r="J4481" t="s">
        <v>43</v>
      </c>
      <c r="K4481" t="s">
        <v>29</v>
      </c>
      <c r="L4481" t="s">
        <v>30</v>
      </c>
      <c r="M4481" t="s">
        <v>139</v>
      </c>
      <c r="N4481">
        <v>1492</v>
      </c>
      <c r="O4481" s="14">
        <v>0.20267335884273099</v>
      </c>
      <c r="P4481" s="14">
        <v>0.95530052832327805</v>
      </c>
      <c r="Q4481" t="str">
        <f t="shared" si="138"/>
        <v>35-49</v>
      </c>
      <c r="R4481" t="str">
        <f t="shared" si="139"/>
        <v>[fiRkU6gEjLz]|35-49|Female|PMTCT_ART_SUBNAT.D.T_1|CY2023Q3</v>
      </c>
    </row>
    <row r="4482" spans="4:18" x14ac:dyDescent="0.2">
      <c r="D4482" t="s">
        <v>22</v>
      </c>
      <c r="E4482" t="s">
        <v>23</v>
      </c>
      <c r="F4482" t="s">
        <v>24</v>
      </c>
      <c r="G4482" t="s">
        <v>157</v>
      </c>
      <c r="H4482" t="s">
        <v>158</v>
      </c>
      <c r="I4482" t="s">
        <v>37</v>
      </c>
      <c r="J4482" t="s">
        <v>38</v>
      </c>
      <c r="K4482" t="s">
        <v>29</v>
      </c>
      <c r="L4482" t="s">
        <v>30</v>
      </c>
      <c r="M4482" t="s">
        <v>139</v>
      </c>
      <c r="N4482">
        <v>1569</v>
      </c>
      <c r="O4482" s="14">
        <v>0.211725846864283</v>
      </c>
      <c r="P4482" s="14">
        <v>0.40435861097648701</v>
      </c>
      <c r="Q4482" t="str">
        <f t="shared" ref="Q4482:Q4545" si="140">SUBSTITUTE(SUBSTITUTE($I4482,CHAR(61),""),CHAR(34),"")</f>
        <v>15-24</v>
      </c>
      <c r="R4482" t="str">
        <f t="shared" ref="R4482:R4545" si="141">IF($D4482&lt;&gt;"","["&amp;$E4482&amp;"]"&amp;"|"&amp;$Q4482&amp;"|"&amp;$K4482&amp;"|"&amp;$G4482&amp;"|"&amp;IF($G4482="TX_CURR_SUBNAT.R","CY2022Q4",$M4482),"")</f>
        <v>[GkIwZrXy1h2]|15-24|Female|PMTCT_ART_SUBNAT.N.Already.T_1|CY2023Q3</v>
      </c>
    </row>
    <row r="4483" spans="4:18" x14ac:dyDescent="0.2">
      <c r="D4483" t="s">
        <v>22</v>
      </c>
      <c r="E4483" t="s">
        <v>23</v>
      </c>
      <c r="F4483" t="s">
        <v>24</v>
      </c>
      <c r="G4483" t="s">
        <v>157</v>
      </c>
      <c r="H4483" t="s">
        <v>158</v>
      </c>
      <c r="I4483" t="s">
        <v>40</v>
      </c>
      <c r="J4483" t="s">
        <v>41</v>
      </c>
      <c r="K4483" t="s">
        <v>29</v>
      </c>
      <c r="L4483" t="s">
        <v>30</v>
      </c>
      <c r="M4483" t="s">
        <v>139</v>
      </c>
      <c r="N4483">
        <v>849</v>
      </c>
      <c r="O4483" s="14">
        <v>0.73906438541598596</v>
      </c>
      <c r="P4483" s="14">
        <v>0.40435861097648701</v>
      </c>
      <c r="Q4483" t="str">
        <f t="shared" si="140"/>
        <v>25-34</v>
      </c>
      <c r="R4483" t="str">
        <f t="shared" si="141"/>
        <v>[GkIwZrXy1h2]|25-34|Female|PMTCT_ART_SUBNAT.N.Already.T_1|CY2023Q3</v>
      </c>
    </row>
    <row r="4484" spans="4:18" x14ac:dyDescent="0.2">
      <c r="D4484" t="s">
        <v>22</v>
      </c>
      <c r="E4484" t="s">
        <v>23</v>
      </c>
      <c r="F4484" t="s">
        <v>24</v>
      </c>
      <c r="G4484" t="s">
        <v>157</v>
      </c>
      <c r="H4484" t="s">
        <v>158</v>
      </c>
      <c r="I4484" t="s">
        <v>42</v>
      </c>
      <c r="J4484" t="s">
        <v>43</v>
      </c>
      <c r="K4484" t="s">
        <v>29</v>
      </c>
      <c r="L4484" t="s">
        <v>30</v>
      </c>
      <c r="M4484" t="s">
        <v>139</v>
      </c>
      <c r="N4484">
        <v>1299</v>
      </c>
      <c r="O4484" s="14">
        <v>0.42207595356740102</v>
      </c>
      <c r="P4484" s="14">
        <v>0.40435861097648701</v>
      </c>
      <c r="Q4484" t="str">
        <f t="shared" si="140"/>
        <v>35-49</v>
      </c>
      <c r="R4484" t="str">
        <f t="shared" si="141"/>
        <v>[GkIwZrXy1h2]|35-49|Female|PMTCT_ART_SUBNAT.N.Already.T_1|CY2023Q3</v>
      </c>
    </row>
    <row r="4485" spans="4:18" x14ac:dyDescent="0.2">
      <c r="D4485" t="s">
        <v>52</v>
      </c>
      <c r="E4485" t="s">
        <v>53</v>
      </c>
      <c r="F4485" t="s">
        <v>54</v>
      </c>
      <c r="G4485" t="s">
        <v>157</v>
      </c>
      <c r="H4485" t="s">
        <v>158</v>
      </c>
      <c r="I4485" t="s">
        <v>37</v>
      </c>
      <c r="J4485" t="s">
        <v>38</v>
      </c>
      <c r="K4485" t="s">
        <v>29</v>
      </c>
      <c r="L4485" t="s">
        <v>30</v>
      </c>
      <c r="M4485" t="s">
        <v>139</v>
      </c>
      <c r="N4485">
        <v>1018</v>
      </c>
      <c r="O4485" s="14">
        <v>0.45990432007238302</v>
      </c>
      <c r="P4485" s="14">
        <v>0.61639246996492103</v>
      </c>
      <c r="Q4485" t="str">
        <f t="shared" si="140"/>
        <v>15-24</v>
      </c>
      <c r="R4485" t="str">
        <f t="shared" si="141"/>
        <v>[zphK9WV8JB4]|15-24|Female|PMTCT_ART_SUBNAT.N.Already.T_1|CY2023Q3</v>
      </c>
    </row>
    <row r="4486" spans="4:18" x14ac:dyDescent="0.2">
      <c r="D4486" t="s">
        <v>52</v>
      </c>
      <c r="E4486" t="s">
        <v>53</v>
      </c>
      <c r="F4486" t="s">
        <v>54</v>
      </c>
      <c r="G4486" t="s">
        <v>157</v>
      </c>
      <c r="H4486" t="s">
        <v>158</v>
      </c>
      <c r="I4486" t="s">
        <v>40</v>
      </c>
      <c r="J4486" t="s">
        <v>41</v>
      </c>
      <c r="K4486" t="s">
        <v>29</v>
      </c>
      <c r="L4486" t="s">
        <v>30</v>
      </c>
      <c r="M4486" t="s">
        <v>139</v>
      </c>
      <c r="N4486">
        <v>683</v>
      </c>
      <c r="O4486" s="14">
        <v>0.18427106901071999</v>
      </c>
      <c r="P4486" s="14">
        <v>0.61639246996492103</v>
      </c>
      <c r="Q4486" t="str">
        <f t="shared" si="140"/>
        <v>25-34</v>
      </c>
      <c r="R4486" t="str">
        <f t="shared" si="141"/>
        <v>[zphK9WV8JB4]|25-34|Female|PMTCT_ART_SUBNAT.N.Already.T_1|CY2023Q3</v>
      </c>
    </row>
    <row r="4487" spans="4:18" x14ac:dyDescent="0.2">
      <c r="D4487" t="s">
        <v>52</v>
      </c>
      <c r="E4487" t="s">
        <v>53</v>
      </c>
      <c r="F4487" t="s">
        <v>54</v>
      </c>
      <c r="G4487" t="s">
        <v>157</v>
      </c>
      <c r="H4487" t="s">
        <v>158</v>
      </c>
      <c r="I4487" t="s">
        <v>42</v>
      </c>
      <c r="J4487" t="s">
        <v>43</v>
      </c>
      <c r="K4487" t="s">
        <v>29</v>
      </c>
      <c r="L4487" t="s">
        <v>30</v>
      </c>
      <c r="M4487" t="s">
        <v>139</v>
      </c>
      <c r="N4487">
        <v>1985</v>
      </c>
      <c r="O4487" s="14">
        <v>0.15974151203408801</v>
      </c>
      <c r="P4487" s="14">
        <v>0.61639246996492103</v>
      </c>
      <c r="Q4487" t="str">
        <f t="shared" si="140"/>
        <v>35-49</v>
      </c>
      <c r="R4487" t="str">
        <f t="shared" si="141"/>
        <v>[zphK9WV8JB4]|35-49|Female|PMTCT_ART_SUBNAT.N.Already.T_1|CY2023Q3</v>
      </c>
    </row>
    <row r="4488" spans="4:18" x14ac:dyDescent="0.2">
      <c r="D4488" t="s">
        <v>59</v>
      </c>
      <c r="E4488" t="s">
        <v>60</v>
      </c>
      <c r="F4488" t="s">
        <v>61</v>
      </c>
      <c r="G4488" t="s">
        <v>157</v>
      </c>
      <c r="H4488" t="s">
        <v>158</v>
      </c>
      <c r="I4488" t="s">
        <v>37</v>
      </c>
      <c r="J4488" t="s">
        <v>38</v>
      </c>
      <c r="K4488" t="s">
        <v>29</v>
      </c>
      <c r="L4488" t="s">
        <v>30</v>
      </c>
      <c r="M4488" t="s">
        <v>139</v>
      </c>
      <c r="N4488">
        <v>1317</v>
      </c>
      <c r="O4488" s="14">
        <v>0.62192818569019404</v>
      </c>
      <c r="P4488" s="14">
        <v>2.6825056178495298E-2</v>
      </c>
      <c r="Q4488" t="str">
        <f t="shared" si="140"/>
        <v>15-24</v>
      </c>
      <c r="R4488" t="str">
        <f t="shared" si="141"/>
        <v>[msW2zpIN7up]|15-24|Female|PMTCT_ART_SUBNAT.N.Already.T_1|CY2023Q3</v>
      </c>
    </row>
    <row r="4489" spans="4:18" x14ac:dyDescent="0.2">
      <c r="D4489" t="s">
        <v>59</v>
      </c>
      <c r="E4489" t="s">
        <v>60</v>
      </c>
      <c r="F4489" t="s">
        <v>61</v>
      </c>
      <c r="G4489" t="s">
        <v>157</v>
      </c>
      <c r="H4489" t="s">
        <v>158</v>
      </c>
      <c r="I4489" t="s">
        <v>40</v>
      </c>
      <c r="J4489" t="s">
        <v>41</v>
      </c>
      <c r="K4489" t="s">
        <v>29</v>
      </c>
      <c r="L4489" t="s">
        <v>30</v>
      </c>
      <c r="M4489" t="s">
        <v>139</v>
      </c>
      <c r="N4489">
        <v>1189</v>
      </c>
      <c r="O4489" s="14">
        <v>6.7134781507775201E-2</v>
      </c>
      <c r="P4489" s="14">
        <v>2.6825056178495298E-2</v>
      </c>
      <c r="Q4489" t="str">
        <f t="shared" si="140"/>
        <v>25-34</v>
      </c>
      <c r="R4489" t="str">
        <f t="shared" si="141"/>
        <v>[msW2zpIN7up]|25-34|Female|PMTCT_ART_SUBNAT.N.Already.T_1|CY2023Q3</v>
      </c>
    </row>
    <row r="4490" spans="4:18" x14ac:dyDescent="0.2">
      <c r="D4490" t="s">
        <v>59</v>
      </c>
      <c r="E4490" t="s">
        <v>60</v>
      </c>
      <c r="F4490" t="s">
        <v>61</v>
      </c>
      <c r="G4490" t="s">
        <v>157</v>
      </c>
      <c r="H4490" t="s">
        <v>158</v>
      </c>
      <c r="I4490" t="s">
        <v>42</v>
      </c>
      <c r="J4490" t="s">
        <v>43</v>
      </c>
      <c r="K4490" t="s">
        <v>29</v>
      </c>
      <c r="L4490" t="s">
        <v>30</v>
      </c>
      <c r="M4490" t="s">
        <v>139</v>
      </c>
      <c r="N4490">
        <v>1843</v>
      </c>
      <c r="O4490" s="14">
        <v>9.8071887390688103E-2</v>
      </c>
      <c r="P4490" s="14">
        <v>2.6825056178495298E-2</v>
      </c>
      <c r="Q4490" t="str">
        <f t="shared" si="140"/>
        <v>35-49</v>
      </c>
      <c r="R4490" t="str">
        <f t="shared" si="141"/>
        <v>[msW2zpIN7up]|35-49|Female|PMTCT_ART_SUBNAT.N.Already.T_1|CY2023Q3</v>
      </c>
    </row>
    <row r="4491" spans="4:18" x14ac:dyDescent="0.2">
      <c r="D4491" t="s">
        <v>62</v>
      </c>
      <c r="E4491" t="s">
        <v>63</v>
      </c>
      <c r="F4491" t="s">
        <v>64</v>
      </c>
      <c r="G4491" t="s">
        <v>157</v>
      </c>
      <c r="H4491" t="s">
        <v>158</v>
      </c>
      <c r="I4491" t="s">
        <v>37</v>
      </c>
      <c r="J4491" t="s">
        <v>38</v>
      </c>
      <c r="K4491" t="s">
        <v>29</v>
      </c>
      <c r="L4491" t="s">
        <v>30</v>
      </c>
      <c r="M4491" t="s">
        <v>139</v>
      </c>
      <c r="N4491">
        <v>1158</v>
      </c>
      <c r="O4491" s="14">
        <v>0.15580490487627699</v>
      </c>
      <c r="P4491" s="14">
        <v>0.790102193132043</v>
      </c>
      <c r="Q4491" t="str">
        <f t="shared" si="140"/>
        <v>15-24</v>
      </c>
      <c r="R4491" t="str">
        <f t="shared" si="141"/>
        <v>[kxuuIFpOXyO]|15-24|Female|PMTCT_ART_SUBNAT.N.Already.T_1|CY2023Q3</v>
      </c>
    </row>
    <row r="4492" spans="4:18" x14ac:dyDescent="0.2">
      <c r="D4492" t="s">
        <v>62</v>
      </c>
      <c r="E4492" t="s">
        <v>63</v>
      </c>
      <c r="F4492" t="s">
        <v>64</v>
      </c>
      <c r="G4492" t="s">
        <v>157</v>
      </c>
      <c r="H4492" t="s">
        <v>158</v>
      </c>
      <c r="I4492" t="s">
        <v>40</v>
      </c>
      <c r="J4492" t="s">
        <v>41</v>
      </c>
      <c r="K4492" t="s">
        <v>29</v>
      </c>
      <c r="L4492" t="s">
        <v>30</v>
      </c>
      <c r="M4492" t="s">
        <v>139</v>
      </c>
      <c r="N4492">
        <v>686</v>
      </c>
      <c r="O4492" s="14">
        <v>9.1803508810699E-2</v>
      </c>
      <c r="P4492" s="14">
        <v>0.790102193132043</v>
      </c>
      <c r="Q4492" t="str">
        <f t="shared" si="140"/>
        <v>25-34</v>
      </c>
      <c r="R4492" t="str">
        <f t="shared" si="141"/>
        <v>[kxuuIFpOXyO]|25-34|Female|PMTCT_ART_SUBNAT.N.Already.T_1|CY2023Q3</v>
      </c>
    </row>
    <row r="4493" spans="4:18" x14ac:dyDescent="0.2">
      <c r="D4493" t="s">
        <v>62</v>
      </c>
      <c r="E4493" t="s">
        <v>63</v>
      </c>
      <c r="F4493" t="s">
        <v>64</v>
      </c>
      <c r="G4493" t="s">
        <v>157</v>
      </c>
      <c r="H4493" t="s">
        <v>158</v>
      </c>
      <c r="I4493" t="s">
        <v>42</v>
      </c>
      <c r="J4493" t="s">
        <v>43</v>
      </c>
      <c r="K4493" t="s">
        <v>29</v>
      </c>
      <c r="L4493" t="s">
        <v>30</v>
      </c>
      <c r="M4493" t="s">
        <v>139</v>
      </c>
      <c r="N4493">
        <v>1283</v>
      </c>
      <c r="O4493" s="14">
        <v>0.73958061542361997</v>
      </c>
      <c r="P4493" s="14">
        <v>0.790102193132043</v>
      </c>
      <c r="Q4493" t="str">
        <f t="shared" si="140"/>
        <v>35-49</v>
      </c>
      <c r="R4493" t="str">
        <f t="shared" si="141"/>
        <v>[kxuuIFpOXyO]|35-49|Female|PMTCT_ART_SUBNAT.N.Already.T_1|CY2023Q3</v>
      </c>
    </row>
    <row r="4494" spans="4:18" x14ac:dyDescent="0.2">
      <c r="D4494" t="s">
        <v>65</v>
      </c>
      <c r="E4494" t="s">
        <v>66</v>
      </c>
      <c r="F4494" t="s">
        <v>67</v>
      </c>
      <c r="G4494" t="s">
        <v>157</v>
      </c>
      <c r="H4494" t="s">
        <v>158</v>
      </c>
      <c r="I4494" t="s">
        <v>37</v>
      </c>
      <c r="J4494" t="s">
        <v>38</v>
      </c>
      <c r="K4494" t="s">
        <v>29</v>
      </c>
      <c r="L4494" t="s">
        <v>30</v>
      </c>
      <c r="M4494" t="s">
        <v>139</v>
      </c>
      <c r="N4494">
        <v>1584</v>
      </c>
      <c r="O4494" s="14">
        <v>0.386763089103624</v>
      </c>
      <c r="P4494" s="14">
        <v>0.16460988437756899</v>
      </c>
      <c r="Q4494" t="str">
        <f t="shared" si="140"/>
        <v>15-24</v>
      </c>
      <c r="R4494" t="str">
        <f t="shared" si="141"/>
        <v>[ScR9iFKAasW]|15-24|Female|PMTCT_ART_SUBNAT.N.Already.T_1|CY2023Q3</v>
      </c>
    </row>
    <row r="4495" spans="4:18" x14ac:dyDescent="0.2">
      <c r="D4495" t="s">
        <v>65</v>
      </c>
      <c r="E4495" t="s">
        <v>66</v>
      </c>
      <c r="F4495" t="s">
        <v>67</v>
      </c>
      <c r="G4495" t="s">
        <v>157</v>
      </c>
      <c r="H4495" t="s">
        <v>158</v>
      </c>
      <c r="I4495" t="s">
        <v>40</v>
      </c>
      <c r="J4495" t="s">
        <v>41</v>
      </c>
      <c r="K4495" t="s">
        <v>29</v>
      </c>
      <c r="L4495" t="s">
        <v>30</v>
      </c>
      <c r="M4495" t="s">
        <v>139</v>
      </c>
      <c r="N4495">
        <v>1455</v>
      </c>
      <c r="O4495" s="14">
        <v>0.58864794787950803</v>
      </c>
      <c r="P4495" s="14">
        <v>0.16460988437756899</v>
      </c>
      <c r="Q4495" t="str">
        <f t="shared" si="140"/>
        <v>25-34</v>
      </c>
      <c r="R4495" t="str">
        <f t="shared" si="141"/>
        <v>[ScR9iFKAasW]|25-34|Female|PMTCT_ART_SUBNAT.N.Already.T_1|CY2023Q3</v>
      </c>
    </row>
    <row r="4496" spans="4:18" x14ac:dyDescent="0.2">
      <c r="D4496" t="s">
        <v>65</v>
      </c>
      <c r="E4496" t="s">
        <v>66</v>
      </c>
      <c r="F4496" t="s">
        <v>67</v>
      </c>
      <c r="G4496" t="s">
        <v>157</v>
      </c>
      <c r="H4496" t="s">
        <v>158</v>
      </c>
      <c r="I4496" t="s">
        <v>42</v>
      </c>
      <c r="J4496" t="s">
        <v>43</v>
      </c>
      <c r="K4496" t="s">
        <v>29</v>
      </c>
      <c r="L4496" t="s">
        <v>30</v>
      </c>
      <c r="M4496" t="s">
        <v>139</v>
      </c>
      <c r="N4496">
        <v>912</v>
      </c>
      <c r="O4496" s="14">
        <v>0.395590867148712</v>
      </c>
      <c r="P4496" s="14">
        <v>0.16460988437756899</v>
      </c>
      <c r="Q4496" t="str">
        <f t="shared" si="140"/>
        <v>35-49</v>
      </c>
      <c r="R4496" t="str">
        <f t="shared" si="141"/>
        <v>[ScR9iFKAasW]|35-49|Female|PMTCT_ART_SUBNAT.N.Already.T_1|CY2023Q3</v>
      </c>
    </row>
    <row r="4497" spans="4:18" x14ac:dyDescent="0.2">
      <c r="D4497" t="s">
        <v>68</v>
      </c>
      <c r="E4497" t="s">
        <v>69</v>
      </c>
      <c r="F4497" t="s">
        <v>70</v>
      </c>
      <c r="G4497" t="s">
        <v>157</v>
      </c>
      <c r="H4497" t="s">
        <v>158</v>
      </c>
      <c r="I4497" t="s">
        <v>37</v>
      </c>
      <c r="J4497" t="s">
        <v>38</v>
      </c>
      <c r="K4497" t="s">
        <v>29</v>
      </c>
      <c r="L4497" t="s">
        <v>30</v>
      </c>
      <c r="M4497" t="s">
        <v>139</v>
      </c>
      <c r="N4497">
        <v>1890</v>
      </c>
      <c r="O4497" s="14">
        <v>0.45026802248321501</v>
      </c>
      <c r="P4497" s="14">
        <v>0.19881726312451101</v>
      </c>
      <c r="Q4497" t="str">
        <f t="shared" si="140"/>
        <v>15-24</v>
      </c>
      <c r="R4497" t="str">
        <f t="shared" si="141"/>
        <v>[PekKUkKHAzY]|15-24|Female|PMTCT_ART_SUBNAT.N.Already.T_1|CY2023Q3</v>
      </c>
    </row>
    <row r="4498" spans="4:18" x14ac:dyDescent="0.2">
      <c r="D4498" t="s">
        <v>68</v>
      </c>
      <c r="E4498" t="s">
        <v>69</v>
      </c>
      <c r="F4498" t="s">
        <v>70</v>
      </c>
      <c r="G4498" t="s">
        <v>157</v>
      </c>
      <c r="H4498" t="s">
        <v>158</v>
      </c>
      <c r="I4498" t="s">
        <v>40</v>
      </c>
      <c r="J4498" t="s">
        <v>41</v>
      </c>
      <c r="K4498" t="s">
        <v>29</v>
      </c>
      <c r="L4498" t="s">
        <v>30</v>
      </c>
      <c r="M4498" t="s">
        <v>139</v>
      </c>
      <c r="N4498">
        <v>1449</v>
      </c>
      <c r="O4498" s="14">
        <v>0.97970196581445601</v>
      </c>
      <c r="P4498" s="14">
        <v>0.19881726312451101</v>
      </c>
      <c r="Q4498" t="str">
        <f t="shared" si="140"/>
        <v>25-34</v>
      </c>
      <c r="R4498" t="str">
        <f t="shared" si="141"/>
        <v>[PekKUkKHAzY]|25-34|Female|PMTCT_ART_SUBNAT.N.Already.T_1|CY2023Q3</v>
      </c>
    </row>
    <row r="4499" spans="4:18" x14ac:dyDescent="0.2">
      <c r="D4499" t="s">
        <v>68</v>
      </c>
      <c r="E4499" t="s">
        <v>69</v>
      </c>
      <c r="F4499" t="s">
        <v>70</v>
      </c>
      <c r="G4499" t="s">
        <v>157</v>
      </c>
      <c r="H4499" t="s">
        <v>158</v>
      </c>
      <c r="I4499" t="s">
        <v>42</v>
      </c>
      <c r="J4499" t="s">
        <v>43</v>
      </c>
      <c r="K4499" t="s">
        <v>29</v>
      </c>
      <c r="L4499" t="s">
        <v>30</v>
      </c>
      <c r="M4499" t="s">
        <v>139</v>
      </c>
      <c r="N4499">
        <v>741</v>
      </c>
      <c r="O4499" s="14">
        <v>0.558703751303256</v>
      </c>
      <c r="P4499" s="14">
        <v>0.19881726312451101</v>
      </c>
      <c r="Q4499" t="str">
        <f t="shared" si="140"/>
        <v>35-49</v>
      </c>
      <c r="R4499" t="str">
        <f t="shared" si="141"/>
        <v>[PekKUkKHAzY]|35-49|Female|PMTCT_ART_SUBNAT.N.Already.T_1|CY2023Q3</v>
      </c>
    </row>
    <row r="4500" spans="4:18" x14ac:dyDescent="0.2">
      <c r="D4500" t="s">
        <v>71</v>
      </c>
      <c r="E4500" t="s">
        <v>72</v>
      </c>
      <c r="F4500" t="s">
        <v>73</v>
      </c>
      <c r="G4500" t="s">
        <v>157</v>
      </c>
      <c r="H4500" t="s">
        <v>158</v>
      </c>
      <c r="I4500" t="s">
        <v>37</v>
      </c>
      <c r="J4500" t="s">
        <v>38</v>
      </c>
      <c r="K4500" t="s">
        <v>29</v>
      </c>
      <c r="L4500" t="s">
        <v>30</v>
      </c>
      <c r="M4500" t="s">
        <v>139</v>
      </c>
      <c r="N4500">
        <v>1269</v>
      </c>
      <c r="O4500" s="14">
        <v>0.44941913313232401</v>
      </c>
      <c r="P4500" s="14">
        <v>0.28972870693542102</v>
      </c>
      <c r="Q4500" t="str">
        <f t="shared" si="140"/>
        <v>15-24</v>
      </c>
      <c r="R4500" t="str">
        <f t="shared" si="141"/>
        <v>[am530wpaGvr]|15-24|Female|PMTCT_ART_SUBNAT.N.Already.T_1|CY2023Q3</v>
      </c>
    </row>
    <row r="4501" spans="4:18" x14ac:dyDescent="0.2">
      <c r="D4501" t="s">
        <v>71</v>
      </c>
      <c r="E4501" t="s">
        <v>72</v>
      </c>
      <c r="F4501" t="s">
        <v>73</v>
      </c>
      <c r="G4501" t="s">
        <v>157</v>
      </c>
      <c r="H4501" t="s">
        <v>158</v>
      </c>
      <c r="I4501" t="s">
        <v>40</v>
      </c>
      <c r="J4501" t="s">
        <v>41</v>
      </c>
      <c r="K4501" t="s">
        <v>29</v>
      </c>
      <c r="L4501" t="s">
        <v>30</v>
      </c>
      <c r="M4501" t="s">
        <v>139</v>
      </c>
      <c r="N4501">
        <v>894</v>
      </c>
      <c r="O4501" s="14">
        <v>0.90283505129627895</v>
      </c>
      <c r="P4501" s="14">
        <v>0.28972870693542102</v>
      </c>
      <c r="Q4501" t="str">
        <f t="shared" si="140"/>
        <v>25-34</v>
      </c>
      <c r="R4501" t="str">
        <f t="shared" si="141"/>
        <v>[am530wpaGvr]|25-34|Female|PMTCT_ART_SUBNAT.N.Already.T_1|CY2023Q3</v>
      </c>
    </row>
    <row r="4502" spans="4:18" x14ac:dyDescent="0.2">
      <c r="D4502" t="s">
        <v>71</v>
      </c>
      <c r="E4502" t="s">
        <v>72</v>
      </c>
      <c r="F4502" t="s">
        <v>73</v>
      </c>
      <c r="G4502" t="s">
        <v>157</v>
      </c>
      <c r="H4502" t="s">
        <v>158</v>
      </c>
      <c r="I4502" t="s">
        <v>42</v>
      </c>
      <c r="J4502" t="s">
        <v>43</v>
      </c>
      <c r="K4502" t="s">
        <v>29</v>
      </c>
      <c r="L4502" t="s">
        <v>30</v>
      </c>
      <c r="M4502" t="s">
        <v>139</v>
      </c>
      <c r="N4502">
        <v>1017</v>
      </c>
      <c r="O4502" s="14">
        <v>0.66014706972055104</v>
      </c>
      <c r="P4502" s="14">
        <v>0.28972870693542102</v>
      </c>
      <c r="Q4502" t="str">
        <f t="shared" si="140"/>
        <v>35-49</v>
      </c>
      <c r="R4502" t="str">
        <f t="shared" si="141"/>
        <v>[am530wpaGvr]|35-49|Female|PMTCT_ART_SUBNAT.N.Already.T_1|CY2023Q3</v>
      </c>
    </row>
    <row r="4503" spans="4:18" x14ac:dyDescent="0.2">
      <c r="D4503" t="s">
        <v>74</v>
      </c>
      <c r="E4503" t="s">
        <v>75</v>
      </c>
      <c r="F4503" t="s">
        <v>76</v>
      </c>
      <c r="G4503" t="s">
        <v>157</v>
      </c>
      <c r="H4503" t="s">
        <v>158</v>
      </c>
      <c r="I4503" t="s">
        <v>37</v>
      </c>
      <c r="J4503" t="s">
        <v>38</v>
      </c>
      <c r="K4503" t="s">
        <v>29</v>
      </c>
      <c r="L4503" t="s">
        <v>30</v>
      </c>
      <c r="M4503" t="s">
        <v>139</v>
      </c>
      <c r="N4503">
        <v>992</v>
      </c>
      <c r="O4503" s="14">
        <v>0.58999146264977798</v>
      </c>
      <c r="P4503" s="14">
        <v>0.30305550759658201</v>
      </c>
      <c r="Q4503" t="str">
        <f t="shared" si="140"/>
        <v>15-24</v>
      </c>
      <c r="R4503" t="str">
        <f t="shared" si="141"/>
        <v>[lLDyBx5XyUi]|15-24|Female|PMTCT_ART_SUBNAT.N.Already.T_1|CY2023Q3</v>
      </c>
    </row>
    <row r="4504" spans="4:18" x14ac:dyDescent="0.2">
      <c r="D4504" t="s">
        <v>74</v>
      </c>
      <c r="E4504" t="s">
        <v>75</v>
      </c>
      <c r="F4504" t="s">
        <v>76</v>
      </c>
      <c r="G4504" t="s">
        <v>157</v>
      </c>
      <c r="H4504" t="s">
        <v>158</v>
      </c>
      <c r="I4504" t="s">
        <v>40</v>
      </c>
      <c r="J4504" t="s">
        <v>41</v>
      </c>
      <c r="K4504" t="s">
        <v>29</v>
      </c>
      <c r="L4504" t="s">
        <v>30</v>
      </c>
      <c r="M4504" t="s">
        <v>139</v>
      </c>
      <c r="N4504">
        <v>1590</v>
      </c>
      <c r="O4504" s="14">
        <v>0.84605863410979498</v>
      </c>
      <c r="P4504" s="14">
        <v>0.30305550759658201</v>
      </c>
      <c r="Q4504" t="str">
        <f t="shared" si="140"/>
        <v>25-34</v>
      </c>
      <c r="R4504" t="str">
        <f t="shared" si="141"/>
        <v>[lLDyBx5XyUi]|25-34|Female|PMTCT_ART_SUBNAT.N.Already.T_1|CY2023Q3</v>
      </c>
    </row>
    <row r="4505" spans="4:18" x14ac:dyDescent="0.2">
      <c r="D4505" t="s">
        <v>74</v>
      </c>
      <c r="E4505" t="s">
        <v>75</v>
      </c>
      <c r="F4505" t="s">
        <v>76</v>
      </c>
      <c r="G4505" t="s">
        <v>157</v>
      </c>
      <c r="H4505" t="s">
        <v>158</v>
      </c>
      <c r="I4505" t="s">
        <v>42</v>
      </c>
      <c r="J4505" t="s">
        <v>43</v>
      </c>
      <c r="K4505" t="s">
        <v>29</v>
      </c>
      <c r="L4505" t="s">
        <v>30</v>
      </c>
      <c r="M4505" t="s">
        <v>139</v>
      </c>
      <c r="N4505">
        <v>614</v>
      </c>
      <c r="O4505" s="14">
        <v>0.108851677970961</v>
      </c>
      <c r="P4505" s="14">
        <v>0.30305550759658201</v>
      </c>
      <c r="Q4505" t="str">
        <f t="shared" si="140"/>
        <v>35-49</v>
      </c>
      <c r="R4505" t="str">
        <f t="shared" si="141"/>
        <v>[lLDyBx5XyUi]|35-49|Female|PMTCT_ART_SUBNAT.N.Already.T_1|CY2023Q3</v>
      </c>
    </row>
    <row r="4506" spans="4:18" x14ac:dyDescent="0.2">
      <c r="D4506" t="s">
        <v>77</v>
      </c>
      <c r="E4506" t="s">
        <v>78</v>
      </c>
      <c r="F4506" t="s">
        <v>79</v>
      </c>
      <c r="G4506" t="s">
        <v>157</v>
      </c>
      <c r="H4506" t="s">
        <v>158</v>
      </c>
      <c r="I4506" t="s">
        <v>37</v>
      </c>
      <c r="J4506" t="s">
        <v>38</v>
      </c>
      <c r="K4506" t="s">
        <v>29</v>
      </c>
      <c r="L4506" t="s">
        <v>30</v>
      </c>
      <c r="M4506" t="s">
        <v>139</v>
      </c>
      <c r="N4506">
        <v>788</v>
      </c>
      <c r="O4506" s="14">
        <v>0.184508779319003</v>
      </c>
      <c r="P4506" s="14">
        <v>0.83159798220731296</v>
      </c>
      <c r="Q4506" t="str">
        <f t="shared" si="140"/>
        <v>15-24</v>
      </c>
      <c r="R4506" t="str">
        <f t="shared" si="141"/>
        <v>[TYnMSwzko3z]|15-24|Female|PMTCT_ART_SUBNAT.N.Already.T_1|CY2023Q3</v>
      </c>
    </row>
    <row r="4507" spans="4:18" x14ac:dyDescent="0.2">
      <c r="D4507" t="s">
        <v>77</v>
      </c>
      <c r="E4507" t="s">
        <v>78</v>
      </c>
      <c r="F4507" t="s">
        <v>79</v>
      </c>
      <c r="G4507" t="s">
        <v>157</v>
      </c>
      <c r="H4507" t="s">
        <v>158</v>
      </c>
      <c r="I4507" t="s">
        <v>40</v>
      </c>
      <c r="J4507" t="s">
        <v>41</v>
      </c>
      <c r="K4507" t="s">
        <v>29</v>
      </c>
      <c r="L4507" t="s">
        <v>30</v>
      </c>
      <c r="M4507" t="s">
        <v>139</v>
      </c>
      <c r="N4507">
        <v>1700</v>
      </c>
      <c r="O4507" s="14">
        <v>0.947375921998173</v>
      </c>
      <c r="P4507" s="14">
        <v>0.83159798220731296</v>
      </c>
      <c r="Q4507" t="str">
        <f t="shared" si="140"/>
        <v>25-34</v>
      </c>
      <c r="R4507" t="str">
        <f t="shared" si="141"/>
        <v>[TYnMSwzko3z]|25-34|Female|PMTCT_ART_SUBNAT.N.Already.T_1|CY2023Q3</v>
      </c>
    </row>
    <row r="4508" spans="4:18" x14ac:dyDescent="0.2">
      <c r="D4508" t="s">
        <v>77</v>
      </c>
      <c r="E4508" t="s">
        <v>78</v>
      </c>
      <c r="F4508" t="s">
        <v>79</v>
      </c>
      <c r="G4508" t="s">
        <v>157</v>
      </c>
      <c r="H4508" t="s">
        <v>158</v>
      </c>
      <c r="I4508" t="s">
        <v>42</v>
      </c>
      <c r="J4508" t="s">
        <v>43</v>
      </c>
      <c r="K4508" t="s">
        <v>29</v>
      </c>
      <c r="L4508" t="s">
        <v>30</v>
      </c>
      <c r="M4508" t="s">
        <v>139</v>
      </c>
      <c r="N4508">
        <v>1818</v>
      </c>
      <c r="O4508" s="14">
        <v>0.96607692819088697</v>
      </c>
      <c r="P4508" s="14">
        <v>0.83159798220731296</v>
      </c>
      <c r="Q4508" t="str">
        <f t="shared" si="140"/>
        <v>35-49</v>
      </c>
      <c r="R4508" t="str">
        <f t="shared" si="141"/>
        <v>[TYnMSwzko3z]|35-49|Female|PMTCT_ART_SUBNAT.N.Already.T_1|CY2023Q3</v>
      </c>
    </row>
    <row r="4509" spans="4:18" x14ac:dyDescent="0.2">
      <c r="D4509" t="s">
        <v>80</v>
      </c>
      <c r="E4509" t="s">
        <v>81</v>
      </c>
      <c r="F4509" t="s">
        <v>82</v>
      </c>
      <c r="G4509" t="s">
        <v>157</v>
      </c>
      <c r="H4509" t="s">
        <v>158</v>
      </c>
      <c r="I4509" t="s">
        <v>37</v>
      </c>
      <c r="J4509" t="s">
        <v>38</v>
      </c>
      <c r="K4509" t="s">
        <v>29</v>
      </c>
      <c r="L4509" t="s">
        <v>30</v>
      </c>
      <c r="M4509" t="s">
        <v>139</v>
      </c>
      <c r="N4509">
        <v>1847</v>
      </c>
      <c r="O4509" s="14">
        <v>0.87515166588127602</v>
      </c>
      <c r="P4509" s="14">
        <v>0.14333142153918699</v>
      </c>
      <c r="Q4509" t="str">
        <f t="shared" si="140"/>
        <v>15-24</v>
      </c>
      <c r="R4509" t="str">
        <f t="shared" si="141"/>
        <v>[ir8wuHHzoSs]|15-24|Female|PMTCT_ART_SUBNAT.N.Already.T_1|CY2023Q3</v>
      </c>
    </row>
    <row r="4510" spans="4:18" x14ac:dyDescent="0.2">
      <c r="D4510" t="s">
        <v>80</v>
      </c>
      <c r="E4510" t="s">
        <v>81</v>
      </c>
      <c r="F4510" t="s">
        <v>82</v>
      </c>
      <c r="G4510" t="s">
        <v>157</v>
      </c>
      <c r="H4510" t="s">
        <v>158</v>
      </c>
      <c r="I4510" t="s">
        <v>40</v>
      </c>
      <c r="J4510" t="s">
        <v>41</v>
      </c>
      <c r="K4510" t="s">
        <v>29</v>
      </c>
      <c r="L4510" t="s">
        <v>30</v>
      </c>
      <c r="M4510" t="s">
        <v>139</v>
      </c>
      <c r="N4510">
        <v>1215</v>
      </c>
      <c r="O4510" s="14">
        <v>0.87223462015390396</v>
      </c>
      <c r="P4510" s="14">
        <v>0.14333142153918699</v>
      </c>
      <c r="Q4510" t="str">
        <f t="shared" si="140"/>
        <v>25-34</v>
      </c>
      <c r="R4510" t="str">
        <f t="shared" si="141"/>
        <v>[ir8wuHHzoSs]|25-34|Female|PMTCT_ART_SUBNAT.N.Already.T_1|CY2023Q3</v>
      </c>
    </row>
    <row r="4511" spans="4:18" x14ac:dyDescent="0.2">
      <c r="D4511" t="s">
        <v>80</v>
      </c>
      <c r="E4511" t="s">
        <v>81</v>
      </c>
      <c r="F4511" t="s">
        <v>82</v>
      </c>
      <c r="G4511" t="s">
        <v>157</v>
      </c>
      <c r="H4511" t="s">
        <v>158</v>
      </c>
      <c r="I4511" t="s">
        <v>42</v>
      </c>
      <c r="J4511" t="s">
        <v>43</v>
      </c>
      <c r="K4511" t="s">
        <v>29</v>
      </c>
      <c r="L4511" t="s">
        <v>30</v>
      </c>
      <c r="M4511" t="s">
        <v>139</v>
      </c>
      <c r="N4511">
        <v>1574</v>
      </c>
      <c r="O4511" s="14">
        <v>0.81827396433800503</v>
      </c>
      <c r="P4511" s="14">
        <v>0.14333142153918699</v>
      </c>
      <c r="Q4511" t="str">
        <f t="shared" si="140"/>
        <v>35-49</v>
      </c>
      <c r="R4511" t="str">
        <f t="shared" si="141"/>
        <v>[ir8wuHHzoSs]|35-49|Female|PMTCT_ART_SUBNAT.N.Already.T_1|CY2023Q3</v>
      </c>
    </row>
    <row r="4512" spans="4:18" x14ac:dyDescent="0.2">
      <c r="D4512" t="s">
        <v>83</v>
      </c>
      <c r="E4512" t="s">
        <v>84</v>
      </c>
      <c r="F4512" t="s">
        <v>85</v>
      </c>
      <c r="G4512" t="s">
        <v>157</v>
      </c>
      <c r="H4512" t="s">
        <v>158</v>
      </c>
      <c r="I4512" t="s">
        <v>37</v>
      </c>
      <c r="J4512" t="s">
        <v>38</v>
      </c>
      <c r="K4512" t="s">
        <v>29</v>
      </c>
      <c r="L4512" t="s">
        <v>30</v>
      </c>
      <c r="M4512" t="s">
        <v>139</v>
      </c>
      <c r="N4512">
        <v>1747</v>
      </c>
      <c r="O4512" s="14">
        <v>0.510471337940544</v>
      </c>
      <c r="P4512" s="14">
        <v>2.9788714367896301E-2</v>
      </c>
      <c r="Q4512" t="str">
        <f t="shared" si="140"/>
        <v>15-24</v>
      </c>
      <c r="R4512" t="str">
        <f t="shared" si="141"/>
        <v>[fyEoGEPERdI]|15-24|Female|PMTCT_ART_SUBNAT.N.Already.T_1|CY2023Q3</v>
      </c>
    </row>
    <row r="4513" spans="4:18" x14ac:dyDescent="0.2">
      <c r="D4513" t="s">
        <v>83</v>
      </c>
      <c r="E4513" t="s">
        <v>84</v>
      </c>
      <c r="F4513" t="s">
        <v>85</v>
      </c>
      <c r="G4513" t="s">
        <v>157</v>
      </c>
      <c r="H4513" t="s">
        <v>158</v>
      </c>
      <c r="I4513" t="s">
        <v>40</v>
      </c>
      <c r="J4513" t="s">
        <v>41</v>
      </c>
      <c r="K4513" t="s">
        <v>29</v>
      </c>
      <c r="L4513" t="s">
        <v>30</v>
      </c>
      <c r="M4513" t="s">
        <v>139</v>
      </c>
      <c r="N4513">
        <v>972</v>
      </c>
      <c r="O4513" s="14">
        <v>0.71089687198400497</v>
      </c>
      <c r="P4513" s="14">
        <v>2.9788714367896301E-2</v>
      </c>
      <c r="Q4513" t="str">
        <f t="shared" si="140"/>
        <v>25-34</v>
      </c>
      <c r="R4513" t="str">
        <f t="shared" si="141"/>
        <v>[fyEoGEPERdI]|25-34|Female|PMTCT_ART_SUBNAT.N.Already.T_1|CY2023Q3</v>
      </c>
    </row>
    <row r="4514" spans="4:18" x14ac:dyDescent="0.2">
      <c r="D4514" t="s">
        <v>83</v>
      </c>
      <c r="E4514" t="s">
        <v>84</v>
      </c>
      <c r="F4514" t="s">
        <v>85</v>
      </c>
      <c r="G4514" t="s">
        <v>157</v>
      </c>
      <c r="H4514" t="s">
        <v>158</v>
      </c>
      <c r="I4514" t="s">
        <v>42</v>
      </c>
      <c r="J4514" t="s">
        <v>43</v>
      </c>
      <c r="K4514" t="s">
        <v>29</v>
      </c>
      <c r="L4514" t="s">
        <v>30</v>
      </c>
      <c r="M4514" t="s">
        <v>139</v>
      </c>
      <c r="N4514">
        <v>1877</v>
      </c>
      <c r="O4514" s="14">
        <v>0.114673750475049</v>
      </c>
      <c r="P4514" s="14">
        <v>2.9788714367896301E-2</v>
      </c>
      <c r="Q4514" t="str">
        <f t="shared" si="140"/>
        <v>35-49</v>
      </c>
      <c r="R4514" t="str">
        <f t="shared" si="141"/>
        <v>[fyEoGEPERdI]|35-49|Female|PMTCT_ART_SUBNAT.N.Already.T_1|CY2023Q3</v>
      </c>
    </row>
    <row r="4515" spans="4:18" x14ac:dyDescent="0.2">
      <c r="D4515" t="s">
        <v>86</v>
      </c>
      <c r="E4515" t="s">
        <v>87</v>
      </c>
      <c r="F4515" t="s">
        <v>88</v>
      </c>
      <c r="G4515" t="s">
        <v>157</v>
      </c>
      <c r="H4515" t="s">
        <v>158</v>
      </c>
      <c r="I4515" t="s">
        <v>37</v>
      </c>
      <c r="J4515" t="s">
        <v>38</v>
      </c>
      <c r="K4515" t="s">
        <v>29</v>
      </c>
      <c r="L4515" t="s">
        <v>30</v>
      </c>
      <c r="M4515" t="s">
        <v>139</v>
      </c>
      <c r="N4515">
        <v>601</v>
      </c>
      <c r="O4515" s="14">
        <v>0.67247064434923198</v>
      </c>
      <c r="P4515" s="14">
        <v>0.13333638082258401</v>
      </c>
      <c r="Q4515" t="str">
        <f t="shared" si="140"/>
        <v>15-24</v>
      </c>
      <c r="R4515" t="str">
        <f t="shared" si="141"/>
        <v>[cPtvxaZqXIH]|15-24|Female|PMTCT_ART_SUBNAT.N.Already.T_1|CY2023Q3</v>
      </c>
    </row>
    <row r="4516" spans="4:18" x14ac:dyDescent="0.2">
      <c r="D4516" t="s">
        <v>86</v>
      </c>
      <c r="E4516" t="s">
        <v>87</v>
      </c>
      <c r="F4516" t="s">
        <v>88</v>
      </c>
      <c r="G4516" t="s">
        <v>157</v>
      </c>
      <c r="H4516" t="s">
        <v>158</v>
      </c>
      <c r="I4516" t="s">
        <v>40</v>
      </c>
      <c r="J4516" t="s">
        <v>41</v>
      </c>
      <c r="K4516" t="s">
        <v>29</v>
      </c>
      <c r="L4516" t="s">
        <v>30</v>
      </c>
      <c r="M4516" t="s">
        <v>139</v>
      </c>
      <c r="N4516">
        <v>1061</v>
      </c>
      <c r="O4516" s="14">
        <v>0.95362593652680505</v>
      </c>
      <c r="P4516" s="14">
        <v>0.13333638082258401</v>
      </c>
      <c r="Q4516" t="str">
        <f t="shared" si="140"/>
        <v>25-34</v>
      </c>
      <c r="R4516" t="str">
        <f t="shared" si="141"/>
        <v>[cPtvxaZqXIH]|25-34|Female|PMTCT_ART_SUBNAT.N.Already.T_1|CY2023Q3</v>
      </c>
    </row>
    <row r="4517" spans="4:18" x14ac:dyDescent="0.2">
      <c r="D4517" t="s">
        <v>86</v>
      </c>
      <c r="E4517" t="s">
        <v>87</v>
      </c>
      <c r="F4517" t="s">
        <v>88</v>
      </c>
      <c r="G4517" t="s">
        <v>157</v>
      </c>
      <c r="H4517" t="s">
        <v>158</v>
      </c>
      <c r="I4517" t="s">
        <v>42</v>
      </c>
      <c r="J4517" t="s">
        <v>43</v>
      </c>
      <c r="K4517" t="s">
        <v>29</v>
      </c>
      <c r="L4517" t="s">
        <v>30</v>
      </c>
      <c r="M4517" t="s">
        <v>139</v>
      </c>
      <c r="N4517">
        <v>1763</v>
      </c>
      <c r="O4517" s="14">
        <v>0.150497822090983</v>
      </c>
      <c r="P4517" s="14">
        <v>0.13333638082258401</v>
      </c>
      <c r="Q4517" t="str">
        <f t="shared" si="140"/>
        <v>35-49</v>
      </c>
      <c r="R4517" t="str">
        <f t="shared" si="141"/>
        <v>[cPtvxaZqXIH]|35-49|Female|PMTCT_ART_SUBNAT.N.Already.T_1|CY2023Q3</v>
      </c>
    </row>
    <row r="4518" spans="4:18" x14ac:dyDescent="0.2">
      <c r="D4518" t="s">
        <v>89</v>
      </c>
      <c r="E4518" t="s">
        <v>90</v>
      </c>
      <c r="F4518" t="s">
        <v>91</v>
      </c>
      <c r="G4518" t="s">
        <v>157</v>
      </c>
      <c r="H4518" t="s">
        <v>158</v>
      </c>
      <c r="I4518" t="s">
        <v>37</v>
      </c>
      <c r="J4518" t="s">
        <v>38</v>
      </c>
      <c r="K4518" t="s">
        <v>29</v>
      </c>
      <c r="L4518" t="s">
        <v>30</v>
      </c>
      <c r="M4518" t="s">
        <v>139</v>
      </c>
      <c r="N4518">
        <v>1510</v>
      </c>
      <c r="O4518" s="14">
        <v>0.97631927370093796</v>
      </c>
      <c r="P4518" s="14">
        <v>0.71991415042430196</v>
      </c>
      <c r="Q4518" t="str">
        <f t="shared" si="140"/>
        <v>15-24</v>
      </c>
      <c r="R4518" t="str">
        <f t="shared" si="141"/>
        <v>[AZyWpGzhcaA]|15-24|Female|PMTCT_ART_SUBNAT.N.Already.T_1|CY2023Q3</v>
      </c>
    </row>
    <row r="4519" spans="4:18" x14ac:dyDescent="0.2">
      <c r="D4519" t="s">
        <v>89</v>
      </c>
      <c r="E4519" t="s">
        <v>90</v>
      </c>
      <c r="F4519" t="s">
        <v>91</v>
      </c>
      <c r="G4519" t="s">
        <v>157</v>
      </c>
      <c r="H4519" t="s">
        <v>158</v>
      </c>
      <c r="I4519" t="s">
        <v>40</v>
      </c>
      <c r="J4519" t="s">
        <v>41</v>
      </c>
      <c r="K4519" t="s">
        <v>29</v>
      </c>
      <c r="L4519" t="s">
        <v>30</v>
      </c>
      <c r="M4519" t="s">
        <v>139</v>
      </c>
      <c r="N4519">
        <v>713</v>
      </c>
      <c r="O4519" s="14">
        <v>3.3138709608465398E-2</v>
      </c>
      <c r="P4519" s="14">
        <v>0.71991415042430196</v>
      </c>
      <c r="Q4519" t="str">
        <f t="shared" si="140"/>
        <v>25-34</v>
      </c>
      <c r="R4519" t="str">
        <f t="shared" si="141"/>
        <v>[AZyWpGzhcaA]|25-34|Female|PMTCT_ART_SUBNAT.N.Already.T_1|CY2023Q3</v>
      </c>
    </row>
    <row r="4520" spans="4:18" x14ac:dyDescent="0.2">
      <c r="D4520" t="s">
        <v>89</v>
      </c>
      <c r="E4520" t="s">
        <v>90</v>
      </c>
      <c r="F4520" t="s">
        <v>91</v>
      </c>
      <c r="G4520" t="s">
        <v>157</v>
      </c>
      <c r="H4520" t="s">
        <v>158</v>
      </c>
      <c r="I4520" t="s">
        <v>42</v>
      </c>
      <c r="J4520" t="s">
        <v>43</v>
      </c>
      <c r="K4520" t="s">
        <v>29</v>
      </c>
      <c r="L4520" t="s">
        <v>30</v>
      </c>
      <c r="M4520" t="s">
        <v>139</v>
      </c>
      <c r="N4520">
        <v>596</v>
      </c>
      <c r="O4520" s="14">
        <v>0.47642259672284099</v>
      </c>
      <c r="P4520" s="14">
        <v>0.71991415042430196</v>
      </c>
      <c r="Q4520" t="str">
        <f t="shared" si="140"/>
        <v>35-49</v>
      </c>
      <c r="R4520" t="str">
        <f t="shared" si="141"/>
        <v>[AZyWpGzhcaA]|35-49|Female|PMTCT_ART_SUBNAT.N.Already.T_1|CY2023Q3</v>
      </c>
    </row>
    <row r="4521" spans="4:18" x14ac:dyDescent="0.2">
      <c r="D4521" t="s">
        <v>92</v>
      </c>
      <c r="E4521" t="s">
        <v>93</v>
      </c>
      <c r="F4521" t="s">
        <v>94</v>
      </c>
      <c r="G4521" t="s">
        <v>157</v>
      </c>
      <c r="H4521" t="s">
        <v>158</v>
      </c>
      <c r="I4521" t="s">
        <v>37</v>
      </c>
      <c r="J4521" t="s">
        <v>38</v>
      </c>
      <c r="K4521" t="s">
        <v>29</v>
      </c>
      <c r="L4521" t="s">
        <v>30</v>
      </c>
      <c r="M4521" t="s">
        <v>139</v>
      </c>
      <c r="N4521">
        <v>1664</v>
      </c>
      <c r="O4521" s="14">
        <v>0.550970820477232</v>
      </c>
      <c r="P4521" s="14">
        <v>0.36227229656651599</v>
      </c>
      <c r="Q4521" t="str">
        <f t="shared" si="140"/>
        <v>15-24</v>
      </c>
      <c r="R4521" t="str">
        <f t="shared" si="141"/>
        <v>[umc2n1Z4wNv]|15-24|Female|PMTCT_ART_SUBNAT.N.Already.T_1|CY2023Q3</v>
      </c>
    </row>
    <row r="4522" spans="4:18" x14ac:dyDescent="0.2">
      <c r="D4522" t="s">
        <v>92</v>
      </c>
      <c r="E4522" t="s">
        <v>93</v>
      </c>
      <c r="F4522" t="s">
        <v>94</v>
      </c>
      <c r="G4522" t="s">
        <v>157</v>
      </c>
      <c r="H4522" t="s">
        <v>158</v>
      </c>
      <c r="I4522" t="s">
        <v>40</v>
      </c>
      <c r="J4522" t="s">
        <v>41</v>
      </c>
      <c r="K4522" t="s">
        <v>29</v>
      </c>
      <c r="L4522" t="s">
        <v>30</v>
      </c>
      <c r="M4522" t="s">
        <v>139</v>
      </c>
      <c r="N4522">
        <v>647</v>
      </c>
      <c r="O4522" s="14">
        <v>0.295245304936543</v>
      </c>
      <c r="P4522" s="14">
        <v>0.36227229656651599</v>
      </c>
      <c r="Q4522" t="str">
        <f t="shared" si="140"/>
        <v>25-34</v>
      </c>
      <c r="R4522" t="str">
        <f t="shared" si="141"/>
        <v>[umc2n1Z4wNv]|25-34|Female|PMTCT_ART_SUBNAT.N.Already.T_1|CY2023Q3</v>
      </c>
    </row>
    <row r="4523" spans="4:18" x14ac:dyDescent="0.2">
      <c r="D4523" t="s">
        <v>92</v>
      </c>
      <c r="E4523" t="s">
        <v>93</v>
      </c>
      <c r="F4523" t="s">
        <v>94</v>
      </c>
      <c r="G4523" t="s">
        <v>157</v>
      </c>
      <c r="H4523" t="s">
        <v>158</v>
      </c>
      <c r="I4523" t="s">
        <v>42</v>
      </c>
      <c r="J4523" t="s">
        <v>43</v>
      </c>
      <c r="K4523" t="s">
        <v>29</v>
      </c>
      <c r="L4523" t="s">
        <v>30</v>
      </c>
      <c r="M4523" t="s">
        <v>139</v>
      </c>
      <c r="N4523">
        <v>1526</v>
      </c>
      <c r="O4523" s="14">
        <v>1.01069589145482E-2</v>
      </c>
      <c r="P4523" s="14">
        <v>0.36227229656651599</v>
      </c>
      <c r="Q4523" t="str">
        <f t="shared" si="140"/>
        <v>35-49</v>
      </c>
      <c r="R4523" t="str">
        <f t="shared" si="141"/>
        <v>[umc2n1Z4wNv]|35-49|Female|PMTCT_ART_SUBNAT.N.Already.T_1|CY2023Q3</v>
      </c>
    </row>
    <row r="4524" spans="4:18" x14ac:dyDescent="0.2">
      <c r="D4524" t="s">
        <v>95</v>
      </c>
      <c r="E4524" t="s">
        <v>96</v>
      </c>
      <c r="F4524" t="s">
        <v>97</v>
      </c>
      <c r="G4524" t="s">
        <v>157</v>
      </c>
      <c r="H4524" t="s">
        <v>158</v>
      </c>
      <c r="I4524" t="s">
        <v>37</v>
      </c>
      <c r="J4524" t="s">
        <v>38</v>
      </c>
      <c r="K4524" t="s">
        <v>29</v>
      </c>
      <c r="L4524" t="s">
        <v>30</v>
      </c>
      <c r="M4524" t="s">
        <v>139</v>
      </c>
      <c r="N4524">
        <v>1590</v>
      </c>
      <c r="O4524" s="14">
        <v>0.26883037551306199</v>
      </c>
      <c r="P4524" s="14">
        <v>0.60125171788968101</v>
      </c>
      <c r="Q4524" t="str">
        <f t="shared" si="140"/>
        <v>15-24</v>
      </c>
      <c r="R4524" t="str">
        <f t="shared" si="141"/>
        <v>[gwVYinjBAe9]|15-24|Female|PMTCT_ART_SUBNAT.N.Already.T_1|CY2023Q3</v>
      </c>
    </row>
    <row r="4525" spans="4:18" x14ac:dyDescent="0.2">
      <c r="D4525" t="s">
        <v>95</v>
      </c>
      <c r="E4525" t="s">
        <v>96</v>
      </c>
      <c r="F4525" t="s">
        <v>97</v>
      </c>
      <c r="G4525" t="s">
        <v>157</v>
      </c>
      <c r="H4525" t="s">
        <v>158</v>
      </c>
      <c r="I4525" t="s">
        <v>40</v>
      </c>
      <c r="J4525" t="s">
        <v>41</v>
      </c>
      <c r="K4525" t="s">
        <v>29</v>
      </c>
      <c r="L4525" t="s">
        <v>30</v>
      </c>
      <c r="M4525" t="s">
        <v>139</v>
      </c>
      <c r="N4525">
        <v>1825</v>
      </c>
      <c r="O4525" s="14">
        <v>0.68656575842760503</v>
      </c>
      <c r="P4525" s="14">
        <v>0.60125171788968101</v>
      </c>
      <c r="Q4525" t="str">
        <f t="shared" si="140"/>
        <v>25-34</v>
      </c>
      <c r="R4525" t="str">
        <f t="shared" si="141"/>
        <v>[gwVYinjBAe9]|25-34|Female|PMTCT_ART_SUBNAT.N.Already.T_1|CY2023Q3</v>
      </c>
    </row>
    <row r="4526" spans="4:18" x14ac:dyDescent="0.2">
      <c r="D4526" t="s">
        <v>95</v>
      </c>
      <c r="E4526" t="s">
        <v>96</v>
      </c>
      <c r="F4526" t="s">
        <v>97</v>
      </c>
      <c r="G4526" t="s">
        <v>157</v>
      </c>
      <c r="H4526" t="s">
        <v>158</v>
      </c>
      <c r="I4526" t="s">
        <v>42</v>
      </c>
      <c r="J4526" t="s">
        <v>43</v>
      </c>
      <c r="K4526" t="s">
        <v>29</v>
      </c>
      <c r="L4526" t="s">
        <v>30</v>
      </c>
      <c r="M4526" t="s">
        <v>139</v>
      </c>
      <c r="N4526">
        <v>1760</v>
      </c>
      <c r="O4526" s="14">
        <v>0.143593123648316</v>
      </c>
      <c r="P4526" s="14">
        <v>0.60125171788968101</v>
      </c>
      <c r="Q4526" t="str">
        <f t="shared" si="140"/>
        <v>35-49</v>
      </c>
      <c r="R4526" t="str">
        <f t="shared" si="141"/>
        <v>[gwVYinjBAe9]|35-49|Female|PMTCT_ART_SUBNAT.N.Already.T_1|CY2023Q3</v>
      </c>
    </row>
    <row r="4527" spans="4:18" x14ac:dyDescent="0.2">
      <c r="D4527" t="s">
        <v>98</v>
      </c>
      <c r="E4527" t="s">
        <v>99</v>
      </c>
      <c r="F4527" t="s">
        <v>100</v>
      </c>
      <c r="G4527" t="s">
        <v>157</v>
      </c>
      <c r="H4527" t="s">
        <v>158</v>
      </c>
      <c r="I4527" t="s">
        <v>37</v>
      </c>
      <c r="J4527" t="s">
        <v>38</v>
      </c>
      <c r="K4527" t="s">
        <v>29</v>
      </c>
      <c r="L4527" t="s">
        <v>30</v>
      </c>
      <c r="M4527" t="s">
        <v>139</v>
      </c>
      <c r="N4527">
        <v>1548</v>
      </c>
      <c r="O4527" s="14">
        <v>7.1762554347515106E-2</v>
      </c>
      <c r="P4527" s="14">
        <v>0.57728803809732199</v>
      </c>
      <c r="Q4527" t="str">
        <f t="shared" si="140"/>
        <v>15-24</v>
      </c>
      <c r="R4527" t="str">
        <f t="shared" si="141"/>
        <v>[mxqa3CDFmIT]|15-24|Female|PMTCT_ART_SUBNAT.N.Already.T_1|CY2023Q3</v>
      </c>
    </row>
    <row r="4528" spans="4:18" x14ac:dyDescent="0.2">
      <c r="D4528" t="s">
        <v>98</v>
      </c>
      <c r="E4528" t="s">
        <v>99</v>
      </c>
      <c r="F4528" t="s">
        <v>100</v>
      </c>
      <c r="G4528" t="s">
        <v>157</v>
      </c>
      <c r="H4528" t="s">
        <v>158</v>
      </c>
      <c r="I4528" t="s">
        <v>40</v>
      </c>
      <c r="J4528" t="s">
        <v>41</v>
      </c>
      <c r="K4528" t="s">
        <v>29</v>
      </c>
      <c r="L4528" t="s">
        <v>30</v>
      </c>
      <c r="M4528" t="s">
        <v>139</v>
      </c>
      <c r="N4528">
        <v>900</v>
      </c>
      <c r="O4528" s="14">
        <v>0.89695675554685295</v>
      </c>
      <c r="P4528" s="14">
        <v>0.57728803809732199</v>
      </c>
      <c r="Q4528" t="str">
        <f t="shared" si="140"/>
        <v>25-34</v>
      </c>
      <c r="R4528" t="str">
        <f t="shared" si="141"/>
        <v>[mxqa3CDFmIT]|25-34|Female|PMTCT_ART_SUBNAT.N.Already.T_1|CY2023Q3</v>
      </c>
    </row>
    <row r="4529" spans="4:18" x14ac:dyDescent="0.2">
      <c r="D4529" t="s">
        <v>98</v>
      </c>
      <c r="E4529" t="s">
        <v>99</v>
      </c>
      <c r="F4529" t="s">
        <v>100</v>
      </c>
      <c r="G4529" t="s">
        <v>157</v>
      </c>
      <c r="H4529" t="s">
        <v>158</v>
      </c>
      <c r="I4529" t="s">
        <v>42</v>
      </c>
      <c r="J4529" t="s">
        <v>43</v>
      </c>
      <c r="K4529" t="s">
        <v>29</v>
      </c>
      <c r="L4529" t="s">
        <v>30</v>
      </c>
      <c r="M4529" t="s">
        <v>139</v>
      </c>
      <c r="N4529">
        <v>1811</v>
      </c>
      <c r="O4529" s="14">
        <v>0.74818379152566195</v>
      </c>
      <c r="P4529" s="14">
        <v>0.57728803809732199</v>
      </c>
      <c r="Q4529" t="str">
        <f t="shared" si="140"/>
        <v>35-49</v>
      </c>
      <c r="R4529" t="str">
        <f t="shared" si="141"/>
        <v>[mxqa3CDFmIT]|35-49|Female|PMTCT_ART_SUBNAT.N.Already.T_1|CY2023Q3</v>
      </c>
    </row>
    <row r="4530" spans="4:18" x14ac:dyDescent="0.2">
      <c r="D4530" t="s">
        <v>101</v>
      </c>
      <c r="E4530" t="s">
        <v>102</v>
      </c>
      <c r="F4530" t="s">
        <v>103</v>
      </c>
      <c r="G4530" t="s">
        <v>157</v>
      </c>
      <c r="H4530" t="s">
        <v>158</v>
      </c>
      <c r="I4530" t="s">
        <v>37</v>
      </c>
      <c r="J4530" t="s">
        <v>38</v>
      </c>
      <c r="K4530" t="s">
        <v>29</v>
      </c>
      <c r="L4530" t="s">
        <v>30</v>
      </c>
      <c r="M4530" t="s">
        <v>139</v>
      </c>
      <c r="N4530">
        <v>1626</v>
      </c>
      <c r="O4530" s="14">
        <v>0.41656256071291897</v>
      </c>
      <c r="P4530" s="14">
        <v>0.52621235931292198</v>
      </c>
      <c r="Q4530" t="str">
        <f t="shared" si="140"/>
        <v>15-24</v>
      </c>
      <c r="R4530" t="str">
        <f t="shared" si="141"/>
        <v>[wNqJp8oRIcF]|15-24|Female|PMTCT_ART_SUBNAT.N.Already.T_1|CY2023Q3</v>
      </c>
    </row>
    <row r="4531" spans="4:18" x14ac:dyDescent="0.2">
      <c r="D4531" t="s">
        <v>101</v>
      </c>
      <c r="E4531" t="s">
        <v>102</v>
      </c>
      <c r="F4531" t="s">
        <v>103</v>
      </c>
      <c r="G4531" t="s">
        <v>157</v>
      </c>
      <c r="H4531" t="s">
        <v>158</v>
      </c>
      <c r="I4531" t="s">
        <v>40</v>
      </c>
      <c r="J4531" t="s">
        <v>41</v>
      </c>
      <c r="K4531" t="s">
        <v>29</v>
      </c>
      <c r="L4531" t="s">
        <v>30</v>
      </c>
      <c r="M4531" t="s">
        <v>139</v>
      </c>
      <c r="N4531">
        <v>1913</v>
      </c>
      <c r="O4531" s="14">
        <v>0.88349290518090096</v>
      </c>
      <c r="P4531" s="14">
        <v>0.52621235931292198</v>
      </c>
      <c r="Q4531" t="str">
        <f t="shared" si="140"/>
        <v>25-34</v>
      </c>
      <c r="R4531" t="str">
        <f t="shared" si="141"/>
        <v>[wNqJp8oRIcF]|25-34|Female|PMTCT_ART_SUBNAT.N.Already.T_1|CY2023Q3</v>
      </c>
    </row>
    <row r="4532" spans="4:18" x14ac:dyDescent="0.2">
      <c r="D4532" t="s">
        <v>101</v>
      </c>
      <c r="E4532" t="s">
        <v>102</v>
      </c>
      <c r="F4532" t="s">
        <v>103</v>
      </c>
      <c r="G4532" t="s">
        <v>157</v>
      </c>
      <c r="H4532" t="s">
        <v>158</v>
      </c>
      <c r="I4532" t="s">
        <v>42</v>
      </c>
      <c r="J4532" t="s">
        <v>43</v>
      </c>
      <c r="K4532" t="s">
        <v>29</v>
      </c>
      <c r="L4532" t="s">
        <v>30</v>
      </c>
      <c r="M4532" t="s">
        <v>139</v>
      </c>
      <c r="N4532">
        <v>1752</v>
      </c>
      <c r="O4532" s="14">
        <v>0.53974302415735997</v>
      </c>
      <c r="P4532" s="14">
        <v>0.52621235931292198</v>
      </c>
      <c r="Q4532" t="str">
        <f t="shared" si="140"/>
        <v>35-49</v>
      </c>
      <c r="R4532" t="str">
        <f t="shared" si="141"/>
        <v>[wNqJp8oRIcF]|35-49|Female|PMTCT_ART_SUBNAT.N.Already.T_1|CY2023Q3</v>
      </c>
    </row>
    <row r="4533" spans="4:18" x14ac:dyDescent="0.2">
      <c r="D4533" t="s">
        <v>104</v>
      </c>
      <c r="E4533" t="s">
        <v>105</v>
      </c>
      <c r="F4533" t="s">
        <v>106</v>
      </c>
      <c r="G4533" t="s">
        <v>157</v>
      </c>
      <c r="H4533" t="s">
        <v>158</v>
      </c>
      <c r="I4533" t="s">
        <v>37</v>
      </c>
      <c r="J4533" t="s">
        <v>38</v>
      </c>
      <c r="K4533" t="s">
        <v>29</v>
      </c>
      <c r="L4533" t="s">
        <v>30</v>
      </c>
      <c r="M4533" t="s">
        <v>139</v>
      </c>
      <c r="N4533">
        <v>1531</v>
      </c>
      <c r="O4533" s="14">
        <v>0.81972743407823101</v>
      </c>
      <c r="P4533" s="14">
        <v>0.21824956033378801</v>
      </c>
      <c r="Q4533" t="str">
        <f t="shared" si="140"/>
        <v>15-24</v>
      </c>
      <c r="R4533" t="str">
        <f t="shared" si="141"/>
        <v>[oiPR2CiVJbf]|15-24|Female|PMTCT_ART_SUBNAT.N.Already.T_1|CY2023Q3</v>
      </c>
    </row>
    <row r="4534" spans="4:18" x14ac:dyDescent="0.2">
      <c r="D4534" t="s">
        <v>104</v>
      </c>
      <c r="E4534" t="s">
        <v>105</v>
      </c>
      <c r="F4534" t="s">
        <v>106</v>
      </c>
      <c r="G4534" t="s">
        <v>157</v>
      </c>
      <c r="H4534" t="s">
        <v>158</v>
      </c>
      <c r="I4534" t="s">
        <v>40</v>
      </c>
      <c r="J4534" t="s">
        <v>41</v>
      </c>
      <c r="K4534" t="s">
        <v>29</v>
      </c>
      <c r="L4534" t="s">
        <v>30</v>
      </c>
      <c r="M4534" t="s">
        <v>139</v>
      </c>
      <c r="N4534">
        <v>1487</v>
      </c>
      <c r="O4534" s="14">
        <v>0.72732712421566204</v>
      </c>
      <c r="P4534" s="14">
        <v>0.21824956033378801</v>
      </c>
      <c r="Q4534" t="str">
        <f t="shared" si="140"/>
        <v>25-34</v>
      </c>
      <c r="R4534" t="str">
        <f t="shared" si="141"/>
        <v>[oiPR2CiVJbf]|25-34|Female|PMTCT_ART_SUBNAT.N.Already.T_1|CY2023Q3</v>
      </c>
    </row>
    <row r="4535" spans="4:18" x14ac:dyDescent="0.2">
      <c r="D4535" t="s">
        <v>104</v>
      </c>
      <c r="E4535" t="s">
        <v>105</v>
      </c>
      <c r="F4535" t="s">
        <v>106</v>
      </c>
      <c r="G4535" t="s">
        <v>157</v>
      </c>
      <c r="H4535" t="s">
        <v>158</v>
      </c>
      <c r="I4535" t="s">
        <v>42</v>
      </c>
      <c r="J4535" t="s">
        <v>43</v>
      </c>
      <c r="K4535" t="s">
        <v>29</v>
      </c>
      <c r="L4535" t="s">
        <v>30</v>
      </c>
      <c r="M4535" t="s">
        <v>139</v>
      </c>
      <c r="N4535">
        <v>1256</v>
      </c>
      <c r="O4535" s="14">
        <v>0.468485630117357</v>
      </c>
      <c r="P4535" s="14">
        <v>0.21824956033378801</v>
      </c>
      <c r="Q4535" t="str">
        <f t="shared" si="140"/>
        <v>35-49</v>
      </c>
      <c r="R4535" t="str">
        <f t="shared" si="141"/>
        <v>[oiPR2CiVJbf]|35-49|Female|PMTCT_ART_SUBNAT.N.Already.T_1|CY2023Q3</v>
      </c>
    </row>
    <row r="4536" spans="4:18" x14ac:dyDescent="0.2">
      <c r="D4536" t="s">
        <v>107</v>
      </c>
      <c r="E4536" t="s">
        <v>108</v>
      </c>
      <c r="F4536" t="s">
        <v>109</v>
      </c>
      <c r="G4536" t="s">
        <v>157</v>
      </c>
      <c r="H4536" t="s">
        <v>158</v>
      </c>
      <c r="I4536" t="s">
        <v>37</v>
      </c>
      <c r="J4536" t="s">
        <v>38</v>
      </c>
      <c r="K4536" t="s">
        <v>29</v>
      </c>
      <c r="L4536" t="s">
        <v>30</v>
      </c>
      <c r="M4536" t="s">
        <v>139</v>
      </c>
      <c r="N4536">
        <v>1414</v>
      </c>
      <c r="O4536" s="14">
        <v>0.48994833207689198</v>
      </c>
      <c r="P4536" s="14">
        <v>0.43422180437482899</v>
      </c>
      <c r="Q4536" t="str">
        <f t="shared" si="140"/>
        <v>15-24</v>
      </c>
      <c r="R4536" t="str">
        <f t="shared" si="141"/>
        <v>[ul0y9diGujK]|15-24|Female|PMTCT_ART_SUBNAT.N.Already.T_1|CY2023Q3</v>
      </c>
    </row>
    <row r="4537" spans="4:18" x14ac:dyDescent="0.2">
      <c r="D4537" t="s">
        <v>107</v>
      </c>
      <c r="E4537" t="s">
        <v>108</v>
      </c>
      <c r="F4537" t="s">
        <v>109</v>
      </c>
      <c r="G4537" t="s">
        <v>157</v>
      </c>
      <c r="H4537" t="s">
        <v>158</v>
      </c>
      <c r="I4537" t="s">
        <v>40</v>
      </c>
      <c r="J4537" t="s">
        <v>41</v>
      </c>
      <c r="K4537" t="s">
        <v>29</v>
      </c>
      <c r="L4537" t="s">
        <v>30</v>
      </c>
      <c r="M4537" t="s">
        <v>139</v>
      </c>
      <c r="N4537">
        <v>1074</v>
      </c>
      <c r="O4537" s="14">
        <v>0.75833379384130195</v>
      </c>
      <c r="P4537" s="14">
        <v>0.43422180437482899</v>
      </c>
      <c r="Q4537" t="str">
        <f t="shared" si="140"/>
        <v>25-34</v>
      </c>
      <c r="R4537" t="str">
        <f t="shared" si="141"/>
        <v>[ul0y9diGujK]|25-34|Female|PMTCT_ART_SUBNAT.N.Already.T_1|CY2023Q3</v>
      </c>
    </row>
    <row r="4538" spans="4:18" x14ac:dyDescent="0.2">
      <c r="D4538" t="s">
        <v>107</v>
      </c>
      <c r="E4538" t="s">
        <v>108</v>
      </c>
      <c r="F4538" t="s">
        <v>109</v>
      </c>
      <c r="G4538" t="s">
        <v>157</v>
      </c>
      <c r="H4538" t="s">
        <v>158</v>
      </c>
      <c r="I4538" t="s">
        <v>42</v>
      </c>
      <c r="J4538" t="s">
        <v>43</v>
      </c>
      <c r="K4538" t="s">
        <v>29</v>
      </c>
      <c r="L4538" t="s">
        <v>30</v>
      </c>
      <c r="M4538" t="s">
        <v>139</v>
      </c>
      <c r="N4538">
        <v>727</v>
      </c>
      <c r="O4538" s="14">
        <v>0.94200188340619195</v>
      </c>
      <c r="P4538" s="14">
        <v>0.43422180437482899</v>
      </c>
      <c r="Q4538" t="str">
        <f t="shared" si="140"/>
        <v>35-49</v>
      </c>
      <c r="R4538" t="str">
        <f t="shared" si="141"/>
        <v>[ul0y9diGujK]|35-49|Female|PMTCT_ART_SUBNAT.N.Already.T_1|CY2023Q3</v>
      </c>
    </row>
    <row r="4539" spans="4:18" x14ac:dyDescent="0.2">
      <c r="D4539" t="s">
        <v>110</v>
      </c>
      <c r="E4539" t="s">
        <v>111</v>
      </c>
      <c r="F4539" t="s">
        <v>112</v>
      </c>
      <c r="G4539" t="s">
        <v>157</v>
      </c>
      <c r="H4539" t="s">
        <v>158</v>
      </c>
      <c r="I4539" t="s">
        <v>37</v>
      </c>
      <c r="J4539" t="s">
        <v>38</v>
      </c>
      <c r="K4539" t="s">
        <v>29</v>
      </c>
      <c r="L4539" t="s">
        <v>30</v>
      </c>
      <c r="M4539" t="s">
        <v>139</v>
      </c>
      <c r="N4539">
        <v>1817</v>
      </c>
      <c r="O4539" s="14">
        <v>0.31091645918786498</v>
      </c>
      <c r="P4539" s="14">
        <v>0.33776879496872397</v>
      </c>
      <c r="Q4539" t="str">
        <f t="shared" si="140"/>
        <v>15-24</v>
      </c>
      <c r="R4539" t="str">
        <f t="shared" si="141"/>
        <v>[U8c0so51kT6]|15-24|Female|PMTCT_ART_SUBNAT.N.Already.T_1|CY2023Q3</v>
      </c>
    </row>
    <row r="4540" spans="4:18" x14ac:dyDescent="0.2">
      <c r="D4540" t="s">
        <v>110</v>
      </c>
      <c r="E4540" t="s">
        <v>111</v>
      </c>
      <c r="F4540" t="s">
        <v>112</v>
      </c>
      <c r="G4540" t="s">
        <v>157</v>
      </c>
      <c r="H4540" t="s">
        <v>158</v>
      </c>
      <c r="I4540" t="s">
        <v>40</v>
      </c>
      <c r="J4540" t="s">
        <v>41</v>
      </c>
      <c r="K4540" t="s">
        <v>29</v>
      </c>
      <c r="L4540" t="s">
        <v>30</v>
      </c>
      <c r="M4540" t="s">
        <v>139</v>
      </c>
      <c r="N4540">
        <v>506</v>
      </c>
      <c r="O4540" s="14">
        <v>6.4314129995182198E-2</v>
      </c>
      <c r="P4540" s="14">
        <v>0.33776879496872397</v>
      </c>
      <c r="Q4540" t="str">
        <f t="shared" si="140"/>
        <v>25-34</v>
      </c>
      <c r="R4540" t="str">
        <f t="shared" si="141"/>
        <v>[U8c0so51kT6]|25-34|Female|PMTCT_ART_SUBNAT.N.Already.T_1|CY2023Q3</v>
      </c>
    </row>
    <row r="4541" spans="4:18" x14ac:dyDescent="0.2">
      <c r="D4541" t="s">
        <v>110</v>
      </c>
      <c r="E4541" t="s">
        <v>111</v>
      </c>
      <c r="F4541" t="s">
        <v>112</v>
      </c>
      <c r="G4541" t="s">
        <v>157</v>
      </c>
      <c r="H4541" t="s">
        <v>158</v>
      </c>
      <c r="I4541" t="s">
        <v>42</v>
      </c>
      <c r="J4541" t="s">
        <v>43</v>
      </c>
      <c r="K4541" t="s">
        <v>29</v>
      </c>
      <c r="L4541" t="s">
        <v>30</v>
      </c>
      <c r="M4541" t="s">
        <v>139</v>
      </c>
      <c r="N4541">
        <v>1975</v>
      </c>
      <c r="O4541" s="14">
        <v>0.17698834021575699</v>
      </c>
      <c r="P4541" s="14">
        <v>0.33776879496872397</v>
      </c>
      <c r="Q4541" t="str">
        <f t="shared" si="140"/>
        <v>35-49</v>
      </c>
      <c r="R4541" t="str">
        <f t="shared" si="141"/>
        <v>[U8c0so51kT6]|35-49|Female|PMTCT_ART_SUBNAT.N.Already.T_1|CY2023Q3</v>
      </c>
    </row>
    <row r="4542" spans="4:18" x14ac:dyDescent="0.2">
      <c r="D4542" t="s">
        <v>113</v>
      </c>
      <c r="E4542" t="s">
        <v>114</v>
      </c>
      <c r="F4542" t="s">
        <v>115</v>
      </c>
      <c r="G4542" t="s">
        <v>157</v>
      </c>
      <c r="H4542" t="s">
        <v>158</v>
      </c>
      <c r="I4542" t="s">
        <v>37</v>
      </c>
      <c r="J4542" t="s">
        <v>38</v>
      </c>
      <c r="K4542" t="s">
        <v>29</v>
      </c>
      <c r="L4542" t="s">
        <v>30</v>
      </c>
      <c r="M4542" t="s">
        <v>139</v>
      </c>
      <c r="N4542">
        <v>1731</v>
      </c>
      <c r="O4542" s="14">
        <v>7.9282082617282895E-2</v>
      </c>
      <c r="P4542" s="14">
        <v>0.29855980910360802</v>
      </c>
      <c r="Q4542" t="str">
        <f t="shared" si="140"/>
        <v>15-24</v>
      </c>
      <c r="R4542" t="str">
        <f t="shared" si="141"/>
        <v>[rpw540fmNUz]|15-24|Female|PMTCT_ART_SUBNAT.N.Already.T_1|CY2023Q3</v>
      </c>
    </row>
    <row r="4543" spans="4:18" x14ac:dyDescent="0.2">
      <c r="D4543" t="s">
        <v>113</v>
      </c>
      <c r="E4543" t="s">
        <v>114</v>
      </c>
      <c r="F4543" t="s">
        <v>115</v>
      </c>
      <c r="G4543" t="s">
        <v>157</v>
      </c>
      <c r="H4543" t="s">
        <v>158</v>
      </c>
      <c r="I4543" t="s">
        <v>40</v>
      </c>
      <c r="J4543" t="s">
        <v>41</v>
      </c>
      <c r="K4543" t="s">
        <v>29</v>
      </c>
      <c r="L4543" t="s">
        <v>30</v>
      </c>
      <c r="M4543" t="s">
        <v>139</v>
      </c>
      <c r="N4543">
        <v>665</v>
      </c>
      <c r="O4543" s="14">
        <v>0.619634429225698</v>
      </c>
      <c r="P4543" s="14">
        <v>0.29855980910360802</v>
      </c>
      <c r="Q4543" t="str">
        <f t="shared" si="140"/>
        <v>25-34</v>
      </c>
      <c r="R4543" t="str">
        <f t="shared" si="141"/>
        <v>[rpw540fmNUz]|25-34|Female|PMTCT_ART_SUBNAT.N.Already.T_1|CY2023Q3</v>
      </c>
    </row>
    <row r="4544" spans="4:18" x14ac:dyDescent="0.2">
      <c r="D4544" t="s">
        <v>113</v>
      </c>
      <c r="E4544" t="s">
        <v>114</v>
      </c>
      <c r="F4544" t="s">
        <v>115</v>
      </c>
      <c r="G4544" t="s">
        <v>157</v>
      </c>
      <c r="H4544" t="s">
        <v>158</v>
      </c>
      <c r="I4544" t="s">
        <v>42</v>
      </c>
      <c r="J4544" t="s">
        <v>43</v>
      </c>
      <c r="K4544" t="s">
        <v>29</v>
      </c>
      <c r="L4544" t="s">
        <v>30</v>
      </c>
      <c r="M4544" t="s">
        <v>139</v>
      </c>
      <c r="N4544">
        <v>1936</v>
      </c>
      <c r="O4544" s="14">
        <v>0.58786037820391401</v>
      </c>
      <c r="P4544" s="14">
        <v>0.29855980910360802</v>
      </c>
      <c r="Q4544" t="str">
        <f t="shared" si="140"/>
        <v>35-49</v>
      </c>
      <c r="R4544" t="str">
        <f t="shared" si="141"/>
        <v>[rpw540fmNUz]|35-49|Female|PMTCT_ART_SUBNAT.N.Already.T_1|CY2023Q3</v>
      </c>
    </row>
    <row r="4545" spans="4:18" x14ac:dyDescent="0.2">
      <c r="D4545" t="s">
        <v>116</v>
      </c>
      <c r="E4545" t="s">
        <v>117</v>
      </c>
      <c r="F4545" t="s">
        <v>118</v>
      </c>
      <c r="G4545" t="s">
        <v>157</v>
      </c>
      <c r="H4545" t="s">
        <v>158</v>
      </c>
      <c r="I4545" t="s">
        <v>37</v>
      </c>
      <c r="J4545" t="s">
        <v>38</v>
      </c>
      <c r="K4545" t="s">
        <v>29</v>
      </c>
      <c r="L4545" t="s">
        <v>30</v>
      </c>
      <c r="M4545" t="s">
        <v>139</v>
      </c>
      <c r="N4545">
        <v>1553</v>
      </c>
      <c r="O4545" s="14">
        <v>8.1494463840499506E-2</v>
      </c>
      <c r="P4545" s="14">
        <v>0.206259709550068</v>
      </c>
      <c r="Q4545" t="str">
        <f t="shared" si="140"/>
        <v>15-24</v>
      </c>
      <c r="R4545" t="str">
        <f t="shared" si="141"/>
        <v>[lPTyjLi4w3d]|15-24|Female|PMTCT_ART_SUBNAT.N.Already.T_1|CY2023Q3</v>
      </c>
    </row>
    <row r="4546" spans="4:18" x14ac:dyDescent="0.2">
      <c r="D4546" t="s">
        <v>116</v>
      </c>
      <c r="E4546" t="s">
        <v>117</v>
      </c>
      <c r="F4546" t="s">
        <v>118</v>
      </c>
      <c r="G4546" t="s">
        <v>157</v>
      </c>
      <c r="H4546" t="s">
        <v>158</v>
      </c>
      <c r="I4546" t="s">
        <v>40</v>
      </c>
      <c r="J4546" t="s">
        <v>41</v>
      </c>
      <c r="K4546" t="s">
        <v>29</v>
      </c>
      <c r="L4546" t="s">
        <v>30</v>
      </c>
      <c r="M4546" t="s">
        <v>139</v>
      </c>
      <c r="N4546">
        <v>988</v>
      </c>
      <c r="O4546" s="14">
        <v>0.78165944642387297</v>
      </c>
      <c r="P4546" s="14">
        <v>0.206259709550068</v>
      </c>
      <c r="Q4546" t="str">
        <f t="shared" ref="Q4546:Q4609" si="142">SUBSTITUTE(SUBSTITUTE($I4546,CHAR(61),""),CHAR(34),"")</f>
        <v>25-34</v>
      </c>
      <c r="R4546" t="str">
        <f t="shared" ref="R4546:R4609" si="143">IF($D4546&lt;&gt;"","["&amp;$E4546&amp;"]"&amp;"|"&amp;$Q4546&amp;"|"&amp;$K4546&amp;"|"&amp;$G4546&amp;"|"&amp;IF($G4546="TX_CURR_SUBNAT.R","CY2022Q4",$M4546),"")</f>
        <v>[lPTyjLi4w3d]|25-34|Female|PMTCT_ART_SUBNAT.N.Already.T_1|CY2023Q3</v>
      </c>
    </row>
    <row r="4547" spans="4:18" x14ac:dyDescent="0.2">
      <c r="D4547" t="s">
        <v>116</v>
      </c>
      <c r="E4547" t="s">
        <v>117</v>
      </c>
      <c r="F4547" t="s">
        <v>118</v>
      </c>
      <c r="G4547" t="s">
        <v>157</v>
      </c>
      <c r="H4547" t="s">
        <v>158</v>
      </c>
      <c r="I4547" t="s">
        <v>42</v>
      </c>
      <c r="J4547" t="s">
        <v>43</v>
      </c>
      <c r="K4547" t="s">
        <v>29</v>
      </c>
      <c r="L4547" t="s">
        <v>30</v>
      </c>
      <c r="M4547" t="s">
        <v>139</v>
      </c>
      <c r="N4547">
        <v>1069</v>
      </c>
      <c r="O4547" s="14">
        <v>8.8314411230385303E-2</v>
      </c>
      <c r="P4547" s="14">
        <v>0.206259709550068</v>
      </c>
      <c r="Q4547" t="str">
        <f t="shared" si="142"/>
        <v>35-49</v>
      </c>
      <c r="R4547" t="str">
        <f t="shared" si="143"/>
        <v>[lPTyjLi4w3d]|35-49|Female|PMTCT_ART_SUBNAT.N.Already.T_1|CY2023Q3</v>
      </c>
    </row>
    <row r="4548" spans="4:18" x14ac:dyDescent="0.2">
      <c r="D4548" t="s">
        <v>119</v>
      </c>
      <c r="E4548" t="s">
        <v>120</v>
      </c>
      <c r="F4548" t="s">
        <v>121</v>
      </c>
      <c r="G4548" t="s">
        <v>157</v>
      </c>
      <c r="H4548" t="s">
        <v>158</v>
      </c>
      <c r="I4548" t="s">
        <v>37</v>
      </c>
      <c r="J4548" t="s">
        <v>38</v>
      </c>
      <c r="K4548" t="s">
        <v>29</v>
      </c>
      <c r="L4548" t="s">
        <v>30</v>
      </c>
      <c r="M4548" t="s">
        <v>139</v>
      </c>
      <c r="N4548">
        <v>1563</v>
      </c>
      <c r="O4548" s="14">
        <v>0.51021029520779804</v>
      </c>
      <c r="P4548" s="14">
        <v>0.43010397930629601</v>
      </c>
      <c r="Q4548" t="str">
        <f t="shared" si="142"/>
        <v>15-24</v>
      </c>
      <c r="R4548" t="str">
        <f t="shared" si="143"/>
        <v>[vA4NcHxfMBq]|15-24|Female|PMTCT_ART_SUBNAT.N.Already.T_1|CY2023Q3</v>
      </c>
    </row>
    <row r="4549" spans="4:18" x14ac:dyDescent="0.2">
      <c r="D4549" t="s">
        <v>119</v>
      </c>
      <c r="E4549" t="s">
        <v>120</v>
      </c>
      <c r="F4549" t="s">
        <v>121</v>
      </c>
      <c r="G4549" t="s">
        <v>157</v>
      </c>
      <c r="H4549" t="s">
        <v>158</v>
      </c>
      <c r="I4549" t="s">
        <v>40</v>
      </c>
      <c r="J4549" t="s">
        <v>41</v>
      </c>
      <c r="K4549" t="s">
        <v>29</v>
      </c>
      <c r="L4549" t="s">
        <v>30</v>
      </c>
      <c r="M4549" t="s">
        <v>139</v>
      </c>
      <c r="N4549">
        <v>1446</v>
      </c>
      <c r="O4549" s="14">
        <v>0.86381941055878997</v>
      </c>
      <c r="P4549" s="14">
        <v>0.43010397930629601</v>
      </c>
      <c r="Q4549" t="str">
        <f t="shared" si="142"/>
        <v>25-34</v>
      </c>
      <c r="R4549" t="str">
        <f t="shared" si="143"/>
        <v>[vA4NcHxfMBq]|25-34|Female|PMTCT_ART_SUBNAT.N.Already.T_1|CY2023Q3</v>
      </c>
    </row>
    <row r="4550" spans="4:18" x14ac:dyDescent="0.2">
      <c r="D4550" t="s">
        <v>119</v>
      </c>
      <c r="E4550" t="s">
        <v>120</v>
      </c>
      <c r="F4550" t="s">
        <v>121</v>
      </c>
      <c r="G4550" t="s">
        <v>157</v>
      </c>
      <c r="H4550" t="s">
        <v>158</v>
      </c>
      <c r="I4550" t="s">
        <v>42</v>
      </c>
      <c r="J4550" t="s">
        <v>43</v>
      </c>
      <c r="K4550" t="s">
        <v>29</v>
      </c>
      <c r="L4550" t="s">
        <v>30</v>
      </c>
      <c r="M4550" t="s">
        <v>139</v>
      </c>
      <c r="N4550">
        <v>1924</v>
      </c>
      <c r="O4550" s="14">
        <v>0.436012588208541</v>
      </c>
      <c r="P4550" s="14">
        <v>0.43010397930629601</v>
      </c>
      <c r="Q4550" t="str">
        <f t="shared" si="142"/>
        <v>35-49</v>
      </c>
      <c r="R4550" t="str">
        <f t="shared" si="143"/>
        <v>[vA4NcHxfMBq]|35-49|Female|PMTCT_ART_SUBNAT.N.Already.T_1|CY2023Q3</v>
      </c>
    </row>
    <row r="4551" spans="4:18" x14ac:dyDescent="0.2">
      <c r="D4551" t="s">
        <v>122</v>
      </c>
      <c r="E4551" t="s">
        <v>123</v>
      </c>
      <c r="F4551" t="s">
        <v>124</v>
      </c>
      <c r="G4551" t="s">
        <v>157</v>
      </c>
      <c r="H4551" t="s">
        <v>158</v>
      </c>
      <c r="I4551" t="s">
        <v>37</v>
      </c>
      <c r="J4551" t="s">
        <v>38</v>
      </c>
      <c r="K4551" t="s">
        <v>29</v>
      </c>
      <c r="L4551" t="s">
        <v>30</v>
      </c>
      <c r="M4551" t="s">
        <v>139</v>
      </c>
      <c r="N4551">
        <v>658</v>
      </c>
      <c r="O4551" s="14">
        <v>0.70065717212855805</v>
      </c>
      <c r="P4551" s="14">
        <v>0.41950060334056599</v>
      </c>
      <c r="Q4551" t="str">
        <f t="shared" si="142"/>
        <v>15-24</v>
      </c>
      <c r="R4551" t="str">
        <f t="shared" si="143"/>
        <v>[E7zpfyBt7Tw]|15-24|Female|PMTCT_ART_SUBNAT.N.Already.T_1|CY2023Q3</v>
      </c>
    </row>
    <row r="4552" spans="4:18" x14ac:dyDescent="0.2">
      <c r="D4552" t="s">
        <v>122</v>
      </c>
      <c r="E4552" t="s">
        <v>123</v>
      </c>
      <c r="F4552" t="s">
        <v>124</v>
      </c>
      <c r="G4552" t="s">
        <v>157</v>
      </c>
      <c r="H4552" t="s">
        <v>158</v>
      </c>
      <c r="I4552" t="s">
        <v>40</v>
      </c>
      <c r="J4552" t="s">
        <v>41</v>
      </c>
      <c r="K4552" t="s">
        <v>29</v>
      </c>
      <c r="L4552" t="s">
        <v>30</v>
      </c>
      <c r="M4552" t="s">
        <v>139</v>
      </c>
      <c r="N4552">
        <v>978</v>
      </c>
      <c r="O4552" s="14">
        <v>5.5774610722437501E-2</v>
      </c>
      <c r="P4552" s="14">
        <v>0.41950060334056599</v>
      </c>
      <c r="Q4552" t="str">
        <f t="shared" si="142"/>
        <v>25-34</v>
      </c>
      <c r="R4552" t="str">
        <f t="shared" si="143"/>
        <v>[E7zpfyBt7Tw]|25-34|Female|PMTCT_ART_SUBNAT.N.Already.T_1|CY2023Q3</v>
      </c>
    </row>
    <row r="4553" spans="4:18" x14ac:dyDescent="0.2">
      <c r="D4553" t="s">
        <v>122</v>
      </c>
      <c r="E4553" t="s">
        <v>123</v>
      </c>
      <c r="F4553" t="s">
        <v>124</v>
      </c>
      <c r="G4553" t="s">
        <v>157</v>
      </c>
      <c r="H4553" t="s">
        <v>158</v>
      </c>
      <c r="I4553" t="s">
        <v>42</v>
      </c>
      <c r="J4553" t="s">
        <v>43</v>
      </c>
      <c r="K4553" t="s">
        <v>29</v>
      </c>
      <c r="L4553" t="s">
        <v>30</v>
      </c>
      <c r="M4553" t="s">
        <v>139</v>
      </c>
      <c r="N4553">
        <v>1462</v>
      </c>
      <c r="O4553" s="14">
        <v>0.38101849122904202</v>
      </c>
      <c r="P4553" s="14">
        <v>0.41950060334056599</v>
      </c>
      <c r="Q4553" t="str">
        <f t="shared" si="142"/>
        <v>35-49</v>
      </c>
      <c r="R4553" t="str">
        <f t="shared" si="143"/>
        <v>[E7zpfyBt7Tw]|35-49|Female|PMTCT_ART_SUBNAT.N.Already.T_1|CY2023Q3</v>
      </c>
    </row>
    <row r="4554" spans="4:18" x14ac:dyDescent="0.2">
      <c r="D4554" t="s">
        <v>125</v>
      </c>
      <c r="E4554" t="s">
        <v>126</v>
      </c>
      <c r="F4554" t="s">
        <v>127</v>
      </c>
      <c r="G4554" t="s">
        <v>157</v>
      </c>
      <c r="H4554" t="s">
        <v>158</v>
      </c>
      <c r="I4554" t="s">
        <v>37</v>
      </c>
      <c r="J4554" t="s">
        <v>38</v>
      </c>
      <c r="K4554" t="s">
        <v>29</v>
      </c>
      <c r="L4554" t="s">
        <v>30</v>
      </c>
      <c r="M4554" t="s">
        <v>139</v>
      </c>
      <c r="N4554">
        <v>1572</v>
      </c>
      <c r="O4554" s="14">
        <v>0.89179383404552903</v>
      </c>
      <c r="P4554" s="14">
        <v>0.25270639033988102</v>
      </c>
      <c r="Q4554" t="str">
        <f t="shared" si="142"/>
        <v>15-24</v>
      </c>
      <c r="R4554" t="str">
        <f t="shared" si="143"/>
        <v>[ZCjuwgaMB9u]|15-24|Female|PMTCT_ART_SUBNAT.N.Already.T_1|CY2023Q3</v>
      </c>
    </row>
    <row r="4555" spans="4:18" x14ac:dyDescent="0.2">
      <c r="D4555" t="s">
        <v>125</v>
      </c>
      <c r="E4555" t="s">
        <v>126</v>
      </c>
      <c r="F4555" t="s">
        <v>127</v>
      </c>
      <c r="G4555" t="s">
        <v>157</v>
      </c>
      <c r="H4555" t="s">
        <v>158</v>
      </c>
      <c r="I4555" t="s">
        <v>40</v>
      </c>
      <c r="J4555" t="s">
        <v>41</v>
      </c>
      <c r="K4555" t="s">
        <v>29</v>
      </c>
      <c r="L4555" t="s">
        <v>30</v>
      </c>
      <c r="M4555" t="s">
        <v>139</v>
      </c>
      <c r="N4555">
        <v>994</v>
      </c>
      <c r="O4555" s="14">
        <v>0.52172937570139799</v>
      </c>
      <c r="P4555" s="14">
        <v>0.25270639033988102</v>
      </c>
      <c r="Q4555" t="str">
        <f t="shared" si="142"/>
        <v>25-34</v>
      </c>
      <c r="R4555" t="str">
        <f t="shared" si="143"/>
        <v>[ZCjuwgaMB9u]|25-34|Female|PMTCT_ART_SUBNAT.N.Already.T_1|CY2023Q3</v>
      </c>
    </row>
    <row r="4556" spans="4:18" x14ac:dyDescent="0.2">
      <c r="D4556" t="s">
        <v>125</v>
      </c>
      <c r="E4556" t="s">
        <v>126</v>
      </c>
      <c r="F4556" t="s">
        <v>127</v>
      </c>
      <c r="G4556" t="s">
        <v>157</v>
      </c>
      <c r="H4556" t="s">
        <v>158</v>
      </c>
      <c r="I4556" t="s">
        <v>42</v>
      </c>
      <c r="J4556" t="s">
        <v>43</v>
      </c>
      <c r="K4556" t="s">
        <v>29</v>
      </c>
      <c r="L4556" t="s">
        <v>30</v>
      </c>
      <c r="M4556" t="s">
        <v>139</v>
      </c>
      <c r="N4556">
        <v>953</v>
      </c>
      <c r="O4556" s="14">
        <v>0.56101762107573405</v>
      </c>
      <c r="P4556" s="14">
        <v>0.25270639033988102</v>
      </c>
      <c r="Q4556" t="str">
        <f t="shared" si="142"/>
        <v>35-49</v>
      </c>
      <c r="R4556" t="str">
        <f t="shared" si="143"/>
        <v>[ZCjuwgaMB9u]|35-49|Female|PMTCT_ART_SUBNAT.N.Already.T_1|CY2023Q3</v>
      </c>
    </row>
    <row r="4557" spans="4:18" x14ac:dyDescent="0.2">
      <c r="D4557" t="s">
        <v>128</v>
      </c>
      <c r="E4557" t="s">
        <v>129</v>
      </c>
      <c r="F4557" t="s">
        <v>130</v>
      </c>
      <c r="G4557" t="s">
        <v>157</v>
      </c>
      <c r="H4557" t="s">
        <v>158</v>
      </c>
      <c r="I4557" t="s">
        <v>37</v>
      </c>
      <c r="J4557" t="s">
        <v>38</v>
      </c>
      <c r="K4557" t="s">
        <v>29</v>
      </c>
      <c r="L4557" t="s">
        <v>30</v>
      </c>
      <c r="M4557" t="s">
        <v>139</v>
      </c>
      <c r="N4557">
        <v>869</v>
      </c>
      <c r="O4557" s="14">
        <v>0.43914916226640299</v>
      </c>
      <c r="P4557" s="14">
        <v>0.55690808477811504</v>
      </c>
      <c r="Q4557" t="str">
        <f t="shared" si="142"/>
        <v>15-24</v>
      </c>
      <c r="R4557" t="str">
        <f t="shared" si="143"/>
        <v>[YCKiBAp8QAg]|15-24|Female|PMTCT_ART_SUBNAT.N.Already.T_1|CY2023Q3</v>
      </c>
    </row>
    <row r="4558" spans="4:18" x14ac:dyDescent="0.2">
      <c r="D4558" t="s">
        <v>128</v>
      </c>
      <c r="E4558" t="s">
        <v>129</v>
      </c>
      <c r="F4558" t="s">
        <v>130</v>
      </c>
      <c r="G4558" t="s">
        <v>157</v>
      </c>
      <c r="H4558" t="s">
        <v>158</v>
      </c>
      <c r="I4558" t="s">
        <v>40</v>
      </c>
      <c r="J4558" t="s">
        <v>41</v>
      </c>
      <c r="K4558" t="s">
        <v>29</v>
      </c>
      <c r="L4558" t="s">
        <v>30</v>
      </c>
      <c r="M4558" t="s">
        <v>139</v>
      </c>
      <c r="N4558">
        <v>1362</v>
      </c>
      <c r="O4558" s="14">
        <v>0.56714296038262502</v>
      </c>
      <c r="P4558" s="14">
        <v>0.55690808477811504</v>
      </c>
      <c r="Q4558" t="str">
        <f t="shared" si="142"/>
        <v>25-34</v>
      </c>
      <c r="R4558" t="str">
        <f t="shared" si="143"/>
        <v>[YCKiBAp8QAg]|25-34|Female|PMTCT_ART_SUBNAT.N.Already.T_1|CY2023Q3</v>
      </c>
    </row>
    <row r="4559" spans="4:18" x14ac:dyDescent="0.2">
      <c r="D4559" t="s">
        <v>128</v>
      </c>
      <c r="E4559" t="s">
        <v>129</v>
      </c>
      <c r="F4559" t="s">
        <v>130</v>
      </c>
      <c r="G4559" t="s">
        <v>157</v>
      </c>
      <c r="H4559" t="s">
        <v>158</v>
      </c>
      <c r="I4559" t="s">
        <v>42</v>
      </c>
      <c r="J4559" t="s">
        <v>43</v>
      </c>
      <c r="K4559" t="s">
        <v>29</v>
      </c>
      <c r="L4559" t="s">
        <v>30</v>
      </c>
      <c r="M4559" t="s">
        <v>139</v>
      </c>
      <c r="N4559">
        <v>1611</v>
      </c>
      <c r="O4559" s="14">
        <v>0.56271511642262295</v>
      </c>
      <c r="P4559" s="14">
        <v>0.55690808477811504</v>
      </c>
      <c r="Q4559" t="str">
        <f t="shared" si="142"/>
        <v>35-49</v>
      </c>
      <c r="R4559" t="str">
        <f t="shared" si="143"/>
        <v>[YCKiBAp8QAg]|35-49|Female|PMTCT_ART_SUBNAT.N.Already.T_1|CY2023Q3</v>
      </c>
    </row>
    <row r="4560" spans="4:18" x14ac:dyDescent="0.2">
      <c r="D4560" t="s">
        <v>131</v>
      </c>
      <c r="E4560" t="s">
        <v>132</v>
      </c>
      <c r="F4560" t="s">
        <v>133</v>
      </c>
      <c r="G4560" t="s">
        <v>157</v>
      </c>
      <c r="H4560" t="s">
        <v>158</v>
      </c>
      <c r="I4560" t="s">
        <v>37</v>
      </c>
      <c r="J4560" t="s">
        <v>38</v>
      </c>
      <c r="K4560" t="s">
        <v>29</v>
      </c>
      <c r="L4560" t="s">
        <v>30</v>
      </c>
      <c r="M4560" t="s">
        <v>139</v>
      </c>
      <c r="N4560">
        <v>911</v>
      </c>
      <c r="O4560" s="14">
        <v>0.14281431352719701</v>
      </c>
      <c r="P4560" s="14">
        <v>0.16286319401115201</v>
      </c>
      <c r="Q4560" t="str">
        <f t="shared" si="142"/>
        <v>15-24</v>
      </c>
      <c r="R4560" t="str">
        <f t="shared" si="143"/>
        <v>[JQKLKuVuY61]|15-24|Female|PMTCT_ART_SUBNAT.N.Already.T_1|CY2023Q3</v>
      </c>
    </row>
    <row r="4561" spans="4:18" x14ac:dyDescent="0.2">
      <c r="D4561" t="s">
        <v>131</v>
      </c>
      <c r="E4561" t="s">
        <v>132</v>
      </c>
      <c r="F4561" t="s">
        <v>133</v>
      </c>
      <c r="G4561" t="s">
        <v>157</v>
      </c>
      <c r="H4561" t="s">
        <v>158</v>
      </c>
      <c r="I4561" t="s">
        <v>40</v>
      </c>
      <c r="J4561" t="s">
        <v>41</v>
      </c>
      <c r="K4561" t="s">
        <v>29</v>
      </c>
      <c r="L4561" t="s">
        <v>30</v>
      </c>
      <c r="M4561" t="s">
        <v>139</v>
      </c>
      <c r="N4561">
        <v>957</v>
      </c>
      <c r="O4561" s="14">
        <v>0.78223859192803502</v>
      </c>
      <c r="P4561" s="14">
        <v>0.16286319401115201</v>
      </c>
      <c r="Q4561" t="str">
        <f t="shared" si="142"/>
        <v>25-34</v>
      </c>
      <c r="R4561" t="str">
        <f t="shared" si="143"/>
        <v>[JQKLKuVuY61]|25-34|Female|PMTCT_ART_SUBNAT.N.Already.T_1|CY2023Q3</v>
      </c>
    </row>
    <row r="4562" spans="4:18" x14ac:dyDescent="0.2">
      <c r="D4562" t="s">
        <v>131</v>
      </c>
      <c r="E4562" t="s">
        <v>132</v>
      </c>
      <c r="F4562" t="s">
        <v>133</v>
      </c>
      <c r="G4562" t="s">
        <v>157</v>
      </c>
      <c r="H4562" t="s">
        <v>158</v>
      </c>
      <c r="I4562" t="s">
        <v>42</v>
      </c>
      <c r="J4562" t="s">
        <v>43</v>
      </c>
      <c r="K4562" t="s">
        <v>29</v>
      </c>
      <c r="L4562" t="s">
        <v>30</v>
      </c>
      <c r="M4562" t="s">
        <v>139</v>
      </c>
      <c r="N4562">
        <v>1109</v>
      </c>
      <c r="O4562" s="14">
        <v>9.65161947533488E-2</v>
      </c>
      <c r="P4562" s="14">
        <v>0.16286319401115201</v>
      </c>
      <c r="Q4562" t="str">
        <f t="shared" si="142"/>
        <v>35-49</v>
      </c>
      <c r="R4562" t="str">
        <f t="shared" si="143"/>
        <v>[JQKLKuVuY61]|35-49|Female|PMTCT_ART_SUBNAT.N.Already.T_1|CY2023Q3</v>
      </c>
    </row>
    <row r="4563" spans="4:18" x14ac:dyDescent="0.2">
      <c r="D4563" t="s">
        <v>134</v>
      </c>
      <c r="E4563" t="s">
        <v>135</v>
      </c>
      <c r="F4563" t="s">
        <v>136</v>
      </c>
      <c r="G4563" t="s">
        <v>157</v>
      </c>
      <c r="H4563" t="s">
        <v>158</v>
      </c>
      <c r="I4563" t="s">
        <v>37</v>
      </c>
      <c r="J4563" t="s">
        <v>38</v>
      </c>
      <c r="K4563" t="s">
        <v>29</v>
      </c>
      <c r="L4563" t="s">
        <v>30</v>
      </c>
      <c r="M4563" t="s">
        <v>139</v>
      </c>
      <c r="N4563">
        <v>1254</v>
      </c>
      <c r="O4563" s="14">
        <v>0.97160743107087899</v>
      </c>
      <c r="P4563" s="14">
        <v>0.95530052832327805</v>
      </c>
      <c r="Q4563" t="str">
        <f t="shared" si="142"/>
        <v>15-24</v>
      </c>
      <c r="R4563" t="str">
        <f t="shared" si="143"/>
        <v>[fiRkU6gEjLz]|15-24|Female|PMTCT_ART_SUBNAT.N.Already.T_1|CY2023Q3</v>
      </c>
    </row>
    <row r="4564" spans="4:18" x14ac:dyDescent="0.2">
      <c r="D4564" t="s">
        <v>134</v>
      </c>
      <c r="E4564" t="s">
        <v>135</v>
      </c>
      <c r="F4564" t="s">
        <v>136</v>
      </c>
      <c r="G4564" t="s">
        <v>157</v>
      </c>
      <c r="H4564" t="s">
        <v>158</v>
      </c>
      <c r="I4564" t="s">
        <v>40</v>
      </c>
      <c r="J4564" t="s">
        <v>41</v>
      </c>
      <c r="K4564" t="s">
        <v>29</v>
      </c>
      <c r="L4564" t="s">
        <v>30</v>
      </c>
      <c r="M4564" t="s">
        <v>139</v>
      </c>
      <c r="N4564">
        <v>500</v>
      </c>
      <c r="O4564" s="14">
        <v>0.148849420715123</v>
      </c>
      <c r="P4564" s="14">
        <v>0.95530052832327805</v>
      </c>
      <c r="Q4564" t="str">
        <f t="shared" si="142"/>
        <v>25-34</v>
      </c>
      <c r="R4564" t="str">
        <f t="shared" si="143"/>
        <v>[fiRkU6gEjLz]|25-34|Female|PMTCT_ART_SUBNAT.N.Already.T_1|CY2023Q3</v>
      </c>
    </row>
    <row r="4565" spans="4:18" x14ac:dyDescent="0.2">
      <c r="D4565" t="s">
        <v>134</v>
      </c>
      <c r="E4565" t="s">
        <v>135</v>
      </c>
      <c r="F4565" t="s">
        <v>136</v>
      </c>
      <c r="G4565" t="s">
        <v>157</v>
      </c>
      <c r="H4565" t="s">
        <v>158</v>
      </c>
      <c r="I4565" t="s">
        <v>42</v>
      </c>
      <c r="J4565" t="s">
        <v>43</v>
      </c>
      <c r="K4565" t="s">
        <v>29</v>
      </c>
      <c r="L4565" t="s">
        <v>30</v>
      </c>
      <c r="M4565" t="s">
        <v>139</v>
      </c>
      <c r="N4565">
        <v>972</v>
      </c>
      <c r="O4565" s="14">
        <v>3.1511807581409798E-2</v>
      </c>
      <c r="P4565" s="14">
        <v>0.95530052832327805</v>
      </c>
      <c r="Q4565" t="str">
        <f t="shared" si="142"/>
        <v>35-49</v>
      </c>
      <c r="R4565" t="str">
        <f t="shared" si="143"/>
        <v>[fiRkU6gEjLz]|35-49|Female|PMTCT_ART_SUBNAT.N.Already.T_1|CY2023Q3</v>
      </c>
    </row>
    <row r="4566" spans="4:18" x14ac:dyDescent="0.2">
      <c r="D4566" t="s">
        <v>22</v>
      </c>
      <c r="E4566" t="s">
        <v>23</v>
      </c>
      <c r="F4566" t="s">
        <v>24</v>
      </c>
      <c r="G4566" t="s">
        <v>159</v>
      </c>
      <c r="H4566" t="s">
        <v>158</v>
      </c>
      <c r="I4566" t="s">
        <v>37</v>
      </c>
      <c r="J4566" t="s">
        <v>38</v>
      </c>
      <c r="K4566" t="s">
        <v>29</v>
      </c>
      <c r="L4566" t="s">
        <v>30</v>
      </c>
      <c r="M4566" t="s">
        <v>139</v>
      </c>
      <c r="N4566">
        <v>1325</v>
      </c>
      <c r="O4566" s="14">
        <v>0.93337576673366096</v>
      </c>
      <c r="P4566" s="14">
        <v>0.40435861097648701</v>
      </c>
      <c r="Q4566" t="str">
        <f t="shared" si="142"/>
        <v>15-24</v>
      </c>
      <c r="R4566" t="str">
        <f t="shared" si="143"/>
        <v>[GkIwZrXy1h2]|15-24|Female|PMTCT_ART_SUBNAT.N.New.T_1|CY2023Q3</v>
      </c>
    </row>
    <row r="4567" spans="4:18" x14ac:dyDescent="0.2">
      <c r="D4567" t="s">
        <v>22</v>
      </c>
      <c r="E4567" t="s">
        <v>23</v>
      </c>
      <c r="F4567" t="s">
        <v>24</v>
      </c>
      <c r="G4567" t="s">
        <v>159</v>
      </c>
      <c r="H4567" t="s">
        <v>158</v>
      </c>
      <c r="I4567" t="s">
        <v>40</v>
      </c>
      <c r="J4567" t="s">
        <v>41</v>
      </c>
      <c r="K4567" t="s">
        <v>29</v>
      </c>
      <c r="L4567" t="s">
        <v>30</v>
      </c>
      <c r="M4567" t="s">
        <v>139</v>
      </c>
      <c r="N4567">
        <v>1333</v>
      </c>
      <c r="O4567" s="14">
        <v>0.85421632649377</v>
      </c>
      <c r="P4567" s="14">
        <v>0.40435861097648701</v>
      </c>
      <c r="Q4567" t="str">
        <f t="shared" si="142"/>
        <v>25-34</v>
      </c>
      <c r="R4567" t="str">
        <f t="shared" si="143"/>
        <v>[GkIwZrXy1h2]|25-34|Female|PMTCT_ART_SUBNAT.N.New.T_1|CY2023Q3</v>
      </c>
    </row>
    <row r="4568" spans="4:18" x14ac:dyDescent="0.2">
      <c r="D4568" t="s">
        <v>22</v>
      </c>
      <c r="E4568" t="s">
        <v>23</v>
      </c>
      <c r="F4568" t="s">
        <v>24</v>
      </c>
      <c r="G4568" t="s">
        <v>159</v>
      </c>
      <c r="H4568" t="s">
        <v>158</v>
      </c>
      <c r="I4568" t="s">
        <v>42</v>
      </c>
      <c r="J4568" t="s">
        <v>43</v>
      </c>
      <c r="K4568" t="s">
        <v>29</v>
      </c>
      <c r="L4568" t="s">
        <v>30</v>
      </c>
      <c r="M4568" t="s">
        <v>139</v>
      </c>
      <c r="N4568">
        <v>1885</v>
      </c>
      <c r="O4568" s="14">
        <v>0.85177012044005096</v>
      </c>
      <c r="P4568" s="14">
        <v>0.40435861097648701</v>
      </c>
      <c r="Q4568" t="str">
        <f t="shared" si="142"/>
        <v>35-49</v>
      </c>
      <c r="R4568" t="str">
        <f t="shared" si="143"/>
        <v>[GkIwZrXy1h2]|35-49|Female|PMTCT_ART_SUBNAT.N.New.T_1|CY2023Q3</v>
      </c>
    </row>
    <row r="4569" spans="4:18" x14ac:dyDescent="0.2">
      <c r="D4569" t="s">
        <v>52</v>
      </c>
      <c r="E4569" t="s">
        <v>53</v>
      </c>
      <c r="F4569" t="s">
        <v>54</v>
      </c>
      <c r="G4569" t="s">
        <v>159</v>
      </c>
      <c r="H4569" t="s">
        <v>158</v>
      </c>
      <c r="I4569" t="s">
        <v>37</v>
      </c>
      <c r="J4569" t="s">
        <v>38</v>
      </c>
      <c r="K4569" t="s">
        <v>29</v>
      </c>
      <c r="L4569" t="s">
        <v>30</v>
      </c>
      <c r="M4569" t="s">
        <v>139</v>
      </c>
      <c r="N4569">
        <v>816</v>
      </c>
      <c r="O4569" s="14">
        <v>0.78415708104148496</v>
      </c>
      <c r="P4569" s="14">
        <v>0.61639246996492103</v>
      </c>
      <c r="Q4569" t="str">
        <f t="shared" si="142"/>
        <v>15-24</v>
      </c>
      <c r="R4569" t="str">
        <f t="shared" si="143"/>
        <v>[zphK9WV8JB4]|15-24|Female|PMTCT_ART_SUBNAT.N.New.T_1|CY2023Q3</v>
      </c>
    </row>
    <row r="4570" spans="4:18" x14ac:dyDescent="0.2">
      <c r="D4570" t="s">
        <v>52</v>
      </c>
      <c r="E4570" t="s">
        <v>53</v>
      </c>
      <c r="F4570" t="s">
        <v>54</v>
      </c>
      <c r="G4570" t="s">
        <v>159</v>
      </c>
      <c r="H4570" t="s">
        <v>158</v>
      </c>
      <c r="I4570" t="s">
        <v>40</v>
      </c>
      <c r="J4570" t="s">
        <v>41</v>
      </c>
      <c r="K4570" t="s">
        <v>29</v>
      </c>
      <c r="L4570" t="s">
        <v>30</v>
      </c>
      <c r="M4570" t="s">
        <v>139</v>
      </c>
      <c r="N4570">
        <v>1220</v>
      </c>
      <c r="O4570" s="14">
        <v>0.29654293949715799</v>
      </c>
      <c r="P4570" s="14">
        <v>0.61639246996492103</v>
      </c>
      <c r="Q4570" t="str">
        <f t="shared" si="142"/>
        <v>25-34</v>
      </c>
      <c r="R4570" t="str">
        <f t="shared" si="143"/>
        <v>[zphK9WV8JB4]|25-34|Female|PMTCT_ART_SUBNAT.N.New.T_1|CY2023Q3</v>
      </c>
    </row>
    <row r="4571" spans="4:18" x14ac:dyDescent="0.2">
      <c r="D4571" t="s">
        <v>52</v>
      </c>
      <c r="E4571" t="s">
        <v>53</v>
      </c>
      <c r="F4571" t="s">
        <v>54</v>
      </c>
      <c r="G4571" t="s">
        <v>159</v>
      </c>
      <c r="H4571" t="s">
        <v>158</v>
      </c>
      <c r="I4571" t="s">
        <v>42</v>
      </c>
      <c r="J4571" t="s">
        <v>43</v>
      </c>
      <c r="K4571" t="s">
        <v>29</v>
      </c>
      <c r="L4571" t="s">
        <v>30</v>
      </c>
      <c r="M4571" t="s">
        <v>139</v>
      </c>
      <c r="N4571">
        <v>539</v>
      </c>
      <c r="O4571" s="14">
        <v>0.81228216085583005</v>
      </c>
      <c r="P4571" s="14">
        <v>0.61639246996492103</v>
      </c>
      <c r="Q4571" t="str">
        <f t="shared" si="142"/>
        <v>35-49</v>
      </c>
      <c r="R4571" t="str">
        <f t="shared" si="143"/>
        <v>[zphK9WV8JB4]|35-49|Female|PMTCT_ART_SUBNAT.N.New.T_1|CY2023Q3</v>
      </c>
    </row>
    <row r="4572" spans="4:18" x14ac:dyDescent="0.2">
      <c r="D4572" t="s">
        <v>59</v>
      </c>
      <c r="E4572" t="s">
        <v>60</v>
      </c>
      <c r="F4572" t="s">
        <v>61</v>
      </c>
      <c r="G4572" t="s">
        <v>159</v>
      </c>
      <c r="H4572" t="s">
        <v>158</v>
      </c>
      <c r="I4572" t="s">
        <v>37</v>
      </c>
      <c r="J4572" t="s">
        <v>38</v>
      </c>
      <c r="K4572" t="s">
        <v>29</v>
      </c>
      <c r="L4572" t="s">
        <v>30</v>
      </c>
      <c r="M4572" t="s">
        <v>139</v>
      </c>
      <c r="N4572">
        <v>1006</v>
      </c>
      <c r="O4572" s="14">
        <v>0.94475787878036499</v>
      </c>
      <c r="P4572" s="14">
        <v>2.6825056178495298E-2</v>
      </c>
      <c r="Q4572" t="str">
        <f t="shared" si="142"/>
        <v>15-24</v>
      </c>
      <c r="R4572" t="str">
        <f t="shared" si="143"/>
        <v>[msW2zpIN7up]|15-24|Female|PMTCT_ART_SUBNAT.N.New.T_1|CY2023Q3</v>
      </c>
    </row>
    <row r="4573" spans="4:18" x14ac:dyDescent="0.2">
      <c r="D4573" t="s">
        <v>59</v>
      </c>
      <c r="E4573" t="s">
        <v>60</v>
      </c>
      <c r="F4573" t="s">
        <v>61</v>
      </c>
      <c r="G4573" t="s">
        <v>159</v>
      </c>
      <c r="H4573" t="s">
        <v>158</v>
      </c>
      <c r="I4573" t="s">
        <v>40</v>
      </c>
      <c r="J4573" t="s">
        <v>41</v>
      </c>
      <c r="K4573" t="s">
        <v>29</v>
      </c>
      <c r="L4573" t="s">
        <v>30</v>
      </c>
      <c r="M4573" t="s">
        <v>139</v>
      </c>
      <c r="N4573">
        <v>1802</v>
      </c>
      <c r="O4573" s="14">
        <v>9.0510234702378498E-2</v>
      </c>
      <c r="P4573" s="14">
        <v>2.6825056178495298E-2</v>
      </c>
      <c r="Q4573" t="str">
        <f t="shared" si="142"/>
        <v>25-34</v>
      </c>
      <c r="R4573" t="str">
        <f t="shared" si="143"/>
        <v>[msW2zpIN7up]|25-34|Female|PMTCT_ART_SUBNAT.N.New.T_1|CY2023Q3</v>
      </c>
    </row>
    <row r="4574" spans="4:18" x14ac:dyDescent="0.2">
      <c r="D4574" t="s">
        <v>59</v>
      </c>
      <c r="E4574" t="s">
        <v>60</v>
      </c>
      <c r="F4574" t="s">
        <v>61</v>
      </c>
      <c r="G4574" t="s">
        <v>159</v>
      </c>
      <c r="H4574" t="s">
        <v>158</v>
      </c>
      <c r="I4574" t="s">
        <v>42</v>
      </c>
      <c r="J4574" t="s">
        <v>43</v>
      </c>
      <c r="K4574" t="s">
        <v>29</v>
      </c>
      <c r="L4574" t="s">
        <v>30</v>
      </c>
      <c r="M4574" t="s">
        <v>139</v>
      </c>
      <c r="N4574">
        <v>1914</v>
      </c>
      <c r="O4574" s="14">
        <v>0.76966802962124303</v>
      </c>
      <c r="P4574" s="14">
        <v>2.6825056178495298E-2</v>
      </c>
      <c r="Q4574" t="str">
        <f t="shared" si="142"/>
        <v>35-49</v>
      </c>
      <c r="R4574" t="str">
        <f t="shared" si="143"/>
        <v>[msW2zpIN7up]|35-49|Female|PMTCT_ART_SUBNAT.N.New.T_1|CY2023Q3</v>
      </c>
    </row>
    <row r="4575" spans="4:18" x14ac:dyDescent="0.2">
      <c r="D4575" t="s">
        <v>62</v>
      </c>
      <c r="E4575" t="s">
        <v>63</v>
      </c>
      <c r="F4575" t="s">
        <v>64</v>
      </c>
      <c r="G4575" t="s">
        <v>159</v>
      </c>
      <c r="H4575" t="s">
        <v>158</v>
      </c>
      <c r="I4575" t="s">
        <v>37</v>
      </c>
      <c r="J4575" t="s">
        <v>38</v>
      </c>
      <c r="K4575" t="s">
        <v>29</v>
      </c>
      <c r="L4575" t="s">
        <v>30</v>
      </c>
      <c r="M4575" t="s">
        <v>139</v>
      </c>
      <c r="N4575">
        <v>1002</v>
      </c>
      <c r="O4575" s="14">
        <v>9.7346885129809393E-2</v>
      </c>
      <c r="P4575" s="14">
        <v>0.790102193132043</v>
      </c>
      <c r="Q4575" t="str">
        <f t="shared" si="142"/>
        <v>15-24</v>
      </c>
      <c r="R4575" t="str">
        <f t="shared" si="143"/>
        <v>[kxuuIFpOXyO]|15-24|Female|PMTCT_ART_SUBNAT.N.New.T_1|CY2023Q3</v>
      </c>
    </row>
    <row r="4576" spans="4:18" x14ac:dyDescent="0.2">
      <c r="D4576" t="s">
        <v>62</v>
      </c>
      <c r="E4576" t="s">
        <v>63</v>
      </c>
      <c r="F4576" t="s">
        <v>64</v>
      </c>
      <c r="G4576" t="s">
        <v>159</v>
      </c>
      <c r="H4576" t="s">
        <v>158</v>
      </c>
      <c r="I4576" t="s">
        <v>40</v>
      </c>
      <c r="J4576" t="s">
        <v>41</v>
      </c>
      <c r="K4576" t="s">
        <v>29</v>
      </c>
      <c r="L4576" t="s">
        <v>30</v>
      </c>
      <c r="M4576" t="s">
        <v>139</v>
      </c>
      <c r="N4576">
        <v>1507</v>
      </c>
      <c r="O4576" s="14">
        <v>0.26674353284761299</v>
      </c>
      <c r="P4576" s="14">
        <v>0.790102193132043</v>
      </c>
      <c r="Q4576" t="str">
        <f t="shared" si="142"/>
        <v>25-34</v>
      </c>
      <c r="R4576" t="str">
        <f t="shared" si="143"/>
        <v>[kxuuIFpOXyO]|25-34|Female|PMTCT_ART_SUBNAT.N.New.T_1|CY2023Q3</v>
      </c>
    </row>
    <row r="4577" spans="4:18" x14ac:dyDescent="0.2">
      <c r="D4577" t="s">
        <v>62</v>
      </c>
      <c r="E4577" t="s">
        <v>63</v>
      </c>
      <c r="F4577" t="s">
        <v>64</v>
      </c>
      <c r="G4577" t="s">
        <v>159</v>
      </c>
      <c r="H4577" t="s">
        <v>158</v>
      </c>
      <c r="I4577" t="s">
        <v>42</v>
      </c>
      <c r="J4577" t="s">
        <v>43</v>
      </c>
      <c r="K4577" t="s">
        <v>29</v>
      </c>
      <c r="L4577" t="s">
        <v>30</v>
      </c>
      <c r="M4577" t="s">
        <v>139</v>
      </c>
      <c r="N4577">
        <v>691</v>
      </c>
      <c r="O4577" s="14">
        <v>0.41168966447003202</v>
      </c>
      <c r="P4577" s="14">
        <v>0.790102193132043</v>
      </c>
      <c r="Q4577" t="str">
        <f t="shared" si="142"/>
        <v>35-49</v>
      </c>
      <c r="R4577" t="str">
        <f t="shared" si="143"/>
        <v>[kxuuIFpOXyO]|35-49|Female|PMTCT_ART_SUBNAT.N.New.T_1|CY2023Q3</v>
      </c>
    </row>
    <row r="4578" spans="4:18" x14ac:dyDescent="0.2">
      <c r="D4578" t="s">
        <v>65</v>
      </c>
      <c r="E4578" t="s">
        <v>66</v>
      </c>
      <c r="F4578" t="s">
        <v>67</v>
      </c>
      <c r="G4578" t="s">
        <v>159</v>
      </c>
      <c r="H4578" t="s">
        <v>158</v>
      </c>
      <c r="I4578" t="s">
        <v>37</v>
      </c>
      <c r="J4578" t="s">
        <v>38</v>
      </c>
      <c r="K4578" t="s">
        <v>29</v>
      </c>
      <c r="L4578" t="s">
        <v>30</v>
      </c>
      <c r="M4578" t="s">
        <v>139</v>
      </c>
      <c r="N4578">
        <v>526</v>
      </c>
      <c r="O4578" s="14">
        <v>0.90148093272000596</v>
      </c>
      <c r="P4578" s="14">
        <v>0.16460988437756899</v>
      </c>
      <c r="Q4578" t="str">
        <f t="shared" si="142"/>
        <v>15-24</v>
      </c>
      <c r="R4578" t="str">
        <f t="shared" si="143"/>
        <v>[ScR9iFKAasW]|15-24|Female|PMTCT_ART_SUBNAT.N.New.T_1|CY2023Q3</v>
      </c>
    </row>
    <row r="4579" spans="4:18" x14ac:dyDescent="0.2">
      <c r="D4579" t="s">
        <v>65</v>
      </c>
      <c r="E4579" t="s">
        <v>66</v>
      </c>
      <c r="F4579" t="s">
        <v>67</v>
      </c>
      <c r="G4579" t="s">
        <v>159</v>
      </c>
      <c r="H4579" t="s">
        <v>158</v>
      </c>
      <c r="I4579" t="s">
        <v>40</v>
      </c>
      <c r="J4579" t="s">
        <v>41</v>
      </c>
      <c r="K4579" t="s">
        <v>29</v>
      </c>
      <c r="L4579" t="s">
        <v>30</v>
      </c>
      <c r="M4579" t="s">
        <v>139</v>
      </c>
      <c r="N4579">
        <v>1260</v>
      </c>
      <c r="O4579" s="14">
        <v>0.10471209208481</v>
      </c>
      <c r="P4579" s="14">
        <v>0.16460988437756899</v>
      </c>
      <c r="Q4579" t="str">
        <f t="shared" si="142"/>
        <v>25-34</v>
      </c>
      <c r="R4579" t="str">
        <f t="shared" si="143"/>
        <v>[ScR9iFKAasW]|25-34|Female|PMTCT_ART_SUBNAT.N.New.T_1|CY2023Q3</v>
      </c>
    </row>
    <row r="4580" spans="4:18" x14ac:dyDescent="0.2">
      <c r="D4580" t="s">
        <v>65</v>
      </c>
      <c r="E4580" t="s">
        <v>66</v>
      </c>
      <c r="F4580" t="s">
        <v>67</v>
      </c>
      <c r="G4580" t="s">
        <v>159</v>
      </c>
      <c r="H4580" t="s">
        <v>158</v>
      </c>
      <c r="I4580" t="s">
        <v>42</v>
      </c>
      <c r="J4580" t="s">
        <v>43</v>
      </c>
      <c r="K4580" t="s">
        <v>29</v>
      </c>
      <c r="L4580" t="s">
        <v>30</v>
      </c>
      <c r="M4580" t="s">
        <v>139</v>
      </c>
      <c r="N4580">
        <v>1027</v>
      </c>
      <c r="O4580" s="14">
        <v>0.430229961872101</v>
      </c>
      <c r="P4580" s="14">
        <v>0.16460988437756899</v>
      </c>
      <c r="Q4580" t="str">
        <f t="shared" si="142"/>
        <v>35-49</v>
      </c>
      <c r="R4580" t="str">
        <f t="shared" si="143"/>
        <v>[ScR9iFKAasW]|35-49|Female|PMTCT_ART_SUBNAT.N.New.T_1|CY2023Q3</v>
      </c>
    </row>
    <row r="4581" spans="4:18" x14ac:dyDescent="0.2">
      <c r="D4581" t="s">
        <v>68</v>
      </c>
      <c r="E4581" t="s">
        <v>69</v>
      </c>
      <c r="F4581" t="s">
        <v>70</v>
      </c>
      <c r="G4581" t="s">
        <v>159</v>
      </c>
      <c r="H4581" t="s">
        <v>158</v>
      </c>
      <c r="I4581" t="s">
        <v>37</v>
      </c>
      <c r="J4581" t="s">
        <v>38</v>
      </c>
      <c r="K4581" t="s">
        <v>29</v>
      </c>
      <c r="L4581" t="s">
        <v>30</v>
      </c>
      <c r="M4581" t="s">
        <v>139</v>
      </c>
      <c r="N4581">
        <v>713</v>
      </c>
      <c r="O4581" s="14">
        <v>0.797159134875983</v>
      </c>
      <c r="P4581" s="14">
        <v>0.19881726312451101</v>
      </c>
      <c r="Q4581" t="str">
        <f t="shared" si="142"/>
        <v>15-24</v>
      </c>
      <c r="R4581" t="str">
        <f t="shared" si="143"/>
        <v>[PekKUkKHAzY]|15-24|Female|PMTCT_ART_SUBNAT.N.New.T_1|CY2023Q3</v>
      </c>
    </row>
    <row r="4582" spans="4:18" x14ac:dyDescent="0.2">
      <c r="D4582" t="s">
        <v>68</v>
      </c>
      <c r="E4582" t="s">
        <v>69</v>
      </c>
      <c r="F4582" t="s">
        <v>70</v>
      </c>
      <c r="G4582" t="s">
        <v>159</v>
      </c>
      <c r="H4582" t="s">
        <v>158</v>
      </c>
      <c r="I4582" t="s">
        <v>40</v>
      </c>
      <c r="J4582" t="s">
        <v>41</v>
      </c>
      <c r="K4582" t="s">
        <v>29</v>
      </c>
      <c r="L4582" t="s">
        <v>30</v>
      </c>
      <c r="M4582" t="s">
        <v>139</v>
      </c>
      <c r="N4582">
        <v>1941</v>
      </c>
      <c r="O4582" s="14">
        <v>0.26799270301125899</v>
      </c>
      <c r="P4582" s="14">
        <v>0.19881726312451101</v>
      </c>
      <c r="Q4582" t="str">
        <f t="shared" si="142"/>
        <v>25-34</v>
      </c>
      <c r="R4582" t="str">
        <f t="shared" si="143"/>
        <v>[PekKUkKHAzY]|25-34|Female|PMTCT_ART_SUBNAT.N.New.T_1|CY2023Q3</v>
      </c>
    </row>
    <row r="4583" spans="4:18" x14ac:dyDescent="0.2">
      <c r="D4583" t="s">
        <v>68</v>
      </c>
      <c r="E4583" t="s">
        <v>69</v>
      </c>
      <c r="F4583" t="s">
        <v>70</v>
      </c>
      <c r="G4583" t="s">
        <v>159</v>
      </c>
      <c r="H4583" t="s">
        <v>158</v>
      </c>
      <c r="I4583" t="s">
        <v>42</v>
      </c>
      <c r="J4583" t="s">
        <v>43</v>
      </c>
      <c r="K4583" t="s">
        <v>29</v>
      </c>
      <c r="L4583" t="s">
        <v>30</v>
      </c>
      <c r="M4583" t="s">
        <v>139</v>
      </c>
      <c r="N4583">
        <v>1162</v>
      </c>
      <c r="O4583" s="14">
        <v>0.79212068556807902</v>
      </c>
      <c r="P4583" s="14">
        <v>0.19881726312451101</v>
      </c>
      <c r="Q4583" t="str">
        <f t="shared" si="142"/>
        <v>35-49</v>
      </c>
      <c r="R4583" t="str">
        <f t="shared" si="143"/>
        <v>[PekKUkKHAzY]|35-49|Female|PMTCT_ART_SUBNAT.N.New.T_1|CY2023Q3</v>
      </c>
    </row>
    <row r="4584" spans="4:18" x14ac:dyDescent="0.2">
      <c r="D4584" t="s">
        <v>71</v>
      </c>
      <c r="E4584" t="s">
        <v>72</v>
      </c>
      <c r="F4584" t="s">
        <v>73</v>
      </c>
      <c r="G4584" t="s">
        <v>159</v>
      </c>
      <c r="H4584" t="s">
        <v>158</v>
      </c>
      <c r="I4584" t="s">
        <v>37</v>
      </c>
      <c r="J4584" t="s">
        <v>38</v>
      </c>
      <c r="K4584" t="s">
        <v>29</v>
      </c>
      <c r="L4584" t="s">
        <v>30</v>
      </c>
      <c r="M4584" t="s">
        <v>139</v>
      </c>
      <c r="N4584">
        <v>865</v>
      </c>
      <c r="O4584" s="14">
        <v>4.1008085710927802E-2</v>
      </c>
      <c r="P4584" s="14">
        <v>0.28972870693542102</v>
      </c>
      <c r="Q4584" t="str">
        <f t="shared" si="142"/>
        <v>15-24</v>
      </c>
      <c r="R4584" t="str">
        <f t="shared" si="143"/>
        <v>[am530wpaGvr]|15-24|Female|PMTCT_ART_SUBNAT.N.New.T_1|CY2023Q3</v>
      </c>
    </row>
    <row r="4585" spans="4:18" x14ac:dyDescent="0.2">
      <c r="D4585" t="s">
        <v>71</v>
      </c>
      <c r="E4585" t="s">
        <v>72</v>
      </c>
      <c r="F4585" t="s">
        <v>73</v>
      </c>
      <c r="G4585" t="s">
        <v>159</v>
      </c>
      <c r="H4585" t="s">
        <v>158</v>
      </c>
      <c r="I4585" t="s">
        <v>40</v>
      </c>
      <c r="J4585" t="s">
        <v>41</v>
      </c>
      <c r="K4585" t="s">
        <v>29</v>
      </c>
      <c r="L4585" t="s">
        <v>30</v>
      </c>
      <c r="M4585" t="s">
        <v>139</v>
      </c>
      <c r="N4585">
        <v>1940</v>
      </c>
      <c r="O4585" s="14">
        <v>0.84196562878787495</v>
      </c>
      <c r="P4585" s="14">
        <v>0.28972870693542102</v>
      </c>
      <c r="Q4585" t="str">
        <f t="shared" si="142"/>
        <v>25-34</v>
      </c>
      <c r="R4585" t="str">
        <f t="shared" si="143"/>
        <v>[am530wpaGvr]|25-34|Female|PMTCT_ART_SUBNAT.N.New.T_1|CY2023Q3</v>
      </c>
    </row>
    <row r="4586" spans="4:18" x14ac:dyDescent="0.2">
      <c r="D4586" t="s">
        <v>71</v>
      </c>
      <c r="E4586" t="s">
        <v>72</v>
      </c>
      <c r="F4586" t="s">
        <v>73</v>
      </c>
      <c r="G4586" t="s">
        <v>159</v>
      </c>
      <c r="H4586" t="s">
        <v>158</v>
      </c>
      <c r="I4586" t="s">
        <v>42</v>
      </c>
      <c r="J4586" t="s">
        <v>43</v>
      </c>
      <c r="K4586" t="s">
        <v>29</v>
      </c>
      <c r="L4586" t="s">
        <v>30</v>
      </c>
      <c r="M4586" t="s">
        <v>139</v>
      </c>
      <c r="N4586">
        <v>1680</v>
      </c>
      <c r="O4586" s="14">
        <v>0.196453495649621</v>
      </c>
      <c r="P4586" s="14">
        <v>0.28972870693542102</v>
      </c>
      <c r="Q4586" t="str">
        <f t="shared" si="142"/>
        <v>35-49</v>
      </c>
      <c r="R4586" t="str">
        <f t="shared" si="143"/>
        <v>[am530wpaGvr]|35-49|Female|PMTCT_ART_SUBNAT.N.New.T_1|CY2023Q3</v>
      </c>
    </row>
    <row r="4587" spans="4:18" x14ac:dyDescent="0.2">
      <c r="D4587" t="s">
        <v>74</v>
      </c>
      <c r="E4587" t="s">
        <v>75</v>
      </c>
      <c r="F4587" t="s">
        <v>76</v>
      </c>
      <c r="G4587" t="s">
        <v>159</v>
      </c>
      <c r="H4587" t="s">
        <v>158</v>
      </c>
      <c r="I4587" t="s">
        <v>37</v>
      </c>
      <c r="J4587" t="s">
        <v>38</v>
      </c>
      <c r="K4587" t="s">
        <v>29</v>
      </c>
      <c r="L4587" t="s">
        <v>30</v>
      </c>
      <c r="M4587" t="s">
        <v>139</v>
      </c>
      <c r="N4587">
        <v>1131</v>
      </c>
      <c r="O4587" s="14">
        <v>0.980821879114956</v>
      </c>
      <c r="P4587" s="14">
        <v>0.30305550759658201</v>
      </c>
      <c r="Q4587" t="str">
        <f t="shared" si="142"/>
        <v>15-24</v>
      </c>
      <c r="R4587" t="str">
        <f t="shared" si="143"/>
        <v>[lLDyBx5XyUi]|15-24|Female|PMTCT_ART_SUBNAT.N.New.T_1|CY2023Q3</v>
      </c>
    </row>
    <row r="4588" spans="4:18" x14ac:dyDescent="0.2">
      <c r="D4588" t="s">
        <v>74</v>
      </c>
      <c r="E4588" t="s">
        <v>75</v>
      </c>
      <c r="F4588" t="s">
        <v>76</v>
      </c>
      <c r="G4588" t="s">
        <v>159</v>
      </c>
      <c r="H4588" t="s">
        <v>158</v>
      </c>
      <c r="I4588" t="s">
        <v>40</v>
      </c>
      <c r="J4588" t="s">
        <v>41</v>
      </c>
      <c r="K4588" t="s">
        <v>29</v>
      </c>
      <c r="L4588" t="s">
        <v>30</v>
      </c>
      <c r="M4588" t="s">
        <v>139</v>
      </c>
      <c r="N4588">
        <v>1255</v>
      </c>
      <c r="O4588" s="14">
        <v>0.54298421903513405</v>
      </c>
      <c r="P4588" s="14">
        <v>0.30305550759658201</v>
      </c>
      <c r="Q4588" t="str">
        <f t="shared" si="142"/>
        <v>25-34</v>
      </c>
      <c r="R4588" t="str">
        <f t="shared" si="143"/>
        <v>[lLDyBx5XyUi]|25-34|Female|PMTCT_ART_SUBNAT.N.New.T_1|CY2023Q3</v>
      </c>
    </row>
    <row r="4589" spans="4:18" x14ac:dyDescent="0.2">
      <c r="D4589" t="s">
        <v>74</v>
      </c>
      <c r="E4589" t="s">
        <v>75</v>
      </c>
      <c r="F4589" t="s">
        <v>76</v>
      </c>
      <c r="G4589" t="s">
        <v>159</v>
      </c>
      <c r="H4589" t="s">
        <v>158</v>
      </c>
      <c r="I4589" t="s">
        <v>42</v>
      </c>
      <c r="J4589" t="s">
        <v>43</v>
      </c>
      <c r="K4589" t="s">
        <v>29</v>
      </c>
      <c r="L4589" t="s">
        <v>30</v>
      </c>
      <c r="M4589" t="s">
        <v>139</v>
      </c>
      <c r="N4589">
        <v>1726</v>
      </c>
      <c r="O4589" s="14">
        <v>3.0200211098417602E-2</v>
      </c>
      <c r="P4589" s="14">
        <v>0.30305550759658201</v>
      </c>
      <c r="Q4589" t="str">
        <f t="shared" si="142"/>
        <v>35-49</v>
      </c>
      <c r="R4589" t="str">
        <f t="shared" si="143"/>
        <v>[lLDyBx5XyUi]|35-49|Female|PMTCT_ART_SUBNAT.N.New.T_1|CY2023Q3</v>
      </c>
    </row>
    <row r="4590" spans="4:18" x14ac:dyDescent="0.2">
      <c r="D4590" t="s">
        <v>77</v>
      </c>
      <c r="E4590" t="s">
        <v>78</v>
      </c>
      <c r="F4590" t="s">
        <v>79</v>
      </c>
      <c r="G4590" t="s">
        <v>159</v>
      </c>
      <c r="H4590" t="s">
        <v>158</v>
      </c>
      <c r="I4590" t="s">
        <v>37</v>
      </c>
      <c r="J4590" t="s">
        <v>38</v>
      </c>
      <c r="K4590" t="s">
        <v>29</v>
      </c>
      <c r="L4590" t="s">
        <v>30</v>
      </c>
      <c r="M4590" t="s">
        <v>139</v>
      </c>
      <c r="N4590">
        <v>1589</v>
      </c>
      <c r="O4590" s="14">
        <v>0.699978901538998</v>
      </c>
      <c r="P4590" s="14">
        <v>0.83159798220731296</v>
      </c>
      <c r="Q4590" t="str">
        <f t="shared" si="142"/>
        <v>15-24</v>
      </c>
      <c r="R4590" t="str">
        <f t="shared" si="143"/>
        <v>[TYnMSwzko3z]|15-24|Female|PMTCT_ART_SUBNAT.N.New.T_1|CY2023Q3</v>
      </c>
    </row>
    <row r="4591" spans="4:18" x14ac:dyDescent="0.2">
      <c r="D4591" t="s">
        <v>77</v>
      </c>
      <c r="E4591" t="s">
        <v>78</v>
      </c>
      <c r="F4591" t="s">
        <v>79</v>
      </c>
      <c r="G4591" t="s">
        <v>159</v>
      </c>
      <c r="H4591" t="s">
        <v>158</v>
      </c>
      <c r="I4591" t="s">
        <v>40</v>
      </c>
      <c r="J4591" t="s">
        <v>41</v>
      </c>
      <c r="K4591" t="s">
        <v>29</v>
      </c>
      <c r="L4591" t="s">
        <v>30</v>
      </c>
      <c r="M4591" t="s">
        <v>139</v>
      </c>
      <c r="N4591">
        <v>1603</v>
      </c>
      <c r="O4591" s="14">
        <v>0.29871072340756699</v>
      </c>
      <c r="P4591" s="14">
        <v>0.83159798220731296</v>
      </c>
      <c r="Q4591" t="str">
        <f t="shared" si="142"/>
        <v>25-34</v>
      </c>
      <c r="R4591" t="str">
        <f t="shared" si="143"/>
        <v>[TYnMSwzko3z]|25-34|Female|PMTCT_ART_SUBNAT.N.New.T_1|CY2023Q3</v>
      </c>
    </row>
    <row r="4592" spans="4:18" x14ac:dyDescent="0.2">
      <c r="D4592" t="s">
        <v>77</v>
      </c>
      <c r="E4592" t="s">
        <v>78</v>
      </c>
      <c r="F4592" t="s">
        <v>79</v>
      </c>
      <c r="G4592" t="s">
        <v>159</v>
      </c>
      <c r="H4592" t="s">
        <v>158</v>
      </c>
      <c r="I4592" t="s">
        <v>42</v>
      </c>
      <c r="J4592" t="s">
        <v>43</v>
      </c>
      <c r="K4592" t="s">
        <v>29</v>
      </c>
      <c r="L4592" t="s">
        <v>30</v>
      </c>
      <c r="M4592" t="s">
        <v>139</v>
      </c>
      <c r="N4592">
        <v>889</v>
      </c>
      <c r="O4592" s="14">
        <v>0.50813352735713102</v>
      </c>
      <c r="P4592" s="14">
        <v>0.83159798220731296</v>
      </c>
      <c r="Q4592" t="str">
        <f t="shared" si="142"/>
        <v>35-49</v>
      </c>
      <c r="R4592" t="str">
        <f t="shared" si="143"/>
        <v>[TYnMSwzko3z]|35-49|Female|PMTCT_ART_SUBNAT.N.New.T_1|CY2023Q3</v>
      </c>
    </row>
    <row r="4593" spans="4:18" x14ac:dyDescent="0.2">
      <c r="D4593" t="s">
        <v>80</v>
      </c>
      <c r="E4593" t="s">
        <v>81</v>
      </c>
      <c r="F4593" t="s">
        <v>82</v>
      </c>
      <c r="G4593" t="s">
        <v>159</v>
      </c>
      <c r="H4593" t="s">
        <v>158</v>
      </c>
      <c r="I4593" t="s">
        <v>37</v>
      </c>
      <c r="J4593" t="s">
        <v>38</v>
      </c>
      <c r="K4593" t="s">
        <v>29</v>
      </c>
      <c r="L4593" t="s">
        <v>30</v>
      </c>
      <c r="M4593" t="s">
        <v>139</v>
      </c>
      <c r="N4593">
        <v>1901</v>
      </c>
      <c r="O4593" s="14">
        <v>6.0021836077794398E-2</v>
      </c>
      <c r="P4593" s="14">
        <v>0.14333142153918699</v>
      </c>
      <c r="Q4593" t="str">
        <f t="shared" si="142"/>
        <v>15-24</v>
      </c>
      <c r="R4593" t="str">
        <f t="shared" si="143"/>
        <v>[ir8wuHHzoSs]|15-24|Female|PMTCT_ART_SUBNAT.N.New.T_1|CY2023Q3</v>
      </c>
    </row>
    <row r="4594" spans="4:18" x14ac:dyDescent="0.2">
      <c r="D4594" t="s">
        <v>80</v>
      </c>
      <c r="E4594" t="s">
        <v>81</v>
      </c>
      <c r="F4594" t="s">
        <v>82</v>
      </c>
      <c r="G4594" t="s">
        <v>159</v>
      </c>
      <c r="H4594" t="s">
        <v>158</v>
      </c>
      <c r="I4594" t="s">
        <v>40</v>
      </c>
      <c r="J4594" t="s">
        <v>41</v>
      </c>
      <c r="K4594" t="s">
        <v>29</v>
      </c>
      <c r="L4594" t="s">
        <v>30</v>
      </c>
      <c r="M4594" t="s">
        <v>139</v>
      </c>
      <c r="N4594">
        <v>1715</v>
      </c>
      <c r="O4594" s="14">
        <v>0.70705411932431195</v>
      </c>
      <c r="P4594" s="14">
        <v>0.14333142153918699</v>
      </c>
      <c r="Q4594" t="str">
        <f t="shared" si="142"/>
        <v>25-34</v>
      </c>
      <c r="R4594" t="str">
        <f t="shared" si="143"/>
        <v>[ir8wuHHzoSs]|25-34|Female|PMTCT_ART_SUBNAT.N.New.T_1|CY2023Q3</v>
      </c>
    </row>
    <row r="4595" spans="4:18" x14ac:dyDescent="0.2">
      <c r="D4595" t="s">
        <v>80</v>
      </c>
      <c r="E4595" t="s">
        <v>81</v>
      </c>
      <c r="F4595" t="s">
        <v>82</v>
      </c>
      <c r="G4595" t="s">
        <v>159</v>
      </c>
      <c r="H4595" t="s">
        <v>158</v>
      </c>
      <c r="I4595" t="s">
        <v>42</v>
      </c>
      <c r="J4595" t="s">
        <v>43</v>
      </c>
      <c r="K4595" t="s">
        <v>29</v>
      </c>
      <c r="L4595" t="s">
        <v>30</v>
      </c>
      <c r="M4595" t="s">
        <v>139</v>
      </c>
      <c r="N4595">
        <v>1520</v>
      </c>
      <c r="O4595" s="14">
        <v>0.36814180621877302</v>
      </c>
      <c r="P4595" s="14">
        <v>0.14333142153918699</v>
      </c>
      <c r="Q4595" t="str">
        <f t="shared" si="142"/>
        <v>35-49</v>
      </c>
      <c r="R4595" t="str">
        <f t="shared" si="143"/>
        <v>[ir8wuHHzoSs]|35-49|Female|PMTCT_ART_SUBNAT.N.New.T_1|CY2023Q3</v>
      </c>
    </row>
    <row r="4596" spans="4:18" x14ac:dyDescent="0.2">
      <c r="D4596" t="s">
        <v>83</v>
      </c>
      <c r="E4596" t="s">
        <v>84</v>
      </c>
      <c r="F4596" t="s">
        <v>85</v>
      </c>
      <c r="G4596" t="s">
        <v>159</v>
      </c>
      <c r="H4596" t="s">
        <v>158</v>
      </c>
      <c r="I4596" t="s">
        <v>37</v>
      </c>
      <c r="J4596" t="s">
        <v>38</v>
      </c>
      <c r="K4596" t="s">
        <v>29</v>
      </c>
      <c r="L4596" t="s">
        <v>30</v>
      </c>
      <c r="M4596" t="s">
        <v>139</v>
      </c>
      <c r="N4596">
        <v>1120</v>
      </c>
      <c r="O4596" s="14">
        <v>0.94510268606245496</v>
      </c>
      <c r="P4596" s="14">
        <v>2.9788714367896301E-2</v>
      </c>
      <c r="Q4596" t="str">
        <f t="shared" si="142"/>
        <v>15-24</v>
      </c>
      <c r="R4596" t="str">
        <f t="shared" si="143"/>
        <v>[fyEoGEPERdI]|15-24|Female|PMTCT_ART_SUBNAT.N.New.T_1|CY2023Q3</v>
      </c>
    </row>
    <row r="4597" spans="4:18" x14ac:dyDescent="0.2">
      <c r="D4597" t="s">
        <v>83</v>
      </c>
      <c r="E4597" t="s">
        <v>84</v>
      </c>
      <c r="F4597" t="s">
        <v>85</v>
      </c>
      <c r="G4597" t="s">
        <v>159</v>
      </c>
      <c r="H4597" t="s">
        <v>158</v>
      </c>
      <c r="I4597" t="s">
        <v>40</v>
      </c>
      <c r="J4597" t="s">
        <v>41</v>
      </c>
      <c r="K4597" t="s">
        <v>29</v>
      </c>
      <c r="L4597" t="s">
        <v>30</v>
      </c>
      <c r="M4597" t="s">
        <v>139</v>
      </c>
      <c r="N4597">
        <v>856</v>
      </c>
      <c r="O4597" s="14">
        <v>0.290003681788221</v>
      </c>
      <c r="P4597" s="14">
        <v>2.9788714367896301E-2</v>
      </c>
      <c r="Q4597" t="str">
        <f t="shared" si="142"/>
        <v>25-34</v>
      </c>
      <c r="R4597" t="str">
        <f t="shared" si="143"/>
        <v>[fyEoGEPERdI]|25-34|Female|PMTCT_ART_SUBNAT.N.New.T_1|CY2023Q3</v>
      </c>
    </row>
    <row r="4598" spans="4:18" x14ac:dyDescent="0.2">
      <c r="D4598" t="s">
        <v>83</v>
      </c>
      <c r="E4598" t="s">
        <v>84</v>
      </c>
      <c r="F4598" t="s">
        <v>85</v>
      </c>
      <c r="G4598" t="s">
        <v>159</v>
      </c>
      <c r="H4598" t="s">
        <v>158</v>
      </c>
      <c r="I4598" t="s">
        <v>42</v>
      </c>
      <c r="J4598" t="s">
        <v>43</v>
      </c>
      <c r="K4598" t="s">
        <v>29</v>
      </c>
      <c r="L4598" t="s">
        <v>30</v>
      </c>
      <c r="M4598" t="s">
        <v>139</v>
      </c>
      <c r="N4598">
        <v>536</v>
      </c>
      <c r="O4598" s="14">
        <v>0.49661822128109601</v>
      </c>
      <c r="P4598" s="14">
        <v>2.9788714367896301E-2</v>
      </c>
      <c r="Q4598" t="str">
        <f t="shared" si="142"/>
        <v>35-49</v>
      </c>
      <c r="R4598" t="str">
        <f t="shared" si="143"/>
        <v>[fyEoGEPERdI]|35-49|Female|PMTCT_ART_SUBNAT.N.New.T_1|CY2023Q3</v>
      </c>
    </row>
    <row r="4599" spans="4:18" x14ac:dyDescent="0.2">
      <c r="D4599" t="s">
        <v>86</v>
      </c>
      <c r="E4599" t="s">
        <v>87</v>
      </c>
      <c r="F4599" t="s">
        <v>88</v>
      </c>
      <c r="G4599" t="s">
        <v>159</v>
      </c>
      <c r="H4599" t="s">
        <v>158</v>
      </c>
      <c r="I4599" t="s">
        <v>37</v>
      </c>
      <c r="J4599" t="s">
        <v>38</v>
      </c>
      <c r="K4599" t="s">
        <v>29</v>
      </c>
      <c r="L4599" t="s">
        <v>30</v>
      </c>
      <c r="M4599" t="s">
        <v>139</v>
      </c>
      <c r="N4599">
        <v>922</v>
      </c>
      <c r="O4599" s="14">
        <v>0.97553975717164598</v>
      </c>
      <c r="P4599" s="14">
        <v>0.13333638082258401</v>
      </c>
      <c r="Q4599" t="str">
        <f t="shared" si="142"/>
        <v>15-24</v>
      </c>
      <c r="R4599" t="str">
        <f t="shared" si="143"/>
        <v>[cPtvxaZqXIH]|15-24|Female|PMTCT_ART_SUBNAT.N.New.T_1|CY2023Q3</v>
      </c>
    </row>
    <row r="4600" spans="4:18" x14ac:dyDescent="0.2">
      <c r="D4600" t="s">
        <v>86</v>
      </c>
      <c r="E4600" t="s">
        <v>87</v>
      </c>
      <c r="F4600" t="s">
        <v>88</v>
      </c>
      <c r="G4600" t="s">
        <v>159</v>
      </c>
      <c r="H4600" t="s">
        <v>158</v>
      </c>
      <c r="I4600" t="s">
        <v>40</v>
      </c>
      <c r="J4600" t="s">
        <v>41</v>
      </c>
      <c r="K4600" t="s">
        <v>29</v>
      </c>
      <c r="L4600" t="s">
        <v>30</v>
      </c>
      <c r="M4600" t="s">
        <v>139</v>
      </c>
      <c r="N4600">
        <v>1453</v>
      </c>
      <c r="O4600" s="14">
        <v>0.772054091561586</v>
      </c>
      <c r="P4600" s="14">
        <v>0.13333638082258401</v>
      </c>
      <c r="Q4600" t="str">
        <f t="shared" si="142"/>
        <v>25-34</v>
      </c>
      <c r="R4600" t="str">
        <f t="shared" si="143"/>
        <v>[cPtvxaZqXIH]|25-34|Female|PMTCT_ART_SUBNAT.N.New.T_1|CY2023Q3</v>
      </c>
    </row>
    <row r="4601" spans="4:18" x14ac:dyDescent="0.2">
      <c r="D4601" t="s">
        <v>86</v>
      </c>
      <c r="E4601" t="s">
        <v>87</v>
      </c>
      <c r="F4601" t="s">
        <v>88</v>
      </c>
      <c r="G4601" t="s">
        <v>159</v>
      </c>
      <c r="H4601" t="s">
        <v>158</v>
      </c>
      <c r="I4601" t="s">
        <v>42</v>
      </c>
      <c r="J4601" t="s">
        <v>43</v>
      </c>
      <c r="K4601" t="s">
        <v>29</v>
      </c>
      <c r="L4601" t="s">
        <v>30</v>
      </c>
      <c r="M4601" t="s">
        <v>139</v>
      </c>
      <c r="N4601">
        <v>1171</v>
      </c>
      <c r="O4601" s="14">
        <v>0.61394581617787503</v>
      </c>
      <c r="P4601" s="14">
        <v>0.13333638082258401</v>
      </c>
      <c r="Q4601" t="str">
        <f t="shared" si="142"/>
        <v>35-49</v>
      </c>
      <c r="R4601" t="str">
        <f t="shared" si="143"/>
        <v>[cPtvxaZqXIH]|35-49|Female|PMTCT_ART_SUBNAT.N.New.T_1|CY2023Q3</v>
      </c>
    </row>
    <row r="4602" spans="4:18" x14ac:dyDescent="0.2">
      <c r="D4602" t="s">
        <v>89</v>
      </c>
      <c r="E4602" t="s">
        <v>90</v>
      </c>
      <c r="F4602" t="s">
        <v>91</v>
      </c>
      <c r="G4602" t="s">
        <v>159</v>
      </c>
      <c r="H4602" t="s">
        <v>158</v>
      </c>
      <c r="I4602" t="s">
        <v>37</v>
      </c>
      <c r="J4602" t="s">
        <v>38</v>
      </c>
      <c r="K4602" t="s">
        <v>29</v>
      </c>
      <c r="L4602" t="s">
        <v>30</v>
      </c>
      <c r="M4602" t="s">
        <v>139</v>
      </c>
      <c r="N4602">
        <v>1161</v>
      </c>
      <c r="O4602" s="14">
        <v>0.80501755932345997</v>
      </c>
      <c r="P4602" s="14">
        <v>0.71991415042430196</v>
      </c>
      <c r="Q4602" t="str">
        <f t="shared" si="142"/>
        <v>15-24</v>
      </c>
      <c r="R4602" t="str">
        <f t="shared" si="143"/>
        <v>[AZyWpGzhcaA]|15-24|Female|PMTCT_ART_SUBNAT.N.New.T_1|CY2023Q3</v>
      </c>
    </row>
    <row r="4603" spans="4:18" x14ac:dyDescent="0.2">
      <c r="D4603" t="s">
        <v>89</v>
      </c>
      <c r="E4603" t="s">
        <v>90</v>
      </c>
      <c r="F4603" t="s">
        <v>91</v>
      </c>
      <c r="G4603" t="s">
        <v>159</v>
      </c>
      <c r="H4603" t="s">
        <v>158</v>
      </c>
      <c r="I4603" t="s">
        <v>40</v>
      </c>
      <c r="J4603" t="s">
        <v>41</v>
      </c>
      <c r="K4603" t="s">
        <v>29</v>
      </c>
      <c r="L4603" t="s">
        <v>30</v>
      </c>
      <c r="M4603" t="s">
        <v>139</v>
      </c>
      <c r="N4603">
        <v>605</v>
      </c>
      <c r="O4603" s="14">
        <v>0.55365928146056798</v>
      </c>
      <c r="P4603" s="14">
        <v>0.71991415042430196</v>
      </c>
      <c r="Q4603" t="str">
        <f t="shared" si="142"/>
        <v>25-34</v>
      </c>
      <c r="R4603" t="str">
        <f t="shared" si="143"/>
        <v>[AZyWpGzhcaA]|25-34|Female|PMTCT_ART_SUBNAT.N.New.T_1|CY2023Q3</v>
      </c>
    </row>
    <row r="4604" spans="4:18" x14ac:dyDescent="0.2">
      <c r="D4604" t="s">
        <v>89</v>
      </c>
      <c r="E4604" t="s">
        <v>90</v>
      </c>
      <c r="F4604" t="s">
        <v>91</v>
      </c>
      <c r="G4604" t="s">
        <v>159</v>
      </c>
      <c r="H4604" t="s">
        <v>158</v>
      </c>
      <c r="I4604" t="s">
        <v>42</v>
      </c>
      <c r="J4604" t="s">
        <v>43</v>
      </c>
      <c r="K4604" t="s">
        <v>29</v>
      </c>
      <c r="L4604" t="s">
        <v>30</v>
      </c>
      <c r="M4604" t="s">
        <v>139</v>
      </c>
      <c r="N4604">
        <v>965</v>
      </c>
      <c r="O4604" s="14">
        <v>0.91654361644759796</v>
      </c>
      <c r="P4604" s="14">
        <v>0.71991415042430196</v>
      </c>
      <c r="Q4604" t="str">
        <f t="shared" si="142"/>
        <v>35-49</v>
      </c>
      <c r="R4604" t="str">
        <f t="shared" si="143"/>
        <v>[AZyWpGzhcaA]|35-49|Female|PMTCT_ART_SUBNAT.N.New.T_1|CY2023Q3</v>
      </c>
    </row>
    <row r="4605" spans="4:18" x14ac:dyDescent="0.2">
      <c r="D4605" t="s">
        <v>92</v>
      </c>
      <c r="E4605" t="s">
        <v>93</v>
      </c>
      <c r="F4605" t="s">
        <v>94</v>
      </c>
      <c r="G4605" t="s">
        <v>159</v>
      </c>
      <c r="H4605" t="s">
        <v>158</v>
      </c>
      <c r="I4605" t="s">
        <v>37</v>
      </c>
      <c r="J4605" t="s">
        <v>38</v>
      </c>
      <c r="K4605" t="s">
        <v>29</v>
      </c>
      <c r="L4605" t="s">
        <v>30</v>
      </c>
      <c r="M4605" t="s">
        <v>139</v>
      </c>
      <c r="N4605">
        <v>1006</v>
      </c>
      <c r="O4605" s="14">
        <v>0.62489574868232001</v>
      </c>
      <c r="P4605" s="14">
        <v>0.36227229656651599</v>
      </c>
      <c r="Q4605" t="str">
        <f t="shared" si="142"/>
        <v>15-24</v>
      </c>
      <c r="R4605" t="str">
        <f t="shared" si="143"/>
        <v>[umc2n1Z4wNv]|15-24|Female|PMTCT_ART_SUBNAT.N.New.T_1|CY2023Q3</v>
      </c>
    </row>
    <row r="4606" spans="4:18" x14ac:dyDescent="0.2">
      <c r="D4606" t="s">
        <v>92</v>
      </c>
      <c r="E4606" t="s">
        <v>93</v>
      </c>
      <c r="F4606" t="s">
        <v>94</v>
      </c>
      <c r="G4606" t="s">
        <v>159</v>
      </c>
      <c r="H4606" t="s">
        <v>158</v>
      </c>
      <c r="I4606" t="s">
        <v>40</v>
      </c>
      <c r="J4606" t="s">
        <v>41</v>
      </c>
      <c r="K4606" t="s">
        <v>29</v>
      </c>
      <c r="L4606" t="s">
        <v>30</v>
      </c>
      <c r="M4606" t="s">
        <v>139</v>
      </c>
      <c r="N4606">
        <v>842</v>
      </c>
      <c r="O4606" s="14">
        <v>0.91625394416041706</v>
      </c>
      <c r="P4606" s="14">
        <v>0.36227229656651599</v>
      </c>
      <c r="Q4606" t="str">
        <f t="shared" si="142"/>
        <v>25-34</v>
      </c>
      <c r="R4606" t="str">
        <f t="shared" si="143"/>
        <v>[umc2n1Z4wNv]|25-34|Female|PMTCT_ART_SUBNAT.N.New.T_1|CY2023Q3</v>
      </c>
    </row>
    <row r="4607" spans="4:18" x14ac:dyDescent="0.2">
      <c r="D4607" t="s">
        <v>92</v>
      </c>
      <c r="E4607" t="s">
        <v>93</v>
      </c>
      <c r="F4607" t="s">
        <v>94</v>
      </c>
      <c r="G4607" t="s">
        <v>159</v>
      </c>
      <c r="H4607" t="s">
        <v>158</v>
      </c>
      <c r="I4607" t="s">
        <v>42</v>
      </c>
      <c r="J4607" t="s">
        <v>43</v>
      </c>
      <c r="K4607" t="s">
        <v>29</v>
      </c>
      <c r="L4607" t="s">
        <v>30</v>
      </c>
      <c r="M4607" t="s">
        <v>139</v>
      </c>
      <c r="N4607">
        <v>698</v>
      </c>
      <c r="O4607" s="14">
        <v>0.55924801551736902</v>
      </c>
      <c r="P4607" s="14">
        <v>0.36227229656651599</v>
      </c>
      <c r="Q4607" t="str">
        <f t="shared" si="142"/>
        <v>35-49</v>
      </c>
      <c r="R4607" t="str">
        <f t="shared" si="143"/>
        <v>[umc2n1Z4wNv]|35-49|Female|PMTCT_ART_SUBNAT.N.New.T_1|CY2023Q3</v>
      </c>
    </row>
    <row r="4608" spans="4:18" x14ac:dyDescent="0.2">
      <c r="D4608" t="s">
        <v>95</v>
      </c>
      <c r="E4608" t="s">
        <v>96</v>
      </c>
      <c r="F4608" t="s">
        <v>97</v>
      </c>
      <c r="G4608" t="s">
        <v>159</v>
      </c>
      <c r="H4608" t="s">
        <v>158</v>
      </c>
      <c r="I4608" t="s">
        <v>37</v>
      </c>
      <c r="J4608" t="s">
        <v>38</v>
      </c>
      <c r="K4608" t="s">
        <v>29</v>
      </c>
      <c r="L4608" t="s">
        <v>30</v>
      </c>
      <c r="M4608" t="s">
        <v>139</v>
      </c>
      <c r="N4608">
        <v>689</v>
      </c>
      <c r="O4608" s="14">
        <v>0.53190017584711302</v>
      </c>
      <c r="P4608" s="14">
        <v>0.60125171788968101</v>
      </c>
      <c r="Q4608" t="str">
        <f t="shared" si="142"/>
        <v>15-24</v>
      </c>
      <c r="R4608" t="str">
        <f t="shared" si="143"/>
        <v>[gwVYinjBAe9]|15-24|Female|PMTCT_ART_SUBNAT.N.New.T_1|CY2023Q3</v>
      </c>
    </row>
    <row r="4609" spans="4:18" x14ac:dyDescent="0.2">
      <c r="D4609" t="s">
        <v>95</v>
      </c>
      <c r="E4609" t="s">
        <v>96</v>
      </c>
      <c r="F4609" t="s">
        <v>97</v>
      </c>
      <c r="G4609" t="s">
        <v>159</v>
      </c>
      <c r="H4609" t="s">
        <v>158</v>
      </c>
      <c r="I4609" t="s">
        <v>40</v>
      </c>
      <c r="J4609" t="s">
        <v>41</v>
      </c>
      <c r="K4609" t="s">
        <v>29</v>
      </c>
      <c r="L4609" t="s">
        <v>30</v>
      </c>
      <c r="M4609" t="s">
        <v>139</v>
      </c>
      <c r="N4609">
        <v>1660</v>
      </c>
      <c r="O4609" s="14">
        <v>0.78904941258951999</v>
      </c>
      <c r="P4609" s="14">
        <v>0.60125171788968101</v>
      </c>
      <c r="Q4609" t="str">
        <f t="shared" si="142"/>
        <v>25-34</v>
      </c>
      <c r="R4609" t="str">
        <f t="shared" si="143"/>
        <v>[gwVYinjBAe9]|25-34|Female|PMTCT_ART_SUBNAT.N.New.T_1|CY2023Q3</v>
      </c>
    </row>
    <row r="4610" spans="4:18" x14ac:dyDescent="0.2">
      <c r="D4610" t="s">
        <v>95</v>
      </c>
      <c r="E4610" t="s">
        <v>96</v>
      </c>
      <c r="F4610" t="s">
        <v>97</v>
      </c>
      <c r="G4610" t="s">
        <v>159</v>
      </c>
      <c r="H4610" t="s">
        <v>158</v>
      </c>
      <c r="I4610" t="s">
        <v>42</v>
      </c>
      <c r="J4610" t="s">
        <v>43</v>
      </c>
      <c r="K4610" t="s">
        <v>29</v>
      </c>
      <c r="L4610" t="s">
        <v>30</v>
      </c>
      <c r="M4610" t="s">
        <v>139</v>
      </c>
      <c r="N4610">
        <v>1358</v>
      </c>
      <c r="O4610" s="14">
        <v>0.99226607894524899</v>
      </c>
      <c r="P4610" s="14">
        <v>0.60125171788968101</v>
      </c>
      <c r="Q4610" t="str">
        <f t="shared" ref="Q4610:Q4673" si="144">SUBSTITUTE(SUBSTITUTE($I4610,CHAR(61),""),CHAR(34),"")</f>
        <v>35-49</v>
      </c>
      <c r="R4610" t="str">
        <f t="shared" ref="R4610:R4673" si="145">IF($D4610&lt;&gt;"","["&amp;$E4610&amp;"]"&amp;"|"&amp;$Q4610&amp;"|"&amp;$K4610&amp;"|"&amp;$G4610&amp;"|"&amp;IF($G4610="TX_CURR_SUBNAT.R","CY2022Q4",$M4610),"")</f>
        <v>[gwVYinjBAe9]|35-49|Female|PMTCT_ART_SUBNAT.N.New.T_1|CY2023Q3</v>
      </c>
    </row>
    <row r="4611" spans="4:18" x14ac:dyDescent="0.2">
      <c r="D4611" t="s">
        <v>98</v>
      </c>
      <c r="E4611" t="s">
        <v>99</v>
      </c>
      <c r="F4611" t="s">
        <v>100</v>
      </c>
      <c r="G4611" t="s">
        <v>159</v>
      </c>
      <c r="H4611" t="s">
        <v>158</v>
      </c>
      <c r="I4611" t="s">
        <v>37</v>
      </c>
      <c r="J4611" t="s">
        <v>38</v>
      </c>
      <c r="K4611" t="s">
        <v>29</v>
      </c>
      <c r="L4611" t="s">
        <v>30</v>
      </c>
      <c r="M4611" t="s">
        <v>139</v>
      </c>
      <c r="N4611">
        <v>1071</v>
      </c>
      <c r="O4611" s="14">
        <v>7.5536594726145295E-2</v>
      </c>
      <c r="P4611" s="14">
        <v>0.57728803809732199</v>
      </c>
      <c r="Q4611" t="str">
        <f t="shared" si="144"/>
        <v>15-24</v>
      </c>
      <c r="R4611" t="str">
        <f t="shared" si="145"/>
        <v>[mxqa3CDFmIT]|15-24|Female|PMTCT_ART_SUBNAT.N.New.T_1|CY2023Q3</v>
      </c>
    </row>
    <row r="4612" spans="4:18" x14ac:dyDescent="0.2">
      <c r="D4612" t="s">
        <v>98</v>
      </c>
      <c r="E4612" t="s">
        <v>99</v>
      </c>
      <c r="F4612" t="s">
        <v>100</v>
      </c>
      <c r="G4612" t="s">
        <v>159</v>
      </c>
      <c r="H4612" t="s">
        <v>158</v>
      </c>
      <c r="I4612" t="s">
        <v>40</v>
      </c>
      <c r="J4612" t="s">
        <v>41</v>
      </c>
      <c r="K4612" t="s">
        <v>29</v>
      </c>
      <c r="L4612" t="s">
        <v>30</v>
      </c>
      <c r="M4612" t="s">
        <v>139</v>
      </c>
      <c r="N4612">
        <v>644</v>
      </c>
      <c r="O4612" s="14">
        <v>0.93196649919263996</v>
      </c>
      <c r="P4612" s="14">
        <v>0.57728803809732199</v>
      </c>
      <c r="Q4612" t="str">
        <f t="shared" si="144"/>
        <v>25-34</v>
      </c>
      <c r="R4612" t="str">
        <f t="shared" si="145"/>
        <v>[mxqa3CDFmIT]|25-34|Female|PMTCT_ART_SUBNAT.N.New.T_1|CY2023Q3</v>
      </c>
    </row>
    <row r="4613" spans="4:18" x14ac:dyDescent="0.2">
      <c r="D4613" t="s">
        <v>98</v>
      </c>
      <c r="E4613" t="s">
        <v>99</v>
      </c>
      <c r="F4613" t="s">
        <v>100</v>
      </c>
      <c r="G4613" t="s">
        <v>159</v>
      </c>
      <c r="H4613" t="s">
        <v>158</v>
      </c>
      <c r="I4613" t="s">
        <v>42</v>
      </c>
      <c r="J4613" t="s">
        <v>43</v>
      </c>
      <c r="K4613" t="s">
        <v>29</v>
      </c>
      <c r="L4613" t="s">
        <v>30</v>
      </c>
      <c r="M4613" t="s">
        <v>139</v>
      </c>
      <c r="N4613">
        <v>1179</v>
      </c>
      <c r="O4613" s="14">
        <v>0.27009248733520502</v>
      </c>
      <c r="P4613" s="14">
        <v>0.57728803809732199</v>
      </c>
      <c r="Q4613" t="str">
        <f t="shared" si="144"/>
        <v>35-49</v>
      </c>
      <c r="R4613" t="str">
        <f t="shared" si="145"/>
        <v>[mxqa3CDFmIT]|35-49|Female|PMTCT_ART_SUBNAT.N.New.T_1|CY2023Q3</v>
      </c>
    </row>
    <row r="4614" spans="4:18" x14ac:dyDescent="0.2">
      <c r="D4614" t="s">
        <v>101</v>
      </c>
      <c r="E4614" t="s">
        <v>102</v>
      </c>
      <c r="F4614" t="s">
        <v>103</v>
      </c>
      <c r="G4614" t="s">
        <v>159</v>
      </c>
      <c r="H4614" t="s">
        <v>158</v>
      </c>
      <c r="I4614" t="s">
        <v>37</v>
      </c>
      <c r="J4614" t="s">
        <v>38</v>
      </c>
      <c r="K4614" t="s">
        <v>29</v>
      </c>
      <c r="L4614" t="s">
        <v>30</v>
      </c>
      <c r="M4614" t="s">
        <v>139</v>
      </c>
      <c r="N4614">
        <v>1001</v>
      </c>
      <c r="O4614" s="14">
        <v>0.319053819403052</v>
      </c>
      <c r="P4614" s="14">
        <v>0.52621235931292198</v>
      </c>
      <c r="Q4614" t="str">
        <f t="shared" si="144"/>
        <v>15-24</v>
      </c>
      <c r="R4614" t="str">
        <f t="shared" si="145"/>
        <v>[wNqJp8oRIcF]|15-24|Female|PMTCT_ART_SUBNAT.N.New.T_1|CY2023Q3</v>
      </c>
    </row>
    <row r="4615" spans="4:18" x14ac:dyDescent="0.2">
      <c r="D4615" t="s">
        <v>101</v>
      </c>
      <c r="E4615" t="s">
        <v>102</v>
      </c>
      <c r="F4615" t="s">
        <v>103</v>
      </c>
      <c r="G4615" t="s">
        <v>159</v>
      </c>
      <c r="H4615" t="s">
        <v>158</v>
      </c>
      <c r="I4615" t="s">
        <v>40</v>
      </c>
      <c r="J4615" t="s">
        <v>41</v>
      </c>
      <c r="K4615" t="s">
        <v>29</v>
      </c>
      <c r="L4615" t="s">
        <v>30</v>
      </c>
      <c r="M4615" t="s">
        <v>139</v>
      </c>
      <c r="N4615">
        <v>882</v>
      </c>
      <c r="O4615" s="14">
        <v>0.49952231883071402</v>
      </c>
      <c r="P4615" s="14">
        <v>0.52621235931292198</v>
      </c>
      <c r="Q4615" t="str">
        <f t="shared" si="144"/>
        <v>25-34</v>
      </c>
      <c r="R4615" t="str">
        <f t="shared" si="145"/>
        <v>[wNqJp8oRIcF]|25-34|Female|PMTCT_ART_SUBNAT.N.New.T_1|CY2023Q3</v>
      </c>
    </row>
    <row r="4616" spans="4:18" x14ac:dyDescent="0.2">
      <c r="D4616" t="s">
        <v>101</v>
      </c>
      <c r="E4616" t="s">
        <v>102</v>
      </c>
      <c r="F4616" t="s">
        <v>103</v>
      </c>
      <c r="G4616" t="s">
        <v>159</v>
      </c>
      <c r="H4616" t="s">
        <v>158</v>
      </c>
      <c r="I4616" t="s">
        <v>42</v>
      </c>
      <c r="J4616" t="s">
        <v>43</v>
      </c>
      <c r="K4616" t="s">
        <v>29</v>
      </c>
      <c r="L4616" t="s">
        <v>30</v>
      </c>
      <c r="M4616" t="s">
        <v>139</v>
      </c>
      <c r="N4616">
        <v>1310</v>
      </c>
      <c r="O4616" s="14">
        <v>0.129178463481367</v>
      </c>
      <c r="P4616" s="14">
        <v>0.52621235931292198</v>
      </c>
      <c r="Q4616" t="str">
        <f t="shared" si="144"/>
        <v>35-49</v>
      </c>
      <c r="R4616" t="str">
        <f t="shared" si="145"/>
        <v>[wNqJp8oRIcF]|35-49|Female|PMTCT_ART_SUBNAT.N.New.T_1|CY2023Q3</v>
      </c>
    </row>
    <row r="4617" spans="4:18" x14ac:dyDescent="0.2">
      <c r="D4617" t="s">
        <v>104</v>
      </c>
      <c r="E4617" t="s">
        <v>105</v>
      </c>
      <c r="F4617" t="s">
        <v>106</v>
      </c>
      <c r="G4617" t="s">
        <v>159</v>
      </c>
      <c r="H4617" t="s">
        <v>158</v>
      </c>
      <c r="I4617" t="s">
        <v>37</v>
      </c>
      <c r="J4617" t="s">
        <v>38</v>
      </c>
      <c r="K4617" t="s">
        <v>29</v>
      </c>
      <c r="L4617" t="s">
        <v>30</v>
      </c>
      <c r="M4617" t="s">
        <v>139</v>
      </c>
      <c r="N4617">
        <v>973</v>
      </c>
      <c r="O4617" s="14">
        <v>0.78182172472588696</v>
      </c>
      <c r="P4617" s="14">
        <v>0.21824956033378801</v>
      </c>
      <c r="Q4617" t="str">
        <f t="shared" si="144"/>
        <v>15-24</v>
      </c>
      <c r="R4617" t="str">
        <f t="shared" si="145"/>
        <v>[oiPR2CiVJbf]|15-24|Female|PMTCT_ART_SUBNAT.N.New.T_1|CY2023Q3</v>
      </c>
    </row>
    <row r="4618" spans="4:18" x14ac:dyDescent="0.2">
      <c r="D4618" t="s">
        <v>104</v>
      </c>
      <c r="E4618" t="s">
        <v>105</v>
      </c>
      <c r="F4618" t="s">
        <v>106</v>
      </c>
      <c r="G4618" t="s">
        <v>159</v>
      </c>
      <c r="H4618" t="s">
        <v>158</v>
      </c>
      <c r="I4618" t="s">
        <v>40</v>
      </c>
      <c r="J4618" t="s">
        <v>41</v>
      </c>
      <c r="K4618" t="s">
        <v>29</v>
      </c>
      <c r="L4618" t="s">
        <v>30</v>
      </c>
      <c r="M4618" t="s">
        <v>139</v>
      </c>
      <c r="N4618">
        <v>1303</v>
      </c>
      <c r="O4618" s="14">
        <v>0.52796560944989301</v>
      </c>
      <c r="P4618" s="14">
        <v>0.21824956033378801</v>
      </c>
      <c r="Q4618" t="str">
        <f t="shared" si="144"/>
        <v>25-34</v>
      </c>
      <c r="R4618" t="str">
        <f t="shared" si="145"/>
        <v>[oiPR2CiVJbf]|25-34|Female|PMTCT_ART_SUBNAT.N.New.T_1|CY2023Q3</v>
      </c>
    </row>
    <row r="4619" spans="4:18" x14ac:dyDescent="0.2">
      <c r="D4619" t="s">
        <v>104</v>
      </c>
      <c r="E4619" t="s">
        <v>105</v>
      </c>
      <c r="F4619" t="s">
        <v>106</v>
      </c>
      <c r="G4619" t="s">
        <v>159</v>
      </c>
      <c r="H4619" t="s">
        <v>158</v>
      </c>
      <c r="I4619" t="s">
        <v>42</v>
      </c>
      <c r="J4619" t="s">
        <v>43</v>
      </c>
      <c r="K4619" t="s">
        <v>29</v>
      </c>
      <c r="L4619" t="s">
        <v>30</v>
      </c>
      <c r="M4619" t="s">
        <v>139</v>
      </c>
      <c r="N4619">
        <v>997</v>
      </c>
      <c r="O4619" s="14">
        <v>0.24366064136847901</v>
      </c>
      <c r="P4619" s="14">
        <v>0.21824956033378801</v>
      </c>
      <c r="Q4619" t="str">
        <f t="shared" si="144"/>
        <v>35-49</v>
      </c>
      <c r="R4619" t="str">
        <f t="shared" si="145"/>
        <v>[oiPR2CiVJbf]|35-49|Female|PMTCT_ART_SUBNAT.N.New.T_1|CY2023Q3</v>
      </c>
    </row>
    <row r="4620" spans="4:18" x14ac:dyDescent="0.2">
      <c r="D4620" t="s">
        <v>107</v>
      </c>
      <c r="E4620" t="s">
        <v>108</v>
      </c>
      <c r="F4620" t="s">
        <v>109</v>
      </c>
      <c r="G4620" t="s">
        <v>159</v>
      </c>
      <c r="H4620" t="s">
        <v>158</v>
      </c>
      <c r="I4620" t="s">
        <v>37</v>
      </c>
      <c r="J4620" t="s">
        <v>38</v>
      </c>
      <c r="K4620" t="s">
        <v>29</v>
      </c>
      <c r="L4620" t="s">
        <v>30</v>
      </c>
      <c r="M4620" t="s">
        <v>139</v>
      </c>
      <c r="N4620">
        <v>1459</v>
      </c>
      <c r="O4620" s="14">
        <v>0.15120585518889099</v>
      </c>
      <c r="P4620" s="14">
        <v>0.43422180437482899</v>
      </c>
      <c r="Q4620" t="str">
        <f t="shared" si="144"/>
        <v>15-24</v>
      </c>
      <c r="R4620" t="str">
        <f t="shared" si="145"/>
        <v>[ul0y9diGujK]|15-24|Female|PMTCT_ART_SUBNAT.N.New.T_1|CY2023Q3</v>
      </c>
    </row>
    <row r="4621" spans="4:18" x14ac:dyDescent="0.2">
      <c r="D4621" t="s">
        <v>107</v>
      </c>
      <c r="E4621" t="s">
        <v>108</v>
      </c>
      <c r="F4621" t="s">
        <v>109</v>
      </c>
      <c r="G4621" t="s">
        <v>159</v>
      </c>
      <c r="H4621" t="s">
        <v>158</v>
      </c>
      <c r="I4621" t="s">
        <v>40</v>
      </c>
      <c r="J4621" t="s">
        <v>41</v>
      </c>
      <c r="K4621" t="s">
        <v>29</v>
      </c>
      <c r="L4621" t="s">
        <v>30</v>
      </c>
      <c r="M4621" t="s">
        <v>139</v>
      </c>
      <c r="N4621">
        <v>1047</v>
      </c>
      <c r="O4621" s="14">
        <v>0.92521737376227997</v>
      </c>
      <c r="P4621" s="14">
        <v>0.43422180437482899</v>
      </c>
      <c r="Q4621" t="str">
        <f t="shared" si="144"/>
        <v>25-34</v>
      </c>
      <c r="R4621" t="str">
        <f t="shared" si="145"/>
        <v>[ul0y9diGujK]|25-34|Female|PMTCT_ART_SUBNAT.N.New.T_1|CY2023Q3</v>
      </c>
    </row>
    <row r="4622" spans="4:18" x14ac:dyDescent="0.2">
      <c r="D4622" t="s">
        <v>107</v>
      </c>
      <c r="E4622" t="s">
        <v>108</v>
      </c>
      <c r="F4622" t="s">
        <v>109</v>
      </c>
      <c r="G4622" t="s">
        <v>159</v>
      </c>
      <c r="H4622" t="s">
        <v>158</v>
      </c>
      <c r="I4622" t="s">
        <v>42</v>
      </c>
      <c r="J4622" t="s">
        <v>43</v>
      </c>
      <c r="K4622" t="s">
        <v>29</v>
      </c>
      <c r="L4622" t="s">
        <v>30</v>
      </c>
      <c r="M4622" t="s">
        <v>139</v>
      </c>
      <c r="N4622">
        <v>1398</v>
      </c>
      <c r="O4622" s="14">
        <v>0.160282714059576</v>
      </c>
      <c r="P4622" s="14">
        <v>0.43422180437482899</v>
      </c>
      <c r="Q4622" t="str">
        <f t="shared" si="144"/>
        <v>35-49</v>
      </c>
      <c r="R4622" t="str">
        <f t="shared" si="145"/>
        <v>[ul0y9diGujK]|35-49|Female|PMTCT_ART_SUBNAT.N.New.T_1|CY2023Q3</v>
      </c>
    </row>
    <row r="4623" spans="4:18" x14ac:dyDescent="0.2">
      <c r="D4623" t="s">
        <v>110</v>
      </c>
      <c r="E4623" t="s">
        <v>111</v>
      </c>
      <c r="F4623" t="s">
        <v>112</v>
      </c>
      <c r="G4623" t="s">
        <v>159</v>
      </c>
      <c r="H4623" t="s">
        <v>158</v>
      </c>
      <c r="I4623" t="s">
        <v>37</v>
      </c>
      <c r="J4623" t="s">
        <v>38</v>
      </c>
      <c r="K4623" t="s">
        <v>29</v>
      </c>
      <c r="L4623" t="s">
        <v>30</v>
      </c>
      <c r="M4623" t="s">
        <v>139</v>
      </c>
      <c r="N4623">
        <v>1978</v>
      </c>
      <c r="O4623" s="14">
        <v>0.51575952186249197</v>
      </c>
      <c r="P4623" s="14">
        <v>0.33776879496872397</v>
      </c>
      <c r="Q4623" t="str">
        <f t="shared" si="144"/>
        <v>15-24</v>
      </c>
      <c r="R4623" t="str">
        <f t="shared" si="145"/>
        <v>[U8c0so51kT6]|15-24|Female|PMTCT_ART_SUBNAT.N.New.T_1|CY2023Q3</v>
      </c>
    </row>
    <row r="4624" spans="4:18" x14ac:dyDescent="0.2">
      <c r="D4624" t="s">
        <v>110</v>
      </c>
      <c r="E4624" t="s">
        <v>111</v>
      </c>
      <c r="F4624" t="s">
        <v>112</v>
      </c>
      <c r="G4624" t="s">
        <v>159</v>
      </c>
      <c r="H4624" t="s">
        <v>158</v>
      </c>
      <c r="I4624" t="s">
        <v>40</v>
      </c>
      <c r="J4624" t="s">
        <v>41</v>
      </c>
      <c r="K4624" t="s">
        <v>29</v>
      </c>
      <c r="L4624" t="s">
        <v>30</v>
      </c>
      <c r="M4624" t="s">
        <v>139</v>
      </c>
      <c r="N4624">
        <v>655</v>
      </c>
      <c r="O4624" s="14">
        <v>0.71696550841443196</v>
      </c>
      <c r="P4624" s="14">
        <v>0.33776879496872397</v>
      </c>
      <c r="Q4624" t="str">
        <f t="shared" si="144"/>
        <v>25-34</v>
      </c>
      <c r="R4624" t="str">
        <f t="shared" si="145"/>
        <v>[U8c0so51kT6]|25-34|Female|PMTCT_ART_SUBNAT.N.New.T_1|CY2023Q3</v>
      </c>
    </row>
    <row r="4625" spans="4:18" x14ac:dyDescent="0.2">
      <c r="D4625" t="s">
        <v>110</v>
      </c>
      <c r="E4625" t="s">
        <v>111</v>
      </c>
      <c r="F4625" t="s">
        <v>112</v>
      </c>
      <c r="G4625" t="s">
        <v>159</v>
      </c>
      <c r="H4625" t="s">
        <v>158</v>
      </c>
      <c r="I4625" t="s">
        <v>42</v>
      </c>
      <c r="J4625" t="s">
        <v>43</v>
      </c>
      <c r="K4625" t="s">
        <v>29</v>
      </c>
      <c r="L4625" t="s">
        <v>30</v>
      </c>
      <c r="M4625" t="s">
        <v>139</v>
      </c>
      <c r="N4625">
        <v>670</v>
      </c>
      <c r="O4625" s="14">
        <v>0.670227664522827</v>
      </c>
      <c r="P4625" s="14">
        <v>0.33776879496872397</v>
      </c>
      <c r="Q4625" t="str">
        <f t="shared" si="144"/>
        <v>35-49</v>
      </c>
      <c r="R4625" t="str">
        <f t="shared" si="145"/>
        <v>[U8c0so51kT6]|35-49|Female|PMTCT_ART_SUBNAT.N.New.T_1|CY2023Q3</v>
      </c>
    </row>
    <row r="4626" spans="4:18" x14ac:dyDescent="0.2">
      <c r="D4626" t="s">
        <v>113</v>
      </c>
      <c r="E4626" t="s">
        <v>114</v>
      </c>
      <c r="F4626" t="s">
        <v>115</v>
      </c>
      <c r="G4626" t="s">
        <v>159</v>
      </c>
      <c r="H4626" t="s">
        <v>158</v>
      </c>
      <c r="I4626" t="s">
        <v>37</v>
      </c>
      <c r="J4626" t="s">
        <v>38</v>
      </c>
      <c r="K4626" t="s">
        <v>29</v>
      </c>
      <c r="L4626" t="s">
        <v>30</v>
      </c>
      <c r="M4626" t="s">
        <v>139</v>
      </c>
      <c r="N4626">
        <v>1849</v>
      </c>
      <c r="O4626" s="14">
        <v>0.86125120311044201</v>
      </c>
      <c r="P4626" s="14">
        <v>0.29855980910360802</v>
      </c>
      <c r="Q4626" t="str">
        <f t="shared" si="144"/>
        <v>15-24</v>
      </c>
      <c r="R4626" t="str">
        <f t="shared" si="145"/>
        <v>[rpw540fmNUz]|15-24|Female|PMTCT_ART_SUBNAT.N.New.T_1|CY2023Q3</v>
      </c>
    </row>
    <row r="4627" spans="4:18" x14ac:dyDescent="0.2">
      <c r="D4627" t="s">
        <v>113</v>
      </c>
      <c r="E4627" t="s">
        <v>114</v>
      </c>
      <c r="F4627" t="s">
        <v>115</v>
      </c>
      <c r="G4627" t="s">
        <v>159</v>
      </c>
      <c r="H4627" t="s">
        <v>158</v>
      </c>
      <c r="I4627" t="s">
        <v>40</v>
      </c>
      <c r="J4627" t="s">
        <v>41</v>
      </c>
      <c r="K4627" t="s">
        <v>29</v>
      </c>
      <c r="L4627" t="s">
        <v>30</v>
      </c>
      <c r="M4627" t="s">
        <v>139</v>
      </c>
      <c r="N4627">
        <v>1557</v>
      </c>
      <c r="O4627" s="14">
        <v>0.473123719682917</v>
      </c>
      <c r="P4627" s="14">
        <v>0.29855980910360802</v>
      </c>
      <c r="Q4627" t="str">
        <f t="shared" si="144"/>
        <v>25-34</v>
      </c>
      <c r="R4627" t="str">
        <f t="shared" si="145"/>
        <v>[rpw540fmNUz]|25-34|Female|PMTCT_ART_SUBNAT.N.New.T_1|CY2023Q3</v>
      </c>
    </row>
    <row r="4628" spans="4:18" x14ac:dyDescent="0.2">
      <c r="D4628" t="s">
        <v>113</v>
      </c>
      <c r="E4628" t="s">
        <v>114</v>
      </c>
      <c r="F4628" t="s">
        <v>115</v>
      </c>
      <c r="G4628" t="s">
        <v>159</v>
      </c>
      <c r="H4628" t="s">
        <v>158</v>
      </c>
      <c r="I4628" t="s">
        <v>42</v>
      </c>
      <c r="J4628" t="s">
        <v>43</v>
      </c>
      <c r="K4628" t="s">
        <v>29</v>
      </c>
      <c r="L4628" t="s">
        <v>30</v>
      </c>
      <c r="M4628" t="s">
        <v>139</v>
      </c>
      <c r="N4628">
        <v>1523</v>
      </c>
      <c r="O4628" s="14">
        <v>0.24532487429678401</v>
      </c>
      <c r="P4628" s="14">
        <v>0.29855980910360802</v>
      </c>
      <c r="Q4628" t="str">
        <f t="shared" si="144"/>
        <v>35-49</v>
      </c>
      <c r="R4628" t="str">
        <f t="shared" si="145"/>
        <v>[rpw540fmNUz]|35-49|Female|PMTCT_ART_SUBNAT.N.New.T_1|CY2023Q3</v>
      </c>
    </row>
    <row r="4629" spans="4:18" x14ac:dyDescent="0.2">
      <c r="D4629" t="s">
        <v>116</v>
      </c>
      <c r="E4629" t="s">
        <v>117</v>
      </c>
      <c r="F4629" t="s">
        <v>118</v>
      </c>
      <c r="G4629" t="s">
        <v>159</v>
      </c>
      <c r="H4629" t="s">
        <v>158</v>
      </c>
      <c r="I4629" t="s">
        <v>37</v>
      </c>
      <c r="J4629" t="s">
        <v>38</v>
      </c>
      <c r="K4629" t="s">
        <v>29</v>
      </c>
      <c r="L4629" t="s">
        <v>30</v>
      </c>
      <c r="M4629" t="s">
        <v>139</v>
      </c>
      <c r="N4629">
        <v>1400</v>
      </c>
      <c r="O4629" s="14">
        <v>0.51536705880425904</v>
      </c>
      <c r="P4629" s="14">
        <v>0.206259709550068</v>
      </c>
      <c r="Q4629" t="str">
        <f t="shared" si="144"/>
        <v>15-24</v>
      </c>
      <c r="R4629" t="str">
        <f t="shared" si="145"/>
        <v>[lPTyjLi4w3d]|15-24|Female|PMTCT_ART_SUBNAT.N.New.T_1|CY2023Q3</v>
      </c>
    </row>
    <row r="4630" spans="4:18" x14ac:dyDescent="0.2">
      <c r="D4630" t="s">
        <v>116</v>
      </c>
      <c r="E4630" t="s">
        <v>117</v>
      </c>
      <c r="F4630" t="s">
        <v>118</v>
      </c>
      <c r="G4630" t="s">
        <v>159</v>
      </c>
      <c r="H4630" t="s">
        <v>158</v>
      </c>
      <c r="I4630" t="s">
        <v>40</v>
      </c>
      <c r="J4630" t="s">
        <v>41</v>
      </c>
      <c r="K4630" t="s">
        <v>29</v>
      </c>
      <c r="L4630" t="s">
        <v>30</v>
      </c>
      <c r="M4630" t="s">
        <v>139</v>
      </c>
      <c r="N4630">
        <v>956</v>
      </c>
      <c r="O4630" s="14">
        <v>0.407390292501077</v>
      </c>
      <c r="P4630" s="14">
        <v>0.206259709550068</v>
      </c>
      <c r="Q4630" t="str">
        <f t="shared" si="144"/>
        <v>25-34</v>
      </c>
      <c r="R4630" t="str">
        <f t="shared" si="145"/>
        <v>[lPTyjLi4w3d]|25-34|Female|PMTCT_ART_SUBNAT.N.New.T_1|CY2023Q3</v>
      </c>
    </row>
    <row r="4631" spans="4:18" x14ac:dyDescent="0.2">
      <c r="D4631" t="s">
        <v>116</v>
      </c>
      <c r="E4631" t="s">
        <v>117</v>
      </c>
      <c r="F4631" t="s">
        <v>118</v>
      </c>
      <c r="G4631" t="s">
        <v>159</v>
      </c>
      <c r="H4631" t="s">
        <v>158</v>
      </c>
      <c r="I4631" t="s">
        <v>42</v>
      </c>
      <c r="J4631" t="s">
        <v>43</v>
      </c>
      <c r="K4631" t="s">
        <v>29</v>
      </c>
      <c r="L4631" t="s">
        <v>30</v>
      </c>
      <c r="M4631" t="s">
        <v>139</v>
      </c>
      <c r="N4631">
        <v>1307</v>
      </c>
      <c r="O4631" s="14">
        <v>0.87711055064573895</v>
      </c>
      <c r="P4631" s="14">
        <v>0.206259709550068</v>
      </c>
      <c r="Q4631" t="str">
        <f t="shared" si="144"/>
        <v>35-49</v>
      </c>
      <c r="R4631" t="str">
        <f t="shared" si="145"/>
        <v>[lPTyjLi4w3d]|35-49|Female|PMTCT_ART_SUBNAT.N.New.T_1|CY2023Q3</v>
      </c>
    </row>
    <row r="4632" spans="4:18" x14ac:dyDescent="0.2">
      <c r="D4632" t="s">
        <v>119</v>
      </c>
      <c r="E4632" t="s">
        <v>120</v>
      </c>
      <c r="F4632" t="s">
        <v>121</v>
      </c>
      <c r="G4632" t="s">
        <v>159</v>
      </c>
      <c r="H4632" t="s">
        <v>158</v>
      </c>
      <c r="I4632" t="s">
        <v>37</v>
      </c>
      <c r="J4632" t="s">
        <v>38</v>
      </c>
      <c r="K4632" t="s">
        <v>29</v>
      </c>
      <c r="L4632" t="s">
        <v>30</v>
      </c>
      <c r="M4632" t="s">
        <v>139</v>
      </c>
      <c r="N4632">
        <v>785</v>
      </c>
      <c r="O4632" s="14">
        <v>0.58723412337712899</v>
      </c>
      <c r="P4632" s="14">
        <v>0.43010397930629601</v>
      </c>
      <c r="Q4632" t="str">
        <f t="shared" si="144"/>
        <v>15-24</v>
      </c>
      <c r="R4632" t="str">
        <f t="shared" si="145"/>
        <v>[vA4NcHxfMBq]|15-24|Female|PMTCT_ART_SUBNAT.N.New.T_1|CY2023Q3</v>
      </c>
    </row>
    <row r="4633" spans="4:18" x14ac:dyDescent="0.2">
      <c r="D4633" t="s">
        <v>119</v>
      </c>
      <c r="E4633" t="s">
        <v>120</v>
      </c>
      <c r="F4633" t="s">
        <v>121</v>
      </c>
      <c r="G4633" t="s">
        <v>159</v>
      </c>
      <c r="H4633" t="s">
        <v>158</v>
      </c>
      <c r="I4633" t="s">
        <v>40</v>
      </c>
      <c r="J4633" t="s">
        <v>41</v>
      </c>
      <c r="K4633" t="s">
        <v>29</v>
      </c>
      <c r="L4633" t="s">
        <v>30</v>
      </c>
      <c r="M4633" t="s">
        <v>139</v>
      </c>
      <c r="N4633">
        <v>1323</v>
      </c>
      <c r="O4633" s="14">
        <v>0.62514814338646796</v>
      </c>
      <c r="P4633" s="14">
        <v>0.43010397930629601</v>
      </c>
      <c r="Q4633" t="str">
        <f t="shared" si="144"/>
        <v>25-34</v>
      </c>
      <c r="R4633" t="str">
        <f t="shared" si="145"/>
        <v>[vA4NcHxfMBq]|25-34|Female|PMTCT_ART_SUBNAT.N.New.T_1|CY2023Q3</v>
      </c>
    </row>
    <row r="4634" spans="4:18" x14ac:dyDescent="0.2">
      <c r="D4634" t="s">
        <v>119</v>
      </c>
      <c r="E4634" t="s">
        <v>120</v>
      </c>
      <c r="F4634" t="s">
        <v>121</v>
      </c>
      <c r="G4634" t="s">
        <v>159</v>
      </c>
      <c r="H4634" t="s">
        <v>158</v>
      </c>
      <c r="I4634" t="s">
        <v>42</v>
      </c>
      <c r="J4634" t="s">
        <v>43</v>
      </c>
      <c r="K4634" t="s">
        <v>29</v>
      </c>
      <c r="L4634" t="s">
        <v>30</v>
      </c>
      <c r="M4634" t="s">
        <v>139</v>
      </c>
      <c r="N4634">
        <v>938</v>
      </c>
      <c r="O4634" s="14">
        <v>0.90110411285422698</v>
      </c>
      <c r="P4634" s="14">
        <v>0.43010397930629601</v>
      </c>
      <c r="Q4634" t="str">
        <f t="shared" si="144"/>
        <v>35-49</v>
      </c>
      <c r="R4634" t="str">
        <f t="shared" si="145"/>
        <v>[vA4NcHxfMBq]|35-49|Female|PMTCT_ART_SUBNAT.N.New.T_1|CY2023Q3</v>
      </c>
    </row>
    <row r="4635" spans="4:18" x14ac:dyDescent="0.2">
      <c r="D4635" t="s">
        <v>122</v>
      </c>
      <c r="E4635" t="s">
        <v>123</v>
      </c>
      <c r="F4635" t="s">
        <v>124</v>
      </c>
      <c r="G4635" t="s">
        <v>159</v>
      </c>
      <c r="H4635" t="s">
        <v>158</v>
      </c>
      <c r="I4635" t="s">
        <v>37</v>
      </c>
      <c r="J4635" t="s">
        <v>38</v>
      </c>
      <c r="K4635" t="s">
        <v>29</v>
      </c>
      <c r="L4635" t="s">
        <v>30</v>
      </c>
      <c r="M4635" t="s">
        <v>139</v>
      </c>
      <c r="N4635">
        <v>519</v>
      </c>
      <c r="O4635" s="14">
        <v>0.47692385595291897</v>
      </c>
      <c r="P4635" s="14">
        <v>0.41950060334056599</v>
      </c>
      <c r="Q4635" t="str">
        <f t="shared" si="144"/>
        <v>15-24</v>
      </c>
      <c r="R4635" t="str">
        <f t="shared" si="145"/>
        <v>[E7zpfyBt7Tw]|15-24|Female|PMTCT_ART_SUBNAT.N.New.T_1|CY2023Q3</v>
      </c>
    </row>
    <row r="4636" spans="4:18" x14ac:dyDescent="0.2">
      <c r="D4636" t="s">
        <v>122</v>
      </c>
      <c r="E4636" t="s">
        <v>123</v>
      </c>
      <c r="F4636" t="s">
        <v>124</v>
      </c>
      <c r="G4636" t="s">
        <v>159</v>
      </c>
      <c r="H4636" t="s">
        <v>158</v>
      </c>
      <c r="I4636" t="s">
        <v>40</v>
      </c>
      <c r="J4636" t="s">
        <v>41</v>
      </c>
      <c r="K4636" t="s">
        <v>29</v>
      </c>
      <c r="L4636" t="s">
        <v>30</v>
      </c>
      <c r="M4636" t="s">
        <v>139</v>
      </c>
      <c r="N4636">
        <v>1349</v>
      </c>
      <c r="O4636" s="14">
        <v>0.31237660255283101</v>
      </c>
      <c r="P4636" s="14">
        <v>0.41950060334056599</v>
      </c>
      <c r="Q4636" t="str">
        <f t="shared" si="144"/>
        <v>25-34</v>
      </c>
      <c r="R4636" t="str">
        <f t="shared" si="145"/>
        <v>[E7zpfyBt7Tw]|25-34|Female|PMTCT_ART_SUBNAT.N.New.T_1|CY2023Q3</v>
      </c>
    </row>
    <row r="4637" spans="4:18" x14ac:dyDescent="0.2">
      <c r="D4637" t="s">
        <v>122</v>
      </c>
      <c r="E4637" t="s">
        <v>123</v>
      </c>
      <c r="F4637" t="s">
        <v>124</v>
      </c>
      <c r="G4637" t="s">
        <v>159</v>
      </c>
      <c r="H4637" t="s">
        <v>158</v>
      </c>
      <c r="I4637" t="s">
        <v>42</v>
      </c>
      <c r="J4637" t="s">
        <v>43</v>
      </c>
      <c r="K4637" t="s">
        <v>29</v>
      </c>
      <c r="L4637" t="s">
        <v>30</v>
      </c>
      <c r="M4637" t="s">
        <v>139</v>
      </c>
      <c r="N4637">
        <v>1269</v>
      </c>
      <c r="O4637" s="14">
        <v>0.254796279128641</v>
      </c>
      <c r="P4637" s="14">
        <v>0.41950060334056599</v>
      </c>
      <c r="Q4637" t="str">
        <f t="shared" si="144"/>
        <v>35-49</v>
      </c>
      <c r="R4637" t="str">
        <f t="shared" si="145"/>
        <v>[E7zpfyBt7Tw]|35-49|Female|PMTCT_ART_SUBNAT.N.New.T_1|CY2023Q3</v>
      </c>
    </row>
    <row r="4638" spans="4:18" x14ac:dyDescent="0.2">
      <c r="D4638" t="s">
        <v>125</v>
      </c>
      <c r="E4638" t="s">
        <v>126</v>
      </c>
      <c r="F4638" t="s">
        <v>127</v>
      </c>
      <c r="G4638" t="s">
        <v>159</v>
      </c>
      <c r="H4638" t="s">
        <v>158</v>
      </c>
      <c r="I4638" t="s">
        <v>37</v>
      </c>
      <c r="J4638" t="s">
        <v>38</v>
      </c>
      <c r="K4638" t="s">
        <v>29</v>
      </c>
      <c r="L4638" t="s">
        <v>30</v>
      </c>
      <c r="M4638" t="s">
        <v>139</v>
      </c>
      <c r="N4638">
        <v>1798</v>
      </c>
      <c r="O4638" s="14">
        <v>0.17924642190337201</v>
      </c>
      <c r="P4638" s="14">
        <v>0.25270639033988102</v>
      </c>
      <c r="Q4638" t="str">
        <f t="shared" si="144"/>
        <v>15-24</v>
      </c>
      <c r="R4638" t="str">
        <f t="shared" si="145"/>
        <v>[ZCjuwgaMB9u]|15-24|Female|PMTCT_ART_SUBNAT.N.New.T_1|CY2023Q3</v>
      </c>
    </row>
    <row r="4639" spans="4:18" x14ac:dyDescent="0.2">
      <c r="D4639" t="s">
        <v>125</v>
      </c>
      <c r="E4639" t="s">
        <v>126</v>
      </c>
      <c r="F4639" t="s">
        <v>127</v>
      </c>
      <c r="G4639" t="s">
        <v>159</v>
      </c>
      <c r="H4639" t="s">
        <v>158</v>
      </c>
      <c r="I4639" t="s">
        <v>40</v>
      </c>
      <c r="J4639" t="s">
        <v>41</v>
      </c>
      <c r="K4639" t="s">
        <v>29</v>
      </c>
      <c r="L4639" t="s">
        <v>30</v>
      </c>
      <c r="M4639" t="s">
        <v>139</v>
      </c>
      <c r="N4639">
        <v>1633</v>
      </c>
      <c r="O4639" s="14">
        <v>0.29500674153678103</v>
      </c>
      <c r="P4639" s="14">
        <v>0.25270639033988102</v>
      </c>
      <c r="Q4639" t="str">
        <f t="shared" si="144"/>
        <v>25-34</v>
      </c>
      <c r="R4639" t="str">
        <f t="shared" si="145"/>
        <v>[ZCjuwgaMB9u]|25-34|Female|PMTCT_ART_SUBNAT.N.New.T_1|CY2023Q3</v>
      </c>
    </row>
    <row r="4640" spans="4:18" x14ac:dyDescent="0.2">
      <c r="D4640" t="s">
        <v>125</v>
      </c>
      <c r="E4640" t="s">
        <v>126</v>
      </c>
      <c r="F4640" t="s">
        <v>127</v>
      </c>
      <c r="G4640" t="s">
        <v>159</v>
      </c>
      <c r="H4640" t="s">
        <v>158</v>
      </c>
      <c r="I4640" t="s">
        <v>42</v>
      </c>
      <c r="J4640" t="s">
        <v>43</v>
      </c>
      <c r="K4640" t="s">
        <v>29</v>
      </c>
      <c r="L4640" t="s">
        <v>30</v>
      </c>
      <c r="M4640" t="s">
        <v>139</v>
      </c>
      <c r="N4640">
        <v>1240</v>
      </c>
      <c r="O4640" s="14">
        <v>0.77176822279579904</v>
      </c>
      <c r="P4640" s="14">
        <v>0.25270639033988102</v>
      </c>
      <c r="Q4640" t="str">
        <f t="shared" si="144"/>
        <v>35-49</v>
      </c>
      <c r="R4640" t="str">
        <f t="shared" si="145"/>
        <v>[ZCjuwgaMB9u]|35-49|Female|PMTCT_ART_SUBNAT.N.New.T_1|CY2023Q3</v>
      </c>
    </row>
    <row r="4641" spans="4:18" x14ac:dyDescent="0.2">
      <c r="D4641" t="s">
        <v>128</v>
      </c>
      <c r="E4641" t="s">
        <v>129</v>
      </c>
      <c r="F4641" t="s">
        <v>130</v>
      </c>
      <c r="G4641" t="s">
        <v>159</v>
      </c>
      <c r="H4641" t="s">
        <v>158</v>
      </c>
      <c r="I4641" t="s">
        <v>37</v>
      </c>
      <c r="J4641" t="s">
        <v>38</v>
      </c>
      <c r="K4641" t="s">
        <v>29</v>
      </c>
      <c r="L4641" t="s">
        <v>30</v>
      </c>
      <c r="M4641" t="s">
        <v>139</v>
      </c>
      <c r="N4641">
        <v>1788</v>
      </c>
      <c r="O4641" s="14">
        <v>0.49997127009555697</v>
      </c>
      <c r="P4641" s="14">
        <v>0.55690808477811504</v>
      </c>
      <c r="Q4641" t="str">
        <f t="shared" si="144"/>
        <v>15-24</v>
      </c>
      <c r="R4641" t="str">
        <f t="shared" si="145"/>
        <v>[YCKiBAp8QAg]|15-24|Female|PMTCT_ART_SUBNAT.N.New.T_1|CY2023Q3</v>
      </c>
    </row>
    <row r="4642" spans="4:18" x14ac:dyDescent="0.2">
      <c r="D4642" t="s">
        <v>128</v>
      </c>
      <c r="E4642" t="s">
        <v>129</v>
      </c>
      <c r="F4642" t="s">
        <v>130</v>
      </c>
      <c r="G4642" t="s">
        <v>159</v>
      </c>
      <c r="H4642" t="s">
        <v>158</v>
      </c>
      <c r="I4642" t="s">
        <v>40</v>
      </c>
      <c r="J4642" t="s">
        <v>41</v>
      </c>
      <c r="K4642" t="s">
        <v>29</v>
      </c>
      <c r="L4642" t="s">
        <v>30</v>
      </c>
      <c r="M4642" t="s">
        <v>139</v>
      </c>
      <c r="N4642">
        <v>1435</v>
      </c>
      <c r="O4642" s="14">
        <v>9.4829024048522101E-2</v>
      </c>
      <c r="P4642" s="14">
        <v>0.55690808477811504</v>
      </c>
      <c r="Q4642" t="str">
        <f t="shared" si="144"/>
        <v>25-34</v>
      </c>
      <c r="R4642" t="str">
        <f t="shared" si="145"/>
        <v>[YCKiBAp8QAg]|25-34|Female|PMTCT_ART_SUBNAT.N.New.T_1|CY2023Q3</v>
      </c>
    </row>
    <row r="4643" spans="4:18" x14ac:dyDescent="0.2">
      <c r="D4643" t="s">
        <v>128</v>
      </c>
      <c r="E4643" t="s">
        <v>129</v>
      </c>
      <c r="F4643" t="s">
        <v>130</v>
      </c>
      <c r="G4643" t="s">
        <v>159</v>
      </c>
      <c r="H4643" t="s">
        <v>158</v>
      </c>
      <c r="I4643" t="s">
        <v>42</v>
      </c>
      <c r="J4643" t="s">
        <v>43</v>
      </c>
      <c r="K4643" t="s">
        <v>29</v>
      </c>
      <c r="L4643" t="s">
        <v>30</v>
      </c>
      <c r="M4643" t="s">
        <v>139</v>
      </c>
      <c r="N4643">
        <v>1371</v>
      </c>
      <c r="O4643" s="14">
        <v>0.85383679042570304</v>
      </c>
      <c r="P4643" s="14">
        <v>0.55690808477811504</v>
      </c>
      <c r="Q4643" t="str">
        <f t="shared" si="144"/>
        <v>35-49</v>
      </c>
      <c r="R4643" t="str">
        <f t="shared" si="145"/>
        <v>[YCKiBAp8QAg]|35-49|Female|PMTCT_ART_SUBNAT.N.New.T_1|CY2023Q3</v>
      </c>
    </row>
    <row r="4644" spans="4:18" x14ac:dyDescent="0.2">
      <c r="D4644" t="s">
        <v>131</v>
      </c>
      <c r="E4644" t="s">
        <v>132</v>
      </c>
      <c r="F4644" t="s">
        <v>133</v>
      </c>
      <c r="G4644" t="s">
        <v>159</v>
      </c>
      <c r="H4644" t="s">
        <v>158</v>
      </c>
      <c r="I4644" t="s">
        <v>37</v>
      </c>
      <c r="J4644" t="s">
        <v>38</v>
      </c>
      <c r="K4644" t="s">
        <v>29</v>
      </c>
      <c r="L4644" t="s">
        <v>30</v>
      </c>
      <c r="M4644" t="s">
        <v>139</v>
      </c>
      <c r="N4644">
        <v>1393</v>
      </c>
      <c r="O4644" s="14">
        <v>0.61191604030318603</v>
      </c>
      <c r="P4644" s="14">
        <v>0.16286319401115201</v>
      </c>
      <c r="Q4644" t="str">
        <f t="shared" si="144"/>
        <v>15-24</v>
      </c>
      <c r="R4644" t="str">
        <f t="shared" si="145"/>
        <v>[JQKLKuVuY61]|15-24|Female|PMTCT_ART_SUBNAT.N.New.T_1|CY2023Q3</v>
      </c>
    </row>
    <row r="4645" spans="4:18" x14ac:dyDescent="0.2">
      <c r="D4645" t="s">
        <v>131</v>
      </c>
      <c r="E4645" t="s">
        <v>132</v>
      </c>
      <c r="F4645" t="s">
        <v>133</v>
      </c>
      <c r="G4645" t="s">
        <v>159</v>
      </c>
      <c r="H4645" t="s">
        <v>158</v>
      </c>
      <c r="I4645" t="s">
        <v>40</v>
      </c>
      <c r="J4645" t="s">
        <v>41</v>
      </c>
      <c r="K4645" t="s">
        <v>29</v>
      </c>
      <c r="L4645" t="s">
        <v>30</v>
      </c>
      <c r="M4645" t="s">
        <v>139</v>
      </c>
      <c r="N4645">
        <v>742</v>
      </c>
      <c r="O4645" s="14">
        <v>0.43964090547524398</v>
      </c>
      <c r="P4645" s="14">
        <v>0.16286319401115201</v>
      </c>
      <c r="Q4645" t="str">
        <f t="shared" si="144"/>
        <v>25-34</v>
      </c>
      <c r="R4645" t="str">
        <f t="shared" si="145"/>
        <v>[JQKLKuVuY61]|25-34|Female|PMTCT_ART_SUBNAT.N.New.T_1|CY2023Q3</v>
      </c>
    </row>
    <row r="4646" spans="4:18" x14ac:dyDescent="0.2">
      <c r="D4646" t="s">
        <v>131</v>
      </c>
      <c r="E4646" t="s">
        <v>132</v>
      </c>
      <c r="F4646" t="s">
        <v>133</v>
      </c>
      <c r="G4646" t="s">
        <v>159</v>
      </c>
      <c r="H4646" t="s">
        <v>158</v>
      </c>
      <c r="I4646" t="s">
        <v>42</v>
      </c>
      <c r="J4646" t="s">
        <v>43</v>
      </c>
      <c r="K4646" t="s">
        <v>29</v>
      </c>
      <c r="L4646" t="s">
        <v>30</v>
      </c>
      <c r="M4646" t="s">
        <v>139</v>
      </c>
      <c r="N4646">
        <v>1744</v>
      </c>
      <c r="O4646" s="14">
        <v>0.365207884693518</v>
      </c>
      <c r="P4646" s="14">
        <v>0.16286319401115201</v>
      </c>
      <c r="Q4646" t="str">
        <f t="shared" si="144"/>
        <v>35-49</v>
      </c>
      <c r="R4646" t="str">
        <f t="shared" si="145"/>
        <v>[JQKLKuVuY61]|35-49|Female|PMTCT_ART_SUBNAT.N.New.T_1|CY2023Q3</v>
      </c>
    </row>
    <row r="4647" spans="4:18" x14ac:dyDescent="0.2">
      <c r="D4647" t="s">
        <v>134</v>
      </c>
      <c r="E4647" t="s">
        <v>135</v>
      </c>
      <c r="F4647" t="s">
        <v>136</v>
      </c>
      <c r="G4647" t="s">
        <v>159</v>
      </c>
      <c r="H4647" t="s">
        <v>158</v>
      </c>
      <c r="I4647" t="s">
        <v>37</v>
      </c>
      <c r="J4647" t="s">
        <v>38</v>
      </c>
      <c r="K4647" t="s">
        <v>29</v>
      </c>
      <c r="L4647" t="s">
        <v>30</v>
      </c>
      <c r="M4647" t="s">
        <v>139</v>
      </c>
      <c r="N4647">
        <v>667</v>
      </c>
      <c r="O4647" s="14">
        <v>0.47011541295796599</v>
      </c>
      <c r="P4647" s="14">
        <v>0.95530052832327805</v>
      </c>
      <c r="Q4647" t="str">
        <f t="shared" si="144"/>
        <v>15-24</v>
      </c>
      <c r="R4647" t="str">
        <f t="shared" si="145"/>
        <v>[fiRkU6gEjLz]|15-24|Female|PMTCT_ART_SUBNAT.N.New.T_1|CY2023Q3</v>
      </c>
    </row>
    <row r="4648" spans="4:18" x14ac:dyDescent="0.2">
      <c r="D4648" t="s">
        <v>134</v>
      </c>
      <c r="E4648" t="s">
        <v>135</v>
      </c>
      <c r="F4648" t="s">
        <v>136</v>
      </c>
      <c r="G4648" t="s">
        <v>159</v>
      </c>
      <c r="H4648" t="s">
        <v>158</v>
      </c>
      <c r="I4648" t="s">
        <v>40</v>
      </c>
      <c r="J4648" t="s">
        <v>41</v>
      </c>
      <c r="K4648" t="s">
        <v>29</v>
      </c>
      <c r="L4648" t="s">
        <v>30</v>
      </c>
      <c r="M4648" t="s">
        <v>139</v>
      </c>
      <c r="N4648">
        <v>524</v>
      </c>
      <c r="O4648" s="14">
        <v>0.33211139147169899</v>
      </c>
      <c r="P4648" s="14">
        <v>0.95530052832327805</v>
      </c>
      <c r="Q4648" t="str">
        <f t="shared" si="144"/>
        <v>25-34</v>
      </c>
      <c r="R4648" t="str">
        <f t="shared" si="145"/>
        <v>[fiRkU6gEjLz]|25-34|Female|PMTCT_ART_SUBNAT.N.New.T_1|CY2023Q3</v>
      </c>
    </row>
    <row r="4649" spans="4:18" x14ac:dyDescent="0.2">
      <c r="D4649" t="s">
        <v>134</v>
      </c>
      <c r="E4649" t="s">
        <v>135</v>
      </c>
      <c r="F4649" t="s">
        <v>136</v>
      </c>
      <c r="G4649" t="s">
        <v>159</v>
      </c>
      <c r="H4649" t="s">
        <v>158</v>
      </c>
      <c r="I4649" t="s">
        <v>42</v>
      </c>
      <c r="J4649" t="s">
        <v>43</v>
      </c>
      <c r="K4649" t="s">
        <v>29</v>
      </c>
      <c r="L4649" t="s">
        <v>30</v>
      </c>
      <c r="M4649" t="s">
        <v>139</v>
      </c>
      <c r="N4649">
        <v>1104</v>
      </c>
      <c r="O4649" s="14">
        <v>0.28529279585927703</v>
      </c>
      <c r="P4649" s="14">
        <v>0.95530052832327805</v>
      </c>
      <c r="Q4649" t="str">
        <f t="shared" si="144"/>
        <v>35-49</v>
      </c>
      <c r="R4649" t="str">
        <f t="shared" si="145"/>
        <v>[fiRkU6gEjLz]|35-49|Female|PMTCT_ART_SUBNAT.N.New.T_1|CY2023Q3</v>
      </c>
    </row>
    <row r="4650" spans="4:18" x14ac:dyDescent="0.2">
      <c r="D4650" t="s">
        <v>22</v>
      </c>
      <c r="E4650" t="s">
        <v>23</v>
      </c>
      <c r="F4650" t="s">
        <v>24</v>
      </c>
      <c r="G4650" t="s">
        <v>160</v>
      </c>
      <c r="H4650" t="s">
        <v>161</v>
      </c>
      <c r="I4650" t="s">
        <v>37</v>
      </c>
      <c r="J4650" t="s">
        <v>38</v>
      </c>
      <c r="K4650" t="s">
        <v>29</v>
      </c>
      <c r="L4650" t="s">
        <v>30</v>
      </c>
      <c r="M4650" t="s">
        <v>139</v>
      </c>
      <c r="N4650">
        <v>1513</v>
      </c>
      <c r="O4650" s="14">
        <v>0.90810425672680095</v>
      </c>
      <c r="P4650" s="14">
        <v>0.40435861097648701</v>
      </c>
      <c r="Q4650" t="str">
        <f t="shared" si="144"/>
        <v>15-24</v>
      </c>
      <c r="R4650" t="str">
        <f t="shared" si="145"/>
        <v>[GkIwZrXy1h2]|15-24|Female|PMTCT_STAT_SUBNAT.N.Known.Pos.T_1|CY2023Q3</v>
      </c>
    </row>
    <row r="4651" spans="4:18" x14ac:dyDescent="0.2">
      <c r="D4651" t="s">
        <v>22</v>
      </c>
      <c r="E4651" t="s">
        <v>23</v>
      </c>
      <c r="F4651" t="s">
        <v>24</v>
      </c>
      <c r="G4651" t="s">
        <v>160</v>
      </c>
      <c r="H4651" t="s">
        <v>161</v>
      </c>
      <c r="I4651" t="s">
        <v>40</v>
      </c>
      <c r="J4651" t="s">
        <v>41</v>
      </c>
      <c r="K4651" t="s">
        <v>29</v>
      </c>
      <c r="L4651" t="s">
        <v>30</v>
      </c>
      <c r="M4651" t="s">
        <v>139</v>
      </c>
      <c r="N4651">
        <v>866</v>
      </c>
      <c r="O4651" s="14">
        <v>0.45296052796766201</v>
      </c>
      <c r="P4651" s="14">
        <v>0.40435861097648701</v>
      </c>
      <c r="Q4651" t="str">
        <f t="shared" si="144"/>
        <v>25-34</v>
      </c>
      <c r="R4651" t="str">
        <f t="shared" si="145"/>
        <v>[GkIwZrXy1h2]|25-34|Female|PMTCT_STAT_SUBNAT.N.Known.Pos.T_1|CY2023Q3</v>
      </c>
    </row>
    <row r="4652" spans="4:18" x14ac:dyDescent="0.2">
      <c r="D4652" t="s">
        <v>22</v>
      </c>
      <c r="E4652" t="s">
        <v>23</v>
      </c>
      <c r="F4652" t="s">
        <v>24</v>
      </c>
      <c r="G4652" t="s">
        <v>160</v>
      </c>
      <c r="H4652" t="s">
        <v>161</v>
      </c>
      <c r="I4652" t="s">
        <v>42</v>
      </c>
      <c r="J4652" t="s">
        <v>43</v>
      </c>
      <c r="K4652" t="s">
        <v>29</v>
      </c>
      <c r="L4652" t="s">
        <v>30</v>
      </c>
      <c r="M4652" t="s">
        <v>139</v>
      </c>
      <c r="N4652">
        <v>807</v>
      </c>
      <c r="O4652" s="14">
        <v>0.52185221412219096</v>
      </c>
      <c r="P4652" s="14">
        <v>0.40435861097648701</v>
      </c>
      <c r="Q4652" t="str">
        <f t="shared" si="144"/>
        <v>35-49</v>
      </c>
      <c r="R4652" t="str">
        <f t="shared" si="145"/>
        <v>[GkIwZrXy1h2]|35-49|Female|PMTCT_STAT_SUBNAT.N.Known.Pos.T_1|CY2023Q3</v>
      </c>
    </row>
    <row r="4653" spans="4:18" x14ac:dyDescent="0.2">
      <c r="D4653" t="s">
        <v>52</v>
      </c>
      <c r="E4653" t="s">
        <v>53</v>
      </c>
      <c r="F4653" t="s">
        <v>54</v>
      </c>
      <c r="G4653" t="s">
        <v>160</v>
      </c>
      <c r="H4653" t="s">
        <v>161</v>
      </c>
      <c r="I4653" t="s">
        <v>37</v>
      </c>
      <c r="J4653" t="s">
        <v>38</v>
      </c>
      <c r="K4653" t="s">
        <v>29</v>
      </c>
      <c r="L4653" t="s">
        <v>30</v>
      </c>
      <c r="M4653" t="s">
        <v>139</v>
      </c>
      <c r="N4653">
        <v>1037</v>
      </c>
      <c r="O4653" s="14">
        <v>0.97386955865658797</v>
      </c>
      <c r="P4653" s="14">
        <v>0.61639246996492103</v>
      </c>
      <c r="Q4653" t="str">
        <f t="shared" si="144"/>
        <v>15-24</v>
      </c>
      <c r="R4653" t="str">
        <f t="shared" si="145"/>
        <v>[zphK9WV8JB4]|15-24|Female|PMTCT_STAT_SUBNAT.N.Known.Pos.T_1|CY2023Q3</v>
      </c>
    </row>
    <row r="4654" spans="4:18" x14ac:dyDescent="0.2">
      <c r="D4654" t="s">
        <v>52</v>
      </c>
      <c r="E4654" t="s">
        <v>53</v>
      </c>
      <c r="F4654" t="s">
        <v>54</v>
      </c>
      <c r="G4654" t="s">
        <v>160</v>
      </c>
      <c r="H4654" t="s">
        <v>161</v>
      </c>
      <c r="I4654" t="s">
        <v>40</v>
      </c>
      <c r="J4654" t="s">
        <v>41</v>
      </c>
      <c r="K4654" t="s">
        <v>29</v>
      </c>
      <c r="L4654" t="s">
        <v>30</v>
      </c>
      <c r="M4654" t="s">
        <v>139</v>
      </c>
      <c r="N4654">
        <v>1235</v>
      </c>
      <c r="O4654" s="14">
        <v>0.73948320467024997</v>
      </c>
      <c r="P4654" s="14">
        <v>0.61639246996492103</v>
      </c>
      <c r="Q4654" t="str">
        <f t="shared" si="144"/>
        <v>25-34</v>
      </c>
      <c r="R4654" t="str">
        <f t="shared" si="145"/>
        <v>[zphK9WV8JB4]|25-34|Female|PMTCT_STAT_SUBNAT.N.Known.Pos.T_1|CY2023Q3</v>
      </c>
    </row>
    <row r="4655" spans="4:18" x14ac:dyDescent="0.2">
      <c r="D4655" t="s">
        <v>52</v>
      </c>
      <c r="E4655" t="s">
        <v>53</v>
      </c>
      <c r="F4655" t="s">
        <v>54</v>
      </c>
      <c r="G4655" t="s">
        <v>160</v>
      </c>
      <c r="H4655" t="s">
        <v>161</v>
      </c>
      <c r="I4655" t="s">
        <v>42</v>
      </c>
      <c r="J4655" t="s">
        <v>43</v>
      </c>
      <c r="K4655" t="s">
        <v>29</v>
      </c>
      <c r="L4655" t="s">
        <v>30</v>
      </c>
      <c r="M4655" t="s">
        <v>139</v>
      </c>
      <c r="N4655">
        <v>1761</v>
      </c>
      <c r="O4655" s="14">
        <v>0.29868204239755902</v>
      </c>
      <c r="P4655" s="14">
        <v>0.61639246996492103</v>
      </c>
      <c r="Q4655" t="str">
        <f t="shared" si="144"/>
        <v>35-49</v>
      </c>
      <c r="R4655" t="str">
        <f t="shared" si="145"/>
        <v>[zphK9WV8JB4]|35-49|Female|PMTCT_STAT_SUBNAT.N.Known.Pos.T_1|CY2023Q3</v>
      </c>
    </row>
    <row r="4656" spans="4:18" x14ac:dyDescent="0.2">
      <c r="D4656" t="s">
        <v>59</v>
      </c>
      <c r="E4656" t="s">
        <v>60</v>
      </c>
      <c r="F4656" t="s">
        <v>61</v>
      </c>
      <c r="G4656" t="s">
        <v>160</v>
      </c>
      <c r="H4656" t="s">
        <v>161</v>
      </c>
      <c r="I4656" t="s">
        <v>37</v>
      </c>
      <c r="J4656" t="s">
        <v>38</v>
      </c>
      <c r="K4656" t="s">
        <v>29</v>
      </c>
      <c r="L4656" t="s">
        <v>30</v>
      </c>
      <c r="M4656" t="s">
        <v>139</v>
      </c>
      <c r="N4656">
        <v>1586</v>
      </c>
      <c r="O4656" s="14">
        <v>0.72951011033728697</v>
      </c>
      <c r="P4656" s="14">
        <v>2.6825056178495298E-2</v>
      </c>
      <c r="Q4656" t="str">
        <f t="shared" si="144"/>
        <v>15-24</v>
      </c>
      <c r="R4656" t="str">
        <f t="shared" si="145"/>
        <v>[msW2zpIN7up]|15-24|Female|PMTCT_STAT_SUBNAT.N.Known.Pos.T_1|CY2023Q3</v>
      </c>
    </row>
    <row r="4657" spans="4:18" x14ac:dyDescent="0.2">
      <c r="D4657" t="s">
        <v>59</v>
      </c>
      <c r="E4657" t="s">
        <v>60</v>
      </c>
      <c r="F4657" t="s">
        <v>61</v>
      </c>
      <c r="G4657" t="s">
        <v>160</v>
      </c>
      <c r="H4657" t="s">
        <v>161</v>
      </c>
      <c r="I4657" t="s">
        <v>40</v>
      </c>
      <c r="J4657" t="s">
        <v>41</v>
      </c>
      <c r="K4657" t="s">
        <v>29</v>
      </c>
      <c r="L4657" t="s">
        <v>30</v>
      </c>
      <c r="M4657" t="s">
        <v>139</v>
      </c>
      <c r="N4657">
        <v>1128</v>
      </c>
      <c r="O4657" s="14">
        <v>7.5303992955014096E-2</v>
      </c>
      <c r="P4657" s="14">
        <v>2.6825056178495298E-2</v>
      </c>
      <c r="Q4657" t="str">
        <f t="shared" si="144"/>
        <v>25-34</v>
      </c>
      <c r="R4657" t="str">
        <f t="shared" si="145"/>
        <v>[msW2zpIN7up]|25-34|Female|PMTCT_STAT_SUBNAT.N.Known.Pos.T_1|CY2023Q3</v>
      </c>
    </row>
    <row r="4658" spans="4:18" x14ac:dyDescent="0.2">
      <c r="D4658" t="s">
        <v>59</v>
      </c>
      <c r="E4658" t="s">
        <v>60</v>
      </c>
      <c r="F4658" t="s">
        <v>61</v>
      </c>
      <c r="G4658" t="s">
        <v>160</v>
      </c>
      <c r="H4658" t="s">
        <v>161</v>
      </c>
      <c r="I4658" t="s">
        <v>42</v>
      </c>
      <c r="J4658" t="s">
        <v>43</v>
      </c>
      <c r="K4658" t="s">
        <v>29</v>
      </c>
      <c r="L4658" t="s">
        <v>30</v>
      </c>
      <c r="M4658" t="s">
        <v>139</v>
      </c>
      <c r="N4658">
        <v>1604</v>
      </c>
      <c r="O4658" s="14">
        <v>0.57048338931053899</v>
      </c>
      <c r="P4658" s="14">
        <v>2.6825056178495298E-2</v>
      </c>
      <c r="Q4658" t="str">
        <f t="shared" si="144"/>
        <v>35-49</v>
      </c>
      <c r="R4658" t="str">
        <f t="shared" si="145"/>
        <v>[msW2zpIN7up]|35-49|Female|PMTCT_STAT_SUBNAT.N.Known.Pos.T_1|CY2023Q3</v>
      </c>
    </row>
    <row r="4659" spans="4:18" x14ac:dyDescent="0.2">
      <c r="D4659" t="s">
        <v>62</v>
      </c>
      <c r="E4659" t="s">
        <v>63</v>
      </c>
      <c r="F4659" t="s">
        <v>64</v>
      </c>
      <c r="G4659" t="s">
        <v>160</v>
      </c>
      <c r="H4659" t="s">
        <v>161</v>
      </c>
      <c r="I4659" t="s">
        <v>37</v>
      </c>
      <c r="J4659" t="s">
        <v>38</v>
      </c>
      <c r="K4659" t="s">
        <v>29</v>
      </c>
      <c r="L4659" t="s">
        <v>30</v>
      </c>
      <c r="M4659" t="s">
        <v>139</v>
      </c>
      <c r="N4659">
        <v>935</v>
      </c>
      <c r="O4659" s="14">
        <v>0.96465308312326703</v>
      </c>
      <c r="P4659" s="14">
        <v>0.790102193132043</v>
      </c>
      <c r="Q4659" t="str">
        <f t="shared" si="144"/>
        <v>15-24</v>
      </c>
      <c r="R4659" t="str">
        <f t="shared" si="145"/>
        <v>[kxuuIFpOXyO]|15-24|Female|PMTCT_STAT_SUBNAT.N.Known.Pos.T_1|CY2023Q3</v>
      </c>
    </row>
    <row r="4660" spans="4:18" x14ac:dyDescent="0.2">
      <c r="D4660" t="s">
        <v>62</v>
      </c>
      <c r="E4660" t="s">
        <v>63</v>
      </c>
      <c r="F4660" t="s">
        <v>64</v>
      </c>
      <c r="G4660" t="s">
        <v>160</v>
      </c>
      <c r="H4660" t="s">
        <v>161</v>
      </c>
      <c r="I4660" t="s">
        <v>40</v>
      </c>
      <c r="J4660" t="s">
        <v>41</v>
      </c>
      <c r="K4660" t="s">
        <v>29</v>
      </c>
      <c r="L4660" t="s">
        <v>30</v>
      </c>
      <c r="M4660" t="s">
        <v>139</v>
      </c>
      <c r="N4660">
        <v>1704</v>
      </c>
      <c r="O4660" s="14">
        <v>0.344421657035127</v>
      </c>
      <c r="P4660" s="14">
        <v>0.790102193132043</v>
      </c>
      <c r="Q4660" t="str">
        <f t="shared" si="144"/>
        <v>25-34</v>
      </c>
      <c r="R4660" t="str">
        <f t="shared" si="145"/>
        <v>[kxuuIFpOXyO]|25-34|Female|PMTCT_STAT_SUBNAT.N.Known.Pos.T_1|CY2023Q3</v>
      </c>
    </row>
    <row r="4661" spans="4:18" x14ac:dyDescent="0.2">
      <c r="D4661" t="s">
        <v>62</v>
      </c>
      <c r="E4661" t="s">
        <v>63</v>
      </c>
      <c r="F4661" t="s">
        <v>64</v>
      </c>
      <c r="G4661" t="s">
        <v>160</v>
      </c>
      <c r="H4661" t="s">
        <v>161</v>
      </c>
      <c r="I4661" t="s">
        <v>42</v>
      </c>
      <c r="J4661" t="s">
        <v>43</v>
      </c>
      <c r="K4661" t="s">
        <v>29</v>
      </c>
      <c r="L4661" t="s">
        <v>30</v>
      </c>
      <c r="M4661" t="s">
        <v>139</v>
      </c>
      <c r="N4661">
        <v>1220</v>
      </c>
      <c r="O4661" s="14">
        <v>0.111170689575374</v>
      </c>
      <c r="P4661" s="14">
        <v>0.790102193132043</v>
      </c>
      <c r="Q4661" t="str">
        <f t="shared" si="144"/>
        <v>35-49</v>
      </c>
      <c r="R4661" t="str">
        <f t="shared" si="145"/>
        <v>[kxuuIFpOXyO]|35-49|Female|PMTCT_STAT_SUBNAT.N.Known.Pos.T_1|CY2023Q3</v>
      </c>
    </row>
    <row r="4662" spans="4:18" x14ac:dyDescent="0.2">
      <c r="D4662" t="s">
        <v>65</v>
      </c>
      <c r="E4662" t="s">
        <v>66</v>
      </c>
      <c r="F4662" t="s">
        <v>67</v>
      </c>
      <c r="G4662" t="s">
        <v>160</v>
      </c>
      <c r="H4662" t="s">
        <v>161</v>
      </c>
      <c r="I4662" t="s">
        <v>37</v>
      </c>
      <c r="J4662" t="s">
        <v>38</v>
      </c>
      <c r="K4662" t="s">
        <v>29</v>
      </c>
      <c r="L4662" t="s">
        <v>30</v>
      </c>
      <c r="M4662" t="s">
        <v>139</v>
      </c>
      <c r="N4662">
        <v>1036</v>
      </c>
      <c r="O4662" s="14">
        <v>0.38681056676432501</v>
      </c>
      <c r="P4662" s="14">
        <v>0.16460988437756899</v>
      </c>
      <c r="Q4662" t="str">
        <f t="shared" si="144"/>
        <v>15-24</v>
      </c>
      <c r="R4662" t="str">
        <f t="shared" si="145"/>
        <v>[ScR9iFKAasW]|15-24|Female|PMTCT_STAT_SUBNAT.N.Known.Pos.T_1|CY2023Q3</v>
      </c>
    </row>
    <row r="4663" spans="4:18" x14ac:dyDescent="0.2">
      <c r="D4663" t="s">
        <v>65</v>
      </c>
      <c r="E4663" t="s">
        <v>66</v>
      </c>
      <c r="F4663" t="s">
        <v>67</v>
      </c>
      <c r="G4663" t="s">
        <v>160</v>
      </c>
      <c r="H4663" t="s">
        <v>161</v>
      </c>
      <c r="I4663" t="s">
        <v>40</v>
      </c>
      <c r="J4663" t="s">
        <v>41</v>
      </c>
      <c r="K4663" t="s">
        <v>29</v>
      </c>
      <c r="L4663" t="s">
        <v>30</v>
      </c>
      <c r="M4663" t="s">
        <v>139</v>
      </c>
      <c r="N4663">
        <v>1102</v>
      </c>
      <c r="O4663" s="14">
        <v>0.77029094914905705</v>
      </c>
      <c r="P4663" s="14">
        <v>0.16460988437756899</v>
      </c>
      <c r="Q4663" t="str">
        <f t="shared" si="144"/>
        <v>25-34</v>
      </c>
      <c r="R4663" t="str">
        <f t="shared" si="145"/>
        <v>[ScR9iFKAasW]|25-34|Female|PMTCT_STAT_SUBNAT.N.Known.Pos.T_1|CY2023Q3</v>
      </c>
    </row>
    <row r="4664" spans="4:18" x14ac:dyDescent="0.2">
      <c r="D4664" t="s">
        <v>65</v>
      </c>
      <c r="E4664" t="s">
        <v>66</v>
      </c>
      <c r="F4664" t="s">
        <v>67</v>
      </c>
      <c r="G4664" t="s">
        <v>160</v>
      </c>
      <c r="H4664" t="s">
        <v>161</v>
      </c>
      <c r="I4664" t="s">
        <v>42</v>
      </c>
      <c r="J4664" t="s">
        <v>43</v>
      </c>
      <c r="K4664" t="s">
        <v>29</v>
      </c>
      <c r="L4664" t="s">
        <v>30</v>
      </c>
      <c r="M4664" t="s">
        <v>139</v>
      </c>
      <c r="N4664">
        <v>1712</v>
      </c>
      <c r="O4664" s="14">
        <v>0.34101889678277097</v>
      </c>
      <c r="P4664" s="14">
        <v>0.16460988437756899</v>
      </c>
      <c r="Q4664" t="str">
        <f t="shared" si="144"/>
        <v>35-49</v>
      </c>
      <c r="R4664" t="str">
        <f t="shared" si="145"/>
        <v>[ScR9iFKAasW]|35-49|Female|PMTCT_STAT_SUBNAT.N.Known.Pos.T_1|CY2023Q3</v>
      </c>
    </row>
    <row r="4665" spans="4:18" x14ac:dyDescent="0.2">
      <c r="D4665" t="s">
        <v>68</v>
      </c>
      <c r="E4665" t="s">
        <v>69</v>
      </c>
      <c r="F4665" t="s">
        <v>70</v>
      </c>
      <c r="G4665" t="s">
        <v>160</v>
      </c>
      <c r="H4665" t="s">
        <v>161</v>
      </c>
      <c r="I4665" t="s">
        <v>37</v>
      </c>
      <c r="J4665" t="s">
        <v>38</v>
      </c>
      <c r="K4665" t="s">
        <v>29</v>
      </c>
      <c r="L4665" t="s">
        <v>30</v>
      </c>
      <c r="M4665" t="s">
        <v>139</v>
      </c>
      <c r="N4665">
        <v>1212</v>
      </c>
      <c r="O4665" s="14">
        <v>0.105932409875095</v>
      </c>
      <c r="P4665" s="14">
        <v>0.19881726312451101</v>
      </c>
      <c r="Q4665" t="str">
        <f t="shared" si="144"/>
        <v>15-24</v>
      </c>
      <c r="R4665" t="str">
        <f t="shared" si="145"/>
        <v>[PekKUkKHAzY]|15-24|Female|PMTCT_STAT_SUBNAT.N.Known.Pos.T_1|CY2023Q3</v>
      </c>
    </row>
    <row r="4666" spans="4:18" x14ac:dyDescent="0.2">
      <c r="D4666" t="s">
        <v>68</v>
      </c>
      <c r="E4666" t="s">
        <v>69</v>
      </c>
      <c r="F4666" t="s">
        <v>70</v>
      </c>
      <c r="G4666" t="s">
        <v>160</v>
      </c>
      <c r="H4666" t="s">
        <v>161</v>
      </c>
      <c r="I4666" t="s">
        <v>40</v>
      </c>
      <c r="J4666" t="s">
        <v>41</v>
      </c>
      <c r="K4666" t="s">
        <v>29</v>
      </c>
      <c r="L4666" t="s">
        <v>30</v>
      </c>
      <c r="M4666" t="s">
        <v>139</v>
      </c>
      <c r="N4666">
        <v>1346</v>
      </c>
      <c r="O4666" s="14">
        <v>0.54081903235055495</v>
      </c>
      <c r="P4666" s="14">
        <v>0.19881726312451101</v>
      </c>
      <c r="Q4666" t="str">
        <f t="shared" si="144"/>
        <v>25-34</v>
      </c>
      <c r="R4666" t="str">
        <f t="shared" si="145"/>
        <v>[PekKUkKHAzY]|25-34|Female|PMTCT_STAT_SUBNAT.N.Known.Pos.T_1|CY2023Q3</v>
      </c>
    </row>
    <row r="4667" spans="4:18" x14ac:dyDescent="0.2">
      <c r="D4667" t="s">
        <v>68</v>
      </c>
      <c r="E4667" t="s">
        <v>69</v>
      </c>
      <c r="F4667" t="s">
        <v>70</v>
      </c>
      <c r="G4667" t="s">
        <v>160</v>
      </c>
      <c r="H4667" t="s">
        <v>161</v>
      </c>
      <c r="I4667" t="s">
        <v>42</v>
      </c>
      <c r="J4667" t="s">
        <v>43</v>
      </c>
      <c r="K4667" t="s">
        <v>29</v>
      </c>
      <c r="L4667" t="s">
        <v>30</v>
      </c>
      <c r="M4667" t="s">
        <v>139</v>
      </c>
      <c r="N4667">
        <v>1608</v>
      </c>
      <c r="O4667" s="14">
        <v>0.39719095709733698</v>
      </c>
      <c r="P4667" s="14">
        <v>0.19881726312451101</v>
      </c>
      <c r="Q4667" t="str">
        <f t="shared" si="144"/>
        <v>35-49</v>
      </c>
      <c r="R4667" t="str">
        <f t="shared" si="145"/>
        <v>[PekKUkKHAzY]|35-49|Female|PMTCT_STAT_SUBNAT.N.Known.Pos.T_1|CY2023Q3</v>
      </c>
    </row>
    <row r="4668" spans="4:18" x14ac:dyDescent="0.2">
      <c r="D4668" t="s">
        <v>71</v>
      </c>
      <c r="E4668" t="s">
        <v>72</v>
      </c>
      <c r="F4668" t="s">
        <v>73</v>
      </c>
      <c r="G4668" t="s">
        <v>160</v>
      </c>
      <c r="H4668" t="s">
        <v>161</v>
      </c>
      <c r="I4668" t="s">
        <v>37</v>
      </c>
      <c r="J4668" t="s">
        <v>38</v>
      </c>
      <c r="K4668" t="s">
        <v>29</v>
      </c>
      <c r="L4668" t="s">
        <v>30</v>
      </c>
      <c r="M4668" t="s">
        <v>139</v>
      </c>
      <c r="N4668">
        <v>1108</v>
      </c>
      <c r="O4668" s="14">
        <v>0.11255947384051999</v>
      </c>
      <c r="P4668" s="14">
        <v>0.28972870693542102</v>
      </c>
      <c r="Q4668" t="str">
        <f t="shared" si="144"/>
        <v>15-24</v>
      </c>
      <c r="R4668" t="str">
        <f t="shared" si="145"/>
        <v>[am530wpaGvr]|15-24|Female|PMTCT_STAT_SUBNAT.N.Known.Pos.T_1|CY2023Q3</v>
      </c>
    </row>
    <row r="4669" spans="4:18" x14ac:dyDescent="0.2">
      <c r="D4669" t="s">
        <v>71</v>
      </c>
      <c r="E4669" t="s">
        <v>72</v>
      </c>
      <c r="F4669" t="s">
        <v>73</v>
      </c>
      <c r="G4669" t="s">
        <v>160</v>
      </c>
      <c r="H4669" t="s">
        <v>161</v>
      </c>
      <c r="I4669" t="s">
        <v>40</v>
      </c>
      <c r="J4669" t="s">
        <v>41</v>
      </c>
      <c r="K4669" t="s">
        <v>29</v>
      </c>
      <c r="L4669" t="s">
        <v>30</v>
      </c>
      <c r="M4669" t="s">
        <v>139</v>
      </c>
      <c r="N4669">
        <v>817</v>
      </c>
      <c r="O4669" s="14">
        <v>0.22052328148856801</v>
      </c>
      <c r="P4669" s="14">
        <v>0.28972870693542102</v>
      </c>
      <c r="Q4669" t="str">
        <f t="shared" si="144"/>
        <v>25-34</v>
      </c>
      <c r="R4669" t="str">
        <f t="shared" si="145"/>
        <v>[am530wpaGvr]|25-34|Female|PMTCT_STAT_SUBNAT.N.Known.Pos.T_1|CY2023Q3</v>
      </c>
    </row>
    <row r="4670" spans="4:18" x14ac:dyDescent="0.2">
      <c r="D4670" t="s">
        <v>71</v>
      </c>
      <c r="E4670" t="s">
        <v>72</v>
      </c>
      <c r="F4670" t="s">
        <v>73</v>
      </c>
      <c r="G4670" t="s">
        <v>160</v>
      </c>
      <c r="H4670" t="s">
        <v>161</v>
      </c>
      <c r="I4670" t="s">
        <v>42</v>
      </c>
      <c r="J4670" t="s">
        <v>43</v>
      </c>
      <c r="K4670" t="s">
        <v>29</v>
      </c>
      <c r="L4670" t="s">
        <v>30</v>
      </c>
      <c r="M4670" t="s">
        <v>139</v>
      </c>
      <c r="N4670">
        <v>905</v>
      </c>
      <c r="O4670" s="14">
        <v>0.55914399167522799</v>
      </c>
      <c r="P4670" s="14">
        <v>0.28972870693542102</v>
      </c>
      <c r="Q4670" t="str">
        <f t="shared" si="144"/>
        <v>35-49</v>
      </c>
      <c r="R4670" t="str">
        <f t="shared" si="145"/>
        <v>[am530wpaGvr]|35-49|Female|PMTCT_STAT_SUBNAT.N.Known.Pos.T_1|CY2023Q3</v>
      </c>
    </row>
    <row r="4671" spans="4:18" x14ac:dyDescent="0.2">
      <c r="D4671" t="s">
        <v>74</v>
      </c>
      <c r="E4671" t="s">
        <v>75</v>
      </c>
      <c r="F4671" t="s">
        <v>76</v>
      </c>
      <c r="G4671" t="s">
        <v>160</v>
      </c>
      <c r="H4671" t="s">
        <v>161</v>
      </c>
      <c r="I4671" t="s">
        <v>37</v>
      </c>
      <c r="J4671" t="s">
        <v>38</v>
      </c>
      <c r="K4671" t="s">
        <v>29</v>
      </c>
      <c r="L4671" t="s">
        <v>30</v>
      </c>
      <c r="M4671" t="s">
        <v>139</v>
      </c>
      <c r="N4671">
        <v>876</v>
      </c>
      <c r="O4671" s="14">
        <v>0.67554869176819898</v>
      </c>
      <c r="P4671" s="14">
        <v>0.30305550759658201</v>
      </c>
      <c r="Q4671" t="str">
        <f t="shared" si="144"/>
        <v>15-24</v>
      </c>
      <c r="R4671" t="str">
        <f t="shared" si="145"/>
        <v>[lLDyBx5XyUi]|15-24|Female|PMTCT_STAT_SUBNAT.N.Known.Pos.T_1|CY2023Q3</v>
      </c>
    </row>
    <row r="4672" spans="4:18" x14ac:dyDescent="0.2">
      <c r="D4672" t="s">
        <v>74</v>
      </c>
      <c r="E4672" t="s">
        <v>75</v>
      </c>
      <c r="F4672" t="s">
        <v>76</v>
      </c>
      <c r="G4672" t="s">
        <v>160</v>
      </c>
      <c r="H4672" t="s">
        <v>161</v>
      </c>
      <c r="I4672" t="s">
        <v>40</v>
      </c>
      <c r="J4672" t="s">
        <v>41</v>
      </c>
      <c r="K4672" t="s">
        <v>29</v>
      </c>
      <c r="L4672" t="s">
        <v>30</v>
      </c>
      <c r="M4672" t="s">
        <v>139</v>
      </c>
      <c r="N4672">
        <v>1133</v>
      </c>
      <c r="O4672" s="14">
        <v>0.435920734191313</v>
      </c>
      <c r="P4672" s="14">
        <v>0.30305550759658201</v>
      </c>
      <c r="Q4672" t="str">
        <f t="shared" si="144"/>
        <v>25-34</v>
      </c>
      <c r="R4672" t="str">
        <f t="shared" si="145"/>
        <v>[lLDyBx5XyUi]|25-34|Female|PMTCT_STAT_SUBNAT.N.Known.Pos.T_1|CY2023Q3</v>
      </c>
    </row>
    <row r="4673" spans="4:18" x14ac:dyDescent="0.2">
      <c r="D4673" t="s">
        <v>74</v>
      </c>
      <c r="E4673" t="s">
        <v>75</v>
      </c>
      <c r="F4673" t="s">
        <v>76</v>
      </c>
      <c r="G4673" t="s">
        <v>160</v>
      </c>
      <c r="H4673" t="s">
        <v>161</v>
      </c>
      <c r="I4673" t="s">
        <v>42</v>
      </c>
      <c r="J4673" t="s">
        <v>43</v>
      </c>
      <c r="K4673" t="s">
        <v>29</v>
      </c>
      <c r="L4673" t="s">
        <v>30</v>
      </c>
      <c r="M4673" t="s">
        <v>139</v>
      </c>
      <c r="N4673">
        <v>1720</v>
      </c>
      <c r="O4673" s="14">
        <v>0.81084798648953404</v>
      </c>
      <c r="P4673" s="14">
        <v>0.30305550759658201</v>
      </c>
      <c r="Q4673" t="str">
        <f t="shared" si="144"/>
        <v>35-49</v>
      </c>
      <c r="R4673" t="str">
        <f t="shared" si="145"/>
        <v>[lLDyBx5XyUi]|35-49|Female|PMTCT_STAT_SUBNAT.N.Known.Pos.T_1|CY2023Q3</v>
      </c>
    </row>
    <row r="4674" spans="4:18" x14ac:dyDescent="0.2">
      <c r="D4674" t="s">
        <v>77</v>
      </c>
      <c r="E4674" t="s">
        <v>78</v>
      </c>
      <c r="F4674" t="s">
        <v>79</v>
      </c>
      <c r="G4674" t="s">
        <v>160</v>
      </c>
      <c r="H4674" t="s">
        <v>161</v>
      </c>
      <c r="I4674" t="s">
        <v>37</v>
      </c>
      <c r="J4674" t="s">
        <v>38</v>
      </c>
      <c r="K4674" t="s">
        <v>29</v>
      </c>
      <c r="L4674" t="s">
        <v>30</v>
      </c>
      <c r="M4674" t="s">
        <v>139</v>
      </c>
      <c r="N4674">
        <v>1046</v>
      </c>
      <c r="O4674" s="14">
        <v>0.905922192614526</v>
      </c>
      <c r="P4674" s="14">
        <v>0.83159798220731296</v>
      </c>
      <c r="Q4674" t="str">
        <f t="shared" ref="Q4674:Q4737" si="146">SUBSTITUTE(SUBSTITUTE($I4674,CHAR(61),""),CHAR(34),"")</f>
        <v>15-24</v>
      </c>
      <c r="R4674" t="str">
        <f t="shared" ref="R4674:R4737" si="147">IF($D4674&lt;&gt;"","["&amp;$E4674&amp;"]"&amp;"|"&amp;$Q4674&amp;"|"&amp;$K4674&amp;"|"&amp;$G4674&amp;"|"&amp;IF($G4674="TX_CURR_SUBNAT.R","CY2022Q4",$M4674),"")</f>
        <v>[TYnMSwzko3z]|15-24|Female|PMTCT_STAT_SUBNAT.N.Known.Pos.T_1|CY2023Q3</v>
      </c>
    </row>
    <row r="4675" spans="4:18" x14ac:dyDescent="0.2">
      <c r="D4675" t="s">
        <v>77</v>
      </c>
      <c r="E4675" t="s">
        <v>78</v>
      </c>
      <c r="F4675" t="s">
        <v>79</v>
      </c>
      <c r="G4675" t="s">
        <v>160</v>
      </c>
      <c r="H4675" t="s">
        <v>161</v>
      </c>
      <c r="I4675" t="s">
        <v>40</v>
      </c>
      <c r="J4675" t="s">
        <v>41</v>
      </c>
      <c r="K4675" t="s">
        <v>29</v>
      </c>
      <c r="L4675" t="s">
        <v>30</v>
      </c>
      <c r="M4675" t="s">
        <v>139</v>
      </c>
      <c r="N4675">
        <v>1244</v>
      </c>
      <c r="O4675" s="14">
        <v>0.139032808598131</v>
      </c>
      <c r="P4675" s="14">
        <v>0.83159798220731296</v>
      </c>
      <c r="Q4675" t="str">
        <f t="shared" si="146"/>
        <v>25-34</v>
      </c>
      <c r="R4675" t="str">
        <f t="shared" si="147"/>
        <v>[TYnMSwzko3z]|25-34|Female|PMTCT_STAT_SUBNAT.N.Known.Pos.T_1|CY2023Q3</v>
      </c>
    </row>
    <row r="4676" spans="4:18" x14ac:dyDescent="0.2">
      <c r="D4676" t="s">
        <v>77</v>
      </c>
      <c r="E4676" t="s">
        <v>78</v>
      </c>
      <c r="F4676" t="s">
        <v>79</v>
      </c>
      <c r="G4676" t="s">
        <v>160</v>
      </c>
      <c r="H4676" t="s">
        <v>161</v>
      </c>
      <c r="I4676" t="s">
        <v>42</v>
      </c>
      <c r="J4676" t="s">
        <v>43</v>
      </c>
      <c r="K4676" t="s">
        <v>29</v>
      </c>
      <c r="L4676" t="s">
        <v>30</v>
      </c>
      <c r="M4676" t="s">
        <v>139</v>
      </c>
      <c r="N4676">
        <v>987</v>
      </c>
      <c r="O4676" s="14">
        <v>0.112037262879312</v>
      </c>
      <c r="P4676" s="14">
        <v>0.83159798220731296</v>
      </c>
      <c r="Q4676" t="str">
        <f t="shared" si="146"/>
        <v>35-49</v>
      </c>
      <c r="R4676" t="str">
        <f t="shared" si="147"/>
        <v>[TYnMSwzko3z]|35-49|Female|PMTCT_STAT_SUBNAT.N.Known.Pos.T_1|CY2023Q3</v>
      </c>
    </row>
    <row r="4677" spans="4:18" x14ac:dyDescent="0.2">
      <c r="D4677" t="s">
        <v>80</v>
      </c>
      <c r="E4677" t="s">
        <v>81</v>
      </c>
      <c r="F4677" t="s">
        <v>82</v>
      </c>
      <c r="G4677" t="s">
        <v>160</v>
      </c>
      <c r="H4677" t="s">
        <v>161</v>
      </c>
      <c r="I4677" t="s">
        <v>37</v>
      </c>
      <c r="J4677" t="s">
        <v>38</v>
      </c>
      <c r="K4677" t="s">
        <v>29</v>
      </c>
      <c r="L4677" t="s">
        <v>30</v>
      </c>
      <c r="M4677" t="s">
        <v>139</v>
      </c>
      <c r="N4677">
        <v>901</v>
      </c>
      <c r="O4677" s="14">
        <v>0.90621248073875904</v>
      </c>
      <c r="P4677" s="14">
        <v>0.14333142153918699</v>
      </c>
      <c r="Q4677" t="str">
        <f t="shared" si="146"/>
        <v>15-24</v>
      </c>
      <c r="R4677" t="str">
        <f t="shared" si="147"/>
        <v>[ir8wuHHzoSs]|15-24|Female|PMTCT_STAT_SUBNAT.N.Known.Pos.T_1|CY2023Q3</v>
      </c>
    </row>
    <row r="4678" spans="4:18" x14ac:dyDescent="0.2">
      <c r="D4678" t="s">
        <v>80</v>
      </c>
      <c r="E4678" t="s">
        <v>81</v>
      </c>
      <c r="F4678" t="s">
        <v>82</v>
      </c>
      <c r="G4678" t="s">
        <v>160</v>
      </c>
      <c r="H4678" t="s">
        <v>161</v>
      </c>
      <c r="I4678" t="s">
        <v>40</v>
      </c>
      <c r="J4678" t="s">
        <v>41</v>
      </c>
      <c r="K4678" t="s">
        <v>29</v>
      </c>
      <c r="L4678" t="s">
        <v>30</v>
      </c>
      <c r="M4678" t="s">
        <v>139</v>
      </c>
      <c r="N4678">
        <v>1722</v>
      </c>
      <c r="O4678" s="14">
        <v>0.59947905247099698</v>
      </c>
      <c r="P4678" s="14">
        <v>0.14333142153918699</v>
      </c>
      <c r="Q4678" t="str">
        <f t="shared" si="146"/>
        <v>25-34</v>
      </c>
      <c r="R4678" t="str">
        <f t="shared" si="147"/>
        <v>[ir8wuHHzoSs]|25-34|Female|PMTCT_STAT_SUBNAT.N.Known.Pos.T_1|CY2023Q3</v>
      </c>
    </row>
    <row r="4679" spans="4:18" x14ac:dyDescent="0.2">
      <c r="D4679" t="s">
        <v>80</v>
      </c>
      <c r="E4679" t="s">
        <v>81</v>
      </c>
      <c r="F4679" t="s">
        <v>82</v>
      </c>
      <c r="G4679" t="s">
        <v>160</v>
      </c>
      <c r="H4679" t="s">
        <v>161</v>
      </c>
      <c r="I4679" t="s">
        <v>42</v>
      </c>
      <c r="J4679" t="s">
        <v>43</v>
      </c>
      <c r="K4679" t="s">
        <v>29</v>
      </c>
      <c r="L4679" t="s">
        <v>30</v>
      </c>
      <c r="M4679" t="s">
        <v>139</v>
      </c>
      <c r="N4679">
        <v>1953</v>
      </c>
      <c r="O4679" s="14">
        <v>0.30014307238161603</v>
      </c>
      <c r="P4679" s="14">
        <v>0.14333142153918699</v>
      </c>
      <c r="Q4679" t="str">
        <f t="shared" si="146"/>
        <v>35-49</v>
      </c>
      <c r="R4679" t="str">
        <f t="shared" si="147"/>
        <v>[ir8wuHHzoSs]|35-49|Female|PMTCT_STAT_SUBNAT.N.Known.Pos.T_1|CY2023Q3</v>
      </c>
    </row>
    <row r="4680" spans="4:18" x14ac:dyDescent="0.2">
      <c r="D4680" t="s">
        <v>83</v>
      </c>
      <c r="E4680" t="s">
        <v>84</v>
      </c>
      <c r="F4680" t="s">
        <v>85</v>
      </c>
      <c r="G4680" t="s">
        <v>160</v>
      </c>
      <c r="H4680" t="s">
        <v>161</v>
      </c>
      <c r="I4680" t="s">
        <v>37</v>
      </c>
      <c r="J4680" t="s">
        <v>38</v>
      </c>
      <c r="K4680" t="s">
        <v>29</v>
      </c>
      <c r="L4680" t="s">
        <v>30</v>
      </c>
      <c r="M4680" t="s">
        <v>139</v>
      </c>
      <c r="N4680">
        <v>664</v>
      </c>
      <c r="O4680" s="14">
        <v>0.85575134563259803</v>
      </c>
      <c r="P4680" s="14">
        <v>2.9788714367896301E-2</v>
      </c>
      <c r="Q4680" t="str">
        <f t="shared" si="146"/>
        <v>15-24</v>
      </c>
      <c r="R4680" t="str">
        <f t="shared" si="147"/>
        <v>[fyEoGEPERdI]|15-24|Female|PMTCT_STAT_SUBNAT.N.Known.Pos.T_1|CY2023Q3</v>
      </c>
    </row>
    <row r="4681" spans="4:18" x14ac:dyDescent="0.2">
      <c r="D4681" t="s">
        <v>83</v>
      </c>
      <c r="E4681" t="s">
        <v>84</v>
      </c>
      <c r="F4681" t="s">
        <v>85</v>
      </c>
      <c r="G4681" t="s">
        <v>160</v>
      </c>
      <c r="H4681" t="s">
        <v>161</v>
      </c>
      <c r="I4681" t="s">
        <v>40</v>
      </c>
      <c r="J4681" t="s">
        <v>41</v>
      </c>
      <c r="K4681" t="s">
        <v>29</v>
      </c>
      <c r="L4681" t="s">
        <v>30</v>
      </c>
      <c r="M4681" t="s">
        <v>139</v>
      </c>
      <c r="N4681">
        <v>1130</v>
      </c>
      <c r="O4681" s="14">
        <v>0.82731785648502398</v>
      </c>
      <c r="P4681" s="14">
        <v>2.9788714367896301E-2</v>
      </c>
      <c r="Q4681" t="str">
        <f t="shared" si="146"/>
        <v>25-34</v>
      </c>
      <c r="R4681" t="str">
        <f t="shared" si="147"/>
        <v>[fyEoGEPERdI]|25-34|Female|PMTCT_STAT_SUBNAT.N.Known.Pos.T_1|CY2023Q3</v>
      </c>
    </row>
    <row r="4682" spans="4:18" x14ac:dyDescent="0.2">
      <c r="D4682" t="s">
        <v>83</v>
      </c>
      <c r="E4682" t="s">
        <v>84</v>
      </c>
      <c r="F4682" t="s">
        <v>85</v>
      </c>
      <c r="G4682" t="s">
        <v>160</v>
      </c>
      <c r="H4682" t="s">
        <v>161</v>
      </c>
      <c r="I4682" t="s">
        <v>42</v>
      </c>
      <c r="J4682" t="s">
        <v>43</v>
      </c>
      <c r="K4682" t="s">
        <v>29</v>
      </c>
      <c r="L4682" t="s">
        <v>30</v>
      </c>
      <c r="M4682" t="s">
        <v>139</v>
      </c>
      <c r="N4682">
        <v>1055</v>
      </c>
      <c r="O4682" s="14">
        <v>0.66564815957099199</v>
      </c>
      <c r="P4682" s="14">
        <v>2.9788714367896301E-2</v>
      </c>
      <c r="Q4682" t="str">
        <f t="shared" si="146"/>
        <v>35-49</v>
      </c>
      <c r="R4682" t="str">
        <f t="shared" si="147"/>
        <v>[fyEoGEPERdI]|35-49|Female|PMTCT_STAT_SUBNAT.N.Known.Pos.T_1|CY2023Q3</v>
      </c>
    </row>
    <row r="4683" spans="4:18" x14ac:dyDescent="0.2">
      <c r="D4683" t="s">
        <v>86</v>
      </c>
      <c r="E4683" t="s">
        <v>87</v>
      </c>
      <c r="F4683" t="s">
        <v>88</v>
      </c>
      <c r="G4683" t="s">
        <v>160</v>
      </c>
      <c r="H4683" t="s">
        <v>161</v>
      </c>
      <c r="I4683" t="s">
        <v>37</v>
      </c>
      <c r="J4683" t="s">
        <v>38</v>
      </c>
      <c r="K4683" t="s">
        <v>29</v>
      </c>
      <c r="L4683" t="s">
        <v>30</v>
      </c>
      <c r="M4683" t="s">
        <v>139</v>
      </c>
      <c r="N4683">
        <v>1109</v>
      </c>
      <c r="O4683" s="14">
        <v>0.688314438331872</v>
      </c>
      <c r="P4683" s="14">
        <v>0.13333638082258401</v>
      </c>
      <c r="Q4683" t="str">
        <f t="shared" si="146"/>
        <v>15-24</v>
      </c>
      <c r="R4683" t="str">
        <f t="shared" si="147"/>
        <v>[cPtvxaZqXIH]|15-24|Female|PMTCT_STAT_SUBNAT.N.Known.Pos.T_1|CY2023Q3</v>
      </c>
    </row>
    <row r="4684" spans="4:18" x14ac:dyDescent="0.2">
      <c r="D4684" t="s">
        <v>86</v>
      </c>
      <c r="E4684" t="s">
        <v>87</v>
      </c>
      <c r="F4684" t="s">
        <v>88</v>
      </c>
      <c r="G4684" t="s">
        <v>160</v>
      </c>
      <c r="H4684" t="s">
        <v>161</v>
      </c>
      <c r="I4684" t="s">
        <v>40</v>
      </c>
      <c r="J4684" t="s">
        <v>41</v>
      </c>
      <c r="K4684" t="s">
        <v>29</v>
      </c>
      <c r="L4684" t="s">
        <v>30</v>
      </c>
      <c r="M4684" t="s">
        <v>139</v>
      </c>
      <c r="N4684">
        <v>1886</v>
      </c>
      <c r="O4684" s="14">
        <v>0.54881679196842004</v>
      </c>
      <c r="P4684" s="14">
        <v>0.13333638082258401</v>
      </c>
      <c r="Q4684" t="str">
        <f t="shared" si="146"/>
        <v>25-34</v>
      </c>
      <c r="R4684" t="str">
        <f t="shared" si="147"/>
        <v>[cPtvxaZqXIH]|25-34|Female|PMTCT_STAT_SUBNAT.N.Known.Pos.T_1|CY2023Q3</v>
      </c>
    </row>
    <row r="4685" spans="4:18" x14ac:dyDescent="0.2">
      <c r="D4685" t="s">
        <v>86</v>
      </c>
      <c r="E4685" t="s">
        <v>87</v>
      </c>
      <c r="F4685" t="s">
        <v>88</v>
      </c>
      <c r="G4685" t="s">
        <v>160</v>
      </c>
      <c r="H4685" t="s">
        <v>161</v>
      </c>
      <c r="I4685" t="s">
        <v>42</v>
      </c>
      <c r="J4685" t="s">
        <v>43</v>
      </c>
      <c r="K4685" t="s">
        <v>29</v>
      </c>
      <c r="L4685" t="s">
        <v>30</v>
      </c>
      <c r="M4685" t="s">
        <v>139</v>
      </c>
      <c r="N4685">
        <v>1700</v>
      </c>
      <c r="O4685" s="14">
        <v>0.70392865361645796</v>
      </c>
      <c r="P4685" s="14">
        <v>0.13333638082258401</v>
      </c>
      <c r="Q4685" t="str">
        <f t="shared" si="146"/>
        <v>35-49</v>
      </c>
      <c r="R4685" t="str">
        <f t="shared" si="147"/>
        <v>[cPtvxaZqXIH]|35-49|Female|PMTCT_STAT_SUBNAT.N.Known.Pos.T_1|CY2023Q3</v>
      </c>
    </row>
    <row r="4686" spans="4:18" x14ac:dyDescent="0.2">
      <c r="D4686" t="s">
        <v>89</v>
      </c>
      <c r="E4686" t="s">
        <v>90</v>
      </c>
      <c r="F4686" t="s">
        <v>91</v>
      </c>
      <c r="G4686" t="s">
        <v>160</v>
      </c>
      <c r="H4686" t="s">
        <v>161</v>
      </c>
      <c r="I4686" t="s">
        <v>37</v>
      </c>
      <c r="J4686" t="s">
        <v>38</v>
      </c>
      <c r="K4686" t="s">
        <v>29</v>
      </c>
      <c r="L4686" t="s">
        <v>30</v>
      </c>
      <c r="M4686" t="s">
        <v>139</v>
      </c>
      <c r="N4686">
        <v>1648</v>
      </c>
      <c r="O4686" s="14">
        <v>0.46010359446518101</v>
      </c>
      <c r="P4686" s="14">
        <v>0.71991415042430196</v>
      </c>
      <c r="Q4686" t="str">
        <f t="shared" si="146"/>
        <v>15-24</v>
      </c>
      <c r="R4686" t="str">
        <f t="shared" si="147"/>
        <v>[AZyWpGzhcaA]|15-24|Female|PMTCT_STAT_SUBNAT.N.Known.Pos.T_1|CY2023Q3</v>
      </c>
    </row>
    <row r="4687" spans="4:18" x14ac:dyDescent="0.2">
      <c r="D4687" t="s">
        <v>89</v>
      </c>
      <c r="E4687" t="s">
        <v>90</v>
      </c>
      <c r="F4687" t="s">
        <v>91</v>
      </c>
      <c r="G4687" t="s">
        <v>160</v>
      </c>
      <c r="H4687" t="s">
        <v>161</v>
      </c>
      <c r="I4687" t="s">
        <v>40</v>
      </c>
      <c r="J4687" t="s">
        <v>41</v>
      </c>
      <c r="K4687" t="s">
        <v>29</v>
      </c>
      <c r="L4687" t="s">
        <v>30</v>
      </c>
      <c r="M4687" t="s">
        <v>139</v>
      </c>
      <c r="N4687">
        <v>1146</v>
      </c>
      <c r="O4687" s="14">
        <v>0.39897723309695698</v>
      </c>
      <c r="P4687" s="14">
        <v>0.71991415042430196</v>
      </c>
      <c r="Q4687" t="str">
        <f t="shared" si="146"/>
        <v>25-34</v>
      </c>
      <c r="R4687" t="str">
        <f t="shared" si="147"/>
        <v>[AZyWpGzhcaA]|25-34|Female|PMTCT_STAT_SUBNAT.N.Known.Pos.T_1|CY2023Q3</v>
      </c>
    </row>
    <row r="4688" spans="4:18" x14ac:dyDescent="0.2">
      <c r="D4688" t="s">
        <v>89</v>
      </c>
      <c r="E4688" t="s">
        <v>90</v>
      </c>
      <c r="F4688" t="s">
        <v>91</v>
      </c>
      <c r="G4688" t="s">
        <v>160</v>
      </c>
      <c r="H4688" t="s">
        <v>161</v>
      </c>
      <c r="I4688" t="s">
        <v>42</v>
      </c>
      <c r="J4688" t="s">
        <v>43</v>
      </c>
      <c r="K4688" t="s">
        <v>29</v>
      </c>
      <c r="L4688" t="s">
        <v>30</v>
      </c>
      <c r="M4688" t="s">
        <v>139</v>
      </c>
      <c r="N4688">
        <v>1034</v>
      </c>
      <c r="O4688" s="14">
        <v>9.2134068254381404E-2</v>
      </c>
      <c r="P4688" s="14">
        <v>0.71991415042430196</v>
      </c>
      <c r="Q4688" t="str">
        <f t="shared" si="146"/>
        <v>35-49</v>
      </c>
      <c r="R4688" t="str">
        <f t="shared" si="147"/>
        <v>[AZyWpGzhcaA]|35-49|Female|PMTCT_STAT_SUBNAT.N.Known.Pos.T_1|CY2023Q3</v>
      </c>
    </row>
    <row r="4689" spans="4:18" x14ac:dyDescent="0.2">
      <c r="D4689" t="s">
        <v>92</v>
      </c>
      <c r="E4689" t="s">
        <v>93</v>
      </c>
      <c r="F4689" t="s">
        <v>94</v>
      </c>
      <c r="G4689" t="s">
        <v>160</v>
      </c>
      <c r="H4689" t="s">
        <v>161</v>
      </c>
      <c r="I4689" t="s">
        <v>37</v>
      </c>
      <c r="J4689" t="s">
        <v>38</v>
      </c>
      <c r="K4689" t="s">
        <v>29</v>
      </c>
      <c r="L4689" t="s">
        <v>30</v>
      </c>
      <c r="M4689" t="s">
        <v>139</v>
      </c>
      <c r="N4689">
        <v>1221</v>
      </c>
      <c r="O4689" s="14">
        <v>0.234817117918283</v>
      </c>
      <c r="P4689" s="14">
        <v>0.36227229656651599</v>
      </c>
      <c r="Q4689" t="str">
        <f t="shared" si="146"/>
        <v>15-24</v>
      </c>
      <c r="R4689" t="str">
        <f t="shared" si="147"/>
        <v>[umc2n1Z4wNv]|15-24|Female|PMTCT_STAT_SUBNAT.N.Known.Pos.T_1|CY2023Q3</v>
      </c>
    </row>
    <row r="4690" spans="4:18" x14ac:dyDescent="0.2">
      <c r="D4690" t="s">
        <v>92</v>
      </c>
      <c r="E4690" t="s">
        <v>93</v>
      </c>
      <c r="F4690" t="s">
        <v>94</v>
      </c>
      <c r="G4690" t="s">
        <v>160</v>
      </c>
      <c r="H4690" t="s">
        <v>161</v>
      </c>
      <c r="I4690" t="s">
        <v>40</v>
      </c>
      <c r="J4690" t="s">
        <v>41</v>
      </c>
      <c r="K4690" t="s">
        <v>29</v>
      </c>
      <c r="L4690" t="s">
        <v>30</v>
      </c>
      <c r="M4690" t="s">
        <v>139</v>
      </c>
      <c r="N4690">
        <v>1795</v>
      </c>
      <c r="O4690" s="14">
        <v>0.37001884286291897</v>
      </c>
      <c r="P4690" s="14">
        <v>0.36227229656651599</v>
      </c>
      <c r="Q4690" t="str">
        <f t="shared" si="146"/>
        <v>25-34</v>
      </c>
      <c r="R4690" t="str">
        <f t="shared" si="147"/>
        <v>[umc2n1Z4wNv]|25-34|Female|PMTCT_STAT_SUBNAT.N.Known.Pos.T_1|CY2023Q3</v>
      </c>
    </row>
    <row r="4691" spans="4:18" x14ac:dyDescent="0.2">
      <c r="D4691" t="s">
        <v>92</v>
      </c>
      <c r="E4691" t="s">
        <v>93</v>
      </c>
      <c r="F4691" t="s">
        <v>94</v>
      </c>
      <c r="G4691" t="s">
        <v>160</v>
      </c>
      <c r="H4691" t="s">
        <v>161</v>
      </c>
      <c r="I4691" t="s">
        <v>42</v>
      </c>
      <c r="J4691" t="s">
        <v>43</v>
      </c>
      <c r="K4691" t="s">
        <v>29</v>
      </c>
      <c r="L4691" t="s">
        <v>30</v>
      </c>
      <c r="M4691" t="s">
        <v>139</v>
      </c>
      <c r="N4691">
        <v>743</v>
      </c>
      <c r="O4691" s="14">
        <v>0.86142980167642202</v>
      </c>
      <c r="P4691" s="14">
        <v>0.36227229656651599</v>
      </c>
      <c r="Q4691" t="str">
        <f t="shared" si="146"/>
        <v>35-49</v>
      </c>
      <c r="R4691" t="str">
        <f t="shared" si="147"/>
        <v>[umc2n1Z4wNv]|35-49|Female|PMTCT_STAT_SUBNAT.N.Known.Pos.T_1|CY2023Q3</v>
      </c>
    </row>
    <row r="4692" spans="4:18" x14ac:dyDescent="0.2">
      <c r="D4692" t="s">
        <v>95</v>
      </c>
      <c r="E4692" t="s">
        <v>96</v>
      </c>
      <c r="F4692" t="s">
        <v>97</v>
      </c>
      <c r="G4692" t="s">
        <v>160</v>
      </c>
      <c r="H4692" t="s">
        <v>161</v>
      </c>
      <c r="I4692" t="s">
        <v>37</v>
      </c>
      <c r="J4692" t="s">
        <v>38</v>
      </c>
      <c r="K4692" t="s">
        <v>29</v>
      </c>
      <c r="L4692" t="s">
        <v>30</v>
      </c>
      <c r="M4692" t="s">
        <v>139</v>
      </c>
      <c r="N4692">
        <v>1119</v>
      </c>
      <c r="O4692" s="14">
        <v>0.73452055547386397</v>
      </c>
      <c r="P4692" s="14">
        <v>0.60125171788968101</v>
      </c>
      <c r="Q4692" t="str">
        <f t="shared" si="146"/>
        <v>15-24</v>
      </c>
      <c r="R4692" t="str">
        <f t="shared" si="147"/>
        <v>[gwVYinjBAe9]|15-24|Female|PMTCT_STAT_SUBNAT.N.Known.Pos.T_1|CY2023Q3</v>
      </c>
    </row>
    <row r="4693" spans="4:18" x14ac:dyDescent="0.2">
      <c r="D4693" t="s">
        <v>95</v>
      </c>
      <c r="E4693" t="s">
        <v>96</v>
      </c>
      <c r="F4693" t="s">
        <v>97</v>
      </c>
      <c r="G4693" t="s">
        <v>160</v>
      </c>
      <c r="H4693" t="s">
        <v>161</v>
      </c>
      <c r="I4693" t="s">
        <v>40</v>
      </c>
      <c r="J4693" t="s">
        <v>41</v>
      </c>
      <c r="K4693" t="s">
        <v>29</v>
      </c>
      <c r="L4693" t="s">
        <v>30</v>
      </c>
      <c r="M4693" t="s">
        <v>139</v>
      </c>
      <c r="N4693">
        <v>1650</v>
      </c>
      <c r="O4693" s="14">
        <v>0.57245371770113695</v>
      </c>
      <c r="P4693" s="14">
        <v>0.60125171788968101</v>
      </c>
      <c r="Q4693" t="str">
        <f t="shared" si="146"/>
        <v>25-34</v>
      </c>
      <c r="R4693" t="str">
        <f t="shared" si="147"/>
        <v>[gwVYinjBAe9]|25-34|Female|PMTCT_STAT_SUBNAT.N.Known.Pos.T_1|CY2023Q3</v>
      </c>
    </row>
    <row r="4694" spans="4:18" x14ac:dyDescent="0.2">
      <c r="D4694" t="s">
        <v>95</v>
      </c>
      <c r="E4694" t="s">
        <v>96</v>
      </c>
      <c r="F4694" t="s">
        <v>97</v>
      </c>
      <c r="G4694" t="s">
        <v>160</v>
      </c>
      <c r="H4694" t="s">
        <v>161</v>
      </c>
      <c r="I4694" t="s">
        <v>42</v>
      </c>
      <c r="J4694" t="s">
        <v>43</v>
      </c>
      <c r="K4694" t="s">
        <v>29</v>
      </c>
      <c r="L4694" t="s">
        <v>30</v>
      </c>
      <c r="M4694" t="s">
        <v>139</v>
      </c>
      <c r="N4694">
        <v>888</v>
      </c>
      <c r="O4694" s="14">
        <v>0.79931039013899896</v>
      </c>
      <c r="P4694" s="14">
        <v>0.60125171788968101</v>
      </c>
      <c r="Q4694" t="str">
        <f t="shared" si="146"/>
        <v>35-49</v>
      </c>
      <c r="R4694" t="str">
        <f t="shared" si="147"/>
        <v>[gwVYinjBAe9]|35-49|Female|PMTCT_STAT_SUBNAT.N.Known.Pos.T_1|CY2023Q3</v>
      </c>
    </row>
    <row r="4695" spans="4:18" x14ac:dyDescent="0.2">
      <c r="D4695" t="s">
        <v>98</v>
      </c>
      <c r="E4695" t="s">
        <v>99</v>
      </c>
      <c r="F4695" t="s">
        <v>100</v>
      </c>
      <c r="G4695" t="s">
        <v>160</v>
      </c>
      <c r="H4695" t="s">
        <v>161</v>
      </c>
      <c r="I4695" t="s">
        <v>37</v>
      </c>
      <c r="J4695" t="s">
        <v>38</v>
      </c>
      <c r="K4695" t="s">
        <v>29</v>
      </c>
      <c r="L4695" t="s">
        <v>30</v>
      </c>
      <c r="M4695" t="s">
        <v>139</v>
      </c>
      <c r="N4695">
        <v>728</v>
      </c>
      <c r="O4695" s="14">
        <v>0.578747373307124</v>
      </c>
      <c r="P4695" s="14">
        <v>0.57728803809732199</v>
      </c>
      <c r="Q4695" t="str">
        <f t="shared" si="146"/>
        <v>15-24</v>
      </c>
      <c r="R4695" t="str">
        <f t="shared" si="147"/>
        <v>[mxqa3CDFmIT]|15-24|Female|PMTCT_STAT_SUBNAT.N.Known.Pos.T_1|CY2023Q3</v>
      </c>
    </row>
    <row r="4696" spans="4:18" x14ac:dyDescent="0.2">
      <c r="D4696" t="s">
        <v>98</v>
      </c>
      <c r="E4696" t="s">
        <v>99</v>
      </c>
      <c r="F4696" t="s">
        <v>100</v>
      </c>
      <c r="G4696" t="s">
        <v>160</v>
      </c>
      <c r="H4696" t="s">
        <v>161</v>
      </c>
      <c r="I4696" t="s">
        <v>40</v>
      </c>
      <c r="J4696" t="s">
        <v>41</v>
      </c>
      <c r="K4696" t="s">
        <v>29</v>
      </c>
      <c r="L4696" t="s">
        <v>30</v>
      </c>
      <c r="M4696" t="s">
        <v>139</v>
      </c>
      <c r="N4696">
        <v>643</v>
      </c>
      <c r="O4696" s="14">
        <v>0.57672847085632395</v>
      </c>
      <c r="P4696" s="14">
        <v>0.57728803809732199</v>
      </c>
      <c r="Q4696" t="str">
        <f t="shared" si="146"/>
        <v>25-34</v>
      </c>
      <c r="R4696" t="str">
        <f t="shared" si="147"/>
        <v>[mxqa3CDFmIT]|25-34|Female|PMTCT_STAT_SUBNAT.N.Known.Pos.T_1|CY2023Q3</v>
      </c>
    </row>
    <row r="4697" spans="4:18" x14ac:dyDescent="0.2">
      <c r="D4697" t="s">
        <v>98</v>
      </c>
      <c r="E4697" t="s">
        <v>99</v>
      </c>
      <c r="F4697" t="s">
        <v>100</v>
      </c>
      <c r="G4697" t="s">
        <v>160</v>
      </c>
      <c r="H4697" t="s">
        <v>161</v>
      </c>
      <c r="I4697" t="s">
        <v>42</v>
      </c>
      <c r="J4697" t="s">
        <v>43</v>
      </c>
      <c r="K4697" t="s">
        <v>29</v>
      </c>
      <c r="L4697" t="s">
        <v>30</v>
      </c>
      <c r="M4697" t="s">
        <v>139</v>
      </c>
      <c r="N4697">
        <v>1791</v>
      </c>
      <c r="O4697" s="14">
        <v>0.71200968348421201</v>
      </c>
      <c r="P4697" s="14">
        <v>0.57728803809732199</v>
      </c>
      <c r="Q4697" t="str">
        <f t="shared" si="146"/>
        <v>35-49</v>
      </c>
      <c r="R4697" t="str">
        <f t="shared" si="147"/>
        <v>[mxqa3CDFmIT]|35-49|Female|PMTCT_STAT_SUBNAT.N.Known.Pos.T_1|CY2023Q3</v>
      </c>
    </row>
    <row r="4698" spans="4:18" x14ac:dyDescent="0.2">
      <c r="D4698" t="s">
        <v>101</v>
      </c>
      <c r="E4698" t="s">
        <v>102</v>
      </c>
      <c r="F4698" t="s">
        <v>103</v>
      </c>
      <c r="G4698" t="s">
        <v>160</v>
      </c>
      <c r="H4698" t="s">
        <v>161</v>
      </c>
      <c r="I4698" t="s">
        <v>37</v>
      </c>
      <c r="J4698" t="s">
        <v>38</v>
      </c>
      <c r="K4698" t="s">
        <v>29</v>
      </c>
      <c r="L4698" t="s">
        <v>30</v>
      </c>
      <c r="M4698" t="s">
        <v>139</v>
      </c>
      <c r="N4698">
        <v>864</v>
      </c>
      <c r="O4698" s="14">
        <v>0.91584158968180396</v>
      </c>
      <c r="P4698" s="14">
        <v>0.52621235931292198</v>
      </c>
      <c r="Q4698" t="str">
        <f t="shared" si="146"/>
        <v>15-24</v>
      </c>
      <c r="R4698" t="str">
        <f t="shared" si="147"/>
        <v>[wNqJp8oRIcF]|15-24|Female|PMTCT_STAT_SUBNAT.N.Known.Pos.T_1|CY2023Q3</v>
      </c>
    </row>
    <row r="4699" spans="4:18" x14ac:dyDescent="0.2">
      <c r="D4699" t="s">
        <v>101</v>
      </c>
      <c r="E4699" t="s">
        <v>102</v>
      </c>
      <c r="F4699" t="s">
        <v>103</v>
      </c>
      <c r="G4699" t="s">
        <v>160</v>
      </c>
      <c r="H4699" t="s">
        <v>161</v>
      </c>
      <c r="I4699" t="s">
        <v>40</v>
      </c>
      <c r="J4699" t="s">
        <v>41</v>
      </c>
      <c r="K4699" t="s">
        <v>29</v>
      </c>
      <c r="L4699" t="s">
        <v>30</v>
      </c>
      <c r="M4699" t="s">
        <v>139</v>
      </c>
      <c r="N4699">
        <v>1373</v>
      </c>
      <c r="O4699" s="14">
        <v>2.2599401418119699E-3</v>
      </c>
      <c r="P4699" s="14">
        <v>0.52621235931292198</v>
      </c>
      <c r="Q4699" t="str">
        <f t="shared" si="146"/>
        <v>25-34</v>
      </c>
      <c r="R4699" t="str">
        <f t="shared" si="147"/>
        <v>[wNqJp8oRIcF]|25-34|Female|PMTCT_STAT_SUBNAT.N.Known.Pos.T_1|CY2023Q3</v>
      </c>
    </row>
    <row r="4700" spans="4:18" x14ac:dyDescent="0.2">
      <c r="D4700" t="s">
        <v>101</v>
      </c>
      <c r="E4700" t="s">
        <v>102</v>
      </c>
      <c r="F4700" t="s">
        <v>103</v>
      </c>
      <c r="G4700" t="s">
        <v>160</v>
      </c>
      <c r="H4700" t="s">
        <v>161</v>
      </c>
      <c r="I4700" t="s">
        <v>42</v>
      </c>
      <c r="J4700" t="s">
        <v>43</v>
      </c>
      <c r="K4700" t="s">
        <v>29</v>
      </c>
      <c r="L4700" t="s">
        <v>30</v>
      </c>
      <c r="M4700" t="s">
        <v>139</v>
      </c>
      <c r="N4700">
        <v>1221</v>
      </c>
      <c r="O4700" s="14">
        <v>0.15189199848100499</v>
      </c>
      <c r="P4700" s="14">
        <v>0.52621235931292198</v>
      </c>
      <c r="Q4700" t="str">
        <f t="shared" si="146"/>
        <v>35-49</v>
      </c>
      <c r="R4700" t="str">
        <f t="shared" si="147"/>
        <v>[wNqJp8oRIcF]|35-49|Female|PMTCT_STAT_SUBNAT.N.Known.Pos.T_1|CY2023Q3</v>
      </c>
    </row>
    <row r="4701" spans="4:18" x14ac:dyDescent="0.2">
      <c r="D4701" t="s">
        <v>104</v>
      </c>
      <c r="E4701" t="s">
        <v>105</v>
      </c>
      <c r="F4701" t="s">
        <v>106</v>
      </c>
      <c r="G4701" t="s">
        <v>160</v>
      </c>
      <c r="H4701" t="s">
        <v>161</v>
      </c>
      <c r="I4701" t="s">
        <v>37</v>
      </c>
      <c r="J4701" t="s">
        <v>38</v>
      </c>
      <c r="K4701" t="s">
        <v>29</v>
      </c>
      <c r="L4701" t="s">
        <v>30</v>
      </c>
      <c r="M4701" t="s">
        <v>139</v>
      </c>
      <c r="N4701">
        <v>1627</v>
      </c>
      <c r="O4701" s="14">
        <v>4.7960870433598798E-2</v>
      </c>
      <c r="P4701" s="14">
        <v>0.21824956033378801</v>
      </c>
      <c r="Q4701" t="str">
        <f t="shared" si="146"/>
        <v>15-24</v>
      </c>
      <c r="R4701" t="str">
        <f t="shared" si="147"/>
        <v>[oiPR2CiVJbf]|15-24|Female|PMTCT_STAT_SUBNAT.N.Known.Pos.T_1|CY2023Q3</v>
      </c>
    </row>
    <row r="4702" spans="4:18" x14ac:dyDescent="0.2">
      <c r="D4702" t="s">
        <v>104</v>
      </c>
      <c r="E4702" t="s">
        <v>105</v>
      </c>
      <c r="F4702" t="s">
        <v>106</v>
      </c>
      <c r="G4702" t="s">
        <v>160</v>
      </c>
      <c r="H4702" t="s">
        <v>161</v>
      </c>
      <c r="I4702" t="s">
        <v>40</v>
      </c>
      <c r="J4702" t="s">
        <v>41</v>
      </c>
      <c r="K4702" t="s">
        <v>29</v>
      </c>
      <c r="L4702" t="s">
        <v>30</v>
      </c>
      <c r="M4702" t="s">
        <v>139</v>
      </c>
      <c r="N4702">
        <v>516</v>
      </c>
      <c r="O4702" s="14">
        <v>0.29993244283832599</v>
      </c>
      <c r="P4702" s="14">
        <v>0.21824956033378801</v>
      </c>
      <c r="Q4702" t="str">
        <f t="shared" si="146"/>
        <v>25-34</v>
      </c>
      <c r="R4702" t="str">
        <f t="shared" si="147"/>
        <v>[oiPR2CiVJbf]|25-34|Female|PMTCT_STAT_SUBNAT.N.Known.Pos.T_1|CY2023Q3</v>
      </c>
    </row>
    <row r="4703" spans="4:18" x14ac:dyDescent="0.2">
      <c r="D4703" t="s">
        <v>104</v>
      </c>
      <c r="E4703" t="s">
        <v>105</v>
      </c>
      <c r="F4703" t="s">
        <v>106</v>
      </c>
      <c r="G4703" t="s">
        <v>160</v>
      </c>
      <c r="H4703" t="s">
        <v>161</v>
      </c>
      <c r="I4703" t="s">
        <v>42</v>
      </c>
      <c r="J4703" t="s">
        <v>43</v>
      </c>
      <c r="K4703" t="s">
        <v>29</v>
      </c>
      <c r="L4703" t="s">
        <v>30</v>
      </c>
      <c r="M4703" t="s">
        <v>139</v>
      </c>
      <c r="N4703">
        <v>867</v>
      </c>
      <c r="O4703" s="14">
        <v>0.64644281310029295</v>
      </c>
      <c r="P4703" s="14">
        <v>0.21824956033378801</v>
      </c>
      <c r="Q4703" t="str">
        <f t="shared" si="146"/>
        <v>35-49</v>
      </c>
      <c r="R4703" t="str">
        <f t="shared" si="147"/>
        <v>[oiPR2CiVJbf]|35-49|Female|PMTCT_STAT_SUBNAT.N.Known.Pos.T_1|CY2023Q3</v>
      </c>
    </row>
    <row r="4704" spans="4:18" x14ac:dyDescent="0.2">
      <c r="D4704" t="s">
        <v>107</v>
      </c>
      <c r="E4704" t="s">
        <v>108</v>
      </c>
      <c r="F4704" t="s">
        <v>109</v>
      </c>
      <c r="G4704" t="s">
        <v>160</v>
      </c>
      <c r="H4704" t="s">
        <v>161</v>
      </c>
      <c r="I4704" t="s">
        <v>37</v>
      </c>
      <c r="J4704" t="s">
        <v>38</v>
      </c>
      <c r="K4704" t="s">
        <v>29</v>
      </c>
      <c r="L4704" t="s">
        <v>30</v>
      </c>
      <c r="M4704" t="s">
        <v>139</v>
      </c>
      <c r="N4704">
        <v>1487</v>
      </c>
      <c r="O4704" s="14">
        <v>9.3733386602252704E-3</v>
      </c>
      <c r="P4704" s="14">
        <v>0.43422180437482899</v>
      </c>
      <c r="Q4704" t="str">
        <f t="shared" si="146"/>
        <v>15-24</v>
      </c>
      <c r="R4704" t="str">
        <f t="shared" si="147"/>
        <v>[ul0y9diGujK]|15-24|Female|PMTCT_STAT_SUBNAT.N.Known.Pos.T_1|CY2023Q3</v>
      </c>
    </row>
    <row r="4705" spans="4:18" x14ac:dyDescent="0.2">
      <c r="D4705" t="s">
        <v>107</v>
      </c>
      <c r="E4705" t="s">
        <v>108</v>
      </c>
      <c r="F4705" t="s">
        <v>109</v>
      </c>
      <c r="G4705" t="s">
        <v>160</v>
      </c>
      <c r="H4705" t="s">
        <v>161</v>
      </c>
      <c r="I4705" t="s">
        <v>40</v>
      </c>
      <c r="J4705" t="s">
        <v>41</v>
      </c>
      <c r="K4705" t="s">
        <v>29</v>
      </c>
      <c r="L4705" t="s">
        <v>30</v>
      </c>
      <c r="M4705" t="s">
        <v>139</v>
      </c>
      <c r="N4705">
        <v>1352</v>
      </c>
      <c r="O4705" s="14">
        <v>0.24882126785814801</v>
      </c>
      <c r="P4705" s="14">
        <v>0.43422180437482899</v>
      </c>
      <c r="Q4705" t="str">
        <f t="shared" si="146"/>
        <v>25-34</v>
      </c>
      <c r="R4705" t="str">
        <f t="shared" si="147"/>
        <v>[ul0y9diGujK]|25-34|Female|PMTCT_STAT_SUBNAT.N.Known.Pos.T_1|CY2023Q3</v>
      </c>
    </row>
    <row r="4706" spans="4:18" x14ac:dyDescent="0.2">
      <c r="D4706" t="s">
        <v>107</v>
      </c>
      <c r="E4706" t="s">
        <v>108</v>
      </c>
      <c r="F4706" t="s">
        <v>109</v>
      </c>
      <c r="G4706" t="s">
        <v>160</v>
      </c>
      <c r="H4706" t="s">
        <v>161</v>
      </c>
      <c r="I4706" t="s">
        <v>42</v>
      </c>
      <c r="J4706" t="s">
        <v>43</v>
      </c>
      <c r="K4706" t="s">
        <v>29</v>
      </c>
      <c r="L4706" t="s">
        <v>30</v>
      </c>
      <c r="M4706" t="s">
        <v>139</v>
      </c>
      <c r="N4706">
        <v>1299</v>
      </c>
      <c r="O4706" s="14">
        <v>0.29902733466588</v>
      </c>
      <c r="P4706" s="14">
        <v>0.43422180437482899</v>
      </c>
      <c r="Q4706" t="str">
        <f t="shared" si="146"/>
        <v>35-49</v>
      </c>
      <c r="R4706" t="str">
        <f t="shared" si="147"/>
        <v>[ul0y9diGujK]|35-49|Female|PMTCT_STAT_SUBNAT.N.Known.Pos.T_1|CY2023Q3</v>
      </c>
    </row>
    <row r="4707" spans="4:18" x14ac:dyDescent="0.2">
      <c r="D4707" t="s">
        <v>110</v>
      </c>
      <c r="E4707" t="s">
        <v>111</v>
      </c>
      <c r="F4707" t="s">
        <v>112</v>
      </c>
      <c r="G4707" t="s">
        <v>160</v>
      </c>
      <c r="H4707" t="s">
        <v>161</v>
      </c>
      <c r="I4707" t="s">
        <v>37</v>
      </c>
      <c r="J4707" t="s">
        <v>38</v>
      </c>
      <c r="K4707" t="s">
        <v>29</v>
      </c>
      <c r="L4707" t="s">
        <v>30</v>
      </c>
      <c r="M4707" t="s">
        <v>139</v>
      </c>
      <c r="N4707">
        <v>801</v>
      </c>
      <c r="O4707" s="14">
        <v>0.31306438939645898</v>
      </c>
      <c r="P4707" s="14">
        <v>0.33776879496872397</v>
      </c>
      <c r="Q4707" t="str">
        <f t="shared" si="146"/>
        <v>15-24</v>
      </c>
      <c r="R4707" t="str">
        <f t="shared" si="147"/>
        <v>[U8c0so51kT6]|15-24|Female|PMTCT_STAT_SUBNAT.N.Known.Pos.T_1|CY2023Q3</v>
      </c>
    </row>
    <row r="4708" spans="4:18" x14ac:dyDescent="0.2">
      <c r="D4708" t="s">
        <v>110</v>
      </c>
      <c r="E4708" t="s">
        <v>111</v>
      </c>
      <c r="F4708" t="s">
        <v>112</v>
      </c>
      <c r="G4708" t="s">
        <v>160</v>
      </c>
      <c r="H4708" t="s">
        <v>161</v>
      </c>
      <c r="I4708" t="s">
        <v>40</v>
      </c>
      <c r="J4708" t="s">
        <v>41</v>
      </c>
      <c r="K4708" t="s">
        <v>29</v>
      </c>
      <c r="L4708" t="s">
        <v>30</v>
      </c>
      <c r="M4708" t="s">
        <v>139</v>
      </c>
      <c r="N4708">
        <v>811</v>
      </c>
      <c r="O4708" s="14">
        <v>0.166249471949413</v>
      </c>
      <c r="P4708" s="14">
        <v>0.33776879496872397</v>
      </c>
      <c r="Q4708" t="str">
        <f t="shared" si="146"/>
        <v>25-34</v>
      </c>
      <c r="R4708" t="str">
        <f t="shared" si="147"/>
        <v>[U8c0so51kT6]|25-34|Female|PMTCT_STAT_SUBNAT.N.Known.Pos.T_1|CY2023Q3</v>
      </c>
    </row>
    <row r="4709" spans="4:18" x14ac:dyDescent="0.2">
      <c r="D4709" t="s">
        <v>110</v>
      </c>
      <c r="E4709" t="s">
        <v>111</v>
      </c>
      <c r="F4709" t="s">
        <v>112</v>
      </c>
      <c r="G4709" t="s">
        <v>160</v>
      </c>
      <c r="H4709" t="s">
        <v>161</v>
      </c>
      <c r="I4709" t="s">
        <v>42</v>
      </c>
      <c r="J4709" t="s">
        <v>43</v>
      </c>
      <c r="K4709" t="s">
        <v>29</v>
      </c>
      <c r="L4709" t="s">
        <v>30</v>
      </c>
      <c r="M4709" t="s">
        <v>139</v>
      </c>
      <c r="N4709">
        <v>1478</v>
      </c>
      <c r="O4709" s="14">
        <v>0.90223777573555697</v>
      </c>
      <c r="P4709" s="14">
        <v>0.33776879496872397</v>
      </c>
      <c r="Q4709" t="str">
        <f t="shared" si="146"/>
        <v>35-49</v>
      </c>
      <c r="R4709" t="str">
        <f t="shared" si="147"/>
        <v>[U8c0so51kT6]|35-49|Female|PMTCT_STAT_SUBNAT.N.Known.Pos.T_1|CY2023Q3</v>
      </c>
    </row>
    <row r="4710" spans="4:18" x14ac:dyDescent="0.2">
      <c r="D4710" t="s">
        <v>113</v>
      </c>
      <c r="E4710" t="s">
        <v>114</v>
      </c>
      <c r="F4710" t="s">
        <v>115</v>
      </c>
      <c r="G4710" t="s">
        <v>160</v>
      </c>
      <c r="H4710" t="s">
        <v>161</v>
      </c>
      <c r="I4710" t="s">
        <v>37</v>
      </c>
      <c r="J4710" t="s">
        <v>38</v>
      </c>
      <c r="K4710" t="s">
        <v>29</v>
      </c>
      <c r="L4710" t="s">
        <v>30</v>
      </c>
      <c r="M4710" t="s">
        <v>139</v>
      </c>
      <c r="N4710">
        <v>1616</v>
      </c>
      <c r="O4710" s="14">
        <v>0.228925664676353</v>
      </c>
      <c r="P4710" s="14">
        <v>0.29855980910360802</v>
      </c>
      <c r="Q4710" t="str">
        <f t="shared" si="146"/>
        <v>15-24</v>
      </c>
      <c r="R4710" t="str">
        <f t="shared" si="147"/>
        <v>[rpw540fmNUz]|15-24|Female|PMTCT_STAT_SUBNAT.N.Known.Pos.T_1|CY2023Q3</v>
      </c>
    </row>
    <row r="4711" spans="4:18" x14ac:dyDescent="0.2">
      <c r="D4711" t="s">
        <v>113</v>
      </c>
      <c r="E4711" t="s">
        <v>114</v>
      </c>
      <c r="F4711" t="s">
        <v>115</v>
      </c>
      <c r="G4711" t="s">
        <v>160</v>
      </c>
      <c r="H4711" t="s">
        <v>161</v>
      </c>
      <c r="I4711" t="s">
        <v>40</v>
      </c>
      <c r="J4711" t="s">
        <v>41</v>
      </c>
      <c r="K4711" t="s">
        <v>29</v>
      </c>
      <c r="L4711" t="s">
        <v>30</v>
      </c>
      <c r="M4711" t="s">
        <v>139</v>
      </c>
      <c r="N4711">
        <v>1625</v>
      </c>
      <c r="O4711" s="14">
        <v>0.99802651279605903</v>
      </c>
      <c r="P4711" s="14">
        <v>0.29855980910360802</v>
      </c>
      <c r="Q4711" t="str">
        <f t="shared" si="146"/>
        <v>25-34</v>
      </c>
      <c r="R4711" t="str">
        <f t="shared" si="147"/>
        <v>[rpw540fmNUz]|25-34|Female|PMTCT_STAT_SUBNAT.N.Known.Pos.T_1|CY2023Q3</v>
      </c>
    </row>
    <row r="4712" spans="4:18" x14ac:dyDescent="0.2">
      <c r="D4712" t="s">
        <v>113</v>
      </c>
      <c r="E4712" t="s">
        <v>114</v>
      </c>
      <c r="F4712" t="s">
        <v>115</v>
      </c>
      <c r="G4712" t="s">
        <v>160</v>
      </c>
      <c r="H4712" t="s">
        <v>161</v>
      </c>
      <c r="I4712" t="s">
        <v>42</v>
      </c>
      <c r="J4712" t="s">
        <v>43</v>
      </c>
      <c r="K4712" t="s">
        <v>29</v>
      </c>
      <c r="L4712" t="s">
        <v>30</v>
      </c>
      <c r="M4712" t="s">
        <v>139</v>
      </c>
      <c r="N4712">
        <v>550</v>
      </c>
      <c r="O4712" s="14">
        <v>0.16287295636721</v>
      </c>
      <c r="P4712" s="14">
        <v>0.29855980910360802</v>
      </c>
      <c r="Q4712" t="str">
        <f t="shared" si="146"/>
        <v>35-49</v>
      </c>
      <c r="R4712" t="str">
        <f t="shared" si="147"/>
        <v>[rpw540fmNUz]|35-49|Female|PMTCT_STAT_SUBNAT.N.Known.Pos.T_1|CY2023Q3</v>
      </c>
    </row>
    <row r="4713" spans="4:18" x14ac:dyDescent="0.2">
      <c r="D4713" t="s">
        <v>116</v>
      </c>
      <c r="E4713" t="s">
        <v>117</v>
      </c>
      <c r="F4713" t="s">
        <v>118</v>
      </c>
      <c r="G4713" t="s">
        <v>160</v>
      </c>
      <c r="H4713" t="s">
        <v>161</v>
      </c>
      <c r="I4713" t="s">
        <v>37</v>
      </c>
      <c r="J4713" t="s">
        <v>38</v>
      </c>
      <c r="K4713" t="s">
        <v>29</v>
      </c>
      <c r="L4713" t="s">
        <v>30</v>
      </c>
      <c r="M4713" t="s">
        <v>139</v>
      </c>
      <c r="N4713">
        <v>1175</v>
      </c>
      <c r="O4713" s="14">
        <v>0.76739125559106502</v>
      </c>
      <c r="P4713" s="14">
        <v>0.206259709550068</v>
      </c>
      <c r="Q4713" t="str">
        <f t="shared" si="146"/>
        <v>15-24</v>
      </c>
      <c r="R4713" t="str">
        <f t="shared" si="147"/>
        <v>[lPTyjLi4w3d]|15-24|Female|PMTCT_STAT_SUBNAT.N.Known.Pos.T_1|CY2023Q3</v>
      </c>
    </row>
    <row r="4714" spans="4:18" x14ac:dyDescent="0.2">
      <c r="D4714" t="s">
        <v>116</v>
      </c>
      <c r="E4714" t="s">
        <v>117</v>
      </c>
      <c r="F4714" t="s">
        <v>118</v>
      </c>
      <c r="G4714" t="s">
        <v>160</v>
      </c>
      <c r="H4714" t="s">
        <v>161</v>
      </c>
      <c r="I4714" t="s">
        <v>40</v>
      </c>
      <c r="J4714" t="s">
        <v>41</v>
      </c>
      <c r="K4714" t="s">
        <v>29</v>
      </c>
      <c r="L4714" t="s">
        <v>30</v>
      </c>
      <c r="M4714" t="s">
        <v>139</v>
      </c>
      <c r="N4714">
        <v>1603</v>
      </c>
      <c r="O4714" s="14">
        <v>0.41744801192544401</v>
      </c>
      <c r="P4714" s="14">
        <v>0.206259709550068</v>
      </c>
      <c r="Q4714" t="str">
        <f t="shared" si="146"/>
        <v>25-34</v>
      </c>
      <c r="R4714" t="str">
        <f t="shared" si="147"/>
        <v>[lPTyjLi4w3d]|25-34|Female|PMTCT_STAT_SUBNAT.N.Known.Pos.T_1|CY2023Q3</v>
      </c>
    </row>
    <row r="4715" spans="4:18" x14ac:dyDescent="0.2">
      <c r="D4715" t="s">
        <v>116</v>
      </c>
      <c r="E4715" t="s">
        <v>117</v>
      </c>
      <c r="F4715" t="s">
        <v>118</v>
      </c>
      <c r="G4715" t="s">
        <v>160</v>
      </c>
      <c r="H4715" t="s">
        <v>161</v>
      </c>
      <c r="I4715" t="s">
        <v>42</v>
      </c>
      <c r="J4715" t="s">
        <v>43</v>
      </c>
      <c r="K4715" t="s">
        <v>29</v>
      </c>
      <c r="L4715" t="s">
        <v>30</v>
      </c>
      <c r="M4715" t="s">
        <v>139</v>
      </c>
      <c r="N4715">
        <v>753</v>
      </c>
      <c r="O4715" s="14">
        <v>0.29788470547646301</v>
      </c>
      <c r="P4715" s="14">
        <v>0.206259709550068</v>
      </c>
      <c r="Q4715" t="str">
        <f t="shared" si="146"/>
        <v>35-49</v>
      </c>
      <c r="R4715" t="str">
        <f t="shared" si="147"/>
        <v>[lPTyjLi4w3d]|35-49|Female|PMTCT_STAT_SUBNAT.N.Known.Pos.T_1|CY2023Q3</v>
      </c>
    </row>
    <row r="4716" spans="4:18" x14ac:dyDescent="0.2">
      <c r="D4716" t="s">
        <v>119</v>
      </c>
      <c r="E4716" t="s">
        <v>120</v>
      </c>
      <c r="F4716" t="s">
        <v>121</v>
      </c>
      <c r="G4716" t="s">
        <v>160</v>
      </c>
      <c r="H4716" t="s">
        <v>161</v>
      </c>
      <c r="I4716" t="s">
        <v>37</v>
      </c>
      <c r="J4716" t="s">
        <v>38</v>
      </c>
      <c r="K4716" t="s">
        <v>29</v>
      </c>
      <c r="L4716" t="s">
        <v>30</v>
      </c>
      <c r="M4716" t="s">
        <v>139</v>
      </c>
      <c r="N4716">
        <v>946</v>
      </c>
      <c r="O4716" s="14">
        <v>0.229960891185328</v>
      </c>
      <c r="P4716" s="14">
        <v>0.43010397930629601</v>
      </c>
      <c r="Q4716" t="str">
        <f t="shared" si="146"/>
        <v>15-24</v>
      </c>
      <c r="R4716" t="str">
        <f t="shared" si="147"/>
        <v>[vA4NcHxfMBq]|15-24|Female|PMTCT_STAT_SUBNAT.N.Known.Pos.T_1|CY2023Q3</v>
      </c>
    </row>
    <row r="4717" spans="4:18" x14ac:dyDescent="0.2">
      <c r="D4717" t="s">
        <v>119</v>
      </c>
      <c r="E4717" t="s">
        <v>120</v>
      </c>
      <c r="F4717" t="s">
        <v>121</v>
      </c>
      <c r="G4717" t="s">
        <v>160</v>
      </c>
      <c r="H4717" t="s">
        <v>161</v>
      </c>
      <c r="I4717" t="s">
        <v>40</v>
      </c>
      <c r="J4717" t="s">
        <v>41</v>
      </c>
      <c r="K4717" t="s">
        <v>29</v>
      </c>
      <c r="L4717" t="s">
        <v>30</v>
      </c>
      <c r="M4717" t="s">
        <v>139</v>
      </c>
      <c r="N4717">
        <v>758</v>
      </c>
      <c r="O4717" s="14">
        <v>0.5095681224484</v>
      </c>
      <c r="P4717" s="14">
        <v>0.43010397930629601</v>
      </c>
      <c r="Q4717" t="str">
        <f t="shared" si="146"/>
        <v>25-34</v>
      </c>
      <c r="R4717" t="str">
        <f t="shared" si="147"/>
        <v>[vA4NcHxfMBq]|25-34|Female|PMTCT_STAT_SUBNAT.N.Known.Pos.T_1|CY2023Q3</v>
      </c>
    </row>
    <row r="4718" spans="4:18" x14ac:dyDescent="0.2">
      <c r="D4718" t="s">
        <v>119</v>
      </c>
      <c r="E4718" t="s">
        <v>120</v>
      </c>
      <c r="F4718" t="s">
        <v>121</v>
      </c>
      <c r="G4718" t="s">
        <v>160</v>
      </c>
      <c r="H4718" t="s">
        <v>161</v>
      </c>
      <c r="I4718" t="s">
        <v>42</v>
      </c>
      <c r="J4718" t="s">
        <v>43</v>
      </c>
      <c r="K4718" t="s">
        <v>29</v>
      </c>
      <c r="L4718" t="s">
        <v>30</v>
      </c>
      <c r="M4718" t="s">
        <v>139</v>
      </c>
      <c r="N4718">
        <v>1122</v>
      </c>
      <c r="O4718" s="14">
        <v>0.41819460294209398</v>
      </c>
      <c r="P4718" s="14">
        <v>0.43010397930629601</v>
      </c>
      <c r="Q4718" t="str">
        <f t="shared" si="146"/>
        <v>35-49</v>
      </c>
      <c r="R4718" t="str">
        <f t="shared" si="147"/>
        <v>[vA4NcHxfMBq]|35-49|Female|PMTCT_STAT_SUBNAT.N.Known.Pos.T_1|CY2023Q3</v>
      </c>
    </row>
    <row r="4719" spans="4:18" x14ac:dyDescent="0.2">
      <c r="D4719" t="s">
        <v>122</v>
      </c>
      <c r="E4719" t="s">
        <v>123</v>
      </c>
      <c r="F4719" t="s">
        <v>124</v>
      </c>
      <c r="G4719" t="s">
        <v>160</v>
      </c>
      <c r="H4719" t="s">
        <v>161</v>
      </c>
      <c r="I4719" t="s">
        <v>37</v>
      </c>
      <c r="J4719" t="s">
        <v>38</v>
      </c>
      <c r="K4719" t="s">
        <v>29</v>
      </c>
      <c r="L4719" t="s">
        <v>30</v>
      </c>
      <c r="M4719" t="s">
        <v>139</v>
      </c>
      <c r="N4719">
        <v>1258</v>
      </c>
      <c r="O4719" s="14">
        <v>0.34451822168193802</v>
      </c>
      <c r="P4719" s="14">
        <v>0.41950060334056599</v>
      </c>
      <c r="Q4719" t="str">
        <f t="shared" si="146"/>
        <v>15-24</v>
      </c>
      <c r="R4719" t="str">
        <f t="shared" si="147"/>
        <v>[E7zpfyBt7Tw]|15-24|Female|PMTCT_STAT_SUBNAT.N.Known.Pos.T_1|CY2023Q3</v>
      </c>
    </row>
    <row r="4720" spans="4:18" x14ac:dyDescent="0.2">
      <c r="D4720" t="s">
        <v>122</v>
      </c>
      <c r="E4720" t="s">
        <v>123</v>
      </c>
      <c r="F4720" t="s">
        <v>124</v>
      </c>
      <c r="G4720" t="s">
        <v>160</v>
      </c>
      <c r="H4720" t="s">
        <v>161</v>
      </c>
      <c r="I4720" t="s">
        <v>40</v>
      </c>
      <c r="J4720" t="s">
        <v>41</v>
      </c>
      <c r="K4720" t="s">
        <v>29</v>
      </c>
      <c r="L4720" t="s">
        <v>30</v>
      </c>
      <c r="M4720" t="s">
        <v>139</v>
      </c>
      <c r="N4720">
        <v>1430</v>
      </c>
      <c r="O4720" s="14">
        <v>0.69634232437238097</v>
      </c>
      <c r="P4720" s="14">
        <v>0.41950060334056599</v>
      </c>
      <c r="Q4720" t="str">
        <f t="shared" si="146"/>
        <v>25-34</v>
      </c>
      <c r="R4720" t="str">
        <f t="shared" si="147"/>
        <v>[E7zpfyBt7Tw]|25-34|Female|PMTCT_STAT_SUBNAT.N.Known.Pos.T_1|CY2023Q3</v>
      </c>
    </row>
    <row r="4721" spans="4:18" x14ac:dyDescent="0.2">
      <c r="D4721" t="s">
        <v>122</v>
      </c>
      <c r="E4721" t="s">
        <v>123</v>
      </c>
      <c r="F4721" t="s">
        <v>124</v>
      </c>
      <c r="G4721" t="s">
        <v>160</v>
      </c>
      <c r="H4721" t="s">
        <v>161</v>
      </c>
      <c r="I4721" t="s">
        <v>42</v>
      </c>
      <c r="J4721" t="s">
        <v>43</v>
      </c>
      <c r="K4721" t="s">
        <v>29</v>
      </c>
      <c r="L4721" t="s">
        <v>30</v>
      </c>
      <c r="M4721" t="s">
        <v>139</v>
      </c>
      <c r="N4721">
        <v>759</v>
      </c>
      <c r="O4721" s="14">
        <v>0.14416563929989901</v>
      </c>
      <c r="P4721" s="14">
        <v>0.41950060334056599</v>
      </c>
      <c r="Q4721" t="str">
        <f t="shared" si="146"/>
        <v>35-49</v>
      </c>
      <c r="R4721" t="str">
        <f t="shared" si="147"/>
        <v>[E7zpfyBt7Tw]|35-49|Female|PMTCT_STAT_SUBNAT.N.Known.Pos.T_1|CY2023Q3</v>
      </c>
    </row>
    <row r="4722" spans="4:18" x14ac:dyDescent="0.2">
      <c r="D4722" t="s">
        <v>125</v>
      </c>
      <c r="E4722" t="s">
        <v>126</v>
      </c>
      <c r="F4722" t="s">
        <v>127</v>
      </c>
      <c r="G4722" t="s">
        <v>160</v>
      </c>
      <c r="H4722" t="s">
        <v>161</v>
      </c>
      <c r="I4722" t="s">
        <v>37</v>
      </c>
      <c r="J4722" t="s">
        <v>38</v>
      </c>
      <c r="K4722" t="s">
        <v>29</v>
      </c>
      <c r="L4722" t="s">
        <v>30</v>
      </c>
      <c r="M4722" t="s">
        <v>139</v>
      </c>
      <c r="N4722">
        <v>826</v>
      </c>
      <c r="O4722" s="14">
        <v>0.12208329141139999</v>
      </c>
      <c r="P4722" s="14">
        <v>0.25270639033988102</v>
      </c>
      <c r="Q4722" t="str">
        <f t="shared" si="146"/>
        <v>15-24</v>
      </c>
      <c r="R4722" t="str">
        <f t="shared" si="147"/>
        <v>[ZCjuwgaMB9u]|15-24|Female|PMTCT_STAT_SUBNAT.N.Known.Pos.T_1|CY2023Q3</v>
      </c>
    </row>
    <row r="4723" spans="4:18" x14ac:dyDescent="0.2">
      <c r="D4723" t="s">
        <v>125</v>
      </c>
      <c r="E4723" t="s">
        <v>126</v>
      </c>
      <c r="F4723" t="s">
        <v>127</v>
      </c>
      <c r="G4723" t="s">
        <v>160</v>
      </c>
      <c r="H4723" t="s">
        <v>161</v>
      </c>
      <c r="I4723" t="s">
        <v>40</v>
      </c>
      <c r="J4723" t="s">
        <v>41</v>
      </c>
      <c r="K4723" t="s">
        <v>29</v>
      </c>
      <c r="L4723" t="s">
        <v>30</v>
      </c>
      <c r="M4723" t="s">
        <v>139</v>
      </c>
      <c r="N4723">
        <v>1398</v>
      </c>
      <c r="O4723" s="14">
        <v>0.25228201085701601</v>
      </c>
      <c r="P4723" s="14">
        <v>0.25270639033988102</v>
      </c>
      <c r="Q4723" t="str">
        <f t="shared" si="146"/>
        <v>25-34</v>
      </c>
      <c r="R4723" t="str">
        <f t="shared" si="147"/>
        <v>[ZCjuwgaMB9u]|25-34|Female|PMTCT_STAT_SUBNAT.N.Known.Pos.T_1|CY2023Q3</v>
      </c>
    </row>
    <row r="4724" spans="4:18" x14ac:dyDescent="0.2">
      <c r="D4724" t="s">
        <v>125</v>
      </c>
      <c r="E4724" t="s">
        <v>126</v>
      </c>
      <c r="F4724" t="s">
        <v>127</v>
      </c>
      <c r="G4724" t="s">
        <v>160</v>
      </c>
      <c r="H4724" t="s">
        <v>161</v>
      </c>
      <c r="I4724" t="s">
        <v>42</v>
      </c>
      <c r="J4724" t="s">
        <v>43</v>
      </c>
      <c r="K4724" t="s">
        <v>29</v>
      </c>
      <c r="L4724" t="s">
        <v>30</v>
      </c>
      <c r="M4724" t="s">
        <v>139</v>
      </c>
      <c r="N4724">
        <v>825</v>
      </c>
      <c r="O4724" s="14">
        <v>0.472297311294824</v>
      </c>
      <c r="P4724" s="14">
        <v>0.25270639033988102</v>
      </c>
      <c r="Q4724" t="str">
        <f t="shared" si="146"/>
        <v>35-49</v>
      </c>
      <c r="R4724" t="str">
        <f t="shared" si="147"/>
        <v>[ZCjuwgaMB9u]|35-49|Female|PMTCT_STAT_SUBNAT.N.Known.Pos.T_1|CY2023Q3</v>
      </c>
    </row>
    <row r="4725" spans="4:18" x14ac:dyDescent="0.2">
      <c r="D4725" t="s">
        <v>128</v>
      </c>
      <c r="E4725" t="s">
        <v>129</v>
      </c>
      <c r="F4725" t="s">
        <v>130</v>
      </c>
      <c r="G4725" t="s">
        <v>160</v>
      </c>
      <c r="H4725" t="s">
        <v>161</v>
      </c>
      <c r="I4725" t="s">
        <v>37</v>
      </c>
      <c r="J4725" t="s">
        <v>38</v>
      </c>
      <c r="K4725" t="s">
        <v>29</v>
      </c>
      <c r="L4725" t="s">
        <v>30</v>
      </c>
      <c r="M4725" t="s">
        <v>139</v>
      </c>
      <c r="N4725">
        <v>703</v>
      </c>
      <c r="O4725" s="14">
        <v>0.34812443493865403</v>
      </c>
      <c r="P4725" s="14">
        <v>0.55690808477811504</v>
      </c>
      <c r="Q4725" t="str">
        <f t="shared" si="146"/>
        <v>15-24</v>
      </c>
      <c r="R4725" t="str">
        <f t="shared" si="147"/>
        <v>[YCKiBAp8QAg]|15-24|Female|PMTCT_STAT_SUBNAT.N.Known.Pos.T_1|CY2023Q3</v>
      </c>
    </row>
    <row r="4726" spans="4:18" x14ac:dyDescent="0.2">
      <c r="D4726" t="s">
        <v>128</v>
      </c>
      <c r="E4726" t="s">
        <v>129</v>
      </c>
      <c r="F4726" t="s">
        <v>130</v>
      </c>
      <c r="G4726" t="s">
        <v>160</v>
      </c>
      <c r="H4726" t="s">
        <v>161</v>
      </c>
      <c r="I4726" t="s">
        <v>40</v>
      </c>
      <c r="J4726" t="s">
        <v>41</v>
      </c>
      <c r="K4726" t="s">
        <v>29</v>
      </c>
      <c r="L4726" t="s">
        <v>30</v>
      </c>
      <c r="M4726" t="s">
        <v>139</v>
      </c>
      <c r="N4726">
        <v>1978</v>
      </c>
      <c r="O4726" s="14">
        <v>0.27815801231190601</v>
      </c>
      <c r="P4726" s="14">
        <v>0.55690808477811504</v>
      </c>
      <c r="Q4726" t="str">
        <f t="shared" si="146"/>
        <v>25-34</v>
      </c>
      <c r="R4726" t="str">
        <f t="shared" si="147"/>
        <v>[YCKiBAp8QAg]|25-34|Female|PMTCT_STAT_SUBNAT.N.Known.Pos.T_1|CY2023Q3</v>
      </c>
    </row>
    <row r="4727" spans="4:18" x14ac:dyDescent="0.2">
      <c r="D4727" t="s">
        <v>128</v>
      </c>
      <c r="E4727" t="s">
        <v>129</v>
      </c>
      <c r="F4727" t="s">
        <v>130</v>
      </c>
      <c r="G4727" t="s">
        <v>160</v>
      </c>
      <c r="H4727" t="s">
        <v>161</v>
      </c>
      <c r="I4727" t="s">
        <v>42</v>
      </c>
      <c r="J4727" t="s">
        <v>43</v>
      </c>
      <c r="K4727" t="s">
        <v>29</v>
      </c>
      <c r="L4727" t="s">
        <v>30</v>
      </c>
      <c r="M4727" t="s">
        <v>139</v>
      </c>
      <c r="N4727">
        <v>1324</v>
      </c>
      <c r="O4727" s="14">
        <v>0.35720542678609501</v>
      </c>
      <c r="P4727" s="14">
        <v>0.55690808477811504</v>
      </c>
      <c r="Q4727" t="str">
        <f t="shared" si="146"/>
        <v>35-49</v>
      </c>
      <c r="R4727" t="str">
        <f t="shared" si="147"/>
        <v>[YCKiBAp8QAg]|35-49|Female|PMTCT_STAT_SUBNAT.N.Known.Pos.T_1|CY2023Q3</v>
      </c>
    </row>
    <row r="4728" spans="4:18" x14ac:dyDescent="0.2">
      <c r="D4728" t="s">
        <v>131</v>
      </c>
      <c r="E4728" t="s">
        <v>132</v>
      </c>
      <c r="F4728" t="s">
        <v>133</v>
      </c>
      <c r="G4728" t="s">
        <v>160</v>
      </c>
      <c r="H4728" t="s">
        <v>161</v>
      </c>
      <c r="I4728" t="s">
        <v>37</v>
      </c>
      <c r="J4728" t="s">
        <v>38</v>
      </c>
      <c r="K4728" t="s">
        <v>29</v>
      </c>
      <c r="L4728" t="s">
        <v>30</v>
      </c>
      <c r="M4728" t="s">
        <v>139</v>
      </c>
      <c r="N4728">
        <v>1485</v>
      </c>
      <c r="O4728" s="14">
        <v>0.13231979729607701</v>
      </c>
      <c r="P4728" s="14">
        <v>0.16286319401115201</v>
      </c>
      <c r="Q4728" t="str">
        <f t="shared" si="146"/>
        <v>15-24</v>
      </c>
      <c r="R4728" t="str">
        <f t="shared" si="147"/>
        <v>[JQKLKuVuY61]|15-24|Female|PMTCT_STAT_SUBNAT.N.Known.Pos.T_1|CY2023Q3</v>
      </c>
    </row>
    <row r="4729" spans="4:18" x14ac:dyDescent="0.2">
      <c r="D4729" t="s">
        <v>131</v>
      </c>
      <c r="E4729" t="s">
        <v>132</v>
      </c>
      <c r="F4729" t="s">
        <v>133</v>
      </c>
      <c r="G4729" t="s">
        <v>160</v>
      </c>
      <c r="H4729" t="s">
        <v>161</v>
      </c>
      <c r="I4729" t="s">
        <v>40</v>
      </c>
      <c r="J4729" t="s">
        <v>41</v>
      </c>
      <c r="K4729" t="s">
        <v>29</v>
      </c>
      <c r="L4729" t="s">
        <v>30</v>
      </c>
      <c r="M4729" t="s">
        <v>139</v>
      </c>
      <c r="N4729">
        <v>587</v>
      </c>
      <c r="O4729" s="14">
        <v>0.44747378537431398</v>
      </c>
      <c r="P4729" s="14">
        <v>0.16286319401115201</v>
      </c>
      <c r="Q4729" t="str">
        <f t="shared" si="146"/>
        <v>25-34</v>
      </c>
      <c r="R4729" t="str">
        <f t="shared" si="147"/>
        <v>[JQKLKuVuY61]|25-34|Female|PMTCT_STAT_SUBNAT.N.Known.Pos.T_1|CY2023Q3</v>
      </c>
    </row>
    <row r="4730" spans="4:18" x14ac:dyDescent="0.2">
      <c r="D4730" t="s">
        <v>131</v>
      </c>
      <c r="E4730" t="s">
        <v>132</v>
      </c>
      <c r="F4730" t="s">
        <v>133</v>
      </c>
      <c r="G4730" t="s">
        <v>160</v>
      </c>
      <c r="H4730" t="s">
        <v>161</v>
      </c>
      <c r="I4730" t="s">
        <v>42</v>
      </c>
      <c r="J4730" t="s">
        <v>43</v>
      </c>
      <c r="K4730" t="s">
        <v>29</v>
      </c>
      <c r="L4730" t="s">
        <v>30</v>
      </c>
      <c r="M4730" t="s">
        <v>139</v>
      </c>
      <c r="N4730">
        <v>1787</v>
      </c>
      <c r="O4730" s="14">
        <v>0.244349115993828</v>
      </c>
      <c r="P4730" s="14">
        <v>0.16286319401115201</v>
      </c>
      <c r="Q4730" t="str">
        <f t="shared" si="146"/>
        <v>35-49</v>
      </c>
      <c r="R4730" t="str">
        <f t="shared" si="147"/>
        <v>[JQKLKuVuY61]|35-49|Female|PMTCT_STAT_SUBNAT.N.Known.Pos.T_1|CY2023Q3</v>
      </c>
    </row>
    <row r="4731" spans="4:18" x14ac:dyDescent="0.2">
      <c r="D4731" t="s">
        <v>134</v>
      </c>
      <c r="E4731" t="s">
        <v>135</v>
      </c>
      <c r="F4731" t="s">
        <v>136</v>
      </c>
      <c r="G4731" t="s">
        <v>160</v>
      </c>
      <c r="H4731" t="s">
        <v>161</v>
      </c>
      <c r="I4731" t="s">
        <v>37</v>
      </c>
      <c r="J4731" t="s">
        <v>38</v>
      </c>
      <c r="K4731" t="s">
        <v>29</v>
      </c>
      <c r="L4731" t="s">
        <v>30</v>
      </c>
      <c r="M4731" t="s">
        <v>139</v>
      </c>
      <c r="N4731">
        <v>1521</v>
      </c>
      <c r="O4731" s="14">
        <v>3.8186493096873199E-2</v>
      </c>
      <c r="P4731" s="14">
        <v>0.95530052832327805</v>
      </c>
      <c r="Q4731" t="str">
        <f t="shared" si="146"/>
        <v>15-24</v>
      </c>
      <c r="R4731" t="str">
        <f t="shared" si="147"/>
        <v>[fiRkU6gEjLz]|15-24|Female|PMTCT_STAT_SUBNAT.N.Known.Pos.T_1|CY2023Q3</v>
      </c>
    </row>
    <row r="4732" spans="4:18" x14ac:dyDescent="0.2">
      <c r="D4732" t="s">
        <v>134</v>
      </c>
      <c r="E4732" t="s">
        <v>135</v>
      </c>
      <c r="F4732" t="s">
        <v>136</v>
      </c>
      <c r="G4732" t="s">
        <v>160</v>
      </c>
      <c r="H4732" t="s">
        <v>161</v>
      </c>
      <c r="I4732" t="s">
        <v>40</v>
      </c>
      <c r="J4732" t="s">
        <v>41</v>
      </c>
      <c r="K4732" t="s">
        <v>29</v>
      </c>
      <c r="L4732" t="s">
        <v>30</v>
      </c>
      <c r="M4732" t="s">
        <v>139</v>
      </c>
      <c r="N4732">
        <v>971</v>
      </c>
      <c r="O4732" s="14">
        <v>0.89137024711817503</v>
      </c>
      <c r="P4732" s="14">
        <v>0.95530052832327805</v>
      </c>
      <c r="Q4732" t="str">
        <f t="shared" si="146"/>
        <v>25-34</v>
      </c>
      <c r="R4732" t="str">
        <f t="shared" si="147"/>
        <v>[fiRkU6gEjLz]|25-34|Female|PMTCT_STAT_SUBNAT.N.Known.Pos.T_1|CY2023Q3</v>
      </c>
    </row>
    <row r="4733" spans="4:18" x14ac:dyDescent="0.2">
      <c r="D4733" t="s">
        <v>134</v>
      </c>
      <c r="E4733" t="s">
        <v>135</v>
      </c>
      <c r="F4733" t="s">
        <v>136</v>
      </c>
      <c r="G4733" t="s">
        <v>160</v>
      </c>
      <c r="H4733" t="s">
        <v>161</v>
      </c>
      <c r="I4733" t="s">
        <v>42</v>
      </c>
      <c r="J4733" t="s">
        <v>43</v>
      </c>
      <c r="K4733" t="s">
        <v>29</v>
      </c>
      <c r="L4733" t="s">
        <v>30</v>
      </c>
      <c r="M4733" t="s">
        <v>139</v>
      </c>
      <c r="N4733">
        <v>1110</v>
      </c>
      <c r="O4733" s="14">
        <v>0.98882382269948699</v>
      </c>
      <c r="P4733" s="14">
        <v>0.95530052832327805</v>
      </c>
      <c r="Q4733" t="str">
        <f t="shared" si="146"/>
        <v>35-49</v>
      </c>
      <c r="R4733" t="str">
        <f t="shared" si="147"/>
        <v>[fiRkU6gEjLz]|35-49|Female|PMTCT_STAT_SUBNAT.N.Known.Pos.T_1|CY2023Q3</v>
      </c>
    </row>
    <row r="4734" spans="4:18" x14ac:dyDescent="0.2">
      <c r="D4734" t="s">
        <v>22</v>
      </c>
      <c r="E4734" t="s">
        <v>23</v>
      </c>
      <c r="F4734" t="s">
        <v>24</v>
      </c>
      <c r="G4734" t="s">
        <v>162</v>
      </c>
      <c r="H4734" t="s">
        <v>161</v>
      </c>
      <c r="I4734" t="s">
        <v>37</v>
      </c>
      <c r="J4734" t="s">
        <v>38</v>
      </c>
      <c r="K4734" t="s">
        <v>29</v>
      </c>
      <c r="L4734" t="s">
        <v>30</v>
      </c>
      <c r="M4734" t="s">
        <v>139</v>
      </c>
      <c r="N4734">
        <v>1349</v>
      </c>
      <c r="O4734" s="14">
        <v>0.79951388784684196</v>
      </c>
      <c r="P4734" s="14">
        <v>0.40435861097648701</v>
      </c>
      <c r="Q4734" t="str">
        <f t="shared" si="146"/>
        <v>15-24</v>
      </c>
      <c r="R4734" t="str">
        <f t="shared" si="147"/>
        <v>[GkIwZrXy1h2]|15-24|Female|PMTCT_STAT_SUBNAT.N.New.Pos.T_1|CY2023Q3</v>
      </c>
    </row>
    <row r="4735" spans="4:18" x14ac:dyDescent="0.2">
      <c r="D4735" t="s">
        <v>22</v>
      </c>
      <c r="E4735" t="s">
        <v>23</v>
      </c>
      <c r="F4735" t="s">
        <v>24</v>
      </c>
      <c r="G4735" t="s">
        <v>162</v>
      </c>
      <c r="H4735" t="s">
        <v>161</v>
      </c>
      <c r="I4735" t="s">
        <v>40</v>
      </c>
      <c r="J4735" t="s">
        <v>41</v>
      </c>
      <c r="K4735" t="s">
        <v>29</v>
      </c>
      <c r="L4735" t="s">
        <v>30</v>
      </c>
      <c r="M4735" t="s">
        <v>139</v>
      </c>
      <c r="N4735">
        <v>905</v>
      </c>
      <c r="O4735" s="14">
        <v>0.28923452040180597</v>
      </c>
      <c r="P4735" s="14">
        <v>0.40435861097648701</v>
      </c>
      <c r="Q4735" t="str">
        <f t="shared" si="146"/>
        <v>25-34</v>
      </c>
      <c r="R4735" t="str">
        <f t="shared" si="147"/>
        <v>[GkIwZrXy1h2]|25-34|Female|PMTCT_STAT_SUBNAT.N.New.Pos.T_1|CY2023Q3</v>
      </c>
    </row>
    <row r="4736" spans="4:18" x14ac:dyDescent="0.2">
      <c r="D4736" t="s">
        <v>22</v>
      </c>
      <c r="E4736" t="s">
        <v>23</v>
      </c>
      <c r="F4736" t="s">
        <v>24</v>
      </c>
      <c r="G4736" t="s">
        <v>162</v>
      </c>
      <c r="H4736" t="s">
        <v>161</v>
      </c>
      <c r="I4736" t="s">
        <v>42</v>
      </c>
      <c r="J4736" t="s">
        <v>43</v>
      </c>
      <c r="K4736" t="s">
        <v>29</v>
      </c>
      <c r="L4736" t="s">
        <v>30</v>
      </c>
      <c r="M4736" t="s">
        <v>139</v>
      </c>
      <c r="N4736">
        <v>1423</v>
      </c>
      <c r="O4736" s="14">
        <v>0.25508670741692202</v>
      </c>
      <c r="P4736" s="14">
        <v>0.40435861097648701</v>
      </c>
      <c r="Q4736" t="str">
        <f t="shared" si="146"/>
        <v>35-49</v>
      </c>
      <c r="R4736" t="str">
        <f t="shared" si="147"/>
        <v>[GkIwZrXy1h2]|35-49|Female|PMTCT_STAT_SUBNAT.N.New.Pos.T_1|CY2023Q3</v>
      </c>
    </row>
    <row r="4737" spans="4:18" x14ac:dyDescent="0.2">
      <c r="D4737" t="s">
        <v>52</v>
      </c>
      <c r="E4737" t="s">
        <v>53</v>
      </c>
      <c r="F4737" t="s">
        <v>54</v>
      </c>
      <c r="G4737" t="s">
        <v>162</v>
      </c>
      <c r="H4737" t="s">
        <v>161</v>
      </c>
      <c r="I4737" t="s">
        <v>37</v>
      </c>
      <c r="J4737" t="s">
        <v>38</v>
      </c>
      <c r="K4737" t="s">
        <v>29</v>
      </c>
      <c r="L4737" t="s">
        <v>30</v>
      </c>
      <c r="M4737" t="s">
        <v>139</v>
      </c>
      <c r="N4737">
        <v>903</v>
      </c>
      <c r="O4737" s="14">
        <v>0.120483552571386</v>
      </c>
      <c r="P4737" s="14">
        <v>0.61639246996492103</v>
      </c>
      <c r="Q4737" t="str">
        <f t="shared" si="146"/>
        <v>15-24</v>
      </c>
      <c r="R4737" t="str">
        <f t="shared" si="147"/>
        <v>[zphK9WV8JB4]|15-24|Female|PMTCT_STAT_SUBNAT.N.New.Pos.T_1|CY2023Q3</v>
      </c>
    </row>
    <row r="4738" spans="4:18" x14ac:dyDescent="0.2">
      <c r="D4738" t="s">
        <v>52</v>
      </c>
      <c r="E4738" t="s">
        <v>53</v>
      </c>
      <c r="F4738" t="s">
        <v>54</v>
      </c>
      <c r="G4738" t="s">
        <v>162</v>
      </c>
      <c r="H4738" t="s">
        <v>161</v>
      </c>
      <c r="I4738" t="s">
        <v>40</v>
      </c>
      <c r="J4738" t="s">
        <v>41</v>
      </c>
      <c r="K4738" t="s">
        <v>29</v>
      </c>
      <c r="L4738" t="s">
        <v>30</v>
      </c>
      <c r="M4738" t="s">
        <v>139</v>
      </c>
      <c r="N4738">
        <v>1662</v>
      </c>
      <c r="O4738" s="14">
        <v>0.44086642586626101</v>
      </c>
      <c r="P4738" s="14">
        <v>0.61639246996492103</v>
      </c>
      <c r="Q4738" t="str">
        <f t="shared" ref="Q4738:Q4801" si="148">SUBSTITUTE(SUBSTITUTE($I4738,CHAR(61),""),CHAR(34),"")</f>
        <v>25-34</v>
      </c>
      <c r="R4738" t="str">
        <f t="shared" ref="R4738:R4801" si="149">IF($D4738&lt;&gt;"","["&amp;$E4738&amp;"]"&amp;"|"&amp;$Q4738&amp;"|"&amp;$K4738&amp;"|"&amp;$G4738&amp;"|"&amp;IF($G4738="TX_CURR_SUBNAT.R","CY2022Q4",$M4738),"")</f>
        <v>[zphK9WV8JB4]|25-34|Female|PMTCT_STAT_SUBNAT.N.New.Pos.T_1|CY2023Q3</v>
      </c>
    </row>
    <row r="4739" spans="4:18" x14ac:dyDescent="0.2">
      <c r="D4739" t="s">
        <v>52</v>
      </c>
      <c r="E4739" t="s">
        <v>53</v>
      </c>
      <c r="F4739" t="s">
        <v>54</v>
      </c>
      <c r="G4739" t="s">
        <v>162</v>
      </c>
      <c r="H4739" t="s">
        <v>161</v>
      </c>
      <c r="I4739" t="s">
        <v>42</v>
      </c>
      <c r="J4739" t="s">
        <v>43</v>
      </c>
      <c r="K4739" t="s">
        <v>29</v>
      </c>
      <c r="L4739" t="s">
        <v>30</v>
      </c>
      <c r="M4739" t="s">
        <v>139</v>
      </c>
      <c r="N4739">
        <v>1513</v>
      </c>
      <c r="O4739" s="14">
        <v>0.179337189765647</v>
      </c>
      <c r="P4739" s="14">
        <v>0.61639246996492103</v>
      </c>
      <c r="Q4739" t="str">
        <f t="shared" si="148"/>
        <v>35-49</v>
      </c>
      <c r="R4739" t="str">
        <f t="shared" si="149"/>
        <v>[zphK9WV8JB4]|35-49|Female|PMTCT_STAT_SUBNAT.N.New.Pos.T_1|CY2023Q3</v>
      </c>
    </row>
    <row r="4740" spans="4:18" x14ac:dyDescent="0.2">
      <c r="D4740" t="s">
        <v>59</v>
      </c>
      <c r="E4740" t="s">
        <v>60</v>
      </c>
      <c r="F4740" t="s">
        <v>61</v>
      </c>
      <c r="G4740" t="s">
        <v>162</v>
      </c>
      <c r="H4740" t="s">
        <v>161</v>
      </c>
      <c r="I4740" t="s">
        <v>37</v>
      </c>
      <c r="J4740" t="s">
        <v>38</v>
      </c>
      <c r="K4740" t="s">
        <v>29</v>
      </c>
      <c r="L4740" t="s">
        <v>30</v>
      </c>
      <c r="M4740" t="s">
        <v>139</v>
      </c>
      <c r="N4740">
        <v>1049</v>
      </c>
      <c r="O4740" s="14">
        <v>0.49472410418093199</v>
      </c>
      <c r="P4740" s="14">
        <v>2.6825056178495298E-2</v>
      </c>
      <c r="Q4740" t="str">
        <f t="shared" si="148"/>
        <v>15-24</v>
      </c>
      <c r="R4740" t="str">
        <f t="shared" si="149"/>
        <v>[msW2zpIN7up]|15-24|Female|PMTCT_STAT_SUBNAT.N.New.Pos.T_1|CY2023Q3</v>
      </c>
    </row>
    <row r="4741" spans="4:18" x14ac:dyDescent="0.2">
      <c r="D4741" t="s">
        <v>59</v>
      </c>
      <c r="E4741" t="s">
        <v>60</v>
      </c>
      <c r="F4741" t="s">
        <v>61</v>
      </c>
      <c r="G4741" t="s">
        <v>162</v>
      </c>
      <c r="H4741" t="s">
        <v>161</v>
      </c>
      <c r="I4741" t="s">
        <v>40</v>
      </c>
      <c r="J4741" t="s">
        <v>41</v>
      </c>
      <c r="K4741" t="s">
        <v>29</v>
      </c>
      <c r="L4741" t="s">
        <v>30</v>
      </c>
      <c r="M4741" t="s">
        <v>139</v>
      </c>
      <c r="N4741">
        <v>1658</v>
      </c>
      <c r="O4741" s="14">
        <v>0.104061520891264</v>
      </c>
      <c r="P4741" s="14">
        <v>2.6825056178495298E-2</v>
      </c>
      <c r="Q4741" t="str">
        <f t="shared" si="148"/>
        <v>25-34</v>
      </c>
      <c r="R4741" t="str">
        <f t="shared" si="149"/>
        <v>[msW2zpIN7up]|25-34|Female|PMTCT_STAT_SUBNAT.N.New.Pos.T_1|CY2023Q3</v>
      </c>
    </row>
    <row r="4742" spans="4:18" x14ac:dyDescent="0.2">
      <c r="D4742" t="s">
        <v>59</v>
      </c>
      <c r="E4742" t="s">
        <v>60</v>
      </c>
      <c r="F4742" t="s">
        <v>61</v>
      </c>
      <c r="G4742" t="s">
        <v>162</v>
      </c>
      <c r="H4742" t="s">
        <v>161</v>
      </c>
      <c r="I4742" t="s">
        <v>42</v>
      </c>
      <c r="J4742" t="s">
        <v>43</v>
      </c>
      <c r="K4742" t="s">
        <v>29</v>
      </c>
      <c r="L4742" t="s">
        <v>30</v>
      </c>
      <c r="M4742" t="s">
        <v>139</v>
      </c>
      <c r="N4742">
        <v>1157</v>
      </c>
      <c r="O4742" s="14">
        <v>0.14480860764160799</v>
      </c>
      <c r="P4742" s="14">
        <v>2.6825056178495298E-2</v>
      </c>
      <c r="Q4742" t="str">
        <f t="shared" si="148"/>
        <v>35-49</v>
      </c>
      <c r="R4742" t="str">
        <f t="shared" si="149"/>
        <v>[msW2zpIN7up]|35-49|Female|PMTCT_STAT_SUBNAT.N.New.Pos.T_1|CY2023Q3</v>
      </c>
    </row>
    <row r="4743" spans="4:18" x14ac:dyDescent="0.2">
      <c r="D4743" t="s">
        <v>62</v>
      </c>
      <c r="E4743" t="s">
        <v>63</v>
      </c>
      <c r="F4743" t="s">
        <v>64</v>
      </c>
      <c r="G4743" t="s">
        <v>162</v>
      </c>
      <c r="H4743" t="s">
        <v>161</v>
      </c>
      <c r="I4743" t="s">
        <v>37</v>
      </c>
      <c r="J4743" t="s">
        <v>38</v>
      </c>
      <c r="K4743" t="s">
        <v>29</v>
      </c>
      <c r="L4743" t="s">
        <v>30</v>
      </c>
      <c r="M4743" t="s">
        <v>139</v>
      </c>
      <c r="N4743">
        <v>673</v>
      </c>
      <c r="O4743" s="14">
        <v>0.92543857055716205</v>
      </c>
      <c r="P4743" s="14">
        <v>0.790102193132043</v>
      </c>
      <c r="Q4743" t="str">
        <f t="shared" si="148"/>
        <v>15-24</v>
      </c>
      <c r="R4743" t="str">
        <f t="shared" si="149"/>
        <v>[kxuuIFpOXyO]|15-24|Female|PMTCT_STAT_SUBNAT.N.New.Pos.T_1|CY2023Q3</v>
      </c>
    </row>
    <row r="4744" spans="4:18" x14ac:dyDescent="0.2">
      <c r="D4744" t="s">
        <v>62</v>
      </c>
      <c r="E4744" t="s">
        <v>63</v>
      </c>
      <c r="F4744" t="s">
        <v>64</v>
      </c>
      <c r="G4744" t="s">
        <v>162</v>
      </c>
      <c r="H4744" t="s">
        <v>161</v>
      </c>
      <c r="I4744" t="s">
        <v>40</v>
      </c>
      <c r="J4744" t="s">
        <v>41</v>
      </c>
      <c r="K4744" t="s">
        <v>29</v>
      </c>
      <c r="L4744" t="s">
        <v>30</v>
      </c>
      <c r="M4744" t="s">
        <v>139</v>
      </c>
      <c r="N4744">
        <v>858</v>
      </c>
      <c r="O4744" s="14">
        <v>0.69093496981076896</v>
      </c>
      <c r="P4744" s="14">
        <v>0.790102193132043</v>
      </c>
      <c r="Q4744" t="str">
        <f t="shared" si="148"/>
        <v>25-34</v>
      </c>
      <c r="R4744" t="str">
        <f t="shared" si="149"/>
        <v>[kxuuIFpOXyO]|25-34|Female|PMTCT_STAT_SUBNAT.N.New.Pos.T_1|CY2023Q3</v>
      </c>
    </row>
    <row r="4745" spans="4:18" x14ac:dyDescent="0.2">
      <c r="D4745" t="s">
        <v>62</v>
      </c>
      <c r="E4745" t="s">
        <v>63</v>
      </c>
      <c r="F4745" t="s">
        <v>64</v>
      </c>
      <c r="G4745" t="s">
        <v>162</v>
      </c>
      <c r="H4745" t="s">
        <v>161</v>
      </c>
      <c r="I4745" t="s">
        <v>42</v>
      </c>
      <c r="J4745" t="s">
        <v>43</v>
      </c>
      <c r="K4745" t="s">
        <v>29</v>
      </c>
      <c r="L4745" t="s">
        <v>30</v>
      </c>
      <c r="M4745" t="s">
        <v>139</v>
      </c>
      <c r="N4745">
        <v>1032</v>
      </c>
      <c r="O4745" s="14">
        <v>1.4239022275432899E-2</v>
      </c>
      <c r="P4745" s="14">
        <v>0.790102193132043</v>
      </c>
      <c r="Q4745" t="str">
        <f t="shared" si="148"/>
        <v>35-49</v>
      </c>
      <c r="R4745" t="str">
        <f t="shared" si="149"/>
        <v>[kxuuIFpOXyO]|35-49|Female|PMTCT_STAT_SUBNAT.N.New.Pos.T_1|CY2023Q3</v>
      </c>
    </row>
    <row r="4746" spans="4:18" x14ac:dyDescent="0.2">
      <c r="D4746" t="s">
        <v>65</v>
      </c>
      <c r="E4746" t="s">
        <v>66</v>
      </c>
      <c r="F4746" t="s">
        <v>67</v>
      </c>
      <c r="G4746" t="s">
        <v>162</v>
      </c>
      <c r="H4746" t="s">
        <v>161</v>
      </c>
      <c r="I4746" t="s">
        <v>37</v>
      </c>
      <c r="J4746" t="s">
        <v>38</v>
      </c>
      <c r="K4746" t="s">
        <v>29</v>
      </c>
      <c r="L4746" t="s">
        <v>30</v>
      </c>
      <c r="M4746" t="s">
        <v>139</v>
      </c>
      <c r="N4746">
        <v>1767</v>
      </c>
      <c r="O4746" s="14">
        <v>0.48313742643222202</v>
      </c>
      <c r="P4746" s="14">
        <v>0.16460988437756899</v>
      </c>
      <c r="Q4746" t="str">
        <f t="shared" si="148"/>
        <v>15-24</v>
      </c>
      <c r="R4746" t="str">
        <f t="shared" si="149"/>
        <v>[ScR9iFKAasW]|15-24|Female|PMTCT_STAT_SUBNAT.N.New.Pos.T_1|CY2023Q3</v>
      </c>
    </row>
    <row r="4747" spans="4:18" x14ac:dyDescent="0.2">
      <c r="D4747" t="s">
        <v>65</v>
      </c>
      <c r="E4747" t="s">
        <v>66</v>
      </c>
      <c r="F4747" t="s">
        <v>67</v>
      </c>
      <c r="G4747" t="s">
        <v>162</v>
      </c>
      <c r="H4747" t="s">
        <v>161</v>
      </c>
      <c r="I4747" t="s">
        <v>40</v>
      </c>
      <c r="J4747" t="s">
        <v>41</v>
      </c>
      <c r="K4747" t="s">
        <v>29</v>
      </c>
      <c r="L4747" t="s">
        <v>30</v>
      </c>
      <c r="M4747" t="s">
        <v>139</v>
      </c>
      <c r="N4747">
        <v>1885</v>
      </c>
      <c r="O4747" s="14">
        <v>0.229574381606653</v>
      </c>
      <c r="P4747" s="14">
        <v>0.16460988437756899</v>
      </c>
      <c r="Q4747" t="str">
        <f t="shared" si="148"/>
        <v>25-34</v>
      </c>
      <c r="R4747" t="str">
        <f t="shared" si="149"/>
        <v>[ScR9iFKAasW]|25-34|Female|PMTCT_STAT_SUBNAT.N.New.Pos.T_1|CY2023Q3</v>
      </c>
    </row>
    <row r="4748" spans="4:18" x14ac:dyDescent="0.2">
      <c r="D4748" t="s">
        <v>65</v>
      </c>
      <c r="E4748" t="s">
        <v>66</v>
      </c>
      <c r="F4748" t="s">
        <v>67</v>
      </c>
      <c r="G4748" t="s">
        <v>162</v>
      </c>
      <c r="H4748" t="s">
        <v>161</v>
      </c>
      <c r="I4748" t="s">
        <v>42</v>
      </c>
      <c r="J4748" t="s">
        <v>43</v>
      </c>
      <c r="K4748" t="s">
        <v>29</v>
      </c>
      <c r="L4748" t="s">
        <v>30</v>
      </c>
      <c r="M4748" t="s">
        <v>139</v>
      </c>
      <c r="N4748">
        <v>1620</v>
      </c>
      <c r="O4748" s="14">
        <v>0.87450300459749997</v>
      </c>
      <c r="P4748" s="14">
        <v>0.16460988437756899</v>
      </c>
      <c r="Q4748" t="str">
        <f t="shared" si="148"/>
        <v>35-49</v>
      </c>
      <c r="R4748" t="str">
        <f t="shared" si="149"/>
        <v>[ScR9iFKAasW]|35-49|Female|PMTCT_STAT_SUBNAT.N.New.Pos.T_1|CY2023Q3</v>
      </c>
    </row>
    <row r="4749" spans="4:18" x14ac:dyDescent="0.2">
      <c r="D4749" t="s">
        <v>68</v>
      </c>
      <c r="E4749" t="s">
        <v>69</v>
      </c>
      <c r="F4749" t="s">
        <v>70</v>
      </c>
      <c r="G4749" t="s">
        <v>162</v>
      </c>
      <c r="H4749" t="s">
        <v>161</v>
      </c>
      <c r="I4749" t="s">
        <v>37</v>
      </c>
      <c r="J4749" t="s">
        <v>38</v>
      </c>
      <c r="K4749" t="s">
        <v>29</v>
      </c>
      <c r="L4749" t="s">
        <v>30</v>
      </c>
      <c r="M4749" t="s">
        <v>139</v>
      </c>
      <c r="N4749">
        <v>1239</v>
      </c>
      <c r="O4749" s="14">
        <v>0.90835580066777799</v>
      </c>
      <c r="P4749" s="14">
        <v>0.19881726312451101</v>
      </c>
      <c r="Q4749" t="str">
        <f t="shared" si="148"/>
        <v>15-24</v>
      </c>
      <c r="R4749" t="str">
        <f t="shared" si="149"/>
        <v>[PekKUkKHAzY]|15-24|Female|PMTCT_STAT_SUBNAT.N.New.Pos.T_1|CY2023Q3</v>
      </c>
    </row>
    <row r="4750" spans="4:18" x14ac:dyDescent="0.2">
      <c r="D4750" t="s">
        <v>68</v>
      </c>
      <c r="E4750" t="s">
        <v>69</v>
      </c>
      <c r="F4750" t="s">
        <v>70</v>
      </c>
      <c r="G4750" t="s">
        <v>162</v>
      </c>
      <c r="H4750" t="s">
        <v>161</v>
      </c>
      <c r="I4750" t="s">
        <v>40</v>
      </c>
      <c r="J4750" t="s">
        <v>41</v>
      </c>
      <c r="K4750" t="s">
        <v>29</v>
      </c>
      <c r="L4750" t="s">
        <v>30</v>
      </c>
      <c r="M4750" t="s">
        <v>139</v>
      </c>
      <c r="N4750">
        <v>1295</v>
      </c>
      <c r="O4750" s="14">
        <v>0.53420578991062895</v>
      </c>
      <c r="P4750" s="14">
        <v>0.19881726312451101</v>
      </c>
      <c r="Q4750" t="str">
        <f t="shared" si="148"/>
        <v>25-34</v>
      </c>
      <c r="R4750" t="str">
        <f t="shared" si="149"/>
        <v>[PekKUkKHAzY]|25-34|Female|PMTCT_STAT_SUBNAT.N.New.Pos.T_1|CY2023Q3</v>
      </c>
    </row>
    <row r="4751" spans="4:18" x14ac:dyDescent="0.2">
      <c r="D4751" t="s">
        <v>68</v>
      </c>
      <c r="E4751" t="s">
        <v>69</v>
      </c>
      <c r="F4751" t="s">
        <v>70</v>
      </c>
      <c r="G4751" t="s">
        <v>162</v>
      </c>
      <c r="H4751" t="s">
        <v>161</v>
      </c>
      <c r="I4751" t="s">
        <v>42</v>
      </c>
      <c r="J4751" t="s">
        <v>43</v>
      </c>
      <c r="K4751" t="s">
        <v>29</v>
      </c>
      <c r="L4751" t="s">
        <v>30</v>
      </c>
      <c r="M4751" t="s">
        <v>139</v>
      </c>
      <c r="N4751">
        <v>739</v>
      </c>
      <c r="O4751" s="14">
        <v>0.88358738785609603</v>
      </c>
      <c r="P4751" s="14">
        <v>0.19881726312451101</v>
      </c>
      <c r="Q4751" t="str">
        <f t="shared" si="148"/>
        <v>35-49</v>
      </c>
      <c r="R4751" t="str">
        <f t="shared" si="149"/>
        <v>[PekKUkKHAzY]|35-49|Female|PMTCT_STAT_SUBNAT.N.New.Pos.T_1|CY2023Q3</v>
      </c>
    </row>
    <row r="4752" spans="4:18" x14ac:dyDescent="0.2">
      <c r="D4752" t="s">
        <v>71</v>
      </c>
      <c r="E4752" t="s">
        <v>72</v>
      </c>
      <c r="F4752" t="s">
        <v>73</v>
      </c>
      <c r="G4752" t="s">
        <v>162</v>
      </c>
      <c r="H4752" t="s">
        <v>161</v>
      </c>
      <c r="I4752" t="s">
        <v>37</v>
      </c>
      <c r="J4752" t="s">
        <v>38</v>
      </c>
      <c r="K4752" t="s">
        <v>29</v>
      </c>
      <c r="L4752" t="s">
        <v>30</v>
      </c>
      <c r="M4752" t="s">
        <v>139</v>
      </c>
      <c r="N4752">
        <v>1741</v>
      </c>
      <c r="O4752" s="14">
        <v>0.64268765156157304</v>
      </c>
      <c r="P4752" s="14">
        <v>0.28972870693542102</v>
      </c>
      <c r="Q4752" t="str">
        <f t="shared" si="148"/>
        <v>15-24</v>
      </c>
      <c r="R4752" t="str">
        <f t="shared" si="149"/>
        <v>[am530wpaGvr]|15-24|Female|PMTCT_STAT_SUBNAT.N.New.Pos.T_1|CY2023Q3</v>
      </c>
    </row>
    <row r="4753" spans="4:18" x14ac:dyDescent="0.2">
      <c r="D4753" t="s">
        <v>71</v>
      </c>
      <c r="E4753" t="s">
        <v>72</v>
      </c>
      <c r="F4753" t="s">
        <v>73</v>
      </c>
      <c r="G4753" t="s">
        <v>162</v>
      </c>
      <c r="H4753" t="s">
        <v>161</v>
      </c>
      <c r="I4753" t="s">
        <v>40</v>
      </c>
      <c r="J4753" t="s">
        <v>41</v>
      </c>
      <c r="K4753" t="s">
        <v>29</v>
      </c>
      <c r="L4753" t="s">
        <v>30</v>
      </c>
      <c r="M4753" t="s">
        <v>139</v>
      </c>
      <c r="N4753">
        <v>1777</v>
      </c>
      <c r="O4753" s="14">
        <v>0.18316799076274001</v>
      </c>
      <c r="P4753" s="14">
        <v>0.28972870693542102</v>
      </c>
      <c r="Q4753" t="str">
        <f t="shared" si="148"/>
        <v>25-34</v>
      </c>
      <c r="R4753" t="str">
        <f t="shared" si="149"/>
        <v>[am530wpaGvr]|25-34|Female|PMTCT_STAT_SUBNAT.N.New.Pos.T_1|CY2023Q3</v>
      </c>
    </row>
    <row r="4754" spans="4:18" x14ac:dyDescent="0.2">
      <c r="D4754" t="s">
        <v>71</v>
      </c>
      <c r="E4754" t="s">
        <v>72</v>
      </c>
      <c r="F4754" t="s">
        <v>73</v>
      </c>
      <c r="G4754" t="s">
        <v>162</v>
      </c>
      <c r="H4754" t="s">
        <v>161</v>
      </c>
      <c r="I4754" t="s">
        <v>42</v>
      </c>
      <c r="J4754" t="s">
        <v>43</v>
      </c>
      <c r="K4754" t="s">
        <v>29</v>
      </c>
      <c r="L4754" t="s">
        <v>30</v>
      </c>
      <c r="M4754" t="s">
        <v>139</v>
      </c>
      <c r="N4754">
        <v>1409</v>
      </c>
      <c r="O4754" s="14">
        <v>0.94615808851085603</v>
      </c>
      <c r="P4754" s="14">
        <v>0.28972870693542102</v>
      </c>
      <c r="Q4754" t="str">
        <f t="shared" si="148"/>
        <v>35-49</v>
      </c>
      <c r="R4754" t="str">
        <f t="shared" si="149"/>
        <v>[am530wpaGvr]|35-49|Female|PMTCT_STAT_SUBNAT.N.New.Pos.T_1|CY2023Q3</v>
      </c>
    </row>
    <row r="4755" spans="4:18" x14ac:dyDescent="0.2">
      <c r="D4755" t="s">
        <v>74</v>
      </c>
      <c r="E4755" t="s">
        <v>75</v>
      </c>
      <c r="F4755" t="s">
        <v>76</v>
      </c>
      <c r="G4755" t="s">
        <v>162</v>
      </c>
      <c r="H4755" t="s">
        <v>161</v>
      </c>
      <c r="I4755" t="s">
        <v>37</v>
      </c>
      <c r="J4755" t="s">
        <v>38</v>
      </c>
      <c r="K4755" t="s">
        <v>29</v>
      </c>
      <c r="L4755" t="s">
        <v>30</v>
      </c>
      <c r="M4755" t="s">
        <v>139</v>
      </c>
      <c r="N4755">
        <v>1071</v>
      </c>
      <c r="O4755" s="14">
        <v>4.0874533122405403E-2</v>
      </c>
      <c r="P4755" s="14">
        <v>0.30305550759658201</v>
      </c>
      <c r="Q4755" t="str">
        <f t="shared" si="148"/>
        <v>15-24</v>
      </c>
      <c r="R4755" t="str">
        <f t="shared" si="149"/>
        <v>[lLDyBx5XyUi]|15-24|Female|PMTCT_STAT_SUBNAT.N.New.Pos.T_1|CY2023Q3</v>
      </c>
    </row>
    <row r="4756" spans="4:18" x14ac:dyDescent="0.2">
      <c r="D4756" t="s">
        <v>74</v>
      </c>
      <c r="E4756" t="s">
        <v>75</v>
      </c>
      <c r="F4756" t="s">
        <v>76</v>
      </c>
      <c r="G4756" t="s">
        <v>162</v>
      </c>
      <c r="H4756" t="s">
        <v>161</v>
      </c>
      <c r="I4756" t="s">
        <v>40</v>
      </c>
      <c r="J4756" t="s">
        <v>41</v>
      </c>
      <c r="K4756" t="s">
        <v>29</v>
      </c>
      <c r="L4756" t="s">
        <v>30</v>
      </c>
      <c r="M4756" t="s">
        <v>139</v>
      </c>
      <c r="N4756">
        <v>1858</v>
      </c>
      <c r="O4756" s="14">
        <v>0.28708052681759</v>
      </c>
      <c r="P4756" s="14">
        <v>0.30305550759658201</v>
      </c>
      <c r="Q4756" t="str">
        <f t="shared" si="148"/>
        <v>25-34</v>
      </c>
      <c r="R4756" t="str">
        <f t="shared" si="149"/>
        <v>[lLDyBx5XyUi]|25-34|Female|PMTCT_STAT_SUBNAT.N.New.Pos.T_1|CY2023Q3</v>
      </c>
    </row>
    <row r="4757" spans="4:18" x14ac:dyDescent="0.2">
      <c r="D4757" t="s">
        <v>74</v>
      </c>
      <c r="E4757" t="s">
        <v>75</v>
      </c>
      <c r="F4757" t="s">
        <v>76</v>
      </c>
      <c r="G4757" t="s">
        <v>162</v>
      </c>
      <c r="H4757" t="s">
        <v>161</v>
      </c>
      <c r="I4757" t="s">
        <v>42</v>
      </c>
      <c r="J4757" t="s">
        <v>43</v>
      </c>
      <c r="K4757" t="s">
        <v>29</v>
      </c>
      <c r="L4757" t="s">
        <v>30</v>
      </c>
      <c r="M4757" t="s">
        <v>139</v>
      </c>
      <c r="N4757">
        <v>1903</v>
      </c>
      <c r="O4757" s="14">
        <v>9.1746129561215597E-2</v>
      </c>
      <c r="P4757" s="14">
        <v>0.30305550759658201</v>
      </c>
      <c r="Q4757" t="str">
        <f t="shared" si="148"/>
        <v>35-49</v>
      </c>
      <c r="R4757" t="str">
        <f t="shared" si="149"/>
        <v>[lLDyBx5XyUi]|35-49|Female|PMTCT_STAT_SUBNAT.N.New.Pos.T_1|CY2023Q3</v>
      </c>
    </row>
    <row r="4758" spans="4:18" x14ac:dyDescent="0.2">
      <c r="D4758" t="s">
        <v>77</v>
      </c>
      <c r="E4758" t="s">
        <v>78</v>
      </c>
      <c r="F4758" t="s">
        <v>79</v>
      </c>
      <c r="G4758" t="s">
        <v>162</v>
      </c>
      <c r="H4758" t="s">
        <v>161</v>
      </c>
      <c r="I4758" t="s">
        <v>37</v>
      </c>
      <c r="J4758" t="s">
        <v>38</v>
      </c>
      <c r="K4758" t="s">
        <v>29</v>
      </c>
      <c r="L4758" t="s">
        <v>30</v>
      </c>
      <c r="M4758" t="s">
        <v>139</v>
      </c>
      <c r="N4758">
        <v>1443</v>
      </c>
      <c r="O4758" s="14">
        <v>0.16734446235932399</v>
      </c>
      <c r="P4758" s="14">
        <v>0.83159798220731296</v>
      </c>
      <c r="Q4758" t="str">
        <f t="shared" si="148"/>
        <v>15-24</v>
      </c>
      <c r="R4758" t="str">
        <f t="shared" si="149"/>
        <v>[TYnMSwzko3z]|15-24|Female|PMTCT_STAT_SUBNAT.N.New.Pos.T_1|CY2023Q3</v>
      </c>
    </row>
    <row r="4759" spans="4:18" x14ac:dyDescent="0.2">
      <c r="D4759" t="s">
        <v>77</v>
      </c>
      <c r="E4759" t="s">
        <v>78</v>
      </c>
      <c r="F4759" t="s">
        <v>79</v>
      </c>
      <c r="G4759" t="s">
        <v>162</v>
      </c>
      <c r="H4759" t="s">
        <v>161</v>
      </c>
      <c r="I4759" t="s">
        <v>40</v>
      </c>
      <c r="J4759" t="s">
        <v>41</v>
      </c>
      <c r="K4759" t="s">
        <v>29</v>
      </c>
      <c r="L4759" t="s">
        <v>30</v>
      </c>
      <c r="M4759" t="s">
        <v>139</v>
      </c>
      <c r="N4759">
        <v>1930</v>
      </c>
      <c r="O4759" s="14">
        <v>0.97178159328177605</v>
      </c>
      <c r="P4759" s="14">
        <v>0.83159798220731296</v>
      </c>
      <c r="Q4759" t="str">
        <f t="shared" si="148"/>
        <v>25-34</v>
      </c>
      <c r="R4759" t="str">
        <f t="shared" si="149"/>
        <v>[TYnMSwzko3z]|25-34|Female|PMTCT_STAT_SUBNAT.N.New.Pos.T_1|CY2023Q3</v>
      </c>
    </row>
    <row r="4760" spans="4:18" x14ac:dyDescent="0.2">
      <c r="D4760" t="s">
        <v>77</v>
      </c>
      <c r="E4760" t="s">
        <v>78</v>
      </c>
      <c r="F4760" t="s">
        <v>79</v>
      </c>
      <c r="G4760" t="s">
        <v>162</v>
      </c>
      <c r="H4760" t="s">
        <v>161</v>
      </c>
      <c r="I4760" t="s">
        <v>42</v>
      </c>
      <c r="J4760" t="s">
        <v>43</v>
      </c>
      <c r="K4760" t="s">
        <v>29</v>
      </c>
      <c r="L4760" t="s">
        <v>30</v>
      </c>
      <c r="M4760" t="s">
        <v>139</v>
      </c>
      <c r="N4760">
        <v>1995</v>
      </c>
      <c r="O4760" s="14">
        <v>0.55785054340958595</v>
      </c>
      <c r="P4760" s="14">
        <v>0.83159798220731296</v>
      </c>
      <c r="Q4760" t="str">
        <f t="shared" si="148"/>
        <v>35-49</v>
      </c>
      <c r="R4760" t="str">
        <f t="shared" si="149"/>
        <v>[TYnMSwzko3z]|35-49|Female|PMTCT_STAT_SUBNAT.N.New.Pos.T_1|CY2023Q3</v>
      </c>
    </row>
    <row r="4761" spans="4:18" x14ac:dyDescent="0.2">
      <c r="D4761" t="s">
        <v>80</v>
      </c>
      <c r="E4761" t="s">
        <v>81</v>
      </c>
      <c r="F4761" t="s">
        <v>82</v>
      </c>
      <c r="G4761" t="s">
        <v>162</v>
      </c>
      <c r="H4761" t="s">
        <v>161</v>
      </c>
      <c r="I4761" t="s">
        <v>37</v>
      </c>
      <c r="J4761" t="s">
        <v>38</v>
      </c>
      <c r="K4761" t="s">
        <v>29</v>
      </c>
      <c r="L4761" t="s">
        <v>30</v>
      </c>
      <c r="M4761" t="s">
        <v>139</v>
      </c>
      <c r="N4761">
        <v>1070</v>
      </c>
      <c r="O4761" s="14">
        <v>0.78819415648467805</v>
      </c>
      <c r="P4761" s="14">
        <v>0.14333142153918699</v>
      </c>
      <c r="Q4761" t="str">
        <f t="shared" si="148"/>
        <v>15-24</v>
      </c>
      <c r="R4761" t="str">
        <f t="shared" si="149"/>
        <v>[ir8wuHHzoSs]|15-24|Female|PMTCT_STAT_SUBNAT.N.New.Pos.T_1|CY2023Q3</v>
      </c>
    </row>
    <row r="4762" spans="4:18" x14ac:dyDescent="0.2">
      <c r="D4762" t="s">
        <v>80</v>
      </c>
      <c r="E4762" t="s">
        <v>81</v>
      </c>
      <c r="F4762" t="s">
        <v>82</v>
      </c>
      <c r="G4762" t="s">
        <v>162</v>
      </c>
      <c r="H4762" t="s">
        <v>161</v>
      </c>
      <c r="I4762" t="s">
        <v>40</v>
      </c>
      <c r="J4762" t="s">
        <v>41</v>
      </c>
      <c r="K4762" t="s">
        <v>29</v>
      </c>
      <c r="L4762" t="s">
        <v>30</v>
      </c>
      <c r="M4762" t="s">
        <v>139</v>
      </c>
      <c r="N4762">
        <v>583</v>
      </c>
      <c r="O4762" s="14">
        <v>0.77619358361698698</v>
      </c>
      <c r="P4762" s="14">
        <v>0.14333142153918699</v>
      </c>
      <c r="Q4762" t="str">
        <f t="shared" si="148"/>
        <v>25-34</v>
      </c>
      <c r="R4762" t="str">
        <f t="shared" si="149"/>
        <v>[ir8wuHHzoSs]|25-34|Female|PMTCT_STAT_SUBNAT.N.New.Pos.T_1|CY2023Q3</v>
      </c>
    </row>
    <row r="4763" spans="4:18" x14ac:dyDescent="0.2">
      <c r="D4763" t="s">
        <v>80</v>
      </c>
      <c r="E4763" t="s">
        <v>81</v>
      </c>
      <c r="F4763" t="s">
        <v>82</v>
      </c>
      <c r="G4763" t="s">
        <v>162</v>
      </c>
      <c r="H4763" t="s">
        <v>161</v>
      </c>
      <c r="I4763" t="s">
        <v>42</v>
      </c>
      <c r="J4763" t="s">
        <v>43</v>
      </c>
      <c r="K4763" t="s">
        <v>29</v>
      </c>
      <c r="L4763" t="s">
        <v>30</v>
      </c>
      <c r="M4763" t="s">
        <v>139</v>
      </c>
      <c r="N4763">
        <v>1340</v>
      </c>
      <c r="O4763" s="14">
        <v>0.80852958187460899</v>
      </c>
      <c r="P4763" s="14">
        <v>0.14333142153918699</v>
      </c>
      <c r="Q4763" t="str">
        <f t="shared" si="148"/>
        <v>35-49</v>
      </c>
      <c r="R4763" t="str">
        <f t="shared" si="149"/>
        <v>[ir8wuHHzoSs]|35-49|Female|PMTCT_STAT_SUBNAT.N.New.Pos.T_1|CY2023Q3</v>
      </c>
    </row>
    <row r="4764" spans="4:18" x14ac:dyDescent="0.2">
      <c r="D4764" t="s">
        <v>83</v>
      </c>
      <c r="E4764" t="s">
        <v>84</v>
      </c>
      <c r="F4764" t="s">
        <v>85</v>
      </c>
      <c r="G4764" t="s">
        <v>162</v>
      </c>
      <c r="H4764" t="s">
        <v>161</v>
      </c>
      <c r="I4764" t="s">
        <v>37</v>
      </c>
      <c r="J4764" t="s">
        <v>38</v>
      </c>
      <c r="K4764" t="s">
        <v>29</v>
      </c>
      <c r="L4764" t="s">
        <v>30</v>
      </c>
      <c r="M4764" t="s">
        <v>139</v>
      </c>
      <c r="N4764">
        <v>1571</v>
      </c>
      <c r="O4764" s="14">
        <v>0.41454349178820799</v>
      </c>
      <c r="P4764" s="14">
        <v>2.9788714367896301E-2</v>
      </c>
      <c r="Q4764" t="str">
        <f t="shared" si="148"/>
        <v>15-24</v>
      </c>
      <c r="R4764" t="str">
        <f t="shared" si="149"/>
        <v>[fyEoGEPERdI]|15-24|Female|PMTCT_STAT_SUBNAT.N.New.Pos.T_1|CY2023Q3</v>
      </c>
    </row>
    <row r="4765" spans="4:18" x14ac:dyDescent="0.2">
      <c r="D4765" t="s">
        <v>83</v>
      </c>
      <c r="E4765" t="s">
        <v>84</v>
      </c>
      <c r="F4765" t="s">
        <v>85</v>
      </c>
      <c r="G4765" t="s">
        <v>162</v>
      </c>
      <c r="H4765" t="s">
        <v>161</v>
      </c>
      <c r="I4765" t="s">
        <v>40</v>
      </c>
      <c r="J4765" t="s">
        <v>41</v>
      </c>
      <c r="K4765" t="s">
        <v>29</v>
      </c>
      <c r="L4765" t="s">
        <v>30</v>
      </c>
      <c r="M4765" t="s">
        <v>139</v>
      </c>
      <c r="N4765">
        <v>1498</v>
      </c>
      <c r="O4765" s="14">
        <v>0.66218614322133396</v>
      </c>
      <c r="P4765" s="14">
        <v>2.9788714367896301E-2</v>
      </c>
      <c r="Q4765" t="str">
        <f t="shared" si="148"/>
        <v>25-34</v>
      </c>
      <c r="R4765" t="str">
        <f t="shared" si="149"/>
        <v>[fyEoGEPERdI]|25-34|Female|PMTCT_STAT_SUBNAT.N.New.Pos.T_1|CY2023Q3</v>
      </c>
    </row>
    <row r="4766" spans="4:18" x14ac:dyDescent="0.2">
      <c r="D4766" t="s">
        <v>83</v>
      </c>
      <c r="E4766" t="s">
        <v>84</v>
      </c>
      <c r="F4766" t="s">
        <v>85</v>
      </c>
      <c r="G4766" t="s">
        <v>162</v>
      </c>
      <c r="H4766" t="s">
        <v>161</v>
      </c>
      <c r="I4766" t="s">
        <v>42</v>
      </c>
      <c r="J4766" t="s">
        <v>43</v>
      </c>
      <c r="K4766" t="s">
        <v>29</v>
      </c>
      <c r="L4766" t="s">
        <v>30</v>
      </c>
      <c r="M4766" t="s">
        <v>139</v>
      </c>
      <c r="N4766">
        <v>1388</v>
      </c>
      <c r="O4766" s="14">
        <v>0.710620719473809</v>
      </c>
      <c r="P4766" s="14">
        <v>2.9788714367896301E-2</v>
      </c>
      <c r="Q4766" t="str">
        <f t="shared" si="148"/>
        <v>35-49</v>
      </c>
      <c r="R4766" t="str">
        <f t="shared" si="149"/>
        <v>[fyEoGEPERdI]|35-49|Female|PMTCT_STAT_SUBNAT.N.New.Pos.T_1|CY2023Q3</v>
      </c>
    </row>
    <row r="4767" spans="4:18" x14ac:dyDescent="0.2">
      <c r="D4767" t="s">
        <v>86</v>
      </c>
      <c r="E4767" t="s">
        <v>87</v>
      </c>
      <c r="F4767" t="s">
        <v>88</v>
      </c>
      <c r="G4767" t="s">
        <v>162</v>
      </c>
      <c r="H4767" t="s">
        <v>161</v>
      </c>
      <c r="I4767" t="s">
        <v>37</v>
      </c>
      <c r="J4767" t="s">
        <v>38</v>
      </c>
      <c r="K4767" t="s">
        <v>29</v>
      </c>
      <c r="L4767" t="s">
        <v>30</v>
      </c>
      <c r="M4767" t="s">
        <v>139</v>
      </c>
      <c r="N4767">
        <v>1867</v>
      </c>
      <c r="O4767" s="14">
        <v>0.35351529135368798</v>
      </c>
      <c r="P4767" s="14">
        <v>0.13333638082258401</v>
      </c>
      <c r="Q4767" t="str">
        <f t="shared" si="148"/>
        <v>15-24</v>
      </c>
      <c r="R4767" t="str">
        <f t="shared" si="149"/>
        <v>[cPtvxaZqXIH]|15-24|Female|PMTCT_STAT_SUBNAT.N.New.Pos.T_1|CY2023Q3</v>
      </c>
    </row>
    <row r="4768" spans="4:18" x14ac:dyDescent="0.2">
      <c r="D4768" t="s">
        <v>86</v>
      </c>
      <c r="E4768" t="s">
        <v>87</v>
      </c>
      <c r="F4768" t="s">
        <v>88</v>
      </c>
      <c r="G4768" t="s">
        <v>162</v>
      </c>
      <c r="H4768" t="s">
        <v>161</v>
      </c>
      <c r="I4768" t="s">
        <v>40</v>
      </c>
      <c r="J4768" t="s">
        <v>41</v>
      </c>
      <c r="K4768" t="s">
        <v>29</v>
      </c>
      <c r="L4768" t="s">
        <v>30</v>
      </c>
      <c r="M4768" t="s">
        <v>139</v>
      </c>
      <c r="N4768">
        <v>1640</v>
      </c>
      <c r="O4768" s="14">
        <v>0.66934976610355101</v>
      </c>
      <c r="P4768" s="14">
        <v>0.13333638082258401</v>
      </c>
      <c r="Q4768" t="str">
        <f t="shared" si="148"/>
        <v>25-34</v>
      </c>
      <c r="R4768" t="str">
        <f t="shared" si="149"/>
        <v>[cPtvxaZqXIH]|25-34|Female|PMTCT_STAT_SUBNAT.N.New.Pos.T_1|CY2023Q3</v>
      </c>
    </row>
    <row r="4769" spans="4:18" x14ac:dyDescent="0.2">
      <c r="D4769" t="s">
        <v>86</v>
      </c>
      <c r="E4769" t="s">
        <v>87</v>
      </c>
      <c r="F4769" t="s">
        <v>88</v>
      </c>
      <c r="G4769" t="s">
        <v>162</v>
      </c>
      <c r="H4769" t="s">
        <v>161</v>
      </c>
      <c r="I4769" t="s">
        <v>42</v>
      </c>
      <c r="J4769" t="s">
        <v>43</v>
      </c>
      <c r="K4769" t="s">
        <v>29</v>
      </c>
      <c r="L4769" t="s">
        <v>30</v>
      </c>
      <c r="M4769" t="s">
        <v>139</v>
      </c>
      <c r="N4769">
        <v>1287</v>
      </c>
      <c r="O4769" s="14">
        <v>0.67713789246045097</v>
      </c>
      <c r="P4769" s="14">
        <v>0.13333638082258401</v>
      </c>
      <c r="Q4769" t="str">
        <f t="shared" si="148"/>
        <v>35-49</v>
      </c>
      <c r="R4769" t="str">
        <f t="shared" si="149"/>
        <v>[cPtvxaZqXIH]|35-49|Female|PMTCT_STAT_SUBNAT.N.New.Pos.T_1|CY2023Q3</v>
      </c>
    </row>
    <row r="4770" spans="4:18" x14ac:dyDescent="0.2">
      <c r="D4770" t="s">
        <v>89</v>
      </c>
      <c r="E4770" t="s">
        <v>90</v>
      </c>
      <c r="F4770" t="s">
        <v>91</v>
      </c>
      <c r="G4770" t="s">
        <v>162</v>
      </c>
      <c r="H4770" t="s">
        <v>161</v>
      </c>
      <c r="I4770" t="s">
        <v>37</v>
      </c>
      <c r="J4770" t="s">
        <v>38</v>
      </c>
      <c r="K4770" t="s">
        <v>29</v>
      </c>
      <c r="L4770" t="s">
        <v>30</v>
      </c>
      <c r="M4770" t="s">
        <v>139</v>
      </c>
      <c r="N4770">
        <v>1419</v>
      </c>
      <c r="O4770" s="14">
        <v>0.88068879349157203</v>
      </c>
      <c r="P4770" s="14">
        <v>0.71991415042430196</v>
      </c>
      <c r="Q4770" t="str">
        <f t="shared" si="148"/>
        <v>15-24</v>
      </c>
      <c r="R4770" t="str">
        <f t="shared" si="149"/>
        <v>[AZyWpGzhcaA]|15-24|Female|PMTCT_STAT_SUBNAT.N.New.Pos.T_1|CY2023Q3</v>
      </c>
    </row>
    <row r="4771" spans="4:18" x14ac:dyDescent="0.2">
      <c r="D4771" t="s">
        <v>89</v>
      </c>
      <c r="E4771" t="s">
        <v>90</v>
      </c>
      <c r="F4771" t="s">
        <v>91</v>
      </c>
      <c r="G4771" t="s">
        <v>162</v>
      </c>
      <c r="H4771" t="s">
        <v>161</v>
      </c>
      <c r="I4771" t="s">
        <v>40</v>
      </c>
      <c r="J4771" t="s">
        <v>41</v>
      </c>
      <c r="K4771" t="s">
        <v>29</v>
      </c>
      <c r="L4771" t="s">
        <v>30</v>
      </c>
      <c r="M4771" t="s">
        <v>139</v>
      </c>
      <c r="N4771">
        <v>1827</v>
      </c>
      <c r="O4771" s="14">
        <v>6.7954200319945798E-2</v>
      </c>
      <c r="P4771" s="14">
        <v>0.71991415042430196</v>
      </c>
      <c r="Q4771" t="str">
        <f t="shared" si="148"/>
        <v>25-34</v>
      </c>
      <c r="R4771" t="str">
        <f t="shared" si="149"/>
        <v>[AZyWpGzhcaA]|25-34|Female|PMTCT_STAT_SUBNAT.N.New.Pos.T_1|CY2023Q3</v>
      </c>
    </row>
    <row r="4772" spans="4:18" x14ac:dyDescent="0.2">
      <c r="D4772" t="s">
        <v>89</v>
      </c>
      <c r="E4772" t="s">
        <v>90</v>
      </c>
      <c r="F4772" t="s">
        <v>91</v>
      </c>
      <c r="G4772" t="s">
        <v>162</v>
      </c>
      <c r="H4772" t="s">
        <v>161</v>
      </c>
      <c r="I4772" t="s">
        <v>42</v>
      </c>
      <c r="J4772" t="s">
        <v>43</v>
      </c>
      <c r="K4772" t="s">
        <v>29</v>
      </c>
      <c r="L4772" t="s">
        <v>30</v>
      </c>
      <c r="M4772" t="s">
        <v>139</v>
      </c>
      <c r="N4772">
        <v>542</v>
      </c>
      <c r="O4772" s="14">
        <v>0.91428054869175002</v>
      </c>
      <c r="P4772" s="14">
        <v>0.71991415042430196</v>
      </c>
      <c r="Q4772" t="str">
        <f t="shared" si="148"/>
        <v>35-49</v>
      </c>
      <c r="R4772" t="str">
        <f t="shared" si="149"/>
        <v>[AZyWpGzhcaA]|35-49|Female|PMTCT_STAT_SUBNAT.N.New.Pos.T_1|CY2023Q3</v>
      </c>
    </row>
    <row r="4773" spans="4:18" x14ac:dyDescent="0.2">
      <c r="D4773" t="s">
        <v>92</v>
      </c>
      <c r="E4773" t="s">
        <v>93</v>
      </c>
      <c r="F4773" t="s">
        <v>94</v>
      </c>
      <c r="G4773" t="s">
        <v>162</v>
      </c>
      <c r="H4773" t="s">
        <v>161</v>
      </c>
      <c r="I4773" t="s">
        <v>37</v>
      </c>
      <c r="J4773" t="s">
        <v>38</v>
      </c>
      <c r="K4773" t="s">
        <v>29</v>
      </c>
      <c r="L4773" t="s">
        <v>30</v>
      </c>
      <c r="M4773" t="s">
        <v>139</v>
      </c>
      <c r="N4773">
        <v>1569</v>
      </c>
      <c r="O4773" s="14">
        <v>0.153961381176487</v>
      </c>
      <c r="P4773" s="14">
        <v>0.36227229656651599</v>
      </c>
      <c r="Q4773" t="str">
        <f t="shared" si="148"/>
        <v>15-24</v>
      </c>
      <c r="R4773" t="str">
        <f t="shared" si="149"/>
        <v>[umc2n1Z4wNv]|15-24|Female|PMTCT_STAT_SUBNAT.N.New.Pos.T_1|CY2023Q3</v>
      </c>
    </row>
    <row r="4774" spans="4:18" x14ac:dyDescent="0.2">
      <c r="D4774" t="s">
        <v>92</v>
      </c>
      <c r="E4774" t="s">
        <v>93</v>
      </c>
      <c r="F4774" t="s">
        <v>94</v>
      </c>
      <c r="G4774" t="s">
        <v>162</v>
      </c>
      <c r="H4774" t="s">
        <v>161</v>
      </c>
      <c r="I4774" t="s">
        <v>40</v>
      </c>
      <c r="J4774" t="s">
        <v>41</v>
      </c>
      <c r="K4774" t="s">
        <v>29</v>
      </c>
      <c r="L4774" t="s">
        <v>30</v>
      </c>
      <c r="M4774" t="s">
        <v>139</v>
      </c>
      <c r="N4774">
        <v>619</v>
      </c>
      <c r="O4774" s="14">
        <v>0.104701197007671</v>
      </c>
      <c r="P4774" s="14">
        <v>0.36227229656651599</v>
      </c>
      <c r="Q4774" t="str">
        <f t="shared" si="148"/>
        <v>25-34</v>
      </c>
      <c r="R4774" t="str">
        <f t="shared" si="149"/>
        <v>[umc2n1Z4wNv]|25-34|Female|PMTCT_STAT_SUBNAT.N.New.Pos.T_1|CY2023Q3</v>
      </c>
    </row>
    <row r="4775" spans="4:18" x14ac:dyDescent="0.2">
      <c r="D4775" t="s">
        <v>92</v>
      </c>
      <c r="E4775" t="s">
        <v>93</v>
      </c>
      <c r="F4775" t="s">
        <v>94</v>
      </c>
      <c r="G4775" t="s">
        <v>162</v>
      </c>
      <c r="H4775" t="s">
        <v>161</v>
      </c>
      <c r="I4775" t="s">
        <v>42</v>
      </c>
      <c r="J4775" t="s">
        <v>43</v>
      </c>
      <c r="K4775" t="s">
        <v>29</v>
      </c>
      <c r="L4775" t="s">
        <v>30</v>
      </c>
      <c r="M4775" t="s">
        <v>139</v>
      </c>
      <c r="N4775">
        <v>1318</v>
      </c>
      <c r="O4775" s="14">
        <v>0.46607750258408498</v>
      </c>
      <c r="P4775" s="14">
        <v>0.36227229656651599</v>
      </c>
      <c r="Q4775" t="str">
        <f t="shared" si="148"/>
        <v>35-49</v>
      </c>
      <c r="R4775" t="str">
        <f t="shared" si="149"/>
        <v>[umc2n1Z4wNv]|35-49|Female|PMTCT_STAT_SUBNAT.N.New.Pos.T_1|CY2023Q3</v>
      </c>
    </row>
    <row r="4776" spans="4:18" x14ac:dyDescent="0.2">
      <c r="D4776" t="s">
        <v>95</v>
      </c>
      <c r="E4776" t="s">
        <v>96</v>
      </c>
      <c r="F4776" t="s">
        <v>97</v>
      </c>
      <c r="G4776" t="s">
        <v>162</v>
      </c>
      <c r="H4776" t="s">
        <v>161</v>
      </c>
      <c r="I4776" t="s">
        <v>37</v>
      </c>
      <c r="J4776" t="s">
        <v>38</v>
      </c>
      <c r="K4776" t="s">
        <v>29</v>
      </c>
      <c r="L4776" t="s">
        <v>30</v>
      </c>
      <c r="M4776" t="s">
        <v>139</v>
      </c>
      <c r="N4776">
        <v>1001</v>
      </c>
      <c r="O4776" s="14">
        <v>0.94936760654673003</v>
      </c>
      <c r="P4776" s="14">
        <v>0.60125171788968101</v>
      </c>
      <c r="Q4776" t="str">
        <f t="shared" si="148"/>
        <v>15-24</v>
      </c>
      <c r="R4776" t="str">
        <f t="shared" si="149"/>
        <v>[gwVYinjBAe9]|15-24|Female|PMTCT_STAT_SUBNAT.N.New.Pos.T_1|CY2023Q3</v>
      </c>
    </row>
    <row r="4777" spans="4:18" x14ac:dyDescent="0.2">
      <c r="D4777" t="s">
        <v>95</v>
      </c>
      <c r="E4777" t="s">
        <v>96</v>
      </c>
      <c r="F4777" t="s">
        <v>97</v>
      </c>
      <c r="G4777" t="s">
        <v>162</v>
      </c>
      <c r="H4777" t="s">
        <v>161</v>
      </c>
      <c r="I4777" t="s">
        <v>40</v>
      </c>
      <c r="J4777" t="s">
        <v>41</v>
      </c>
      <c r="K4777" t="s">
        <v>29</v>
      </c>
      <c r="L4777" t="s">
        <v>30</v>
      </c>
      <c r="M4777" t="s">
        <v>139</v>
      </c>
      <c r="N4777">
        <v>1398</v>
      </c>
      <c r="O4777" s="14">
        <v>0.33115392411127698</v>
      </c>
      <c r="P4777" s="14">
        <v>0.60125171788968101</v>
      </c>
      <c r="Q4777" t="str">
        <f t="shared" si="148"/>
        <v>25-34</v>
      </c>
      <c r="R4777" t="str">
        <f t="shared" si="149"/>
        <v>[gwVYinjBAe9]|25-34|Female|PMTCT_STAT_SUBNAT.N.New.Pos.T_1|CY2023Q3</v>
      </c>
    </row>
    <row r="4778" spans="4:18" x14ac:dyDescent="0.2">
      <c r="D4778" t="s">
        <v>95</v>
      </c>
      <c r="E4778" t="s">
        <v>96</v>
      </c>
      <c r="F4778" t="s">
        <v>97</v>
      </c>
      <c r="G4778" t="s">
        <v>162</v>
      </c>
      <c r="H4778" t="s">
        <v>161</v>
      </c>
      <c r="I4778" t="s">
        <v>42</v>
      </c>
      <c r="J4778" t="s">
        <v>43</v>
      </c>
      <c r="K4778" t="s">
        <v>29</v>
      </c>
      <c r="L4778" t="s">
        <v>30</v>
      </c>
      <c r="M4778" t="s">
        <v>139</v>
      </c>
      <c r="N4778">
        <v>1475</v>
      </c>
      <c r="O4778" s="14">
        <v>0.52930526738055095</v>
      </c>
      <c r="P4778" s="14">
        <v>0.60125171788968101</v>
      </c>
      <c r="Q4778" t="str">
        <f t="shared" si="148"/>
        <v>35-49</v>
      </c>
      <c r="R4778" t="str">
        <f t="shared" si="149"/>
        <v>[gwVYinjBAe9]|35-49|Female|PMTCT_STAT_SUBNAT.N.New.Pos.T_1|CY2023Q3</v>
      </c>
    </row>
    <row r="4779" spans="4:18" x14ac:dyDescent="0.2">
      <c r="D4779" t="s">
        <v>98</v>
      </c>
      <c r="E4779" t="s">
        <v>99</v>
      </c>
      <c r="F4779" t="s">
        <v>100</v>
      </c>
      <c r="G4779" t="s">
        <v>162</v>
      </c>
      <c r="H4779" t="s">
        <v>161</v>
      </c>
      <c r="I4779" t="s">
        <v>37</v>
      </c>
      <c r="J4779" t="s">
        <v>38</v>
      </c>
      <c r="K4779" t="s">
        <v>29</v>
      </c>
      <c r="L4779" t="s">
        <v>30</v>
      </c>
      <c r="M4779" t="s">
        <v>139</v>
      </c>
      <c r="N4779">
        <v>669</v>
      </c>
      <c r="O4779" s="14">
        <v>0.10384756163694001</v>
      </c>
      <c r="P4779" s="14">
        <v>0.57728803809732199</v>
      </c>
      <c r="Q4779" t="str">
        <f t="shared" si="148"/>
        <v>15-24</v>
      </c>
      <c r="R4779" t="str">
        <f t="shared" si="149"/>
        <v>[mxqa3CDFmIT]|15-24|Female|PMTCT_STAT_SUBNAT.N.New.Pos.T_1|CY2023Q3</v>
      </c>
    </row>
    <row r="4780" spans="4:18" x14ac:dyDescent="0.2">
      <c r="D4780" t="s">
        <v>98</v>
      </c>
      <c r="E4780" t="s">
        <v>99</v>
      </c>
      <c r="F4780" t="s">
        <v>100</v>
      </c>
      <c r="G4780" t="s">
        <v>162</v>
      </c>
      <c r="H4780" t="s">
        <v>161</v>
      </c>
      <c r="I4780" t="s">
        <v>40</v>
      </c>
      <c r="J4780" t="s">
        <v>41</v>
      </c>
      <c r="K4780" t="s">
        <v>29</v>
      </c>
      <c r="L4780" t="s">
        <v>30</v>
      </c>
      <c r="M4780" t="s">
        <v>139</v>
      </c>
      <c r="N4780">
        <v>814</v>
      </c>
      <c r="O4780" s="14">
        <v>0.75710875354707197</v>
      </c>
      <c r="P4780" s="14">
        <v>0.57728803809732199</v>
      </c>
      <c r="Q4780" t="str">
        <f t="shared" si="148"/>
        <v>25-34</v>
      </c>
      <c r="R4780" t="str">
        <f t="shared" si="149"/>
        <v>[mxqa3CDFmIT]|25-34|Female|PMTCT_STAT_SUBNAT.N.New.Pos.T_1|CY2023Q3</v>
      </c>
    </row>
    <row r="4781" spans="4:18" x14ac:dyDescent="0.2">
      <c r="D4781" t="s">
        <v>98</v>
      </c>
      <c r="E4781" t="s">
        <v>99</v>
      </c>
      <c r="F4781" t="s">
        <v>100</v>
      </c>
      <c r="G4781" t="s">
        <v>162</v>
      </c>
      <c r="H4781" t="s">
        <v>161</v>
      </c>
      <c r="I4781" t="s">
        <v>42</v>
      </c>
      <c r="J4781" t="s">
        <v>43</v>
      </c>
      <c r="K4781" t="s">
        <v>29</v>
      </c>
      <c r="L4781" t="s">
        <v>30</v>
      </c>
      <c r="M4781" t="s">
        <v>139</v>
      </c>
      <c r="N4781">
        <v>1569</v>
      </c>
      <c r="O4781" s="14">
        <v>0.52838711068034205</v>
      </c>
      <c r="P4781" s="14">
        <v>0.57728803809732199</v>
      </c>
      <c r="Q4781" t="str">
        <f t="shared" si="148"/>
        <v>35-49</v>
      </c>
      <c r="R4781" t="str">
        <f t="shared" si="149"/>
        <v>[mxqa3CDFmIT]|35-49|Female|PMTCT_STAT_SUBNAT.N.New.Pos.T_1|CY2023Q3</v>
      </c>
    </row>
    <row r="4782" spans="4:18" x14ac:dyDescent="0.2">
      <c r="D4782" t="s">
        <v>101</v>
      </c>
      <c r="E4782" t="s">
        <v>102</v>
      </c>
      <c r="F4782" t="s">
        <v>103</v>
      </c>
      <c r="G4782" t="s">
        <v>162</v>
      </c>
      <c r="H4782" t="s">
        <v>161</v>
      </c>
      <c r="I4782" t="s">
        <v>37</v>
      </c>
      <c r="J4782" t="s">
        <v>38</v>
      </c>
      <c r="K4782" t="s">
        <v>29</v>
      </c>
      <c r="L4782" t="s">
        <v>30</v>
      </c>
      <c r="M4782" t="s">
        <v>139</v>
      </c>
      <c r="N4782">
        <v>503</v>
      </c>
      <c r="O4782" s="14">
        <v>0.99264805437996995</v>
      </c>
      <c r="P4782" s="14">
        <v>0.52621235931292198</v>
      </c>
      <c r="Q4782" t="str">
        <f t="shared" si="148"/>
        <v>15-24</v>
      </c>
      <c r="R4782" t="str">
        <f t="shared" si="149"/>
        <v>[wNqJp8oRIcF]|15-24|Female|PMTCT_STAT_SUBNAT.N.New.Pos.T_1|CY2023Q3</v>
      </c>
    </row>
    <row r="4783" spans="4:18" x14ac:dyDescent="0.2">
      <c r="D4783" t="s">
        <v>101</v>
      </c>
      <c r="E4783" t="s">
        <v>102</v>
      </c>
      <c r="F4783" t="s">
        <v>103</v>
      </c>
      <c r="G4783" t="s">
        <v>162</v>
      </c>
      <c r="H4783" t="s">
        <v>161</v>
      </c>
      <c r="I4783" t="s">
        <v>40</v>
      </c>
      <c r="J4783" t="s">
        <v>41</v>
      </c>
      <c r="K4783" t="s">
        <v>29</v>
      </c>
      <c r="L4783" t="s">
        <v>30</v>
      </c>
      <c r="M4783" t="s">
        <v>139</v>
      </c>
      <c r="N4783">
        <v>751</v>
      </c>
      <c r="O4783" s="14">
        <v>0.29609227599576099</v>
      </c>
      <c r="P4783" s="14">
        <v>0.52621235931292198</v>
      </c>
      <c r="Q4783" t="str">
        <f t="shared" si="148"/>
        <v>25-34</v>
      </c>
      <c r="R4783" t="str">
        <f t="shared" si="149"/>
        <v>[wNqJp8oRIcF]|25-34|Female|PMTCT_STAT_SUBNAT.N.New.Pos.T_1|CY2023Q3</v>
      </c>
    </row>
    <row r="4784" spans="4:18" x14ac:dyDescent="0.2">
      <c r="D4784" t="s">
        <v>101</v>
      </c>
      <c r="E4784" t="s">
        <v>102</v>
      </c>
      <c r="F4784" t="s">
        <v>103</v>
      </c>
      <c r="G4784" t="s">
        <v>162</v>
      </c>
      <c r="H4784" t="s">
        <v>161</v>
      </c>
      <c r="I4784" t="s">
        <v>42</v>
      </c>
      <c r="J4784" t="s">
        <v>43</v>
      </c>
      <c r="K4784" t="s">
        <v>29</v>
      </c>
      <c r="L4784" t="s">
        <v>30</v>
      </c>
      <c r="M4784" t="s">
        <v>139</v>
      </c>
      <c r="N4784">
        <v>1064</v>
      </c>
      <c r="O4784" s="14">
        <v>0.65912049706094</v>
      </c>
      <c r="P4784" s="14">
        <v>0.52621235931292198</v>
      </c>
      <c r="Q4784" t="str">
        <f t="shared" si="148"/>
        <v>35-49</v>
      </c>
      <c r="R4784" t="str">
        <f t="shared" si="149"/>
        <v>[wNqJp8oRIcF]|35-49|Female|PMTCT_STAT_SUBNAT.N.New.Pos.T_1|CY2023Q3</v>
      </c>
    </row>
    <row r="4785" spans="4:18" x14ac:dyDescent="0.2">
      <c r="D4785" t="s">
        <v>104</v>
      </c>
      <c r="E4785" t="s">
        <v>105</v>
      </c>
      <c r="F4785" t="s">
        <v>106</v>
      </c>
      <c r="G4785" t="s">
        <v>162</v>
      </c>
      <c r="H4785" t="s">
        <v>161</v>
      </c>
      <c r="I4785" t="s">
        <v>37</v>
      </c>
      <c r="J4785" t="s">
        <v>38</v>
      </c>
      <c r="K4785" t="s">
        <v>29</v>
      </c>
      <c r="L4785" t="s">
        <v>30</v>
      </c>
      <c r="M4785" t="s">
        <v>139</v>
      </c>
      <c r="N4785">
        <v>1149</v>
      </c>
      <c r="O4785" s="14">
        <v>0.73186067771166596</v>
      </c>
      <c r="P4785" s="14">
        <v>0.21824956033378801</v>
      </c>
      <c r="Q4785" t="str">
        <f t="shared" si="148"/>
        <v>15-24</v>
      </c>
      <c r="R4785" t="str">
        <f t="shared" si="149"/>
        <v>[oiPR2CiVJbf]|15-24|Female|PMTCT_STAT_SUBNAT.N.New.Pos.T_1|CY2023Q3</v>
      </c>
    </row>
    <row r="4786" spans="4:18" x14ac:dyDescent="0.2">
      <c r="D4786" t="s">
        <v>104</v>
      </c>
      <c r="E4786" t="s">
        <v>105</v>
      </c>
      <c r="F4786" t="s">
        <v>106</v>
      </c>
      <c r="G4786" t="s">
        <v>162</v>
      </c>
      <c r="H4786" t="s">
        <v>161</v>
      </c>
      <c r="I4786" t="s">
        <v>40</v>
      </c>
      <c r="J4786" t="s">
        <v>41</v>
      </c>
      <c r="K4786" t="s">
        <v>29</v>
      </c>
      <c r="L4786" t="s">
        <v>30</v>
      </c>
      <c r="M4786" t="s">
        <v>139</v>
      </c>
      <c r="N4786">
        <v>1519</v>
      </c>
      <c r="O4786" s="14">
        <v>0.54672921448945999</v>
      </c>
      <c r="P4786" s="14">
        <v>0.21824956033378801</v>
      </c>
      <c r="Q4786" t="str">
        <f t="shared" si="148"/>
        <v>25-34</v>
      </c>
      <c r="R4786" t="str">
        <f t="shared" si="149"/>
        <v>[oiPR2CiVJbf]|25-34|Female|PMTCT_STAT_SUBNAT.N.New.Pos.T_1|CY2023Q3</v>
      </c>
    </row>
    <row r="4787" spans="4:18" x14ac:dyDescent="0.2">
      <c r="D4787" t="s">
        <v>104</v>
      </c>
      <c r="E4787" t="s">
        <v>105</v>
      </c>
      <c r="F4787" t="s">
        <v>106</v>
      </c>
      <c r="G4787" t="s">
        <v>162</v>
      </c>
      <c r="H4787" t="s">
        <v>161</v>
      </c>
      <c r="I4787" t="s">
        <v>42</v>
      </c>
      <c r="J4787" t="s">
        <v>43</v>
      </c>
      <c r="K4787" t="s">
        <v>29</v>
      </c>
      <c r="L4787" t="s">
        <v>30</v>
      </c>
      <c r="M4787" t="s">
        <v>139</v>
      </c>
      <c r="N4787">
        <v>1255</v>
      </c>
      <c r="O4787" s="14">
        <v>0.39737788983620698</v>
      </c>
      <c r="P4787" s="14">
        <v>0.21824956033378801</v>
      </c>
      <c r="Q4787" t="str">
        <f t="shared" si="148"/>
        <v>35-49</v>
      </c>
      <c r="R4787" t="str">
        <f t="shared" si="149"/>
        <v>[oiPR2CiVJbf]|35-49|Female|PMTCT_STAT_SUBNAT.N.New.Pos.T_1|CY2023Q3</v>
      </c>
    </row>
    <row r="4788" spans="4:18" x14ac:dyDescent="0.2">
      <c r="D4788" t="s">
        <v>107</v>
      </c>
      <c r="E4788" t="s">
        <v>108</v>
      </c>
      <c r="F4788" t="s">
        <v>109</v>
      </c>
      <c r="G4788" t="s">
        <v>162</v>
      </c>
      <c r="H4788" t="s">
        <v>161</v>
      </c>
      <c r="I4788" t="s">
        <v>37</v>
      </c>
      <c r="J4788" t="s">
        <v>38</v>
      </c>
      <c r="K4788" t="s">
        <v>29</v>
      </c>
      <c r="L4788" t="s">
        <v>30</v>
      </c>
      <c r="M4788" t="s">
        <v>139</v>
      </c>
      <c r="N4788">
        <v>1258</v>
      </c>
      <c r="O4788" s="14">
        <v>0.14400624181143901</v>
      </c>
      <c r="P4788" s="14">
        <v>0.43422180437482899</v>
      </c>
      <c r="Q4788" t="str">
        <f t="shared" si="148"/>
        <v>15-24</v>
      </c>
      <c r="R4788" t="str">
        <f t="shared" si="149"/>
        <v>[ul0y9diGujK]|15-24|Female|PMTCT_STAT_SUBNAT.N.New.Pos.T_1|CY2023Q3</v>
      </c>
    </row>
    <row r="4789" spans="4:18" x14ac:dyDescent="0.2">
      <c r="D4789" t="s">
        <v>107</v>
      </c>
      <c r="E4789" t="s">
        <v>108</v>
      </c>
      <c r="F4789" t="s">
        <v>109</v>
      </c>
      <c r="G4789" t="s">
        <v>162</v>
      </c>
      <c r="H4789" t="s">
        <v>161</v>
      </c>
      <c r="I4789" t="s">
        <v>40</v>
      </c>
      <c r="J4789" t="s">
        <v>41</v>
      </c>
      <c r="K4789" t="s">
        <v>29</v>
      </c>
      <c r="L4789" t="s">
        <v>30</v>
      </c>
      <c r="M4789" t="s">
        <v>139</v>
      </c>
      <c r="N4789">
        <v>1891</v>
      </c>
      <c r="O4789" s="14">
        <v>0.22038305201567701</v>
      </c>
      <c r="P4789" s="14">
        <v>0.43422180437482899</v>
      </c>
      <c r="Q4789" t="str">
        <f t="shared" si="148"/>
        <v>25-34</v>
      </c>
      <c r="R4789" t="str">
        <f t="shared" si="149"/>
        <v>[ul0y9diGujK]|25-34|Female|PMTCT_STAT_SUBNAT.N.New.Pos.T_1|CY2023Q3</v>
      </c>
    </row>
    <row r="4790" spans="4:18" x14ac:dyDescent="0.2">
      <c r="D4790" t="s">
        <v>107</v>
      </c>
      <c r="E4790" t="s">
        <v>108</v>
      </c>
      <c r="F4790" t="s">
        <v>109</v>
      </c>
      <c r="G4790" t="s">
        <v>162</v>
      </c>
      <c r="H4790" t="s">
        <v>161</v>
      </c>
      <c r="I4790" t="s">
        <v>42</v>
      </c>
      <c r="J4790" t="s">
        <v>43</v>
      </c>
      <c r="K4790" t="s">
        <v>29</v>
      </c>
      <c r="L4790" t="s">
        <v>30</v>
      </c>
      <c r="M4790" t="s">
        <v>139</v>
      </c>
      <c r="N4790">
        <v>1354</v>
      </c>
      <c r="O4790" s="14">
        <v>0.64720920985564601</v>
      </c>
      <c r="P4790" s="14">
        <v>0.43422180437482899</v>
      </c>
      <c r="Q4790" t="str">
        <f t="shared" si="148"/>
        <v>35-49</v>
      </c>
      <c r="R4790" t="str">
        <f t="shared" si="149"/>
        <v>[ul0y9diGujK]|35-49|Female|PMTCT_STAT_SUBNAT.N.New.Pos.T_1|CY2023Q3</v>
      </c>
    </row>
    <row r="4791" spans="4:18" x14ac:dyDescent="0.2">
      <c r="D4791" t="s">
        <v>110</v>
      </c>
      <c r="E4791" t="s">
        <v>111</v>
      </c>
      <c r="F4791" t="s">
        <v>112</v>
      </c>
      <c r="G4791" t="s">
        <v>162</v>
      </c>
      <c r="H4791" t="s">
        <v>161</v>
      </c>
      <c r="I4791" t="s">
        <v>37</v>
      </c>
      <c r="J4791" t="s">
        <v>38</v>
      </c>
      <c r="K4791" t="s">
        <v>29</v>
      </c>
      <c r="L4791" t="s">
        <v>30</v>
      </c>
      <c r="M4791" t="s">
        <v>139</v>
      </c>
      <c r="N4791">
        <v>1430</v>
      </c>
      <c r="O4791" s="14">
        <v>0.88116254960186802</v>
      </c>
      <c r="P4791" s="14">
        <v>0.33776879496872397</v>
      </c>
      <c r="Q4791" t="str">
        <f t="shared" si="148"/>
        <v>15-24</v>
      </c>
      <c r="R4791" t="str">
        <f t="shared" si="149"/>
        <v>[U8c0so51kT6]|15-24|Female|PMTCT_STAT_SUBNAT.N.New.Pos.T_1|CY2023Q3</v>
      </c>
    </row>
    <row r="4792" spans="4:18" x14ac:dyDescent="0.2">
      <c r="D4792" t="s">
        <v>110</v>
      </c>
      <c r="E4792" t="s">
        <v>111</v>
      </c>
      <c r="F4792" t="s">
        <v>112</v>
      </c>
      <c r="G4792" t="s">
        <v>162</v>
      </c>
      <c r="H4792" t="s">
        <v>161</v>
      </c>
      <c r="I4792" t="s">
        <v>40</v>
      </c>
      <c r="J4792" t="s">
        <v>41</v>
      </c>
      <c r="K4792" t="s">
        <v>29</v>
      </c>
      <c r="L4792" t="s">
        <v>30</v>
      </c>
      <c r="M4792" t="s">
        <v>139</v>
      </c>
      <c r="N4792">
        <v>775</v>
      </c>
      <c r="O4792" s="14">
        <v>0.90474551287479699</v>
      </c>
      <c r="P4792" s="14">
        <v>0.33776879496872397</v>
      </c>
      <c r="Q4792" t="str">
        <f t="shared" si="148"/>
        <v>25-34</v>
      </c>
      <c r="R4792" t="str">
        <f t="shared" si="149"/>
        <v>[U8c0so51kT6]|25-34|Female|PMTCT_STAT_SUBNAT.N.New.Pos.T_1|CY2023Q3</v>
      </c>
    </row>
    <row r="4793" spans="4:18" x14ac:dyDescent="0.2">
      <c r="D4793" t="s">
        <v>110</v>
      </c>
      <c r="E4793" t="s">
        <v>111</v>
      </c>
      <c r="F4793" t="s">
        <v>112</v>
      </c>
      <c r="G4793" t="s">
        <v>162</v>
      </c>
      <c r="H4793" t="s">
        <v>161</v>
      </c>
      <c r="I4793" t="s">
        <v>42</v>
      </c>
      <c r="J4793" t="s">
        <v>43</v>
      </c>
      <c r="K4793" t="s">
        <v>29</v>
      </c>
      <c r="L4793" t="s">
        <v>30</v>
      </c>
      <c r="M4793" t="s">
        <v>139</v>
      </c>
      <c r="N4793">
        <v>1795</v>
      </c>
      <c r="O4793" s="14">
        <v>0.48793510976247501</v>
      </c>
      <c r="P4793" s="14">
        <v>0.33776879496872397</v>
      </c>
      <c r="Q4793" t="str">
        <f t="shared" si="148"/>
        <v>35-49</v>
      </c>
      <c r="R4793" t="str">
        <f t="shared" si="149"/>
        <v>[U8c0so51kT6]|35-49|Female|PMTCT_STAT_SUBNAT.N.New.Pos.T_1|CY2023Q3</v>
      </c>
    </row>
    <row r="4794" spans="4:18" x14ac:dyDescent="0.2">
      <c r="D4794" t="s">
        <v>113</v>
      </c>
      <c r="E4794" t="s">
        <v>114</v>
      </c>
      <c r="F4794" t="s">
        <v>115</v>
      </c>
      <c r="G4794" t="s">
        <v>162</v>
      </c>
      <c r="H4794" t="s">
        <v>161</v>
      </c>
      <c r="I4794" t="s">
        <v>37</v>
      </c>
      <c r="J4794" t="s">
        <v>38</v>
      </c>
      <c r="K4794" t="s">
        <v>29</v>
      </c>
      <c r="L4794" t="s">
        <v>30</v>
      </c>
      <c r="M4794" t="s">
        <v>139</v>
      </c>
      <c r="N4794">
        <v>1154</v>
      </c>
      <c r="O4794" s="14">
        <v>0.27709255157969898</v>
      </c>
      <c r="P4794" s="14">
        <v>0.29855980910360802</v>
      </c>
      <c r="Q4794" t="str">
        <f t="shared" si="148"/>
        <v>15-24</v>
      </c>
      <c r="R4794" t="str">
        <f t="shared" si="149"/>
        <v>[rpw540fmNUz]|15-24|Female|PMTCT_STAT_SUBNAT.N.New.Pos.T_1|CY2023Q3</v>
      </c>
    </row>
    <row r="4795" spans="4:18" x14ac:dyDescent="0.2">
      <c r="D4795" t="s">
        <v>113</v>
      </c>
      <c r="E4795" t="s">
        <v>114</v>
      </c>
      <c r="F4795" t="s">
        <v>115</v>
      </c>
      <c r="G4795" t="s">
        <v>162</v>
      </c>
      <c r="H4795" t="s">
        <v>161</v>
      </c>
      <c r="I4795" t="s">
        <v>40</v>
      </c>
      <c r="J4795" t="s">
        <v>41</v>
      </c>
      <c r="K4795" t="s">
        <v>29</v>
      </c>
      <c r="L4795" t="s">
        <v>30</v>
      </c>
      <c r="M4795" t="s">
        <v>139</v>
      </c>
      <c r="N4795">
        <v>627</v>
      </c>
      <c r="O4795" s="14">
        <v>0.31328077847137997</v>
      </c>
      <c r="P4795" s="14">
        <v>0.29855980910360802</v>
      </c>
      <c r="Q4795" t="str">
        <f t="shared" si="148"/>
        <v>25-34</v>
      </c>
      <c r="R4795" t="str">
        <f t="shared" si="149"/>
        <v>[rpw540fmNUz]|25-34|Female|PMTCT_STAT_SUBNAT.N.New.Pos.T_1|CY2023Q3</v>
      </c>
    </row>
    <row r="4796" spans="4:18" x14ac:dyDescent="0.2">
      <c r="D4796" t="s">
        <v>113</v>
      </c>
      <c r="E4796" t="s">
        <v>114</v>
      </c>
      <c r="F4796" t="s">
        <v>115</v>
      </c>
      <c r="G4796" t="s">
        <v>162</v>
      </c>
      <c r="H4796" t="s">
        <v>161</v>
      </c>
      <c r="I4796" t="s">
        <v>42</v>
      </c>
      <c r="J4796" t="s">
        <v>43</v>
      </c>
      <c r="K4796" t="s">
        <v>29</v>
      </c>
      <c r="L4796" t="s">
        <v>30</v>
      </c>
      <c r="M4796" t="s">
        <v>139</v>
      </c>
      <c r="N4796">
        <v>1382</v>
      </c>
      <c r="O4796" s="14">
        <v>0.1279128161259</v>
      </c>
      <c r="P4796" s="14">
        <v>0.29855980910360802</v>
      </c>
      <c r="Q4796" t="str">
        <f t="shared" si="148"/>
        <v>35-49</v>
      </c>
      <c r="R4796" t="str">
        <f t="shared" si="149"/>
        <v>[rpw540fmNUz]|35-49|Female|PMTCT_STAT_SUBNAT.N.New.Pos.T_1|CY2023Q3</v>
      </c>
    </row>
    <row r="4797" spans="4:18" x14ac:dyDescent="0.2">
      <c r="D4797" t="s">
        <v>116</v>
      </c>
      <c r="E4797" t="s">
        <v>117</v>
      </c>
      <c r="F4797" t="s">
        <v>118</v>
      </c>
      <c r="G4797" t="s">
        <v>162</v>
      </c>
      <c r="H4797" t="s">
        <v>161</v>
      </c>
      <c r="I4797" t="s">
        <v>37</v>
      </c>
      <c r="J4797" t="s">
        <v>38</v>
      </c>
      <c r="K4797" t="s">
        <v>29</v>
      </c>
      <c r="L4797" t="s">
        <v>30</v>
      </c>
      <c r="M4797" t="s">
        <v>139</v>
      </c>
      <c r="N4797">
        <v>1729</v>
      </c>
      <c r="O4797" s="14">
        <v>0.34236973873339599</v>
      </c>
      <c r="P4797" s="14">
        <v>0.206259709550068</v>
      </c>
      <c r="Q4797" t="str">
        <f t="shared" si="148"/>
        <v>15-24</v>
      </c>
      <c r="R4797" t="str">
        <f t="shared" si="149"/>
        <v>[lPTyjLi4w3d]|15-24|Female|PMTCT_STAT_SUBNAT.N.New.Pos.T_1|CY2023Q3</v>
      </c>
    </row>
    <row r="4798" spans="4:18" x14ac:dyDescent="0.2">
      <c r="D4798" t="s">
        <v>116</v>
      </c>
      <c r="E4798" t="s">
        <v>117</v>
      </c>
      <c r="F4798" t="s">
        <v>118</v>
      </c>
      <c r="G4798" t="s">
        <v>162</v>
      </c>
      <c r="H4798" t="s">
        <v>161</v>
      </c>
      <c r="I4798" t="s">
        <v>40</v>
      </c>
      <c r="J4798" t="s">
        <v>41</v>
      </c>
      <c r="K4798" t="s">
        <v>29</v>
      </c>
      <c r="L4798" t="s">
        <v>30</v>
      </c>
      <c r="M4798" t="s">
        <v>139</v>
      </c>
      <c r="N4798">
        <v>1780</v>
      </c>
      <c r="O4798" s="14">
        <v>0.48922222224064199</v>
      </c>
      <c r="P4798" s="14">
        <v>0.206259709550068</v>
      </c>
      <c r="Q4798" t="str">
        <f t="shared" si="148"/>
        <v>25-34</v>
      </c>
      <c r="R4798" t="str">
        <f t="shared" si="149"/>
        <v>[lPTyjLi4w3d]|25-34|Female|PMTCT_STAT_SUBNAT.N.New.Pos.T_1|CY2023Q3</v>
      </c>
    </row>
    <row r="4799" spans="4:18" x14ac:dyDescent="0.2">
      <c r="D4799" t="s">
        <v>116</v>
      </c>
      <c r="E4799" t="s">
        <v>117</v>
      </c>
      <c r="F4799" t="s">
        <v>118</v>
      </c>
      <c r="G4799" t="s">
        <v>162</v>
      </c>
      <c r="H4799" t="s">
        <v>161</v>
      </c>
      <c r="I4799" t="s">
        <v>42</v>
      </c>
      <c r="J4799" t="s">
        <v>43</v>
      </c>
      <c r="K4799" t="s">
        <v>29</v>
      </c>
      <c r="L4799" t="s">
        <v>30</v>
      </c>
      <c r="M4799" t="s">
        <v>139</v>
      </c>
      <c r="N4799">
        <v>929</v>
      </c>
      <c r="O4799" s="14">
        <v>0.649708846583962</v>
      </c>
      <c r="P4799" s="14">
        <v>0.206259709550068</v>
      </c>
      <c r="Q4799" t="str">
        <f t="shared" si="148"/>
        <v>35-49</v>
      </c>
      <c r="R4799" t="str">
        <f t="shared" si="149"/>
        <v>[lPTyjLi4w3d]|35-49|Female|PMTCT_STAT_SUBNAT.N.New.Pos.T_1|CY2023Q3</v>
      </c>
    </row>
    <row r="4800" spans="4:18" x14ac:dyDescent="0.2">
      <c r="D4800" t="s">
        <v>119</v>
      </c>
      <c r="E4800" t="s">
        <v>120</v>
      </c>
      <c r="F4800" t="s">
        <v>121</v>
      </c>
      <c r="G4800" t="s">
        <v>162</v>
      </c>
      <c r="H4800" t="s">
        <v>161</v>
      </c>
      <c r="I4800" t="s">
        <v>37</v>
      </c>
      <c r="J4800" t="s">
        <v>38</v>
      </c>
      <c r="K4800" t="s">
        <v>29</v>
      </c>
      <c r="L4800" t="s">
        <v>30</v>
      </c>
      <c r="M4800" t="s">
        <v>139</v>
      </c>
      <c r="N4800">
        <v>1215</v>
      </c>
      <c r="O4800" s="14">
        <v>0.12600985099561501</v>
      </c>
      <c r="P4800" s="14">
        <v>0.43010397930629601</v>
      </c>
      <c r="Q4800" t="str">
        <f t="shared" si="148"/>
        <v>15-24</v>
      </c>
      <c r="R4800" t="str">
        <f t="shared" si="149"/>
        <v>[vA4NcHxfMBq]|15-24|Female|PMTCT_STAT_SUBNAT.N.New.Pos.T_1|CY2023Q3</v>
      </c>
    </row>
    <row r="4801" spans="4:18" x14ac:dyDescent="0.2">
      <c r="D4801" t="s">
        <v>119</v>
      </c>
      <c r="E4801" t="s">
        <v>120</v>
      </c>
      <c r="F4801" t="s">
        <v>121</v>
      </c>
      <c r="G4801" t="s">
        <v>162</v>
      </c>
      <c r="H4801" t="s">
        <v>161</v>
      </c>
      <c r="I4801" t="s">
        <v>40</v>
      </c>
      <c r="J4801" t="s">
        <v>41</v>
      </c>
      <c r="K4801" t="s">
        <v>29</v>
      </c>
      <c r="L4801" t="s">
        <v>30</v>
      </c>
      <c r="M4801" t="s">
        <v>139</v>
      </c>
      <c r="N4801">
        <v>541</v>
      </c>
      <c r="O4801" s="14">
        <v>0.44006468518637099</v>
      </c>
      <c r="P4801" s="14">
        <v>0.43010397930629601</v>
      </c>
      <c r="Q4801" t="str">
        <f t="shared" si="148"/>
        <v>25-34</v>
      </c>
      <c r="R4801" t="str">
        <f t="shared" si="149"/>
        <v>[vA4NcHxfMBq]|25-34|Female|PMTCT_STAT_SUBNAT.N.New.Pos.T_1|CY2023Q3</v>
      </c>
    </row>
    <row r="4802" spans="4:18" x14ac:dyDescent="0.2">
      <c r="D4802" t="s">
        <v>119</v>
      </c>
      <c r="E4802" t="s">
        <v>120</v>
      </c>
      <c r="F4802" t="s">
        <v>121</v>
      </c>
      <c r="G4802" t="s">
        <v>162</v>
      </c>
      <c r="H4802" t="s">
        <v>161</v>
      </c>
      <c r="I4802" t="s">
        <v>42</v>
      </c>
      <c r="J4802" t="s">
        <v>43</v>
      </c>
      <c r="K4802" t="s">
        <v>29</v>
      </c>
      <c r="L4802" t="s">
        <v>30</v>
      </c>
      <c r="M4802" t="s">
        <v>139</v>
      </c>
      <c r="N4802">
        <v>1600</v>
      </c>
      <c r="O4802" s="14">
        <v>0.62902076006867003</v>
      </c>
      <c r="P4802" s="14">
        <v>0.43010397930629601</v>
      </c>
      <c r="Q4802" t="str">
        <f t="shared" ref="Q4802:Q4865" si="150">SUBSTITUTE(SUBSTITUTE($I4802,CHAR(61),""),CHAR(34),"")</f>
        <v>35-49</v>
      </c>
      <c r="R4802" t="str">
        <f t="shared" ref="R4802:R4865" si="151">IF($D4802&lt;&gt;"","["&amp;$E4802&amp;"]"&amp;"|"&amp;$Q4802&amp;"|"&amp;$K4802&amp;"|"&amp;$G4802&amp;"|"&amp;IF($G4802="TX_CURR_SUBNAT.R","CY2022Q4",$M4802),"")</f>
        <v>[vA4NcHxfMBq]|35-49|Female|PMTCT_STAT_SUBNAT.N.New.Pos.T_1|CY2023Q3</v>
      </c>
    </row>
    <row r="4803" spans="4:18" x14ac:dyDescent="0.2">
      <c r="D4803" t="s">
        <v>122</v>
      </c>
      <c r="E4803" t="s">
        <v>123</v>
      </c>
      <c r="F4803" t="s">
        <v>124</v>
      </c>
      <c r="G4803" t="s">
        <v>162</v>
      </c>
      <c r="H4803" t="s">
        <v>161</v>
      </c>
      <c r="I4803" t="s">
        <v>37</v>
      </c>
      <c r="J4803" t="s">
        <v>38</v>
      </c>
      <c r="K4803" t="s">
        <v>29</v>
      </c>
      <c r="L4803" t="s">
        <v>30</v>
      </c>
      <c r="M4803" t="s">
        <v>139</v>
      </c>
      <c r="N4803">
        <v>545</v>
      </c>
      <c r="O4803" s="14">
        <v>0.54145508189685598</v>
      </c>
      <c r="P4803" s="14">
        <v>0.41950060334056599</v>
      </c>
      <c r="Q4803" t="str">
        <f t="shared" si="150"/>
        <v>15-24</v>
      </c>
      <c r="R4803" t="str">
        <f t="shared" si="151"/>
        <v>[E7zpfyBt7Tw]|15-24|Female|PMTCT_STAT_SUBNAT.N.New.Pos.T_1|CY2023Q3</v>
      </c>
    </row>
    <row r="4804" spans="4:18" x14ac:dyDescent="0.2">
      <c r="D4804" t="s">
        <v>122</v>
      </c>
      <c r="E4804" t="s">
        <v>123</v>
      </c>
      <c r="F4804" t="s">
        <v>124</v>
      </c>
      <c r="G4804" t="s">
        <v>162</v>
      </c>
      <c r="H4804" t="s">
        <v>161</v>
      </c>
      <c r="I4804" t="s">
        <v>40</v>
      </c>
      <c r="J4804" t="s">
        <v>41</v>
      </c>
      <c r="K4804" t="s">
        <v>29</v>
      </c>
      <c r="L4804" t="s">
        <v>30</v>
      </c>
      <c r="M4804" t="s">
        <v>139</v>
      </c>
      <c r="N4804">
        <v>1581</v>
      </c>
      <c r="O4804" s="14">
        <v>0.97987247933633603</v>
      </c>
      <c r="P4804" s="14">
        <v>0.41950060334056599</v>
      </c>
      <c r="Q4804" t="str">
        <f t="shared" si="150"/>
        <v>25-34</v>
      </c>
      <c r="R4804" t="str">
        <f t="shared" si="151"/>
        <v>[E7zpfyBt7Tw]|25-34|Female|PMTCT_STAT_SUBNAT.N.New.Pos.T_1|CY2023Q3</v>
      </c>
    </row>
    <row r="4805" spans="4:18" x14ac:dyDescent="0.2">
      <c r="D4805" t="s">
        <v>122</v>
      </c>
      <c r="E4805" t="s">
        <v>123</v>
      </c>
      <c r="F4805" t="s">
        <v>124</v>
      </c>
      <c r="G4805" t="s">
        <v>162</v>
      </c>
      <c r="H4805" t="s">
        <v>161</v>
      </c>
      <c r="I4805" t="s">
        <v>42</v>
      </c>
      <c r="J4805" t="s">
        <v>43</v>
      </c>
      <c r="K4805" t="s">
        <v>29</v>
      </c>
      <c r="L4805" t="s">
        <v>30</v>
      </c>
      <c r="M4805" t="s">
        <v>139</v>
      </c>
      <c r="N4805">
        <v>1745</v>
      </c>
      <c r="O4805" s="14">
        <v>9.0191763127222699E-2</v>
      </c>
      <c r="P4805" s="14">
        <v>0.41950060334056599</v>
      </c>
      <c r="Q4805" t="str">
        <f t="shared" si="150"/>
        <v>35-49</v>
      </c>
      <c r="R4805" t="str">
        <f t="shared" si="151"/>
        <v>[E7zpfyBt7Tw]|35-49|Female|PMTCT_STAT_SUBNAT.N.New.Pos.T_1|CY2023Q3</v>
      </c>
    </row>
    <row r="4806" spans="4:18" x14ac:dyDescent="0.2">
      <c r="D4806" t="s">
        <v>125</v>
      </c>
      <c r="E4806" t="s">
        <v>126</v>
      </c>
      <c r="F4806" t="s">
        <v>127</v>
      </c>
      <c r="G4806" t="s">
        <v>162</v>
      </c>
      <c r="H4806" t="s">
        <v>161</v>
      </c>
      <c r="I4806" t="s">
        <v>37</v>
      </c>
      <c r="J4806" t="s">
        <v>38</v>
      </c>
      <c r="K4806" t="s">
        <v>29</v>
      </c>
      <c r="L4806" t="s">
        <v>30</v>
      </c>
      <c r="M4806" t="s">
        <v>139</v>
      </c>
      <c r="N4806">
        <v>1079</v>
      </c>
      <c r="O4806" s="14">
        <v>0.36906100506894302</v>
      </c>
      <c r="P4806" s="14">
        <v>0.25270639033988102</v>
      </c>
      <c r="Q4806" t="str">
        <f t="shared" si="150"/>
        <v>15-24</v>
      </c>
      <c r="R4806" t="str">
        <f t="shared" si="151"/>
        <v>[ZCjuwgaMB9u]|15-24|Female|PMTCT_STAT_SUBNAT.N.New.Pos.T_1|CY2023Q3</v>
      </c>
    </row>
    <row r="4807" spans="4:18" x14ac:dyDescent="0.2">
      <c r="D4807" t="s">
        <v>125</v>
      </c>
      <c r="E4807" t="s">
        <v>126</v>
      </c>
      <c r="F4807" t="s">
        <v>127</v>
      </c>
      <c r="G4807" t="s">
        <v>162</v>
      </c>
      <c r="H4807" t="s">
        <v>161</v>
      </c>
      <c r="I4807" t="s">
        <v>40</v>
      </c>
      <c r="J4807" t="s">
        <v>41</v>
      </c>
      <c r="K4807" t="s">
        <v>29</v>
      </c>
      <c r="L4807" t="s">
        <v>30</v>
      </c>
      <c r="M4807" t="s">
        <v>139</v>
      </c>
      <c r="N4807">
        <v>1667</v>
      </c>
      <c r="O4807" s="14">
        <v>0.86888343538157597</v>
      </c>
      <c r="P4807" s="14">
        <v>0.25270639033988102</v>
      </c>
      <c r="Q4807" t="str">
        <f t="shared" si="150"/>
        <v>25-34</v>
      </c>
      <c r="R4807" t="str">
        <f t="shared" si="151"/>
        <v>[ZCjuwgaMB9u]|25-34|Female|PMTCT_STAT_SUBNAT.N.New.Pos.T_1|CY2023Q3</v>
      </c>
    </row>
    <row r="4808" spans="4:18" x14ac:dyDescent="0.2">
      <c r="D4808" t="s">
        <v>125</v>
      </c>
      <c r="E4808" t="s">
        <v>126</v>
      </c>
      <c r="F4808" t="s">
        <v>127</v>
      </c>
      <c r="G4808" t="s">
        <v>162</v>
      </c>
      <c r="H4808" t="s">
        <v>161</v>
      </c>
      <c r="I4808" t="s">
        <v>42</v>
      </c>
      <c r="J4808" t="s">
        <v>43</v>
      </c>
      <c r="K4808" t="s">
        <v>29</v>
      </c>
      <c r="L4808" t="s">
        <v>30</v>
      </c>
      <c r="M4808" t="s">
        <v>139</v>
      </c>
      <c r="N4808">
        <v>835</v>
      </c>
      <c r="O4808" s="14">
        <v>0.39645626046694799</v>
      </c>
      <c r="P4808" s="14">
        <v>0.25270639033988102</v>
      </c>
      <c r="Q4808" t="str">
        <f t="shared" si="150"/>
        <v>35-49</v>
      </c>
      <c r="R4808" t="str">
        <f t="shared" si="151"/>
        <v>[ZCjuwgaMB9u]|35-49|Female|PMTCT_STAT_SUBNAT.N.New.Pos.T_1|CY2023Q3</v>
      </c>
    </row>
    <row r="4809" spans="4:18" x14ac:dyDescent="0.2">
      <c r="D4809" t="s">
        <v>128</v>
      </c>
      <c r="E4809" t="s">
        <v>129</v>
      </c>
      <c r="F4809" t="s">
        <v>130</v>
      </c>
      <c r="G4809" t="s">
        <v>162</v>
      </c>
      <c r="H4809" t="s">
        <v>161</v>
      </c>
      <c r="I4809" t="s">
        <v>37</v>
      </c>
      <c r="J4809" t="s">
        <v>38</v>
      </c>
      <c r="K4809" t="s">
        <v>29</v>
      </c>
      <c r="L4809" t="s">
        <v>30</v>
      </c>
      <c r="M4809" t="s">
        <v>139</v>
      </c>
      <c r="N4809">
        <v>1721</v>
      </c>
      <c r="O4809" s="14">
        <v>0.91673921141773496</v>
      </c>
      <c r="P4809" s="14">
        <v>0.55690808477811504</v>
      </c>
      <c r="Q4809" t="str">
        <f t="shared" si="150"/>
        <v>15-24</v>
      </c>
      <c r="R4809" t="str">
        <f t="shared" si="151"/>
        <v>[YCKiBAp8QAg]|15-24|Female|PMTCT_STAT_SUBNAT.N.New.Pos.T_1|CY2023Q3</v>
      </c>
    </row>
    <row r="4810" spans="4:18" x14ac:dyDescent="0.2">
      <c r="D4810" t="s">
        <v>128</v>
      </c>
      <c r="E4810" t="s">
        <v>129</v>
      </c>
      <c r="F4810" t="s">
        <v>130</v>
      </c>
      <c r="G4810" t="s">
        <v>162</v>
      </c>
      <c r="H4810" t="s">
        <v>161</v>
      </c>
      <c r="I4810" t="s">
        <v>40</v>
      </c>
      <c r="J4810" t="s">
        <v>41</v>
      </c>
      <c r="K4810" t="s">
        <v>29</v>
      </c>
      <c r="L4810" t="s">
        <v>30</v>
      </c>
      <c r="M4810" t="s">
        <v>139</v>
      </c>
      <c r="N4810">
        <v>1847</v>
      </c>
      <c r="O4810" s="14">
        <v>0.74747535726055503</v>
      </c>
      <c r="P4810" s="14">
        <v>0.55690808477811504</v>
      </c>
      <c r="Q4810" t="str">
        <f t="shared" si="150"/>
        <v>25-34</v>
      </c>
      <c r="R4810" t="str">
        <f t="shared" si="151"/>
        <v>[YCKiBAp8QAg]|25-34|Female|PMTCT_STAT_SUBNAT.N.New.Pos.T_1|CY2023Q3</v>
      </c>
    </row>
    <row r="4811" spans="4:18" x14ac:dyDescent="0.2">
      <c r="D4811" t="s">
        <v>128</v>
      </c>
      <c r="E4811" t="s">
        <v>129</v>
      </c>
      <c r="F4811" t="s">
        <v>130</v>
      </c>
      <c r="G4811" t="s">
        <v>162</v>
      </c>
      <c r="H4811" t="s">
        <v>161</v>
      </c>
      <c r="I4811" t="s">
        <v>42</v>
      </c>
      <c r="J4811" t="s">
        <v>43</v>
      </c>
      <c r="K4811" t="s">
        <v>29</v>
      </c>
      <c r="L4811" t="s">
        <v>30</v>
      </c>
      <c r="M4811" t="s">
        <v>139</v>
      </c>
      <c r="N4811">
        <v>802</v>
      </c>
      <c r="O4811" s="14">
        <v>0.162395988358185</v>
      </c>
      <c r="P4811" s="14">
        <v>0.55690808477811504</v>
      </c>
      <c r="Q4811" t="str">
        <f t="shared" si="150"/>
        <v>35-49</v>
      </c>
      <c r="R4811" t="str">
        <f t="shared" si="151"/>
        <v>[YCKiBAp8QAg]|35-49|Female|PMTCT_STAT_SUBNAT.N.New.Pos.T_1|CY2023Q3</v>
      </c>
    </row>
    <row r="4812" spans="4:18" x14ac:dyDescent="0.2">
      <c r="D4812" t="s">
        <v>131</v>
      </c>
      <c r="E4812" t="s">
        <v>132</v>
      </c>
      <c r="F4812" t="s">
        <v>133</v>
      </c>
      <c r="G4812" t="s">
        <v>162</v>
      </c>
      <c r="H4812" t="s">
        <v>161</v>
      </c>
      <c r="I4812" t="s">
        <v>37</v>
      </c>
      <c r="J4812" t="s">
        <v>38</v>
      </c>
      <c r="K4812" t="s">
        <v>29</v>
      </c>
      <c r="L4812" t="s">
        <v>30</v>
      </c>
      <c r="M4812" t="s">
        <v>139</v>
      </c>
      <c r="N4812">
        <v>687</v>
      </c>
      <c r="O4812" s="14">
        <v>0.13085540267638901</v>
      </c>
      <c r="P4812" s="14">
        <v>0.16286319401115201</v>
      </c>
      <c r="Q4812" t="str">
        <f t="shared" si="150"/>
        <v>15-24</v>
      </c>
      <c r="R4812" t="str">
        <f t="shared" si="151"/>
        <v>[JQKLKuVuY61]|15-24|Female|PMTCT_STAT_SUBNAT.N.New.Pos.T_1|CY2023Q3</v>
      </c>
    </row>
    <row r="4813" spans="4:18" x14ac:dyDescent="0.2">
      <c r="D4813" t="s">
        <v>131</v>
      </c>
      <c r="E4813" t="s">
        <v>132</v>
      </c>
      <c r="F4813" t="s">
        <v>133</v>
      </c>
      <c r="G4813" t="s">
        <v>162</v>
      </c>
      <c r="H4813" t="s">
        <v>161</v>
      </c>
      <c r="I4813" t="s">
        <v>40</v>
      </c>
      <c r="J4813" t="s">
        <v>41</v>
      </c>
      <c r="K4813" t="s">
        <v>29</v>
      </c>
      <c r="L4813" t="s">
        <v>30</v>
      </c>
      <c r="M4813" t="s">
        <v>139</v>
      </c>
      <c r="N4813">
        <v>770</v>
      </c>
      <c r="O4813" s="14">
        <v>0.36399331479333302</v>
      </c>
      <c r="P4813" s="14">
        <v>0.16286319401115201</v>
      </c>
      <c r="Q4813" t="str">
        <f t="shared" si="150"/>
        <v>25-34</v>
      </c>
      <c r="R4813" t="str">
        <f t="shared" si="151"/>
        <v>[JQKLKuVuY61]|25-34|Female|PMTCT_STAT_SUBNAT.N.New.Pos.T_1|CY2023Q3</v>
      </c>
    </row>
    <row r="4814" spans="4:18" x14ac:dyDescent="0.2">
      <c r="D4814" t="s">
        <v>131</v>
      </c>
      <c r="E4814" t="s">
        <v>132</v>
      </c>
      <c r="F4814" t="s">
        <v>133</v>
      </c>
      <c r="G4814" t="s">
        <v>162</v>
      </c>
      <c r="H4814" t="s">
        <v>161</v>
      </c>
      <c r="I4814" t="s">
        <v>42</v>
      </c>
      <c r="J4814" t="s">
        <v>43</v>
      </c>
      <c r="K4814" t="s">
        <v>29</v>
      </c>
      <c r="L4814" t="s">
        <v>30</v>
      </c>
      <c r="M4814" t="s">
        <v>139</v>
      </c>
      <c r="N4814">
        <v>1857</v>
      </c>
      <c r="O4814" s="14">
        <v>0.492446199059486</v>
      </c>
      <c r="P4814" s="14">
        <v>0.16286319401115201</v>
      </c>
      <c r="Q4814" t="str">
        <f t="shared" si="150"/>
        <v>35-49</v>
      </c>
      <c r="R4814" t="str">
        <f t="shared" si="151"/>
        <v>[JQKLKuVuY61]|35-49|Female|PMTCT_STAT_SUBNAT.N.New.Pos.T_1|CY2023Q3</v>
      </c>
    </row>
    <row r="4815" spans="4:18" x14ac:dyDescent="0.2">
      <c r="D4815" t="s">
        <v>134</v>
      </c>
      <c r="E4815" t="s">
        <v>135</v>
      </c>
      <c r="F4815" t="s">
        <v>136</v>
      </c>
      <c r="G4815" t="s">
        <v>162</v>
      </c>
      <c r="H4815" t="s">
        <v>161</v>
      </c>
      <c r="I4815" t="s">
        <v>37</v>
      </c>
      <c r="J4815" t="s">
        <v>38</v>
      </c>
      <c r="K4815" t="s">
        <v>29</v>
      </c>
      <c r="L4815" t="s">
        <v>30</v>
      </c>
      <c r="M4815" t="s">
        <v>139</v>
      </c>
      <c r="N4815">
        <v>703</v>
      </c>
      <c r="O4815" s="14">
        <v>0.13085962366312701</v>
      </c>
      <c r="P4815" s="14">
        <v>0.95530052832327805</v>
      </c>
      <c r="Q4815" t="str">
        <f t="shared" si="150"/>
        <v>15-24</v>
      </c>
      <c r="R4815" t="str">
        <f t="shared" si="151"/>
        <v>[fiRkU6gEjLz]|15-24|Female|PMTCT_STAT_SUBNAT.N.New.Pos.T_1|CY2023Q3</v>
      </c>
    </row>
    <row r="4816" spans="4:18" x14ac:dyDescent="0.2">
      <c r="D4816" t="s">
        <v>134</v>
      </c>
      <c r="E4816" t="s">
        <v>135</v>
      </c>
      <c r="F4816" t="s">
        <v>136</v>
      </c>
      <c r="G4816" t="s">
        <v>162</v>
      </c>
      <c r="H4816" t="s">
        <v>161</v>
      </c>
      <c r="I4816" t="s">
        <v>40</v>
      </c>
      <c r="J4816" t="s">
        <v>41</v>
      </c>
      <c r="K4816" t="s">
        <v>29</v>
      </c>
      <c r="L4816" t="s">
        <v>30</v>
      </c>
      <c r="M4816" t="s">
        <v>139</v>
      </c>
      <c r="N4816">
        <v>1516</v>
      </c>
      <c r="O4816" s="14">
        <v>0.138418241403997</v>
      </c>
      <c r="P4816" s="14">
        <v>0.95530052832327805</v>
      </c>
      <c r="Q4816" t="str">
        <f t="shared" si="150"/>
        <v>25-34</v>
      </c>
      <c r="R4816" t="str">
        <f t="shared" si="151"/>
        <v>[fiRkU6gEjLz]|25-34|Female|PMTCT_STAT_SUBNAT.N.New.Pos.T_1|CY2023Q3</v>
      </c>
    </row>
    <row r="4817" spans="4:18" x14ac:dyDescent="0.2">
      <c r="D4817" t="s">
        <v>134</v>
      </c>
      <c r="E4817" t="s">
        <v>135</v>
      </c>
      <c r="F4817" t="s">
        <v>136</v>
      </c>
      <c r="G4817" t="s">
        <v>162</v>
      </c>
      <c r="H4817" t="s">
        <v>161</v>
      </c>
      <c r="I4817" t="s">
        <v>42</v>
      </c>
      <c r="J4817" t="s">
        <v>43</v>
      </c>
      <c r="K4817" t="s">
        <v>29</v>
      </c>
      <c r="L4817" t="s">
        <v>30</v>
      </c>
      <c r="M4817" t="s">
        <v>139</v>
      </c>
      <c r="N4817">
        <v>1320</v>
      </c>
      <c r="O4817" s="14">
        <v>5.7373759336769602E-2</v>
      </c>
      <c r="P4817" s="14">
        <v>0.95530052832327805</v>
      </c>
      <c r="Q4817" t="str">
        <f t="shared" si="150"/>
        <v>35-49</v>
      </c>
      <c r="R4817" t="str">
        <f t="shared" si="151"/>
        <v>[fiRkU6gEjLz]|35-49|Female|PMTCT_STAT_SUBNAT.N.New.Pos.T_1|CY2023Q3</v>
      </c>
    </row>
    <row r="4818" spans="4:18" x14ac:dyDescent="0.2">
      <c r="D4818" t="s">
        <v>22</v>
      </c>
      <c r="E4818" t="s">
        <v>23</v>
      </c>
      <c r="F4818" t="s">
        <v>24</v>
      </c>
      <c r="G4818" t="s">
        <v>163</v>
      </c>
      <c r="H4818" t="s">
        <v>161</v>
      </c>
      <c r="I4818" t="s">
        <v>37</v>
      </c>
      <c r="J4818" t="s">
        <v>38</v>
      </c>
      <c r="K4818" t="s">
        <v>29</v>
      </c>
      <c r="L4818" t="s">
        <v>30</v>
      </c>
      <c r="M4818" t="s">
        <v>139</v>
      </c>
      <c r="N4818">
        <v>1584</v>
      </c>
      <c r="O4818" s="14">
        <v>0.796810176456347</v>
      </c>
      <c r="P4818" s="14">
        <v>0.40435861097648701</v>
      </c>
      <c r="Q4818" t="str">
        <f t="shared" si="150"/>
        <v>15-24</v>
      </c>
      <c r="R4818" t="str">
        <f t="shared" si="151"/>
        <v>[GkIwZrXy1h2]|15-24|Female|PMTCT_STAT_SUBNAT.N.New.Neg.T_1|CY2023Q3</v>
      </c>
    </row>
    <row r="4819" spans="4:18" x14ac:dyDescent="0.2">
      <c r="D4819" t="s">
        <v>22</v>
      </c>
      <c r="E4819" t="s">
        <v>23</v>
      </c>
      <c r="F4819" t="s">
        <v>24</v>
      </c>
      <c r="G4819" t="s">
        <v>163</v>
      </c>
      <c r="H4819" t="s">
        <v>161</v>
      </c>
      <c r="I4819" t="s">
        <v>40</v>
      </c>
      <c r="J4819" t="s">
        <v>41</v>
      </c>
      <c r="K4819" t="s">
        <v>29</v>
      </c>
      <c r="L4819" t="s">
        <v>30</v>
      </c>
      <c r="M4819" t="s">
        <v>139</v>
      </c>
      <c r="N4819">
        <v>1301</v>
      </c>
      <c r="O4819" s="14">
        <v>0.522333362139761</v>
      </c>
      <c r="P4819" s="14">
        <v>0.40435861097648701</v>
      </c>
      <c r="Q4819" t="str">
        <f t="shared" si="150"/>
        <v>25-34</v>
      </c>
      <c r="R4819" t="str">
        <f t="shared" si="151"/>
        <v>[GkIwZrXy1h2]|25-34|Female|PMTCT_STAT_SUBNAT.N.New.Neg.T_1|CY2023Q3</v>
      </c>
    </row>
    <row r="4820" spans="4:18" x14ac:dyDescent="0.2">
      <c r="D4820" t="s">
        <v>22</v>
      </c>
      <c r="E4820" t="s">
        <v>23</v>
      </c>
      <c r="F4820" t="s">
        <v>24</v>
      </c>
      <c r="G4820" t="s">
        <v>163</v>
      </c>
      <c r="H4820" t="s">
        <v>161</v>
      </c>
      <c r="I4820" t="s">
        <v>42</v>
      </c>
      <c r="J4820" t="s">
        <v>43</v>
      </c>
      <c r="K4820" t="s">
        <v>29</v>
      </c>
      <c r="L4820" t="s">
        <v>30</v>
      </c>
      <c r="M4820" t="s">
        <v>139</v>
      </c>
      <c r="N4820">
        <v>794</v>
      </c>
      <c r="O4820" s="14">
        <v>0.20539188361726701</v>
      </c>
      <c r="P4820" s="14">
        <v>0.40435861097648701</v>
      </c>
      <c r="Q4820" t="str">
        <f t="shared" si="150"/>
        <v>35-49</v>
      </c>
      <c r="R4820" t="str">
        <f t="shared" si="151"/>
        <v>[GkIwZrXy1h2]|35-49|Female|PMTCT_STAT_SUBNAT.N.New.Neg.T_1|CY2023Q3</v>
      </c>
    </row>
    <row r="4821" spans="4:18" x14ac:dyDescent="0.2">
      <c r="D4821" t="s">
        <v>52</v>
      </c>
      <c r="E4821" t="s">
        <v>53</v>
      </c>
      <c r="F4821" t="s">
        <v>54</v>
      </c>
      <c r="G4821" t="s">
        <v>163</v>
      </c>
      <c r="H4821" t="s">
        <v>161</v>
      </c>
      <c r="I4821" t="s">
        <v>37</v>
      </c>
      <c r="J4821" t="s">
        <v>38</v>
      </c>
      <c r="K4821" t="s">
        <v>29</v>
      </c>
      <c r="L4821" t="s">
        <v>30</v>
      </c>
      <c r="M4821" t="s">
        <v>139</v>
      </c>
      <c r="N4821">
        <v>1303</v>
      </c>
      <c r="O4821" s="14">
        <v>0.368469306267798</v>
      </c>
      <c r="P4821" s="14">
        <v>0.61639246996492103</v>
      </c>
      <c r="Q4821" t="str">
        <f t="shared" si="150"/>
        <v>15-24</v>
      </c>
      <c r="R4821" t="str">
        <f t="shared" si="151"/>
        <v>[zphK9WV8JB4]|15-24|Female|PMTCT_STAT_SUBNAT.N.New.Neg.T_1|CY2023Q3</v>
      </c>
    </row>
    <row r="4822" spans="4:18" x14ac:dyDescent="0.2">
      <c r="D4822" t="s">
        <v>52</v>
      </c>
      <c r="E4822" t="s">
        <v>53</v>
      </c>
      <c r="F4822" t="s">
        <v>54</v>
      </c>
      <c r="G4822" t="s">
        <v>163</v>
      </c>
      <c r="H4822" t="s">
        <v>161</v>
      </c>
      <c r="I4822" t="s">
        <v>40</v>
      </c>
      <c r="J4822" t="s">
        <v>41</v>
      </c>
      <c r="K4822" t="s">
        <v>29</v>
      </c>
      <c r="L4822" t="s">
        <v>30</v>
      </c>
      <c r="M4822" t="s">
        <v>139</v>
      </c>
      <c r="N4822">
        <v>1313</v>
      </c>
      <c r="O4822" s="14">
        <v>0.53765367460437097</v>
      </c>
      <c r="P4822" s="14">
        <v>0.61639246996492103</v>
      </c>
      <c r="Q4822" t="str">
        <f t="shared" si="150"/>
        <v>25-34</v>
      </c>
      <c r="R4822" t="str">
        <f t="shared" si="151"/>
        <v>[zphK9WV8JB4]|25-34|Female|PMTCT_STAT_SUBNAT.N.New.Neg.T_1|CY2023Q3</v>
      </c>
    </row>
    <row r="4823" spans="4:18" x14ac:dyDescent="0.2">
      <c r="D4823" t="s">
        <v>52</v>
      </c>
      <c r="E4823" t="s">
        <v>53</v>
      </c>
      <c r="F4823" t="s">
        <v>54</v>
      </c>
      <c r="G4823" t="s">
        <v>163</v>
      </c>
      <c r="H4823" t="s">
        <v>161</v>
      </c>
      <c r="I4823" t="s">
        <v>42</v>
      </c>
      <c r="J4823" t="s">
        <v>43</v>
      </c>
      <c r="K4823" t="s">
        <v>29</v>
      </c>
      <c r="L4823" t="s">
        <v>30</v>
      </c>
      <c r="M4823" t="s">
        <v>139</v>
      </c>
      <c r="N4823">
        <v>1910</v>
      </c>
      <c r="O4823" s="14">
        <v>0.37545424723066401</v>
      </c>
      <c r="P4823" s="14">
        <v>0.61639246996492103</v>
      </c>
      <c r="Q4823" t="str">
        <f t="shared" si="150"/>
        <v>35-49</v>
      </c>
      <c r="R4823" t="str">
        <f t="shared" si="151"/>
        <v>[zphK9WV8JB4]|35-49|Female|PMTCT_STAT_SUBNAT.N.New.Neg.T_1|CY2023Q3</v>
      </c>
    </row>
    <row r="4824" spans="4:18" x14ac:dyDescent="0.2">
      <c r="D4824" t="s">
        <v>59</v>
      </c>
      <c r="E4824" t="s">
        <v>60</v>
      </c>
      <c r="F4824" t="s">
        <v>61</v>
      </c>
      <c r="G4824" t="s">
        <v>163</v>
      </c>
      <c r="H4824" t="s">
        <v>161</v>
      </c>
      <c r="I4824" t="s">
        <v>37</v>
      </c>
      <c r="J4824" t="s">
        <v>38</v>
      </c>
      <c r="K4824" t="s">
        <v>29</v>
      </c>
      <c r="L4824" t="s">
        <v>30</v>
      </c>
      <c r="M4824" t="s">
        <v>139</v>
      </c>
      <c r="N4824">
        <v>1333</v>
      </c>
      <c r="O4824" s="14">
        <v>0.95289693633094397</v>
      </c>
      <c r="P4824" s="14">
        <v>2.6825056178495298E-2</v>
      </c>
      <c r="Q4824" t="str">
        <f t="shared" si="150"/>
        <v>15-24</v>
      </c>
      <c r="R4824" t="str">
        <f t="shared" si="151"/>
        <v>[msW2zpIN7up]|15-24|Female|PMTCT_STAT_SUBNAT.N.New.Neg.T_1|CY2023Q3</v>
      </c>
    </row>
    <row r="4825" spans="4:18" x14ac:dyDescent="0.2">
      <c r="D4825" t="s">
        <v>59</v>
      </c>
      <c r="E4825" t="s">
        <v>60</v>
      </c>
      <c r="F4825" t="s">
        <v>61</v>
      </c>
      <c r="G4825" t="s">
        <v>163</v>
      </c>
      <c r="H4825" t="s">
        <v>161</v>
      </c>
      <c r="I4825" t="s">
        <v>40</v>
      </c>
      <c r="J4825" t="s">
        <v>41</v>
      </c>
      <c r="K4825" t="s">
        <v>29</v>
      </c>
      <c r="L4825" t="s">
        <v>30</v>
      </c>
      <c r="M4825" t="s">
        <v>139</v>
      </c>
      <c r="N4825">
        <v>1391</v>
      </c>
      <c r="O4825" s="14">
        <v>0.16069869510829399</v>
      </c>
      <c r="P4825" s="14">
        <v>2.6825056178495298E-2</v>
      </c>
      <c r="Q4825" t="str">
        <f t="shared" si="150"/>
        <v>25-34</v>
      </c>
      <c r="R4825" t="str">
        <f t="shared" si="151"/>
        <v>[msW2zpIN7up]|25-34|Female|PMTCT_STAT_SUBNAT.N.New.Neg.T_1|CY2023Q3</v>
      </c>
    </row>
    <row r="4826" spans="4:18" x14ac:dyDescent="0.2">
      <c r="D4826" t="s">
        <v>59</v>
      </c>
      <c r="E4826" t="s">
        <v>60</v>
      </c>
      <c r="F4826" t="s">
        <v>61</v>
      </c>
      <c r="G4826" t="s">
        <v>163</v>
      </c>
      <c r="H4826" t="s">
        <v>161</v>
      </c>
      <c r="I4826" t="s">
        <v>42</v>
      </c>
      <c r="J4826" t="s">
        <v>43</v>
      </c>
      <c r="K4826" t="s">
        <v>29</v>
      </c>
      <c r="L4826" t="s">
        <v>30</v>
      </c>
      <c r="M4826" t="s">
        <v>139</v>
      </c>
      <c r="N4826">
        <v>1242</v>
      </c>
      <c r="O4826" s="14">
        <v>0.89878113544546101</v>
      </c>
      <c r="P4826" s="14">
        <v>2.6825056178495298E-2</v>
      </c>
      <c r="Q4826" t="str">
        <f t="shared" si="150"/>
        <v>35-49</v>
      </c>
      <c r="R4826" t="str">
        <f t="shared" si="151"/>
        <v>[msW2zpIN7up]|35-49|Female|PMTCT_STAT_SUBNAT.N.New.Neg.T_1|CY2023Q3</v>
      </c>
    </row>
    <row r="4827" spans="4:18" x14ac:dyDescent="0.2">
      <c r="D4827" t="s">
        <v>62</v>
      </c>
      <c r="E4827" t="s">
        <v>63</v>
      </c>
      <c r="F4827" t="s">
        <v>64</v>
      </c>
      <c r="G4827" t="s">
        <v>163</v>
      </c>
      <c r="H4827" t="s">
        <v>161</v>
      </c>
      <c r="I4827" t="s">
        <v>37</v>
      </c>
      <c r="J4827" t="s">
        <v>38</v>
      </c>
      <c r="K4827" t="s">
        <v>29</v>
      </c>
      <c r="L4827" t="s">
        <v>30</v>
      </c>
      <c r="M4827" t="s">
        <v>139</v>
      </c>
      <c r="N4827">
        <v>922</v>
      </c>
      <c r="O4827" s="14">
        <v>0.27751927799545201</v>
      </c>
      <c r="P4827" s="14">
        <v>0.790102193132043</v>
      </c>
      <c r="Q4827" t="str">
        <f t="shared" si="150"/>
        <v>15-24</v>
      </c>
      <c r="R4827" t="str">
        <f t="shared" si="151"/>
        <v>[kxuuIFpOXyO]|15-24|Female|PMTCT_STAT_SUBNAT.N.New.Neg.T_1|CY2023Q3</v>
      </c>
    </row>
    <row r="4828" spans="4:18" x14ac:dyDescent="0.2">
      <c r="D4828" t="s">
        <v>62</v>
      </c>
      <c r="E4828" t="s">
        <v>63</v>
      </c>
      <c r="F4828" t="s">
        <v>64</v>
      </c>
      <c r="G4828" t="s">
        <v>163</v>
      </c>
      <c r="H4828" t="s">
        <v>161</v>
      </c>
      <c r="I4828" t="s">
        <v>40</v>
      </c>
      <c r="J4828" t="s">
        <v>41</v>
      </c>
      <c r="K4828" t="s">
        <v>29</v>
      </c>
      <c r="L4828" t="s">
        <v>30</v>
      </c>
      <c r="M4828" t="s">
        <v>139</v>
      </c>
      <c r="N4828">
        <v>1655</v>
      </c>
      <c r="O4828" s="14">
        <v>0.41644355212338302</v>
      </c>
      <c r="P4828" s="14">
        <v>0.790102193132043</v>
      </c>
      <c r="Q4828" t="str">
        <f t="shared" si="150"/>
        <v>25-34</v>
      </c>
      <c r="R4828" t="str">
        <f t="shared" si="151"/>
        <v>[kxuuIFpOXyO]|25-34|Female|PMTCT_STAT_SUBNAT.N.New.Neg.T_1|CY2023Q3</v>
      </c>
    </row>
    <row r="4829" spans="4:18" x14ac:dyDescent="0.2">
      <c r="D4829" t="s">
        <v>62</v>
      </c>
      <c r="E4829" t="s">
        <v>63</v>
      </c>
      <c r="F4829" t="s">
        <v>64</v>
      </c>
      <c r="G4829" t="s">
        <v>163</v>
      </c>
      <c r="H4829" t="s">
        <v>161</v>
      </c>
      <c r="I4829" t="s">
        <v>42</v>
      </c>
      <c r="J4829" t="s">
        <v>43</v>
      </c>
      <c r="K4829" t="s">
        <v>29</v>
      </c>
      <c r="L4829" t="s">
        <v>30</v>
      </c>
      <c r="M4829" t="s">
        <v>139</v>
      </c>
      <c r="N4829">
        <v>1218</v>
      </c>
      <c r="O4829" s="14">
        <v>3.2772778999060399E-2</v>
      </c>
      <c r="P4829" s="14">
        <v>0.790102193132043</v>
      </c>
      <c r="Q4829" t="str">
        <f t="shared" si="150"/>
        <v>35-49</v>
      </c>
      <c r="R4829" t="str">
        <f t="shared" si="151"/>
        <v>[kxuuIFpOXyO]|35-49|Female|PMTCT_STAT_SUBNAT.N.New.Neg.T_1|CY2023Q3</v>
      </c>
    </row>
    <row r="4830" spans="4:18" x14ac:dyDescent="0.2">
      <c r="D4830" t="s">
        <v>65</v>
      </c>
      <c r="E4830" t="s">
        <v>66</v>
      </c>
      <c r="F4830" t="s">
        <v>67</v>
      </c>
      <c r="G4830" t="s">
        <v>163</v>
      </c>
      <c r="H4830" t="s">
        <v>161</v>
      </c>
      <c r="I4830" t="s">
        <v>37</v>
      </c>
      <c r="J4830" t="s">
        <v>38</v>
      </c>
      <c r="K4830" t="s">
        <v>29</v>
      </c>
      <c r="L4830" t="s">
        <v>30</v>
      </c>
      <c r="M4830" t="s">
        <v>139</v>
      </c>
      <c r="N4830">
        <v>970</v>
      </c>
      <c r="O4830" s="14">
        <v>0.65869100904092204</v>
      </c>
      <c r="P4830" s="14">
        <v>0.16460988437756899</v>
      </c>
      <c r="Q4830" t="str">
        <f t="shared" si="150"/>
        <v>15-24</v>
      </c>
      <c r="R4830" t="str">
        <f t="shared" si="151"/>
        <v>[ScR9iFKAasW]|15-24|Female|PMTCT_STAT_SUBNAT.N.New.Neg.T_1|CY2023Q3</v>
      </c>
    </row>
    <row r="4831" spans="4:18" x14ac:dyDescent="0.2">
      <c r="D4831" t="s">
        <v>65</v>
      </c>
      <c r="E4831" t="s">
        <v>66</v>
      </c>
      <c r="F4831" t="s">
        <v>67</v>
      </c>
      <c r="G4831" t="s">
        <v>163</v>
      </c>
      <c r="H4831" t="s">
        <v>161</v>
      </c>
      <c r="I4831" t="s">
        <v>40</v>
      </c>
      <c r="J4831" t="s">
        <v>41</v>
      </c>
      <c r="K4831" t="s">
        <v>29</v>
      </c>
      <c r="L4831" t="s">
        <v>30</v>
      </c>
      <c r="M4831" t="s">
        <v>139</v>
      </c>
      <c r="N4831">
        <v>2000</v>
      </c>
      <c r="O4831" s="14">
        <v>0.33895223843865102</v>
      </c>
      <c r="P4831" s="14">
        <v>0.16460988437756899</v>
      </c>
      <c r="Q4831" t="str">
        <f t="shared" si="150"/>
        <v>25-34</v>
      </c>
      <c r="R4831" t="str">
        <f t="shared" si="151"/>
        <v>[ScR9iFKAasW]|25-34|Female|PMTCT_STAT_SUBNAT.N.New.Neg.T_1|CY2023Q3</v>
      </c>
    </row>
    <row r="4832" spans="4:18" x14ac:dyDescent="0.2">
      <c r="D4832" t="s">
        <v>65</v>
      </c>
      <c r="E4832" t="s">
        <v>66</v>
      </c>
      <c r="F4832" t="s">
        <v>67</v>
      </c>
      <c r="G4832" t="s">
        <v>163</v>
      </c>
      <c r="H4832" t="s">
        <v>161</v>
      </c>
      <c r="I4832" t="s">
        <v>42</v>
      </c>
      <c r="J4832" t="s">
        <v>43</v>
      </c>
      <c r="K4832" t="s">
        <v>29</v>
      </c>
      <c r="L4832" t="s">
        <v>30</v>
      </c>
      <c r="M4832" t="s">
        <v>139</v>
      </c>
      <c r="N4832">
        <v>897</v>
      </c>
      <c r="O4832" s="14">
        <v>0.91679662116803196</v>
      </c>
      <c r="P4832" s="14">
        <v>0.16460988437756899</v>
      </c>
      <c r="Q4832" t="str">
        <f t="shared" si="150"/>
        <v>35-49</v>
      </c>
      <c r="R4832" t="str">
        <f t="shared" si="151"/>
        <v>[ScR9iFKAasW]|35-49|Female|PMTCT_STAT_SUBNAT.N.New.Neg.T_1|CY2023Q3</v>
      </c>
    </row>
    <row r="4833" spans="4:18" x14ac:dyDescent="0.2">
      <c r="D4833" t="s">
        <v>68</v>
      </c>
      <c r="E4833" t="s">
        <v>69</v>
      </c>
      <c r="F4833" t="s">
        <v>70</v>
      </c>
      <c r="G4833" t="s">
        <v>163</v>
      </c>
      <c r="H4833" t="s">
        <v>161</v>
      </c>
      <c r="I4833" t="s">
        <v>37</v>
      </c>
      <c r="J4833" t="s">
        <v>38</v>
      </c>
      <c r="K4833" t="s">
        <v>29</v>
      </c>
      <c r="L4833" t="s">
        <v>30</v>
      </c>
      <c r="M4833" t="s">
        <v>139</v>
      </c>
      <c r="N4833">
        <v>1749</v>
      </c>
      <c r="O4833" s="14">
        <v>0.92414006963372197</v>
      </c>
      <c r="P4833" s="14">
        <v>0.19881726312451101</v>
      </c>
      <c r="Q4833" t="str">
        <f t="shared" si="150"/>
        <v>15-24</v>
      </c>
      <c r="R4833" t="str">
        <f t="shared" si="151"/>
        <v>[PekKUkKHAzY]|15-24|Female|PMTCT_STAT_SUBNAT.N.New.Neg.T_1|CY2023Q3</v>
      </c>
    </row>
    <row r="4834" spans="4:18" x14ac:dyDescent="0.2">
      <c r="D4834" t="s">
        <v>68</v>
      </c>
      <c r="E4834" t="s">
        <v>69</v>
      </c>
      <c r="F4834" t="s">
        <v>70</v>
      </c>
      <c r="G4834" t="s">
        <v>163</v>
      </c>
      <c r="H4834" t="s">
        <v>161</v>
      </c>
      <c r="I4834" t="s">
        <v>40</v>
      </c>
      <c r="J4834" t="s">
        <v>41</v>
      </c>
      <c r="K4834" t="s">
        <v>29</v>
      </c>
      <c r="L4834" t="s">
        <v>30</v>
      </c>
      <c r="M4834" t="s">
        <v>139</v>
      </c>
      <c r="N4834">
        <v>1055</v>
      </c>
      <c r="O4834" s="14">
        <v>0.76269228383898702</v>
      </c>
      <c r="P4834" s="14">
        <v>0.19881726312451101</v>
      </c>
      <c r="Q4834" t="str">
        <f t="shared" si="150"/>
        <v>25-34</v>
      </c>
      <c r="R4834" t="str">
        <f t="shared" si="151"/>
        <v>[PekKUkKHAzY]|25-34|Female|PMTCT_STAT_SUBNAT.N.New.Neg.T_1|CY2023Q3</v>
      </c>
    </row>
    <row r="4835" spans="4:18" x14ac:dyDescent="0.2">
      <c r="D4835" t="s">
        <v>68</v>
      </c>
      <c r="E4835" t="s">
        <v>69</v>
      </c>
      <c r="F4835" t="s">
        <v>70</v>
      </c>
      <c r="G4835" t="s">
        <v>163</v>
      </c>
      <c r="H4835" t="s">
        <v>161</v>
      </c>
      <c r="I4835" t="s">
        <v>42</v>
      </c>
      <c r="J4835" t="s">
        <v>43</v>
      </c>
      <c r="K4835" t="s">
        <v>29</v>
      </c>
      <c r="L4835" t="s">
        <v>30</v>
      </c>
      <c r="M4835" t="s">
        <v>139</v>
      </c>
      <c r="N4835">
        <v>712</v>
      </c>
      <c r="O4835" s="14">
        <v>2.2631537867710001E-2</v>
      </c>
      <c r="P4835" s="14">
        <v>0.19881726312451101</v>
      </c>
      <c r="Q4835" t="str">
        <f t="shared" si="150"/>
        <v>35-49</v>
      </c>
      <c r="R4835" t="str">
        <f t="shared" si="151"/>
        <v>[PekKUkKHAzY]|35-49|Female|PMTCT_STAT_SUBNAT.N.New.Neg.T_1|CY2023Q3</v>
      </c>
    </row>
    <row r="4836" spans="4:18" x14ac:dyDescent="0.2">
      <c r="D4836" t="s">
        <v>71</v>
      </c>
      <c r="E4836" t="s">
        <v>72</v>
      </c>
      <c r="F4836" t="s">
        <v>73</v>
      </c>
      <c r="G4836" t="s">
        <v>163</v>
      </c>
      <c r="H4836" t="s">
        <v>161</v>
      </c>
      <c r="I4836" t="s">
        <v>37</v>
      </c>
      <c r="J4836" t="s">
        <v>38</v>
      </c>
      <c r="K4836" t="s">
        <v>29</v>
      </c>
      <c r="L4836" t="s">
        <v>30</v>
      </c>
      <c r="M4836" t="s">
        <v>139</v>
      </c>
      <c r="N4836">
        <v>1822</v>
      </c>
      <c r="O4836" s="14">
        <v>0.141451293136925</v>
      </c>
      <c r="P4836" s="14">
        <v>0.28972870693542102</v>
      </c>
      <c r="Q4836" t="str">
        <f t="shared" si="150"/>
        <v>15-24</v>
      </c>
      <c r="R4836" t="str">
        <f t="shared" si="151"/>
        <v>[am530wpaGvr]|15-24|Female|PMTCT_STAT_SUBNAT.N.New.Neg.T_1|CY2023Q3</v>
      </c>
    </row>
    <row r="4837" spans="4:18" x14ac:dyDescent="0.2">
      <c r="D4837" t="s">
        <v>71</v>
      </c>
      <c r="E4837" t="s">
        <v>72</v>
      </c>
      <c r="F4837" t="s">
        <v>73</v>
      </c>
      <c r="G4837" t="s">
        <v>163</v>
      </c>
      <c r="H4837" t="s">
        <v>161</v>
      </c>
      <c r="I4837" t="s">
        <v>40</v>
      </c>
      <c r="J4837" t="s">
        <v>41</v>
      </c>
      <c r="K4837" t="s">
        <v>29</v>
      </c>
      <c r="L4837" t="s">
        <v>30</v>
      </c>
      <c r="M4837" t="s">
        <v>139</v>
      </c>
      <c r="N4837">
        <v>1548</v>
      </c>
      <c r="O4837" s="14">
        <v>0.95462031150236704</v>
      </c>
      <c r="P4837" s="14">
        <v>0.28972870693542102</v>
      </c>
      <c r="Q4837" t="str">
        <f t="shared" si="150"/>
        <v>25-34</v>
      </c>
      <c r="R4837" t="str">
        <f t="shared" si="151"/>
        <v>[am530wpaGvr]|25-34|Female|PMTCT_STAT_SUBNAT.N.New.Neg.T_1|CY2023Q3</v>
      </c>
    </row>
    <row r="4838" spans="4:18" x14ac:dyDescent="0.2">
      <c r="D4838" t="s">
        <v>71</v>
      </c>
      <c r="E4838" t="s">
        <v>72</v>
      </c>
      <c r="F4838" t="s">
        <v>73</v>
      </c>
      <c r="G4838" t="s">
        <v>163</v>
      </c>
      <c r="H4838" t="s">
        <v>161</v>
      </c>
      <c r="I4838" t="s">
        <v>42</v>
      </c>
      <c r="J4838" t="s">
        <v>43</v>
      </c>
      <c r="K4838" t="s">
        <v>29</v>
      </c>
      <c r="L4838" t="s">
        <v>30</v>
      </c>
      <c r="M4838" t="s">
        <v>139</v>
      </c>
      <c r="N4838">
        <v>690</v>
      </c>
      <c r="O4838" s="14">
        <v>0.160930494545028</v>
      </c>
      <c r="P4838" s="14">
        <v>0.28972870693542102</v>
      </c>
      <c r="Q4838" t="str">
        <f t="shared" si="150"/>
        <v>35-49</v>
      </c>
      <c r="R4838" t="str">
        <f t="shared" si="151"/>
        <v>[am530wpaGvr]|35-49|Female|PMTCT_STAT_SUBNAT.N.New.Neg.T_1|CY2023Q3</v>
      </c>
    </row>
    <row r="4839" spans="4:18" x14ac:dyDescent="0.2">
      <c r="D4839" t="s">
        <v>74</v>
      </c>
      <c r="E4839" t="s">
        <v>75</v>
      </c>
      <c r="F4839" t="s">
        <v>76</v>
      </c>
      <c r="G4839" t="s">
        <v>163</v>
      </c>
      <c r="H4839" t="s">
        <v>161</v>
      </c>
      <c r="I4839" t="s">
        <v>37</v>
      </c>
      <c r="J4839" t="s">
        <v>38</v>
      </c>
      <c r="K4839" t="s">
        <v>29</v>
      </c>
      <c r="L4839" t="s">
        <v>30</v>
      </c>
      <c r="M4839" t="s">
        <v>139</v>
      </c>
      <c r="N4839">
        <v>865</v>
      </c>
      <c r="O4839" s="14">
        <v>0.27265570685267398</v>
      </c>
      <c r="P4839" s="14">
        <v>0.30305550759658201</v>
      </c>
      <c r="Q4839" t="str">
        <f t="shared" si="150"/>
        <v>15-24</v>
      </c>
      <c r="R4839" t="str">
        <f t="shared" si="151"/>
        <v>[lLDyBx5XyUi]|15-24|Female|PMTCT_STAT_SUBNAT.N.New.Neg.T_1|CY2023Q3</v>
      </c>
    </row>
    <row r="4840" spans="4:18" x14ac:dyDescent="0.2">
      <c r="D4840" t="s">
        <v>74</v>
      </c>
      <c r="E4840" t="s">
        <v>75</v>
      </c>
      <c r="F4840" t="s">
        <v>76</v>
      </c>
      <c r="G4840" t="s">
        <v>163</v>
      </c>
      <c r="H4840" t="s">
        <v>161</v>
      </c>
      <c r="I4840" t="s">
        <v>40</v>
      </c>
      <c r="J4840" t="s">
        <v>41</v>
      </c>
      <c r="K4840" t="s">
        <v>29</v>
      </c>
      <c r="L4840" t="s">
        <v>30</v>
      </c>
      <c r="M4840" t="s">
        <v>139</v>
      </c>
      <c r="N4840">
        <v>698</v>
      </c>
      <c r="O4840" s="14">
        <v>0.153020245488733</v>
      </c>
      <c r="P4840" s="14">
        <v>0.30305550759658201</v>
      </c>
      <c r="Q4840" t="str">
        <f t="shared" si="150"/>
        <v>25-34</v>
      </c>
      <c r="R4840" t="str">
        <f t="shared" si="151"/>
        <v>[lLDyBx5XyUi]|25-34|Female|PMTCT_STAT_SUBNAT.N.New.Neg.T_1|CY2023Q3</v>
      </c>
    </row>
    <row r="4841" spans="4:18" x14ac:dyDescent="0.2">
      <c r="D4841" t="s">
        <v>74</v>
      </c>
      <c r="E4841" t="s">
        <v>75</v>
      </c>
      <c r="F4841" t="s">
        <v>76</v>
      </c>
      <c r="G4841" t="s">
        <v>163</v>
      </c>
      <c r="H4841" t="s">
        <v>161</v>
      </c>
      <c r="I4841" t="s">
        <v>42</v>
      </c>
      <c r="J4841" t="s">
        <v>43</v>
      </c>
      <c r="K4841" t="s">
        <v>29</v>
      </c>
      <c r="L4841" t="s">
        <v>30</v>
      </c>
      <c r="M4841" t="s">
        <v>139</v>
      </c>
      <c r="N4841">
        <v>988</v>
      </c>
      <c r="O4841" s="14">
        <v>5.8475672267377398E-4</v>
      </c>
      <c r="P4841" s="14">
        <v>0.30305550759658201</v>
      </c>
      <c r="Q4841" t="str">
        <f t="shared" si="150"/>
        <v>35-49</v>
      </c>
      <c r="R4841" t="str">
        <f t="shared" si="151"/>
        <v>[lLDyBx5XyUi]|35-49|Female|PMTCT_STAT_SUBNAT.N.New.Neg.T_1|CY2023Q3</v>
      </c>
    </row>
    <row r="4842" spans="4:18" x14ac:dyDescent="0.2">
      <c r="D4842" t="s">
        <v>77</v>
      </c>
      <c r="E4842" t="s">
        <v>78</v>
      </c>
      <c r="F4842" t="s">
        <v>79</v>
      </c>
      <c r="G4842" t="s">
        <v>163</v>
      </c>
      <c r="H4842" t="s">
        <v>161</v>
      </c>
      <c r="I4842" t="s">
        <v>37</v>
      </c>
      <c r="J4842" t="s">
        <v>38</v>
      </c>
      <c r="K4842" t="s">
        <v>29</v>
      </c>
      <c r="L4842" t="s">
        <v>30</v>
      </c>
      <c r="M4842" t="s">
        <v>139</v>
      </c>
      <c r="N4842">
        <v>1240</v>
      </c>
      <c r="O4842" s="14">
        <v>0.12906507984735099</v>
      </c>
      <c r="P4842" s="14">
        <v>0.83159798220731296</v>
      </c>
      <c r="Q4842" t="str">
        <f t="shared" si="150"/>
        <v>15-24</v>
      </c>
      <c r="R4842" t="str">
        <f t="shared" si="151"/>
        <v>[TYnMSwzko3z]|15-24|Female|PMTCT_STAT_SUBNAT.N.New.Neg.T_1|CY2023Q3</v>
      </c>
    </row>
    <row r="4843" spans="4:18" x14ac:dyDescent="0.2">
      <c r="D4843" t="s">
        <v>77</v>
      </c>
      <c r="E4843" t="s">
        <v>78</v>
      </c>
      <c r="F4843" t="s">
        <v>79</v>
      </c>
      <c r="G4843" t="s">
        <v>163</v>
      </c>
      <c r="H4843" t="s">
        <v>161</v>
      </c>
      <c r="I4843" t="s">
        <v>40</v>
      </c>
      <c r="J4843" t="s">
        <v>41</v>
      </c>
      <c r="K4843" t="s">
        <v>29</v>
      </c>
      <c r="L4843" t="s">
        <v>30</v>
      </c>
      <c r="M4843" t="s">
        <v>139</v>
      </c>
      <c r="N4843">
        <v>1069</v>
      </c>
      <c r="O4843" s="14">
        <v>0.55293275718577195</v>
      </c>
      <c r="P4843" s="14">
        <v>0.83159798220731296</v>
      </c>
      <c r="Q4843" t="str">
        <f t="shared" si="150"/>
        <v>25-34</v>
      </c>
      <c r="R4843" t="str">
        <f t="shared" si="151"/>
        <v>[TYnMSwzko3z]|25-34|Female|PMTCT_STAT_SUBNAT.N.New.Neg.T_1|CY2023Q3</v>
      </c>
    </row>
    <row r="4844" spans="4:18" x14ac:dyDescent="0.2">
      <c r="D4844" t="s">
        <v>77</v>
      </c>
      <c r="E4844" t="s">
        <v>78</v>
      </c>
      <c r="F4844" t="s">
        <v>79</v>
      </c>
      <c r="G4844" t="s">
        <v>163</v>
      </c>
      <c r="H4844" t="s">
        <v>161</v>
      </c>
      <c r="I4844" t="s">
        <v>42</v>
      </c>
      <c r="J4844" t="s">
        <v>43</v>
      </c>
      <c r="K4844" t="s">
        <v>29</v>
      </c>
      <c r="L4844" t="s">
        <v>30</v>
      </c>
      <c r="M4844" t="s">
        <v>139</v>
      </c>
      <c r="N4844">
        <v>1544</v>
      </c>
      <c r="O4844" s="14">
        <v>0.93753340258263096</v>
      </c>
      <c r="P4844" s="14">
        <v>0.83159798220731296</v>
      </c>
      <c r="Q4844" t="str">
        <f t="shared" si="150"/>
        <v>35-49</v>
      </c>
      <c r="R4844" t="str">
        <f t="shared" si="151"/>
        <v>[TYnMSwzko3z]|35-49|Female|PMTCT_STAT_SUBNAT.N.New.Neg.T_1|CY2023Q3</v>
      </c>
    </row>
    <row r="4845" spans="4:18" x14ac:dyDescent="0.2">
      <c r="D4845" t="s">
        <v>80</v>
      </c>
      <c r="E4845" t="s">
        <v>81</v>
      </c>
      <c r="F4845" t="s">
        <v>82</v>
      </c>
      <c r="G4845" t="s">
        <v>163</v>
      </c>
      <c r="H4845" t="s">
        <v>161</v>
      </c>
      <c r="I4845" t="s">
        <v>37</v>
      </c>
      <c r="J4845" t="s">
        <v>38</v>
      </c>
      <c r="K4845" t="s">
        <v>29</v>
      </c>
      <c r="L4845" t="s">
        <v>30</v>
      </c>
      <c r="M4845" t="s">
        <v>139</v>
      </c>
      <c r="N4845">
        <v>1636</v>
      </c>
      <c r="O4845" s="14">
        <v>0.18614593846723401</v>
      </c>
      <c r="P4845" s="14">
        <v>0.14333142153918699</v>
      </c>
      <c r="Q4845" t="str">
        <f t="shared" si="150"/>
        <v>15-24</v>
      </c>
      <c r="R4845" t="str">
        <f t="shared" si="151"/>
        <v>[ir8wuHHzoSs]|15-24|Female|PMTCT_STAT_SUBNAT.N.New.Neg.T_1|CY2023Q3</v>
      </c>
    </row>
    <row r="4846" spans="4:18" x14ac:dyDescent="0.2">
      <c r="D4846" t="s">
        <v>80</v>
      </c>
      <c r="E4846" t="s">
        <v>81</v>
      </c>
      <c r="F4846" t="s">
        <v>82</v>
      </c>
      <c r="G4846" t="s">
        <v>163</v>
      </c>
      <c r="H4846" t="s">
        <v>161</v>
      </c>
      <c r="I4846" t="s">
        <v>40</v>
      </c>
      <c r="J4846" t="s">
        <v>41</v>
      </c>
      <c r="K4846" t="s">
        <v>29</v>
      </c>
      <c r="L4846" t="s">
        <v>30</v>
      </c>
      <c r="M4846" t="s">
        <v>139</v>
      </c>
      <c r="N4846">
        <v>688</v>
      </c>
      <c r="O4846" s="14">
        <v>0.32135297334752999</v>
      </c>
      <c r="P4846" s="14">
        <v>0.14333142153918699</v>
      </c>
      <c r="Q4846" t="str">
        <f t="shared" si="150"/>
        <v>25-34</v>
      </c>
      <c r="R4846" t="str">
        <f t="shared" si="151"/>
        <v>[ir8wuHHzoSs]|25-34|Female|PMTCT_STAT_SUBNAT.N.New.Neg.T_1|CY2023Q3</v>
      </c>
    </row>
    <row r="4847" spans="4:18" x14ac:dyDescent="0.2">
      <c r="D4847" t="s">
        <v>80</v>
      </c>
      <c r="E4847" t="s">
        <v>81</v>
      </c>
      <c r="F4847" t="s">
        <v>82</v>
      </c>
      <c r="G4847" t="s">
        <v>163</v>
      </c>
      <c r="H4847" t="s">
        <v>161</v>
      </c>
      <c r="I4847" t="s">
        <v>42</v>
      </c>
      <c r="J4847" t="s">
        <v>43</v>
      </c>
      <c r="K4847" t="s">
        <v>29</v>
      </c>
      <c r="L4847" t="s">
        <v>30</v>
      </c>
      <c r="M4847" t="s">
        <v>139</v>
      </c>
      <c r="N4847">
        <v>575</v>
      </c>
      <c r="O4847" s="14">
        <v>7.6925574569031596E-2</v>
      </c>
      <c r="P4847" s="14">
        <v>0.14333142153918699</v>
      </c>
      <c r="Q4847" t="str">
        <f t="shared" si="150"/>
        <v>35-49</v>
      </c>
      <c r="R4847" t="str">
        <f t="shared" si="151"/>
        <v>[ir8wuHHzoSs]|35-49|Female|PMTCT_STAT_SUBNAT.N.New.Neg.T_1|CY2023Q3</v>
      </c>
    </row>
    <row r="4848" spans="4:18" x14ac:dyDescent="0.2">
      <c r="D4848" t="s">
        <v>83</v>
      </c>
      <c r="E4848" t="s">
        <v>84</v>
      </c>
      <c r="F4848" t="s">
        <v>85</v>
      </c>
      <c r="G4848" t="s">
        <v>163</v>
      </c>
      <c r="H4848" t="s">
        <v>161</v>
      </c>
      <c r="I4848" t="s">
        <v>37</v>
      </c>
      <c r="J4848" t="s">
        <v>38</v>
      </c>
      <c r="K4848" t="s">
        <v>29</v>
      </c>
      <c r="L4848" t="s">
        <v>30</v>
      </c>
      <c r="M4848" t="s">
        <v>139</v>
      </c>
      <c r="N4848">
        <v>1137</v>
      </c>
      <c r="O4848" s="14">
        <v>0.49860778567381198</v>
      </c>
      <c r="P4848" s="14">
        <v>2.9788714367896301E-2</v>
      </c>
      <c r="Q4848" t="str">
        <f t="shared" si="150"/>
        <v>15-24</v>
      </c>
      <c r="R4848" t="str">
        <f t="shared" si="151"/>
        <v>[fyEoGEPERdI]|15-24|Female|PMTCT_STAT_SUBNAT.N.New.Neg.T_1|CY2023Q3</v>
      </c>
    </row>
    <row r="4849" spans="4:18" x14ac:dyDescent="0.2">
      <c r="D4849" t="s">
        <v>83</v>
      </c>
      <c r="E4849" t="s">
        <v>84</v>
      </c>
      <c r="F4849" t="s">
        <v>85</v>
      </c>
      <c r="G4849" t="s">
        <v>163</v>
      </c>
      <c r="H4849" t="s">
        <v>161</v>
      </c>
      <c r="I4849" t="s">
        <v>40</v>
      </c>
      <c r="J4849" t="s">
        <v>41</v>
      </c>
      <c r="K4849" t="s">
        <v>29</v>
      </c>
      <c r="L4849" t="s">
        <v>30</v>
      </c>
      <c r="M4849" t="s">
        <v>139</v>
      </c>
      <c r="N4849">
        <v>871</v>
      </c>
      <c r="O4849" s="14">
        <v>0.217438131105155</v>
      </c>
      <c r="P4849" s="14">
        <v>2.9788714367896301E-2</v>
      </c>
      <c r="Q4849" t="str">
        <f t="shared" si="150"/>
        <v>25-34</v>
      </c>
      <c r="R4849" t="str">
        <f t="shared" si="151"/>
        <v>[fyEoGEPERdI]|25-34|Female|PMTCT_STAT_SUBNAT.N.New.Neg.T_1|CY2023Q3</v>
      </c>
    </row>
    <row r="4850" spans="4:18" x14ac:dyDescent="0.2">
      <c r="D4850" t="s">
        <v>83</v>
      </c>
      <c r="E4850" t="s">
        <v>84</v>
      </c>
      <c r="F4850" t="s">
        <v>85</v>
      </c>
      <c r="G4850" t="s">
        <v>163</v>
      </c>
      <c r="H4850" t="s">
        <v>161</v>
      </c>
      <c r="I4850" t="s">
        <v>42</v>
      </c>
      <c r="J4850" t="s">
        <v>43</v>
      </c>
      <c r="K4850" t="s">
        <v>29</v>
      </c>
      <c r="L4850" t="s">
        <v>30</v>
      </c>
      <c r="M4850" t="s">
        <v>139</v>
      </c>
      <c r="N4850">
        <v>1269</v>
      </c>
      <c r="O4850" s="14">
        <v>0.72323844884522304</v>
      </c>
      <c r="P4850" s="14">
        <v>2.9788714367896301E-2</v>
      </c>
      <c r="Q4850" t="str">
        <f t="shared" si="150"/>
        <v>35-49</v>
      </c>
      <c r="R4850" t="str">
        <f t="shared" si="151"/>
        <v>[fyEoGEPERdI]|35-49|Female|PMTCT_STAT_SUBNAT.N.New.Neg.T_1|CY2023Q3</v>
      </c>
    </row>
    <row r="4851" spans="4:18" x14ac:dyDescent="0.2">
      <c r="D4851" t="s">
        <v>86</v>
      </c>
      <c r="E4851" t="s">
        <v>87</v>
      </c>
      <c r="F4851" t="s">
        <v>88</v>
      </c>
      <c r="G4851" t="s">
        <v>163</v>
      </c>
      <c r="H4851" t="s">
        <v>161</v>
      </c>
      <c r="I4851" t="s">
        <v>37</v>
      </c>
      <c r="J4851" t="s">
        <v>38</v>
      </c>
      <c r="K4851" t="s">
        <v>29</v>
      </c>
      <c r="L4851" t="s">
        <v>30</v>
      </c>
      <c r="M4851" t="s">
        <v>139</v>
      </c>
      <c r="N4851">
        <v>651</v>
      </c>
      <c r="O4851" s="14">
        <v>0.54502199729904499</v>
      </c>
      <c r="P4851" s="14">
        <v>0.13333638082258401</v>
      </c>
      <c r="Q4851" t="str">
        <f t="shared" si="150"/>
        <v>15-24</v>
      </c>
      <c r="R4851" t="str">
        <f t="shared" si="151"/>
        <v>[cPtvxaZqXIH]|15-24|Female|PMTCT_STAT_SUBNAT.N.New.Neg.T_1|CY2023Q3</v>
      </c>
    </row>
    <row r="4852" spans="4:18" x14ac:dyDescent="0.2">
      <c r="D4852" t="s">
        <v>86</v>
      </c>
      <c r="E4852" t="s">
        <v>87</v>
      </c>
      <c r="F4852" t="s">
        <v>88</v>
      </c>
      <c r="G4852" t="s">
        <v>163</v>
      </c>
      <c r="H4852" t="s">
        <v>161</v>
      </c>
      <c r="I4852" t="s">
        <v>40</v>
      </c>
      <c r="J4852" t="s">
        <v>41</v>
      </c>
      <c r="K4852" t="s">
        <v>29</v>
      </c>
      <c r="L4852" t="s">
        <v>30</v>
      </c>
      <c r="M4852" t="s">
        <v>139</v>
      </c>
      <c r="N4852">
        <v>1740</v>
      </c>
      <c r="O4852" s="14">
        <v>0.56890485086478304</v>
      </c>
      <c r="P4852" s="14">
        <v>0.13333638082258401</v>
      </c>
      <c r="Q4852" t="str">
        <f t="shared" si="150"/>
        <v>25-34</v>
      </c>
      <c r="R4852" t="str">
        <f t="shared" si="151"/>
        <v>[cPtvxaZqXIH]|25-34|Female|PMTCT_STAT_SUBNAT.N.New.Neg.T_1|CY2023Q3</v>
      </c>
    </row>
    <row r="4853" spans="4:18" x14ac:dyDescent="0.2">
      <c r="D4853" t="s">
        <v>86</v>
      </c>
      <c r="E4853" t="s">
        <v>87</v>
      </c>
      <c r="F4853" t="s">
        <v>88</v>
      </c>
      <c r="G4853" t="s">
        <v>163</v>
      </c>
      <c r="H4853" t="s">
        <v>161</v>
      </c>
      <c r="I4853" t="s">
        <v>42</v>
      </c>
      <c r="J4853" t="s">
        <v>43</v>
      </c>
      <c r="K4853" t="s">
        <v>29</v>
      </c>
      <c r="L4853" t="s">
        <v>30</v>
      </c>
      <c r="M4853" t="s">
        <v>139</v>
      </c>
      <c r="N4853">
        <v>922</v>
      </c>
      <c r="O4853" s="14">
        <v>0.53753253910690502</v>
      </c>
      <c r="P4853" s="14">
        <v>0.13333638082258401</v>
      </c>
      <c r="Q4853" t="str">
        <f t="shared" si="150"/>
        <v>35-49</v>
      </c>
      <c r="R4853" t="str">
        <f t="shared" si="151"/>
        <v>[cPtvxaZqXIH]|35-49|Female|PMTCT_STAT_SUBNAT.N.New.Neg.T_1|CY2023Q3</v>
      </c>
    </row>
    <row r="4854" spans="4:18" x14ac:dyDescent="0.2">
      <c r="D4854" t="s">
        <v>89</v>
      </c>
      <c r="E4854" t="s">
        <v>90</v>
      </c>
      <c r="F4854" t="s">
        <v>91</v>
      </c>
      <c r="G4854" t="s">
        <v>163</v>
      </c>
      <c r="H4854" t="s">
        <v>161</v>
      </c>
      <c r="I4854" t="s">
        <v>37</v>
      </c>
      <c r="J4854" t="s">
        <v>38</v>
      </c>
      <c r="K4854" t="s">
        <v>29</v>
      </c>
      <c r="L4854" t="s">
        <v>30</v>
      </c>
      <c r="M4854" t="s">
        <v>139</v>
      </c>
      <c r="N4854">
        <v>1864</v>
      </c>
      <c r="O4854" s="14">
        <v>0.44038687925785802</v>
      </c>
      <c r="P4854" s="14">
        <v>0.71991415042430196</v>
      </c>
      <c r="Q4854" t="str">
        <f t="shared" si="150"/>
        <v>15-24</v>
      </c>
      <c r="R4854" t="str">
        <f t="shared" si="151"/>
        <v>[AZyWpGzhcaA]|15-24|Female|PMTCT_STAT_SUBNAT.N.New.Neg.T_1|CY2023Q3</v>
      </c>
    </row>
    <row r="4855" spans="4:18" x14ac:dyDescent="0.2">
      <c r="D4855" t="s">
        <v>89</v>
      </c>
      <c r="E4855" t="s">
        <v>90</v>
      </c>
      <c r="F4855" t="s">
        <v>91</v>
      </c>
      <c r="G4855" t="s">
        <v>163</v>
      </c>
      <c r="H4855" t="s">
        <v>161</v>
      </c>
      <c r="I4855" t="s">
        <v>40</v>
      </c>
      <c r="J4855" t="s">
        <v>41</v>
      </c>
      <c r="K4855" t="s">
        <v>29</v>
      </c>
      <c r="L4855" t="s">
        <v>30</v>
      </c>
      <c r="M4855" t="s">
        <v>139</v>
      </c>
      <c r="N4855">
        <v>1376</v>
      </c>
      <c r="O4855" s="14">
        <v>0.89935581432655498</v>
      </c>
      <c r="P4855" s="14">
        <v>0.71991415042430196</v>
      </c>
      <c r="Q4855" t="str">
        <f t="shared" si="150"/>
        <v>25-34</v>
      </c>
      <c r="R4855" t="str">
        <f t="shared" si="151"/>
        <v>[AZyWpGzhcaA]|25-34|Female|PMTCT_STAT_SUBNAT.N.New.Neg.T_1|CY2023Q3</v>
      </c>
    </row>
    <row r="4856" spans="4:18" x14ac:dyDescent="0.2">
      <c r="D4856" t="s">
        <v>89</v>
      </c>
      <c r="E4856" t="s">
        <v>90</v>
      </c>
      <c r="F4856" t="s">
        <v>91</v>
      </c>
      <c r="G4856" t="s">
        <v>163</v>
      </c>
      <c r="H4856" t="s">
        <v>161</v>
      </c>
      <c r="I4856" t="s">
        <v>42</v>
      </c>
      <c r="J4856" t="s">
        <v>43</v>
      </c>
      <c r="K4856" t="s">
        <v>29</v>
      </c>
      <c r="L4856" t="s">
        <v>30</v>
      </c>
      <c r="M4856" t="s">
        <v>139</v>
      </c>
      <c r="N4856">
        <v>1528</v>
      </c>
      <c r="O4856" s="14">
        <v>0.120479910867289</v>
      </c>
      <c r="P4856" s="14">
        <v>0.71991415042430196</v>
      </c>
      <c r="Q4856" t="str">
        <f t="shared" si="150"/>
        <v>35-49</v>
      </c>
      <c r="R4856" t="str">
        <f t="shared" si="151"/>
        <v>[AZyWpGzhcaA]|35-49|Female|PMTCT_STAT_SUBNAT.N.New.Neg.T_1|CY2023Q3</v>
      </c>
    </row>
    <row r="4857" spans="4:18" x14ac:dyDescent="0.2">
      <c r="D4857" t="s">
        <v>92</v>
      </c>
      <c r="E4857" t="s">
        <v>93</v>
      </c>
      <c r="F4857" t="s">
        <v>94</v>
      </c>
      <c r="G4857" t="s">
        <v>163</v>
      </c>
      <c r="H4857" t="s">
        <v>161</v>
      </c>
      <c r="I4857" t="s">
        <v>37</v>
      </c>
      <c r="J4857" t="s">
        <v>38</v>
      </c>
      <c r="K4857" t="s">
        <v>29</v>
      </c>
      <c r="L4857" t="s">
        <v>30</v>
      </c>
      <c r="M4857" t="s">
        <v>139</v>
      </c>
      <c r="N4857">
        <v>1458</v>
      </c>
      <c r="O4857" s="14">
        <v>0.42062448034994299</v>
      </c>
      <c r="P4857" s="14">
        <v>0.36227229656651599</v>
      </c>
      <c r="Q4857" t="str">
        <f t="shared" si="150"/>
        <v>15-24</v>
      </c>
      <c r="R4857" t="str">
        <f t="shared" si="151"/>
        <v>[umc2n1Z4wNv]|15-24|Female|PMTCT_STAT_SUBNAT.N.New.Neg.T_1|CY2023Q3</v>
      </c>
    </row>
    <row r="4858" spans="4:18" x14ac:dyDescent="0.2">
      <c r="D4858" t="s">
        <v>92</v>
      </c>
      <c r="E4858" t="s">
        <v>93</v>
      </c>
      <c r="F4858" t="s">
        <v>94</v>
      </c>
      <c r="G4858" t="s">
        <v>163</v>
      </c>
      <c r="H4858" t="s">
        <v>161</v>
      </c>
      <c r="I4858" t="s">
        <v>40</v>
      </c>
      <c r="J4858" t="s">
        <v>41</v>
      </c>
      <c r="K4858" t="s">
        <v>29</v>
      </c>
      <c r="L4858" t="s">
        <v>30</v>
      </c>
      <c r="M4858" t="s">
        <v>139</v>
      </c>
      <c r="N4858">
        <v>1328</v>
      </c>
      <c r="O4858" s="14">
        <v>0.76871098903939095</v>
      </c>
      <c r="P4858" s="14">
        <v>0.36227229656651599</v>
      </c>
      <c r="Q4858" t="str">
        <f t="shared" si="150"/>
        <v>25-34</v>
      </c>
      <c r="R4858" t="str">
        <f t="shared" si="151"/>
        <v>[umc2n1Z4wNv]|25-34|Female|PMTCT_STAT_SUBNAT.N.New.Neg.T_1|CY2023Q3</v>
      </c>
    </row>
    <row r="4859" spans="4:18" x14ac:dyDescent="0.2">
      <c r="D4859" t="s">
        <v>92</v>
      </c>
      <c r="E4859" t="s">
        <v>93</v>
      </c>
      <c r="F4859" t="s">
        <v>94</v>
      </c>
      <c r="G4859" t="s">
        <v>163</v>
      </c>
      <c r="H4859" t="s">
        <v>161</v>
      </c>
      <c r="I4859" t="s">
        <v>42</v>
      </c>
      <c r="J4859" t="s">
        <v>43</v>
      </c>
      <c r="K4859" t="s">
        <v>29</v>
      </c>
      <c r="L4859" t="s">
        <v>30</v>
      </c>
      <c r="M4859" t="s">
        <v>139</v>
      </c>
      <c r="N4859">
        <v>1616</v>
      </c>
      <c r="O4859" s="14">
        <v>0.64956018701195695</v>
      </c>
      <c r="P4859" s="14">
        <v>0.36227229656651599</v>
      </c>
      <c r="Q4859" t="str">
        <f t="shared" si="150"/>
        <v>35-49</v>
      </c>
      <c r="R4859" t="str">
        <f t="shared" si="151"/>
        <v>[umc2n1Z4wNv]|35-49|Female|PMTCT_STAT_SUBNAT.N.New.Neg.T_1|CY2023Q3</v>
      </c>
    </row>
    <row r="4860" spans="4:18" x14ac:dyDescent="0.2">
      <c r="D4860" t="s">
        <v>95</v>
      </c>
      <c r="E4860" t="s">
        <v>96</v>
      </c>
      <c r="F4860" t="s">
        <v>97</v>
      </c>
      <c r="G4860" t="s">
        <v>163</v>
      </c>
      <c r="H4860" t="s">
        <v>161</v>
      </c>
      <c r="I4860" t="s">
        <v>37</v>
      </c>
      <c r="J4860" t="s">
        <v>38</v>
      </c>
      <c r="K4860" t="s">
        <v>29</v>
      </c>
      <c r="L4860" t="s">
        <v>30</v>
      </c>
      <c r="M4860" t="s">
        <v>139</v>
      </c>
      <c r="N4860">
        <v>1747</v>
      </c>
      <c r="O4860" s="14">
        <v>0.30852452875115</v>
      </c>
      <c r="P4860" s="14">
        <v>0.60125171788968101</v>
      </c>
      <c r="Q4860" t="str">
        <f t="shared" si="150"/>
        <v>15-24</v>
      </c>
      <c r="R4860" t="str">
        <f t="shared" si="151"/>
        <v>[gwVYinjBAe9]|15-24|Female|PMTCT_STAT_SUBNAT.N.New.Neg.T_1|CY2023Q3</v>
      </c>
    </row>
    <row r="4861" spans="4:18" x14ac:dyDescent="0.2">
      <c r="D4861" t="s">
        <v>95</v>
      </c>
      <c r="E4861" t="s">
        <v>96</v>
      </c>
      <c r="F4861" t="s">
        <v>97</v>
      </c>
      <c r="G4861" t="s">
        <v>163</v>
      </c>
      <c r="H4861" t="s">
        <v>161</v>
      </c>
      <c r="I4861" t="s">
        <v>40</v>
      </c>
      <c r="J4861" t="s">
        <v>41</v>
      </c>
      <c r="K4861" t="s">
        <v>29</v>
      </c>
      <c r="L4861" t="s">
        <v>30</v>
      </c>
      <c r="M4861" t="s">
        <v>139</v>
      </c>
      <c r="N4861">
        <v>567</v>
      </c>
      <c r="O4861" s="14">
        <v>8.1391741987317801E-2</v>
      </c>
      <c r="P4861" s="14">
        <v>0.60125171788968101</v>
      </c>
      <c r="Q4861" t="str">
        <f t="shared" si="150"/>
        <v>25-34</v>
      </c>
      <c r="R4861" t="str">
        <f t="shared" si="151"/>
        <v>[gwVYinjBAe9]|25-34|Female|PMTCT_STAT_SUBNAT.N.New.Neg.T_1|CY2023Q3</v>
      </c>
    </row>
    <row r="4862" spans="4:18" x14ac:dyDescent="0.2">
      <c r="D4862" t="s">
        <v>95</v>
      </c>
      <c r="E4862" t="s">
        <v>96</v>
      </c>
      <c r="F4862" t="s">
        <v>97</v>
      </c>
      <c r="G4862" t="s">
        <v>163</v>
      </c>
      <c r="H4862" t="s">
        <v>161</v>
      </c>
      <c r="I4862" t="s">
        <v>42</v>
      </c>
      <c r="J4862" t="s">
        <v>43</v>
      </c>
      <c r="K4862" t="s">
        <v>29</v>
      </c>
      <c r="L4862" t="s">
        <v>30</v>
      </c>
      <c r="M4862" t="s">
        <v>139</v>
      </c>
      <c r="N4862">
        <v>1254</v>
      </c>
      <c r="O4862" s="14">
        <v>0.98356681736186102</v>
      </c>
      <c r="P4862" s="14">
        <v>0.60125171788968101</v>
      </c>
      <c r="Q4862" t="str">
        <f t="shared" si="150"/>
        <v>35-49</v>
      </c>
      <c r="R4862" t="str">
        <f t="shared" si="151"/>
        <v>[gwVYinjBAe9]|35-49|Female|PMTCT_STAT_SUBNAT.N.New.Neg.T_1|CY2023Q3</v>
      </c>
    </row>
    <row r="4863" spans="4:18" x14ac:dyDescent="0.2">
      <c r="D4863" t="s">
        <v>98</v>
      </c>
      <c r="E4863" t="s">
        <v>99</v>
      </c>
      <c r="F4863" t="s">
        <v>100</v>
      </c>
      <c r="G4863" t="s">
        <v>163</v>
      </c>
      <c r="H4863" t="s">
        <v>161</v>
      </c>
      <c r="I4863" t="s">
        <v>37</v>
      </c>
      <c r="J4863" t="s">
        <v>38</v>
      </c>
      <c r="K4863" t="s">
        <v>29</v>
      </c>
      <c r="L4863" t="s">
        <v>30</v>
      </c>
      <c r="M4863" t="s">
        <v>139</v>
      </c>
      <c r="N4863">
        <v>524</v>
      </c>
      <c r="O4863" s="14">
        <v>0.35945385880768299</v>
      </c>
      <c r="P4863" s="14">
        <v>0.57728803809732199</v>
      </c>
      <c r="Q4863" t="str">
        <f t="shared" si="150"/>
        <v>15-24</v>
      </c>
      <c r="R4863" t="str">
        <f t="shared" si="151"/>
        <v>[mxqa3CDFmIT]|15-24|Female|PMTCT_STAT_SUBNAT.N.New.Neg.T_1|CY2023Q3</v>
      </c>
    </row>
    <row r="4864" spans="4:18" x14ac:dyDescent="0.2">
      <c r="D4864" t="s">
        <v>98</v>
      </c>
      <c r="E4864" t="s">
        <v>99</v>
      </c>
      <c r="F4864" t="s">
        <v>100</v>
      </c>
      <c r="G4864" t="s">
        <v>163</v>
      </c>
      <c r="H4864" t="s">
        <v>161</v>
      </c>
      <c r="I4864" t="s">
        <v>40</v>
      </c>
      <c r="J4864" t="s">
        <v>41</v>
      </c>
      <c r="K4864" t="s">
        <v>29</v>
      </c>
      <c r="L4864" t="s">
        <v>30</v>
      </c>
      <c r="M4864" t="s">
        <v>139</v>
      </c>
      <c r="N4864">
        <v>1502</v>
      </c>
      <c r="O4864" s="14">
        <v>0.69829715951345905</v>
      </c>
      <c r="P4864" s="14">
        <v>0.57728803809732199</v>
      </c>
      <c r="Q4864" t="str">
        <f t="shared" si="150"/>
        <v>25-34</v>
      </c>
      <c r="R4864" t="str">
        <f t="shared" si="151"/>
        <v>[mxqa3CDFmIT]|25-34|Female|PMTCT_STAT_SUBNAT.N.New.Neg.T_1|CY2023Q3</v>
      </c>
    </row>
    <row r="4865" spans="4:18" x14ac:dyDescent="0.2">
      <c r="D4865" t="s">
        <v>98</v>
      </c>
      <c r="E4865" t="s">
        <v>99</v>
      </c>
      <c r="F4865" t="s">
        <v>100</v>
      </c>
      <c r="G4865" t="s">
        <v>163</v>
      </c>
      <c r="H4865" t="s">
        <v>161</v>
      </c>
      <c r="I4865" t="s">
        <v>42</v>
      </c>
      <c r="J4865" t="s">
        <v>43</v>
      </c>
      <c r="K4865" t="s">
        <v>29</v>
      </c>
      <c r="L4865" t="s">
        <v>30</v>
      </c>
      <c r="M4865" t="s">
        <v>139</v>
      </c>
      <c r="N4865">
        <v>835</v>
      </c>
      <c r="O4865" s="14">
        <v>0.33874440519139198</v>
      </c>
      <c r="P4865" s="14">
        <v>0.57728803809732199</v>
      </c>
      <c r="Q4865" t="str">
        <f t="shared" si="150"/>
        <v>35-49</v>
      </c>
      <c r="R4865" t="str">
        <f t="shared" si="151"/>
        <v>[mxqa3CDFmIT]|35-49|Female|PMTCT_STAT_SUBNAT.N.New.Neg.T_1|CY2023Q3</v>
      </c>
    </row>
    <row r="4866" spans="4:18" x14ac:dyDescent="0.2">
      <c r="D4866" t="s">
        <v>101</v>
      </c>
      <c r="E4866" t="s">
        <v>102</v>
      </c>
      <c r="F4866" t="s">
        <v>103</v>
      </c>
      <c r="G4866" t="s">
        <v>163</v>
      </c>
      <c r="H4866" t="s">
        <v>161</v>
      </c>
      <c r="I4866" t="s">
        <v>37</v>
      </c>
      <c r="J4866" t="s">
        <v>38</v>
      </c>
      <c r="K4866" t="s">
        <v>29</v>
      </c>
      <c r="L4866" t="s">
        <v>30</v>
      </c>
      <c r="M4866" t="s">
        <v>139</v>
      </c>
      <c r="N4866">
        <v>1321</v>
      </c>
      <c r="O4866" s="14">
        <v>0.514575033215806</v>
      </c>
      <c r="P4866" s="14">
        <v>0.52621235931292198</v>
      </c>
      <c r="Q4866" t="str">
        <f t="shared" ref="Q4866:Q4929" si="152">SUBSTITUTE(SUBSTITUTE($I4866,CHAR(61),""),CHAR(34),"")</f>
        <v>15-24</v>
      </c>
      <c r="R4866" t="str">
        <f t="shared" ref="R4866:R4929" si="153">IF($D4866&lt;&gt;"","["&amp;$E4866&amp;"]"&amp;"|"&amp;$Q4866&amp;"|"&amp;$K4866&amp;"|"&amp;$G4866&amp;"|"&amp;IF($G4866="TX_CURR_SUBNAT.R","CY2022Q4",$M4866),"")</f>
        <v>[wNqJp8oRIcF]|15-24|Female|PMTCT_STAT_SUBNAT.N.New.Neg.T_1|CY2023Q3</v>
      </c>
    </row>
    <row r="4867" spans="4:18" x14ac:dyDescent="0.2">
      <c r="D4867" t="s">
        <v>101</v>
      </c>
      <c r="E4867" t="s">
        <v>102</v>
      </c>
      <c r="F4867" t="s">
        <v>103</v>
      </c>
      <c r="G4867" t="s">
        <v>163</v>
      </c>
      <c r="H4867" t="s">
        <v>161</v>
      </c>
      <c r="I4867" t="s">
        <v>40</v>
      </c>
      <c r="J4867" t="s">
        <v>41</v>
      </c>
      <c r="K4867" t="s">
        <v>29</v>
      </c>
      <c r="L4867" t="s">
        <v>30</v>
      </c>
      <c r="M4867" t="s">
        <v>139</v>
      </c>
      <c r="N4867">
        <v>1390</v>
      </c>
      <c r="O4867" s="14">
        <v>0.99769885954447102</v>
      </c>
      <c r="P4867" s="14">
        <v>0.52621235931292198</v>
      </c>
      <c r="Q4867" t="str">
        <f t="shared" si="152"/>
        <v>25-34</v>
      </c>
      <c r="R4867" t="str">
        <f t="shared" si="153"/>
        <v>[wNqJp8oRIcF]|25-34|Female|PMTCT_STAT_SUBNAT.N.New.Neg.T_1|CY2023Q3</v>
      </c>
    </row>
    <row r="4868" spans="4:18" x14ac:dyDescent="0.2">
      <c r="D4868" t="s">
        <v>101</v>
      </c>
      <c r="E4868" t="s">
        <v>102</v>
      </c>
      <c r="F4868" t="s">
        <v>103</v>
      </c>
      <c r="G4868" t="s">
        <v>163</v>
      </c>
      <c r="H4868" t="s">
        <v>161</v>
      </c>
      <c r="I4868" t="s">
        <v>42</v>
      </c>
      <c r="J4868" t="s">
        <v>43</v>
      </c>
      <c r="K4868" t="s">
        <v>29</v>
      </c>
      <c r="L4868" t="s">
        <v>30</v>
      </c>
      <c r="M4868" t="s">
        <v>139</v>
      </c>
      <c r="N4868">
        <v>1955</v>
      </c>
      <c r="O4868" s="14">
        <v>0.55901870247907903</v>
      </c>
      <c r="P4868" s="14">
        <v>0.52621235931292198</v>
      </c>
      <c r="Q4868" t="str">
        <f t="shared" si="152"/>
        <v>35-49</v>
      </c>
      <c r="R4868" t="str">
        <f t="shared" si="153"/>
        <v>[wNqJp8oRIcF]|35-49|Female|PMTCT_STAT_SUBNAT.N.New.Neg.T_1|CY2023Q3</v>
      </c>
    </row>
    <row r="4869" spans="4:18" x14ac:dyDescent="0.2">
      <c r="D4869" t="s">
        <v>104</v>
      </c>
      <c r="E4869" t="s">
        <v>105</v>
      </c>
      <c r="F4869" t="s">
        <v>106</v>
      </c>
      <c r="G4869" t="s">
        <v>163</v>
      </c>
      <c r="H4869" t="s">
        <v>161</v>
      </c>
      <c r="I4869" t="s">
        <v>37</v>
      </c>
      <c r="J4869" t="s">
        <v>38</v>
      </c>
      <c r="K4869" t="s">
        <v>29</v>
      </c>
      <c r="L4869" t="s">
        <v>30</v>
      </c>
      <c r="M4869" t="s">
        <v>139</v>
      </c>
      <c r="N4869">
        <v>1786</v>
      </c>
      <c r="O4869" s="14">
        <v>0.92347640544176102</v>
      </c>
      <c r="P4869" s="14">
        <v>0.21824956033378801</v>
      </c>
      <c r="Q4869" t="str">
        <f t="shared" si="152"/>
        <v>15-24</v>
      </c>
      <c r="R4869" t="str">
        <f t="shared" si="153"/>
        <v>[oiPR2CiVJbf]|15-24|Female|PMTCT_STAT_SUBNAT.N.New.Neg.T_1|CY2023Q3</v>
      </c>
    </row>
    <row r="4870" spans="4:18" x14ac:dyDescent="0.2">
      <c r="D4870" t="s">
        <v>104</v>
      </c>
      <c r="E4870" t="s">
        <v>105</v>
      </c>
      <c r="F4870" t="s">
        <v>106</v>
      </c>
      <c r="G4870" t="s">
        <v>163</v>
      </c>
      <c r="H4870" t="s">
        <v>161</v>
      </c>
      <c r="I4870" t="s">
        <v>40</v>
      </c>
      <c r="J4870" t="s">
        <v>41</v>
      </c>
      <c r="K4870" t="s">
        <v>29</v>
      </c>
      <c r="L4870" t="s">
        <v>30</v>
      </c>
      <c r="M4870" t="s">
        <v>139</v>
      </c>
      <c r="N4870">
        <v>1312</v>
      </c>
      <c r="O4870" s="14">
        <v>0.21535502187907701</v>
      </c>
      <c r="P4870" s="14">
        <v>0.21824956033378801</v>
      </c>
      <c r="Q4870" t="str">
        <f t="shared" si="152"/>
        <v>25-34</v>
      </c>
      <c r="R4870" t="str">
        <f t="shared" si="153"/>
        <v>[oiPR2CiVJbf]|25-34|Female|PMTCT_STAT_SUBNAT.N.New.Neg.T_1|CY2023Q3</v>
      </c>
    </row>
    <row r="4871" spans="4:18" x14ac:dyDescent="0.2">
      <c r="D4871" t="s">
        <v>104</v>
      </c>
      <c r="E4871" t="s">
        <v>105</v>
      </c>
      <c r="F4871" t="s">
        <v>106</v>
      </c>
      <c r="G4871" t="s">
        <v>163</v>
      </c>
      <c r="H4871" t="s">
        <v>161</v>
      </c>
      <c r="I4871" t="s">
        <v>42</v>
      </c>
      <c r="J4871" t="s">
        <v>43</v>
      </c>
      <c r="K4871" t="s">
        <v>29</v>
      </c>
      <c r="L4871" t="s">
        <v>30</v>
      </c>
      <c r="M4871" t="s">
        <v>139</v>
      </c>
      <c r="N4871">
        <v>1631</v>
      </c>
      <c r="O4871" s="14">
        <v>0.27803014125675002</v>
      </c>
      <c r="P4871" s="14">
        <v>0.21824956033378801</v>
      </c>
      <c r="Q4871" t="str">
        <f t="shared" si="152"/>
        <v>35-49</v>
      </c>
      <c r="R4871" t="str">
        <f t="shared" si="153"/>
        <v>[oiPR2CiVJbf]|35-49|Female|PMTCT_STAT_SUBNAT.N.New.Neg.T_1|CY2023Q3</v>
      </c>
    </row>
    <row r="4872" spans="4:18" x14ac:dyDescent="0.2">
      <c r="D4872" t="s">
        <v>107</v>
      </c>
      <c r="E4872" t="s">
        <v>108</v>
      </c>
      <c r="F4872" t="s">
        <v>109</v>
      </c>
      <c r="G4872" t="s">
        <v>163</v>
      </c>
      <c r="H4872" t="s">
        <v>161</v>
      </c>
      <c r="I4872" t="s">
        <v>37</v>
      </c>
      <c r="J4872" t="s">
        <v>38</v>
      </c>
      <c r="K4872" t="s">
        <v>29</v>
      </c>
      <c r="L4872" t="s">
        <v>30</v>
      </c>
      <c r="M4872" t="s">
        <v>139</v>
      </c>
      <c r="N4872">
        <v>978</v>
      </c>
      <c r="O4872" s="14">
        <v>0.78763313847593996</v>
      </c>
      <c r="P4872" s="14">
        <v>0.43422180437482899</v>
      </c>
      <c r="Q4872" t="str">
        <f t="shared" si="152"/>
        <v>15-24</v>
      </c>
      <c r="R4872" t="str">
        <f t="shared" si="153"/>
        <v>[ul0y9diGujK]|15-24|Female|PMTCT_STAT_SUBNAT.N.New.Neg.T_1|CY2023Q3</v>
      </c>
    </row>
    <row r="4873" spans="4:18" x14ac:dyDescent="0.2">
      <c r="D4873" t="s">
        <v>107</v>
      </c>
      <c r="E4873" t="s">
        <v>108</v>
      </c>
      <c r="F4873" t="s">
        <v>109</v>
      </c>
      <c r="G4873" t="s">
        <v>163</v>
      </c>
      <c r="H4873" t="s">
        <v>161</v>
      </c>
      <c r="I4873" t="s">
        <v>40</v>
      </c>
      <c r="J4873" t="s">
        <v>41</v>
      </c>
      <c r="K4873" t="s">
        <v>29</v>
      </c>
      <c r="L4873" t="s">
        <v>30</v>
      </c>
      <c r="M4873" t="s">
        <v>139</v>
      </c>
      <c r="N4873">
        <v>1603</v>
      </c>
      <c r="O4873" s="14">
        <v>0.62370185879990503</v>
      </c>
      <c r="P4873" s="14">
        <v>0.43422180437482899</v>
      </c>
      <c r="Q4873" t="str">
        <f t="shared" si="152"/>
        <v>25-34</v>
      </c>
      <c r="R4873" t="str">
        <f t="shared" si="153"/>
        <v>[ul0y9diGujK]|25-34|Female|PMTCT_STAT_SUBNAT.N.New.Neg.T_1|CY2023Q3</v>
      </c>
    </row>
    <row r="4874" spans="4:18" x14ac:dyDescent="0.2">
      <c r="D4874" t="s">
        <v>107</v>
      </c>
      <c r="E4874" t="s">
        <v>108</v>
      </c>
      <c r="F4874" t="s">
        <v>109</v>
      </c>
      <c r="G4874" t="s">
        <v>163</v>
      </c>
      <c r="H4874" t="s">
        <v>161</v>
      </c>
      <c r="I4874" t="s">
        <v>42</v>
      </c>
      <c r="J4874" t="s">
        <v>43</v>
      </c>
      <c r="K4874" t="s">
        <v>29</v>
      </c>
      <c r="L4874" t="s">
        <v>30</v>
      </c>
      <c r="M4874" t="s">
        <v>139</v>
      </c>
      <c r="N4874">
        <v>1490</v>
      </c>
      <c r="O4874" s="14">
        <v>0.50759221031330504</v>
      </c>
      <c r="P4874" s="14">
        <v>0.43422180437482899</v>
      </c>
      <c r="Q4874" t="str">
        <f t="shared" si="152"/>
        <v>35-49</v>
      </c>
      <c r="R4874" t="str">
        <f t="shared" si="153"/>
        <v>[ul0y9diGujK]|35-49|Female|PMTCT_STAT_SUBNAT.N.New.Neg.T_1|CY2023Q3</v>
      </c>
    </row>
    <row r="4875" spans="4:18" x14ac:dyDescent="0.2">
      <c r="D4875" t="s">
        <v>110</v>
      </c>
      <c r="E4875" t="s">
        <v>111</v>
      </c>
      <c r="F4875" t="s">
        <v>112</v>
      </c>
      <c r="G4875" t="s">
        <v>163</v>
      </c>
      <c r="H4875" t="s">
        <v>161</v>
      </c>
      <c r="I4875" t="s">
        <v>37</v>
      </c>
      <c r="J4875" t="s">
        <v>38</v>
      </c>
      <c r="K4875" t="s">
        <v>29</v>
      </c>
      <c r="L4875" t="s">
        <v>30</v>
      </c>
      <c r="M4875" t="s">
        <v>139</v>
      </c>
      <c r="N4875">
        <v>977</v>
      </c>
      <c r="O4875" s="14">
        <v>0.41550429188646398</v>
      </c>
      <c r="P4875" s="14">
        <v>0.33776879496872397</v>
      </c>
      <c r="Q4875" t="str">
        <f t="shared" si="152"/>
        <v>15-24</v>
      </c>
      <c r="R4875" t="str">
        <f t="shared" si="153"/>
        <v>[U8c0so51kT6]|15-24|Female|PMTCT_STAT_SUBNAT.N.New.Neg.T_1|CY2023Q3</v>
      </c>
    </row>
    <row r="4876" spans="4:18" x14ac:dyDescent="0.2">
      <c r="D4876" t="s">
        <v>110</v>
      </c>
      <c r="E4876" t="s">
        <v>111</v>
      </c>
      <c r="F4876" t="s">
        <v>112</v>
      </c>
      <c r="G4876" t="s">
        <v>163</v>
      </c>
      <c r="H4876" t="s">
        <v>161</v>
      </c>
      <c r="I4876" t="s">
        <v>40</v>
      </c>
      <c r="J4876" t="s">
        <v>41</v>
      </c>
      <c r="K4876" t="s">
        <v>29</v>
      </c>
      <c r="L4876" t="s">
        <v>30</v>
      </c>
      <c r="M4876" t="s">
        <v>139</v>
      </c>
      <c r="N4876">
        <v>768</v>
      </c>
      <c r="O4876" s="14">
        <v>0.79962657066062104</v>
      </c>
      <c r="P4876" s="14">
        <v>0.33776879496872397</v>
      </c>
      <c r="Q4876" t="str">
        <f t="shared" si="152"/>
        <v>25-34</v>
      </c>
      <c r="R4876" t="str">
        <f t="shared" si="153"/>
        <v>[U8c0so51kT6]|25-34|Female|PMTCT_STAT_SUBNAT.N.New.Neg.T_1|CY2023Q3</v>
      </c>
    </row>
    <row r="4877" spans="4:18" x14ac:dyDescent="0.2">
      <c r="D4877" t="s">
        <v>110</v>
      </c>
      <c r="E4877" t="s">
        <v>111</v>
      </c>
      <c r="F4877" t="s">
        <v>112</v>
      </c>
      <c r="G4877" t="s">
        <v>163</v>
      </c>
      <c r="H4877" t="s">
        <v>161</v>
      </c>
      <c r="I4877" t="s">
        <v>42</v>
      </c>
      <c r="J4877" t="s">
        <v>43</v>
      </c>
      <c r="K4877" t="s">
        <v>29</v>
      </c>
      <c r="L4877" t="s">
        <v>30</v>
      </c>
      <c r="M4877" t="s">
        <v>139</v>
      </c>
      <c r="N4877">
        <v>1239</v>
      </c>
      <c r="O4877" s="14">
        <v>3.73417781665921E-2</v>
      </c>
      <c r="P4877" s="14">
        <v>0.33776879496872397</v>
      </c>
      <c r="Q4877" t="str">
        <f t="shared" si="152"/>
        <v>35-49</v>
      </c>
      <c r="R4877" t="str">
        <f t="shared" si="153"/>
        <v>[U8c0so51kT6]|35-49|Female|PMTCT_STAT_SUBNAT.N.New.Neg.T_1|CY2023Q3</v>
      </c>
    </row>
    <row r="4878" spans="4:18" x14ac:dyDescent="0.2">
      <c r="D4878" t="s">
        <v>113</v>
      </c>
      <c r="E4878" t="s">
        <v>114</v>
      </c>
      <c r="F4878" t="s">
        <v>115</v>
      </c>
      <c r="G4878" t="s">
        <v>163</v>
      </c>
      <c r="H4878" t="s">
        <v>161</v>
      </c>
      <c r="I4878" t="s">
        <v>37</v>
      </c>
      <c r="J4878" t="s">
        <v>38</v>
      </c>
      <c r="K4878" t="s">
        <v>29</v>
      </c>
      <c r="L4878" t="s">
        <v>30</v>
      </c>
      <c r="M4878" t="s">
        <v>139</v>
      </c>
      <c r="N4878">
        <v>1654</v>
      </c>
      <c r="O4878" s="14">
        <v>0.25405359105206998</v>
      </c>
      <c r="P4878" s="14">
        <v>0.29855980910360802</v>
      </c>
      <c r="Q4878" t="str">
        <f t="shared" si="152"/>
        <v>15-24</v>
      </c>
      <c r="R4878" t="str">
        <f t="shared" si="153"/>
        <v>[rpw540fmNUz]|15-24|Female|PMTCT_STAT_SUBNAT.N.New.Neg.T_1|CY2023Q3</v>
      </c>
    </row>
    <row r="4879" spans="4:18" x14ac:dyDescent="0.2">
      <c r="D4879" t="s">
        <v>113</v>
      </c>
      <c r="E4879" t="s">
        <v>114</v>
      </c>
      <c r="F4879" t="s">
        <v>115</v>
      </c>
      <c r="G4879" t="s">
        <v>163</v>
      </c>
      <c r="H4879" t="s">
        <v>161</v>
      </c>
      <c r="I4879" t="s">
        <v>40</v>
      </c>
      <c r="J4879" t="s">
        <v>41</v>
      </c>
      <c r="K4879" t="s">
        <v>29</v>
      </c>
      <c r="L4879" t="s">
        <v>30</v>
      </c>
      <c r="M4879" t="s">
        <v>139</v>
      </c>
      <c r="N4879">
        <v>1295</v>
      </c>
      <c r="O4879" s="14">
        <v>0.62114383047446597</v>
      </c>
      <c r="P4879" s="14">
        <v>0.29855980910360802</v>
      </c>
      <c r="Q4879" t="str">
        <f t="shared" si="152"/>
        <v>25-34</v>
      </c>
      <c r="R4879" t="str">
        <f t="shared" si="153"/>
        <v>[rpw540fmNUz]|25-34|Female|PMTCT_STAT_SUBNAT.N.New.Neg.T_1|CY2023Q3</v>
      </c>
    </row>
    <row r="4880" spans="4:18" x14ac:dyDescent="0.2">
      <c r="D4880" t="s">
        <v>113</v>
      </c>
      <c r="E4880" t="s">
        <v>114</v>
      </c>
      <c r="F4880" t="s">
        <v>115</v>
      </c>
      <c r="G4880" t="s">
        <v>163</v>
      </c>
      <c r="H4880" t="s">
        <v>161</v>
      </c>
      <c r="I4880" t="s">
        <v>42</v>
      </c>
      <c r="J4880" t="s">
        <v>43</v>
      </c>
      <c r="K4880" t="s">
        <v>29</v>
      </c>
      <c r="L4880" t="s">
        <v>30</v>
      </c>
      <c r="M4880" t="s">
        <v>139</v>
      </c>
      <c r="N4880">
        <v>833</v>
      </c>
      <c r="O4880" s="14">
        <v>0.878222696483135</v>
      </c>
      <c r="P4880" s="14">
        <v>0.29855980910360802</v>
      </c>
      <c r="Q4880" t="str">
        <f t="shared" si="152"/>
        <v>35-49</v>
      </c>
      <c r="R4880" t="str">
        <f t="shared" si="153"/>
        <v>[rpw540fmNUz]|35-49|Female|PMTCT_STAT_SUBNAT.N.New.Neg.T_1|CY2023Q3</v>
      </c>
    </row>
    <row r="4881" spans="4:18" x14ac:dyDescent="0.2">
      <c r="D4881" t="s">
        <v>116</v>
      </c>
      <c r="E4881" t="s">
        <v>117</v>
      </c>
      <c r="F4881" t="s">
        <v>118</v>
      </c>
      <c r="G4881" t="s">
        <v>163</v>
      </c>
      <c r="H4881" t="s">
        <v>161</v>
      </c>
      <c r="I4881" t="s">
        <v>37</v>
      </c>
      <c r="J4881" t="s">
        <v>38</v>
      </c>
      <c r="K4881" t="s">
        <v>29</v>
      </c>
      <c r="L4881" t="s">
        <v>30</v>
      </c>
      <c r="M4881" t="s">
        <v>139</v>
      </c>
      <c r="N4881">
        <v>1797</v>
      </c>
      <c r="O4881" s="14">
        <v>0.189693748950958</v>
      </c>
      <c r="P4881" s="14">
        <v>0.206259709550068</v>
      </c>
      <c r="Q4881" t="str">
        <f t="shared" si="152"/>
        <v>15-24</v>
      </c>
      <c r="R4881" t="str">
        <f t="shared" si="153"/>
        <v>[lPTyjLi4w3d]|15-24|Female|PMTCT_STAT_SUBNAT.N.New.Neg.T_1|CY2023Q3</v>
      </c>
    </row>
    <row r="4882" spans="4:18" x14ac:dyDescent="0.2">
      <c r="D4882" t="s">
        <v>116</v>
      </c>
      <c r="E4882" t="s">
        <v>117</v>
      </c>
      <c r="F4882" t="s">
        <v>118</v>
      </c>
      <c r="G4882" t="s">
        <v>163</v>
      </c>
      <c r="H4882" t="s">
        <v>161</v>
      </c>
      <c r="I4882" t="s">
        <v>40</v>
      </c>
      <c r="J4882" t="s">
        <v>41</v>
      </c>
      <c r="K4882" t="s">
        <v>29</v>
      </c>
      <c r="L4882" t="s">
        <v>30</v>
      </c>
      <c r="M4882" t="s">
        <v>139</v>
      </c>
      <c r="N4882">
        <v>1047</v>
      </c>
      <c r="O4882" s="14">
        <v>0.14983929088339201</v>
      </c>
      <c r="P4882" s="14">
        <v>0.206259709550068</v>
      </c>
      <c r="Q4882" t="str">
        <f t="shared" si="152"/>
        <v>25-34</v>
      </c>
      <c r="R4882" t="str">
        <f t="shared" si="153"/>
        <v>[lPTyjLi4w3d]|25-34|Female|PMTCT_STAT_SUBNAT.N.New.Neg.T_1|CY2023Q3</v>
      </c>
    </row>
    <row r="4883" spans="4:18" x14ac:dyDescent="0.2">
      <c r="D4883" t="s">
        <v>116</v>
      </c>
      <c r="E4883" t="s">
        <v>117</v>
      </c>
      <c r="F4883" t="s">
        <v>118</v>
      </c>
      <c r="G4883" t="s">
        <v>163</v>
      </c>
      <c r="H4883" t="s">
        <v>161</v>
      </c>
      <c r="I4883" t="s">
        <v>42</v>
      </c>
      <c r="J4883" t="s">
        <v>43</v>
      </c>
      <c r="K4883" t="s">
        <v>29</v>
      </c>
      <c r="L4883" t="s">
        <v>30</v>
      </c>
      <c r="M4883" t="s">
        <v>139</v>
      </c>
      <c r="N4883">
        <v>1002</v>
      </c>
      <c r="O4883" s="14">
        <v>7.8154016286134706E-2</v>
      </c>
      <c r="P4883" s="14">
        <v>0.206259709550068</v>
      </c>
      <c r="Q4883" t="str">
        <f t="shared" si="152"/>
        <v>35-49</v>
      </c>
      <c r="R4883" t="str">
        <f t="shared" si="153"/>
        <v>[lPTyjLi4w3d]|35-49|Female|PMTCT_STAT_SUBNAT.N.New.Neg.T_1|CY2023Q3</v>
      </c>
    </row>
    <row r="4884" spans="4:18" x14ac:dyDescent="0.2">
      <c r="D4884" t="s">
        <v>119</v>
      </c>
      <c r="E4884" t="s">
        <v>120</v>
      </c>
      <c r="F4884" t="s">
        <v>121</v>
      </c>
      <c r="G4884" t="s">
        <v>163</v>
      </c>
      <c r="H4884" t="s">
        <v>161</v>
      </c>
      <c r="I4884" t="s">
        <v>37</v>
      </c>
      <c r="J4884" t="s">
        <v>38</v>
      </c>
      <c r="K4884" t="s">
        <v>29</v>
      </c>
      <c r="L4884" t="s">
        <v>30</v>
      </c>
      <c r="M4884" t="s">
        <v>139</v>
      </c>
      <c r="N4884">
        <v>1524</v>
      </c>
      <c r="O4884" s="14">
        <v>0.92120260722003899</v>
      </c>
      <c r="P4884" s="14">
        <v>0.43010397930629601</v>
      </c>
      <c r="Q4884" t="str">
        <f t="shared" si="152"/>
        <v>15-24</v>
      </c>
      <c r="R4884" t="str">
        <f t="shared" si="153"/>
        <v>[vA4NcHxfMBq]|15-24|Female|PMTCT_STAT_SUBNAT.N.New.Neg.T_1|CY2023Q3</v>
      </c>
    </row>
    <row r="4885" spans="4:18" x14ac:dyDescent="0.2">
      <c r="D4885" t="s">
        <v>119</v>
      </c>
      <c r="E4885" t="s">
        <v>120</v>
      </c>
      <c r="F4885" t="s">
        <v>121</v>
      </c>
      <c r="G4885" t="s">
        <v>163</v>
      </c>
      <c r="H4885" t="s">
        <v>161</v>
      </c>
      <c r="I4885" t="s">
        <v>40</v>
      </c>
      <c r="J4885" t="s">
        <v>41</v>
      </c>
      <c r="K4885" t="s">
        <v>29</v>
      </c>
      <c r="L4885" t="s">
        <v>30</v>
      </c>
      <c r="M4885" t="s">
        <v>139</v>
      </c>
      <c r="N4885">
        <v>1193</v>
      </c>
      <c r="O4885" s="14">
        <v>0.13093846431001999</v>
      </c>
      <c r="P4885" s="14">
        <v>0.43010397930629601</v>
      </c>
      <c r="Q4885" t="str">
        <f t="shared" si="152"/>
        <v>25-34</v>
      </c>
      <c r="R4885" t="str">
        <f t="shared" si="153"/>
        <v>[vA4NcHxfMBq]|25-34|Female|PMTCT_STAT_SUBNAT.N.New.Neg.T_1|CY2023Q3</v>
      </c>
    </row>
    <row r="4886" spans="4:18" x14ac:dyDescent="0.2">
      <c r="D4886" t="s">
        <v>119</v>
      </c>
      <c r="E4886" t="s">
        <v>120</v>
      </c>
      <c r="F4886" t="s">
        <v>121</v>
      </c>
      <c r="G4886" t="s">
        <v>163</v>
      </c>
      <c r="H4886" t="s">
        <v>161</v>
      </c>
      <c r="I4886" t="s">
        <v>42</v>
      </c>
      <c r="J4886" t="s">
        <v>43</v>
      </c>
      <c r="K4886" t="s">
        <v>29</v>
      </c>
      <c r="L4886" t="s">
        <v>30</v>
      </c>
      <c r="M4886" t="s">
        <v>139</v>
      </c>
      <c r="N4886">
        <v>909</v>
      </c>
      <c r="O4886" s="14">
        <v>0.22319433372467801</v>
      </c>
      <c r="P4886" s="14">
        <v>0.43010397930629601</v>
      </c>
      <c r="Q4886" t="str">
        <f t="shared" si="152"/>
        <v>35-49</v>
      </c>
      <c r="R4886" t="str">
        <f t="shared" si="153"/>
        <v>[vA4NcHxfMBq]|35-49|Female|PMTCT_STAT_SUBNAT.N.New.Neg.T_1|CY2023Q3</v>
      </c>
    </row>
    <row r="4887" spans="4:18" x14ac:dyDescent="0.2">
      <c r="D4887" t="s">
        <v>122</v>
      </c>
      <c r="E4887" t="s">
        <v>123</v>
      </c>
      <c r="F4887" t="s">
        <v>124</v>
      </c>
      <c r="G4887" t="s">
        <v>163</v>
      </c>
      <c r="H4887" t="s">
        <v>161</v>
      </c>
      <c r="I4887" t="s">
        <v>37</v>
      </c>
      <c r="J4887" t="s">
        <v>38</v>
      </c>
      <c r="K4887" t="s">
        <v>29</v>
      </c>
      <c r="L4887" t="s">
        <v>30</v>
      </c>
      <c r="M4887" t="s">
        <v>139</v>
      </c>
      <c r="N4887">
        <v>953</v>
      </c>
      <c r="O4887" s="14">
        <v>0.94578089471906401</v>
      </c>
      <c r="P4887" s="14">
        <v>0.41950060334056599</v>
      </c>
      <c r="Q4887" t="str">
        <f t="shared" si="152"/>
        <v>15-24</v>
      </c>
      <c r="R4887" t="str">
        <f t="shared" si="153"/>
        <v>[E7zpfyBt7Tw]|15-24|Female|PMTCT_STAT_SUBNAT.N.New.Neg.T_1|CY2023Q3</v>
      </c>
    </row>
    <row r="4888" spans="4:18" x14ac:dyDescent="0.2">
      <c r="D4888" t="s">
        <v>122</v>
      </c>
      <c r="E4888" t="s">
        <v>123</v>
      </c>
      <c r="F4888" t="s">
        <v>124</v>
      </c>
      <c r="G4888" t="s">
        <v>163</v>
      </c>
      <c r="H4888" t="s">
        <v>161</v>
      </c>
      <c r="I4888" t="s">
        <v>40</v>
      </c>
      <c r="J4888" t="s">
        <v>41</v>
      </c>
      <c r="K4888" t="s">
        <v>29</v>
      </c>
      <c r="L4888" t="s">
        <v>30</v>
      </c>
      <c r="M4888" t="s">
        <v>139</v>
      </c>
      <c r="N4888">
        <v>1030</v>
      </c>
      <c r="O4888" s="14">
        <v>0.19632101943716401</v>
      </c>
      <c r="P4888" s="14">
        <v>0.41950060334056599</v>
      </c>
      <c r="Q4888" t="str">
        <f t="shared" si="152"/>
        <v>25-34</v>
      </c>
      <c r="R4888" t="str">
        <f t="shared" si="153"/>
        <v>[E7zpfyBt7Tw]|25-34|Female|PMTCT_STAT_SUBNAT.N.New.Neg.T_1|CY2023Q3</v>
      </c>
    </row>
    <row r="4889" spans="4:18" x14ac:dyDescent="0.2">
      <c r="D4889" t="s">
        <v>122</v>
      </c>
      <c r="E4889" t="s">
        <v>123</v>
      </c>
      <c r="F4889" t="s">
        <v>124</v>
      </c>
      <c r="G4889" t="s">
        <v>163</v>
      </c>
      <c r="H4889" t="s">
        <v>161</v>
      </c>
      <c r="I4889" t="s">
        <v>42</v>
      </c>
      <c r="J4889" t="s">
        <v>43</v>
      </c>
      <c r="K4889" t="s">
        <v>29</v>
      </c>
      <c r="L4889" t="s">
        <v>30</v>
      </c>
      <c r="M4889" t="s">
        <v>139</v>
      </c>
      <c r="N4889">
        <v>1520</v>
      </c>
      <c r="O4889" s="14">
        <v>0.52713098423555504</v>
      </c>
      <c r="P4889" s="14">
        <v>0.41950060334056599</v>
      </c>
      <c r="Q4889" t="str">
        <f t="shared" si="152"/>
        <v>35-49</v>
      </c>
      <c r="R4889" t="str">
        <f t="shared" si="153"/>
        <v>[E7zpfyBt7Tw]|35-49|Female|PMTCT_STAT_SUBNAT.N.New.Neg.T_1|CY2023Q3</v>
      </c>
    </row>
    <row r="4890" spans="4:18" x14ac:dyDescent="0.2">
      <c r="D4890" t="s">
        <v>125</v>
      </c>
      <c r="E4890" t="s">
        <v>126</v>
      </c>
      <c r="F4890" t="s">
        <v>127</v>
      </c>
      <c r="G4890" t="s">
        <v>163</v>
      </c>
      <c r="H4890" t="s">
        <v>161</v>
      </c>
      <c r="I4890" t="s">
        <v>37</v>
      </c>
      <c r="J4890" t="s">
        <v>38</v>
      </c>
      <c r="K4890" t="s">
        <v>29</v>
      </c>
      <c r="L4890" t="s">
        <v>30</v>
      </c>
      <c r="M4890" t="s">
        <v>139</v>
      </c>
      <c r="N4890">
        <v>1672</v>
      </c>
      <c r="O4890" s="14">
        <v>0.58606542809866402</v>
      </c>
      <c r="P4890" s="14">
        <v>0.25270639033988102</v>
      </c>
      <c r="Q4890" t="str">
        <f t="shared" si="152"/>
        <v>15-24</v>
      </c>
      <c r="R4890" t="str">
        <f t="shared" si="153"/>
        <v>[ZCjuwgaMB9u]|15-24|Female|PMTCT_STAT_SUBNAT.N.New.Neg.T_1|CY2023Q3</v>
      </c>
    </row>
    <row r="4891" spans="4:18" x14ac:dyDescent="0.2">
      <c r="D4891" t="s">
        <v>125</v>
      </c>
      <c r="E4891" t="s">
        <v>126</v>
      </c>
      <c r="F4891" t="s">
        <v>127</v>
      </c>
      <c r="G4891" t="s">
        <v>163</v>
      </c>
      <c r="H4891" t="s">
        <v>161</v>
      </c>
      <c r="I4891" t="s">
        <v>40</v>
      </c>
      <c r="J4891" t="s">
        <v>41</v>
      </c>
      <c r="K4891" t="s">
        <v>29</v>
      </c>
      <c r="L4891" t="s">
        <v>30</v>
      </c>
      <c r="M4891" t="s">
        <v>139</v>
      </c>
      <c r="N4891">
        <v>785</v>
      </c>
      <c r="O4891" s="14">
        <v>1.08990450389683E-2</v>
      </c>
      <c r="P4891" s="14">
        <v>0.25270639033988102</v>
      </c>
      <c r="Q4891" t="str">
        <f t="shared" si="152"/>
        <v>25-34</v>
      </c>
      <c r="R4891" t="str">
        <f t="shared" si="153"/>
        <v>[ZCjuwgaMB9u]|25-34|Female|PMTCT_STAT_SUBNAT.N.New.Neg.T_1|CY2023Q3</v>
      </c>
    </row>
    <row r="4892" spans="4:18" x14ac:dyDescent="0.2">
      <c r="D4892" t="s">
        <v>125</v>
      </c>
      <c r="E4892" t="s">
        <v>126</v>
      </c>
      <c r="F4892" t="s">
        <v>127</v>
      </c>
      <c r="G4892" t="s">
        <v>163</v>
      </c>
      <c r="H4892" t="s">
        <v>161</v>
      </c>
      <c r="I4892" t="s">
        <v>42</v>
      </c>
      <c r="J4892" t="s">
        <v>43</v>
      </c>
      <c r="K4892" t="s">
        <v>29</v>
      </c>
      <c r="L4892" t="s">
        <v>30</v>
      </c>
      <c r="M4892" t="s">
        <v>139</v>
      </c>
      <c r="N4892">
        <v>1347</v>
      </c>
      <c r="O4892" s="14">
        <v>6.1461064033210304E-3</v>
      </c>
      <c r="P4892" s="14">
        <v>0.25270639033988102</v>
      </c>
      <c r="Q4892" t="str">
        <f t="shared" si="152"/>
        <v>35-49</v>
      </c>
      <c r="R4892" t="str">
        <f t="shared" si="153"/>
        <v>[ZCjuwgaMB9u]|35-49|Female|PMTCT_STAT_SUBNAT.N.New.Neg.T_1|CY2023Q3</v>
      </c>
    </row>
    <row r="4893" spans="4:18" x14ac:dyDescent="0.2">
      <c r="D4893" t="s">
        <v>128</v>
      </c>
      <c r="E4893" t="s">
        <v>129</v>
      </c>
      <c r="F4893" t="s">
        <v>130</v>
      </c>
      <c r="G4893" t="s">
        <v>163</v>
      </c>
      <c r="H4893" t="s">
        <v>161</v>
      </c>
      <c r="I4893" t="s">
        <v>37</v>
      </c>
      <c r="J4893" t="s">
        <v>38</v>
      </c>
      <c r="K4893" t="s">
        <v>29</v>
      </c>
      <c r="L4893" t="s">
        <v>30</v>
      </c>
      <c r="M4893" t="s">
        <v>139</v>
      </c>
      <c r="N4893">
        <v>784</v>
      </c>
      <c r="O4893" s="14">
        <v>0.73487229133024801</v>
      </c>
      <c r="P4893" s="14">
        <v>0.55690808477811504</v>
      </c>
      <c r="Q4893" t="str">
        <f t="shared" si="152"/>
        <v>15-24</v>
      </c>
      <c r="R4893" t="str">
        <f t="shared" si="153"/>
        <v>[YCKiBAp8QAg]|15-24|Female|PMTCT_STAT_SUBNAT.N.New.Neg.T_1|CY2023Q3</v>
      </c>
    </row>
    <row r="4894" spans="4:18" x14ac:dyDescent="0.2">
      <c r="D4894" t="s">
        <v>128</v>
      </c>
      <c r="E4894" t="s">
        <v>129</v>
      </c>
      <c r="F4894" t="s">
        <v>130</v>
      </c>
      <c r="G4894" t="s">
        <v>163</v>
      </c>
      <c r="H4894" t="s">
        <v>161</v>
      </c>
      <c r="I4894" t="s">
        <v>40</v>
      </c>
      <c r="J4894" t="s">
        <v>41</v>
      </c>
      <c r="K4894" t="s">
        <v>29</v>
      </c>
      <c r="L4894" t="s">
        <v>30</v>
      </c>
      <c r="M4894" t="s">
        <v>139</v>
      </c>
      <c r="N4894">
        <v>1011</v>
      </c>
      <c r="O4894" s="14">
        <v>0.36567288730293501</v>
      </c>
      <c r="P4894" s="14">
        <v>0.55690808477811504</v>
      </c>
      <c r="Q4894" t="str">
        <f t="shared" si="152"/>
        <v>25-34</v>
      </c>
      <c r="R4894" t="str">
        <f t="shared" si="153"/>
        <v>[YCKiBAp8QAg]|25-34|Female|PMTCT_STAT_SUBNAT.N.New.Neg.T_1|CY2023Q3</v>
      </c>
    </row>
    <row r="4895" spans="4:18" x14ac:dyDescent="0.2">
      <c r="D4895" t="s">
        <v>128</v>
      </c>
      <c r="E4895" t="s">
        <v>129</v>
      </c>
      <c r="F4895" t="s">
        <v>130</v>
      </c>
      <c r="G4895" t="s">
        <v>163</v>
      </c>
      <c r="H4895" t="s">
        <v>161</v>
      </c>
      <c r="I4895" t="s">
        <v>42</v>
      </c>
      <c r="J4895" t="s">
        <v>43</v>
      </c>
      <c r="K4895" t="s">
        <v>29</v>
      </c>
      <c r="L4895" t="s">
        <v>30</v>
      </c>
      <c r="M4895" t="s">
        <v>139</v>
      </c>
      <c r="N4895">
        <v>797</v>
      </c>
      <c r="O4895" s="14">
        <v>0.624439111445099</v>
      </c>
      <c r="P4895" s="14">
        <v>0.55690808477811504</v>
      </c>
      <c r="Q4895" t="str">
        <f t="shared" si="152"/>
        <v>35-49</v>
      </c>
      <c r="R4895" t="str">
        <f t="shared" si="153"/>
        <v>[YCKiBAp8QAg]|35-49|Female|PMTCT_STAT_SUBNAT.N.New.Neg.T_1|CY2023Q3</v>
      </c>
    </row>
    <row r="4896" spans="4:18" x14ac:dyDescent="0.2">
      <c r="D4896" t="s">
        <v>131</v>
      </c>
      <c r="E4896" t="s">
        <v>132</v>
      </c>
      <c r="F4896" t="s">
        <v>133</v>
      </c>
      <c r="G4896" t="s">
        <v>163</v>
      </c>
      <c r="H4896" t="s">
        <v>161</v>
      </c>
      <c r="I4896" t="s">
        <v>37</v>
      </c>
      <c r="J4896" t="s">
        <v>38</v>
      </c>
      <c r="K4896" t="s">
        <v>29</v>
      </c>
      <c r="L4896" t="s">
        <v>30</v>
      </c>
      <c r="M4896" t="s">
        <v>139</v>
      </c>
      <c r="N4896">
        <v>1248</v>
      </c>
      <c r="O4896" s="14">
        <v>0.71687417710199997</v>
      </c>
      <c r="P4896" s="14">
        <v>0.16286319401115201</v>
      </c>
      <c r="Q4896" t="str">
        <f t="shared" si="152"/>
        <v>15-24</v>
      </c>
      <c r="R4896" t="str">
        <f t="shared" si="153"/>
        <v>[JQKLKuVuY61]|15-24|Female|PMTCT_STAT_SUBNAT.N.New.Neg.T_1|CY2023Q3</v>
      </c>
    </row>
    <row r="4897" spans="4:18" x14ac:dyDescent="0.2">
      <c r="D4897" t="s">
        <v>131</v>
      </c>
      <c r="E4897" t="s">
        <v>132</v>
      </c>
      <c r="F4897" t="s">
        <v>133</v>
      </c>
      <c r="G4897" t="s">
        <v>163</v>
      </c>
      <c r="H4897" t="s">
        <v>161</v>
      </c>
      <c r="I4897" t="s">
        <v>40</v>
      </c>
      <c r="J4897" t="s">
        <v>41</v>
      </c>
      <c r="K4897" t="s">
        <v>29</v>
      </c>
      <c r="L4897" t="s">
        <v>30</v>
      </c>
      <c r="M4897" t="s">
        <v>139</v>
      </c>
      <c r="N4897">
        <v>908</v>
      </c>
      <c r="O4897" s="14">
        <v>0.96885335422120999</v>
      </c>
      <c r="P4897" s="14">
        <v>0.16286319401115201</v>
      </c>
      <c r="Q4897" t="str">
        <f t="shared" si="152"/>
        <v>25-34</v>
      </c>
      <c r="R4897" t="str">
        <f t="shared" si="153"/>
        <v>[JQKLKuVuY61]|25-34|Female|PMTCT_STAT_SUBNAT.N.New.Neg.T_1|CY2023Q3</v>
      </c>
    </row>
    <row r="4898" spans="4:18" x14ac:dyDescent="0.2">
      <c r="D4898" t="s">
        <v>131</v>
      </c>
      <c r="E4898" t="s">
        <v>132</v>
      </c>
      <c r="F4898" t="s">
        <v>133</v>
      </c>
      <c r="G4898" t="s">
        <v>163</v>
      </c>
      <c r="H4898" t="s">
        <v>161</v>
      </c>
      <c r="I4898" t="s">
        <v>42</v>
      </c>
      <c r="J4898" t="s">
        <v>43</v>
      </c>
      <c r="K4898" t="s">
        <v>29</v>
      </c>
      <c r="L4898" t="s">
        <v>30</v>
      </c>
      <c r="M4898" t="s">
        <v>139</v>
      </c>
      <c r="N4898">
        <v>1850</v>
      </c>
      <c r="O4898" s="14">
        <v>0.10383419017307501</v>
      </c>
      <c r="P4898" s="14">
        <v>0.16286319401115201</v>
      </c>
      <c r="Q4898" t="str">
        <f t="shared" si="152"/>
        <v>35-49</v>
      </c>
      <c r="R4898" t="str">
        <f t="shared" si="153"/>
        <v>[JQKLKuVuY61]|35-49|Female|PMTCT_STAT_SUBNAT.N.New.Neg.T_1|CY2023Q3</v>
      </c>
    </row>
    <row r="4899" spans="4:18" x14ac:dyDescent="0.2">
      <c r="D4899" t="s">
        <v>134</v>
      </c>
      <c r="E4899" t="s">
        <v>135</v>
      </c>
      <c r="F4899" t="s">
        <v>136</v>
      </c>
      <c r="G4899" t="s">
        <v>163</v>
      </c>
      <c r="H4899" t="s">
        <v>161</v>
      </c>
      <c r="I4899" t="s">
        <v>37</v>
      </c>
      <c r="J4899" t="s">
        <v>38</v>
      </c>
      <c r="K4899" t="s">
        <v>29</v>
      </c>
      <c r="L4899" t="s">
        <v>30</v>
      </c>
      <c r="M4899" t="s">
        <v>139</v>
      </c>
      <c r="N4899">
        <v>1664</v>
      </c>
      <c r="O4899" s="14">
        <v>0.95010654116049398</v>
      </c>
      <c r="P4899" s="14">
        <v>0.95530052832327805</v>
      </c>
      <c r="Q4899" t="str">
        <f t="shared" si="152"/>
        <v>15-24</v>
      </c>
      <c r="R4899" t="str">
        <f t="shared" si="153"/>
        <v>[fiRkU6gEjLz]|15-24|Female|PMTCT_STAT_SUBNAT.N.New.Neg.T_1|CY2023Q3</v>
      </c>
    </row>
    <row r="4900" spans="4:18" x14ac:dyDescent="0.2">
      <c r="D4900" t="s">
        <v>134</v>
      </c>
      <c r="E4900" t="s">
        <v>135</v>
      </c>
      <c r="F4900" t="s">
        <v>136</v>
      </c>
      <c r="G4900" t="s">
        <v>163</v>
      </c>
      <c r="H4900" t="s">
        <v>161</v>
      </c>
      <c r="I4900" t="s">
        <v>40</v>
      </c>
      <c r="J4900" t="s">
        <v>41</v>
      </c>
      <c r="K4900" t="s">
        <v>29</v>
      </c>
      <c r="L4900" t="s">
        <v>30</v>
      </c>
      <c r="M4900" t="s">
        <v>139</v>
      </c>
      <c r="N4900">
        <v>1007</v>
      </c>
      <c r="O4900" s="14">
        <v>0.37782492837868598</v>
      </c>
      <c r="P4900" s="14">
        <v>0.95530052832327805</v>
      </c>
      <c r="Q4900" t="str">
        <f t="shared" si="152"/>
        <v>25-34</v>
      </c>
      <c r="R4900" t="str">
        <f t="shared" si="153"/>
        <v>[fiRkU6gEjLz]|25-34|Female|PMTCT_STAT_SUBNAT.N.New.Neg.T_1|CY2023Q3</v>
      </c>
    </row>
    <row r="4901" spans="4:18" x14ac:dyDescent="0.2">
      <c r="D4901" t="s">
        <v>134</v>
      </c>
      <c r="E4901" t="s">
        <v>135</v>
      </c>
      <c r="F4901" t="s">
        <v>136</v>
      </c>
      <c r="G4901" t="s">
        <v>163</v>
      </c>
      <c r="H4901" t="s">
        <v>161</v>
      </c>
      <c r="I4901" t="s">
        <v>42</v>
      </c>
      <c r="J4901" t="s">
        <v>43</v>
      </c>
      <c r="K4901" t="s">
        <v>29</v>
      </c>
      <c r="L4901" t="s">
        <v>30</v>
      </c>
      <c r="M4901" t="s">
        <v>139</v>
      </c>
      <c r="N4901">
        <v>1424</v>
      </c>
      <c r="O4901" s="14">
        <v>0.328358826460317</v>
      </c>
      <c r="P4901" s="14">
        <v>0.95530052832327805</v>
      </c>
      <c r="Q4901" t="str">
        <f t="shared" si="152"/>
        <v>35-49</v>
      </c>
      <c r="R4901" t="str">
        <f t="shared" si="153"/>
        <v>[fiRkU6gEjLz]|35-49|Female|PMTCT_STAT_SUBNAT.N.New.Neg.T_1|CY2023Q3</v>
      </c>
    </row>
    <row r="4902" spans="4:18" x14ac:dyDescent="0.2">
      <c r="D4902" t="s">
        <v>22</v>
      </c>
      <c r="E4902" t="s">
        <v>23</v>
      </c>
      <c r="F4902" t="s">
        <v>24</v>
      </c>
      <c r="G4902" t="s">
        <v>164</v>
      </c>
      <c r="H4902" t="s">
        <v>165</v>
      </c>
      <c r="I4902" t="s">
        <v>27</v>
      </c>
      <c r="J4902" t="s">
        <v>28</v>
      </c>
      <c r="K4902" t="s">
        <v>29</v>
      </c>
      <c r="L4902" t="s">
        <v>30</v>
      </c>
      <c r="M4902" t="s">
        <v>166</v>
      </c>
      <c r="N4902">
        <v>1521</v>
      </c>
      <c r="O4902" s="14">
        <v>0.69476287369616296</v>
      </c>
      <c r="P4902" s="14">
        <v>0.40435861097648701</v>
      </c>
      <c r="Q4902" t="str">
        <f t="shared" si="152"/>
        <v>&lt;01</v>
      </c>
      <c r="R4902" t="str">
        <f t="shared" si="153"/>
        <v>[GkIwZrXy1h2]|&lt;01|Female|PLHIV_Residents.T|CY2024Q3</v>
      </c>
    </row>
    <row r="4903" spans="4:18" x14ac:dyDescent="0.2">
      <c r="D4903" t="s">
        <v>22</v>
      </c>
      <c r="E4903" t="s">
        <v>23</v>
      </c>
      <c r="F4903" t="s">
        <v>24</v>
      </c>
      <c r="G4903" t="s">
        <v>164</v>
      </c>
      <c r="H4903" t="s">
        <v>165</v>
      </c>
      <c r="I4903" t="s">
        <v>32</v>
      </c>
      <c r="J4903" t="s">
        <v>33</v>
      </c>
      <c r="K4903" t="s">
        <v>29</v>
      </c>
      <c r="L4903" t="s">
        <v>30</v>
      </c>
      <c r="M4903" t="s">
        <v>166</v>
      </c>
      <c r="N4903">
        <v>760</v>
      </c>
      <c r="O4903" s="14">
        <v>0.35418079467490299</v>
      </c>
      <c r="P4903" s="14">
        <v>0.40435861097648701</v>
      </c>
      <c r="Q4903" t="str">
        <f t="shared" si="152"/>
        <v>01-09</v>
      </c>
      <c r="R4903" t="str">
        <f t="shared" si="153"/>
        <v>[GkIwZrXy1h2]|01-09|Female|PLHIV_Residents.T|CY2024Q3</v>
      </c>
    </row>
    <row r="4904" spans="4:18" x14ac:dyDescent="0.2">
      <c r="D4904" t="s">
        <v>22</v>
      </c>
      <c r="E4904" t="s">
        <v>23</v>
      </c>
      <c r="F4904" t="s">
        <v>24</v>
      </c>
      <c r="G4904" t="s">
        <v>164</v>
      </c>
      <c r="H4904" t="s">
        <v>165</v>
      </c>
      <c r="I4904" t="s">
        <v>35</v>
      </c>
      <c r="J4904" t="s">
        <v>36</v>
      </c>
      <c r="K4904" t="s">
        <v>29</v>
      </c>
      <c r="L4904" t="s">
        <v>30</v>
      </c>
      <c r="M4904" t="s">
        <v>166</v>
      </c>
      <c r="N4904">
        <v>1001</v>
      </c>
      <c r="O4904" s="14">
        <v>1.4002044918015599E-2</v>
      </c>
      <c r="P4904" s="14">
        <v>0.40435861097648701</v>
      </c>
      <c r="Q4904" t="str">
        <f t="shared" si="152"/>
        <v>10-14</v>
      </c>
      <c r="R4904" t="str">
        <f t="shared" si="153"/>
        <v>[GkIwZrXy1h2]|10-14|Female|PLHIV_Residents.T|CY2024Q3</v>
      </c>
    </row>
    <row r="4905" spans="4:18" x14ac:dyDescent="0.2">
      <c r="D4905" t="s">
        <v>22</v>
      </c>
      <c r="E4905" t="s">
        <v>23</v>
      </c>
      <c r="F4905" t="s">
        <v>24</v>
      </c>
      <c r="G4905" t="s">
        <v>164</v>
      </c>
      <c r="H4905" t="s">
        <v>165</v>
      </c>
      <c r="I4905" t="s">
        <v>37</v>
      </c>
      <c r="J4905" t="s">
        <v>38</v>
      </c>
      <c r="K4905" t="s">
        <v>29</v>
      </c>
      <c r="L4905" t="s">
        <v>30</v>
      </c>
      <c r="M4905" t="s">
        <v>166</v>
      </c>
      <c r="N4905">
        <v>1982</v>
      </c>
      <c r="O4905" s="14">
        <v>0.35044292546808697</v>
      </c>
      <c r="P4905" s="14">
        <v>0.40435861097648701</v>
      </c>
      <c r="Q4905" t="str">
        <f t="shared" si="152"/>
        <v>15-24</v>
      </c>
      <c r="R4905" t="str">
        <f t="shared" si="153"/>
        <v>[GkIwZrXy1h2]|15-24|Female|PLHIV_Residents.T|CY2024Q3</v>
      </c>
    </row>
    <row r="4906" spans="4:18" x14ac:dyDescent="0.2">
      <c r="D4906" t="s">
        <v>22</v>
      </c>
      <c r="E4906" t="s">
        <v>23</v>
      </c>
      <c r="F4906" t="s">
        <v>24</v>
      </c>
      <c r="G4906" t="s">
        <v>164</v>
      </c>
      <c r="H4906" t="s">
        <v>165</v>
      </c>
      <c r="I4906" t="s">
        <v>40</v>
      </c>
      <c r="J4906" t="s">
        <v>41</v>
      </c>
      <c r="K4906" t="s">
        <v>29</v>
      </c>
      <c r="L4906" t="s">
        <v>30</v>
      </c>
      <c r="M4906" t="s">
        <v>166</v>
      </c>
      <c r="N4906">
        <v>507</v>
      </c>
      <c r="O4906" s="14">
        <v>5.3390046348795302E-2</v>
      </c>
      <c r="P4906" s="14">
        <v>0.40435861097648701</v>
      </c>
      <c r="Q4906" t="str">
        <f t="shared" si="152"/>
        <v>25-34</v>
      </c>
      <c r="R4906" t="str">
        <f t="shared" si="153"/>
        <v>[GkIwZrXy1h2]|25-34|Female|PLHIV_Residents.T|CY2024Q3</v>
      </c>
    </row>
    <row r="4907" spans="4:18" x14ac:dyDescent="0.2">
      <c r="D4907" t="s">
        <v>22</v>
      </c>
      <c r="E4907" t="s">
        <v>23</v>
      </c>
      <c r="F4907" t="s">
        <v>24</v>
      </c>
      <c r="G4907" t="s">
        <v>164</v>
      </c>
      <c r="H4907" t="s">
        <v>165</v>
      </c>
      <c r="I4907" t="s">
        <v>42</v>
      </c>
      <c r="J4907" t="s">
        <v>43</v>
      </c>
      <c r="K4907" t="s">
        <v>29</v>
      </c>
      <c r="L4907" t="s">
        <v>30</v>
      </c>
      <c r="M4907" t="s">
        <v>166</v>
      </c>
      <c r="N4907">
        <v>1712</v>
      </c>
      <c r="O4907" s="14">
        <v>0.15349753177724801</v>
      </c>
      <c r="P4907" s="14">
        <v>0.40435861097648701</v>
      </c>
      <c r="Q4907" t="str">
        <f t="shared" si="152"/>
        <v>35-49</v>
      </c>
      <c r="R4907" t="str">
        <f t="shared" si="153"/>
        <v>[GkIwZrXy1h2]|35-49|Female|PLHIV_Residents.T|CY2024Q3</v>
      </c>
    </row>
    <row r="4908" spans="4:18" x14ac:dyDescent="0.2">
      <c r="D4908" t="s">
        <v>22</v>
      </c>
      <c r="E4908" t="s">
        <v>23</v>
      </c>
      <c r="F4908" t="s">
        <v>24</v>
      </c>
      <c r="G4908" t="s">
        <v>164</v>
      </c>
      <c r="H4908" t="s">
        <v>165</v>
      </c>
      <c r="I4908" t="s">
        <v>44</v>
      </c>
      <c r="J4908" t="s">
        <v>45</v>
      </c>
      <c r="K4908" t="s">
        <v>29</v>
      </c>
      <c r="L4908" t="s">
        <v>30</v>
      </c>
      <c r="M4908" t="s">
        <v>166</v>
      </c>
      <c r="N4908">
        <v>917</v>
      </c>
      <c r="O4908" s="14">
        <v>0.42932814266532698</v>
      </c>
      <c r="P4908" s="14">
        <v>0.40435861097648701</v>
      </c>
      <c r="Q4908" t="str">
        <f t="shared" si="152"/>
        <v>50+</v>
      </c>
      <c r="R4908" t="str">
        <f t="shared" si="153"/>
        <v>[GkIwZrXy1h2]|50+|Female|PLHIV_Residents.T|CY2024Q3</v>
      </c>
    </row>
    <row r="4909" spans="4:18" x14ac:dyDescent="0.2">
      <c r="D4909" t="s">
        <v>22</v>
      </c>
      <c r="E4909" t="s">
        <v>23</v>
      </c>
      <c r="F4909" t="s">
        <v>24</v>
      </c>
      <c r="G4909" t="s">
        <v>164</v>
      </c>
      <c r="H4909" t="s">
        <v>165</v>
      </c>
      <c r="I4909" t="s">
        <v>27</v>
      </c>
      <c r="J4909" t="s">
        <v>28</v>
      </c>
      <c r="K4909" t="s">
        <v>47</v>
      </c>
      <c r="L4909" t="s">
        <v>48</v>
      </c>
      <c r="M4909" t="s">
        <v>166</v>
      </c>
      <c r="N4909">
        <v>663</v>
      </c>
      <c r="O4909" s="14">
        <v>0.690992112737149</v>
      </c>
      <c r="P4909" s="14">
        <v>0.40435861097648701</v>
      </c>
      <c r="Q4909" t="str">
        <f t="shared" si="152"/>
        <v>&lt;01</v>
      </c>
      <c r="R4909" t="str">
        <f t="shared" si="153"/>
        <v>[GkIwZrXy1h2]|&lt;01|Male|PLHIV_Residents.T|CY2024Q3</v>
      </c>
    </row>
    <row r="4910" spans="4:18" x14ac:dyDescent="0.2">
      <c r="D4910" t="s">
        <v>22</v>
      </c>
      <c r="E4910" t="s">
        <v>23</v>
      </c>
      <c r="F4910" t="s">
        <v>24</v>
      </c>
      <c r="G4910" t="s">
        <v>164</v>
      </c>
      <c r="H4910" t="s">
        <v>165</v>
      </c>
      <c r="I4910" t="s">
        <v>32</v>
      </c>
      <c r="J4910" t="s">
        <v>33</v>
      </c>
      <c r="K4910" t="s">
        <v>47</v>
      </c>
      <c r="L4910" t="s">
        <v>48</v>
      </c>
      <c r="M4910" t="s">
        <v>166</v>
      </c>
      <c r="N4910">
        <v>596</v>
      </c>
      <c r="O4910" s="14">
        <v>0.14794588694348901</v>
      </c>
      <c r="P4910" s="14">
        <v>0.40435861097648701</v>
      </c>
      <c r="Q4910" t="str">
        <f t="shared" si="152"/>
        <v>01-09</v>
      </c>
      <c r="R4910" t="str">
        <f t="shared" si="153"/>
        <v>[GkIwZrXy1h2]|01-09|Male|PLHIV_Residents.T|CY2024Q3</v>
      </c>
    </row>
    <row r="4911" spans="4:18" x14ac:dyDescent="0.2">
      <c r="D4911" t="s">
        <v>22</v>
      </c>
      <c r="E4911" t="s">
        <v>23</v>
      </c>
      <c r="F4911" t="s">
        <v>24</v>
      </c>
      <c r="G4911" t="s">
        <v>164</v>
      </c>
      <c r="H4911" t="s">
        <v>165</v>
      </c>
      <c r="I4911" t="s">
        <v>35</v>
      </c>
      <c r="J4911" t="s">
        <v>36</v>
      </c>
      <c r="K4911" t="s">
        <v>47</v>
      </c>
      <c r="L4911" t="s">
        <v>48</v>
      </c>
      <c r="M4911" t="s">
        <v>166</v>
      </c>
      <c r="N4911">
        <v>727</v>
      </c>
      <c r="O4911" s="14">
        <v>0.87781091220676899</v>
      </c>
      <c r="P4911" s="14">
        <v>0.40435861097648701</v>
      </c>
      <c r="Q4911" t="str">
        <f t="shared" si="152"/>
        <v>10-14</v>
      </c>
      <c r="R4911" t="str">
        <f t="shared" si="153"/>
        <v>[GkIwZrXy1h2]|10-14|Male|PLHIV_Residents.T|CY2024Q3</v>
      </c>
    </row>
    <row r="4912" spans="4:18" x14ac:dyDescent="0.2">
      <c r="D4912" t="s">
        <v>22</v>
      </c>
      <c r="E4912" t="s">
        <v>23</v>
      </c>
      <c r="F4912" t="s">
        <v>24</v>
      </c>
      <c r="G4912" t="s">
        <v>164</v>
      </c>
      <c r="H4912" t="s">
        <v>165</v>
      </c>
      <c r="I4912" t="s">
        <v>37</v>
      </c>
      <c r="J4912" t="s">
        <v>38</v>
      </c>
      <c r="K4912" t="s">
        <v>47</v>
      </c>
      <c r="L4912" t="s">
        <v>48</v>
      </c>
      <c r="M4912" t="s">
        <v>166</v>
      </c>
      <c r="N4912">
        <v>1683</v>
      </c>
      <c r="O4912" s="14">
        <v>0.56345922453329</v>
      </c>
      <c r="P4912" s="14">
        <v>0.40435861097648701</v>
      </c>
      <c r="Q4912" t="str">
        <f t="shared" si="152"/>
        <v>15-24</v>
      </c>
      <c r="R4912" t="str">
        <f t="shared" si="153"/>
        <v>[GkIwZrXy1h2]|15-24|Male|PLHIV_Residents.T|CY2024Q3</v>
      </c>
    </row>
    <row r="4913" spans="4:18" x14ac:dyDescent="0.2">
      <c r="D4913" t="s">
        <v>22</v>
      </c>
      <c r="E4913" t="s">
        <v>23</v>
      </c>
      <c r="F4913" t="s">
        <v>24</v>
      </c>
      <c r="G4913" t="s">
        <v>164</v>
      </c>
      <c r="H4913" t="s">
        <v>165</v>
      </c>
      <c r="I4913" t="s">
        <v>40</v>
      </c>
      <c r="J4913" t="s">
        <v>41</v>
      </c>
      <c r="K4913" t="s">
        <v>47</v>
      </c>
      <c r="L4913" t="s">
        <v>48</v>
      </c>
      <c r="M4913" t="s">
        <v>166</v>
      </c>
      <c r="N4913">
        <v>1104</v>
      </c>
      <c r="O4913" s="14">
        <v>0.61235481128096603</v>
      </c>
      <c r="P4913" s="14">
        <v>0.40435861097648701</v>
      </c>
      <c r="Q4913" t="str">
        <f t="shared" si="152"/>
        <v>25-34</v>
      </c>
      <c r="R4913" t="str">
        <f t="shared" si="153"/>
        <v>[GkIwZrXy1h2]|25-34|Male|PLHIV_Residents.T|CY2024Q3</v>
      </c>
    </row>
    <row r="4914" spans="4:18" x14ac:dyDescent="0.2">
      <c r="D4914" t="s">
        <v>22</v>
      </c>
      <c r="E4914" t="s">
        <v>23</v>
      </c>
      <c r="F4914" t="s">
        <v>24</v>
      </c>
      <c r="G4914" t="s">
        <v>164</v>
      </c>
      <c r="H4914" t="s">
        <v>165</v>
      </c>
      <c r="I4914" t="s">
        <v>42</v>
      </c>
      <c r="J4914" t="s">
        <v>43</v>
      </c>
      <c r="K4914" t="s">
        <v>47</v>
      </c>
      <c r="L4914" t="s">
        <v>48</v>
      </c>
      <c r="M4914" t="s">
        <v>166</v>
      </c>
      <c r="N4914">
        <v>1270</v>
      </c>
      <c r="O4914" s="14">
        <v>0.927947964286432</v>
      </c>
      <c r="P4914" s="14">
        <v>0.40435861097648701</v>
      </c>
      <c r="Q4914" t="str">
        <f t="shared" si="152"/>
        <v>35-49</v>
      </c>
      <c r="R4914" t="str">
        <f t="shared" si="153"/>
        <v>[GkIwZrXy1h2]|35-49|Male|PLHIV_Residents.T|CY2024Q3</v>
      </c>
    </row>
    <row r="4915" spans="4:18" x14ac:dyDescent="0.2">
      <c r="D4915" t="s">
        <v>22</v>
      </c>
      <c r="E4915" t="s">
        <v>23</v>
      </c>
      <c r="F4915" t="s">
        <v>24</v>
      </c>
      <c r="G4915" t="s">
        <v>164</v>
      </c>
      <c r="H4915" t="s">
        <v>165</v>
      </c>
      <c r="I4915" t="s">
        <v>44</v>
      </c>
      <c r="J4915" t="s">
        <v>45</v>
      </c>
      <c r="K4915" t="s">
        <v>47</v>
      </c>
      <c r="L4915" t="s">
        <v>48</v>
      </c>
      <c r="M4915" t="s">
        <v>166</v>
      </c>
      <c r="N4915">
        <v>635</v>
      </c>
      <c r="O4915" s="14">
        <v>0.39890376990660997</v>
      </c>
      <c r="P4915" s="14">
        <v>0.40435861097648701</v>
      </c>
      <c r="Q4915" t="str">
        <f t="shared" si="152"/>
        <v>50+</v>
      </c>
      <c r="R4915" t="str">
        <f t="shared" si="153"/>
        <v>[GkIwZrXy1h2]|50+|Male|PLHIV_Residents.T|CY2024Q3</v>
      </c>
    </row>
    <row r="4916" spans="4:18" x14ac:dyDescent="0.2">
      <c r="D4916" t="s">
        <v>52</v>
      </c>
      <c r="E4916" t="s">
        <v>53</v>
      </c>
      <c r="F4916" t="s">
        <v>54</v>
      </c>
      <c r="G4916" t="s">
        <v>164</v>
      </c>
      <c r="H4916" t="s">
        <v>165</v>
      </c>
      <c r="I4916" t="s">
        <v>27</v>
      </c>
      <c r="J4916" t="s">
        <v>28</v>
      </c>
      <c r="K4916" t="s">
        <v>29</v>
      </c>
      <c r="L4916" t="s">
        <v>30</v>
      </c>
      <c r="M4916" t="s">
        <v>166</v>
      </c>
      <c r="N4916">
        <v>1905</v>
      </c>
      <c r="O4916" s="14">
        <v>0.86767625366337597</v>
      </c>
      <c r="P4916" s="14">
        <v>0.61639246996492103</v>
      </c>
      <c r="Q4916" t="str">
        <f t="shared" si="152"/>
        <v>&lt;01</v>
      </c>
      <c r="R4916" t="str">
        <f t="shared" si="153"/>
        <v>[zphK9WV8JB4]|&lt;01|Female|PLHIV_Residents.T|CY2024Q3</v>
      </c>
    </row>
    <row r="4917" spans="4:18" x14ac:dyDescent="0.2">
      <c r="D4917" t="s">
        <v>52</v>
      </c>
      <c r="E4917" t="s">
        <v>53</v>
      </c>
      <c r="F4917" t="s">
        <v>54</v>
      </c>
      <c r="G4917" t="s">
        <v>164</v>
      </c>
      <c r="H4917" t="s">
        <v>165</v>
      </c>
      <c r="I4917" t="s">
        <v>32</v>
      </c>
      <c r="J4917" t="s">
        <v>33</v>
      </c>
      <c r="K4917" t="s">
        <v>29</v>
      </c>
      <c r="L4917" t="s">
        <v>30</v>
      </c>
      <c r="M4917" t="s">
        <v>166</v>
      </c>
      <c r="N4917">
        <v>1512</v>
      </c>
      <c r="O4917" s="14">
        <v>4.8296579625457499E-3</v>
      </c>
      <c r="P4917" s="14">
        <v>0.61639246996492103</v>
      </c>
      <c r="Q4917" t="str">
        <f t="shared" si="152"/>
        <v>01-09</v>
      </c>
      <c r="R4917" t="str">
        <f t="shared" si="153"/>
        <v>[zphK9WV8JB4]|01-09|Female|PLHIV_Residents.T|CY2024Q3</v>
      </c>
    </row>
    <row r="4918" spans="4:18" x14ac:dyDescent="0.2">
      <c r="D4918" t="s">
        <v>52</v>
      </c>
      <c r="E4918" t="s">
        <v>53</v>
      </c>
      <c r="F4918" t="s">
        <v>54</v>
      </c>
      <c r="G4918" t="s">
        <v>164</v>
      </c>
      <c r="H4918" t="s">
        <v>165</v>
      </c>
      <c r="I4918" t="s">
        <v>35</v>
      </c>
      <c r="J4918" t="s">
        <v>36</v>
      </c>
      <c r="K4918" t="s">
        <v>29</v>
      </c>
      <c r="L4918" t="s">
        <v>30</v>
      </c>
      <c r="M4918" t="s">
        <v>166</v>
      </c>
      <c r="N4918">
        <v>1207</v>
      </c>
      <c r="O4918" s="14">
        <v>0.64997744769789301</v>
      </c>
      <c r="P4918" s="14">
        <v>0.61639246996492103</v>
      </c>
      <c r="Q4918" t="str">
        <f t="shared" si="152"/>
        <v>10-14</v>
      </c>
      <c r="R4918" t="str">
        <f t="shared" si="153"/>
        <v>[zphK9WV8JB4]|10-14|Female|PLHIV_Residents.T|CY2024Q3</v>
      </c>
    </row>
    <row r="4919" spans="4:18" x14ac:dyDescent="0.2">
      <c r="D4919" t="s">
        <v>52</v>
      </c>
      <c r="E4919" t="s">
        <v>53</v>
      </c>
      <c r="F4919" t="s">
        <v>54</v>
      </c>
      <c r="G4919" t="s">
        <v>164</v>
      </c>
      <c r="H4919" t="s">
        <v>165</v>
      </c>
      <c r="I4919" t="s">
        <v>37</v>
      </c>
      <c r="J4919" t="s">
        <v>38</v>
      </c>
      <c r="K4919" t="s">
        <v>29</v>
      </c>
      <c r="L4919" t="s">
        <v>30</v>
      </c>
      <c r="M4919" t="s">
        <v>166</v>
      </c>
      <c r="N4919">
        <v>1839</v>
      </c>
      <c r="O4919" s="14">
        <v>0.99757389933802199</v>
      </c>
      <c r="P4919" s="14">
        <v>0.61639246996492103</v>
      </c>
      <c r="Q4919" t="str">
        <f t="shared" si="152"/>
        <v>15-24</v>
      </c>
      <c r="R4919" t="str">
        <f t="shared" si="153"/>
        <v>[zphK9WV8JB4]|15-24|Female|PLHIV_Residents.T|CY2024Q3</v>
      </c>
    </row>
    <row r="4920" spans="4:18" x14ac:dyDescent="0.2">
      <c r="D4920" t="s">
        <v>52</v>
      </c>
      <c r="E4920" t="s">
        <v>53</v>
      </c>
      <c r="F4920" t="s">
        <v>54</v>
      </c>
      <c r="G4920" t="s">
        <v>164</v>
      </c>
      <c r="H4920" t="s">
        <v>165</v>
      </c>
      <c r="I4920" t="s">
        <v>40</v>
      </c>
      <c r="J4920" t="s">
        <v>41</v>
      </c>
      <c r="K4920" t="s">
        <v>29</v>
      </c>
      <c r="L4920" t="s">
        <v>30</v>
      </c>
      <c r="M4920" t="s">
        <v>166</v>
      </c>
      <c r="N4920">
        <v>672</v>
      </c>
      <c r="O4920" s="14">
        <v>1.0191081790253499E-2</v>
      </c>
      <c r="P4920" s="14">
        <v>0.61639246996492103</v>
      </c>
      <c r="Q4920" t="str">
        <f t="shared" si="152"/>
        <v>25-34</v>
      </c>
      <c r="R4920" t="str">
        <f t="shared" si="153"/>
        <v>[zphK9WV8JB4]|25-34|Female|PLHIV_Residents.T|CY2024Q3</v>
      </c>
    </row>
    <row r="4921" spans="4:18" x14ac:dyDescent="0.2">
      <c r="D4921" t="s">
        <v>52</v>
      </c>
      <c r="E4921" t="s">
        <v>53</v>
      </c>
      <c r="F4921" t="s">
        <v>54</v>
      </c>
      <c r="G4921" t="s">
        <v>164</v>
      </c>
      <c r="H4921" t="s">
        <v>165</v>
      </c>
      <c r="I4921" t="s">
        <v>42</v>
      </c>
      <c r="J4921" t="s">
        <v>43</v>
      </c>
      <c r="K4921" t="s">
        <v>29</v>
      </c>
      <c r="L4921" t="s">
        <v>30</v>
      </c>
      <c r="M4921" t="s">
        <v>166</v>
      </c>
      <c r="N4921">
        <v>1922</v>
      </c>
      <c r="O4921" s="14">
        <v>0.79868593486025896</v>
      </c>
      <c r="P4921" s="14">
        <v>0.61639246996492103</v>
      </c>
      <c r="Q4921" t="str">
        <f t="shared" si="152"/>
        <v>35-49</v>
      </c>
      <c r="R4921" t="str">
        <f t="shared" si="153"/>
        <v>[zphK9WV8JB4]|35-49|Female|PLHIV_Residents.T|CY2024Q3</v>
      </c>
    </row>
    <row r="4922" spans="4:18" x14ac:dyDescent="0.2">
      <c r="D4922" t="s">
        <v>52</v>
      </c>
      <c r="E4922" t="s">
        <v>53</v>
      </c>
      <c r="F4922" t="s">
        <v>54</v>
      </c>
      <c r="G4922" t="s">
        <v>164</v>
      </c>
      <c r="H4922" t="s">
        <v>165</v>
      </c>
      <c r="I4922" t="s">
        <v>44</v>
      </c>
      <c r="J4922" t="s">
        <v>45</v>
      </c>
      <c r="K4922" t="s">
        <v>29</v>
      </c>
      <c r="L4922" t="s">
        <v>30</v>
      </c>
      <c r="M4922" t="s">
        <v>166</v>
      </c>
      <c r="N4922">
        <v>1546</v>
      </c>
      <c r="O4922" s="14">
        <v>0.69018113543279502</v>
      </c>
      <c r="P4922" s="14">
        <v>0.61639246996492103</v>
      </c>
      <c r="Q4922" t="str">
        <f t="shared" si="152"/>
        <v>50+</v>
      </c>
      <c r="R4922" t="str">
        <f t="shared" si="153"/>
        <v>[zphK9WV8JB4]|50+|Female|PLHIV_Residents.T|CY2024Q3</v>
      </c>
    </row>
    <row r="4923" spans="4:18" x14ac:dyDescent="0.2">
      <c r="D4923" t="s">
        <v>52</v>
      </c>
      <c r="E4923" t="s">
        <v>53</v>
      </c>
      <c r="F4923" t="s">
        <v>54</v>
      </c>
      <c r="G4923" t="s">
        <v>164</v>
      </c>
      <c r="H4923" t="s">
        <v>165</v>
      </c>
      <c r="I4923" t="s">
        <v>27</v>
      </c>
      <c r="J4923" t="s">
        <v>28</v>
      </c>
      <c r="K4923" t="s">
        <v>47</v>
      </c>
      <c r="L4923" t="s">
        <v>48</v>
      </c>
      <c r="M4923" t="s">
        <v>166</v>
      </c>
      <c r="N4923">
        <v>1789</v>
      </c>
      <c r="O4923" s="14">
        <v>0.47755524842068597</v>
      </c>
      <c r="P4923" s="14">
        <v>0.61639246996492103</v>
      </c>
      <c r="Q4923" t="str">
        <f t="shared" si="152"/>
        <v>&lt;01</v>
      </c>
      <c r="R4923" t="str">
        <f t="shared" si="153"/>
        <v>[zphK9WV8JB4]|&lt;01|Male|PLHIV_Residents.T|CY2024Q3</v>
      </c>
    </row>
    <row r="4924" spans="4:18" x14ac:dyDescent="0.2">
      <c r="D4924" t="s">
        <v>52</v>
      </c>
      <c r="E4924" t="s">
        <v>53</v>
      </c>
      <c r="F4924" t="s">
        <v>54</v>
      </c>
      <c r="G4924" t="s">
        <v>164</v>
      </c>
      <c r="H4924" t="s">
        <v>165</v>
      </c>
      <c r="I4924" t="s">
        <v>32</v>
      </c>
      <c r="J4924" t="s">
        <v>33</v>
      </c>
      <c r="K4924" t="s">
        <v>47</v>
      </c>
      <c r="L4924" t="s">
        <v>48</v>
      </c>
      <c r="M4924" t="s">
        <v>166</v>
      </c>
      <c r="N4924">
        <v>683</v>
      </c>
      <c r="O4924" s="14">
        <v>4.8842064570635601E-3</v>
      </c>
      <c r="P4924" s="14">
        <v>0.61639246996492103</v>
      </c>
      <c r="Q4924" t="str">
        <f t="shared" si="152"/>
        <v>01-09</v>
      </c>
      <c r="R4924" t="str">
        <f t="shared" si="153"/>
        <v>[zphK9WV8JB4]|01-09|Male|PLHIV_Residents.T|CY2024Q3</v>
      </c>
    </row>
    <row r="4925" spans="4:18" x14ac:dyDescent="0.2">
      <c r="D4925" t="s">
        <v>52</v>
      </c>
      <c r="E4925" t="s">
        <v>53</v>
      </c>
      <c r="F4925" t="s">
        <v>54</v>
      </c>
      <c r="G4925" t="s">
        <v>164</v>
      </c>
      <c r="H4925" t="s">
        <v>165</v>
      </c>
      <c r="I4925" t="s">
        <v>35</v>
      </c>
      <c r="J4925" t="s">
        <v>36</v>
      </c>
      <c r="K4925" t="s">
        <v>47</v>
      </c>
      <c r="L4925" t="s">
        <v>48</v>
      </c>
      <c r="M4925" t="s">
        <v>166</v>
      </c>
      <c r="N4925">
        <v>1859</v>
      </c>
      <c r="O4925" s="14">
        <v>0.57664710492826998</v>
      </c>
      <c r="P4925" s="14">
        <v>0.61639246996492103</v>
      </c>
      <c r="Q4925" t="str">
        <f t="shared" si="152"/>
        <v>10-14</v>
      </c>
      <c r="R4925" t="str">
        <f t="shared" si="153"/>
        <v>[zphK9WV8JB4]|10-14|Male|PLHIV_Residents.T|CY2024Q3</v>
      </c>
    </row>
    <row r="4926" spans="4:18" x14ac:dyDescent="0.2">
      <c r="D4926" t="s">
        <v>52</v>
      </c>
      <c r="E4926" t="s">
        <v>53</v>
      </c>
      <c r="F4926" t="s">
        <v>54</v>
      </c>
      <c r="G4926" t="s">
        <v>164</v>
      </c>
      <c r="H4926" t="s">
        <v>165</v>
      </c>
      <c r="I4926" t="s">
        <v>37</v>
      </c>
      <c r="J4926" t="s">
        <v>38</v>
      </c>
      <c r="K4926" t="s">
        <v>47</v>
      </c>
      <c r="L4926" t="s">
        <v>48</v>
      </c>
      <c r="M4926" t="s">
        <v>166</v>
      </c>
      <c r="N4926">
        <v>1967</v>
      </c>
      <c r="O4926" s="14">
        <v>0.522818738594651</v>
      </c>
      <c r="P4926" s="14">
        <v>0.61639246996492103</v>
      </c>
      <c r="Q4926" t="str">
        <f t="shared" si="152"/>
        <v>15-24</v>
      </c>
      <c r="R4926" t="str">
        <f t="shared" si="153"/>
        <v>[zphK9WV8JB4]|15-24|Male|PLHIV_Residents.T|CY2024Q3</v>
      </c>
    </row>
    <row r="4927" spans="4:18" x14ac:dyDescent="0.2">
      <c r="D4927" t="s">
        <v>52</v>
      </c>
      <c r="E4927" t="s">
        <v>53</v>
      </c>
      <c r="F4927" t="s">
        <v>54</v>
      </c>
      <c r="G4927" t="s">
        <v>164</v>
      </c>
      <c r="H4927" t="s">
        <v>165</v>
      </c>
      <c r="I4927" t="s">
        <v>40</v>
      </c>
      <c r="J4927" t="s">
        <v>41</v>
      </c>
      <c r="K4927" t="s">
        <v>47</v>
      </c>
      <c r="L4927" t="s">
        <v>48</v>
      </c>
      <c r="M4927" t="s">
        <v>166</v>
      </c>
      <c r="N4927">
        <v>1828</v>
      </c>
      <c r="O4927" s="14">
        <v>0.47743394365534197</v>
      </c>
      <c r="P4927" s="14">
        <v>0.61639246996492103</v>
      </c>
      <c r="Q4927" t="str">
        <f t="shared" si="152"/>
        <v>25-34</v>
      </c>
      <c r="R4927" t="str">
        <f t="shared" si="153"/>
        <v>[zphK9WV8JB4]|25-34|Male|PLHIV_Residents.T|CY2024Q3</v>
      </c>
    </row>
    <row r="4928" spans="4:18" x14ac:dyDescent="0.2">
      <c r="D4928" t="s">
        <v>52</v>
      </c>
      <c r="E4928" t="s">
        <v>53</v>
      </c>
      <c r="F4928" t="s">
        <v>54</v>
      </c>
      <c r="G4928" t="s">
        <v>164</v>
      </c>
      <c r="H4928" t="s">
        <v>165</v>
      </c>
      <c r="I4928" t="s">
        <v>42</v>
      </c>
      <c r="J4928" t="s">
        <v>43</v>
      </c>
      <c r="K4928" t="s">
        <v>47</v>
      </c>
      <c r="L4928" t="s">
        <v>48</v>
      </c>
      <c r="M4928" t="s">
        <v>166</v>
      </c>
      <c r="N4928">
        <v>1768</v>
      </c>
      <c r="O4928" s="14">
        <v>0.92380021163262405</v>
      </c>
      <c r="P4928" s="14">
        <v>0.61639246996492103</v>
      </c>
      <c r="Q4928" t="str">
        <f t="shared" si="152"/>
        <v>35-49</v>
      </c>
      <c r="R4928" t="str">
        <f t="shared" si="153"/>
        <v>[zphK9WV8JB4]|35-49|Male|PLHIV_Residents.T|CY2024Q3</v>
      </c>
    </row>
    <row r="4929" spans="4:18" x14ac:dyDescent="0.2">
      <c r="D4929" t="s">
        <v>52</v>
      </c>
      <c r="E4929" t="s">
        <v>53</v>
      </c>
      <c r="F4929" t="s">
        <v>54</v>
      </c>
      <c r="G4929" t="s">
        <v>164</v>
      </c>
      <c r="H4929" t="s">
        <v>165</v>
      </c>
      <c r="I4929" t="s">
        <v>44</v>
      </c>
      <c r="J4929" t="s">
        <v>45</v>
      </c>
      <c r="K4929" t="s">
        <v>47</v>
      </c>
      <c r="L4929" t="s">
        <v>48</v>
      </c>
      <c r="M4929" t="s">
        <v>166</v>
      </c>
      <c r="N4929">
        <v>1989</v>
      </c>
      <c r="O4929" s="14">
        <v>0.37403770419769</v>
      </c>
      <c r="P4929" s="14">
        <v>0.61639246996492103</v>
      </c>
      <c r="Q4929" t="str">
        <f t="shared" si="152"/>
        <v>50+</v>
      </c>
      <c r="R4929" t="str">
        <f t="shared" si="153"/>
        <v>[zphK9WV8JB4]|50+|Male|PLHIV_Residents.T|CY2024Q3</v>
      </c>
    </row>
    <row r="4930" spans="4:18" x14ac:dyDescent="0.2">
      <c r="D4930" t="s">
        <v>59</v>
      </c>
      <c r="E4930" t="s">
        <v>60</v>
      </c>
      <c r="F4930" t="s">
        <v>61</v>
      </c>
      <c r="G4930" t="s">
        <v>164</v>
      </c>
      <c r="H4930" t="s">
        <v>165</v>
      </c>
      <c r="I4930" t="s">
        <v>27</v>
      </c>
      <c r="J4930" t="s">
        <v>28</v>
      </c>
      <c r="K4930" t="s">
        <v>29</v>
      </c>
      <c r="L4930" t="s">
        <v>30</v>
      </c>
      <c r="M4930" t="s">
        <v>166</v>
      </c>
      <c r="N4930">
        <v>1722</v>
      </c>
      <c r="O4930" s="14">
        <v>0.31513216043822501</v>
      </c>
      <c r="P4930" s="14">
        <v>2.6825056178495298E-2</v>
      </c>
      <c r="Q4930" t="str">
        <f t="shared" ref="Q4930:Q4993" si="154">SUBSTITUTE(SUBSTITUTE($I4930,CHAR(61),""),CHAR(34),"")</f>
        <v>&lt;01</v>
      </c>
      <c r="R4930" t="str">
        <f t="shared" ref="R4930:R4993" si="155">IF($D4930&lt;&gt;"","["&amp;$E4930&amp;"]"&amp;"|"&amp;$Q4930&amp;"|"&amp;$K4930&amp;"|"&amp;$G4930&amp;"|"&amp;IF($G4930="TX_CURR_SUBNAT.R","CY2022Q4",$M4930),"")</f>
        <v>[msW2zpIN7up]|&lt;01|Female|PLHIV_Residents.T|CY2024Q3</v>
      </c>
    </row>
    <row r="4931" spans="4:18" x14ac:dyDescent="0.2">
      <c r="D4931" t="s">
        <v>59</v>
      </c>
      <c r="E4931" t="s">
        <v>60</v>
      </c>
      <c r="F4931" t="s">
        <v>61</v>
      </c>
      <c r="G4931" t="s">
        <v>164</v>
      </c>
      <c r="H4931" t="s">
        <v>165</v>
      </c>
      <c r="I4931" t="s">
        <v>32</v>
      </c>
      <c r="J4931" t="s">
        <v>33</v>
      </c>
      <c r="K4931" t="s">
        <v>29</v>
      </c>
      <c r="L4931" t="s">
        <v>30</v>
      </c>
      <c r="M4931" t="s">
        <v>166</v>
      </c>
      <c r="N4931">
        <v>1451</v>
      </c>
      <c r="O4931" s="14">
        <v>0.143044932512566</v>
      </c>
      <c r="P4931" s="14">
        <v>2.6825056178495298E-2</v>
      </c>
      <c r="Q4931" t="str">
        <f t="shared" si="154"/>
        <v>01-09</v>
      </c>
      <c r="R4931" t="str">
        <f t="shared" si="155"/>
        <v>[msW2zpIN7up]|01-09|Female|PLHIV_Residents.T|CY2024Q3</v>
      </c>
    </row>
    <row r="4932" spans="4:18" x14ac:dyDescent="0.2">
      <c r="D4932" t="s">
        <v>59</v>
      </c>
      <c r="E4932" t="s">
        <v>60</v>
      </c>
      <c r="F4932" t="s">
        <v>61</v>
      </c>
      <c r="G4932" t="s">
        <v>164</v>
      </c>
      <c r="H4932" t="s">
        <v>165</v>
      </c>
      <c r="I4932" t="s">
        <v>35</v>
      </c>
      <c r="J4932" t="s">
        <v>36</v>
      </c>
      <c r="K4932" t="s">
        <v>29</v>
      </c>
      <c r="L4932" t="s">
        <v>30</v>
      </c>
      <c r="M4932" t="s">
        <v>166</v>
      </c>
      <c r="N4932">
        <v>723</v>
      </c>
      <c r="O4932" s="14">
        <v>0.125955417053774</v>
      </c>
      <c r="P4932" s="14">
        <v>2.6825056178495298E-2</v>
      </c>
      <c r="Q4932" t="str">
        <f t="shared" si="154"/>
        <v>10-14</v>
      </c>
      <c r="R4932" t="str">
        <f t="shared" si="155"/>
        <v>[msW2zpIN7up]|10-14|Female|PLHIV_Residents.T|CY2024Q3</v>
      </c>
    </row>
    <row r="4933" spans="4:18" x14ac:dyDescent="0.2">
      <c r="D4933" t="s">
        <v>59</v>
      </c>
      <c r="E4933" t="s">
        <v>60</v>
      </c>
      <c r="F4933" t="s">
        <v>61</v>
      </c>
      <c r="G4933" t="s">
        <v>164</v>
      </c>
      <c r="H4933" t="s">
        <v>165</v>
      </c>
      <c r="I4933" t="s">
        <v>37</v>
      </c>
      <c r="J4933" t="s">
        <v>38</v>
      </c>
      <c r="K4933" t="s">
        <v>29</v>
      </c>
      <c r="L4933" t="s">
        <v>30</v>
      </c>
      <c r="M4933" t="s">
        <v>166</v>
      </c>
      <c r="N4933">
        <v>1451</v>
      </c>
      <c r="O4933" s="14">
        <v>0.26472448674030602</v>
      </c>
      <c r="P4933" s="14">
        <v>2.6825056178495298E-2</v>
      </c>
      <c r="Q4933" t="str">
        <f t="shared" si="154"/>
        <v>15-24</v>
      </c>
      <c r="R4933" t="str">
        <f t="shared" si="155"/>
        <v>[msW2zpIN7up]|15-24|Female|PLHIV_Residents.T|CY2024Q3</v>
      </c>
    </row>
    <row r="4934" spans="4:18" x14ac:dyDescent="0.2">
      <c r="D4934" t="s">
        <v>59</v>
      </c>
      <c r="E4934" t="s">
        <v>60</v>
      </c>
      <c r="F4934" t="s">
        <v>61</v>
      </c>
      <c r="G4934" t="s">
        <v>164</v>
      </c>
      <c r="H4934" t="s">
        <v>165</v>
      </c>
      <c r="I4934" t="s">
        <v>40</v>
      </c>
      <c r="J4934" t="s">
        <v>41</v>
      </c>
      <c r="K4934" t="s">
        <v>29</v>
      </c>
      <c r="L4934" t="s">
        <v>30</v>
      </c>
      <c r="M4934" t="s">
        <v>166</v>
      </c>
      <c r="N4934">
        <v>1073</v>
      </c>
      <c r="O4934" s="14">
        <v>0.74409019947052002</v>
      </c>
      <c r="P4934" s="14">
        <v>2.6825056178495298E-2</v>
      </c>
      <c r="Q4934" t="str">
        <f t="shared" si="154"/>
        <v>25-34</v>
      </c>
      <c r="R4934" t="str">
        <f t="shared" si="155"/>
        <v>[msW2zpIN7up]|25-34|Female|PLHIV_Residents.T|CY2024Q3</v>
      </c>
    </row>
    <row r="4935" spans="4:18" x14ac:dyDescent="0.2">
      <c r="D4935" t="s">
        <v>59</v>
      </c>
      <c r="E4935" t="s">
        <v>60</v>
      </c>
      <c r="F4935" t="s">
        <v>61</v>
      </c>
      <c r="G4935" t="s">
        <v>164</v>
      </c>
      <c r="H4935" t="s">
        <v>165</v>
      </c>
      <c r="I4935" t="s">
        <v>42</v>
      </c>
      <c r="J4935" t="s">
        <v>43</v>
      </c>
      <c r="K4935" t="s">
        <v>29</v>
      </c>
      <c r="L4935" t="s">
        <v>30</v>
      </c>
      <c r="M4935" t="s">
        <v>166</v>
      </c>
      <c r="N4935">
        <v>732</v>
      </c>
      <c r="O4935" s="14">
        <v>0.26224829116836201</v>
      </c>
      <c r="P4935" s="14">
        <v>2.6825056178495298E-2</v>
      </c>
      <c r="Q4935" t="str">
        <f t="shared" si="154"/>
        <v>35-49</v>
      </c>
      <c r="R4935" t="str">
        <f t="shared" si="155"/>
        <v>[msW2zpIN7up]|35-49|Female|PLHIV_Residents.T|CY2024Q3</v>
      </c>
    </row>
    <row r="4936" spans="4:18" x14ac:dyDescent="0.2">
      <c r="D4936" t="s">
        <v>59</v>
      </c>
      <c r="E4936" t="s">
        <v>60</v>
      </c>
      <c r="F4936" t="s">
        <v>61</v>
      </c>
      <c r="G4936" t="s">
        <v>164</v>
      </c>
      <c r="H4936" t="s">
        <v>165</v>
      </c>
      <c r="I4936" t="s">
        <v>44</v>
      </c>
      <c r="J4936" t="s">
        <v>45</v>
      </c>
      <c r="K4936" t="s">
        <v>29</v>
      </c>
      <c r="L4936" t="s">
        <v>30</v>
      </c>
      <c r="M4936" t="s">
        <v>166</v>
      </c>
      <c r="N4936">
        <v>1823</v>
      </c>
      <c r="O4936" s="14">
        <v>2.1871219621971201E-2</v>
      </c>
      <c r="P4936" s="14">
        <v>2.6825056178495298E-2</v>
      </c>
      <c r="Q4936" t="str">
        <f t="shared" si="154"/>
        <v>50+</v>
      </c>
      <c r="R4936" t="str">
        <f t="shared" si="155"/>
        <v>[msW2zpIN7up]|50+|Female|PLHIV_Residents.T|CY2024Q3</v>
      </c>
    </row>
    <row r="4937" spans="4:18" x14ac:dyDescent="0.2">
      <c r="D4937" t="s">
        <v>59</v>
      </c>
      <c r="E4937" t="s">
        <v>60</v>
      </c>
      <c r="F4937" t="s">
        <v>61</v>
      </c>
      <c r="G4937" t="s">
        <v>164</v>
      </c>
      <c r="H4937" t="s">
        <v>165</v>
      </c>
      <c r="I4937" t="s">
        <v>27</v>
      </c>
      <c r="J4937" t="s">
        <v>28</v>
      </c>
      <c r="K4937" t="s">
        <v>47</v>
      </c>
      <c r="L4937" t="s">
        <v>48</v>
      </c>
      <c r="M4937" t="s">
        <v>166</v>
      </c>
      <c r="N4937">
        <v>1067</v>
      </c>
      <c r="O4937" s="14">
        <v>0.32770795375108702</v>
      </c>
      <c r="P4937" s="14">
        <v>2.6825056178495298E-2</v>
      </c>
      <c r="Q4937" t="str">
        <f t="shared" si="154"/>
        <v>&lt;01</v>
      </c>
      <c r="R4937" t="str">
        <f t="shared" si="155"/>
        <v>[msW2zpIN7up]|&lt;01|Male|PLHIV_Residents.T|CY2024Q3</v>
      </c>
    </row>
    <row r="4938" spans="4:18" x14ac:dyDescent="0.2">
      <c r="D4938" t="s">
        <v>59</v>
      </c>
      <c r="E4938" t="s">
        <v>60</v>
      </c>
      <c r="F4938" t="s">
        <v>61</v>
      </c>
      <c r="G4938" t="s">
        <v>164</v>
      </c>
      <c r="H4938" t="s">
        <v>165</v>
      </c>
      <c r="I4938" t="s">
        <v>32</v>
      </c>
      <c r="J4938" t="s">
        <v>33</v>
      </c>
      <c r="K4938" t="s">
        <v>47</v>
      </c>
      <c r="L4938" t="s">
        <v>48</v>
      </c>
      <c r="M4938" t="s">
        <v>166</v>
      </c>
      <c r="N4938">
        <v>952</v>
      </c>
      <c r="O4938" s="14">
        <v>0.73437039158307005</v>
      </c>
      <c r="P4938" s="14">
        <v>2.6825056178495298E-2</v>
      </c>
      <c r="Q4938" t="str">
        <f t="shared" si="154"/>
        <v>01-09</v>
      </c>
      <c r="R4938" t="str">
        <f t="shared" si="155"/>
        <v>[msW2zpIN7up]|01-09|Male|PLHIV_Residents.T|CY2024Q3</v>
      </c>
    </row>
    <row r="4939" spans="4:18" x14ac:dyDescent="0.2">
      <c r="D4939" t="s">
        <v>59</v>
      </c>
      <c r="E4939" t="s">
        <v>60</v>
      </c>
      <c r="F4939" t="s">
        <v>61</v>
      </c>
      <c r="G4939" t="s">
        <v>164</v>
      </c>
      <c r="H4939" t="s">
        <v>165</v>
      </c>
      <c r="I4939" t="s">
        <v>35</v>
      </c>
      <c r="J4939" t="s">
        <v>36</v>
      </c>
      <c r="K4939" t="s">
        <v>47</v>
      </c>
      <c r="L4939" t="s">
        <v>48</v>
      </c>
      <c r="M4939" t="s">
        <v>166</v>
      </c>
      <c r="N4939">
        <v>1307</v>
      </c>
      <c r="O4939" s="14">
        <v>0.462670720182359</v>
      </c>
      <c r="P4939" s="14">
        <v>2.6825056178495298E-2</v>
      </c>
      <c r="Q4939" t="str">
        <f t="shared" si="154"/>
        <v>10-14</v>
      </c>
      <c r="R4939" t="str">
        <f t="shared" si="155"/>
        <v>[msW2zpIN7up]|10-14|Male|PLHIV_Residents.T|CY2024Q3</v>
      </c>
    </row>
    <row r="4940" spans="4:18" x14ac:dyDescent="0.2">
      <c r="D4940" t="s">
        <v>59</v>
      </c>
      <c r="E4940" t="s">
        <v>60</v>
      </c>
      <c r="F4940" t="s">
        <v>61</v>
      </c>
      <c r="G4940" t="s">
        <v>164</v>
      </c>
      <c r="H4940" t="s">
        <v>165</v>
      </c>
      <c r="I4940" t="s">
        <v>37</v>
      </c>
      <c r="J4940" t="s">
        <v>38</v>
      </c>
      <c r="K4940" t="s">
        <v>47</v>
      </c>
      <c r="L4940" t="s">
        <v>48</v>
      </c>
      <c r="M4940" t="s">
        <v>166</v>
      </c>
      <c r="N4940">
        <v>1214</v>
      </c>
      <c r="O4940" s="14">
        <v>0.45983347599394597</v>
      </c>
      <c r="P4940" s="14">
        <v>2.6825056178495298E-2</v>
      </c>
      <c r="Q4940" t="str">
        <f t="shared" si="154"/>
        <v>15-24</v>
      </c>
      <c r="R4940" t="str">
        <f t="shared" si="155"/>
        <v>[msW2zpIN7up]|15-24|Male|PLHIV_Residents.T|CY2024Q3</v>
      </c>
    </row>
    <row r="4941" spans="4:18" x14ac:dyDescent="0.2">
      <c r="D4941" t="s">
        <v>59</v>
      </c>
      <c r="E4941" t="s">
        <v>60</v>
      </c>
      <c r="F4941" t="s">
        <v>61</v>
      </c>
      <c r="G4941" t="s">
        <v>164</v>
      </c>
      <c r="H4941" t="s">
        <v>165</v>
      </c>
      <c r="I4941" t="s">
        <v>40</v>
      </c>
      <c r="J4941" t="s">
        <v>41</v>
      </c>
      <c r="K4941" t="s">
        <v>47</v>
      </c>
      <c r="L4941" t="s">
        <v>48</v>
      </c>
      <c r="M4941" t="s">
        <v>166</v>
      </c>
      <c r="N4941">
        <v>1115</v>
      </c>
      <c r="O4941" s="14">
        <v>5.5344691965728998E-2</v>
      </c>
      <c r="P4941" s="14">
        <v>2.6825056178495298E-2</v>
      </c>
      <c r="Q4941" t="str">
        <f t="shared" si="154"/>
        <v>25-34</v>
      </c>
      <c r="R4941" t="str">
        <f t="shared" si="155"/>
        <v>[msW2zpIN7up]|25-34|Male|PLHIV_Residents.T|CY2024Q3</v>
      </c>
    </row>
    <row r="4942" spans="4:18" x14ac:dyDescent="0.2">
      <c r="D4942" t="s">
        <v>59</v>
      </c>
      <c r="E4942" t="s">
        <v>60</v>
      </c>
      <c r="F4942" t="s">
        <v>61</v>
      </c>
      <c r="G4942" t="s">
        <v>164</v>
      </c>
      <c r="H4942" t="s">
        <v>165</v>
      </c>
      <c r="I4942" t="s">
        <v>42</v>
      </c>
      <c r="J4942" t="s">
        <v>43</v>
      </c>
      <c r="K4942" t="s">
        <v>47</v>
      </c>
      <c r="L4942" t="s">
        <v>48</v>
      </c>
      <c r="M4942" t="s">
        <v>166</v>
      </c>
      <c r="N4942">
        <v>1395</v>
      </c>
      <c r="O4942" s="14">
        <v>0.284615376032889</v>
      </c>
      <c r="P4942" s="14">
        <v>2.6825056178495298E-2</v>
      </c>
      <c r="Q4942" t="str">
        <f t="shared" si="154"/>
        <v>35-49</v>
      </c>
      <c r="R4942" t="str">
        <f t="shared" si="155"/>
        <v>[msW2zpIN7up]|35-49|Male|PLHIV_Residents.T|CY2024Q3</v>
      </c>
    </row>
    <row r="4943" spans="4:18" x14ac:dyDescent="0.2">
      <c r="D4943" t="s">
        <v>59</v>
      </c>
      <c r="E4943" t="s">
        <v>60</v>
      </c>
      <c r="F4943" t="s">
        <v>61</v>
      </c>
      <c r="G4943" t="s">
        <v>164</v>
      </c>
      <c r="H4943" t="s">
        <v>165</v>
      </c>
      <c r="I4943" t="s">
        <v>44</v>
      </c>
      <c r="J4943" t="s">
        <v>45</v>
      </c>
      <c r="K4943" t="s">
        <v>47</v>
      </c>
      <c r="L4943" t="s">
        <v>48</v>
      </c>
      <c r="M4943" t="s">
        <v>166</v>
      </c>
      <c r="N4943">
        <v>765</v>
      </c>
      <c r="O4943" s="14">
        <v>0.31194097478874</v>
      </c>
      <c r="P4943" s="14">
        <v>2.6825056178495298E-2</v>
      </c>
      <c r="Q4943" t="str">
        <f t="shared" si="154"/>
        <v>50+</v>
      </c>
      <c r="R4943" t="str">
        <f t="shared" si="155"/>
        <v>[msW2zpIN7up]|50+|Male|PLHIV_Residents.T|CY2024Q3</v>
      </c>
    </row>
    <row r="4944" spans="4:18" x14ac:dyDescent="0.2">
      <c r="D4944" t="s">
        <v>62</v>
      </c>
      <c r="E4944" t="s">
        <v>63</v>
      </c>
      <c r="F4944" t="s">
        <v>64</v>
      </c>
      <c r="G4944" t="s">
        <v>164</v>
      </c>
      <c r="H4944" t="s">
        <v>165</v>
      </c>
      <c r="I4944" t="s">
        <v>27</v>
      </c>
      <c r="J4944" t="s">
        <v>28</v>
      </c>
      <c r="K4944" t="s">
        <v>29</v>
      </c>
      <c r="L4944" t="s">
        <v>30</v>
      </c>
      <c r="M4944" t="s">
        <v>166</v>
      </c>
      <c r="N4944">
        <v>1323</v>
      </c>
      <c r="O4944" s="14">
        <v>0.59845208982005704</v>
      </c>
      <c r="P4944" s="14">
        <v>0.790102193132043</v>
      </c>
      <c r="Q4944" t="str">
        <f t="shared" si="154"/>
        <v>&lt;01</v>
      </c>
      <c r="R4944" t="str">
        <f t="shared" si="155"/>
        <v>[kxuuIFpOXyO]|&lt;01|Female|PLHIV_Residents.T|CY2024Q3</v>
      </c>
    </row>
    <row r="4945" spans="4:18" x14ac:dyDescent="0.2">
      <c r="D4945" t="s">
        <v>62</v>
      </c>
      <c r="E4945" t="s">
        <v>63</v>
      </c>
      <c r="F4945" t="s">
        <v>64</v>
      </c>
      <c r="G4945" t="s">
        <v>164</v>
      </c>
      <c r="H4945" t="s">
        <v>165</v>
      </c>
      <c r="I4945" t="s">
        <v>32</v>
      </c>
      <c r="J4945" t="s">
        <v>33</v>
      </c>
      <c r="K4945" t="s">
        <v>29</v>
      </c>
      <c r="L4945" t="s">
        <v>30</v>
      </c>
      <c r="M4945" t="s">
        <v>166</v>
      </c>
      <c r="N4945">
        <v>1293</v>
      </c>
      <c r="O4945" s="14">
        <v>0.75696676247753203</v>
      </c>
      <c r="P4945" s="14">
        <v>0.790102193132043</v>
      </c>
      <c r="Q4945" t="str">
        <f t="shared" si="154"/>
        <v>01-09</v>
      </c>
      <c r="R4945" t="str">
        <f t="shared" si="155"/>
        <v>[kxuuIFpOXyO]|01-09|Female|PLHIV_Residents.T|CY2024Q3</v>
      </c>
    </row>
    <row r="4946" spans="4:18" x14ac:dyDescent="0.2">
      <c r="D4946" t="s">
        <v>62</v>
      </c>
      <c r="E4946" t="s">
        <v>63</v>
      </c>
      <c r="F4946" t="s">
        <v>64</v>
      </c>
      <c r="G4946" t="s">
        <v>164</v>
      </c>
      <c r="H4946" t="s">
        <v>165</v>
      </c>
      <c r="I4946" t="s">
        <v>35</v>
      </c>
      <c r="J4946" t="s">
        <v>36</v>
      </c>
      <c r="K4946" t="s">
        <v>29</v>
      </c>
      <c r="L4946" t="s">
        <v>30</v>
      </c>
      <c r="M4946" t="s">
        <v>166</v>
      </c>
      <c r="N4946">
        <v>854</v>
      </c>
      <c r="O4946" s="14">
        <v>0.108926852233708</v>
      </c>
      <c r="P4946" s="14">
        <v>0.790102193132043</v>
      </c>
      <c r="Q4946" t="str">
        <f t="shared" si="154"/>
        <v>10-14</v>
      </c>
      <c r="R4946" t="str">
        <f t="shared" si="155"/>
        <v>[kxuuIFpOXyO]|10-14|Female|PLHIV_Residents.T|CY2024Q3</v>
      </c>
    </row>
    <row r="4947" spans="4:18" x14ac:dyDescent="0.2">
      <c r="D4947" t="s">
        <v>62</v>
      </c>
      <c r="E4947" t="s">
        <v>63</v>
      </c>
      <c r="F4947" t="s">
        <v>64</v>
      </c>
      <c r="G4947" t="s">
        <v>164</v>
      </c>
      <c r="H4947" t="s">
        <v>165</v>
      </c>
      <c r="I4947" t="s">
        <v>37</v>
      </c>
      <c r="J4947" t="s">
        <v>38</v>
      </c>
      <c r="K4947" t="s">
        <v>29</v>
      </c>
      <c r="L4947" t="s">
        <v>30</v>
      </c>
      <c r="M4947" t="s">
        <v>166</v>
      </c>
      <c r="N4947">
        <v>1868</v>
      </c>
      <c r="O4947" s="14">
        <v>0.92663403763435803</v>
      </c>
      <c r="P4947" s="14">
        <v>0.790102193132043</v>
      </c>
      <c r="Q4947" t="str">
        <f t="shared" si="154"/>
        <v>15-24</v>
      </c>
      <c r="R4947" t="str">
        <f t="shared" si="155"/>
        <v>[kxuuIFpOXyO]|15-24|Female|PLHIV_Residents.T|CY2024Q3</v>
      </c>
    </row>
    <row r="4948" spans="4:18" x14ac:dyDescent="0.2">
      <c r="D4948" t="s">
        <v>62</v>
      </c>
      <c r="E4948" t="s">
        <v>63</v>
      </c>
      <c r="F4948" t="s">
        <v>64</v>
      </c>
      <c r="G4948" t="s">
        <v>164</v>
      </c>
      <c r="H4948" t="s">
        <v>165</v>
      </c>
      <c r="I4948" t="s">
        <v>40</v>
      </c>
      <c r="J4948" t="s">
        <v>41</v>
      </c>
      <c r="K4948" t="s">
        <v>29</v>
      </c>
      <c r="L4948" t="s">
        <v>30</v>
      </c>
      <c r="M4948" t="s">
        <v>166</v>
      </c>
      <c r="N4948">
        <v>965</v>
      </c>
      <c r="O4948" s="14">
        <v>0.62633162969723299</v>
      </c>
      <c r="P4948" s="14">
        <v>0.790102193132043</v>
      </c>
      <c r="Q4948" t="str">
        <f t="shared" si="154"/>
        <v>25-34</v>
      </c>
      <c r="R4948" t="str">
        <f t="shared" si="155"/>
        <v>[kxuuIFpOXyO]|25-34|Female|PLHIV_Residents.T|CY2024Q3</v>
      </c>
    </row>
    <row r="4949" spans="4:18" x14ac:dyDescent="0.2">
      <c r="D4949" t="s">
        <v>62</v>
      </c>
      <c r="E4949" t="s">
        <v>63</v>
      </c>
      <c r="F4949" t="s">
        <v>64</v>
      </c>
      <c r="G4949" t="s">
        <v>164</v>
      </c>
      <c r="H4949" t="s">
        <v>165</v>
      </c>
      <c r="I4949" t="s">
        <v>42</v>
      </c>
      <c r="J4949" t="s">
        <v>43</v>
      </c>
      <c r="K4949" t="s">
        <v>29</v>
      </c>
      <c r="L4949" t="s">
        <v>30</v>
      </c>
      <c r="M4949" t="s">
        <v>166</v>
      </c>
      <c r="N4949">
        <v>1225</v>
      </c>
      <c r="O4949" s="14">
        <v>0.97121125203557301</v>
      </c>
      <c r="P4949" s="14">
        <v>0.790102193132043</v>
      </c>
      <c r="Q4949" t="str">
        <f t="shared" si="154"/>
        <v>35-49</v>
      </c>
      <c r="R4949" t="str">
        <f t="shared" si="155"/>
        <v>[kxuuIFpOXyO]|35-49|Female|PLHIV_Residents.T|CY2024Q3</v>
      </c>
    </row>
    <row r="4950" spans="4:18" x14ac:dyDescent="0.2">
      <c r="D4950" t="s">
        <v>62</v>
      </c>
      <c r="E4950" t="s">
        <v>63</v>
      </c>
      <c r="F4950" t="s">
        <v>64</v>
      </c>
      <c r="G4950" t="s">
        <v>164</v>
      </c>
      <c r="H4950" t="s">
        <v>165</v>
      </c>
      <c r="I4950" t="s">
        <v>44</v>
      </c>
      <c r="J4950" t="s">
        <v>45</v>
      </c>
      <c r="K4950" t="s">
        <v>29</v>
      </c>
      <c r="L4950" t="s">
        <v>30</v>
      </c>
      <c r="M4950" t="s">
        <v>166</v>
      </c>
      <c r="N4950">
        <v>1336</v>
      </c>
      <c r="O4950" s="14">
        <v>0.61692182021215602</v>
      </c>
      <c r="P4950" s="14">
        <v>0.790102193132043</v>
      </c>
      <c r="Q4950" t="str">
        <f t="shared" si="154"/>
        <v>50+</v>
      </c>
      <c r="R4950" t="str">
        <f t="shared" si="155"/>
        <v>[kxuuIFpOXyO]|50+|Female|PLHIV_Residents.T|CY2024Q3</v>
      </c>
    </row>
    <row r="4951" spans="4:18" x14ac:dyDescent="0.2">
      <c r="D4951" t="s">
        <v>62</v>
      </c>
      <c r="E4951" t="s">
        <v>63</v>
      </c>
      <c r="F4951" t="s">
        <v>64</v>
      </c>
      <c r="G4951" t="s">
        <v>164</v>
      </c>
      <c r="H4951" t="s">
        <v>165</v>
      </c>
      <c r="I4951" t="s">
        <v>27</v>
      </c>
      <c r="J4951" t="s">
        <v>28</v>
      </c>
      <c r="K4951" t="s">
        <v>47</v>
      </c>
      <c r="L4951" t="s">
        <v>48</v>
      </c>
      <c r="M4951" t="s">
        <v>166</v>
      </c>
      <c r="N4951">
        <v>773</v>
      </c>
      <c r="O4951" s="14">
        <v>5.9874974424019498E-2</v>
      </c>
      <c r="P4951" s="14">
        <v>0.790102193132043</v>
      </c>
      <c r="Q4951" t="str">
        <f t="shared" si="154"/>
        <v>&lt;01</v>
      </c>
      <c r="R4951" t="str">
        <f t="shared" si="155"/>
        <v>[kxuuIFpOXyO]|&lt;01|Male|PLHIV_Residents.T|CY2024Q3</v>
      </c>
    </row>
    <row r="4952" spans="4:18" x14ac:dyDescent="0.2">
      <c r="D4952" t="s">
        <v>62</v>
      </c>
      <c r="E4952" t="s">
        <v>63</v>
      </c>
      <c r="F4952" t="s">
        <v>64</v>
      </c>
      <c r="G4952" t="s">
        <v>164</v>
      </c>
      <c r="H4952" t="s">
        <v>165</v>
      </c>
      <c r="I4952" t="s">
        <v>32</v>
      </c>
      <c r="J4952" t="s">
        <v>33</v>
      </c>
      <c r="K4952" t="s">
        <v>47</v>
      </c>
      <c r="L4952" t="s">
        <v>48</v>
      </c>
      <c r="M4952" t="s">
        <v>166</v>
      </c>
      <c r="N4952">
        <v>1528</v>
      </c>
      <c r="O4952" s="14">
        <v>0.24472691910341399</v>
      </c>
      <c r="P4952" s="14">
        <v>0.790102193132043</v>
      </c>
      <c r="Q4952" t="str">
        <f t="shared" si="154"/>
        <v>01-09</v>
      </c>
      <c r="R4952" t="str">
        <f t="shared" si="155"/>
        <v>[kxuuIFpOXyO]|01-09|Male|PLHIV_Residents.T|CY2024Q3</v>
      </c>
    </row>
    <row r="4953" spans="4:18" x14ac:dyDescent="0.2">
      <c r="D4953" t="s">
        <v>62</v>
      </c>
      <c r="E4953" t="s">
        <v>63</v>
      </c>
      <c r="F4953" t="s">
        <v>64</v>
      </c>
      <c r="G4953" t="s">
        <v>164</v>
      </c>
      <c r="H4953" t="s">
        <v>165</v>
      </c>
      <c r="I4953" t="s">
        <v>35</v>
      </c>
      <c r="J4953" t="s">
        <v>36</v>
      </c>
      <c r="K4953" t="s">
        <v>47</v>
      </c>
      <c r="L4953" t="s">
        <v>48</v>
      </c>
      <c r="M4953" t="s">
        <v>166</v>
      </c>
      <c r="N4953">
        <v>1840</v>
      </c>
      <c r="O4953" s="14">
        <v>0.97610795660875704</v>
      </c>
      <c r="P4953" s="14">
        <v>0.790102193132043</v>
      </c>
      <c r="Q4953" t="str">
        <f t="shared" si="154"/>
        <v>10-14</v>
      </c>
      <c r="R4953" t="str">
        <f t="shared" si="155"/>
        <v>[kxuuIFpOXyO]|10-14|Male|PLHIV_Residents.T|CY2024Q3</v>
      </c>
    </row>
    <row r="4954" spans="4:18" x14ac:dyDescent="0.2">
      <c r="D4954" t="s">
        <v>62</v>
      </c>
      <c r="E4954" t="s">
        <v>63</v>
      </c>
      <c r="F4954" t="s">
        <v>64</v>
      </c>
      <c r="G4954" t="s">
        <v>164</v>
      </c>
      <c r="H4954" t="s">
        <v>165</v>
      </c>
      <c r="I4954" t="s">
        <v>37</v>
      </c>
      <c r="J4954" t="s">
        <v>38</v>
      </c>
      <c r="K4954" t="s">
        <v>47</v>
      </c>
      <c r="L4954" t="s">
        <v>48</v>
      </c>
      <c r="M4954" t="s">
        <v>166</v>
      </c>
      <c r="N4954">
        <v>1774</v>
      </c>
      <c r="O4954" s="14">
        <v>0.86913096462376405</v>
      </c>
      <c r="P4954" s="14">
        <v>0.790102193132043</v>
      </c>
      <c r="Q4954" t="str">
        <f t="shared" si="154"/>
        <v>15-24</v>
      </c>
      <c r="R4954" t="str">
        <f t="shared" si="155"/>
        <v>[kxuuIFpOXyO]|15-24|Male|PLHIV_Residents.T|CY2024Q3</v>
      </c>
    </row>
    <row r="4955" spans="4:18" x14ac:dyDescent="0.2">
      <c r="D4955" t="s">
        <v>62</v>
      </c>
      <c r="E4955" t="s">
        <v>63</v>
      </c>
      <c r="F4955" t="s">
        <v>64</v>
      </c>
      <c r="G4955" t="s">
        <v>164</v>
      </c>
      <c r="H4955" t="s">
        <v>165</v>
      </c>
      <c r="I4955" t="s">
        <v>40</v>
      </c>
      <c r="J4955" t="s">
        <v>41</v>
      </c>
      <c r="K4955" t="s">
        <v>47</v>
      </c>
      <c r="L4955" t="s">
        <v>48</v>
      </c>
      <c r="M4955" t="s">
        <v>166</v>
      </c>
      <c r="N4955">
        <v>825</v>
      </c>
      <c r="O4955" s="14">
        <v>0.290015677688643</v>
      </c>
      <c r="P4955" s="14">
        <v>0.790102193132043</v>
      </c>
      <c r="Q4955" t="str">
        <f t="shared" si="154"/>
        <v>25-34</v>
      </c>
      <c r="R4955" t="str">
        <f t="shared" si="155"/>
        <v>[kxuuIFpOXyO]|25-34|Male|PLHIV_Residents.T|CY2024Q3</v>
      </c>
    </row>
    <row r="4956" spans="4:18" x14ac:dyDescent="0.2">
      <c r="D4956" t="s">
        <v>62</v>
      </c>
      <c r="E4956" t="s">
        <v>63</v>
      </c>
      <c r="F4956" t="s">
        <v>64</v>
      </c>
      <c r="G4956" t="s">
        <v>164</v>
      </c>
      <c r="H4956" t="s">
        <v>165</v>
      </c>
      <c r="I4956" t="s">
        <v>42</v>
      </c>
      <c r="J4956" t="s">
        <v>43</v>
      </c>
      <c r="K4956" t="s">
        <v>47</v>
      </c>
      <c r="L4956" t="s">
        <v>48</v>
      </c>
      <c r="M4956" t="s">
        <v>166</v>
      </c>
      <c r="N4956">
        <v>1988</v>
      </c>
      <c r="O4956" s="14">
        <v>0.54719013278372597</v>
      </c>
      <c r="P4956" s="14">
        <v>0.790102193132043</v>
      </c>
      <c r="Q4956" t="str">
        <f t="shared" si="154"/>
        <v>35-49</v>
      </c>
      <c r="R4956" t="str">
        <f t="shared" si="155"/>
        <v>[kxuuIFpOXyO]|35-49|Male|PLHIV_Residents.T|CY2024Q3</v>
      </c>
    </row>
    <row r="4957" spans="4:18" x14ac:dyDescent="0.2">
      <c r="D4957" t="s">
        <v>62</v>
      </c>
      <c r="E4957" t="s">
        <v>63</v>
      </c>
      <c r="F4957" t="s">
        <v>64</v>
      </c>
      <c r="G4957" t="s">
        <v>164</v>
      </c>
      <c r="H4957" t="s">
        <v>165</v>
      </c>
      <c r="I4957" t="s">
        <v>44</v>
      </c>
      <c r="J4957" t="s">
        <v>45</v>
      </c>
      <c r="K4957" t="s">
        <v>47</v>
      </c>
      <c r="L4957" t="s">
        <v>48</v>
      </c>
      <c r="M4957" t="s">
        <v>166</v>
      </c>
      <c r="N4957">
        <v>941</v>
      </c>
      <c r="O4957" s="14">
        <v>0.78439818928018201</v>
      </c>
      <c r="P4957" s="14">
        <v>0.790102193132043</v>
      </c>
      <c r="Q4957" t="str">
        <f t="shared" si="154"/>
        <v>50+</v>
      </c>
      <c r="R4957" t="str">
        <f t="shared" si="155"/>
        <v>[kxuuIFpOXyO]|50+|Male|PLHIV_Residents.T|CY2024Q3</v>
      </c>
    </row>
    <row r="4958" spans="4:18" x14ac:dyDescent="0.2">
      <c r="D4958" t="s">
        <v>65</v>
      </c>
      <c r="E4958" t="s">
        <v>66</v>
      </c>
      <c r="F4958" t="s">
        <v>67</v>
      </c>
      <c r="G4958" t="s">
        <v>164</v>
      </c>
      <c r="H4958" t="s">
        <v>165</v>
      </c>
      <c r="I4958" t="s">
        <v>27</v>
      </c>
      <c r="J4958" t="s">
        <v>28</v>
      </c>
      <c r="K4958" t="s">
        <v>29</v>
      </c>
      <c r="L4958" t="s">
        <v>30</v>
      </c>
      <c r="M4958" t="s">
        <v>166</v>
      </c>
      <c r="N4958">
        <v>1899</v>
      </c>
      <c r="O4958" s="14">
        <v>0.80738409259356603</v>
      </c>
      <c r="P4958" s="14">
        <v>0.16460988437756899</v>
      </c>
      <c r="Q4958" t="str">
        <f t="shared" si="154"/>
        <v>&lt;01</v>
      </c>
      <c r="R4958" t="str">
        <f t="shared" si="155"/>
        <v>[ScR9iFKAasW]|&lt;01|Female|PLHIV_Residents.T|CY2024Q3</v>
      </c>
    </row>
    <row r="4959" spans="4:18" x14ac:dyDescent="0.2">
      <c r="D4959" t="s">
        <v>65</v>
      </c>
      <c r="E4959" t="s">
        <v>66</v>
      </c>
      <c r="F4959" t="s">
        <v>67</v>
      </c>
      <c r="G4959" t="s">
        <v>164</v>
      </c>
      <c r="H4959" t="s">
        <v>165</v>
      </c>
      <c r="I4959" t="s">
        <v>32</v>
      </c>
      <c r="J4959" t="s">
        <v>33</v>
      </c>
      <c r="K4959" t="s">
        <v>29</v>
      </c>
      <c r="L4959" t="s">
        <v>30</v>
      </c>
      <c r="M4959" t="s">
        <v>166</v>
      </c>
      <c r="N4959">
        <v>1133</v>
      </c>
      <c r="O4959" s="14">
        <v>0.64489662414416704</v>
      </c>
      <c r="P4959" s="14">
        <v>0.16460988437756899</v>
      </c>
      <c r="Q4959" t="str">
        <f t="shared" si="154"/>
        <v>01-09</v>
      </c>
      <c r="R4959" t="str">
        <f t="shared" si="155"/>
        <v>[ScR9iFKAasW]|01-09|Female|PLHIV_Residents.T|CY2024Q3</v>
      </c>
    </row>
    <row r="4960" spans="4:18" x14ac:dyDescent="0.2">
      <c r="D4960" t="s">
        <v>65</v>
      </c>
      <c r="E4960" t="s">
        <v>66</v>
      </c>
      <c r="F4960" t="s">
        <v>67</v>
      </c>
      <c r="G4960" t="s">
        <v>164</v>
      </c>
      <c r="H4960" t="s">
        <v>165</v>
      </c>
      <c r="I4960" t="s">
        <v>35</v>
      </c>
      <c r="J4960" t="s">
        <v>36</v>
      </c>
      <c r="K4960" t="s">
        <v>29</v>
      </c>
      <c r="L4960" t="s">
        <v>30</v>
      </c>
      <c r="M4960" t="s">
        <v>166</v>
      </c>
      <c r="N4960">
        <v>1830</v>
      </c>
      <c r="O4960" s="14">
        <v>0.89417735207825899</v>
      </c>
      <c r="P4960" s="14">
        <v>0.16460988437756899</v>
      </c>
      <c r="Q4960" t="str">
        <f t="shared" si="154"/>
        <v>10-14</v>
      </c>
      <c r="R4960" t="str">
        <f t="shared" si="155"/>
        <v>[ScR9iFKAasW]|10-14|Female|PLHIV_Residents.T|CY2024Q3</v>
      </c>
    </row>
    <row r="4961" spans="4:18" x14ac:dyDescent="0.2">
      <c r="D4961" t="s">
        <v>65</v>
      </c>
      <c r="E4961" t="s">
        <v>66</v>
      </c>
      <c r="F4961" t="s">
        <v>67</v>
      </c>
      <c r="G4961" t="s">
        <v>164</v>
      </c>
      <c r="H4961" t="s">
        <v>165</v>
      </c>
      <c r="I4961" t="s">
        <v>37</v>
      </c>
      <c r="J4961" t="s">
        <v>38</v>
      </c>
      <c r="K4961" t="s">
        <v>29</v>
      </c>
      <c r="L4961" t="s">
        <v>30</v>
      </c>
      <c r="M4961" t="s">
        <v>166</v>
      </c>
      <c r="N4961">
        <v>1078</v>
      </c>
      <c r="O4961" s="14">
        <v>0.88080631755292405</v>
      </c>
      <c r="P4961" s="14">
        <v>0.16460988437756899</v>
      </c>
      <c r="Q4961" t="str">
        <f t="shared" si="154"/>
        <v>15-24</v>
      </c>
      <c r="R4961" t="str">
        <f t="shared" si="155"/>
        <v>[ScR9iFKAasW]|15-24|Female|PLHIV_Residents.T|CY2024Q3</v>
      </c>
    </row>
    <row r="4962" spans="4:18" x14ac:dyDescent="0.2">
      <c r="D4962" t="s">
        <v>65</v>
      </c>
      <c r="E4962" t="s">
        <v>66</v>
      </c>
      <c r="F4962" t="s">
        <v>67</v>
      </c>
      <c r="G4962" t="s">
        <v>164</v>
      </c>
      <c r="H4962" t="s">
        <v>165</v>
      </c>
      <c r="I4962" t="s">
        <v>40</v>
      </c>
      <c r="J4962" t="s">
        <v>41</v>
      </c>
      <c r="K4962" t="s">
        <v>29</v>
      </c>
      <c r="L4962" t="s">
        <v>30</v>
      </c>
      <c r="M4962" t="s">
        <v>166</v>
      </c>
      <c r="N4962">
        <v>1292</v>
      </c>
      <c r="O4962" s="14">
        <v>0.62357937032356903</v>
      </c>
      <c r="P4962" s="14">
        <v>0.16460988437756899</v>
      </c>
      <c r="Q4962" t="str">
        <f t="shared" si="154"/>
        <v>25-34</v>
      </c>
      <c r="R4962" t="str">
        <f t="shared" si="155"/>
        <v>[ScR9iFKAasW]|25-34|Female|PLHIV_Residents.T|CY2024Q3</v>
      </c>
    </row>
    <row r="4963" spans="4:18" x14ac:dyDescent="0.2">
      <c r="D4963" t="s">
        <v>65</v>
      </c>
      <c r="E4963" t="s">
        <v>66</v>
      </c>
      <c r="F4963" t="s">
        <v>67</v>
      </c>
      <c r="G4963" t="s">
        <v>164</v>
      </c>
      <c r="H4963" t="s">
        <v>165</v>
      </c>
      <c r="I4963" t="s">
        <v>42</v>
      </c>
      <c r="J4963" t="s">
        <v>43</v>
      </c>
      <c r="K4963" t="s">
        <v>29</v>
      </c>
      <c r="L4963" t="s">
        <v>30</v>
      </c>
      <c r="M4963" t="s">
        <v>166</v>
      </c>
      <c r="N4963">
        <v>668</v>
      </c>
      <c r="O4963" s="14">
        <v>0.34853044315241299</v>
      </c>
      <c r="P4963" s="14">
        <v>0.16460988437756899</v>
      </c>
      <c r="Q4963" t="str">
        <f t="shared" si="154"/>
        <v>35-49</v>
      </c>
      <c r="R4963" t="str">
        <f t="shared" si="155"/>
        <v>[ScR9iFKAasW]|35-49|Female|PLHIV_Residents.T|CY2024Q3</v>
      </c>
    </row>
    <row r="4964" spans="4:18" x14ac:dyDescent="0.2">
      <c r="D4964" t="s">
        <v>65</v>
      </c>
      <c r="E4964" t="s">
        <v>66</v>
      </c>
      <c r="F4964" t="s">
        <v>67</v>
      </c>
      <c r="G4964" t="s">
        <v>164</v>
      </c>
      <c r="H4964" t="s">
        <v>165</v>
      </c>
      <c r="I4964" t="s">
        <v>44</v>
      </c>
      <c r="J4964" t="s">
        <v>45</v>
      </c>
      <c r="K4964" t="s">
        <v>29</v>
      </c>
      <c r="L4964" t="s">
        <v>30</v>
      </c>
      <c r="M4964" t="s">
        <v>166</v>
      </c>
      <c r="N4964">
        <v>1298</v>
      </c>
      <c r="O4964" s="14">
        <v>0.956148380646482</v>
      </c>
      <c r="P4964" s="14">
        <v>0.16460988437756899</v>
      </c>
      <c r="Q4964" t="str">
        <f t="shared" si="154"/>
        <v>50+</v>
      </c>
      <c r="R4964" t="str">
        <f t="shared" si="155"/>
        <v>[ScR9iFKAasW]|50+|Female|PLHIV_Residents.T|CY2024Q3</v>
      </c>
    </row>
    <row r="4965" spans="4:18" x14ac:dyDescent="0.2">
      <c r="D4965" t="s">
        <v>65</v>
      </c>
      <c r="E4965" t="s">
        <v>66</v>
      </c>
      <c r="F4965" t="s">
        <v>67</v>
      </c>
      <c r="G4965" t="s">
        <v>164</v>
      </c>
      <c r="H4965" t="s">
        <v>165</v>
      </c>
      <c r="I4965" t="s">
        <v>27</v>
      </c>
      <c r="J4965" t="s">
        <v>28</v>
      </c>
      <c r="K4965" t="s">
        <v>47</v>
      </c>
      <c r="L4965" t="s">
        <v>48</v>
      </c>
      <c r="M4965" t="s">
        <v>166</v>
      </c>
      <c r="N4965">
        <v>1709</v>
      </c>
      <c r="O4965" s="14">
        <v>0.60370854940265395</v>
      </c>
      <c r="P4965" s="14">
        <v>0.16460988437756899</v>
      </c>
      <c r="Q4965" t="str">
        <f t="shared" si="154"/>
        <v>&lt;01</v>
      </c>
      <c r="R4965" t="str">
        <f t="shared" si="155"/>
        <v>[ScR9iFKAasW]|&lt;01|Male|PLHIV_Residents.T|CY2024Q3</v>
      </c>
    </row>
    <row r="4966" spans="4:18" x14ac:dyDescent="0.2">
      <c r="D4966" t="s">
        <v>65</v>
      </c>
      <c r="E4966" t="s">
        <v>66</v>
      </c>
      <c r="F4966" t="s">
        <v>67</v>
      </c>
      <c r="G4966" t="s">
        <v>164</v>
      </c>
      <c r="H4966" t="s">
        <v>165</v>
      </c>
      <c r="I4966" t="s">
        <v>32</v>
      </c>
      <c r="J4966" t="s">
        <v>33</v>
      </c>
      <c r="K4966" t="s">
        <v>47</v>
      </c>
      <c r="L4966" t="s">
        <v>48</v>
      </c>
      <c r="M4966" t="s">
        <v>166</v>
      </c>
      <c r="N4966">
        <v>1802</v>
      </c>
      <c r="O4966" s="14">
        <v>0.66288991947658404</v>
      </c>
      <c r="P4966" s="14">
        <v>0.16460988437756899</v>
      </c>
      <c r="Q4966" t="str">
        <f t="shared" si="154"/>
        <v>01-09</v>
      </c>
      <c r="R4966" t="str">
        <f t="shared" si="155"/>
        <v>[ScR9iFKAasW]|01-09|Male|PLHIV_Residents.T|CY2024Q3</v>
      </c>
    </row>
    <row r="4967" spans="4:18" x14ac:dyDescent="0.2">
      <c r="D4967" t="s">
        <v>65</v>
      </c>
      <c r="E4967" t="s">
        <v>66</v>
      </c>
      <c r="F4967" t="s">
        <v>67</v>
      </c>
      <c r="G4967" t="s">
        <v>164</v>
      </c>
      <c r="H4967" t="s">
        <v>165</v>
      </c>
      <c r="I4967" t="s">
        <v>35</v>
      </c>
      <c r="J4967" t="s">
        <v>36</v>
      </c>
      <c r="K4967" t="s">
        <v>47</v>
      </c>
      <c r="L4967" t="s">
        <v>48</v>
      </c>
      <c r="M4967" t="s">
        <v>166</v>
      </c>
      <c r="N4967">
        <v>805</v>
      </c>
      <c r="O4967" s="14">
        <v>0.784326909808442</v>
      </c>
      <c r="P4967" s="14">
        <v>0.16460988437756899</v>
      </c>
      <c r="Q4967" t="str">
        <f t="shared" si="154"/>
        <v>10-14</v>
      </c>
      <c r="R4967" t="str">
        <f t="shared" si="155"/>
        <v>[ScR9iFKAasW]|10-14|Male|PLHIV_Residents.T|CY2024Q3</v>
      </c>
    </row>
    <row r="4968" spans="4:18" x14ac:dyDescent="0.2">
      <c r="D4968" t="s">
        <v>65</v>
      </c>
      <c r="E4968" t="s">
        <v>66</v>
      </c>
      <c r="F4968" t="s">
        <v>67</v>
      </c>
      <c r="G4968" t="s">
        <v>164</v>
      </c>
      <c r="H4968" t="s">
        <v>165</v>
      </c>
      <c r="I4968" t="s">
        <v>37</v>
      </c>
      <c r="J4968" t="s">
        <v>38</v>
      </c>
      <c r="K4968" t="s">
        <v>47</v>
      </c>
      <c r="L4968" t="s">
        <v>48</v>
      </c>
      <c r="M4968" t="s">
        <v>166</v>
      </c>
      <c r="N4968">
        <v>844</v>
      </c>
      <c r="O4968" s="14">
        <v>0.14809093275107399</v>
      </c>
      <c r="P4968" s="14">
        <v>0.16460988437756899</v>
      </c>
      <c r="Q4968" t="str">
        <f t="shared" si="154"/>
        <v>15-24</v>
      </c>
      <c r="R4968" t="str">
        <f t="shared" si="155"/>
        <v>[ScR9iFKAasW]|15-24|Male|PLHIV_Residents.T|CY2024Q3</v>
      </c>
    </row>
    <row r="4969" spans="4:18" x14ac:dyDescent="0.2">
      <c r="D4969" t="s">
        <v>65</v>
      </c>
      <c r="E4969" t="s">
        <v>66</v>
      </c>
      <c r="F4969" t="s">
        <v>67</v>
      </c>
      <c r="G4969" t="s">
        <v>164</v>
      </c>
      <c r="H4969" t="s">
        <v>165</v>
      </c>
      <c r="I4969" t="s">
        <v>40</v>
      </c>
      <c r="J4969" t="s">
        <v>41</v>
      </c>
      <c r="K4969" t="s">
        <v>47</v>
      </c>
      <c r="L4969" t="s">
        <v>48</v>
      </c>
      <c r="M4969" t="s">
        <v>166</v>
      </c>
      <c r="N4969">
        <v>1040</v>
      </c>
      <c r="O4969" s="14">
        <v>0.32275967905297898</v>
      </c>
      <c r="P4969" s="14">
        <v>0.16460988437756899</v>
      </c>
      <c r="Q4969" t="str">
        <f t="shared" si="154"/>
        <v>25-34</v>
      </c>
      <c r="R4969" t="str">
        <f t="shared" si="155"/>
        <v>[ScR9iFKAasW]|25-34|Male|PLHIV_Residents.T|CY2024Q3</v>
      </c>
    </row>
    <row r="4970" spans="4:18" x14ac:dyDescent="0.2">
      <c r="D4970" t="s">
        <v>65</v>
      </c>
      <c r="E4970" t="s">
        <v>66</v>
      </c>
      <c r="F4970" t="s">
        <v>67</v>
      </c>
      <c r="G4970" t="s">
        <v>164</v>
      </c>
      <c r="H4970" t="s">
        <v>165</v>
      </c>
      <c r="I4970" t="s">
        <v>42</v>
      </c>
      <c r="J4970" t="s">
        <v>43</v>
      </c>
      <c r="K4970" t="s">
        <v>47</v>
      </c>
      <c r="L4970" t="s">
        <v>48</v>
      </c>
      <c r="M4970" t="s">
        <v>166</v>
      </c>
      <c r="N4970">
        <v>1640</v>
      </c>
      <c r="O4970" s="14">
        <v>0.50550196552649096</v>
      </c>
      <c r="P4970" s="14">
        <v>0.16460988437756899</v>
      </c>
      <c r="Q4970" t="str">
        <f t="shared" si="154"/>
        <v>35-49</v>
      </c>
      <c r="R4970" t="str">
        <f t="shared" si="155"/>
        <v>[ScR9iFKAasW]|35-49|Male|PLHIV_Residents.T|CY2024Q3</v>
      </c>
    </row>
    <row r="4971" spans="4:18" x14ac:dyDescent="0.2">
      <c r="D4971" t="s">
        <v>65</v>
      </c>
      <c r="E4971" t="s">
        <v>66</v>
      </c>
      <c r="F4971" t="s">
        <v>67</v>
      </c>
      <c r="G4971" t="s">
        <v>164</v>
      </c>
      <c r="H4971" t="s">
        <v>165</v>
      </c>
      <c r="I4971" t="s">
        <v>44</v>
      </c>
      <c r="J4971" t="s">
        <v>45</v>
      </c>
      <c r="K4971" t="s">
        <v>47</v>
      </c>
      <c r="L4971" t="s">
        <v>48</v>
      </c>
      <c r="M4971" t="s">
        <v>166</v>
      </c>
      <c r="N4971">
        <v>742</v>
      </c>
      <c r="O4971" s="14">
        <v>0.55817724252119705</v>
      </c>
      <c r="P4971" s="14">
        <v>0.16460988437756899</v>
      </c>
      <c r="Q4971" t="str">
        <f t="shared" si="154"/>
        <v>50+</v>
      </c>
      <c r="R4971" t="str">
        <f t="shared" si="155"/>
        <v>[ScR9iFKAasW]|50+|Male|PLHIV_Residents.T|CY2024Q3</v>
      </c>
    </row>
    <row r="4972" spans="4:18" x14ac:dyDescent="0.2">
      <c r="D4972" t="s">
        <v>68</v>
      </c>
      <c r="E4972" t="s">
        <v>69</v>
      </c>
      <c r="F4972" t="s">
        <v>70</v>
      </c>
      <c r="G4972" t="s">
        <v>164</v>
      </c>
      <c r="H4972" t="s">
        <v>165</v>
      </c>
      <c r="I4972" t="s">
        <v>27</v>
      </c>
      <c r="J4972" t="s">
        <v>28</v>
      </c>
      <c r="K4972" t="s">
        <v>29</v>
      </c>
      <c r="L4972" t="s">
        <v>30</v>
      </c>
      <c r="M4972" t="s">
        <v>166</v>
      </c>
      <c r="N4972">
        <v>1034</v>
      </c>
      <c r="O4972" s="14">
        <v>0.49297011946328001</v>
      </c>
      <c r="P4972" s="14">
        <v>0.19881726312451101</v>
      </c>
      <c r="Q4972" t="str">
        <f t="shared" si="154"/>
        <v>&lt;01</v>
      </c>
      <c r="R4972" t="str">
        <f t="shared" si="155"/>
        <v>[PekKUkKHAzY]|&lt;01|Female|PLHIV_Residents.T|CY2024Q3</v>
      </c>
    </row>
    <row r="4973" spans="4:18" x14ac:dyDescent="0.2">
      <c r="D4973" t="s">
        <v>68</v>
      </c>
      <c r="E4973" t="s">
        <v>69</v>
      </c>
      <c r="F4973" t="s">
        <v>70</v>
      </c>
      <c r="G4973" t="s">
        <v>164</v>
      </c>
      <c r="H4973" t="s">
        <v>165</v>
      </c>
      <c r="I4973" t="s">
        <v>32</v>
      </c>
      <c r="J4973" t="s">
        <v>33</v>
      </c>
      <c r="K4973" t="s">
        <v>29</v>
      </c>
      <c r="L4973" t="s">
        <v>30</v>
      </c>
      <c r="M4973" t="s">
        <v>166</v>
      </c>
      <c r="N4973">
        <v>915</v>
      </c>
      <c r="O4973" s="14">
        <v>0.16644932539202301</v>
      </c>
      <c r="P4973" s="14">
        <v>0.19881726312451101</v>
      </c>
      <c r="Q4973" t="str">
        <f t="shared" si="154"/>
        <v>01-09</v>
      </c>
      <c r="R4973" t="str">
        <f t="shared" si="155"/>
        <v>[PekKUkKHAzY]|01-09|Female|PLHIV_Residents.T|CY2024Q3</v>
      </c>
    </row>
    <row r="4974" spans="4:18" x14ac:dyDescent="0.2">
      <c r="D4974" t="s">
        <v>68</v>
      </c>
      <c r="E4974" t="s">
        <v>69</v>
      </c>
      <c r="F4974" t="s">
        <v>70</v>
      </c>
      <c r="G4974" t="s">
        <v>164</v>
      </c>
      <c r="H4974" t="s">
        <v>165</v>
      </c>
      <c r="I4974" t="s">
        <v>35</v>
      </c>
      <c r="J4974" t="s">
        <v>36</v>
      </c>
      <c r="K4974" t="s">
        <v>29</v>
      </c>
      <c r="L4974" t="s">
        <v>30</v>
      </c>
      <c r="M4974" t="s">
        <v>166</v>
      </c>
      <c r="N4974">
        <v>833</v>
      </c>
      <c r="O4974" s="14">
        <v>0.80407396424561695</v>
      </c>
      <c r="P4974" s="14">
        <v>0.19881726312451101</v>
      </c>
      <c r="Q4974" t="str">
        <f t="shared" si="154"/>
        <v>10-14</v>
      </c>
      <c r="R4974" t="str">
        <f t="shared" si="155"/>
        <v>[PekKUkKHAzY]|10-14|Female|PLHIV_Residents.T|CY2024Q3</v>
      </c>
    </row>
    <row r="4975" spans="4:18" x14ac:dyDescent="0.2">
      <c r="D4975" t="s">
        <v>68</v>
      </c>
      <c r="E4975" t="s">
        <v>69</v>
      </c>
      <c r="F4975" t="s">
        <v>70</v>
      </c>
      <c r="G4975" t="s">
        <v>164</v>
      </c>
      <c r="H4975" t="s">
        <v>165</v>
      </c>
      <c r="I4975" t="s">
        <v>37</v>
      </c>
      <c r="J4975" t="s">
        <v>38</v>
      </c>
      <c r="K4975" t="s">
        <v>29</v>
      </c>
      <c r="L4975" t="s">
        <v>30</v>
      </c>
      <c r="M4975" t="s">
        <v>166</v>
      </c>
      <c r="N4975">
        <v>1088</v>
      </c>
      <c r="O4975" s="14">
        <v>0.84351620497182001</v>
      </c>
      <c r="P4975" s="14">
        <v>0.19881726312451101</v>
      </c>
      <c r="Q4975" t="str">
        <f t="shared" si="154"/>
        <v>15-24</v>
      </c>
      <c r="R4975" t="str">
        <f t="shared" si="155"/>
        <v>[PekKUkKHAzY]|15-24|Female|PLHIV_Residents.T|CY2024Q3</v>
      </c>
    </row>
    <row r="4976" spans="4:18" x14ac:dyDescent="0.2">
      <c r="D4976" t="s">
        <v>68</v>
      </c>
      <c r="E4976" t="s">
        <v>69</v>
      </c>
      <c r="F4976" t="s">
        <v>70</v>
      </c>
      <c r="G4976" t="s">
        <v>164</v>
      </c>
      <c r="H4976" t="s">
        <v>165</v>
      </c>
      <c r="I4976" t="s">
        <v>40</v>
      </c>
      <c r="J4976" t="s">
        <v>41</v>
      </c>
      <c r="K4976" t="s">
        <v>29</v>
      </c>
      <c r="L4976" t="s">
        <v>30</v>
      </c>
      <c r="M4976" t="s">
        <v>166</v>
      </c>
      <c r="N4976">
        <v>1733</v>
      </c>
      <c r="O4976" s="14">
        <v>0.275288770440966</v>
      </c>
      <c r="P4976" s="14">
        <v>0.19881726312451101</v>
      </c>
      <c r="Q4976" t="str">
        <f t="shared" si="154"/>
        <v>25-34</v>
      </c>
      <c r="R4976" t="str">
        <f t="shared" si="155"/>
        <v>[PekKUkKHAzY]|25-34|Female|PLHIV_Residents.T|CY2024Q3</v>
      </c>
    </row>
    <row r="4977" spans="4:18" x14ac:dyDescent="0.2">
      <c r="D4977" t="s">
        <v>68</v>
      </c>
      <c r="E4977" t="s">
        <v>69</v>
      </c>
      <c r="F4977" t="s">
        <v>70</v>
      </c>
      <c r="G4977" t="s">
        <v>164</v>
      </c>
      <c r="H4977" t="s">
        <v>165</v>
      </c>
      <c r="I4977" t="s">
        <v>42</v>
      </c>
      <c r="J4977" t="s">
        <v>43</v>
      </c>
      <c r="K4977" t="s">
        <v>29</v>
      </c>
      <c r="L4977" t="s">
        <v>30</v>
      </c>
      <c r="M4977" t="s">
        <v>166</v>
      </c>
      <c r="N4977">
        <v>1211</v>
      </c>
      <c r="O4977" s="14">
        <v>0.96337650087661997</v>
      </c>
      <c r="P4977" s="14">
        <v>0.19881726312451101</v>
      </c>
      <c r="Q4977" t="str">
        <f t="shared" si="154"/>
        <v>35-49</v>
      </c>
      <c r="R4977" t="str">
        <f t="shared" si="155"/>
        <v>[PekKUkKHAzY]|35-49|Female|PLHIV_Residents.T|CY2024Q3</v>
      </c>
    </row>
    <row r="4978" spans="4:18" x14ac:dyDescent="0.2">
      <c r="D4978" t="s">
        <v>68</v>
      </c>
      <c r="E4978" t="s">
        <v>69</v>
      </c>
      <c r="F4978" t="s">
        <v>70</v>
      </c>
      <c r="G4978" t="s">
        <v>164</v>
      </c>
      <c r="H4978" t="s">
        <v>165</v>
      </c>
      <c r="I4978" t="s">
        <v>44</v>
      </c>
      <c r="J4978" t="s">
        <v>45</v>
      </c>
      <c r="K4978" t="s">
        <v>29</v>
      </c>
      <c r="L4978" t="s">
        <v>30</v>
      </c>
      <c r="M4978" t="s">
        <v>166</v>
      </c>
      <c r="N4978">
        <v>1888</v>
      </c>
      <c r="O4978" s="14">
        <v>0.51202887971885502</v>
      </c>
      <c r="P4978" s="14">
        <v>0.19881726312451101</v>
      </c>
      <c r="Q4978" t="str">
        <f t="shared" si="154"/>
        <v>50+</v>
      </c>
      <c r="R4978" t="str">
        <f t="shared" si="155"/>
        <v>[PekKUkKHAzY]|50+|Female|PLHIV_Residents.T|CY2024Q3</v>
      </c>
    </row>
    <row r="4979" spans="4:18" x14ac:dyDescent="0.2">
      <c r="D4979" t="s">
        <v>68</v>
      </c>
      <c r="E4979" t="s">
        <v>69</v>
      </c>
      <c r="F4979" t="s">
        <v>70</v>
      </c>
      <c r="G4979" t="s">
        <v>164</v>
      </c>
      <c r="H4979" t="s">
        <v>165</v>
      </c>
      <c r="I4979" t="s">
        <v>27</v>
      </c>
      <c r="J4979" t="s">
        <v>28</v>
      </c>
      <c r="K4979" t="s">
        <v>47</v>
      </c>
      <c r="L4979" t="s">
        <v>48</v>
      </c>
      <c r="M4979" t="s">
        <v>166</v>
      </c>
      <c r="N4979">
        <v>1122</v>
      </c>
      <c r="O4979" s="14">
        <v>0.85760342283174396</v>
      </c>
      <c r="P4979" s="14">
        <v>0.19881726312451101</v>
      </c>
      <c r="Q4979" t="str">
        <f t="shared" si="154"/>
        <v>&lt;01</v>
      </c>
      <c r="R4979" t="str">
        <f t="shared" si="155"/>
        <v>[PekKUkKHAzY]|&lt;01|Male|PLHIV_Residents.T|CY2024Q3</v>
      </c>
    </row>
    <row r="4980" spans="4:18" x14ac:dyDescent="0.2">
      <c r="D4980" t="s">
        <v>68</v>
      </c>
      <c r="E4980" t="s">
        <v>69</v>
      </c>
      <c r="F4980" t="s">
        <v>70</v>
      </c>
      <c r="G4980" t="s">
        <v>164</v>
      </c>
      <c r="H4980" t="s">
        <v>165</v>
      </c>
      <c r="I4980" t="s">
        <v>32</v>
      </c>
      <c r="J4980" t="s">
        <v>33</v>
      </c>
      <c r="K4980" t="s">
        <v>47</v>
      </c>
      <c r="L4980" t="s">
        <v>48</v>
      </c>
      <c r="M4980" t="s">
        <v>166</v>
      </c>
      <c r="N4980">
        <v>1151</v>
      </c>
      <c r="O4980" s="14">
        <v>0.73263722262345299</v>
      </c>
      <c r="P4980" s="14">
        <v>0.19881726312451101</v>
      </c>
      <c r="Q4980" t="str">
        <f t="shared" si="154"/>
        <v>01-09</v>
      </c>
      <c r="R4980" t="str">
        <f t="shared" si="155"/>
        <v>[PekKUkKHAzY]|01-09|Male|PLHIV_Residents.T|CY2024Q3</v>
      </c>
    </row>
    <row r="4981" spans="4:18" x14ac:dyDescent="0.2">
      <c r="D4981" t="s">
        <v>68</v>
      </c>
      <c r="E4981" t="s">
        <v>69</v>
      </c>
      <c r="F4981" t="s">
        <v>70</v>
      </c>
      <c r="G4981" t="s">
        <v>164</v>
      </c>
      <c r="H4981" t="s">
        <v>165</v>
      </c>
      <c r="I4981" t="s">
        <v>35</v>
      </c>
      <c r="J4981" t="s">
        <v>36</v>
      </c>
      <c r="K4981" t="s">
        <v>47</v>
      </c>
      <c r="L4981" t="s">
        <v>48</v>
      </c>
      <c r="M4981" t="s">
        <v>166</v>
      </c>
      <c r="N4981">
        <v>1833</v>
      </c>
      <c r="O4981" s="14">
        <v>0.63529085996560797</v>
      </c>
      <c r="P4981" s="14">
        <v>0.19881726312451101</v>
      </c>
      <c r="Q4981" t="str">
        <f t="shared" si="154"/>
        <v>10-14</v>
      </c>
      <c r="R4981" t="str">
        <f t="shared" si="155"/>
        <v>[PekKUkKHAzY]|10-14|Male|PLHIV_Residents.T|CY2024Q3</v>
      </c>
    </row>
    <row r="4982" spans="4:18" x14ac:dyDescent="0.2">
      <c r="D4982" t="s">
        <v>68</v>
      </c>
      <c r="E4982" t="s">
        <v>69</v>
      </c>
      <c r="F4982" t="s">
        <v>70</v>
      </c>
      <c r="G4982" t="s">
        <v>164</v>
      </c>
      <c r="H4982" t="s">
        <v>165</v>
      </c>
      <c r="I4982" t="s">
        <v>37</v>
      </c>
      <c r="J4982" t="s">
        <v>38</v>
      </c>
      <c r="K4982" t="s">
        <v>47</v>
      </c>
      <c r="L4982" t="s">
        <v>48</v>
      </c>
      <c r="M4982" t="s">
        <v>166</v>
      </c>
      <c r="N4982">
        <v>1041</v>
      </c>
      <c r="O4982" s="14">
        <v>0.38934701401740301</v>
      </c>
      <c r="P4982" s="14">
        <v>0.19881726312451101</v>
      </c>
      <c r="Q4982" t="str">
        <f t="shared" si="154"/>
        <v>15-24</v>
      </c>
      <c r="R4982" t="str">
        <f t="shared" si="155"/>
        <v>[PekKUkKHAzY]|15-24|Male|PLHIV_Residents.T|CY2024Q3</v>
      </c>
    </row>
    <row r="4983" spans="4:18" x14ac:dyDescent="0.2">
      <c r="D4983" t="s">
        <v>68</v>
      </c>
      <c r="E4983" t="s">
        <v>69</v>
      </c>
      <c r="F4983" t="s">
        <v>70</v>
      </c>
      <c r="G4983" t="s">
        <v>164</v>
      </c>
      <c r="H4983" t="s">
        <v>165</v>
      </c>
      <c r="I4983" t="s">
        <v>40</v>
      </c>
      <c r="J4983" t="s">
        <v>41</v>
      </c>
      <c r="K4983" t="s">
        <v>47</v>
      </c>
      <c r="L4983" t="s">
        <v>48</v>
      </c>
      <c r="M4983" t="s">
        <v>166</v>
      </c>
      <c r="N4983">
        <v>1509</v>
      </c>
      <c r="O4983" s="14">
        <v>0.19149161875248</v>
      </c>
      <c r="P4983" s="14">
        <v>0.19881726312451101</v>
      </c>
      <c r="Q4983" t="str">
        <f t="shared" si="154"/>
        <v>25-34</v>
      </c>
      <c r="R4983" t="str">
        <f t="shared" si="155"/>
        <v>[PekKUkKHAzY]|25-34|Male|PLHIV_Residents.T|CY2024Q3</v>
      </c>
    </row>
    <row r="4984" spans="4:18" x14ac:dyDescent="0.2">
      <c r="D4984" t="s">
        <v>68</v>
      </c>
      <c r="E4984" t="s">
        <v>69</v>
      </c>
      <c r="F4984" t="s">
        <v>70</v>
      </c>
      <c r="G4984" t="s">
        <v>164</v>
      </c>
      <c r="H4984" t="s">
        <v>165</v>
      </c>
      <c r="I4984" t="s">
        <v>42</v>
      </c>
      <c r="J4984" t="s">
        <v>43</v>
      </c>
      <c r="K4984" t="s">
        <v>47</v>
      </c>
      <c r="L4984" t="s">
        <v>48</v>
      </c>
      <c r="M4984" t="s">
        <v>166</v>
      </c>
      <c r="N4984">
        <v>1941</v>
      </c>
      <c r="O4984" s="14">
        <v>0.26729248254559901</v>
      </c>
      <c r="P4984" s="14">
        <v>0.19881726312451101</v>
      </c>
      <c r="Q4984" t="str">
        <f t="shared" si="154"/>
        <v>35-49</v>
      </c>
      <c r="R4984" t="str">
        <f t="shared" si="155"/>
        <v>[PekKUkKHAzY]|35-49|Male|PLHIV_Residents.T|CY2024Q3</v>
      </c>
    </row>
    <row r="4985" spans="4:18" x14ac:dyDescent="0.2">
      <c r="D4985" t="s">
        <v>68</v>
      </c>
      <c r="E4985" t="s">
        <v>69</v>
      </c>
      <c r="F4985" t="s">
        <v>70</v>
      </c>
      <c r="G4985" t="s">
        <v>164</v>
      </c>
      <c r="H4985" t="s">
        <v>165</v>
      </c>
      <c r="I4985" t="s">
        <v>44</v>
      </c>
      <c r="J4985" t="s">
        <v>45</v>
      </c>
      <c r="K4985" t="s">
        <v>47</v>
      </c>
      <c r="L4985" t="s">
        <v>48</v>
      </c>
      <c r="M4985" t="s">
        <v>166</v>
      </c>
      <c r="N4985">
        <v>1842</v>
      </c>
      <c r="O4985" s="14">
        <v>0.95743201440200199</v>
      </c>
      <c r="P4985" s="14">
        <v>0.19881726312451101</v>
      </c>
      <c r="Q4985" t="str">
        <f t="shared" si="154"/>
        <v>50+</v>
      </c>
      <c r="R4985" t="str">
        <f t="shared" si="155"/>
        <v>[PekKUkKHAzY]|50+|Male|PLHIV_Residents.T|CY2024Q3</v>
      </c>
    </row>
    <row r="4986" spans="4:18" x14ac:dyDescent="0.2">
      <c r="D4986" t="s">
        <v>71</v>
      </c>
      <c r="E4986" t="s">
        <v>72</v>
      </c>
      <c r="F4986" t="s">
        <v>73</v>
      </c>
      <c r="G4986" t="s">
        <v>164</v>
      </c>
      <c r="H4986" t="s">
        <v>165</v>
      </c>
      <c r="I4986" t="s">
        <v>27</v>
      </c>
      <c r="J4986" t="s">
        <v>28</v>
      </c>
      <c r="K4986" t="s">
        <v>29</v>
      </c>
      <c r="L4986" t="s">
        <v>30</v>
      </c>
      <c r="M4986" t="s">
        <v>166</v>
      </c>
      <c r="N4986">
        <v>704</v>
      </c>
      <c r="O4986" s="14">
        <v>0.88647354440763604</v>
      </c>
      <c r="P4986" s="14">
        <v>0.28972870693542102</v>
      </c>
      <c r="Q4986" t="str">
        <f t="shared" si="154"/>
        <v>&lt;01</v>
      </c>
      <c r="R4986" t="str">
        <f t="shared" si="155"/>
        <v>[am530wpaGvr]|&lt;01|Female|PLHIV_Residents.T|CY2024Q3</v>
      </c>
    </row>
    <row r="4987" spans="4:18" x14ac:dyDescent="0.2">
      <c r="D4987" t="s">
        <v>71</v>
      </c>
      <c r="E4987" t="s">
        <v>72</v>
      </c>
      <c r="F4987" t="s">
        <v>73</v>
      </c>
      <c r="G4987" t="s">
        <v>164</v>
      </c>
      <c r="H4987" t="s">
        <v>165</v>
      </c>
      <c r="I4987" t="s">
        <v>32</v>
      </c>
      <c r="J4987" t="s">
        <v>33</v>
      </c>
      <c r="K4987" t="s">
        <v>29</v>
      </c>
      <c r="L4987" t="s">
        <v>30</v>
      </c>
      <c r="M4987" t="s">
        <v>166</v>
      </c>
      <c r="N4987">
        <v>1232</v>
      </c>
      <c r="O4987" s="14">
        <v>0.35634712479077302</v>
      </c>
      <c r="P4987" s="14">
        <v>0.28972870693542102</v>
      </c>
      <c r="Q4987" t="str">
        <f t="shared" si="154"/>
        <v>01-09</v>
      </c>
      <c r="R4987" t="str">
        <f t="shared" si="155"/>
        <v>[am530wpaGvr]|01-09|Female|PLHIV_Residents.T|CY2024Q3</v>
      </c>
    </row>
    <row r="4988" spans="4:18" x14ac:dyDescent="0.2">
      <c r="D4988" t="s">
        <v>71</v>
      </c>
      <c r="E4988" t="s">
        <v>72</v>
      </c>
      <c r="F4988" t="s">
        <v>73</v>
      </c>
      <c r="G4988" t="s">
        <v>164</v>
      </c>
      <c r="H4988" t="s">
        <v>165</v>
      </c>
      <c r="I4988" t="s">
        <v>35</v>
      </c>
      <c r="J4988" t="s">
        <v>36</v>
      </c>
      <c r="K4988" t="s">
        <v>29</v>
      </c>
      <c r="L4988" t="s">
        <v>30</v>
      </c>
      <c r="M4988" t="s">
        <v>166</v>
      </c>
      <c r="N4988">
        <v>1052</v>
      </c>
      <c r="O4988" s="14">
        <v>0.79308692994527497</v>
      </c>
      <c r="P4988" s="14">
        <v>0.28972870693542102</v>
      </c>
      <c r="Q4988" t="str">
        <f t="shared" si="154"/>
        <v>10-14</v>
      </c>
      <c r="R4988" t="str">
        <f t="shared" si="155"/>
        <v>[am530wpaGvr]|10-14|Female|PLHIV_Residents.T|CY2024Q3</v>
      </c>
    </row>
    <row r="4989" spans="4:18" x14ac:dyDescent="0.2">
      <c r="D4989" t="s">
        <v>71</v>
      </c>
      <c r="E4989" t="s">
        <v>72</v>
      </c>
      <c r="F4989" t="s">
        <v>73</v>
      </c>
      <c r="G4989" t="s">
        <v>164</v>
      </c>
      <c r="H4989" t="s">
        <v>165</v>
      </c>
      <c r="I4989" t="s">
        <v>37</v>
      </c>
      <c r="J4989" t="s">
        <v>38</v>
      </c>
      <c r="K4989" t="s">
        <v>29</v>
      </c>
      <c r="L4989" t="s">
        <v>30</v>
      </c>
      <c r="M4989" t="s">
        <v>166</v>
      </c>
      <c r="N4989">
        <v>1232</v>
      </c>
      <c r="O4989" s="14">
        <v>0.48129896493628599</v>
      </c>
      <c r="P4989" s="14">
        <v>0.28972870693542102</v>
      </c>
      <c r="Q4989" t="str">
        <f t="shared" si="154"/>
        <v>15-24</v>
      </c>
      <c r="R4989" t="str">
        <f t="shared" si="155"/>
        <v>[am530wpaGvr]|15-24|Female|PLHIV_Residents.T|CY2024Q3</v>
      </c>
    </row>
    <row r="4990" spans="4:18" x14ac:dyDescent="0.2">
      <c r="D4990" t="s">
        <v>71</v>
      </c>
      <c r="E4990" t="s">
        <v>72</v>
      </c>
      <c r="F4990" t="s">
        <v>73</v>
      </c>
      <c r="G4990" t="s">
        <v>164</v>
      </c>
      <c r="H4990" t="s">
        <v>165</v>
      </c>
      <c r="I4990" t="s">
        <v>40</v>
      </c>
      <c r="J4990" t="s">
        <v>41</v>
      </c>
      <c r="K4990" t="s">
        <v>29</v>
      </c>
      <c r="L4990" t="s">
        <v>30</v>
      </c>
      <c r="M4990" t="s">
        <v>166</v>
      </c>
      <c r="N4990">
        <v>725</v>
      </c>
      <c r="O4990" s="14">
        <v>0.55292164254933596</v>
      </c>
      <c r="P4990" s="14">
        <v>0.28972870693542102</v>
      </c>
      <c r="Q4990" t="str">
        <f t="shared" si="154"/>
        <v>25-34</v>
      </c>
      <c r="R4990" t="str">
        <f t="shared" si="155"/>
        <v>[am530wpaGvr]|25-34|Female|PLHIV_Residents.T|CY2024Q3</v>
      </c>
    </row>
    <row r="4991" spans="4:18" x14ac:dyDescent="0.2">
      <c r="D4991" t="s">
        <v>71</v>
      </c>
      <c r="E4991" t="s">
        <v>72</v>
      </c>
      <c r="F4991" t="s">
        <v>73</v>
      </c>
      <c r="G4991" t="s">
        <v>164</v>
      </c>
      <c r="H4991" t="s">
        <v>165</v>
      </c>
      <c r="I4991" t="s">
        <v>42</v>
      </c>
      <c r="J4991" t="s">
        <v>43</v>
      </c>
      <c r="K4991" t="s">
        <v>29</v>
      </c>
      <c r="L4991" t="s">
        <v>30</v>
      </c>
      <c r="M4991" t="s">
        <v>166</v>
      </c>
      <c r="N4991">
        <v>1814</v>
      </c>
      <c r="O4991" s="14">
        <v>0.35562168899923602</v>
      </c>
      <c r="P4991" s="14">
        <v>0.28972870693542102</v>
      </c>
      <c r="Q4991" t="str">
        <f t="shared" si="154"/>
        <v>35-49</v>
      </c>
      <c r="R4991" t="str">
        <f t="shared" si="155"/>
        <v>[am530wpaGvr]|35-49|Female|PLHIV_Residents.T|CY2024Q3</v>
      </c>
    </row>
    <row r="4992" spans="4:18" x14ac:dyDescent="0.2">
      <c r="D4992" t="s">
        <v>71</v>
      </c>
      <c r="E4992" t="s">
        <v>72</v>
      </c>
      <c r="F4992" t="s">
        <v>73</v>
      </c>
      <c r="G4992" t="s">
        <v>164</v>
      </c>
      <c r="H4992" t="s">
        <v>165</v>
      </c>
      <c r="I4992" t="s">
        <v>44</v>
      </c>
      <c r="J4992" t="s">
        <v>45</v>
      </c>
      <c r="K4992" t="s">
        <v>29</v>
      </c>
      <c r="L4992" t="s">
        <v>30</v>
      </c>
      <c r="M4992" t="s">
        <v>166</v>
      </c>
      <c r="N4992">
        <v>1956</v>
      </c>
      <c r="O4992" s="14">
        <v>0.64207844668999303</v>
      </c>
      <c r="P4992" s="14">
        <v>0.28972870693542102</v>
      </c>
      <c r="Q4992" t="str">
        <f t="shared" si="154"/>
        <v>50+</v>
      </c>
      <c r="R4992" t="str">
        <f t="shared" si="155"/>
        <v>[am530wpaGvr]|50+|Female|PLHIV_Residents.T|CY2024Q3</v>
      </c>
    </row>
    <row r="4993" spans="4:18" x14ac:dyDescent="0.2">
      <c r="D4993" t="s">
        <v>71</v>
      </c>
      <c r="E4993" t="s">
        <v>72</v>
      </c>
      <c r="F4993" t="s">
        <v>73</v>
      </c>
      <c r="G4993" t="s">
        <v>164</v>
      </c>
      <c r="H4993" t="s">
        <v>165</v>
      </c>
      <c r="I4993" t="s">
        <v>27</v>
      </c>
      <c r="J4993" t="s">
        <v>28</v>
      </c>
      <c r="K4993" t="s">
        <v>47</v>
      </c>
      <c r="L4993" t="s">
        <v>48</v>
      </c>
      <c r="M4993" t="s">
        <v>166</v>
      </c>
      <c r="N4993">
        <v>866</v>
      </c>
      <c r="O4993" s="14">
        <v>0.49658516608178599</v>
      </c>
      <c r="P4993" s="14">
        <v>0.28972870693542102</v>
      </c>
      <c r="Q4993" t="str">
        <f t="shared" si="154"/>
        <v>&lt;01</v>
      </c>
      <c r="R4993" t="str">
        <f t="shared" si="155"/>
        <v>[am530wpaGvr]|&lt;01|Male|PLHIV_Residents.T|CY2024Q3</v>
      </c>
    </row>
    <row r="4994" spans="4:18" x14ac:dyDescent="0.2">
      <c r="D4994" t="s">
        <v>71</v>
      </c>
      <c r="E4994" t="s">
        <v>72</v>
      </c>
      <c r="F4994" t="s">
        <v>73</v>
      </c>
      <c r="G4994" t="s">
        <v>164</v>
      </c>
      <c r="H4994" t="s">
        <v>165</v>
      </c>
      <c r="I4994" t="s">
        <v>32</v>
      </c>
      <c r="J4994" t="s">
        <v>33</v>
      </c>
      <c r="K4994" t="s">
        <v>47</v>
      </c>
      <c r="L4994" t="s">
        <v>48</v>
      </c>
      <c r="M4994" t="s">
        <v>166</v>
      </c>
      <c r="N4994">
        <v>1863</v>
      </c>
      <c r="O4994" s="14">
        <v>0.175386747578159</v>
      </c>
      <c r="P4994" s="14">
        <v>0.28972870693542102</v>
      </c>
      <c r="Q4994" t="str">
        <f t="shared" ref="Q4994:Q5057" si="156">SUBSTITUTE(SUBSTITUTE($I4994,CHAR(61),""),CHAR(34),"")</f>
        <v>01-09</v>
      </c>
      <c r="R4994" t="str">
        <f t="shared" ref="R4994:R5057" si="157">IF($D4994&lt;&gt;"","["&amp;$E4994&amp;"]"&amp;"|"&amp;$Q4994&amp;"|"&amp;$K4994&amp;"|"&amp;$G4994&amp;"|"&amp;IF($G4994="TX_CURR_SUBNAT.R","CY2022Q4",$M4994),"")</f>
        <v>[am530wpaGvr]|01-09|Male|PLHIV_Residents.T|CY2024Q3</v>
      </c>
    </row>
    <row r="4995" spans="4:18" x14ac:dyDescent="0.2">
      <c r="D4995" t="s">
        <v>71</v>
      </c>
      <c r="E4995" t="s">
        <v>72</v>
      </c>
      <c r="F4995" t="s">
        <v>73</v>
      </c>
      <c r="G4995" t="s">
        <v>164</v>
      </c>
      <c r="H4995" t="s">
        <v>165</v>
      </c>
      <c r="I4995" t="s">
        <v>35</v>
      </c>
      <c r="J4995" t="s">
        <v>36</v>
      </c>
      <c r="K4995" t="s">
        <v>47</v>
      </c>
      <c r="L4995" t="s">
        <v>48</v>
      </c>
      <c r="M4995" t="s">
        <v>166</v>
      </c>
      <c r="N4995">
        <v>1223</v>
      </c>
      <c r="O4995" s="14">
        <v>0.49055099766701499</v>
      </c>
      <c r="P4995" s="14">
        <v>0.28972870693542102</v>
      </c>
      <c r="Q4995" t="str">
        <f t="shared" si="156"/>
        <v>10-14</v>
      </c>
      <c r="R4995" t="str">
        <f t="shared" si="157"/>
        <v>[am530wpaGvr]|10-14|Male|PLHIV_Residents.T|CY2024Q3</v>
      </c>
    </row>
    <row r="4996" spans="4:18" x14ac:dyDescent="0.2">
      <c r="D4996" t="s">
        <v>71</v>
      </c>
      <c r="E4996" t="s">
        <v>72</v>
      </c>
      <c r="F4996" t="s">
        <v>73</v>
      </c>
      <c r="G4996" t="s">
        <v>164</v>
      </c>
      <c r="H4996" t="s">
        <v>165</v>
      </c>
      <c r="I4996" t="s">
        <v>37</v>
      </c>
      <c r="J4996" t="s">
        <v>38</v>
      </c>
      <c r="K4996" t="s">
        <v>47</v>
      </c>
      <c r="L4996" t="s">
        <v>48</v>
      </c>
      <c r="M4996" t="s">
        <v>166</v>
      </c>
      <c r="N4996">
        <v>1883</v>
      </c>
      <c r="O4996" s="14">
        <v>0.20047422964125899</v>
      </c>
      <c r="P4996" s="14">
        <v>0.28972870693542102</v>
      </c>
      <c r="Q4996" t="str">
        <f t="shared" si="156"/>
        <v>15-24</v>
      </c>
      <c r="R4996" t="str">
        <f t="shared" si="157"/>
        <v>[am530wpaGvr]|15-24|Male|PLHIV_Residents.T|CY2024Q3</v>
      </c>
    </row>
    <row r="4997" spans="4:18" x14ac:dyDescent="0.2">
      <c r="D4997" t="s">
        <v>71</v>
      </c>
      <c r="E4997" t="s">
        <v>72</v>
      </c>
      <c r="F4997" t="s">
        <v>73</v>
      </c>
      <c r="G4997" t="s">
        <v>164</v>
      </c>
      <c r="H4997" t="s">
        <v>165</v>
      </c>
      <c r="I4997" t="s">
        <v>40</v>
      </c>
      <c r="J4997" t="s">
        <v>41</v>
      </c>
      <c r="K4997" t="s">
        <v>47</v>
      </c>
      <c r="L4997" t="s">
        <v>48</v>
      </c>
      <c r="M4997" t="s">
        <v>166</v>
      </c>
      <c r="N4997">
        <v>1646</v>
      </c>
      <c r="O4997" s="14">
        <v>0.63115630741231099</v>
      </c>
      <c r="P4997" s="14">
        <v>0.28972870693542102</v>
      </c>
      <c r="Q4997" t="str">
        <f t="shared" si="156"/>
        <v>25-34</v>
      </c>
      <c r="R4997" t="str">
        <f t="shared" si="157"/>
        <v>[am530wpaGvr]|25-34|Male|PLHIV_Residents.T|CY2024Q3</v>
      </c>
    </row>
    <row r="4998" spans="4:18" x14ac:dyDescent="0.2">
      <c r="D4998" t="s">
        <v>71</v>
      </c>
      <c r="E4998" t="s">
        <v>72</v>
      </c>
      <c r="F4998" t="s">
        <v>73</v>
      </c>
      <c r="G4998" t="s">
        <v>164</v>
      </c>
      <c r="H4998" t="s">
        <v>165</v>
      </c>
      <c r="I4998" t="s">
        <v>42</v>
      </c>
      <c r="J4998" t="s">
        <v>43</v>
      </c>
      <c r="K4998" t="s">
        <v>47</v>
      </c>
      <c r="L4998" t="s">
        <v>48</v>
      </c>
      <c r="M4998" t="s">
        <v>166</v>
      </c>
      <c r="N4998">
        <v>617</v>
      </c>
      <c r="O4998" s="14">
        <v>0.29874201607890399</v>
      </c>
      <c r="P4998" s="14">
        <v>0.28972870693542102</v>
      </c>
      <c r="Q4998" t="str">
        <f t="shared" si="156"/>
        <v>35-49</v>
      </c>
      <c r="R4998" t="str">
        <f t="shared" si="157"/>
        <v>[am530wpaGvr]|35-49|Male|PLHIV_Residents.T|CY2024Q3</v>
      </c>
    </row>
    <row r="4999" spans="4:18" x14ac:dyDescent="0.2">
      <c r="D4999" t="s">
        <v>71</v>
      </c>
      <c r="E4999" t="s">
        <v>72</v>
      </c>
      <c r="F4999" t="s">
        <v>73</v>
      </c>
      <c r="G4999" t="s">
        <v>164</v>
      </c>
      <c r="H4999" t="s">
        <v>165</v>
      </c>
      <c r="I4999" t="s">
        <v>44</v>
      </c>
      <c r="J4999" t="s">
        <v>45</v>
      </c>
      <c r="K4999" t="s">
        <v>47</v>
      </c>
      <c r="L4999" t="s">
        <v>48</v>
      </c>
      <c r="M4999" t="s">
        <v>166</v>
      </c>
      <c r="N4999">
        <v>1491</v>
      </c>
      <c r="O4999" s="14">
        <v>0.163765415316448</v>
      </c>
      <c r="P4999" s="14">
        <v>0.28972870693542102</v>
      </c>
      <c r="Q4999" t="str">
        <f t="shared" si="156"/>
        <v>50+</v>
      </c>
      <c r="R4999" t="str">
        <f t="shared" si="157"/>
        <v>[am530wpaGvr]|50+|Male|PLHIV_Residents.T|CY2024Q3</v>
      </c>
    </row>
    <row r="5000" spans="4:18" x14ac:dyDescent="0.2">
      <c r="D5000" t="s">
        <v>74</v>
      </c>
      <c r="E5000" t="s">
        <v>75</v>
      </c>
      <c r="F5000" t="s">
        <v>76</v>
      </c>
      <c r="G5000" t="s">
        <v>164</v>
      </c>
      <c r="H5000" t="s">
        <v>165</v>
      </c>
      <c r="I5000" t="s">
        <v>27</v>
      </c>
      <c r="J5000" t="s">
        <v>28</v>
      </c>
      <c r="K5000" t="s">
        <v>29</v>
      </c>
      <c r="L5000" t="s">
        <v>30</v>
      </c>
      <c r="M5000" t="s">
        <v>166</v>
      </c>
      <c r="N5000">
        <v>638</v>
      </c>
      <c r="O5000" s="14">
        <v>0.133242418756709</v>
      </c>
      <c r="P5000" s="14">
        <v>0.30305550759658201</v>
      </c>
      <c r="Q5000" t="str">
        <f t="shared" si="156"/>
        <v>&lt;01</v>
      </c>
      <c r="R5000" t="str">
        <f t="shared" si="157"/>
        <v>[lLDyBx5XyUi]|&lt;01|Female|PLHIV_Residents.T|CY2024Q3</v>
      </c>
    </row>
    <row r="5001" spans="4:18" x14ac:dyDescent="0.2">
      <c r="D5001" t="s">
        <v>74</v>
      </c>
      <c r="E5001" t="s">
        <v>75</v>
      </c>
      <c r="F5001" t="s">
        <v>76</v>
      </c>
      <c r="G5001" t="s">
        <v>164</v>
      </c>
      <c r="H5001" t="s">
        <v>165</v>
      </c>
      <c r="I5001" t="s">
        <v>32</v>
      </c>
      <c r="J5001" t="s">
        <v>33</v>
      </c>
      <c r="K5001" t="s">
        <v>29</v>
      </c>
      <c r="L5001" t="s">
        <v>30</v>
      </c>
      <c r="M5001" t="s">
        <v>166</v>
      </c>
      <c r="N5001">
        <v>1726</v>
      </c>
      <c r="O5001" s="14">
        <v>0.45591763406991997</v>
      </c>
      <c r="P5001" s="14">
        <v>0.30305550759658201</v>
      </c>
      <c r="Q5001" t="str">
        <f t="shared" si="156"/>
        <v>01-09</v>
      </c>
      <c r="R5001" t="str">
        <f t="shared" si="157"/>
        <v>[lLDyBx5XyUi]|01-09|Female|PLHIV_Residents.T|CY2024Q3</v>
      </c>
    </row>
    <row r="5002" spans="4:18" x14ac:dyDescent="0.2">
      <c r="D5002" t="s">
        <v>74</v>
      </c>
      <c r="E5002" t="s">
        <v>75</v>
      </c>
      <c r="F5002" t="s">
        <v>76</v>
      </c>
      <c r="G5002" t="s">
        <v>164</v>
      </c>
      <c r="H5002" t="s">
        <v>165</v>
      </c>
      <c r="I5002" t="s">
        <v>35</v>
      </c>
      <c r="J5002" t="s">
        <v>36</v>
      </c>
      <c r="K5002" t="s">
        <v>29</v>
      </c>
      <c r="L5002" t="s">
        <v>30</v>
      </c>
      <c r="M5002" t="s">
        <v>166</v>
      </c>
      <c r="N5002">
        <v>1115</v>
      </c>
      <c r="O5002" s="14">
        <v>0.29629389592446398</v>
      </c>
      <c r="P5002" s="14">
        <v>0.30305550759658201</v>
      </c>
      <c r="Q5002" t="str">
        <f t="shared" si="156"/>
        <v>10-14</v>
      </c>
      <c r="R5002" t="str">
        <f t="shared" si="157"/>
        <v>[lLDyBx5XyUi]|10-14|Female|PLHIV_Residents.T|CY2024Q3</v>
      </c>
    </row>
    <row r="5003" spans="4:18" x14ac:dyDescent="0.2">
      <c r="D5003" t="s">
        <v>74</v>
      </c>
      <c r="E5003" t="s">
        <v>75</v>
      </c>
      <c r="F5003" t="s">
        <v>76</v>
      </c>
      <c r="G5003" t="s">
        <v>164</v>
      </c>
      <c r="H5003" t="s">
        <v>165</v>
      </c>
      <c r="I5003" t="s">
        <v>37</v>
      </c>
      <c r="J5003" t="s">
        <v>38</v>
      </c>
      <c r="K5003" t="s">
        <v>29</v>
      </c>
      <c r="L5003" t="s">
        <v>30</v>
      </c>
      <c r="M5003" t="s">
        <v>166</v>
      </c>
      <c r="N5003">
        <v>1238</v>
      </c>
      <c r="O5003" s="14">
        <v>0.94169591763056804</v>
      </c>
      <c r="P5003" s="14">
        <v>0.30305550759658201</v>
      </c>
      <c r="Q5003" t="str">
        <f t="shared" si="156"/>
        <v>15-24</v>
      </c>
      <c r="R5003" t="str">
        <f t="shared" si="157"/>
        <v>[lLDyBx5XyUi]|15-24|Female|PLHIV_Residents.T|CY2024Q3</v>
      </c>
    </row>
    <row r="5004" spans="4:18" x14ac:dyDescent="0.2">
      <c r="D5004" t="s">
        <v>74</v>
      </c>
      <c r="E5004" t="s">
        <v>75</v>
      </c>
      <c r="F5004" t="s">
        <v>76</v>
      </c>
      <c r="G5004" t="s">
        <v>164</v>
      </c>
      <c r="H5004" t="s">
        <v>165</v>
      </c>
      <c r="I5004" t="s">
        <v>40</v>
      </c>
      <c r="J5004" t="s">
        <v>41</v>
      </c>
      <c r="K5004" t="s">
        <v>29</v>
      </c>
      <c r="L5004" t="s">
        <v>30</v>
      </c>
      <c r="M5004" t="s">
        <v>166</v>
      </c>
      <c r="N5004">
        <v>586</v>
      </c>
      <c r="O5004" s="14">
        <v>0.56375365634448804</v>
      </c>
      <c r="P5004" s="14">
        <v>0.30305550759658201</v>
      </c>
      <c r="Q5004" t="str">
        <f t="shared" si="156"/>
        <v>25-34</v>
      </c>
      <c r="R5004" t="str">
        <f t="shared" si="157"/>
        <v>[lLDyBx5XyUi]|25-34|Female|PLHIV_Residents.T|CY2024Q3</v>
      </c>
    </row>
    <row r="5005" spans="4:18" x14ac:dyDescent="0.2">
      <c r="D5005" t="s">
        <v>74</v>
      </c>
      <c r="E5005" t="s">
        <v>75</v>
      </c>
      <c r="F5005" t="s">
        <v>76</v>
      </c>
      <c r="G5005" t="s">
        <v>164</v>
      </c>
      <c r="H5005" t="s">
        <v>165</v>
      </c>
      <c r="I5005" t="s">
        <v>42</v>
      </c>
      <c r="J5005" t="s">
        <v>43</v>
      </c>
      <c r="K5005" t="s">
        <v>29</v>
      </c>
      <c r="L5005" t="s">
        <v>30</v>
      </c>
      <c r="M5005" t="s">
        <v>166</v>
      </c>
      <c r="N5005">
        <v>1667</v>
      </c>
      <c r="O5005" s="14">
        <v>0.60394455795176305</v>
      </c>
      <c r="P5005" s="14">
        <v>0.30305550759658201</v>
      </c>
      <c r="Q5005" t="str">
        <f t="shared" si="156"/>
        <v>35-49</v>
      </c>
      <c r="R5005" t="str">
        <f t="shared" si="157"/>
        <v>[lLDyBx5XyUi]|35-49|Female|PLHIV_Residents.T|CY2024Q3</v>
      </c>
    </row>
    <row r="5006" spans="4:18" x14ac:dyDescent="0.2">
      <c r="D5006" t="s">
        <v>74</v>
      </c>
      <c r="E5006" t="s">
        <v>75</v>
      </c>
      <c r="F5006" t="s">
        <v>76</v>
      </c>
      <c r="G5006" t="s">
        <v>164</v>
      </c>
      <c r="H5006" t="s">
        <v>165</v>
      </c>
      <c r="I5006" t="s">
        <v>44</v>
      </c>
      <c r="J5006" t="s">
        <v>45</v>
      </c>
      <c r="K5006" t="s">
        <v>29</v>
      </c>
      <c r="L5006" t="s">
        <v>30</v>
      </c>
      <c r="M5006" t="s">
        <v>166</v>
      </c>
      <c r="N5006">
        <v>601</v>
      </c>
      <c r="O5006" s="14">
        <v>0.291448211995885</v>
      </c>
      <c r="P5006" s="14">
        <v>0.30305550759658201</v>
      </c>
      <c r="Q5006" t="str">
        <f t="shared" si="156"/>
        <v>50+</v>
      </c>
      <c r="R5006" t="str">
        <f t="shared" si="157"/>
        <v>[lLDyBx5XyUi]|50+|Female|PLHIV_Residents.T|CY2024Q3</v>
      </c>
    </row>
    <row r="5007" spans="4:18" x14ac:dyDescent="0.2">
      <c r="D5007" t="s">
        <v>74</v>
      </c>
      <c r="E5007" t="s">
        <v>75</v>
      </c>
      <c r="F5007" t="s">
        <v>76</v>
      </c>
      <c r="G5007" t="s">
        <v>164</v>
      </c>
      <c r="H5007" t="s">
        <v>165</v>
      </c>
      <c r="I5007" t="s">
        <v>27</v>
      </c>
      <c r="J5007" t="s">
        <v>28</v>
      </c>
      <c r="K5007" t="s">
        <v>47</v>
      </c>
      <c r="L5007" t="s">
        <v>48</v>
      </c>
      <c r="M5007" t="s">
        <v>166</v>
      </c>
      <c r="N5007">
        <v>1665</v>
      </c>
      <c r="O5007" s="14">
        <v>0.174495370592922</v>
      </c>
      <c r="P5007" s="14">
        <v>0.30305550759658201</v>
      </c>
      <c r="Q5007" t="str">
        <f t="shared" si="156"/>
        <v>&lt;01</v>
      </c>
      <c r="R5007" t="str">
        <f t="shared" si="157"/>
        <v>[lLDyBx5XyUi]|&lt;01|Male|PLHIV_Residents.T|CY2024Q3</v>
      </c>
    </row>
    <row r="5008" spans="4:18" x14ac:dyDescent="0.2">
      <c r="D5008" t="s">
        <v>74</v>
      </c>
      <c r="E5008" t="s">
        <v>75</v>
      </c>
      <c r="F5008" t="s">
        <v>76</v>
      </c>
      <c r="G5008" t="s">
        <v>164</v>
      </c>
      <c r="H5008" t="s">
        <v>165</v>
      </c>
      <c r="I5008" t="s">
        <v>32</v>
      </c>
      <c r="J5008" t="s">
        <v>33</v>
      </c>
      <c r="K5008" t="s">
        <v>47</v>
      </c>
      <c r="L5008" t="s">
        <v>48</v>
      </c>
      <c r="M5008" t="s">
        <v>166</v>
      </c>
      <c r="N5008">
        <v>1821</v>
      </c>
      <c r="O5008" s="14">
        <v>0.60549717606045295</v>
      </c>
      <c r="P5008" s="14">
        <v>0.30305550759658201</v>
      </c>
      <c r="Q5008" t="str">
        <f t="shared" si="156"/>
        <v>01-09</v>
      </c>
      <c r="R5008" t="str">
        <f t="shared" si="157"/>
        <v>[lLDyBx5XyUi]|01-09|Male|PLHIV_Residents.T|CY2024Q3</v>
      </c>
    </row>
    <row r="5009" spans="4:18" x14ac:dyDescent="0.2">
      <c r="D5009" t="s">
        <v>74</v>
      </c>
      <c r="E5009" t="s">
        <v>75</v>
      </c>
      <c r="F5009" t="s">
        <v>76</v>
      </c>
      <c r="G5009" t="s">
        <v>164</v>
      </c>
      <c r="H5009" t="s">
        <v>165</v>
      </c>
      <c r="I5009" t="s">
        <v>35</v>
      </c>
      <c r="J5009" t="s">
        <v>36</v>
      </c>
      <c r="K5009" t="s">
        <v>47</v>
      </c>
      <c r="L5009" t="s">
        <v>48</v>
      </c>
      <c r="M5009" t="s">
        <v>166</v>
      </c>
      <c r="N5009">
        <v>1364</v>
      </c>
      <c r="O5009" s="14">
        <v>0.11391623970121099</v>
      </c>
      <c r="P5009" s="14">
        <v>0.30305550759658201</v>
      </c>
      <c r="Q5009" t="str">
        <f t="shared" si="156"/>
        <v>10-14</v>
      </c>
      <c r="R5009" t="str">
        <f t="shared" si="157"/>
        <v>[lLDyBx5XyUi]|10-14|Male|PLHIV_Residents.T|CY2024Q3</v>
      </c>
    </row>
    <row r="5010" spans="4:18" x14ac:dyDescent="0.2">
      <c r="D5010" t="s">
        <v>74</v>
      </c>
      <c r="E5010" t="s">
        <v>75</v>
      </c>
      <c r="F5010" t="s">
        <v>76</v>
      </c>
      <c r="G5010" t="s">
        <v>164</v>
      </c>
      <c r="H5010" t="s">
        <v>165</v>
      </c>
      <c r="I5010" t="s">
        <v>37</v>
      </c>
      <c r="J5010" t="s">
        <v>38</v>
      </c>
      <c r="K5010" t="s">
        <v>47</v>
      </c>
      <c r="L5010" t="s">
        <v>48</v>
      </c>
      <c r="M5010" t="s">
        <v>166</v>
      </c>
      <c r="N5010">
        <v>1833</v>
      </c>
      <c r="O5010" s="14">
        <v>0.91440698970109202</v>
      </c>
      <c r="P5010" s="14">
        <v>0.30305550759658201</v>
      </c>
      <c r="Q5010" t="str">
        <f t="shared" si="156"/>
        <v>15-24</v>
      </c>
      <c r="R5010" t="str">
        <f t="shared" si="157"/>
        <v>[lLDyBx5XyUi]|15-24|Male|PLHIV_Residents.T|CY2024Q3</v>
      </c>
    </row>
    <row r="5011" spans="4:18" x14ac:dyDescent="0.2">
      <c r="D5011" t="s">
        <v>74</v>
      </c>
      <c r="E5011" t="s">
        <v>75</v>
      </c>
      <c r="F5011" t="s">
        <v>76</v>
      </c>
      <c r="G5011" t="s">
        <v>164</v>
      </c>
      <c r="H5011" t="s">
        <v>165</v>
      </c>
      <c r="I5011" t="s">
        <v>40</v>
      </c>
      <c r="J5011" t="s">
        <v>41</v>
      </c>
      <c r="K5011" t="s">
        <v>47</v>
      </c>
      <c r="L5011" t="s">
        <v>48</v>
      </c>
      <c r="M5011" t="s">
        <v>166</v>
      </c>
      <c r="N5011">
        <v>1714</v>
      </c>
      <c r="O5011" s="14">
        <v>0.83909695991314903</v>
      </c>
      <c r="P5011" s="14">
        <v>0.30305550759658201</v>
      </c>
      <c r="Q5011" t="str">
        <f t="shared" si="156"/>
        <v>25-34</v>
      </c>
      <c r="R5011" t="str">
        <f t="shared" si="157"/>
        <v>[lLDyBx5XyUi]|25-34|Male|PLHIV_Residents.T|CY2024Q3</v>
      </c>
    </row>
    <row r="5012" spans="4:18" x14ac:dyDescent="0.2">
      <c r="D5012" t="s">
        <v>74</v>
      </c>
      <c r="E5012" t="s">
        <v>75</v>
      </c>
      <c r="F5012" t="s">
        <v>76</v>
      </c>
      <c r="G5012" t="s">
        <v>164</v>
      </c>
      <c r="H5012" t="s">
        <v>165</v>
      </c>
      <c r="I5012" t="s">
        <v>42</v>
      </c>
      <c r="J5012" t="s">
        <v>43</v>
      </c>
      <c r="K5012" t="s">
        <v>47</v>
      </c>
      <c r="L5012" t="s">
        <v>48</v>
      </c>
      <c r="M5012" t="s">
        <v>166</v>
      </c>
      <c r="N5012">
        <v>1997</v>
      </c>
      <c r="O5012" s="14">
        <v>2.26376526989043E-2</v>
      </c>
      <c r="P5012" s="14">
        <v>0.30305550759658201</v>
      </c>
      <c r="Q5012" t="str">
        <f t="shared" si="156"/>
        <v>35-49</v>
      </c>
      <c r="R5012" t="str">
        <f t="shared" si="157"/>
        <v>[lLDyBx5XyUi]|35-49|Male|PLHIV_Residents.T|CY2024Q3</v>
      </c>
    </row>
    <row r="5013" spans="4:18" x14ac:dyDescent="0.2">
      <c r="D5013" t="s">
        <v>74</v>
      </c>
      <c r="E5013" t="s">
        <v>75</v>
      </c>
      <c r="F5013" t="s">
        <v>76</v>
      </c>
      <c r="G5013" t="s">
        <v>164</v>
      </c>
      <c r="H5013" t="s">
        <v>165</v>
      </c>
      <c r="I5013" t="s">
        <v>44</v>
      </c>
      <c r="J5013" t="s">
        <v>45</v>
      </c>
      <c r="K5013" t="s">
        <v>47</v>
      </c>
      <c r="L5013" t="s">
        <v>48</v>
      </c>
      <c r="M5013" t="s">
        <v>166</v>
      </c>
      <c r="N5013">
        <v>779</v>
      </c>
      <c r="O5013" s="14">
        <v>0.90792184579186097</v>
      </c>
      <c r="P5013" s="14">
        <v>0.30305550759658201</v>
      </c>
      <c r="Q5013" t="str">
        <f t="shared" si="156"/>
        <v>50+</v>
      </c>
      <c r="R5013" t="str">
        <f t="shared" si="157"/>
        <v>[lLDyBx5XyUi]|50+|Male|PLHIV_Residents.T|CY2024Q3</v>
      </c>
    </row>
    <row r="5014" spans="4:18" x14ac:dyDescent="0.2">
      <c r="D5014" t="s">
        <v>77</v>
      </c>
      <c r="E5014" t="s">
        <v>78</v>
      </c>
      <c r="F5014" t="s">
        <v>79</v>
      </c>
      <c r="G5014" t="s">
        <v>164</v>
      </c>
      <c r="H5014" t="s">
        <v>165</v>
      </c>
      <c r="I5014" t="s">
        <v>27</v>
      </c>
      <c r="J5014" t="s">
        <v>28</v>
      </c>
      <c r="K5014" t="s">
        <v>29</v>
      </c>
      <c r="L5014" t="s">
        <v>30</v>
      </c>
      <c r="M5014" t="s">
        <v>166</v>
      </c>
      <c r="N5014">
        <v>1127</v>
      </c>
      <c r="O5014" s="14">
        <v>0.85201162891462401</v>
      </c>
      <c r="P5014" s="14">
        <v>0.83159798220731296</v>
      </c>
      <c r="Q5014" t="str">
        <f t="shared" si="156"/>
        <v>&lt;01</v>
      </c>
      <c r="R5014" t="str">
        <f t="shared" si="157"/>
        <v>[TYnMSwzko3z]|&lt;01|Female|PLHIV_Residents.T|CY2024Q3</v>
      </c>
    </row>
    <row r="5015" spans="4:18" x14ac:dyDescent="0.2">
      <c r="D5015" t="s">
        <v>77</v>
      </c>
      <c r="E5015" t="s">
        <v>78</v>
      </c>
      <c r="F5015" t="s">
        <v>79</v>
      </c>
      <c r="G5015" t="s">
        <v>164</v>
      </c>
      <c r="H5015" t="s">
        <v>165</v>
      </c>
      <c r="I5015" t="s">
        <v>32</v>
      </c>
      <c r="J5015" t="s">
        <v>33</v>
      </c>
      <c r="K5015" t="s">
        <v>29</v>
      </c>
      <c r="L5015" t="s">
        <v>30</v>
      </c>
      <c r="M5015" t="s">
        <v>166</v>
      </c>
      <c r="N5015">
        <v>578</v>
      </c>
      <c r="O5015" s="14">
        <v>0.74980709957890201</v>
      </c>
      <c r="P5015" s="14">
        <v>0.83159798220731296</v>
      </c>
      <c r="Q5015" t="str">
        <f t="shared" si="156"/>
        <v>01-09</v>
      </c>
      <c r="R5015" t="str">
        <f t="shared" si="157"/>
        <v>[TYnMSwzko3z]|01-09|Female|PLHIV_Residents.T|CY2024Q3</v>
      </c>
    </row>
    <row r="5016" spans="4:18" x14ac:dyDescent="0.2">
      <c r="D5016" t="s">
        <v>77</v>
      </c>
      <c r="E5016" t="s">
        <v>78</v>
      </c>
      <c r="F5016" t="s">
        <v>79</v>
      </c>
      <c r="G5016" t="s">
        <v>164</v>
      </c>
      <c r="H5016" t="s">
        <v>165</v>
      </c>
      <c r="I5016" t="s">
        <v>35</v>
      </c>
      <c r="J5016" t="s">
        <v>36</v>
      </c>
      <c r="K5016" t="s">
        <v>29</v>
      </c>
      <c r="L5016" t="s">
        <v>30</v>
      </c>
      <c r="M5016" t="s">
        <v>166</v>
      </c>
      <c r="N5016">
        <v>505</v>
      </c>
      <c r="O5016" s="14">
        <v>0.41301824152469602</v>
      </c>
      <c r="P5016" s="14">
        <v>0.83159798220731296</v>
      </c>
      <c r="Q5016" t="str">
        <f t="shared" si="156"/>
        <v>10-14</v>
      </c>
      <c r="R5016" t="str">
        <f t="shared" si="157"/>
        <v>[TYnMSwzko3z]|10-14|Female|PLHIV_Residents.T|CY2024Q3</v>
      </c>
    </row>
    <row r="5017" spans="4:18" x14ac:dyDescent="0.2">
      <c r="D5017" t="s">
        <v>77</v>
      </c>
      <c r="E5017" t="s">
        <v>78</v>
      </c>
      <c r="F5017" t="s">
        <v>79</v>
      </c>
      <c r="G5017" t="s">
        <v>164</v>
      </c>
      <c r="H5017" t="s">
        <v>165</v>
      </c>
      <c r="I5017" t="s">
        <v>37</v>
      </c>
      <c r="J5017" t="s">
        <v>38</v>
      </c>
      <c r="K5017" t="s">
        <v>29</v>
      </c>
      <c r="L5017" t="s">
        <v>30</v>
      </c>
      <c r="M5017" t="s">
        <v>166</v>
      </c>
      <c r="N5017">
        <v>1332</v>
      </c>
      <c r="O5017" s="14">
        <v>0.53135639079846397</v>
      </c>
      <c r="P5017" s="14">
        <v>0.83159798220731296</v>
      </c>
      <c r="Q5017" t="str">
        <f t="shared" si="156"/>
        <v>15-24</v>
      </c>
      <c r="R5017" t="str">
        <f t="shared" si="157"/>
        <v>[TYnMSwzko3z]|15-24|Female|PLHIV_Residents.T|CY2024Q3</v>
      </c>
    </row>
    <row r="5018" spans="4:18" x14ac:dyDescent="0.2">
      <c r="D5018" t="s">
        <v>77</v>
      </c>
      <c r="E5018" t="s">
        <v>78</v>
      </c>
      <c r="F5018" t="s">
        <v>79</v>
      </c>
      <c r="G5018" t="s">
        <v>164</v>
      </c>
      <c r="H5018" t="s">
        <v>165</v>
      </c>
      <c r="I5018" t="s">
        <v>40</v>
      </c>
      <c r="J5018" t="s">
        <v>41</v>
      </c>
      <c r="K5018" t="s">
        <v>29</v>
      </c>
      <c r="L5018" t="s">
        <v>30</v>
      </c>
      <c r="M5018" t="s">
        <v>166</v>
      </c>
      <c r="N5018">
        <v>576</v>
      </c>
      <c r="O5018" s="14">
        <v>0.70968269999139</v>
      </c>
      <c r="P5018" s="14">
        <v>0.83159798220731296</v>
      </c>
      <c r="Q5018" t="str">
        <f t="shared" si="156"/>
        <v>25-34</v>
      </c>
      <c r="R5018" t="str">
        <f t="shared" si="157"/>
        <v>[TYnMSwzko3z]|25-34|Female|PLHIV_Residents.T|CY2024Q3</v>
      </c>
    </row>
    <row r="5019" spans="4:18" x14ac:dyDescent="0.2">
      <c r="D5019" t="s">
        <v>77</v>
      </c>
      <c r="E5019" t="s">
        <v>78</v>
      </c>
      <c r="F5019" t="s">
        <v>79</v>
      </c>
      <c r="G5019" t="s">
        <v>164</v>
      </c>
      <c r="H5019" t="s">
        <v>165</v>
      </c>
      <c r="I5019" t="s">
        <v>42</v>
      </c>
      <c r="J5019" t="s">
        <v>43</v>
      </c>
      <c r="K5019" t="s">
        <v>29</v>
      </c>
      <c r="L5019" t="s">
        <v>30</v>
      </c>
      <c r="M5019" t="s">
        <v>166</v>
      </c>
      <c r="N5019">
        <v>789</v>
      </c>
      <c r="O5019" s="14">
        <v>0.273332292679697</v>
      </c>
      <c r="P5019" s="14">
        <v>0.83159798220731296</v>
      </c>
      <c r="Q5019" t="str">
        <f t="shared" si="156"/>
        <v>35-49</v>
      </c>
      <c r="R5019" t="str">
        <f t="shared" si="157"/>
        <v>[TYnMSwzko3z]|35-49|Female|PLHIV_Residents.T|CY2024Q3</v>
      </c>
    </row>
    <row r="5020" spans="4:18" x14ac:dyDescent="0.2">
      <c r="D5020" t="s">
        <v>77</v>
      </c>
      <c r="E5020" t="s">
        <v>78</v>
      </c>
      <c r="F5020" t="s">
        <v>79</v>
      </c>
      <c r="G5020" t="s">
        <v>164</v>
      </c>
      <c r="H5020" t="s">
        <v>165</v>
      </c>
      <c r="I5020" t="s">
        <v>44</v>
      </c>
      <c r="J5020" t="s">
        <v>45</v>
      </c>
      <c r="K5020" t="s">
        <v>29</v>
      </c>
      <c r="L5020" t="s">
        <v>30</v>
      </c>
      <c r="M5020" t="s">
        <v>166</v>
      </c>
      <c r="N5020">
        <v>985</v>
      </c>
      <c r="O5020" s="14">
        <v>0.66276253596879497</v>
      </c>
      <c r="P5020" s="14">
        <v>0.83159798220731296</v>
      </c>
      <c r="Q5020" t="str">
        <f t="shared" si="156"/>
        <v>50+</v>
      </c>
      <c r="R5020" t="str">
        <f t="shared" si="157"/>
        <v>[TYnMSwzko3z]|50+|Female|PLHIV_Residents.T|CY2024Q3</v>
      </c>
    </row>
    <row r="5021" spans="4:18" x14ac:dyDescent="0.2">
      <c r="D5021" t="s">
        <v>77</v>
      </c>
      <c r="E5021" t="s">
        <v>78</v>
      </c>
      <c r="F5021" t="s">
        <v>79</v>
      </c>
      <c r="G5021" t="s">
        <v>164</v>
      </c>
      <c r="H5021" t="s">
        <v>165</v>
      </c>
      <c r="I5021" t="s">
        <v>27</v>
      </c>
      <c r="J5021" t="s">
        <v>28</v>
      </c>
      <c r="K5021" t="s">
        <v>47</v>
      </c>
      <c r="L5021" t="s">
        <v>48</v>
      </c>
      <c r="M5021" t="s">
        <v>166</v>
      </c>
      <c r="N5021">
        <v>1631</v>
      </c>
      <c r="O5021" s="14">
        <v>0.61291949218139097</v>
      </c>
      <c r="P5021" s="14">
        <v>0.83159798220731296</v>
      </c>
      <c r="Q5021" t="str">
        <f t="shared" si="156"/>
        <v>&lt;01</v>
      </c>
      <c r="R5021" t="str">
        <f t="shared" si="157"/>
        <v>[TYnMSwzko3z]|&lt;01|Male|PLHIV_Residents.T|CY2024Q3</v>
      </c>
    </row>
    <row r="5022" spans="4:18" x14ac:dyDescent="0.2">
      <c r="D5022" t="s">
        <v>77</v>
      </c>
      <c r="E5022" t="s">
        <v>78</v>
      </c>
      <c r="F5022" t="s">
        <v>79</v>
      </c>
      <c r="G5022" t="s">
        <v>164</v>
      </c>
      <c r="H5022" t="s">
        <v>165</v>
      </c>
      <c r="I5022" t="s">
        <v>32</v>
      </c>
      <c r="J5022" t="s">
        <v>33</v>
      </c>
      <c r="K5022" t="s">
        <v>47</v>
      </c>
      <c r="L5022" t="s">
        <v>48</v>
      </c>
      <c r="M5022" t="s">
        <v>166</v>
      </c>
      <c r="N5022">
        <v>1775</v>
      </c>
      <c r="O5022" s="14">
        <v>0.86686837882734802</v>
      </c>
      <c r="P5022" s="14">
        <v>0.83159798220731296</v>
      </c>
      <c r="Q5022" t="str">
        <f t="shared" si="156"/>
        <v>01-09</v>
      </c>
      <c r="R5022" t="str">
        <f t="shared" si="157"/>
        <v>[TYnMSwzko3z]|01-09|Male|PLHIV_Residents.T|CY2024Q3</v>
      </c>
    </row>
    <row r="5023" spans="4:18" x14ac:dyDescent="0.2">
      <c r="D5023" t="s">
        <v>77</v>
      </c>
      <c r="E5023" t="s">
        <v>78</v>
      </c>
      <c r="F5023" t="s">
        <v>79</v>
      </c>
      <c r="G5023" t="s">
        <v>164</v>
      </c>
      <c r="H5023" t="s">
        <v>165</v>
      </c>
      <c r="I5023" t="s">
        <v>35</v>
      </c>
      <c r="J5023" t="s">
        <v>36</v>
      </c>
      <c r="K5023" t="s">
        <v>47</v>
      </c>
      <c r="L5023" t="s">
        <v>48</v>
      </c>
      <c r="M5023" t="s">
        <v>166</v>
      </c>
      <c r="N5023">
        <v>1404</v>
      </c>
      <c r="O5023" s="14">
        <v>0.31049680104479199</v>
      </c>
      <c r="P5023" s="14">
        <v>0.83159798220731296</v>
      </c>
      <c r="Q5023" t="str">
        <f t="shared" si="156"/>
        <v>10-14</v>
      </c>
      <c r="R5023" t="str">
        <f t="shared" si="157"/>
        <v>[TYnMSwzko3z]|10-14|Male|PLHIV_Residents.T|CY2024Q3</v>
      </c>
    </row>
    <row r="5024" spans="4:18" x14ac:dyDescent="0.2">
      <c r="D5024" t="s">
        <v>77</v>
      </c>
      <c r="E5024" t="s">
        <v>78</v>
      </c>
      <c r="F5024" t="s">
        <v>79</v>
      </c>
      <c r="G5024" t="s">
        <v>164</v>
      </c>
      <c r="H5024" t="s">
        <v>165</v>
      </c>
      <c r="I5024" t="s">
        <v>37</v>
      </c>
      <c r="J5024" t="s">
        <v>38</v>
      </c>
      <c r="K5024" t="s">
        <v>47</v>
      </c>
      <c r="L5024" t="s">
        <v>48</v>
      </c>
      <c r="M5024" t="s">
        <v>166</v>
      </c>
      <c r="N5024">
        <v>672</v>
      </c>
      <c r="O5024" s="14">
        <v>0.57858275948092297</v>
      </c>
      <c r="P5024" s="14">
        <v>0.83159798220731296</v>
      </c>
      <c r="Q5024" t="str">
        <f t="shared" si="156"/>
        <v>15-24</v>
      </c>
      <c r="R5024" t="str">
        <f t="shared" si="157"/>
        <v>[TYnMSwzko3z]|15-24|Male|PLHIV_Residents.T|CY2024Q3</v>
      </c>
    </row>
    <row r="5025" spans="4:18" x14ac:dyDescent="0.2">
      <c r="D5025" t="s">
        <v>77</v>
      </c>
      <c r="E5025" t="s">
        <v>78</v>
      </c>
      <c r="F5025" t="s">
        <v>79</v>
      </c>
      <c r="G5025" t="s">
        <v>164</v>
      </c>
      <c r="H5025" t="s">
        <v>165</v>
      </c>
      <c r="I5025" t="s">
        <v>40</v>
      </c>
      <c r="J5025" t="s">
        <v>41</v>
      </c>
      <c r="K5025" t="s">
        <v>47</v>
      </c>
      <c r="L5025" t="s">
        <v>48</v>
      </c>
      <c r="M5025" t="s">
        <v>166</v>
      </c>
      <c r="N5025">
        <v>1247</v>
      </c>
      <c r="O5025" s="14">
        <v>7.2239301167428493E-2</v>
      </c>
      <c r="P5025" s="14">
        <v>0.83159798220731296</v>
      </c>
      <c r="Q5025" t="str">
        <f t="shared" si="156"/>
        <v>25-34</v>
      </c>
      <c r="R5025" t="str">
        <f t="shared" si="157"/>
        <v>[TYnMSwzko3z]|25-34|Male|PLHIV_Residents.T|CY2024Q3</v>
      </c>
    </row>
    <row r="5026" spans="4:18" x14ac:dyDescent="0.2">
      <c r="D5026" t="s">
        <v>77</v>
      </c>
      <c r="E5026" t="s">
        <v>78</v>
      </c>
      <c r="F5026" t="s">
        <v>79</v>
      </c>
      <c r="G5026" t="s">
        <v>164</v>
      </c>
      <c r="H5026" t="s">
        <v>165</v>
      </c>
      <c r="I5026" t="s">
        <v>42</v>
      </c>
      <c r="J5026" t="s">
        <v>43</v>
      </c>
      <c r="K5026" t="s">
        <v>47</v>
      </c>
      <c r="L5026" t="s">
        <v>48</v>
      </c>
      <c r="M5026" t="s">
        <v>166</v>
      </c>
      <c r="N5026">
        <v>1126</v>
      </c>
      <c r="O5026" s="14">
        <v>0.78316630399785903</v>
      </c>
      <c r="P5026" s="14">
        <v>0.83159798220731296</v>
      </c>
      <c r="Q5026" t="str">
        <f t="shared" si="156"/>
        <v>35-49</v>
      </c>
      <c r="R5026" t="str">
        <f t="shared" si="157"/>
        <v>[TYnMSwzko3z]|35-49|Male|PLHIV_Residents.T|CY2024Q3</v>
      </c>
    </row>
    <row r="5027" spans="4:18" x14ac:dyDescent="0.2">
      <c r="D5027" t="s">
        <v>77</v>
      </c>
      <c r="E5027" t="s">
        <v>78</v>
      </c>
      <c r="F5027" t="s">
        <v>79</v>
      </c>
      <c r="G5027" t="s">
        <v>164</v>
      </c>
      <c r="H5027" t="s">
        <v>165</v>
      </c>
      <c r="I5027" t="s">
        <v>44</v>
      </c>
      <c r="J5027" t="s">
        <v>45</v>
      </c>
      <c r="K5027" t="s">
        <v>47</v>
      </c>
      <c r="L5027" t="s">
        <v>48</v>
      </c>
      <c r="M5027" t="s">
        <v>166</v>
      </c>
      <c r="N5027">
        <v>976</v>
      </c>
      <c r="O5027" s="14">
        <v>0.77176683559082404</v>
      </c>
      <c r="P5027" s="14">
        <v>0.83159798220731296</v>
      </c>
      <c r="Q5027" t="str">
        <f t="shared" si="156"/>
        <v>50+</v>
      </c>
      <c r="R5027" t="str">
        <f t="shared" si="157"/>
        <v>[TYnMSwzko3z]|50+|Male|PLHIV_Residents.T|CY2024Q3</v>
      </c>
    </row>
    <row r="5028" spans="4:18" x14ac:dyDescent="0.2">
      <c r="D5028" t="s">
        <v>80</v>
      </c>
      <c r="E5028" t="s">
        <v>81</v>
      </c>
      <c r="F5028" t="s">
        <v>82</v>
      </c>
      <c r="G5028" t="s">
        <v>164</v>
      </c>
      <c r="H5028" t="s">
        <v>165</v>
      </c>
      <c r="I5028" t="s">
        <v>27</v>
      </c>
      <c r="J5028" t="s">
        <v>28</v>
      </c>
      <c r="K5028" t="s">
        <v>29</v>
      </c>
      <c r="L5028" t="s">
        <v>30</v>
      </c>
      <c r="M5028" t="s">
        <v>166</v>
      </c>
      <c r="N5028">
        <v>612</v>
      </c>
      <c r="O5028" s="14">
        <v>0.72772831306792796</v>
      </c>
      <c r="P5028" s="14">
        <v>0.14333142153918699</v>
      </c>
      <c r="Q5028" t="str">
        <f t="shared" si="156"/>
        <v>&lt;01</v>
      </c>
      <c r="R5028" t="str">
        <f t="shared" si="157"/>
        <v>[ir8wuHHzoSs]|&lt;01|Female|PLHIV_Residents.T|CY2024Q3</v>
      </c>
    </row>
    <row r="5029" spans="4:18" x14ac:dyDescent="0.2">
      <c r="D5029" t="s">
        <v>80</v>
      </c>
      <c r="E5029" t="s">
        <v>81</v>
      </c>
      <c r="F5029" t="s">
        <v>82</v>
      </c>
      <c r="G5029" t="s">
        <v>164</v>
      </c>
      <c r="H5029" t="s">
        <v>165</v>
      </c>
      <c r="I5029" t="s">
        <v>32</v>
      </c>
      <c r="J5029" t="s">
        <v>33</v>
      </c>
      <c r="K5029" t="s">
        <v>29</v>
      </c>
      <c r="L5029" t="s">
        <v>30</v>
      </c>
      <c r="M5029" t="s">
        <v>166</v>
      </c>
      <c r="N5029">
        <v>1960</v>
      </c>
      <c r="O5029" s="14">
        <v>0.18244415544904799</v>
      </c>
      <c r="P5029" s="14">
        <v>0.14333142153918699</v>
      </c>
      <c r="Q5029" t="str">
        <f t="shared" si="156"/>
        <v>01-09</v>
      </c>
      <c r="R5029" t="str">
        <f t="shared" si="157"/>
        <v>[ir8wuHHzoSs]|01-09|Female|PLHIV_Residents.T|CY2024Q3</v>
      </c>
    </row>
    <row r="5030" spans="4:18" x14ac:dyDescent="0.2">
      <c r="D5030" t="s">
        <v>80</v>
      </c>
      <c r="E5030" t="s">
        <v>81</v>
      </c>
      <c r="F5030" t="s">
        <v>82</v>
      </c>
      <c r="G5030" t="s">
        <v>164</v>
      </c>
      <c r="H5030" t="s">
        <v>165</v>
      </c>
      <c r="I5030" t="s">
        <v>35</v>
      </c>
      <c r="J5030" t="s">
        <v>36</v>
      </c>
      <c r="K5030" t="s">
        <v>29</v>
      </c>
      <c r="L5030" t="s">
        <v>30</v>
      </c>
      <c r="M5030" t="s">
        <v>166</v>
      </c>
      <c r="N5030">
        <v>742</v>
      </c>
      <c r="O5030" s="14">
        <v>5.5789573583751903E-2</v>
      </c>
      <c r="P5030" s="14">
        <v>0.14333142153918699</v>
      </c>
      <c r="Q5030" t="str">
        <f t="shared" si="156"/>
        <v>10-14</v>
      </c>
      <c r="R5030" t="str">
        <f t="shared" si="157"/>
        <v>[ir8wuHHzoSs]|10-14|Female|PLHIV_Residents.T|CY2024Q3</v>
      </c>
    </row>
    <row r="5031" spans="4:18" x14ac:dyDescent="0.2">
      <c r="D5031" t="s">
        <v>80</v>
      </c>
      <c r="E5031" t="s">
        <v>81</v>
      </c>
      <c r="F5031" t="s">
        <v>82</v>
      </c>
      <c r="G5031" t="s">
        <v>164</v>
      </c>
      <c r="H5031" t="s">
        <v>165</v>
      </c>
      <c r="I5031" t="s">
        <v>37</v>
      </c>
      <c r="J5031" t="s">
        <v>38</v>
      </c>
      <c r="K5031" t="s">
        <v>29</v>
      </c>
      <c r="L5031" t="s">
        <v>30</v>
      </c>
      <c r="M5031" t="s">
        <v>166</v>
      </c>
      <c r="N5031">
        <v>1249</v>
      </c>
      <c r="O5031" s="14">
        <v>0.68246227060444697</v>
      </c>
      <c r="P5031" s="14">
        <v>0.14333142153918699</v>
      </c>
      <c r="Q5031" t="str">
        <f t="shared" si="156"/>
        <v>15-24</v>
      </c>
      <c r="R5031" t="str">
        <f t="shared" si="157"/>
        <v>[ir8wuHHzoSs]|15-24|Female|PLHIV_Residents.T|CY2024Q3</v>
      </c>
    </row>
    <row r="5032" spans="4:18" x14ac:dyDescent="0.2">
      <c r="D5032" t="s">
        <v>80</v>
      </c>
      <c r="E5032" t="s">
        <v>81</v>
      </c>
      <c r="F5032" t="s">
        <v>82</v>
      </c>
      <c r="G5032" t="s">
        <v>164</v>
      </c>
      <c r="H5032" t="s">
        <v>165</v>
      </c>
      <c r="I5032" t="s">
        <v>40</v>
      </c>
      <c r="J5032" t="s">
        <v>41</v>
      </c>
      <c r="K5032" t="s">
        <v>29</v>
      </c>
      <c r="L5032" t="s">
        <v>30</v>
      </c>
      <c r="M5032" t="s">
        <v>166</v>
      </c>
      <c r="N5032">
        <v>981</v>
      </c>
      <c r="O5032" s="14">
        <v>0.194741959450766</v>
      </c>
      <c r="P5032" s="14">
        <v>0.14333142153918699</v>
      </c>
      <c r="Q5032" t="str">
        <f t="shared" si="156"/>
        <v>25-34</v>
      </c>
      <c r="R5032" t="str">
        <f t="shared" si="157"/>
        <v>[ir8wuHHzoSs]|25-34|Female|PLHIV_Residents.T|CY2024Q3</v>
      </c>
    </row>
    <row r="5033" spans="4:18" x14ac:dyDescent="0.2">
      <c r="D5033" t="s">
        <v>80</v>
      </c>
      <c r="E5033" t="s">
        <v>81</v>
      </c>
      <c r="F5033" t="s">
        <v>82</v>
      </c>
      <c r="G5033" t="s">
        <v>164</v>
      </c>
      <c r="H5033" t="s">
        <v>165</v>
      </c>
      <c r="I5033" t="s">
        <v>42</v>
      </c>
      <c r="J5033" t="s">
        <v>43</v>
      </c>
      <c r="K5033" t="s">
        <v>29</v>
      </c>
      <c r="L5033" t="s">
        <v>30</v>
      </c>
      <c r="M5033" t="s">
        <v>166</v>
      </c>
      <c r="N5033">
        <v>1619</v>
      </c>
      <c r="O5033" s="14">
        <v>0.50314625911414601</v>
      </c>
      <c r="P5033" s="14">
        <v>0.14333142153918699</v>
      </c>
      <c r="Q5033" t="str">
        <f t="shared" si="156"/>
        <v>35-49</v>
      </c>
      <c r="R5033" t="str">
        <f t="shared" si="157"/>
        <v>[ir8wuHHzoSs]|35-49|Female|PLHIV_Residents.T|CY2024Q3</v>
      </c>
    </row>
    <row r="5034" spans="4:18" x14ac:dyDescent="0.2">
      <c r="D5034" t="s">
        <v>80</v>
      </c>
      <c r="E5034" t="s">
        <v>81</v>
      </c>
      <c r="F5034" t="s">
        <v>82</v>
      </c>
      <c r="G5034" t="s">
        <v>164</v>
      </c>
      <c r="H5034" t="s">
        <v>165</v>
      </c>
      <c r="I5034" t="s">
        <v>44</v>
      </c>
      <c r="J5034" t="s">
        <v>45</v>
      </c>
      <c r="K5034" t="s">
        <v>29</v>
      </c>
      <c r="L5034" t="s">
        <v>30</v>
      </c>
      <c r="M5034" t="s">
        <v>166</v>
      </c>
      <c r="N5034">
        <v>1182</v>
      </c>
      <c r="O5034" s="14">
        <v>0.16312529030256001</v>
      </c>
      <c r="P5034" s="14">
        <v>0.14333142153918699</v>
      </c>
      <c r="Q5034" t="str">
        <f t="shared" si="156"/>
        <v>50+</v>
      </c>
      <c r="R5034" t="str">
        <f t="shared" si="157"/>
        <v>[ir8wuHHzoSs]|50+|Female|PLHIV_Residents.T|CY2024Q3</v>
      </c>
    </row>
    <row r="5035" spans="4:18" x14ac:dyDescent="0.2">
      <c r="D5035" t="s">
        <v>80</v>
      </c>
      <c r="E5035" t="s">
        <v>81</v>
      </c>
      <c r="F5035" t="s">
        <v>82</v>
      </c>
      <c r="G5035" t="s">
        <v>164</v>
      </c>
      <c r="H5035" t="s">
        <v>165</v>
      </c>
      <c r="I5035" t="s">
        <v>27</v>
      </c>
      <c r="J5035" t="s">
        <v>28</v>
      </c>
      <c r="K5035" t="s">
        <v>47</v>
      </c>
      <c r="L5035" t="s">
        <v>48</v>
      </c>
      <c r="M5035" t="s">
        <v>166</v>
      </c>
      <c r="N5035">
        <v>1524</v>
      </c>
      <c r="O5035" s="14">
        <v>0.44680830673314598</v>
      </c>
      <c r="P5035" s="14">
        <v>0.14333142153918699</v>
      </c>
      <c r="Q5035" t="str">
        <f t="shared" si="156"/>
        <v>&lt;01</v>
      </c>
      <c r="R5035" t="str">
        <f t="shared" si="157"/>
        <v>[ir8wuHHzoSs]|&lt;01|Male|PLHIV_Residents.T|CY2024Q3</v>
      </c>
    </row>
    <row r="5036" spans="4:18" x14ac:dyDescent="0.2">
      <c r="D5036" t="s">
        <v>80</v>
      </c>
      <c r="E5036" t="s">
        <v>81</v>
      </c>
      <c r="F5036" t="s">
        <v>82</v>
      </c>
      <c r="G5036" t="s">
        <v>164</v>
      </c>
      <c r="H5036" t="s">
        <v>165</v>
      </c>
      <c r="I5036" t="s">
        <v>32</v>
      </c>
      <c r="J5036" t="s">
        <v>33</v>
      </c>
      <c r="K5036" t="s">
        <v>47</v>
      </c>
      <c r="L5036" t="s">
        <v>48</v>
      </c>
      <c r="M5036" t="s">
        <v>166</v>
      </c>
      <c r="N5036">
        <v>1139</v>
      </c>
      <c r="O5036" s="14">
        <v>0.31238532974384697</v>
      </c>
      <c r="P5036" s="14">
        <v>0.14333142153918699</v>
      </c>
      <c r="Q5036" t="str">
        <f t="shared" si="156"/>
        <v>01-09</v>
      </c>
      <c r="R5036" t="str">
        <f t="shared" si="157"/>
        <v>[ir8wuHHzoSs]|01-09|Male|PLHIV_Residents.T|CY2024Q3</v>
      </c>
    </row>
    <row r="5037" spans="4:18" x14ac:dyDescent="0.2">
      <c r="D5037" t="s">
        <v>80</v>
      </c>
      <c r="E5037" t="s">
        <v>81</v>
      </c>
      <c r="F5037" t="s">
        <v>82</v>
      </c>
      <c r="G5037" t="s">
        <v>164</v>
      </c>
      <c r="H5037" t="s">
        <v>165</v>
      </c>
      <c r="I5037" t="s">
        <v>35</v>
      </c>
      <c r="J5037" t="s">
        <v>36</v>
      </c>
      <c r="K5037" t="s">
        <v>47</v>
      </c>
      <c r="L5037" t="s">
        <v>48</v>
      </c>
      <c r="M5037" t="s">
        <v>166</v>
      </c>
      <c r="N5037">
        <v>1997</v>
      </c>
      <c r="O5037" s="14">
        <v>0.54543721047230098</v>
      </c>
      <c r="P5037" s="14">
        <v>0.14333142153918699</v>
      </c>
      <c r="Q5037" t="str">
        <f t="shared" si="156"/>
        <v>10-14</v>
      </c>
      <c r="R5037" t="str">
        <f t="shared" si="157"/>
        <v>[ir8wuHHzoSs]|10-14|Male|PLHIV_Residents.T|CY2024Q3</v>
      </c>
    </row>
    <row r="5038" spans="4:18" x14ac:dyDescent="0.2">
      <c r="D5038" t="s">
        <v>80</v>
      </c>
      <c r="E5038" t="s">
        <v>81</v>
      </c>
      <c r="F5038" t="s">
        <v>82</v>
      </c>
      <c r="G5038" t="s">
        <v>164</v>
      </c>
      <c r="H5038" t="s">
        <v>165</v>
      </c>
      <c r="I5038" t="s">
        <v>37</v>
      </c>
      <c r="J5038" t="s">
        <v>38</v>
      </c>
      <c r="K5038" t="s">
        <v>47</v>
      </c>
      <c r="L5038" t="s">
        <v>48</v>
      </c>
      <c r="M5038" t="s">
        <v>166</v>
      </c>
      <c r="N5038">
        <v>963</v>
      </c>
      <c r="O5038" s="14">
        <v>0.45574042294174399</v>
      </c>
      <c r="P5038" s="14">
        <v>0.14333142153918699</v>
      </c>
      <c r="Q5038" t="str">
        <f t="shared" si="156"/>
        <v>15-24</v>
      </c>
      <c r="R5038" t="str">
        <f t="shared" si="157"/>
        <v>[ir8wuHHzoSs]|15-24|Male|PLHIV_Residents.T|CY2024Q3</v>
      </c>
    </row>
    <row r="5039" spans="4:18" x14ac:dyDescent="0.2">
      <c r="D5039" t="s">
        <v>80</v>
      </c>
      <c r="E5039" t="s">
        <v>81</v>
      </c>
      <c r="F5039" t="s">
        <v>82</v>
      </c>
      <c r="G5039" t="s">
        <v>164</v>
      </c>
      <c r="H5039" t="s">
        <v>165</v>
      </c>
      <c r="I5039" t="s">
        <v>40</v>
      </c>
      <c r="J5039" t="s">
        <v>41</v>
      </c>
      <c r="K5039" t="s">
        <v>47</v>
      </c>
      <c r="L5039" t="s">
        <v>48</v>
      </c>
      <c r="M5039" t="s">
        <v>166</v>
      </c>
      <c r="N5039">
        <v>1189</v>
      </c>
      <c r="O5039" s="14">
        <v>0.48964500753209</v>
      </c>
      <c r="P5039" s="14">
        <v>0.14333142153918699</v>
      </c>
      <c r="Q5039" t="str">
        <f t="shared" si="156"/>
        <v>25-34</v>
      </c>
      <c r="R5039" t="str">
        <f t="shared" si="157"/>
        <v>[ir8wuHHzoSs]|25-34|Male|PLHIV_Residents.T|CY2024Q3</v>
      </c>
    </row>
    <row r="5040" spans="4:18" x14ac:dyDescent="0.2">
      <c r="D5040" t="s">
        <v>80</v>
      </c>
      <c r="E5040" t="s">
        <v>81</v>
      </c>
      <c r="F5040" t="s">
        <v>82</v>
      </c>
      <c r="G5040" t="s">
        <v>164</v>
      </c>
      <c r="H5040" t="s">
        <v>165</v>
      </c>
      <c r="I5040" t="s">
        <v>42</v>
      </c>
      <c r="J5040" t="s">
        <v>43</v>
      </c>
      <c r="K5040" t="s">
        <v>47</v>
      </c>
      <c r="L5040" t="s">
        <v>48</v>
      </c>
      <c r="M5040" t="s">
        <v>166</v>
      </c>
      <c r="N5040">
        <v>1927</v>
      </c>
      <c r="O5040" s="14">
        <v>0.109200124396011</v>
      </c>
      <c r="P5040" s="14">
        <v>0.14333142153918699</v>
      </c>
      <c r="Q5040" t="str">
        <f t="shared" si="156"/>
        <v>35-49</v>
      </c>
      <c r="R5040" t="str">
        <f t="shared" si="157"/>
        <v>[ir8wuHHzoSs]|35-49|Male|PLHIV_Residents.T|CY2024Q3</v>
      </c>
    </row>
    <row r="5041" spans="4:18" x14ac:dyDescent="0.2">
      <c r="D5041" t="s">
        <v>80</v>
      </c>
      <c r="E5041" t="s">
        <v>81</v>
      </c>
      <c r="F5041" t="s">
        <v>82</v>
      </c>
      <c r="G5041" t="s">
        <v>164</v>
      </c>
      <c r="H5041" t="s">
        <v>165</v>
      </c>
      <c r="I5041" t="s">
        <v>44</v>
      </c>
      <c r="J5041" t="s">
        <v>45</v>
      </c>
      <c r="K5041" t="s">
        <v>47</v>
      </c>
      <c r="L5041" t="s">
        <v>48</v>
      </c>
      <c r="M5041" t="s">
        <v>166</v>
      </c>
      <c r="N5041">
        <v>907</v>
      </c>
      <c r="O5041" s="14">
        <v>0.63755422690883301</v>
      </c>
      <c r="P5041" s="14">
        <v>0.14333142153918699</v>
      </c>
      <c r="Q5041" t="str">
        <f t="shared" si="156"/>
        <v>50+</v>
      </c>
      <c r="R5041" t="str">
        <f t="shared" si="157"/>
        <v>[ir8wuHHzoSs]|50+|Male|PLHIV_Residents.T|CY2024Q3</v>
      </c>
    </row>
    <row r="5042" spans="4:18" x14ac:dyDescent="0.2">
      <c r="D5042" t="s">
        <v>83</v>
      </c>
      <c r="E5042" t="s">
        <v>84</v>
      </c>
      <c r="F5042" t="s">
        <v>85</v>
      </c>
      <c r="G5042" t="s">
        <v>164</v>
      </c>
      <c r="H5042" t="s">
        <v>165</v>
      </c>
      <c r="I5042" t="s">
        <v>27</v>
      </c>
      <c r="J5042" t="s">
        <v>28</v>
      </c>
      <c r="K5042" t="s">
        <v>29</v>
      </c>
      <c r="L5042" t="s">
        <v>30</v>
      </c>
      <c r="M5042" t="s">
        <v>166</v>
      </c>
      <c r="N5042">
        <v>1749</v>
      </c>
      <c r="O5042" s="14">
        <v>0.27523943549022101</v>
      </c>
      <c r="P5042" s="14">
        <v>2.9788714367896301E-2</v>
      </c>
      <c r="Q5042" t="str">
        <f t="shared" si="156"/>
        <v>&lt;01</v>
      </c>
      <c r="R5042" t="str">
        <f t="shared" si="157"/>
        <v>[fyEoGEPERdI]|&lt;01|Female|PLHIV_Residents.T|CY2024Q3</v>
      </c>
    </row>
    <row r="5043" spans="4:18" x14ac:dyDescent="0.2">
      <c r="D5043" t="s">
        <v>83</v>
      </c>
      <c r="E5043" t="s">
        <v>84</v>
      </c>
      <c r="F5043" t="s">
        <v>85</v>
      </c>
      <c r="G5043" t="s">
        <v>164</v>
      </c>
      <c r="H5043" t="s">
        <v>165</v>
      </c>
      <c r="I5043" t="s">
        <v>32</v>
      </c>
      <c r="J5043" t="s">
        <v>33</v>
      </c>
      <c r="K5043" t="s">
        <v>29</v>
      </c>
      <c r="L5043" t="s">
        <v>30</v>
      </c>
      <c r="M5043" t="s">
        <v>166</v>
      </c>
      <c r="N5043">
        <v>1264</v>
      </c>
      <c r="O5043" s="14">
        <v>0.80888585606589902</v>
      </c>
      <c r="P5043" s="14">
        <v>2.9788714367896301E-2</v>
      </c>
      <c r="Q5043" t="str">
        <f t="shared" si="156"/>
        <v>01-09</v>
      </c>
      <c r="R5043" t="str">
        <f t="shared" si="157"/>
        <v>[fyEoGEPERdI]|01-09|Female|PLHIV_Residents.T|CY2024Q3</v>
      </c>
    </row>
    <row r="5044" spans="4:18" x14ac:dyDescent="0.2">
      <c r="D5044" t="s">
        <v>83</v>
      </c>
      <c r="E5044" t="s">
        <v>84</v>
      </c>
      <c r="F5044" t="s">
        <v>85</v>
      </c>
      <c r="G5044" t="s">
        <v>164</v>
      </c>
      <c r="H5044" t="s">
        <v>165</v>
      </c>
      <c r="I5044" t="s">
        <v>35</v>
      </c>
      <c r="J5044" t="s">
        <v>36</v>
      </c>
      <c r="K5044" t="s">
        <v>29</v>
      </c>
      <c r="L5044" t="s">
        <v>30</v>
      </c>
      <c r="M5044" t="s">
        <v>166</v>
      </c>
      <c r="N5044">
        <v>1265</v>
      </c>
      <c r="O5044" s="14">
        <v>4.5366143807768801E-2</v>
      </c>
      <c r="P5044" s="14">
        <v>2.9788714367896301E-2</v>
      </c>
      <c r="Q5044" t="str">
        <f t="shared" si="156"/>
        <v>10-14</v>
      </c>
      <c r="R5044" t="str">
        <f t="shared" si="157"/>
        <v>[fyEoGEPERdI]|10-14|Female|PLHIV_Residents.T|CY2024Q3</v>
      </c>
    </row>
    <row r="5045" spans="4:18" x14ac:dyDescent="0.2">
      <c r="D5045" t="s">
        <v>83</v>
      </c>
      <c r="E5045" t="s">
        <v>84</v>
      </c>
      <c r="F5045" t="s">
        <v>85</v>
      </c>
      <c r="G5045" t="s">
        <v>164</v>
      </c>
      <c r="H5045" t="s">
        <v>165</v>
      </c>
      <c r="I5045" t="s">
        <v>37</v>
      </c>
      <c r="J5045" t="s">
        <v>38</v>
      </c>
      <c r="K5045" t="s">
        <v>29</v>
      </c>
      <c r="L5045" t="s">
        <v>30</v>
      </c>
      <c r="M5045" t="s">
        <v>166</v>
      </c>
      <c r="N5045">
        <v>1858</v>
      </c>
      <c r="O5045" s="14">
        <v>0.70334647013805796</v>
      </c>
      <c r="P5045" s="14">
        <v>2.9788714367896301E-2</v>
      </c>
      <c r="Q5045" t="str">
        <f t="shared" si="156"/>
        <v>15-24</v>
      </c>
      <c r="R5045" t="str">
        <f t="shared" si="157"/>
        <v>[fyEoGEPERdI]|15-24|Female|PLHIV_Residents.T|CY2024Q3</v>
      </c>
    </row>
    <row r="5046" spans="4:18" x14ac:dyDescent="0.2">
      <c r="D5046" t="s">
        <v>83</v>
      </c>
      <c r="E5046" t="s">
        <v>84</v>
      </c>
      <c r="F5046" t="s">
        <v>85</v>
      </c>
      <c r="G5046" t="s">
        <v>164</v>
      </c>
      <c r="H5046" t="s">
        <v>165</v>
      </c>
      <c r="I5046" t="s">
        <v>40</v>
      </c>
      <c r="J5046" t="s">
        <v>41</v>
      </c>
      <c r="K5046" t="s">
        <v>29</v>
      </c>
      <c r="L5046" t="s">
        <v>30</v>
      </c>
      <c r="M5046" t="s">
        <v>166</v>
      </c>
      <c r="N5046">
        <v>1888</v>
      </c>
      <c r="O5046" s="14">
        <v>0.32851427327841498</v>
      </c>
      <c r="P5046" s="14">
        <v>2.9788714367896301E-2</v>
      </c>
      <c r="Q5046" t="str">
        <f t="shared" si="156"/>
        <v>25-34</v>
      </c>
      <c r="R5046" t="str">
        <f t="shared" si="157"/>
        <v>[fyEoGEPERdI]|25-34|Female|PLHIV_Residents.T|CY2024Q3</v>
      </c>
    </row>
    <row r="5047" spans="4:18" x14ac:dyDescent="0.2">
      <c r="D5047" t="s">
        <v>83</v>
      </c>
      <c r="E5047" t="s">
        <v>84</v>
      </c>
      <c r="F5047" t="s">
        <v>85</v>
      </c>
      <c r="G5047" t="s">
        <v>164</v>
      </c>
      <c r="H5047" t="s">
        <v>165</v>
      </c>
      <c r="I5047" t="s">
        <v>42</v>
      </c>
      <c r="J5047" t="s">
        <v>43</v>
      </c>
      <c r="K5047" t="s">
        <v>29</v>
      </c>
      <c r="L5047" t="s">
        <v>30</v>
      </c>
      <c r="M5047" t="s">
        <v>166</v>
      </c>
      <c r="N5047">
        <v>507</v>
      </c>
      <c r="O5047" s="14">
        <v>0.36599721712991601</v>
      </c>
      <c r="P5047" s="14">
        <v>2.9788714367896301E-2</v>
      </c>
      <c r="Q5047" t="str">
        <f t="shared" si="156"/>
        <v>35-49</v>
      </c>
      <c r="R5047" t="str">
        <f t="shared" si="157"/>
        <v>[fyEoGEPERdI]|35-49|Female|PLHIV_Residents.T|CY2024Q3</v>
      </c>
    </row>
    <row r="5048" spans="4:18" x14ac:dyDescent="0.2">
      <c r="D5048" t="s">
        <v>83</v>
      </c>
      <c r="E5048" t="s">
        <v>84</v>
      </c>
      <c r="F5048" t="s">
        <v>85</v>
      </c>
      <c r="G5048" t="s">
        <v>164</v>
      </c>
      <c r="H5048" t="s">
        <v>165</v>
      </c>
      <c r="I5048" t="s">
        <v>44</v>
      </c>
      <c r="J5048" t="s">
        <v>45</v>
      </c>
      <c r="K5048" t="s">
        <v>29</v>
      </c>
      <c r="L5048" t="s">
        <v>30</v>
      </c>
      <c r="M5048" t="s">
        <v>166</v>
      </c>
      <c r="N5048">
        <v>1403</v>
      </c>
      <c r="O5048" s="14">
        <v>0.15391519316472099</v>
      </c>
      <c r="P5048" s="14">
        <v>2.9788714367896301E-2</v>
      </c>
      <c r="Q5048" t="str">
        <f t="shared" si="156"/>
        <v>50+</v>
      </c>
      <c r="R5048" t="str">
        <f t="shared" si="157"/>
        <v>[fyEoGEPERdI]|50+|Female|PLHIV_Residents.T|CY2024Q3</v>
      </c>
    </row>
    <row r="5049" spans="4:18" x14ac:dyDescent="0.2">
      <c r="D5049" t="s">
        <v>83</v>
      </c>
      <c r="E5049" t="s">
        <v>84</v>
      </c>
      <c r="F5049" t="s">
        <v>85</v>
      </c>
      <c r="G5049" t="s">
        <v>164</v>
      </c>
      <c r="H5049" t="s">
        <v>165</v>
      </c>
      <c r="I5049" t="s">
        <v>27</v>
      </c>
      <c r="J5049" t="s">
        <v>28</v>
      </c>
      <c r="K5049" t="s">
        <v>47</v>
      </c>
      <c r="L5049" t="s">
        <v>48</v>
      </c>
      <c r="M5049" t="s">
        <v>166</v>
      </c>
      <c r="N5049">
        <v>994</v>
      </c>
      <c r="O5049" s="14">
        <v>0.3072821253445</v>
      </c>
      <c r="P5049" s="14">
        <v>2.9788714367896301E-2</v>
      </c>
      <c r="Q5049" t="str">
        <f t="shared" si="156"/>
        <v>&lt;01</v>
      </c>
      <c r="R5049" t="str">
        <f t="shared" si="157"/>
        <v>[fyEoGEPERdI]|&lt;01|Male|PLHIV_Residents.T|CY2024Q3</v>
      </c>
    </row>
    <row r="5050" spans="4:18" x14ac:dyDescent="0.2">
      <c r="D5050" t="s">
        <v>83</v>
      </c>
      <c r="E5050" t="s">
        <v>84</v>
      </c>
      <c r="F5050" t="s">
        <v>85</v>
      </c>
      <c r="G5050" t="s">
        <v>164</v>
      </c>
      <c r="H5050" t="s">
        <v>165</v>
      </c>
      <c r="I5050" t="s">
        <v>32</v>
      </c>
      <c r="J5050" t="s">
        <v>33</v>
      </c>
      <c r="K5050" t="s">
        <v>47</v>
      </c>
      <c r="L5050" t="s">
        <v>48</v>
      </c>
      <c r="M5050" t="s">
        <v>166</v>
      </c>
      <c r="N5050">
        <v>1473</v>
      </c>
      <c r="O5050" s="14">
        <v>0.96109734685160197</v>
      </c>
      <c r="P5050" s="14">
        <v>2.9788714367896301E-2</v>
      </c>
      <c r="Q5050" t="str">
        <f t="shared" si="156"/>
        <v>01-09</v>
      </c>
      <c r="R5050" t="str">
        <f t="shared" si="157"/>
        <v>[fyEoGEPERdI]|01-09|Male|PLHIV_Residents.T|CY2024Q3</v>
      </c>
    </row>
    <row r="5051" spans="4:18" x14ac:dyDescent="0.2">
      <c r="D5051" t="s">
        <v>83</v>
      </c>
      <c r="E5051" t="s">
        <v>84</v>
      </c>
      <c r="F5051" t="s">
        <v>85</v>
      </c>
      <c r="G5051" t="s">
        <v>164</v>
      </c>
      <c r="H5051" t="s">
        <v>165</v>
      </c>
      <c r="I5051" t="s">
        <v>35</v>
      </c>
      <c r="J5051" t="s">
        <v>36</v>
      </c>
      <c r="K5051" t="s">
        <v>47</v>
      </c>
      <c r="L5051" t="s">
        <v>48</v>
      </c>
      <c r="M5051" t="s">
        <v>166</v>
      </c>
      <c r="N5051">
        <v>931</v>
      </c>
      <c r="O5051" s="14">
        <v>0.83552226820029296</v>
      </c>
      <c r="P5051" s="14">
        <v>2.9788714367896301E-2</v>
      </c>
      <c r="Q5051" t="str">
        <f t="shared" si="156"/>
        <v>10-14</v>
      </c>
      <c r="R5051" t="str">
        <f t="shared" si="157"/>
        <v>[fyEoGEPERdI]|10-14|Male|PLHIV_Residents.T|CY2024Q3</v>
      </c>
    </row>
    <row r="5052" spans="4:18" x14ac:dyDescent="0.2">
      <c r="D5052" t="s">
        <v>83</v>
      </c>
      <c r="E5052" t="s">
        <v>84</v>
      </c>
      <c r="F5052" t="s">
        <v>85</v>
      </c>
      <c r="G5052" t="s">
        <v>164</v>
      </c>
      <c r="H5052" t="s">
        <v>165</v>
      </c>
      <c r="I5052" t="s">
        <v>37</v>
      </c>
      <c r="J5052" t="s">
        <v>38</v>
      </c>
      <c r="K5052" t="s">
        <v>47</v>
      </c>
      <c r="L5052" t="s">
        <v>48</v>
      </c>
      <c r="M5052" t="s">
        <v>166</v>
      </c>
      <c r="N5052">
        <v>732</v>
      </c>
      <c r="O5052" s="14">
        <v>1.08745747711509E-2</v>
      </c>
      <c r="P5052" s="14">
        <v>2.9788714367896301E-2</v>
      </c>
      <c r="Q5052" t="str">
        <f t="shared" si="156"/>
        <v>15-24</v>
      </c>
      <c r="R5052" t="str">
        <f t="shared" si="157"/>
        <v>[fyEoGEPERdI]|15-24|Male|PLHIV_Residents.T|CY2024Q3</v>
      </c>
    </row>
    <row r="5053" spans="4:18" x14ac:dyDescent="0.2">
      <c r="D5053" t="s">
        <v>83</v>
      </c>
      <c r="E5053" t="s">
        <v>84</v>
      </c>
      <c r="F5053" t="s">
        <v>85</v>
      </c>
      <c r="G5053" t="s">
        <v>164</v>
      </c>
      <c r="H5053" t="s">
        <v>165</v>
      </c>
      <c r="I5053" t="s">
        <v>40</v>
      </c>
      <c r="J5053" t="s">
        <v>41</v>
      </c>
      <c r="K5053" t="s">
        <v>47</v>
      </c>
      <c r="L5053" t="s">
        <v>48</v>
      </c>
      <c r="M5053" t="s">
        <v>166</v>
      </c>
      <c r="N5053">
        <v>597</v>
      </c>
      <c r="O5053" s="14">
        <v>0.491108778864145</v>
      </c>
      <c r="P5053" s="14">
        <v>2.9788714367896301E-2</v>
      </c>
      <c r="Q5053" t="str">
        <f t="shared" si="156"/>
        <v>25-34</v>
      </c>
      <c r="R5053" t="str">
        <f t="shared" si="157"/>
        <v>[fyEoGEPERdI]|25-34|Male|PLHIV_Residents.T|CY2024Q3</v>
      </c>
    </row>
    <row r="5054" spans="4:18" x14ac:dyDescent="0.2">
      <c r="D5054" t="s">
        <v>83</v>
      </c>
      <c r="E5054" t="s">
        <v>84</v>
      </c>
      <c r="F5054" t="s">
        <v>85</v>
      </c>
      <c r="G5054" t="s">
        <v>164</v>
      </c>
      <c r="H5054" t="s">
        <v>165</v>
      </c>
      <c r="I5054" t="s">
        <v>42</v>
      </c>
      <c r="J5054" t="s">
        <v>43</v>
      </c>
      <c r="K5054" t="s">
        <v>47</v>
      </c>
      <c r="L5054" t="s">
        <v>48</v>
      </c>
      <c r="M5054" t="s">
        <v>166</v>
      </c>
      <c r="N5054">
        <v>1301</v>
      </c>
      <c r="O5054" s="14">
        <v>0.99414070905186203</v>
      </c>
      <c r="P5054" s="14">
        <v>2.9788714367896301E-2</v>
      </c>
      <c r="Q5054" t="str">
        <f t="shared" si="156"/>
        <v>35-49</v>
      </c>
      <c r="R5054" t="str">
        <f t="shared" si="157"/>
        <v>[fyEoGEPERdI]|35-49|Male|PLHIV_Residents.T|CY2024Q3</v>
      </c>
    </row>
    <row r="5055" spans="4:18" x14ac:dyDescent="0.2">
      <c r="D5055" t="s">
        <v>83</v>
      </c>
      <c r="E5055" t="s">
        <v>84</v>
      </c>
      <c r="F5055" t="s">
        <v>85</v>
      </c>
      <c r="G5055" t="s">
        <v>164</v>
      </c>
      <c r="H5055" t="s">
        <v>165</v>
      </c>
      <c r="I5055" t="s">
        <v>44</v>
      </c>
      <c r="J5055" t="s">
        <v>45</v>
      </c>
      <c r="K5055" t="s">
        <v>47</v>
      </c>
      <c r="L5055" t="s">
        <v>48</v>
      </c>
      <c r="M5055" t="s">
        <v>166</v>
      </c>
      <c r="N5055">
        <v>1380</v>
      </c>
      <c r="O5055" s="14">
        <v>0.87206504936329998</v>
      </c>
      <c r="P5055" s="14">
        <v>2.9788714367896301E-2</v>
      </c>
      <c r="Q5055" t="str">
        <f t="shared" si="156"/>
        <v>50+</v>
      </c>
      <c r="R5055" t="str">
        <f t="shared" si="157"/>
        <v>[fyEoGEPERdI]|50+|Male|PLHIV_Residents.T|CY2024Q3</v>
      </c>
    </row>
    <row r="5056" spans="4:18" x14ac:dyDescent="0.2">
      <c r="D5056" t="s">
        <v>86</v>
      </c>
      <c r="E5056" t="s">
        <v>87</v>
      </c>
      <c r="F5056" t="s">
        <v>88</v>
      </c>
      <c r="G5056" t="s">
        <v>164</v>
      </c>
      <c r="H5056" t="s">
        <v>165</v>
      </c>
      <c r="I5056" t="s">
        <v>27</v>
      </c>
      <c r="J5056" t="s">
        <v>28</v>
      </c>
      <c r="K5056" t="s">
        <v>29</v>
      </c>
      <c r="L5056" t="s">
        <v>30</v>
      </c>
      <c r="M5056" t="s">
        <v>166</v>
      </c>
      <c r="N5056">
        <v>1877</v>
      </c>
      <c r="O5056" s="14">
        <v>0.325385568197817</v>
      </c>
      <c r="P5056" s="14">
        <v>0.13333638082258401</v>
      </c>
      <c r="Q5056" t="str">
        <f t="shared" si="156"/>
        <v>&lt;01</v>
      </c>
      <c r="R5056" t="str">
        <f t="shared" si="157"/>
        <v>[cPtvxaZqXIH]|&lt;01|Female|PLHIV_Residents.T|CY2024Q3</v>
      </c>
    </row>
    <row r="5057" spans="4:18" x14ac:dyDescent="0.2">
      <c r="D5057" t="s">
        <v>86</v>
      </c>
      <c r="E5057" t="s">
        <v>87</v>
      </c>
      <c r="F5057" t="s">
        <v>88</v>
      </c>
      <c r="G5057" t="s">
        <v>164</v>
      </c>
      <c r="H5057" t="s">
        <v>165</v>
      </c>
      <c r="I5057" t="s">
        <v>32</v>
      </c>
      <c r="J5057" t="s">
        <v>33</v>
      </c>
      <c r="K5057" t="s">
        <v>29</v>
      </c>
      <c r="L5057" t="s">
        <v>30</v>
      </c>
      <c r="M5057" t="s">
        <v>166</v>
      </c>
      <c r="N5057">
        <v>669</v>
      </c>
      <c r="O5057" s="14">
        <v>8.3660302218049806E-2</v>
      </c>
      <c r="P5057" s="14">
        <v>0.13333638082258401</v>
      </c>
      <c r="Q5057" t="str">
        <f t="shared" si="156"/>
        <v>01-09</v>
      </c>
      <c r="R5057" t="str">
        <f t="shared" si="157"/>
        <v>[cPtvxaZqXIH]|01-09|Female|PLHIV_Residents.T|CY2024Q3</v>
      </c>
    </row>
    <row r="5058" spans="4:18" x14ac:dyDescent="0.2">
      <c r="D5058" t="s">
        <v>86</v>
      </c>
      <c r="E5058" t="s">
        <v>87</v>
      </c>
      <c r="F5058" t="s">
        <v>88</v>
      </c>
      <c r="G5058" t="s">
        <v>164</v>
      </c>
      <c r="H5058" t="s">
        <v>165</v>
      </c>
      <c r="I5058" t="s">
        <v>35</v>
      </c>
      <c r="J5058" t="s">
        <v>36</v>
      </c>
      <c r="K5058" t="s">
        <v>29</v>
      </c>
      <c r="L5058" t="s">
        <v>30</v>
      </c>
      <c r="M5058" t="s">
        <v>166</v>
      </c>
      <c r="N5058">
        <v>996</v>
      </c>
      <c r="O5058" s="14">
        <v>0.22241020551882701</v>
      </c>
      <c r="P5058" s="14">
        <v>0.13333638082258401</v>
      </c>
      <c r="Q5058" t="str">
        <f t="shared" ref="Q5058:Q5121" si="158">SUBSTITUTE(SUBSTITUTE($I5058,CHAR(61),""),CHAR(34),"")</f>
        <v>10-14</v>
      </c>
      <c r="R5058" t="str">
        <f t="shared" ref="R5058:R5121" si="159">IF($D5058&lt;&gt;"","["&amp;$E5058&amp;"]"&amp;"|"&amp;$Q5058&amp;"|"&amp;$K5058&amp;"|"&amp;$G5058&amp;"|"&amp;IF($G5058="TX_CURR_SUBNAT.R","CY2022Q4",$M5058),"")</f>
        <v>[cPtvxaZqXIH]|10-14|Female|PLHIV_Residents.T|CY2024Q3</v>
      </c>
    </row>
    <row r="5059" spans="4:18" x14ac:dyDescent="0.2">
      <c r="D5059" t="s">
        <v>86</v>
      </c>
      <c r="E5059" t="s">
        <v>87</v>
      </c>
      <c r="F5059" t="s">
        <v>88</v>
      </c>
      <c r="G5059" t="s">
        <v>164</v>
      </c>
      <c r="H5059" t="s">
        <v>165</v>
      </c>
      <c r="I5059" t="s">
        <v>37</v>
      </c>
      <c r="J5059" t="s">
        <v>38</v>
      </c>
      <c r="K5059" t="s">
        <v>29</v>
      </c>
      <c r="L5059" t="s">
        <v>30</v>
      </c>
      <c r="M5059" t="s">
        <v>166</v>
      </c>
      <c r="N5059">
        <v>1644</v>
      </c>
      <c r="O5059" s="14">
        <v>0.65833739377558198</v>
      </c>
      <c r="P5059" s="14">
        <v>0.13333638082258401</v>
      </c>
      <c r="Q5059" t="str">
        <f t="shared" si="158"/>
        <v>15-24</v>
      </c>
      <c r="R5059" t="str">
        <f t="shared" si="159"/>
        <v>[cPtvxaZqXIH]|15-24|Female|PLHIV_Residents.T|CY2024Q3</v>
      </c>
    </row>
    <row r="5060" spans="4:18" x14ac:dyDescent="0.2">
      <c r="D5060" t="s">
        <v>86</v>
      </c>
      <c r="E5060" t="s">
        <v>87</v>
      </c>
      <c r="F5060" t="s">
        <v>88</v>
      </c>
      <c r="G5060" t="s">
        <v>164</v>
      </c>
      <c r="H5060" t="s">
        <v>165</v>
      </c>
      <c r="I5060" t="s">
        <v>40</v>
      </c>
      <c r="J5060" t="s">
        <v>41</v>
      </c>
      <c r="K5060" t="s">
        <v>29</v>
      </c>
      <c r="L5060" t="s">
        <v>30</v>
      </c>
      <c r="M5060" t="s">
        <v>166</v>
      </c>
      <c r="N5060">
        <v>1583</v>
      </c>
      <c r="O5060" s="14">
        <v>0.31140506151132302</v>
      </c>
      <c r="P5060" s="14">
        <v>0.13333638082258401</v>
      </c>
      <c r="Q5060" t="str">
        <f t="shared" si="158"/>
        <v>25-34</v>
      </c>
      <c r="R5060" t="str">
        <f t="shared" si="159"/>
        <v>[cPtvxaZqXIH]|25-34|Female|PLHIV_Residents.T|CY2024Q3</v>
      </c>
    </row>
    <row r="5061" spans="4:18" x14ac:dyDescent="0.2">
      <c r="D5061" t="s">
        <v>86</v>
      </c>
      <c r="E5061" t="s">
        <v>87</v>
      </c>
      <c r="F5061" t="s">
        <v>88</v>
      </c>
      <c r="G5061" t="s">
        <v>164</v>
      </c>
      <c r="H5061" t="s">
        <v>165</v>
      </c>
      <c r="I5061" t="s">
        <v>42</v>
      </c>
      <c r="J5061" t="s">
        <v>43</v>
      </c>
      <c r="K5061" t="s">
        <v>29</v>
      </c>
      <c r="L5061" t="s">
        <v>30</v>
      </c>
      <c r="M5061" t="s">
        <v>166</v>
      </c>
      <c r="N5061">
        <v>580</v>
      </c>
      <c r="O5061" s="14">
        <v>0.52979937498457697</v>
      </c>
      <c r="P5061" s="14">
        <v>0.13333638082258401</v>
      </c>
      <c r="Q5061" t="str">
        <f t="shared" si="158"/>
        <v>35-49</v>
      </c>
      <c r="R5061" t="str">
        <f t="shared" si="159"/>
        <v>[cPtvxaZqXIH]|35-49|Female|PLHIV_Residents.T|CY2024Q3</v>
      </c>
    </row>
    <row r="5062" spans="4:18" x14ac:dyDescent="0.2">
      <c r="D5062" t="s">
        <v>86</v>
      </c>
      <c r="E5062" t="s">
        <v>87</v>
      </c>
      <c r="F5062" t="s">
        <v>88</v>
      </c>
      <c r="G5062" t="s">
        <v>164</v>
      </c>
      <c r="H5062" t="s">
        <v>165</v>
      </c>
      <c r="I5062" t="s">
        <v>44</v>
      </c>
      <c r="J5062" t="s">
        <v>45</v>
      </c>
      <c r="K5062" t="s">
        <v>29</v>
      </c>
      <c r="L5062" t="s">
        <v>30</v>
      </c>
      <c r="M5062" t="s">
        <v>166</v>
      </c>
      <c r="N5062">
        <v>1259</v>
      </c>
      <c r="O5062" s="14">
        <v>0.98945748899132002</v>
      </c>
      <c r="P5062" s="14">
        <v>0.13333638082258401</v>
      </c>
      <c r="Q5062" t="str">
        <f t="shared" si="158"/>
        <v>50+</v>
      </c>
      <c r="R5062" t="str">
        <f t="shared" si="159"/>
        <v>[cPtvxaZqXIH]|50+|Female|PLHIV_Residents.T|CY2024Q3</v>
      </c>
    </row>
    <row r="5063" spans="4:18" x14ac:dyDescent="0.2">
      <c r="D5063" t="s">
        <v>86</v>
      </c>
      <c r="E5063" t="s">
        <v>87</v>
      </c>
      <c r="F5063" t="s">
        <v>88</v>
      </c>
      <c r="G5063" t="s">
        <v>164</v>
      </c>
      <c r="H5063" t="s">
        <v>165</v>
      </c>
      <c r="I5063" t="s">
        <v>27</v>
      </c>
      <c r="J5063" t="s">
        <v>28</v>
      </c>
      <c r="K5063" t="s">
        <v>47</v>
      </c>
      <c r="L5063" t="s">
        <v>48</v>
      </c>
      <c r="M5063" t="s">
        <v>166</v>
      </c>
      <c r="N5063">
        <v>547</v>
      </c>
      <c r="O5063" s="14">
        <v>0.90447646449319996</v>
      </c>
      <c r="P5063" s="14">
        <v>0.13333638082258401</v>
      </c>
      <c r="Q5063" t="str">
        <f t="shared" si="158"/>
        <v>&lt;01</v>
      </c>
      <c r="R5063" t="str">
        <f t="shared" si="159"/>
        <v>[cPtvxaZqXIH]|&lt;01|Male|PLHIV_Residents.T|CY2024Q3</v>
      </c>
    </row>
    <row r="5064" spans="4:18" x14ac:dyDescent="0.2">
      <c r="D5064" t="s">
        <v>86</v>
      </c>
      <c r="E5064" t="s">
        <v>87</v>
      </c>
      <c r="F5064" t="s">
        <v>88</v>
      </c>
      <c r="G5064" t="s">
        <v>164</v>
      </c>
      <c r="H5064" t="s">
        <v>165</v>
      </c>
      <c r="I5064" t="s">
        <v>32</v>
      </c>
      <c r="J5064" t="s">
        <v>33</v>
      </c>
      <c r="K5064" t="s">
        <v>47</v>
      </c>
      <c r="L5064" t="s">
        <v>48</v>
      </c>
      <c r="M5064" t="s">
        <v>166</v>
      </c>
      <c r="N5064">
        <v>1410</v>
      </c>
      <c r="O5064" s="14">
        <v>4.3251959839835798E-2</v>
      </c>
      <c r="P5064" s="14">
        <v>0.13333638082258401</v>
      </c>
      <c r="Q5064" t="str">
        <f t="shared" si="158"/>
        <v>01-09</v>
      </c>
      <c r="R5064" t="str">
        <f t="shared" si="159"/>
        <v>[cPtvxaZqXIH]|01-09|Male|PLHIV_Residents.T|CY2024Q3</v>
      </c>
    </row>
    <row r="5065" spans="4:18" x14ac:dyDescent="0.2">
      <c r="D5065" t="s">
        <v>86</v>
      </c>
      <c r="E5065" t="s">
        <v>87</v>
      </c>
      <c r="F5065" t="s">
        <v>88</v>
      </c>
      <c r="G5065" t="s">
        <v>164</v>
      </c>
      <c r="H5065" t="s">
        <v>165</v>
      </c>
      <c r="I5065" t="s">
        <v>35</v>
      </c>
      <c r="J5065" t="s">
        <v>36</v>
      </c>
      <c r="K5065" t="s">
        <v>47</v>
      </c>
      <c r="L5065" t="s">
        <v>48</v>
      </c>
      <c r="M5065" t="s">
        <v>166</v>
      </c>
      <c r="N5065">
        <v>1462</v>
      </c>
      <c r="O5065" s="14">
        <v>0.98268296779133402</v>
      </c>
      <c r="P5065" s="14">
        <v>0.13333638082258401</v>
      </c>
      <c r="Q5065" t="str">
        <f t="shared" si="158"/>
        <v>10-14</v>
      </c>
      <c r="R5065" t="str">
        <f t="shared" si="159"/>
        <v>[cPtvxaZqXIH]|10-14|Male|PLHIV_Residents.T|CY2024Q3</v>
      </c>
    </row>
    <row r="5066" spans="4:18" x14ac:dyDescent="0.2">
      <c r="D5066" t="s">
        <v>86</v>
      </c>
      <c r="E5066" t="s">
        <v>87</v>
      </c>
      <c r="F5066" t="s">
        <v>88</v>
      </c>
      <c r="G5066" t="s">
        <v>164</v>
      </c>
      <c r="H5066" t="s">
        <v>165</v>
      </c>
      <c r="I5066" t="s">
        <v>37</v>
      </c>
      <c r="J5066" t="s">
        <v>38</v>
      </c>
      <c r="K5066" t="s">
        <v>47</v>
      </c>
      <c r="L5066" t="s">
        <v>48</v>
      </c>
      <c r="M5066" t="s">
        <v>166</v>
      </c>
      <c r="N5066">
        <v>523</v>
      </c>
      <c r="O5066" s="14">
        <v>0.190475804498419</v>
      </c>
      <c r="P5066" s="14">
        <v>0.13333638082258401</v>
      </c>
      <c r="Q5066" t="str">
        <f t="shared" si="158"/>
        <v>15-24</v>
      </c>
      <c r="R5066" t="str">
        <f t="shared" si="159"/>
        <v>[cPtvxaZqXIH]|15-24|Male|PLHIV_Residents.T|CY2024Q3</v>
      </c>
    </row>
    <row r="5067" spans="4:18" x14ac:dyDescent="0.2">
      <c r="D5067" t="s">
        <v>86</v>
      </c>
      <c r="E5067" t="s">
        <v>87</v>
      </c>
      <c r="F5067" t="s">
        <v>88</v>
      </c>
      <c r="G5067" t="s">
        <v>164</v>
      </c>
      <c r="H5067" t="s">
        <v>165</v>
      </c>
      <c r="I5067" t="s">
        <v>40</v>
      </c>
      <c r="J5067" t="s">
        <v>41</v>
      </c>
      <c r="K5067" t="s">
        <v>47</v>
      </c>
      <c r="L5067" t="s">
        <v>48</v>
      </c>
      <c r="M5067" t="s">
        <v>166</v>
      </c>
      <c r="N5067">
        <v>688</v>
      </c>
      <c r="O5067" s="14">
        <v>0.66816973965615001</v>
      </c>
      <c r="P5067" s="14">
        <v>0.13333638082258401</v>
      </c>
      <c r="Q5067" t="str">
        <f t="shared" si="158"/>
        <v>25-34</v>
      </c>
      <c r="R5067" t="str">
        <f t="shared" si="159"/>
        <v>[cPtvxaZqXIH]|25-34|Male|PLHIV_Residents.T|CY2024Q3</v>
      </c>
    </row>
    <row r="5068" spans="4:18" x14ac:dyDescent="0.2">
      <c r="D5068" t="s">
        <v>86</v>
      </c>
      <c r="E5068" t="s">
        <v>87</v>
      </c>
      <c r="F5068" t="s">
        <v>88</v>
      </c>
      <c r="G5068" t="s">
        <v>164</v>
      </c>
      <c r="H5068" t="s">
        <v>165</v>
      </c>
      <c r="I5068" t="s">
        <v>42</v>
      </c>
      <c r="J5068" t="s">
        <v>43</v>
      </c>
      <c r="K5068" t="s">
        <v>47</v>
      </c>
      <c r="L5068" t="s">
        <v>48</v>
      </c>
      <c r="M5068" t="s">
        <v>166</v>
      </c>
      <c r="N5068">
        <v>653</v>
      </c>
      <c r="O5068" s="14">
        <v>0.77638739370740995</v>
      </c>
      <c r="P5068" s="14">
        <v>0.13333638082258401</v>
      </c>
      <c r="Q5068" t="str">
        <f t="shared" si="158"/>
        <v>35-49</v>
      </c>
      <c r="R5068" t="str">
        <f t="shared" si="159"/>
        <v>[cPtvxaZqXIH]|35-49|Male|PLHIV_Residents.T|CY2024Q3</v>
      </c>
    </row>
    <row r="5069" spans="4:18" x14ac:dyDescent="0.2">
      <c r="D5069" t="s">
        <v>86</v>
      </c>
      <c r="E5069" t="s">
        <v>87</v>
      </c>
      <c r="F5069" t="s">
        <v>88</v>
      </c>
      <c r="G5069" t="s">
        <v>164</v>
      </c>
      <c r="H5069" t="s">
        <v>165</v>
      </c>
      <c r="I5069" t="s">
        <v>44</v>
      </c>
      <c r="J5069" t="s">
        <v>45</v>
      </c>
      <c r="K5069" t="s">
        <v>47</v>
      </c>
      <c r="L5069" t="s">
        <v>48</v>
      </c>
      <c r="M5069" t="s">
        <v>166</v>
      </c>
      <c r="N5069">
        <v>1754</v>
      </c>
      <c r="O5069" s="14">
        <v>0.66404994158074304</v>
      </c>
      <c r="P5069" s="14">
        <v>0.13333638082258401</v>
      </c>
      <c r="Q5069" t="str">
        <f t="shared" si="158"/>
        <v>50+</v>
      </c>
      <c r="R5069" t="str">
        <f t="shared" si="159"/>
        <v>[cPtvxaZqXIH]|50+|Male|PLHIV_Residents.T|CY2024Q3</v>
      </c>
    </row>
    <row r="5070" spans="4:18" x14ac:dyDescent="0.2">
      <c r="D5070" t="s">
        <v>89</v>
      </c>
      <c r="E5070" t="s">
        <v>90</v>
      </c>
      <c r="F5070" t="s">
        <v>91</v>
      </c>
      <c r="G5070" t="s">
        <v>164</v>
      </c>
      <c r="H5070" t="s">
        <v>165</v>
      </c>
      <c r="I5070" t="s">
        <v>27</v>
      </c>
      <c r="J5070" t="s">
        <v>28</v>
      </c>
      <c r="K5070" t="s">
        <v>29</v>
      </c>
      <c r="L5070" t="s">
        <v>30</v>
      </c>
      <c r="M5070" t="s">
        <v>166</v>
      </c>
      <c r="N5070">
        <v>682</v>
      </c>
      <c r="O5070" s="14">
        <v>0.17902325047180101</v>
      </c>
      <c r="P5070" s="14">
        <v>0.71991415042430196</v>
      </c>
      <c r="Q5070" t="str">
        <f t="shared" si="158"/>
        <v>&lt;01</v>
      </c>
      <c r="R5070" t="str">
        <f t="shared" si="159"/>
        <v>[AZyWpGzhcaA]|&lt;01|Female|PLHIV_Residents.T|CY2024Q3</v>
      </c>
    </row>
    <row r="5071" spans="4:18" x14ac:dyDescent="0.2">
      <c r="D5071" t="s">
        <v>89</v>
      </c>
      <c r="E5071" t="s">
        <v>90</v>
      </c>
      <c r="F5071" t="s">
        <v>91</v>
      </c>
      <c r="G5071" t="s">
        <v>164</v>
      </c>
      <c r="H5071" t="s">
        <v>165</v>
      </c>
      <c r="I5071" t="s">
        <v>32</v>
      </c>
      <c r="J5071" t="s">
        <v>33</v>
      </c>
      <c r="K5071" t="s">
        <v>29</v>
      </c>
      <c r="L5071" t="s">
        <v>30</v>
      </c>
      <c r="M5071" t="s">
        <v>166</v>
      </c>
      <c r="N5071">
        <v>1658</v>
      </c>
      <c r="O5071" s="14">
        <v>0.91986797633580897</v>
      </c>
      <c r="P5071" s="14">
        <v>0.71991415042430196</v>
      </c>
      <c r="Q5071" t="str">
        <f t="shared" si="158"/>
        <v>01-09</v>
      </c>
      <c r="R5071" t="str">
        <f t="shared" si="159"/>
        <v>[AZyWpGzhcaA]|01-09|Female|PLHIV_Residents.T|CY2024Q3</v>
      </c>
    </row>
    <row r="5072" spans="4:18" x14ac:dyDescent="0.2">
      <c r="D5072" t="s">
        <v>89</v>
      </c>
      <c r="E5072" t="s">
        <v>90</v>
      </c>
      <c r="F5072" t="s">
        <v>91</v>
      </c>
      <c r="G5072" t="s">
        <v>164</v>
      </c>
      <c r="H5072" t="s">
        <v>165</v>
      </c>
      <c r="I5072" t="s">
        <v>35</v>
      </c>
      <c r="J5072" t="s">
        <v>36</v>
      </c>
      <c r="K5072" t="s">
        <v>29</v>
      </c>
      <c r="L5072" t="s">
        <v>30</v>
      </c>
      <c r="M5072" t="s">
        <v>166</v>
      </c>
      <c r="N5072">
        <v>1156</v>
      </c>
      <c r="O5072" s="14">
        <v>0.34414915065281099</v>
      </c>
      <c r="P5072" s="14">
        <v>0.71991415042430196</v>
      </c>
      <c r="Q5072" t="str">
        <f t="shared" si="158"/>
        <v>10-14</v>
      </c>
      <c r="R5072" t="str">
        <f t="shared" si="159"/>
        <v>[AZyWpGzhcaA]|10-14|Female|PLHIV_Residents.T|CY2024Q3</v>
      </c>
    </row>
    <row r="5073" spans="4:18" x14ac:dyDescent="0.2">
      <c r="D5073" t="s">
        <v>89</v>
      </c>
      <c r="E5073" t="s">
        <v>90</v>
      </c>
      <c r="F5073" t="s">
        <v>91</v>
      </c>
      <c r="G5073" t="s">
        <v>164</v>
      </c>
      <c r="H5073" t="s">
        <v>165</v>
      </c>
      <c r="I5073" t="s">
        <v>37</v>
      </c>
      <c r="J5073" t="s">
        <v>38</v>
      </c>
      <c r="K5073" t="s">
        <v>29</v>
      </c>
      <c r="L5073" t="s">
        <v>30</v>
      </c>
      <c r="M5073" t="s">
        <v>166</v>
      </c>
      <c r="N5073">
        <v>1939</v>
      </c>
      <c r="O5073" s="14">
        <v>0.82180957472883198</v>
      </c>
      <c r="P5073" s="14">
        <v>0.71991415042430196</v>
      </c>
      <c r="Q5073" t="str">
        <f t="shared" si="158"/>
        <v>15-24</v>
      </c>
      <c r="R5073" t="str">
        <f t="shared" si="159"/>
        <v>[AZyWpGzhcaA]|15-24|Female|PLHIV_Residents.T|CY2024Q3</v>
      </c>
    </row>
    <row r="5074" spans="4:18" x14ac:dyDescent="0.2">
      <c r="D5074" t="s">
        <v>89</v>
      </c>
      <c r="E5074" t="s">
        <v>90</v>
      </c>
      <c r="F5074" t="s">
        <v>91</v>
      </c>
      <c r="G5074" t="s">
        <v>164</v>
      </c>
      <c r="H5074" t="s">
        <v>165</v>
      </c>
      <c r="I5074" t="s">
        <v>40</v>
      </c>
      <c r="J5074" t="s">
        <v>41</v>
      </c>
      <c r="K5074" t="s">
        <v>29</v>
      </c>
      <c r="L5074" t="s">
        <v>30</v>
      </c>
      <c r="M5074" t="s">
        <v>166</v>
      </c>
      <c r="N5074">
        <v>1885</v>
      </c>
      <c r="O5074" s="14">
        <v>0.51733484421856701</v>
      </c>
      <c r="P5074" s="14">
        <v>0.71991415042430196</v>
      </c>
      <c r="Q5074" t="str">
        <f t="shared" si="158"/>
        <v>25-34</v>
      </c>
      <c r="R5074" t="str">
        <f t="shared" si="159"/>
        <v>[AZyWpGzhcaA]|25-34|Female|PLHIV_Residents.T|CY2024Q3</v>
      </c>
    </row>
    <row r="5075" spans="4:18" x14ac:dyDescent="0.2">
      <c r="D5075" t="s">
        <v>89</v>
      </c>
      <c r="E5075" t="s">
        <v>90</v>
      </c>
      <c r="F5075" t="s">
        <v>91</v>
      </c>
      <c r="G5075" t="s">
        <v>164</v>
      </c>
      <c r="H5075" t="s">
        <v>165</v>
      </c>
      <c r="I5075" t="s">
        <v>42</v>
      </c>
      <c r="J5075" t="s">
        <v>43</v>
      </c>
      <c r="K5075" t="s">
        <v>29</v>
      </c>
      <c r="L5075" t="s">
        <v>30</v>
      </c>
      <c r="M5075" t="s">
        <v>166</v>
      </c>
      <c r="N5075">
        <v>1416</v>
      </c>
      <c r="O5075" s="14">
        <v>0.60002799727954004</v>
      </c>
      <c r="P5075" s="14">
        <v>0.71991415042430196</v>
      </c>
      <c r="Q5075" t="str">
        <f t="shared" si="158"/>
        <v>35-49</v>
      </c>
      <c r="R5075" t="str">
        <f t="shared" si="159"/>
        <v>[AZyWpGzhcaA]|35-49|Female|PLHIV_Residents.T|CY2024Q3</v>
      </c>
    </row>
    <row r="5076" spans="4:18" x14ac:dyDescent="0.2">
      <c r="D5076" t="s">
        <v>89</v>
      </c>
      <c r="E5076" t="s">
        <v>90</v>
      </c>
      <c r="F5076" t="s">
        <v>91</v>
      </c>
      <c r="G5076" t="s">
        <v>164</v>
      </c>
      <c r="H5076" t="s">
        <v>165</v>
      </c>
      <c r="I5076" t="s">
        <v>44</v>
      </c>
      <c r="J5076" t="s">
        <v>45</v>
      </c>
      <c r="K5076" t="s">
        <v>29</v>
      </c>
      <c r="L5076" t="s">
        <v>30</v>
      </c>
      <c r="M5076" t="s">
        <v>166</v>
      </c>
      <c r="N5076">
        <v>916</v>
      </c>
      <c r="O5076" s="14">
        <v>0.26979376072995398</v>
      </c>
      <c r="P5076" s="14">
        <v>0.71991415042430196</v>
      </c>
      <c r="Q5076" t="str">
        <f t="shared" si="158"/>
        <v>50+</v>
      </c>
      <c r="R5076" t="str">
        <f t="shared" si="159"/>
        <v>[AZyWpGzhcaA]|50+|Female|PLHIV_Residents.T|CY2024Q3</v>
      </c>
    </row>
    <row r="5077" spans="4:18" x14ac:dyDescent="0.2">
      <c r="D5077" t="s">
        <v>89</v>
      </c>
      <c r="E5077" t="s">
        <v>90</v>
      </c>
      <c r="F5077" t="s">
        <v>91</v>
      </c>
      <c r="G5077" t="s">
        <v>164</v>
      </c>
      <c r="H5077" t="s">
        <v>165</v>
      </c>
      <c r="I5077" t="s">
        <v>27</v>
      </c>
      <c r="J5077" t="s">
        <v>28</v>
      </c>
      <c r="K5077" t="s">
        <v>47</v>
      </c>
      <c r="L5077" t="s">
        <v>48</v>
      </c>
      <c r="M5077" t="s">
        <v>166</v>
      </c>
      <c r="N5077">
        <v>1834</v>
      </c>
      <c r="O5077" s="14">
        <v>0.40430907066911498</v>
      </c>
      <c r="P5077" s="14">
        <v>0.71991415042430196</v>
      </c>
      <c r="Q5077" t="str">
        <f t="shared" si="158"/>
        <v>&lt;01</v>
      </c>
      <c r="R5077" t="str">
        <f t="shared" si="159"/>
        <v>[AZyWpGzhcaA]|&lt;01|Male|PLHIV_Residents.T|CY2024Q3</v>
      </c>
    </row>
    <row r="5078" spans="4:18" x14ac:dyDescent="0.2">
      <c r="D5078" t="s">
        <v>89</v>
      </c>
      <c r="E5078" t="s">
        <v>90</v>
      </c>
      <c r="F5078" t="s">
        <v>91</v>
      </c>
      <c r="G5078" t="s">
        <v>164</v>
      </c>
      <c r="H5078" t="s">
        <v>165</v>
      </c>
      <c r="I5078" t="s">
        <v>32</v>
      </c>
      <c r="J5078" t="s">
        <v>33</v>
      </c>
      <c r="K5078" t="s">
        <v>47</v>
      </c>
      <c r="L5078" t="s">
        <v>48</v>
      </c>
      <c r="M5078" t="s">
        <v>166</v>
      </c>
      <c r="N5078">
        <v>809</v>
      </c>
      <c r="O5078" s="14">
        <v>0.71347754378803097</v>
      </c>
      <c r="P5078" s="14">
        <v>0.71991415042430196</v>
      </c>
      <c r="Q5078" t="str">
        <f t="shared" si="158"/>
        <v>01-09</v>
      </c>
      <c r="R5078" t="str">
        <f t="shared" si="159"/>
        <v>[AZyWpGzhcaA]|01-09|Male|PLHIV_Residents.T|CY2024Q3</v>
      </c>
    </row>
    <row r="5079" spans="4:18" x14ac:dyDescent="0.2">
      <c r="D5079" t="s">
        <v>89</v>
      </c>
      <c r="E5079" t="s">
        <v>90</v>
      </c>
      <c r="F5079" t="s">
        <v>91</v>
      </c>
      <c r="G5079" t="s">
        <v>164</v>
      </c>
      <c r="H5079" t="s">
        <v>165</v>
      </c>
      <c r="I5079" t="s">
        <v>35</v>
      </c>
      <c r="J5079" t="s">
        <v>36</v>
      </c>
      <c r="K5079" t="s">
        <v>47</v>
      </c>
      <c r="L5079" t="s">
        <v>48</v>
      </c>
      <c r="M5079" t="s">
        <v>166</v>
      </c>
      <c r="N5079">
        <v>1896</v>
      </c>
      <c r="O5079" s="14">
        <v>0.53083760826848403</v>
      </c>
      <c r="P5079" s="14">
        <v>0.71991415042430196</v>
      </c>
      <c r="Q5079" t="str">
        <f t="shared" si="158"/>
        <v>10-14</v>
      </c>
      <c r="R5079" t="str">
        <f t="shared" si="159"/>
        <v>[AZyWpGzhcaA]|10-14|Male|PLHIV_Residents.T|CY2024Q3</v>
      </c>
    </row>
    <row r="5080" spans="4:18" x14ac:dyDescent="0.2">
      <c r="D5080" t="s">
        <v>89</v>
      </c>
      <c r="E5080" t="s">
        <v>90</v>
      </c>
      <c r="F5080" t="s">
        <v>91</v>
      </c>
      <c r="G5080" t="s">
        <v>164</v>
      </c>
      <c r="H5080" t="s">
        <v>165</v>
      </c>
      <c r="I5080" t="s">
        <v>37</v>
      </c>
      <c r="J5080" t="s">
        <v>38</v>
      </c>
      <c r="K5080" t="s">
        <v>47</v>
      </c>
      <c r="L5080" t="s">
        <v>48</v>
      </c>
      <c r="M5080" t="s">
        <v>166</v>
      </c>
      <c r="N5080">
        <v>1360</v>
      </c>
      <c r="O5080" s="14">
        <v>0.76816717605106499</v>
      </c>
      <c r="P5080" s="14">
        <v>0.71991415042430196</v>
      </c>
      <c r="Q5080" t="str">
        <f t="shared" si="158"/>
        <v>15-24</v>
      </c>
      <c r="R5080" t="str">
        <f t="shared" si="159"/>
        <v>[AZyWpGzhcaA]|15-24|Male|PLHIV_Residents.T|CY2024Q3</v>
      </c>
    </row>
    <row r="5081" spans="4:18" x14ac:dyDescent="0.2">
      <c r="D5081" t="s">
        <v>89</v>
      </c>
      <c r="E5081" t="s">
        <v>90</v>
      </c>
      <c r="F5081" t="s">
        <v>91</v>
      </c>
      <c r="G5081" t="s">
        <v>164</v>
      </c>
      <c r="H5081" t="s">
        <v>165</v>
      </c>
      <c r="I5081" t="s">
        <v>40</v>
      </c>
      <c r="J5081" t="s">
        <v>41</v>
      </c>
      <c r="K5081" t="s">
        <v>47</v>
      </c>
      <c r="L5081" t="s">
        <v>48</v>
      </c>
      <c r="M5081" t="s">
        <v>166</v>
      </c>
      <c r="N5081">
        <v>757</v>
      </c>
      <c r="O5081" s="14">
        <v>0.46705700876191297</v>
      </c>
      <c r="P5081" s="14">
        <v>0.71991415042430196</v>
      </c>
      <c r="Q5081" t="str">
        <f t="shared" si="158"/>
        <v>25-34</v>
      </c>
      <c r="R5081" t="str">
        <f t="shared" si="159"/>
        <v>[AZyWpGzhcaA]|25-34|Male|PLHIV_Residents.T|CY2024Q3</v>
      </c>
    </row>
    <row r="5082" spans="4:18" x14ac:dyDescent="0.2">
      <c r="D5082" t="s">
        <v>89</v>
      </c>
      <c r="E5082" t="s">
        <v>90</v>
      </c>
      <c r="F5082" t="s">
        <v>91</v>
      </c>
      <c r="G5082" t="s">
        <v>164</v>
      </c>
      <c r="H5082" t="s">
        <v>165</v>
      </c>
      <c r="I5082" t="s">
        <v>42</v>
      </c>
      <c r="J5082" t="s">
        <v>43</v>
      </c>
      <c r="K5082" t="s">
        <v>47</v>
      </c>
      <c r="L5082" t="s">
        <v>48</v>
      </c>
      <c r="M5082" t="s">
        <v>166</v>
      </c>
      <c r="N5082">
        <v>1462</v>
      </c>
      <c r="O5082" s="14">
        <v>0.95655253995209899</v>
      </c>
      <c r="P5082" s="14">
        <v>0.71991415042430196</v>
      </c>
      <c r="Q5082" t="str">
        <f t="shared" si="158"/>
        <v>35-49</v>
      </c>
      <c r="R5082" t="str">
        <f t="shared" si="159"/>
        <v>[AZyWpGzhcaA]|35-49|Male|PLHIV_Residents.T|CY2024Q3</v>
      </c>
    </row>
    <row r="5083" spans="4:18" x14ac:dyDescent="0.2">
      <c r="D5083" t="s">
        <v>89</v>
      </c>
      <c r="E5083" t="s">
        <v>90</v>
      </c>
      <c r="F5083" t="s">
        <v>91</v>
      </c>
      <c r="G5083" t="s">
        <v>164</v>
      </c>
      <c r="H5083" t="s">
        <v>165</v>
      </c>
      <c r="I5083" t="s">
        <v>44</v>
      </c>
      <c r="J5083" t="s">
        <v>45</v>
      </c>
      <c r="K5083" t="s">
        <v>47</v>
      </c>
      <c r="L5083" t="s">
        <v>48</v>
      </c>
      <c r="M5083" t="s">
        <v>166</v>
      </c>
      <c r="N5083">
        <v>1504</v>
      </c>
      <c r="O5083" s="14">
        <v>0.83592959679663204</v>
      </c>
      <c r="P5083" s="14">
        <v>0.71991415042430196</v>
      </c>
      <c r="Q5083" t="str">
        <f t="shared" si="158"/>
        <v>50+</v>
      </c>
      <c r="R5083" t="str">
        <f t="shared" si="159"/>
        <v>[AZyWpGzhcaA]|50+|Male|PLHIV_Residents.T|CY2024Q3</v>
      </c>
    </row>
    <row r="5084" spans="4:18" x14ac:dyDescent="0.2">
      <c r="D5084" t="s">
        <v>92</v>
      </c>
      <c r="E5084" t="s">
        <v>93</v>
      </c>
      <c r="F5084" t="s">
        <v>94</v>
      </c>
      <c r="G5084" t="s">
        <v>164</v>
      </c>
      <c r="H5084" t="s">
        <v>165</v>
      </c>
      <c r="I5084" t="s">
        <v>27</v>
      </c>
      <c r="J5084" t="s">
        <v>28</v>
      </c>
      <c r="K5084" t="s">
        <v>29</v>
      </c>
      <c r="L5084" t="s">
        <v>30</v>
      </c>
      <c r="M5084" t="s">
        <v>166</v>
      </c>
      <c r="N5084">
        <v>742</v>
      </c>
      <c r="O5084" s="14">
        <v>0.36101144109852601</v>
      </c>
      <c r="P5084" s="14">
        <v>0.36227229656651599</v>
      </c>
      <c r="Q5084" t="str">
        <f t="shared" si="158"/>
        <v>&lt;01</v>
      </c>
      <c r="R5084" t="str">
        <f t="shared" si="159"/>
        <v>[umc2n1Z4wNv]|&lt;01|Female|PLHIV_Residents.T|CY2024Q3</v>
      </c>
    </row>
    <row r="5085" spans="4:18" x14ac:dyDescent="0.2">
      <c r="D5085" t="s">
        <v>92</v>
      </c>
      <c r="E5085" t="s">
        <v>93</v>
      </c>
      <c r="F5085" t="s">
        <v>94</v>
      </c>
      <c r="G5085" t="s">
        <v>164</v>
      </c>
      <c r="H5085" t="s">
        <v>165</v>
      </c>
      <c r="I5085" t="s">
        <v>32</v>
      </c>
      <c r="J5085" t="s">
        <v>33</v>
      </c>
      <c r="K5085" t="s">
        <v>29</v>
      </c>
      <c r="L5085" t="s">
        <v>30</v>
      </c>
      <c r="M5085" t="s">
        <v>166</v>
      </c>
      <c r="N5085">
        <v>1765</v>
      </c>
      <c r="O5085" s="14">
        <v>5.5172735359519699E-2</v>
      </c>
      <c r="P5085" s="14">
        <v>0.36227229656651599</v>
      </c>
      <c r="Q5085" t="str">
        <f t="shared" si="158"/>
        <v>01-09</v>
      </c>
      <c r="R5085" t="str">
        <f t="shared" si="159"/>
        <v>[umc2n1Z4wNv]|01-09|Female|PLHIV_Residents.T|CY2024Q3</v>
      </c>
    </row>
    <row r="5086" spans="4:18" x14ac:dyDescent="0.2">
      <c r="D5086" t="s">
        <v>92</v>
      </c>
      <c r="E5086" t="s">
        <v>93</v>
      </c>
      <c r="F5086" t="s">
        <v>94</v>
      </c>
      <c r="G5086" t="s">
        <v>164</v>
      </c>
      <c r="H5086" t="s">
        <v>165</v>
      </c>
      <c r="I5086" t="s">
        <v>35</v>
      </c>
      <c r="J5086" t="s">
        <v>36</v>
      </c>
      <c r="K5086" t="s">
        <v>29</v>
      </c>
      <c r="L5086" t="s">
        <v>30</v>
      </c>
      <c r="M5086" t="s">
        <v>166</v>
      </c>
      <c r="N5086">
        <v>1891</v>
      </c>
      <c r="O5086" s="14">
        <v>0.76064583403058394</v>
      </c>
      <c r="P5086" s="14">
        <v>0.36227229656651599</v>
      </c>
      <c r="Q5086" t="str">
        <f t="shared" si="158"/>
        <v>10-14</v>
      </c>
      <c r="R5086" t="str">
        <f t="shared" si="159"/>
        <v>[umc2n1Z4wNv]|10-14|Female|PLHIV_Residents.T|CY2024Q3</v>
      </c>
    </row>
    <row r="5087" spans="4:18" x14ac:dyDescent="0.2">
      <c r="D5087" t="s">
        <v>92</v>
      </c>
      <c r="E5087" t="s">
        <v>93</v>
      </c>
      <c r="F5087" t="s">
        <v>94</v>
      </c>
      <c r="G5087" t="s">
        <v>164</v>
      </c>
      <c r="H5087" t="s">
        <v>165</v>
      </c>
      <c r="I5087" t="s">
        <v>37</v>
      </c>
      <c r="J5087" t="s">
        <v>38</v>
      </c>
      <c r="K5087" t="s">
        <v>29</v>
      </c>
      <c r="L5087" t="s">
        <v>30</v>
      </c>
      <c r="M5087" t="s">
        <v>166</v>
      </c>
      <c r="N5087">
        <v>722</v>
      </c>
      <c r="O5087" s="14">
        <v>0.990505578694865</v>
      </c>
      <c r="P5087" s="14">
        <v>0.36227229656651599</v>
      </c>
      <c r="Q5087" t="str">
        <f t="shared" si="158"/>
        <v>15-24</v>
      </c>
      <c r="R5087" t="str">
        <f t="shared" si="159"/>
        <v>[umc2n1Z4wNv]|15-24|Female|PLHIV_Residents.T|CY2024Q3</v>
      </c>
    </row>
    <row r="5088" spans="4:18" x14ac:dyDescent="0.2">
      <c r="D5088" t="s">
        <v>92</v>
      </c>
      <c r="E5088" t="s">
        <v>93</v>
      </c>
      <c r="F5088" t="s">
        <v>94</v>
      </c>
      <c r="G5088" t="s">
        <v>164</v>
      </c>
      <c r="H5088" t="s">
        <v>165</v>
      </c>
      <c r="I5088" t="s">
        <v>40</v>
      </c>
      <c r="J5088" t="s">
        <v>41</v>
      </c>
      <c r="K5088" t="s">
        <v>29</v>
      </c>
      <c r="L5088" t="s">
        <v>30</v>
      </c>
      <c r="M5088" t="s">
        <v>166</v>
      </c>
      <c r="N5088">
        <v>995</v>
      </c>
      <c r="O5088" s="14">
        <v>0.95010100794024799</v>
      </c>
      <c r="P5088" s="14">
        <v>0.36227229656651599</v>
      </c>
      <c r="Q5088" t="str">
        <f t="shared" si="158"/>
        <v>25-34</v>
      </c>
      <c r="R5088" t="str">
        <f t="shared" si="159"/>
        <v>[umc2n1Z4wNv]|25-34|Female|PLHIV_Residents.T|CY2024Q3</v>
      </c>
    </row>
    <row r="5089" spans="4:18" x14ac:dyDescent="0.2">
      <c r="D5089" t="s">
        <v>92</v>
      </c>
      <c r="E5089" t="s">
        <v>93</v>
      </c>
      <c r="F5089" t="s">
        <v>94</v>
      </c>
      <c r="G5089" t="s">
        <v>164</v>
      </c>
      <c r="H5089" t="s">
        <v>165</v>
      </c>
      <c r="I5089" t="s">
        <v>42</v>
      </c>
      <c r="J5089" t="s">
        <v>43</v>
      </c>
      <c r="K5089" t="s">
        <v>29</v>
      </c>
      <c r="L5089" t="s">
        <v>30</v>
      </c>
      <c r="M5089" t="s">
        <v>166</v>
      </c>
      <c r="N5089">
        <v>1427</v>
      </c>
      <c r="O5089" s="14">
        <v>0.79505438567139197</v>
      </c>
      <c r="P5089" s="14">
        <v>0.36227229656651599</v>
      </c>
      <c r="Q5089" t="str">
        <f t="shared" si="158"/>
        <v>35-49</v>
      </c>
      <c r="R5089" t="str">
        <f t="shared" si="159"/>
        <v>[umc2n1Z4wNv]|35-49|Female|PLHIV_Residents.T|CY2024Q3</v>
      </c>
    </row>
    <row r="5090" spans="4:18" x14ac:dyDescent="0.2">
      <c r="D5090" t="s">
        <v>92</v>
      </c>
      <c r="E5090" t="s">
        <v>93</v>
      </c>
      <c r="F5090" t="s">
        <v>94</v>
      </c>
      <c r="G5090" t="s">
        <v>164</v>
      </c>
      <c r="H5090" t="s">
        <v>165</v>
      </c>
      <c r="I5090" t="s">
        <v>44</v>
      </c>
      <c r="J5090" t="s">
        <v>45</v>
      </c>
      <c r="K5090" t="s">
        <v>29</v>
      </c>
      <c r="L5090" t="s">
        <v>30</v>
      </c>
      <c r="M5090" t="s">
        <v>166</v>
      </c>
      <c r="N5090">
        <v>1936</v>
      </c>
      <c r="O5090" s="14">
        <v>0.31833426025696099</v>
      </c>
      <c r="P5090" s="14">
        <v>0.36227229656651599</v>
      </c>
      <c r="Q5090" t="str">
        <f t="shared" si="158"/>
        <v>50+</v>
      </c>
      <c r="R5090" t="str">
        <f t="shared" si="159"/>
        <v>[umc2n1Z4wNv]|50+|Female|PLHIV_Residents.T|CY2024Q3</v>
      </c>
    </row>
    <row r="5091" spans="4:18" x14ac:dyDescent="0.2">
      <c r="D5091" t="s">
        <v>92</v>
      </c>
      <c r="E5091" t="s">
        <v>93</v>
      </c>
      <c r="F5091" t="s">
        <v>94</v>
      </c>
      <c r="G5091" t="s">
        <v>164</v>
      </c>
      <c r="H5091" t="s">
        <v>165</v>
      </c>
      <c r="I5091" t="s">
        <v>27</v>
      </c>
      <c r="J5091" t="s">
        <v>28</v>
      </c>
      <c r="K5091" t="s">
        <v>47</v>
      </c>
      <c r="L5091" t="s">
        <v>48</v>
      </c>
      <c r="M5091" t="s">
        <v>166</v>
      </c>
      <c r="N5091">
        <v>968</v>
      </c>
      <c r="O5091" s="14">
        <v>0.55483692022971798</v>
      </c>
      <c r="P5091" s="14">
        <v>0.36227229656651599</v>
      </c>
      <c r="Q5091" t="str">
        <f t="shared" si="158"/>
        <v>&lt;01</v>
      </c>
      <c r="R5091" t="str">
        <f t="shared" si="159"/>
        <v>[umc2n1Z4wNv]|&lt;01|Male|PLHIV_Residents.T|CY2024Q3</v>
      </c>
    </row>
    <row r="5092" spans="4:18" x14ac:dyDescent="0.2">
      <c r="D5092" t="s">
        <v>92</v>
      </c>
      <c r="E5092" t="s">
        <v>93</v>
      </c>
      <c r="F5092" t="s">
        <v>94</v>
      </c>
      <c r="G5092" t="s">
        <v>164</v>
      </c>
      <c r="H5092" t="s">
        <v>165</v>
      </c>
      <c r="I5092" t="s">
        <v>32</v>
      </c>
      <c r="J5092" t="s">
        <v>33</v>
      </c>
      <c r="K5092" t="s">
        <v>47</v>
      </c>
      <c r="L5092" t="s">
        <v>48</v>
      </c>
      <c r="M5092" t="s">
        <v>166</v>
      </c>
      <c r="N5092">
        <v>1422</v>
      </c>
      <c r="O5092" s="14">
        <v>0.71397700137458697</v>
      </c>
      <c r="P5092" s="14">
        <v>0.36227229656651599</v>
      </c>
      <c r="Q5092" t="str">
        <f t="shared" si="158"/>
        <v>01-09</v>
      </c>
      <c r="R5092" t="str">
        <f t="shared" si="159"/>
        <v>[umc2n1Z4wNv]|01-09|Male|PLHIV_Residents.T|CY2024Q3</v>
      </c>
    </row>
    <row r="5093" spans="4:18" x14ac:dyDescent="0.2">
      <c r="D5093" t="s">
        <v>92</v>
      </c>
      <c r="E5093" t="s">
        <v>93</v>
      </c>
      <c r="F5093" t="s">
        <v>94</v>
      </c>
      <c r="G5093" t="s">
        <v>164</v>
      </c>
      <c r="H5093" t="s">
        <v>165</v>
      </c>
      <c r="I5093" t="s">
        <v>35</v>
      </c>
      <c r="J5093" t="s">
        <v>36</v>
      </c>
      <c r="K5093" t="s">
        <v>47</v>
      </c>
      <c r="L5093" t="s">
        <v>48</v>
      </c>
      <c r="M5093" t="s">
        <v>166</v>
      </c>
      <c r="N5093">
        <v>958</v>
      </c>
      <c r="O5093" s="14">
        <v>0.73003747756592896</v>
      </c>
      <c r="P5093" s="14">
        <v>0.36227229656651599</v>
      </c>
      <c r="Q5093" t="str">
        <f t="shared" si="158"/>
        <v>10-14</v>
      </c>
      <c r="R5093" t="str">
        <f t="shared" si="159"/>
        <v>[umc2n1Z4wNv]|10-14|Male|PLHIV_Residents.T|CY2024Q3</v>
      </c>
    </row>
    <row r="5094" spans="4:18" x14ac:dyDescent="0.2">
      <c r="D5094" t="s">
        <v>92</v>
      </c>
      <c r="E5094" t="s">
        <v>93</v>
      </c>
      <c r="F5094" t="s">
        <v>94</v>
      </c>
      <c r="G5094" t="s">
        <v>164</v>
      </c>
      <c r="H5094" t="s">
        <v>165</v>
      </c>
      <c r="I5094" t="s">
        <v>37</v>
      </c>
      <c r="J5094" t="s">
        <v>38</v>
      </c>
      <c r="K5094" t="s">
        <v>47</v>
      </c>
      <c r="L5094" t="s">
        <v>48</v>
      </c>
      <c r="M5094" t="s">
        <v>166</v>
      </c>
      <c r="N5094">
        <v>1939</v>
      </c>
      <c r="O5094" s="14">
        <v>0.107939002336934</v>
      </c>
      <c r="P5094" s="14">
        <v>0.36227229656651599</v>
      </c>
      <c r="Q5094" t="str">
        <f t="shared" si="158"/>
        <v>15-24</v>
      </c>
      <c r="R5094" t="str">
        <f t="shared" si="159"/>
        <v>[umc2n1Z4wNv]|15-24|Male|PLHIV_Residents.T|CY2024Q3</v>
      </c>
    </row>
    <row r="5095" spans="4:18" x14ac:dyDescent="0.2">
      <c r="D5095" t="s">
        <v>92</v>
      </c>
      <c r="E5095" t="s">
        <v>93</v>
      </c>
      <c r="F5095" t="s">
        <v>94</v>
      </c>
      <c r="G5095" t="s">
        <v>164</v>
      </c>
      <c r="H5095" t="s">
        <v>165</v>
      </c>
      <c r="I5095" t="s">
        <v>40</v>
      </c>
      <c r="J5095" t="s">
        <v>41</v>
      </c>
      <c r="K5095" t="s">
        <v>47</v>
      </c>
      <c r="L5095" t="s">
        <v>48</v>
      </c>
      <c r="M5095" t="s">
        <v>166</v>
      </c>
      <c r="N5095">
        <v>676</v>
      </c>
      <c r="O5095" s="14">
        <v>0.197140405653045</v>
      </c>
      <c r="P5095" s="14">
        <v>0.36227229656651599</v>
      </c>
      <c r="Q5095" t="str">
        <f t="shared" si="158"/>
        <v>25-34</v>
      </c>
      <c r="R5095" t="str">
        <f t="shared" si="159"/>
        <v>[umc2n1Z4wNv]|25-34|Male|PLHIV_Residents.T|CY2024Q3</v>
      </c>
    </row>
    <row r="5096" spans="4:18" x14ac:dyDescent="0.2">
      <c r="D5096" t="s">
        <v>92</v>
      </c>
      <c r="E5096" t="s">
        <v>93</v>
      </c>
      <c r="F5096" t="s">
        <v>94</v>
      </c>
      <c r="G5096" t="s">
        <v>164</v>
      </c>
      <c r="H5096" t="s">
        <v>165</v>
      </c>
      <c r="I5096" t="s">
        <v>42</v>
      </c>
      <c r="J5096" t="s">
        <v>43</v>
      </c>
      <c r="K5096" t="s">
        <v>47</v>
      </c>
      <c r="L5096" t="s">
        <v>48</v>
      </c>
      <c r="M5096" t="s">
        <v>166</v>
      </c>
      <c r="N5096">
        <v>1326</v>
      </c>
      <c r="O5096" s="14">
        <v>0.48745701299048999</v>
      </c>
      <c r="P5096" s="14">
        <v>0.36227229656651599</v>
      </c>
      <c r="Q5096" t="str">
        <f t="shared" si="158"/>
        <v>35-49</v>
      </c>
      <c r="R5096" t="str">
        <f t="shared" si="159"/>
        <v>[umc2n1Z4wNv]|35-49|Male|PLHIV_Residents.T|CY2024Q3</v>
      </c>
    </row>
    <row r="5097" spans="4:18" x14ac:dyDescent="0.2">
      <c r="D5097" t="s">
        <v>92</v>
      </c>
      <c r="E5097" t="s">
        <v>93</v>
      </c>
      <c r="F5097" t="s">
        <v>94</v>
      </c>
      <c r="G5097" t="s">
        <v>164</v>
      </c>
      <c r="H5097" t="s">
        <v>165</v>
      </c>
      <c r="I5097" t="s">
        <v>44</v>
      </c>
      <c r="J5097" t="s">
        <v>45</v>
      </c>
      <c r="K5097" t="s">
        <v>47</v>
      </c>
      <c r="L5097" t="s">
        <v>48</v>
      </c>
      <c r="M5097" t="s">
        <v>166</v>
      </c>
      <c r="N5097">
        <v>1865</v>
      </c>
      <c r="O5097" s="14">
        <v>6.1961258761584802E-3</v>
      </c>
      <c r="P5097" s="14">
        <v>0.36227229656651599</v>
      </c>
      <c r="Q5097" t="str">
        <f t="shared" si="158"/>
        <v>50+</v>
      </c>
      <c r="R5097" t="str">
        <f t="shared" si="159"/>
        <v>[umc2n1Z4wNv]|50+|Male|PLHIV_Residents.T|CY2024Q3</v>
      </c>
    </row>
    <row r="5098" spans="4:18" x14ac:dyDescent="0.2">
      <c r="D5098" t="s">
        <v>95</v>
      </c>
      <c r="E5098" t="s">
        <v>96</v>
      </c>
      <c r="F5098" t="s">
        <v>97</v>
      </c>
      <c r="G5098" t="s">
        <v>164</v>
      </c>
      <c r="H5098" t="s">
        <v>165</v>
      </c>
      <c r="I5098" t="s">
        <v>27</v>
      </c>
      <c r="J5098" t="s">
        <v>28</v>
      </c>
      <c r="K5098" t="s">
        <v>29</v>
      </c>
      <c r="L5098" t="s">
        <v>30</v>
      </c>
      <c r="M5098" t="s">
        <v>166</v>
      </c>
      <c r="N5098">
        <v>1727</v>
      </c>
      <c r="O5098" s="14">
        <v>0.156806334853172</v>
      </c>
      <c r="P5098" s="14">
        <v>0.60125171788968101</v>
      </c>
      <c r="Q5098" t="str">
        <f t="shared" si="158"/>
        <v>&lt;01</v>
      </c>
      <c r="R5098" t="str">
        <f t="shared" si="159"/>
        <v>[gwVYinjBAe9]|&lt;01|Female|PLHIV_Residents.T|CY2024Q3</v>
      </c>
    </row>
    <row r="5099" spans="4:18" x14ac:dyDescent="0.2">
      <c r="D5099" t="s">
        <v>95</v>
      </c>
      <c r="E5099" t="s">
        <v>96</v>
      </c>
      <c r="F5099" t="s">
        <v>97</v>
      </c>
      <c r="G5099" t="s">
        <v>164</v>
      </c>
      <c r="H5099" t="s">
        <v>165</v>
      </c>
      <c r="I5099" t="s">
        <v>32</v>
      </c>
      <c r="J5099" t="s">
        <v>33</v>
      </c>
      <c r="K5099" t="s">
        <v>29</v>
      </c>
      <c r="L5099" t="s">
        <v>30</v>
      </c>
      <c r="M5099" t="s">
        <v>166</v>
      </c>
      <c r="N5099">
        <v>1494</v>
      </c>
      <c r="O5099" s="14">
        <v>0.73359477519989003</v>
      </c>
      <c r="P5099" s="14">
        <v>0.60125171788968101</v>
      </c>
      <c r="Q5099" t="str">
        <f t="shared" si="158"/>
        <v>01-09</v>
      </c>
      <c r="R5099" t="str">
        <f t="shared" si="159"/>
        <v>[gwVYinjBAe9]|01-09|Female|PLHIV_Residents.T|CY2024Q3</v>
      </c>
    </row>
    <row r="5100" spans="4:18" x14ac:dyDescent="0.2">
      <c r="D5100" t="s">
        <v>95</v>
      </c>
      <c r="E5100" t="s">
        <v>96</v>
      </c>
      <c r="F5100" t="s">
        <v>97</v>
      </c>
      <c r="G5100" t="s">
        <v>164</v>
      </c>
      <c r="H5100" t="s">
        <v>165</v>
      </c>
      <c r="I5100" t="s">
        <v>35</v>
      </c>
      <c r="J5100" t="s">
        <v>36</v>
      </c>
      <c r="K5100" t="s">
        <v>29</v>
      </c>
      <c r="L5100" t="s">
        <v>30</v>
      </c>
      <c r="M5100" t="s">
        <v>166</v>
      </c>
      <c r="N5100">
        <v>1160</v>
      </c>
      <c r="O5100" s="14">
        <v>4.1089253732934601E-2</v>
      </c>
      <c r="P5100" s="14">
        <v>0.60125171788968101</v>
      </c>
      <c r="Q5100" t="str">
        <f t="shared" si="158"/>
        <v>10-14</v>
      </c>
      <c r="R5100" t="str">
        <f t="shared" si="159"/>
        <v>[gwVYinjBAe9]|10-14|Female|PLHIV_Residents.T|CY2024Q3</v>
      </c>
    </row>
    <row r="5101" spans="4:18" x14ac:dyDescent="0.2">
      <c r="D5101" t="s">
        <v>95</v>
      </c>
      <c r="E5101" t="s">
        <v>96</v>
      </c>
      <c r="F5101" t="s">
        <v>97</v>
      </c>
      <c r="G5101" t="s">
        <v>164</v>
      </c>
      <c r="H5101" t="s">
        <v>165</v>
      </c>
      <c r="I5101" t="s">
        <v>37</v>
      </c>
      <c r="J5101" t="s">
        <v>38</v>
      </c>
      <c r="K5101" t="s">
        <v>29</v>
      </c>
      <c r="L5101" t="s">
        <v>30</v>
      </c>
      <c r="M5101" t="s">
        <v>166</v>
      </c>
      <c r="N5101">
        <v>943</v>
      </c>
      <c r="O5101" s="14">
        <v>0.76410426921211205</v>
      </c>
      <c r="P5101" s="14">
        <v>0.60125171788968101</v>
      </c>
      <c r="Q5101" t="str">
        <f t="shared" si="158"/>
        <v>15-24</v>
      </c>
      <c r="R5101" t="str">
        <f t="shared" si="159"/>
        <v>[gwVYinjBAe9]|15-24|Female|PLHIV_Residents.T|CY2024Q3</v>
      </c>
    </row>
    <row r="5102" spans="4:18" x14ac:dyDescent="0.2">
      <c r="D5102" t="s">
        <v>95</v>
      </c>
      <c r="E5102" t="s">
        <v>96</v>
      </c>
      <c r="F5102" t="s">
        <v>97</v>
      </c>
      <c r="G5102" t="s">
        <v>164</v>
      </c>
      <c r="H5102" t="s">
        <v>165</v>
      </c>
      <c r="I5102" t="s">
        <v>40</v>
      </c>
      <c r="J5102" t="s">
        <v>41</v>
      </c>
      <c r="K5102" t="s">
        <v>29</v>
      </c>
      <c r="L5102" t="s">
        <v>30</v>
      </c>
      <c r="M5102" t="s">
        <v>166</v>
      </c>
      <c r="N5102">
        <v>1486</v>
      </c>
      <c r="O5102" s="14">
        <v>0.48527000122703601</v>
      </c>
      <c r="P5102" s="14">
        <v>0.60125171788968101</v>
      </c>
      <c r="Q5102" t="str">
        <f t="shared" si="158"/>
        <v>25-34</v>
      </c>
      <c r="R5102" t="str">
        <f t="shared" si="159"/>
        <v>[gwVYinjBAe9]|25-34|Female|PLHIV_Residents.T|CY2024Q3</v>
      </c>
    </row>
    <row r="5103" spans="4:18" x14ac:dyDescent="0.2">
      <c r="D5103" t="s">
        <v>95</v>
      </c>
      <c r="E5103" t="s">
        <v>96</v>
      </c>
      <c r="F5103" t="s">
        <v>97</v>
      </c>
      <c r="G5103" t="s">
        <v>164</v>
      </c>
      <c r="H5103" t="s">
        <v>165</v>
      </c>
      <c r="I5103" t="s">
        <v>42</v>
      </c>
      <c r="J5103" t="s">
        <v>43</v>
      </c>
      <c r="K5103" t="s">
        <v>29</v>
      </c>
      <c r="L5103" t="s">
        <v>30</v>
      </c>
      <c r="M5103" t="s">
        <v>166</v>
      </c>
      <c r="N5103">
        <v>1262</v>
      </c>
      <c r="O5103" s="14">
        <v>0.33216988923959401</v>
      </c>
      <c r="P5103" s="14">
        <v>0.60125171788968101</v>
      </c>
      <c r="Q5103" t="str">
        <f t="shared" si="158"/>
        <v>35-49</v>
      </c>
      <c r="R5103" t="str">
        <f t="shared" si="159"/>
        <v>[gwVYinjBAe9]|35-49|Female|PLHIV_Residents.T|CY2024Q3</v>
      </c>
    </row>
    <row r="5104" spans="4:18" x14ac:dyDescent="0.2">
      <c r="D5104" t="s">
        <v>95</v>
      </c>
      <c r="E5104" t="s">
        <v>96</v>
      </c>
      <c r="F5104" t="s">
        <v>97</v>
      </c>
      <c r="G5104" t="s">
        <v>164</v>
      </c>
      <c r="H5104" t="s">
        <v>165</v>
      </c>
      <c r="I5104" t="s">
        <v>44</v>
      </c>
      <c r="J5104" t="s">
        <v>45</v>
      </c>
      <c r="K5104" t="s">
        <v>29</v>
      </c>
      <c r="L5104" t="s">
        <v>30</v>
      </c>
      <c r="M5104" t="s">
        <v>166</v>
      </c>
      <c r="N5104">
        <v>702</v>
      </c>
      <c r="O5104" s="14">
        <v>0.80807008268311598</v>
      </c>
      <c r="P5104" s="14">
        <v>0.60125171788968101</v>
      </c>
      <c r="Q5104" t="str">
        <f t="shared" si="158"/>
        <v>50+</v>
      </c>
      <c r="R5104" t="str">
        <f t="shared" si="159"/>
        <v>[gwVYinjBAe9]|50+|Female|PLHIV_Residents.T|CY2024Q3</v>
      </c>
    </row>
    <row r="5105" spans="4:18" x14ac:dyDescent="0.2">
      <c r="D5105" t="s">
        <v>95</v>
      </c>
      <c r="E5105" t="s">
        <v>96</v>
      </c>
      <c r="F5105" t="s">
        <v>97</v>
      </c>
      <c r="G5105" t="s">
        <v>164</v>
      </c>
      <c r="H5105" t="s">
        <v>165</v>
      </c>
      <c r="I5105" t="s">
        <v>27</v>
      </c>
      <c r="J5105" t="s">
        <v>28</v>
      </c>
      <c r="K5105" t="s">
        <v>47</v>
      </c>
      <c r="L5105" t="s">
        <v>48</v>
      </c>
      <c r="M5105" t="s">
        <v>166</v>
      </c>
      <c r="N5105">
        <v>1617</v>
      </c>
      <c r="O5105" s="14">
        <v>0.54059697431512199</v>
      </c>
      <c r="P5105" s="14">
        <v>0.60125171788968101</v>
      </c>
      <c r="Q5105" t="str">
        <f t="shared" si="158"/>
        <v>&lt;01</v>
      </c>
      <c r="R5105" t="str">
        <f t="shared" si="159"/>
        <v>[gwVYinjBAe9]|&lt;01|Male|PLHIV_Residents.T|CY2024Q3</v>
      </c>
    </row>
    <row r="5106" spans="4:18" x14ac:dyDescent="0.2">
      <c r="D5106" t="s">
        <v>95</v>
      </c>
      <c r="E5106" t="s">
        <v>96</v>
      </c>
      <c r="F5106" t="s">
        <v>97</v>
      </c>
      <c r="G5106" t="s">
        <v>164</v>
      </c>
      <c r="H5106" t="s">
        <v>165</v>
      </c>
      <c r="I5106" t="s">
        <v>32</v>
      </c>
      <c r="J5106" t="s">
        <v>33</v>
      </c>
      <c r="K5106" t="s">
        <v>47</v>
      </c>
      <c r="L5106" t="s">
        <v>48</v>
      </c>
      <c r="M5106" t="s">
        <v>166</v>
      </c>
      <c r="N5106">
        <v>1818</v>
      </c>
      <c r="O5106" s="14">
        <v>0.69438289874233305</v>
      </c>
      <c r="P5106" s="14">
        <v>0.60125171788968101</v>
      </c>
      <c r="Q5106" t="str">
        <f t="shared" si="158"/>
        <v>01-09</v>
      </c>
      <c r="R5106" t="str">
        <f t="shared" si="159"/>
        <v>[gwVYinjBAe9]|01-09|Male|PLHIV_Residents.T|CY2024Q3</v>
      </c>
    </row>
    <row r="5107" spans="4:18" x14ac:dyDescent="0.2">
      <c r="D5107" t="s">
        <v>95</v>
      </c>
      <c r="E5107" t="s">
        <v>96</v>
      </c>
      <c r="F5107" t="s">
        <v>97</v>
      </c>
      <c r="G5107" t="s">
        <v>164</v>
      </c>
      <c r="H5107" t="s">
        <v>165</v>
      </c>
      <c r="I5107" t="s">
        <v>35</v>
      </c>
      <c r="J5107" t="s">
        <v>36</v>
      </c>
      <c r="K5107" t="s">
        <v>47</v>
      </c>
      <c r="L5107" t="s">
        <v>48</v>
      </c>
      <c r="M5107" t="s">
        <v>166</v>
      </c>
      <c r="N5107">
        <v>1723</v>
      </c>
      <c r="O5107" s="14">
        <v>0.75916306814178802</v>
      </c>
      <c r="P5107" s="14">
        <v>0.60125171788968101</v>
      </c>
      <c r="Q5107" t="str">
        <f t="shared" si="158"/>
        <v>10-14</v>
      </c>
      <c r="R5107" t="str">
        <f t="shared" si="159"/>
        <v>[gwVYinjBAe9]|10-14|Male|PLHIV_Residents.T|CY2024Q3</v>
      </c>
    </row>
    <row r="5108" spans="4:18" x14ac:dyDescent="0.2">
      <c r="D5108" t="s">
        <v>95</v>
      </c>
      <c r="E5108" t="s">
        <v>96</v>
      </c>
      <c r="F5108" t="s">
        <v>97</v>
      </c>
      <c r="G5108" t="s">
        <v>164</v>
      </c>
      <c r="H5108" t="s">
        <v>165</v>
      </c>
      <c r="I5108" t="s">
        <v>37</v>
      </c>
      <c r="J5108" t="s">
        <v>38</v>
      </c>
      <c r="K5108" t="s">
        <v>47</v>
      </c>
      <c r="L5108" t="s">
        <v>48</v>
      </c>
      <c r="M5108" t="s">
        <v>166</v>
      </c>
      <c r="N5108">
        <v>890</v>
      </c>
      <c r="O5108" s="14">
        <v>0.46450141887180502</v>
      </c>
      <c r="P5108" s="14">
        <v>0.60125171788968101</v>
      </c>
      <c r="Q5108" t="str">
        <f t="shared" si="158"/>
        <v>15-24</v>
      </c>
      <c r="R5108" t="str">
        <f t="shared" si="159"/>
        <v>[gwVYinjBAe9]|15-24|Male|PLHIV_Residents.T|CY2024Q3</v>
      </c>
    </row>
    <row r="5109" spans="4:18" x14ac:dyDescent="0.2">
      <c r="D5109" t="s">
        <v>95</v>
      </c>
      <c r="E5109" t="s">
        <v>96</v>
      </c>
      <c r="F5109" t="s">
        <v>97</v>
      </c>
      <c r="G5109" t="s">
        <v>164</v>
      </c>
      <c r="H5109" t="s">
        <v>165</v>
      </c>
      <c r="I5109" t="s">
        <v>40</v>
      </c>
      <c r="J5109" t="s">
        <v>41</v>
      </c>
      <c r="K5109" t="s">
        <v>47</v>
      </c>
      <c r="L5109" t="s">
        <v>48</v>
      </c>
      <c r="M5109" t="s">
        <v>166</v>
      </c>
      <c r="N5109">
        <v>664</v>
      </c>
      <c r="O5109" s="14">
        <v>3.3198299119249E-2</v>
      </c>
      <c r="P5109" s="14">
        <v>0.60125171788968101</v>
      </c>
      <c r="Q5109" t="str">
        <f t="shared" si="158"/>
        <v>25-34</v>
      </c>
      <c r="R5109" t="str">
        <f t="shared" si="159"/>
        <v>[gwVYinjBAe9]|25-34|Male|PLHIV_Residents.T|CY2024Q3</v>
      </c>
    </row>
    <row r="5110" spans="4:18" x14ac:dyDescent="0.2">
      <c r="D5110" t="s">
        <v>95</v>
      </c>
      <c r="E5110" t="s">
        <v>96</v>
      </c>
      <c r="F5110" t="s">
        <v>97</v>
      </c>
      <c r="G5110" t="s">
        <v>164</v>
      </c>
      <c r="H5110" t="s">
        <v>165</v>
      </c>
      <c r="I5110" t="s">
        <v>42</v>
      </c>
      <c r="J5110" t="s">
        <v>43</v>
      </c>
      <c r="K5110" t="s">
        <v>47</v>
      </c>
      <c r="L5110" t="s">
        <v>48</v>
      </c>
      <c r="M5110" t="s">
        <v>166</v>
      </c>
      <c r="N5110">
        <v>1622</v>
      </c>
      <c r="O5110" s="14">
        <v>0.95732716401107598</v>
      </c>
      <c r="P5110" s="14">
        <v>0.60125171788968101</v>
      </c>
      <c r="Q5110" t="str">
        <f t="shared" si="158"/>
        <v>35-49</v>
      </c>
      <c r="R5110" t="str">
        <f t="shared" si="159"/>
        <v>[gwVYinjBAe9]|35-49|Male|PLHIV_Residents.T|CY2024Q3</v>
      </c>
    </row>
    <row r="5111" spans="4:18" x14ac:dyDescent="0.2">
      <c r="D5111" t="s">
        <v>95</v>
      </c>
      <c r="E5111" t="s">
        <v>96</v>
      </c>
      <c r="F5111" t="s">
        <v>97</v>
      </c>
      <c r="G5111" t="s">
        <v>164</v>
      </c>
      <c r="H5111" t="s">
        <v>165</v>
      </c>
      <c r="I5111" t="s">
        <v>44</v>
      </c>
      <c r="J5111" t="s">
        <v>45</v>
      </c>
      <c r="K5111" t="s">
        <v>47</v>
      </c>
      <c r="L5111" t="s">
        <v>48</v>
      </c>
      <c r="M5111" t="s">
        <v>166</v>
      </c>
      <c r="N5111">
        <v>599</v>
      </c>
      <c r="O5111" s="14">
        <v>0.52516744635067902</v>
      </c>
      <c r="P5111" s="14">
        <v>0.60125171788968101</v>
      </c>
      <c r="Q5111" t="str">
        <f t="shared" si="158"/>
        <v>50+</v>
      </c>
      <c r="R5111" t="str">
        <f t="shared" si="159"/>
        <v>[gwVYinjBAe9]|50+|Male|PLHIV_Residents.T|CY2024Q3</v>
      </c>
    </row>
    <row r="5112" spans="4:18" x14ac:dyDescent="0.2">
      <c r="D5112" t="s">
        <v>98</v>
      </c>
      <c r="E5112" t="s">
        <v>99</v>
      </c>
      <c r="F5112" t="s">
        <v>100</v>
      </c>
      <c r="G5112" t="s">
        <v>164</v>
      </c>
      <c r="H5112" t="s">
        <v>165</v>
      </c>
      <c r="I5112" t="s">
        <v>27</v>
      </c>
      <c r="J5112" t="s">
        <v>28</v>
      </c>
      <c r="K5112" t="s">
        <v>29</v>
      </c>
      <c r="L5112" t="s">
        <v>30</v>
      </c>
      <c r="M5112" t="s">
        <v>166</v>
      </c>
      <c r="N5112">
        <v>720</v>
      </c>
      <c r="O5112" s="14">
        <v>9.5888827927410603E-3</v>
      </c>
      <c r="P5112" s="14">
        <v>0.57728803809732199</v>
      </c>
      <c r="Q5112" t="str">
        <f t="shared" si="158"/>
        <v>&lt;01</v>
      </c>
      <c r="R5112" t="str">
        <f t="shared" si="159"/>
        <v>[mxqa3CDFmIT]|&lt;01|Female|PLHIV_Residents.T|CY2024Q3</v>
      </c>
    </row>
    <row r="5113" spans="4:18" x14ac:dyDescent="0.2">
      <c r="D5113" t="s">
        <v>98</v>
      </c>
      <c r="E5113" t="s">
        <v>99</v>
      </c>
      <c r="F5113" t="s">
        <v>100</v>
      </c>
      <c r="G5113" t="s">
        <v>164</v>
      </c>
      <c r="H5113" t="s">
        <v>165</v>
      </c>
      <c r="I5113" t="s">
        <v>32</v>
      </c>
      <c r="J5113" t="s">
        <v>33</v>
      </c>
      <c r="K5113" t="s">
        <v>29</v>
      </c>
      <c r="L5113" t="s">
        <v>30</v>
      </c>
      <c r="M5113" t="s">
        <v>166</v>
      </c>
      <c r="N5113">
        <v>1494</v>
      </c>
      <c r="O5113" s="14">
        <v>0.25163826998323202</v>
      </c>
      <c r="P5113" s="14">
        <v>0.57728803809732199</v>
      </c>
      <c r="Q5113" t="str">
        <f t="shared" si="158"/>
        <v>01-09</v>
      </c>
      <c r="R5113" t="str">
        <f t="shared" si="159"/>
        <v>[mxqa3CDFmIT]|01-09|Female|PLHIV_Residents.T|CY2024Q3</v>
      </c>
    </row>
    <row r="5114" spans="4:18" x14ac:dyDescent="0.2">
      <c r="D5114" t="s">
        <v>98</v>
      </c>
      <c r="E5114" t="s">
        <v>99</v>
      </c>
      <c r="F5114" t="s">
        <v>100</v>
      </c>
      <c r="G5114" t="s">
        <v>164</v>
      </c>
      <c r="H5114" t="s">
        <v>165</v>
      </c>
      <c r="I5114" t="s">
        <v>35</v>
      </c>
      <c r="J5114" t="s">
        <v>36</v>
      </c>
      <c r="K5114" t="s">
        <v>29</v>
      </c>
      <c r="L5114" t="s">
        <v>30</v>
      </c>
      <c r="M5114" t="s">
        <v>166</v>
      </c>
      <c r="N5114">
        <v>1952</v>
      </c>
      <c r="O5114" s="14">
        <v>0.82403906295076002</v>
      </c>
      <c r="P5114" s="14">
        <v>0.57728803809732199</v>
      </c>
      <c r="Q5114" t="str">
        <f t="shared" si="158"/>
        <v>10-14</v>
      </c>
      <c r="R5114" t="str">
        <f t="shared" si="159"/>
        <v>[mxqa3CDFmIT]|10-14|Female|PLHIV_Residents.T|CY2024Q3</v>
      </c>
    </row>
    <row r="5115" spans="4:18" x14ac:dyDescent="0.2">
      <c r="D5115" t="s">
        <v>98</v>
      </c>
      <c r="E5115" t="s">
        <v>99</v>
      </c>
      <c r="F5115" t="s">
        <v>100</v>
      </c>
      <c r="G5115" t="s">
        <v>164</v>
      </c>
      <c r="H5115" t="s">
        <v>165</v>
      </c>
      <c r="I5115" t="s">
        <v>37</v>
      </c>
      <c r="J5115" t="s">
        <v>38</v>
      </c>
      <c r="K5115" t="s">
        <v>29</v>
      </c>
      <c r="L5115" t="s">
        <v>30</v>
      </c>
      <c r="M5115" t="s">
        <v>166</v>
      </c>
      <c r="N5115">
        <v>553</v>
      </c>
      <c r="O5115" s="14">
        <v>0.135835543973371</v>
      </c>
      <c r="P5115" s="14">
        <v>0.57728803809732199</v>
      </c>
      <c r="Q5115" t="str">
        <f t="shared" si="158"/>
        <v>15-24</v>
      </c>
      <c r="R5115" t="str">
        <f t="shared" si="159"/>
        <v>[mxqa3CDFmIT]|15-24|Female|PLHIV_Residents.T|CY2024Q3</v>
      </c>
    </row>
    <row r="5116" spans="4:18" x14ac:dyDescent="0.2">
      <c r="D5116" t="s">
        <v>98</v>
      </c>
      <c r="E5116" t="s">
        <v>99</v>
      </c>
      <c r="F5116" t="s">
        <v>100</v>
      </c>
      <c r="G5116" t="s">
        <v>164</v>
      </c>
      <c r="H5116" t="s">
        <v>165</v>
      </c>
      <c r="I5116" t="s">
        <v>40</v>
      </c>
      <c r="J5116" t="s">
        <v>41</v>
      </c>
      <c r="K5116" t="s">
        <v>29</v>
      </c>
      <c r="L5116" t="s">
        <v>30</v>
      </c>
      <c r="M5116" t="s">
        <v>166</v>
      </c>
      <c r="N5116">
        <v>1825</v>
      </c>
      <c r="O5116" s="14">
        <v>0.151433755178005</v>
      </c>
      <c r="P5116" s="14">
        <v>0.57728803809732199</v>
      </c>
      <c r="Q5116" t="str">
        <f t="shared" si="158"/>
        <v>25-34</v>
      </c>
      <c r="R5116" t="str">
        <f t="shared" si="159"/>
        <v>[mxqa3CDFmIT]|25-34|Female|PLHIV_Residents.T|CY2024Q3</v>
      </c>
    </row>
    <row r="5117" spans="4:18" x14ac:dyDescent="0.2">
      <c r="D5117" t="s">
        <v>98</v>
      </c>
      <c r="E5117" t="s">
        <v>99</v>
      </c>
      <c r="F5117" t="s">
        <v>100</v>
      </c>
      <c r="G5117" t="s">
        <v>164</v>
      </c>
      <c r="H5117" t="s">
        <v>165</v>
      </c>
      <c r="I5117" t="s">
        <v>42</v>
      </c>
      <c r="J5117" t="s">
        <v>43</v>
      </c>
      <c r="K5117" t="s">
        <v>29</v>
      </c>
      <c r="L5117" t="s">
        <v>30</v>
      </c>
      <c r="M5117" t="s">
        <v>166</v>
      </c>
      <c r="N5117">
        <v>1038</v>
      </c>
      <c r="O5117" s="14">
        <v>0.71710869320668302</v>
      </c>
      <c r="P5117" s="14">
        <v>0.57728803809732199</v>
      </c>
      <c r="Q5117" t="str">
        <f t="shared" si="158"/>
        <v>35-49</v>
      </c>
      <c r="R5117" t="str">
        <f t="shared" si="159"/>
        <v>[mxqa3CDFmIT]|35-49|Female|PLHIV_Residents.T|CY2024Q3</v>
      </c>
    </row>
    <row r="5118" spans="4:18" x14ac:dyDescent="0.2">
      <c r="D5118" t="s">
        <v>98</v>
      </c>
      <c r="E5118" t="s">
        <v>99</v>
      </c>
      <c r="F5118" t="s">
        <v>100</v>
      </c>
      <c r="G5118" t="s">
        <v>164</v>
      </c>
      <c r="H5118" t="s">
        <v>165</v>
      </c>
      <c r="I5118" t="s">
        <v>44</v>
      </c>
      <c r="J5118" t="s">
        <v>45</v>
      </c>
      <c r="K5118" t="s">
        <v>29</v>
      </c>
      <c r="L5118" t="s">
        <v>30</v>
      </c>
      <c r="M5118" t="s">
        <v>166</v>
      </c>
      <c r="N5118">
        <v>539</v>
      </c>
      <c r="O5118" s="14">
        <v>1.3203834183514101E-2</v>
      </c>
      <c r="P5118" s="14">
        <v>0.57728803809732199</v>
      </c>
      <c r="Q5118" t="str">
        <f t="shared" si="158"/>
        <v>50+</v>
      </c>
      <c r="R5118" t="str">
        <f t="shared" si="159"/>
        <v>[mxqa3CDFmIT]|50+|Female|PLHIV_Residents.T|CY2024Q3</v>
      </c>
    </row>
    <row r="5119" spans="4:18" x14ac:dyDescent="0.2">
      <c r="D5119" t="s">
        <v>98</v>
      </c>
      <c r="E5119" t="s">
        <v>99</v>
      </c>
      <c r="F5119" t="s">
        <v>100</v>
      </c>
      <c r="G5119" t="s">
        <v>164</v>
      </c>
      <c r="H5119" t="s">
        <v>165</v>
      </c>
      <c r="I5119" t="s">
        <v>27</v>
      </c>
      <c r="J5119" t="s">
        <v>28</v>
      </c>
      <c r="K5119" t="s">
        <v>47</v>
      </c>
      <c r="L5119" t="s">
        <v>48</v>
      </c>
      <c r="M5119" t="s">
        <v>166</v>
      </c>
      <c r="N5119">
        <v>1404</v>
      </c>
      <c r="O5119" s="14">
        <v>0.25183773832395701</v>
      </c>
      <c r="P5119" s="14">
        <v>0.57728803809732199</v>
      </c>
      <c r="Q5119" t="str">
        <f t="shared" si="158"/>
        <v>&lt;01</v>
      </c>
      <c r="R5119" t="str">
        <f t="shared" si="159"/>
        <v>[mxqa3CDFmIT]|&lt;01|Male|PLHIV_Residents.T|CY2024Q3</v>
      </c>
    </row>
    <row r="5120" spans="4:18" x14ac:dyDescent="0.2">
      <c r="D5120" t="s">
        <v>98</v>
      </c>
      <c r="E5120" t="s">
        <v>99</v>
      </c>
      <c r="F5120" t="s">
        <v>100</v>
      </c>
      <c r="G5120" t="s">
        <v>164</v>
      </c>
      <c r="H5120" t="s">
        <v>165</v>
      </c>
      <c r="I5120" t="s">
        <v>32</v>
      </c>
      <c r="J5120" t="s">
        <v>33</v>
      </c>
      <c r="K5120" t="s">
        <v>47</v>
      </c>
      <c r="L5120" t="s">
        <v>48</v>
      </c>
      <c r="M5120" t="s">
        <v>166</v>
      </c>
      <c r="N5120">
        <v>681</v>
      </c>
      <c r="O5120" s="14">
        <v>0.81633818848058604</v>
      </c>
      <c r="P5120" s="14">
        <v>0.57728803809732199</v>
      </c>
      <c r="Q5120" t="str">
        <f t="shared" si="158"/>
        <v>01-09</v>
      </c>
      <c r="R5120" t="str">
        <f t="shared" si="159"/>
        <v>[mxqa3CDFmIT]|01-09|Male|PLHIV_Residents.T|CY2024Q3</v>
      </c>
    </row>
    <row r="5121" spans="4:18" x14ac:dyDescent="0.2">
      <c r="D5121" t="s">
        <v>98</v>
      </c>
      <c r="E5121" t="s">
        <v>99</v>
      </c>
      <c r="F5121" t="s">
        <v>100</v>
      </c>
      <c r="G5121" t="s">
        <v>164</v>
      </c>
      <c r="H5121" t="s">
        <v>165</v>
      </c>
      <c r="I5121" t="s">
        <v>35</v>
      </c>
      <c r="J5121" t="s">
        <v>36</v>
      </c>
      <c r="K5121" t="s">
        <v>47</v>
      </c>
      <c r="L5121" t="s">
        <v>48</v>
      </c>
      <c r="M5121" t="s">
        <v>166</v>
      </c>
      <c r="N5121">
        <v>1193</v>
      </c>
      <c r="O5121" s="14">
        <v>0.92206121352501202</v>
      </c>
      <c r="P5121" s="14">
        <v>0.57728803809732199</v>
      </c>
      <c r="Q5121" t="str">
        <f t="shared" si="158"/>
        <v>10-14</v>
      </c>
      <c r="R5121" t="str">
        <f t="shared" si="159"/>
        <v>[mxqa3CDFmIT]|10-14|Male|PLHIV_Residents.T|CY2024Q3</v>
      </c>
    </row>
    <row r="5122" spans="4:18" x14ac:dyDescent="0.2">
      <c r="D5122" t="s">
        <v>98</v>
      </c>
      <c r="E5122" t="s">
        <v>99</v>
      </c>
      <c r="F5122" t="s">
        <v>100</v>
      </c>
      <c r="G5122" t="s">
        <v>164</v>
      </c>
      <c r="H5122" t="s">
        <v>165</v>
      </c>
      <c r="I5122" t="s">
        <v>37</v>
      </c>
      <c r="J5122" t="s">
        <v>38</v>
      </c>
      <c r="K5122" t="s">
        <v>47</v>
      </c>
      <c r="L5122" t="s">
        <v>48</v>
      </c>
      <c r="M5122" t="s">
        <v>166</v>
      </c>
      <c r="N5122">
        <v>857</v>
      </c>
      <c r="O5122" s="14">
        <v>0.82901887316256795</v>
      </c>
      <c r="P5122" s="14">
        <v>0.57728803809732199</v>
      </c>
      <c r="Q5122" t="str">
        <f t="shared" ref="Q5122:Q5185" si="160">SUBSTITUTE(SUBSTITUTE($I5122,CHAR(61),""),CHAR(34),"")</f>
        <v>15-24</v>
      </c>
      <c r="R5122" t="str">
        <f t="shared" ref="R5122:R5185" si="161">IF($D5122&lt;&gt;"","["&amp;$E5122&amp;"]"&amp;"|"&amp;$Q5122&amp;"|"&amp;$K5122&amp;"|"&amp;$G5122&amp;"|"&amp;IF($G5122="TX_CURR_SUBNAT.R","CY2022Q4",$M5122),"")</f>
        <v>[mxqa3CDFmIT]|15-24|Male|PLHIV_Residents.T|CY2024Q3</v>
      </c>
    </row>
    <row r="5123" spans="4:18" x14ac:dyDescent="0.2">
      <c r="D5123" t="s">
        <v>98</v>
      </c>
      <c r="E5123" t="s">
        <v>99</v>
      </c>
      <c r="F5123" t="s">
        <v>100</v>
      </c>
      <c r="G5123" t="s">
        <v>164</v>
      </c>
      <c r="H5123" t="s">
        <v>165</v>
      </c>
      <c r="I5123" t="s">
        <v>40</v>
      </c>
      <c r="J5123" t="s">
        <v>41</v>
      </c>
      <c r="K5123" t="s">
        <v>47</v>
      </c>
      <c r="L5123" t="s">
        <v>48</v>
      </c>
      <c r="M5123" t="s">
        <v>166</v>
      </c>
      <c r="N5123">
        <v>1121</v>
      </c>
      <c r="O5123" s="14">
        <v>0.28725774772465201</v>
      </c>
      <c r="P5123" s="14">
        <v>0.57728803809732199</v>
      </c>
      <c r="Q5123" t="str">
        <f t="shared" si="160"/>
        <v>25-34</v>
      </c>
      <c r="R5123" t="str">
        <f t="shared" si="161"/>
        <v>[mxqa3CDFmIT]|25-34|Male|PLHIV_Residents.T|CY2024Q3</v>
      </c>
    </row>
    <row r="5124" spans="4:18" x14ac:dyDescent="0.2">
      <c r="D5124" t="s">
        <v>98</v>
      </c>
      <c r="E5124" t="s">
        <v>99</v>
      </c>
      <c r="F5124" t="s">
        <v>100</v>
      </c>
      <c r="G5124" t="s">
        <v>164</v>
      </c>
      <c r="H5124" t="s">
        <v>165</v>
      </c>
      <c r="I5124" t="s">
        <v>42</v>
      </c>
      <c r="J5124" t="s">
        <v>43</v>
      </c>
      <c r="K5124" t="s">
        <v>47</v>
      </c>
      <c r="L5124" t="s">
        <v>48</v>
      </c>
      <c r="M5124" t="s">
        <v>166</v>
      </c>
      <c r="N5124">
        <v>1697</v>
      </c>
      <c r="O5124" s="14">
        <v>0.77884227107279003</v>
      </c>
      <c r="P5124" s="14">
        <v>0.57728803809732199</v>
      </c>
      <c r="Q5124" t="str">
        <f t="shared" si="160"/>
        <v>35-49</v>
      </c>
      <c r="R5124" t="str">
        <f t="shared" si="161"/>
        <v>[mxqa3CDFmIT]|35-49|Male|PLHIV_Residents.T|CY2024Q3</v>
      </c>
    </row>
    <row r="5125" spans="4:18" x14ac:dyDescent="0.2">
      <c r="D5125" t="s">
        <v>98</v>
      </c>
      <c r="E5125" t="s">
        <v>99</v>
      </c>
      <c r="F5125" t="s">
        <v>100</v>
      </c>
      <c r="G5125" t="s">
        <v>164</v>
      </c>
      <c r="H5125" t="s">
        <v>165</v>
      </c>
      <c r="I5125" t="s">
        <v>44</v>
      </c>
      <c r="J5125" t="s">
        <v>45</v>
      </c>
      <c r="K5125" t="s">
        <v>47</v>
      </c>
      <c r="L5125" t="s">
        <v>48</v>
      </c>
      <c r="M5125" t="s">
        <v>166</v>
      </c>
      <c r="N5125">
        <v>1711</v>
      </c>
      <c r="O5125" s="14">
        <v>0.17629729770124</v>
      </c>
      <c r="P5125" s="14">
        <v>0.57728803809732199</v>
      </c>
      <c r="Q5125" t="str">
        <f t="shared" si="160"/>
        <v>50+</v>
      </c>
      <c r="R5125" t="str">
        <f t="shared" si="161"/>
        <v>[mxqa3CDFmIT]|50+|Male|PLHIV_Residents.T|CY2024Q3</v>
      </c>
    </row>
    <row r="5126" spans="4:18" x14ac:dyDescent="0.2">
      <c r="D5126" t="s">
        <v>101</v>
      </c>
      <c r="E5126" t="s">
        <v>102</v>
      </c>
      <c r="F5126" t="s">
        <v>103</v>
      </c>
      <c r="G5126" t="s">
        <v>164</v>
      </c>
      <c r="H5126" t="s">
        <v>165</v>
      </c>
      <c r="I5126" t="s">
        <v>27</v>
      </c>
      <c r="J5126" t="s">
        <v>28</v>
      </c>
      <c r="K5126" t="s">
        <v>29</v>
      </c>
      <c r="L5126" t="s">
        <v>30</v>
      </c>
      <c r="M5126" t="s">
        <v>166</v>
      </c>
      <c r="N5126">
        <v>1244</v>
      </c>
      <c r="O5126" s="14">
        <v>0.91280757053755202</v>
      </c>
      <c r="P5126" s="14">
        <v>0.52621235931292198</v>
      </c>
      <c r="Q5126" t="str">
        <f t="shared" si="160"/>
        <v>&lt;01</v>
      </c>
      <c r="R5126" t="str">
        <f t="shared" si="161"/>
        <v>[wNqJp8oRIcF]|&lt;01|Female|PLHIV_Residents.T|CY2024Q3</v>
      </c>
    </row>
    <row r="5127" spans="4:18" x14ac:dyDescent="0.2">
      <c r="D5127" t="s">
        <v>101</v>
      </c>
      <c r="E5127" t="s">
        <v>102</v>
      </c>
      <c r="F5127" t="s">
        <v>103</v>
      </c>
      <c r="G5127" t="s">
        <v>164</v>
      </c>
      <c r="H5127" t="s">
        <v>165</v>
      </c>
      <c r="I5127" t="s">
        <v>32</v>
      </c>
      <c r="J5127" t="s">
        <v>33</v>
      </c>
      <c r="K5127" t="s">
        <v>29</v>
      </c>
      <c r="L5127" t="s">
        <v>30</v>
      </c>
      <c r="M5127" t="s">
        <v>166</v>
      </c>
      <c r="N5127">
        <v>1259</v>
      </c>
      <c r="O5127" s="14">
        <v>0.50599745661020301</v>
      </c>
      <c r="P5127" s="14">
        <v>0.52621235931292198</v>
      </c>
      <c r="Q5127" t="str">
        <f t="shared" si="160"/>
        <v>01-09</v>
      </c>
      <c r="R5127" t="str">
        <f t="shared" si="161"/>
        <v>[wNqJp8oRIcF]|01-09|Female|PLHIV_Residents.T|CY2024Q3</v>
      </c>
    </row>
    <row r="5128" spans="4:18" x14ac:dyDescent="0.2">
      <c r="D5128" t="s">
        <v>101</v>
      </c>
      <c r="E5128" t="s">
        <v>102</v>
      </c>
      <c r="F5128" t="s">
        <v>103</v>
      </c>
      <c r="G5128" t="s">
        <v>164</v>
      </c>
      <c r="H5128" t="s">
        <v>165</v>
      </c>
      <c r="I5128" t="s">
        <v>35</v>
      </c>
      <c r="J5128" t="s">
        <v>36</v>
      </c>
      <c r="K5128" t="s">
        <v>29</v>
      </c>
      <c r="L5128" t="s">
        <v>30</v>
      </c>
      <c r="M5128" t="s">
        <v>166</v>
      </c>
      <c r="N5128">
        <v>813</v>
      </c>
      <c r="O5128" s="14">
        <v>0.54283836949616704</v>
      </c>
      <c r="P5128" s="14">
        <v>0.52621235931292198</v>
      </c>
      <c r="Q5128" t="str">
        <f t="shared" si="160"/>
        <v>10-14</v>
      </c>
      <c r="R5128" t="str">
        <f t="shared" si="161"/>
        <v>[wNqJp8oRIcF]|10-14|Female|PLHIV_Residents.T|CY2024Q3</v>
      </c>
    </row>
    <row r="5129" spans="4:18" x14ac:dyDescent="0.2">
      <c r="D5129" t="s">
        <v>101</v>
      </c>
      <c r="E5129" t="s">
        <v>102</v>
      </c>
      <c r="F5129" t="s">
        <v>103</v>
      </c>
      <c r="G5129" t="s">
        <v>164</v>
      </c>
      <c r="H5129" t="s">
        <v>165</v>
      </c>
      <c r="I5129" t="s">
        <v>37</v>
      </c>
      <c r="J5129" t="s">
        <v>38</v>
      </c>
      <c r="K5129" t="s">
        <v>29</v>
      </c>
      <c r="L5129" t="s">
        <v>30</v>
      </c>
      <c r="M5129" t="s">
        <v>166</v>
      </c>
      <c r="N5129">
        <v>1532</v>
      </c>
      <c r="O5129" s="14">
        <v>0.396616352023557</v>
      </c>
      <c r="P5129" s="14">
        <v>0.52621235931292198</v>
      </c>
      <c r="Q5129" t="str">
        <f t="shared" si="160"/>
        <v>15-24</v>
      </c>
      <c r="R5129" t="str">
        <f t="shared" si="161"/>
        <v>[wNqJp8oRIcF]|15-24|Female|PLHIV_Residents.T|CY2024Q3</v>
      </c>
    </row>
    <row r="5130" spans="4:18" x14ac:dyDescent="0.2">
      <c r="D5130" t="s">
        <v>101</v>
      </c>
      <c r="E5130" t="s">
        <v>102</v>
      </c>
      <c r="F5130" t="s">
        <v>103</v>
      </c>
      <c r="G5130" t="s">
        <v>164</v>
      </c>
      <c r="H5130" t="s">
        <v>165</v>
      </c>
      <c r="I5130" t="s">
        <v>40</v>
      </c>
      <c r="J5130" t="s">
        <v>41</v>
      </c>
      <c r="K5130" t="s">
        <v>29</v>
      </c>
      <c r="L5130" t="s">
        <v>30</v>
      </c>
      <c r="M5130" t="s">
        <v>166</v>
      </c>
      <c r="N5130">
        <v>1274</v>
      </c>
      <c r="O5130" s="14">
        <v>0.33148999791592398</v>
      </c>
      <c r="P5130" s="14">
        <v>0.52621235931292198</v>
      </c>
      <c r="Q5130" t="str">
        <f t="shared" si="160"/>
        <v>25-34</v>
      </c>
      <c r="R5130" t="str">
        <f t="shared" si="161"/>
        <v>[wNqJp8oRIcF]|25-34|Female|PLHIV_Residents.T|CY2024Q3</v>
      </c>
    </row>
    <row r="5131" spans="4:18" x14ac:dyDescent="0.2">
      <c r="D5131" t="s">
        <v>101</v>
      </c>
      <c r="E5131" t="s">
        <v>102</v>
      </c>
      <c r="F5131" t="s">
        <v>103</v>
      </c>
      <c r="G5131" t="s">
        <v>164</v>
      </c>
      <c r="H5131" t="s">
        <v>165</v>
      </c>
      <c r="I5131" t="s">
        <v>42</v>
      </c>
      <c r="J5131" t="s">
        <v>43</v>
      </c>
      <c r="K5131" t="s">
        <v>29</v>
      </c>
      <c r="L5131" t="s">
        <v>30</v>
      </c>
      <c r="M5131" t="s">
        <v>166</v>
      </c>
      <c r="N5131">
        <v>953</v>
      </c>
      <c r="O5131" s="14">
        <v>0.45288725383579698</v>
      </c>
      <c r="P5131" s="14">
        <v>0.52621235931292198</v>
      </c>
      <c r="Q5131" t="str">
        <f t="shared" si="160"/>
        <v>35-49</v>
      </c>
      <c r="R5131" t="str">
        <f t="shared" si="161"/>
        <v>[wNqJp8oRIcF]|35-49|Female|PLHIV_Residents.T|CY2024Q3</v>
      </c>
    </row>
    <row r="5132" spans="4:18" x14ac:dyDescent="0.2">
      <c r="D5132" t="s">
        <v>101</v>
      </c>
      <c r="E5132" t="s">
        <v>102</v>
      </c>
      <c r="F5132" t="s">
        <v>103</v>
      </c>
      <c r="G5132" t="s">
        <v>164</v>
      </c>
      <c r="H5132" t="s">
        <v>165</v>
      </c>
      <c r="I5132" t="s">
        <v>44</v>
      </c>
      <c r="J5132" t="s">
        <v>45</v>
      </c>
      <c r="K5132" t="s">
        <v>29</v>
      </c>
      <c r="L5132" t="s">
        <v>30</v>
      </c>
      <c r="M5132" t="s">
        <v>166</v>
      </c>
      <c r="N5132">
        <v>646</v>
      </c>
      <c r="O5132" s="14">
        <v>0.82377205882221505</v>
      </c>
      <c r="P5132" s="14">
        <v>0.52621235931292198</v>
      </c>
      <c r="Q5132" t="str">
        <f t="shared" si="160"/>
        <v>50+</v>
      </c>
      <c r="R5132" t="str">
        <f t="shared" si="161"/>
        <v>[wNqJp8oRIcF]|50+|Female|PLHIV_Residents.T|CY2024Q3</v>
      </c>
    </row>
    <row r="5133" spans="4:18" x14ac:dyDescent="0.2">
      <c r="D5133" t="s">
        <v>101</v>
      </c>
      <c r="E5133" t="s">
        <v>102</v>
      </c>
      <c r="F5133" t="s">
        <v>103</v>
      </c>
      <c r="G5133" t="s">
        <v>164</v>
      </c>
      <c r="H5133" t="s">
        <v>165</v>
      </c>
      <c r="I5133" t="s">
        <v>27</v>
      </c>
      <c r="J5133" t="s">
        <v>28</v>
      </c>
      <c r="K5133" t="s">
        <v>47</v>
      </c>
      <c r="L5133" t="s">
        <v>48</v>
      </c>
      <c r="M5133" t="s">
        <v>166</v>
      </c>
      <c r="N5133">
        <v>1717</v>
      </c>
      <c r="O5133" s="14">
        <v>0.83946360670961395</v>
      </c>
      <c r="P5133" s="14">
        <v>0.52621235931292198</v>
      </c>
      <c r="Q5133" t="str">
        <f t="shared" si="160"/>
        <v>&lt;01</v>
      </c>
      <c r="R5133" t="str">
        <f t="shared" si="161"/>
        <v>[wNqJp8oRIcF]|&lt;01|Male|PLHIV_Residents.T|CY2024Q3</v>
      </c>
    </row>
    <row r="5134" spans="4:18" x14ac:dyDescent="0.2">
      <c r="D5134" t="s">
        <v>101</v>
      </c>
      <c r="E5134" t="s">
        <v>102</v>
      </c>
      <c r="F5134" t="s">
        <v>103</v>
      </c>
      <c r="G5134" t="s">
        <v>164</v>
      </c>
      <c r="H5134" t="s">
        <v>165</v>
      </c>
      <c r="I5134" t="s">
        <v>32</v>
      </c>
      <c r="J5134" t="s">
        <v>33</v>
      </c>
      <c r="K5134" t="s">
        <v>47</v>
      </c>
      <c r="L5134" t="s">
        <v>48</v>
      </c>
      <c r="M5134" t="s">
        <v>166</v>
      </c>
      <c r="N5134">
        <v>1915</v>
      </c>
      <c r="O5134" s="14">
        <v>0.78458434692584</v>
      </c>
      <c r="P5134" s="14">
        <v>0.52621235931292198</v>
      </c>
      <c r="Q5134" t="str">
        <f t="shared" si="160"/>
        <v>01-09</v>
      </c>
      <c r="R5134" t="str">
        <f t="shared" si="161"/>
        <v>[wNqJp8oRIcF]|01-09|Male|PLHIV_Residents.T|CY2024Q3</v>
      </c>
    </row>
    <row r="5135" spans="4:18" x14ac:dyDescent="0.2">
      <c r="D5135" t="s">
        <v>101</v>
      </c>
      <c r="E5135" t="s">
        <v>102</v>
      </c>
      <c r="F5135" t="s">
        <v>103</v>
      </c>
      <c r="G5135" t="s">
        <v>164</v>
      </c>
      <c r="H5135" t="s">
        <v>165</v>
      </c>
      <c r="I5135" t="s">
        <v>35</v>
      </c>
      <c r="J5135" t="s">
        <v>36</v>
      </c>
      <c r="K5135" t="s">
        <v>47</v>
      </c>
      <c r="L5135" t="s">
        <v>48</v>
      </c>
      <c r="M5135" t="s">
        <v>166</v>
      </c>
      <c r="N5135">
        <v>1606</v>
      </c>
      <c r="O5135" s="14">
        <v>0.63702214416116498</v>
      </c>
      <c r="P5135" s="14">
        <v>0.52621235931292198</v>
      </c>
      <c r="Q5135" t="str">
        <f t="shared" si="160"/>
        <v>10-14</v>
      </c>
      <c r="R5135" t="str">
        <f t="shared" si="161"/>
        <v>[wNqJp8oRIcF]|10-14|Male|PLHIV_Residents.T|CY2024Q3</v>
      </c>
    </row>
    <row r="5136" spans="4:18" x14ac:dyDescent="0.2">
      <c r="D5136" t="s">
        <v>101</v>
      </c>
      <c r="E5136" t="s">
        <v>102</v>
      </c>
      <c r="F5136" t="s">
        <v>103</v>
      </c>
      <c r="G5136" t="s">
        <v>164</v>
      </c>
      <c r="H5136" t="s">
        <v>165</v>
      </c>
      <c r="I5136" t="s">
        <v>37</v>
      </c>
      <c r="J5136" t="s">
        <v>38</v>
      </c>
      <c r="K5136" t="s">
        <v>47</v>
      </c>
      <c r="L5136" t="s">
        <v>48</v>
      </c>
      <c r="M5136" t="s">
        <v>166</v>
      </c>
      <c r="N5136">
        <v>1527</v>
      </c>
      <c r="O5136" s="14">
        <v>8.1800363492220599E-2</v>
      </c>
      <c r="P5136" s="14">
        <v>0.52621235931292198</v>
      </c>
      <c r="Q5136" t="str">
        <f t="shared" si="160"/>
        <v>15-24</v>
      </c>
      <c r="R5136" t="str">
        <f t="shared" si="161"/>
        <v>[wNqJp8oRIcF]|15-24|Male|PLHIV_Residents.T|CY2024Q3</v>
      </c>
    </row>
    <row r="5137" spans="4:18" x14ac:dyDescent="0.2">
      <c r="D5137" t="s">
        <v>101</v>
      </c>
      <c r="E5137" t="s">
        <v>102</v>
      </c>
      <c r="F5137" t="s">
        <v>103</v>
      </c>
      <c r="G5137" t="s">
        <v>164</v>
      </c>
      <c r="H5137" t="s">
        <v>165</v>
      </c>
      <c r="I5137" t="s">
        <v>40</v>
      </c>
      <c r="J5137" t="s">
        <v>41</v>
      </c>
      <c r="K5137" t="s">
        <v>47</v>
      </c>
      <c r="L5137" t="s">
        <v>48</v>
      </c>
      <c r="M5137" t="s">
        <v>166</v>
      </c>
      <c r="N5137">
        <v>724</v>
      </c>
      <c r="O5137" s="14">
        <v>0.179148917086422</v>
      </c>
      <c r="P5137" s="14">
        <v>0.52621235931292198</v>
      </c>
      <c r="Q5137" t="str">
        <f t="shared" si="160"/>
        <v>25-34</v>
      </c>
      <c r="R5137" t="str">
        <f t="shared" si="161"/>
        <v>[wNqJp8oRIcF]|25-34|Male|PLHIV_Residents.T|CY2024Q3</v>
      </c>
    </row>
    <row r="5138" spans="4:18" x14ac:dyDescent="0.2">
      <c r="D5138" t="s">
        <v>101</v>
      </c>
      <c r="E5138" t="s">
        <v>102</v>
      </c>
      <c r="F5138" t="s">
        <v>103</v>
      </c>
      <c r="G5138" t="s">
        <v>164</v>
      </c>
      <c r="H5138" t="s">
        <v>165</v>
      </c>
      <c r="I5138" t="s">
        <v>42</v>
      </c>
      <c r="J5138" t="s">
        <v>43</v>
      </c>
      <c r="K5138" t="s">
        <v>47</v>
      </c>
      <c r="L5138" t="s">
        <v>48</v>
      </c>
      <c r="M5138" t="s">
        <v>166</v>
      </c>
      <c r="N5138">
        <v>1157</v>
      </c>
      <c r="O5138" s="14">
        <v>0.156466041924432</v>
      </c>
      <c r="P5138" s="14">
        <v>0.52621235931292198</v>
      </c>
      <c r="Q5138" t="str">
        <f t="shared" si="160"/>
        <v>35-49</v>
      </c>
      <c r="R5138" t="str">
        <f t="shared" si="161"/>
        <v>[wNqJp8oRIcF]|35-49|Male|PLHIV_Residents.T|CY2024Q3</v>
      </c>
    </row>
    <row r="5139" spans="4:18" x14ac:dyDescent="0.2">
      <c r="D5139" t="s">
        <v>101</v>
      </c>
      <c r="E5139" t="s">
        <v>102</v>
      </c>
      <c r="F5139" t="s">
        <v>103</v>
      </c>
      <c r="G5139" t="s">
        <v>164</v>
      </c>
      <c r="H5139" t="s">
        <v>165</v>
      </c>
      <c r="I5139" t="s">
        <v>44</v>
      </c>
      <c r="J5139" t="s">
        <v>45</v>
      </c>
      <c r="K5139" t="s">
        <v>47</v>
      </c>
      <c r="L5139" t="s">
        <v>48</v>
      </c>
      <c r="M5139" t="s">
        <v>166</v>
      </c>
      <c r="N5139">
        <v>1928</v>
      </c>
      <c r="O5139" s="14">
        <v>0.70819123368710302</v>
      </c>
      <c r="P5139" s="14">
        <v>0.52621235931292198</v>
      </c>
      <c r="Q5139" t="str">
        <f t="shared" si="160"/>
        <v>50+</v>
      </c>
      <c r="R5139" t="str">
        <f t="shared" si="161"/>
        <v>[wNqJp8oRIcF]|50+|Male|PLHIV_Residents.T|CY2024Q3</v>
      </c>
    </row>
    <row r="5140" spans="4:18" x14ac:dyDescent="0.2">
      <c r="D5140" t="s">
        <v>104</v>
      </c>
      <c r="E5140" t="s">
        <v>105</v>
      </c>
      <c r="F5140" t="s">
        <v>106</v>
      </c>
      <c r="G5140" t="s">
        <v>164</v>
      </c>
      <c r="H5140" t="s">
        <v>165</v>
      </c>
      <c r="I5140" t="s">
        <v>27</v>
      </c>
      <c r="J5140" t="s">
        <v>28</v>
      </c>
      <c r="K5140" t="s">
        <v>29</v>
      </c>
      <c r="L5140" t="s">
        <v>30</v>
      </c>
      <c r="M5140" t="s">
        <v>166</v>
      </c>
      <c r="N5140">
        <v>1531</v>
      </c>
      <c r="O5140" s="14">
        <v>0.34624458826146998</v>
      </c>
      <c r="P5140" s="14">
        <v>0.21824956033378801</v>
      </c>
      <c r="Q5140" t="str">
        <f t="shared" si="160"/>
        <v>&lt;01</v>
      </c>
      <c r="R5140" t="str">
        <f t="shared" si="161"/>
        <v>[oiPR2CiVJbf]|&lt;01|Female|PLHIV_Residents.T|CY2024Q3</v>
      </c>
    </row>
    <row r="5141" spans="4:18" x14ac:dyDescent="0.2">
      <c r="D5141" t="s">
        <v>104</v>
      </c>
      <c r="E5141" t="s">
        <v>105</v>
      </c>
      <c r="F5141" t="s">
        <v>106</v>
      </c>
      <c r="G5141" t="s">
        <v>164</v>
      </c>
      <c r="H5141" t="s">
        <v>165</v>
      </c>
      <c r="I5141" t="s">
        <v>32</v>
      </c>
      <c r="J5141" t="s">
        <v>33</v>
      </c>
      <c r="K5141" t="s">
        <v>29</v>
      </c>
      <c r="L5141" t="s">
        <v>30</v>
      </c>
      <c r="M5141" t="s">
        <v>166</v>
      </c>
      <c r="N5141">
        <v>1934</v>
      </c>
      <c r="O5141" s="14">
        <v>0.53538154414854899</v>
      </c>
      <c r="P5141" s="14">
        <v>0.21824956033378801</v>
      </c>
      <c r="Q5141" t="str">
        <f t="shared" si="160"/>
        <v>01-09</v>
      </c>
      <c r="R5141" t="str">
        <f t="shared" si="161"/>
        <v>[oiPR2CiVJbf]|01-09|Female|PLHIV_Residents.T|CY2024Q3</v>
      </c>
    </row>
    <row r="5142" spans="4:18" x14ac:dyDescent="0.2">
      <c r="D5142" t="s">
        <v>104</v>
      </c>
      <c r="E5142" t="s">
        <v>105</v>
      </c>
      <c r="F5142" t="s">
        <v>106</v>
      </c>
      <c r="G5142" t="s">
        <v>164</v>
      </c>
      <c r="H5142" t="s">
        <v>165</v>
      </c>
      <c r="I5142" t="s">
        <v>35</v>
      </c>
      <c r="J5142" t="s">
        <v>36</v>
      </c>
      <c r="K5142" t="s">
        <v>29</v>
      </c>
      <c r="L5142" t="s">
        <v>30</v>
      </c>
      <c r="M5142" t="s">
        <v>166</v>
      </c>
      <c r="N5142">
        <v>1355</v>
      </c>
      <c r="O5142" s="14">
        <v>6.2047257320955403E-2</v>
      </c>
      <c r="P5142" s="14">
        <v>0.21824956033378801</v>
      </c>
      <c r="Q5142" t="str">
        <f t="shared" si="160"/>
        <v>10-14</v>
      </c>
      <c r="R5142" t="str">
        <f t="shared" si="161"/>
        <v>[oiPR2CiVJbf]|10-14|Female|PLHIV_Residents.T|CY2024Q3</v>
      </c>
    </row>
    <row r="5143" spans="4:18" x14ac:dyDescent="0.2">
      <c r="D5143" t="s">
        <v>104</v>
      </c>
      <c r="E5143" t="s">
        <v>105</v>
      </c>
      <c r="F5143" t="s">
        <v>106</v>
      </c>
      <c r="G5143" t="s">
        <v>164</v>
      </c>
      <c r="H5143" t="s">
        <v>165</v>
      </c>
      <c r="I5143" t="s">
        <v>37</v>
      </c>
      <c r="J5143" t="s">
        <v>38</v>
      </c>
      <c r="K5143" t="s">
        <v>29</v>
      </c>
      <c r="L5143" t="s">
        <v>30</v>
      </c>
      <c r="M5143" t="s">
        <v>166</v>
      </c>
      <c r="N5143">
        <v>1468</v>
      </c>
      <c r="O5143" s="14">
        <v>0.558552335947752</v>
      </c>
      <c r="P5143" s="14">
        <v>0.21824956033378801</v>
      </c>
      <c r="Q5143" t="str">
        <f t="shared" si="160"/>
        <v>15-24</v>
      </c>
      <c r="R5143" t="str">
        <f t="shared" si="161"/>
        <v>[oiPR2CiVJbf]|15-24|Female|PLHIV_Residents.T|CY2024Q3</v>
      </c>
    </row>
    <row r="5144" spans="4:18" x14ac:dyDescent="0.2">
      <c r="D5144" t="s">
        <v>104</v>
      </c>
      <c r="E5144" t="s">
        <v>105</v>
      </c>
      <c r="F5144" t="s">
        <v>106</v>
      </c>
      <c r="G5144" t="s">
        <v>164</v>
      </c>
      <c r="H5144" t="s">
        <v>165</v>
      </c>
      <c r="I5144" t="s">
        <v>40</v>
      </c>
      <c r="J5144" t="s">
        <v>41</v>
      </c>
      <c r="K5144" t="s">
        <v>29</v>
      </c>
      <c r="L5144" t="s">
        <v>30</v>
      </c>
      <c r="M5144" t="s">
        <v>166</v>
      </c>
      <c r="N5144">
        <v>671</v>
      </c>
      <c r="O5144" s="14">
        <v>0.88741358811967097</v>
      </c>
      <c r="P5144" s="14">
        <v>0.21824956033378801</v>
      </c>
      <c r="Q5144" t="str">
        <f t="shared" si="160"/>
        <v>25-34</v>
      </c>
      <c r="R5144" t="str">
        <f t="shared" si="161"/>
        <v>[oiPR2CiVJbf]|25-34|Female|PLHIV_Residents.T|CY2024Q3</v>
      </c>
    </row>
    <row r="5145" spans="4:18" x14ac:dyDescent="0.2">
      <c r="D5145" t="s">
        <v>104</v>
      </c>
      <c r="E5145" t="s">
        <v>105</v>
      </c>
      <c r="F5145" t="s">
        <v>106</v>
      </c>
      <c r="G5145" t="s">
        <v>164</v>
      </c>
      <c r="H5145" t="s">
        <v>165</v>
      </c>
      <c r="I5145" t="s">
        <v>42</v>
      </c>
      <c r="J5145" t="s">
        <v>43</v>
      </c>
      <c r="K5145" t="s">
        <v>29</v>
      </c>
      <c r="L5145" t="s">
        <v>30</v>
      </c>
      <c r="M5145" t="s">
        <v>166</v>
      </c>
      <c r="N5145">
        <v>1778</v>
      </c>
      <c r="O5145" s="14">
        <v>0.94339426420629002</v>
      </c>
      <c r="P5145" s="14">
        <v>0.21824956033378801</v>
      </c>
      <c r="Q5145" t="str">
        <f t="shared" si="160"/>
        <v>35-49</v>
      </c>
      <c r="R5145" t="str">
        <f t="shared" si="161"/>
        <v>[oiPR2CiVJbf]|35-49|Female|PLHIV_Residents.T|CY2024Q3</v>
      </c>
    </row>
    <row r="5146" spans="4:18" x14ac:dyDescent="0.2">
      <c r="D5146" t="s">
        <v>104</v>
      </c>
      <c r="E5146" t="s">
        <v>105</v>
      </c>
      <c r="F5146" t="s">
        <v>106</v>
      </c>
      <c r="G5146" t="s">
        <v>164</v>
      </c>
      <c r="H5146" t="s">
        <v>165</v>
      </c>
      <c r="I5146" t="s">
        <v>44</v>
      </c>
      <c r="J5146" t="s">
        <v>45</v>
      </c>
      <c r="K5146" t="s">
        <v>29</v>
      </c>
      <c r="L5146" t="s">
        <v>30</v>
      </c>
      <c r="M5146" t="s">
        <v>166</v>
      </c>
      <c r="N5146">
        <v>1113</v>
      </c>
      <c r="O5146" s="14">
        <v>0.36928469943814002</v>
      </c>
      <c r="P5146" s="14">
        <v>0.21824956033378801</v>
      </c>
      <c r="Q5146" t="str">
        <f t="shared" si="160"/>
        <v>50+</v>
      </c>
      <c r="R5146" t="str">
        <f t="shared" si="161"/>
        <v>[oiPR2CiVJbf]|50+|Female|PLHIV_Residents.T|CY2024Q3</v>
      </c>
    </row>
    <row r="5147" spans="4:18" x14ac:dyDescent="0.2">
      <c r="D5147" t="s">
        <v>104</v>
      </c>
      <c r="E5147" t="s">
        <v>105</v>
      </c>
      <c r="F5147" t="s">
        <v>106</v>
      </c>
      <c r="G5147" t="s">
        <v>164</v>
      </c>
      <c r="H5147" t="s">
        <v>165</v>
      </c>
      <c r="I5147" t="s">
        <v>27</v>
      </c>
      <c r="J5147" t="s">
        <v>28</v>
      </c>
      <c r="K5147" t="s">
        <v>47</v>
      </c>
      <c r="L5147" t="s">
        <v>48</v>
      </c>
      <c r="M5147" t="s">
        <v>166</v>
      </c>
      <c r="N5147">
        <v>1817</v>
      </c>
      <c r="O5147" s="14">
        <v>0.74358995538204897</v>
      </c>
      <c r="P5147" s="14">
        <v>0.21824956033378801</v>
      </c>
      <c r="Q5147" t="str">
        <f t="shared" si="160"/>
        <v>&lt;01</v>
      </c>
      <c r="R5147" t="str">
        <f t="shared" si="161"/>
        <v>[oiPR2CiVJbf]|&lt;01|Male|PLHIV_Residents.T|CY2024Q3</v>
      </c>
    </row>
    <row r="5148" spans="4:18" x14ac:dyDescent="0.2">
      <c r="D5148" t="s">
        <v>104</v>
      </c>
      <c r="E5148" t="s">
        <v>105</v>
      </c>
      <c r="F5148" t="s">
        <v>106</v>
      </c>
      <c r="G5148" t="s">
        <v>164</v>
      </c>
      <c r="H5148" t="s">
        <v>165</v>
      </c>
      <c r="I5148" t="s">
        <v>32</v>
      </c>
      <c r="J5148" t="s">
        <v>33</v>
      </c>
      <c r="K5148" t="s">
        <v>47</v>
      </c>
      <c r="L5148" t="s">
        <v>48</v>
      </c>
      <c r="M5148" t="s">
        <v>166</v>
      </c>
      <c r="N5148">
        <v>906</v>
      </c>
      <c r="O5148" s="14">
        <v>0.75614841515198306</v>
      </c>
      <c r="P5148" s="14">
        <v>0.21824956033378801</v>
      </c>
      <c r="Q5148" t="str">
        <f t="shared" si="160"/>
        <v>01-09</v>
      </c>
      <c r="R5148" t="str">
        <f t="shared" si="161"/>
        <v>[oiPR2CiVJbf]|01-09|Male|PLHIV_Residents.T|CY2024Q3</v>
      </c>
    </row>
    <row r="5149" spans="4:18" x14ac:dyDescent="0.2">
      <c r="D5149" t="s">
        <v>104</v>
      </c>
      <c r="E5149" t="s">
        <v>105</v>
      </c>
      <c r="F5149" t="s">
        <v>106</v>
      </c>
      <c r="G5149" t="s">
        <v>164</v>
      </c>
      <c r="H5149" t="s">
        <v>165</v>
      </c>
      <c r="I5149" t="s">
        <v>35</v>
      </c>
      <c r="J5149" t="s">
        <v>36</v>
      </c>
      <c r="K5149" t="s">
        <v>47</v>
      </c>
      <c r="L5149" t="s">
        <v>48</v>
      </c>
      <c r="M5149" t="s">
        <v>166</v>
      </c>
      <c r="N5149">
        <v>1854</v>
      </c>
      <c r="O5149" s="14">
        <v>0.116510711377487</v>
      </c>
      <c r="P5149" s="14">
        <v>0.21824956033378801</v>
      </c>
      <c r="Q5149" t="str">
        <f t="shared" si="160"/>
        <v>10-14</v>
      </c>
      <c r="R5149" t="str">
        <f t="shared" si="161"/>
        <v>[oiPR2CiVJbf]|10-14|Male|PLHIV_Residents.T|CY2024Q3</v>
      </c>
    </row>
    <row r="5150" spans="4:18" x14ac:dyDescent="0.2">
      <c r="D5150" t="s">
        <v>104</v>
      </c>
      <c r="E5150" t="s">
        <v>105</v>
      </c>
      <c r="F5150" t="s">
        <v>106</v>
      </c>
      <c r="G5150" t="s">
        <v>164</v>
      </c>
      <c r="H5150" t="s">
        <v>165</v>
      </c>
      <c r="I5150" t="s">
        <v>37</v>
      </c>
      <c r="J5150" t="s">
        <v>38</v>
      </c>
      <c r="K5150" t="s">
        <v>47</v>
      </c>
      <c r="L5150" t="s">
        <v>48</v>
      </c>
      <c r="M5150" t="s">
        <v>166</v>
      </c>
      <c r="N5150">
        <v>1231</v>
      </c>
      <c r="O5150" s="14">
        <v>0.48664023634046299</v>
      </c>
      <c r="P5150" s="14">
        <v>0.21824956033378801</v>
      </c>
      <c r="Q5150" t="str">
        <f t="shared" si="160"/>
        <v>15-24</v>
      </c>
      <c r="R5150" t="str">
        <f t="shared" si="161"/>
        <v>[oiPR2CiVJbf]|15-24|Male|PLHIV_Residents.T|CY2024Q3</v>
      </c>
    </row>
    <row r="5151" spans="4:18" x14ac:dyDescent="0.2">
      <c r="D5151" t="s">
        <v>104</v>
      </c>
      <c r="E5151" t="s">
        <v>105</v>
      </c>
      <c r="F5151" t="s">
        <v>106</v>
      </c>
      <c r="G5151" t="s">
        <v>164</v>
      </c>
      <c r="H5151" t="s">
        <v>165</v>
      </c>
      <c r="I5151" t="s">
        <v>40</v>
      </c>
      <c r="J5151" t="s">
        <v>41</v>
      </c>
      <c r="K5151" t="s">
        <v>47</v>
      </c>
      <c r="L5151" t="s">
        <v>48</v>
      </c>
      <c r="M5151" t="s">
        <v>166</v>
      </c>
      <c r="N5151">
        <v>1785</v>
      </c>
      <c r="O5151" s="14">
        <v>0.35917051229625901</v>
      </c>
      <c r="P5151" s="14">
        <v>0.21824956033378801</v>
      </c>
      <c r="Q5151" t="str">
        <f t="shared" si="160"/>
        <v>25-34</v>
      </c>
      <c r="R5151" t="str">
        <f t="shared" si="161"/>
        <v>[oiPR2CiVJbf]|25-34|Male|PLHIV_Residents.T|CY2024Q3</v>
      </c>
    </row>
    <row r="5152" spans="4:18" x14ac:dyDescent="0.2">
      <c r="D5152" t="s">
        <v>104</v>
      </c>
      <c r="E5152" t="s">
        <v>105</v>
      </c>
      <c r="F5152" t="s">
        <v>106</v>
      </c>
      <c r="G5152" t="s">
        <v>164</v>
      </c>
      <c r="H5152" t="s">
        <v>165</v>
      </c>
      <c r="I5152" t="s">
        <v>42</v>
      </c>
      <c r="J5152" t="s">
        <v>43</v>
      </c>
      <c r="K5152" t="s">
        <v>47</v>
      </c>
      <c r="L5152" t="s">
        <v>48</v>
      </c>
      <c r="M5152" t="s">
        <v>166</v>
      </c>
      <c r="N5152">
        <v>852</v>
      </c>
      <c r="O5152" s="14">
        <v>0.15989133343100501</v>
      </c>
      <c r="P5152" s="14">
        <v>0.21824956033378801</v>
      </c>
      <c r="Q5152" t="str">
        <f t="shared" si="160"/>
        <v>35-49</v>
      </c>
      <c r="R5152" t="str">
        <f t="shared" si="161"/>
        <v>[oiPR2CiVJbf]|35-49|Male|PLHIV_Residents.T|CY2024Q3</v>
      </c>
    </row>
    <row r="5153" spans="4:18" x14ac:dyDescent="0.2">
      <c r="D5153" t="s">
        <v>104</v>
      </c>
      <c r="E5153" t="s">
        <v>105</v>
      </c>
      <c r="F5153" t="s">
        <v>106</v>
      </c>
      <c r="G5153" t="s">
        <v>164</v>
      </c>
      <c r="H5153" t="s">
        <v>165</v>
      </c>
      <c r="I5153" t="s">
        <v>44</v>
      </c>
      <c r="J5153" t="s">
        <v>45</v>
      </c>
      <c r="K5153" t="s">
        <v>47</v>
      </c>
      <c r="L5153" t="s">
        <v>48</v>
      </c>
      <c r="M5153" t="s">
        <v>166</v>
      </c>
      <c r="N5153">
        <v>925</v>
      </c>
      <c r="O5153" s="14">
        <v>0.23075130977667899</v>
      </c>
      <c r="P5153" s="14">
        <v>0.21824956033378801</v>
      </c>
      <c r="Q5153" t="str">
        <f t="shared" si="160"/>
        <v>50+</v>
      </c>
      <c r="R5153" t="str">
        <f t="shared" si="161"/>
        <v>[oiPR2CiVJbf]|50+|Male|PLHIV_Residents.T|CY2024Q3</v>
      </c>
    </row>
    <row r="5154" spans="4:18" x14ac:dyDescent="0.2">
      <c r="D5154" t="s">
        <v>107</v>
      </c>
      <c r="E5154" t="s">
        <v>108</v>
      </c>
      <c r="F5154" t="s">
        <v>109</v>
      </c>
      <c r="G5154" t="s">
        <v>164</v>
      </c>
      <c r="H5154" t="s">
        <v>165</v>
      </c>
      <c r="I5154" t="s">
        <v>27</v>
      </c>
      <c r="J5154" t="s">
        <v>28</v>
      </c>
      <c r="K5154" t="s">
        <v>29</v>
      </c>
      <c r="L5154" t="s">
        <v>30</v>
      </c>
      <c r="M5154" t="s">
        <v>166</v>
      </c>
      <c r="N5154">
        <v>1465</v>
      </c>
      <c r="O5154" s="14">
        <v>0.88269762112759098</v>
      </c>
      <c r="P5154" s="14">
        <v>0.43422180437482899</v>
      </c>
      <c r="Q5154" t="str">
        <f t="shared" si="160"/>
        <v>&lt;01</v>
      </c>
      <c r="R5154" t="str">
        <f t="shared" si="161"/>
        <v>[ul0y9diGujK]|&lt;01|Female|PLHIV_Residents.T|CY2024Q3</v>
      </c>
    </row>
    <row r="5155" spans="4:18" x14ac:dyDescent="0.2">
      <c r="D5155" t="s">
        <v>107</v>
      </c>
      <c r="E5155" t="s">
        <v>108</v>
      </c>
      <c r="F5155" t="s">
        <v>109</v>
      </c>
      <c r="G5155" t="s">
        <v>164</v>
      </c>
      <c r="H5155" t="s">
        <v>165</v>
      </c>
      <c r="I5155" t="s">
        <v>32</v>
      </c>
      <c r="J5155" t="s">
        <v>33</v>
      </c>
      <c r="K5155" t="s">
        <v>29</v>
      </c>
      <c r="L5155" t="s">
        <v>30</v>
      </c>
      <c r="M5155" t="s">
        <v>166</v>
      </c>
      <c r="N5155">
        <v>745</v>
      </c>
      <c r="O5155" s="14">
        <v>0.60302910394966602</v>
      </c>
      <c r="P5155" s="14">
        <v>0.43422180437482899</v>
      </c>
      <c r="Q5155" t="str">
        <f t="shared" si="160"/>
        <v>01-09</v>
      </c>
      <c r="R5155" t="str">
        <f t="shared" si="161"/>
        <v>[ul0y9diGujK]|01-09|Female|PLHIV_Residents.T|CY2024Q3</v>
      </c>
    </row>
    <row r="5156" spans="4:18" x14ac:dyDescent="0.2">
      <c r="D5156" t="s">
        <v>107</v>
      </c>
      <c r="E5156" t="s">
        <v>108</v>
      </c>
      <c r="F5156" t="s">
        <v>109</v>
      </c>
      <c r="G5156" t="s">
        <v>164</v>
      </c>
      <c r="H5156" t="s">
        <v>165</v>
      </c>
      <c r="I5156" t="s">
        <v>35</v>
      </c>
      <c r="J5156" t="s">
        <v>36</v>
      </c>
      <c r="K5156" t="s">
        <v>29</v>
      </c>
      <c r="L5156" t="s">
        <v>30</v>
      </c>
      <c r="M5156" t="s">
        <v>166</v>
      </c>
      <c r="N5156">
        <v>1514</v>
      </c>
      <c r="O5156" s="14">
        <v>0.13052714592777201</v>
      </c>
      <c r="P5156" s="14">
        <v>0.43422180437482899</v>
      </c>
      <c r="Q5156" t="str">
        <f t="shared" si="160"/>
        <v>10-14</v>
      </c>
      <c r="R5156" t="str">
        <f t="shared" si="161"/>
        <v>[ul0y9diGujK]|10-14|Female|PLHIV_Residents.T|CY2024Q3</v>
      </c>
    </row>
    <row r="5157" spans="4:18" x14ac:dyDescent="0.2">
      <c r="D5157" t="s">
        <v>107</v>
      </c>
      <c r="E5157" t="s">
        <v>108</v>
      </c>
      <c r="F5157" t="s">
        <v>109</v>
      </c>
      <c r="G5157" t="s">
        <v>164</v>
      </c>
      <c r="H5157" t="s">
        <v>165</v>
      </c>
      <c r="I5157" t="s">
        <v>37</v>
      </c>
      <c r="J5157" t="s">
        <v>38</v>
      </c>
      <c r="K5157" t="s">
        <v>29</v>
      </c>
      <c r="L5157" t="s">
        <v>30</v>
      </c>
      <c r="M5157" t="s">
        <v>166</v>
      </c>
      <c r="N5157">
        <v>1244</v>
      </c>
      <c r="O5157" s="14">
        <v>1.9721204182133099E-2</v>
      </c>
      <c r="P5157" s="14">
        <v>0.43422180437482899</v>
      </c>
      <c r="Q5157" t="str">
        <f t="shared" si="160"/>
        <v>15-24</v>
      </c>
      <c r="R5157" t="str">
        <f t="shared" si="161"/>
        <v>[ul0y9diGujK]|15-24|Female|PLHIV_Residents.T|CY2024Q3</v>
      </c>
    </row>
    <row r="5158" spans="4:18" x14ac:dyDescent="0.2">
      <c r="D5158" t="s">
        <v>107</v>
      </c>
      <c r="E5158" t="s">
        <v>108</v>
      </c>
      <c r="F5158" t="s">
        <v>109</v>
      </c>
      <c r="G5158" t="s">
        <v>164</v>
      </c>
      <c r="H5158" t="s">
        <v>165</v>
      </c>
      <c r="I5158" t="s">
        <v>40</v>
      </c>
      <c r="J5158" t="s">
        <v>41</v>
      </c>
      <c r="K5158" t="s">
        <v>29</v>
      </c>
      <c r="L5158" t="s">
        <v>30</v>
      </c>
      <c r="M5158" t="s">
        <v>166</v>
      </c>
      <c r="N5158">
        <v>815</v>
      </c>
      <c r="O5158" s="14">
        <v>0.648091196781024</v>
      </c>
      <c r="P5158" s="14">
        <v>0.43422180437482899</v>
      </c>
      <c r="Q5158" t="str">
        <f t="shared" si="160"/>
        <v>25-34</v>
      </c>
      <c r="R5158" t="str">
        <f t="shared" si="161"/>
        <v>[ul0y9diGujK]|25-34|Female|PLHIV_Residents.T|CY2024Q3</v>
      </c>
    </row>
    <row r="5159" spans="4:18" x14ac:dyDescent="0.2">
      <c r="D5159" t="s">
        <v>107</v>
      </c>
      <c r="E5159" t="s">
        <v>108</v>
      </c>
      <c r="F5159" t="s">
        <v>109</v>
      </c>
      <c r="G5159" t="s">
        <v>164</v>
      </c>
      <c r="H5159" t="s">
        <v>165</v>
      </c>
      <c r="I5159" t="s">
        <v>42</v>
      </c>
      <c r="J5159" t="s">
        <v>43</v>
      </c>
      <c r="K5159" t="s">
        <v>29</v>
      </c>
      <c r="L5159" t="s">
        <v>30</v>
      </c>
      <c r="M5159" t="s">
        <v>166</v>
      </c>
      <c r="N5159">
        <v>980</v>
      </c>
      <c r="O5159" s="14">
        <v>4.9937653355300399E-2</v>
      </c>
      <c r="P5159" s="14">
        <v>0.43422180437482899</v>
      </c>
      <c r="Q5159" t="str">
        <f t="shared" si="160"/>
        <v>35-49</v>
      </c>
      <c r="R5159" t="str">
        <f t="shared" si="161"/>
        <v>[ul0y9diGujK]|35-49|Female|PLHIV_Residents.T|CY2024Q3</v>
      </c>
    </row>
    <row r="5160" spans="4:18" x14ac:dyDescent="0.2">
      <c r="D5160" t="s">
        <v>107</v>
      </c>
      <c r="E5160" t="s">
        <v>108</v>
      </c>
      <c r="F5160" t="s">
        <v>109</v>
      </c>
      <c r="G5160" t="s">
        <v>164</v>
      </c>
      <c r="H5160" t="s">
        <v>165</v>
      </c>
      <c r="I5160" t="s">
        <v>44</v>
      </c>
      <c r="J5160" t="s">
        <v>45</v>
      </c>
      <c r="K5160" t="s">
        <v>29</v>
      </c>
      <c r="L5160" t="s">
        <v>30</v>
      </c>
      <c r="M5160" t="s">
        <v>166</v>
      </c>
      <c r="N5160">
        <v>526</v>
      </c>
      <c r="O5160" s="14">
        <v>1.6376831103116302E-2</v>
      </c>
      <c r="P5160" s="14">
        <v>0.43422180437482899</v>
      </c>
      <c r="Q5160" t="str">
        <f t="shared" si="160"/>
        <v>50+</v>
      </c>
      <c r="R5160" t="str">
        <f t="shared" si="161"/>
        <v>[ul0y9diGujK]|50+|Female|PLHIV_Residents.T|CY2024Q3</v>
      </c>
    </row>
    <row r="5161" spans="4:18" x14ac:dyDescent="0.2">
      <c r="D5161" t="s">
        <v>107</v>
      </c>
      <c r="E5161" t="s">
        <v>108</v>
      </c>
      <c r="F5161" t="s">
        <v>109</v>
      </c>
      <c r="G5161" t="s">
        <v>164</v>
      </c>
      <c r="H5161" t="s">
        <v>165</v>
      </c>
      <c r="I5161" t="s">
        <v>27</v>
      </c>
      <c r="J5161" t="s">
        <v>28</v>
      </c>
      <c r="K5161" t="s">
        <v>47</v>
      </c>
      <c r="L5161" t="s">
        <v>48</v>
      </c>
      <c r="M5161" t="s">
        <v>166</v>
      </c>
      <c r="N5161">
        <v>604</v>
      </c>
      <c r="O5161" s="14">
        <v>0.31238046498037902</v>
      </c>
      <c r="P5161" s="14">
        <v>0.43422180437482899</v>
      </c>
      <c r="Q5161" t="str">
        <f t="shared" si="160"/>
        <v>&lt;01</v>
      </c>
      <c r="R5161" t="str">
        <f t="shared" si="161"/>
        <v>[ul0y9diGujK]|&lt;01|Male|PLHIV_Residents.T|CY2024Q3</v>
      </c>
    </row>
    <row r="5162" spans="4:18" x14ac:dyDescent="0.2">
      <c r="D5162" t="s">
        <v>107</v>
      </c>
      <c r="E5162" t="s">
        <v>108</v>
      </c>
      <c r="F5162" t="s">
        <v>109</v>
      </c>
      <c r="G5162" t="s">
        <v>164</v>
      </c>
      <c r="H5162" t="s">
        <v>165</v>
      </c>
      <c r="I5162" t="s">
        <v>32</v>
      </c>
      <c r="J5162" t="s">
        <v>33</v>
      </c>
      <c r="K5162" t="s">
        <v>47</v>
      </c>
      <c r="L5162" t="s">
        <v>48</v>
      </c>
      <c r="M5162" t="s">
        <v>166</v>
      </c>
      <c r="N5162">
        <v>1925</v>
      </c>
      <c r="O5162" s="14">
        <v>0.29695907630957702</v>
      </c>
      <c r="P5162" s="14">
        <v>0.43422180437482899</v>
      </c>
      <c r="Q5162" t="str">
        <f t="shared" si="160"/>
        <v>01-09</v>
      </c>
      <c r="R5162" t="str">
        <f t="shared" si="161"/>
        <v>[ul0y9diGujK]|01-09|Male|PLHIV_Residents.T|CY2024Q3</v>
      </c>
    </row>
    <row r="5163" spans="4:18" x14ac:dyDescent="0.2">
      <c r="D5163" t="s">
        <v>107</v>
      </c>
      <c r="E5163" t="s">
        <v>108</v>
      </c>
      <c r="F5163" t="s">
        <v>109</v>
      </c>
      <c r="G5163" t="s">
        <v>164</v>
      </c>
      <c r="H5163" t="s">
        <v>165</v>
      </c>
      <c r="I5163" t="s">
        <v>35</v>
      </c>
      <c r="J5163" t="s">
        <v>36</v>
      </c>
      <c r="K5163" t="s">
        <v>47</v>
      </c>
      <c r="L5163" t="s">
        <v>48</v>
      </c>
      <c r="M5163" t="s">
        <v>166</v>
      </c>
      <c r="N5163">
        <v>1639</v>
      </c>
      <c r="O5163" s="14">
        <v>0.239804722368717</v>
      </c>
      <c r="P5163" s="14">
        <v>0.43422180437482899</v>
      </c>
      <c r="Q5163" t="str">
        <f t="shared" si="160"/>
        <v>10-14</v>
      </c>
      <c r="R5163" t="str">
        <f t="shared" si="161"/>
        <v>[ul0y9diGujK]|10-14|Male|PLHIV_Residents.T|CY2024Q3</v>
      </c>
    </row>
    <row r="5164" spans="4:18" x14ac:dyDescent="0.2">
      <c r="D5164" t="s">
        <v>107</v>
      </c>
      <c r="E5164" t="s">
        <v>108</v>
      </c>
      <c r="F5164" t="s">
        <v>109</v>
      </c>
      <c r="G5164" t="s">
        <v>164</v>
      </c>
      <c r="H5164" t="s">
        <v>165</v>
      </c>
      <c r="I5164" t="s">
        <v>37</v>
      </c>
      <c r="J5164" t="s">
        <v>38</v>
      </c>
      <c r="K5164" t="s">
        <v>47</v>
      </c>
      <c r="L5164" t="s">
        <v>48</v>
      </c>
      <c r="M5164" t="s">
        <v>166</v>
      </c>
      <c r="N5164">
        <v>1873</v>
      </c>
      <c r="O5164" s="14">
        <v>0.11222168337553701</v>
      </c>
      <c r="P5164" s="14">
        <v>0.43422180437482899</v>
      </c>
      <c r="Q5164" t="str">
        <f t="shared" si="160"/>
        <v>15-24</v>
      </c>
      <c r="R5164" t="str">
        <f t="shared" si="161"/>
        <v>[ul0y9diGujK]|15-24|Male|PLHIV_Residents.T|CY2024Q3</v>
      </c>
    </row>
    <row r="5165" spans="4:18" x14ac:dyDescent="0.2">
      <c r="D5165" t="s">
        <v>107</v>
      </c>
      <c r="E5165" t="s">
        <v>108</v>
      </c>
      <c r="F5165" t="s">
        <v>109</v>
      </c>
      <c r="G5165" t="s">
        <v>164</v>
      </c>
      <c r="H5165" t="s">
        <v>165</v>
      </c>
      <c r="I5165" t="s">
        <v>40</v>
      </c>
      <c r="J5165" t="s">
        <v>41</v>
      </c>
      <c r="K5165" t="s">
        <v>47</v>
      </c>
      <c r="L5165" t="s">
        <v>48</v>
      </c>
      <c r="M5165" t="s">
        <v>166</v>
      </c>
      <c r="N5165">
        <v>1000</v>
      </c>
      <c r="O5165" s="14">
        <v>0.85337285348214198</v>
      </c>
      <c r="P5165" s="14">
        <v>0.43422180437482899</v>
      </c>
      <c r="Q5165" t="str">
        <f t="shared" si="160"/>
        <v>25-34</v>
      </c>
      <c r="R5165" t="str">
        <f t="shared" si="161"/>
        <v>[ul0y9diGujK]|25-34|Male|PLHIV_Residents.T|CY2024Q3</v>
      </c>
    </row>
    <row r="5166" spans="4:18" x14ac:dyDescent="0.2">
      <c r="D5166" t="s">
        <v>107</v>
      </c>
      <c r="E5166" t="s">
        <v>108</v>
      </c>
      <c r="F5166" t="s">
        <v>109</v>
      </c>
      <c r="G5166" t="s">
        <v>164</v>
      </c>
      <c r="H5166" t="s">
        <v>165</v>
      </c>
      <c r="I5166" t="s">
        <v>42</v>
      </c>
      <c r="J5166" t="s">
        <v>43</v>
      </c>
      <c r="K5166" t="s">
        <v>47</v>
      </c>
      <c r="L5166" t="s">
        <v>48</v>
      </c>
      <c r="M5166" t="s">
        <v>166</v>
      </c>
      <c r="N5166">
        <v>1832</v>
      </c>
      <c r="O5166" s="14">
        <v>0.41772972978651501</v>
      </c>
      <c r="P5166" s="14">
        <v>0.43422180437482899</v>
      </c>
      <c r="Q5166" t="str">
        <f t="shared" si="160"/>
        <v>35-49</v>
      </c>
      <c r="R5166" t="str">
        <f t="shared" si="161"/>
        <v>[ul0y9diGujK]|35-49|Male|PLHIV_Residents.T|CY2024Q3</v>
      </c>
    </row>
    <row r="5167" spans="4:18" x14ac:dyDescent="0.2">
      <c r="D5167" t="s">
        <v>107</v>
      </c>
      <c r="E5167" t="s">
        <v>108</v>
      </c>
      <c r="F5167" t="s">
        <v>109</v>
      </c>
      <c r="G5167" t="s">
        <v>164</v>
      </c>
      <c r="H5167" t="s">
        <v>165</v>
      </c>
      <c r="I5167" t="s">
        <v>44</v>
      </c>
      <c r="J5167" t="s">
        <v>45</v>
      </c>
      <c r="K5167" t="s">
        <v>47</v>
      </c>
      <c r="L5167" t="s">
        <v>48</v>
      </c>
      <c r="M5167" t="s">
        <v>166</v>
      </c>
      <c r="N5167">
        <v>603</v>
      </c>
      <c r="O5167" s="14">
        <v>0.80628455872647498</v>
      </c>
      <c r="P5167" s="14">
        <v>0.43422180437482899</v>
      </c>
      <c r="Q5167" t="str">
        <f t="shared" si="160"/>
        <v>50+</v>
      </c>
      <c r="R5167" t="str">
        <f t="shared" si="161"/>
        <v>[ul0y9diGujK]|50+|Male|PLHIV_Residents.T|CY2024Q3</v>
      </c>
    </row>
    <row r="5168" spans="4:18" x14ac:dyDescent="0.2">
      <c r="D5168" t="s">
        <v>110</v>
      </c>
      <c r="E5168" t="s">
        <v>111</v>
      </c>
      <c r="F5168" t="s">
        <v>112</v>
      </c>
      <c r="G5168" t="s">
        <v>164</v>
      </c>
      <c r="H5168" t="s">
        <v>165</v>
      </c>
      <c r="I5168" t="s">
        <v>27</v>
      </c>
      <c r="J5168" t="s">
        <v>28</v>
      </c>
      <c r="K5168" t="s">
        <v>29</v>
      </c>
      <c r="L5168" t="s">
        <v>30</v>
      </c>
      <c r="M5168" t="s">
        <v>166</v>
      </c>
      <c r="N5168">
        <v>1568</v>
      </c>
      <c r="O5168" s="14">
        <v>0.67679437412880405</v>
      </c>
      <c r="P5168" s="14">
        <v>0.33776879496872397</v>
      </c>
      <c r="Q5168" t="str">
        <f t="shared" si="160"/>
        <v>&lt;01</v>
      </c>
      <c r="R5168" t="str">
        <f t="shared" si="161"/>
        <v>[U8c0so51kT6]|&lt;01|Female|PLHIV_Residents.T|CY2024Q3</v>
      </c>
    </row>
    <row r="5169" spans="4:18" x14ac:dyDescent="0.2">
      <c r="D5169" t="s">
        <v>110</v>
      </c>
      <c r="E5169" t="s">
        <v>111</v>
      </c>
      <c r="F5169" t="s">
        <v>112</v>
      </c>
      <c r="G5169" t="s">
        <v>164</v>
      </c>
      <c r="H5169" t="s">
        <v>165</v>
      </c>
      <c r="I5169" t="s">
        <v>32</v>
      </c>
      <c r="J5169" t="s">
        <v>33</v>
      </c>
      <c r="K5169" t="s">
        <v>29</v>
      </c>
      <c r="L5169" t="s">
        <v>30</v>
      </c>
      <c r="M5169" t="s">
        <v>166</v>
      </c>
      <c r="N5169">
        <v>1626</v>
      </c>
      <c r="O5169" s="14">
        <v>0.376221961574629</v>
      </c>
      <c r="P5169" s="14">
        <v>0.33776879496872397</v>
      </c>
      <c r="Q5169" t="str">
        <f t="shared" si="160"/>
        <v>01-09</v>
      </c>
      <c r="R5169" t="str">
        <f t="shared" si="161"/>
        <v>[U8c0so51kT6]|01-09|Female|PLHIV_Residents.T|CY2024Q3</v>
      </c>
    </row>
    <row r="5170" spans="4:18" x14ac:dyDescent="0.2">
      <c r="D5170" t="s">
        <v>110</v>
      </c>
      <c r="E5170" t="s">
        <v>111</v>
      </c>
      <c r="F5170" t="s">
        <v>112</v>
      </c>
      <c r="G5170" t="s">
        <v>164</v>
      </c>
      <c r="H5170" t="s">
        <v>165</v>
      </c>
      <c r="I5170" t="s">
        <v>35</v>
      </c>
      <c r="J5170" t="s">
        <v>36</v>
      </c>
      <c r="K5170" t="s">
        <v>29</v>
      </c>
      <c r="L5170" t="s">
        <v>30</v>
      </c>
      <c r="M5170" t="s">
        <v>166</v>
      </c>
      <c r="N5170">
        <v>1267</v>
      </c>
      <c r="O5170" s="14">
        <v>0.58563408488407698</v>
      </c>
      <c r="P5170" s="14">
        <v>0.33776879496872397</v>
      </c>
      <c r="Q5170" t="str">
        <f t="shared" si="160"/>
        <v>10-14</v>
      </c>
      <c r="R5170" t="str">
        <f t="shared" si="161"/>
        <v>[U8c0so51kT6]|10-14|Female|PLHIV_Residents.T|CY2024Q3</v>
      </c>
    </row>
    <row r="5171" spans="4:18" x14ac:dyDescent="0.2">
      <c r="D5171" t="s">
        <v>110</v>
      </c>
      <c r="E5171" t="s">
        <v>111</v>
      </c>
      <c r="F5171" t="s">
        <v>112</v>
      </c>
      <c r="G5171" t="s">
        <v>164</v>
      </c>
      <c r="H5171" t="s">
        <v>165</v>
      </c>
      <c r="I5171" t="s">
        <v>37</v>
      </c>
      <c r="J5171" t="s">
        <v>38</v>
      </c>
      <c r="K5171" t="s">
        <v>29</v>
      </c>
      <c r="L5171" t="s">
        <v>30</v>
      </c>
      <c r="M5171" t="s">
        <v>166</v>
      </c>
      <c r="N5171">
        <v>1387</v>
      </c>
      <c r="O5171" s="14">
        <v>0.81851249700412199</v>
      </c>
      <c r="P5171" s="14">
        <v>0.33776879496872397</v>
      </c>
      <c r="Q5171" t="str">
        <f t="shared" si="160"/>
        <v>15-24</v>
      </c>
      <c r="R5171" t="str">
        <f t="shared" si="161"/>
        <v>[U8c0so51kT6]|15-24|Female|PLHIV_Residents.T|CY2024Q3</v>
      </c>
    </row>
    <row r="5172" spans="4:18" x14ac:dyDescent="0.2">
      <c r="D5172" t="s">
        <v>110</v>
      </c>
      <c r="E5172" t="s">
        <v>111</v>
      </c>
      <c r="F5172" t="s">
        <v>112</v>
      </c>
      <c r="G5172" t="s">
        <v>164</v>
      </c>
      <c r="H5172" t="s">
        <v>165</v>
      </c>
      <c r="I5172" t="s">
        <v>40</v>
      </c>
      <c r="J5172" t="s">
        <v>41</v>
      </c>
      <c r="K5172" t="s">
        <v>29</v>
      </c>
      <c r="L5172" t="s">
        <v>30</v>
      </c>
      <c r="M5172" t="s">
        <v>166</v>
      </c>
      <c r="N5172">
        <v>810</v>
      </c>
      <c r="O5172" s="14">
        <v>0.81098281149752405</v>
      </c>
      <c r="P5172" s="14">
        <v>0.33776879496872397</v>
      </c>
      <c r="Q5172" t="str">
        <f t="shared" si="160"/>
        <v>25-34</v>
      </c>
      <c r="R5172" t="str">
        <f t="shared" si="161"/>
        <v>[U8c0so51kT6]|25-34|Female|PLHIV_Residents.T|CY2024Q3</v>
      </c>
    </row>
    <row r="5173" spans="4:18" x14ac:dyDescent="0.2">
      <c r="D5173" t="s">
        <v>110</v>
      </c>
      <c r="E5173" t="s">
        <v>111</v>
      </c>
      <c r="F5173" t="s">
        <v>112</v>
      </c>
      <c r="G5173" t="s">
        <v>164</v>
      </c>
      <c r="H5173" t="s">
        <v>165</v>
      </c>
      <c r="I5173" t="s">
        <v>42</v>
      </c>
      <c r="J5173" t="s">
        <v>43</v>
      </c>
      <c r="K5173" t="s">
        <v>29</v>
      </c>
      <c r="L5173" t="s">
        <v>30</v>
      </c>
      <c r="M5173" t="s">
        <v>166</v>
      </c>
      <c r="N5173">
        <v>1116</v>
      </c>
      <c r="O5173" s="14">
        <v>0.84595749457366798</v>
      </c>
      <c r="P5173" s="14">
        <v>0.33776879496872397</v>
      </c>
      <c r="Q5173" t="str">
        <f t="shared" si="160"/>
        <v>35-49</v>
      </c>
      <c r="R5173" t="str">
        <f t="shared" si="161"/>
        <v>[U8c0so51kT6]|35-49|Female|PLHIV_Residents.T|CY2024Q3</v>
      </c>
    </row>
    <row r="5174" spans="4:18" x14ac:dyDescent="0.2">
      <c r="D5174" t="s">
        <v>110</v>
      </c>
      <c r="E5174" t="s">
        <v>111</v>
      </c>
      <c r="F5174" t="s">
        <v>112</v>
      </c>
      <c r="G5174" t="s">
        <v>164</v>
      </c>
      <c r="H5174" t="s">
        <v>165</v>
      </c>
      <c r="I5174" t="s">
        <v>44</v>
      </c>
      <c r="J5174" t="s">
        <v>45</v>
      </c>
      <c r="K5174" t="s">
        <v>29</v>
      </c>
      <c r="L5174" t="s">
        <v>30</v>
      </c>
      <c r="M5174" t="s">
        <v>166</v>
      </c>
      <c r="N5174">
        <v>785</v>
      </c>
      <c r="O5174" s="14">
        <v>7.8794831177219707E-2</v>
      </c>
      <c r="P5174" s="14">
        <v>0.33776879496872397</v>
      </c>
      <c r="Q5174" t="str">
        <f t="shared" si="160"/>
        <v>50+</v>
      </c>
      <c r="R5174" t="str">
        <f t="shared" si="161"/>
        <v>[U8c0so51kT6]|50+|Female|PLHIV_Residents.T|CY2024Q3</v>
      </c>
    </row>
    <row r="5175" spans="4:18" x14ac:dyDescent="0.2">
      <c r="D5175" t="s">
        <v>110</v>
      </c>
      <c r="E5175" t="s">
        <v>111</v>
      </c>
      <c r="F5175" t="s">
        <v>112</v>
      </c>
      <c r="G5175" t="s">
        <v>164</v>
      </c>
      <c r="H5175" t="s">
        <v>165</v>
      </c>
      <c r="I5175" t="s">
        <v>27</v>
      </c>
      <c r="J5175" t="s">
        <v>28</v>
      </c>
      <c r="K5175" t="s">
        <v>47</v>
      </c>
      <c r="L5175" t="s">
        <v>48</v>
      </c>
      <c r="M5175" t="s">
        <v>166</v>
      </c>
      <c r="N5175">
        <v>733</v>
      </c>
      <c r="O5175" s="14">
        <v>0.97618392598815296</v>
      </c>
      <c r="P5175" s="14">
        <v>0.33776879496872397</v>
      </c>
      <c r="Q5175" t="str">
        <f t="shared" si="160"/>
        <v>&lt;01</v>
      </c>
      <c r="R5175" t="str">
        <f t="shared" si="161"/>
        <v>[U8c0so51kT6]|&lt;01|Male|PLHIV_Residents.T|CY2024Q3</v>
      </c>
    </row>
    <row r="5176" spans="4:18" x14ac:dyDescent="0.2">
      <c r="D5176" t="s">
        <v>110</v>
      </c>
      <c r="E5176" t="s">
        <v>111</v>
      </c>
      <c r="F5176" t="s">
        <v>112</v>
      </c>
      <c r="G5176" t="s">
        <v>164</v>
      </c>
      <c r="H5176" t="s">
        <v>165</v>
      </c>
      <c r="I5176" t="s">
        <v>32</v>
      </c>
      <c r="J5176" t="s">
        <v>33</v>
      </c>
      <c r="K5176" t="s">
        <v>47</v>
      </c>
      <c r="L5176" t="s">
        <v>48</v>
      </c>
      <c r="M5176" t="s">
        <v>166</v>
      </c>
      <c r="N5176">
        <v>1465</v>
      </c>
      <c r="O5176" s="14">
        <v>4.93070760276169E-2</v>
      </c>
      <c r="P5176" s="14">
        <v>0.33776879496872397</v>
      </c>
      <c r="Q5176" t="str">
        <f t="shared" si="160"/>
        <v>01-09</v>
      </c>
      <c r="R5176" t="str">
        <f t="shared" si="161"/>
        <v>[U8c0so51kT6]|01-09|Male|PLHIV_Residents.T|CY2024Q3</v>
      </c>
    </row>
    <row r="5177" spans="4:18" x14ac:dyDescent="0.2">
      <c r="D5177" t="s">
        <v>110</v>
      </c>
      <c r="E5177" t="s">
        <v>111</v>
      </c>
      <c r="F5177" t="s">
        <v>112</v>
      </c>
      <c r="G5177" t="s">
        <v>164</v>
      </c>
      <c r="H5177" t="s">
        <v>165</v>
      </c>
      <c r="I5177" t="s">
        <v>35</v>
      </c>
      <c r="J5177" t="s">
        <v>36</v>
      </c>
      <c r="K5177" t="s">
        <v>47</v>
      </c>
      <c r="L5177" t="s">
        <v>48</v>
      </c>
      <c r="M5177" t="s">
        <v>166</v>
      </c>
      <c r="N5177">
        <v>576</v>
      </c>
      <c r="O5177" s="14">
        <v>0.31857620179653201</v>
      </c>
      <c r="P5177" s="14">
        <v>0.33776879496872397</v>
      </c>
      <c r="Q5177" t="str">
        <f t="shared" si="160"/>
        <v>10-14</v>
      </c>
      <c r="R5177" t="str">
        <f t="shared" si="161"/>
        <v>[U8c0so51kT6]|10-14|Male|PLHIV_Residents.T|CY2024Q3</v>
      </c>
    </row>
    <row r="5178" spans="4:18" x14ac:dyDescent="0.2">
      <c r="D5178" t="s">
        <v>110</v>
      </c>
      <c r="E5178" t="s">
        <v>111</v>
      </c>
      <c r="F5178" t="s">
        <v>112</v>
      </c>
      <c r="G5178" t="s">
        <v>164</v>
      </c>
      <c r="H5178" t="s">
        <v>165</v>
      </c>
      <c r="I5178" t="s">
        <v>37</v>
      </c>
      <c r="J5178" t="s">
        <v>38</v>
      </c>
      <c r="K5178" t="s">
        <v>47</v>
      </c>
      <c r="L5178" t="s">
        <v>48</v>
      </c>
      <c r="M5178" t="s">
        <v>166</v>
      </c>
      <c r="N5178">
        <v>965</v>
      </c>
      <c r="O5178" s="14">
        <v>0.73522116546519101</v>
      </c>
      <c r="P5178" s="14">
        <v>0.33776879496872397</v>
      </c>
      <c r="Q5178" t="str">
        <f t="shared" si="160"/>
        <v>15-24</v>
      </c>
      <c r="R5178" t="str">
        <f t="shared" si="161"/>
        <v>[U8c0so51kT6]|15-24|Male|PLHIV_Residents.T|CY2024Q3</v>
      </c>
    </row>
    <row r="5179" spans="4:18" x14ac:dyDescent="0.2">
      <c r="D5179" t="s">
        <v>110</v>
      </c>
      <c r="E5179" t="s">
        <v>111</v>
      </c>
      <c r="F5179" t="s">
        <v>112</v>
      </c>
      <c r="G5179" t="s">
        <v>164</v>
      </c>
      <c r="H5179" t="s">
        <v>165</v>
      </c>
      <c r="I5179" t="s">
        <v>40</v>
      </c>
      <c r="J5179" t="s">
        <v>41</v>
      </c>
      <c r="K5179" t="s">
        <v>47</v>
      </c>
      <c r="L5179" t="s">
        <v>48</v>
      </c>
      <c r="M5179" t="s">
        <v>166</v>
      </c>
      <c r="N5179">
        <v>1483</v>
      </c>
      <c r="O5179" s="14">
        <v>0.921873342944309</v>
      </c>
      <c r="P5179" s="14">
        <v>0.33776879496872397</v>
      </c>
      <c r="Q5179" t="str">
        <f t="shared" si="160"/>
        <v>25-34</v>
      </c>
      <c r="R5179" t="str">
        <f t="shared" si="161"/>
        <v>[U8c0so51kT6]|25-34|Male|PLHIV_Residents.T|CY2024Q3</v>
      </c>
    </row>
    <row r="5180" spans="4:18" x14ac:dyDescent="0.2">
      <c r="D5180" t="s">
        <v>110</v>
      </c>
      <c r="E5180" t="s">
        <v>111</v>
      </c>
      <c r="F5180" t="s">
        <v>112</v>
      </c>
      <c r="G5180" t="s">
        <v>164</v>
      </c>
      <c r="H5180" t="s">
        <v>165</v>
      </c>
      <c r="I5180" t="s">
        <v>42</v>
      </c>
      <c r="J5180" t="s">
        <v>43</v>
      </c>
      <c r="K5180" t="s">
        <v>47</v>
      </c>
      <c r="L5180" t="s">
        <v>48</v>
      </c>
      <c r="M5180" t="s">
        <v>166</v>
      </c>
      <c r="N5180">
        <v>1883</v>
      </c>
      <c r="O5180" s="14">
        <v>0.48056500335224001</v>
      </c>
      <c r="P5180" s="14">
        <v>0.33776879496872397</v>
      </c>
      <c r="Q5180" t="str">
        <f t="shared" si="160"/>
        <v>35-49</v>
      </c>
      <c r="R5180" t="str">
        <f t="shared" si="161"/>
        <v>[U8c0so51kT6]|35-49|Male|PLHIV_Residents.T|CY2024Q3</v>
      </c>
    </row>
    <row r="5181" spans="4:18" x14ac:dyDescent="0.2">
      <c r="D5181" t="s">
        <v>110</v>
      </c>
      <c r="E5181" t="s">
        <v>111</v>
      </c>
      <c r="F5181" t="s">
        <v>112</v>
      </c>
      <c r="G5181" t="s">
        <v>164</v>
      </c>
      <c r="H5181" t="s">
        <v>165</v>
      </c>
      <c r="I5181" t="s">
        <v>44</v>
      </c>
      <c r="J5181" t="s">
        <v>45</v>
      </c>
      <c r="K5181" t="s">
        <v>47</v>
      </c>
      <c r="L5181" t="s">
        <v>48</v>
      </c>
      <c r="M5181" t="s">
        <v>166</v>
      </c>
      <c r="N5181">
        <v>1227</v>
      </c>
      <c r="O5181" s="14">
        <v>0.36251196870580299</v>
      </c>
      <c r="P5181" s="14">
        <v>0.33776879496872397</v>
      </c>
      <c r="Q5181" t="str">
        <f t="shared" si="160"/>
        <v>50+</v>
      </c>
      <c r="R5181" t="str">
        <f t="shared" si="161"/>
        <v>[U8c0so51kT6]|50+|Male|PLHIV_Residents.T|CY2024Q3</v>
      </c>
    </row>
    <row r="5182" spans="4:18" x14ac:dyDescent="0.2">
      <c r="D5182" t="s">
        <v>113</v>
      </c>
      <c r="E5182" t="s">
        <v>114</v>
      </c>
      <c r="F5182" t="s">
        <v>115</v>
      </c>
      <c r="G5182" t="s">
        <v>164</v>
      </c>
      <c r="H5182" t="s">
        <v>165</v>
      </c>
      <c r="I5182" t="s">
        <v>27</v>
      </c>
      <c r="J5182" t="s">
        <v>28</v>
      </c>
      <c r="K5182" t="s">
        <v>29</v>
      </c>
      <c r="L5182" t="s">
        <v>30</v>
      </c>
      <c r="M5182" t="s">
        <v>166</v>
      </c>
      <c r="N5182">
        <v>867</v>
      </c>
      <c r="O5182" s="14">
        <v>1.0391849558800501E-2</v>
      </c>
      <c r="P5182" s="14">
        <v>0.29855980910360802</v>
      </c>
      <c r="Q5182" t="str">
        <f t="shared" si="160"/>
        <v>&lt;01</v>
      </c>
      <c r="R5182" t="str">
        <f t="shared" si="161"/>
        <v>[rpw540fmNUz]|&lt;01|Female|PLHIV_Residents.T|CY2024Q3</v>
      </c>
    </row>
    <row r="5183" spans="4:18" x14ac:dyDescent="0.2">
      <c r="D5183" t="s">
        <v>113</v>
      </c>
      <c r="E5183" t="s">
        <v>114</v>
      </c>
      <c r="F5183" t="s">
        <v>115</v>
      </c>
      <c r="G5183" t="s">
        <v>164</v>
      </c>
      <c r="H5183" t="s">
        <v>165</v>
      </c>
      <c r="I5183" t="s">
        <v>32</v>
      </c>
      <c r="J5183" t="s">
        <v>33</v>
      </c>
      <c r="K5183" t="s">
        <v>29</v>
      </c>
      <c r="L5183" t="s">
        <v>30</v>
      </c>
      <c r="M5183" t="s">
        <v>166</v>
      </c>
      <c r="N5183">
        <v>1613</v>
      </c>
      <c r="O5183" s="14">
        <v>0.46164823765866497</v>
      </c>
      <c r="P5183" s="14">
        <v>0.29855980910360802</v>
      </c>
      <c r="Q5183" t="str">
        <f t="shared" si="160"/>
        <v>01-09</v>
      </c>
      <c r="R5183" t="str">
        <f t="shared" si="161"/>
        <v>[rpw540fmNUz]|01-09|Female|PLHIV_Residents.T|CY2024Q3</v>
      </c>
    </row>
    <row r="5184" spans="4:18" x14ac:dyDescent="0.2">
      <c r="D5184" t="s">
        <v>113</v>
      </c>
      <c r="E5184" t="s">
        <v>114</v>
      </c>
      <c r="F5184" t="s">
        <v>115</v>
      </c>
      <c r="G5184" t="s">
        <v>164</v>
      </c>
      <c r="H5184" t="s">
        <v>165</v>
      </c>
      <c r="I5184" t="s">
        <v>35</v>
      </c>
      <c r="J5184" t="s">
        <v>36</v>
      </c>
      <c r="K5184" t="s">
        <v>29</v>
      </c>
      <c r="L5184" t="s">
        <v>30</v>
      </c>
      <c r="M5184" t="s">
        <v>166</v>
      </c>
      <c r="N5184">
        <v>1702</v>
      </c>
      <c r="O5184" s="14">
        <v>6.8005659617483602E-2</v>
      </c>
      <c r="P5184" s="14">
        <v>0.29855980910360802</v>
      </c>
      <c r="Q5184" t="str">
        <f t="shared" si="160"/>
        <v>10-14</v>
      </c>
      <c r="R5184" t="str">
        <f t="shared" si="161"/>
        <v>[rpw540fmNUz]|10-14|Female|PLHIV_Residents.T|CY2024Q3</v>
      </c>
    </row>
    <row r="5185" spans="4:18" x14ac:dyDescent="0.2">
      <c r="D5185" t="s">
        <v>113</v>
      </c>
      <c r="E5185" t="s">
        <v>114</v>
      </c>
      <c r="F5185" t="s">
        <v>115</v>
      </c>
      <c r="G5185" t="s">
        <v>164</v>
      </c>
      <c r="H5185" t="s">
        <v>165</v>
      </c>
      <c r="I5185" t="s">
        <v>37</v>
      </c>
      <c r="J5185" t="s">
        <v>38</v>
      </c>
      <c r="K5185" t="s">
        <v>29</v>
      </c>
      <c r="L5185" t="s">
        <v>30</v>
      </c>
      <c r="M5185" t="s">
        <v>166</v>
      </c>
      <c r="N5185">
        <v>923</v>
      </c>
      <c r="O5185" s="14">
        <v>0.32976107648573799</v>
      </c>
      <c r="P5185" s="14">
        <v>0.29855980910360802</v>
      </c>
      <c r="Q5185" t="str">
        <f t="shared" si="160"/>
        <v>15-24</v>
      </c>
      <c r="R5185" t="str">
        <f t="shared" si="161"/>
        <v>[rpw540fmNUz]|15-24|Female|PLHIV_Residents.T|CY2024Q3</v>
      </c>
    </row>
    <row r="5186" spans="4:18" x14ac:dyDescent="0.2">
      <c r="D5186" t="s">
        <v>113</v>
      </c>
      <c r="E5186" t="s">
        <v>114</v>
      </c>
      <c r="F5186" t="s">
        <v>115</v>
      </c>
      <c r="G5186" t="s">
        <v>164</v>
      </c>
      <c r="H5186" t="s">
        <v>165</v>
      </c>
      <c r="I5186" t="s">
        <v>40</v>
      </c>
      <c r="J5186" t="s">
        <v>41</v>
      </c>
      <c r="K5186" t="s">
        <v>29</v>
      </c>
      <c r="L5186" t="s">
        <v>30</v>
      </c>
      <c r="M5186" t="s">
        <v>166</v>
      </c>
      <c r="N5186">
        <v>1061</v>
      </c>
      <c r="O5186" s="14">
        <v>3.3010563114657998E-2</v>
      </c>
      <c r="P5186" s="14">
        <v>0.29855980910360802</v>
      </c>
      <c r="Q5186" t="str">
        <f t="shared" ref="Q5186:Q5249" si="162">SUBSTITUTE(SUBSTITUTE($I5186,CHAR(61),""),CHAR(34),"")</f>
        <v>25-34</v>
      </c>
      <c r="R5186" t="str">
        <f t="shared" ref="R5186:R5249" si="163">IF($D5186&lt;&gt;"","["&amp;$E5186&amp;"]"&amp;"|"&amp;$Q5186&amp;"|"&amp;$K5186&amp;"|"&amp;$G5186&amp;"|"&amp;IF($G5186="TX_CURR_SUBNAT.R","CY2022Q4",$M5186),"")</f>
        <v>[rpw540fmNUz]|25-34|Female|PLHIV_Residents.T|CY2024Q3</v>
      </c>
    </row>
    <row r="5187" spans="4:18" x14ac:dyDescent="0.2">
      <c r="D5187" t="s">
        <v>113</v>
      </c>
      <c r="E5187" t="s">
        <v>114</v>
      </c>
      <c r="F5187" t="s">
        <v>115</v>
      </c>
      <c r="G5187" t="s">
        <v>164</v>
      </c>
      <c r="H5187" t="s">
        <v>165</v>
      </c>
      <c r="I5187" t="s">
        <v>42</v>
      </c>
      <c r="J5187" t="s">
        <v>43</v>
      </c>
      <c r="K5187" t="s">
        <v>29</v>
      </c>
      <c r="L5187" t="s">
        <v>30</v>
      </c>
      <c r="M5187" t="s">
        <v>166</v>
      </c>
      <c r="N5187">
        <v>1368</v>
      </c>
      <c r="O5187" s="14">
        <v>0.13041964662261299</v>
      </c>
      <c r="P5187" s="14">
        <v>0.29855980910360802</v>
      </c>
      <c r="Q5187" t="str">
        <f t="shared" si="162"/>
        <v>35-49</v>
      </c>
      <c r="R5187" t="str">
        <f t="shared" si="163"/>
        <v>[rpw540fmNUz]|35-49|Female|PLHIV_Residents.T|CY2024Q3</v>
      </c>
    </row>
    <row r="5188" spans="4:18" x14ac:dyDescent="0.2">
      <c r="D5188" t="s">
        <v>113</v>
      </c>
      <c r="E5188" t="s">
        <v>114</v>
      </c>
      <c r="F5188" t="s">
        <v>115</v>
      </c>
      <c r="G5188" t="s">
        <v>164</v>
      </c>
      <c r="H5188" t="s">
        <v>165</v>
      </c>
      <c r="I5188" t="s">
        <v>44</v>
      </c>
      <c r="J5188" t="s">
        <v>45</v>
      </c>
      <c r="K5188" t="s">
        <v>29</v>
      </c>
      <c r="L5188" t="s">
        <v>30</v>
      </c>
      <c r="M5188" t="s">
        <v>166</v>
      </c>
      <c r="N5188">
        <v>1889</v>
      </c>
      <c r="O5188" s="14">
        <v>0.65776770212687596</v>
      </c>
      <c r="P5188" s="14">
        <v>0.29855980910360802</v>
      </c>
      <c r="Q5188" t="str">
        <f t="shared" si="162"/>
        <v>50+</v>
      </c>
      <c r="R5188" t="str">
        <f t="shared" si="163"/>
        <v>[rpw540fmNUz]|50+|Female|PLHIV_Residents.T|CY2024Q3</v>
      </c>
    </row>
    <row r="5189" spans="4:18" x14ac:dyDescent="0.2">
      <c r="D5189" t="s">
        <v>113</v>
      </c>
      <c r="E5189" t="s">
        <v>114</v>
      </c>
      <c r="F5189" t="s">
        <v>115</v>
      </c>
      <c r="G5189" t="s">
        <v>164</v>
      </c>
      <c r="H5189" t="s">
        <v>165</v>
      </c>
      <c r="I5189" t="s">
        <v>27</v>
      </c>
      <c r="J5189" t="s">
        <v>28</v>
      </c>
      <c r="K5189" t="s">
        <v>47</v>
      </c>
      <c r="L5189" t="s">
        <v>48</v>
      </c>
      <c r="M5189" t="s">
        <v>166</v>
      </c>
      <c r="N5189">
        <v>1604</v>
      </c>
      <c r="O5189" s="14">
        <v>0.60039434488862797</v>
      </c>
      <c r="P5189" s="14">
        <v>0.29855980910360802</v>
      </c>
      <c r="Q5189" t="str">
        <f t="shared" si="162"/>
        <v>&lt;01</v>
      </c>
      <c r="R5189" t="str">
        <f t="shared" si="163"/>
        <v>[rpw540fmNUz]|&lt;01|Male|PLHIV_Residents.T|CY2024Q3</v>
      </c>
    </row>
    <row r="5190" spans="4:18" x14ac:dyDescent="0.2">
      <c r="D5190" t="s">
        <v>113</v>
      </c>
      <c r="E5190" t="s">
        <v>114</v>
      </c>
      <c r="F5190" t="s">
        <v>115</v>
      </c>
      <c r="G5190" t="s">
        <v>164</v>
      </c>
      <c r="H5190" t="s">
        <v>165</v>
      </c>
      <c r="I5190" t="s">
        <v>32</v>
      </c>
      <c r="J5190" t="s">
        <v>33</v>
      </c>
      <c r="K5190" t="s">
        <v>47</v>
      </c>
      <c r="L5190" t="s">
        <v>48</v>
      </c>
      <c r="M5190" t="s">
        <v>166</v>
      </c>
      <c r="N5190">
        <v>1854</v>
      </c>
      <c r="O5190" s="14">
        <v>3.2959283562377102E-2</v>
      </c>
      <c r="P5190" s="14">
        <v>0.29855980910360802</v>
      </c>
      <c r="Q5190" t="str">
        <f t="shared" si="162"/>
        <v>01-09</v>
      </c>
      <c r="R5190" t="str">
        <f t="shared" si="163"/>
        <v>[rpw540fmNUz]|01-09|Male|PLHIV_Residents.T|CY2024Q3</v>
      </c>
    </row>
    <row r="5191" spans="4:18" x14ac:dyDescent="0.2">
      <c r="D5191" t="s">
        <v>113</v>
      </c>
      <c r="E5191" t="s">
        <v>114</v>
      </c>
      <c r="F5191" t="s">
        <v>115</v>
      </c>
      <c r="G5191" t="s">
        <v>164</v>
      </c>
      <c r="H5191" t="s">
        <v>165</v>
      </c>
      <c r="I5191" t="s">
        <v>35</v>
      </c>
      <c r="J5191" t="s">
        <v>36</v>
      </c>
      <c r="K5191" t="s">
        <v>47</v>
      </c>
      <c r="L5191" t="s">
        <v>48</v>
      </c>
      <c r="M5191" t="s">
        <v>166</v>
      </c>
      <c r="N5191">
        <v>624</v>
      </c>
      <c r="O5191" s="14">
        <v>5.5225386982783703E-2</v>
      </c>
      <c r="P5191" s="14">
        <v>0.29855980910360802</v>
      </c>
      <c r="Q5191" t="str">
        <f t="shared" si="162"/>
        <v>10-14</v>
      </c>
      <c r="R5191" t="str">
        <f t="shared" si="163"/>
        <v>[rpw540fmNUz]|10-14|Male|PLHIV_Residents.T|CY2024Q3</v>
      </c>
    </row>
    <row r="5192" spans="4:18" x14ac:dyDescent="0.2">
      <c r="D5192" t="s">
        <v>113</v>
      </c>
      <c r="E5192" t="s">
        <v>114</v>
      </c>
      <c r="F5192" t="s">
        <v>115</v>
      </c>
      <c r="G5192" t="s">
        <v>164</v>
      </c>
      <c r="H5192" t="s">
        <v>165</v>
      </c>
      <c r="I5192" t="s">
        <v>37</v>
      </c>
      <c r="J5192" t="s">
        <v>38</v>
      </c>
      <c r="K5192" t="s">
        <v>47</v>
      </c>
      <c r="L5192" t="s">
        <v>48</v>
      </c>
      <c r="M5192" t="s">
        <v>166</v>
      </c>
      <c r="N5192">
        <v>1986</v>
      </c>
      <c r="O5192" s="14">
        <v>0.68477530521340702</v>
      </c>
      <c r="P5192" s="14">
        <v>0.29855980910360802</v>
      </c>
      <c r="Q5192" t="str">
        <f t="shared" si="162"/>
        <v>15-24</v>
      </c>
      <c r="R5192" t="str">
        <f t="shared" si="163"/>
        <v>[rpw540fmNUz]|15-24|Male|PLHIV_Residents.T|CY2024Q3</v>
      </c>
    </row>
    <row r="5193" spans="4:18" x14ac:dyDescent="0.2">
      <c r="D5193" t="s">
        <v>113</v>
      </c>
      <c r="E5193" t="s">
        <v>114</v>
      </c>
      <c r="F5193" t="s">
        <v>115</v>
      </c>
      <c r="G5193" t="s">
        <v>164</v>
      </c>
      <c r="H5193" t="s">
        <v>165</v>
      </c>
      <c r="I5193" t="s">
        <v>40</v>
      </c>
      <c r="J5193" t="s">
        <v>41</v>
      </c>
      <c r="K5193" t="s">
        <v>47</v>
      </c>
      <c r="L5193" t="s">
        <v>48</v>
      </c>
      <c r="M5193" t="s">
        <v>166</v>
      </c>
      <c r="N5193">
        <v>1836</v>
      </c>
      <c r="O5193" s="14">
        <v>0.24998643551953101</v>
      </c>
      <c r="P5193" s="14">
        <v>0.29855980910360802</v>
      </c>
      <c r="Q5193" t="str">
        <f t="shared" si="162"/>
        <v>25-34</v>
      </c>
      <c r="R5193" t="str">
        <f t="shared" si="163"/>
        <v>[rpw540fmNUz]|25-34|Male|PLHIV_Residents.T|CY2024Q3</v>
      </c>
    </row>
    <row r="5194" spans="4:18" x14ac:dyDescent="0.2">
      <c r="D5194" t="s">
        <v>113</v>
      </c>
      <c r="E5194" t="s">
        <v>114</v>
      </c>
      <c r="F5194" t="s">
        <v>115</v>
      </c>
      <c r="G5194" t="s">
        <v>164</v>
      </c>
      <c r="H5194" t="s">
        <v>165</v>
      </c>
      <c r="I5194" t="s">
        <v>42</v>
      </c>
      <c r="J5194" t="s">
        <v>43</v>
      </c>
      <c r="K5194" t="s">
        <v>47</v>
      </c>
      <c r="L5194" t="s">
        <v>48</v>
      </c>
      <c r="M5194" t="s">
        <v>166</v>
      </c>
      <c r="N5194">
        <v>1471</v>
      </c>
      <c r="O5194" s="14">
        <v>0.70745095121674195</v>
      </c>
      <c r="P5194" s="14">
        <v>0.29855980910360802</v>
      </c>
      <c r="Q5194" t="str">
        <f t="shared" si="162"/>
        <v>35-49</v>
      </c>
      <c r="R5194" t="str">
        <f t="shared" si="163"/>
        <v>[rpw540fmNUz]|35-49|Male|PLHIV_Residents.T|CY2024Q3</v>
      </c>
    </row>
    <row r="5195" spans="4:18" x14ac:dyDescent="0.2">
      <c r="D5195" t="s">
        <v>113</v>
      </c>
      <c r="E5195" t="s">
        <v>114</v>
      </c>
      <c r="F5195" t="s">
        <v>115</v>
      </c>
      <c r="G5195" t="s">
        <v>164</v>
      </c>
      <c r="H5195" t="s">
        <v>165</v>
      </c>
      <c r="I5195" t="s">
        <v>44</v>
      </c>
      <c r="J5195" t="s">
        <v>45</v>
      </c>
      <c r="K5195" t="s">
        <v>47</v>
      </c>
      <c r="L5195" t="s">
        <v>48</v>
      </c>
      <c r="M5195" t="s">
        <v>166</v>
      </c>
      <c r="N5195">
        <v>1491</v>
      </c>
      <c r="O5195" s="14">
        <v>4.2013824917376E-2</v>
      </c>
      <c r="P5195" s="14">
        <v>0.29855980910360802</v>
      </c>
      <c r="Q5195" t="str">
        <f t="shared" si="162"/>
        <v>50+</v>
      </c>
      <c r="R5195" t="str">
        <f t="shared" si="163"/>
        <v>[rpw540fmNUz]|50+|Male|PLHIV_Residents.T|CY2024Q3</v>
      </c>
    </row>
    <row r="5196" spans="4:18" x14ac:dyDescent="0.2">
      <c r="D5196" t="s">
        <v>116</v>
      </c>
      <c r="E5196" t="s">
        <v>117</v>
      </c>
      <c r="F5196" t="s">
        <v>118</v>
      </c>
      <c r="G5196" t="s">
        <v>164</v>
      </c>
      <c r="H5196" t="s">
        <v>165</v>
      </c>
      <c r="I5196" t="s">
        <v>27</v>
      </c>
      <c r="J5196" t="s">
        <v>28</v>
      </c>
      <c r="K5196" t="s">
        <v>29</v>
      </c>
      <c r="L5196" t="s">
        <v>30</v>
      </c>
      <c r="M5196" t="s">
        <v>166</v>
      </c>
      <c r="N5196">
        <v>744</v>
      </c>
      <c r="O5196" s="14">
        <v>0.59113708231598106</v>
      </c>
      <c r="P5196" s="14">
        <v>0.206259709550068</v>
      </c>
      <c r="Q5196" t="str">
        <f t="shared" si="162"/>
        <v>&lt;01</v>
      </c>
      <c r="R5196" t="str">
        <f t="shared" si="163"/>
        <v>[lPTyjLi4w3d]|&lt;01|Female|PLHIV_Residents.T|CY2024Q3</v>
      </c>
    </row>
    <row r="5197" spans="4:18" x14ac:dyDescent="0.2">
      <c r="D5197" t="s">
        <v>116</v>
      </c>
      <c r="E5197" t="s">
        <v>117</v>
      </c>
      <c r="F5197" t="s">
        <v>118</v>
      </c>
      <c r="G5197" t="s">
        <v>164</v>
      </c>
      <c r="H5197" t="s">
        <v>165</v>
      </c>
      <c r="I5197" t="s">
        <v>32</v>
      </c>
      <c r="J5197" t="s">
        <v>33</v>
      </c>
      <c r="K5197" t="s">
        <v>29</v>
      </c>
      <c r="L5197" t="s">
        <v>30</v>
      </c>
      <c r="M5197" t="s">
        <v>166</v>
      </c>
      <c r="N5197">
        <v>1803</v>
      </c>
      <c r="O5197" s="14">
        <v>0.57982507790438798</v>
      </c>
      <c r="P5197" s="14">
        <v>0.206259709550068</v>
      </c>
      <c r="Q5197" t="str">
        <f t="shared" si="162"/>
        <v>01-09</v>
      </c>
      <c r="R5197" t="str">
        <f t="shared" si="163"/>
        <v>[lPTyjLi4w3d]|01-09|Female|PLHIV_Residents.T|CY2024Q3</v>
      </c>
    </row>
    <row r="5198" spans="4:18" x14ac:dyDescent="0.2">
      <c r="D5198" t="s">
        <v>116</v>
      </c>
      <c r="E5198" t="s">
        <v>117</v>
      </c>
      <c r="F5198" t="s">
        <v>118</v>
      </c>
      <c r="G5198" t="s">
        <v>164</v>
      </c>
      <c r="H5198" t="s">
        <v>165</v>
      </c>
      <c r="I5198" t="s">
        <v>35</v>
      </c>
      <c r="J5198" t="s">
        <v>36</v>
      </c>
      <c r="K5198" t="s">
        <v>29</v>
      </c>
      <c r="L5198" t="s">
        <v>30</v>
      </c>
      <c r="M5198" t="s">
        <v>166</v>
      </c>
      <c r="N5198">
        <v>848</v>
      </c>
      <c r="O5198" s="14">
        <v>4.7801248729229001E-2</v>
      </c>
      <c r="P5198" s="14">
        <v>0.206259709550068</v>
      </c>
      <c r="Q5198" t="str">
        <f t="shared" si="162"/>
        <v>10-14</v>
      </c>
      <c r="R5198" t="str">
        <f t="shared" si="163"/>
        <v>[lPTyjLi4w3d]|10-14|Female|PLHIV_Residents.T|CY2024Q3</v>
      </c>
    </row>
    <row r="5199" spans="4:18" x14ac:dyDescent="0.2">
      <c r="D5199" t="s">
        <v>116</v>
      </c>
      <c r="E5199" t="s">
        <v>117</v>
      </c>
      <c r="F5199" t="s">
        <v>118</v>
      </c>
      <c r="G5199" t="s">
        <v>164</v>
      </c>
      <c r="H5199" t="s">
        <v>165</v>
      </c>
      <c r="I5199" t="s">
        <v>37</v>
      </c>
      <c r="J5199" t="s">
        <v>38</v>
      </c>
      <c r="K5199" t="s">
        <v>29</v>
      </c>
      <c r="L5199" t="s">
        <v>30</v>
      </c>
      <c r="M5199" t="s">
        <v>166</v>
      </c>
      <c r="N5199">
        <v>1639</v>
      </c>
      <c r="O5199" s="14">
        <v>0.92735743685625505</v>
      </c>
      <c r="P5199" s="14">
        <v>0.206259709550068</v>
      </c>
      <c r="Q5199" t="str">
        <f t="shared" si="162"/>
        <v>15-24</v>
      </c>
      <c r="R5199" t="str">
        <f t="shared" si="163"/>
        <v>[lPTyjLi4w3d]|15-24|Female|PLHIV_Residents.T|CY2024Q3</v>
      </c>
    </row>
    <row r="5200" spans="4:18" x14ac:dyDescent="0.2">
      <c r="D5200" t="s">
        <v>116</v>
      </c>
      <c r="E5200" t="s">
        <v>117</v>
      </c>
      <c r="F5200" t="s">
        <v>118</v>
      </c>
      <c r="G5200" t="s">
        <v>164</v>
      </c>
      <c r="H5200" t="s">
        <v>165</v>
      </c>
      <c r="I5200" t="s">
        <v>40</v>
      </c>
      <c r="J5200" t="s">
        <v>41</v>
      </c>
      <c r="K5200" t="s">
        <v>29</v>
      </c>
      <c r="L5200" t="s">
        <v>30</v>
      </c>
      <c r="M5200" t="s">
        <v>166</v>
      </c>
      <c r="N5200">
        <v>768</v>
      </c>
      <c r="O5200" s="14">
        <v>0.356487705139443</v>
      </c>
      <c r="P5200" s="14">
        <v>0.206259709550068</v>
      </c>
      <c r="Q5200" t="str">
        <f t="shared" si="162"/>
        <v>25-34</v>
      </c>
      <c r="R5200" t="str">
        <f t="shared" si="163"/>
        <v>[lPTyjLi4w3d]|25-34|Female|PLHIV_Residents.T|CY2024Q3</v>
      </c>
    </row>
    <row r="5201" spans="4:18" x14ac:dyDescent="0.2">
      <c r="D5201" t="s">
        <v>116</v>
      </c>
      <c r="E5201" t="s">
        <v>117</v>
      </c>
      <c r="F5201" t="s">
        <v>118</v>
      </c>
      <c r="G5201" t="s">
        <v>164</v>
      </c>
      <c r="H5201" t="s">
        <v>165</v>
      </c>
      <c r="I5201" t="s">
        <v>42</v>
      </c>
      <c r="J5201" t="s">
        <v>43</v>
      </c>
      <c r="K5201" t="s">
        <v>29</v>
      </c>
      <c r="L5201" t="s">
        <v>30</v>
      </c>
      <c r="M5201" t="s">
        <v>166</v>
      </c>
      <c r="N5201">
        <v>1957</v>
      </c>
      <c r="O5201" s="14">
        <v>4.24270236399025E-2</v>
      </c>
      <c r="P5201" s="14">
        <v>0.206259709550068</v>
      </c>
      <c r="Q5201" t="str">
        <f t="shared" si="162"/>
        <v>35-49</v>
      </c>
      <c r="R5201" t="str">
        <f t="shared" si="163"/>
        <v>[lPTyjLi4w3d]|35-49|Female|PLHIV_Residents.T|CY2024Q3</v>
      </c>
    </row>
    <row r="5202" spans="4:18" x14ac:dyDescent="0.2">
      <c r="D5202" t="s">
        <v>116</v>
      </c>
      <c r="E5202" t="s">
        <v>117</v>
      </c>
      <c r="F5202" t="s">
        <v>118</v>
      </c>
      <c r="G5202" t="s">
        <v>164</v>
      </c>
      <c r="H5202" t="s">
        <v>165</v>
      </c>
      <c r="I5202" t="s">
        <v>44</v>
      </c>
      <c r="J5202" t="s">
        <v>45</v>
      </c>
      <c r="K5202" t="s">
        <v>29</v>
      </c>
      <c r="L5202" t="s">
        <v>30</v>
      </c>
      <c r="M5202" t="s">
        <v>166</v>
      </c>
      <c r="N5202">
        <v>1545</v>
      </c>
      <c r="O5202" s="14">
        <v>0.66471657715737797</v>
      </c>
      <c r="P5202" s="14">
        <v>0.206259709550068</v>
      </c>
      <c r="Q5202" t="str">
        <f t="shared" si="162"/>
        <v>50+</v>
      </c>
      <c r="R5202" t="str">
        <f t="shared" si="163"/>
        <v>[lPTyjLi4w3d]|50+|Female|PLHIV_Residents.T|CY2024Q3</v>
      </c>
    </row>
    <row r="5203" spans="4:18" x14ac:dyDescent="0.2">
      <c r="D5203" t="s">
        <v>116</v>
      </c>
      <c r="E5203" t="s">
        <v>117</v>
      </c>
      <c r="F5203" t="s">
        <v>118</v>
      </c>
      <c r="G5203" t="s">
        <v>164</v>
      </c>
      <c r="H5203" t="s">
        <v>165</v>
      </c>
      <c r="I5203" t="s">
        <v>27</v>
      </c>
      <c r="J5203" t="s">
        <v>28</v>
      </c>
      <c r="K5203" t="s">
        <v>47</v>
      </c>
      <c r="L5203" t="s">
        <v>48</v>
      </c>
      <c r="M5203" t="s">
        <v>166</v>
      </c>
      <c r="N5203">
        <v>1562</v>
      </c>
      <c r="O5203" s="14">
        <v>0.87119122990407005</v>
      </c>
      <c r="P5203" s="14">
        <v>0.206259709550068</v>
      </c>
      <c r="Q5203" t="str">
        <f t="shared" si="162"/>
        <v>&lt;01</v>
      </c>
      <c r="R5203" t="str">
        <f t="shared" si="163"/>
        <v>[lPTyjLi4w3d]|&lt;01|Male|PLHIV_Residents.T|CY2024Q3</v>
      </c>
    </row>
    <row r="5204" spans="4:18" x14ac:dyDescent="0.2">
      <c r="D5204" t="s">
        <v>116</v>
      </c>
      <c r="E5204" t="s">
        <v>117</v>
      </c>
      <c r="F5204" t="s">
        <v>118</v>
      </c>
      <c r="G5204" t="s">
        <v>164</v>
      </c>
      <c r="H5204" t="s">
        <v>165</v>
      </c>
      <c r="I5204" t="s">
        <v>32</v>
      </c>
      <c r="J5204" t="s">
        <v>33</v>
      </c>
      <c r="K5204" t="s">
        <v>47</v>
      </c>
      <c r="L5204" t="s">
        <v>48</v>
      </c>
      <c r="M5204" t="s">
        <v>166</v>
      </c>
      <c r="N5204">
        <v>1163</v>
      </c>
      <c r="O5204" s="14">
        <v>0.87181979953311395</v>
      </c>
      <c r="P5204" s="14">
        <v>0.206259709550068</v>
      </c>
      <c r="Q5204" t="str">
        <f t="shared" si="162"/>
        <v>01-09</v>
      </c>
      <c r="R5204" t="str">
        <f t="shared" si="163"/>
        <v>[lPTyjLi4w3d]|01-09|Male|PLHIV_Residents.T|CY2024Q3</v>
      </c>
    </row>
    <row r="5205" spans="4:18" x14ac:dyDescent="0.2">
      <c r="D5205" t="s">
        <v>116</v>
      </c>
      <c r="E5205" t="s">
        <v>117</v>
      </c>
      <c r="F5205" t="s">
        <v>118</v>
      </c>
      <c r="G5205" t="s">
        <v>164</v>
      </c>
      <c r="H5205" t="s">
        <v>165</v>
      </c>
      <c r="I5205" t="s">
        <v>35</v>
      </c>
      <c r="J5205" t="s">
        <v>36</v>
      </c>
      <c r="K5205" t="s">
        <v>47</v>
      </c>
      <c r="L5205" t="s">
        <v>48</v>
      </c>
      <c r="M5205" t="s">
        <v>166</v>
      </c>
      <c r="N5205">
        <v>1422</v>
      </c>
      <c r="O5205" s="14">
        <v>5.09959605988115E-2</v>
      </c>
      <c r="P5205" s="14">
        <v>0.206259709550068</v>
      </c>
      <c r="Q5205" t="str">
        <f t="shared" si="162"/>
        <v>10-14</v>
      </c>
      <c r="R5205" t="str">
        <f t="shared" si="163"/>
        <v>[lPTyjLi4w3d]|10-14|Male|PLHIV_Residents.T|CY2024Q3</v>
      </c>
    </row>
    <row r="5206" spans="4:18" x14ac:dyDescent="0.2">
      <c r="D5206" t="s">
        <v>116</v>
      </c>
      <c r="E5206" t="s">
        <v>117</v>
      </c>
      <c r="F5206" t="s">
        <v>118</v>
      </c>
      <c r="G5206" t="s">
        <v>164</v>
      </c>
      <c r="H5206" t="s">
        <v>165</v>
      </c>
      <c r="I5206" t="s">
        <v>37</v>
      </c>
      <c r="J5206" t="s">
        <v>38</v>
      </c>
      <c r="K5206" t="s">
        <v>47</v>
      </c>
      <c r="L5206" t="s">
        <v>48</v>
      </c>
      <c r="M5206" t="s">
        <v>166</v>
      </c>
      <c r="N5206">
        <v>1779</v>
      </c>
      <c r="O5206" s="14">
        <v>0.69850068469531801</v>
      </c>
      <c r="P5206" s="14">
        <v>0.206259709550068</v>
      </c>
      <c r="Q5206" t="str">
        <f t="shared" si="162"/>
        <v>15-24</v>
      </c>
      <c r="R5206" t="str">
        <f t="shared" si="163"/>
        <v>[lPTyjLi4w3d]|15-24|Male|PLHIV_Residents.T|CY2024Q3</v>
      </c>
    </row>
    <row r="5207" spans="4:18" x14ac:dyDescent="0.2">
      <c r="D5207" t="s">
        <v>116</v>
      </c>
      <c r="E5207" t="s">
        <v>117</v>
      </c>
      <c r="F5207" t="s">
        <v>118</v>
      </c>
      <c r="G5207" t="s">
        <v>164</v>
      </c>
      <c r="H5207" t="s">
        <v>165</v>
      </c>
      <c r="I5207" t="s">
        <v>40</v>
      </c>
      <c r="J5207" t="s">
        <v>41</v>
      </c>
      <c r="K5207" t="s">
        <v>47</v>
      </c>
      <c r="L5207" t="s">
        <v>48</v>
      </c>
      <c r="M5207" t="s">
        <v>166</v>
      </c>
      <c r="N5207">
        <v>1549</v>
      </c>
      <c r="O5207" s="14">
        <v>0.210970771731809</v>
      </c>
      <c r="P5207" s="14">
        <v>0.206259709550068</v>
      </c>
      <c r="Q5207" t="str">
        <f t="shared" si="162"/>
        <v>25-34</v>
      </c>
      <c r="R5207" t="str">
        <f t="shared" si="163"/>
        <v>[lPTyjLi4w3d]|25-34|Male|PLHIV_Residents.T|CY2024Q3</v>
      </c>
    </row>
    <row r="5208" spans="4:18" x14ac:dyDescent="0.2">
      <c r="D5208" t="s">
        <v>116</v>
      </c>
      <c r="E5208" t="s">
        <v>117</v>
      </c>
      <c r="F5208" t="s">
        <v>118</v>
      </c>
      <c r="G5208" t="s">
        <v>164</v>
      </c>
      <c r="H5208" t="s">
        <v>165</v>
      </c>
      <c r="I5208" t="s">
        <v>42</v>
      </c>
      <c r="J5208" t="s">
        <v>43</v>
      </c>
      <c r="K5208" t="s">
        <v>47</v>
      </c>
      <c r="L5208" t="s">
        <v>48</v>
      </c>
      <c r="M5208" t="s">
        <v>166</v>
      </c>
      <c r="N5208">
        <v>1610</v>
      </c>
      <c r="O5208" s="14">
        <v>0.40459444909356501</v>
      </c>
      <c r="P5208" s="14">
        <v>0.206259709550068</v>
      </c>
      <c r="Q5208" t="str">
        <f t="shared" si="162"/>
        <v>35-49</v>
      </c>
      <c r="R5208" t="str">
        <f t="shared" si="163"/>
        <v>[lPTyjLi4w3d]|35-49|Male|PLHIV_Residents.T|CY2024Q3</v>
      </c>
    </row>
    <row r="5209" spans="4:18" x14ac:dyDescent="0.2">
      <c r="D5209" t="s">
        <v>116</v>
      </c>
      <c r="E5209" t="s">
        <v>117</v>
      </c>
      <c r="F5209" t="s">
        <v>118</v>
      </c>
      <c r="G5209" t="s">
        <v>164</v>
      </c>
      <c r="H5209" t="s">
        <v>165</v>
      </c>
      <c r="I5209" t="s">
        <v>44</v>
      </c>
      <c r="J5209" t="s">
        <v>45</v>
      </c>
      <c r="K5209" t="s">
        <v>47</v>
      </c>
      <c r="L5209" t="s">
        <v>48</v>
      </c>
      <c r="M5209" t="s">
        <v>166</v>
      </c>
      <c r="N5209">
        <v>1484</v>
      </c>
      <c r="O5209" s="14">
        <v>0.13656675629317799</v>
      </c>
      <c r="P5209" s="14">
        <v>0.206259709550068</v>
      </c>
      <c r="Q5209" t="str">
        <f t="shared" si="162"/>
        <v>50+</v>
      </c>
      <c r="R5209" t="str">
        <f t="shared" si="163"/>
        <v>[lPTyjLi4w3d]|50+|Male|PLHIV_Residents.T|CY2024Q3</v>
      </c>
    </row>
    <row r="5210" spans="4:18" x14ac:dyDescent="0.2">
      <c r="D5210" t="s">
        <v>119</v>
      </c>
      <c r="E5210" t="s">
        <v>120</v>
      </c>
      <c r="F5210" t="s">
        <v>121</v>
      </c>
      <c r="G5210" t="s">
        <v>164</v>
      </c>
      <c r="H5210" t="s">
        <v>165</v>
      </c>
      <c r="I5210" t="s">
        <v>27</v>
      </c>
      <c r="J5210" t="s">
        <v>28</v>
      </c>
      <c r="K5210" t="s">
        <v>29</v>
      </c>
      <c r="L5210" t="s">
        <v>30</v>
      </c>
      <c r="M5210" t="s">
        <v>166</v>
      </c>
      <c r="N5210">
        <v>1605</v>
      </c>
      <c r="O5210" s="14">
        <v>0.68659097864292595</v>
      </c>
      <c r="P5210" s="14">
        <v>0.43010397930629601</v>
      </c>
      <c r="Q5210" t="str">
        <f t="shared" si="162"/>
        <v>&lt;01</v>
      </c>
      <c r="R5210" t="str">
        <f t="shared" si="163"/>
        <v>[vA4NcHxfMBq]|&lt;01|Female|PLHIV_Residents.T|CY2024Q3</v>
      </c>
    </row>
    <row r="5211" spans="4:18" x14ac:dyDescent="0.2">
      <c r="D5211" t="s">
        <v>119</v>
      </c>
      <c r="E5211" t="s">
        <v>120</v>
      </c>
      <c r="F5211" t="s">
        <v>121</v>
      </c>
      <c r="G5211" t="s">
        <v>164</v>
      </c>
      <c r="H5211" t="s">
        <v>165</v>
      </c>
      <c r="I5211" t="s">
        <v>32</v>
      </c>
      <c r="J5211" t="s">
        <v>33</v>
      </c>
      <c r="K5211" t="s">
        <v>29</v>
      </c>
      <c r="L5211" t="s">
        <v>30</v>
      </c>
      <c r="M5211" t="s">
        <v>166</v>
      </c>
      <c r="N5211">
        <v>1174</v>
      </c>
      <c r="O5211" s="14">
        <v>0.25759627739898899</v>
      </c>
      <c r="P5211" s="14">
        <v>0.43010397930629601</v>
      </c>
      <c r="Q5211" t="str">
        <f t="shared" si="162"/>
        <v>01-09</v>
      </c>
      <c r="R5211" t="str">
        <f t="shared" si="163"/>
        <v>[vA4NcHxfMBq]|01-09|Female|PLHIV_Residents.T|CY2024Q3</v>
      </c>
    </row>
    <row r="5212" spans="4:18" x14ac:dyDescent="0.2">
      <c r="D5212" t="s">
        <v>119</v>
      </c>
      <c r="E5212" t="s">
        <v>120</v>
      </c>
      <c r="F5212" t="s">
        <v>121</v>
      </c>
      <c r="G5212" t="s">
        <v>164</v>
      </c>
      <c r="H5212" t="s">
        <v>165</v>
      </c>
      <c r="I5212" t="s">
        <v>35</v>
      </c>
      <c r="J5212" t="s">
        <v>36</v>
      </c>
      <c r="K5212" t="s">
        <v>29</v>
      </c>
      <c r="L5212" t="s">
        <v>30</v>
      </c>
      <c r="M5212" t="s">
        <v>166</v>
      </c>
      <c r="N5212">
        <v>1885</v>
      </c>
      <c r="O5212" s="14">
        <v>0.67101848591119095</v>
      </c>
      <c r="P5212" s="14">
        <v>0.43010397930629601</v>
      </c>
      <c r="Q5212" t="str">
        <f t="shared" si="162"/>
        <v>10-14</v>
      </c>
      <c r="R5212" t="str">
        <f t="shared" si="163"/>
        <v>[vA4NcHxfMBq]|10-14|Female|PLHIV_Residents.T|CY2024Q3</v>
      </c>
    </row>
    <row r="5213" spans="4:18" x14ac:dyDescent="0.2">
      <c r="D5213" t="s">
        <v>119</v>
      </c>
      <c r="E5213" t="s">
        <v>120</v>
      </c>
      <c r="F5213" t="s">
        <v>121</v>
      </c>
      <c r="G5213" t="s">
        <v>164</v>
      </c>
      <c r="H5213" t="s">
        <v>165</v>
      </c>
      <c r="I5213" t="s">
        <v>37</v>
      </c>
      <c r="J5213" t="s">
        <v>38</v>
      </c>
      <c r="K5213" t="s">
        <v>29</v>
      </c>
      <c r="L5213" t="s">
        <v>30</v>
      </c>
      <c r="M5213" t="s">
        <v>166</v>
      </c>
      <c r="N5213">
        <v>976</v>
      </c>
      <c r="O5213" s="14">
        <v>0.99471303541213296</v>
      </c>
      <c r="P5213" s="14">
        <v>0.43010397930629601</v>
      </c>
      <c r="Q5213" t="str">
        <f t="shared" si="162"/>
        <v>15-24</v>
      </c>
      <c r="R5213" t="str">
        <f t="shared" si="163"/>
        <v>[vA4NcHxfMBq]|15-24|Female|PLHIV_Residents.T|CY2024Q3</v>
      </c>
    </row>
    <row r="5214" spans="4:18" x14ac:dyDescent="0.2">
      <c r="D5214" t="s">
        <v>119</v>
      </c>
      <c r="E5214" t="s">
        <v>120</v>
      </c>
      <c r="F5214" t="s">
        <v>121</v>
      </c>
      <c r="G5214" t="s">
        <v>164</v>
      </c>
      <c r="H5214" t="s">
        <v>165</v>
      </c>
      <c r="I5214" t="s">
        <v>40</v>
      </c>
      <c r="J5214" t="s">
        <v>41</v>
      </c>
      <c r="K5214" t="s">
        <v>29</v>
      </c>
      <c r="L5214" t="s">
        <v>30</v>
      </c>
      <c r="M5214" t="s">
        <v>166</v>
      </c>
      <c r="N5214">
        <v>1969</v>
      </c>
      <c r="O5214" s="14">
        <v>5.8268481167033301E-2</v>
      </c>
      <c r="P5214" s="14">
        <v>0.43010397930629601</v>
      </c>
      <c r="Q5214" t="str">
        <f t="shared" si="162"/>
        <v>25-34</v>
      </c>
      <c r="R5214" t="str">
        <f t="shared" si="163"/>
        <v>[vA4NcHxfMBq]|25-34|Female|PLHIV_Residents.T|CY2024Q3</v>
      </c>
    </row>
    <row r="5215" spans="4:18" x14ac:dyDescent="0.2">
      <c r="D5215" t="s">
        <v>119</v>
      </c>
      <c r="E5215" t="s">
        <v>120</v>
      </c>
      <c r="F5215" t="s">
        <v>121</v>
      </c>
      <c r="G5215" t="s">
        <v>164</v>
      </c>
      <c r="H5215" t="s">
        <v>165</v>
      </c>
      <c r="I5215" t="s">
        <v>42</v>
      </c>
      <c r="J5215" t="s">
        <v>43</v>
      </c>
      <c r="K5215" t="s">
        <v>29</v>
      </c>
      <c r="L5215" t="s">
        <v>30</v>
      </c>
      <c r="M5215" t="s">
        <v>166</v>
      </c>
      <c r="N5215">
        <v>949</v>
      </c>
      <c r="O5215" s="14">
        <v>0.41289624036289801</v>
      </c>
      <c r="P5215" s="14">
        <v>0.43010397930629601</v>
      </c>
      <c r="Q5215" t="str">
        <f t="shared" si="162"/>
        <v>35-49</v>
      </c>
      <c r="R5215" t="str">
        <f t="shared" si="163"/>
        <v>[vA4NcHxfMBq]|35-49|Female|PLHIV_Residents.T|CY2024Q3</v>
      </c>
    </row>
    <row r="5216" spans="4:18" x14ac:dyDescent="0.2">
      <c r="D5216" t="s">
        <v>119</v>
      </c>
      <c r="E5216" t="s">
        <v>120</v>
      </c>
      <c r="F5216" t="s">
        <v>121</v>
      </c>
      <c r="G5216" t="s">
        <v>164</v>
      </c>
      <c r="H5216" t="s">
        <v>165</v>
      </c>
      <c r="I5216" t="s">
        <v>44</v>
      </c>
      <c r="J5216" t="s">
        <v>45</v>
      </c>
      <c r="K5216" t="s">
        <v>29</v>
      </c>
      <c r="L5216" t="s">
        <v>30</v>
      </c>
      <c r="M5216" t="s">
        <v>166</v>
      </c>
      <c r="N5216">
        <v>1792</v>
      </c>
      <c r="O5216" s="14">
        <v>0.46216007461771402</v>
      </c>
      <c r="P5216" s="14">
        <v>0.43010397930629601</v>
      </c>
      <c r="Q5216" t="str">
        <f t="shared" si="162"/>
        <v>50+</v>
      </c>
      <c r="R5216" t="str">
        <f t="shared" si="163"/>
        <v>[vA4NcHxfMBq]|50+|Female|PLHIV_Residents.T|CY2024Q3</v>
      </c>
    </row>
    <row r="5217" spans="4:18" x14ac:dyDescent="0.2">
      <c r="D5217" t="s">
        <v>119</v>
      </c>
      <c r="E5217" t="s">
        <v>120</v>
      </c>
      <c r="F5217" t="s">
        <v>121</v>
      </c>
      <c r="G5217" t="s">
        <v>164</v>
      </c>
      <c r="H5217" t="s">
        <v>165</v>
      </c>
      <c r="I5217" t="s">
        <v>27</v>
      </c>
      <c r="J5217" t="s">
        <v>28</v>
      </c>
      <c r="K5217" t="s">
        <v>47</v>
      </c>
      <c r="L5217" t="s">
        <v>48</v>
      </c>
      <c r="M5217" t="s">
        <v>166</v>
      </c>
      <c r="N5217">
        <v>1859</v>
      </c>
      <c r="O5217" s="14">
        <v>9.5809249207377406E-2</v>
      </c>
      <c r="P5217" s="14">
        <v>0.43010397930629601</v>
      </c>
      <c r="Q5217" t="str">
        <f t="shared" si="162"/>
        <v>&lt;01</v>
      </c>
      <c r="R5217" t="str">
        <f t="shared" si="163"/>
        <v>[vA4NcHxfMBq]|&lt;01|Male|PLHIV_Residents.T|CY2024Q3</v>
      </c>
    </row>
    <row r="5218" spans="4:18" x14ac:dyDescent="0.2">
      <c r="D5218" t="s">
        <v>119</v>
      </c>
      <c r="E5218" t="s">
        <v>120</v>
      </c>
      <c r="F5218" t="s">
        <v>121</v>
      </c>
      <c r="G5218" t="s">
        <v>164</v>
      </c>
      <c r="H5218" t="s">
        <v>165</v>
      </c>
      <c r="I5218" t="s">
        <v>32</v>
      </c>
      <c r="J5218" t="s">
        <v>33</v>
      </c>
      <c r="K5218" t="s">
        <v>47</v>
      </c>
      <c r="L5218" t="s">
        <v>48</v>
      </c>
      <c r="M5218" t="s">
        <v>166</v>
      </c>
      <c r="N5218">
        <v>1119</v>
      </c>
      <c r="O5218" s="14">
        <v>0.82437468157149896</v>
      </c>
      <c r="P5218" s="14">
        <v>0.43010397930629601</v>
      </c>
      <c r="Q5218" t="str">
        <f t="shared" si="162"/>
        <v>01-09</v>
      </c>
      <c r="R5218" t="str">
        <f t="shared" si="163"/>
        <v>[vA4NcHxfMBq]|01-09|Male|PLHIV_Residents.T|CY2024Q3</v>
      </c>
    </row>
    <row r="5219" spans="4:18" x14ac:dyDescent="0.2">
      <c r="D5219" t="s">
        <v>119</v>
      </c>
      <c r="E5219" t="s">
        <v>120</v>
      </c>
      <c r="F5219" t="s">
        <v>121</v>
      </c>
      <c r="G5219" t="s">
        <v>164</v>
      </c>
      <c r="H5219" t="s">
        <v>165</v>
      </c>
      <c r="I5219" t="s">
        <v>35</v>
      </c>
      <c r="J5219" t="s">
        <v>36</v>
      </c>
      <c r="K5219" t="s">
        <v>47</v>
      </c>
      <c r="L5219" t="s">
        <v>48</v>
      </c>
      <c r="M5219" t="s">
        <v>166</v>
      </c>
      <c r="N5219">
        <v>1994</v>
      </c>
      <c r="O5219" s="14">
        <v>0.79927864996716402</v>
      </c>
      <c r="P5219" s="14">
        <v>0.43010397930629601</v>
      </c>
      <c r="Q5219" t="str">
        <f t="shared" si="162"/>
        <v>10-14</v>
      </c>
      <c r="R5219" t="str">
        <f t="shared" si="163"/>
        <v>[vA4NcHxfMBq]|10-14|Male|PLHIV_Residents.T|CY2024Q3</v>
      </c>
    </row>
    <row r="5220" spans="4:18" x14ac:dyDescent="0.2">
      <c r="D5220" t="s">
        <v>119</v>
      </c>
      <c r="E5220" t="s">
        <v>120</v>
      </c>
      <c r="F5220" t="s">
        <v>121</v>
      </c>
      <c r="G5220" t="s">
        <v>164</v>
      </c>
      <c r="H5220" t="s">
        <v>165</v>
      </c>
      <c r="I5220" t="s">
        <v>37</v>
      </c>
      <c r="J5220" t="s">
        <v>38</v>
      </c>
      <c r="K5220" t="s">
        <v>47</v>
      </c>
      <c r="L5220" t="s">
        <v>48</v>
      </c>
      <c r="M5220" t="s">
        <v>166</v>
      </c>
      <c r="N5220">
        <v>1497</v>
      </c>
      <c r="O5220" s="14">
        <v>0.72154119494371105</v>
      </c>
      <c r="P5220" s="14">
        <v>0.43010397930629601</v>
      </c>
      <c r="Q5220" t="str">
        <f t="shared" si="162"/>
        <v>15-24</v>
      </c>
      <c r="R5220" t="str">
        <f t="shared" si="163"/>
        <v>[vA4NcHxfMBq]|15-24|Male|PLHIV_Residents.T|CY2024Q3</v>
      </c>
    </row>
    <row r="5221" spans="4:18" x14ac:dyDescent="0.2">
      <c r="D5221" t="s">
        <v>119</v>
      </c>
      <c r="E5221" t="s">
        <v>120</v>
      </c>
      <c r="F5221" t="s">
        <v>121</v>
      </c>
      <c r="G5221" t="s">
        <v>164</v>
      </c>
      <c r="H5221" t="s">
        <v>165</v>
      </c>
      <c r="I5221" t="s">
        <v>40</v>
      </c>
      <c r="J5221" t="s">
        <v>41</v>
      </c>
      <c r="K5221" t="s">
        <v>47</v>
      </c>
      <c r="L5221" t="s">
        <v>48</v>
      </c>
      <c r="M5221" t="s">
        <v>166</v>
      </c>
      <c r="N5221">
        <v>873</v>
      </c>
      <c r="O5221" s="14">
        <v>0.75755401793867305</v>
      </c>
      <c r="P5221" s="14">
        <v>0.43010397930629601</v>
      </c>
      <c r="Q5221" t="str">
        <f t="shared" si="162"/>
        <v>25-34</v>
      </c>
      <c r="R5221" t="str">
        <f t="shared" si="163"/>
        <v>[vA4NcHxfMBq]|25-34|Male|PLHIV_Residents.T|CY2024Q3</v>
      </c>
    </row>
    <row r="5222" spans="4:18" x14ac:dyDescent="0.2">
      <c r="D5222" t="s">
        <v>119</v>
      </c>
      <c r="E5222" t="s">
        <v>120</v>
      </c>
      <c r="F5222" t="s">
        <v>121</v>
      </c>
      <c r="G5222" t="s">
        <v>164</v>
      </c>
      <c r="H5222" t="s">
        <v>165</v>
      </c>
      <c r="I5222" t="s">
        <v>42</v>
      </c>
      <c r="J5222" t="s">
        <v>43</v>
      </c>
      <c r="K5222" t="s">
        <v>47</v>
      </c>
      <c r="L5222" t="s">
        <v>48</v>
      </c>
      <c r="M5222" t="s">
        <v>166</v>
      </c>
      <c r="N5222">
        <v>1811</v>
      </c>
      <c r="O5222" s="14">
        <v>3.0869642738252899E-2</v>
      </c>
      <c r="P5222" s="14">
        <v>0.43010397930629601</v>
      </c>
      <c r="Q5222" t="str">
        <f t="shared" si="162"/>
        <v>35-49</v>
      </c>
      <c r="R5222" t="str">
        <f t="shared" si="163"/>
        <v>[vA4NcHxfMBq]|35-49|Male|PLHIV_Residents.T|CY2024Q3</v>
      </c>
    </row>
    <row r="5223" spans="4:18" x14ac:dyDescent="0.2">
      <c r="D5223" t="s">
        <v>119</v>
      </c>
      <c r="E5223" t="s">
        <v>120</v>
      </c>
      <c r="F5223" t="s">
        <v>121</v>
      </c>
      <c r="G5223" t="s">
        <v>164</v>
      </c>
      <c r="H5223" t="s">
        <v>165</v>
      </c>
      <c r="I5223" t="s">
        <v>44</v>
      </c>
      <c r="J5223" t="s">
        <v>45</v>
      </c>
      <c r="K5223" t="s">
        <v>47</v>
      </c>
      <c r="L5223" t="s">
        <v>48</v>
      </c>
      <c r="M5223" t="s">
        <v>166</v>
      </c>
      <c r="N5223">
        <v>1843</v>
      </c>
      <c r="O5223" s="14">
        <v>0.57894048653542995</v>
      </c>
      <c r="P5223" s="14">
        <v>0.43010397930629601</v>
      </c>
      <c r="Q5223" t="str">
        <f t="shared" si="162"/>
        <v>50+</v>
      </c>
      <c r="R5223" t="str">
        <f t="shared" si="163"/>
        <v>[vA4NcHxfMBq]|50+|Male|PLHIV_Residents.T|CY2024Q3</v>
      </c>
    </row>
    <row r="5224" spans="4:18" x14ac:dyDescent="0.2">
      <c r="D5224" t="s">
        <v>122</v>
      </c>
      <c r="E5224" t="s">
        <v>123</v>
      </c>
      <c r="F5224" t="s">
        <v>124</v>
      </c>
      <c r="G5224" t="s">
        <v>164</v>
      </c>
      <c r="H5224" t="s">
        <v>165</v>
      </c>
      <c r="I5224" t="s">
        <v>27</v>
      </c>
      <c r="J5224" t="s">
        <v>28</v>
      </c>
      <c r="K5224" t="s">
        <v>29</v>
      </c>
      <c r="L5224" t="s">
        <v>30</v>
      </c>
      <c r="M5224" t="s">
        <v>166</v>
      </c>
      <c r="N5224">
        <v>756</v>
      </c>
      <c r="O5224" s="14">
        <v>0.87537283427082002</v>
      </c>
      <c r="P5224" s="14">
        <v>0.41950060334056599</v>
      </c>
      <c r="Q5224" t="str">
        <f t="shared" si="162"/>
        <v>&lt;01</v>
      </c>
      <c r="R5224" t="str">
        <f t="shared" si="163"/>
        <v>[E7zpfyBt7Tw]|&lt;01|Female|PLHIV_Residents.T|CY2024Q3</v>
      </c>
    </row>
    <row r="5225" spans="4:18" x14ac:dyDescent="0.2">
      <c r="D5225" t="s">
        <v>122</v>
      </c>
      <c r="E5225" t="s">
        <v>123</v>
      </c>
      <c r="F5225" t="s">
        <v>124</v>
      </c>
      <c r="G5225" t="s">
        <v>164</v>
      </c>
      <c r="H5225" t="s">
        <v>165</v>
      </c>
      <c r="I5225" t="s">
        <v>32</v>
      </c>
      <c r="J5225" t="s">
        <v>33</v>
      </c>
      <c r="K5225" t="s">
        <v>29</v>
      </c>
      <c r="L5225" t="s">
        <v>30</v>
      </c>
      <c r="M5225" t="s">
        <v>166</v>
      </c>
      <c r="N5225">
        <v>1913</v>
      </c>
      <c r="O5225" s="14">
        <v>0.54594416730105899</v>
      </c>
      <c r="P5225" s="14">
        <v>0.41950060334056599</v>
      </c>
      <c r="Q5225" t="str">
        <f t="shared" si="162"/>
        <v>01-09</v>
      </c>
      <c r="R5225" t="str">
        <f t="shared" si="163"/>
        <v>[E7zpfyBt7Tw]|01-09|Female|PLHIV_Residents.T|CY2024Q3</v>
      </c>
    </row>
    <row r="5226" spans="4:18" x14ac:dyDescent="0.2">
      <c r="D5226" t="s">
        <v>122</v>
      </c>
      <c r="E5226" t="s">
        <v>123</v>
      </c>
      <c r="F5226" t="s">
        <v>124</v>
      </c>
      <c r="G5226" t="s">
        <v>164</v>
      </c>
      <c r="H5226" t="s">
        <v>165</v>
      </c>
      <c r="I5226" t="s">
        <v>35</v>
      </c>
      <c r="J5226" t="s">
        <v>36</v>
      </c>
      <c r="K5226" t="s">
        <v>29</v>
      </c>
      <c r="L5226" t="s">
        <v>30</v>
      </c>
      <c r="M5226" t="s">
        <v>166</v>
      </c>
      <c r="N5226">
        <v>904</v>
      </c>
      <c r="O5226" s="14">
        <v>0.68239322863519203</v>
      </c>
      <c r="P5226" s="14">
        <v>0.41950060334056599</v>
      </c>
      <c r="Q5226" t="str">
        <f t="shared" si="162"/>
        <v>10-14</v>
      </c>
      <c r="R5226" t="str">
        <f t="shared" si="163"/>
        <v>[E7zpfyBt7Tw]|10-14|Female|PLHIV_Residents.T|CY2024Q3</v>
      </c>
    </row>
    <row r="5227" spans="4:18" x14ac:dyDescent="0.2">
      <c r="D5227" t="s">
        <v>122</v>
      </c>
      <c r="E5227" t="s">
        <v>123</v>
      </c>
      <c r="F5227" t="s">
        <v>124</v>
      </c>
      <c r="G5227" t="s">
        <v>164</v>
      </c>
      <c r="H5227" t="s">
        <v>165</v>
      </c>
      <c r="I5227" t="s">
        <v>37</v>
      </c>
      <c r="J5227" t="s">
        <v>38</v>
      </c>
      <c r="K5227" t="s">
        <v>29</v>
      </c>
      <c r="L5227" t="s">
        <v>30</v>
      </c>
      <c r="M5227" t="s">
        <v>166</v>
      </c>
      <c r="N5227">
        <v>783</v>
      </c>
      <c r="O5227" s="14">
        <v>0.80818055756390095</v>
      </c>
      <c r="P5227" s="14">
        <v>0.41950060334056599</v>
      </c>
      <c r="Q5227" t="str">
        <f t="shared" si="162"/>
        <v>15-24</v>
      </c>
      <c r="R5227" t="str">
        <f t="shared" si="163"/>
        <v>[E7zpfyBt7Tw]|15-24|Female|PLHIV_Residents.T|CY2024Q3</v>
      </c>
    </row>
    <row r="5228" spans="4:18" x14ac:dyDescent="0.2">
      <c r="D5228" t="s">
        <v>122</v>
      </c>
      <c r="E5228" t="s">
        <v>123</v>
      </c>
      <c r="F5228" t="s">
        <v>124</v>
      </c>
      <c r="G5228" t="s">
        <v>164</v>
      </c>
      <c r="H5228" t="s">
        <v>165</v>
      </c>
      <c r="I5228" t="s">
        <v>40</v>
      </c>
      <c r="J5228" t="s">
        <v>41</v>
      </c>
      <c r="K5228" t="s">
        <v>29</v>
      </c>
      <c r="L5228" t="s">
        <v>30</v>
      </c>
      <c r="M5228" t="s">
        <v>166</v>
      </c>
      <c r="N5228">
        <v>766</v>
      </c>
      <c r="O5228" s="14">
        <v>0.47119445214048</v>
      </c>
      <c r="P5228" s="14">
        <v>0.41950060334056599</v>
      </c>
      <c r="Q5228" t="str">
        <f t="shared" si="162"/>
        <v>25-34</v>
      </c>
      <c r="R5228" t="str">
        <f t="shared" si="163"/>
        <v>[E7zpfyBt7Tw]|25-34|Female|PLHIV_Residents.T|CY2024Q3</v>
      </c>
    </row>
    <row r="5229" spans="4:18" x14ac:dyDescent="0.2">
      <c r="D5229" t="s">
        <v>122</v>
      </c>
      <c r="E5229" t="s">
        <v>123</v>
      </c>
      <c r="F5229" t="s">
        <v>124</v>
      </c>
      <c r="G5229" t="s">
        <v>164</v>
      </c>
      <c r="H5229" t="s">
        <v>165</v>
      </c>
      <c r="I5229" t="s">
        <v>42</v>
      </c>
      <c r="J5229" t="s">
        <v>43</v>
      </c>
      <c r="K5229" t="s">
        <v>29</v>
      </c>
      <c r="L5229" t="s">
        <v>30</v>
      </c>
      <c r="M5229" t="s">
        <v>166</v>
      </c>
      <c r="N5229">
        <v>1473</v>
      </c>
      <c r="O5229" s="14">
        <v>0.19792037364095399</v>
      </c>
      <c r="P5229" s="14">
        <v>0.41950060334056599</v>
      </c>
      <c r="Q5229" t="str">
        <f t="shared" si="162"/>
        <v>35-49</v>
      </c>
      <c r="R5229" t="str">
        <f t="shared" si="163"/>
        <v>[E7zpfyBt7Tw]|35-49|Female|PLHIV_Residents.T|CY2024Q3</v>
      </c>
    </row>
    <row r="5230" spans="4:18" x14ac:dyDescent="0.2">
      <c r="D5230" t="s">
        <v>122</v>
      </c>
      <c r="E5230" t="s">
        <v>123</v>
      </c>
      <c r="F5230" t="s">
        <v>124</v>
      </c>
      <c r="G5230" t="s">
        <v>164</v>
      </c>
      <c r="H5230" t="s">
        <v>165</v>
      </c>
      <c r="I5230" t="s">
        <v>44</v>
      </c>
      <c r="J5230" t="s">
        <v>45</v>
      </c>
      <c r="K5230" t="s">
        <v>29</v>
      </c>
      <c r="L5230" t="s">
        <v>30</v>
      </c>
      <c r="M5230" t="s">
        <v>166</v>
      </c>
      <c r="N5230">
        <v>1100</v>
      </c>
      <c r="O5230" s="14">
        <v>0.75907579693011895</v>
      </c>
      <c r="P5230" s="14">
        <v>0.41950060334056599</v>
      </c>
      <c r="Q5230" t="str">
        <f t="shared" si="162"/>
        <v>50+</v>
      </c>
      <c r="R5230" t="str">
        <f t="shared" si="163"/>
        <v>[E7zpfyBt7Tw]|50+|Female|PLHIV_Residents.T|CY2024Q3</v>
      </c>
    </row>
    <row r="5231" spans="4:18" x14ac:dyDescent="0.2">
      <c r="D5231" t="s">
        <v>122</v>
      </c>
      <c r="E5231" t="s">
        <v>123</v>
      </c>
      <c r="F5231" t="s">
        <v>124</v>
      </c>
      <c r="G5231" t="s">
        <v>164</v>
      </c>
      <c r="H5231" t="s">
        <v>165</v>
      </c>
      <c r="I5231" t="s">
        <v>27</v>
      </c>
      <c r="J5231" t="s">
        <v>28</v>
      </c>
      <c r="K5231" t="s">
        <v>47</v>
      </c>
      <c r="L5231" t="s">
        <v>48</v>
      </c>
      <c r="M5231" t="s">
        <v>166</v>
      </c>
      <c r="N5231">
        <v>1647</v>
      </c>
      <c r="O5231" s="14">
        <v>0.21128097851760699</v>
      </c>
      <c r="P5231" s="14">
        <v>0.41950060334056599</v>
      </c>
      <c r="Q5231" t="str">
        <f t="shared" si="162"/>
        <v>&lt;01</v>
      </c>
      <c r="R5231" t="str">
        <f t="shared" si="163"/>
        <v>[E7zpfyBt7Tw]|&lt;01|Male|PLHIV_Residents.T|CY2024Q3</v>
      </c>
    </row>
    <row r="5232" spans="4:18" x14ac:dyDescent="0.2">
      <c r="D5232" t="s">
        <v>122</v>
      </c>
      <c r="E5232" t="s">
        <v>123</v>
      </c>
      <c r="F5232" t="s">
        <v>124</v>
      </c>
      <c r="G5232" t="s">
        <v>164</v>
      </c>
      <c r="H5232" t="s">
        <v>165</v>
      </c>
      <c r="I5232" t="s">
        <v>32</v>
      </c>
      <c r="J5232" t="s">
        <v>33</v>
      </c>
      <c r="K5232" t="s">
        <v>47</v>
      </c>
      <c r="L5232" t="s">
        <v>48</v>
      </c>
      <c r="M5232" t="s">
        <v>166</v>
      </c>
      <c r="N5232">
        <v>1619</v>
      </c>
      <c r="O5232" s="14">
        <v>0.98088485654443502</v>
      </c>
      <c r="P5232" s="14">
        <v>0.41950060334056599</v>
      </c>
      <c r="Q5232" t="str">
        <f t="shared" si="162"/>
        <v>01-09</v>
      </c>
      <c r="R5232" t="str">
        <f t="shared" si="163"/>
        <v>[E7zpfyBt7Tw]|01-09|Male|PLHIV_Residents.T|CY2024Q3</v>
      </c>
    </row>
    <row r="5233" spans="4:18" x14ac:dyDescent="0.2">
      <c r="D5233" t="s">
        <v>122</v>
      </c>
      <c r="E5233" t="s">
        <v>123</v>
      </c>
      <c r="F5233" t="s">
        <v>124</v>
      </c>
      <c r="G5233" t="s">
        <v>164</v>
      </c>
      <c r="H5233" t="s">
        <v>165</v>
      </c>
      <c r="I5233" t="s">
        <v>35</v>
      </c>
      <c r="J5233" t="s">
        <v>36</v>
      </c>
      <c r="K5233" t="s">
        <v>47</v>
      </c>
      <c r="L5233" t="s">
        <v>48</v>
      </c>
      <c r="M5233" t="s">
        <v>166</v>
      </c>
      <c r="N5233">
        <v>1892</v>
      </c>
      <c r="O5233" s="14">
        <v>0.50062251184135698</v>
      </c>
      <c r="P5233" s="14">
        <v>0.41950060334056599</v>
      </c>
      <c r="Q5233" t="str">
        <f t="shared" si="162"/>
        <v>10-14</v>
      </c>
      <c r="R5233" t="str">
        <f t="shared" si="163"/>
        <v>[E7zpfyBt7Tw]|10-14|Male|PLHIV_Residents.T|CY2024Q3</v>
      </c>
    </row>
    <row r="5234" spans="4:18" x14ac:dyDescent="0.2">
      <c r="D5234" t="s">
        <v>122</v>
      </c>
      <c r="E5234" t="s">
        <v>123</v>
      </c>
      <c r="F5234" t="s">
        <v>124</v>
      </c>
      <c r="G5234" t="s">
        <v>164</v>
      </c>
      <c r="H5234" t="s">
        <v>165</v>
      </c>
      <c r="I5234" t="s">
        <v>37</v>
      </c>
      <c r="J5234" t="s">
        <v>38</v>
      </c>
      <c r="K5234" t="s">
        <v>47</v>
      </c>
      <c r="L5234" t="s">
        <v>48</v>
      </c>
      <c r="M5234" t="s">
        <v>166</v>
      </c>
      <c r="N5234">
        <v>987</v>
      </c>
      <c r="O5234" s="14">
        <v>0.68089651758782599</v>
      </c>
      <c r="P5234" s="14">
        <v>0.41950060334056599</v>
      </c>
      <c r="Q5234" t="str">
        <f t="shared" si="162"/>
        <v>15-24</v>
      </c>
      <c r="R5234" t="str">
        <f t="shared" si="163"/>
        <v>[E7zpfyBt7Tw]|15-24|Male|PLHIV_Residents.T|CY2024Q3</v>
      </c>
    </row>
    <row r="5235" spans="4:18" x14ac:dyDescent="0.2">
      <c r="D5235" t="s">
        <v>122</v>
      </c>
      <c r="E5235" t="s">
        <v>123</v>
      </c>
      <c r="F5235" t="s">
        <v>124</v>
      </c>
      <c r="G5235" t="s">
        <v>164</v>
      </c>
      <c r="H5235" t="s">
        <v>165</v>
      </c>
      <c r="I5235" t="s">
        <v>40</v>
      </c>
      <c r="J5235" t="s">
        <v>41</v>
      </c>
      <c r="K5235" t="s">
        <v>47</v>
      </c>
      <c r="L5235" t="s">
        <v>48</v>
      </c>
      <c r="M5235" t="s">
        <v>166</v>
      </c>
      <c r="N5235">
        <v>627</v>
      </c>
      <c r="O5235" s="14">
        <v>3.9904196979478002E-2</v>
      </c>
      <c r="P5235" s="14">
        <v>0.41950060334056599</v>
      </c>
      <c r="Q5235" t="str">
        <f t="shared" si="162"/>
        <v>25-34</v>
      </c>
      <c r="R5235" t="str">
        <f t="shared" si="163"/>
        <v>[E7zpfyBt7Tw]|25-34|Male|PLHIV_Residents.T|CY2024Q3</v>
      </c>
    </row>
    <row r="5236" spans="4:18" x14ac:dyDescent="0.2">
      <c r="D5236" t="s">
        <v>122</v>
      </c>
      <c r="E5236" t="s">
        <v>123</v>
      </c>
      <c r="F5236" t="s">
        <v>124</v>
      </c>
      <c r="G5236" t="s">
        <v>164</v>
      </c>
      <c r="H5236" t="s">
        <v>165</v>
      </c>
      <c r="I5236" t="s">
        <v>42</v>
      </c>
      <c r="J5236" t="s">
        <v>43</v>
      </c>
      <c r="K5236" t="s">
        <v>47</v>
      </c>
      <c r="L5236" t="s">
        <v>48</v>
      </c>
      <c r="M5236" t="s">
        <v>166</v>
      </c>
      <c r="N5236">
        <v>1238</v>
      </c>
      <c r="O5236" s="14">
        <v>0.13193142786622</v>
      </c>
      <c r="P5236" s="14">
        <v>0.41950060334056599</v>
      </c>
      <c r="Q5236" t="str">
        <f t="shared" si="162"/>
        <v>35-49</v>
      </c>
      <c r="R5236" t="str">
        <f t="shared" si="163"/>
        <v>[E7zpfyBt7Tw]|35-49|Male|PLHIV_Residents.T|CY2024Q3</v>
      </c>
    </row>
    <row r="5237" spans="4:18" x14ac:dyDescent="0.2">
      <c r="D5237" t="s">
        <v>122</v>
      </c>
      <c r="E5237" t="s">
        <v>123</v>
      </c>
      <c r="F5237" t="s">
        <v>124</v>
      </c>
      <c r="G5237" t="s">
        <v>164</v>
      </c>
      <c r="H5237" t="s">
        <v>165</v>
      </c>
      <c r="I5237" t="s">
        <v>44</v>
      </c>
      <c r="J5237" t="s">
        <v>45</v>
      </c>
      <c r="K5237" t="s">
        <v>47</v>
      </c>
      <c r="L5237" t="s">
        <v>48</v>
      </c>
      <c r="M5237" t="s">
        <v>166</v>
      </c>
      <c r="N5237">
        <v>589</v>
      </c>
      <c r="O5237" s="14">
        <v>0.21934841317124701</v>
      </c>
      <c r="P5237" s="14">
        <v>0.41950060334056599</v>
      </c>
      <c r="Q5237" t="str">
        <f t="shared" si="162"/>
        <v>50+</v>
      </c>
      <c r="R5237" t="str">
        <f t="shared" si="163"/>
        <v>[E7zpfyBt7Tw]|50+|Male|PLHIV_Residents.T|CY2024Q3</v>
      </c>
    </row>
    <row r="5238" spans="4:18" x14ac:dyDescent="0.2">
      <c r="D5238" t="s">
        <v>125</v>
      </c>
      <c r="E5238" t="s">
        <v>126</v>
      </c>
      <c r="F5238" t="s">
        <v>127</v>
      </c>
      <c r="G5238" t="s">
        <v>164</v>
      </c>
      <c r="H5238" t="s">
        <v>165</v>
      </c>
      <c r="I5238" t="s">
        <v>27</v>
      </c>
      <c r="J5238" t="s">
        <v>28</v>
      </c>
      <c r="K5238" t="s">
        <v>29</v>
      </c>
      <c r="L5238" t="s">
        <v>30</v>
      </c>
      <c r="M5238" t="s">
        <v>166</v>
      </c>
      <c r="N5238">
        <v>1433</v>
      </c>
      <c r="O5238" s="14">
        <v>0.75363300717435799</v>
      </c>
      <c r="P5238" s="14">
        <v>0.25270639033988102</v>
      </c>
      <c r="Q5238" t="str">
        <f t="shared" si="162"/>
        <v>&lt;01</v>
      </c>
      <c r="R5238" t="str">
        <f t="shared" si="163"/>
        <v>[ZCjuwgaMB9u]|&lt;01|Female|PLHIV_Residents.T|CY2024Q3</v>
      </c>
    </row>
    <row r="5239" spans="4:18" x14ac:dyDescent="0.2">
      <c r="D5239" t="s">
        <v>125</v>
      </c>
      <c r="E5239" t="s">
        <v>126</v>
      </c>
      <c r="F5239" t="s">
        <v>127</v>
      </c>
      <c r="G5239" t="s">
        <v>164</v>
      </c>
      <c r="H5239" t="s">
        <v>165</v>
      </c>
      <c r="I5239" t="s">
        <v>32</v>
      </c>
      <c r="J5239" t="s">
        <v>33</v>
      </c>
      <c r="K5239" t="s">
        <v>29</v>
      </c>
      <c r="L5239" t="s">
        <v>30</v>
      </c>
      <c r="M5239" t="s">
        <v>166</v>
      </c>
      <c r="N5239">
        <v>1201</v>
      </c>
      <c r="O5239" s="14">
        <v>0.53689480456523597</v>
      </c>
      <c r="P5239" s="14">
        <v>0.25270639033988102</v>
      </c>
      <c r="Q5239" t="str">
        <f t="shared" si="162"/>
        <v>01-09</v>
      </c>
      <c r="R5239" t="str">
        <f t="shared" si="163"/>
        <v>[ZCjuwgaMB9u]|01-09|Female|PLHIV_Residents.T|CY2024Q3</v>
      </c>
    </row>
    <row r="5240" spans="4:18" x14ac:dyDescent="0.2">
      <c r="D5240" t="s">
        <v>125</v>
      </c>
      <c r="E5240" t="s">
        <v>126</v>
      </c>
      <c r="F5240" t="s">
        <v>127</v>
      </c>
      <c r="G5240" t="s">
        <v>164</v>
      </c>
      <c r="H5240" t="s">
        <v>165</v>
      </c>
      <c r="I5240" t="s">
        <v>35</v>
      </c>
      <c r="J5240" t="s">
        <v>36</v>
      </c>
      <c r="K5240" t="s">
        <v>29</v>
      </c>
      <c r="L5240" t="s">
        <v>30</v>
      </c>
      <c r="M5240" t="s">
        <v>166</v>
      </c>
      <c r="N5240">
        <v>1748</v>
      </c>
      <c r="O5240" s="14">
        <v>0.37798764533363299</v>
      </c>
      <c r="P5240" s="14">
        <v>0.25270639033988102</v>
      </c>
      <c r="Q5240" t="str">
        <f t="shared" si="162"/>
        <v>10-14</v>
      </c>
      <c r="R5240" t="str">
        <f t="shared" si="163"/>
        <v>[ZCjuwgaMB9u]|10-14|Female|PLHIV_Residents.T|CY2024Q3</v>
      </c>
    </row>
    <row r="5241" spans="4:18" x14ac:dyDescent="0.2">
      <c r="D5241" t="s">
        <v>125</v>
      </c>
      <c r="E5241" t="s">
        <v>126</v>
      </c>
      <c r="F5241" t="s">
        <v>127</v>
      </c>
      <c r="G5241" t="s">
        <v>164</v>
      </c>
      <c r="H5241" t="s">
        <v>165</v>
      </c>
      <c r="I5241" t="s">
        <v>37</v>
      </c>
      <c r="J5241" t="s">
        <v>38</v>
      </c>
      <c r="K5241" t="s">
        <v>29</v>
      </c>
      <c r="L5241" t="s">
        <v>30</v>
      </c>
      <c r="M5241" t="s">
        <v>166</v>
      </c>
      <c r="N5241">
        <v>1438</v>
      </c>
      <c r="O5241" s="14">
        <v>0.51186604588292495</v>
      </c>
      <c r="P5241" s="14">
        <v>0.25270639033988102</v>
      </c>
      <c r="Q5241" t="str">
        <f t="shared" si="162"/>
        <v>15-24</v>
      </c>
      <c r="R5241" t="str">
        <f t="shared" si="163"/>
        <v>[ZCjuwgaMB9u]|15-24|Female|PLHIV_Residents.T|CY2024Q3</v>
      </c>
    </row>
    <row r="5242" spans="4:18" x14ac:dyDescent="0.2">
      <c r="D5242" t="s">
        <v>125</v>
      </c>
      <c r="E5242" t="s">
        <v>126</v>
      </c>
      <c r="F5242" t="s">
        <v>127</v>
      </c>
      <c r="G5242" t="s">
        <v>164</v>
      </c>
      <c r="H5242" t="s">
        <v>165</v>
      </c>
      <c r="I5242" t="s">
        <v>40</v>
      </c>
      <c r="J5242" t="s">
        <v>41</v>
      </c>
      <c r="K5242" t="s">
        <v>29</v>
      </c>
      <c r="L5242" t="s">
        <v>30</v>
      </c>
      <c r="M5242" t="s">
        <v>166</v>
      </c>
      <c r="N5242">
        <v>1293</v>
      </c>
      <c r="O5242" s="14">
        <v>0.91420938423834697</v>
      </c>
      <c r="P5242" s="14">
        <v>0.25270639033988102</v>
      </c>
      <c r="Q5242" t="str">
        <f t="shared" si="162"/>
        <v>25-34</v>
      </c>
      <c r="R5242" t="str">
        <f t="shared" si="163"/>
        <v>[ZCjuwgaMB9u]|25-34|Female|PLHIV_Residents.T|CY2024Q3</v>
      </c>
    </row>
    <row r="5243" spans="4:18" x14ac:dyDescent="0.2">
      <c r="D5243" t="s">
        <v>125</v>
      </c>
      <c r="E5243" t="s">
        <v>126</v>
      </c>
      <c r="F5243" t="s">
        <v>127</v>
      </c>
      <c r="G5243" t="s">
        <v>164</v>
      </c>
      <c r="H5243" t="s">
        <v>165</v>
      </c>
      <c r="I5243" t="s">
        <v>42</v>
      </c>
      <c r="J5243" t="s">
        <v>43</v>
      </c>
      <c r="K5243" t="s">
        <v>29</v>
      </c>
      <c r="L5243" t="s">
        <v>30</v>
      </c>
      <c r="M5243" t="s">
        <v>166</v>
      </c>
      <c r="N5243">
        <v>1750</v>
      </c>
      <c r="O5243" s="14">
        <v>0.46693696640431898</v>
      </c>
      <c r="P5243" s="14">
        <v>0.25270639033988102</v>
      </c>
      <c r="Q5243" t="str">
        <f t="shared" si="162"/>
        <v>35-49</v>
      </c>
      <c r="R5243" t="str">
        <f t="shared" si="163"/>
        <v>[ZCjuwgaMB9u]|35-49|Female|PLHIV_Residents.T|CY2024Q3</v>
      </c>
    </row>
    <row r="5244" spans="4:18" x14ac:dyDescent="0.2">
      <c r="D5244" t="s">
        <v>125</v>
      </c>
      <c r="E5244" t="s">
        <v>126</v>
      </c>
      <c r="F5244" t="s">
        <v>127</v>
      </c>
      <c r="G5244" t="s">
        <v>164</v>
      </c>
      <c r="H5244" t="s">
        <v>165</v>
      </c>
      <c r="I5244" t="s">
        <v>44</v>
      </c>
      <c r="J5244" t="s">
        <v>45</v>
      </c>
      <c r="K5244" t="s">
        <v>29</v>
      </c>
      <c r="L5244" t="s">
        <v>30</v>
      </c>
      <c r="M5244" t="s">
        <v>166</v>
      </c>
      <c r="N5244">
        <v>550</v>
      </c>
      <c r="O5244" s="14">
        <v>0.91479874704964503</v>
      </c>
      <c r="P5244" s="14">
        <v>0.25270639033988102</v>
      </c>
      <c r="Q5244" t="str">
        <f t="shared" si="162"/>
        <v>50+</v>
      </c>
      <c r="R5244" t="str">
        <f t="shared" si="163"/>
        <v>[ZCjuwgaMB9u]|50+|Female|PLHIV_Residents.T|CY2024Q3</v>
      </c>
    </row>
    <row r="5245" spans="4:18" x14ac:dyDescent="0.2">
      <c r="D5245" t="s">
        <v>125</v>
      </c>
      <c r="E5245" t="s">
        <v>126</v>
      </c>
      <c r="F5245" t="s">
        <v>127</v>
      </c>
      <c r="G5245" t="s">
        <v>164</v>
      </c>
      <c r="H5245" t="s">
        <v>165</v>
      </c>
      <c r="I5245" t="s">
        <v>27</v>
      </c>
      <c r="J5245" t="s">
        <v>28</v>
      </c>
      <c r="K5245" t="s">
        <v>47</v>
      </c>
      <c r="L5245" t="s">
        <v>48</v>
      </c>
      <c r="M5245" t="s">
        <v>166</v>
      </c>
      <c r="N5245">
        <v>1995</v>
      </c>
      <c r="O5245" s="14">
        <v>0.25148975430056503</v>
      </c>
      <c r="P5245" s="14">
        <v>0.25270639033988102</v>
      </c>
      <c r="Q5245" t="str">
        <f t="shared" si="162"/>
        <v>&lt;01</v>
      </c>
      <c r="R5245" t="str">
        <f t="shared" si="163"/>
        <v>[ZCjuwgaMB9u]|&lt;01|Male|PLHIV_Residents.T|CY2024Q3</v>
      </c>
    </row>
    <row r="5246" spans="4:18" x14ac:dyDescent="0.2">
      <c r="D5246" t="s">
        <v>125</v>
      </c>
      <c r="E5246" t="s">
        <v>126</v>
      </c>
      <c r="F5246" t="s">
        <v>127</v>
      </c>
      <c r="G5246" t="s">
        <v>164</v>
      </c>
      <c r="H5246" t="s">
        <v>165</v>
      </c>
      <c r="I5246" t="s">
        <v>32</v>
      </c>
      <c r="J5246" t="s">
        <v>33</v>
      </c>
      <c r="K5246" t="s">
        <v>47</v>
      </c>
      <c r="L5246" t="s">
        <v>48</v>
      </c>
      <c r="M5246" t="s">
        <v>166</v>
      </c>
      <c r="N5246">
        <v>1365</v>
      </c>
      <c r="O5246" s="14">
        <v>0.94863793835975196</v>
      </c>
      <c r="P5246" s="14">
        <v>0.25270639033988102</v>
      </c>
      <c r="Q5246" t="str">
        <f t="shared" si="162"/>
        <v>01-09</v>
      </c>
      <c r="R5246" t="str">
        <f t="shared" si="163"/>
        <v>[ZCjuwgaMB9u]|01-09|Male|PLHIV_Residents.T|CY2024Q3</v>
      </c>
    </row>
    <row r="5247" spans="4:18" x14ac:dyDescent="0.2">
      <c r="D5247" t="s">
        <v>125</v>
      </c>
      <c r="E5247" t="s">
        <v>126</v>
      </c>
      <c r="F5247" t="s">
        <v>127</v>
      </c>
      <c r="G5247" t="s">
        <v>164</v>
      </c>
      <c r="H5247" t="s">
        <v>165</v>
      </c>
      <c r="I5247" t="s">
        <v>35</v>
      </c>
      <c r="J5247" t="s">
        <v>36</v>
      </c>
      <c r="K5247" t="s">
        <v>47</v>
      </c>
      <c r="L5247" t="s">
        <v>48</v>
      </c>
      <c r="M5247" t="s">
        <v>166</v>
      </c>
      <c r="N5247">
        <v>1497</v>
      </c>
      <c r="O5247" s="14">
        <v>0.61420743470080197</v>
      </c>
      <c r="P5247" s="14">
        <v>0.25270639033988102</v>
      </c>
      <c r="Q5247" t="str">
        <f t="shared" si="162"/>
        <v>10-14</v>
      </c>
      <c r="R5247" t="str">
        <f t="shared" si="163"/>
        <v>[ZCjuwgaMB9u]|10-14|Male|PLHIV_Residents.T|CY2024Q3</v>
      </c>
    </row>
    <row r="5248" spans="4:18" x14ac:dyDescent="0.2">
      <c r="D5248" t="s">
        <v>125</v>
      </c>
      <c r="E5248" t="s">
        <v>126</v>
      </c>
      <c r="F5248" t="s">
        <v>127</v>
      </c>
      <c r="G5248" t="s">
        <v>164</v>
      </c>
      <c r="H5248" t="s">
        <v>165</v>
      </c>
      <c r="I5248" t="s">
        <v>37</v>
      </c>
      <c r="J5248" t="s">
        <v>38</v>
      </c>
      <c r="K5248" t="s">
        <v>47</v>
      </c>
      <c r="L5248" t="s">
        <v>48</v>
      </c>
      <c r="M5248" t="s">
        <v>166</v>
      </c>
      <c r="N5248">
        <v>578</v>
      </c>
      <c r="O5248" s="14">
        <v>0.88286936655640602</v>
      </c>
      <c r="P5248" s="14">
        <v>0.25270639033988102</v>
      </c>
      <c r="Q5248" t="str">
        <f t="shared" si="162"/>
        <v>15-24</v>
      </c>
      <c r="R5248" t="str">
        <f t="shared" si="163"/>
        <v>[ZCjuwgaMB9u]|15-24|Male|PLHIV_Residents.T|CY2024Q3</v>
      </c>
    </row>
    <row r="5249" spans="4:18" x14ac:dyDescent="0.2">
      <c r="D5249" t="s">
        <v>125</v>
      </c>
      <c r="E5249" t="s">
        <v>126</v>
      </c>
      <c r="F5249" t="s">
        <v>127</v>
      </c>
      <c r="G5249" t="s">
        <v>164</v>
      </c>
      <c r="H5249" t="s">
        <v>165</v>
      </c>
      <c r="I5249" t="s">
        <v>40</v>
      </c>
      <c r="J5249" t="s">
        <v>41</v>
      </c>
      <c r="K5249" t="s">
        <v>47</v>
      </c>
      <c r="L5249" t="s">
        <v>48</v>
      </c>
      <c r="M5249" t="s">
        <v>166</v>
      </c>
      <c r="N5249">
        <v>513</v>
      </c>
      <c r="O5249" s="14">
        <v>0.68135614460334204</v>
      </c>
      <c r="P5249" s="14">
        <v>0.25270639033988102</v>
      </c>
      <c r="Q5249" t="str">
        <f t="shared" si="162"/>
        <v>25-34</v>
      </c>
      <c r="R5249" t="str">
        <f t="shared" si="163"/>
        <v>[ZCjuwgaMB9u]|25-34|Male|PLHIV_Residents.T|CY2024Q3</v>
      </c>
    </row>
    <row r="5250" spans="4:18" x14ac:dyDescent="0.2">
      <c r="D5250" t="s">
        <v>125</v>
      </c>
      <c r="E5250" t="s">
        <v>126</v>
      </c>
      <c r="F5250" t="s">
        <v>127</v>
      </c>
      <c r="G5250" t="s">
        <v>164</v>
      </c>
      <c r="H5250" t="s">
        <v>165</v>
      </c>
      <c r="I5250" t="s">
        <v>42</v>
      </c>
      <c r="J5250" t="s">
        <v>43</v>
      </c>
      <c r="K5250" t="s">
        <v>47</v>
      </c>
      <c r="L5250" t="s">
        <v>48</v>
      </c>
      <c r="M5250" t="s">
        <v>166</v>
      </c>
      <c r="N5250">
        <v>1432</v>
      </c>
      <c r="O5250" s="14">
        <v>0.75252570887096204</v>
      </c>
      <c r="P5250" s="14">
        <v>0.25270639033988102</v>
      </c>
      <c r="Q5250" t="str">
        <f t="shared" ref="Q5250:Q5313" si="164">SUBSTITUTE(SUBSTITUTE($I5250,CHAR(61),""),CHAR(34),"")</f>
        <v>35-49</v>
      </c>
      <c r="R5250" t="str">
        <f t="shared" ref="R5250:R5313" si="165">IF($D5250&lt;&gt;"","["&amp;$E5250&amp;"]"&amp;"|"&amp;$Q5250&amp;"|"&amp;$K5250&amp;"|"&amp;$G5250&amp;"|"&amp;IF($G5250="TX_CURR_SUBNAT.R","CY2022Q4",$M5250),"")</f>
        <v>[ZCjuwgaMB9u]|35-49|Male|PLHIV_Residents.T|CY2024Q3</v>
      </c>
    </row>
    <row r="5251" spans="4:18" x14ac:dyDescent="0.2">
      <c r="D5251" t="s">
        <v>125</v>
      </c>
      <c r="E5251" t="s">
        <v>126</v>
      </c>
      <c r="F5251" t="s">
        <v>127</v>
      </c>
      <c r="G5251" t="s">
        <v>164</v>
      </c>
      <c r="H5251" t="s">
        <v>165</v>
      </c>
      <c r="I5251" t="s">
        <v>44</v>
      </c>
      <c r="J5251" t="s">
        <v>45</v>
      </c>
      <c r="K5251" t="s">
        <v>47</v>
      </c>
      <c r="L5251" t="s">
        <v>48</v>
      </c>
      <c r="M5251" t="s">
        <v>166</v>
      </c>
      <c r="N5251">
        <v>1504</v>
      </c>
      <c r="O5251" s="14">
        <v>0.34370307554490898</v>
      </c>
      <c r="P5251" s="14">
        <v>0.25270639033988102</v>
      </c>
      <c r="Q5251" t="str">
        <f t="shared" si="164"/>
        <v>50+</v>
      </c>
      <c r="R5251" t="str">
        <f t="shared" si="165"/>
        <v>[ZCjuwgaMB9u]|50+|Male|PLHIV_Residents.T|CY2024Q3</v>
      </c>
    </row>
    <row r="5252" spans="4:18" x14ac:dyDescent="0.2">
      <c r="D5252" t="s">
        <v>128</v>
      </c>
      <c r="E5252" t="s">
        <v>129</v>
      </c>
      <c r="F5252" t="s">
        <v>130</v>
      </c>
      <c r="G5252" t="s">
        <v>164</v>
      </c>
      <c r="H5252" t="s">
        <v>165</v>
      </c>
      <c r="I5252" t="s">
        <v>27</v>
      </c>
      <c r="J5252" t="s">
        <v>28</v>
      </c>
      <c r="K5252" t="s">
        <v>29</v>
      </c>
      <c r="L5252" t="s">
        <v>30</v>
      </c>
      <c r="M5252" t="s">
        <v>166</v>
      </c>
      <c r="N5252">
        <v>1024</v>
      </c>
      <c r="O5252" s="14">
        <v>0.279300531372428</v>
      </c>
      <c r="P5252" s="14">
        <v>0.55690808477811504</v>
      </c>
      <c r="Q5252" t="str">
        <f t="shared" si="164"/>
        <v>&lt;01</v>
      </c>
      <c r="R5252" t="str">
        <f t="shared" si="165"/>
        <v>[YCKiBAp8QAg]|&lt;01|Female|PLHIV_Residents.T|CY2024Q3</v>
      </c>
    </row>
    <row r="5253" spans="4:18" x14ac:dyDescent="0.2">
      <c r="D5253" t="s">
        <v>128</v>
      </c>
      <c r="E5253" t="s">
        <v>129</v>
      </c>
      <c r="F5253" t="s">
        <v>130</v>
      </c>
      <c r="G5253" t="s">
        <v>164</v>
      </c>
      <c r="H5253" t="s">
        <v>165</v>
      </c>
      <c r="I5253" t="s">
        <v>32</v>
      </c>
      <c r="J5253" t="s">
        <v>33</v>
      </c>
      <c r="K5253" t="s">
        <v>29</v>
      </c>
      <c r="L5253" t="s">
        <v>30</v>
      </c>
      <c r="M5253" t="s">
        <v>166</v>
      </c>
      <c r="N5253">
        <v>1633</v>
      </c>
      <c r="O5253" s="14">
        <v>0.986281213816255</v>
      </c>
      <c r="P5253" s="14">
        <v>0.55690808477811504</v>
      </c>
      <c r="Q5253" t="str">
        <f t="shared" si="164"/>
        <v>01-09</v>
      </c>
      <c r="R5253" t="str">
        <f t="shared" si="165"/>
        <v>[YCKiBAp8QAg]|01-09|Female|PLHIV_Residents.T|CY2024Q3</v>
      </c>
    </row>
    <row r="5254" spans="4:18" x14ac:dyDescent="0.2">
      <c r="D5254" t="s">
        <v>128</v>
      </c>
      <c r="E5254" t="s">
        <v>129</v>
      </c>
      <c r="F5254" t="s">
        <v>130</v>
      </c>
      <c r="G5254" t="s">
        <v>164</v>
      </c>
      <c r="H5254" t="s">
        <v>165</v>
      </c>
      <c r="I5254" t="s">
        <v>35</v>
      </c>
      <c r="J5254" t="s">
        <v>36</v>
      </c>
      <c r="K5254" t="s">
        <v>29</v>
      </c>
      <c r="L5254" t="s">
        <v>30</v>
      </c>
      <c r="M5254" t="s">
        <v>166</v>
      </c>
      <c r="N5254">
        <v>1376</v>
      </c>
      <c r="O5254" s="14">
        <v>0.42534739570692198</v>
      </c>
      <c r="P5254" s="14">
        <v>0.55690808477811504</v>
      </c>
      <c r="Q5254" t="str">
        <f t="shared" si="164"/>
        <v>10-14</v>
      </c>
      <c r="R5254" t="str">
        <f t="shared" si="165"/>
        <v>[YCKiBAp8QAg]|10-14|Female|PLHIV_Residents.T|CY2024Q3</v>
      </c>
    </row>
    <row r="5255" spans="4:18" x14ac:dyDescent="0.2">
      <c r="D5255" t="s">
        <v>128</v>
      </c>
      <c r="E5255" t="s">
        <v>129</v>
      </c>
      <c r="F5255" t="s">
        <v>130</v>
      </c>
      <c r="G5255" t="s">
        <v>164</v>
      </c>
      <c r="H5255" t="s">
        <v>165</v>
      </c>
      <c r="I5255" t="s">
        <v>37</v>
      </c>
      <c r="J5255" t="s">
        <v>38</v>
      </c>
      <c r="K5255" t="s">
        <v>29</v>
      </c>
      <c r="L5255" t="s">
        <v>30</v>
      </c>
      <c r="M5255" t="s">
        <v>166</v>
      </c>
      <c r="N5255">
        <v>1065</v>
      </c>
      <c r="O5255" s="14">
        <v>0.22055428940802799</v>
      </c>
      <c r="P5255" s="14">
        <v>0.55690808477811504</v>
      </c>
      <c r="Q5255" t="str">
        <f t="shared" si="164"/>
        <v>15-24</v>
      </c>
      <c r="R5255" t="str">
        <f t="shared" si="165"/>
        <v>[YCKiBAp8QAg]|15-24|Female|PLHIV_Residents.T|CY2024Q3</v>
      </c>
    </row>
    <row r="5256" spans="4:18" x14ac:dyDescent="0.2">
      <c r="D5256" t="s">
        <v>128</v>
      </c>
      <c r="E5256" t="s">
        <v>129</v>
      </c>
      <c r="F5256" t="s">
        <v>130</v>
      </c>
      <c r="G5256" t="s">
        <v>164</v>
      </c>
      <c r="H5256" t="s">
        <v>165</v>
      </c>
      <c r="I5256" t="s">
        <v>40</v>
      </c>
      <c r="J5256" t="s">
        <v>41</v>
      </c>
      <c r="K5256" t="s">
        <v>29</v>
      </c>
      <c r="L5256" t="s">
        <v>30</v>
      </c>
      <c r="M5256" t="s">
        <v>166</v>
      </c>
      <c r="N5256">
        <v>847</v>
      </c>
      <c r="O5256" s="14">
        <v>0.67242222791537598</v>
      </c>
      <c r="P5256" s="14">
        <v>0.55690808477811504</v>
      </c>
      <c r="Q5256" t="str">
        <f t="shared" si="164"/>
        <v>25-34</v>
      </c>
      <c r="R5256" t="str">
        <f t="shared" si="165"/>
        <v>[YCKiBAp8QAg]|25-34|Female|PLHIV_Residents.T|CY2024Q3</v>
      </c>
    </row>
    <row r="5257" spans="4:18" x14ac:dyDescent="0.2">
      <c r="D5257" t="s">
        <v>128</v>
      </c>
      <c r="E5257" t="s">
        <v>129</v>
      </c>
      <c r="F5257" t="s">
        <v>130</v>
      </c>
      <c r="G5257" t="s">
        <v>164</v>
      </c>
      <c r="H5257" t="s">
        <v>165</v>
      </c>
      <c r="I5257" t="s">
        <v>42</v>
      </c>
      <c r="J5257" t="s">
        <v>43</v>
      </c>
      <c r="K5257" t="s">
        <v>29</v>
      </c>
      <c r="L5257" t="s">
        <v>30</v>
      </c>
      <c r="M5257" t="s">
        <v>166</v>
      </c>
      <c r="N5257">
        <v>1862</v>
      </c>
      <c r="O5257" s="14">
        <v>0.250208121957257</v>
      </c>
      <c r="P5257" s="14">
        <v>0.55690808477811504</v>
      </c>
      <c r="Q5257" t="str">
        <f t="shared" si="164"/>
        <v>35-49</v>
      </c>
      <c r="R5257" t="str">
        <f t="shared" si="165"/>
        <v>[YCKiBAp8QAg]|35-49|Female|PLHIV_Residents.T|CY2024Q3</v>
      </c>
    </row>
    <row r="5258" spans="4:18" x14ac:dyDescent="0.2">
      <c r="D5258" t="s">
        <v>128</v>
      </c>
      <c r="E5258" t="s">
        <v>129</v>
      </c>
      <c r="F5258" t="s">
        <v>130</v>
      </c>
      <c r="G5258" t="s">
        <v>164</v>
      </c>
      <c r="H5258" t="s">
        <v>165</v>
      </c>
      <c r="I5258" t="s">
        <v>44</v>
      </c>
      <c r="J5258" t="s">
        <v>45</v>
      </c>
      <c r="K5258" t="s">
        <v>29</v>
      </c>
      <c r="L5258" t="s">
        <v>30</v>
      </c>
      <c r="M5258" t="s">
        <v>166</v>
      </c>
      <c r="N5258">
        <v>1322</v>
      </c>
      <c r="O5258" s="14">
        <v>0.192245284095407</v>
      </c>
      <c r="P5258" s="14">
        <v>0.55690808477811504</v>
      </c>
      <c r="Q5258" t="str">
        <f t="shared" si="164"/>
        <v>50+</v>
      </c>
      <c r="R5258" t="str">
        <f t="shared" si="165"/>
        <v>[YCKiBAp8QAg]|50+|Female|PLHIV_Residents.T|CY2024Q3</v>
      </c>
    </row>
    <row r="5259" spans="4:18" x14ac:dyDescent="0.2">
      <c r="D5259" t="s">
        <v>128</v>
      </c>
      <c r="E5259" t="s">
        <v>129</v>
      </c>
      <c r="F5259" t="s">
        <v>130</v>
      </c>
      <c r="G5259" t="s">
        <v>164</v>
      </c>
      <c r="H5259" t="s">
        <v>165</v>
      </c>
      <c r="I5259" t="s">
        <v>27</v>
      </c>
      <c r="J5259" t="s">
        <v>28</v>
      </c>
      <c r="K5259" t="s">
        <v>47</v>
      </c>
      <c r="L5259" t="s">
        <v>48</v>
      </c>
      <c r="M5259" t="s">
        <v>166</v>
      </c>
      <c r="N5259">
        <v>1842</v>
      </c>
      <c r="O5259" s="14">
        <v>0.72622222383506596</v>
      </c>
      <c r="P5259" s="14">
        <v>0.55690808477811504</v>
      </c>
      <c r="Q5259" t="str">
        <f t="shared" si="164"/>
        <v>&lt;01</v>
      </c>
      <c r="R5259" t="str">
        <f t="shared" si="165"/>
        <v>[YCKiBAp8QAg]|&lt;01|Male|PLHIV_Residents.T|CY2024Q3</v>
      </c>
    </row>
    <row r="5260" spans="4:18" x14ac:dyDescent="0.2">
      <c r="D5260" t="s">
        <v>128</v>
      </c>
      <c r="E5260" t="s">
        <v>129</v>
      </c>
      <c r="F5260" t="s">
        <v>130</v>
      </c>
      <c r="G5260" t="s">
        <v>164</v>
      </c>
      <c r="H5260" t="s">
        <v>165</v>
      </c>
      <c r="I5260" t="s">
        <v>32</v>
      </c>
      <c r="J5260" t="s">
        <v>33</v>
      </c>
      <c r="K5260" t="s">
        <v>47</v>
      </c>
      <c r="L5260" t="s">
        <v>48</v>
      </c>
      <c r="M5260" t="s">
        <v>166</v>
      </c>
      <c r="N5260">
        <v>1094</v>
      </c>
      <c r="O5260" s="14">
        <v>0.97042158502154097</v>
      </c>
      <c r="P5260" s="14">
        <v>0.55690808477811504</v>
      </c>
      <c r="Q5260" t="str">
        <f t="shared" si="164"/>
        <v>01-09</v>
      </c>
      <c r="R5260" t="str">
        <f t="shared" si="165"/>
        <v>[YCKiBAp8QAg]|01-09|Male|PLHIV_Residents.T|CY2024Q3</v>
      </c>
    </row>
    <row r="5261" spans="4:18" x14ac:dyDescent="0.2">
      <c r="D5261" t="s">
        <v>128</v>
      </c>
      <c r="E5261" t="s">
        <v>129</v>
      </c>
      <c r="F5261" t="s">
        <v>130</v>
      </c>
      <c r="G5261" t="s">
        <v>164</v>
      </c>
      <c r="H5261" t="s">
        <v>165</v>
      </c>
      <c r="I5261" t="s">
        <v>35</v>
      </c>
      <c r="J5261" t="s">
        <v>36</v>
      </c>
      <c r="K5261" t="s">
        <v>47</v>
      </c>
      <c r="L5261" t="s">
        <v>48</v>
      </c>
      <c r="M5261" t="s">
        <v>166</v>
      </c>
      <c r="N5261">
        <v>1067</v>
      </c>
      <c r="O5261" s="14">
        <v>0.964922735700384</v>
      </c>
      <c r="P5261" s="14">
        <v>0.55690808477811504</v>
      </c>
      <c r="Q5261" t="str">
        <f t="shared" si="164"/>
        <v>10-14</v>
      </c>
      <c r="R5261" t="str">
        <f t="shared" si="165"/>
        <v>[YCKiBAp8QAg]|10-14|Male|PLHIV_Residents.T|CY2024Q3</v>
      </c>
    </row>
    <row r="5262" spans="4:18" x14ac:dyDescent="0.2">
      <c r="D5262" t="s">
        <v>128</v>
      </c>
      <c r="E5262" t="s">
        <v>129</v>
      </c>
      <c r="F5262" t="s">
        <v>130</v>
      </c>
      <c r="G5262" t="s">
        <v>164</v>
      </c>
      <c r="H5262" t="s">
        <v>165</v>
      </c>
      <c r="I5262" t="s">
        <v>37</v>
      </c>
      <c r="J5262" t="s">
        <v>38</v>
      </c>
      <c r="K5262" t="s">
        <v>47</v>
      </c>
      <c r="L5262" t="s">
        <v>48</v>
      </c>
      <c r="M5262" t="s">
        <v>166</v>
      </c>
      <c r="N5262">
        <v>1644</v>
      </c>
      <c r="O5262" s="14">
        <v>0.142406309489161</v>
      </c>
      <c r="P5262" s="14">
        <v>0.55690808477811504</v>
      </c>
      <c r="Q5262" t="str">
        <f t="shared" si="164"/>
        <v>15-24</v>
      </c>
      <c r="R5262" t="str">
        <f t="shared" si="165"/>
        <v>[YCKiBAp8QAg]|15-24|Male|PLHIV_Residents.T|CY2024Q3</v>
      </c>
    </row>
    <row r="5263" spans="4:18" x14ac:dyDescent="0.2">
      <c r="D5263" t="s">
        <v>128</v>
      </c>
      <c r="E5263" t="s">
        <v>129</v>
      </c>
      <c r="F5263" t="s">
        <v>130</v>
      </c>
      <c r="G5263" t="s">
        <v>164</v>
      </c>
      <c r="H5263" t="s">
        <v>165</v>
      </c>
      <c r="I5263" t="s">
        <v>40</v>
      </c>
      <c r="J5263" t="s">
        <v>41</v>
      </c>
      <c r="K5263" t="s">
        <v>47</v>
      </c>
      <c r="L5263" t="s">
        <v>48</v>
      </c>
      <c r="M5263" t="s">
        <v>166</v>
      </c>
      <c r="N5263">
        <v>959</v>
      </c>
      <c r="O5263" s="14">
        <v>0.41851242515258502</v>
      </c>
      <c r="P5263" s="14">
        <v>0.55690808477811504</v>
      </c>
      <c r="Q5263" t="str">
        <f t="shared" si="164"/>
        <v>25-34</v>
      </c>
      <c r="R5263" t="str">
        <f t="shared" si="165"/>
        <v>[YCKiBAp8QAg]|25-34|Male|PLHIV_Residents.T|CY2024Q3</v>
      </c>
    </row>
    <row r="5264" spans="4:18" x14ac:dyDescent="0.2">
      <c r="D5264" t="s">
        <v>128</v>
      </c>
      <c r="E5264" t="s">
        <v>129</v>
      </c>
      <c r="F5264" t="s">
        <v>130</v>
      </c>
      <c r="G5264" t="s">
        <v>164</v>
      </c>
      <c r="H5264" t="s">
        <v>165</v>
      </c>
      <c r="I5264" t="s">
        <v>42</v>
      </c>
      <c r="J5264" t="s">
        <v>43</v>
      </c>
      <c r="K5264" t="s">
        <v>47</v>
      </c>
      <c r="L5264" t="s">
        <v>48</v>
      </c>
      <c r="M5264" t="s">
        <v>166</v>
      </c>
      <c r="N5264">
        <v>1597</v>
      </c>
      <c r="O5264" s="14">
        <v>0.54149552946910295</v>
      </c>
      <c r="P5264" s="14">
        <v>0.55690808477811504</v>
      </c>
      <c r="Q5264" t="str">
        <f t="shared" si="164"/>
        <v>35-49</v>
      </c>
      <c r="R5264" t="str">
        <f t="shared" si="165"/>
        <v>[YCKiBAp8QAg]|35-49|Male|PLHIV_Residents.T|CY2024Q3</v>
      </c>
    </row>
    <row r="5265" spans="4:18" x14ac:dyDescent="0.2">
      <c r="D5265" t="s">
        <v>128</v>
      </c>
      <c r="E5265" t="s">
        <v>129</v>
      </c>
      <c r="F5265" t="s">
        <v>130</v>
      </c>
      <c r="G5265" t="s">
        <v>164</v>
      </c>
      <c r="H5265" t="s">
        <v>165</v>
      </c>
      <c r="I5265" t="s">
        <v>44</v>
      </c>
      <c r="J5265" t="s">
        <v>45</v>
      </c>
      <c r="K5265" t="s">
        <v>47</v>
      </c>
      <c r="L5265" t="s">
        <v>48</v>
      </c>
      <c r="M5265" t="s">
        <v>166</v>
      </c>
      <c r="N5265">
        <v>605</v>
      </c>
      <c r="O5265" s="14">
        <v>0.83446934376843296</v>
      </c>
      <c r="P5265" s="14">
        <v>0.55690808477811504</v>
      </c>
      <c r="Q5265" t="str">
        <f t="shared" si="164"/>
        <v>50+</v>
      </c>
      <c r="R5265" t="str">
        <f t="shared" si="165"/>
        <v>[YCKiBAp8QAg]|50+|Male|PLHIV_Residents.T|CY2024Q3</v>
      </c>
    </row>
    <row r="5266" spans="4:18" x14ac:dyDescent="0.2">
      <c r="D5266" t="s">
        <v>131</v>
      </c>
      <c r="E5266" t="s">
        <v>132</v>
      </c>
      <c r="F5266" t="s">
        <v>133</v>
      </c>
      <c r="G5266" t="s">
        <v>164</v>
      </c>
      <c r="H5266" t="s">
        <v>165</v>
      </c>
      <c r="I5266" t="s">
        <v>27</v>
      </c>
      <c r="J5266" t="s">
        <v>28</v>
      </c>
      <c r="K5266" t="s">
        <v>29</v>
      </c>
      <c r="L5266" t="s">
        <v>30</v>
      </c>
      <c r="M5266" t="s">
        <v>166</v>
      </c>
      <c r="N5266">
        <v>1552</v>
      </c>
      <c r="O5266" s="14">
        <v>0.102993910666555</v>
      </c>
      <c r="P5266" s="14">
        <v>0.16286319401115201</v>
      </c>
      <c r="Q5266" t="str">
        <f t="shared" si="164"/>
        <v>&lt;01</v>
      </c>
      <c r="R5266" t="str">
        <f t="shared" si="165"/>
        <v>[JQKLKuVuY61]|&lt;01|Female|PLHIV_Residents.T|CY2024Q3</v>
      </c>
    </row>
    <row r="5267" spans="4:18" x14ac:dyDescent="0.2">
      <c r="D5267" t="s">
        <v>131</v>
      </c>
      <c r="E5267" t="s">
        <v>132</v>
      </c>
      <c r="F5267" t="s">
        <v>133</v>
      </c>
      <c r="G5267" t="s">
        <v>164</v>
      </c>
      <c r="H5267" t="s">
        <v>165</v>
      </c>
      <c r="I5267" t="s">
        <v>32</v>
      </c>
      <c r="J5267" t="s">
        <v>33</v>
      </c>
      <c r="K5267" t="s">
        <v>29</v>
      </c>
      <c r="L5267" t="s">
        <v>30</v>
      </c>
      <c r="M5267" t="s">
        <v>166</v>
      </c>
      <c r="N5267">
        <v>1707</v>
      </c>
      <c r="O5267" s="14">
        <v>0.74672100832685795</v>
      </c>
      <c r="P5267" s="14">
        <v>0.16286319401115201</v>
      </c>
      <c r="Q5267" t="str">
        <f t="shared" si="164"/>
        <v>01-09</v>
      </c>
      <c r="R5267" t="str">
        <f t="shared" si="165"/>
        <v>[JQKLKuVuY61]|01-09|Female|PLHIV_Residents.T|CY2024Q3</v>
      </c>
    </row>
    <row r="5268" spans="4:18" x14ac:dyDescent="0.2">
      <c r="D5268" t="s">
        <v>131</v>
      </c>
      <c r="E5268" t="s">
        <v>132</v>
      </c>
      <c r="F5268" t="s">
        <v>133</v>
      </c>
      <c r="G5268" t="s">
        <v>164</v>
      </c>
      <c r="H5268" t="s">
        <v>165</v>
      </c>
      <c r="I5268" t="s">
        <v>35</v>
      </c>
      <c r="J5268" t="s">
        <v>36</v>
      </c>
      <c r="K5268" t="s">
        <v>29</v>
      </c>
      <c r="L5268" t="s">
        <v>30</v>
      </c>
      <c r="M5268" t="s">
        <v>166</v>
      </c>
      <c r="N5268">
        <v>1317</v>
      </c>
      <c r="O5268" s="14">
        <v>0.740537038305774</v>
      </c>
      <c r="P5268" s="14">
        <v>0.16286319401115201</v>
      </c>
      <c r="Q5268" t="str">
        <f t="shared" si="164"/>
        <v>10-14</v>
      </c>
      <c r="R5268" t="str">
        <f t="shared" si="165"/>
        <v>[JQKLKuVuY61]|10-14|Female|PLHIV_Residents.T|CY2024Q3</v>
      </c>
    </row>
    <row r="5269" spans="4:18" x14ac:dyDescent="0.2">
      <c r="D5269" t="s">
        <v>131</v>
      </c>
      <c r="E5269" t="s">
        <v>132</v>
      </c>
      <c r="F5269" t="s">
        <v>133</v>
      </c>
      <c r="G5269" t="s">
        <v>164</v>
      </c>
      <c r="H5269" t="s">
        <v>165</v>
      </c>
      <c r="I5269" t="s">
        <v>37</v>
      </c>
      <c r="J5269" t="s">
        <v>38</v>
      </c>
      <c r="K5269" t="s">
        <v>29</v>
      </c>
      <c r="L5269" t="s">
        <v>30</v>
      </c>
      <c r="M5269" t="s">
        <v>166</v>
      </c>
      <c r="N5269">
        <v>1525</v>
      </c>
      <c r="O5269" s="14">
        <v>0.90956914518028498</v>
      </c>
      <c r="P5269" s="14">
        <v>0.16286319401115201</v>
      </c>
      <c r="Q5269" t="str">
        <f t="shared" si="164"/>
        <v>15-24</v>
      </c>
      <c r="R5269" t="str">
        <f t="shared" si="165"/>
        <v>[JQKLKuVuY61]|15-24|Female|PLHIV_Residents.T|CY2024Q3</v>
      </c>
    </row>
    <row r="5270" spans="4:18" x14ac:dyDescent="0.2">
      <c r="D5270" t="s">
        <v>131</v>
      </c>
      <c r="E5270" t="s">
        <v>132</v>
      </c>
      <c r="F5270" t="s">
        <v>133</v>
      </c>
      <c r="G5270" t="s">
        <v>164</v>
      </c>
      <c r="H5270" t="s">
        <v>165</v>
      </c>
      <c r="I5270" t="s">
        <v>40</v>
      </c>
      <c r="J5270" t="s">
        <v>41</v>
      </c>
      <c r="K5270" t="s">
        <v>29</v>
      </c>
      <c r="L5270" t="s">
        <v>30</v>
      </c>
      <c r="M5270" t="s">
        <v>166</v>
      </c>
      <c r="N5270">
        <v>1464</v>
      </c>
      <c r="O5270" s="14">
        <v>0.28765579755418003</v>
      </c>
      <c r="P5270" s="14">
        <v>0.16286319401115201</v>
      </c>
      <c r="Q5270" t="str">
        <f t="shared" si="164"/>
        <v>25-34</v>
      </c>
      <c r="R5270" t="str">
        <f t="shared" si="165"/>
        <v>[JQKLKuVuY61]|25-34|Female|PLHIV_Residents.T|CY2024Q3</v>
      </c>
    </row>
    <row r="5271" spans="4:18" x14ac:dyDescent="0.2">
      <c r="D5271" t="s">
        <v>131</v>
      </c>
      <c r="E5271" t="s">
        <v>132</v>
      </c>
      <c r="F5271" t="s">
        <v>133</v>
      </c>
      <c r="G5271" t="s">
        <v>164</v>
      </c>
      <c r="H5271" t="s">
        <v>165</v>
      </c>
      <c r="I5271" t="s">
        <v>42</v>
      </c>
      <c r="J5271" t="s">
        <v>43</v>
      </c>
      <c r="K5271" t="s">
        <v>29</v>
      </c>
      <c r="L5271" t="s">
        <v>30</v>
      </c>
      <c r="M5271" t="s">
        <v>166</v>
      </c>
      <c r="N5271">
        <v>1536</v>
      </c>
      <c r="O5271" s="14">
        <v>0.440629973541945</v>
      </c>
      <c r="P5271" s="14">
        <v>0.16286319401115201</v>
      </c>
      <c r="Q5271" t="str">
        <f t="shared" si="164"/>
        <v>35-49</v>
      </c>
      <c r="R5271" t="str">
        <f t="shared" si="165"/>
        <v>[JQKLKuVuY61]|35-49|Female|PLHIV_Residents.T|CY2024Q3</v>
      </c>
    </row>
    <row r="5272" spans="4:18" x14ac:dyDescent="0.2">
      <c r="D5272" t="s">
        <v>131</v>
      </c>
      <c r="E5272" t="s">
        <v>132</v>
      </c>
      <c r="F5272" t="s">
        <v>133</v>
      </c>
      <c r="G5272" t="s">
        <v>164</v>
      </c>
      <c r="H5272" t="s">
        <v>165</v>
      </c>
      <c r="I5272" t="s">
        <v>44</v>
      </c>
      <c r="J5272" t="s">
        <v>45</v>
      </c>
      <c r="K5272" t="s">
        <v>29</v>
      </c>
      <c r="L5272" t="s">
        <v>30</v>
      </c>
      <c r="M5272" t="s">
        <v>166</v>
      </c>
      <c r="N5272">
        <v>1974</v>
      </c>
      <c r="O5272" s="14">
        <v>0.81291477475315299</v>
      </c>
      <c r="P5272" s="14">
        <v>0.16286319401115201</v>
      </c>
      <c r="Q5272" t="str">
        <f t="shared" si="164"/>
        <v>50+</v>
      </c>
      <c r="R5272" t="str">
        <f t="shared" si="165"/>
        <v>[JQKLKuVuY61]|50+|Female|PLHIV_Residents.T|CY2024Q3</v>
      </c>
    </row>
    <row r="5273" spans="4:18" x14ac:dyDescent="0.2">
      <c r="D5273" t="s">
        <v>131</v>
      </c>
      <c r="E5273" t="s">
        <v>132</v>
      </c>
      <c r="F5273" t="s">
        <v>133</v>
      </c>
      <c r="G5273" t="s">
        <v>164</v>
      </c>
      <c r="H5273" t="s">
        <v>165</v>
      </c>
      <c r="I5273" t="s">
        <v>27</v>
      </c>
      <c r="J5273" t="s">
        <v>28</v>
      </c>
      <c r="K5273" t="s">
        <v>47</v>
      </c>
      <c r="L5273" t="s">
        <v>48</v>
      </c>
      <c r="M5273" t="s">
        <v>166</v>
      </c>
      <c r="N5273">
        <v>1709</v>
      </c>
      <c r="O5273" s="14">
        <v>0.95569977839477405</v>
      </c>
      <c r="P5273" s="14">
        <v>0.16286319401115201</v>
      </c>
      <c r="Q5273" t="str">
        <f t="shared" si="164"/>
        <v>&lt;01</v>
      </c>
      <c r="R5273" t="str">
        <f t="shared" si="165"/>
        <v>[JQKLKuVuY61]|&lt;01|Male|PLHIV_Residents.T|CY2024Q3</v>
      </c>
    </row>
    <row r="5274" spans="4:18" x14ac:dyDescent="0.2">
      <c r="D5274" t="s">
        <v>131</v>
      </c>
      <c r="E5274" t="s">
        <v>132</v>
      </c>
      <c r="F5274" t="s">
        <v>133</v>
      </c>
      <c r="G5274" t="s">
        <v>164</v>
      </c>
      <c r="H5274" t="s">
        <v>165</v>
      </c>
      <c r="I5274" t="s">
        <v>32</v>
      </c>
      <c r="J5274" t="s">
        <v>33</v>
      </c>
      <c r="K5274" t="s">
        <v>47</v>
      </c>
      <c r="L5274" t="s">
        <v>48</v>
      </c>
      <c r="M5274" t="s">
        <v>166</v>
      </c>
      <c r="N5274">
        <v>1776</v>
      </c>
      <c r="O5274" s="14">
        <v>0.45716709527186999</v>
      </c>
      <c r="P5274" s="14">
        <v>0.16286319401115201</v>
      </c>
      <c r="Q5274" t="str">
        <f t="shared" si="164"/>
        <v>01-09</v>
      </c>
      <c r="R5274" t="str">
        <f t="shared" si="165"/>
        <v>[JQKLKuVuY61]|01-09|Male|PLHIV_Residents.T|CY2024Q3</v>
      </c>
    </row>
    <row r="5275" spans="4:18" x14ac:dyDescent="0.2">
      <c r="D5275" t="s">
        <v>131</v>
      </c>
      <c r="E5275" t="s">
        <v>132</v>
      </c>
      <c r="F5275" t="s">
        <v>133</v>
      </c>
      <c r="G5275" t="s">
        <v>164</v>
      </c>
      <c r="H5275" t="s">
        <v>165</v>
      </c>
      <c r="I5275" t="s">
        <v>35</v>
      </c>
      <c r="J5275" t="s">
        <v>36</v>
      </c>
      <c r="K5275" t="s">
        <v>47</v>
      </c>
      <c r="L5275" t="s">
        <v>48</v>
      </c>
      <c r="M5275" t="s">
        <v>166</v>
      </c>
      <c r="N5275">
        <v>1260</v>
      </c>
      <c r="O5275" s="14">
        <v>0.79520506411790803</v>
      </c>
      <c r="P5275" s="14">
        <v>0.16286319401115201</v>
      </c>
      <c r="Q5275" t="str">
        <f t="shared" si="164"/>
        <v>10-14</v>
      </c>
      <c r="R5275" t="str">
        <f t="shared" si="165"/>
        <v>[JQKLKuVuY61]|10-14|Male|PLHIV_Residents.T|CY2024Q3</v>
      </c>
    </row>
    <row r="5276" spans="4:18" x14ac:dyDescent="0.2">
      <c r="D5276" t="s">
        <v>131</v>
      </c>
      <c r="E5276" t="s">
        <v>132</v>
      </c>
      <c r="F5276" t="s">
        <v>133</v>
      </c>
      <c r="G5276" t="s">
        <v>164</v>
      </c>
      <c r="H5276" t="s">
        <v>165</v>
      </c>
      <c r="I5276" t="s">
        <v>37</v>
      </c>
      <c r="J5276" t="s">
        <v>38</v>
      </c>
      <c r="K5276" t="s">
        <v>47</v>
      </c>
      <c r="L5276" t="s">
        <v>48</v>
      </c>
      <c r="M5276" t="s">
        <v>166</v>
      </c>
      <c r="N5276">
        <v>632</v>
      </c>
      <c r="O5276" s="14">
        <v>0.60446234303526603</v>
      </c>
      <c r="P5276" s="14">
        <v>0.16286319401115201</v>
      </c>
      <c r="Q5276" t="str">
        <f t="shared" si="164"/>
        <v>15-24</v>
      </c>
      <c r="R5276" t="str">
        <f t="shared" si="165"/>
        <v>[JQKLKuVuY61]|15-24|Male|PLHIV_Residents.T|CY2024Q3</v>
      </c>
    </row>
    <row r="5277" spans="4:18" x14ac:dyDescent="0.2">
      <c r="D5277" t="s">
        <v>131</v>
      </c>
      <c r="E5277" t="s">
        <v>132</v>
      </c>
      <c r="F5277" t="s">
        <v>133</v>
      </c>
      <c r="G5277" t="s">
        <v>164</v>
      </c>
      <c r="H5277" t="s">
        <v>165</v>
      </c>
      <c r="I5277" t="s">
        <v>40</v>
      </c>
      <c r="J5277" t="s">
        <v>41</v>
      </c>
      <c r="K5277" t="s">
        <v>47</v>
      </c>
      <c r="L5277" t="s">
        <v>48</v>
      </c>
      <c r="M5277" t="s">
        <v>166</v>
      </c>
      <c r="N5277">
        <v>1404</v>
      </c>
      <c r="O5277" s="14">
        <v>0.86161630041897297</v>
      </c>
      <c r="P5277" s="14">
        <v>0.16286319401115201</v>
      </c>
      <c r="Q5277" t="str">
        <f t="shared" si="164"/>
        <v>25-34</v>
      </c>
      <c r="R5277" t="str">
        <f t="shared" si="165"/>
        <v>[JQKLKuVuY61]|25-34|Male|PLHIV_Residents.T|CY2024Q3</v>
      </c>
    </row>
    <row r="5278" spans="4:18" x14ac:dyDescent="0.2">
      <c r="D5278" t="s">
        <v>131</v>
      </c>
      <c r="E5278" t="s">
        <v>132</v>
      </c>
      <c r="F5278" t="s">
        <v>133</v>
      </c>
      <c r="G5278" t="s">
        <v>164</v>
      </c>
      <c r="H5278" t="s">
        <v>165</v>
      </c>
      <c r="I5278" t="s">
        <v>42</v>
      </c>
      <c r="J5278" t="s">
        <v>43</v>
      </c>
      <c r="K5278" t="s">
        <v>47</v>
      </c>
      <c r="L5278" t="s">
        <v>48</v>
      </c>
      <c r="M5278" t="s">
        <v>166</v>
      </c>
      <c r="N5278">
        <v>831</v>
      </c>
      <c r="O5278" s="14">
        <v>5.2496105199679698E-2</v>
      </c>
      <c r="P5278" s="14">
        <v>0.16286319401115201</v>
      </c>
      <c r="Q5278" t="str">
        <f t="shared" si="164"/>
        <v>35-49</v>
      </c>
      <c r="R5278" t="str">
        <f t="shared" si="165"/>
        <v>[JQKLKuVuY61]|35-49|Male|PLHIV_Residents.T|CY2024Q3</v>
      </c>
    </row>
    <row r="5279" spans="4:18" x14ac:dyDescent="0.2">
      <c r="D5279" t="s">
        <v>131</v>
      </c>
      <c r="E5279" t="s">
        <v>132</v>
      </c>
      <c r="F5279" t="s">
        <v>133</v>
      </c>
      <c r="G5279" t="s">
        <v>164</v>
      </c>
      <c r="H5279" t="s">
        <v>165</v>
      </c>
      <c r="I5279" t="s">
        <v>44</v>
      </c>
      <c r="J5279" t="s">
        <v>45</v>
      </c>
      <c r="K5279" t="s">
        <v>47</v>
      </c>
      <c r="L5279" t="s">
        <v>48</v>
      </c>
      <c r="M5279" t="s">
        <v>166</v>
      </c>
      <c r="N5279">
        <v>1854</v>
      </c>
      <c r="O5279" s="14">
        <v>0.79378105606883798</v>
      </c>
      <c r="P5279" s="14">
        <v>0.16286319401115201</v>
      </c>
      <c r="Q5279" t="str">
        <f t="shared" si="164"/>
        <v>50+</v>
      </c>
      <c r="R5279" t="str">
        <f t="shared" si="165"/>
        <v>[JQKLKuVuY61]|50+|Male|PLHIV_Residents.T|CY2024Q3</v>
      </c>
    </row>
    <row r="5280" spans="4:18" x14ac:dyDescent="0.2">
      <c r="D5280" t="s">
        <v>134</v>
      </c>
      <c r="E5280" t="s">
        <v>135</v>
      </c>
      <c r="F5280" t="s">
        <v>136</v>
      </c>
      <c r="G5280" t="s">
        <v>164</v>
      </c>
      <c r="H5280" t="s">
        <v>165</v>
      </c>
      <c r="I5280" t="s">
        <v>27</v>
      </c>
      <c r="J5280" t="s">
        <v>28</v>
      </c>
      <c r="K5280" t="s">
        <v>29</v>
      </c>
      <c r="L5280" t="s">
        <v>30</v>
      </c>
      <c r="M5280" t="s">
        <v>166</v>
      </c>
      <c r="N5280">
        <v>1469</v>
      </c>
      <c r="O5280" s="14">
        <v>0.90520184254273806</v>
      </c>
      <c r="P5280" s="14">
        <v>0.95530052832327805</v>
      </c>
      <c r="Q5280" t="str">
        <f t="shared" si="164"/>
        <v>&lt;01</v>
      </c>
      <c r="R5280" t="str">
        <f t="shared" si="165"/>
        <v>[fiRkU6gEjLz]|&lt;01|Female|PLHIV_Residents.T|CY2024Q3</v>
      </c>
    </row>
    <row r="5281" spans="4:18" x14ac:dyDescent="0.2">
      <c r="D5281" t="s">
        <v>134</v>
      </c>
      <c r="E5281" t="s">
        <v>135</v>
      </c>
      <c r="F5281" t="s">
        <v>136</v>
      </c>
      <c r="G5281" t="s">
        <v>164</v>
      </c>
      <c r="H5281" t="s">
        <v>165</v>
      </c>
      <c r="I5281" t="s">
        <v>32</v>
      </c>
      <c r="J5281" t="s">
        <v>33</v>
      </c>
      <c r="K5281" t="s">
        <v>29</v>
      </c>
      <c r="L5281" t="s">
        <v>30</v>
      </c>
      <c r="M5281" t="s">
        <v>166</v>
      </c>
      <c r="N5281">
        <v>982</v>
      </c>
      <c r="O5281" s="14">
        <v>0.8662450669799</v>
      </c>
      <c r="P5281" s="14">
        <v>0.95530052832327805</v>
      </c>
      <c r="Q5281" t="str">
        <f t="shared" si="164"/>
        <v>01-09</v>
      </c>
      <c r="R5281" t="str">
        <f t="shared" si="165"/>
        <v>[fiRkU6gEjLz]|01-09|Female|PLHIV_Residents.T|CY2024Q3</v>
      </c>
    </row>
    <row r="5282" spans="4:18" x14ac:dyDescent="0.2">
      <c r="D5282" t="s">
        <v>134</v>
      </c>
      <c r="E5282" t="s">
        <v>135</v>
      </c>
      <c r="F5282" t="s">
        <v>136</v>
      </c>
      <c r="G5282" t="s">
        <v>164</v>
      </c>
      <c r="H5282" t="s">
        <v>165</v>
      </c>
      <c r="I5282" t="s">
        <v>35</v>
      </c>
      <c r="J5282" t="s">
        <v>36</v>
      </c>
      <c r="K5282" t="s">
        <v>29</v>
      </c>
      <c r="L5282" t="s">
        <v>30</v>
      </c>
      <c r="M5282" t="s">
        <v>166</v>
      </c>
      <c r="N5282">
        <v>1754</v>
      </c>
      <c r="O5282" s="14">
        <v>0.784515779931098</v>
      </c>
      <c r="P5282" s="14">
        <v>0.95530052832327805</v>
      </c>
      <c r="Q5282" t="str">
        <f t="shared" si="164"/>
        <v>10-14</v>
      </c>
      <c r="R5282" t="str">
        <f t="shared" si="165"/>
        <v>[fiRkU6gEjLz]|10-14|Female|PLHIV_Residents.T|CY2024Q3</v>
      </c>
    </row>
    <row r="5283" spans="4:18" x14ac:dyDescent="0.2">
      <c r="D5283" t="s">
        <v>134</v>
      </c>
      <c r="E5283" t="s">
        <v>135</v>
      </c>
      <c r="F5283" t="s">
        <v>136</v>
      </c>
      <c r="G5283" t="s">
        <v>164</v>
      </c>
      <c r="H5283" t="s">
        <v>165</v>
      </c>
      <c r="I5283" t="s">
        <v>37</v>
      </c>
      <c r="J5283" t="s">
        <v>38</v>
      </c>
      <c r="K5283" t="s">
        <v>29</v>
      </c>
      <c r="L5283" t="s">
        <v>30</v>
      </c>
      <c r="M5283" t="s">
        <v>166</v>
      </c>
      <c r="N5283">
        <v>1022</v>
      </c>
      <c r="O5283" s="14">
        <v>0.81870052008889604</v>
      </c>
      <c r="P5283" s="14">
        <v>0.95530052832327805</v>
      </c>
      <c r="Q5283" t="str">
        <f t="shared" si="164"/>
        <v>15-24</v>
      </c>
      <c r="R5283" t="str">
        <f t="shared" si="165"/>
        <v>[fiRkU6gEjLz]|15-24|Female|PLHIV_Residents.T|CY2024Q3</v>
      </c>
    </row>
    <row r="5284" spans="4:18" x14ac:dyDescent="0.2">
      <c r="D5284" t="s">
        <v>134</v>
      </c>
      <c r="E5284" t="s">
        <v>135</v>
      </c>
      <c r="F5284" t="s">
        <v>136</v>
      </c>
      <c r="G5284" t="s">
        <v>164</v>
      </c>
      <c r="H5284" t="s">
        <v>165</v>
      </c>
      <c r="I5284" t="s">
        <v>40</v>
      </c>
      <c r="J5284" t="s">
        <v>41</v>
      </c>
      <c r="K5284" t="s">
        <v>29</v>
      </c>
      <c r="L5284" t="s">
        <v>30</v>
      </c>
      <c r="M5284" t="s">
        <v>166</v>
      </c>
      <c r="N5284">
        <v>905</v>
      </c>
      <c r="O5284" s="14">
        <v>0.16035926109179899</v>
      </c>
      <c r="P5284" s="14">
        <v>0.95530052832327805</v>
      </c>
      <c r="Q5284" t="str">
        <f t="shared" si="164"/>
        <v>25-34</v>
      </c>
      <c r="R5284" t="str">
        <f t="shared" si="165"/>
        <v>[fiRkU6gEjLz]|25-34|Female|PLHIV_Residents.T|CY2024Q3</v>
      </c>
    </row>
    <row r="5285" spans="4:18" x14ac:dyDescent="0.2">
      <c r="D5285" t="s">
        <v>134</v>
      </c>
      <c r="E5285" t="s">
        <v>135</v>
      </c>
      <c r="F5285" t="s">
        <v>136</v>
      </c>
      <c r="G5285" t="s">
        <v>164</v>
      </c>
      <c r="H5285" t="s">
        <v>165</v>
      </c>
      <c r="I5285" t="s">
        <v>42</v>
      </c>
      <c r="J5285" t="s">
        <v>43</v>
      </c>
      <c r="K5285" t="s">
        <v>29</v>
      </c>
      <c r="L5285" t="s">
        <v>30</v>
      </c>
      <c r="M5285" t="s">
        <v>166</v>
      </c>
      <c r="N5285">
        <v>714</v>
      </c>
      <c r="O5285" s="14">
        <v>0.35472648334689399</v>
      </c>
      <c r="P5285" s="14">
        <v>0.95530052832327805</v>
      </c>
      <c r="Q5285" t="str">
        <f t="shared" si="164"/>
        <v>35-49</v>
      </c>
      <c r="R5285" t="str">
        <f t="shared" si="165"/>
        <v>[fiRkU6gEjLz]|35-49|Female|PLHIV_Residents.T|CY2024Q3</v>
      </c>
    </row>
    <row r="5286" spans="4:18" x14ac:dyDescent="0.2">
      <c r="D5286" t="s">
        <v>134</v>
      </c>
      <c r="E5286" t="s">
        <v>135</v>
      </c>
      <c r="F5286" t="s">
        <v>136</v>
      </c>
      <c r="G5286" t="s">
        <v>164</v>
      </c>
      <c r="H5286" t="s">
        <v>165</v>
      </c>
      <c r="I5286" t="s">
        <v>44</v>
      </c>
      <c r="J5286" t="s">
        <v>45</v>
      </c>
      <c r="K5286" t="s">
        <v>29</v>
      </c>
      <c r="L5286" t="s">
        <v>30</v>
      </c>
      <c r="M5286" t="s">
        <v>166</v>
      </c>
      <c r="N5286">
        <v>1991</v>
      </c>
      <c r="O5286" s="14">
        <v>0.59480644622817602</v>
      </c>
      <c r="P5286" s="14">
        <v>0.95530052832327805</v>
      </c>
      <c r="Q5286" t="str">
        <f t="shared" si="164"/>
        <v>50+</v>
      </c>
      <c r="R5286" t="str">
        <f t="shared" si="165"/>
        <v>[fiRkU6gEjLz]|50+|Female|PLHIV_Residents.T|CY2024Q3</v>
      </c>
    </row>
    <row r="5287" spans="4:18" x14ac:dyDescent="0.2">
      <c r="D5287" t="s">
        <v>134</v>
      </c>
      <c r="E5287" t="s">
        <v>135</v>
      </c>
      <c r="F5287" t="s">
        <v>136</v>
      </c>
      <c r="G5287" t="s">
        <v>164</v>
      </c>
      <c r="H5287" t="s">
        <v>165</v>
      </c>
      <c r="I5287" t="s">
        <v>27</v>
      </c>
      <c r="J5287" t="s">
        <v>28</v>
      </c>
      <c r="K5287" t="s">
        <v>47</v>
      </c>
      <c r="L5287" t="s">
        <v>48</v>
      </c>
      <c r="M5287" t="s">
        <v>166</v>
      </c>
      <c r="N5287">
        <v>1292</v>
      </c>
      <c r="O5287" s="14">
        <v>0.199702383717522</v>
      </c>
      <c r="P5287" s="14">
        <v>0.95530052832327805</v>
      </c>
      <c r="Q5287" t="str">
        <f t="shared" si="164"/>
        <v>&lt;01</v>
      </c>
      <c r="R5287" t="str">
        <f t="shared" si="165"/>
        <v>[fiRkU6gEjLz]|&lt;01|Male|PLHIV_Residents.T|CY2024Q3</v>
      </c>
    </row>
    <row r="5288" spans="4:18" x14ac:dyDescent="0.2">
      <c r="D5288" t="s">
        <v>134</v>
      </c>
      <c r="E5288" t="s">
        <v>135</v>
      </c>
      <c r="F5288" t="s">
        <v>136</v>
      </c>
      <c r="G5288" t="s">
        <v>164</v>
      </c>
      <c r="H5288" t="s">
        <v>165</v>
      </c>
      <c r="I5288" t="s">
        <v>32</v>
      </c>
      <c r="J5288" t="s">
        <v>33</v>
      </c>
      <c r="K5288" t="s">
        <v>47</v>
      </c>
      <c r="L5288" t="s">
        <v>48</v>
      </c>
      <c r="M5288" t="s">
        <v>166</v>
      </c>
      <c r="N5288">
        <v>1611</v>
      </c>
      <c r="O5288" s="14">
        <v>0.26579446694813702</v>
      </c>
      <c r="P5288" s="14">
        <v>0.95530052832327805</v>
      </c>
      <c r="Q5288" t="str">
        <f t="shared" si="164"/>
        <v>01-09</v>
      </c>
      <c r="R5288" t="str">
        <f t="shared" si="165"/>
        <v>[fiRkU6gEjLz]|01-09|Male|PLHIV_Residents.T|CY2024Q3</v>
      </c>
    </row>
    <row r="5289" spans="4:18" x14ac:dyDescent="0.2">
      <c r="D5289" t="s">
        <v>134</v>
      </c>
      <c r="E5289" t="s">
        <v>135</v>
      </c>
      <c r="F5289" t="s">
        <v>136</v>
      </c>
      <c r="G5289" t="s">
        <v>164</v>
      </c>
      <c r="H5289" t="s">
        <v>165</v>
      </c>
      <c r="I5289" t="s">
        <v>35</v>
      </c>
      <c r="J5289" t="s">
        <v>36</v>
      </c>
      <c r="K5289" t="s">
        <v>47</v>
      </c>
      <c r="L5289" t="s">
        <v>48</v>
      </c>
      <c r="M5289" t="s">
        <v>166</v>
      </c>
      <c r="N5289">
        <v>825</v>
      </c>
      <c r="O5289" s="14">
        <v>0.27782781189307598</v>
      </c>
      <c r="P5289" s="14">
        <v>0.95530052832327805</v>
      </c>
      <c r="Q5289" t="str">
        <f t="shared" si="164"/>
        <v>10-14</v>
      </c>
      <c r="R5289" t="str">
        <f t="shared" si="165"/>
        <v>[fiRkU6gEjLz]|10-14|Male|PLHIV_Residents.T|CY2024Q3</v>
      </c>
    </row>
    <row r="5290" spans="4:18" x14ac:dyDescent="0.2">
      <c r="D5290" t="s">
        <v>134</v>
      </c>
      <c r="E5290" t="s">
        <v>135</v>
      </c>
      <c r="F5290" t="s">
        <v>136</v>
      </c>
      <c r="G5290" t="s">
        <v>164</v>
      </c>
      <c r="H5290" t="s">
        <v>165</v>
      </c>
      <c r="I5290" t="s">
        <v>37</v>
      </c>
      <c r="J5290" t="s">
        <v>38</v>
      </c>
      <c r="K5290" t="s">
        <v>47</v>
      </c>
      <c r="L5290" t="s">
        <v>48</v>
      </c>
      <c r="M5290" t="s">
        <v>166</v>
      </c>
      <c r="N5290">
        <v>1770</v>
      </c>
      <c r="O5290" s="14">
        <v>0.50778831448406003</v>
      </c>
      <c r="P5290" s="14">
        <v>0.95530052832327805</v>
      </c>
      <c r="Q5290" t="str">
        <f t="shared" si="164"/>
        <v>15-24</v>
      </c>
      <c r="R5290" t="str">
        <f t="shared" si="165"/>
        <v>[fiRkU6gEjLz]|15-24|Male|PLHIV_Residents.T|CY2024Q3</v>
      </c>
    </row>
    <row r="5291" spans="4:18" x14ac:dyDescent="0.2">
      <c r="D5291" t="s">
        <v>134</v>
      </c>
      <c r="E5291" t="s">
        <v>135</v>
      </c>
      <c r="F5291" t="s">
        <v>136</v>
      </c>
      <c r="G5291" t="s">
        <v>164</v>
      </c>
      <c r="H5291" t="s">
        <v>165</v>
      </c>
      <c r="I5291" t="s">
        <v>40</v>
      </c>
      <c r="J5291" t="s">
        <v>41</v>
      </c>
      <c r="K5291" t="s">
        <v>47</v>
      </c>
      <c r="L5291" t="s">
        <v>48</v>
      </c>
      <c r="M5291" t="s">
        <v>166</v>
      </c>
      <c r="N5291">
        <v>1870</v>
      </c>
      <c r="O5291" s="14">
        <v>0.71846485068090304</v>
      </c>
      <c r="P5291" s="14">
        <v>0.95530052832327805</v>
      </c>
      <c r="Q5291" t="str">
        <f t="shared" si="164"/>
        <v>25-34</v>
      </c>
      <c r="R5291" t="str">
        <f t="shared" si="165"/>
        <v>[fiRkU6gEjLz]|25-34|Male|PLHIV_Residents.T|CY2024Q3</v>
      </c>
    </row>
    <row r="5292" spans="4:18" x14ac:dyDescent="0.2">
      <c r="D5292" t="s">
        <v>134</v>
      </c>
      <c r="E5292" t="s">
        <v>135</v>
      </c>
      <c r="F5292" t="s">
        <v>136</v>
      </c>
      <c r="G5292" t="s">
        <v>164</v>
      </c>
      <c r="H5292" t="s">
        <v>165</v>
      </c>
      <c r="I5292" t="s">
        <v>42</v>
      </c>
      <c r="J5292" t="s">
        <v>43</v>
      </c>
      <c r="K5292" t="s">
        <v>47</v>
      </c>
      <c r="L5292" t="s">
        <v>48</v>
      </c>
      <c r="M5292" t="s">
        <v>166</v>
      </c>
      <c r="N5292">
        <v>955</v>
      </c>
      <c r="O5292" s="14">
        <v>0.21051803836599001</v>
      </c>
      <c r="P5292" s="14">
        <v>0.95530052832327805</v>
      </c>
      <c r="Q5292" t="str">
        <f t="shared" si="164"/>
        <v>35-49</v>
      </c>
      <c r="R5292" t="str">
        <f t="shared" si="165"/>
        <v>[fiRkU6gEjLz]|35-49|Male|PLHIV_Residents.T|CY2024Q3</v>
      </c>
    </row>
    <row r="5293" spans="4:18" x14ac:dyDescent="0.2">
      <c r="D5293" t="s">
        <v>134</v>
      </c>
      <c r="E5293" t="s">
        <v>135</v>
      </c>
      <c r="F5293" t="s">
        <v>136</v>
      </c>
      <c r="G5293" t="s">
        <v>164</v>
      </c>
      <c r="H5293" t="s">
        <v>165</v>
      </c>
      <c r="I5293" t="s">
        <v>44</v>
      </c>
      <c r="J5293" t="s">
        <v>45</v>
      </c>
      <c r="K5293" t="s">
        <v>47</v>
      </c>
      <c r="L5293" t="s">
        <v>48</v>
      </c>
      <c r="M5293" t="s">
        <v>166</v>
      </c>
      <c r="N5293">
        <v>525</v>
      </c>
      <c r="O5293" s="14">
        <v>0.60764100519008901</v>
      </c>
      <c r="P5293" s="14">
        <v>0.95530052832327805</v>
      </c>
      <c r="Q5293" t="str">
        <f t="shared" si="164"/>
        <v>50+</v>
      </c>
      <c r="R5293" t="str">
        <f t="shared" si="165"/>
        <v>[fiRkU6gEjLz]|50+|Male|PLHIV_Residents.T|CY2024Q3</v>
      </c>
    </row>
    <row r="5294" spans="4:18" x14ac:dyDescent="0.2">
      <c r="D5294" t="s">
        <v>22</v>
      </c>
      <c r="E5294" t="s">
        <v>23</v>
      </c>
      <c r="F5294" t="s">
        <v>24</v>
      </c>
      <c r="G5294" t="s">
        <v>167</v>
      </c>
      <c r="H5294" t="s">
        <v>167</v>
      </c>
      <c r="I5294" t="s">
        <v>27</v>
      </c>
      <c r="J5294" t="s">
        <v>28</v>
      </c>
      <c r="K5294" t="s">
        <v>29</v>
      </c>
      <c r="L5294" t="s">
        <v>30</v>
      </c>
      <c r="M5294" t="s">
        <v>166</v>
      </c>
      <c r="N5294">
        <v>1995</v>
      </c>
      <c r="O5294" s="14">
        <v>8.0050339922308894E-2</v>
      </c>
      <c r="P5294" s="14">
        <v>0.40435861097648701</v>
      </c>
      <c r="Q5294" t="str">
        <f t="shared" si="164"/>
        <v>&lt;01</v>
      </c>
      <c r="R5294" t="str">
        <f t="shared" si="165"/>
        <v>[GkIwZrXy1h2]|&lt;01|Female|PLHIV_Attend.T|CY2024Q3</v>
      </c>
    </row>
    <row r="5295" spans="4:18" x14ac:dyDescent="0.2">
      <c r="D5295" t="s">
        <v>22</v>
      </c>
      <c r="E5295" t="s">
        <v>23</v>
      </c>
      <c r="F5295" t="s">
        <v>24</v>
      </c>
      <c r="G5295" t="s">
        <v>167</v>
      </c>
      <c r="H5295" t="s">
        <v>167</v>
      </c>
      <c r="I5295" t="s">
        <v>32</v>
      </c>
      <c r="J5295" t="s">
        <v>33</v>
      </c>
      <c r="K5295" t="s">
        <v>29</v>
      </c>
      <c r="L5295" t="s">
        <v>30</v>
      </c>
      <c r="M5295" t="s">
        <v>166</v>
      </c>
      <c r="N5295">
        <v>1392</v>
      </c>
      <c r="O5295" s="14">
        <v>0.89083078247494996</v>
      </c>
      <c r="P5295" s="14">
        <v>0.40435861097648701</v>
      </c>
      <c r="Q5295" t="str">
        <f t="shared" si="164"/>
        <v>01-09</v>
      </c>
      <c r="R5295" t="str">
        <f t="shared" si="165"/>
        <v>[GkIwZrXy1h2]|01-09|Female|PLHIV_Attend.T|CY2024Q3</v>
      </c>
    </row>
    <row r="5296" spans="4:18" x14ac:dyDescent="0.2">
      <c r="D5296" t="s">
        <v>22</v>
      </c>
      <c r="E5296" t="s">
        <v>23</v>
      </c>
      <c r="F5296" t="s">
        <v>24</v>
      </c>
      <c r="G5296" t="s">
        <v>167</v>
      </c>
      <c r="H5296" t="s">
        <v>167</v>
      </c>
      <c r="I5296" t="s">
        <v>35</v>
      </c>
      <c r="J5296" t="s">
        <v>36</v>
      </c>
      <c r="K5296" t="s">
        <v>29</v>
      </c>
      <c r="L5296" t="s">
        <v>30</v>
      </c>
      <c r="M5296" t="s">
        <v>166</v>
      </c>
      <c r="N5296">
        <v>521</v>
      </c>
      <c r="O5296" s="14">
        <v>0.11871522315777799</v>
      </c>
      <c r="P5296" s="14">
        <v>0.40435861097648701</v>
      </c>
      <c r="Q5296" t="str">
        <f t="shared" si="164"/>
        <v>10-14</v>
      </c>
      <c r="R5296" t="str">
        <f t="shared" si="165"/>
        <v>[GkIwZrXy1h2]|10-14|Female|PLHIV_Attend.T|CY2024Q3</v>
      </c>
    </row>
    <row r="5297" spans="4:18" x14ac:dyDescent="0.2">
      <c r="D5297" t="s">
        <v>22</v>
      </c>
      <c r="E5297" t="s">
        <v>23</v>
      </c>
      <c r="F5297" t="s">
        <v>24</v>
      </c>
      <c r="G5297" t="s">
        <v>167</v>
      </c>
      <c r="H5297" t="s">
        <v>167</v>
      </c>
      <c r="I5297" t="s">
        <v>37</v>
      </c>
      <c r="J5297" t="s">
        <v>38</v>
      </c>
      <c r="K5297" t="s">
        <v>29</v>
      </c>
      <c r="L5297" t="s">
        <v>30</v>
      </c>
      <c r="M5297" t="s">
        <v>166</v>
      </c>
      <c r="N5297">
        <v>890</v>
      </c>
      <c r="O5297" s="14">
        <v>0.41162203904241301</v>
      </c>
      <c r="P5297" s="14">
        <v>0.40435861097648701</v>
      </c>
      <c r="Q5297" t="str">
        <f t="shared" si="164"/>
        <v>15-24</v>
      </c>
      <c r="R5297" t="str">
        <f t="shared" si="165"/>
        <v>[GkIwZrXy1h2]|15-24|Female|PLHIV_Attend.T|CY2024Q3</v>
      </c>
    </row>
    <row r="5298" spans="4:18" x14ac:dyDescent="0.2">
      <c r="D5298" t="s">
        <v>22</v>
      </c>
      <c r="E5298" t="s">
        <v>23</v>
      </c>
      <c r="F5298" t="s">
        <v>24</v>
      </c>
      <c r="G5298" t="s">
        <v>167</v>
      </c>
      <c r="H5298" t="s">
        <v>167</v>
      </c>
      <c r="I5298" t="s">
        <v>40</v>
      </c>
      <c r="J5298" t="s">
        <v>41</v>
      </c>
      <c r="K5298" t="s">
        <v>29</v>
      </c>
      <c r="L5298" t="s">
        <v>30</v>
      </c>
      <c r="M5298" t="s">
        <v>166</v>
      </c>
      <c r="N5298">
        <v>1121</v>
      </c>
      <c r="O5298" s="14">
        <v>0.98483967408537898</v>
      </c>
      <c r="P5298" s="14">
        <v>0.40435861097648701</v>
      </c>
      <c r="Q5298" t="str">
        <f t="shared" si="164"/>
        <v>25-34</v>
      </c>
      <c r="R5298" t="str">
        <f t="shared" si="165"/>
        <v>[GkIwZrXy1h2]|25-34|Female|PLHIV_Attend.T|CY2024Q3</v>
      </c>
    </row>
    <row r="5299" spans="4:18" x14ac:dyDescent="0.2">
      <c r="D5299" t="s">
        <v>22</v>
      </c>
      <c r="E5299" t="s">
        <v>23</v>
      </c>
      <c r="F5299" t="s">
        <v>24</v>
      </c>
      <c r="G5299" t="s">
        <v>167</v>
      </c>
      <c r="H5299" t="s">
        <v>167</v>
      </c>
      <c r="I5299" t="s">
        <v>42</v>
      </c>
      <c r="J5299" t="s">
        <v>43</v>
      </c>
      <c r="K5299" t="s">
        <v>29</v>
      </c>
      <c r="L5299" t="s">
        <v>30</v>
      </c>
      <c r="M5299" t="s">
        <v>166</v>
      </c>
      <c r="N5299">
        <v>989</v>
      </c>
      <c r="O5299" s="14">
        <v>0.51000856305472597</v>
      </c>
      <c r="P5299" s="14">
        <v>0.40435861097648701</v>
      </c>
      <c r="Q5299" t="str">
        <f t="shared" si="164"/>
        <v>35-49</v>
      </c>
      <c r="R5299" t="str">
        <f t="shared" si="165"/>
        <v>[GkIwZrXy1h2]|35-49|Female|PLHIV_Attend.T|CY2024Q3</v>
      </c>
    </row>
    <row r="5300" spans="4:18" x14ac:dyDescent="0.2">
      <c r="D5300" t="s">
        <v>22</v>
      </c>
      <c r="E5300" t="s">
        <v>23</v>
      </c>
      <c r="F5300" t="s">
        <v>24</v>
      </c>
      <c r="G5300" t="s">
        <v>167</v>
      </c>
      <c r="H5300" t="s">
        <v>167</v>
      </c>
      <c r="I5300" t="s">
        <v>44</v>
      </c>
      <c r="J5300" t="s">
        <v>45</v>
      </c>
      <c r="K5300" t="s">
        <v>29</v>
      </c>
      <c r="L5300" t="s">
        <v>30</v>
      </c>
      <c r="M5300" t="s">
        <v>166</v>
      </c>
      <c r="N5300">
        <v>1345</v>
      </c>
      <c r="O5300" s="14">
        <v>0.35718023474328198</v>
      </c>
      <c r="P5300" s="14">
        <v>0.40435861097648701</v>
      </c>
      <c r="Q5300" t="str">
        <f t="shared" si="164"/>
        <v>50+</v>
      </c>
      <c r="R5300" t="str">
        <f t="shared" si="165"/>
        <v>[GkIwZrXy1h2]|50+|Female|PLHIV_Attend.T|CY2024Q3</v>
      </c>
    </row>
    <row r="5301" spans="4:18" x14ac:dyDescent="0.2">
      <c r="D5301" t="s">
        <v>22</v>
      </c>
      <c r="E5301" t="s">
        <v>23</v>
      </c>
      <c r="F5301" t="s">
        <v>24</v>
      </c>
      <c r="G5301" t="s">
        <v>167</v>
      </c>
      <c r="H5301" t="s">
        <v>167</v>
      </c>
      <c r="I5301" t="s">
        <v>27</v>
      </c>
      <c r="J5301" t="s">
        <v>28</v>
      </c>
      <c r="K5301" t="s">
        <v>47</v>
      </c>
      <c r="L5301" t="s">
        <v>48</v>
      </c>
      <c r="M5301" t="s">
        <v>166</v>
      </c>
      <c r="N5301">
        <v>1877</v>
      </c>
      <c r="O5301" s="14">
        <v>0.57776624010875799</v>
      </c>
      <c r="P5301" s="14">
        <v>0.40435861097648701</v>
      </c>
      <c r="Q5301" t="str">
        <f t="shared" si="164"/>
        <v>&lt;01</v>
      </c>
      <c r="R5301" t="str">
        <f t="shared" si="165"/>
        <v>[GkIwZrXy1h2]|&lt;01|Male|PLHIV_Attend.T|CY2024Q3</v>
      </c>
    </row>
    <row r="5302" spans="4:18" x14ac:dyDescent="0.2">
      <c r="D5302" t="s">
        <v>22</v>
      </c>
      <c r="E5302" t="s">
        <v>23</v>
      </c>
      <c r="F5302" t="s">
        <v>24</v>
      </c>
      <c r="G5302" t="s">
        <v>167</v>
      </c>
      <c r="H5302" t="s">
        <v>167</v>
      </c>
      <c r="I5302" t="s">
        <v>32</v>
      </c>
      <c r="J5302" t="s">
        <v>33</v>
      </c>
      <c r="K5302" t="s">
        <v>47</v>
      </c>
      <c r="L5302" t="s">
        <v>48</v>
      </c>
      <c r="M5302" t="s">
        <v>166</v>
      </c>
      <c r="N5302">
        <v>983</v>
      </c>
      <c r="O5302" s="14">
        <v>0.98999620741233196</v>
      </c>
      <c r="P5302" s="14">
        <v>0.40435861097648701</v>
      </c>
      <c r="Q5302" t="str">
        <f t="shared" si="164"/>
        <v>01-09</v>
      </c>
      <c r="R5302" t="str">
        <f t="shared" si="165"/>
        <v>[GkIwZrXy1h2]|01-09|Male|PLHIV_Attend.T|CY2024Q3</v>
      </c>
    </row>
    <row r="5303" spans="4:18" x14ac:dyDescent="0.2">
      <c r="D5303" t="s">
        <v>22</v>
      </c>
      <c r="E5303" t="s">
        <v>23</v>
      </c>
      <c r="F5303" t="s">
        <v>24</v>
      </c>
      <c r="G5303" t="s">
        <v>167</v>
      </c>
      <c r="H5303" t="s">
        <v>167</v>
      </c>
      <c r="I5303" t="s">
        <v>35</v>
      </c>
      <c r="J5303" t="s">
        <v>36</v>
      </c>
      <c r="K5303" t="s">
        <v>47</v>
      </c>
      <c r="L5303" t="s">
        <v>48</v>
      </c>
      <c r="M5303" t="s">
        <v>166</v>
      </c>
      <c r="N5303">
        <v>1984</v>
      </c>
      <c r="O5303" s="14">
        <v>0.36214531329460398</v>
      </c>
      <c r="P5303" s="14">
        <v>0.40435861097648701</v>
      </c>
      <c r="Q5303" t="str">
        <f t="shared" si="164"/>
        <v>10-14</v>
      </c>
      <c r="R5303" t="str">
        <f t="shared" si="165"/>
        <v>[GkIwZrXy1h2]|10-14|Male|PLHIV_Attend.T|CY2024Q3</v>
      </c>
    </row>
    <row r="5304" spans="4:18" x14ac:dyDescent="0.2">
      <c r="D5304" t="s">
        <v>22</v>
      </c>
      <c r="E5304" t="s">
        <v>23</v>
      </c>
      <c r="F5304" t="s">
        <v>24</v>
      </c>
      <c r="G5304" t="s">
        <v>167</v>
      </c>
      <c r="H5304" t="s">
        <v>167</v>
      </c>
      <c r="I5304" t="s">
        <v>37</v>
      </c>
      <c r="J5304" t="s">
        <v>38</v>
      </c>
      <c r="K5304" t="s">
        <v>47</v>
      </c>
      <c r="L5304" t="s">
        <v>48</v>
      </c>
      <c r="M5304" t="s">
        <v>166</v>
      </c>
      <c r="N5304">
        <v>1621</v>
      </c>
      <c r="O5304" s="14">
        <v>0.11474942881614</v>
      </c>
      <c r="P5304" s="14">
        <v>0.40435861097648701</v>
      </c>
      <c r="Q5304" t="str">
        <f t="shared" si="164"/>
        <v>15-24</v>
      </c>
      <c r="R5304" t="str">
        <f t="shared" si="165"/>
        <v>[GkIwZrXy1h2]|15-24|Male|PLHIV_Attend.T|CY2024Q3</v>
      </c>
    </row>
    <row r="5305" spans="4:18" x14ac:dyDescent="0.2">
      <c r="D5305" t="s">
        <v>22</v>
      </c>
      <c r="E5305" t="s">
        <v>23</v>
      </c>
      <c r="F5305" t="s">
        <v>24</v>
      </c>
      <c r="G5305" t="s">
        <v>167</v>
      </c>
      <c r="H5305" t="s">
        <v>167</v>
      </c>
      <c r="I5305" t="s">
        <v>40</v>
      </c>
      <c r="J5305" t="s">
        <v>41</v>
      </c>
      <c r="K5305" t="s">
        <v>47</v>
      </c>
      <c r="L5305" t="s">
        <v>48</v>
      </c>
      <c r="M5305" t="s">
        <v>166</v>
      </c>
      <c r="N5305">
        <v>1273</v>
      </c>
      <c r="O5305" s="14">
        <v>0.416566464118659</v>
      </c>
      <c r="P5305" s="14">
        <v>0.40435861097648701</v>
      </c>
      <c r="Q5305" t="str">
        <f t="shared" si="164"/>
        <v>25-34</v>
      </c>
      <c r="R5305" t="str">
        <f t="shared" si="165"/>
        <v>[GkIwZrXy1h2]|25-34|Male|PLHIV_Attend.T|CY2024Q3</v>
      </c>
    </row>
    <row r="5306" spans="4:18" x14ac:dyDescent="0.2">
      <c r="D5306" t="s">
        <v>22</v>
      </c>
      <c r="E5306" t="s">
        <v>23</v>
      </c>
      <c r="F5306" t="s">
        <v>24</v>
      </c>
      <c r="G5306" t="s">
        <v>167</v>
      </c>
      <c r="H5306" t="s">
        <v>167</v>
      </c>
      <c r="I5306" t="s">
        <v>42</v>
      </c>
      <c r="J5306" t="s">
        <v>43</v>
      </c>
      <c r="K5306" t="s">
        <v>47</v>
      </c>
      <c r="L5306" t="s">
        <v>48</v>
      </c>
      <c r="M5306" t="s">
        <v>166</v>
      </c>
      <c r="N5306">
        <v>1672</v>
      </c>
      <c r="O5306" s="14">
        <v>0.66010350198485002</v>
      </c>
      <c r="P5306" s="14">
        <v>0.40435861097648701</v>
      </c>
      <c r="Q5306" t="str">
        <f t="shared" si="164"/>
        <v>35-49</v>
      </c>
      <c r="R5306" t="str">
        <f t="shared" si="165"/>
        <v>[GkIwZrXy1h2]|35-49|Male|PLHIV_Attend.T|CY2024Q3</v>
      </c>
    </row>
    <row r="5307" spans="4:18" x14ac:dyDescent="0.2">
      <c r="D5307" t="s">
        <v>22</v>
      </c>
      <c r="E5307" t="s">
        <v>23</v>
      </c>
      <c r="F5307" t="s">
        <v>24</v>
      </c>
      <c r="G5307" t="s">
        <v>167</v>
      </c>
      <c r="H5307" t="s">
        <v>167</v>
      </c>
      <c r="I5307" t="s">
        <v>44</v>
      </c>
      <c r="J5307" t="s">
        <v>45</v>
      </c>
      <c r="K5307" t="s">
        <v>47</v>
      </c>
      <c r="L5307" t="s">
        <v>48</v>
      </c>
      <c r="M5307" t="s">
        <v>166</v>
      </c>
      <c r="N5307">
        <v>669</v>
      </c>
      <c r="O5307" s="14">
        <v>0.42755998694337899</v>
      </c>
      <c r="P5307" s="14">
        <v>0.40435861097648701</v>
      </c>
      <c r="Q5307" t="str">
        <f t="shared" si="164"/>
        <v>50+</v>
      </c>
      <c r="R5307" t="str">
        <f t="shared" si="165"/>
        <v>[GkIwZrXy1h2]|50+|Male|PLHIV_Attend.T|CY2024Q3</v>
      </c>
    </row>
    <row r="5308" spans="4:18" x14ac:dyDescent="0.2">
      <c r="D5308" t="s">
        <v>52</v>
      </c>
      <c r="E5308" t="s">
        <v>53</v>
      </c>
      <c r="F5308" t="s">
        <v>54</v>
      </c>
      <c r="G5308" t="s">
        <v>167</v>
      </c>
      <c r="H5308" t="s">
        <v>167</v>
      </c>
      <c r="I5308" t="s">
        <v>27</v>
      </c>
      <c r="J5308" t="s">
        <v>28</v>
      </c>
      <c r="K5308" t="s">
        <v>29</v>
      </c>
      <c r="L5308" t="s">
        <v>30</v>
      </c>
      <c r="M5308" t="s">
        <v>166</v>
      </c>
      <c r="N5308">
        <v>530</v>
      </c>
      <c r="O5308" s="14">
        <v>0.41322894231416302</v>
      </c>
      <c r="P5308" s="14">
        <v>0.61639246996492103</v>
      </c>
      <c r="Q5308" t="str">
        <f t="shared" si="164"/>
        <v>&lt;01</v>
      </c>
      <c r="R5308" t="str">
        <f t="shared" si="165"/>
        <v>[zphK9WV8JB4]|&lt;01|Female|PLHIV_Attend.T|CY2024Q3</v>
      </c>
    </row>
    <row r="5309" spans="4:18" x14ac:dyDescent="0.2">
      <c r="D5309" t="s">
        <v>52</v>
      </c>
      <c r="E5309" t="s">
        <v>53</v>
      </c>
      <c r="F5309" t="s">
        <v>54</v>
      </c>
      <c r="G5309" t="s">
        <v>167</v>
      </c>
      <c r="H5309" t="s">
        <v>167</v>
      </c>
      <c r="I5309" t="s">
        <v>32</v>
      </c>
      <c r="J5309" t="s">
        <v>33</v>
      </c>
      <c r="K5309" t="s">
        <v>29</v>
      </c>
      <c r="L5309" t="s">
        <v>30</v>
      </c>
      <c r="M5309" t="s">
        <v>166</v>
      </c>
      <c r="N5309">
        <v>1940</v>
      </c>
      <c r="O5309" s="14">
        <v>0.12570052198134399</v>
      </c>
      <c r="P5309" s="14">
        <v>0.61639246996492103</v>
      </c>
      <c r="Q5309" t="str">
        <f t="shared" si="164"/>
        <v>01-09</v>
      </c>
      <c r="R5309" t="str">
        <f t="shared" si="165"/>
        <v>[zphK9WV8JB4]|01-09|Female|PLHIV_Attend.T|CY2024Q3</v>
      </c>
    </row>
    <row r="5310" spans="4:18" x14ac:dyDescent="0.2">
      <c r="D5310" t="s">
        <v>52</v>
      </c>
      <c r="E5310" t="s">
        <v>53</v>
      </c>
      <c r="F5310" t="s">
        <v>54</v>
      </c>
      <c r="G5310" t="s">
        <v>167</v>
      </c>
      <c r="H5310" t="s">
        <v>167</v>
      </c>
      <c r="I5310" t="s">
        <v>35</v>
      </c>
      <c r="J5310" t="s">
        <v>36</v>
      </c>
      <c r="K5310" t="s">
        <v>29</v>
      </c>
      <c r="L5310" t="s">
        <v>30</v>
      </c>
      <c r="M5310" t="s">
        <v>166</v>
      </c>
      <c r="N5310">
        <v>909</v>
      </c>
      <c r="O5310" s="14">
        <v>0.54987445357255604</v>
      </c>
      <c r="P5310" s="14">
        <v>0.61639246996492103</v>
      </c>
      <c r="Q5310" t="str">
        <f t="shared" si="164"/>
        <v>10-14</v>
      </c>
      <c r="R5310" t="str">
        <f t="shared" si="165"/>
        <v>[zphK9WV8JB4]|10-14|Female|PLHIV_Attend.T|CY2024Q3</v>
      </c>
    </row>
    <row r="5311" spans="4:18" x14ac:dyDescent="0.2">
      <c r="D5311" t="s">
        <v>52</v>
      </c>
      <c r="E5311" t="s">
        <v>53</v>
      </c>
      <c r="F5311" t="s">
        <v>54</v>
      </c>
      <c r="G5311" t="s">
        <v>167</v>
      </c>
      <c r="H5311" t="s">
        <v>167</v>
      </c>
      <c r="I5311" t="s">
        <v>37</v>
      </c>
      <c r="J5311" t="s">
        <v>38</v>
      </c>
      <c r="K5311" t="s">
        <v>29</v>
      </c>
      <c r="L5311" t="s">
        <v>30</v>
      </c>
      <c r="M5311" t="s">
        <v>166</v>
      </c>
      <c r="N5311">
        <v>1325</v>
      </c>
      <c r="O5311" s="14">
        <v>0.35033503710292302</v>
      </c>
      <c r="P5311" s="14">
        <v>0.61639246996492103</v>
      </c>
      <c r="Q5311" t="str">
        <f t="shared" si="164"/>
        <v>15-24</v>
      </c>
      <c r="R5311" t="str">
        <f t="shared" si="165"/>
        <v>[zphK9WV8JB4]|15-24|Female|PLHIV_Attend.T|CY2024Q3</v>
      </c>
    </row>
    <row r="5312" spans="4:18" x14ac:dyDescent="0.2">
      <c r="D5312" t="s">
        <v>52</v>
      </c>
      <c r="E5312" t="s">
        <v>53</v>
      </c>
      <c r="F5312" t="s">
        <v>54</v>
      </c>
      <c r="G5312" t="s">
        <v>167</v>
      </c>
      <c r="H5312" t="s">
        <v>167</v>
      </c>
      <c r="I5312" t="s">
        <v>40</v>
      </c>
      <c r="J5312" t="s">
        <v>41</v>
      </c>
      <c r="K5312" t="s">
        <v>29</v>
      </c>
      <c r="L5312" t="s">
        <v>30</v>
      </c>
      <c r="M5312" t="s">
        <v>166</v>
      </c>
      <c r="N5312">
        <v>765</v>
      </c>
      <c r="O5312" s="14">
        <v>0.47355149290524401</v>
      </c>
      <c r="P5312" s="14">
        <v>0.61639246996492103</v>
      </c>
      <c r="Q5312" t="str">
        <f t="shared" si="164"/>
        <v>25-34</v>
      </c>
      <c r="R5312" t="str">
        <f t="shared" si="165"/>
        <v>[zphK9WV8JB4]|25-34|Female|PLHIV_Attend.T|CY2024Q3</v>
      </c>
    </row>
    <row r="5313" spans="4:18" x14ac:dyDescent="0.2">
      <c r="D5313" t="s">
        <v>52</v>
      </c>
      <c r="E5313" t="s">
        <v>53</v>
      </c>
      <c r="F5313" t="s">
        <v>54</v>
      </c>
      <c r="G5313" t="s">
        <v>167</v>
      </c>
      <c r="H5313" t="s">
        <v>167</v>
      </c>
      <c r="I5313" t="s">
        <v>42</v>
      </c>
      <c r="J5313" t="s">
        <v>43</v>
      </c>
      <c r="K5313" t="s">
        <v>29</v>
      </c>
      <c r="L5313" t="s">
        <v>30</v>
      </c>
      <c r="M5313" t="s">
        <v>166</v>
      </c>
      <c r="N5313">
        <v>1873</v>
      </c>
      <c r="O5313" s="14">
        <v>0.75947089004330304</v>
      </c>
      <c r="P5313" s="14">
        <v>0.61639246996492103</v>
      </c>
      <c r="Q5313" t="str">
        <f t="shared" si="164"/>
        <v>35-49</v>
      </c>
      <c r="R5313" t="str">
        <f t="shared" si="165"/>
        <v>[zphK9WV8JB4]|35-49|Female|PLHIV_Attend.T|CY2024Q3</v>
      </c>
    </row>
    <row r="5314" spans="4:18" x14ac:dyDescent="0.2">
      <c r="D5314" t="s">
        <v>52</v>
      </c>
      <c r="E5314" t="s">
        <v>53</v>
      </c>
      <c r="F5314" t="s">
        <v>54</v>
      </c>
      <c r="G5314" t="s">
        <v>167</v>
      </c>
      <c r="H5314" t="s">
        <v>167</v>
      </c>
      <c r="I5314" t="s">
        <v>44</v>
      </c>
      <c r="J5314" t="s">
        <v>45</v>
      </c>
      <c r="K5314" t="s">
        <v>29</v>
      </c>
      <c r="L5314" t="s">
        <v>30</v>
      </c>
      <c r="M5314" t="s">
        <v>166</v>
      </c>
      <c r="N5314">
        <v>726</v>
      </c>
      <c r="O5314" s="14">
        <v>7.1720852050930303E-2</v>
      </c>
      <c r="P5314" s="14">
        <v>0.61639246996492103</v>
      </c>
      <c r="Q5314" t="str">
        <f t="shared" ref="Q5314:Q5377" si="166">SUBSTITUTE(SUBSTITUTE($I5314,CHAR(61),""),CHAR(34),"")</f>
        <v>50+</v>
      </c>
      <c r="R5314" t="str">
        <f t="shared" ref="R5314:R5377" si="167">IF($D5314&lt;&gt;"","["&amp;$E5314&amp;"]"&amp;"|"&amp;$Q5314&amp;"|"&amp;$K5314&amp;"|"&amp;$G5314&amp;"|"&amp;IF($G5314="TX_CURR_SUBNAT.R","CY2022Q4",$M5314),"")</f>
        <v>[zphK9WV8JB4]|50+|Female|PLHIV_Attend.T|CY2024Q3</v>
      </c>
    </row>
    <row r="5315" spans="4:18" x14ac:dyDescent="0.2">
      <c r="D5315" t="s">
        <v>52</v>
      </c>
      <c r="E5315" t="s">
        <v>53</v>
      </c>
      <c r="F5315" t="s">
        <v>54</v>
      </c>
      <c r="G5315" t="s">
        <v>167</v>
      </c>
      <c r="H5315" t="s">
        <v>167</v>
      </c>
      <c r="I5315" t="s">
        <v>27</v>
      </c>
      <c r="J5315" t="s">
        <v>28</v>
      </c>
      <c r="K5315" t="s">
        <v>47</v>
      </c>
      <c r="L5315" t="s">
        <v>48</v>
      </c>
      <c r="M5315" t="s">
        <v>166</v>
      </c>
      <c r="N5315">
        <v>665</v>
      </c>
      <c r="O5315" s="14">
        <v>0.12030102964490701</v>
      </c>
      <c r="P5315" s="14">
        <v>0.61639246996492103</v>
      </c>
      <c r="Q5315" t="str">
        <f t="shared" si="166"/>
        <v>&lt;01</v>
      </c>
      <c r="R5315" t="str">
        <f t="shared" si="167"/>
        <v>[zphK9WV8JB4]|&lt;01|Male|PLHIV_Attend.T|CY2024Q3</v>
      </c>
    </row>
    <row r="5316" spans="4:18" x14ac:dyDescent="0.2">
      <c r="D5316" t="s">
        <v>52</v>
      </c>
      <c r="E5316" t="s">
        <v>53</v>
      </c>
      <c r="F5316" t="s">
        <v>54</v>
      </c>
      <c r="G5316" t="s">
        <v>167</v>
      </c>
      <c r="H5316" t="s">
        <v>167</v>
      </c>
      <c r="I5316" t="s">
        <v>32</v>
      </c>
      <c r="J5316" t="s">
        <v>33</v>
      </c>
      <c r="K5316" t="s">
        <v>47</v>
      </c>
      <c r="L5316" t="s">
        <v>48</v>
      </c>
      <c r="M5316" t="s">
        <v>166</v>
      </c>
      <c r="N5316">
        <v>1984</v>
      </c>
      <c r="O5316" s="14">
        <v>0.27646316168829799</v>
      </c>
      <c r="P5316" s="14">
        <v>0.61639246996492103</v>
      </c>
      <c r="Q5316" t="str">
        <f t="shared" si="166"/>
        <v>01-09</v>
      </c>
      <c r="R5316" t="str">
        <f t="shared" si="167"/>
        <v>[zphK9WV8JB4]|01-09|Male|PLHIV_Attend.T|CY2024Q3</v>
      </c>
    </row>
    <row r="5317" spans="4:18" x14ac:dyDescent="0.2">
      <c r="D5317" t="s">
        <v>52</v>
      </c>
      <c r="E5317" t="s">
        <v>53</v>
      </c>
      <c r="F5317" t="s">
        <v>54</v>
      </c>
      <c r="G5317" t="s">
        <v>167</v>
      </c>
      <c r="H5317" t="s">
        <v>167</v>
      </c>
      <c r="I5317" t="s">
        <v>35</v>
      </c>
      <c r="J5317" t="s">
        <v>36</v>
      </c>
      <c r="K5317" t="s">
        <v>47</v>
      </c>
      <c r="L5317" t="s">
        <v>48</v>
      </c>
      <c r="M5317" t="s">
        <v>166</v>
      </c>
      <c r="N5317">
        <v>697</v>
      </c>
      <c r="O5317" s="14">
        <v>0.56831072317436304</v>
      </c>
      <c r="P5317" s="14">
        <v>0.61639246996492103</v>
      </c>
      <c r="Q5317" t="str">
        <f t="shared" si="166"/>
        <v>10-14</v>
      </c>
      <c r="R5317" t="str">
        <f t="shared" si="167"/>
        <v>[zphK9WV8JB4]|10-14|Male|PLHIV_Attend.T|CY2024Q3</v>
      </c>
    </row>
    <row r="5318" spans="4:18" x14ac:dyDescent="0.2">
      <c r="D5318" t="s">
        <v>52</v>
      </c>
      <c r="E5318" t="s">
        <v>53</v>
      </c>
      <c r="F5318" t="s">
        <v>54</v>
      </c>
      <c r="G5318" t="s">
        <v>167</v>
      </c>
      <c r="H5318" t="s">
        <v>167</v>
      </c>
      <c r="I5318" t="s">
        <v>37</v>
      </c>
      <c r="J5318" t="s">
        <v>38</v>
      </c>
      <c r="K5318" t="s">
        <v>47</v>
      </c>
      <c r="L5318" t="s">
        <v>48</v>
      </c>
      <c r="M5318" t="s">
        <v>166</v>
      </c>
      <c r="N5318">
        <v>1868</v>
      </c>
      <c r="O5318" s="14">
        <v>0.98945619515143302</v>
      </c>
      <c r="P5318" s="14">
        <v>0.61639246996492103</v>
      </c>
      <c r="Q5318" t="str">
        <f t="shared" si="166"/>
        <v>15-24</v>
      </c>
      <c r="R5318" t="str">
        <f t="shared" si="167"/>
        <v>[zphK9WV8JB4]|15-24|Male|PLHIV_Attend.T|CY2024Q3</v>
      </c>
    </row>
    <row r="5319" spans="4:18" x14ac:dyDescent="0.2">
      <c r="D5319" t="s">
        <v>52</v>
      </c>
      <c r="E5319" t="s">
        <v>53</v>
      </c>
      <c r="F5319" t="s">
        <v>54</v>
      </c>
      <c r="G5319" t="s">
        <v>167</v>
      </c>
      <c r="H5319" t="s">
        <v>167</v>
      </c>
      <c r="I5319" t="s">
        <v>40</v>
      </c>
      <c r="J5319" t="s">
        <v>41</v>
      </c>
      <c r="K5319" t="s">
        <v>47</v>
      </c>
      <c r="L5319" t="s">
        <v>48</v>
      </c>
      <c r="M5319" t="s">
        <v>166</v>
      </c>
      <c r="N5319">
        <v>1642</v>
      </c>
      <c r="O5319" s="14">
        <v>0.14719323650933799</v>
      </c>
      <c r="P5319" s="14">
        <v>0.61639246996492103</v>
      </c>
      <c r="Q5319" t="str">
        <f t="shared" si="166"/>
        <v>25-34</v>
      </c>
      <c r="R5319" t="str">
        <f t="shared" si="167"/>
        <v>[zphK9WV8JB4]|25-34|Male|PLHIV_Attend.T|CY2024Q3</v>
      </c>
    </row>
    <row r="5320" spans="4:18" x14ac:dyDescent="0.2">
      <c r="D5320" t="s">
        <v>52</v>
      </c>
      <c r="E5320" t="s">
        <v>53</v>
      </c>
      <c r="F5320" t="s">
        <v>54</v>
      </c>
      <c r="G5320" t="s">
        <v>167</v>
      </c>
      <c r="H5320" t="s">
        <v>167</v>
      </c>
      <c r="I5320" t="s">
        <v>42</v>
      </c>
      <c r="J5320" t="s">
        <v>43</v>
      </c>
      <c r="K5320" t="s">
        <v>47</v>
      </c>
      <c r="L5320" t="s">
        <v>48</v>
      </c>
      <c r="M5320" t="s">
        <v>166</v>
      </c>
      <c r="N5320">
        <v>1268</v>
      </c>
      <c r="O5320" s="14">
        <v>0.63687365991063405</v>
      </c>
      <c r="P5320" s="14">
        <v>0.61639246996492103</v>
      </c>
      <c r="Q5320" t="str">
        <f t="shared" si="166"/>
        <v>35-49</v>
      </c>
      <c r="R5320" t="str">
        <f t="shared" si="167"/>
        <v>[zphK9WV8JB4]|35-49|Male|PLHIV_Attend.T|CY2024Q3</v>
      </c>
    </row>
    <row r="5321" spans="4:18" x14ac:dyDescent="0.2">
      <c r="D5321" t="s">
        <v>52</v>
      </c>
      <c r="E5321" t="s">
        <v>53</v>
      </c>
      <c r="F5321" t="s">
        <v>54</v>
      </c>
      <c r="G5321" t="s">
        <v>167</v>
      </c>
      <c r="H5321" t="s">
        <v>167</v>
      </c>
      <c r="I5321" t="s">
        <v>44</v>
      </c>
      <c r="J5321" t="s">
        <v>45</v>
      </c>
      <c r="K5321" t="s">
        <v>47</v>
      </c>
      <c r="L5321" t="s">
        <v>48</v>
      </c>
      <c r="M5321" t="s">
        <v>166</v>
      </c>
      <c r="N5321">
        <v>1581</v>
      </c>
      <c r="O5321" s="14">
        <v>0.431270463159308</v>
      </c>
      <c r="P5321" s="14">
        <v>0.61639246996492103</v>
      </c>
      <c r="Q5321" t="str">
        <f t="shared" si="166"/>
        <v>50+</v>
      </c>
      <c r="R5321" t="str">
        <f t="shared" si="167"/>
        <v>[zphK9WV8JB4]|50+|Male|PLHIV_Attend.T|CY2024Q3</v>
      </c>
    </row>
    <row r="5322" spans="4:18" x14ac:dyDescent="0.2">
      <c r="D5322" t="s">
        <v>59</v>
      </c>
      <c r="E5322" t="s">
        <v>60</v>
      </c>
      <c r="F5322" t="s">
        <v>61</v>
      </c>
      <c r="G5322" t="s">
        <v>167</v>
      </c>
      <c r="H5322" t="s">
        <v>167</v>
      </c>
      <c r="I5322" t="s">
        <v>27</v>
      </c>
      <c r="J5322" t="s">
        <v>28</v>
      </c>
      <c r="K5322" t="s">
        <v>29</v>
      </c>
      <c r="L5322" t="s">
        <v>30</v>
      </c>
      <c r="M5322" t="s">
        <v>166</v>
      </c>
      <c r="N5322">
        <v>1239</v>
      </c>
      <c r="O5322" s="14">
        <v>8.3236536476761103E-2</v>
      </c>
      <c r="P5322" s="14">
        <v>2.6825056178495298E-2</v>
      </c>
      <c r="Q5322" t="str">
        <f t="shared" si="166"/>
        <v>&lt;01</v>
      </c>
      <c r="R5322" t="str">
        <f t="shared" si="167"/>
        <v>[msW2zpIN7up]|&lt;01|Female|PLHIV_Attend.T|CY2024Q3</v>
      </c>
    </row>
    <row r="5323" spans="4:18" x14ac:dyDescent="0.2">
      <c r="D5323" t="s">
        <v>59</v>
      </c>
      <c r="E5323" t="s">
        <v>60</v>
      </c>
      <c r="F5323" t="s">
        <v>61</v>
      </c>
      <c r="G5323" t="s">
        <v>167</v>
      </c>
      <c r="H5323" t="s">
        <v>167</v>
      </c>
      <c r="I5323" t="s">
        <v>32</v>
      </c>
      <c r="J5323" t="s">
        <v>33</v>
      </c>
      <c r="K5323" t="s">
        <v>29</v>
      </c>
      <c r="L5323" t="s">
        <v>30</v>
      </c>
      <c r="M5323" t="s">
        <v>166</v>
      </c>
      <c r="N5323">
        <v>1869</v>
      </c>
      <c r="O5323" s="14">
        <v>0.13535073725506699</v>
      </c>
      <c r="P5323" s="14">
        <v>2.6825056178495298E-2</v>
      </c>
      <c r="Q5323" t="str">
        <f t="shared" si="166"/>
        <v>01-09</v>
      </c>
      <c r="R5323" t="str">
        <f t="shared" si="167"/>
        <v>[msW2zpIN7up]|01-09|Female|PLHIV_Attend.T|CY2024Q3</v>
      </c>
    </row>
    <row r="5324" spans="4:18" x14ac:dyDescent="0.2">
      <c r="D5324" t="s">
        <v>59</v>
      </c>
      <c r="E5324" t="s">
        <v>60</v>
      </c>
      <c r="F5324" t="s">
        <v>61</v>
      </c>
      <c r="G5324" t="s">
        <v>167</v>
      </c>
      <c r="H5324" t="s">
        <v>167</v>
      </c>
      <c r="I5324" t="s">
        <v>35</v>
      </c>
      <c r="J5324" t="s">
        <v>36</v>
      </c>
      <c r="K5324" t="s">
        <v>29</v>
      </c>
      <c r="L5324" t="s">
        <v>30</v>
      </c>
      <c r="M5324" t="s">
        <v>166</v>
      </c>
      <c r="N5324">
        <v>547</v>
      </c>
      <c r="O5324" s="14">
        <v>0.97820560913532995</v>
      </c>
      <c r="P5324" s="14">
        <v>2.6825056178495298E-2</v>
      </c>
      <c r="Q5324" t="str">
        <f t="shared" si="166"/>
        <v>10-14</v>
      </c>
      <c r="R5324" t="str">
        <f t="shared" si="167"/>
        <v>[msW2zpIN7up]|10-14|Female|PLHIV_Attend.T|CY2024Q3</v>
      </c>
    </row>
    <row r="5325" spans="4:18" x14ac:dyDescent="0.2">
      <c r="D5325" t="s">
        <v>59</v>
      </c>
      <c r="E5325" t="s">
        <v>60</v>
      </c>
      <c r="F5325" t="s">
        <v>61</v>
      </c>
      <c r="G5325" t="s">
        <v>167</v>
      </c>
      <c r="H5325" t="s">
        <v>167</v>
      </c>
      <c r="I5325" t="s">
        <v>37</v>
      </c>
      <c r="J5325" t="s">
        <v>38</v>
      </c>
      <c r="K5325" t="s">
        <v>29</v>
      </c>
      <c r="L5325" t="s">
        <v>30</v>
      </c>
      <c r="M5325" t="s">
        <v>166</v>
      </c>
      <c r="N5325">
        <v>1722</v>
      </c>
      <c r="O5325" s="14">
        <v>0.70084676984697603</v>
      </c>
      <c r="P5325" s="14">
        <v>2.6825056178495298E-2</v>
      </c>
      <c r="Q5325" t="str">
        <f t="shared" si="166"/>
        <v>15-24</v>
      </c>
      <c r="R5325" t="str">
        <f t="shared" si="167"/>
        <v>[msW2zpIN7up]|15-24|Female|PLHIV_Attend.T|CY2024Q3</v>
      </c>
    </row>
    <row r="5326" spans="4:18" x14ac:dyDescent="0.2">
      <c r="D5326" t="s">
        <v>59</v>
      </c>
      <c r="E5326" t="s">
        <v>60</v>
      </c>
      <c r="F5326" t="s">
        <v>61</v>
      </c>
      <c r="G5326" t="s">
        <v>167</v>
      </c>
      <c r="H5326" t="s">
        <v>167</v>
      </c>
      <c r="I5326" t="s">
        <v>40</v>
      </c>
      <c r="J5326" t="s">
        <v>41</v>
      </c>
      <c r="K5326" t="s">
        <v>29</v>
      </c>
      <c r="L5326" t="s">
        <v>30</v>
      </c>
      <c r="M5326" t="s">
        <v>166</v>
      </c>
      <c r="N5326">
        <v>1847</v>
      </c>
      <c r="O5326" s="14">
        <v>0.42058676364831599</v>
      </c>
      <c r="P5326" s="14">
        <v>2.6825056178495298E-2</v>
      </c>
      <c r="Q5326" t="str">
        <f t="shared" si="166"/>
        <v>25-34</v>
      </c>
      <c r="R5326" t="str">
        <f t="shared" si="167"/>
        <v>[msW2zpIN7up]|25-34|Female|PLHIV_Attend.T|CY2024Q3</v>
      </c>
    </row>
    <row r="5327" spans="4:18" x14ac:dyDescent="0.2">
      <c r="D5327" t="s">
        <v>59</v>
      </c>
      <c r="E5327" t="s">
        <v>60</v>
      </c>
      <c r="F5327" t="s">
        <v>61</v>
      </c>
      <c r="G5327" t="s">
        <v>167</v>
      </c>
      <c r="H5327" t="s">
        <v>167</v>
      </c>
      <c r="I5327" t="s">
        <v>42</v>
      </c>
      <c r="J5327" t="s">
        <v>43</v>
      </c>
      <c r="K5327" t="s">
        <v>29</v>
      </c>
      <c r="L5327" t="s">
        <v>30</v>
      </c>
      <c r="M5327" t="s">
        <v>166</v>
      </c>
      <c r="N5327">
        <v>1736</v>
      </c>
      <c r="O5327" s="14">
        <v>0.67575752222910501</v>
      </c>
      <c r="P5327" s="14">
        <v>2.6825056178495298E-2</v>
      </c>
      <c r="Q5327" t="str">
        <f t="shared" si="166"/>
        <v>35-49</v>
      </c>
      <c r="R5327" t="str">
        <f t="shared" si="167"/>
        <v>[msW2zpIN7up]|35-49|Female|PLHIV_Attend.T|CY2024Q3</v>
      </c>
    </row>
    <row r="5328" spans="4:18" x14ac:dyDescent="0.2">
      <c r="D5328" t="s">
        <v>59</v>
      </c>
      <c r="E5328" t="s">
        <v>60</v>
      </c>
      <c r="F5328" t="s">
        <v>61</v>
      </c>
      <c r="G5328" t="s">
        <v>167</v>
      </c>
      <c r="H5328" t="s">
        <v>167</v>
      </c>
      <c r="I5328" t="s">
        <v>44</v>
      </c>
      <c r="J5328" t="s">
        <v>45</v>
      </c>
      <c r="K5328" t="s">
        <v>29</v>
      </c>
      <c r="L5328" t="s">
        <v>30</v>
      </c>
      <c r="M5328" t="s">
        <v>166</v>
      </c>
      <c r="N5328">
        <v>749</v>
      </c>
      <c r="O5328" s="14">
        <v>0.22828764398582299</v>
      </c>
      <c r="P5328" s="14">
        <v>2.6825056178495298E-2</v>
      </c>
      <c r="Q5328" t="str">
        <f t="shared" si="166"/>
        <v>50+</v>
      </c>
      <c r="R5328" t="str">
        <f t="shared" si="167"/>
        <v>[msW2zpIN7up]|50+|Female|PLHIV_Attend.T|CY2024Q3</v>
      </c>
    </row>
    <row r="5329" spans="4:18" x14ac:dyDescent="0.2">
      <c r="D5329" t="s">
        <v>59</v>
      </c>
      <c r="E5329" t="s">
        <v>60</v>
      </c>
      <c r="F5329" t="s">
        <v>61</v>
      </c>
      <c r="G5329" t="s">
        <v>167</v>
      </c>
      <c r="H5329" t="s">
        <v>167</v>
      </c>
      <c r="I5329" t="s">
        <v>27</v>
      </c>
      <c r="J5329" t="s">
        <v>28</v>
      </c>
      <c r="K5329" t="s">
        <v>47</v>
      </c>
      <c r="L5329" t="s">
        <v>48</v>
      </c>
      <c r="M5329" t="s">
        <v>166</v>
      </c>
      <c r="N5329">
        <v>1299</v>
      </c>
      <c r="O5329" s="14">
        <v>0.66225714213214804</v>
      </c>
      <c r="P5329" s="14">
        <v>2.6825056178495298E-2</v>
      </c>
      <c r="Q5329" t="str">
        <f t="shared" si="166"/>
        <v>&lt;01</v>
      </c>
      <c r="R5329" t="str">
        <f t="shared" si="167"/>
        <v>[msW2zpIN7up]|&lt;01|Male|PLHIV_Attend.T|CY2024Q3</v>
      </c>
    </row>
    <row r="5330" spans="4:18" x14ac:dyDescent="0.2">
      <c r="D5330" t="s">
        <v>59</v>
      </c>
      <c r="E5330" t="s">
        <v>60</v>
      </c>
      <c r="F5330" t="s">
        <v>61</v>
      </c>
      <c r="G5330" t="s">
        <v>167</v>
      </c>
      <c r="H5330" t="s">
        <v>167</v>
      </c>
      <c r="I5330" t="s">
        <v>32</v>
      </c>
      <c r="J5330" t="s">
        <v>33</v>
      </c>
      <c r="K5330" t="s">
        <v>47</v>
      </c>
      <c r="L5330" t="s">
        <v>48</v>
      </c>
      <c r="M5330" t="s">
        <v>166</v>
      </c>
      <c r="N5330">
        <v>1949</v>
      </c>
      <c r="O5330" s="14">
        <v>0.59181928611360501</v>
      </c>
      <c r="P5330" s="14">
        <v>2.6825056178495298E-2</v>
      </c>
      <c r="Q5330" t="str">
        <f t="shared" si="166"/>
        <v>01-09</v>
      </c>
      <c r="R5330" t="str">
        <f t="shared" si="167"/>
        <v>[msW2zpIN7up]|01-09|Male|PLHIV_Attend.T|CY2024Q3</v>
      </c>
    </row>
    <row r="5331" spans="4:18" x14ac:dyDescent="0.2">
      <c r="D5331" t="s">
        <v>59</v>
      </c>
      <c r="E5331" t="s">
        <v>60</v>
      </c>
      <c r="F5331" t="s">
        <v>61</v>
      </c>
      <c r="G5331" t="s">
        <v>167</v>
      </c>
      <c r="H5331" t="s">
        <v>167</v>
      </c>
      <c r="I5331" t="s">
        <v>35</v>
      </c>
      <c r="J5331" t="s">
        <v>36</v>
      </c>
      <c r="K5331" t="s">
        <v>47</v>
      </c>
      <c r="L5331" t="s">
        <v>48</v>
      </c>
      <c r="M5331" t="s">
        <v>166</v>
      </c>
      <c r="N5331">
        <v>1856</v>
      </c>
      <c r="O5331" s="14">
        <v>0.28379872231744202</v>
      </c>
      <c r="P5331" s="14">
        <v>2.6825056178495298E-2</v>
      </c>
      <c r="Q5331" t="str">
        <f t="shared" si="166"/>
        <v>10-14</v>
      </c>
      <c r="R5331" t="str">
        <f t="shared" si="167"/>
        <v>[msW2zpIN7up]|10-14|Male|PLHIV_Attend.T|CY2024Q3</v>
      </c>
    </row>
    <row r="5332" spans="4:18" x14ac:dyDescent="0.2">
      <c r="D5332" t="s">
        <v>59</v>
      </c>
      <c r="E5332" t="s">
        <v>60</v>
      </c>
      <c r="F5332" t="s">
        <v>61</v>
      </c>
      <c r="G5332" t="s">
        <v>167</v>
      </c>
      <c r="H5332" t="s">
        <v>167</v>
      </c>
      <c r="I5332" t="s">
        <v>37</v>
      </c>
      <c r="J5332" t="s">
        <v>38</v>
      </c>
      <c r="K5332" t="s">
        <v>47</v>
      </c>
      <c r="L5332" t="s">
        <v>48</v>
      </c>
      <c r="M5332" t="s">
        <v>166</v>
      </c>
      <c r="N5332">
        <v>864</v>
      </c>
      <c r="O5332" s="14">
        <v>1.3210414675995701E-2</v>
      </c>
      <c r="P5332" s="14">
        <v>2.6825056178495298E-2</v>
      </c>
      <c r="Q5332" t="str">
        <f t="shared" si="166"/>
        <v>15-24</v>
      </c>
      <c r="R5332" t="str">
        <f t="shared" si="167"/>
        <v>[msW2zpIN7up]|15-24|Male|PLHIV_Attend.T|CY2024Q3</v>
      </c>
    </row>
    <row r="5333" spans="4:18" x14ac:dyDescent="0.2">
      <c r="D5333" t="s">
        <v>59</v>
      </c>
      <c r="E5333" t="s">
        <v>60</v>
      </c>
      <c r="F5333" t="s">
        <v>61</v>
      </c>
      <c r="G5333" t="s">
        <v>167</v>
      </c>
      <c r="H5333" t="s">
        <v>167</v>
      </c>
      <c r="I5333" t="s">
        <v>40</v>
      </c>
      <c r="J5333" t="s">
        <v>41</v>
      </c>
      <c r="K5333" t="s">
        <v>47</v>
      </c>
      <c r="L5333" t="s">
        <v>48</v>
      </c>
      <c r="M5333" t="s">
        <v>166</v>
      </c>
      <c r="N5333">
        <v>1914</v>
      </c>
      <c r="O5333" s="14">
        <v>0.72263920749537602</v>
      </c>
      <c r="P5333" s="14">
        <v>2.6825056178495298E-2</v>
      </c>
      <c r="Q5333" t="str">
        <f t="shared" si="166"/>
        <v>25-34</v>
      </c>
      <c r="R5333" t="str">
        <f t="shared" si="167"/>
        <v>[msW2zpIN7up]|25-34|Male|PLHIV_Attend.T|CY2024Q3</v>
      </c>
    </row>
    <row r="5334" spans="4:18" x14ac:dyDescent="0.2">
      <c r="D5334" t="s">
        <v>59</v>
      </c>
      <c r="E5334" t="s">
        <v>60</v>
      </c>
      <c r="F5334" t="s">
        <v>61</v>
      </c>
      <c r="G5334" t="s">
        <v>167</v>
      </c>
      <c r="H5334" t="s">
        <v>167</v>
      </c>
      <c r="I5334" t="s">
        <v>42</v>
      </c>
      <c r="J5334" t="s">
        <v>43</v>
      </c>
      <c r="K5334" t="s">
        <v>47</v>
      </c>
      <c r="L5334" t="s">
        <v>48</v>
      </c>
      <c r="M5334" t="s">
        <v>166</v>
      </c>
      <c r="N5334">
        <v>828</v>
      </c>
      <c r="O5334" s="14">
        <v>1.7977096606046E-2</v>
      </c>
      <c r="P5334" s="14">
        <v>2.6825056178495298E-2</v>
      </c>
      <c r="Q5334" t="str">
        <f t="shared" si="166"/>
        <v>35-49</v>
      </c>
      <c r="R5334" t="str">
        <f t="shared" si="167"/>
        <v>[msW2zpIN7up]|35-49|Male|PLHIV_Attend.T|CY2024Q3</v>
      </c>
    </row>
    <row r="5335" spans="4:18" x14ac:dyDescent="0.2">
      <c r="D5335" t="s">
        <v>59</v>
      </c>
      <c r="E5335" t="s">
        <v>60</v>
      </c>
      <c r="F5335" t="s">
        <v>61</v>
      </c>
      <c r="G5335" t="s">
        <v>167</v>
      </c>
      <c r="H5335" t="s">
        <v>167</v>
      </c>
      <c r="I5335" t="s">
        <v>44</v>
      </c>
      <c r="J5335" t="s">
        <v>45</v>
      </c>
      <c r="K5335" t="s">
        <v>47</v>
      </c>
      <c r="L5335" t="s">
        <v>48</v>
      </c>
      <c r="M5335" t="s">
        <v>166</v>
      </c>
      <c r="N5335">
        <v>1759</v>
      </c>
      <c r="O5335" s="14">
        <v>0.67533801309764396</v>
      </c>
      <c r="P5335" s="14">
        <v>2.6825056178495298E-2</v>
      </c>
      <c r="Q5335" t="str">
        <f t="shared" si="166"/>
        <v>50+</v>
      </c>
      <c r="R5335" t="str">
        <f t="shared" si="167"/>
        <v>[msW2zpIN7up]|50+|Male|PLHIV_Attend.T|CY2024Q3</v>
      </c>
    </row>
    <row r="5336" spans="4:18" x14ac:dyDescent="0.2">
      <c r="D5336" t="s">
        <v>62</v>
      </c>
      <c r="E5336" t="s">
        <v>63</v>
      </c>
      <c r="F5336" t="s">
        <v>64</v>
      </c>
      <c r="G5336" t="s">
        <v>167</v>
      </c>
      <c r="H5336" t="s">
        <v>167</v>
      </c>
      <c r="I5336" t="s">
        <v>27</v>
      </c>
      <c r="J5336" t="s">
        <v>28</v>
      </c>
      <c r="K5336" t="s">
        <v>29</v>
      </c>
      <c r="L5336" t="s">
        <v>30</v>
      </c>
      <c r="M5336" t="s">
        <v>166</v>
      </c>
      <c r="N5336">
        <v>847</v>
      </c>
      <c r="O5336" s="14">
        <v>0.33307745354250101</v>
      </c>
      <c r="P5336" s="14">
        <v>0.790102193132043</v>
      </c>
      <c r="Q5336" t="str">
        <f t="shared" si="166"/>
        <v>&lt;01</v>
      </c>
      <c r="R5336" t="str">
        <f t="shared" si="167"/>
        <v>[kxuuIFpOXyO]|&lt;01|Female|PLHIV_Attend.T|CY2024Q3</v>
      </c>
    </row>
    <row r="5337" spans="4:18" x14ac:dyDescent="0.2">
      <c r="D5337" t="s">
        <v>62</v>
      </c>
      <c r="E5337" t="s">
        <v>63</v>
      </c>
      <c r="F5337" t="s">
        <v>64</v>
      </c>
      <c r="G5337" t="s">
        <v>167</v>
      </c>
      <c r="H5337" t="s">
        <v>167</v>
      </c>
      <c r="I5337" t="s">
        <v>32</v>
      </c>
      <c r="J5337" t="s">
        <v>33</v>
      </c>
      <c r="K5337" t="s">
        <v>29</v>
      </c>
      <c r="L5337" t="s">
        <v>30</v>
      </c>
      <c r="M5337" t="s">
        <v>166</v>
      </c>
      <c r="N5337">
        <v>705</v>
      </c>
      <c r="O5337" s="14">
        <v>0.791487526148558</v>
      </c>
      <c r="P5337" s="14">
        <v>0.790102193132043</v>
      </c>
      <c r="Q5337" t="str">
        <f t="shared" si="166"/>
        <v>01-09</v>
      </c>
      <c r="R5337" t="str">
        <f t="shared" si="167"/>
        <v>[kxuuIFpOXyO]|01-09|Female|PLHIV_Attend.T|CY2024Q3</v>
      </c>
    </row>
    <row r="5338" spans="4:18" x14ac:dyDescent="0.2">
      <c r="D5338" t="s">
        <v>62</v>
      </c>
      <c r="E5338" t="s">
        <v>63</v>
      </c>
      <c r="F5338" t="s">
        <v>64</v>
      </c>
      <c r="G5338" t="s">
        <v>167</v>
      </c>
      <c r="H5338" t="s">
        <v>167</v>
      </c>
      <c r="I5338" t="s">
        <v>35</v>
      </c>
      <c r="J5338" t="s">
        <v>36</v>
      </c>
      <c r="K5338" t="s">
        <v>29</v>
      </c>
      <c r="L5338" t="s">
        <v>30</v>
      </c>
      <c r="M5338" t="s">
        <v>166</v>
      </c>
      <c r="N5338">
        <v>1212</v>
      </c>
      <c r="O5338" s="14">
        <v>0.69710485800169397</v>
      </c>
      <c r="P5338" s="14">
        <v>0.790102193132043</v>
      </c>
      <c r="Q5338" t="str">
        <f t="shared" si="166"/>
        <v>10-14</v>
      </c>
      <c r="R5338" t="str">
        <f t="shared" si="167"/>
        <v>[kxuuIFpOXyO]|10-14|Female|PLHIV_Attend.T|CY2024Q3</v>
      </c>
    </row>
    <row r="5339" spans="4:18" x14ac:dyDescent="0.2">
      <c r="D5339" t="s">
        <v>62</v>
      </c>
      <c r="E5339" t="s">
        <v>63</v>
      </c>
      <c r="F5339" t="s">
        <v>64</v>
      </c>
      <c r="G5339" t="s">
        <v>167</v>
      </c>
      <c r="H5339" t="s">
        <v>167</v>
      </c>
      <c r="I5339" t="s">
        <v>37</v>
      </c>
      <c r="J5339" t="s">
        <v>38</v>
      </c>
      <c r="K5339" t="s">
        <v>29</v>
      </c>
      <c r="L5339" t="s">
        <v>30</v>
      </c>
      <c r="M5339" t="s">
        <v>166</v>
      </c>
      <c r="N5339">
        <v>1371</v>
      </c>
      <c r="O5339" s="14">
        <v>4.5258994214236698E-4</v>
      </c>
      <c r="P5339" s="14">
        <v>0.790102193132043</v>
      </c>
      <c r="Q5339" t="str">
        <f t="shared" si="166"/>
        <v>15-24</v>
      </c>
      <c r="R5339" t="str">
        <f t="shared" si="167"/>
        <v>[kxuuIFpOXyO]|15-24|Female|PLHIV_Attend.T|CY2024Q3</v>
      </c>
    </row>
    <row r="5340" spans="4:18" x14ac:dyDescent="0.2">
      <c r="D5340" t="s">
        <v>62</v>
      </c>
      <c r="E5340" t="s">
        <v>63</v>
      </c>
      <c r="F5340" t="s">
        <v>64</v>
      </c>
      <c r="G5340" t="s">
        <v>167</v>
      </c>
      <c r="H5340" t="s">
        <v>167</v>
      </c>
      <c r="I5340" t="s">
        <v>40</v>
      </c>
      <c r="J5340" t="s">
        <v>41</v>
      </c>
      <c r="K5340" t="s">
        <v>29</v>
      </c>
      <c r="L5340" t="s">
        <v>30</v>
      </c>
      <c r="M5340" t="s">
        <v>166</v>
      </c>
      <c r="N5340">
        <v>1850</v>
      </c>
      <c r="O5340" s="14">
        <v>0.84556502359919306</v>
      </c>
      <c r="P5340" s="14">
        <v>0.790102193132043</v>
      </c>
      <c r="Q5340" t="str">
        <f t="shared" si="166"/>
        <v>25-34</v>
      </c>
      <c r="R5340" t="str">
        <f t="shared" si="167"/>
        <v>[kxuuIFpOXyO]|25-34|Female|PLHIV_Attend.T|CY2024Q3</v>
      </c>
    </row>
    <row r="5341" spans="4:18" x14ac:dyDescent="0.2">
      <c r="D5341" t="s">
        <v>62</v>
      </c>
      <c r="E5341" t="s">
        <v>63</v>
      </c>
      <c r="F5341" t="s">
        <v>64</v>
      </c>
      <c r="G5341" t="s">
        <v>167</v>
      </c>
      <c r="H5341" t="s">
        <v>167</v>
      </c>
      <c r="I5341" t="s">
        <v>42</v>
      </c>
      <c r="J5341" t="s">
        <v>43</v>
      </c>
      <c r="K5341" t="s">
        <v>29</v>
      </c>
      <c r="L5341" t="s">
        <v>30</v>
      </c>
      <c r="M5341" t="s">
        <v>166</v>
      </c>
      <c r="N5341">
        <v>1249</v>
      </c>
      <c r="O5341" s="14">
        <v>0.32802806119434502</v>
      </c>
      <c r="P5341" s="14">
        <v>0.790102193132043</v>
      </c>
      <c r="Q5341" t="str">
        <f t="shared" si="166"/>
        <v>35-49</v>
      </c>
      <c r="R5341" t="str">
        <f t="shared" si="167"/>
        <v>[kxuuIFpOXyO]|35-49|Female|PLHIV_Attend.T|CY2024Q3</v>
      </c>
    </row>
    <row r="5342" spans="4:18" x14ac:dyDescent="0.2">
      <c r="D5342" t="s">
        <v>62</v>
      </c>
      <c r="E5342" t="s">
        <v>63</v>
      </c>
      <c r="F5342" t="s">
        <v>64</v>
      </c>
      <c r="G5342" t="s">
        <v>167</v>
      </c>
      <c r="H5342" t="s">
        <v>167</v>
      </c>
      <c r="I5342" t="s">
        <v>44</v>
      </c>
      <c r="J5342" t="s">
        <v>45</v>
      </c>
      <c r="K5342" t="s">
        <v>29</v>
      </c>
      <c r="L5342" t="s">
        <v>30</v>
      </c>
      <c r="M5342" t="s">
        <v>166</v>
      </c>
      <c r="N5342">
        <v>1286</v>
      </c>
      <c r="O5342" s="14">
        <v>0.79633119376376305</v>
      </c>
      <c r="P5342" s="14">
        <v>0.790102193132043</v>
      </c>
      <c r="Q5342" t="str">
        <f t="shared" si="166"/>
        <v>50+</v>
      </c>
      <c r="R5342" t="str">
        <f t="shared" si="167"/>
        <v>[kxuuIFpOXyO]|50+|Female|PLHIV_Attend.T|CY2024Q3</v>
      </c>
    </row>
    <row r="5343" spans="4:18" x14ac:dyDescent="0.2">
      <c r="D5343" t="s">
        <v>62</v>
      </c>
      <c r="E5343" t="s">
        <v>63</v>
      </c>
      <c r="F5343" t="s">
        <v>64</v>
      </c>
      <c r="G5343" t="s">
        <v>167</v>
      </c>
      <c r="H5343" t="s">
        <v>167</v>
      </c>
      <c r="I5343" t="s">
        <v>27</v>
      </c>
      <c r="J5343" t="s">
        <v>28</v>
      </c>
      <c r="K5343" t="s">
        <v>47</v>
      </c>
      <c r="L5343" t="s">
        <v>48</v>
      </c>
      <c r="M5343" t="s">
        <v>166</v>
      </c>
      <c r="N5343">
        <v>1874</v>
      </c>
      <c r="O5343" s="14">
        <v>0.20338078448548899</v>
      </c>
      <c r="P5343" s="14">
        <v>0.790102193132043</v>
      </c>
      <c r="Q5343" t="str">
        <f t="shared" si="166"/>
        <v>&lt;01</v>
      </c>
      <c r="R5343" t="str">
        <f t="shared" si="167"/>
        <v>[kxuuIFpOXyO]|&lt;01|Male|PLHIV_Attend.T|CY2024Q3</v>
      </c>
    </row>
    <row r="5344" spans="4:18" x14ac:dyDescent="0.2">
      <c r="D5344" t="s">
        <v>62</v>
      </c>
      <c r="E5344" t="s">
        <v>63</v>
      </c>
      <c r="F5344" t="s">
        <v>64</v>
      </c>
      <c r="G5344" t="s">
        <v>167</v>
      </c>
      <c r="H5344" t="s">
        <v>167</v>
      </c>
      <c r="I5344" t="s">
        <v>32</v>
      </c>
      <c r="J5344" t="s">
        <v>33</v>
      </c>
      <c r="K5344" t="s">
        <v>47</v>
      </c>
      <c r="L5344" t="s">
        <v>48</v>
      </c>
      <c r="M5344" t="s">
        <v>166</v>
      </c>
      <c r="N5344">
        <v>1477</v>
      </c>
      <c r="O5344" s="14">
        <v>0.47767863981425801</v>
      </c>
      <c r="P5344" s="14">
        <v>0.790102193132043</v>
      </c>
      <c r="Q5344" t="str">
        <f t="shared" si="166"/>
        <v>01-09</v>
      </c>
      <c r="R5344" t="str">
        <f t="shared" si="167"/>
        <v>[kxuuIFpOXyO]|01-09|Male|PLHIV_Attend.T|CY2024Q3</v>
      </c>
    </row>
    <row r="5345" spans="4:18" x14ac:dyDescent="0.2">
      <c r="D5345" t="s">
        <v>62</v>
      </c>
      <c r="E5345" t="s">
        <v>63</v>
      </c>
      <c r="F5345" t="s">
        <v>64</v>
      </c>
      <c r="G5345" t="s">
        <v>167</v>
      </c>
      <c r="H5345" t="s">
        <v>167</v>
      </c>
      <c r="I5345" t="s">
        <v>35</v>
      </c>
      <c r="J5345" t="s">
        <v>36</v>
      </c>
      <c r="K5345" t="s">
        <v>47</v>
      </c>
      <c r="L5345" t="s">
        <v>48</v>
      </c>
      <c r="M5345" t="s">
        <v>166</v>
      </c>
      <c r="N5345">
        <v>548</v>
      </c>
      <c r="O5345" s="14">
        <v>3.96537710912526E-3</v>
      </c>
      <c r="P5345" s="14">
        <v>0.790102193132043</v>
      </c>
      <c r="Q5345" t="str">
        <f t="shared" si="166"/>
        <v>10-14</v>
      </c>
      <c r="R5345" t="str">
        <f t="shared" si="167"/>
        <v>[kxuuIFpOXyO]|10-14|Male|PLHIV_Attend.T|CY2024Q3</v>
      </c>
    </row>
    <row r="5346" spans="4:18" x14ac:dyDescent="0.2">
      <c r="D5346" t="s">
        <v>62</v>
      </c>
      <c r="E5346" t="s">
        <v>63</v>
      </c>
      <c r="F5346" t="s">
        <v>64</v>
      </c>
      <c r="G5346" t="s">
        <v>167</v>
      </c>
      <c r="H5346" t="s">
        <v>167</v>
      </c>
      <c r="I5346" t="s">
        <v>37</v>
      </c>
      <c r="J5346" t="s">
        <v>38</v>
      </c>
      <c r="K5346" t="s">
        <v>47</v>
      </c>
      <c r="L5346" t="s">
        <v>48</v>
      </c>
      <c r="M5346" t="s">
        <v>166</v>
      </c>
      <c r="N5346">
        <v>1229</v>
      </c>
      <c r="O5346" s="14">
        <v>0.17587443091906599</v>
      </c>
      <c r="P5346" s="14">
        <v>0.790102193132043</v>
      </c>
      <c r="Q5346" t="str">
        <f t="shared" si="166"/>
        <v>15-24</v>
      </c>
      <c r="R5346" t="str">
        <f t="shared" si="167"/>
        <v>[kxuuIFpOXyO]|15-24|Male|PLHIV_Attend.T|CY2024Q3</v>
      </c>
    </row>
    <row r="5347" spans="4:18" x14ac:dyDescent="0.2">
      <c r="D5347" t="s">
        <v>62</v>
      </c>
      <c r="E5347" t="s">
        <v>63</v>
      </c>
      <c r="F5347" t="s">
        <v>64</v>
      </c>
      <c r="G5347" t="s">
        <v>167</v>
      </c>
      <c r="H5347" t="s">
        <v>167</v>
      </c>
      <c r="I5347" t="s">
        <v>40</v>
      </c>
      <c r="J5347" t="s">
        <v>41</v>
      </c>
      <c r="K5347" t="s">
        <v>47</v>
      </c>
      <c r="L5347" t="s">
        <v>48</v>
      </c>
      <c r="M5347" t="s">
        <v>166</v>
      </c>
      <c r="N5347">
        <v>885</v>
      </c>
      <c r="O5347" s="14">
        <v>0.58250037208199501</v>
      </c>
      <c r="P5347" s="14">
        <v>0.790102193132043</v>
      </c>
      <c r="Q5347" t="str">
        <f t="shared" si="166"/>
        <v>25-34</v>
      </c>
      <c r="R5347" t="str">
        <f t="shared" si="167"/>
        <v>[kxuuIFpOXyO]|25-34|Male|PLHIV_Attend.T|CY2024Q3</v>
      </c>
    </row>
    <row r="5348" spans="4:18" x14ac:dyDescent="0.2">
      <c r="D5348" t="s">
        <v>62</v>
      </c>
      <c r="E5348" t="s">
        <v>63</v>
      </c>
      <c r="F5348" t="s">
        <v>64</v>
      </c>
      <c r="G5348" t="s">
        <v>167</v>
      </c>
      <c r="H5348" t="s">
        <v>167</v>
      </c>
      <c r="I5348" t="s">
        <v>42</v>
      </c>
      <c r="J5348" t="s">
        <v>43</v>
      </c>
      <c r="K5348" t="s">
        <v>47</v>
      </c>
      <c r="L5348" t="s">
        <v>48</v>
      </c>
      <c r="M5348" t="s">
        <v>166</v>
      </c>
      <c r="N5348">
        <v>1530</v>
      </c>
      <c r="O5348" s="14">
        <v>0.81830357341095805</v>
      </c>
      <c r="P5348" s="14">
        <v>0.790102193132043</v>
      </c>
      <c r="Q5348" t="str">
        <f t="shared" si="166"/>
        <v>35-49</v>
      </c>
      <c r="R5348" t="str">
        <f t="shared" si="167"/>
        <v>[kxuuIFpOXyO]|35-49|Male|PLHIV_Attend.T|CY2024Q3</v>
      </c>
    </row>
    <row r="5349" spans="4:18" x14ac:dyDescent="0.2">
      <c r="D5349" t="s">
        <v>62</v>
      </c>
      <c r="E5349" t="s">
        <v>63</v>
      </c>
      <c r="F5349" t="s">
        <v>64</v>
      </c>
      <c r="G5349" t="s">
        <v>167</v>
      </c>
      <c r="H5349" t="s">
        <v>167</v>
      </c>
      <c r="I5349" t="s">
        <v>44</v>
      </c>
      <c r="J5349" t="s">
        <v>45</v>
      </c>
      <c r="K5349" t="s">
        <v>47</v>
      </c>
      <c r="L5349" t="s">
        <v>48</v>
      </c>
      <c r="M5349" t="s">
        <v>166</v>
      </c>
      <c r="N5349">
        <v>746</v>
      </c>
      <c r="O5349" s="14">
        <v>0.87464343360625196</v>
      </c>
      <c r="P5349" s="14">
        <v>0.790102193132043</v>
      </c>
      <c r="Q5349" t="str">
        <f t="shared" si="166"/>
        <v>50+</v>
      </c>
      <c r="R5349" t="str">
        <f t="shared" si="167"/>
        <v>[kxuuIFpOXyO]|50+|Male|PLHIV_Attend.T|CY2024Q3</v>
      </c>
    </row>
    <row r="5350" spans="4:18" x14ac:dyDescent="0.2">
      <c r="D5350" t="s">
        <v>65</v>
      </c>
      <c r="E5350" t="s">
        <v>66</v>
      </c>
      <c r="F5350" t="s">
        <v>67</v>
      </c>
      <c r="G5350" t="s">
        <v>167</v>
      </c>
      <c r="H5350" t="s">
        <v>167</v>
      </c>
      <c r="I5350" t="s">
        <v>27</v>
      </c>
      <c r="J5350" t="s">
        <v>28</v>
      </c>
      <c r="K5350" t="s">
        <v>29</v>
      </c>
      <c r="L5350" t="s">
        <v>30</v>
      </c>
      <c r="M5350" t="s">
        <v>166</v>
      </c>
      <c r="N5350">
        <v>771</v>
      </c>
      <c r="O5350" s="14">
        <v>0.66806122381240096</v>
      </c>
      <c r="P5350" s="14">
        <v>0.16460988437756899</v>
      </c>
      <c r="Q5350" t="str">
        <f t="shared" si="166"/>
        <v>&lt;01</v>
      </c>
      <c r="R5350" t="str">
        <f t="shared" si="167"/>
        <v>[ScR9iFKAasW]|&lt;01|Female|PLHIV_Attend.T|CY2024Q3</v>
      </c>
    </row>
    <row r="5351" spans="4:18" x14ac:dyDescent="0.2">
      <c r="D5351" t="s">
        <v>65</v>
      </c>
      <c r="E5351" t="s">
        <v>66</v>
      </c>
      <c r="F5351" t="s">
        <v>67</v>
      </c>
      <c r="G5351" t="s">
        <v>167</v>
      </c>
      <c r="H5351" t="s">
        <v>167</v>
      </c>
      <c r="I5351" t="s">
        <v>32</v>
      </c>
      <c r="J5351" t="s">
        <v>33</v>
      </c>
      <c r="K5351" t="s">
        <v>29</v>
      </c>
      <c r="L5351" t="s">
        <v>30</v>
      </c>
      <c r="M5351" t="s">
        <v>166</v>
      </c>
      <c r="N5351">
        <v>1909</v>
      </c>
      <c r="O5351" s="14">
        <v>4.7973504988476599E-2</v>
      </c>
      <c r="P5351" s="14">
        <v>0.16460988437756899</v>
      </c>
      <c r="Q5351" t="str">
        <f t="shared" si="166"/>
        <v>01-09</v>
      </c>
      <c r="R5351" t="str">
        <f t="shared" si="167"/>
        <v>[ScR9iFKAasW]|01-09|Female|PLHIV_Attend.T|CY2024Q3</v>
      </c>
    </row>
    <row r="5352" spans="4:18" x14ac:dyDescent="0.2">
      <c r="D5352" t="s">
        <v>65</v>
      </c>
      <c r="E5352" t="s">
        <v>66</v>
      </c>
      <c r="F5352" t="s">
        <v>67</v>
      </c>
      <c r="G5352" t="s">
        <v>167</v>
      </c>
      <c r="H5352" t="s">
        <v>167</v>
      </c>
      <c r="I5352" t="s">
        <v>35</v>
      </c>
      <c r="J5352" t="s">
        <v>36</v>
      </c>
      <c r="K5352" t="s">
        <v>29</v>
      </c>
      <c r="L5352" t="s">
        <v>30</v>
      </c>
      <c r="M5352" t="s">
        <v>166</v>
      </c>
      <c r="N5352">
        <v>851</v>
      </c>
      <c r="O5352" s="14">
        <v>0.640667848521844</v>
      </c>
      <c r="P5352" s="14">
        <v>0.16460988437756899</v>
      </c>
      <c r="Q5352" t="str">
        <f t="shared" si="166"/>
        <v>10-14</v>
      </c>
      <c r="R5352" t="str">
        <f t="shared" si="167"/>
        <v>[ScR9iFKAasW]|10-14|Female|PLHIV_Attend.T|CY2024Q3</v>
      </c>
    </row>
    <row r="5353" spans="4:18" x14ac:dyDescent="0.2">
      <c r="D5353" t="s">
        <v>65</v>
      </c>
      <c r="E5353" t="s">
        <v>66</v>
      </c>
      <c r="F5353" t="s">
        <v>67</v>
      </c>
      <c r="G5353" t="s">
        <v>167</v>
      </c>
      <c r="H5353" t="s">
        <v>167</v>
      </c>
      <c r="I5353" t="s">
        <v>37</v>
      </c>
      <c r="J5353" t="s">
        <v>38</v>
      </c>
      <c r="K5353" t="s">
        <v>29</v>
      </c>
      <c r="L5353" t="s">
        <v>30</v>
      </c>
      <c r="M5353" t="s">
        <v>166</v>
      </c>
      <c r="N5353">
        <v>699</v>
      </c>
      <c r="O5353" s="14">
        <v>0.77755243959836695</v>
      </c>
      <c r="P5353" s="14">
        <v>0.16460988437756899</v>
      </c>
      <c r="Q5353" t="str">
        <f t="shared" si="166"/>
        <v>15-24</v>
      </c>
      <c r="R5353" t="str">
        <f t="shared" si="167"/>
        <v>[ScR9iFKAasW]|15-24|Female|PLHIV_Attend.T|CY2024Q3</v>
      </c>
    </row>
    <row r="5354" spans="4:18" x14ac:dyDescent="0.2">
      <c r="D5354" t="s">
        <v>65</v>
      </c>
      <c r="E5354" t="s">
        <v>66</v>
      </c>
      <c r="F5354" t="s">
        <v>67</v>
      </c>
      <c r="G5354" t="s">
        <v>167</v>
      </c>
      <c r="H5354" t="s">
        <v>167</v>
      </c>
      <c r="I5354" t="s">
        <v>40</v>
      </c>
      <c r="J5354" t="s">
        <v>41</v>
      </c>
      <c r="K5354" t="s">
        <v>29</v>
      </c>
      <c r="L5354" t="s">
        <v>30</v>
      </c>
      <c r="M5354" t="s">
        <v>166</v>
      </c>
      <c r="N5354">
        <v>1956</v>
      </c>
      <c r="O5354" s="14">
        <v>0.36038915766403101</v>
      </c>
      <c r="P5354" s="14">
        <v>0.16460988437756899</v>
      </c>
      <c r="Q5354" t="str">
        <f t="shared" si="166"/>
        <v>25-34</v>
      </c>
      <c r="R5354" t="str">
        <f t="shared" si="167"/>
        <v>[ScR9iFKAasW]|25-34|Female|PLHIV_Attend.T|CY2024Q3</v>
      </c>
    </row>
    <row r="5355" spans="4:18" x14ac:dyDescent="0.2">
      <c r="D5355" t="s">
        <v>65</v>
      </c>
      <c r="E5355" t="s">
        <v>66</v>
      </c>
      <c r="F5355" t="s">
        <v>67</v>
      </c>
      <c r="G5355" t="s">
        <v>167</v>
      </c>
      <c r="H5355" t="s">
        <v>167</v>
      </c>
      <c r="I5355" t="s">
        <v>42</v>
      </c>
      <c r="J5355" t="s">
        <v>43</v>
      </c>
      <c r="K5355" t="s">
        <v>29</v>
      </c>
      <c r="L5355" t="s">
        <v>30</v>
      </c>
      <c r="M5355" t="s">
        <v>166</v>
      </c>
      <c r="N5355">
        <v>1070</v>
      </c>
      <c r="O5355" s="14">
        <v>0.43716348567977498</v>
      </c>
      <c r="P5355" s="14">
        <v>0.16460988437756899</v>
      </c>
      <c r="Q5355" t="str">
        <f t="shared" si="166"/>
        <v>35-49</v>
      </c>
      <c r="R5355" t="str">
        <f t="shared" si="167"/>
        <v>[ScR9iFKAasW]|35-49|Female|PLHIV_Attend.T|CY2024Q3</v>
      </c>
    </row>
    <row r="5356" spans="4:18" x14ac:dyDescent="0.2">
      <c r="D5356" t="s">
        <v>65</v>
      </c>
      <c r="E5356" t="s">
        <v>66</v>
      </c>
      <c r="F5356" t="s">
        <v>67</v>
      </c>
      <c r="G5356" t="s">
        <v>167</v>
      </c>
      <c r="H5356" t="s">
        <v>167</v>
      </c>
      <c r="I5356" t="s">
        <v>44</v>
      </c>
      <c r="J5356" t="s">
        <v>45</v>
      </c>
      <c r="K5356" t="s">
        <v>29</v>
      </c>
      <c r="L5356" t="s">
        <v>30</v>
      </c>
      <c r="M5356" t="s">
        <v>166</v>
      </c>
      <c r="N5356">
        <v>1504</v>
      </c>
      <c r="O5356" s="14">
        <v>0.161268255207688</v>
      </c>
      <c r="P5356" s="14">
        <v>0.16460988437756899</v>
      </c>
      <c r="Q5356" t="str">
        <f t="shared" si="166"/>
        <v>50+</v>
      </c>
      <c r="R5356" t="str">
        <f t="shared" si="167"/>
        <v>[ScR9iFKAasW]|50+|Female|PLHIV_Attend.T|CY2024Q3</v>
      </c>
    </row>
    <row r="5357" spans="4:18" x14ac:dyDescent="0.2">
      <c r="D5357" t="s">
        <v>65</v>
      </c>
      <c r="E5357" t="s">
        <v>66</v>
      </c>
      <c r="F5357" t="s">
        <v>67</v>
      </c>
      <c r="G5357" t="s">
        <v>167</v>
      </c>
      <c r="H5357" t="s">
        <v>167</v>
      </c>
      <c r="I5357" t="s">
        <v>27</v>
      </c>
      <c r="J5357" t="s">
        <v>28</v>
      </c>
      <c r="K5357" t="s">
        <v>47</v>
      </c>
      <c r="L5357" t="s">
        <v>48</v>
      </c>
      <c r="M5357" t="s">
        <v>166</v>
      </c>
      <c r="N5357">
        <v>1314</v>
      </c>
      <c r="O5357" s="14">
        <v>0.70518908416852399</v>
      </c>
      <c r="P5357" s="14">
        <v>0.16460988437756899</v>
      </c>
      <c r="Q5357" t="str">
        <f t="shared" si="166"/>
        <v>&lt;01</v>
      </c>
      <c r="R5357" t="str">
        <f t="shared" si="167"/>
        <v>[ScR9iFKAasW]|&lt;01|Male|PLHIV_Attend.T|CY2024Q3</v>
      </c>
    </row>
    <row r="5358" spans="4:18" x14ac:dyDescent="0.2">
      <c r="D5358" t="s">
        <v>65</v>
      </c>
      <c r="E5358" t="s">
        <v>66</v>
      </c>
      <c r="F5358" t="s">
        <v>67</v>
      </c>
      <c r="G5358" t="s">
        <v>167</v>
      </c>
      <c r="H5358" t="s">
        <v>167</v>
      </c>
      <c r="I5358" t="s">
        <v>32</v>
      </c>
      <c r="J5358" t="s">
        <v>33</v>
      </c>
      <c r="K5358" t="s">
        <v>47</v>
      </c>
      <c r="L5358" t="s">
        <v>48</v>
      </c>
      <c r="M5358" t="s">
        <v>166</v>
      </c>
      <c r="N5358">
        <v>1047</v>
      </c>
      <c r="O5358" s="14">
        <v>0.17375948652625101</v>
      </c>
      <c r="P5358" s="14">
        <v>0.16460988437756899</v>
      </c>
      <c r="Q5358" t="str">
        <f t="shared" si="166"/>
        <v>01-09</v>
      </c>
      <c r="R5358" t="str">
        <f t="shared" si="167"/>
        <v>[ScR9iFKAasW]|01-09|Male|PLHIV_Attend.T|CY2024Q3</v>
      </c>
    </row>
    <row r="5359" spans="4:18" x14ac:dyDescent="0.2">
      <c r="D5359" t="s">
        <v>65</v>
      </c>
      <c r="E5359" t="s">
        <v>66</v>
      </c>
      <c r="F5359" t="s">
        <v>67</v>
      </c>
      <c r="G5359" t="s">
        <v>167</v>
      </c>
      <c r="H5359" t="s">
        <v>167</v>
      </c>
      <c r="I5359" t="s">
        <v>35</v>
      </c>
      <c r="J5359" t="s">
        <v>36</v>
      </c>
      <c r="K5359" t="s">
        <v>47</v>
      </c>
      <c r="L5359" t="s">
        <v>48</v>
      </c>
      <c r="M5359" t="s">
        <v>166</v>
      </c>
      <c r="N5359">
        <v>1508</v>
      </c>
      <c r="O5359" s="14">
        <v>2.02037948183715E-2</v>
      </c>
      <c r="P5359" s="14">
        <v>0.16460988437756899</v>
      </c>
      <c r="Q5359" t="str">
        <f t="shared" si="166"/>
        <v>10-14</v>
      </c>
      <c r="R5359" t="str">
        <f t="shared" si="167"/>
        <v>[ScR9iFKAasW]|10-14|Male|PLHIV_Attend.T|CY2024Q3</v>
      </c>
    </row>
    <row r="5360" spans="4:18" x14ac:dyDescent="0.2">
      <c r="D5360" t="s">
        <v>65</v>
      </c>
      <c r="E5360" t="s">
        <v>66</v>
      </c>
      <c r="F5360" t="s">
        <v>67</v>
      </c>
      <c r="G5360" t="s">
        <v>167</v>
      </c>
      <c r="H5360" t="s">
        <v>167</v>
      </c>
      <c r="I5360" t="s">
        <v>37</v>
      </c>
      <c r="J5360" t="s">
        <v>38</v>
      </c>
      <c r="K5360" t="s">
        <v>47</v>
      </c>
      <c r="L5360" t="s">
        <v>48</v>
      </c>
      <c r="M5360" t="s">
        <v>166</v>
      </c>
      <c r="N5360">
        <v>1845</v>
      </c>
      <c r="O5360" s="14">
        <v>0.25323469494469503</v>
      </c>
      <c r="P5360" s="14">
        <v>0.16460988437756899</v>
      </c>
      <c r="Q5360" t="str">
        <f t="shared" si="166"/>
        <v>15-24</v>
      </c>
      <c r="R5360" t="str">
        <f t="shared" si="167"/>
        <v>[ScR9iFKAasW]|15-24|Male|PLHIV_Attend.T|CY2024Q3</v>
      </c>
    </row>
    <row r="5361" spans="4:18" x14ac:dyDescent="0.2">
      <c r="D5361" t="s">
        <v>65</v>
      </c>
      <c r="E5361" t="s">
        <v>66</v>
      </c>
      <c r="F5361" t="s">
        <v>67</v>
      </c>
      <c r="G5361" t="s">
        <v>167</v>
      </c>
      <c r="H5361" t="s">
        <v>167</v>
      </c>
      <c r="I5361" t="s">
        <v>40</v>
      </c>
      <c r="J5361" t="s">
        <v>41</v>
      </c>
      <c r="K5361" t="s">
        <v>47</v>
      </c>
      <c r="L5361" t="s">
        <v>48</v>
      </c>
      <c r="M5361" t="s">
        <v>166</v>
      </c>
      <c r="N5361">
        <v>1370</v>
      </c>
      <c r="O5361" s="14">
        <v>0.18565843882970501</v>
      </c>
      <c r="P5361" s="14">
        <v>0.16460988437756899</v>
      </c>
      <c r="Q5361" t="str">
        <f t="shared" si="166"/>
        <v>25-34</v>
      </c>
      <c r="R5361" t="str">
        <f t="shared" si="167"/>
        <v>[ScR9iFKAasW]|25-34|Male|PLHIV_Attend.T|CY2024Q3</v>
      </c>
    </row>
    <row r="5362" spans="4:18" x14ac:dyDescent="0.2">
      <c r="D5362" t="s">
        <v>65</v>
      </c>
      <c r="E5362" t="s">
        <v>66</v>
      </c>
      <c r="F5362" t="s">
        <v>67</v>
      </c>
      <c r="G5362" t="s">
        <v>167</v>
      </c>
      <c r="H5362" t="s">
        <v>167</v>
      </c>
      <c r="I5362" t="s">
        <v>42</v>
      </c>
      <c r="J5362" t="s">
        <v>43</v>
      </c>
      <c r="K5362" t="s">
        <v>47</v>
      </c>
      <c r="L5362" t="s">
        <v>48</v>
      </c>
      <c r="M5362" t="s">
        <v>166</v>
      </c>
      <c r="N5362">
        <v>691</v>
      </c>
      <c r="O5362" s="14">
        <v>0.74251495813950896</v>
      </c>
      <c r="P5362" s="14">
        <v>0.16460988437756899</v>
      </c>
      <c r="Q5362" t="str">
        <f t="shared" si="166"/>
        <v>35-49</v>
      </c>
      <c r="R5362" t="str">
        <f t="shared" si="167"/>
        <v>[ScR9iFKAasW]|35-49|Male|PLHIV_Attend.T|CY2024Q3</v>
      </c>
    </row>
    <row r="5363" spans="4:18" x14ac:dyDescent="0.2">
      <c r="D5363" t="s">
        <v>65</v>
      </c>
      <c r="E5363" t="s">
        <v>66</v>
      </c>
      <c r="F5363" t="s">
        <v>67</v>
      </c>
      <c r="G5363" t="s">
        <v>167</v>
      </c>
      <c r="H5363" t="s">
        <v>167</v>
      </c>
      <c r="I5363" t="s">
        <v>44</v>
      </c>
      <c r="J5363" t="s">
        <v>45</v>
      </c>
      <c r="K5363" t="s">
        <v>47</v>
      </c>
      <c r="L5363" t="s">
        <v>48</v>
      </c>
      <c r="M5363" t="s">
        <v>166</v>
      </c>
      <c r="N5363">
        <v>1403</v>
      </c>
      <c r="O5363" s="14">
        <v>0.624098614556715</v>
      </c>
      <c r="P5363" s="14">
        <v>0.16460988437756899</v>
      </c>
      <c r="Q5363" t="str">
        <f t="shared" si="166"/>
        <v>50+</v>
      </c>
      <c r="R5363" t="str">
        <f t="shared" si="167"/>
        <v>[ScR9iFKAasW]|50+|Male|PLHIV_Attend.T|CY2024Q3</v>
      </c>
    </row>
    <row r="5364" spans="4:18" x14ac:dyDescent="0.2">
      <c r="D5364" t="s">
        <v>68</v>
      </c>
      <c r="E5364" t="s">
        <v>69</v>
      </c>
      <c r="F5364" t="s">
        <v>70</v>
      </c>
      <c r="G5364" t="s">
        <v>167</v>
      </c>
      <c r="H5364" t="s">
        <v>167</v>
      </c>
      <c r="I5364" t="s">
        <v>27</v>
      </c>
      <c r="J5364" t="s">
        <v>28</v>
      </c>
      <c r="K5364" t="s">
        <v>29</v>
      </c>
      <c r="L5364" t="s">
        <v>30</v>
      </c>
      <c r="M5364" t="s">
        <v>166</v>
      </c>
      <c r="N5364">
        <v>1670</v>
      </c>
      <c r="O5364" s="14">
        <v>0.79856527340598404</v>
      </c>
      <c r="P5364" s="14">
        <v>0.19881726312451101</v>
      </c>
      <c r="Q5364" t="str">
        <f t="shared" si="166"/>
        <v>&lt;01</v>
      </c>
      <c r="R5364" t="str">
        <f t="shared" si="167"/>
        <v>[PekKUkKHAzY]|&lt;01|Female|PLHIV_Attend.T|CY2024Q3</v>
      </c>
    </row>
    <row r="5365" spans="4:18" x14ac:dyDescent="0.2">
      <c r="D5365" t="s">
        <v>68</v>
      </c>
      <c r="E5365" t="s">
        <v>69</v>
      </c>
      <c r="F5365" t="s">
        <v>70</v>
      </c>
      <c r="G5365" t="s">
        <v>167</v>
      </c>
      <c r="H5365" t="s">
        <v>167</v>
      </c>
      <c r="I5365" t="s">
        <v>32</v>
      </c>
      <c r="J5365" t="s">
        <v>33</v>
      </c>
      <c r="K5365" t="s">
        <v>29</v>
      </c>
      <c r="L5365" t="s">
        <v>30</v>
      </c>
      <c r="M5365" t="s">
        <v>166</v>
      </c>
      <c r="N5365">
        <v>894</v>
      </c>
      <c r="O5365" s="14">
        <v>0.28805651422590001</v>
      </c>
      <c r="P5365" s="14">
        <v>0.19881726312451101</v>
      </c>
      <c r="Q5365" t="str">
        <f t="shared" si="166"/>
        <v>01-09</v>
      </c>
      <c r="R5365" t="str">
        <f t="shared" si="167"/>
        <v>[PekKUkKHAzY]|01-09|Female|PLHIV_Attend.T|CY2024Q3</v>
      </c>
    </row>
    <row r="5366" spans="4:18" x14ac:dyDescent="0.2">
      <c r="D5366" t="s">
        <v>68</v>
      </c>
      <c r="E5366" t="s">
        <v>69</v>
      </c>
      <c r="F5366" t="s">
        <v>70</v>
      </c>
      <c r="G5366" t="s">
        <v>167</v>
      </c>
      <c r="H5366" t="s">
        <v>167</v>
      </c>
      <c r="I5366" t="s">
        <v>35</v>
      </c>
      <c r="J5366" t="s">
        <v>36</v>
      </c>
      <c r="K5366" t="s">
        <v>29</v>
      </c>
      <c r="L5366" t="s">
        <v>30</v>
      </c>
      <c r="M5366" t="s">
        <v>166</v>
      </c>
      <c r="N5366">
        <v>894</v>
      </c>
      <c r="O5366" s="14">
        <v>0.55663392320275296</v>
      </c>
      <c r="P5366" s="14">
        <v>0.19881726312451101</v>
      </c>
      <c r="Q5366" t="str">
        <f t="shared" si="166"/>
        <v>10-14</v>
      </c>
      <c r="R5366" t="str">
        <f t="shared" si="167"/>
        <v>[PekKUkKHAzY]|10-14|Female|PLHIV_Attend.T|CY2024Q3</v>
      </c>
    </row>
    <row r="5367" spans="4:18" x14ac:dyDescent="0.2">
      <c r="D5367" t="s">
        <v>68</v>
      </c>
      <c r="E5367" t="s">
        <v>69</v>
      </c>
      <c r="F5367" t="s">
        <v>70</v>
      </c>
      <c r="G5367" t="s">
        <v>167</v>
      </c>
      <c r="H5367" t="s">
        <v>167</v>
      </c>
      <c r="I5367" t="s">
        <v>37</v>
      </c>
      <c r="J5367" t="s">
        <v>38</v>
      </c>
      <c r="K5367" t="s">
        <v>29</v>
      </c>
      <c r="L5367" t="s">
        <v>30</v>
      </c>
      <c r="M5367" t="s">
        <v>166</v>
      </c>
      <c r="N5367">
        <v>520</v>
      </c>
      <c r="O5367" s="14">
        <v>0.32135301548987599</v>
      </c>
      <c r="P5367" s="14">
        <v>0.19881726312451101</v>
      </c>
      <c r="Q5367" t="str">
        <f t="shared" si="166"/>
        <v>15-24</v>
      </c>
      <c r="R5367" t="str">
        <f t="shared" si="167"/>
        <v>[PekKUkKHAzY]|15-24|Female|PLHIV_Attend.T|CY2024Q3</v>
      </c>
    </row>
    <row r="5368" spans="4:18" x14ac:dyDescent="0.2">
      <c r="D5368" t="s">
        <v>68</v>
      </c>
      <c r="E5368" t="s">
        <v>69</v>
      </c>
      <c r="F5368" t="s">
        <v>70</v>
      </c>
      <c r="G5368" t="s">
        <v>167</v>
      </c>
      <c r="H5368" t="s">
        <v>167</v>
      </c>
      <c r="I5368" t="s">
        <v>40</v>
      </c>
      <c r="J5368" t="s">
        <v>41</v>
      </c>
      <c r="K5368" t="s">
        <v>29</v>
      </c>
      <c r="L5368" t="s">
        <v>30</v>
      </c>
      <c r="M5368" t="s">
        <v>166</v>
      </c>
      <c r="N5368">
        <v>1110</v>
      </c>
      <c r="O5368" s="14">
        <v>9.4399743946269196E-2</v>
      </c>
      <c r="P5368" s="14">
        <v>0.19881726312451101</v>
      </c>
      <c r="Q5368" t="str">
        <f t="shared" si="166"/>
        <v>25-34</v>
      </c>
      <c r="R5368" t="str">
        <f t="shared" si="167"/>
        <v>[PekKUkKHAzY]|25-34|Female|PLHIV_Attend.T|CY2024Q3</v>
      </c>
    </row>
    <row r="5369" spans="4:18" x14ac:dyDescent="0.2">
      <c r="D5369" t="s">
        <v>68</v>
      </c>
      <c r="E5369" t="s">
        <v>69</v>
      </c>
      <c r="F5369" t="s">
        <v>70</v>
      </c>
      <c r="G5369" t="s">
        <v>167</v>
      </c>
      <c r="H5369" t="s">
        <v>167</v>
      </c>
      <c r="I5369" t="s">
        <v>42</v>
      </c>
      <c r="J5369" t="s">
        <v>43</v>
      </c>
      <c r="K5369" t="s">
        <v>29</v>
      </c>
      <c r="L5369" t="s">
        <v>30</v>
      </c>
      <c r="M5369" t="s">
        <v>166</v>
      </c>
      <c r="N5369">
        <v>1813</v>
      </c>
      <c r="O5369" s="14">
        <v>0.93131048139184702</v>
      </c>
      <c r="P5369" s="14">
        <v>0.19881726312451101</v>
      </c>
      <c r="Q5369" t="str">
        <f t="shared" si="166"/>
        <v>35-49</v>
      </c>
      <c r="R5369" t="str">
        <f t="shared" si="167"/>
        <v>[PekKUkKHAzY]|35-49|Female|PLHIV_Attend.T|CY2024Q3</v>
      </c>
    </row>
    <row r="5370" spans="4:18" x14ac:dyDescent="0.2">
      <c r="D5370" t="s">
        <v>68</v>
      </c>
      <c r="E5370" t="s">
        <v>69</v>
      </c>
      <c r="F5370" t="s">
        <v>70</v>
      </c>
      <c r="G5370" t="s">
        <v>167</v>
      </c>
      <c r="H5370" t="s">
        <v>167</v>
      </c>
      <c r="I5370" t="s">
        <v>44</v>
      </c>
      <c r="J5370" t="s">
        <v>45</v>
      </c>
      <c r="K5370" t="s">
        <v>29</v>
      </c>
      <c r="L5370" t="s">
        <v>30</v>
      </c>
      <c r="M5370" t="s">
        <v>166</v>
      </c>
      <c r="N5370">
        <v>1845</v>
      </c>
      <c r="O5370" s="14">
        <v>0.84790977998636696</v>
      </c>
      <c r="P5370" s="14">
        <v>0.19881726312451101</v>
      </c>
      <c r="Q5370" t="str">
        <f t="shared" si="166"/>
        <v>50+</v>
      </c>
      <c r="R5370" t="str">
        <f t="shared" si="167"/>
        <v>[PekKUkKHAzY]|50+|Female|PLHIV_Attend.T|CY2024Q3</v>
      </c>
    </row>
    <row r="5371" spans="4:18" x14ac:dyDescent="0.2">
      <c r="D5371" t="s">
        <v>68</v>
      </c>
      <c r="E5371" t="s">
        <v>69</v>
      </c>
      <c r="F5371" t="s">
        <v>70</v>
      </c>
      <c r="G5371" t="s">
        <v>167</v>
      </c>
      <c r="H5371" t="s">
        <v>167</v>
      </c>
      <c r="I5371" t="s">
        <v>27</v>
      </c>
      <c r="J5371" t="s">
        <v>28</v>
      </c>
      <c r="K5371" t="s">
        <v>47</v>
      </c>
      <c r="L5371" t="s">
        <v>48</v>
      </c>
      <c r="M5371" t="s">
        <v>166</v>
      </c>
      <c r="N5371">
        <v>602</v>
      </c>
      <c r="O5371" s="14">
        <v>8.4015327738598003E-2</v>
      </c>
      <c r="P5371" s="14">
        <v>0.19881726312451101</v>
      </c>
      <c r="Q5371" t="str">
        <f t="shared" si="166"/>
        <v>&lt;01</v>
      </c>
      <c r="R5371" t="str">
        <f t="shared" si="167"/>
        <v>[PekKUkKHAzY]|&lt;01|Male|PLHIV_Attend.T|CY2024Q3</v>
      </c>
    </row>
    <row r="5372" spans="4:18" x14ac:dyDescent="0.2">
      <c r="D5372" t="s">
        <v>68</v>
      </c>
      <c r="E5372" t="s">
        <v>69</v>
      </c>
      <c r="F5372" t="s">
        <v>70</v>
      </c>
      <c r="G5372" t="s">
        <v>167</v>
      </c>
      <c r="H5372" t="s">
        <v>167</v>
      </c>
      <c r="I5372" t="s">
        <v>32</v>
      </c>
      <c r="J5372" t="s">
        <v>33</v>
      </c>
      <c r="K5372" t="s">
        <v>47</v>
      </c>
      <c r="L5372" t="s">
        <v>48</v>
      </c>
      <c r="M5372" t="s">
        <v>166</v>
      </c>
      <c r="N5372">
        <v>1113</v>
      </c>
      <c r="O5372" s="14">
        <v>0.425976769533008</v>
      </c>
      <c r="P5372" s="14">
        <v>0.19881726312451101</v>
      </c>
      <c r="Q5372" t="str">
        <f t="shared" si="166"/>
        <v>01-09</v>
      </c>
      <c r="R5372" t="str">
        <f t="shared" si="167"/>
        <v>[PekKUkKHAzY]|01-09|Male|PLHIV_Attend.T|CY2024Q3</v>
      </c>
    </row>
    <row r="5373" spans="4:18" x14ac:dyDescent="0.2">
      <c r="D5373" t="s">
        <v>68</v>
      </c>
      <c r="E5373" t="s">
        <v>69</v>
      </c>
      <c r="F5373" t="s">
        <v>70</v>
      </c>
      <c r="G5373" t="s">
        <v>167</v>
      </c>
      <c r="H5373" t="s">
        <v>167</v>
      </c>
      <c r="I5373" t="s">
        <v>35</v>
      </c>
      <c r="J5373" t="s">
        <v>36</v>
      </c>
      <c r="K5373" t="s">
        <v>47</v>
      </c>
      <c r="L5373" t="s">
        <v>48</v>
      </c>
      <c r="M5373" t="s">
        <v>166</v>
      </c>
      <c r="N5373">
        <v>1395</v>
      </c>
      <c r="O5373" s="14">
        <v>0.75297122425399698</v>
      </c>
      <c r="P5373" s="14">
        <v>0.19881726312451101</v>
      </c>
      <c r="Q5373" t="str">
        <f t="shared" si="166"/>
        <v>10-14</v>
      </c>
      <c r="R5373" t="str">
        <f t="shared" si="167"/>
        <v>[PekKUkKHAzY]|10-14|Male|PLHIV_Attend.T|CY2024Q3</v>
      </c>
    </row>
    <row r="5374" spans="4:18" x14ac:dyDescent="0.2">
      <c r="D5374" t="s">
        <v>68</v>
      </c>
      <c r="E5374" t="s">
        <v>69</v>
      </c>
      <c r="F5374" t="s">
        <v>70</v>
      </c>
      <c r="G5374" t="s">
        <v>167</v>
      </c>
      <c r="H5374" t="s">
        <v>167</v>
      </c>
      <c r="I5374" t="s">
        <v>37</v>
      </c>
      <c r="J5374" t="s">
        <v>38</v>
      </c>
      <c r="K5374" t="s">
        <v>47</v>
      </c>
      <c r="L5374" t="s">
        <v>48</v>
      </c>
      <c r="M5374" t="s">
        <v>166</v>
      </c>
      <c r="N5374">
        <v>1106</v>
      </c>
      <c r="O5374" s="14">
        <v>0.51820194791071095</v>
      </c>
      <c r="P5374" s="14">
        <v>0.19881726312451101</v>
      </c>
      <c r="Q5374" t="str">
        <f t="shared" si="166"/>
        <v>15-24</v>
      </c>
      <c r="R5374" t="str">
        <f t="shared" si="167"/>
        <v>[PekKUkKHAzY]|15-24|Male|PLHIV_Attend.T|CY2024Q3</v>
      </c>
    </row>
    <row r="5375" spans="4:18" x14ac:dyDescent="0.2">
      <c r="D5375" t="s">
        <v>68</v>
      </c>
      <c r="E5375" t="s">
        <v>69</v>
      </c>
      <c r="F5375" t="s">
        <v>70</v>
      </c>
      <c r="G5375" t="s">
        <v>167</v>
      </c>
      <c r="H5375" t="s">
        <v>167</v>
      </c>
      <c r="I5375" t="s">
        <v>40</v>
      </c>
      <c r="J5375" t="s">
        <v>41</v>
      </c>
      <c r="K5375" t="s">
        <v>47</v>
      </c>
      <c r="L5375" t="s">
        <v>48</v>
      </c>
      <c r="M5375" t="s">
        <v>166</v>
      </c>
      <c r="N5375">
        <v>1124</v>
      </c>
      <c r="O5375" s="14">
        <v>0.245296701323241</v>
      </c>
      <c r="P5375" s="14">
        <v>0.19881726312451101</v>
      </c>
      <c r="Q5375" t="str">
        <f t="shared" si="166"/>
        <v>25-34</v>
      </c>
      <c r="R5375" t="str">
        <f t="shared" si="167"/>
        <v>[PekKUkKHAzY]|25-34|Male|PLHIV_Attend.T|CY2024Q3</v>
      </c>
    </row>
    <row r="5376" spans="4:18" x14ac:dyDescent="0.2">
      <c r="D5376" t="s">
        <v>68</v>
      </c>
      <c r="E5376" t="s">
        <v>69</v>
      </c>
      <c r="F5376" t="s">
        <v>70</v>
      </c>
      <c r="G5376" t="s">
        <v>167</v>
      </c>
      <c r="H5376" t="s">
        <v>167</v>
      </c>
      <c r="I5376" t="s">
        <v>42</v>
      </c>
      <c r="J5376" t="s">
        <v>43</v>
      </c>
      <c r="K5376" t="s">
        <v>47</v>
      </c>
      <c r="L5376" t="s">
        <v>48</v>
      </c>
      <c r="M5376" t="s">
        <v>166</v>
      </c>
      <c r="N5376">
        <v>1826</v>
      </c>
      <c r="O5376" s="14">
        <v>0.51374169578775797</v>
      </c>
      <c r="P5376" s="14">
        <v>0.19881726312451101</v>
      </c>
      <c r="Q5376" t="str">
        <f t="shared" si="166"/>
        <v>35-49</v>
      </c>
      <c r="R5376" t="str">
        <f t="shared" si="167"/>
        <v>[PekKUkKHAzY]|35-49|Male|PLHIV_Attend.T|CY2024Q3</v>
      </c>
    </row>
    <row r="5377" spans="4:18" x14ac:dyDescent="0.2">
      <c r="D5377" t="s">
        <v>68</v>
      </c>
      <c r="E5377" t="s">
        <v>69</v>
      </c>
      <c r="F5377" t="s">
        <v>70</v>
      </c>
      <c r="G5377" t="s">
        <v>167</v>
      </c>
      <c r="H5377" t="s">
        <v>167</v>
      </c>
      <c r="I5377" t="s">
        <v>44</v>
      </c>
      <c r="J5377" t="s">
        <v>45</v>
      </c>
      <c r="K5377" t="s">
        <v>47</v>
      </c>
      <c r="L5377" t="s">
        <v>48</v>
      </c>
      <c r="M5377" t="s">
        <v>166</v>
      </c>
      <c r="N5377">
        <v>1597</v>
      </c>
      <c r="O5377" s="14">
        <v>0.68049913994036604</v>
      </c>
      <c r="P5377" s="14">
        <v>0.19881726312451101</v>
      </c>
      <c r="Q5377" t="str">
        <f t="shared" si="166"/>
        <v>50+</v>
      </c>
      <c r="R5377" t="str">
        <f t="shared" si="167"/>
        <v>[PekKUkKHAzY]|50+|Male|PLHIV_Attend.T|CY2024Q3</v>
      </c>
    </row>
    <row r="5378" spans="4:18" x14ac:dyDescent="0.2">
      <c r="D5378" t="s">
        <v>71</v>
      </c>
      <c r="E5378" t="s">
        <v>72</v>
      </c>
      <c r="F5378" t="s">
        <v>73</v>
      </c>
      <c r="G5378" t="s">
        <v>167</v>
      </c>
      <c r="H5378" t="s">
        <v>167</v>
      </c>
      <c r="I5378" t="s">
        <v>27</v>
      </c>
      <c r="J5378" t="s">
        <v>28</v>
      </c>
      <c r="K5378" t="s">
        <v>29</v>
      </c>
      <c r="L5378" t="s">
        <v>30</v>
      </c>
      <c r="M5378" t="s">
        <v>166</v>
      </c>
      <c r="N5378">
        <v>516</v>
      </c>
      <c r="O5378" s="14">
        <v>0.38453162647783801</v>
      </c>
      <c r="P5378" s="14">
        <v>0.28972870693542102</v>
      </c>
      <c r="Q5378" t="str">
        <f t="shared" ref="Q5378:Q5441" si="168">SUBSTITUTE(SUBSTITUTE($I5378,CHAR(61),""),CHAR(34),"")</f>
        <v>&lt;01</v>
      </c>
      <c r="R5378" t="str">
        <f t="shared" ref="R5378:R5441" si="169">IF($D5378&lt;&gt;"","["&amp;$E5378&amp;"]"&amp;"|"&amp;$Q5378&amp;"|"&amp;$K5378&amp;"|"&amp;$G5378&amp;"|"&amp;IF($G5378="TX_CURR_SUBNAT.R","CY2022Q4",$M5378),"")</f>
        <v>[am530wpaGvr]|&lt;01|Female|PLHIV_Attend.T|CY2024Q3</v>
      </c>
    </row>
    <row r="5379" spans="4:18" x14ac:dyDescent="0.2">
      <c r="D5379" t="s">
        <v>71</v>
      </c>
      <c r="E5379" t="s">
        <v>72</v>
      </c>
      <c r="F5379" t="s">
        <v>73</v>
      </c>
      <c r="G5379" t="s">
        <v>167</v>
      </c>
      <c r="H5379" t="s">
        <v>167</v>
      </c>
      <c r="I5379" t="s">
        <v>32</v>
      </c>
      <c r="J5379" t="s">
        <v>33</v>
      </c>
      <c r="K5379" t="s">
        <v>29</v>
      </c>
      <c r="L5379" t="s">
        <v>30</v>
      </c>
      <c r="M5379" t="s">
        <v>166</v>
      </c>
      <c r="N5379">
        <v>942</v>
      </c>
      <c r="O5379" s="14">
        <v>0.116684413747862</v>
      </c>
      <c r="P5379" s="14">
        <v>0.28972870693542102</v>
      </c>
      <c r="Q5379" t="str">
        <f t="shared" si="168"/>
        <v>01-09</v>
      </c>
      <c r="R5379" t="str">
        <f t="shared" si="169"/>
        <v>[am530wpaGvr]|01-09|Female|PLHIV_Attend.T|CY2024Q3</v>
      </c>
    </row>
    <row r="5380" spans="4:18" x14ac:dyDescent="0.2">
      <c r="D5380" t="s">
        <v>71</v>
      </c>
      <c r="E5380" t="s">
        <v>72</v>
      </c>
      <c r="F5380" t="s">
        <v>73</v>
      </c>
      <c r="G5380" t="s">
        <v>167</v>
      </c>
      <c r="H5380" t="s">
        <v>167</v>
      </c>
      <c r="I5380" t="s">
        <v>35</v>
      </c>
      <c r="J5380" t="s">
        <v>36</v>
      </c>
      <c r="K5380" t="s">
        <v>29</v>
      </c>
      <c r="L5380" t="s">
        <v>30</v>
      </c>
      <c r="M5380" t="s">
        <v>166</v>
      </c>
      <c r="N5380">
        <v>1677</v>
      </c>
      <c r="O5380" s="14">
        <v>0.63875072123482801</v>
      </c>
      <c r="P5380" s="14">
        <v>0.28972870693542102</v>
      </c>
      <c r="Q5380" t="str">
        <f t="shared" si="168"/>
        <v>10-14</v>
      </c>
      <c r="R5380" t="str">
        <f t="shared" si="169"/>
        <v>[am530wpaGvr]|10-14|Female|PLHIV_Attend.T|CY2024Q3</v>
      </c>
    </row>
    <row r="5381" spans="4:18" x14ac:dyDescent="0.2">
      <c r="D5381" t="s">
        <v>71</v>
      </c>
      <c r="E5381" t="s">
        <v>72</v>
      </c>
      <c r="F5381" t="s">
        <v>73</v>
      </c>
      <c r="G5381" t="s">
        <v>167</v>
      </c>
      <c r="H5381" t="s">
        <v>167</v>
      </c>
      <c r="I5381" t="s">
        <v>37</v>
      </c>
      <c r="J5381" t="s">
        <v>38</v>
      </c>
      <c r="K5381" t="s">
        <v>29</v>
      </c>
      <c r="L5381" t="s">
        <v>30</v>
      </c>
      <c r="M5381" t="s">
        <v>166</v>
      </c>
      <c r="N5381">
        <v>1064</v>
      </c>
      <c r="O5381" s="14">
        <v>0.62517974525690101</v>
      </c>
      <c r="P5381" s="14">
        <v>0.28972870693542102</v>
      </c>
      <c r="Q5381" t="str">
        <f t="shared" si="168"/>
        <v>15-24</v>
      </c>
      <c r="R5381" t="str">
        <f t="shared" si="169"/>
        <v>[am530wpaGvr]|15-24|Female|PLHIV_Attend.T|CY2024Q3</v>
      </c>
    </row>
    <row r="5382" spans="4:18" x14ac:dyDescent="0.2">
      <c r="D5382" t="s">
        <v>71</v>
      </c>
      <c r="E5382" t="s">
        <v>72</v>
      </c>
      <c r="F5382" t="s">
        <v>73</v>
      </c>
      <c r="G5382" t="s">
        <v>167</v>
      </c>
      <c r="H5382" t="s">
        <v>167</v>
      </c>
      <c r="I5382" t="s">
        <v>40</v>
      </c>
      <c r="J5382" t="s">
        <v>41</v>
      </c>
      <c r="K5382" t="s">
        <v>29</v>
      </c>
      <c r="L5382" t="s">
        <v>30</v>
      </c>
      <c r="M5382" t="s">
        <v>166</v>
      </c>
      <c r="N5382">
        <v>569</v>
      </c>
      <c r="O5382" s="14">
        <v>0.437113471562043</v>
      </c>
      <c r="P5382" s="14">
        <v>0.28972870693542102</v>
      </c>
      <c r="Q5382" t="str">
        <f t="shared" si="168"/>
        <v>25-34</v>
      </c>
      <c r="R5382" t="str">
        <f t="shared" si="169"/>
        <v>[am530wpaGvr]|25-34|Female|PLHIV_Attend.T|CY2024Q3</v>
      </c>
    </row>
    <row r="5383" spans="4:18" x14ac:dyDescent="0.2">
      <c r="D5383" t="s">
        <v>71</v>
      </c>
      <c r="E5383" t="s">
        <v>72</v>
      </c>
      <c r="F5383" t="s">
        <v>73</v>
      </c>
      <c r="G5383" t="s">
        <v>167</v>
      </c>
      <c r="H5383" t="s">
        <v>167</v>
      </c>
      <c r="I5383" t="s">
        <v>42</v>
      </c>
      <c r="J5383" t="s">
        <v>43</v>
      </c>
      <c r="K5383" t="s">
        <v>29</v>
      </c>
      <c r="L5383" t="s">
        <v>30</v>
      </c>
      <c r="M5383" t="s">
        <v>166</v>
      </c>
      <c r="N5383">
        <v>847</v>
      </c>
      <c r="O5383" s="14">
        <v>0.14915467589162301</v>
      </c>
      <c r="P5383" s="14">
        <v>0.28972870693542102</v>
      </c>
      <c r="Q5383" t="str">
        <f t="shared" si="168"/>
        <v>35-49</v>
      </c>
      <c r="R5383" t="str">
        <f t="shared" si="169"/>
        <v>[am530wpaGvr]|35-49|Female|PLHIV_Attend.T|CY2024Q3</v>
      </c>
    </row>
    <row r="5384" spans="4:18" x14ac:dyDescent="0.2">
      <c r="D5384" t="s">
        <v>71</v>
      </c>
      <c r="E5384" t="s">
        <v>72</v>
      </c>
      <c r="F5384" t="s">
        <v>73</v>
      </c>
      <c r="G5384" t="s">
        <v>167</v>
      </c>
      <c r="H5384" t="s">
        <v>167</v>
      </c>
      <c r="I5384" t="s">
        <v>44</v>
      </c>
      <c r="J5384" t="s">
        <v>45</v>
      </c>
      <c r="K5384" t="s">
        <v>29</v>
      </c>
      <c r="L5384" t="s">
        <v>30</v>
      </c>
      <c r="M5384" t="s">
        <v>166</v>
      </c>
      <c r="N5384">
        <v>629</v>
      </c>
      <c r="O5384" s="14">
        <v>0.45329135563224598</v>
      </c>
      <c r="P5384" s="14">
        <v>0.28972870693542102</v>
      </c>
      <c r="Q5384" t="str">
        <f t="shared" si="168"/>
        <v>50+</v>
      </c>
      <c r="R5384" t="str">
        <f t="shared" si="169"/>
        <v>[am530wpaGvr]|50+|Female|PLHIV_Attend.T|CY2024Q3</v>
      </c>
    </row>
    <row r="5385" spans="4:18" x14ac:dyDescent="0.2">
      <c r="D5385" t="s">
        <v>71</v>
      </c>
      <c r="E5385" t="s">
        <v>72</v>
      </c>
      <c r="F5385" t="s">
        <v>73</v>
      </c>
      <c r="G5385" t="s">
        <v>167</v>
      </c>
      <c r="H5385" t="s">
        <v>167</v>
      </c>
      <c r="I5385" t="s">
        <v>27</v>
      </c>
      <c r="J5385" t="s">
        <v>28</v>
      </c>
      <c r="K5385" t="s">
        <v>47</v>
      </c>
      <c r="L5385" t="s">
        <v>48</v>
      </c>
      <c r="M5385" t="s">
        <v>166</v>
      </c>
      <c r="N5385">
        <v>1814</v>
      </c>
      <c r="O5385" s="14">
        <v>0.66089592967182398</v>
      </c>
      <c r="P5385" s="14">
        <v>0.28972870693542102</v>
      </c>
      <c r="Q5385" t="str">
        <f t="shared" si="168"/>
        <v>&lt;01</v>
      </c>
      <c r="R5385" t="str">
        <f t="shared" si="169"/>
        <v>[am530wpaGvr]|&lt;01|Male|PLHIV_Attend.T|CY2024Q3</v>
      </c>
    </row>
    <row r="5386" spans="4:18" x14ac:dyDescent="0.2">
      <c r="D5386" t="s">
        <v>71</v>
      </c>
      <c r="E5386" t="s">
        <v>72</v>
      </c>
      <c r="F5386" t="s">
        <v>73</v>
      </c>
      <c r="G5386" t="s">
        <v>167</v>
      </c>
      <c r="H5386" t="s">
        <v>167</v>
      </c>
      <c r="I5386" t="s">
        <v>32</v>
      </c>
      <c r="J5386" t="s">
        <v>33</v>
      </c>
      <c r="K5386" t="s">
        <v>47</v>
      </c>
      <c r="L5386" t="s">
        <v>48</v>
      </c>
      <c r="M5386" t="s">
        <v>166</v>
      </c>
      <c r="N5386">
        <v>1633</v>
      </c>
      <c r="O5386" s="14">
        <v>0.97376147680915903</v>
      </c>
      <c r="P5386" s="14">
        <v>0.28972870693542102</v>
      </c>
      <c r="Q5386" t="str">
        <f t="shared" si="168"/>
        <v>01-09</v>
      </c>
      <c r="R5386" t="str">
        <f t="shared" si="169"/>
        <v>[am530wpaGvr]|01-09|Male|PLHIV_Attend.T|CY2024Q3</v>
      </c>
    </row>
    <row r="5387" spans="4:18" x14ac:dyDescent="0.2">
      <c r="D5387" t="s">
        <v>71</v>
      </c>
      <c r="E5387" t="s">
        <v>72</v>
      </c>
      <c r="F5387" t="s">
        <v>73</v>
      </c>
      <c r="G5387" t="s">
        <v>167</v>
      </c>
      <c r="H5387" t="s">
        <v>167</v>
      </c>
      <c r="I5387" t="s">
        <v>35</v>
      </c>
      <c r="J5387" t="s">
        <v>36</v>
      </c>
      <c r="K5387" t="s">
        <v>47</v>
      </c>
      <c r="L5387" t="s">
        <v>48</v>
      </c>
      <c r="M5387" t="s">
        <v>166</v>
      </c>
      <c r="N5387">
        <v>628</v>
      </c>
      <c r="O5387" s="14">
        <v>0.681862946832553</v>
      </c>
      <c r="P5387" s="14">
        <v>0.28972870693542102</v>
      </c>
      <c r="Q5387" t="str">
        <f t="shared" si="168"/>
        <v>10-14</v>
      </c>
      <c r="R5387" t="str">
        <f t="shared" si="169"/>
        <v>[am530wpaGvr]|10-14|Male|PLHIV_Attend.T|CY2024Q3</v>
      </c>
    </row>
    <row r="5388" spans="4:18" x14ac:dyDescent="0.2">
      <c r="D5388" t="s">
        <v>71</v>
      </c>
      <c r="E5388" t="s">
        <v>72</v>
      </c>
      <c r="F5388" t="s">
        <v>73</v>
      </c>
      <c r="G5388" t="s">
        <v>167</v>
      </c>
      <c r="H5388" t="s">
        <v>167</v>
      </c>
      <c r="I5388" t="s">
        <v>37</v>
      </c>
      <c r="J5388" t="s">
        <v>38</v>
      </c>
      <c r="K5388" t="s">
        <v>47</v>
      </c>
      <c r="L5388" t="s">
        <v>48</v>
      </c>
      <c r="M5388" t="s">
        <v>166</v>
      </c>
      <c r="N5388">
        <v>1930</v>
      </c>
      <c r="O5388" s="14">
        <v>0.490834565833211</v>
      </c>
      <c r="P5388" s="14">
        <v>0.28972870693542102</v>
      </c>
      <c r="Q5388" t="str">
        <f t="shared" si="168"/>
        <v>15-24</v>
      </c>
      <c r="R5388" t="str">
        <f t="shared" si="169"/>
        <v>[am530wpaGvr]|15-24|Male|PLHIV_Attend.T|CY2024Q3</v>
      </c>
    </row>
    <row r="5389" spans="4:18" x14ac:dyDescent="0.2">
      <c r="D5389" t="s">
        <v>71</v>
      </c>
      <c r="E5389" t="s">
        <v>72</v>
      </c>
      <c r="F5389" t="s">
        <v>73</v>
      </c>
      <c r="G5389" t="s">
        <v>167</v>
      </c>
      <c r="H5389" t="s">
        <v>167</v>
      </c>
      <c r="I5389" t="s">
        <v>40</v>
      </c>
      <c r="J5389" t="s">
        <v>41</v>
      </c>
      <c r="K5389" t="s">
        <v>47</v>
      </c>
      <c r="L5389" t="s">
        <v>48</v>
      </c>
      <c r="M5389" t="s">
        <v>166</v>
      </c>
      <c r="N5389">
        <v>1303</v>
      </c>
      <c r="O5389" s="14">
        <v>0.81290354509837903</v>
      </c>
      <c r="P5389" s="14">
        <v>0.28972870693542102</v>
      </c>
      <c r="Q5389" t="str">
        <f t="shared" si="168"/>
        <v>25-34</v>
      </c>
      <c r="R5389" t="str">
        <f t="shared" si="169"/>
        <v>[am530wpaGvr]|25-34|Male|PLHIV_Attend.T|CY2024Q3</v>
      </c>
    </row>
    <row r="5390" spans="4:18" x14ac:dyDescent="0.2">
      <c r="D5390" t="s">
        <v>71</v>
      </c>
      <c r="E5390" t="s">
        <v>72</v>
      </c>
      <c r="F5390" t="s">
        <v>73</v>
      </c>
      <c r="G5390" t="s">
        <v>167</v>
      </c>
      <c r="H5390" t="s">
        <v>167</v>
      </c>
      <c r="I5390" t="s">
        <v>42</v>
      </c>
      <c r="J5390" t="s">
        <v>43</v>
      </c>
      <c r="K5390" t="s">
        <v>47</v>
      </c>
      <c r="L5390" t="s">
        <v>48</v>
      </c>
      <c r="M5390" t="s">
        <v>166</v>
      </c>
      <c r="N5390">
        <v>1758</v>
      </c>
      <c r="O5390" s="14">
        <v>0.58180755493231096</v>
      </c>
      <c r="P5390" s="14">
        <v>0.28972870693542102</v>
      </c>
      <c r="Q5390" t="str">
        <f t="shared" si="168"/>
        <v>35-49</v>
      </c>
      <c r="R5390" t="str">
        <f t="shared" si="169"/>
        <v>[am530wpaGvr]|35-49|Male|PLHIV_Attend.T|CY2024Q3</v>
      </c>
    </row>
    <row r="5391" spans="4:18" x14ac:dyDescent="0.2">
      <c r="D5391" t="s">
        <v>71</v>
      </c>
      <c r="E5391" t="s">
        <v>72</v>
      </c>
      <c r="F5391" t="s">
        <v>73</v>
      </c>
      <c r="G5391" t="s">
        <v>167</v>
      </c>
      <c r="H5391" t="s">
        <v>167</v>
      </c>
      <c r="I5391" t="s">
        <v>44</v>
      </c>
      <c r="J5391" t="s">
        <v>45</v>
      </c>
      <c r="K5391" t="s">
        <v>47</v>
      </c>
      <c r="L5391" t="s">
        <v>48</v>
      </c>
      <c r="M5391" t="s">
        <v>166</v>
      </c>
      <c r="N5391">
        <v>1815</v>
      </c>
      <c r="O5391" s="14">
        <v>0.27173163089901198</v>
      </c>
      <c r="P5391" s="14">
        <v>0.28972870693542102</v>
      </c>
      <c r="Q5391" t="str">
        <f t="shared" si="168"/>
        <v>50+</v>
      </c>
      <c r="R5391" t="str">
        <f t="shared" si="169"/>
        <v>[am530wpaGvr]|50+|Male|PLHIV_Attend.T|CY2024Q3</v>
      </c>
    </row>
    <row r="5392" spans="4:18" x14ac:dyDescent="0.2">
      <c r="D5392" t="s">
        <v>74</v>
      </c>
      <c r="E5392" t="s">
        <v>75</v>
      </c>
      <c r="F5392" t="s">
        <v>76</v>
      </c>
      <c r="G5392" t="s">
        <v>167</v>
      </c>
      <c r="H5392" t="s">
        <v>167</v>
      </c>
      <c r="I5392" t="s">
        <v>27</v>
      </c>
      <c r="J5392" t="s">
        <v>28</v>
      </c>
      <c r="K5392" t="s">
        <v>29</v>
      </c>
      <c r="L5392" t="s">
        <v>30</v>
      </c>
      <c r="M5392" t="s">
        <v>166</v>
      </c>
      <c r="N5392">
        <v>1329</v>
      </c>
      <c r="O5392" s="14">
        <v>0.74396080407314003</v>
      </c>
      <c r="P5392" s="14">
        <v>0.30305550759658201</v>
      </c>
      <c r="Q5392" t="str">
        <f t="shared" si="168"/>
        <v>&lt;01</v>
      </c>
      <c r="R5392" t="str">
        <f t="shared" si="169"/>
        <v>[lLDyBx5XyUi]|&lt;01|Female|PLHIV_Attend.T|CY2024Q3</v>
      </c>
    </row>
    <row r="5393" spans="4:18" x14ac:dyDescent="0.2">
      <c r="D5393" t="s">
        <v>74</v>
      </c>
      <c r="E5393" t="s">
        <v>75</v>
      </c>
      <c r="F5393" t="s">
        <v>76</v>
      </c>
      <c r="G5393" t="s">
        <v>167</v>
      </c>
      <c r="H5393" t="s">
        <v>167</v>
      </c>
      <c r="I5393" t="s">
        <v>32</v>
      </c>
      <c r="J5393" t="s">
        <v>33</v>
      </c>
      <c r="K5393" t="s">
        <v>29</v>
      </c>
      <c r="L5393" t="s">
        <v>30</v>
      </c>
      <c r="M5393" t="s">
        <v>166</v>
      </c>
      <c r="N5393">
        <v>1942</v>
      </c>
      <c r="O5393" s="14">
        <v>0.85273669939488195</v>
      </c>
      <c r="P5393" s="14">
        <v>0.30305550759658201</v>
      </c>
      <c r="Q5393" t="str">
        <f t="shared" si="168"/>
        <v>01-09</v>
      </c>
      <c r="R5393" t="str">
        <f t="shared" si="169"/>
        <v>[lLDyBx5XyUi]|01-09|Female|PLHIV_Attend.T|CY2024Q3</v>
      </c>
    </row>
    <row r="5394" spans="4:18" x14ac:dyDescent="0.2">
      <c r="D5394" t="s">
        <v>74</v>
      </c>
      <c r="E5394" t="s">
        <v>75</v>
      </c>
      <c r="F5394" t="s">
        <v>76</v>
      </c>
      <c r="G5394" t="s">
        <v>167</v>
      </c>
      <c r="H5394" t="s">
        <v>167</v>
      </c>
      <c r="I5394" t="s">
        <v>35</v>
      </c>
      <c r="J5394" t="s">
        <v>36</v>
      </c>
      <c r="K5394" t="s">
        <v>29</v>
      </c>
      <c r="L5394" t="s">
        <v>30</v>
      </c>
      <c r="M5394" t="s">
        <v>166</v>
      </c>
      <c r="N5394">
        <v>589</v>
      </c>
      <c r="O5394" s="14">
        <v>0.76041814079508196</v>
      </c>
      <c r="P5394" s="14">
        <v>0.30305550759658201</v>
      </c>
      <c r="Q5394" t="str">
        <f t="shared" si="168"/>
        <v>10-14</v>
      </c>
      <c r="R5394" t="str">
        <f t="shared" si="169"/>
        <v>[lLDyBx5XyUi]|10-14|Female|PLHIV_Attend.T|CY2024Q3</v>
      </c>
    </row>
    <row r="5395" spans="4:18" x14ac:dyDescent="0.2">
      <c r="D5395" t="s">
        <v>74</v>
      </c>
      <c r="E5395" t="s">
        <v>75</v>
      </c>
      <c r="F5395" t="s">
        <v>76</v>
      </c>
      <c r="G5395" t="s">
        <v>167</v>
      </c>
      <c r="H5395" t="s">
        <v>167</v>
      </c>
      <c r="I5395" t="s">
        <v>37</v>
      </c>
      <c r="J5395" t="s">
        <v>38</v>
      </c>
      <c r="K5395" t="s">
        <v>29</v>
      </c>
      <c r="L5395" t="s">
        <v>30</v>
      </c>
      <c r="M5395" t="s">
        <v>166</v>
      </c>
      <c r="N5395">
        <v>746</v>
      </c>
      <c r="O5395" s="14">
        <v>0.29731619474478099</v>
      </c>
      <c r="P5395" s="14">
        <v>0.30305550759658201</v>
      </c>
      <c r="Q5395" t="str">
        <f t="shared" si="168"/>
        <v>15-24</v>
      </c>
      <c r="R5395" t="str">
        <f t="shared" si="169"/>
        <v>[lLDyBx5XyUi]|15-24|Female|PLHIV_Attend.T|CY2024Q3</v>
      </c>
    </row>
    <row r="5396" spans="4:18" x14ac:dyDescent="0.2">
      <c r="D5396" t="s">
        <v>74</v>
      </c>
      <c r="E5396" t="s">
        <v>75</v>
      </c>
      <c r="F5396" t="s">
        <v>76</v>
      </c>
      <c r="G5396" t="s">
        <v>167</v>
      </c>
      <c r="H5396" t="s">
        <v>167</v>
      </c>
      <c r="I5396" t="s">
        <v>40</v>
      </c>
      <c r="J5396" t="s">
        <v>41</v>
      </c>
      <c r="K5396" t="s">
        <v>29</v>
      </c>
      <c r="L5396" t="s">
        <v>30</v>
      </c>
      <c r="M5396" t="s">
        <v>166</v>
      </c>
      <c r="N5396">
        <v>908</v>
      </c>
      <c r="O5396" s="14">
        <v>0.51969997002743196</v>
      </c>
      <c r="P5396" s="14">
        <v>0.30305550759658201</v>
      </c>
      <c r="Q5396" t="str">
        <f t="shared" si="168"/>
        <v>25-34</v>
      </c>
      <c r="R5396" t="str">
        <f t="shared" si="169"/>
        <v>[lLDyBx5XyUi]|25-34|Female|PLHIV_Attend.T|CY2024Q3</v>
      </c>
    </row>
    <row r="5397" spans="4:18" x14ac:dyDescent="0.2">
      <c r="D5397" t="s">
        <v>74</v>
      </c>
      <c r="E5397" t="s">
        <v>75</v>
      </c>
      <c r="F5397" t="s">
        <v>76</v>
      </c>
      <c r="G5397" t="s">
        <v>167</v>
      </c>
      <c r="H5397" t="s">
        <v>167</v>
      </c>
      <c r="I5397" t="s">
        <v>42</v>
      </c>
      <c r="J5397" t="s">
        <v>43</v>
      </c>
      <c r="K5397" t="s">
        <v>29</v>
      </c>
      <c r="L5397" t="s">
        <v>30</v>
      </c>
      <c r="M5397" t="s">
        <v>166</v>
      </c>
      <c r="N5397">
        <v>1402</v>
      </c>
      <c r="O5397" s="14">
        <v>0.109526442363858</v>
      </c>
      <c r="P5397" s="14">
        <v>0.30305550759658201</v>
      </c>
      <c r="Q5397" t="str">
        <f t="shared" si="168"/>
        <v>35-49</v>
      </c>
      <c r="R5397" t="str">
        <f t="shared" si="169"/>
        <v>[lLDyBx5XyUi]|35-49|Female|PLHIV_Attend.T|CY2024Q3</v>
      </c>
    </row>
    <row r="5398" spans="4:18" x14ac:dyDescent="0.2">
      <c r="D5398" t="s">
        <v>74</v>
      </c>
      <c r="E5398" t="s">
        <v>75</v>
      </c>
      <c r="F5398" t="s">
        <v>76</v>
      </c>
      <c r="G5398" t="s">
        <v>167</v>
      </c>
      <c r="H5398" t="s">
        <v>167</v>
      </c>
      <c r="I5398" t="s">
        <v>44</v>
      </c>
      <c r="J5398" t="s">
        <v>45</v>
      </c>
      <c r="K5398" t="s">
        <v>29</v>
      </c>
      <c r="L5398" t="s">
        <v>30</v>
      </c>
      <c r="M5398" t="s">
        <v>166</v>
      </c>
      <c r="N5398">
        <v>1369</v>
      </c>
      <c r="O5398" s="14">
        <v>0.885468071093783</v>
      </c>
      <c r="P5398" s="14">
        <v>0.30305550759658201</v>
      </c>
      <c r="Q5398" t="str">
        <f t="shared" si="168"/>
        <v>50+</v>
      </c>
      <c r="R5398" t="str">
        <f t="shared" si="169"/>
        <v>[lLDyBx5XyUi]|50+|Female|PLHIV_Attend.T|CY2024Q3</v>
      </c>
    </row>
    <row r="5399" spans="4:18" x14ac:dyDescent="0.2">
      <c r="D5399" t="s">
        <v>74</v>
      </c>
      <c r="E5399" t="s">
        <v>75</v>
      </c>
      <c r="F5399" t="s">
        <v>76</v>
      </c>
      <c r="G5399" t="s">
        <v>167</v>
      </c>
      <c r="H5399" t="s">
        <v>167</v>
      </c>
      <c r="I5399" t="s">
        <v>27</v>
      </c>
      <c r="J5399" t="s">
        <v>28</v>
      </c>
      <c r="K5399" t="s">
        <v>47</v>
      </c>
      <c r="L5399" t="s">
        <v>48</v>
      </c>
      <c r="M5399" t="s">
        <v>166</v>
      </c>
      <c r="N5399">
        <v>1643</v>
      </c>
      <c r="O5399" s="14">
        <v>0.45588585850782698</v>
      </c>
      <c r="P5399" s="14">
        <v>0.30305550759658201</v>
      </c>
      <c r="Q5399" t="str">
        <f t="shared" si="168"/>
        <v>&lt;01</v>
      </c>
      <c r="R5399" t="str">
        <f t="shared" si="169"/>
        <v>[lLDyBx5XyUi]|&lt;01|Male|PLHIV_Attend.T|CY2024Q3</v>
      </c>
    </row>
    <row r="5400" spans="4:18" x14ac:dyDescent="0.2">
      <c r="D5400" t="s">
        <v>74</v>
      </c>
      <c r="E5400" t="s">
        <v>75</v>
      </c>
      <c r="F5400" t="s">
        <v>76</v>
      </c>
      <c r="G5400" t="s">
        <v>167</v>
      </c>
      <c r="H5400" t="s">
        <v>167</v>
      </c>
      <c r="I5400" t="s">
        <v>32</v>
      </c>
      <c r="J5400" t="s">
        <v>33</v>
      </c>
      <c r="K5400" t="s">
        <v>47</v>
      </c>
      <c r="L5400" t="s">
        <v>48</v>
      </c>
      <c r="M5400" t="s">
        <v>166</v>
      </c>
      <c r="N5400">
        <v>1013</v>
      </c>
      <c r="O5400" s="14">
        <v>0.61094020074233402</v>
      </c>
      <c r="P5400" s="14">
        <v>0.30305550759658201</v>
      </c>
      <c r="Q5400" t="str">
        <f t="shared" si="168"/>
        <v>01-09</v>
      </c>
      <c r="R5400" t="str">
        <f t="shared" si="169"/>
        <v>[lLDyBx5XyUi]|01-09|Male|PLHIV_Attend.T|CY2024Q3</v>
      </c>
    </row>
    <row r="5401" spans="4:18" x14ac:dyDescent="0.2">
      <c r="D5401" t="s">
        <v>74</v>
      </c>
      <c r="E5401" t="s">
        <v>75</v>
      </c>
      <c r="F5401" t="s">
        <v>76</v>
      </c>
      <c r="G5401" t="s">
        <v>167</v>
      </c>
      <c r="H5401" t="s">
        <v>167</v>
      </c>
      <c r="I5401" t="s">
        <v>35</v>
      </c>
      <c r="J5401" t="s">
        <v>36</v>
      </c>
      <c r="K5401" t="s">
        <v>47</v>
      </c>
      <c r="L5401" t="s">
        <v>48</v>
      </c>
      <c r="M5401" t="s">
        <v>166</v>
      </c>
      <c r="N5401">
        <v>1902</v>
      </c>
      <c r="O5401" s="14">
        <v>0.697012008866295</v>
      </c>
      <c r="P5401" s="14">
        <v>0.30305550759658201</v>
      </c>
      <c r="Q5401" t="str">
        <f t="shared" si="168"/>
        <v>10-14</v>
      </c>
      <c r="R5401" t="str">
        <f t="shared" si="169"/>
        <v>[lLDyBx5XyUi]|10-14|Male|PLHIV_Attend.T|CY2024Q3</v>
      </c>
    </row>
    <row r="5402" spans="4:18" x14ac:dyDescent="0.2">
      <c r="D5402" t="s">
        <v>74</v>
      </c>
      <c r="E5402" t="s">
        <v>75</v>
      </c>
      <c r="F5402" t="s">
        <v>76</v>
      </c>
      <c r="G5402" t="s">
        <v>167</v>
      </c>
      <c r="H5402" t="s">
        <v>167</v>
      </c>
      <c r="I5402" t="s">
        <v>37</v>
      </c>
      <c r="J5402" t="s">
        <v>38</v>
      </c>
      <c r="K5402" t="s">
        <v>47</v>
      </c>
      <c r="L5402" t="s">
        <v>48</v>
      </c>
      <c r="M5402" t="s">
        <v>166</v>
      </c>
      <c r="N5402">
        <v>1190</v>
      </c>
      <c r="O5402" s="14">
        <v>0.73530496284365698</v>
      </c>
      <c r="P5402" s="14">
        <v>0.30305550759658201</v>
      </c>
      <c r="Q5402" t="str">
        <f t="shared" si="168"/>
        <v>15-24</v>
      </c>
      <c r="R5402" t="str">
        <f t="shared" si="169"/>
        <v>[lLDyBx5XyUi]|15-24|Male|PLHIV_Attend.T|CY2024Q3</v>
      </c>
    </row>
    <row r="5403" spans="4:18" x14ac:dyDescent="0.2">
      <c r="D5403" t="s">
        <v>74</v>
      </c>
      <c r="E5403" t="s">
        <v>75</v>
      </c>
      <c r="F5403" t="s">
        <v>76</v>
      </c>
      <c r="G5403" t="s">
        <v>167</v>
      </c>
      <c r="H5403" t="s">
        <v>167</v>
      </c>
      <c r="I5403" t="s">
        <v>40</v>
      </c>
      <c r="J5403" t="s">
        <v>41</v>
      </c>
      <c r="K5403" t="s">
        <v>47</v>
      </c>
      <c r="L5403" t="s">
        <v>48</v>
      </c>
      <c r="M5403" t="s">
        <v>166</v>
      </c>
      <c r="N5403">
        <v>1818</v>
      </c>
      <c r="O5403" s="14">
        <v>0.30261738388799098</v>
      </c>
      <c r="P5403" s="14">
        <v>0.30305550759658201</v>
      </c>
      <c r="Q5403" t="str">
        <f t="shared" si="168"/>
        <v>25-34</v>
      </c>
      <c r="R5403" t="str">
        <f t="shared" si="169"/>
        <v>[lLDyBx5XyUi]|25-34|Male|PLHIV_Attend.T|CY2024Q3</v>
      </c>
    </row>
    <row r="5404" spans="4:18" x14ac:dyDescent="0.2">
      <c r="D5404" t="s">
        <v>74</v>
      </c>
      <c r="E5404" t="s">
        <v>75</v>
      </c>
      <c r="F5404" t="s">
        <v>76</v>
      </c>
      <c r="G5404" t="s">
        <v>167</v>
      </c>
      <c r="H5404" t="s">
        <v>167</v>
      </c>
      <c r="I5404" t="s">
        <v>42</v>
      </c>
      <c r="J5404" t="s">
        <v>43</v>
      </c>
      <c r="K5404" t="s">
        <v>47</v>
      </c>
      <c r="L5404" t="s">
        <v>48</v>
      </c>
      <c r="M5404" t="s">
        <v>166</v>
      </c>
      <c r="N5404">
        <v>615</v>
      </c>
      <c r="O5404" s="14">
        <v>0.32584697660058698</v>
      </c>
      <c r="P5404" s="14">
        <v>0.30305550759658201</v>
      </c>
      <c r="Q5404" t="str">
        <f t="shared" si="168"/>
        <v>35-49</v>
      </c>
      <c r="R5404" t="str">
        <f t="shared" si="169"/>
        <v>[lLDyBx5XyUi]|35-49|Male|PLHIV_Attend.T|CY2024Q3</v>
      </c>
    </row>
    <row r="5405" spans="4:18" x14ac:dyDescent="0.2">
      <c r="D5405" t="s">
        <v>74</v>
      </c>
      <c r="E5405" t="s">
        <v>75</v>
      </c>
      <c r="F5405" t="s">
        <v>76</v>
      </c>
      <c r="G5405" t="s">
        <v>167</v>
      </c>
      <c r="H5405" t="s">
        <v>167</v>
      </c>
      <c r="I5405" t="s">
        <v>44</v>
      </c>
      <c r="J5405" t="s">
        <v>45</v>
      </c>
      <c r="K5405" t="s">
        <v>47</v>
      </c>
      <c r="L5405" t="s">
        <v>48</v>
      </c>
      <c r="M5405" t="s">
        <v>166</v>
      </c>
      <c r="N5405">
        <v>1340</v>
      </c>
      <c r="O5405" s="14">
        <v>0.73478964134119495</v>
      </c>
      <c r="P5405" s="14">
        <v>0.30305550759658201</v>
      </c>
      <c r="Q5405" t="str">
        <f t="shared" si="168"/>
        <v>50+</v>
      </c>
      <c r="R5405" t="str">
        <f t="shared" si="169"/>
        <v>[lLDyBx5XyUi]|50+|Male|PLHIV_Attend.T|CY2024Q3</v>
      </c>
    </row>
    <row r="5406" spans="4:18" x14ac:dyDescent="0.2">
      <c r="D5406" t="s">
        <v>77</v>
      </c>
      <c r="E5406" t="s">
        <v>78</v>
      </c>
      <c r="F5406" t="s">
        <v>79</v>
      </c>
      <c r="G5406" t="s">
        <v>167</v>
      </c>
      <c r="H5406" t="s">
        <v>167</v>
      </c>
      <c r="I5406" t="s">
        <v>27</v>
      </c>
      <c r="J5406" t="s">
        <v>28</v>
      </c>
      <c r="K5406" t="s">
        <v>29</v>
      </c>
      <c r="L5406" t="s">
        <v>30</v>
      </c>
      <c r="M5406" t="s">
        <v>166</v>
      </c>
      <c r="N5406">
        <v>1119</v>
      </c>
      <c r="O5406" s="14">
        <v>0.79720476293005005</v>
      </c>
      <c r="P5406" s="14">
        <v>0.83159798220731296</v>
      </c>
      <c r="Q5406" t="str">
        <f t="shared" si="168"/>
        <v>&lt;01</v>
      </c>
      <c r="R5406" t="str">
        <f t="shared" si="169"/>
        <v>[TYnMSwzko3z]|&lt;01|Female|PLHIV_Attend.T|CY2024Q3</v>
      </c>
    </row>
    <row r="5407" spans="4:18" x14ac:dyDescent="0.2">
      <c r="D5407" t="s">
        <v>77</v>
      </c>
      <c r="E5407" t="s">
        <v>78</v>
      </c>
      <c r="F5407" t="s">
        <v>79</v>
      </c>
      <c r="G5407" t="s">
        <v>167</v>
      </c>
      <c r="H5407" t="s">
        <v>167</v>
      </c>
      <c r="I5407" t="s">
        <v>32</v>
      </c>
      <c r="J5407" t="s">
        <v>33</v>
      </c>
      <c r="K5407" t="s">
        <v>29</v>
      </c>
      <c r="L5407" t="s">
        <v>30</v>
      </c>
      <c r="M5407" t="s">
        <v>166</v>
      </c>
      <c r="N5407">
        <v>1582</v>
      </c>
      <c r="O5407" s="14">
        <v>0.43576591415330801</v>
      </c>
      <c r="P5407" s="14">
        <v>0.83159798220731296</v>
      </c>
      <c r="Q5407" t="str">
        <f t="shared" si="168"/>
        <v>01-09</v>
      </c>
      <c r="R5407" t="str">
        <f t="shared" si="169"/>
        <v>[TYnMSwzko3z]|01-09|Female|PLHIV_Attend.T|CY2024Q3</v>
      </c>
    </row>
    <row r="5408" spans="4:18" x14ac:dyDescent="0.2">
      <c r="D5408" t="s">
        <v>77</v>
      </c>
      <c r="E5408" t="s">
        <v>78</v>
      </c>
      <c r="F5408" t="s">
        <v>79</v>
      </c>
      <c r="G5408" t="s">
        <v>167</v>
      </c>
      <c r="H5408" t="s">
        <v>167</v>
      </c>
      <c r="I5408" t="s">
        <v>35</v>
      </c>
      <c r="J5408" t="s">
        <v>36</v>
      </c>
      <c r="K5408" t="s">
        <v>29</v>
      </c>
      <c r="L5408" t="s">
        <v>30</v>
      </c>
      <c r="M5408" t="s">
        <v>166</v>
      </c>
      <c r="N5408">
        <v>748</v>
      </c>
      <c r="O5408" s="14">
        <v>9.0554185910150395E-2</v>
      </c>
      <c r="P5408" s="14">
        <v>0.83159798220731296</v>
      </c>
      <c r="Q5408" t="str">
        <f t="shared" si="168"/>
        <v>10-14</v>
      </c>
      <c r="R5408" t="str">
        <f t="shared" si="169"/>
        <v>[TYnMSwzko3z]|10-14|Female|PLHIV_Attend.T|CY2024Q3</v>
      </c>
    </row>
    <row r="5409" spans="4:18" x14ac:dyDescent="0.2">
      <c r="D5409" t="s">
        <v>77</v>
      </c>
      <c r="E5409" t="s">
        <v>78</v>
      </c>
      <c r="F5409" t="s">
        <v>79</v>
      </c>
      <c r="G5409" t="s">
        <v>167</v>
      </c>
      <c r="H5409" t="s">
        <v>167</v>
      </c>
      <c r="I5409" t="s">
        <v>37</v>
      </c>
      <c r="J5409" t="s">
        <v>38</v>
      </c>
      <c r="K5409" t="s">
        <v>29</v>
      </c>
      <c r="L5409" t="s">
        <v>30</v>
      </c>
      <c r="M5409" t="s">
        <v>166</v>
      </c>
      <c r="N5409">
        <v>640</v>
      </c>
      <c r="O5409" s="14">
        <v>0.23071726458147199</v>
      </c>
      <c r="P5409" s="14">
        <v>0.83159798220731296</v>
      </c>
      <c r="Q5409" t="str">
        <f t="shared" si="168"/>
        <v>15-24</v>
      </c>
      <c r="R5409" t="str">
        <f t="shared" si="169"/>
        <v>[TYnMSwzko3z]|15-24|Female|PLHIV_Attend.T|CY2024Q3</v>
      </c>
    </row>
    <row r="5410" spans="4:18" x14ac:dyDescent="0.2">
      <c r="D5410" t="s">
        <v>77</v>
      </c>
      <c r="E5410" t="s">
        <v>78</v>
      </c>
      <c r="F5410" t="s">
        <v>79</v>
      </c>
      <c r="G5410" t="s">
        <v>167</v>
      </c>
      <c r="H5410" t="s">
        <v>167</v>
      </c>
      <c r="I5410" t="s">
        <v>40</v>
      </c>
      <c r="J5410" t="s">
        <v>41</v>
      </c>
      <c r="K5410" t="s">
        <v>29</v>
      </c>
      <c r="L5410" t="s">
        <v>30</v>
      </c>
      <c r="M5410" t="s">
        <v>166</v>
      </c>
      <c r="N5410">
        <v>1502</v>
      </c>
      <c r="O5410" s="14">
        <v>0.77236604900099304</v>
      </c>
      <c r="P5410" s="14">
        <v>0.83159798220731296</v>
      </c>
      <c r="Q5410" t="str">
        <f t="shared" si="168"/>
        <v>25-34</v>
      </c>
      <c r="R5410" t="str">
        <f t="shared" si="169"/>
        <v>[TYnMSwzko3z]|25-34|Female|PLHIV_Attend.T|CY2024Q3</v>
      </c>
    </row>
    <row r="5411" spans="4:18" x14ac:dyDescent="0.2">
      <c r="D5411" t="s">
        <v>77</v>
      </c>
      <c r="E5411" t="s">
        <v>78</v>
      </c>
      <c r="F5411" t="s">
        <v>79</v>
      </c>
      <c r="G5411" t="s">
        <v>167</v>
      </c>
      <c r="H5411" t="s">
        <v>167</v>
      </c>
      <c r="I5411" t="s">
        <v>42</v>
      </c>
      <c r="J5411" t="s">
        <v>43</v>
      </c>
      <c r="K5411" t="s">
        <v>29</v>
      </c>
      <c r="L5411" t="s">
        <v>30</v>
      </c>
      <c r="M5411" t="s">
        <v>166</v>
      </c>
      <c r="N5411">
        <v>1972</v>
      </c>
      <c r="O5411" s="14">
        <v>0.35260314564220602</v>
      </c>
      <c r="P5411" s="14">
        <v>0.83159798220731296</v>
      </c>
      <c r="Q5411" t="str">
        <f t="shared" si="168"/>
        <v>35-49</v>
      </c>
      <c r="R5411" t="str">
        <f t="shared" si="169"/>
        <v>[TYnMSwzko3z]|35-49|Female|PLHIV_Attend.T|CY2024Q3</v>
      </c>
    </row>
    <row r="5412" spans="4:18" x14ac:dyDescent="0.2">
      <c r="D5412" t="s">
        <v>77</v>
      </c>
      <c r="E5412" t="s">
        <v>78</v>
      </c>
      <c r="F5412" t="s">
        <v>79</v>
      </c>
      <c r="G5412" t="s">
        <v>167</v>
      </c>
      <c r="H5412" t="s">
        <v>167</v>
      </c>
      <c r="I5412" t="s">
        <v>44</v>
      </c>
      <c r="J5412" t="s">
        <v>45</v>
      </c>
      <c r="K5412" t="s">
        <v>29</v>
      </c>
      <c r="L5412" t="s">
        <v>30</v>
      </c>
      <c r="M5412" t="s">
        <v>166</v>
      </c>
      <c r="N5412">
        <v>896</v>
      </c>
      <c r="O5412" s="14">
        <v>0.90773708745837201</v>
      </c>
      <c r="P5412" s="14">
        <v>0.83159798220731296</v>
      </c>
      <c r="Q5412" t="str">
        <f t="shared" si="168"/>
        <v>50+</v>
      </c>
      <c r="R5412" t="str">
        <f t="shared" si="169"/>
        <v>[TYnMSwzko3z]|50+|Female|PLHIV_Attend.T|CY2024Q3</v>
      </c>
    </row>
    <row r="5413" spans="4:18" x14ac:dyDescent="0.2">
      <c r="D5413" t="s">
        <v>77</v>
      </c>
      <c r="E5413" t="s">
        <v>78</v>
      </c>
      <c r="F5413" t="s">
        <v>79</v>
      </c>
      <c r="G5413" t="s">
        <v>167</v>
      </c>
      <c r="H5413" t="s">
        <v>167</v>
      </c>
      <c r="I5413" t="s">
        <v>27</v>
      </c>
      <c r="J5413" t="s">
        <v>28</v>
      </c>
      <c r="K5413" t="s">
        <v>47</v>
      </c>
      <c r="L5413" t="s">
        <v>48</v>
      </c>
      <c r="M5413" t="s">
        <v>166</v>
      </c>
      <c r="N5413">
        <v>1338</v>
      </c>
      <c r="O5413" s="14">
        <v>0.85965971206314895</v>
      </c>
      <c r="P5413" s="14">
        <v>0.83159798220731296</v>
      </c>
      <c r="Q5413" t="str">
        <f t="shared" si="168"/>
        <v>&lt;01</v>
      </c>
      <c r="R5413" t="str">
        <f t="shared" si="169"/>
        <v>[TYnMSwzko3z]|&lt;01|Male|PLHIV_Attend.T|CY2024Q3</v>
      </c>
    </row>
    <row r="5414" spans="4:18" x14ac:dyDescent="0.2">
      <c r="D5414" t="s">
        <v>77</v>
      </c>
      <c r="E5414" t="s">
        <v>78</v>
      </c>
      <c r="F5414" t="s">
        <v>79</v>
      </c>
      <c r="G5414" t="s">
        <v>167</v>
      </c>
      <c r="H5414" t="s">
        <v>167</v>
      </c>
      <c r="I5414" t="s">
        <v>32</v>
      </c>
      <c r="J5414" t="s">
        <v>33</v>
      </c>
      <c r="K5414" t="s">
        <v>47</v>
      </c>
      <c r="L5414" t="s">
        <v>48</v>
      </c>
      <c r="M5414" t="s">
        <v>166</v>
      </c>
      <c r="N5414">
        <v>1558</v>
      </c>
      <c r="O5414" s="14">
        <v>0.52914152271114301</v>
      </c>
      <c r="P5414" s="14">
        <v>0.83159798220731296</v>
      </c>
      <c r="Q5414" t="str">
        <f t="shared" si="168"/>
        <v>01-09</v>
      </c>
      <c r="R5414" t="str">
        <f t="shared" si="169"/>
        <v>[TYnMSwzko3z]|01-09|Male|PLHIV_Attend.T|CY2024Q3</v>
      </c>
    </row>
    <row r="5415" spans="4:18" x14ac:dyDescent="0.2">
      <c r="D5415" t="s">
        <v>77</v>
      </c>
      <c r="E5415" t="s">
        <v>78</v>
      </c>
      <c r="F5415" t="s">
        <v>79</v>
      </c>
      <c r="G5415" t="s">
        <v>167</v>
      </c>
      <c r="H5415" t="s">
        <v>167</v>
      </c>
      <c r="I5415" t="s">
        <v>35</v>
      </c>
      <c r="J5415" t="s">
        <v>36</v>
      </c>
      <c r="K5415" t="s">
        <v>47</v>
      </c>
      <c r="L5415" t="s">
        <v>48</v>
      </c>
      <c r="M5415" t="s">
        <v>166</v>
      </c>
      <c r="N5415">
        <v>553</v>
      </c>
      <c r="O5415" s="14">
        <v>0.91445531509816602</v>
      </c>
      <c r="P5415" s="14">
        <v>0.83159798220731296</v>
      </c>
      <c r="Q5415" t="str">
        <f t="shared" si="168"/>
        <v>10-14</v>
      </c>
      <c r="R5415" t="str">
        <f t="shared" si="169"/>
        <v>[TYnMSwzko3z]|10-14|Male|PLHIV_Attend.T|CY2024Q3</v>
      </c>
    </row>
    <row r="5416" spans="4:18" x14ac:dyDescent="0.2">
      <c r="D5416" t="s">
        <v>77</v>
      </c>
      <c r="E5416" t="s">
        <v>78</v>
      </c>
      <c r="F5416" t="s">
        <v>79</v>
      </c>
      <c r="G5416" t="s">
        <v>167</v>
      </c>
      <c r="H5416" t="s">
        <v>167</v>
      </c>
      <c r="I5416" t="s">
        <v>37</v>
      </c>
      <c r="J5416" t="s">
        <v>38</v>
      </c>
      <c r="K5416" t="s">
        <v>47</v>
      </c>
      <c r="L5416" t="s">
        <v>48</v>
      </c>
      <c r="M5416" t="s">
        <v>166</v>
      </c>
      <c r="N5416">
        <v>1882</v>
      </c>
      <c r="O5416" s="14">
        <v>0.31048537045717201</v>
      </c>
      <c r="P5416" s="14">
        <v>0.83159798220731296</v>
      </c>
      <c r="Q5416" t="str">
        <f t="shared" si="168"/>
        <v>15-24</v>
      </c>
      <c r="R5416" t="str">
        <f t="shared" si="169"/>
        <v>[TYnMSwzko3z]|15-24|Male|PLHIV_Attend.T|CY2024Q3</v>
      </c>
    </row>
    <row r="5417" spans="4:18" x14ac:dyDescent="0.2">
      <c r="D5417" t="s">
        <v>77</v>
      </c>
      <c r="E5417" t="s">
        <v>78</v>
      </c>
      <c r="F5417" t="s">
        <v>79</v>
      </c>
      <c r="G5417" t="s">
        <v>167</v>
      </c>
      <c r="H5417" t="s">
        <v>167</v>
      </c>
      <c r="I5417" t="s">
        <v>40</v>
      </c>
      <c r="J5417" t="s">
        <v>41</v>
      </c>
      <c r="K5417" t="s">
        <v>47</v>
      </c>
      <c r="L5417" t="s">
        <v>48</v>
      </c>
      <c r="M5417" t="s">
        <v>166</v>
      </c>
      <c r="N5417">
        <v>806</v>
      </c>
      <c r="O5417" s="14">
        <v>0.98291382705792796</v>
      </c>
      <c r="P5417" s="14">
        <v>0.83159798220731296</v>
      </c>
      <c r="Q5417" t="str">
        <f t="shared" si="168"/>
        <v>25-34</v>
      </c>
      <c r="R5417" t="str">
        <f t="shared" si="169"/>
        <v>[TYnMSwzko3z]|25-34|Male|PLHIV_Attend.T|CY2024Q3</v>
      </c>
    </row>
    <row r="5418" spans="4:18" x14ac:dyDescent="0.2">
      <c r="D5418" t="s">
        <v>77</v>
      </c>
      <c r="E5418" t="s">
        <v>78</v>
      </c>
      <c r="F5418" t="s">
        <v>79</v>
      </c>
      <c r="G5418" t="s">
        <v>167</v>
      </c>
      <c r="H5418" t="s">
        <v>167</v>
      </c>
      <c r="I5418" t="s">
        <v>42</v>
      </c>
      <c r="J5418" t="s">
        <v>43</v>
      </c>
      <c r="K5418" t="s">
        <v>47</v>
      </c>
      <c r="L5418" t="s">
        <v>48</v>
      </c>
      <c r="M5418" t="s">
        <v>166</v>
      </c>
      <c r="N5418">
        <v>1010</v>
      </c>
      <c r="O5418" s="14">
        <v>0.93337891600094702</v>
      </c>
      <c r="P5418" s="14">
        <v>0.83159798220731296</v>
      </c>
      <c r="Q5418" t="str">
        <f t="shared" si="168"/>
        <v>35-49</v>
      </c>
      <c r="R5418" t="str">
        <f t="shared" si="169"/>
        <v>[TYnMSwzko3z]|35-49|Male|PLHIV_Attend.T|CY2024Q3</v>
      </c>
    </row>
    <row r="5419" spans="4:18" x14ac:dyDescent="0.2">
      <c r="D5419" t="s">
        <v>77</v>
      </c>
      <c r="E5419" t="s">
        <v>78</v>
      </c>
      <c r="F5419" t="s">
        <v>79</v>
      </c>
      <c r="G5419" t="s">
        <v>167</v>
      </c>
      <c r="H5419" t="s">
        <v>167</v>
      </c>
      <c r="I5419" t="s">
        <v>44</v>
      </c>
      <c r="J5419" t="s">
        <v>45</v>
      </c>
      <c r="K5419" t="s">
        <v>47</v>
      </c>
      <c r="L5419" t="s">
        <v>48</v>
      </c>
      <c r="M5419" t="s">
        <v>166</v>
      </c>
      <c r="N5419">
        <v>1642</v>
      </c>
      <c r="O5419" s="14">
        <v>0.29986028652638202</v>
      </c>
      <c r="P5419" s="14">
        <v>0.83159798220731296</v>
      </c>
      <c r="Q5419" t="str">
        <f t="shared" si="168"/>
        <v>50+</v>
      </c>
      <c r="R5419" t="str">
        <f t="shared" si="169"/>
        <v>[TYnMSwzko3z]|50+|Male|PLHIV_Attend.T|CY2024Q3</v>
      </c>
    </row>
    <row r="5420" spans="4:18" x14ac:dyDescent="0.2">
      <c r="D5420" t="s">
        <v>80</v>
      </c>
      <c r="E5420" t="s">
        <v>81</v>
      </c>
      <c r="F5420" t="s">
        <v>82</v>
      </c>
      <c r="G5420" t="s">
        <v>167</v>
      </c>
      <c r="H5420" t="s">
        <v>167</v>
      </c>
      <c r="I5420" t="s">
        <v>27</v>
      </c>
      <c r="J5420" t="s">
        <v>28</v>
      </c>
      <c r="K5420" t="s">
        <v>29</v>
      </c>
      <c r="L5420" t="s">
        <v>30</v>
      </c>
      <c r="M5420" t="s">
        <v>166</v>
      </c>
      <c r="N5420">
        <v>1964</v>
      </c>
      <c r="O5420" s="14">
        <v>9.3881374923512298E-2</v>
      </c>
      <c r="P5420" s="14">
        <v>0.14333142153918699</v>
      </c>
      <c r="Q5420" t="str">
        <f t="shared" si="168"/>
        <v>&lt;01</v>
      </c>
      <c r="R5420" t="str">
        <f t="shared" si="169"/>
        <v>[ir8wuHHzoSs]|&lt;01|Female|PLHIV_Attend.T|CY2024Q3</v>
      </c>
    </row>
    <row r="5421" spans="4:18" x14ac:dyDescent="0.2">
      <c r="D5421" t="s">
        <v>80</v>
      </c>
      <c r="E5421" t="s">
        <v>81</v>
      </c>
      <c r="F5421" t="s">
        <v>82</v>
      </c>
      <c r="G5421" t="s">
        <v>167</v>
      </c>
      <c r="H5421" t="s">
        <v>167</v>
      </c>
      <c r="I5421" t="s">
        <v>32</v>
      </c>
      <c r="J5421" t="s">
        <v>33</v>
      </c>
      <c r="K5421" t="s">
        <v>29</v>
      </c>
      <c r="L5421" t="s">
        <v>30</v>
      </c>
      <c r="M5421" t="s">
        <v>166</v>
      </c>
      <c r="N5421">
        <v>1781</v>
      </c>
      <c r="O5421" s="14">
        <v>0.61957385716959801</v>
      </c>
      <c r="P5421" s="14">
        <v>0.14333142153918699</v>
      </c>
      <c r="Q5421" t="str">
        <f t="shared" si="168"/>
        <v>01-09</v>
      </c>
      <c r="R5421" t="str">
        <f t="shared" si="169"/>
        <v>[ir8wuHHzoSs]|01-09|Female|PLHIV_Attend.T|CY2024Q3</v>
      </c>
    </row>
    <row r="5422" spans="4:18" x14ac:dyDescent="0.2">
      <c r="D5422" t="s">
        <v>80</v>
      </c>
      <c r="E5422" t="s">
        <v>81</v>
      </c>
      <c r="F5422" t="s">
        <v>82</v>
      </c>
      <c r="G5422" t="s">
        <v>167</v>
      </c>
      <c r="H5422" t="s">
        <v>167</v>
      </c>
      <c r="I5422" t="s">
        <v>35</v>
      </c>
      <c r="J5422" t="s">
        <v>36</v>
      </c>
      <c r="K5422" t="s">
        <v>29</v>
      </c>
      <c r="L5422" t="s">
        <v>30</v>
      </c>
      <c r="M5422" t="s">
        <v>166</v>
      </c>
      <c r="N5422">
        <v>1053</v>
      </c>
      <c r="O5422" s="14">
        <v>0.72239537769928597</v>
      </c>
      <c r="P5422" s="14">
        <v>0.14333142153918699</v>
      </c>
      <c r="Q5422" t="str">
        <f t="shared" si="168"/>
        <v>10-14</v>
      </c>
      <c r="R5422" t="str">
        <f t="shared" si="169"/>
        <v>[ir8wuHHzoSs]|10-14|Female|PLHIV_Attend.T|CY2024Q3</v>
      </c>
    </row>
    <row r="5423" spans="4:18" x14ac:dyDescent="0.2">
      <c r="D5423" t="s">
        <v>80</v>
      </c>
      <c r="E5423" t="s">
        <v>81</v>
      </c>
      <c r="F5423" t="s">
        <v>82</v>
      </c>
      <c r="G5423" t="s">
        <v>167</v>
      </c>
      <c r="H5423" t="s">
        <v>167</v>
      </c>
      <c r="I5423" t="s">
        <v>37</v>
      </c>
      <c r="J5423" t="s">
        <v>38</v>
      </c>
      <c r="K5423" t="s">
        <v>29</v>
      </c>
      <c r="L5423" t="s">
        <v>30</v>
      </c>
      <c r="M5423" t="s">
        <v>166</v>
      </c>
      <c r="N5423">
        <v>872</v>
      </c>
      <c r="O5423" s="14">
        <v>0.90787866129539896</v>
      </c>
      <c r="P5423" s="14">
        <v>0.14333142153918699</v>
      </c>
      <c r="Q5423" t="str">
        <f t="shared" si="168"/>
        <v>15-24</v>
      </c>
      <c r="R5423" t="str">
        <f t="shared" si="169"/>
        <v>[ir8wuHHzoSs]|15-24|Female|PLHIV_Attend.T|CY2024Q3</v>
      </c>
    </row>
    <row r="5424" spans="4:18" x14ac:dyDescent="0.2">
      <c r="D5424" t="s">
        <v>80</v>
      </c>
      <c r="E5424" t="s">
        <v>81</v>
      </c>
      <c r="F5424" t="s">
        <v>82</v>
      </c>
      <c r="G5424" t="s">
        <v>167</v>
      </c>
      <c r="H5424" t="s">
        <v>167</v>
      </c>
      <c r="I5424" t="s">
        <v>40</v>
      </c>
      <c r="J5424" t="s">
        <v>41</v>
      </c>
      <c r="K5424" t="s">
        <v>29</v>
      </c>
      <c r="L5424" t="s">
        <v>30</v>
      </c>
      <c r="M5424" t="s">
        <v>166</v>
      </c>
      <c r="N5424">
        <v>1379</v>
      </c>
      <c r="O5424" s="14">
        <v>0.73284079646691702</v>
      </c>
      <c r="P5424" s="14">
        <v>0.14333142153918699</v>
      </c>
      <c r="Q5424" t="str">
        <f t="shared" si="168"/>
        <v>25-34</v>
      </c>
      <c r="R5424" t="str">
        <f t="shared" si="169"/>
        <v>[ir8wuHHzoSs]|25-34|Female|PLHIV_Attend.T|CY2024Q3</v>
      </c>
    </row>
    <row r="5425" spans="4:18" x14ac:dyDescent="0.2">
      <c r="D5425" t="s">
        <v>80</v>
      </c>
      <c r="E5425" t="s">
        <v>81</v>
      </c>
      <c r="F5425" t="s">
        <v>82</v>
      </c>
      <c r="G5425" t="s">
        <v>167</v>
      </c>
      <c r="H5425" t="s">
        <v>167</v>
      </c>
      <c r="I5425" t="s">
        <v>42</v>
      </c>
      <c r="J5425" t="s">
        <v>43</v>
      </c>
      <c r="K5425" t="s">
        <v>29</v>
      </c>
      <c r="L5425" t="s">
        <v>30</v>
      </c>
      <c r="M5425" t="s">
        <v>166</v>
      </c>
      <c r="N5425">
        <v>1267</v>
      </c>
      <c r="O5425" s="14">
        <v>0.54128355672582995</v>
      </c>
      <c r="P5425" s="14">
        <v>0.14333142153918699</v>
      </c>
      <c r="Q5425" t="str">
        <f t="shared" si="168"/>
        <v>35-49</v>
      </c>
      <c r="R5425" t="str">
        <f t="shared" si="169"/>
        <v>[ir8wuHHzoSs]|35-49|Female|PLHIV_Attend.T|CY2024Q3</v>
      </c>
    </row>
    <row r="5426" spans="4:18" x14ac:dyDescent="0.2">
      <c r="D5426" t="s">
        <v>80</v>
      </c>
      <c r="E5426" t="s">
        <v>81</v>
      </c>
      <c r="F5426" t="s">
        <v>82</v>
      </c>
      <c r="G5426" t="s">
        <v>167</v>
      </c>
      <c r="H5426" t="s">
        <v>167</v>
      </c>
      <c r="I5426" t="s">
        <v>44</v>
      </c>
      <c r="J5426" t="s">
        <v>45</v>
      </c>
      <c r="K5426" t="s">
        <v>29</v>
      </c>
      <c r="L5426" t="s">
        <v>30</v>
      </c>
      <c r="M5426" t="s">
        <v>166</v>
      </c>
      <c r="N5426">
        <v>1064</v>
      </c>
      <c r="O5426" s="14">
        <v>0.222389407223091</v>
      </c>
      <c r="P5426" s="14">
        <v>0.14333142153918699</v>
      </c>
      <c r="Q5426" t="str">
        <f t="shared" si="168"/>
        <v>50+</v>
      </c>
      <c r="R5426" t="str">
        <f t="shared" si="169"/>
        <v>[ir8wuHHzoSs]|50+|Female|PLHIV_Attend.T|CY2024Q3</v>
      </c>
    </row>
    <row r="5427" spans="4:18" x14ac:dyDescent="0.2">
      <c r="D5427" t="s">
        <v>80</v>
      </c>
      <c r="E5427" t="s">
        <v>81</v>
      </c>
      <c r="F5427" t="s">
        <v>82</v>
      </c>
      <c r="G5427" t="s">
        <v>167</v>
      </c>
      <c r="H5427" t="s">
        <v>167</v>
      </c>
      <c r="I5427" t="s">
        <v>27</v>
      </c>
      <c r="J5427" t="s">
        <v>28</v>
      </c>
      <c r="K5427" t="s">
        <v>47</v>
      </c>
      <c r="L5427" t="s">
        <v>48</v>
      </c>
      <c r="M5427" t="s">
        <v>166</v>
      </c>
      <c r="N5427">
        <v>766</v>
      </c>
      <c r="O5427" s="14">
        <v>0.197754519525915</v>
      </c>
      <c r="P5427" s="14">
        <v>0.14333142153918699</v>
      </c>
      <c r="Q5427" t="str">
        <f t="shared" si="168"/>
        <v>&lt;01</v>
      </c>
      <c r="R5427" t="str">
        <f t="shared" si="169"/>
        <v>[ir8wuHHzoSs]|&lt;01|Male|PLHIV_Attend.T|CY2024Q3</v>
      </c>
    </row>
    <row r="5428" spans="4:18" x14ac:dyDescent="0.2">
      <c r="D5428" t="s">
        <v>80</v>
      </c>
      <c r="E5428" t="s">
        <v>81</v>
      </c>
      <c r="F5428" t="s">
        <v>82</v>
      </c>
      <c r="G5428" t="s">
        <v>167</v>
      </c>
      <c r="H5428" t="s">
        <v>167</v>
      </c>
      <c r="I5428" t="s">
        <v>32</v>
      </c>
      <c r="J5428" t="s">
        <v>33</v>
      </c>
      <c r="K5428" t="s">
        <v>47</v>
      </c>
      <c r="L5428" t="s">
        <v>48</v>
      </c>
      <c r="M5428" t="s">
        <v>166</v>
      </c>
      <c r="N5428">
        <v>570</v>
      </c>
      <c r="O5428" s="14">
        <v>0.49871269916184202</v>
      </c>
      <c r="P5428" s="14">
        <v>0.14333142153918699</v>
      </c>
      <c r="Q5428" t="str">
        <f t="shared" si="168"/>
        <v>01-09</v>
      </c>
      <c r="R5428" t="str">
        <f t="shared" si="169"/>
        <v>[ir8wuHHzoSs]|01-09|Male|PLHIV_Attend.T|CY2024Q3</v>
      </c>
    </row>
    <row r="5429" spans="4:18" x14ac:dyDescent="0.2">
      <c r="D5429" t="s">
        <v>80</v>
      </c>
      <c r="E5429" t="s">
        <v>81</v>
      </c>
      <c r="F5429" t="s">
        <v>82</v>
      </c>
      <c r="G5429" t="s">
        <v>167</v>
      </c>
      <c r="H5429" t="s">
        <v>167</v>
      </c>
      <c r="I5429" t="s">
        <v>35</v>
      </c>
      <c r="J5429" t="s">
        <v>36</v>
      </c>
      <c r="K5429" t="s">
        <v>47</v>
      </c>
      <c r="L5429" t="s">
        <v>48</v>
      </c>
      <c r="M5429" t="s">
        <v>166</v>
      </c>
      <c r="N5429">
        <v>1238</v>
      </c>
      <c r="O5429" s="14">
        <v>0.87168923695571698</v>
      </c>
      <c r="P5429" s="14">
        <v>0.14333142153918699</v>
      </c>
      <c r="Q5429" t="str">
        <f t="shared" si="168"/>
        <v>10-14</v>
      </c>
      <c r="R5429" t="str">
        <f t="shared" si="169"/>
        <v>[ir8wuHHzoSs]|10-14|Male|PLHIV_Attend.T|CY2024Q3</v>
      </c>
    </row>
    <row r="5430" spans="4:18" x14ac:dyDescent="0.2">
      <c r="D5430" t="s">
        <v>80</v>
      </c>
      <c r="E5430" t="s">
        <v>81</v>
      </c>
      <c r="F5430" t="s">
        <v>82</v>
      </c>
      <c r="G5430" t="s">
        <v>167</v>
      </c>
      <c r="H5430" t="s">
        <v>167</v>
      </c>
      <c r="I5430" t="s">
        <v>37</v>
      </c>
      <c r="J5430" t="s">
        <v>38</v>
      </c>
      <c r="K5430" t="s">
        <v>47</v>
      </c>
      <c r="L5430" t="s">
        <v>48</v>
      </c>
      <c r="M5430" t="s">
        <v>166</v>
      </c>
      <c r="N5430">
        <v>1064</v>
      </c>
      <c r="O5430" s="14">
        <v>0.12204662384465299</v>
      </c>
      <c r="P5430" s="14">
        <v>0.14333142153918699</v>
      </c>
      <c r="Q5430" t="str">
        <f t="shared" si="168"/>
        <v>15-24</v>
      </c>
      <c r="R5430" t="str">
        <f t="shared" si="169"/>
        <v>[ir8wuHHzoSs]|15-24|Male|PLHIV_Attend.T|CY2024Q3</v>
      </c>
    </row>
    <row r="5431" spans="4:18" x14ac:dyDescent="0.2">
      <c r="D5431" t="s">
        <v>80</v>
      </c>
      <c r="E5431" t="s">
        <v>81</v>
      </c>
      <c r="F5431" t="s">
        <v>82</v>
      </c>
      <c r="G5431" t="s">
        <v>167</v>
      </c>
      <c r="H5431" t="s">
        <v>167</v>
      </c>
      <c r="I5431" t="s">
        <v>40</v>
      </c>
      <c r="J5431" t="s">
        <v>41</v>
      </c>
      <c r="K5431" t="s">
        <v>47</v>
      </c>
      <c r="L5431" t="s">
        <v>48</v>
      </c>
      <c r="M5431" t="s">
        <v>166</v>
      </c>
      <c r="N5431">
        <v>1441</v>
      </c>
      <c r="O5431" s="14">
        <v>0.77703046705573797</v>
      </c>
      <c r="P5431" s="14">
        <v>0.14333142153918699</v>
      </c>
      <c r="Q5431" t="str">
        <f t="shared" si="168"/>
        <v>25-34</v>
      </c>
      <c r="R5431" t="str">
        <f t="shared" si="169"/>
        <v>[ir8wuHHzoSs]|25-34|Male|PLHIV_Attend.T|CY2024Q3</v>
      </c>
    </row>
    <row r="5432" spans="4:18" x14ac:dyDescent="0.2">
      <c r="D5432" t="s">
        <v>80</v>
      </c>
      <c r="E5432" t="s">
        <v>81</v>
      </c>
      <c r="F5432" t="s">
        <v>82</v>
      </c>
      <c r="G5432" t="s">
        <v>167</v>
      </c>
      <c r="H5432" t="s">
        <v>167</v>
      </c>
      <c r="I5432" t="s">
        <v>42</v>
      </c>
      <c r="J5432" t="s">
        <v>43</v>
      </c>
      <c r="K5432" t="s">
        <v>47</v>
      </c>
      <c r="L5432" t="s">
        <v>48</v>
      </c>
      <c r="M5432" t="s">
        <v>166</v>
      </c>
      <c r="N5432">
        <v>1122</v>
      </c>
      <c r="O5432" s="14">
        <v>0.10413084970787199</v>
      </c>
      <c r="P5432" s="14">
        <v>0.14333142153918699</v>
      </c>
      <c r="Q5432" t="str">
        <f t="shared" si="168"/>
        <v>35-49</v>
      </c>
      <c r="R5432" t="str">
        <f t="shared" si="169"/>
        <v>[ir8wuHHzoSs]|35-49|Male|PLHIV_Attend.T|CY2024Q3</v>
      </c>
    </row>
    <row r="5433" spans="4:18" x14ac:dyDescent="0.2">
      <c r="D5433" t="s">
        <v>80</v>
      </c>
      <c r="E5433" t="s">
        <v>81</v>
      </c>
      <c r="F5433" t="s">
        <v>82</v>
      </c>
      <c r="G5433" t="s">
        <v>167</v>
      </c>
      <c r="H5433" t="s">
        <v>167</v>
      </c>
      <c r="I5433" t="s">
        <v>44</v>
      </c>
      <c r="J5433" t="s">
        <v>45</v>
      </c>
      <c r="K5433" t="s">
        <v>47</v>
      </c>
      <c r="L5433" t="s">
        <v>48</v>
      </c>
      <c r="M5433" t="s">
        <v>166</v>
      </c>
      <c r="N5433">
        <v>965</v>
      </c>
      <c r="O5433" s="14">
        <v>6.4786500297486796E-2</v>
      </c>
      <c r="P5433" s="14">
        <v>0.14333142153918699</v>
      </c>
      <c r="Q5433" t="str">
        <f t="shared" si="168"/>
        <v>50+</v>
      </c>
      <c r="R5433" t="str">
        <f t="shared" si="169"/>
        <v>[ir8wuHHzoSs]|50+|Male|PLHIV_Attend.T|CY2024Q3</v>
      </c>
    </row>
    <row r="5434" spans="4:18" x14ac:dyDescent="0.2">
      <c r="D5434" t="s">
        <v>83</v>
      </c>
      <c r="E5434" t="s">
        <v>84</v>
      </c>
      <c r="F5434" t="s">
        <v>85</v>
      </c>
      <c r="G5434" t="s">
        <v>167</v>
      </c>
      <c r="H5434" t="s">
        <v>167</v>
      </c>
      <c r="I5434" t="s">
        <v>27</v>
      </c>
      <c r="J5434" t="s">
        <v>28</v>
      </c>
      <c r="K5434" t="s">
        <v>29</v>
      </c>
      <c r="L5434" t="s">
        <v>30</v>
      </c>
      <c r="M5434" t="s">
        <v>166</v>
      </c>
      <c r="N5434">
        <v>833</v>
      </c>
      <c r="O5434" s="14">
        <v>1.3670454733073699E-2</v>
      </c>
      <c r="P5434" s="14">
        <v>2.9788714367896301E-2</v>
      </c>
      <c r="Q5434" t="str">
        <f t="shared" si="168"/>
        <v>&lt;01</v>
      </c>
      <c r="R5434" t="str">
        <f t="shared" si="169"/>
        <v>[fyEoGEPERdI]|&lt;01|Female|PLHIV_Attend.T|CY2024Q3</v>
      </c>
    </row>
    <row r="5435" spans="4:18" x14ac:dyDescent="0.2">
      <c r="D5435" t="s">
        <v>83</v>
      </c>
      <c r="E5435" t="s">
        <v>84</v>
      </c>
      <c r="F5435" t="s">
        <v>85</v>
      </c>
      <c r="G5435" t="s">
        <v>167</v>
      </c>
      <c r="H5435" t="s">
        <v>167</v>
      </c>
      <c r="I5435" t="s">
        <v>32</v>
      </c>
      <c r="J5435" t="s">
        <v>33</v>
      </c>
      <c r="K5435" t="s">
        <v>29</v>
      </c>
      <c r="L5435" t="s">
        <v>30</v>
      </c>
      <c r="M5435" t="s">
        <v>166</v>
      </c>
      <c r="N5435">
        <v>792</v>
      </c>
      <c r="O5435" s="14">
        <v>0.97520421724766504</v>
      </c>
      <c r="P5435" s="14">
        <v>2.9788714367896301E-2</v>
      </c>
      <c r="Q5435" t="str">
        <f t="shared" si="168"/>
        <v>01-09</v>
      </c>
      <c r="R5435" t="str">
        <f t="shared" si="169"/>
        <v>[fyEoGEPERdI]|01-09|Female|PLHIV_Attend.T|CY2024Q3</v>
      </c>
    </row>
    <row r="5436" spans="4:18" x14ac:dyDescent="0.2">
      <c r="D5436" t="s">
        <v>83</v>
      </c>
      <c r="E5436" t="s">
        <v>84</v>
      </c>
      <c r="F5436" t="s">
        <v>85</v>
      </c>
      <c r="G5436" t="s">
        <v>167</v>
      </c>
      <c r="H5436" t="s">
        <v>167</v>
      </c>
      <c r="I5436" t="s">
        <v>35</v>
      </c>
      <c r="J5436" t="s">
        <v>36</v>
      </c>
      <c r="K5436" t="s">
        <v>29</v>
      </c>
      <c r="L5436" t="s">
        <v>30</v>
      </c>
      <c r="M5436" t="s">
        <v>166</v>
      </c>
      <c r="N5436">
        <v>1371</v>
      </c>
      <c r="O5436" s="14">
        <v>0.426855591358617</v>
      </c>
      <c r="P5436" s="14">
        <v>2.9788714367896301E-2</v>
      </c>
      <c r="Q5436" t="str">
        <f t="shared" si="168"/>
        <v>10-14</v>
      </c>
      <c r="R5436" t="str">
        <f t="shared" si="169"/>
        <v>[fyEoGEPERdI]|10-14|Female|PLHIV_Attend.T|CY2024Q3</v>
      </c>
    </row>
    <row r="5437" spans="4:18" x14ac:dyDescent="0.2">
      <c r="D5437" t="s">
        <v>83</v>
      </c>
      <c r="E5437" t="s">
        <v>84</v>
      </c>
      <c r="F5437" t="s">
        <v>85</v>
      </c>
      <c r="G5437" t="s">
        <v>167</v>
      </c>
      <c r="H5437" t="s">
        <v>167</v>
      </c>
      <c r="I5437" t="s">
        <v>37</v>
      </c>
      <c r="J5437" t="s">
        <v>38</v>
      </c>
      <c r="K5437" t="s">
        <v>29</v>
      </c>
      <c r="L5437" t="s">
        <v>30</v>
      </c>
      <c r="M5437" t="s">
        <v>166</v>
      </c>
      <c r="N5437">
        <v>991</v>
      </c>
      <c r="O5437" s="14">
        <v>0.99852339900098697</v>
      </c>
      <c r="P5437" s="14">
        <v>2.9788714367896301E-2</v>
      </c>
      <c r="Q5437" t="str">
        <f t="shared" si="168"/>
        <v>15-24</v>
      </c>
      <c r="R5437" t="str">
        <f t="shared" si="169"/>
        <v>[fyEoGEPERdI]|15-24|Female|PLHIV_Attend.T|CY2024Q3</v>
      </c>
    </row>
    <row r="5438" spans="4:18" x14ac:dyDescent="0.2">
      <c r="D5438" t="s">
        <v>83</v>
      </c>
      <c r="E5438" t="s">
        <v>84</v>
      </c>
      <c r="F5438" t="s">
        <v>85</v>
      </c>
      <c r="G5438" t="s">
        <v>167</v>
      </c>
      <c r="H5438" t="s">
        <v>167</v>
      </c>
      <c r="I5438" t="s">
        <v>40</v>
      </c>
      <c r="J5438" t="s">
        <v>41</v>
      </c>
      <c r="K5438" t="s">
        <v>29</v>
      </c>
      <c r="L5438" t="s">
        <v>30</v>
      </c>
      <c r="M5438" t="s">
        <v>166</v>
      </c>
      <c r="N5438">
        <v>997</v>
      </c>
      <c r="O5438" s="14">
        <v>0.179345296928659</v>
      </c>
      <c r="P5438" s="14">
        <v>2.9788714367896301E-2</v>
      </c>
      <c r="Q5438" t="str">
        <f t="shared" si="168"/>
        <v>25-34</v>
      </c>
      <c r="R5438" t="str">
        <f t="shared" si="169"/>
        <v>[fyEoGEPERdI]|25-34|Female|PLHIV_Attend.T|CY2024Q3</v>
      </c>
    </row>
    <row r="5439" spans="4:18" x14ac:dyDescent="0.2">
      <c r="D5439" t="s">
        <v>83</v>
      </c>
      <c r="E5439" t="s">
        <v>84</v>
      </c>
      <c r="F5439" t="s">
        <v>85</v>
      </c>
      <c r="G5439" t="s">
        <v>167</v>
      </c>
      <c r="H5439" t="s">
        <v>167</v>
      </c>
      <c r="I5439" t="s">
        <v>42</v>
      </c>
      <c r="J5439" t="s">
        <v>43</v>
      </c>
      <c r="K5439" t="s">
        <v>29</v>
      </c>
      <c r="L5439" t="s">
        <v>30</v>
      </c>
      <c r="M5439" t="s">
        <v>166</v>
      </c>
      <c r="N5439">
        <v>576</v>
      </c>
      <c r="O5439" s="14">
        <v>0.54051296249963299</v>
      </c>
      <c r="P5439" s="14">
        <v>2.9788714367896301E-2</v>
      </c>
      <c r="Q5439" t="str">
        <f t="shared" si="168"/>
        <v>35-49</v>
      </c>
      <c r="R5439" t="str">
        <f t="shared" si="169"/>
        <v>[fyEoGEPERdI]|35-49|Female|PLHIV_Attend.T|CY2024Q3</v>
      </c>
    </row>
    <row r="5440" spans="4:18" x14ac:dyDescent="0.2">
      <c r="D5440" t="s">
        <v>83</v>
      </c>
      <c r="E5440" t="s">
        <v>84</v>
      </c>
      <c r="F5440" t="s">
        <v>85</v>
      </c>
      <c r="G5440" t="s">
        <v>167</v>
      </c>
      <c r="H5440" t="s">
        <v>167</v>
      </c>
      <c r="I5440" t="s">
        <v>44</v>
      </c>
      <c r="J5440" t="s">
        <v>45</v>
      </c>
      <c r="K5440" t="s">
        <v>29</v>
      </c>
      <c r="L5440" t="s">
        <v>30</v>
      </c>
      <c r="M5440" t="s">
        <v>166</v>
      </c>
      <c r="N5440">
        <v>1830</v>
      </c>
      <c r="O5440" s="14">
        <v>0.91413337970152497</v>
      </c>
      <c r="P5440" s="14">
        <v>2.9788714367896301E-2</v>
      </c>
      <c r="Q5440" t="str">
        <f t="shared" si="168"/>
        <v>50+</v>
      </c>
      <c r="R5440" t="str">
        <f t="shared" si="169"/>
        <v>[fyEoGEPERdI]|50+|Female|PLHIV_Attend.T|CY2024Q3</v>
      </c>
    </row>
    <row r="5441" spans="4:18" x14ac:dyDescent="0.2">
      <c r="D5441" t="s">
        <v>83</v>
      </c>
      <c r="E5441" t="s">
        <v>84</v>
      </c>
      <c r="F5441" t="s">
        <v>85</v>
      </c>
      <c r="G5441" t="s">
        <v>167</v>
      </c>
      <c r="H5441" t="s">
        <v>167</v>
      </c>
      <c r="I5441" t="s">
        <v>27</v>
      </c>
      <c r="J5441" t="s">
        <v>28</v>
      </c>
      <c r="K5441" t="s">
        <v>47</v>
      </c>
      <c r="L5441" t="s">
        <v>48</v>
      </c>
      <c r="M5441" t="s">
        <v>166</v>
      </c>
      <c r="N5441">
        <v>896</v>
      </c>
      <c r="O5441" s="14">
        <v>0.412901137955487</v>
      </c>
      <c r="P5441" s="14">
        <v>2.9788714367896301E-2</v>
      </c>
      <c r="Q5441" t="str">
        <f t="shared" si="168"/>
        <v>&lt;01</v>
      </c>
      <c r="R5441" t="str">
        <f t="shared" si="169"/>
        <v>[fyEoGEPERdI]|&lt;01|Male|PLHIV_Attend.T|CY2024Q3</v>
      </c>
    </row>
    <row r="5442" spans="4:18" x14ac:dyDescent="0.2">
      <c r="D5442" t="s">
        <v>83</v>
      </c>
      <c r="E5442" t="s">
        <v>84</v>
      </c>
      <c r="F5442" t="s">
        <v>85</v>
      </c>
      <c r="G5442" t="s">
        <v>167</v>
      </c>
      <c r="H5442" t="s">
        <v>167</v>
      </c>
      <c r="I5442" t="s">
        <v>32</v>
      </c>
      <c r="J5442" t="s">
        <v>33</v>
      </c>
      <c r="K5442" t="s">
        <v>47</v>
      </c>
      <c r="L5442" t="s">
        <v>48</v>
      </c>
      <c r="M5442" t="s">
        <v>166</v>
      </c>
      <c r="N5442">
        <v>1582</v>
      </c>
      <c r="O5442" s="14">
        <v>0.145921812858433</v>
      </c>
      <c r="P5442" s="14">
        <v>2.9788714367896301E-2</v>
      </c>
      <c r="Q5442" t="str">
        <f t="shared" ref="Q5442:Q5505" si="170">SUBSTITUTE(SUBSTITUTE($I5442,CHAR(61),""),CHAR(34),"")</f>
        <v>01-09</v>
      </c>
      <c r="R5442" t="str">
        <f t="shared" ref="R5442:R5505" si="171">IF($D5442&lt;&gt;"","["&amp;$E5442&amp;"]"&amp;"|"&amp;$Q5442&amp;"|"&amp;$K5442&amp;"|"&amp;$G5442&amp;"|"&amp;IF($G5442="TX_CURR_SUBNAT.R","CY2022Q4",$M5442),"")</f>
        <v>[fyEoGEPERdI]|01-09|Male|PLHIV_Attend.T|CY2024Q3</v>
      </c>
    </row>
    <row r="5443" spans="4:18" x14ac:dyDescent="0.2">
      <c r="D5443" t="s">
        <v>83</v>
      </c>
      <c r="E5443" t="s">
        <v>84</v>
      </c>
      <c r="F5443" t="s">
        <v>85</v>
      </c>
      <c r="G5443" t="s">
        <v>167</v>
      </c>
      <c r="H5443" t="s">
        <v>167</v>
      </c>
      <c r="I5443" t="s">
        <v>35</v>
      </c>
      <c r="J5443" t="s">
        <v>36</v>
      </c>
      <c r="K5443" t="s">
        <v>47</v>
      </c>
      <c r="L5443" t="s">
        <v>48</v>
      </c>
      <c r="M5443" t="s">
        <v>166</v>
      </c>
      <c r="N5443">
        <v>1272</v>
      </c>
      <c r="O5443" s="14">
        <v>0.93444777326658401</v>
      </c>
      <c r="P5443" s="14">
        <v>2.9788714367896301E-2</v>
      </c>
      <c r="Q5443" t="str">
        <f t="shared" si="170"/>
        <v>10-14</v>
      </c>
      <c r="R5443" t="str">
        <f t="shared" si="171"/>
        <v>[fyEoGEPERdI]|10-14|Male|PLHIV_Attend.T|CY2024Q3</v>
      </c>
    </row>
    <row r="5444" spans="4:18" x14ac:dyDescent="0.2">
      <c r="D5444" t="s">
        <v>83</v>
      </c>
      <c r="E5444" t="s">
        <v>84</v>
      </c>
      <c r="F5444" t="s">
        <v>85</v>
      </c>
      <c r="G5444" t="s">
        <v>167</v>
      </c>
      <c r="H5444" t="s">
        <v>167</v>
      </c>
      <c r="I5444" t="s">
        <v>37</v>
      </c>
      <c r="J5444" t="s">
        <v>38</v>
      </c>
      <c r="K5444" t="s">
        <v>47</v>
      </c>
      <c r="L5444" t="s">
        <v>48</v>
      </c>
      <c r="M5444" t="s">
        <v>166</v>
      </c>
      <c r="N5444">
        <v>979</v>
      </c>
      <c r="O5444" s="14">
        <v>0.704704263014719</v>
      </c>
      <c r="P5444" s="14">
        <v>2.9788714367896301E-2</v>
      </c>
      <c r="Q5444" t="str">
        <f t="shared" si="170"/>
        <v>15-24</v>
      </c>
      <c r="R5444" t="str">
        <f t="shared" si="171"/>
        <v>[fyEoGEPERdI]|15-24|Male|PLHIV_Attend.T|CY2024Q3</v>
      </c>
    </row>
    <row r="5445" spans="4:18" x14ac:dyDescent="0.2">
      <c r="D5445" t="s">
        <v>83</v>
      </c>
      <c r="E5445" t="s">
        <v>84</v>
      </c>
      <c r="F5445" t="s">
        <v>85</v>
      </c>
      <c r="G5445" t="s">
        <v>167</v>
      </c>
      <c r="H5445" t="s">
        <v>167</v>
      </c>
      <c r="I5445" t="s">
        <v>40</v>
      </c>
      <c r="J5445" t="s">
        <v>41</v>
      </c>
      <c r="K5445" t="s">
        <v>47</v>
      </c>
      <c r="L5445" t="s">
        <v>48</v>
      </c>
      <c r="M5445" t="s">
        <v>166</v>
      </c>
      <c r="N5445">
        <v>1368</v>
      </c>
      <c r="O5445" s="14">
        <v>0.54616567166522101</v>
      </c>
      <c r="P5445" s="14">
        <v>2.9788714367896301E-2</v>
      </c>
      <c r="Q5445" t="str">
        <f t="shared" si="170"/>
        <v>25-34</v>
      </c>
      <c r="R5445" t="str">
        <f t="shared" si="171"/>
        <v>[fyEoGEPERdI]|25-34|Male|PLHIV_Attend.T|CY2024Q3</v>
      </c>
    </row>
    <row r="5446" spans="4:18" x14ac:dyDescent="0.2">
      <c r="D5446" t="s">
        <v>83</v>
      </c>
      <c r="E5446" t="s">
        <v>84</v>
      </c>
      <c r="F5446" t="s">
        <v>85</v>
      </c>
      <c r="G5446" t="s">
        <v>167</v>
      </c>
      <c r="H5446" t="s">
        <v>167</v>
      </c>
      <c r="I5446" t="s">
        <v>42</v>
      </c>
      <c r="J5446" t="s">
        <v>43</v>
      </c>
      <c r="K5446" t="s">
        <v>47</v>
      </c>
      <c r="L5446" t="s">
        <v>48</v>
      </c>
      <c r="M5446" t="s">
        <v>166</v>
      </c>
      <c r="N5446">
        <v>1637</v>
      </c>
      <c r="O5446" s="14">
        <v>1.71090527437627E-2</v>
      </c>
      <c r="P5446" s="14">
        <v>2.9788714367896301E-2</v>
      </c>
      <c r="Q5446" t="str">
        <f t="shared" si="170"/>
        <v>35-49</v>
      </c>
      <c r="R5446" t="str">
        <f t="shared" si="171"/>
        <v>[fyEoGEPERdI]|35-49|Male|PLHIV_Attend.T|CY2024Q3</v>
      </c>
    </row>
    <row r="5447" spans="4:18" x14ac:dyDescent="0.2">
      <c r="D5447" t="s">
        <v>83</v>
      </c>
      <c r="E5447" t="s">
        <v>84</v>
      </c>
      <c r="F5447" t="s">
        <v>85</v>
      </c>
      <c r="G5447" t="s">
        <v>167</v>
      </c>
      <c r="H5447" t="s">
        <v>167</v>
      </c>
      <c r="I5447" t="s">
        <v>44</v>
      </c>
      <c r="J5447" t="s">
        <v>45</v>
      </c>
      <c r="K5447" t="s">
        <v>47</v>
      </c>
      <c r="L5447" t="s">
        <v>48</v>
      </c>
      <c r="M5447" t="s">
        <v>166</v>
      </c>
      <c r="N5447">
        <v>775</v>
      </c>
      <c r="O5447" s="14">
        <v>0.21841370500624199</v>
      </c>
      <c r="P5447" s="14">
        <v>2.9788714367896301E-2</v>
      </c>
      <c r="Q5447" t="str">
        <f t="shared" si="170"/>
        <v>50+</v>
      </c>
      <c r="R5447" t="str">
        <f t="shared" si="171"/>
        <v>[fyEoGEPERdI]|50+|Male|PLHIV_Attend.T|CY2024Q3</v>
      </c>
    </row>
    <row r="5448" spans="4:18" x14ac:dyDescent="0.2">
      <c r="D5448" t="s">
        <v>86</v>
      </c>
      <c r="E5448" t="s">
        <v>87</v>
      </c>
      <c r="F5448" t="s">
        <v>88</v>
      </c>
      <c r="G5448" t="s">
        <v>167</v>
      </c>
      <c r="H5448" t="s">
        <v>167</v>
      </c>
      <c r="I5448" t="s">
        <v>27</v>
      </c>
      <c r="J5448" t="s">
        <v>28</v>
      </c>
      <c r="K5448" t="s">
        <v>29</v>
      </c>
      <c r="L5448" t="s">
        <v>30</v>
      </c>
      <c r="M5448" t="s">
        <v>166</v>
      </c>
      <c r="N5448">
        <v>582</v>
      </c>
      <c r="O5448" s="14">
        <v>6.6060345154255601E-2</v>
      </c>
      <c r="P5448" s="14">
        <v>0.13333638082258401</v>
      </c>
      <c r="Q5448" t="str">
        <f t="shared" si="170"/>
        <v>&lt;01</v>
      </c>
      <c r="R5448" t="str">
        <f t="shared" si="171"/>
        <v>[cPtvxaZqXIH]|&lt;01|Female|PLHIV_Attend.T|CY2024Q3</v>
      </c>
    </row>
    <row r="5449" spans="4:18" x14ac:dyDescent="0.2">
      <c r="D5449" t="s">
        <v>86</v>
      </c>
      <c r="E5449" t="s">
        <v>87</v>
      </c>
      <c r="F5449" t="s">
        <v>88</v>
      </c>
      <c r="G5449" t="s">
        <v>167</v>
      </c>
      <c r="H5449" t="s">
        <v>167</v>
      </c>
      <c r="I5449" t="s">
        <v>32</v>
      </c>
      <c r="J5449" t="s">
        <v>33</v>
      </c>
      <c r="K5449" t="s">
        <v>29</v>
      </c>
      <c r="L5449" t="s">
        <v>30</v>
      </c>
      <c r="M5449" t="s">
        <v>166</v>
      </c>
      <c r="N5449">
        <v>1410</v>
      </c>
      <c r="O5449" s="14">
        <v>0.113672962412238</v>
      </c>
      <c r="P5449" s="14">
        <v>0.13333638082258401</v>
      </c>
      <c r="Q5449" t="str">
        <f t="shared" si="170"/>
        <v>01-09</v>
      </c>
      <c r="R5449" t="str">
        <f t="shared" si="171"/>
        <v>[cPtvxaZqXIH]|01-09|Female|PLHIV_Attend.T|CY2024Q3</v>
      </c>
    </row>
    <row r="5450" spans="4:18" x14ac:dyDescent="0.2">
      <c r="D5450" t="s">
        <v>86</v>
      </c>
      <c r="E5450" t="s">
        <v>87</v>
      </c>
      <c r="F5450" t="s">
        <v>88</v>
      </c>
      <c r="G5450" t="s">
        <v>167</v>
      </c>
      <c r="H5450" t="s">
        <v>167</v>
      </c>
      <c r="I5450" t="s">
        <v>35</v>
      </c>
      <c r="J5450" t="s">
        <v>36</v>
      </c>
      <c r="K5450" t="s">
        <v>29</v>
      </c>
      <c r="L5450" t="s">
        <v>30</v>
      </c>
      <c r="M5450" t="s">
        <v>166</v>
      </c>
      <c r="N5450">
        <v>696</v>
      </c>
      <c r="O5450" s="14">
        <v>0.465995728736743</v>
      </c>
      <c r="P5450" s="14">
        <v>0.13333638082258401</v>
      </c>
      <c r="Q5450" t="str">
        <f t="shared" si="170"/>
        <v>10-14</v>
      </c>
      <c r="R5450" t="str">
        <f t="shared" si="171"/>
        <v>[cPtvxaZqXIH]|10-14|Female|PLHIV_Attend.T|CY2024Q3</v>
      </c>
    </row>
    <row r="5451" spans="4:18" x14ac:dyDescent="0.2">
      <c r="D5451" t="s">
        <v>86</v>
      </c>
      <c r="E5451" t="s">
        <v>87</v>
      </c>
      <c r="F5451" t="s">
        <v>88</v>
      </c>
      <c r="G5451" t="s">
        <v>167</v>
      </c>
      <c r="H5451" t="s">
        <v>167</v>
      </c>
      <c r="I5451" t="s">
        <v>37</v>
      </c>
      <c r="J5451" t="s">
        <v>38</v>
      </c>
      <c r="K5451" t="s">
        <v>29</v>
      </c>
      <c r="L5451" t="s">
        <v>30</v>
      </c>
      <c r="M5451" t="s">
        <v>166</v>
      </c>
      <c r="N5451">
        <v>836</v>
      </c>
      <c r="O5451" s="14">
        <v>0.85954422410577502</v>
      </c>
      <c r="P5451" s="14">
        <v>0.13333638082258401</v>
      </c>
      <c r="Q5451" t="str">
        <f t="shared" si="170"/>
        <v>15-24</v>
      </c>
      <c r="R5451" t="str">
        <f t="shared" si="171"/>
        <v>[cPtvxaZqXIH]|15-24|Female|PLHIV_Attend.T|CY2024Q3</v>
      </c>
    </row>
    <row r="5452" spans="4:18" x14ac:dyDescent="0.2">
      <c r="D5452" t="s">
        <v>86</v>
      </c>
      <c r="E5452" t="s">
        <v>87</v>
      </c>
      <c r="F5452" t="s">
        <v>88</v>
      </c>
      <c r="G5452" t="s">
        <v>167</v>
      </c>
      <c r="H5452" t="s">
        <v>167</v>
      </c>
      <c r="I5452" t="s">
        <v>40</v>
      </c>
      <c r="J5452" t="s">
        <v>41</v>
      </c>
      <c r="K5452" t="s">
        <v>29</v>
      </c>
      <c r="L5452" t="s">
        <v>30</v>
      </c>
      <c r="M5452" t="s">
        <v>166</v>
      </c>
      <c r="N5452">
        <v>801</v>
      </c>
      <c r="O5452" s="14">
        <v>0.89761942881159495</v>
      </c>
      <c r="P5452" s="14">
        <v>0.13333638082258401</v>
      </c>
      <c r="Q5452" t="str">
        <f t="shared" si="170"/>
        <v>25-34</v>
      </c>
      <c r="R5452" t="str">
        <f t="shared" si="171"/>
        <v>[cPtvxaZqXIH]|25-34|Female|PLHIV_Attend.T|CY2024Q3</v>
      </c>
    </row>
    <row r="5453" spans="4:18" x14ac:dyDescent="0.2">
      <c r="D5453" t="s">
        <v>86</v>
      </c>
      <c r="E5453" t="s">
        <v>87</v>
      </c>
      <c r="F5453" t="s">
        <v>88</v>
      </c>
      <c r="G5453" t="s">
        <v>167</v>
      </c>
      <c r="H5453" t="s">
        <v>167</v>
      </c>
      <c r="I5453" t="s">
        <v>42</v>
      </c>
      <c r="J5453" t="s">
        <v>43</v>
      </c>
      <c r="K5453" t="s">
        <v>29</v>
      </c>
      <c r="L5453" t="s">
        <v>30</v>
      </c>
      <c r="M5453" t="s">
        <v>166</v>
      </c>
      <c r="N5453">
        <v>1167</v>
      </c>
      <c r="O5453" s="14">
        <v>0.74672038434073296</v>
      </c>
      <c r="P5453" s="14">
        <v>0.13333638082258401</v>
      </c>
      <c r="Q5453" t="str">
        <f t="shared" si="170"/>
        <v>35-49</v>
      </c>
      <c r="R5453" t="str">
        <f t="shared" si="171"/>
        <v>[cPtvxaZqXIH]|35-49|Female|PLHIV_Attend.T|CY2024Q3</v>
      </c>
    </row>
    <row r="5454" spans="4:18" x14ac:dyDescent="0.2">
      <c r="D5454" t="s">
        <v>86</v>
      </c>
      <c r="E5454" t="s">
        <v>87</v>
      </c>
      <c r="F5454" t="s">
        <v>88</v>
      </c>
      <c r="G5454" t="s">
        <v>167</v>
      </c>
      <c r="H5454" t="s">
        <v>167</v>
      </c>
      <c r="I5454" t="s">
        <v>44</v>
      </c>
      <c r="J5454" t="s">
        <v>45</v>
      </c>
      <c r="K5454" t="s">
        <v>29</v>
      </c>
      <c r="L5454" t="s">
        <v>30</v>
      </c>
      <c r="M5454" t="s">
        <v>166</v>
      </c>
      <c r="N5454">
        <v>1574</v>
      </c>
      <c r="O5454" s="14">
        <v>0.114479053299874</v>
      </c>
      <c r="P5454" s="14">
        <v>0.13333638082258401</v>
      </c>
      <c r="Q5454" t="str">
        <f t="shared" si="170"/>
        <v>50+</v>
      </c>
      <c r="R5454" t="str">
        <f t="shared" si="171"/>
        <v>[cPtvxaZqXIH]|50+|Female|PLHIV_Attend.T|CY2024Q3</v>
      </c>
    </row>
    <row r="5455" spans="4:18" x14ac:dyDescent="0.2">
      <c r="D5455" t="s">
        <v>86</v>
      </c>
      <c r="E5455" t="s">
        <v>87</v>
      </c>
      <c r="F5455" t="s">
        <v>88</v>
      </c>
      <c r="G5455" t="s">
        <v>167</v>
      </c>
      <c r="H5455" t="s">
        <v>167</v>
      </c>
      <c r="I5455" t="s">
        <v>27</v>
      </c>
      <c r="J5455" t="s">
        <v>28</v>
      </c>
      <c r="K5455" t="s">
        <v>47</v>
      </c>
      <c r="L5455" t="s">
        <v>48</v>
      </c>
      <c r="M5455" t="s">
        <v>166</v>
      </c>
      <c r="N5455">
        <v>1213</v>
      </c>
      <c r="O5455" s="14">
        <v>0.49210636760108201</v>
      </c>
      <c r="P5455" s="14">
        <v>0.13333638082258401</v>
      </c>
      <c r="Q5455" t="str">
        <f t="shared" si="170"/>
        <v>&lt;01</v>
      </c>
      <c r="R5455" t="str">
        <f t="shared" si="171"/>
        <v>[cPtvxaZqXIH]|&lt;01|Male|PLHIV_Attend.T|CY2024Q3</v>
      </c>
    </row>
    <row r="5456" spans="4:18" x14ac:dyDescent="0.2">
      <c r="D5456" t="s">
        <v>86</v>
      </c>
      <c r="E5456" t="s">
        <v>87</v>
      </c>
      <c r="F5456" t="s">
        <v>88</v>
      </c>
      <c r="G5456" t="s">
        <v>167</v>
      </c>
      <c r="H5456" t="s">
        <v>167</v>
      </c>
      <c r="I5456" t="s">
        <v>32</v>
      </c>
      <c r="J5456" t="s">
        <v>33</v>
      </c>
      <c r="K5456" t="s">
        <v>47</v>
      </c>
      <c r="L5456" t="s">
        <v>48</v>
      </c>
      <c r="M5456" t="s">
        <v>166</v>
      </c>
      <c r="N5456">
        <v>1510</v>
      </c>
      <c r="O5456" s="14">
        <v>4.0682445513084503E-2</v>
      </c>
      <c r="P5456" s="14">
        <v>0.13333638082258401</v>
      </c>
      <c r="Q5456" t="str">
        <f t="shared" si="170"/>
        <v>01-09</v>
      </c>
      <c r="R5456" t="str">
        <f t="shared" si="171"/>
        <v>[cPtvxaZqXIH]|01-09|Male|PLHIV_Attend.T|CY2024Q3</v>
      </c>
    </row>
    <row r="5457" spans="4:18" x14ac:dyDescent="0.2">
      <c r="D5457" t="s">
        <v>86</v>
      </c>
      <c r="E5457" t="s">
        <v>87</v>
      </c>
      <c r="F5457" t="s">
        <v>88</v>
      </c>
      <c r="G5457" t="s">
        <v>167</v>
      </c>
      <c r="H5457" t="s">
        <v>167</v>
      </c>
      <c r="I5457" t="s">
        <v>35</v>
      </c>
      <c r="J5457" t="s">
        <v>36</v>
      </c>
      <c r="K5457" t="s">
        <v>47</v>
      </c>
      <c r="L5457" t="s">
        <v>48</v>
      </c>
      <c r="M5457" t="s">
        <v>166</v>
      </c>
      <c r="N5457">
        <v>1430</v>
      </c>
      <c r="O5457" s="14">
        <v>0.64503721473738596</v>
      </c>
      <c r="P5457" s="14">
        <v>0.13333638082258401</v>
      </c>
      <c r="Q5457" t="str">
        <f t="shared" si="170"/>
        <v>10-14</v>
      </c>
      <c r="R5457" t="str">
        <f t="shared" si="171"/>
        <v>[cPtvxaZqXIH]|10-14|Male|PLHIV_Attend.T|CY2024Q3</v>
      </c>
    </row>
    <row r="5458" spans="4:18" x14ac:dyDescent="0.2">
      <c r="D5458" t="s">
        <v>86</v>
      </c>
      <c r="E5458" t="s">
        <v>87</v>
      </c>
      <c r="F5458" t="s">
        <v>88</v>
      </c>
      <c r="G5458" t="s">
        <v>167</v>
      </c>
      <c r="H5458" t="s">
        <v>167</v>
      </c>
      <c r="I5458" t="s">
        <v>37</v>
      </c>
      <c r="J5458" t="s">
        <v>38</v>
      </c>
      <c r="K5458" t="s">
        <v>47</v>
      </c>
      <c r="L5458" t="s">
        <v>48</v>
      </c>
      <c r="M5458" t="s">
        <v>166</v>
      </c>
      <c r="N5458">
        <v>1205</v>
      </c>
      <c r="O5458" s="14">
        <v>0.42187218717299402</v>
      </c>
      <c r="P5458" s="14">
        <v>0.13333638082258401</v>
      </c>
      <c r="Q5458" t="str">
        <f t="shared" si="170"/>
        <v>15-24</v>
      </c>
      <c r="R5458" t="str">
        <f t="shared" si="171"/>
        <v>[cPtvxaZqXIH]|15-24|Male|PLHIV_Attend.T|CY2024Q3</v>
      </c>
    </row>
    <row r="5459" spans="4:18" x14ac:dyDescent="0.2">
      <c r="D5459" t="s">
        <v>86</v>
      </c>
      <c r="E5459" t="s">
        <v>87</v>
      </c>
      <c r="F5459" t="s">
        <v>88</v>
      </c>
      <c r="G5459" t="s">
        <v>167</v>
      </c>
      <c r="H5459" t="s">
        <v>167</v>
      </c>
      <c r="I5459" t="s">
        <v>40</v>
      </c>
      <c r="J5459" t="s">
        <v>41</v>
      </c>
      <c r="K5459" t="s">
        <v>47</v>
      </c>
      <c r="L5459" t="s">
        <v>48</v>
      </c>
      <c r="M5459" t="s">
        <v>166</v>
      </c>
      <c r="N5459">
        <v>1697</v>
      </c>
      <c r="O5459" s="14">
        <v>0.83950476371683203</v>
      </c>
      <c r="P5459" s="14">
        <v>0.13333638082258401</v>
      </c>
      <c r="Q5459" t="str">
        <f t="shared" si="170"/>
        <v>25-34</v>
      </c>
      <c r="R5459" t="str">
        <f t="shared" si="171"/>
        <v>[cPtvxaZqXIH]|25-34|Male|PLHIV_Attend.T|CY2024Q3</v>
      </c>
    </row>
    <row r="5460" spans="4:18" x14ac:dyDescent="0.2">
      <c r="D5460" t="s">
        <v>86</v>
      </c>
      <c r="E5460" t="s">
        <v>87</v>
      </c>
      <c r="F5460" t="s">
        <v>88</v>
      </c>
      <c r="G5460" t="s">
        <v>167</v>
      </c>
      <c r="H5460" t="s">
        <v>167</v>
      </c>
      <c r="I5460" t="s">
        <v>42</v>
      </c>
      <c r="J5460" t="s">
        <v>43</v>
      </c>
      <c r="K5460" t="s">
        <v>47</v>
      </c>
      <c r="L5460" t="s">
        <v>48</v>
      </c>
      <c r="M5460" t="s">
        <v>166</v>
      </c>
      <c r="N5460">
        <v>1843</v>
      </c>
      <c r="O5460" s="14">
        <v>0.92445594631135497</v>
      </c>
      <c r="P5460" s="14">
        <v>0.13333638082258401</v>
      </c>
      <c r="Q5460" t="str">
        <f t="shared" si="170"/>
        <v>35-49</v>
      </c>
      <c r="R5460" t="str">
        <f t="shared" si="171"/>
        <v>[cPtvxaZqXIH]|35-49|Male|PLHIV_Attend.T|CY2024Q3</v>
      </c>
    </row>
    <row r="5461" spans="4:18" x14ac:dyDescent="0.2">
      <c r="D5461" t="s">
        <v>86</v>
      </c>
      <c r="E5461" t="s">
        <v>87</v>
      </c>
      <c r="F5461" t="s">
        <v>88</v>
      </c>
      <c r="G5461" t="s">
        <v>167</v>
      </c>
      <c r="H5461" t="s">
        <v>167</v>
      </c>
      <c r="I5461" t="s">
        <v>44</v>
      </c>
      <c r="J5461" t="s">
        <v>45</v>
      </c>
      <c r="K5461" t="s">
        <v>47</v>
      </c>
      <c r="L5461" t="s">
        <v>48</v>
      </c>
      <c r="M5461" t="s">
        <v>166</v>
      </c>
      <c r="N5461">
        <v>906</v>
      </c>
      <c r="O5461" s="14">
        <v>0.96513234032317996</v>
      </c>
      <c r="P5461" s="14">
        <v>0.13333638082258401</v>
      </c>
      <c r="Q5461" t="str">
        <f t="shared" si="170"/>
        <v>50+</v>
      </c>
      <c r="R5461" t="str">
        <f t="shared" si="171"/>
        <v>[cPtvxaZqXIH]|50+|Male|PLHIV_Attend.T|CY2024Q3</v>
      </c>
    </row>
    <row r="5462" spans="4:18" x14ac:dyDescent="0.2">
      <c r="D5462" t="s">
        <v>89</v>
      </c>
      <c r="E5462" t="s">
        <v>90</v>
      </c>
      <c r="F5462" t="s">
        <v>91</v>
      </c>
      <c r="G5462" t="s">
        <v>167</v>
      </c>
      <c r="H5462" t="s">
        <v>167</v>
      </c>
      <c r="I5462" t="s">
        <v>27</v>
      </c>
      <c r="J5462" t="s">
        <v>28</v>
      </c>
      <c r="K5462" t="s">
        <v>29</v>
      </c>
      <c r="L5462" t="s">
        <v>30</v>
      </c>
      <c r="M5462" t="s">
        <v>166</v>
      </c>
      <c r="N5462">
        <v>1760</v>
      </c>
      <c r="O5462" s="14">
        <v>3.0619847821071699E-2</v>
      </c>
      <c r="P5462" s="14">
        <v>0.71991415042430196</v>
      </c>
      <c r="Q5462" t="str">
        <f t="shared" si="170"/>
        <v>&lt;01</v>
      </c>
      <c r="R5462" t="str">
        <f t="shared" si="171"/>
        <v>[AZyWpGzhcaA]|&lt;01|Female|PLHIV_Attend.T|CY2024Q3</v>
      </c>
    </row>
    <row r="5463" spans="4:18" x14ac:dyDescent="0.2">
      <c r="D5463" t="s">
        <v>89</v>
      </c>
      <c r="E5463" t="s">
        <v>90</v>
      </c>
      <c r="F5463" t="s">
        <v>91</v>
      </c>
      <c r="G5463" t="s">
        <v>167</v>
      </c>
      <c r="H5463" t="s">
        <v>167</v>
      </c>
      <c r="I5463" t="s">
        <v>32</v>
      </c>
      <c r="J5463" t="s">
        <v>33</v>
      </c>
      <c r="K5463" t="s">
        <v>29</v>
      </c>
      <c r="L5463" t="s">
        <v>30</v>
      </c>
      <c r="M5463" t="s">
        <v>166</v>
      </c>
      <c r="N5463">
        <v>1029</v>
      </c>
      <c r="O5463" s="14">
        <v>0.59943342581391301</v>
      </c>
      <c r="P5463" s="14">
        <v>0.71991415042430196</v>
      </c>
      <c r="Q5463" t="str">
        <f t="shared" si="170"/>
        <v>01-09</v>
      </c>
      <c r="R5463" t="str">
        <f t="shared" si="171"/>
        <v>[AZyWpGzhcaA]|01-09|Female|PLHIV_Attend.T|CY2024Q3</v>
      </c>
    </row>
    <row r="5464" spans="4:18" x14ac:dyDescent="0.2">
      <c r="D5464" t="s">
        <v>89</v>
      </c>
      <c r="E5464" t="s">
        <v>90</v>
      </c>
      <c r="F5464" t="s">
        <v>91</v>
      </c>
      <c r="G5464" t="s">
        <v>167</v>
      </c>
      <c r="H5464" t="s">
        <v>167</v>
      </c>
      <c r="I5464" t="s">
        <v>35</v>
      </c>
      <c r="J5464" t="s">
        <v>36</v>
      </c>
      <c r="K5464" t="s">
        <v>29</v>
      </c>
      <c r="L5464" t="s">
        <v>30</v>
      </c>
      <c r="M5464" t="s">
        <v>166</v>
      </c>
      <c r="N5464">
        <v>1163</v>
      </c>
      <c r="O5464" s="14">
        <v>0.32486550649627999</v>
      </c>
      <c r="P5464" s="14">
        <v>0.71991415042430196</v>
      </c>
      <c r="Q5464" t="str">
        <f t="shared" si="170"/>
        <v>10-14</v>
      </c>
      <c r="R5464" t="str">
        <f t="shared" si="171"/>
        <v>[AZyWpGzhcaA]|10-14|Female|PLHIV_Attend.T|CY2024Q3</v>
      </c>
    </row>
    <row r="5465" spans="4:18" x14ac:dyDescent="0.2">
      <c r="D5465" t="s">
        <v>89</v>
      </c>
      <c r="E5465" t="s">
        <v>90</v>
      </c>
      <c r="F5465" t="s">
        <v>91</v>
      </c>
      <c r="G5465" t="s">
        <v>167</v>
      </c>
      <c r="H5465" t="s">
        <v>167</v>
      </c>
      <c r="I5465" t="s">
        <v>37</v>
      </c>
      <c r="J5465" t="s">
        <v>38</v>
      </c>
      <c r="K5465" t="s">
        <v>29</v>
      </c>
      <c r="L5465" t="s">
        <v>30</v>
      </c>
      <c r="M5465" t="s">
        <v>166</v>
      </c>
      <c r="N5465">
        <v>1671</v>
      </c>
      <c r="O5465" s="14">
        <v>0.56588637176901102</v>
      </c>
      <c r="P5465" s="14">
        <v>0.71991415042430196</v>
      </c>
      <c r="Q5465" t="str">
        <f t="shared" si="170"/>
        <v>15-24</v>
      </c>
      <c r="R5465" t="str">
        <f t="shared" si="171"/>
        <v>[AZyWpGzhcaA]|15-24|Female|PLHIV_Attend.T|CY2024Q3</v>
      </c>
    </row>
    <row r="5466" spans="4:18" x14ac:dyDescent="0.2">
      <c r="D5466" t="s">
        <v>89</v>
      </c>
      <c r="E5466" t="s">
        <v>90</v>
      </c>
      <c r="F5466" t="s">
        <v>91</v>
      </c>
      <c r="G5466" t="s">
        <v>167</v>
      </c>
      <c r="H5466" t="s">
        <v>167</v>
      </c>
      <c r="I5466" t="s">
        <v>40</v>
      </c>
      <c r="J5466" t="s">
        <v>41</v>
      </c>
      <c r="K5466" t="s">
        <v>29</v>
      </c>
      <c r="L5466" t="s">
        <v>30</v>
      </c>
      <c r="M5466" t="s">
        <v>166</v>
      </c>
      <c r="N5466">
        <v>849</v>
      </c>
      <c r="O5466" s="14">
        <v>0.93982398300431702</v>
      </c>
      <c r="P5466" s="14">
        <v>0.71991415042430196</v>
      </c>
      <c r="Q5466" t="str">
        <f t="shared" si="170"/>
        <v>25-34</v>
      </c>
      <c r="R5466" t="str">
        <f t="shared" si="171"/>
        <v>[AZyWpGzhcaA]|25-34|Female|PLHIV_Attend.T|CY2024Q3</v>
      </c>
    </row>
    <row r="5467" spans="4:18" x14ac:dyDescent="0.2">
      <c r="D5467" t="s">
        <v>89</v>
      </c>
      <c r="E5467" t="s">
        <v>90</v>
      </c>
      <c r="F5467" t="s">
        <v>91</v>
      </c>
      <c r="G5467" t="s">
        <v>167</v>
      </c>
      <c r="H5467" t="s">
        <v>167</v>
      </c>
      <c r="I5467" t="s">
        <v>42</v>
      </c>
      <c r="J5467" t="s">
        <v>43</v>
      </c>
      <c r="K5467" t="s">
        <v>29</v>
      </c>
      <c r="L5467" t="s">
        <v>30</v>
      </c>
      <c r="M5467" t="s">
        <v>166</v>
      </c>
      <c r="N5467">
        <v>988</v>
      </c>
      <c r="O5467" s="14">
        <v>0.43717035371810198</v>
      </c>
      <c r="P5467" s="14">
        <v>0.71991415042430196</v>
      </c>
      <c r="Q5467" t="str">
        <f t="shared" si="170"/>
        <v>35-49</v>
      </c>
      <c r="R5467" t="str">
        <f t="shared" si="171"/>
        <v>[AZyWpGzhcaA]|35-49|Female|PLHIV_Attend.T|CY2024Q3</v>
      </c>
    </row>
    <row r="5468" spans="4:18" x14ac:dyDescent="0.2">
      <c r="D5468" t="s">
        <v>89</v>
      </c>
      <c r="E5468" t="s">
        <v>90</v>
      </c>
      <c r="F5468" t="s">
        <v>91</v>
      </c>
      <c r="G5468" t="s">
        <v>167</v>
      </c>
      <c r="H5468" t="s">
        <v>167</v>
      </c>
      <c r="I5468" t="s">
        <v>44</v>
      </c>
      <c r="J5468" t="s">
        <v>45</v>
      </c>
      <c r="K5468" t="s">
        <v>29</v>
      </c>
      <c r="L5468" t="s">
        <v>30</v>
      </c>
      <c r="M5468" t="s">
        <v>166</v>
      </c>
      <c r="N5468">
        <v>1091</v>
      </c>
      <c r="O5468" s="14">
        <v>0.62602592399343804</v>
      </c>
      <c r="P5468" s="14">
        <v>0.71991415042430196</v>
      </c>
      <c r="Q5468" t="str">
        <f t="shared" si="170"/>
        <v>50+</v>
      </c>
      <c r="R5468" t="str">
        <f t="shared" si="171"/>
        <v>[AZyWpGzhcaA]|50+|Female|PLHIV_Attend.T|CY2024Q3</v>
      </c>
    </row>
    <row r="5469" spans="4:18" x14ac:dyDescent="0.2">
      <c r="D5469" t="s">
        <v>89</v>
      </c>
      <c r="E5469" t="s">
        <v>90</v>
      </c>
      <c r="F5469" t="s">
        <v>91</v>
      </c>
      <c r="G5469" t="s">
        <v>167</v>
      </c>
      <c r="H5469" t="s">
        <v>167</v>
      </c>
      <c r="I5469" t="s">
        <v>27</v>
      </c>
      <c r="J5469" t="s">
        <v>28</v>
      </c>
      <c r="K5469" t="s">
        <v>47</v>
      </c>
      <c r="L5469" t="s">
        <v>48</v>
      </c>
      <c r="M5469" t="s">
        <v>166</v>
      </c>
      <c r="N5469">
        <v>1061</v>
      </c>
      <c r="O5469" s="14">
        <v>0.336453187745064</v>
      </c>
      <c r="P5469" s="14">
        <v>0.71991415042430196</v>
      </c>
      <c r="Q5469" t="str">
        <f t="shared" si="170"/>
        <v>&lt;01</v>
      </c>
      <c r="R5469" t="str">
        <f t="shared" si="171"/>
        <v>[AZyWpGzhcaA]|&lt;01|Male|PLHIV_Attend.T|CY2024Q3</v>
      </c>
    </row>
    <row r="5470" spans="4:18" x14ac:dyDescent="0.2">
      <c r="D5470" t="s">
        <v>89</v>
      </c>
      <c r="E5470" t="s">
        <v>90</v>
      </c>
      <c r="F5470" t="s">
        <v>91</v>
      </c>
      <c r="G5470" t="s">
        <v>167</v>
      </c>
      <c r="H5470" t="s">
        <v>167</v>
      </c>
      <c r="I5470" t="s">
        <v>32</v>
      </c>
      <c r="J5470" t="s">
        <v>33</v>
      </c>
      <c r="K5470" t="s">
        <v>47</v>
      </c>
      <c r="L5470" t="s">
        <v>48</v>
      </c>
      <c r="M5470" t="s">
        <v>166</v>
      </c>
      <c r="N5470">
        <v>1054</v>
      </c>
      <c r="O5470" s="14">
        <v>0.91363512258976698</v>
      </c>
      <c r="P5470" s="14">
        <v>0.71991415042430196</v>
      </c>
      <c r="Q5470" t="str">
        <f t="shared" si="170"/>
        <v>01-09</v>
      </c>
      <c r="R5470" t="str">
        <f t="shared" si="171"/>
        <v>[AZyWpGzhcaA]|01-09|Male|PLHIV_Attend.T|CY2024Q3</v>
      </c>
    </row>
    <row r="5471" spans="4:18" x14ac:dyDescent="0.2">
      <c r="D5471" t="s">
        <v>89</v>
      </c>
      <c r="E5471" t="s">
        <v>90</v>
      </c>
      <c r="F5471" t="s">
        <v>91</v>
      </c>
      <c r="G5471" t="s">
        <v>167</v>
      </c>
      <c r="H5471" t="s">
        <v>167</v>
      </c>
      <c r="I5471" t="s">
        <v>35</v>
      </c>
      <c r="J5471" t="s">
        <v>36</v>
      </c>
      <c r="K5471" t="s">
        <v>47</v>
      </c>
      <c r="L5471" t="s">
        <v>48</v>
      </c>
      <c r="M5471" t="s">
        <v>166</v>
      </c>
      <c r="N5471">
        <v>1339</v>
      </c>
      <c r="O5471" s="14">
        <v>0.99633598932996403</v>
      </c>
      <c r="P5471" s="14">
        <v>0.71991415042430196</v>
      </c>
      <c r="Q5471" t="str">
        <f t="shared" si="170"/>
        <v>10-14</v>
      </c>
      <c r="R5471" t="str">
        <f t="shared" si="171"/>
        <v>[AZyWpGzhcaA]|10-14|Male|PLHIV_Attend.T|CY2024Q3</v>
      </c>
    </row>
    <row r="5472" spans="4:18" x14ac:dyDescent="0.2">
      <c r="D5472" t="s">
        <v>89</v>
      </c>
      <c r="E5472" t="s">
        <v>90</v>
      </c>
      <c r="F5472" t="s">
        <v>91</v>
      </c>
      <c r="G5472" t="s">
        <v>167</v>
      </c>
      <c r="H5472" t="s">
        <v>167</v>
      </c>
      <c r="I5472" t="s">
        <v>37</v>
      </c>
      <c r="J5472" t="s">
        <v>38</v>
      </c>
      <c r="K5472" t="s">
        <v>47</v>
      </c>
      <c r="L5472" t="s">
        <v>48</v>
      </c>
      <c r="M5472" t="s">
        <v>166</v>
      </c>
      <c r="N5472">
        <v>1119</v>
      </c>
      <c r="O5472" s="14">
        <v>0.94431953784078404</v>
      </c>
      <c r="P5472" s="14">
        <v>0.71991415042430196</v>
      </c>
      <c r="Q5472" t="str">
        <f t="shared" si="170"/>
        <v>15-24</v>
      </c>
      <c r="R5472" t="str">
        <f t="shared" si="171"/>
        <v>[AZyWpGzhcaA]|15-24|Male|PLHIV_Attend.T|CY2024Q3</v>
      </c>
    </row>
    <row r="5473" spans="4:18" x14ac:dyDescent="0.2">
      <c r="D5473" t="s">
        <v>89</v>
      </c>
      <c r="E5473" t="s">
        <v>90</v>
      </c>
      <c r="F5473" t="s">
        <v>91</v>
      </c>
      <c r="G5473" t="s">
        <v>167</v>
      </c>
      <c r="H5473" t="s">
        <v>167</v>
      </c>
      <c r="I5473" t="s">
        <v>40</v>
      </c>
      <c r="J5473" t="s">
        <v>41</v>
      </c>
      <c r="K5473" t="s">
        <v>47</v>
      </c>
      <c r="L5473" t="s">
        <v>48</v>
      </c>
      <c r="M5473" t="s">
        <v>166</v>
      </c>
      <c r="N5473">
        <v>888</v>
      </c>
      <c r="O5473" s="14">
        <v>0.540210059611127</v>
      </c>
      <c r="P5473" s="14">
        <v>0.71991415042430196</v>
      </c>
      <c r="Q5473" t="str">
        <f t="shared" si="170"/>
        <v>25-34</v>
      </c>
      <c r="R5473" t="str">
        <f t="shared" si="171"/>
        <v>[AZyWpGzhcaA]|25-34|Male|PLHIV_Attend.T|CY2024Q3</v>
      </c>
    </row>
    <row r="5474" spans="4:18" x14ac:dyDescent="0.2">
      <c r="D5474" t="s">
        <v>89</v>
      </c>
      <c r="E5474" t="s">
        <v>90</v>
      </c>
      <c r="F5474" t="s">
        <v>91</v>
      </c>
      <c r="G5474" t="s">
        <v>167</v>
      </c>
      <c r="H5474" t="s">
        <v>167</v>
      </c>
      <c r="I5474" t="s">
        <v>42</v>
      </c>
      <c r="J5474" t="s">
        <v>43</v>
      </c>
      <c r="K5474" t="s">
        <v>47</v>
      </c>
      <c r="L5474" t="s">
        <v>48</v>
      </c>
      <c r="M5474" t="s">
        <v>166</v>
      </c>
      <c r="N5474">
        <v>878</v>
      </c>
      <c r="O5474" s="14">
        <v>0.86892762687057301</v>
      </c>
      <c r="P5474" s="14">
        <v>0.71991415042430196</v>
      </c>
      <c r="Q5474" t="str">
        <f t="shared" si="170"/>
        <v>35-49</v>
      </c>
      <c r="R5474" t="str">
        <f t="shared" si="171"/>
        <v>[AZyWpGzhcaA]|35-49|Male|PLHIV_Attend.T|CY2024Q3</v>
      </c>
    </row>
    <row r="5475" spans="4:18" x14ac:dyDescent="0.2">
      <c r="D5475" t="s">
        <v>89</v>
      </c>
      <c r="E5475" t="s">
        <v>90</v>
      </c>
      <c r="F5475" t="s">
        <v>91</v>
      </c>
      <c r="G5475" t="s">
        <v>167</v>
      </c>
      <c r="H5475" t="s">
        <v>167</v>
      </c>
      <c r="I5475" t="s">
        <v>44</v>
      </c>
      <c r="J5475" t="s">
        <v>45</v>
      </c>
      <c r="K5475" t="s">
        <v>47</v>
      </c>
      <c r="L5475" t="s">
        <v>48</v>
      </c>
      <c r="M5475" t="s">
        <v>166</v>
      </c>
      <c r="N5475">
        <v>997</v>
      </c>
      <c r="O5475" s="14">
        <v>0.130230205599219</v>
      </c>
      <c r="P5475" s="14">
        <v>0.71991415042430196</v>
      </c>
      <c r="Q5475" t="str">
        <f t="shared" si="170"/>
        <v>50+</v>
      </c>
      <c r="R5475" t="str">
        <f t="shared" si="171"/>
        <v>[AZyWpGzhcaA]|50+|Male|PLHIV_Attend.T|CY2024Q3</v>
      </c>
    </row>
    <row r="5476" spans="4:18" x14ac:dyDescent="0.2">
      <c r="D5476" t="s">
        <v>92</v>
      </c>
      <c r="E5476" t="s">
        <v>93</v>
      </c>
      <c r="F5476" t="s">
        <v>94</v>
      </c>
      <c r="G5476" t="s">
        <v>167</v>
      </c>
      <c r="H5476" t="s">
        <v>167</v>
      </c>
      <c r="I5476" t="s">
        <v>27</v>
      </c>
      <c r="J5476" t="s">
        <v>28</v>
      </c>
      <c r="K5476" t="s">
        <v>29</v>
      </c>
      <c r="L5476" t="s">
        <v>30</v>
      </c>
      <c r="M5476" t="s">
        <v>166</v>
      </c>
      <c r="N5476">
        <v>1778</v>
      </c>
      <c r="O5476" s="14">
        <v>0.84008104493841496</v>
      </c>
      <c r="P5476" s="14">
        <v>0.36227229656651599</v>
      </c>
      <c r="Q5476" t="str">
        <f t="shared" si="170"/>
        <v>&lt;01</v>
      </c>
      <c r="R5476" t="str">
        <f t="shared" si="171"/>
        <v>[umc2n1Z4wNv]|&lt;01|Female|PLHIV_Attend.T|CY2024Q3</v>
      </c>
    </row>
    <row r="5477" spans="4:18" x14ac:dyDescent="0.2">
      <c r="D5477" t="s">
        <v>92</v>
      </c>
      <c r="E5477" t="s">
        <v>93</v>
      </c>
      <c r="F5477" t="s">
        <v>94</v>
      </c>
      <c r="G5477" t="s">
        <v>167</v>
      </c>
      <c r="H5477" t="s">
        <v>167</v>
      </c>
      <c r="I5477" t="s">
        <v>32</v>
      </c>
      <c r="J5477" t="s">
        <v>33</v>
      </c>
      <c r="K5477" t="s">
        <v>29</v>
      </c>
      <c r="L5477" t="s">
        <v>30</v>
      </c>
      <c r="M5477" t="s">
        <v>166</v>
      </c>
      <c r="N5477">
        <v>646</v>
      </c>
      <c r="O5477" s="14">
        <v>0.25339771201834099</v>
      </c>
      <c r="P5477" s="14">
        <v>0.36227229656651599</v>
      </c>
      <c r="Q5477" t="str">
        <f t="shared" si="170"/>
        <v>01-09</v>
      </c>
      <c r="R5477" t="str">
        <f t="shared" si="171"/>
        <v>[umc2n1Z4wNv]|01-09|Female|PLHIV_Attend.T|CY2024Q3</v>
      </c>
    </row>
    <row r="5478" spans="4:18" x14ac:dyDescent="0.2">
      <c r="D5478" t="s">
        <v>92</v>
      </c>
      <c r="E5478" t="s">
        <v>93</v>
      </c>
      <c r="F5478" t="s">
        <v>94</v>
      </c>
      <c r="G5478" t="s">
        <v>167</v>
      </c>
      <c r="H5478" t="s">
        <v>167</v>
      </c>
      <c r="I5478" t="s">
        <v>35</v>
      </c>
      <c r="J5478" t="s">
        <v>36</v>
      </c>
      <c r="K5478" t="s">
        <v>29</v>
      </c>
      <c r="L5478" t="s">
        <v>30</v>
      </c>
      <c r="M5478" t="s">
        <v>166</v>
      </c>
      <c r="N5478">
        <v>893</v>
      </c>
      <c r="O5478" s="14">
        <v>0.51984453666955199</v>
      </c>
      <c r="P5478" s="14">
        <v>0.36227229656651599</v>
      </c>
      <c r="Q5478" t="str">
        <f t="shared" si="170"/>
        <v>10-14</v>
      </c>
      <c r="R5478" t="str">
        <f t="shared" si="171"/>
        <v>[umc2n1Z4wNv]|10-14|Female|PLHIV_Attend.T|CY2024Q3</v>
      </c>
    </row>
    <row r="5479" spans="4:18" x14ac:dyDescent="0.2">
      <c r="D5479" t="s">
        <v>92</v>
      </c>
      <c r="E5479" t="s">
        <v>93</v>
      </c>
      <c r="F5479" t="s">
        <v>94</v>
      </c>
      <c r="G5479" t="s">
        <v>167</v>
      </c>
      <c r="H5479" t="s">
        <v>167</v>
      </c>
      <c r="I5479" t="s">
        <v>37</v>
      </c>
      <c r="J5479" t="s">
        <v>38</v>
      </c>
      <c r="K5479" t="s">
        <v>29</v>
      </c>
      <c r="L5479" t="s">
        <v>30</v>
      </c>
      <c r="M5479" t="s">
        <v>166</v>
      </c>
      <c r="N5479">
        <v>1287</v>
      </c>
      <c r="O5479" s="14">
        <v>0.75486982660368096</v>
      </c>
      <c r="P5479" s="14">
        <v>0.36227229656651599</v>
      </c>
      <c r="Q5479" t="str">
        <f t="shared" si="170"/>
        <v>15-24</v>
      </c>
      <c r="R5479" t="str">
        <f t="shared" si="171"/>
        <v>[umc2n1Z4wNv]|15-24|Female|PLHIV_Attend.T|CY2024Q3</v>
      </c>
    </row>
    <row r="5480" spans="4:18" x14ac:dyDescent="0.2">
      <c r="D5480" t="s">
        <v>92</v>
      </c>
      <c r="E5480" t="s">
        <v>93</v>
      </c>
      <c r="F5480" t="s">
        <v>94</v>
      </c>
      <c r="G5480" t="s">
        <v>167</v>
      </c>
      <c r="H5480" t="s">
        <v>167</v>
      </c>
      <c r="I5480" t="s">
        <v>40</v>
      </c>
      <c r="J5480" t="s">
        <v>41</v>
      </c>
      <c r="K5480" t="s">
        <v>29</v>
      </c>
      <c r="L5480" t="s">
        <v>30</v>
      </c>
      <c r="M5480" t="s">
        <v>166</v>
      </c>
      <c r="N5480">
        <v>1901</v>
      </c>
      <c r="O5480" s="14">
        <v>0.26112303626723599</v>
      </c>
      <c r="P5480" s="14">
        <v>0.36227229656651599</v>
      </c>
      <c r="Q5480" t="str">
        <f t="shared" si="170"/>
        <v>25-34</v>
      </c>
      <c r="R5480" t="str">
        <f t="shared" si="171"/>
        <v>[umc2n1Z4wNv]|25-34|Female|PLHIV_Attend.T|CY2024Q3</v>
      </c>
    </row>
    <row r="5481" spans="4:18" x14ac:dyDescent="0.2">
      <c r="D5481" t="s">
        <v>92</v>
      </c>
      <c r="E5481" t="s">
        <v>93</v>
      </c>
      <c r="F5481" t="s">
        <v>94</v>
      </c>
      <c r="G5481" t="s">
        <v>167</v>
      </c>
      <c r="H5481" t="s">
        <v>167</v>
      </c>
      <c r="I5481" t="s">
        <v>42</v>
      </c>
      <c r="J5481" t="s">
        <v>43</v>
      </c>
      <c r="K5481" t="s">
        <v>29</v>
      </c>
      <c r="L5481" t="s">
        <v>30</v>
      </c>
      <c r="M5481" t="s">
        <v>166</v>
      </c>
      <c r="N5481">
        <v>1124</v>
      </c>
      <c r="O5481" s="14">
        <v>0.99232675111852597</v>
      </c>
      <c r="P5481" s="14">
        <v>0.36227229656651599</v>
      </c>
      <c r="Q5481" t="str">
        <f t="shared" si="170"/>
        <v>35-49</v>
      </c>
      <c r="R5481" t="str">
        <f t="shared" si="171"/>
        <v>[umc2n1Z4wNv]|35-49|Female|PLHIV_Attend.T|CY2024Q3</v>
      </c>
    </row>
    <row r="5482" spans="4:18" x14ac:dyDescent="0.2">
      <c r="D5482" t="s">
        <v>92</v>
      </c>
      <c r="E5482" t="s">
        <v>93</v>
      </c>
      <c r="F5482" t="s">
        <v>94</v>
      </c>
      <c r="G5482" t="s">
        <v>167</v>
      </c>
      <c r="H5482" t="s">
        <v>167</v>
      </c>
      <c r="I5482" t="s">
        <v>44</v>
      </c>
      <c r="J5482" t="s">
        <v>45</v>
      </c>
      <c r="K5482" t="s">
        <v>29</v>
      </c>
      <c r="L5482" t="s">
        <v>30</v>
      </c>
      <c r="M5482" t="s">
        <v>166</v>
      </c>
      <c r="N5482">
        <v>1538</v>
      </c>
      <c r="O5482" s="14">
        <v>0.66588250780478098</v>
      </c>
      <c r="P5482" s="14">
        <v>0.36227229656651599</v>
      </c>
      <c r="Q5482" t="str">
        <f t="shared" si="170"/>
        <v>50+</v>
      </c>
      <c r="R5482" t="str">
        <f t="shared" si="171"/>
        <v>[umc2n1Z4wNv]|50+|Female|PLHIV_Attend.T|CY2024Q3</v>
      </c>
    </row>
    <row r="5483" spans="4:18" x14ac:dyDescent="0.2">
      <c r="D5483" t="s">
        <v>92</v>
      </c>
      <c r="E5483" t="s">
        <v>93</v>
      </c>
      <c r="F5483" t="s">
        <v>94</v>
      </c>
      <c r="G5483" t="s">
        <v>167</v>
      </c>
      <c r="H5483" t="s">
        <v>167</v>
      </c>
      <c r="I5483" t="s">
        <v>27</v>
      </c>
      <c r="J5483" t="s">
        <v>28</v>
      </c>
      <c r="K5483" t="s">
        <v>47</v>
      </c>
      <c r="L5483" t="s">
        <v>48</v>
      </c>
      <c r="M5483" t="s">
        <v>166</v>
      </c>
      <c r="N5483">
        <v>1856</v>
      </c>
      <c r="O5483" s="14">
        <v>0.47588654025457799</v>
      </c>
      <c r="P5483" s="14">
        <v>0.36227229656651599</v>
      </c>
      <c r="Q5483" t="str">
        <f t="shared" si="170"/>
        <v>&lt;01</v>
      </c>
      <c r="R5483" t="str">
        <f t="shared" si="171"/>
        <v>[umc2n1Z4wNv]|&lt;01|Male|PLHIV_Attend.T|CY2024Q3</v>
      </c>
    </row>
    <row r="5484" spans="4:18" x14ac:dyDescent="0.2">
      <c r="D5484" t="s">
        <v>92</v>
      </c>
      <c r="E5484" t="s">
        <v>93</v>
      </c>
      <c r="F5484" t="s">
        <v>94</v>
      </c>
      <c r="G5484" t="s">
        <v>167</v>
      </c>
      <c r="H5484" t="s">
        <v>167</v>
      </c>
      <c r="I5484" t="s">
        <v>32</v>
      </c>
      <c r="J5484" t="s">
        <v>33</v>
      </c>
      <c r="K5484" t="s">
        <v>47</v>
      </c>
      <c r="L5484" t="s">
        <v>48</v>
      </c>
      <c r="M5484" t="s">
        <v>166</v>
      </c>
      <c r="N5484">
        <v>1130</v>
      </c>
      <c r="O5484" s="14">
        <v>7.0684174541383996E-2</v>
      </c>
      <c r="P5484" s="14">
        <v>0.36227229656651599</v>
      </c>
      <c r="Q5484" t="str">
        <f t="shared" si="170"/>
        <v>01-09</v>
      </c>
      <c r="R5484" t="str">
        <f t="shared" si="171"/>
        <v>[umc2n1Z4wNv]|01-09|Male|PLHIV_Attend.T|CY2024Q3</v>
      </c>
    </row>
    <row r="5485" spans="4:18" x14ac:dyDescent="0.2">
      <c r="D5485" t="s">
        <v>92</v>
      </c>
      <c r="E5485" t="s">
        <v>93</v>
      </c>
      <c r="F5485" t="s">
        <v>94</v>
      </c>
      <c r="G5485" t="s">
        <v>167</v>
      </c>
      <c r="H5485" t="s">
        <v>167</v>
      </c>
      <c r="I5485" t="s">
        <v>35</v>
      </c>
      <c r="J5485" t="s">
        <v>36</v>
      </c>
      <c r="K5485" t="s">
        <v>47</v>
      </c>
      <c r="L5485" t="s">
        <v>48</v>
      </c>
      <c r="M5485" t="s">
        <v>166</v>
      </c>
      <c r="N5485">
        <v>1606</v>
      </c>
      <c r="O5485" s="14">
        <v>0.168623354984447</v>
      </c>
      <c r="P5485" s="14">
        <v>0.36227229656651599</v>
      </c>
      <c r="Q5485" t="str">
        <f t="shared" si="170"/>
        <v>10-14</v>
      </c>
      <c r="R5485" t="str">
        <f t="shared" si="171"/>
        <v>[umc2n1Z4wNv]|10-14|Male|PLHIV_Attend.T|CY2024Q3</v>
      </c>
    </row>
    <row r="5486" spans="4:18" x14ac:dyDescent="0.2">
      <c r="D5486" t="s">
        <v>92</v>
      </c>
      <c r="E5486" t="s">
        <v>93</v>
      </c>
      <c r="F5486" t="s">
        <v>94</v>
      </c>
      <c r="G5486" t="s">
        <v>167</v>
      </c>
      <c r="H5486" t="s">
        <v>167</v>
      </c>
      <c r="I5486" t="s">
        <v>37</v>
      </c>
      <c r="J5486" t="s">
        <v>38</v>
      </c>
      <c r="K5486" t="s">
        <v>47</v>
      </c>
      <c r="L5486" t="s">
        <v>48</v>
      </c>
      <c r="M5486" t="s">
        <v>166</v>
      </c>
      <c r="N5486">
        <v>1414</v>
      </c>
      <c r="O5486" s="14">
        <v>0.66926788398995996</v>
      </c>
      <c r="P5486" s="14">
        <v>0.36227229656651599</v>
      </c>
      <c r="Q5486" t="str">
        <f t="shared" si="170"/>
        <v>15-24</v>
      </c>
      <c r="R5486" t="str">
        <f t="shared" si="171"/>
        <v>[umc2n1Z4wNv]|15-24|Male|PLHIV_Attend.T|CY2024Q3</v>
      </c>
    </row>
    <row r="5487" spans="4:18" x14ac:dyDescent="0.2">
      <c r="D5487" t="s">
        <v>92</v>
      </c>
      <c r="E5487" t="s">
        <v>93</v>
      </c>
      <c r="F5487" t="s">
        <v>94</v>
      </c>
      <c r="G5487" t="s">
        <v>167</v>
      </c>
      <c r="H5487" t="s">
        <v>167</v>
      </c>
      <c r="I5487" t="s">
        <v>40</v>
      </c>
      <c r="J5487" t="s">
        <v>41</v>
      </c>
      <c r="K5487" t="s">
        <v>47</v>
      </c>
      <c r="L5487" t="s">
        <v>48</v>
      </c>
      <c r="M5487" t="s">
        <v>166</v>
      </c>
      <c r="N5487">
        <v>1662</v>
      </c>
      <c r="O5487" s="14">
        <v>0.94136425131000601</v>
      </c>
      <c r="P5487" s="14">
        <v>0.36227229656651599</v>
      </c>
      <c r="Q5487" t="str">
        <f t="shared" si="170"/>
        <v>25-34</v>
      </c>
      <c r="R5487" t="str">
        <f t="shared" si="171"/>
        <v>[umc2n1Z4wNv]|25-34|Male|PLHIV_Attend.T|CY2024Q3</v>
      </c>
    </row>
    <row r="5488" spans="4:18" x14ac:dyDescent="0.2">
      <c r="D5488" t="s">
        <v>92</v>
      </c>
      <c r="E5488" t="s">
        <v>93</v>
      </c>
      <c r="F5488" t="s">
        <v>94</v>
      </c>
      <c r="G5488" t="s">
        <v>167</v>
      </c>
      <c r="H5488" t="s">
        <v>167</v>
      </c>
      <c r="I5488" t="s">
        <v>42</v>
      </c>
      <c r="J5488" t="s">
        <v>43</v>
      </c>
      <c r="K5488" t="s">
        <v>47</v>
      </c>
      <c r="L5488" t="s">
        <v>48</v>
      </c>
      <c r="M5488" t="s">
        <v>166</v>
      </c>
      <c r="N5488">
        <v>1856</v>
      </c>
      <c r="O5488" s="14">
        <v>0.53646481456235096</v>
      </c>
      <c r="P5488" s="14">
        <v>0.36227229656651599</v>
      </c>
      <c r="Q5488" t="str">
        <f t="shared" si="170"/>
        <v>35-49</v>
      </c>
      <c r="R5488" t="str">
        <f t="shared" si="171"/>
        <v>[umc2n1Z4wNv]|35-49|Male|PLHIV_Attend.T|CY2024Q3</v>
      </c>
    </row>
    <row r="5489" spans="4:18" x14ac:dyDescent="0.2">
      <c r="D5489" t="s">
        <v>92</v>
      </c>
      <c r="E5489" t="s">
        <v>93</v>
      </c>
      <c r="F5489" t="s">
        <v>94</v>
      </c>
      <c r="G5489" t="s">
        <v>167</v>
      </c>
      <c r="H5489" t="s">
        <v>167</v>
      </c>
      <c r="I5489" t="s">
        <v>44</v>
      </c>
      <c r="J5489" t="s">
        <v>45</v>
      </c>
      <c r="K5489" t="s">
        <v>47</v>
      </c>
      <c r="L5489" t="s">
        <v>48</v>
      </c>
      <c r="M5489" t="s">
        <v>166</v>
      </c>
      <c r="N5489">
        <v>1401</v>
      </c>
      <c r="O5489" s="14">
        <v>0.45656031719408902</v>
      </c>
      <c r="P5489" s="14">
        <v>0.36227229656651599</v>
      </c>
      <c r="Q5489" t="str">
        <f t="shared" si="170"/>
        <v>50+</v>
      </c>
      <c r="R5489" t="str">
        <f t="shared" si="171"/>
        <v>[umc2n1Z4wNv]|50+|Male|PLHIV_Attend.T|CY2024Q3</v>
      </c>
    </row>
    <row r="5490" spans="4:18" x14ac:dyDescent="0.2">
      <c r="D5490" t="s">
        <v>95</v>
      </c>
      <c r="E5490" t="s">
        <v>96</v>
      </c>
      <c r="F5490" t="s">
        <v>97</v>
      </c>
      <c r="G5490" t="s">
        <v>167</v>
      </c>
      <c r="H5490" t="s">
        <v>167</v>
      </c>
      <c r="I5490" t="s">
        <v>27</v>
      </c>
      <c r="J5490" t="s">
        <v>28</v>
      </c>
      <c r="K5490" t="s">
        <v>29</v>
      </c>
      <c r="L5490" t="s">
        <v>30</v>
      </c>
      <c r="M5490" t="s">
        <v>166</v>
      </c>
      <c r="N5490">
        <v>1245</v>
      </c>
      <c r="O5490" s="14">
        <v>0.84937099087983403</v>
      </c>
      <c r="P5490" s="14">
        <v>0.60125171788968101</v>
      </c>
      <c r="Q5490" t="str">
        <f t="shared" si="170"/>
        <v>&lt;01</v>
      </c>
      <c r="R5490" t="str">
        <f t="shared" si="171"/>
        <v>[gwVYinjBAe9]|&lt;01|Female|PLHIV_Attend.T|CY2024Q3</v>
      </c>
    </row>
    <row r="5491" spans="4:18" x14ac:dyDescent="0.2">
      <c r="D5491" t="s">
        <v>95</v>
      </c>
      <c r="E5491" t="s">
        <v>96</v>
      </c>
      <c r="F5491" t="s">
        <v>97</v>
      </c>
      <c r="G5491" t="s">
        <v>167</v>
      </c>
      <c r="H5491" t="s">
        <v>167</v>
      </c>
      <c r="I5491" t="s">
        <v>32</v>
      </c>
      <c r="J5491" t="s">
        <v>33</v>
      </c>
      <c r="K5491" t="s">
        <v>29</v>
      </c>
      <c r="L5491" t="s">
        <v>30</v>
      </c>
      <c r="M5491" t="s">
        <v>166</v>
      </c>
      <c r="N5491">
        <v>1847</v>
      </c>
      <c r="O5491" s="14">
        <v>0.87227183114737294</v>
      </c>
      <c r="P5491" s="14">
        <v>0.60125171788968101</v>
      </c>
      <c r="Q5491" t="str">
        <f t="shared" si="170"/>
        <v>01-09</v>
      </c>
      <c r="R5491" t="str">
        <f t="shared" si="171"/>
        <v>[gwVYinjBAe9]|01-09|Female|PLHIV_Attend.T|CY2024Q3</v>
      </c>
    </row>
    <row r="5492" spans="4:18" x14ac:dyDescent="0.2">
      <c r="D5492" t="s">
        <v>95</v>
      </c>
      <c r="E5492" t="s">
        <v>96</v>
      </c>
      <c r="F5492" t="s">
        <v>97</v>
      </c>
      <c r="G5492" t="s">
        <v>167</v>
      </c>
      <c r="H5492" t="s">
        <v>167</v>
      </c>
      <c r="I5492" t="s">
        <v>35</v>
      </c>
      <c r="J5492" t="s">
        <v>36</v>
      </c>
      <c r="K5492" t="s">
        <v>29</v>
      </c>
      <c r="L5492" t="s">
        <v>30</v>
      </c>
      <c r="M5492" t="s">
        <v>166</v>
      </c>
      <c r="N5492">
        <v>734</v>
      </c>
      <c r="O5492" s="14">
        <v>0.34597235312685398</v>
      </c>
      <c r="P5492" s="14">
        <v>0.60125171788968101</v>
      </c>
      <c r="Q5492" t="str">
        <f t="shared" si="170"/>
        <v>10-14</v>
      </c>
      <c r="R5492" t="str">
        <f t="shared" si="171"/>
        <v>[gwVYinjBAe9]|10-14|Female|PLHIV_Attend.T|CY2024Q3</v>
      </c>
    </row>
    <row r="5493" spans="4:18" x14ac:dyDescent="0.2">
      <c r="D5493" t="s">
        <v>95</v>
      </c>
      <c r="E5493" t="s">
        <v>96</v>
      </c>
      <c r="F5493" t="s">
        <v>97</v>
      </c>
      <c r="G5493" t="s">
        <v>167</v>
      </c>
      <c r="H5493" t="s">
        <v>167</v>
      </c>
      <c r="I5493" t="s">
        <v>37</v>
      </c>
      <c r="J5493" t="s">
        <v>38</v>
      </c>
      <c r="K5493" t="s">
        <v>29</v>
      </c>
      <c r="L5493" t="s">
        <v>30</v>
      </c>
      <c r="M5493" t="s">
        <v>166</v>
      </c>
      <c r="N5493">
        <v>947</v>
      </c>
      <c r="O5493" s="14">
        <v>0.95852335705421898</v>
      </c>
      <c r="P5493" s="14">
        <v>0.60125171788968101</v>
      </c>
      <c r="Q5493" t="str">
        <f t="shared" si="170"/>
        <v>15-24</v>
      </c>
      <c r="R5493" t="str">
        <f t="shared" si="171"/>
        <v>[gwVYinjBAe9]|15-24|Female|PLHIV_Attend.T|CY2024Q3</v>
      </c>
    </row>
    <row r="5494" spans="4:18" x14ac:dyDescent="0.2">
      <c r="D5494" t="s">
        <v>95</v>
      </c>
      <c r="E5494" t="s">
        <v>96</v>
      </c>
      <c r="F5494" t="s">
        <v>97</v>
      </c>
      <c r="G5494" t="s">
        <v>167</v>
      </c>
      <c r="H5494" t="s">
        <v>167</v>
      </c>
      <c r="I5494" t="s">
        <v>40</v>
      </c>
      <c r="J5494" t="s">
        <v>41</v>
      </c>
      <c r="K5494" t="s">
        <v>29</v>
      </c>
      <c r="L5494" t="s">
        <v>30</v>
      </c>
      <c r="M5494" t="s">
        <v>166</v>
      </c>
      <c r="N5494">
        <v>1572</v>
      </c>
      <c r="O5494" s="14">
        <v>0.48562690149992699</v>
      </c>
      <c r="P5494" s="14">
        <v>0.60125171788968101</v>
      </c>
      <c r="Q5494" t="str">
        <f t="shared" si="170"/>
        <v>25-34</v>
      </c>
      <c r="R5494" t="str">
        <f t="shared" si="171"/>
        <v>[gwVYinjBAe9]|25-34|Female|PLHIV_Attend.T|CY2024Q3</v>
      </c>
    </row>
    <row r="5495" spans="4:18" x14ac:dyDescent="0.2">
      <c r="D5495" t="s">
        <v>95</v>
      </c>
      <c r="E5495" t="s">
        <v>96</v>
      </c>
      <c r="F5495" t="s">
        <v>97</v>
      </c>
      <c r="G5495" t="s">
        <v>167</v>
      </c>
      <c r="H5495" t="s">
        <v>167</v>
      </c>
      <c r="I5495" t="s">
        <v>42</v>
      </c>
      <c r="J5495" t="s">
        <v>43</v>
      </c>
      <c r="K5495" t="s">
        <v>29</v>
      </c>
      <c r="L5495" t="s">
        <v>30</v>
      </c>
      <c r="M5495" t="s">
        <v>166</v>
      </c>
      <c r="N5495">
        <v>572</v>
      </c>
      <c r="O5495" s="14">
        <v>0.61936060222797096</v>
      </c>
      <c r="P5495" s="14">
        <v>0.60125171788968101</v>
      </c>
      <c r="Q5495" t="str">
        <f t="shared" si="170"/>
        <v>35-49</v>
      </c>
      <c r="R5495" t="str">
        <f t="shared" si="171"/>
        <v>[gwVYinjBAe9]|35-49|Female|PLHIV_Attend.T|CY2024Q3</v>
      </c>
    </row>
    <row r="5496" spans="4:18" x14ac:dyDescent="0.2">
      <c r="D5496" t="s">
        <v>95</v>
      </c>
      <c r="E5496" t="s">
        <v>96</v>
      </c>
      <c r="F5496" t="s">
        <v>97</v>
      </c>
      <c r="G5496" t="s">
        <v>167</v>
      </c>
      <c r="H5496" t="s">
        <v>167</v>
      </c>
      <c r="I5496" t="s">
        <v>44</v>
      </c>
      <c r="J5496" t="s">
        <v>45</v>
      </c>
      <c r="K5496" t="s">
        <v>29</v>
      </c>
      <c r="L5496" t="s">
        <v>30</v>
      </c>
      <c r="M5496" t="s">
        <v>166</v>
      </c>
      <c r="N5496">
        <v>1347</v>
      </c>
      <c r="O5496" s="14">
        <v>2.74351488333195E-2</v>
      </c>
      <c r="P5496" s="14">
        <v>0.60125171788968101</v>
      </c>
      <c r="Q5496" t="str">
        <f t="shared" si="170"/>
        <v>50+</v>
      </c>
      <c r="R5496" t="str">
        <f t="shared" si="171"/>
        <v>[gwVYinjBAe9]|50+|Female|PLHIV_Attend.T|CY2024Q3</v>
      </c>
    </row>
    <row r="5497" spans="4:18" x14ac:dyDescent="0.2">
      <c r="D5497" t="s">
        <v>95</v>
      </c>
      <c r="E5497" t="s">
        <v>96</v>
      </c>
      <c r="F5497" t="s">
        <v>97</v>
      </c>
      <c r="G5497" t="s">
        <v>167</v>
      </c>
      <c r="H5497" t="s">
        <v>167</v>
      </c>
      <c r="I5497" t="s">
        <v>27</v>
      </c>
      <c r="J5497" t="s">
        <v>28</v>
      </c>
      <c r="K5497" t="s">
        <v>47</v>
      </c>
      <c r="L5497" t="s">
        <v>48</v>
      </c>
      <c r="M5497" t="s">
        <v>166</v>
      </c>
      <c r="N5497">
        <v>1809</v>
      </c>
      <c r="O5497" s="14">
        <v>7.3706462047994095E-2</v>
      </c>
      <c r="P5497" s="14">
        <v>0.60125171788968101</v>
      </c>
      <c r="Q5497" t="str">
        <f t="shared" si="170"/>
        <v>&lt;01</v>
      </c>
      <c r="R5497" t="str">
        <f t="shared" si="171"/>
        <v>[gwVYinjBAe9]|&lt;01|Male|PLHIV_Attend.T|CY2024Q3</v>
      </c>
    </row>
    <row r="5498" spans="4:18" x14ac:dyDescent="0.2">
      <c r="D5498" t="s">
        <v>95</v>
      </c>
      <c r="E5498" t="s">
        <v>96</v>
      </c>
      <c r="F5498" t="s">
        <v>97</v>
      </c>
      <c r="G5498" t="s">
        <v>167</v>
      </c>
      <c r="H5498" t="s">
        <v>167</v>
      </c>
      <c r="I5498" t="s">
        <v>32</v>
      </c>
      <c r="J5498" t="s">
        <v>33</v>
      </c>
      <c r="K5498" t="s">
        <v>47</v>
      </c>
      <c r="L5498" t="s">
        <v>48</v>
      </c>
      <c r="M5498" t="s">
        <v>166</v>
      </c>
      <c r="N5498">
        <v>1336</v>
      </c>
      <c r="O5498" s="14">
        <v>0.61927440622821495</v>
      </c>
      <c r="P5498" s="14">
        <v>0.60125171788968101</v>
      </c>
      <c r="Q5498" t="str">
        <f t="shared" si="170"/>
        <v>01-09</v>
      </c>
      <c r="R5498" t="str">
        <f t="shared" si="171"/>
        <v>[gwVYinjBAe9]|01-09|Male|PLHIV_Attend.T|CY2024Q3</v>
      </c>
    </row>
    <row r="5499" spans="4:18" x14ac:dyDescent="0.2">
      <c r="D5499" t="s">
        <v>95</v>
      </c>
      <c r="E5499" t="s">
        <v>96</v>
      </c>
      <c r="F5499" t="s">
        <v>97</v>
      </c>
      <c r="G5499" t="s">
        <v>167</v>
      </c>
      <c r="H5499" t="s">
        <v>167</v>
      </c>
      <c r="I5499" t="s">
        <v>35</v>
      </c>
      <c r="J5499" t="s">
        <v>36</v>
      </c>
      <c r="K5499" t="s">
        <v>47</v>
      </c>
      <c r="L5499" t="s">
        <v>48</v>
      </c>
      <c r="M5499" t="s">
        <v>166</v>
      </c>
      <c r="N5499">
        <v>1216</v>
      </c>
      <c r="O5499" s="14">
        <v>0.81384998396970298</v>
      </c>
      <c r="P5499" s="14">
        <v>0.60125171788968101</v>
      </c>
      <c r="Q5499" t="str">
        <f t="shared" si="170"/>
        <v>10-14</v>
      </c>
      <c r="R5499" t="str">
        <f t="shared" si="171"/>
        <v>[gwVYinjBAe9]|10-14|Male|PLHIV_Attend.T|CY2024Q3</v>
      </c>
    </row>
    <row r="5500" spans="4:18" x14ac:dyDescent="0.2">
      <c r="D5500" t="s">
        <v>95</v>
      </c>
      <c r="E5500" t="s">
        <v>96</v>
      </c>
      <c r="F5500" t="s">
        <v>97</v>
      </c>
      <c r="G5500" t="s">
        <v>167</v>
      </c>
      <c r="H5500" t="s">
        <v>167</v>
      </c>
      <c r="I5500" t="s">
        <v>37</v>
      </c>
      <c r="J5500" t="s">
        <v>38</v>
      </c>
      <c r="K5500" t="s">
        <v>47</v>
      </c>
      <c r="L5500" t="s">
        <v>48</v>
      </c>
      <c r="M5500" t="s">
        <v>166</v>
      </c>
      <c r="N5500">
        <v>1440</v>
      </c>
      <c r="O5500" s="14">
        <v>0.46387123293243299</v>
      </c>
      <c r="P5500" s="14">
        <v>0.60125171788968101</v>
      </c>
      <c r="Q5500" t="str">
        <f t="shared" si="170"/>
        <v>15-24</v>
      </c>
      <c r="R5500" t="str">
        <f t="shared" si="171"/>
        <v>[gwVYinjBAe9]|15-24|Male|PLHIV_Attend.T|CY2024Q3</v>
      </c>
    </row>
    <row r="5501" spans="4:18" x14ac:dyDescent="0.2">
      <c r="D5501" t="s">
        <v>95</v>
      </c>
      <c r="E5501" t="s">
        <v>96</v>
      </c>
      <c r="F5501" t="s">
        <v>97</v>
      </c>
      <c r="G5501" t="s">
        <v>167</v>
      </c>
      <c r="H5501" t="s">
        <v>167</v>
      </c>
      <c r="I5501" t="s">
        <v>40</v>
      </c>
      <c r="J5501" t="s">
        <v>41</v>
      </c>
      <c r="K5501" t="s">
        <v>47</v>
      </c>
      <c r="L5501" t="s">
        <v>48</v>
      </c>
      <c r="M5501" t="s">
        <v>166</v>
      </c>
      <c r="N5501">
        <v>1627</v>
      </c>
      <c r="O5501" s="14">
        <v>0.42992118233814802</v>
      </c>
      <c r="P5501" s="14">
        <v>0.60125171788968101</v>
      </c>
      <c r="Q5501" t="str">
        <f t="shared" si="170"/>
        <v>25-34</v>
      </c>
      <c r="R5501" t="str">
        <f t="shared" si="171"/>
        <v>[gwVYinjBAe9]|25-34|Male|PLHIV_Attend.T|CY2024Q3</v>
      </c>
    </row>
    <row r="5502" spans="4:18" x14ac:dyDescent="0.2">
      <c r="D5502" t="s">
        <v>95</v>
      </c>
      <c r="E5502" t="s">
        <v>96</v>
      </c>
      <c r="F5502" t="s">
        <v>97</v>
      </c>
      <c r="G5502" t="s">
        <v>167</v>
      </c>
      <c r="H5502" t="s">
        <v>167</v>
      </c>
      <c r="I5502" t="s">
        <v>42</v>
      </c>
      <c r="J5502" t="s">
        <v>43</v>
      </c>
      <c r="K5502" t="s">
        <v>47</v>
      </c>
      <c r="L5502" t="s">
        <v>48</v>
      </c>
      <c r="M5502" t="s">
        <v>166</v>
      </c>
      <c r="N5502">
        <v>911</v>
      </c>
      <c r="O5502" s="14">
        <v>0.113767368951812</v>
      </c>
      <c r="P5502" s="14">
        <v>0.60125171788968101</v>
      </c>
      <c r="Q5502" t="str">
        <f t="shared" si="170"/>
        <v>35-49</v>
      </c>
      <c r="R5502" t="str">
        <f t="shared" si="171"/>
        <v>[gwVYinjBAe9]|35-49|Male|PLHIV_Attend.T|CY2024Q3</v>
      </c>
    </row>
    <row r="5503" spans="4:18" x14ac:dyDescent="0.2">
      <c r="D5503" t="s">
        <v>95</v>
      </c>
      <c r="E5503" t="s">
        <v>96</v>
      </c>
      <c r="F5503" t="s">
        <v>97</v>
      </c>
      <c r="G5503" t="s">
        <v>167</v>
      </c>
      <c r="H5503" t="s">
        <v>167</v>
      </c>
      <c r="I5503" t="s">
        <v>44</v>
      </c>
      <c r="J5503" t="s">
        <v>45</v>
      </c>
      <c r="K5503" t="s">
        <v>47</v>
      </c>
      <c r="L5503" t="s">
        <v>48</v>
      </c>
      <c r="M5503" t="s">
        <v>166</v>
      </c>
      <c r="N5503">
        <v>1728</v>
      </c>
      <c r="O5503" s="14">
        <v>0.833722334355116</v>
      </c>
      <c r="P5503" s="14">
        <v>0.60125171788968101</v>
      </c>
      <c r="Q5503" t="str">
        <f t="shared" si="170"/>
        <v>50+</v>
      </c>
      <c r="R5503" t="str">
        <f t="shared" si="171"/>
        <v>[gwVYinjBAe9]|50+|Male|PLHIV_Attend.T|CY2024Q3</v>
      </c>
    </row>
    <row r="5504" spans="4:18" x14ac:dyDescent="0.2">
      <c r="D5504" t="s">
        <v>98</v>
      </c>
      <c r="E5504" t="s">
        <v>99</v>
      </c>
      <c r="F5504" t="s">
        <v>100</v>
      </c>
      <c r="G5504" t="s">
        <v>167</v>
      </c>
      <c r="H5504" t="s">
        <v>167</v>
      </c>
      <c r="I5504" t="s">
        <v>27</v>
      </c>
      <c r="J5504" t="s">
        <v>28</v>
      </c>
      <c r="K5504" t="s">
        <v>29</v>
      </c>
      <c r="L5504" t="s">
        <v>30</v>
      </c>
      <c r="M5504" t="s">
        <v>166</v>
      </c>
      <c r="N5504">
        <v>997</v>
      </c>
      <c r="O5504" s="14">
        <v>0.51618669182062105</v>
      </c>
      <c r="P5504" s="14">
        <v>0.57728803809732199</v>
      </c>
      <c r="Q5504" t="str">
        <f t="shared" si="170"/>
        <v>&lt;01</v>
      </c>
      <c r="R5504" t="str">
        <f t="shared" si="171"/>
        <v>[mxqa3CDFmIT]|&lt;01|Female|PLHIV_Attend.T|CY2024Q3</v>
      </c>
    </row>
    <row r="5505" spans="4:18" x14ac:dyDescent="0.2">
      <c r="D5505" t="s">
        <v>98</v>
      </c>
      <c r="E5505" t="s">
        <v>99</v>
      </c>
      <c r="F5505" t="s">
        <v>100</v>
      </c>
      <c r="G5505" t="s">
        <v>167</v>
      </c>
      <c r="H5505" t="s">
        <v>167</v>
      </c>
      <c r="I5505" t="s">
        <v>32</v>
      </c>
      <c r="J5505" t="s">
        <v>33</v>
      </c>
      <c r="K5505" t="s">
        <v>29</v>
      </c>
      <c r="L5505" t="s">
        <v>30</v>
      </c>
      <c r="M5505" t="s">
        <v>166</v>
      </c>
      <c r="N5505">
        <v>1762</v>
      </c>
      <c r="O5505" s="14">
        <v>0.87055903137661494</v>
      </c>
      <c r="P5505" s="14">
        <v>0.57728803809732199</v>
      </c>
      <c r="Q5505" t="str">
        <f t="shared" si="170"/>
        <v>01-09</v>
      </c>
      <c r="R5505" t="str">
        <f t="shared" si="171"/>
        <v>[mxqa3CDFmIT]|01-09|Female|PLHIV_Attend.T|CY2024Q3</v>
      </c>
    </row>
    <row r="5506" spans="4:18" x14ac:dyDescent="0.2">
      <c r="D5506" t="s">
        <v>98</v>
      </c>
      <c r="E5506" t="s">
        <v>99</v>
      </c>
      <c r="F5506" t="s">
        <v>100</v>
      </c>
      <c r="G5506" t="s">
        <v>167</v>
      </c>
      <c r="H5506" t="s">
        <v>167</v>
      </c>
      <c r="I5506" t="s">
        <v>35</v>
      </c>
      <c r="J5506" t="s">
        <v>36</v>
      </c>
      <c r="K5506" t="s">
        <v>29</v>
      </c>
      <c r="L5506" t="s">
        <v>30</v>
      </c>
      <c r="M5506" t="s">
        <v>166</v>
      </c>
      <c r="N5506">
        <v>834</v>
      </c>
      <c r="O5506" s="14">
        <v>0.19685229030437801</v>
      </c>
      <c r="P5506" s="14">
        <v>0.57728803809732199</v>
      </c>
      <c r="Q5506" t="str">
        <f t="shared" ref="Q5506:Q5569" si="172">SUBSTITUTE(SUBSTITUTE($I5506,CHAR(61),""),CHAR(34),"")</f>
        <v>10-14</v>
      </c>
      <c r="R5506" t="str">
        <f t="shared" ref="R5506:R5569" si="173">IF($D5506&lt;&gt;"","["&amp;$E5506&amp;"]"&amp;"|"&amp;$Q5506&amp;"|"&amp;$K5506&amp;"|"&amp;$G5506&amp;"|"&amp;IF($G5506="TX_CURR_SUBNAT.R","CY2022Q4",$M5506),"")</f>
        <v>[mxqa3CDFmIT]|10-14|Female|PLHIV_Attend.T|CY2024Q3</v>
      </c>
    </row>
    <row r="5507" spans="4:18" x14ac:dyDescent="0.2">
      <c r="D5507" t="s">
        <v>98</v>
      </c>
      <c r="E5507" t="s">
        <v>99</v>
      </c>
      <c r="F5507" t="s">
        <v>100</v>
      </c>
      <c r="G5507" t="s">
        <v>167</v>
      </c>
      <c r="H5507" t="s">
        <v>167</v>
      </c>
      <c r="I5507" t="s">
        <v>37</v>
      </c>
      <c r="J5507" t="s">
        <v>38</v>
      </c>
      <c r="K5507" t="s">
        <v>29</v>
      </c>
      <c r="L5507" t="s">
        <v>30</v>
      </c>
      <c r="M5507" t="s">
        <v>166</v>
      </c>
      <c r="N5507">
        <v>964</v>
      </c>
      <c r="O5507" s="14">
        <v>0.85301555483601998</v>
      </c>
      <c r="P5507" s="14">
        <v>0.57728803809732199</v>
      </c>
      <c r="Q5507" t="str">
        <f t="shared" si="172"/>
        <v>15-24</v>
      </c>
      <c r="R5507" t="str">
        <f t="shared" si="173"/>
        <v>[mxqa3CDFmIT]|15-24|Female|PLHIV_Attend.T|CY2024Q3</v>
      </c>
    </row>
    <row r="5508" spans="4:18" x14ac:dyDescent="0.2">
      <c r="D5508" t="s">
        <v>98</v>
      </c>
      <c r="E5508" t="s">
        <v>99</v>
      </c>
      <c r="F5508" t="s">
        <v>100</v>
      </c>
      <c r="G5508" t="s">
        <v>167</v>
      </c>
      <c r="H5508" t="s">
        <v>167</v>
      </c>
      <c r="I5508" t="s">
        <v>40</v>
      </c>
      <c r="J5508" t="s">
        <v>41</v>
      </c>
      <c r="K5508" t="s">
        <v>29</v>
      </c>
      <c r="L5508" t="s">
        <v>30</v>
      </c>
      <c r="M5508" t="s">
        <v>166</v>
      </c>
      <c r="N5508">
        <v>561</v>
      </c>
      <c r="O5508" s="14">
        <v>0.244515017606318</v>
      </c>
      <c r="P5508" s="14">
        <v>0.57728803809732199</v>
      </c>
      <c r="Q5508" t="str">
        <f t="shared" si="172"/>
        <v>25-34</v>
      </c>
      <c r="R5508" t="str">
        <f t="shared" si="173"/>
        <v>[mxqa3CDFmIT]|25-34|Female|PLHIV_Attend.T|CY2024Q3</v>
      </c>
    </row>
    <row r="5509" spans="4:18" x14ac:dyDescent="0.2">
      <c r="D5509" t="s">
        <v>98</v>
      </c>
      <c r="E5509" t="s">
        <v>99</v>
      </c>
      <c r="F5509" t="s">
        <v>100</v>
      </c>
      <c r="G5509" t="s">
        <v>167</v>
      </c>
      <c r="H5509" t="s">
        <v>167</v>
      </c>
      <c r="I5509" t="s">
        <v>42</v>
      </c>
      <c r="J5509" t="s">
        <v>43</v>
      </c>
      <c r="K5509" t="s">
        <v>29</v>
      </c>
      <c r="L5509" t="s">
        <v>30</v>
      </c>
      <c r="M5509" t="s">
        <v>166</v>
      </c>
      <c r="N5509">
        <v>1689</v>
      </c>
      <c r="O5509" s="14">
        <v>0.224225683370605</v>
      </c>
      <c r="P5509" s="14">
        <v>0.57728803809732199</v>
      </c>
      <c r="Q5509" t="str">
        <f t="shared" si="172"/>
        <v>35-49</v>
      </c>
      <c r="R5509" t="str">
        <f t="shared" si="173"/>
        <v>[mxqa3CDFmIT]|35-49|Female|PLHIV_Attend.T|CY2024Q3</v>
      </c>
    </row>
    <row r="5510" spans="4:18" x14ac:dyDescent="0.2">
      <c r="D5510" t="s">
        <v>98</v>
      </c>
      <c r="E5510" t="s">
        <v>99</v>
      </c>
      <c r="F5510" t="s">
        <v>100</v>
      </c>
      <c r="G5510" t="s">
        <v>167</v>
      </c>
      <c r="H5510" t="s">
        <v>167</v>
      </c>
      <c r="I5510" t="s">
        <v>44</v>
      </c>
      <c r="J5510" t="s">
        <v>45</v>
      </c>
      <c r="K5510" t="s">
        <v>29</v>
      </c>
      <c r="L5510" t="s">
        <v>30</v>
      </c>
      <c r="M5510" t="s">
        <v>166</v>
      </c>
      <c r="N5510">
        <v>1147</v>
      </c>
      <c r="O5510" s="14">
        <v>0.79032167163677502</v>
      </c>
      <c r="P5510" s="14">
        <v>0.57728803809732199</v>
      </c>
      <c r="Q5510" t="str">
        <f t="shared" si="172"/>
        <v>50+</v>
      </c>
      <c r="R5510" t="str">
        <f t="shared" si="173"/>
        <v>[mxqa3CDFmIT]|50+|Female|PLHIV_Attend.T|CY2024Q3</v>
      </c>
    </row>
    <row r="5511" spans="4:18" x14ac:dyDescent="0.2">
      <c r="D5511" t="s">
        <v>98</v>
      </c>
      <c r="E5511" t="s">
        <v>99</v>
      </c>
      <c r="F5511" t="s">
        <v>100</v>
      </c>
      <c r="G5511" t="s">
        <v>167</v>
      </c>
      <c r="H5511" t="s">
        <v>167</v>
      </c>
      <c r="I5511" t="s">
        <v>27</v>
      </c>
      <c r="J5511" t="s">
        <v>28</v>
      </c>
      <c r="K5511" t="s">
        <v>47</v>
      </c>
      <c r="L5511" t="s">
        <v>48</v>
      </c>
      <c r="M5511" t="s">
        <v>166</v>
      </c>
      <c r="N5511">
        <v>1777</v>
      </c>
      <c r="O5511" s="14">
        <v>0.75134985661134102</v>
      </c>
      <c r="P5511" s="14">
        <v>0.57728803809732199</v>
      </c>
      <c r="Q5511" t="str">
        <f t="shared" si="172"/>
        <v>&lt;01</v>
      </c>
      <c r="R5511" t="str">
        <f t="shared" si="173"/>
        <v>[mxqa3CDFmIT]|&lt;01|Male|PLHIV_Attend.T|CY2024Q3</v>
      </c>
    </row>
    <row r="5512" spans="4:18" x14ac:dyDescent="0.2">
      <c r="D5512" t="s">
        <v>98</v>
      </c>
      <c r="E5512" t="s">
        <v>99</v>
      </c>
      <c r="F5512" t="s">
        <v>100</v>
      </c>
      <c r="G5512" t="s">
        <v>167</v>
      </c>
      <c r="H5512" t="s">
        <v>167</v>
      </c>
      <c r="I5512" t="s">
        <v>32</v>
      </c>
      <c r="J5512" t="s">
        <v>33</v>
      </c>
      <c r="K5512" t="s">
        <v>47</v>
      </c>
      <c r="L5512" t="s">
        <v>48</v>
      </c>
      <c r="M5512" t="s">
        <v>166</v>
      </c>
      <c r="N5512">
        <v>1184</v>
      </c>
      <c r="O5512" s="14">
        <v>0.75965305953286599</v>
      </c>
      <c r="P5512" s="14">
        <v>0.57728803809732199</v>
      </c>
      <c r="Q5512" t="str">
        <f t="shared" si="172"/>
        <v>01-09</v>
      </c>
      <c r="R5512" t="str">
        <f t="shared" si="173"/>
        <v>[mxqa3CDFmIT]|01-09|Male|PLHIV_Attend.T|CY2024Q3</v>
      </c>
    </row>
    <row r="5513" spans="4:18" x14ac:dyDescent="0.2">
      <c r="D5513" t="s">
        <v>98</v>
      </c>
      <c r="E5513" t="s">
        <v>99</v>
      </c>
      <c r="F5513" t="s">
        <v>100</v>
      </c>
      <c r="G5513" t="s">
        <v>167</v>
      </c>
      <c r="H5513" t="s">
        <v>167</v>
      </c>
      <c r="I5513" t="s">
        <v>35</v>
      </c>
      <c r="J5513" t="s">
        <v>36</v>
      </c>
      <c r="K5513" t="s">
        <v>47</v>
      </c>
      <c r="L5513" t="s">
        <v>48</v>
      </c>
      <c r="M5513" t="s">
        <v>166</v>
      </c>
      <c r="N5513">
        <v>1305</v>
      </c>
      <c r="O5513" s="14">
        <v>0.19370537134818699</v>
      </c>
      <c r="P5513" s="14">
        <v>0.57728803809732199</v>
      </c>
      <c r="Q5513" t="str">
        <f t="shared" si="172"/>
        <v>10-14</v>
      </c>
      <c r="R5513" t="str">
        <f t="shared" si="173"/>
        <v>[mxqa3CDFmIT]|10-14|Male|PLHIV_Attend.T|CY2024Q3</v>
      </c>
    </row>
    <row r="5514" spans="4:18" x14ac:dyDescent="0.2">
      <c r="D5514" t="s">
        <v>98</v>
      </c>
      <c r="E5514" t="s">
        <v>99</v>
      </c>
      <c r="F5514" t="s">
        <v>100</v>
      </c>
      <c r="G5514" t="s">
        <v>167</v>
      </c>
      <c r="H5514" t="s">
        <v>167</v>
      </c>
      <c r="I5514" t="s">
        <v>37</v>
      </c>
      <c r="J5514" t="s">
        <v>38</v>
      </c>
      <c r="K5514" t="s">
        <v>47</v>
      </c>
      <c r="L5514" t="s">
        <v>48</v>
      </c>
      <c r="M5514" t="s">
        <v>166</v>
      </c>
      <c r="N5514">
        <v>542</v>
      </c>
      <c r="O5514" s="14">
        <v>0.83445932040922299</v>
      </c>
      <c r="P5514" s="14">
        <v>0.57728803809732199</v>
      </c>
      <c r="Q5514" t="str">
        <f t="shared" si="172"/>
        <v>15-24</v>
      </c>
      <c r="R5514" t="str">
        <f t="shared" si="173"/>
        <v>[mxqa3CDFmIT]|15-24|Male|PLHIV_Attend.T|CY2024Q3</v>
      </c>
    </row>
    <row r="5515" spans="4:18" x14ac:dyDescent="0.2">
      <c r="D5515" t="s">
        <v>98</v>
      </c>
      <c r="E5515" t="s">
        <v>99</v>
      </c>
      <c r="F5515" t="s">
        <v>100</v>
      </c>
      <c r="G5515" t="s">
        <v>167</v>
      </c>
      <c r="H5515" t="s">
        <v>167</v>
      </c>
      <c r="I5515" t="s">
        <v>40</v>
      </c>
      <c r="J5515" t="s">
        <v>41</v>
      </c>
      <c r="K5515" t="s">
        <v>47</v>
      </c>
      <c r="L5515" t="s">
        <v>48</v>
      </c>
      <c r="M5515" t="s">
        <v>166</v>
      </c>
      <c r="N5515">
        <v>1476</v>
      </c>
      <c r="O5515" s="14">
        <v>0.65072841010987803</v>
      </c>
      <c r="P5515" s="14">
        <v>0.57728803809732199</v>
      </c>
      <c r="Q5515" t="str">
        <f t="shared" si="172"/>
        <v>25-34</v>
      </c>
      <c r="R5515" t="str">
        <f t="shared" si="173"/>
        <v>[mxqa3CDFmIT]|25-34|Male|PLHIV_Attend.T|CY2024Q3</v>
      </c>
    </row>
    <row r="5516" spans="4:18" x14ac:dyDescent="0.2">
      <c r="D5516" t="s">
        <v>98</v>
      </c>
      <c r="E5516" t="s">
        <v>99</v>
      </c>
      <c r="F5516" t="s">
        <v>100</v>
      </c>
      <c r="G5516" t="s">
        <v>167</v>
      </c>
      <c r="H5516" t="s">
        <v>167</v>
      </c>
      <c r="I5516" t="s">
        <v>42</v>
      </c>
      <c r="J5516" t="s">
        <v>43</v>
      </c>
      <c r="K5516" t="s">
        <v>47</v>
      </c>
      <c r="L5516" t="s">
        <v>48</v>
      </c>
      <c r="M5516" t="s">
        <v>166</v>
      </c>
      <c r="N5516">
        <v>1041</v>
      </c>
      <c r="O5516" s="14">
        <v>0.49178317957557699</v>
      </c>
      <c r="P5516" s="14">
        <v>0.57728803809732199</v>
      </c>
      <c r="Q5516" t="str">
        <f t="shared" si="172"/>
        <v>35-49</v>
      </c>
      <c r="R5516" t="str">
        <f t="shared" si="173"/>
        <v>[mxqa3CDFmIT]|35-49|Male|PLHIV_Attend.T|CY2024Q3</v>
      </c>
    </row>
    <row r="5517" spans="4:18" x14ac:dyDescent="0.2">
      <c r="D5517" t="s">
        <v>98</v>
      </c>
      <c r="E5517" t="s">
        <v>99</v>
      </c>
      <c r="F5517" t="s">
        <v>100</v>
      </c>
      <c r="G5517" t="s">
        <v>167</v>
      </c>
      <c r="H5517" t="s">
        <v>167</v>
      </c>
      <c r="I5517" t="s">
        <v>44</v>
      </c>
      <c r="J5517" t="s">
        <v>45</v>
      </c>
      <c r="K5517" t="s">
        <v>47</v>
      </c>
      <c r="L5517" t="s">
        <v>48</v>
      </c>
      <c r="M5517" t="s">
        <v>166</v>
      </c>
      <c r="N5517">
        <v>1649</v>
      </c>
      <c r="O5517" s="14">
        <v>0.96443058038130403</v>
      </c>
      <c r="P5517" s="14">
        <v>0.57728803809732199</v>
      </c>
      <c r="Q5517" t="str">
        <f t="shared" si="172"/>
        <v>50+</v>
      </c>
      <c r="R5517" t="str">
        <f t="shared" si="173"/>
        <v>[mxqa3CDFmIT]|50+|Male|PLHIV_Attend.T|CY2024Q3</v>
      </c>
    </row>
    <row r="5518" spans="4:18" x14ac:dyDescent="0.2">
      <c r="D5518" t="s">
        <v>101</v>
      </c>
      <c r="E5518" t="s">
        <v>102</v>
      </c>
      <c r="F5518" t="s">
        <v>103</v>
      </c>
      <c r="G5518" t="s">
        <v>167</v>
      </c>
      <c r="H5518" t="s">
        <v>167</v>
      </c>
      <c r="I5518" t="s">
        <v>27</v>
      </c>
      <c r="J5518" t="s">
        <v>28</v>
      </c>
      <c r="K5518" t="s">
        <v>29</v>
      </c>
      <c r="L5518" t="s">
        <v>30</v>
      </c>
      <c r="M5518" t="s">
        <v>166</v>
      </c>
      <c r="N5518">
        <v>1708</v>
      </c>
      <c r="O5518" s="14">
        <v>0.94627269869670305</v>
      </c>
      <c r="P5518" s="14">
        <v>0.52621235931292198</v>
      </c>
      <c r="Q5518" t="str">
        <f t="shared" si="172"/>
        <v>&lt;01</v>
      </c>
      <c r="R5518" t="str">
        <f t="shared" si="173"/>
        <v>[wNqJp8oRIcF]|&lt;01|Female|PLHIV_Attend.T|CY2024Q3</v>
      </c>
    </row>
    <row r="5519" spans="4:18" x14ac:dyDescent="0.2">
      <c r="D5519" t="s">
        <v>101</v>
      </c>
      <c r="E5519" t="s">
        <v>102</v>
      </c>
      <c r="F5519" t="s">
        <v>103</v>
      </c>
      <c r="G5519" t="s">
        <v>167</v>
      </c>
      <c r="H5519" t="s">
        <v>167</v>
      </c>
      <c r="I5519" t="s">
        <v>32</v>
      </c>
      <c r="J5519" t="s">
        <v>33</v>
      </c>
      <c r="K5519" t="s">
        <v>29</v>
      </c>
      <c r="L5519" t="s">
        <v>30</v>
      </c>
      <c r="M5519" t="s">
        <v>166</v>
      </c>
      <c r="N5519">
        <v>1216</v>
      </c>
      <c r="O5519" s="14">
        <v>0.57974047842435505</v>
      </c>
      <c r="P5519" s="14">
        <v>0.52621235931292198</v>
      </c>
      <c r="Q5519" t="str">
        <f t="shared" si="172"/>
        <v>01-09</v>
      </c>
      <c r="R5519" t="str">
        <f t="shared" si="173"/>
        <v>[wNqJp8oRIcF]|01-09|Female|PLHIV_Attend.T|CY2024Q3</v>
      </c>
    </row>
    <row r="5520" spans="4:18" x14ac:dyDescent="0.2">
      <c r="D5520" t="s">
        <v>101</v>
      </c>
      <c r="E5520" t="s">
        <v>102</v>
      </c>
      <c r="F5520" t="s">
        <v>103</v>
      </c>
      <c r="G5520" t="s">
        <v>167</v>
      </c>
      <c r="H5520" t="s">
        <v>167</v>
      </c>
      <c r="I5520" t="s">
        <v>35</v>
      </c>
      <c r="J5520" t="s">
        <v>36</v>
      </c>
      <c r="K5520" t="s">
        <v>29</v>
      </c>
      <c r="L5520" t="s">
        <v>30</v>
      </c>
      <c r="M5520" t="s">
        <v>166</v>
      </c>
      <c r="N5520">
        <v>1823</v>
      </c>
      <c r="O5520" s="14">
        <v>2.51695732586086E-2</v>
      </c>
      <c r="P5520" s="14">
        <v>0.52621235931292198</v>
      </c>
      <c r="Q5520" t="str">
        <f t="shared" si="172"/>
        <v>10-14</v>
      </c>
      <c r="R5520" t="str">
        <f t="shared" si="173"/>
        <v>[wNqJp8oRIcF]|10-14|Female|PLHIV_Attend.T|CY2024Q3</v>
      </c>
    </row>
    <row r="5521" spans="4:18" x14ac:dyDescent="0.2">
      <c r="D5521" t="s">
        <v>101</v>
      </c>
      <c r="E5521" t="s">
        <v>102</v>
      </c>
      <c r="F5521" t="s">
        <v>103</v>
      </c>
      <c r="G5521" t="s">
        <v>167</v>
      </c>
      <c r="H5521" t="s">
        <v>167</v>
      </c>
      <c r="I5521" t="s">
        <v>37</v>
      </c>
      <c r="J5521" t="s">
        <v>38</v>
      </c>
      <c r="K5521" t="s">
        <v>29</v>
      </c>
      <c r="L5521" t="s">
        <v>30</v>
      </c>
      <c r="M5521" t="s">
        <v>166</v>
      </c>
      <c r="N5521">
        <v>1105</v>
      </c>
      <c r="O5521" s="14">
        <v>2.11950114462525E-2</v>
      </c>
      <c r="P5521" s="14">
        <v>0.52621235931292198</v>
      </c>
      <c r="Q5521" t="str">
        <f t="shared" si="172"/>
        <v>15-24</v>
      </c>
      <c r="R5521" t="str">
        <f t="shared" si="173"/>
        <v>[wNqJp8oRIcF]|15-24|Female|PLHIV_Attend.T|CY2024Q3</v>
      </c>
    </row>
    <row r="5522" spans="4:18" x14ac:dyDescent="0.2">
      <c r="D5522" t="s">
        <v>101</v>
      </c>
      <c r="E5522" t="s">
        <v>102</v>
      </c>
      <c r="F5522" t="s">
        <v>103</v>
      </c>
      <c r="G5522" t="s">
        <v>167</v>
      </c>
      <c r="H5522" t="s">
        <v>167</v>
      </c>
      <c r="I5522" t="s">
        <v>40</v>
      </c>
      <c r="J5522" t="s">
        <v>41</v>
      </c>
      <c r="K5522" t="s">
        <v>29</v>
      </c>
      <c r="L5522" t="s">
        <v>30</v>
      </c>
      <c r="M5522" t="s">
        <v>166</v>
      </c>
      <c r="N5522">
        <v>1532</v>
      </c>
      <c r="O5522" s="14">
        <v>0.99656709097325802</v>
      </c>
      <c r="P5522" s="14">
        <v>0.52621235931292198</v>
      </c>
      <c r="Q5522" t="str">
        <f t="shared" si="172"/>
        <v>25-34</v>
      </c>
      <c r="R5522" t="str">
        <f t="shared" si="173"/>
        <v>[wNqJp8oRIcF]|25-34|Female|PLHIV_Attend.T|CY2024Q3</v>
      </c>
    </row>
    <row r="5523" spans="4:18" x14ac:dyDescent="0.2">
      <c r="D5523" t="s">
        <v>101</v>
      </c>
      <c r="E5523" t="s">
        <v>102</v>
      </c>
      <c r="F5523" t="s">
        <v>103</v>
      </c>
      <c r="G5523" t="s">
        <v>167</v>
      </c>
      <c r="H5523" t="s">
        <v>167</v>
      </c>
      <c r="I5523" t="s">
        <v>42</v>
      </c>
      <c r="J5523" t="s">
        <v>43</v>
      </c>
      <c r="K5523" t="s">
        <v>29</v>
      </c>
      <c r="L5523" t="s">
        <v>30</v>
      </c>
      <c r="M5523" t="s">
        <v>166</v>
      </c>
      <c r="N5523">
        <v>1426</v>
      </c>
      <c r="O5523" s="14">
        <v>0.79086313885636605</v>
      </c>
      <c r="P5523" s="14">
        <v>0.52621235931292198</v>
      </c>
      <c r="Q5523" t="str">
        <f t="shared" si="172"/>
        <v>35-49</v>
      </c>
      <c r="R5523" t="str">
        <f t="shared" si="173"/>
        <v>[wNqJp8oRIcF]|35-49|Female|PLHIV_Attend.T|CY2024Q3</v>
      </c>
    </row>
    <row r="5524" spans="4:18" x14ac:dyDescent="0.2">
      <c r="D5524" t="s">
        <v>101</v>
      </c>
      <c r="E5524" t="s">
        <v>102</v>
      </c>
      <c r="F5524" t="s">
        <v>103</v>
      </c>
      <c r="G5524" t="s">
        <v>167</v>
      </c>
      <c r="H5524" t="s">
        <v>167</v>
      </c>
      <c r="I5524" t="s">
        <v>44</v>
      </c>
      <c r="J5524" t="s">
        <v>45</v>
      </c>
      <c r="K5524" t="s">
        <v>29</v>
      </c>
      <c r="L5524" t="s">
        <v>30</v>
      </c>
      <c r="M5524" t="s">
        <v>166</v>
      </c>
      <c r="N5524">
        <v>759</v>
      </c>
      <c r="O5524" s="14">
        <v>0.94276714185252797</v>
      </c>
      <c r="P5524" s="14">
        <v>0.52621235931292198</v>
      </c>
      <c r="Q5524" t="str">
        <f t="shared" si="172"/>
        <v>50+</v>
      </c>
      <c r="R5524" t="str">
        <f t="shared" si="173"/>
        <v>[wNqJp8oRIcF]|50+|Female|PLHIV_Attend.T|CY2024Q3</v>
      </c>
    </row>
    <row r="5525" spans="4:18" x14ac:dyDescent="0.2">
      <c r="D5525" t="s">
        <v>101</v>
      </c>
      <c r="E5525" t="s">
        <v>102</v>
      </c>
      <c r="F5525" t="s">
        <v>103</v>
      </c>
      <c r="G5525" t="s">
        <v>167</v>
      </c>
      <c r="H5525" t="s">
        <v>167</v>
      </c>
      <c r="I5525" t="s">
        <v>27</v>
      </c>
      <c r="J5525" t="s">
        <v>28</v>
      </c>
      <c r="K5525" t="s">
        <v>47</v>
      </c>
      <c r="L5525" t="s">
        <v>48</v>
      </c>
      <c r="M5525" t="s">
        <v>166</v>
      </c>
      <c r="N5525">
        <v>1301</v>
      </c>
      <c r="O5525" s="14">
        <v>0.68858794961124703</v>
      </c>
      <c r="P5525" s="14">
        <v>0.52621235931292198</v>
      </c>
      <c r="Q5525" t="str">
        <f t="shared" si="172"/>
        <v>&lt;01</v>
      </c>
      <c r="R5525" t="str">
        <f t="shared" si="173"/>
        <v>[wNqJp8oRIcF]|&lt;01|Male|PLHIV_Attend.T|CY2024Q3</v>
      </c>
    </row>
    <row r="5526" spans="4:18" x14ac:dyDescent="0.2">
      <c r="D5526" t="s">
        <v>101</v>
      </c>
      <c r="E5526" t="s">
        <v>102</v>
      </c>
      <c r="F5526" t="s">
        <v>103</v>
      </c>
      <c r="G5526" t="s">
        <v>167</v>
      </c>
      <c r="H5526" t="s">
        <v>167</v>
      </c>
      <c r="I5526" t="s">
        <v>32</v>
      </c>
      <c r="J5526" t="s">
        <v>33</v>
      </c>
      <c r="K5526" t="s">
        <v>47</v>
      </c>
      <c r="L5526" t="s">
        <v>48</v>
      </c>
      <c r="M5526" t="s">
        <v>166</v>
      </c>
      <c r="N5526">
        <v>675</v>
      </c>
      <c r="O5526" s="14">
        <v>0.100221855565906</v>
      </c>
      <c r="P5526" s="14">
        <v>0.52621235931292198</v>
      </c>
      <c r="Q5526" t="str">
        <f t="shared" si="172"/>
        <v>01-09</v>
      </c>
      <c r="R5526" t="str">
        <f t="shared" si="173"/>
        <v>[wNqJp8oRIcF]|01-09|Male|PLHIV_Attend.T|CY2024Q3</v>
      </c>
    </row>
    <row r="5527" spans="4:18" x14ac:dyDescent="0.2">
      <c r="D5527" t="s">
        <v>101</v>
      </c>
      <c r="E5527" t="s">
        <v>102</v>
      </c>
      <c r="F5527" t="s">
        <v>103</v>
      </c>
      <c r="G5527" t="s">
        <v>167</v>
      </c>
      <c r="H5527" t="s">
        <v>167</v>
      </c>
      <c r="I5527" t="s">
        <v>35</v>
      </c>
      <c r="J5527" t="s">
        <v>36</v>
      </c>
      <c r="K5527" t="s">
        <v>47</v>
      </c>
      <c r="L5527" t="s">
        <v>48</v>
      </c>
      <c r="M5527" t="s">
        <v>166</v>
      </c>
      <c r="N5527">
        <v>1524</v>
      </c>
      <c r="O5527" s="14">
        <v>0.302699904888868</v>
      </c>
      <c r="P5527" s="14">
        <v>0.52621235931292198</v>
      </c>
      <c r="Q5527" t="str">
        <f t="shared" si="172"/>
        <v>10-14</v>
      </c>
      <c r="R5527" t="str">
        <f t="shared" si="173"/>
        <v>[wNqJp8oRIcF]|10-14|Male|PLHIV_Attend.T|CY2024Q3</v>
      </c>
    </row>
    <row r="5528" spans="4:18" x14ac:dyDescent="0.2">
      <c r="D5528" t="s">
        <v>101</v>
      </c>
      <c r="E5528" t="s">
        <v>102</v>
      </c>
      <c r="F5528" t="s">
        <v>103</v>
      </c>
      <c r="G5528" t="s">
        <v>167</v>
      </c>
      <c r="H5528" t="s">
        <v>167</v>
      </c>
      <c r="I5528" t="s">
        <v>37</v>
      </c>
      <c r="J5528" t="s">
        <v>38</v>
      </c>
      <c r="K5528" t="s">
        <v>47</v>
      </c>
      <c r="L5528" t="s">
        <v>48</v>
      </c>
      <c r="M5528" t="s">
        <v>166</v>
      </c>
      <c r="N5528">
        <v>1130</v>
      </c>
      <c r="O5528" s="14">
        <v>0.565364739159122</v>
      </c>
      <c r="P5528" s="14">
        <v>0.52621235931292198</v>
      </c>
      <c r="Q5528" t="str">
        <f t="shared" si="172"/>
        <v>15-24</v>
      </c>
      <c r="R5528" t="str">
        <f t="shared" si="173"/>
        <v>[wNqJp8oRIcF]|15-24|Male|PLHIV_Attend.T|CY2024Q3</v>
      </c>
    </row>
    <row r="5529" spans="4:18" x14ac:dyDescent="0.2">
      <c r="D5529" t="s">
        <v>101</v>
      </c>
      <c r="E5529" t="s">
        <v>102</v>
      </c>
      <c r="F5529" t="s">
        <v>103</v>
      </c>
      <c r="G5529" t="s">
        <v>167</v>
      </c>
      <c r="H5529" t="s">
        <v>167</v>
      </c>
      <c r="I5529" t="s">
        <v>40</v>
      </c>
      <c r="J5529" t="s">
        <v>41</v>
      </c>
      <c r="K5529" t="s">
        <v>47</v>
      </c>
      <c r="L5529" t="s">
        <v>48</v>
      </c>
      <c r="M5529" t="s">
        <v>166</v>
      </c>
      <c r="N5529">
        <v>780</v>
      </c>
      <c r="O5529" s="14">
        <v>0.55255076242610801</v>
      </c>
      <c r="P5529" s="14">
        <v>0.52621235931292198</v>
      </c>
      <c r="Q5529" t="str">
        <f t="shared" si="172"/>
        <v>25-34</v>
      </c>
      <c r="R5529" t="str">
        <f t="shared" si="173"/>
        <v>[wNqJp8oRIcF]|25-34|Male|PLHIV_Attend.T|CY2024Q3</v>
      </c>
    </row>
    <row r="5530" spans="4:18" x14ac:dyDescent="0.2">
      <c r="D5530" t="s">
        <v>101</v>
      </c>
      <c r="E5530" t="s">
        <v>102</v>
      </c>
      <c r="F5530" t="s">
        <v>103</v>
      </c>
      <c r="G5530" t="s">
        <v>167</v>
      </c>
      <c r="H5530" t="s">
        <v>167</v>
      </c>
      <c r="I5530" t="s">
        <v>42</v>
      </c>
      <c r="J5530" t="s">
        <v>43</v>
      </c>
      <c r="K5530" t="s">
        <v>47</v>
      </c>
      <c r="L5530" t="s">
        <v>48</v>
      </c>
      <c r="M5530" t="s">
        <v>166</v>
      </c>
      <c r="N5530">
        <v>752</v>
      </c>
      <c r="O5530" s="14">
        <v>0.51397263188846398</v>
      </c>
      <c r="P5530" s="14">
        <v>0.52621235931292198</v>
      </c>
      <c r="Q5530" t="str">
        <f t="shared" si="172"/>
        <v>35-49</v>
      </c>
      <c r="R5530" t="str">
        <f t="shared" si="173"/>
        <v>[wNqJp8oRIcF]|35-49|Male|PLHIV_Attend.T|CY2024Q3</v>
      </c>
    </row>
    <row r="5531" spans="4:18" x14ac:dyDescent="0.2">
      <c r="D5531" t="s">
        <v>101</v>
      </c>
      <c r="E5531" t="s">
        <v>102</v>
      </c>
      <c r="F5531" t="s">
        <v>103</v>
      </c>
      <c r="G5531" t="s">
        <v>167</v>
      </c>
      <c r="H5531" t="s">
        <v>167</v>
      </c>
      <c r="I5531" t="s">
        <v>44</v>
      </c>
      <c r="J5531" t="s">
        <v>45</v>
      </c>
      <c r="K5531" t="s">
        <v>47</v>
      </c>
      <c r="L5531" t="s">
        <v>48</v>
      </c>
      <c r="M5531" t="s">
        <v>166</v>
      </c>
      <c r="N5531">
        <v>1832</v>
      </c>
      <c r="O5531" s="14">
        <v>9.8075764020904899E-2</v>
      </c>
      <c r="P5531" s="14">
        <v>0.52621235931292198</v>
      </c>
      <c r="Q5531" t="str">
        <f t="shared" si="172"/>
        <v>50+</v>
      </c>
      <c r="R5531" t="str">
        <f t="shared" si="173"/>
        <v>[wNqJp8oRIcF]|50+|Male|PLHIV_Attend.T|CY2024Q3</v>
      </c>
    </row>
    <row r="5532" spans="4:18" x14ac:dyDescent="0.2">
      <c r="D5532" t="s">
        <v>104</v>
      </c>
      <c r="E5532" t="s">
        <v>105</v>
      </c>
      <c r="F5532" t="s">
        <v>106</v>
      </c>
      <c r="G5532" t="s">
        <v>167</v>
      </c>
      <c r="H5532" t="s">
        <v>167</v>
      </c>
      <c r="I5532" t="s">
        <v>27</v>
      </c>
      <c r="J5532" t="s">
        <v>28</v>
      </c>
      <c r="K5532" t="s">
        <v>29</v>
      </c>
      <c r="L5532" t="s">
        <v>30</v>
      </c>
      <c r="M5532" t="s">
        <v>166</v>
      </c>
      <c r="N5532">
        <v>1142</v>
      </c>
      <c r="O5532" s="14">
        <v>0.77466685418039605</v>
      </c>
      <c r="P5532" s="14">
        <v>0.21824956033378801</v>
      </c>
      <c r="Q5532" t="str">
        <f t="shared" si="172"/>
        <v>&lt;01</v>
      </c>
      <c r="R5532" t="str">
        <f t="shared" si="173"/>
        <v>[oiPR2CiVJbf]|&lt;01|Female|PLHIV_Attend.T|CY2024Q3</v>
      </c>
    </row>
    <row r="5533" spans="4:18" x14ac:dyDescent="0.2">
      <c r="D5533" t="s">
        <v>104</v>
      </c>
      <c r="E5533" t="s">
        <v>105</v>
      </c>
      <c r="F5533" t="s">
        <v>106</v>
      </c>
      <c r="G5533" t="s">
        <v>167</v>
      </c>
      <c r="H5533" t="s">
        <v>167</v>
      </c>
      <c r="I5533" t="s">
        <v>32</v>
      </c>
      <c r="J5533" t="s">
        <v>33</v>
      </c>
      <c r="K5533" t="s">
        <v>29</v>
      </c>
      <c r="L5533" t="s">
        <v>30</v>
      </c>
      <c r="M5533" t="s">
        <v>166</v>
      </c>
      <c r="N5533">
        <v>1545</v>
      </c>
      <c r="O5533" s="14">
        <v>0.84343454032205001</v>
      </c>
      <c r="P5533" s="14">
        <v>0.21824956033378801</v>
      </c>
      <c r="Q5533" t="str">
        <f t="shared" si="172"/>
        <v>01-09</v>
      </c>
      <c r="R5533" t="str">
        <f t="shared" si="173"/>
        <v>[oiPR2CiVJbf]|01-09|Female|PLHIV_Attend.T|CY2024Q3</v>
      </c>
    </row>
    <row r="5534" spans="4:18" x14ac:dyDescent="0.2">
      <c r="D5534" t="s">
        <v>104</v>
      </c>
      <c r="E5534" t="s">
        <v>105</v>
      </c>
      <c r="F5534" t="s">
        <v>106</v>
      </c>
      <c r="G5534" t="s">
        <v>167</v>
      </c>
      <c r="H5534" t="s">
        <v>167</v>
      </c>
      <c r="I5534" t="s">
        <v>35</v>
      </c>
      <c r="J5534" t="s">
        <v>36</v>
      </c>
      <c r="K5534" t="s">
        <v>29</v>
      </c>
      <c r="L5534" t="s">
        <v>30</v>
      </c>
      <c r="M5534" t="s">
        <v>166</v>
      </c>
      <c r="N5534">
        <v>1627</v>
      </c>
      <c r="O5534" s="14">
        <v>0.15619754604995301</v>
      </c>
      <c r="P5534" s="14">
        <v>0.21824956033378801</v>
      </c>
      <c r="Q5534" t="str">
        <f t="shared" si="172"/>
        <v>10-14</v>
      </c>
      <c r="R5534" t="str">
        <f t="shared" si="173"/>
        <v>[oiPR2CiVJbf]|10-14|Female|PLHIV_Attend.T|CY2024Q3</v>
      </c>
    </row>
    <row r="5535" spans="4:18" x14ac:dyDescent="0.2">
      <c r="D5535" t="s">
        <v>104</v>
      </c>
      <c r="E5535" t="s">
        <v>105</v>
      </c>
      <c r="F5535" t="s">
        <v>106</v>
      </c>
      <c r="G5535" t="s">
        <v>167</v>
      </c>
      <c r="H5535" t="s">
        <v>167</v>
      </c>
      <c r="I5535" t="s">
        <v>37</v>
      </c>
      <c r="J5535" t="s">
        <v>38</v>
      </c>
      <c r="K5535" t="s">
        <v>29</v>
      </c>
      <c r="L5535" t="s">
        <v>30</v>
      </c>
      <c r="M5535" t="s">
        <v>166</v>
      </c>
      <c r="N5535">
        <v>1752</v>
      </c>
      <c r="O5535" s="14">
        <v>0.25404645712114898</v>
      </c>
      <c r="P5535" s="14">
        <v>0.21824956033378801</v>
      </c>
      <c r="Q5535" t="str">
        <f t="shared" si="172"/>
        <v>15-24</v>
      </c>
      <c r="R5535" t="str">
        <f t="shared" si="173"/>
        <v>[oiPR2CiVJbf]|15-24|Female|PLHIV_Attend.T|CY2024Q3</v>
      </c>
    </row>
    <row r="5536" spans="4:18" x14ac:dyDescent="0.2">
      <c r="D5536" t="s">
        <v>104</v>
      </c>
      <c r="E5536" t="s">
        <v>105</v>
      </c>
      <c r="F5536" t="s">
        <v>106</v>
      </c>
      <c r="G5536" t="s">
        <v>167</v>
      </c>
      <c r="H5536" t="s">
        <v>167</v>
      </c>
      <c r="I5536" t="s">
        <v>40</v>
      </c>
      <c r="J5536" t="s">
        <v>41</v>
      </c>
      <c r="K5536" t="s">
        <v>29</v>
      </c>
      <c r="L5536" t="s">
        <v>30</v>
      </c>
      <c r="M5536" t="s">
        <v>166</v>
      </c>
      <c r="N5536">
        <v>901</v>
      </c>
      <c r="O5536" s="14">
        <v>0.89412249880842898</v>
      </c>
      <c r="P5536" s="14">
        <v>0.21824956033378801</v>
      </c>
      <c r="Q5536" t="str">
        <f t="shared" si="172"/>
        <v>25-34</v>
      </c>
      <c r="R5536" t="str">
        <f t="shared" si="173"/>
        <v>[oiPR2CiVJbf]|25-34|Female|PLHIV_Attend.T|CY2024Q3</v>
      </c>
    </row>
    <row r="5537" spans="4:18" x14ac:dyDescent="0.2">
      <c r="D5537" t="s">
        <v>104</v>
      </c>
      <c r="E5537" t="s">
        <v>105</v>
      </c>
      <c r="F5537" t="s">
        <v>106</v>
      </c>
      <c r="G5537" t="s">
        <v>167</v>
      </c>
      <c r="H5537" t="s">
        <v>167</v>
      </c>
      <c r="I5537" t="s">
        <v>42</v>
      </c>
      <c r="J5537" t="s">
        <v>43</v>
      </c>
      <c r="K5537" t="s">
        <v>29</v>
      </c>
      <c r="L5537" t="s">
        <v>30</v>
      </c>
      <c r="M5537" t="s">
        <v>166</v>
      </c>
      <c r="N5537">
        <v>876</v>
      </c>
      <c r="O5537" s="14">
        <v>6.9344459567219005E-2</v>
      </c>
      <c r="P5537" s="14">
        <v>0.21824956033378801</v>
      </c>
      <c r="Q5537" t="str">
        <f t="shared" si="172"/>
        <v>35-49</v>
      </c>
      <c r="R5537" t="str">
        <f t="shared" si="173"/>
        <v>[oiPR2CiVJbf]|35-49|Female|PLHIV_Attend.T|CY2024Q3</v>
      </c>
    </row>
    <row r="5538" spans="4:18" x14ac:dyDescent="0.2">
      <c r="D5538" t="s">
        <v>104</v>
      </c>
      <c r="E5538" t="s">
        <v>105</v>
      </c>
      <c r="F5538" t="s">
        <v>106</v>
      </c>
      <c r="G5538" t="s">
        <v>167</v>
      </c>
      <c r="H5538" t="s">
        <v>167</v>
      </c>
      <c r="I5538" t="s">
        <v>44</v>
      </c>
      <c r="J5538" t="s">
        <v>45</v>
      </c>
      <c r="K5538" t="s">
        <v>29</v>
      </c>
      <c r="L5538" t="s">
        <v>30</v>
      </c>
      <c r="M5538" t="s">
        <v>166</v>
      </c>
      <c r="N5538">
        <v>1290</v>
      </c>
      <c r="O5538" s="14">
        <v>0.91905114497058105</v>
      </c>
      <c r="P5538" s="14">
        <v>0.21824956033378801</v>
      </c>
      <c r="Q5538" t="str">
        <f t="shared" si="172"/>
        <v>50+</v>
      </c>
      <c r="R5538" t="str">
        <f t="shared" si="173"/>
        <v>[oiPR2CiVJbf]|50+|Female|PLHIV_Attend.T|CY2024Q3</v>
      </c>
    </row>
    <row r="5539" spans="4:18" x14ac:dyDescent="0.2">
      <c r="D5539" t="s">
        <v>104</v>
      </c>
      <c r="E5539" t="s">
        <v>105</v>
      </c>
      <c r="F5539" t="s">
        <v>106</v>
      </c>
      <c r="G5539" t="s">
        <v>167</v>
      </c>
      <c r="H5539" t="s">
        <v>167</v>
      </c>
      <c r="I5539" t="s">
        <v>27</v>
      </c>
      <c r="J5539" t="s">
        <v>28</v>
      </c>
      <c r="K5539" t="s">
        <v>47</v>
      </c>
      <c r="L5539" t="s">
        <v>48</v>
      </c>
      <c r="M5539" t="s">
        <v>166</v>
      </c>
      <c r="N5539">
        <v>1996</v>
      </c>
      <c r="O5539" s="14">
        <v>0.77244083629921101</v>
      </c>
      <c r="P5539" s="14">
        <v>0.21824956033378801</v>
      </c>
      <c r="Q5539" t="str">
        <f t="shared" si="172"/>
        <v>&lt;01</v>
      </c>
      <c r="R5539" t="str">
        <f t="shared" si="173"/>
        <v>[oiPR2CiVJbf]|&lt;01|Male|PLHIV_Attend.T|CY2024Q3</v>
      </c>
    </row>
    <row r="5540" spans="4:18" x14ac:dyDescent="0.2">
      <c r="D5540" t="s">
        <v>104</v>
      </c>
      <c r="E5540" t="s">
        <v>105</v>
      </c>
      <c r="F5540" t="s">
        <v>106</v>
      </c>
      <c r="G5540" t="s">
        <v>167</v>
      </c>
      <c r="H5540" t="s">
        <v>167</v>
      </c>
      <c r="I5540" t="s">
        <v>32</v>
      </c>
      <c r="J5540" t="s">
        <v>33</v>
      </c>
      <c r="K5540" t="s">
        <v>47</v>
      </c>
      <c r="L5540" t="s">
        <v>48</v>
      </c>
      <c r="M5540" t="s">
        <v>166</v>
      </c>
      <c r="N5540">
        <v>559</v>
      </c>
      <c r="O5540" s="14">
        <v>0.26421239809133101</v>
      </c>
      <c r="P5540" s="14">
        <v>0.21824956033378801</v>
      </c>
      <c r="Q5540" t="str">
        <f t="shared" si="172"/>
        <v>01-09</v>
      </c>
      <c r="R5540" t="str">
        <f t="shared" si="173"/>
        <v>[oiPR2CiVJbf]|01-09|Male|PLHIV_Attend.T|CY2024Q3</v>
      </c>
    </row>
    <row r="5541" spans="4:18" x14ac:dyDescent="0.2">
      <c r="D5541" t="s">
        <v>104</v>
      </c>
      <c r="E5541" t="s">
        <v>105</v>
      </c>
      <c r="F5541" t="s">
        <v>106</v>
      </c>
      <c r="G5541" t="s">
        <v>167</v>
      </c>
      <c r="H5541" t="s">
        <v>167</v>
      </c>
      <c r="I5541" t="s">
        <v>35</v>
      </c>
      <c r="J5541" t="s">
        <v>36</v>
      </c>
      <c r="K5541" t="s">
        <v>47</v>
      </c>
      <c r="L5541" t="s">
        <v>48</v>
      </c>
      <c r="M5541" t="s">
        <v>166</v>
      </c>
      <c r="N5541">
        <v>1095</v>
      </c>
      <c r="O5541" s="14">
        <v>0.72927026241086401</v>
      </c>
      <c r="P5541" s="14">
        <v>0.21824956033378801</v>
      </c>
      <c r="Q5541" t="str">
        <f t="shared" si="172"/>
        <v>10-14</v>
      </c>
      <c r="R5541" t="str">
        <f t="shared" si="173"/>
        <v>[oiPR2CiVJbf]|10-14|Male|PLHIV_Attend.T|CY2024Q3</v>
      </c>
    </row>
    <row r="5542" spans="4:18" x14ac:dyDescent="0.2">
      <c r="D5542" t="s">
        <v>104</v>
      </c>
      <c r="E5542" t="s">
        <v>105</v>
      </c>
      <c r="F5542" t="s">
        <v>106</v>
      </c>
      <c r="G5542" t="s">
        <v>167</v>
      </c>
      <c r="H5542" t="s">
        <v>167</v>
      </c>
      <c r="I5542" t="s">
        <v>37</v>
      </c>
      <c r="J5542" t="s">
        <v>38</v>
      </c>
      <c r="K5542" t="s">
        <v>47</v>
      </c>
      <c r="L5542" t="s">
        <v>48</v>
      </c>
      <c r="M5542" t="s">
        <v>166</v>
      </c>
      <c r="N5542">
        <v>1615</v>
      </c>
      <c r="O5542" s="14">
        <v>0.43997900653630501</v>
      </c>
      <c r="P5542" s="14">
        <v>0.21824956033378801</v>
      </c>
      <c r="Q5542" t="str">
        <f t="shared" si="172"/>
        <v>15-24</v>
      </c>
      <c r="R5542" t="str">
        <f t="shared" si="173"/>
        <v>[oiPR2CiVJbf]|15-24|Male|PLHIV_Attend.T|CY2024Q3</v>
      </c>
    </row>
    <row r="5543" spans="4:18" x14ac:dyDescent="0.2">
      <c r="D5543" t="s">
        <v>104</v>
      </c>
      <c r="E5543" t="s">
        <v>105</v>
      </c>
      <c r="F5543" t="s">
        <v>106</v>
      </c>
      <c r="G5543" t="s">
        <v>167</v>
      </c>
      <c r="H5543" t="s">
        <v>167</v>
      </c>
      <c r="I5543" t="s">
        <v>40</v>
      </c>
      <c r="J5543" t="s">
        <v>41</v>
      </c>
      <c r="K5543" t="s">
        <v>47</v>
      </c>
      <c r="L5543" t="s">
        <v>48</v>
      </c>
      <c r="M5543" t="s">
        <v>166</v>
      </c>
      <c r="N5543">
        <v>1055</v>
      </c>
      <c r="O5543" s="14">
        <v>0.82205897755920898</v>
      </c>
      <c r="P5543" s="14">
        <v>0.21824956033378801</v>
      </c>
      <c r="Q5543" t="str">
        <f t="shared" si="172"/>
        <v>25-34</v>
      </c>
      <c r="R5543" t="str">
        <f t="shared" si="173"/>
        <v>[oiPR2CiVJbf]|25-34|Male|PLHIV_Attend.T|CY2024Q3</v>
      </c>
    </row>
    <row r="5544" spans="4:18" x14ac:dyDescent="0.2">
      <c r="D5544" t="s">
        <v>104</v>
      </c>
      <c r="E5544" t="s">
        <v>105</v>
      </c>
      <c r="F5544" t="s">
        <v>106</v>
      </c>
      <c r="G5544" t="s">
        <v>167</v>
      </c>
      <c r="H5544" t="s">
        <v>167</v>
      </c>
      <c r="I5544" t="s">
        <v>42</v>
      </c>
      <c r="J5544" t="s">
        <v>43</v>
      </c>
      <c r="K5544" t="s">
        <v>47</v>
      </c>
      <c r="L5544" t="s">
        <v>48</v>
      </c>
      <c r="M5544" t="s">
        <v>166</v>
      </c>
      <c r="N5544">
        <v>576</v>
      </c>
      <c r="O5544" s="14">
        <v>0.97112147882580802</v>
      </c>
      <c r="P5544" s="14">
        <v>0.21824956033378801</v>
      </c>
      <c r="Q5544" t="str">
        <f t="shared" si="172"/>
        <v>35-49</v>
      </c>
      <c r="R5544" t="str">
        <f t="shared" si="173"/>
        <v>[oiPR2CiVJbf]|35-49|Male|PLHIV_Attend.T|CY2024Q3</v>
      </c>
    </row>
    <row r="5545" spans="4:18" x14ac:dyDescent="0.2">
      <c r="D5545" t="s">
        <v>104</v>
      </c>
      <c r="E5545" t="s">
        <v>105</v>
      </c>
      <c r="F5545" t="s">
        <v>106</v>
      </c>
      <c r="G5545" t="s">
        <v>167</v>
      </c>
      <c r="H5545" t="s">
        <v>167</v>
      </c>
      <c r="I5545" t="s">
        <v>44</v>
      </c>
      <c r="J5545" t="s">
        <v>45</v>
      </c>
      <c r="K5545" t="s">
        <v>47</v>
      </c>
      <c r="L5545" t="s">
        <v>48</v>
      </c>
      <c r="M5545" t="s">
        <v>166</v>
      </c>
      <c r="N5545">
        <v>552</v>
      </c>
      <c r="O5545" s="14">
        <v>0.50790845765732195</v>
      </c>
      <c r="P5545" s="14">
        <v>0.21824956033378801</v>
      </c>
      <c r="Q5545" t="str">
        <f t="shared" si="172"/>
        <v>50+</v>
      </c>
      <c r="R5545" t="str">
        <f t="shared" si="173"/>
        <v>[oiPR2CiVJbf]|50+|Male|PLHIV_Attend.T|CY2024Q3</v>
      </c>
    </row>
    <row r="5546" spans="4:18" x14ac:dyDescent="0.2">
      <c r="D5546" t="s">
        <v>107</v>
      </c>
      <c r="E5546" t="s">
        <v>108</v>
      </c>
      <c r="F5546" t="s">
        <v>109</v>
      </c>
      <c r="G5546" t="s">
        <v>167</v>
      </c>
      <c r="H5546" t="s">
        <v>167</v>
      </c>
      <c r="I5546" t="s">
        <v>27</v>
      </c>
      <c r="J5546" t="s">
        <v>28</v>
      </c>
      <c r="K5546" t="s">
        <v>29</v>
      </c>
      <c r="L5546" t="s">
        <v>30</v>
      </c>
      <c r="M5546" t="s">
        <v>166</v>
      </c>
      <c r="N5546">
        <v>1774</v>
      </c>
      <c r="O5546" s="14">
        <v>8.9530527358874706E-2</v>
      </c>
      <c r="P5546" s="14">
        <v>0.43422180437482899</v>
      </c>
      <c r="Q5546" t="str">
        <f t="shared" si="172"/>
        <v>&lt;01</v>
      </c>
      <c r="R5546" t="str">
        <f t="shared" si="173"/>
        <v>[ul0y9diGujK]|&lt;01|Female|PLHIV_Attend.T|CY2024Q3</v>
      </c>
    </row>
    <row r="5547" spans="4:18" x14ac:dyDescent="0.2">
      <c r="D5547" t="s">
        <v>107</v>
      </c>
      <c r="E5547" t="s">
        <v>108</v>
      </c>
      <c r="F5547" t="s">
        <v>109</v>
      </c>
      <c r="G5547" t="s">
        <v>167</v>
      </c>
      <c r="H5547" t="s">
        <v>167</v>
      </c>
      <c r="I5547" t="s">
        <v>32</v>
      </c>
      <c r="J5547" t="s">
        <v>33</v>
      </c>
      <c r="K5547" t="s">
        <v>29</v>
      </c>
      <c r="L5547" t="s">
        <v>30</v>
      </c>
      <c r="M5547" t="s">
        <v>166</v>
      </c>
      <c r="N5547">
        <v>1506</v>
      </c>
      <c r="O5547" s="14">
        <v>0.22530872980132699</v>
      </c>
      <c r="P5547" s="14">
        <v>0.43422180437482899</v>
      </c>
      <c r="Q5547" t="str">
        <f t="shared" si="172"/>
        <v>01-09</v>
      </c>
      <c r="R5547" t="str">
        <f t="shared" si="173"/>
        <v>[ul0y9diGujK]|01-09|Female|PLHIV_Attend.T|CY2024Q3</v>
      </c>
    </row>
    <row r="5548" spans="4:18" x14ac:dyDescent="0.2">
      <c r="D5548" t="s">
        <v>107</v>
      </c>
      <c r="E5548" t="s">
        <v>108</v>
      </c>
      <c r="F5548" t="s">
        <v>109</v>
      </c>
      <c r="G5548" t="s">
        <v>167</v>
      </c>
      <c r="H5548" t="s">
        <v>167</v>
      </c>
      <c r="I5548" t="s">
        <v>35</v>
      </c>
      <c r="J5548" t="s">
        <v>36</v>
      </c>
      <c r="K5548" t="s">
        <v>29</v>
      </c>
      <c r="L5548" t="s">
        <v>30</v>
      </c>
      <c r="M5548" t="s">
        <v>166</v>
      </c>
      <c r="N5548">
        <v>1748</v>
      </c>
      <c r="O5548" s="14">
        <v>0.58388271671719805</v>
      </c>
      <c r="P5548" s="14">
        <v>0.43422180437482899</v>
      </c>
      <c r="Q5548" t="str">
        <f t="shared" si="172"/>
        <v>10-14</v>
      </c>
      <c r="R5548" t="str">
        <f t="shared" si="173"/>
        <v>[ul0y9diGujK]|10-14|Female|PLHIV_Attend.T|CY2024Q3</v>
      </c>
    </row>
    <row r="5549" spans="4:18" x14ac:dyDescent="0.2">
      <c r="D5549" t="s">
        <v>107</v>
      </c>
      <c r="E5549" t="s">
        <v>108</v>
      </c>
      <c r="F5549" t="s">
        <v>109</v>
      </c>
      <c r="G5549" t="s">
        <v>167</v>
      </c>
      <c r="H5549" t="s">
        <v>167</v>
      </c>
      <c r="I5549" t="s">
        <v>37</v>
      </c>
      <c r="J5549" t="s">
        <v>38</v>
      </c>
      <c r="K5549" t="s">
        <v>29</v>
      </c>
      <c r="L5549" t="s">
        <v>30</v>
      </c>
      <c r="M5549" t="s">
        <v>166</v>
      </c>
      <c r="N5549">
        <v>1800</v>
      </c>
      <c r="O5549" s="14">
        <v>0.84498139144852802</v>
      </c>
      <c r="P5549" s="14">
        <v>0.43422180437482899</v>
      </c>
      <c r="Q5549" t="str">
        <f t="shared" si="172"/>
        <v>15-24</v>
      </c>
      <c r="R5549" t="str">
        <f t="shared" si="173"/>
        <v>[ul0y9diGujK]|15-24|Female|PLHIV_Attend.T|CY2024Q3</v>
      </c>
    </row>
    <row r="5550" spans="4:18" x14ac:dyDescent="0.2">
      <c r="D5550" t="s">
        <v>107</v>
      </c>
      <c r="E5550" t="s">
        <v>108</v>
      </c>
      <c r="F5550" t="s">
        <v>109</v>
      </c>
      <c r="G5550" t="s">
        <v>167</v>
      </c>
      <c r="H5550" t="s">
        <v>167</v>
      </c>
      <c r="I5550" t="s">
        <v>40</v>
      </c>
      <c r="J5550" t="s">
        <v>41</v>
      </c>
      <c r="K5550" t="s">
        <v>29</v>
      </c>
      <c r="L5550" t="s">
        <v>30</v>
      </c>
      <c r="M5550" t="s">
        <v>166</v>
      </c>
      <c r="N5550">
        <v>1365</v>
      </c>
      <c r="O5550" s="14">
        <v>0.29317215597257001</v>
      </c>
      <c r="P5550" s="14">
        <v>0.43422180437482899</v>
      </c>
      <c r="Q5550" t="str">
        <f t="shared" si="172"/>
        <v>25-34</v>
      </c>
      <c r="R5550" t="str">
        <f t="shared" si="173"/>
        <v>[ul0y9diGujK]|25-34|Female|PLHIV_Attend.T|CY2024Q3</v>
      </c>
    </row>
    <row r="5551" spans="4:18" x14ac:dyDescent="0.2">
      <c r="D5551" t="s">
        <v>107</v>
      </c>
      <c r="E5551" t="s">
        <v>108</v>
      </c>
      <c r="F5551" t="s">
        <v>109</v>
      </c>
      <c r="G5551" t="s">
        <v>167</v>
      </c>
      <c r="H5551" t="s">
        <v>167</v>
      </c>
      <c r="I5551" t="s">
        <v>42</v>
      </c>
      <c r="J5551" t="s">
        <v>43</v>
      </c>
      <c r="K5551" t="s">
        <v>29</v>
      </c>
      <c r="L5551" t="s">
        <v>30</v>
      </c>
      <c r="M5551" t="s">
        <v>166</v>
      </c>
      <c r="N5551">
        <v>777</v>
      </c>
      <c r="O5551" s="14">
        <v>0.127742333803326</v>
      </c>
      <c r="P5551" s="14">
        <v>0.43422180437482899</v>
      </c>
      <c r="Q5551" t="str">
        <f t="shared" si="172"/>
        <v>35-49</v>
      </c>
      <c r="R5551" t="str">
        <f t="shared" si="173"/>
        <v>[ul0y9diGujK]|35-49|Female|PLHIV_Attend.T|CY2024Q3</v>
      </c>
    </row>
    <row r="5552" spans="4:18" x14ac:dyDescent="0.2">
      <c r="D5552" t="s">
        <v>107</v>
      </c>
      <c r="E5552" t="s">
        <v>108</v>
      </c>
      <c r="F5552" t="s">
        <v>109</v>
      </c>
      <c r="G5552" t="s">
        <v>167</v>
      </c>
      <c r="H5552" t="s">
        <v>167</v>
      </c>
      <c r="I5552" t="s">
        <v>44</v>
      </c>
      <c r="J5552" t="s">
        <v>45</v>
      </c>
      <c r="K5552" t="s">
        <v>29</v>
      </c>
      <c r="L5552" t="s">
        <v>30</v>
      </c>
      <c r="M5552" t="s">
        <v>166</v>
      </c>
      <c r="N5552">
        <v>1307</v>
      </c>
      <c r="O5552" s="14">
        <v>0.23041470814496301</v>
      </c>
      <c r="P5552" s="14">
        <v>0.43422180437482899</v>
      </c>
      <c r="Q5552" t="str">
        <f t="shared" si="172"/>
        <v>50+</v>
      </c>
      <c r="R5552" t="str">
        <f t="shared" si="173"/>
        <v>[ul0y9diGujK]|50+|Female|PLHIV_Attend.T|CY2024Q3</v>
      </c>
    </row>
    <row r="5553" spans="4:18" x14ac:dyDescent="0.2">
      <c r="D5553" t="s">
        <v>107</v>
      </c>
      <c r="E5553" t="s">
        <v>108</v>
      </c>
      <c r="F5553" t="s">
        <v>109</v>
      </c>
      <c r="G5553" t="s">
        <v>167</v>
      </c>
      <c r="H5553" t="s">
        <v>167</v>
      </c>
      <c r="I5553" t="s">
        <v>27</v>
      </c>
      <c r="J5553" t="s">
        <v>28</v>
      </c>
      <c r="K5553" t="s">
        <v>47</v>
      </c>
      <c r="L5553" t="s">
        <v>48</v>
      </c>
      <c r="M5553" t="s">
        <v>166</v>
      </c>
      <c r="N5553">
        <v>1114</v>
      </c>
      <c r="O5553" s="14">
        <v>0.80528582213446498</v>
      </c>
      <c r="P5553" s="14">
        <v>0.43422180437482899</v>
      </c>
      <c r="Q5553" t="str">
        <f t="shared" si="172"/>
        <v>&lt;01</v>
      </c>
      <c r="R5553" t="str">
        <f t="shared" si="173"/>
        <v>[ul0y9diGujK]|&lt;01|Male|PLHIV_Attend.T|CY2024Q3</v>
      </c>
    </row>
    <row r="5554" spans="4:18" x14ac:dyDescent="0.2">
      <c r="D5554" t="s">
        <v>107</v>
      </c>
      <c r="E5554" t="s">
        <v>108</v>
      </c>
      <c r="F5554" t="s">
        <v>109</v>
      </c>
      <c r="G5554" t="s">
        <v>167</v>
      </c>
      <c r="H5554" t="s">
        <v>167</v>
      </c>
      <c r="I5554" t="s">
        <v>32</v>
      </c>
      <c r="J5554" t="s">
        <v>33</v>
      </c>
      <c r="K5554" t="s">
        <v>47</v>
      </c>
      <c r="L5554" t="s">
        <v>48</v>
      </c>
      <c r="M5554" t="s">
        <v>166</v>
      </c>
      <c r="N5554">
        <v>1865</v>
      </c>
      <c r="O5554" s="14">
        <v>0.43532424489967497</v>
      </c>
      <c r="P5554" s="14">
        <v>0.43422180437482899</v>
      </c>
      <c r="Q5554" t="str">
        <f t="shared" si="172"/>
        <v>01-09</v>
      </c>
      <c r="R5554" t="str">
        <f t="shared" si="173"/>
        <v>[ul0y9diGujK]|01-09|Male|PLHIV_Attend.T|CY2024Q3</v>
      </c>
    </row>
    <row r="5555" spans="4:18" x14ac:dyDescent="0.2">
      <c r="D5555" t="s">
        <v>107</v>
      </c>
      <c r="E5555" t="s">
        <v>108</v>
      </c>
      <c r="F5555" t="s">
        <v>109</v>
      </c>
      <c r="G5555" t="s">
        <v>167</v>
      </c>
      <c r="H5555" t="s">
        <v>167</v>
      </c>
      <c r="I5555" t="s">
        <v>35</v>
      </c>
      <c r="J5555" t="s">
        <v>36</v>
      </c>
      <c r="K5555" t="s">
        <v>47</v>
      </c>
      <c r="L5555" t="s">
        <v>48</v>
      </c>
      <c r="M5555" t="s">
        <v>166</v>
      </c>
      <c r="N5555">
        <v>1474</v>
      </c>
      <c r="O5555" s="14">
        <v>0.64953162288293198</v>
      </c>
      <c r="P5555" s="14">
        <v>0.43422180437482899</v>
      </c>
      <c r="Q5555" t="str">
        <f t="shared" si="172"/>
        <v>10-14</v>
      </c>
      <c r="R5555" t="str">
        <f t="shared" si="173"/>
        <v>[ul0y9diGujK]|10-14|Male|PLHIV_Attend.T|CY2024Q3</v>
      </c>
    </row>
    <row r="5556" spans="4:18" x14ac:dyDescent="0.2">
      <c r="D5556" t="s">
        <v>107</v>
      </c>
      <c r="E5556" t="s">
        <v>108</v>
      </c>
      <c r="F5556" t="s">
        <v>109</v>
      </c>
      <c r="G5556" t="s">
        <v>167</v>
      </c>
      <c r="H5556" t="s">
        <v>167</v>
      </c>
      <c r="I5556" t="s">
        <v>37</v>
      </c>
      <c r="J5556" t="s">
        <v>38</v>
      </c>
      <c r="K5556" t="s">
        <v>47</v>
      </c>
      <c r="L5556" t="s">
        <v>48</v>
      </c>
      <c r="M5556" t="s">
        <v>166</v>
      </c>
      <c r="N5556">
        <v>1692</v>
      </c>
      <c r="O5556" s="14">
        <v>0.78253747383132599</v>
      </c>
      <c r="P5556" s="14">
        <v>0.43422180437482899</v>
      </c>
      <c r="Q5556" t="str">
        <f t="shared" si="172"/>
        <v>15-24</v>
      </c>
      <c r="R5556" t="str">
        <f t="shared" si="173"/>
        <v>[ul0y9diGujK]|15-24|Male|PLHIV_Attend.T|CY2024Q3</v>
      </c>
    </row>
    <row r="5557" spans="4:18" x14ac:dyDescent="0.2">
      <c r="D5557" t="s">
        <v>107</v>
      </c>
      <c r="E5557" t="s">
        <v>108</v>
      </c>
      <c r="F5557" t="s">
        <v>109</v>
      </c>
      <c r="G5557" t="s">
        <v>167</v>
      </c>
      <c r="H5557" t="s">
        <v>167</v>
      </c>
      <c r="I5557" t="s">
        <v>40</v>
      </c>
      <c r="J5557" t="s">
        <v>41</v>
      </c>
      <c r="K5557" t="s">
        <v>47</v>
      </c>
      <c r="L5557" t="s">
        <v>48</v>
      </c>
      <c r="M5557" t="s">
        <v>166</v>
      </c>
      <c r="N5557">
        <v>796</v>
      </c>
      <c r="O5557" s="14">
        <v>0.84024866530671705</v>
      </c>
      <c r="P5557" s="14">
        <v>0.43422180437482899</v>
      </c>
      <c r="Q5557" t="str">
        <f t="shared" si="172"/>
        <v>25-34</v>
      </c>
      <c r="R5557" t="str">
        <f t="shared" si="173"/>
        <v>[ul0y9diGujK]|25-34|Male|PLHIV_Attend.T|CY2024Q3</v>
      </c>
    </row>
    <row r="5558" spans="4:18" x14ac:dyDescent="0.2">
      <c r="D5558" t="s">
        <v>107</v>
      </c>
      <c r="E5558" t="s">
        <v>108</v>
      </c>
      <c r="F5558" t="s">
        <v>109</v>
      </c>
      <c r="G5558" t="s">
        <v>167</v>
      </c>
      <c r="H5558" t="s">
        <v>167</v>
      </c>
      <c r="I5558" t="s">
        <v>42</v>
      </c>
      <c r="J5558" t="s">
        <v>43</v>
      </c>
      <c r="K5558" t="s">
        <v>47</v>
      </c>
      <c r="L5558" t="s">
        <v>48</v>
      </c>
      <c r="M5558" t="s">
        <v>166</v>
      </c>
      <c r="N5558">
        <v>1720</v>
      </c>
      <c r="O5558" s="14">
        <v>0.427806448889896</v>
      </c>
      <c r="P5558" s="14">
        <v>0.43422180437482899</v>
      </c>
      <c r="Q5558" t="str">
        <f t="shared" si="172"/>
        <v>35-49</v>
      </c>
      <c r="R5558" t="str">
        <f t="shared" si="173"/>
        <v>[ul0y9diGujK]|35-49|Male|PLHIV_Attend.T|CY2024Q3</v>
      </c>
    </row>
    <row r="5559" spans="4:18" x14ac:dyDescent="0.2">
      <c r="D5559" t="s">
        <v>107</v>
      </c>
      <c r="E5559" t="s">
        <v>108</v>
      </c>
      <c r="F5559" t="s">
        <v>109</v>
      </c>
      <c r="G5559" t="s">
        <v>167</v>
      </c>
      <c r="H5559" t="s">
        <v>167</v>
      </c>
      <c r="I5559" t="s">
        <v>44</v>
      </c>
      <c r="J5559" t="s">
        <v>45</v>
      </c>
      <c r="K5559" t="s">
        <v>47</v>
      </c>
      <c r="L5559" t="s">
        <v>48</v>
      </c>
      <c r="M5559" t="s">
        <v>166</v>
      </c>
      <c r="N5559">
        <v>545</v>
      </c>
      <c r="O5559" s="14">
        <v>1.4571331441402401E-2</v>
      </c>
      <c r="P5559" s="14">
        <v>0.43422180437482899</v>
      </c>
      <c r="Q5559" t="str">
        <f t="shared" si="172"/>
        <v>50+</v>
      </c>
      <c r="R5559" t="str">
        <f t="shared" si="173"/>
        <v>[ul0y9diGujK]|50+|Male|PLHIV_Attend.T|CY2024Q3</v>
      </c>
    </row>
    <row r="5560" spans="4:18" x14ac:dyDescent="0.2">
      <c r="D5560" t="s">
        <v>110</v>
      </c>
      <c r="E5560" t="s">
        <v>111</v>
      </c>
      <c r="F5560" t="s">
        <v>112</v>
      </c>
      <c r="G5560" t="s">
        <v>167</v>
      </c>
      <c r="H5560" t="s">
        <v>167</v>
      </c>
      <c r="I5560" t="s">
        <v>27</v>
      </c>
      <c r="J5560" t="s">
        <v>28</v>
      </c>
      <c r="K5560" t="s">
        <v>29</v>
      </c>
      <c r="L5560" t="s">
        <v>30</v>
      </c>
      <c r="M5560" t="s">
        <v>166</v>
      </c>
      <c r="N5560">
        <v>1015</v>
      </c>
      <c r="O5560" s="14">
        <v>7.7075917739421101E-2</v>
      </c>
      <c r="P5560" s="14">
        <v>0.33776879496872397</v>
      </c>
      <c r="Q5560" t="str">
        <f t="shared" si="172"/>
        <v>&lt;01</v>
      </c>
      <c r="R5560" t="str">
        <f t="shared" si="173"/>
        <v>[U8c0so51kT6]|&lt;01|Female|PLHIV_Attend.T|CY2024Q3</v>
      </c>
    </row>
    <row r="5561" spans="4:18" x14ac:dyDescent="0.2">
      <c r="D5561" t="s">
        <v>110</v>
      </c>
      <c r="E5561" t="s">
        <v>111</v>
      </c>
      <c r="F5561" t="s">
        <v>112</v>
      </c>
      <c r="G5561" t="s">
        <v>167</v>
      </c>
      <c r="H5561" t="s">
        <v>167</v>
      </c>
      <c r="I5561" t="s">
        <v>32</v>
      </c>
      <c r="J5561" t="s">
        <v>33</v>
      </c>
      <c r="K5561" t="s">
        <v>29</v>
      </c>
      <c r="L5561" t="s">
        <v>30</v>
      </c>
      <c r="M5561" t="s">
        <v>166</v>
      </c>
      <c r="N5561">
        <v>1452</v>
      </c>
      <c r="O5561" s="14">
        <v>8.2968168426305108E-3</v>
      </c>
      <c r="P5561" s="14">
        <v>0.33776879496872397</v>
      </c>
      <c r="Q5561" t="str">
        <f t="shared" si="172"/>
        <v>01-09</v>
      </c>
      <c r="R5561" t="str">
        <f t="shared" si="173"/>
        <v>[U8c0so51kT6]|01-09|Female|PLHIV_Attend.T|CY2024Q3</v>
      </c>
    </row>
    <row r="5562" spans="4:18" x14ac:dyDescent="0.2">
      <c r="D5562" t="s">
        <v>110</v>
      </c>
      <c r="E5562" t="s">
        <v>111</v>
      </c>
      <c r="F5562" t="s">
        <v>112</v>
      </c>
      <c r="G5562" t="s">
        <v>167</v>
      </c>
      <c r="H5562" t="s">
        <v>167</v>
      </c>
      <c r="I5562" t="s">
        <v>35</v>
      </c>
      <c r="J5562" t="s">
        <v>36</v>
      </c>
      <c r="K5562" t="s">
        <v>29</v>
      </c>
      <c r="L5562" t="s">
        <v>30</v>
      </c>
      <c r="M5562" t="s">
        <v>166</v>
      </c>
      <c r="N5562">
        <v>605</v>
      </c>
      <c r="O5562" s="14">
        <v>0.97257048543542601</v>
      </c>
      <c r="P5562" s="14">
        <v>0.33776879496872397</v>
      </c>
      <c r="Q5562" t="str">
        <f t="shared" si="172"/>
        <v>10-14</v>
      </c>
      <c r="R5562" t="str">
        <f t="shared" si="173"/>
        <v>[U8c0so51kT6]|10-14|Female|PLHIV_Attend.T|CY2024Q3</v>
      </c>
    </row>
    <row r="5563" spans="4:18" x14ac:dyDescent="0.2">
      <c r="D5563" t="s">
        <v>110</v>
      </c>
      <c r="E5563" t="s">
        <v>111</v>
      </c>
      <c r="F5563" t="s">
        <v>112</v>
      </c>
      <c r="G5563" t="s">
        <v>167</v>
      </c>
      <c r="H5563" t="s">
        <v>167</v>
      </c>
      <c r="I5563" t="s">
        <v>37</v>
      </c>
      <c r="J5563" t="s">
        <v>38</v>
      </c>
      <c r="K5563" t="s">
        <v>29</v>
      </c>
      <c r="L5563" t="s">
        <v>30</v>
      </c>
      <c r="M5563" t="s">
        <v>166</v>
      </c>
      <c r="N5563">
        <v>1982</v>
      </c>
      <c r="O5563" s="14">
        <v>1.19516050908715E-2</v>
      </c>
      <c r="P5563" s="14">
        <v>0.33776879496872397</v>
      </c>
      <c r="Q5563" t="str">
        <f t="shared" si="172"/>
        <v>15-24</v>
      </c>
      <c r="R5563" t="str">
        <f t="shared" si="173"/>
        <v>[U8c0so51kT6]|15-24|Female|PLHIV_Attend.T|CY2024Q3</v>
      </c>
    </row>
    <row r="5564" spans="4:18" x14ac:dyDescent="0.2">
      <c r="D5564" t="s">
        <v>110</v>
      </c>
      <c r="E5564" t="s">
        <v>111</v>
      </c>
      <c r="F5564" t="s">
        <v>112</v>
      </c>
      <c r="G5564" t="s">
        <v>167</v>
      </c>
      <c r="H5564" t="s">
        <v>167</v>
      </c>
      <c r="I5564" t="s">
        <v>40</v>
      </c>
      <c r="J5564" t="s">
        <v>41</v>
      </c>
      <c r="K5564" t="s">
        <v>29</v>
      </c>
      <c r="L5564" t="s">
        <v>30</v>
      </c>
      <c r="M5564" t="s">
        <v>166</v>
      </c>
      <c r="N5564">
        <v>1039</v>
      </c>
      <c r="O5564" s="14">
        <v>5.3405171027407099E-2</v>
      </c>
      <c r="P5564" s="14">
        <v>0.33776879496872397</v>
      </c>
      <c r="Q5564" t="str">
        <f t="shared" si="172"/>
        <v>25-34</v>
      </c>
      <c r="R5564" t="str">
        <f t="shared" si="173"/>
        <v>[U8c0so51kT6]|25-34|Female|PLHIV_Attend.T|CY2024Q3</v>
      </c>
    </row>
    <row r="5565" spans="4:18" x14ac:dyDescent="0.2">
      <c r="D5565" t="s">
        <v>110</v>
      </c>
      <c r="E5565" t="s">
        <v>111</v>
      </c>
      <c r="F5565" t="s">
        <v>112</v>
      </c>
      <c r="G5565" t="s">
        <v>167</v>
      </c>
      <c r="H5565" t="s">
        <v>167</v>
      </c>
      <c r="I5565" t="s">
        <v>42</v>
      </c>
      <c r="J5565" t="s">
        <v>43</v>
      </c>
      <c r="K5565" t="s">
        <v>29</v>
      </c>
      <c r="L5565" t="s">
        <v>30</v>
      </c>
      <c r="M5565" t="s">
        <v>166</v>
      </c>
      <c r="N5565">
        <v>542</v>
      </c>
      <c r="O5565" s="14">
        <v>0.99224626715294995</v>
      </c>
      <c r="P5565" s="14">
        <v>0.33776879496872397</v>
      </c>
      <c r="Q5565" t="str">
        <f t="shared" si="172"/>
        <v>35-49</v>
      </c>
      <c r="R5565" t="str">
        <f t="shared" si="173"/>
        <v>[U8c0so51kT6]|35-49|Female|PLHIV_Attend.T|CY2024Q3</v>
      </c>
    </row>
    <row r="5566" spans="4:18" x14ac:dyDescent="0.2">
      <c r="D5566" t="s">
        <v>110</v>
      </c>
      <c r="E5566" t="s">
        <v>111</v>
      </c>
      <c r="F5566" t="s">
        <v>112</v>
      </c>
      <c r="G5566" t="s">
        <v>167</v>
      </c>
      <c r="H5566" t="s">
        <v>167</v>
      </c>
      <c r="I5566" t="s">
        <v>44</v>
      </c>
      <c r="J5566" t="s">
        <v>45</v>
      </c>
      <c r="K5566" t="s">
        <v>29</v>
      </c>
      <c r="L5566" t="s">
        <v>30</v>
      </c>
      <c r="M5566" t="s">
        <v>166</v>
      </c>
      <c r="N5566">
        <v>1368</v>
      </c>
      <c r="O5566" s="14">
        <v>0.408381683286279</v>
      </c>
      <c r="P5566" s="14">
        <v>0.33776879496872397</v>
      </c>
      <c r="Q5566" t="str">
        <f t="shared" si="172"/>
        <v>50+</v>
      </c>
      <c r="R5566" t="str">
        <f t="shared" si="173"/>
        <v>[U8c0so51kT6]|50+|Female|PLHIV_Attend.T|CY2024Q3</v>
      </c>
    </row>
    <row r="5567" spans="4:18" x14ac:dyDescent="0.2">
      <c r="D5567" t="s">
        <v>110</v>
      </c>
      <c r="E5567" t="s">
        <v>111</v>
      </c>
      <c r="F5567" t="s">
        <v>112</v>
      </c>
      <c r="G5567" t="s">
        <v>167</v>
      </c>
      <c r="H5567" t="s">
        <v>167</v>
      </c>
      <c r="I5567" t="s">
        <v>27</v>
      </c>
      <c r="J5567" t="s">
        <v>28</v>
      </c>
      <c r="K5567" t="s">
        <v>47</v>
      </c>
      <c r="L5567" t="s">
        <v>48</v>
      </c>
      <c r="M5567" t="s">
        <v>166</v>
      </c>
      <c r="N5567">
        <v>1925</v>
      </c>
      <c r="O5567" s="14">
        <v>0.70805905782617595</v>
      </c>
      <c r="P5567" s="14">
        <v>0.33776879496872397</v>
      </c>
      <c r="Q5567" t="str">
        <f t="shared" si="172"/>
        <v>&lt;01</v>
      </c>
      <c r="R5567" t="str">
        <f t="shared" si="173"/>
        <v>[U8c0so51kT6]|&lt;01|Male|PLHIV_Attend.T|CY2024Q3</v>
      </c>
    </row>
    <row r="5568" spans="4:18" x14ac:dyDescent="0.2">
      <c r="D5568" t="s">
        <v>110</v>
      </c>
      <c r="E5568" t="s">
        <v>111</v>
      </c>
      <c r="F5568" t="s">
        <v>112</v>
      </c>
      <c r="G5568" t="s">
        <v>167</v>
      </c>
      <c r="H5568" t="s">
        <v>167</v>
      </c>
      <c r="I5568" t="s">
        <v>32</v>
      </c>
      <c r="J5568" t="s">
        <v>33</v>
      </c>
      <c r="K5568" t="s">
        <v>47</v>
      </c>
      <c r="L5568" t="s">
        <v>48</v>
      </c>
      <c r="M5568" t="s">
        <v>166</v>
      </c>
      <c r="N5568">
        <v>1541</v>
      </c>
      <c r="O5568" s="14">
        <v>0.158679618267342</v>
      </c>
      <c r="P5568" s="14">
        <v>0.33776879496872397</v>
      </c>
      <c r="Q5568" t="str">
        <f t="shared" si="172"/>
        <v>01-09</v>
      </c>
      <c r="R5568" t="str">
        <f t="shared" si="173"/>
        <v>[U8c0so51kT6]|01-09|Male|PLHIV_Attend.T|CY2024Q3</v>
      </c>
    </row>
    <row r="5569" spans="4:18" x14ac:dyDescent="0.2">
      <c r="D5569" t="s">
        <v>110</v>
      </c>
      <c r="E5569" t="s">
        <v>111</v>
      </c>
      <c r="F5569" t="s">
        <v>112</v>
      </c>
      <c r="G5569" t="s">
        <v>167</v>
      </c>
      <c r="H5569" t="s">
        <v>167</v>
      </c>
      <c r="I5569" t="s">
        <v>35</v>
      </c>
      <c r="J5569" t="s">
        <v>36</v>
      </c>
      <c r="K5569" t="s">
        <v>47</v>
      </c>
      <c r="L5569" t="s">
        <v>48</v>
      </c>
      <c r="M5569" t="s">
        <v>166</v>
      </c>
      <c r="N5569">
        <v>1623</v>
      </c>
      <c r="O5569" s="14">
        <v>0.19814029987901399</v>
      </c>
      <c r="P5569" s="14">
        <v>0.33776879496872397</v>
      </c>
      <c r="Q5569" t="str">
        <f t="shared" si="172"/>
        <v>10-14</v>
      </c>
      <c r="R5569" t="str">
        <f t="shared" si="173"/>
        <v>[U8c0so51kT6]|10-14|Male|PLHIV_Attend.T|CY2024Q3</v>
      </c>
    </row>
    <row r="5570" spans="4:18" x14ac:dyDescent="0.2">
      <c r="D5570" t="s">
        <v>110</v>
      </c>
      <c r="E5570" t="s">
        <v>111</v>
      </c>
      <c r="F5570" t="s">
        <v>112</v>
      </c>
      <c r="G5570" t="s">
        <v>167</v>
      </c>
      <c r="H5570" t="s">
        <v>167</v>
      </c>
      <c r="I5570" t="s">
        <v>37</v>
      </c>
      <c r="J5570" t="s">
        <v>38</v>
      </c>
      <c r="K5570" t="s">
        <v>47</v>
      </c>
      <c r="L5570" t="s">
        <v>48</v>
      </c>
      <c r="M5570" t="s">
        <v>166</v>
      </c>
      <c r="N5570">
        <v>1983</v>
      </c>
      <c r="O5570" s="14">
        <v>0.69911938346922398</v>
      </c>
      <c r="P5570" s="14">
        <v>0.33776879496872397</v>
      </c>
      <c r="Q5570" t="str">
        <f t="shared" ref="Q5570:Q5633" si="174">SUBSTITUTE(SUBSTITUTE($I5570,CHAR(61),""),CHAR(34),"")</f>
        <v>15-24</v>
      </c>
      <c r="R5570" t="str">
        <f t="shared" ref="R5570:R5633" si="175">IF($D5570&lt;&gt;"","["&amp;$E5570&amp;"]"&amp;"|"&amp;$Q5570&amp;"|"&amp;$K5570&amp;"|"&amp;$G5570&amp;"|"&amp;IF($G5570="TX_CURR_SUBNAT.R","CY2022Q4",$M5570),"")</f>
        <v>[U8c0so51kT6]|15-24|Male|PLHIV_Attend.T|CY2024Q3</v>
      </c>
    </row>
    <row r="5571" spans="4:18" x14ac:dyDescent="0.2">
      <c r="D5571" t="s">
        <v>110</v>
      </c>
      <c r="E5571" t="s">
        <v>111</v>
      </c>
      <c r="F5571" t="s">
        <v>112</v>
      </c>
      <c r="G5571" t="s">
        <v>167</v>
      </c>
      <c r="H5571" t="s">
        <v>167</v>
      </c>
      <c r="I5571" t="s">
        <v>40</v>
      </c>
      <c r="J5571" t="s">
        <v>41</v>
      </c>
      <c r="K5571" t="s">
        <v>47</v>
      </c>
      <c r="L5571" t="s">
        <v>48</v>
      </c>
      <c r="M5571" t="s">
        <v>166</v>
      </c>
      <c r="N5571">
        <v>820</v>
      </c>
      <c r="O5571" s="14">
        <v>0.51777276117354598</v>
      </c>
      <c r="P5571" s="14">
        <v>0.33776879496872397</v>
      </c>
      <c r="Q5571" t="str">
        <f t="shared" si="174"/>
        <v>25-34</v>
      </c>
      <c r="R5571" t="str">
        <f t="shared" si="175"/>
        <v>[U8c0so51kT6]|25-34|Male|PLHIV_Attend.T|CY2024Q3</v>
      </c>
    </row>
    <row r="5572" spans="4:18" x14ac:dyDescent="0.2">
      <c r="D5572" t="s">
        <v>110</v>
      </c>
      <c r="E5572" t="s">
        <v>111</v>
      </c>
      <c r="F5572" t="s">
        <v>112</v>
      </c>
      <c r="G5572" t="s">
        <v>167</v>
      </c>
      <c r="H5572" t="s">
        <v>167</v>
      </c>
      <c r="I5572" t="s">
        <v>42</v>
      </c>
      <c r="J5572" t="s">
        <v>43</v>
      </c>
      <c r="K5572" t="s">
        <v>47</v>
      </c>
      <c r="L5572" t="s">
        <v>48</v>
      </c>
      <c r="M5572" t="s">
        <v>166</v>
      </c>
      <c r="N5572">
        <v>1036</v>
      </c>
      <c r="O5572" s="14">
        <v>0.28308200929313898</v>
      </c>
      <c r="P5572" s="14">
        <v>0.33776879496872397</v>
      </c>
      <c r="Q5572" t="str">
        <f t="shared" si="174"/>
        <v>35-49</v>
      </c>
      <c r="R5572" t="str">
        <f t="shared" si="175"/>
        <v>[U8c0so51kT6]|35-49|Male|PLHIV_Attend.T|CY2024Q3</v>
      </c>
    </row>
    <row r="5573" spans="4:18" x14ac:dyDescent="0.2">
      <c r="D5573" t="s">
        <v>110</v>
      </c>
      <c r="E5573" t="s">
        <v>111</v>
      </c>
      <c r="F5573" t="s">
        <v>112</v>
      </c>
      <c r="G5573" t="s">
        <v>167</v>
      </c>
      <c r="H5573" t="s">
        <v>167</v>
      </c>
      <c r="I5573" t="s">
        <v>44</v>
      </c>
      <c r="J5573" t="s">
        <v>45</v>
      </c>
      <c r="K5573" t="s">
        <v>47</v>
      </c>
      <c r="L5573" t="s">
        <v>48</v>
      </c>
      <c r="M5573" t="s">
        <v>166</v>
      </c>
      <c r="N5573">
        <v>1300</v>
      </c>
      <c r="O5573" s="14">
        <v>0.84327864763326899</v>
      </c>
      <c r="P5573" s="14">
        <v>0.33776879496872397</v>
      </c>
      <c r="Q5573" t="str">
        <f t="shared" si="174"/>
        <v>50+</v>
      </c>
      <c r="R5573" t="str">
        <f t="shared" si="175"/>
        <v>[U8c0so51kT6]|50+|Male|PLHIV_Attend.T|CY2024Q3</v>
      </c>
    </row>
    <row r="5574" spans="4:18" x14ac:dyDescent="0.2">
      <c r="D5574" t="s">
        <v>113</v>
      </c>
      <c r="E5574" t="s">
        <v>114</v>
      </c>
      <c r="F5574" t="s">
        <v>115</v>
      </c>
      <c r="G5574" t="s">
        <v>167</v>
      </c>
      <c r="H5574" t="s">
        <v>167</v>
      </c>
      <c r="I5574" t="s">
        <v>27</v>
      </c>
      <c r="J5574" t="s">
        <v>28</v>
      </c>
      <c r="K5574" t="s">
        <v>29</v>
      </c>
      <c r="L5574" t="s">
        <v>30</v>
      </c>
      <c r="M5574" t="s">
        <v>166</v>
      </c>
      <c r="N5574">
        <v>1168</v>
      </c>
      <c r="O5574" s="14">
        <v>0.50974950101226602</v>
      </c>
      <c r="P5574" s="14">
        <v>0.29855980910360802</v>
      </c>
      <c r="Q5574" t="str">
        <f t="shared" si="174"/>
        <v>&lt;01</v>
      </c>
      <c r="R5574" t="str">
        <f t="shared" si="175"/>
        <v>[rpw540fmNUz]|&lt;01|Female|PLHIV_Attend.T|CY2024Q3</v>
      </c>
    </row>
    <row r="5575" spans="4:18" x14ac:dyDescent="0.2">
      <c r="D5575" t="s">
        <v>113</v>
      </c>
      <c r="E5575" t="s">
        <v>114</v>
      </c>
      <c r="F5575" t="s">
        <v>115</v>
      </c>
      <c r="G5575" t="s">
        <v>167</v>
      </c>
      <c r="H5575" t="s">
        <v>167</v>
      </c>
      <c r="I5575" t="s">
        <v>32</v>
      </c>
      <c r="J5575" t="s">
        <v>33</v>
      </c>
      <c r="K5575" t="s">
        <v>29</v>
      </c>
      <c r="L5575" t="s">
        <v>30</v>
      </c>
      <c r="M5575" t="s">
        <v>166</v>
      </c>
      <c r="N5575">
        <v>565</v>
      </c>
      <c r="O5575" s="14">
        <v>0.55291952472180095</v>
      </c>
      <c r="P5575" s="14">
        <v>0.29855980910360802</v>
      </c>
      <c r="Q5575" t="str">
        <f t="shared" si="174"/>
        <v>01-09</v>
      </c>
      <c r="R5575" t="str">
        <f t="shared" si="175"/>
        <v>[rpw540fmNUz]|01-09|Female|PLHIV_Attend.T|CY2024Q3</v>
      </c>
    </row>
    <row r="5576" spans="4:18" x14ac:dyDescent="0.2">
      <c r="D5576" t="s">
        <v>113</v>
      </c>
      <c r="E5576" t="s">
        <v>114</v>
      </c>
      <c r="F5576" t="s">
        <v>115</v>
      </c>
      <c r="G5576" t="s">
        <v>167</v>
      </c>
      <c r="H5576" t="s">
        <v>167</v>
      </c>
      <c r="I5576" t="s">
        <v>35</v>
      </c>
      <c r="J5576" t="s">
        <v>36</v>
      </c>
      <c r="K5576" t="s">
        <v>29</v>
      </c>
      <c r="L5576" t="s">
        <v>30</v>
      </c>
      <c r="M5576" t="s">
        <v>166</v>
      </c>
      <c r="N5576">
        <v>1190</v>
      </c>
      <c r="O5576" s="14">
        <v>0.27848807699047001</v>
      </c>
      <c r="P5576" s="14">
        <v>0.29855980910360802</v>
      </c>
      <c r="Q5576" t="str">
        <f t="shared" si="174"/>
        <v>10-14</v>
      </c>
      <c r="R5576" t="str">
        <f t="shared" si="175"/>
        <v>[rpw540fmNUz]|10-14|Female|PLHIV_Attend.T|CY2024Q3</v>
      </c>
    </row>
    <row r="5577" spans="4:18" x14ac:dyDescent="0.2">
      <c r="D5577" t="s">
        <v>113</v>
      </c>
      <c r="E5577" t="s">
        <v>114</v>
      </c>
      <c r="F5577" t="s">
        <v>115</v>
      </c>
      <c r="G5577" t="s">
        <v>167</v>
      </c>
      <c r="H5577" t="s">
        <v>167</v>
      </c>
      <c r="I5577" t="s">
        <v>37</v>
      </c>
      <c r="J5577" t="s">
        <v>38</v>
      </c>
      <c r="K5577" t="s">
        <v>29</v>
      </c>
      <c r="L5577" t="s">
        <v>30</v>
      </c>
      <c r="M5577" t="s">
        <v>166</v>
      </c>
      <c r="N5577">
        <v>899</v>
      </c>
      <c r="O5577" s="14">
        <v>9.5009464072063607E-2</v>
      </c>
      <c r="P5577" s="14">
        <v>0.29855980910360802</v>
      </c>
      <c r="Q5577" t="str">
        <f t="shared" si="174"/>
        <v>15-24</v>
      </c>
      <c r="R5577" t="str">
        <f t="shared" si="175"/>
        <v>[rpw540fmNUz]|15-24|Female|PLHIV_Attend.T|CY2024Q3</v>
      </c>
    </row>
    <row r="5578" spans="4:18" x14ac:dyDescent="0.2">
      <c r="D5578" t="s">
        <v>113</v>
      </c>
      <c r="E5578" t="s">
        <v>114</v>
      </c>
      <c r="F5578" t="s">
        <v>115</v>
      </c>
      <c r="G5578" t="s">
        <v>167</v>
      </c>
      <c r="H5578" t="s">
        <v>167</v>
      </c>
      <c r="I5578" t="s">
        <v>40</v>
      </c>
      <c r="J5578" t="s">
        <v>41</v>
      </c>
      <c r="K5578" t="s">
        <v>29</v>
      </c>
      <c r="L5578" t="s">
        <v>30</v>
      </c>
      <c r="M5578" t="s">
        <v>166</v>
      </c>
      <c r="N5578">
        <v>646</v>
      </c>
      <c r="O5578" s="14">
        <v>0.971187727991492</v>
      </c>
      <c r="P5578" s="14">
        <v>0.29855980910360802</v>
      </c>
      <c r="Q5578" t="str">
        <f t="shared" si="174"/>
        <v>25-34</v>
      </c>
      <c r="R5578" t="str">
        <f t="shared" si="175"/>
        <v>[rpw540fmNUz]|25-34|Female|PLHIV_Attend.T|CY2024Q3</v>
      </c>
    </row>
    <row r="5579" spans="4:18" x14ac:dyDescent="0.2">
      <c r="D5579" t="s">
        <v>113</v>
      </c>
      <c r="E5579" t="s">
        <v>114</v>
      </c>
      <c r="F5579" t="s">
        <v>115</v>
      </c>
      <c r="G5579" t="s">
        <v>167</v>
      </c>
      <c r="H5579" t="s">
        <v>167</v>
      </c>
      <c r="I5579" t="s">
        <v>42</v>
      </c>
      <c r="J5579" t="s">
        <v>43</v>
      </c>
      <c r="K5579" t="s">
        <v>29</v>
      </c>
      <c r="L5579" t="s">
        <v>30</v>
      </c>
      <c r="M5579" t="s">
        <v>166</v>
      </c>
      <c r="N5579">
        <v>552</v>
      </c>
      <c r="O5579" s="14">
        <v>0.77722617983818099</v>
      </c>
      <c r="P5579" s="14">
        <v>0.29855980910360802</v>
      </c>
      <c r="Q5579" t="str">
        <f t="shared" si="174"/>
        <v>35-49</v>
      </c>
      <c r="R5579" t="str">
        <f t="shared" si="175"/>
        <v>[rpw540fmNUz]|35-49|Female|PLHIV_Attend.T|CY2024Q3</v>
      </c>
    </row>
    <row r="5580" spans="4:18" x14ac:dyDescent="0.2">
      <c r="D5580" t="s">
        <v>113</v>
      </c>
      <c r="E5580" t="s">
        <v>114</v>
      </c>
      <c r="F5580" t="s">
        <v>115</v>
      </c>
      <c r="G5580" t="s">
        <v>167</v>
      </c>
      <c r="H5580" t="s">
        <v>167</v>
      </c>
      <c r="I5580" t="s">
        <v>44</v>
      </c>
      <c r="J5580" t="s">
        <v>45</v>
      </c>
      <c r="K5580" t="s">
        <v>29</v>
      </c>
      <c r="L5580" t="s">
        <v>30</v>
      </c>
      <c r="M5580" t="s">
        <v>166</v>
      </c>
      <c r="N5580">
        <v>1986</v>
      </c>
      <c r="O5580" s="14">
        <v>0.53636530879885003</v>
      </c>
      <c r="P5580" s="14">
        <v>0.29855980910360802</v>
      </c>
      <c r="Q5580" t="str">
        <f t="shared" si="174"/>
        <v>50+</v>
      </c>
      <c r="R5580" t="str">
        <f t="shared" si="175"/>
        <v>[rpw540fmNUz]|50+|Female|PLHIV_Attend.T|CY2024Q3</v>
      </c>
    </row>
    <row r="5581" spans="4:18" x14ac:dyDescent="0.2">
      <c r="D5581" t="s">
        <v>113</v>
      </c>
      <c r="E5581" t="s">
        <v>114</v>
      </c>
      <c r="F5581" t="s">
        <v>115</v>
      </c>
      <c r="G5581" t="s">
        <v>167</v>
      </c>
      <c r="H5581" t="s">
        <v>167</v>
      </c>
      <c r="I5581" t="s">
        <v>27</v>
      </c>
      <c r="J5581" t="s">
        <v>28</v>
      </c>
      <c r="K5581" t="s">
        <v>47</v>
      </c>
      <c r="L5581" t="s">
        <v>48</v>
      </c>
      <c r="M5581" t="s">
        <v>166</v>
      </c>
      <c r="N5581">
        <v>691</v>
      </c>
      <c r="O5581" s="14">
        <v>0.81128447549417604</v>
      </c>
      <c r="P5581" s="14">
        <v>0.29855980910360802</v>
      </c>
      <c r="Q5581" t="str">
        <f t="shared" si="174"/>
        <v>&lt;01</v>
      </c>
      <c r="R5581" t="str">
        <f t="shared" si="175"/>
        <v>[rpw540fmNUz]|&lt;01|Male|PLHIV_Attend.T|CY2024Q3</v>
      </c>
    </row>
    <row r="5582" spans="4:18" x14ac:dyDescent="0.2">
      <c r="D5582" t="s">
        <v>113</v>
      </c>
      <c r="E5582" t="s">
        <v>114</v>
      </c>
      <c r="F5582" t="s">
        <v>115</v>
      </c>
      <c r="G5582" t="s">
        <v>167</v>
      </c>
      <c r="H5582" t="s">
        <v>167</v>
      </c>
      <c r="I5582" t="s">
        <v>32</v>
      </c>
      <c r="J5582" t="s">
        <v>33</v>
      </c>
      <c r="K5582" t="s">
        <v>47</v>
      </c>
      <c r="L5582" t="s">
        <v>48</v>
      </c>
      <c r="M5582" t="s">
        <v>166</v>
      </c>
      <c r="N5582">
        <v>612</v>
      </c>
      <c r="O5582" s="14">
        <v>0.28559691808186499</v>
      </c>
      <c r="P5582" s="14">
        <v>0.29855980910360802</v>
      </c>
      <c r="Q5582" t="str">
        <f t="shared" si="174"/>
        <v>01-09</v>
      </c>
      <c r="R5582" t="str">
        <f t="shared" si="175"/>
        <v>[rpw540fmNUz]|01-09|Male|PLHIV_Attend.T|CY2024Q3</v>
      </c>
    </row>
    <row r="5583" spans="4:18" x14ac:dyDescent="0.2">
      <c r="D5583" t="s">
        <v>113</v>
      </c>
      <c r="E5583" t="s">
        <v>114</v>
      </c>
      <c r="F5583" t="s">
        <v>115</v>
      </c>
      <c r="G5583" t="s">
        <v>167</v>
      </c>
      <c r="H5583" t="s">
        <v>167</v>
      </c>
      <c r="I5583" t="s">
        <v>35</v>
      </c>
      <c r="J5583" t="s">
        <v>36</v>
      </c>
      <c r="K5583" t="s">
        <v>47</v>
      </c>
      <c r="L5583" t="s">
        <v>48</v>
      </c>
      <c r="M5583" t="s">
        <v>166</v>
      </c>
      <c r="N5583">
        <v>529</v>
      </c>
      <c r="O5583" s="14">
        <v>0.816765563096851</v>
      </c>
      <c r="P5583" s="14">
        <v>0.29855980910360802</v>
      </c>
      <c r="Q5583" t="str">
        <f t="shared" si="174"/>
        <v>10-14</v>
      </c>
      <c r="R5583" t="str">
        <f t="shared" si="175"/>
        <v>[rpw540fmNUz]|10-14|Male|PLHIV_Attend.T|CY2024Q3</v>
      </c>
    </row>
    <row r="5584" spans="4:18" x14ac:dyDescent="0.2">
      <c r="D5584" t="s">
        <v>113</v>
      </c>
      <c r="E5584" t="s">
        <v>114</v>
      </c>
      <c r="F5584" t="s">
        <v>115</v>
      </c>
      <c r="G5584" t="s">
        <v>167</v>
      </c>
      <c r="H5584" t="s">
        <v>167</v>
      </c>
      <c r="I5584" t="s">
        <v>37</v>
      </c>
      <c r="J5584" t="s">
        <v>38</v>
      </c>
      <c r="K5584" t="s">
        <v>47</v>
      </c>
      <c r="L5584" t="s">
        <v>48</v>
      </c>
      <c r="M5584" t="s">
        <v>166</v>
      </c>
      <c r="N5584">
        <v>1630</v>
      </c>
      <c r="O5584" s="14">
        <v>0.36854429659433702</v>
      </c>
      <c r="P5584" s="14">
        <v>0.29855980910360802</v>
      </c>
      <c r="Q5584" t="str">
        <f t="shared" si="174"/>
        <v>15-24</v>
      </c>
      <c r="R5584" t="str">
        <f t="shared" si="175"/>
        <v>[rpw540fmNUz]|15-24|Male|PLHIV_Attend.T|CY2024Q3</v>
      </c>
    </row>
    <row r="5585" spans="4:18" x14ac:dyDescent="0.2">
      <c r="D5585" t="s">
        <v>113</v>
      </c>
      <c r="E5585" t="s">
        <v>114</v>
      </c>
      <c r="F5585" t="s">
        <v>115</v>
      </c>
      <c r="G5585" t="s">
        <v>167</v>
      </c>
      <c r="H5585" t="s">
        <v>167</v>
      </c>
      <c r="I5585" t="s">
        <v>40</v>
      </c>
      <c r="J5585" t="s">
        <v>41</v>
      </c>
      <c r="K5585" t="s">
        <v>47</v>
      </c>
      <c r="L5585" t="s">
        <v>48</v>
      </c>
      <c r="M5585" t="s">
        <v>166</v>
      </c>
      <c r="N5585">
        <v>1240</v>
      </c>
      <c r="O5585" s="14">
        <v>0.47123783919960299</v>
      </c>
      <c r="P5585" s="14">
        <v>0.29855980910360802</v>
      </c>
      <c r="Q5585" t="str">
        <f t="shared" si="174"/>
        <v>25-34</v>
      </c>
      <c r="R5585" t="str">
        <f t="shared" si="175"/>
        <v>[rpw540fmNUz]|25-34|Male|PLHIV_Attend.T|CY2024Q3</v>
      </c>
    </row>
    <row r="5586" spans="4:18" x14ac:dyDescent="0.2">
      <c r="D5586" t="s">
        <v>113</v>
      </c>
      <c r="E5586" t="s">
        <v>114</v>
      </c>
      <c r="F5586" t="s">
        <v>115</v>
      </c>
      <c r="G5586" t="s">
        <v>167</v>
      </c>
      <c r="H5586" t="s">
        <v>167</v>
      </c>
      <c r="I5586" t="s">
        <v>42</v>
      </c>
      <c r="J5586" t="s">
        <v>43</v>
      </c>
      <c r="K5586" t="s">
        <v>47</v>
      </c>
      <c r="L5586" t="s">
        <v>48</v>
      </c>
      <c r="M5586" t="s">
        <v>166</v>
      </c>
      <c r="N5586">
        <v>776</v>
      </c>
      <c r="O5586" s="14">
        <v>0.76734143518842801</v>
      </c>
      <c r="P5586" s="14">
        <v>0.29855980910360802</v>
      </c>
      <c r="Q5586" t="str">
        <f t="shared" si="174"/>
        <v>35-49</v>
      </c>
      <c r="R5586" t="str">
        <f t="shared" si="175"/>
        <v>[rpw540fmNUz]|35-49|Male|PLHIV_Attend.T|CY2024Q3</v>
      </c>
    </row>
    <row r="5587" spans="4:18" x14ac:dyDescent="0.2">
      <c r="D5587" t="s">
        <v>113</v>
      </c>
      <c r="E5587" t="s">
        <v>114</v>
      </c>
      <c r="F5587" t="s">
        <v>115</v>
      </c>
      <c r="G5587" t="s">
        <v>167</v>
      </c>
      <c r="H5587" t="s">
        <v>167</v>
      </c>
      <c r="I5587" t="s">
        <v>44</v>
      </c>
      <c r="J5587" t="s">
        <v>45</v>
      </c>
      <c r="K5587" t="s">
        <v>47</v>
      </c>
      <c r="L5587" t="s">
        <v>48</v>
      </c>
      <c r="M5587" t="s">
        <v>166</v>
      </c>
      <c r="N5587">
        <v>689</v>
      </c>
      <c r="O5587" s="14">
        <v>0.95489304419606902</v>
      </c>
      <c r="P5587" s="14">
        <v>0.29855980910360802</v>
      </c>
      <c r="Q5587" t="str">
        <f t="shared" si="174"/>
        <v>50+</v>
      </c>
      <c r="R5587" t="str">
        <f t="shared" si="175"/>
        <v>[rpw540fmNUz]|50+|Male|PLHIV_Attend.T|CY2024Q3</v>
      </c>
    </row>
    <row r="5588" spans="4:18" x14ac:dyDescent="0.2">
      <c r="D5588" t="s">
        <v>116</v>
      </c>
      <c r="E5588" t="s">
        <v>117</v>
      </c>
      <c r="F5588" t="s">
        <v>118</v>
      </c>
      <c r="G5588" t="s">
        <v>167</v>
      </c>
      <c r="H5588" t="s">
        <v>167</v>
      </c>
      <c r="I5588" t="s">
        <v>27</v>
      </c>
      <c r="J5588" t="s">
        <v>28</v>
      </c>
      <c r="K5588" t="s">
        <v>29</v>
      </c>
      <c r="L5588" t="s">
        <v>30</v>
      </c>
      <c r="M5588" t="s">
        <v>166</v>
      </c>
      <c r="N5588">
        <v>674</v>
      </c>
      <c r="O5588" s="14">
        <v>0.99719046778045595</v>
      </c>
      <c r="P5588" s="14">
        <v>0.206259709550068</v>
      </c>
      <c r="Q5588" t="str">
        <f t="shared" si="174"/>
        <v>&lt;01</v>
      </c>
      <c r="R5588" t="str">
        <f t="shared" si="175"/>
        <v>[lPTyjLi4w3d]|&lt;01|Female|PLHIV_Attend.T|CY2024Q3</v>
      </c>
    </row>
    <row r="5589" spans="4:18" x14ac:dyDescent="0.2">
      <c r="D5589" t="s">
        <v>116</v>
      </c>
      <c r="E5589" t="s">
        <v>117</v>
      </c>
      <c r="F5589" t="s">
        <v>118</v>
      </c>
      <c r="G5589" t="s">
        <v>167</v>
      </c>
      <c r="H5589" t="s">
        <v>167</v>
      </c>
      <c r="I5589" t="s">
        <v>32</v>
      </c>
      <c r="J5589" t="s">
        <v>33</v>
      </c>
      <c r="K5589" t="s">
        <v>29</v>
      </c>
      <c r="L5589" t="s">
        <v>30</v>
      </c>
      <c r="M5589" t="s">
        <v>166</v>
      </c>
      <c r="N5589">
        <v>1599</v>
      </c>
      <c r="O5589" s="14">
        <v>2.9797214549034799E-2</v>
      </c>
      <c r="P5589" s="14">
        <v>0.206259709550068</v>
      </c>
      <c r="Q5589" t="str">
        <f t="shared" si="174"/>
        <v>01-09</v>
      </c>
      <c r="R5589" t="str">
        <f t="shared" si="175"/>
        <v>[lPTyjLi4w3d]|01-09|Female|PLHIV_Attend.T|CY2024Q3</v>
      </c>
    </row>
    <row r="5590" spans="4:18" x14ac:dyDescent="0.2">
      <c r="D5590" t="s">
        <v>116</v>
      </c>
      <c r="E5590" t="s">
        <v>117</v>
      </c>
      <c r="F5590" t="s">
        <v>118</v>
      </c>
      <c r="G5590" t="s">
        <v>167</v>
      </c>
      <c r="H5590" t="s">
        <v>167</v>
      </c>
      <c r="I5590" t="s">
        <v>35</v>
      </c>
      <c r="J5590" t="s">
        <v>36</v>
      </c>
      <c r="K5590" t="s">
        <v>29</v>
      </c>
      <c r="L5590" t="s">
        <v>30</v>
      </c>
      <c r="M5590" t="s">
        <v>166</v>
      </c>
      <c r="N5590">
        <v>1482</v>
      </c>
      <c r="O5590" s="14">
        <v>0.23279923945665401</v>
      </c>
      <c r="P5590" s="14">
        <v>0.206259709550068</v>
      </c>
      <c r="Q5590" t="str">
        <f t="shared" si="174"/>
        <v>10-14</v>
      </c>
      <c r="R5590" t="str">
        <f t="shared" si="175"/>
        <v>[lPTyjLi4w3d]|10-14|Female|PLHIV_Attend.T|CY2024Q3</v>
      </c>
    </row>
    <row r="5591" spans="4:18" x14ac:dyDescent="0.2">
      <c r="D5591" t="s">
        <v>116</v>
      </c>
      <c r="E5591" t="s">
        <v>117</v>
      </c>
      <c r="F5591" t="s">
        <v>118</v>
      </c>
      <c r="G5591" t="s">
        <v>167</v>
      </c>
      <c r="H5591" t="s">
        <v>167</v>
      </c>
      <c r="I5591" t="s">
        <v>37</v>
      </c>
      <c r="J5591" t="s">
        <v>38</v>
      </c>
      <c r="K5591" t="s">
        <v>29</v>
      </c>
      <c r="L5591" t="s">
        <v>30</v>
      </c>
      <c r="M5591" t="s">
        <v>166</v>
      </c>
      <c r="N5591">
        <v>645</v>
      </c>
      <c r="O5591" s="14">
        <v>0.15795837156474599</v>
      </c>
      <c r="P5591" s="14">
        <v>0.206259709550068</v>
      </c>
      <c r="Q5591" t="str">
        <f t="shared" si="174"/>
        <v>15-24</v>
      </c>
      <c r="R5591" t="str">
        <f t="shared" si="175"/>
        <v>[lPTyjLi4w3d]|15-24|Female|PLHIV_Attend.T|CY2024Q3</v>
      </c>
    </row>
    <row r="5592" spans="4:18" x14ac:dyDescent="0.2">
      <c r="D5592" t="s">
        <v>116</v>
      </c>
      <c r="E5592" t="s">
        <v>117</v>
      </c>
      <c r="F5592" t="s">
        <v>118</v>
      </c>
      <c r="G5592" t="s">
        <v>167</v>
      </c>
      <c r="H5592" t="s">
        <v>167</v>
      </c>
      <c r="I5592" t="s">
        <v>40</v>
      </c>
      <c r="J5592" t="s">
        <v>41</v>
      </c>
      <c r="K5592" t="s">
        <v>29</v>
      </c>
      <c r="L5592" t="s">
        <v>30</v>
      </c>
      <c r="M5592" t="s">
        <v>166</v>
      </c>
      <c r="N5592">
        <v>1847</v>
      </c>
      <c r="O5592" s="14">
        <v>0.169757870957255</v>
      </c>
      <c r="P5592" s="14">
        <v>0.206259709550068</v>
      </c>
      <c r="Q5592" t="str">
        <f t="shared" si="174"/>
        <v>25-34</v>
      </c>
      <c r="R5592" t="str">
        <f t="shared" si="175"/>
        <v>[lPTyjLi4w3d]|25-34|Female|PLHIV_Attend.T|CY2024Q3</v>
      </c>
    </row>
    <row r="5593" spans="4:18" x14ac:dyDescent="0.2">
      <c r="D5593" t="s">
        <v>116</v>
      </c>
      <c r="E5593" t="s">
        <v>117</v>
      </c>
      <c r="F5593" t="s">
        <v>118</v>
      </c>
      <c r="G5593" t="s">
        <v>167</v>
      </c>
      <c r="H5593" t="s">
        <v>167</v>
      </c>
      <c r="I5593" t="s">
        <v>42</v>
      </c>
      <c r="J5593" t="s">
        <v>43</v>
      </c>
      <c r="K5593" t="s">
        <v>29</v>
      </c>
      <c r="L5593" t="s">
        <v>30</v>
      </c>
      <c r="M5593" t="s">
        <v>166</v>
      </c>
      <c r="N5593">
        <v>1766</v>
      </c>
      <c r="O5593" s="14">
        <v>0.18173732492141401</v>
      </c>
      <c r="P5593" s="14">
        <v>0.206259709550068</v>
      </c>
      <c r="Q5593" t="str">
        <f t="shared" si="174"/>
        <v>35-49</v>
      </c>
      <c r="R5593" t="str">
        <f t="shared" si="175"/>
        <v>[lPTyjLi4w3d]|35-49|Female|PLHIV_Attend.T|CY2024Q3</v>
      </c>
    </row>
    <row r="5594" spans="4:18" x14ac:dyDescent="0.2">
      <c r="D5594" t="s">
        <v>116</v>
      </c>
      <c r="E5594" t="s">
        <v>117</v>
      </c>
      <c r="F5594" t="s">
        <v>118</v>
      </c>
      <c r="G5594" t="s">
        <v>167</v>
      </c>
      <c r="H5594" t="s">
        <v>167</v>
      </c>
      <c r="I5594" t="s">
        <v>44</v>
      </c>
      <c r="J5594" t="s">
        <v>45</v>
      </c>
      <c r="K5594" t="s">
        <v>29</v>
      </c>
      <c r="L5594" t="s">
        <v>30</v>
      </c>
      <c r="M5594" t="s">
        <v>166</v>
      </c>
      <c r="N5594">
        <v>1797</v>
      </c>
      <c r="O5594" s="14">
        <v>0.81301586702466</v>
      </c>
      <c r="P5594" s="14">
        <v>0.206259709550068</v>
      </c>
      <c r="Q5594" t="str">
        <f t="shared" si="174"/>
        <v>50+</v>
      </c>
      <c r="R5594" t="str">
        <f t="shared" si="175"/>
        <v>[lPTyjLi4w3d]|50+|Female|PLHIV_Attend.T|CY2024Q3</v>
      </c>
    </row>
    <row r="5595" spans="4:18" x14ac:dyDescent="0.2">
      <c r="D5595" t="s">
        <v>116</v>
      </c>
      <c r="E5595" t="s">
        <v>117</v>
      </c>
      <c r="F5595" t="s">
        <v>118</v>
      </c>
      <c r="G5595" t="s">
        <v>167</v>
      </c>
      <c r="H5595" t="s">
        <v>167</v>
      </c>
      <c r="I5595" t="s">
        <v>27</v>
      </c>
      <c r="J5595" t="s">
        <v>28</v>
      </c>
      <c r="K5595" t="s">
        <v>47</v>
      </c>
      <c r="L5595" t="s">
        <v>48</v>
      </c>
      <c r="M5595" t="s">
        <v>166</v>
      </c>
      <c r="N5595">
        <v>1429</v>
      </c>
      <c r="O5595" s="14">
        <v>0.80103699746541701</v>
      </c>
      <c r="P5595" s="14">
        <v>0.206259709550068</v>
      </c>
      <c r="Q5595" t="str">
        <f t="shared" si="174"/>
        <v>&lt;01</v>
      </c>
      <c r="R5595" t="str">
        <f t="shared" si="175"/>
        <v>[lPTyjLi4w3d]|&lt;01|Male|PLHIV_Attend.T|CY2024Q3</v>
      </c>
    </row>
    <row r="5596" spans="4:18" x14ac:dyDescent="0.2">
      <c r="D5596" t="s">
        <v>116</v>
      </c>
      <c r="E5596" t="s">
        <v>117</v>
      </c>
      <c r="F5596" t="s">
        <v>118</v>
      </c>
      <c r="G5596" t="s">
        <v>167</v>
      </c>
      <c r="H5596" t="s">
        <v>167</v>
      </c>
      <c r="I5596" t="s">
        <v>32</v>
      </c>
      <c r="J5596" t="s">
        <v>33</v>
      </c>
      <c r="K5596" t="s">
        <v>47</v>
      </c>
      <c r="L5596" t="s">
        <v>48</v>
      </c>
      <c r="M5596" t="s">
        <v>166</v>
      </c>
      <c r="N5596">
        <v>1446</v>
      </c>
      <c r="O5596" s="14">
        <v>6.18385679554194E-2</v>
      </c>
      <c r="P5596" s="14">
        <v>0.206259709550068</v>
      </c>
      <c r="Q5596" t="str">
        <f t="shared" si="174"/>
        <v>01-09</v>
      </c>
      <c r="R5596" t="str">
        <f t="shared" si="175"/>
        <v>[lPTyjLi4w3d]|01-09|Male|PLHIV_Attend.T|CY2024Q3</v>
      </c>
    </row>
    <row r="5597" spans="4:18" x14ac:dyDescent="0.2">
      <c r="D5597" t="s">
        <v>116</v>
      </c>
      <c r="E5597" t="s">
        <v>117</v>
      </c>
      <c r="F5597" t="s">
        <v>118</v>
      </c>
      <c r="G5597" t="s">
        <v>167</v>
      </c>
      <c r="H5597" t="s">
        <v>167</v>
      </c>
      <c r="I5597" t="s">
        <v>35</v>
      </c>
      <c r="J5597" t="s">
        <v>36</v>
      </c>
      <c r="K5597" t="s">
        <v>47</v>
      </c>
      <c r="L5597" t="s">
        <v>48</v>
      </c>
      <c r="M5597" t="s">
        <v>166</v>
      </c>
      <c r="N5597">
        <v>1164</v>
      </c>
      <c r="O5597" s="14">
        <v>1.92593922838569E-2</v>
      </c>
      <c r="P5597" s="14">
        <v>0.206259709550068</v>
      </c>
      <c r="Q5597" t="str">
        <f t="shared" si="174"/>
        <v>10-14</v>
      </c>
      <c r="R5597" t="str">
        <f t="shared" si="175"/>
        <v>[lPTyjLi4w3d]|10-14|Male|PLHIV_Attend.T|CY2024Q3</v>
      </c>
    </row>
    <row r="5598" spans="4:18" x14ac:dyDescent="0.2">
      <c r="D5598" t="s">
        <v>116</v>
      </c>
      <c r="E5598" t="s">
        <v>117</v>
      </c>
      <c r="F5598" t="s">
        <v>118</v>
      </c>
      <c r="G5598" t="s">
        <v>167</v>
      </c>
      <c r="H5598" t="s">
        <v>167</v>
      </c>
      <c r="I5598" t="s">
        <v>37</v>
      </c>
      <c r="J5598" t="s">
        <v>38</v>
      </c>
      <c r="K5598" t="s">
        <v>47</v>
      </c>
      <c r="L5598" t="s">
        <v>48</v>
      </c>
      <c r="M5598" t="s">
        <v>166</v>
      </c>
      <c r="N5598">
        <v>1988</v>
      </c>
      <c r="O5598" s="14">
        <v>0.86843778309412301</v>
      </c>
      <c r="P5598" s="14">
        <v>0.206259709550068</v>
      </c>
      <c r="Q5598" t="str">
        <f t="shared" si="174"/>
        <v>15-24</v>
      </c>
      <c r="R5598" t="str">
        <f t="shared" si="175"/>
        <v>[lPTyjLi4w3d]|15-24|Male|PLHIV_Attend.T|CY2024Q3</v>
      </c>
    </row>
    <row r="5599" spans="4:18" x14ac:dyDescent="0.2">
      <c r="D5599" t="s">
        <v>116</v>
      </c>
      <c r="E5599" t="s">
        <v>117</v>
      </c>
      <c r="F5599" t="s">
        <v>118</v>
      </c>
      <c r="G5599" t="s">
        <v>167</v>
      </c>
      <c r="H5599" t="s">
        <v>167</v>
      </c>
      <c r="I5599" t="s">
        <v>40</v>
      </c>
      <c r="J5599" t="s">
        <v>41</v>
      </c>
      <c r="K5599" t="s">
        <v>47</v>
      </c>
      <c r="L5599" t="s">
        <v>48</v>
      </c>
      <c r="M5599" t="s">
        <v>166</v>
      </c>
      <c r="N5599">
        <v>1048</v>
      </c>
      <c r="O5599" s="14">
        <v>0.74751135194674101</v>
      </c>
      <c r="P5599" s="14">
        <v>0.206259709550068</v>
      </c>
      <c r="Q5599" t="str">
        <f t="shared" si="174"/>
        <v>25-34</v>
      </c>
      <c r="R5599" t="str">
        <f t="shared" si="175"/>
        <v>[lPTyjLi4w3d]|25-34|Male|PLHIV_Attend.T|CY2024Q3</v>
      </c>
    </row>
    <row r="5600" spans="4:18" x14ac:dyDescent="0.2">
      <c r="D5600" t="s">
        <v>116</v>
      </c>
      <c r="E5600" t="s">
        <v>117</v>
      </c>
      <c r="F5600" t="s">
        <v>118</v>
      </c>
      <c r="G5600" t="s">
        <v>167</v>
      </c>
      <c r="H5600" t="s">
        <v>167</v>
      </c>
      <c r="I5600" t="s">
        <v>42</v>
      </c>
      <c r="J5600" t="s">
        <v>43</v>
      </c>
      <c r="K5600" t="s">
        <v>47</v>
      </c>
      <c r="L5600" t="s">
        <v>48</v>
      </c>
      <c r="M5600" t="s">
        <v>166</v>
      </c>
      <c r="N5600">
        <v>1452</v>
      </c>
      <c r="O5600" s="14">
        <v>0.1899399375543</v>
      </c>
      <c r="P5600" s="14">
        <v>0.206259709550068</v>
      </c>
      <c r="Q5600" t="str">
        <f t="shared" si="174"/>
        <v>35-49</v>
      </c>
      <c r="R5600" t="str">
        <f t="shared" si="175"/>
        <v>[lPTyjLi4w3d]|35-49|Male|PLHIV_Attend.T|CY2024Q3</v>
      </c>
    </row>
    <row r="5601" spans="4:18" x14ac:dyDescent="0.2">
      <c r="D5601" t="s">
        <v>116</v>
      </c>
      <c r="E5601" t="s">
        <v>117</v>
      </c>
      <c r="F5601" t="s">
        <v>118</v>
      </c>
      <c r="G5601" t="s">
        <v>167</v>
      </c>
      <c r="H5601" t="s">
        <v>167</v>
      </c>
      <c r="I5601" t="s">
        <v>44</v>
      </c>
      <c r="J5601" t="s">
        <v>45</v>
      </c>
      <c r="K5601" t="s">
        <v>47</v>
      </c>
      <c r="L5601" t="s">
        <v>48</v>
      </c>
      <c r="M5601" t="s">
        <v>166</v>
      </c>
      <c r="N5601">
        <v>798</v>
      </c>
      <c r="O5601" s="14">
        <v>7.9748816555365906E-2</v>
      </c>
      <c r="P5601" s="14">
        <v>0.206259709550068</v>
      </c>
      <c r="Q5601" t="str">
        <f t="shared" si="174"/>
        <v>50+</v>
      </c>
      <c r="R5601" t="str">
        <f t="shared" si="175"/>
        <v>[lPTyjLi4w3d]|50+|Male|PLHIV_Attend.T|CY2024Q3</v>
      </c>
    </row>
    <row r="5602" spans="4:18" x14ac:dyDescent="0.2">
      <c r="D5602" t="s">
        <v>119</v>
      </c>
      <c r="E5602" t="s">
        <v>120</v>
      </c>
      <c r="F5602" t="s">
        <v>121</v>
      </c>
      <c r="G5602" t="s">
        <v>167</v>
      </c>
      <c r="H5602" t="s">
        <v>167</v>
      </c>
      <c r="I5602" t="s">
        <v>27</v>
      </c>
      <c r="J5602" t="s">
        <v>28</v>
      </c>
      <c r="K5602" t="s">
        <v>29</v>
      </c>
      <c r="L5602" t="s">
        <v>30</v>
      </c>
      <c r="M5602" t="s">
        <v>166</v>
      </c>
      <c r="N5602">
        <v>1814</v>
      </c>
      <c r="O5602" s="14">
        <v>0.46776162064634302</v>
      </c>
      <c r="P5602" s="14">
        <v>0.43010397930629601</v>
      </c>
      <c r="Q5602" t="str">
        <f t="shared" si="174"/>
        <v>&lt;01</v>
      </c>
      <c r="R5602" t="str">
        <f t="shared" si="175"/>
        <v>[vA4NcHxfMBq]|&lt;01|Female|PLHIV_Attend.T|CY2024Q3</v>
      </c>
    </row>
    <row r="5603" spans="4:18" x14ac:dyDescent="0.2">
      <c r="D5603" t="s">
        <v>119</v>
      </c>
      <c r="E5603" t="s">
        <v>120</v>
      </c>
      <c r="F5603" t="s">
        <v>121</v>
      </c>
      <c r="G5603" t="s">
        <v>167</v>
      </c>
      <c r="H5603" t="s">
        <v>167</v>
      </c>
      <c r="I5603" t="s">
        <v>32</v>
      </c>
      <c r="J5603" t="s">
        <v>33</v>
      </c>
      <c r="K5603" t="s">
        <v>29</v>
      </c>
      <c r="L5603" t="s">
        <v>30</v>
      </c>
      <c r="M5603" t="s">
        <v>166</v>
      </c>
      <c r="N5603">
        <v>1362</v>
      </c>
      <c r="O5603" s="14">
        <v>0.71177901304326996</v>
      </c>
      <c r="P5603" s="14">
        <v>0.43010397930629601</v>
      </c>
      <c r="Q5603" t="str">
        <f t="shared" si="174"/>
        <v>01-09</v>
      </c>
      <c r="R5603" t="str">
        <f t="shared" si="175"/>
        <v>[vA4NcHxfMBq]|01-09|Female|PLHIV_Attend.T|CY2024Q3</v>
      </c>
    </row>
    <row r="5604" spans="4:18" x14ac:dyDescent="0.2">
      <c r="D5604" t="s">
        <v>119</v>
      </c>
      <c r="E5604" t="s">
        <v>120</v>
      </c>
      <c r="F5604" t="s">
        <v>121</v>
      </c>
      <c r="G5604" t="s">
        <v>167</v>
      </c>
      <c r="H5604" t="s">
        <v>167</v>
      </c>
      <c r="I5604" t="s">
        <v>35</v>
      </c>
      <c r="J5604" t="s">
        <v>36</v>
      </c>
      <c r="K5604" t="s">
        <v>29</v>
      </c>
      <c r="L5604" t="s">
        <v>30</v>
      </c>
      <c r="M5604" t="s">
        <v>166</v>
      </c>
      <c r="N5604">
        <v>1320</v>
      </c>
      <c r="O5604" s="14">
        <v>0.62372528668492999</v>
      </c>
      <c r="P5604" s="14">
        <v>0.43010397930629601</v>
      </c>
      <c r="Q5604" t="str">
        <f t="shared" si="174"/>
        <v>10-14</v>
      </c>
      <c r="R5604" t="str">
        <f t="shared" si="175"/>
        <v>[vA4NcHxfMBq]|10-14|Female|PLHIV_Attend.T|CY2024Q3</v>
      </c>
    </row>
    <row r="5605" spans="4:18" x14ac:dyDescent="0.2">
      <c r="D5605" t="s">
        <v>119</v>
      </c>
      <c r="E5605" t="s">
        <v>120</v>
      </c>
      <c r="F5605" t="s">
        <v>121</v>
      </c>
      <c r="G5605" t="s">
        <v>167</v>
      </c>
      <c r="H5605" t="s">
        <v>167</v>
      </c>
      <c r="I5605" t="s">
        <v>37</v>
      </c>
      <c r="J5605" t="s">
        <v>38</v>
      </c>
      <c r="K5605" t="s">
        <v>29</v>
      </c>
      <c r="L5605" t="s">
        <v>30</v>
      </c>
      <c r="M5605" t="s">
        <v>166</v>
      </c>
      <c r="N5605">
        <v>753</v>
      </c>
      <c r="O5605" s="14">
        <v>0.62510306271724403</v>
      </c>
      <c r="P5605" s="14">
        <v>0.43010397930629601</v>
      </c>
      <c r="Q5605" t="str">
        <f t="shared" si="174"/>
        <v>15-24</v>
      </c>
      <c r="R5605" t="str">
        <f t="shared" si="175"/>
        <v>[vA4NcHxfMBq]|15-24|Female|PLHIV_Attend.T|CY2024Q3</v>
      </c>
    </row>
    <row r="5606" spans="4:18" x14ac:dyDescent="0.2">
      <c r="D5606" t="s">
        <v>119</v>
      </c>
      <c r="E5606" t="s">
        <v>120</v>
      </c>
      <c r="F5606" t="s">
        <v>121</v>
      </c>
      <c r="G5606" t="s">
        <v>167</v>
      </c>
      <c r="H5606" t="s">
        <v>167</v>
      </c>
      <c r="I5606" t="s">
        <v>40</v>
      </c>
      <c r="J5606" t="s">
        <v>41</v>
      </c>
      <c r="K5606" t="s">
        <v>29</v>
      </c>
      <c r="L5606" t="s">
        <v>30</v>
      </c>
      <c r="M5606" t="s">
        <v>166</v>
      </c>
      <c r="N5606">
        <v>1867</v>
      </c>
      <c r="O5606" s="14">
        <v>0.33312732446938798</v>
      </c>
      <c r="P5606" s="14">
        <v>0.43010397930629601</v>
      </c>
      <c r="Q5606" t="str">
        <f t="shared" si="174"/>
        <v>25-34</v>
      </c>
      <c r="R5606" t="str">
        <f t="shared" si="175"/>
        <v>[vA4NcHxfMBq]|25-34|Female|PLHIV_Attend.T|CY2024Q3</v>
      </c>
    </row>
    <row r="5607" spans="4:18" x14ac:dyDescent="0.2">
      <c r="D5607" t="s">
        <v>119</v>
      </c>
      <c r="E5607" t="s">
        <v>120</v>
      </c>
      <c r="F5607" t="s">
        <v>121</v>
      </c>
      <c r="G5607" t="s">
        <v>167</v>
      </c>
      <c r="H5607" t="s">
        <v>167</v>
      </c>
      <c r="I5607" t="s">
        <v>42</v>
      </c>
      <c r="J5607" t="s">
        <v>43</v>
      </c>
      <c r="K5607" t="s">
        <v>29</v>
      </c>
      <c r="L5607" t="s">
        <v>30</v>
      </c>
      <c r="M5607" t="s">
        <v>166</v>
      </c>
      <c r="N5607">
        <v>1544</v>
      </c>
      <c r="O5607" s="14">
        <v>0.40784319909289501</v>
      </c>
      <c r="P5607" s="14">
        <v>0.43010397930629601</v>
      </c>
      <c r="Q5607" t="str">
        <f t="shared" si="174"/>
        <v>35-49</v>
      </c>
      <c r="R5607" t="str">
        <f t="shared" si="175"/>
        <v>[vA4NcHxfMBq]|35-49|Female|PLHIV_Attend.T|CY2024Q3</v>
      </c>
    </row>
    <row r="5608" spans="4:18" x14ac:dyDescent="0.2">
      <c r="D5608" t="s">
        <v>119</v>
      </c>
      <c r="E5608" t="s">
        <v>120</v>
      </c>
      <c r="F5608" t="s">
        <v>121</v>
      </c>
      <c r="G5608" t="s">
        <v>167</v>
      </c>
      <c r="H5608" t="s">
        <v>167</v>
      </c>
      <c r="I5608" t="s">
        <v>44</v>
      </c>
      <c r="J5608" t="s">
        <v>45</v>
      </c>
      <c r="K5608" t="s">
        <v>29</v>
      </c>
      <c r="L5608" t="s">
        <v>30</v>
      </c>
      <c r="M5608" t="s">
        <v>166</v>
      </c>
      <c r="N5608">
        <v>957</v>
      </c>
      <c r="O5608" s="14">
        <v>0.11735689104534699</v>
      </c>
      <c r="P5608" s="14">
        <v>0.43010397930629601</v>
      </c>
      <c r="Q5608" t="str">
        <f t="shared" si="174"/>
        <v>50+</v>
      </c>
      <c r="R5608" t="str">
        <f t="shared" si="175"/>
        <v>[vA4NcHxfMBq]|50+|Female|PLHIV_Attend.T|CY2024Q3</v>
      </c>
    </row>
    <row r="5609" spans="4:18" x14ac:dyDescent="0.2">
      <c r="D5609" t="s">
        <v>119</v>
      </c>
      <c r="E5609" t="s">
        <v>120</v>
      </c>
      <c r="F5609" t="s">
        <v>121</v>
      </c>
      <c r="G5609" t="s">
        <v>167</v>
      </c>
      <c r="H5609" t="s">
        <v>167</v>
      </c>
      <c r="I5609" t="s">
        <v>27</v>
      </c>
      <c r="J5609" t="s">
        <v>28</v>
      </c>
      <c r="K5609" t="s">
        <v>47</v>
      </c>
      <c r="L5609" t="s">
        <v>48</v>
      </c>
      <c r="M5609" t="s">
        <v>166</v>
      </c>
      <c r="N5609">
        <v>835</v>
      </c>
      <c r="O5609" s="14">
        <v>0.1092258032877</v>
      </c>
      <c r="P5609" s="14">
        <v>0.43010397930629601</v>
      </c>
      <c r="Q5609" t="str">
        <f t="shared" si="174"/>
        <v>&lt;01</v>
      </c>
      <c r="R5609" t="str">
        <f t="shared" si="175"/>
        <v>[vA4NcHxfMBq]|&lt;01|Male|PLHIV_Attend.T|CY2024Q3</v>
      </c>
    </row>
    <row r="5610" spans="4:18" x14ac:dyDescent="0.2">
      <c r="D5610" t="s">
        <v>119</v>
      </c>
      <c r="E5610" t="s">
        <v>120</v>
      </c>
      <c r="F5610" t="s">
        <v>121</v>
      </c>
      <c r="G5610" t="s">
        <v>167</v>
      </c>
      <c r="H5610" t="s">
        <v>167</v>
      </c>
      <c r="I5610" t="s">
        <v>32</v>
      </c>
      <c r="J5610" t="s">
        <v>33</v>
      </c>
      <c r="K5610" t="s">
        <v>47</v>
      </c>
      <c r="L5610" t="s">
        <v>48</v>
      </c>
      <c r="M5610" t="s">
        <v>166</v>
      </c>
      <c r="N5610">
        <v>1131</v>
      </c>
      <c r="O5610" s="14">
        <v>0.34163042856380299</v>
      </c>
      <c r="P5610" s="14">
        <v>0.43010397930629601</v>
      </c>
      <c r="Q5610" t="str">
        <f t="shared" si="174"/>
        <v>01-09</v>
      </c>
      <c r="R5610" t="str">
        <f t="shared" si="175"/>
        <v>[vA4NcHxfMBq]|01-09|Male|PLHIV_Attend.T|CY2024Q3</v>
      </c>
    </row>
    <row r="5611" spans="4:18" x14ac:dyDescent="0.2">
      <c r="D5611" t="s">
        <v>119</v>
      </c>
      <c r="E5611" t="s">
        <v>120</v>
      </c>
      <c r="F5611" t="s">
        <v>121</v>
      </c>
      <c r="G5611" t="s">
        <v>167</v>
      </c>
      <c r="H5611" t="s">
        <v>167</v>
      </c>
      <c r="I5611" t="s">
        <v>35</v>
      </c>
      <c r="J5611" t="s">
        <v>36</v>
      </c>
      <c r="K5611" t="s">
        <v>47</v>
      </c>
      <c r="L5611" t="s">
        <v>48</v>
      </c>
      <c r="M5611" t="s">
        <v>166</v>
      </c>
      <c r="N5611">
        <v>563</v>
      </c>
      <c r="O5611" s="14">
        <v>0.70370568148791801</v>
      </c>
      <c r="P5611" s="14">
        <v>0.43010397930629601</v>
      </c>
      <c r="Q5611" t="str">
        <f t="shared" si="174"/>
        <v>10-14</v>
      </c>
      <c r="R5611" t="str">
        <f t="shared" si="175"/>
        <v>[vA4NcHxfMBq]|10-14|Male|PLHIV_Attend.T|CY2024Q3</v>
      </c>
    </row>
    <row r="5612" spans="4:18" x14ac:dyDescent="0.2">
      <c r="D5612" t="s">
        <v>119</v>
      </c>
      <c r="E5612" t="s">
        <v>120</v>
      </c>
      <c r="F5612" t="s">
        <v>121</v>
      </c>
      <c r="G5612" t="s">
        <v>167</v>
      </c>
      <c r="H5612" t="s">
        <v>167</v>
      </c>
      <c r="I5612" t="s">
        <v>37</v>
      </c>
      <c r="J5612" t="s">
        <v>38</v>
      </c>
      <c r="K5612" t="s">
        <v>47</v>
      </c>
      <c r="L5612" t="s">
        <v>48</v>
      </c>
      <c r="M5612" t="s">
        <v>166</v>
      </c>
      <c r="N5612">
        <v>1416</v>
      </c>
      <c r="O5612" s="14">
        <v>0.98174093477428004</v>
      </c>
      <c r="P5612" s="14">
        <v>0.43010397930629601</v>
      </c>
      <c r="Q5612" t="str">
        <f t="shared" si="174"/>
        <v>15-24</v>
      </c>
      <c r="R5612" t="str">
        <f t="shared" si="175"/>
        <v>[vA4NcHxfMBq]|15-24|Male|PLHIV_Attend.T|CY2024Q3</v>
      </c>
    </row>
    <row r="5613" spans="4:18" x14ac:dyDescent="0.2">
      <c r="D5613" t="s">
        <v>119</v>
      </c>
      <c r="E5613" t="s">
        <v>120</v>
      </c>
      <c r="F5613" t="s">
        <v>121</v>
      </c>
      <c r="G5613" t="s">
        <v>167</v>
      </c>
      <c r="H5613" t="s">
        <v>167</v>
      </c>
      <c r="I5613" t="s">
        <v>40</v>
      </c>
      <c r="J5613" t="s">
        <v>41</v>
      </c>
      <c r="K5613" t="s">
        <v>47</v>
      </c>
      <c r="L5613" t="s">
        <v>48</v>
      </c>
      <c r="M5613" t="s">
        <v>166</v>
      </c>
      <c r="N5613">
        <v>1679</v>
      </c>
      <c r="O5613" s="14">
        <v>0.24050579126924301</v>
      </c>
      <c r="P5613" s="14">
        <v>0.43010397930629601</v>
      </c>
      <c r="Q5613" t="str">
        <f t="shared" si="174"/>
        <v>25-34</v>
      </c>
      <c r="R5613" t="str">
        <f t="shared" si="175"/>
        <v>[vA4NcHxfMBq]|25-34|Male|PLHIV_Attend.T|CY2024Q3</v>
      </c>
    </row>
    <row r="5614" spans="4:18" x14ac:dyDescent="0.2">
      <c r="D5614" t="s">
        <v>119</v>
      </c>
      <c r="E5614" t="s">
        <v>120</v>
      </c>
      <c r="F5614" t="s">
        <v>121</v>
      </c>
      <c r="G5614" t="s">
        <v>167</v>
      </c>
      <c r="H5614" t="s">
        <v>167</v>
      </c>
      <c r="I5614" t="s">
        <v>42</v>
      </c>
      <c r="J5614" t="s">
        <v>43</v>
      </c>
      <c r="K5614" t="s">
        <v>47</v>
      </c>
      <c r="L5614" t="s">
        <v>48</v>
      </c>
      <c r="M5614" t="s">
        <v>166</v>
      </c>
      <c r="N5614">
        <v>959</v>
      </c>
      <c r="O5614" s="14">
        <v>8.74952995218337E-2</v>
      </c>
      <c r="P5614" s="14">
        <v>0.43010397930629601</v>
      </c>
      <c r="Q5614" t="str">
        <f t="shared" si="174"/>
        <v>35-49</v>
      </c>
      <c r="R5614" t="str">
        <f t="shared" si="175"/>
        <v>[vA4NcHxfMBq]|35-49|Male|PLHIV_Attend.T|CY2024Q3</v>
      </c>
    </row>
    <row r="5615" spans="4:18" x14ac:dyDescent="0.2">
      <c r="D5615" t="s">
        <v>119</v>
      </c>
      <c r="E5615" t="s">
        <v>120</v>
      </c>
      <c r="F5615" t="s">
        <v>121</v>
      </c>
      <c r="G5615" t="s">
        <v>167</v>
      </c>
      <c r="H5615" t="s">
        <v>167</v>
      </c>
      <c r="I5615" t="s">
        <v>44</v>
      </c>
      <c r="J5615" t="s">
        <v>45</v>
      </c>
      <c r="K5615" t="s">
        <v>47</v>
      </c>
      <c r="L5615" t="s">
        <v>48</v>
      </c>
      <c r="M5615" t="s">
        <v>166</v>
      </c>
      <c r="N5615">
        <v>833</v>
      </c>
      <c r="O5615" s="14">
        <v>6.1119584599509801E-2</v>
      </c>
      <c r="P5615" s="14">
        <v>0.43010397930629601</v>
      </c>
      <c r="Q5615" t="str">
        <f t="shared" si="174"/>
        <v>50+</v>
      </c>
      <c r="R5615" t="str">
        <f t="shared" si="175"/>
        <v>[vA4NcHxfMBq]|50+|Male|PLHIV_Attend.T|CY2024Q3</v>
      </c>
    </row>
    <row r="5616" spans="4:18" x14ac:dyDescent="0.2">
      <c r="D5616" t="s">
        <v>122</v>
      </c>
      <c r="E5616" t="s">
        <v>123</v>
      </c>
      <c r="F5616" t="s">
        <v>124</v>
      </c>
      <c r="G5616" t="s">
        <v>167</v>
      </c>
      <c r="H5616" t="s">
        <v>167</v>
      </c>
      <c r="I5616" t="s">
        <v>27</v>
      </c>
      <c r="J5616" t="s">
        <v>28</v>
      </c>
      <c r="K5616" t="s">
        <v>29</v>
      </c>
      <c r="L5616" t="s">
        <v>30</v>
      </c>
      <c r="M5616" t="s">
        <v>166</v>
      </c>
      <c r="N5616">
        <v>1317</v>
      </c>
      <c r="O5616" s="14">
        <v>0.376290985615924</v>
      </c>
      <c r="P5616" s="14">
        <v>0.41950060334056599</v>
      </c>
      <c r="Q5616" t="str">
        <f t="shared" si="174"/>
        <v>&lt;01</v>
      </c>
      <c r="R5616" t="str">
        <f t="shared" si="175"/>
        <v>[E7zpfyBt7Tw]|&lt;01|Female|PLHIV_Attend.T|CY2024Q3</v>
      </c>
    </row>
    <row r="5617" spans="4:18" x14ac:dyDescent="0.2">
      <c r="D5617" t="s">
        <v>122</v>
      </c>
      <c r="E5617" t="s">
        <v>123</v>
      </c>
      <c r="F5617" t="s">
        <v>124</v>
      </c>
      <c r="G5617" t="s">
        <v>167</v>
      </c>
      <c r="H5617" t="s">
        <v>167</v>
      </c>
      <c r="I5617" t="s">
        <v>32</v>
      </c>
      <c r="J5617" t="s">
        <v>33</v>
      </c>
      <c r="K5617" t="s">
        <v>29</v>
      </c>
      <c r="L5617" t="s">
        <v>30</v>
      </c>
      <c r="M5617" t="s">
        <v>166</v>
      </c>
      <c r="N5617">
        <v>1265</v>
      </c>
      <c r="O5617" s="14">
        <v>0.649458519648761</v>
      </c>
      <c r="P5617" s="14">
        <v>0.41950060334056599</v>
      </c>
      <c r="Q5617" t="str">
        <f t="shared" si="174"/>
        <v>01-09</v>
      </c>
      <c r="R5617" t="str">
        <f t="shared" si="175"/>
        <v>[E7zpfyBt7Tw]|01-09|Female|PLHIV_Attend.T|CY2024Q3</v>
      </c>
    </row>
    <row r="5618" spans="4:18" x14ac:dyDescent="0.2">
      <c r="D5618" t="s">
        <v>122</v>
      </c>
      <c r="E5618" t="s">
        <v>123</v>
      </c>
      <c r="F5618" t="s">
        <v>124</v>
      </c>
      <c r="G5618" t="s">
        <v>167</v>
      </c>
      <c r="H5618" t="s">
        <v>167</v>
      </c>
      <c r="I5618" t="s">
        <v>35</v>
      </c>
      <c r="J5618" t="s">
        <v>36</v>
      </c>
      <c r="K5618" t="s">
        <v>29</v>
      </c>
      <c r="L5618" t="s">
        <v>30</v>
      </c>
      <c r="M5618" t="s">
        <v>166</v>
      </c>
      <c r="N5618">
        <v>779</v>
      </c>
      <c r="O5618" s="14">
        <v>0.49499996891245202</v>
      </c>
      <c r="P5618" s="14">
        <v>0.41950060334056599</v>
      </c>
      <c r="Q5618" t="str">
        <f t="shared" si="174"/>
        <v>10-14</v>
      </c>
      <c r="R5618" t="str">
        <f t="shared" si="175"/>
        <v>[E7zpfyBt7Tw]|10-14|Female|PLHIV_Attend.T|CY2024Q3</v>
      </c>
    </row>
    <row r="5619" spans="4:18" x14ac:dyDescent="0.2">
      <c r="D5619" t="s">
        <v>122</v>
      </c>
      <c r="E5619" t="s">
        <v>123</v>
      </c>
      <c r="F5619" t="s">
        <v>124</v>
      </c>
      <c r="G5619" t="s">
        <v>167</v>
      </c>
      <c r="H5619" t="s">
        <v>167</v>
      </c>
      <c r="I5619" t="s">
        <v>37</v>
      </c>
      <c r="J5619" t="s">
        <v>38</v>
      </c>
      <c r="K5619" t="s">
        <v>29</v>
      </c>
      <c r="L5619" t="s">
        <v>30</v>
      </c>
      <c r="M5619" t="s">
        <v>166</v>
      </c>
      <c r="N5619">
        <v>798</v>
      </c>
      <c r="O5619" s="14">
        <v>0.119885513093323</v>
      </c>
      <c r="P5619" s="14">
        <v>0.41950060334056599</v>
      </c>
      <c r="Q5619" t="str">
        <f t="shared" si="174"/>
        <v>15-24</v>
      </c>
      <c r="R5619" t="str">
        <f t="shared" si="175"/>
        <v>[E7zpfyBt7Tw]|15-24|Female|PLHIV_Attend.T|CY2024Q3</v>
      </c>
    </row>
    <row r="5620" spans="4:18" x14ac:dyDescent="0.2">
      <c r="D5620" t="s">
        <v>122</v>
      </c>
      <c r="E5620" t="s">
        <v>123</v>
      </c>
      <c r="F5620" t="s">
        <v>124</v>
      </c>
      <c r="G5620" t="s">
        <v>167</v>
      </c>
      <c r="H5620" t="s">
        <v>167</v>
      </c>
      <c r="I5620" t="s">
        <v>40</v>
      </c>
      <c r="J5620" t="s">
        <v>41</v>
      </c>
      <c r="K5620" t="s">
        <v>29</v>
      </c>
      <c r="L5620" t="s">
        <v>30</v>
      </c>
      <c r="M5620" t="s">
        <v>166</v>
      </c>
      <c r="N5620">
        <v>1462</v>
      </c>
      <c r="O5620" s="14">
        <v>0.375938790151849</v>
      </c>
      <c r="P5620" s="14">
        <v>0.41950060334056599</v>
      </c>
      <c r="Q5620" t="str">
        <f t="shared" si="174"/>
        <v>25-34</v>
      </c>
      <c r="R5620" t="str">
        <f t="shared" si="175"/>
        <v>[E7zpfyBt7Tw]|25-34|Female|PLHIV_Attend.T|CY2024Q3</v>
      </c>
    </row>
    <row r="5621" spans="4:18" x14ac:dyDescent="0.2">
      <c r="D5621" t="s">
        <v>122</v>
      </c>
      <c r="E5621" t="s">
        <v>123</v>
      </c>
      <c r="F5621" t="s">
        <v>124</v>
      </c>
      <c r="G5621" t="s">
        <v>167</v>
      </c>
      <c r="H5621" t="s">
        <v>167</v>
      </c>
      <c r="I5621" t="s">
        <v>42</v>
      </c>
      <c r="J5621" t="s">
        <v>43</v>
      </c>
      <c r="K5621" t="s">
        <v>29</v>
      </c>
      <c r="L5621" t="s">
        <v>30</v>
      </c>
      <c r="M5621" t="s">
        <v>166</v>
      </c>
      <c r="N5621">
        <v>669</v>
      </c>
      <c r="O5621" s="14">
        <v>0.11904916702769699</v>
      </c>
      <c r="P5621" s="14">
        <v>0.41950060334056599</v>
      </c>
      <c r="Q5621" t="str">
        <f t="shared" si="174"/>
        <v>35-49</v>
      </c>
      <c r="R5621" t="str">
        <f t="shared" si="175"/>
        <v>[E7zpfyBt7Tw]|35-49|Female|PLHIV_Attend.T|CY2024Q3</v>
      </c>
    </row>
    <row r="5622" spans="4:18" x14ac:dyDescent="0.2">
      <c r="D5622" t="s">
        <v>122</v>
      </c>
      <c r="E5622" t="s">
        <v>123</v>
      </c>
      <c r="F5622" t="s">
        <v>124</v>
      </c>
      <c r="G5622" t="s">
        <v>167</v>
      </c>
      <c r="H5622" t="s">
        <v>167</v>
      </c>
      <c r="I5622" t="s">
        <v>44</v>
      </c>
      <c r="J5622" t="s">
        <v>45</v>
      </c>
      <c r="K5622" t="s">
        <v>29</v>
      </c>
      <c r="L5622" t="s">
        <v>30</v>
      </c>
      <c r="M5622" t="s">
        <v>166</v>
      </c>
      <c r="N5622">
        <v>1463</v>
      </c>
      <c r="O5622" s="14">
        <v>0.617273652227595</v>
      </c>
      <c r="P5622" s="14">
        <v>0.41950060334056599</v>
      </c>
      <c r="Q5622" t="str">
        <f t="shared" si="174"/>
        <v>50+</v>
      </c>
      <c r="R5622" t="str">
        <f t="shared" si="175"/>
        <v>[E7zpfyBt7Tw]|50+|Female|PLHIV_Attend.T|CY2024Q3</v>
      </c>
    </row>
    <row r="5623" spans="4:18" x14ac:dyDescent="0.2">
      <c r="D5623" t="s">
        <v>122</v>
      </c>
      <c r="E5623" t="s">
        <v>123</v>
      </c>
      <c r="F5623" t="s">
        <v>124</v>
      </c>
      <c r="G5623" t="s">
        <v>167</v>
      </c>
      <c r="H5623" t="s">
        <v>167</v>
      </c>
      <c r="I5623" t="s">
        <v>27</v>
      </c>
      <c r="J5623" t="s">
        <v>28</v>
      </c>
      <c r="K5623" t="s">
        <v>47</v>
      </c>
      <c r="L5623" t="s">
        <v>48</v>
      </c>
      <c r="M5623" t="s">
        <v>166</v>
      </c>
      <c r="N5623">
        <v>1175</v>
      </c>
      <c r="O5623" s="14">
        <v>0.239935027668253</v>
      </c>
      <c r="P5623" s="14">
        <v>0.41950060334056599</v>
      </c>
      <c r="Q5623" t="str">
        <f t="shared" si="174"/>
        <v>&lt;01</v>
      </c>
      <c r="R5623" t="str">
        <f t="shared" si="175"/>
        <v>[E7zpfyBt7Tw]|&lt;01|Male|PLHIV_Attend.T|CY2024Q3</v>
      </c>
    </row>
    <row r="5624" spans="4:18" x14ac:dyDescent="0.2">
      <c r="D5624" t="s">
        <v>122</v>
      </c>
      <c r="E5624" t="s">
        <v>123</v>
      </c>
      <c r="F5624" t="s">
        <v>124</v>
      </c>
      <c r="G5624" t="s">
        <v>167</v>
      </c>
      <c r="H5624" t="s">
        <v>167</v>
      </c>
      <c r="I5624" t="s">
        <v>32</v>
      </c>
      <c r="J5624" t="s">
        <v>33</v>
      </c>
      <c r="K5624" t="s">
        <v>47</v>
      </c>
      <c r="L5624" t="s">
        <v>48</v>
      </c>
      <c r="M5624" t="s">
        <v>166</v>
      </c>
      <c r="N5624">
        <v>1818</v>
      </c>
      <c r="O5624" s="14">
        <v>0.51428315602242902</v>
      </c>
      <c r="P5624" s="14">
        <v>0.41950060334056599</v>
      </c>
      <c r="Q5624" t="str">
        <f t="shared" si="174"/>
        <v>01-09</v>
      </c>
      <c r="R5624" t="str">
        <f t="shared" si="175"/>
        <v>[E7zpfyBt7Tw]|01-09|Male|PLHIV_Attend.T|CY2024Q3</v>
      </c>
    </row>
    <row r="5625" spans="4:18" x14ac:dyDescent="0.2">
      <c r="D5625" t="s">
        <v>122</v>
      </c>
      <c r="E5625" t="s">
        <v>123</v>
      </c>
      <c r="F5625" t="s">
        <v>124</v>
      </c>
      <c r="G5625" t="s">
        <v>167</v>
      </c>
      <c r="H5625" t="s">
        <v>167</v>
      </c>
      <c r="I5625" t="s">
        <v>35</v>
      </c>
      <c r="J5625" t="s">
        <v>36</v>
      </c>
      <c r="K5625" t="s">
        <v>47</v>
      </c>
      <c r="L5625" t="s">
        <v>48</v>
      </c>
      <c r="M5625" t="s">
        <v>166</v>
      </c>
      <c r="N5625">
        <v>1127</v>
      </c>
      <c r="O5625" s="14">
        <v>0.83459393051452901</v>
      </c>
      <c r="P5625" s="14">
        <v>0.41950060334056599</v>
      </c>
      <c r="Q5625" t="str">
        <f t="shared" si="174"/>
        <v>10-14</v>
      </c>
      <c r="R5625" t="str">
        <f t="shared" si="175"/>
        <v>[E7zpfyBt7Tw]|10-14|Male|PLHIV_Attend.T|CY2024Q3</v>
      </c>
    </row>
    <row r="5626" spans="4:18" x14ac:dyDescent="0.2">
      <c r="D5626" t="s">
        <v>122</v>
      </c>
      <c r="E5626" t="s">
        <v>123</v>
      </c>
      <c r="F5626" t="s">
        <v>124</v>
      </c>
      <c r="G5626" t="s">
        <v>167</v>
      </c>
      <c r="H5626" t="s">
        <v>167</v>
      </c>
      <c r="I5626" t="s">
        <v>37</v>
      </c>
      <c r="J5626" t="s">
        <v>38</v>
      </c>
      <c r="K5626" t="s">
        <v>47</v>
      </c>
      <c r="L5626" t="s">
        <v>48</v>
      </c>
      <c r="M5626" t="s">
        <v>166</v>
      </c>
      <c r="N5626">
        <v>870</v>
      </c>
      <c r="O5626" s="14">
        <v>0.12937883986160201</v>
      </c>
      <c r="P5626" s="14">
        <v>0.41950060334056599</v>
      </c>
      <c r="Q5626" t="str">
        <f t="shared" si="174"/>
        <v>15-24</v>
      </c>
      <c r="R5626" t="str">
        <f t="shared" si="175"/>
        <v>[E7zpfyBt7Tw]|15-24|Male|PLHIV_Attend.T|CY2024Q3</v>
      </c>
    </row>
    <row r="5627" spans="4:18" x14ac:dyDescent="0.2">
      <c r="D5627" t="s">
        <v>122</v>
      </c>
      <c r="E5627" t="s">
        <v>123</v>
      </c>
      <c r="F5627" t="s">
        <v>124</v>
      </c>
      <c r="G5627" t="s">
        <v>167</v>
      </c>
      <c r="H5627" t="s">
        <v>167</v>
      </c>
      <c r="I5627" t="s">
        <v>40</v>
      </c>
      <c r="J5627" t="s">
        <v>41</v>
      </c>
      <c r="K5627" t="s">
        <v>47</v>
      </c>
      <c r="L5627" t="s">
        <v>48</v>
      </c>
      <c r="M5627" t="s">
        <v>166</v>
      </c>
      <c r="N5627">
        <v>725</v>
      </c>
      <c r="O5627" s="14">
        <v>0.48863278189673998</v>
      </c>
      <c r="P5627" s="14">
        <v>0.41950060334056599</v>
      </c>
      <c r="Q5627" t="str">
        <f t="shared" si="174"/>
        <v>25-34</v>
      </c>
      <c r="R5627" t="str">
        <f t="shared" si="175"/>
        <v>[E7zpfyBt7Tw]|25-34|Male|PLHIV_Attend.T|CY2024Q3</v>
      </c>
    </row>
    <row r="5628" spans="4:18" x14ac:dyDescent="0.2">
      <c r="D5628" t="s">
        <v>122</v>
      </c>
      <c r="E5628" t="s">
        <v>123</v>
      </c>
      <c r="F5628" t="s">
        <v>124</v>
      </c>
      <c r="G5628" t="s">
        <v>167</v>
      </c>
      <c r="H5628" t="s">
        <v>167</v>
      </c>
      <c r="I5628" t="s">
        <v>42</v>
      </c>
      <c r="J5628" t="s">
        <v>43</v>
      </c>
      <c r="K5628" t="s">
        <v>47</v>
      </c>
      <c r="L5628" t="s">
        <v>48</v>
      </c>
      <c r="M5628" t="s">
        <v>166</v>
      </c>
      <c r="N5628">
        <v>1179</v>
      </c>
      <c r="O5628" s="14">
        <v>0.68886733683757495</v>
      </c>
      <c r="P5628" s="14">
        <v>0.41950060334056599</v>
      </c>
      <c r="Q5628" t="str">
        <f t="shared" si="174"/>
        <v>35-49</v>
      </c>
      <c r="R5628" t="str">
        <f t="shared" si="175"/>
        <v>[E7zpfyBt7Tw]|35-49|Male|PLHIV_Attend.T|CY2024Q3</v>
      </c>
    </row>
    <row r="5629" spans="4:18" x14ac:dyDescent="0.2">
      <c r="D5629" t="s">
        <v>122</v>
      </c>
      <c r="E5629" t="s">
        <v>123</v>
      </c>
      <c r="F5629" t="s">
        <v>124</v>
      </c>
      <c r="G5629" t="s">
        <v>167</v>
      </c>
      <c r="H5629" t="s">
        <v>167</v>
      </c>
      <c r="I5629" t="s">
        <v>44</v>
      </c>
      <c r="J5629" t="s">
        <v>45</v>
      </c>
      <c r="K5629" t="s">
        <v>47</v>
      </c>
      <c r="L5629" t="s">
        <v>48</v>
      </c>
      <c r="M5629" t="s">
        <v>166</v>
      </c>
      <c r="N5629">
        <v>1616</v>
      </c>
      <c r="O5629" s="14">
        <v>0.416208249283955</v>
      </c>
      <c r="P5629" s="14">
        <v>0.41950060334056599</v>
      </c>
      <c r="Q5629" t="str">
        <f t="shared" si="174"/>
        <v>50+</v>
      </c>
      <c r="R5629" t="str">
        <f t="shared" si="175"/>
        <v>[E7zpfyBt7Tw]|50+|Male|PLHIV_Attend.T|CY2024Q3</v>
      </c>
    </row>
    <row r="5630" spans="4:18" x14ac:dyDescent="0.2">
      <c r="D5630" t="s">
        <v>125</v>
      </c>
      <c r="E5630" t="s">
        <v>126</v>
      </c>
      <c r="F5630" t="s">
        <v>127</v>
      </c>
      <c r="G5630" t="s">
        <v>167</v>
      </c>
      <c r="H5630" t="s">
        <v>167</v>
      </c>
      <c r="I5630" t="s">
        <v>27</v>
      </c>
      <c r="J5630" t="s">
        <v>28</v>
      </c>
      <c r="K5630" t="s">
        <v>29</v>
      </c>
      <c r="L5630" t="s">
        <v>30</v>
      </c>
      <c r="M5630" t="s">
        <v>166</v>
      </c>
      <c r="N5630">
        <v>1230</v>
      </c>
      <c r="O5630" s="14">
        <v>0.909607595764101</v>
      </c>
      <c r="P5630" s="14">
        <v>0.25270639033988102</v>
      </c>
      <c r="Q5630" t="str">
        <f t="shared" si="174"/>
        <v>&lt;01</v>
      </c>
      <c r="R5630" t="str">
        <f t="shared" si="175"/>
        <v>[ZCjuwgaMB9u]|&lt;01|Female|PLHIV_Attend.T|CY2024Q3</v>
      </c>
    </row>
    <row r="5631" spans="4:18" x14ac:dyDescent="0.2">
      <c r="D5631" t="s">
        <v>125</v>
      </c>
      <c r="E5631" t="s">
        <v>126</v>
      </c>
      <c r="F5631" t="s">
        <v>127</v>
      </c>
      <c r="G5631" t="s">
        <v>167</v>
      </c>
      <c r="H5631" t="s">
        <v>167</v>
      </c>
      <c r="I5631" t="s">
        <v>32</v>
      </c>
      <c r="J5631" t="s">
        <v>33</v>
      </c>
      <c r="K5631" t="s">
        <v>29</v>
      </c>
      <c r="L5631" t="s">
        <v>30</v>
      </c>
      <c r="M5631" t="s">
        <v>166</v>
      </c>
      <c r="N5631">
        <v>1309</v>
      </c>
      <c r="O5631" s="14">
        <v>0.223502570996061</v>
      </c>
      <c r="P5631" s="14">
        <v>0.25270639033988102</v>
      </c>
      <c r="Q5631" t="str">
        <f t="shared" si="174"/>
        <v>01-09</v>
      </c>
      <c r="R5631" t="str">
        <f t="shared" si="175"/>
        <v>[ZCjuwgaMB9u]|01-09|Female|PLHIV_Attend.T|CY2024Q3</v>
      </c>
    </row>
    <row r="5632" spans="4:18" x14ac:dyDescent="0.2">
      <c r="D5632" t="s">
        <v>125</v>
      </c>
      <c r="E5632" t="s">
        <v>126</v>
      </c>
      <c r="F5632" t="s">
        <v>127</v>
      </c>
      <c r="G5632" t="s">
        <v>167</v>
      </c>
      <c r="H5632" t="s">
        <v>167</v>
      </c>
      <c r="I5632" t="s">
        <v>35</v>
      </c>
      <c r="J5632" t="s">
        <v>36</v>
      </c>
      <c r="K5632" t="s">
        <v>29</v>
      </c>
      <c r="L5632" t="s">
        <v>30</v>
      </c>
      <c r="M5632" t="s">
        <v>166</v>
      </c>
      <c r="N5632">
        <v>688</v>
      </c>
      <c r="O5632" s="14">
        <v>0.86986795533448502</v>
      </c>
      <c r="P5632" s="14">
        <v>0.25270639033988102</v>
      </c>
      <c r="Q5632" t="str">
        <f t="shared" si="174"/>
        <v>10-14</v>
      </c>
      <c r="R5632" t="str">
        <f t="shared" si="175"/>
        <v>[ZCjuwgaMB9u]|10-14|Female|PLHIV_Attend.T|CY2024Q3</v>
      </c>
    </row>
    <row r="5633" spans="4:18" x14ac:dyDescent="0.2">
      <c r="D5633" t="s">
        <v>125</v>
      </c>
      <c r="E5633" t="s">
        <v>126</v>
      </c>
      <c r="F5633" t="s">
        <v>127</v>
      </c>
      <c r="G5633" t="s">
        <v>167</v>
      </c>
      <c r="H5633" t="s">
        <v>167</v>
      </c>
      <c r="I5633" t="s">
        <v>37</v>
      </c>
      <c r="J5633" t="s">
        <v>38</v>
      </c>
      <c r="K5633" t="s">
        <v>29</v>
      </c>
      <c r="L5633" t="s">
        <v>30</v>
      </c>
      <c r="M5633" t="s">
        <v>166</v>
      </c>
      <c r="N5633">
        <v>1340</v>
      </c>
      <c r="O5633" s="14">
        <v>0.70295773306861498</v>
      </c>
      <c r="P5633" s="14">
        <v>0.25270639033988102</v>
      </c>
      <c r="Q5633" t="str">
        <f t="shared" si="174"/>
        <v>15-24</v>
      </c>
      <c r="R5633" t="str">
        <f t="shared" si="175"/>
        <v>[ZCjuwgaMB9u]|15-24|Female|PLHIV_Attend.T|CY2024Q3</v>
      </c>
    </row>
    <row r="5634" spans="4:18" x14ac:dyDescent="0.2">
      <c r="D5634" t="s">
        <v>125</v>
      </c>
      <c r="E5634" t="s">
        <v>126</v>
      </c>
      <c r="F5634" t="s">
        <v>127</v>
      </c>
      <c r="G5634" t="s">
        <v>167</v>
      </c>
      <c r="H5634" t="s">
        <v>167</v>
      </c>
      <c r="I5634" t="s">
        <v>40</v>
      </c>
      <c r="J5634" t="s">
        <v>41</v>
      </c>
      <c r="K5634" t="s">
        <v>29</v>
      </c>
      <c r="L5634" t="s">
        <v>30</v>
      </c>
      <c r="M5634" t="s">
        <v>166</v>
      </c>
      <c r="N5634">
        <v>883</v>
      </c>
      <c r="O5634" s="14">
        <v>0.39673752104863502</v>
      </c>
      <c r="P5634" s="14">
        <v>0.25270639033988102</v>
      </c>
      <c r="Q5634" t="str">
        <f t="shared" ref="Q5634:Q5697" si="176">SUBSTITUTE(SUBSTITUTE($I5634,CHAR(61),""),CHAR(34),"")</f>
        <v>25-34</v>
      </c>
      <c r="R5634" t="str">
        <f t="shared" ref="R5634:R5697" si="177">IF($D5634&lt;&gt;"","["&amp;$E5634&amp;"]"&amp;"|"&amp;$Q5634&amp;"|"&amp;$K5634&amp;"|"&amp;$G5634&amp;"|"&amp;IF($G5634="TX_CURR_SUBNAT.R","CY2022Q4",$M5634),"")</f>
        <v>[ZCjuwgaMB9u]|25-34|Female|PLHIV_Attend.T|CY2024Q3</v>
      </c>
    </row>
    <row r="5635" spans="4:18" x14ac:dyDescent="0.2">
      <c r="D5635" t="s">
        <v>125</v>
      </c>
      <c r="E5635" t="s">
        <v>126</v>
      </c>
      <c r="F5635" t="s">
        <v>127</v>
      </c>
      <c r="G5635" t="s">
        <v>167</v>
      </c>
      <c r="H5635" t="s">
        <v>167</v>
      </c>
      <c r="I5635" t="s">
        <v>42</v>
      </c>
      <c r="J5635" t="s">
        <v>43</v>
      </c>
      <c r="K5635" t="s">
        <v>29</v>
      </c>
      <c r="L5635" t="s">
        <v>30</v>
      </c>
      <c r="M5635" t="s">
        <v>166</v>
      </c>
      <c r="N5635">
        <v>538</v>
      </c>
      <c r="O5635" s="14">
        <v>0.78749745502136603</v>
      </c>
      <c r="P5635" s="14">
        <v>0.25270639033988102</v>
      </c>
      <c r="Q5635" t="str">
        <f t="shared" si="176"/>
        <v>35-49</v>
      </c>
      <c r="R5635" t="str">
        <f t="shared" si="177"/>
        <v>[ZCjuwgaMB9u]|35-49|Female|PLHIV_Attend.T|CY2024Q3</v>
      </c>
    </row>
    <row r="5636" spans="4:18" x14ac:dyDescent="0.2">
      <c r="D5636" t="s">
        <v>125</v>
      </c>
      <c r="E5636" t="s">
        <v>126</v>
      </c>
      <c r="F5636" t="s">
        <v>127</v>
      </c>
      <c r="G5636" t="s">
        <v>167</v>
      </c>
      <c r="H5636" t="s">
        <v>167</v>
      </c>
      <c r="I5636" t="s">
        <v>44</v>
      </c>
      <c r="J5636" t="s">
        <v>45</v>
      </c>
      <c r="K5636" t="s">
        <v>29</v>
      </c>
      <c r="L5636" t="s">
        <v>30</v>
      </c>
      <c r="M5636" t="s">
        <v>166</v>
      </c>
      <c r="N5636">
        <v>771</v>
      </c>
      <c r="O5636" s="14">
        <v>0.466104209655896</v>
      </c>
      <c r="P5636" s="14">
        <v>0.25270639033988102</v>
      </c>
      <c r="Q5636" t="str">
        <f t="shared" si="176"/>
        <v>50+</v>
      </c>
      <c r="R5636" t="str">
        <f t="shared" si="177"/>
        <v>[ZCjuwgaMB9u]|50+|Female|PLHIV_Attend.T|CY2024Q3</v>
      </c>
    </row>
    <row r="5637" spans="4:18" x14ac:dyDescent="0.2">
      <c r="D5637" t="s">
        <v>125</v>
      </c>
      <c r="E5637" t="s">
        <v>126</v>
      </c>
      <c r="F5637" t="s">
        <v>127</v>
      </c>
      <c r="G5637" t="s">
        <v>167</v>
      </c>
      <c r="H5637" t="s">
        <v>167</v>
      </c>
      <c r="I5637" t="s">
        <v>27</v>
      </c>
      <c r="J5637" t="s">
        <v>28</v>
      </c>
      <c r="K5637" t="s">
        <v>47</v>
      </c>
      <c r="L5637" t="s">
        <v>48</v>
      </c>
      <c r="M5637" t="s">
        <v>166</v>
      </c>
      <c r="N5637">
        <v>809</v>
      </c>
      <c r="O5637" s="14">
        <v>0.88083942304365304</v>
      </c>
      <c r="P5637" s="14">
        <v>0.25270639033988102</v>
      </c>
      <c r="Q5637" t="str">
        <f t="shared" si="176"/>
        <v>&lt;01</v>
      </c>
      <c r="R5637" t="str">
        <f t="shared" si="177"/>
        <v>[ZCjuwgaMB9u]|&lt;01|Male|PLHIV_Attend.T|CY2024Q3</v>
      </c>
    </row>
    <row r="5638" spans="4:18" x14ac:dyDescent="0.2">
      <c r="D5638" t="s">
        <v>125</v>
      </c>
      <c r="E5638" t="s">
        <v>126</v>
      </c>
      <c r="F5638" t="s">
        <v>127</v>
      </c>
      <c r="G5638" t="s">
        <v>167</v>
      </c>
      <c r="H5638" t="s">
        <v>167</v>
      </c>
      <c r="I5638" t="s">
        <v>32</v>
      </c>
      <c r="J5638" t="s">
        <v>33</v>
      </c>
      <c r="K5638" t="s">
        <v>47</v>
      </c>
      <c r="L5638" t="s">
        <v>48</v>
      </c>
      <c r="M5638" t="s">
        <v>166</v>
      </c>
      <c r="N5638">
        <v>1309</v>
      </c>
      <c r="O5638" s="14">
        <v>0.57480365666560795</v>
      </c>
      <c r="P5638" s="14">
        <v>0.25270639033988102</v>
      </c>
      <c r="Q5638" t="str">
        <f t="shared" si="176"/>
        <v>01-09</v>
      </c>
      <c r="R5638" t="str">
        <f t="shared" si="177"/>
        <v>[ZCjuwgaMB9u]|01-09|Male|PLHIV_Attend.T|CY2024Q3</v>
      </c>
    </row>
    <row r="5639" spans="4:18" x14ac:dyDescent="0.2">
      <c r="D5639" t="s">
        <v>125</v>
      </c>
      <c r="E5639" t="s">
        <v>126</v>
      </c>
      <c r="F5639" t="s">
        <v>127</v>
      </c>
      <c r="G5639" t="s">
        <v>167</v>
      </c>
      <c r="H5639" t="s">
        <v>167</v>
      </c>
      <c r="I5639" t="s">
        <v>35</v>
      </c>
      <c r="J5639" t="s">
        <v>36</v>
      </c>
      <c r="K5639" t="s">
        <v>47</v>
      </c>
      <c r="L5639" t="s">
        <v>48</v>
      </c>
      <c r="M5639" t="s">
        <v>166</v>
      </c>
      <c r="N5639">
        <v>1828</v>
      </c>
      <c r="O5639" s="14">
        <v>0.215824057115242</v>
      </c>
      <c r="P5639" s="14">
        <v>0.25270639033988102</v>
      </c>
      <c r="Q5639" t="str">
        <f t="shared" si="176"/>
        <v>10-14</v>
      </c>
      <c r="R5639" t="str">
        <f t="shared" si="177"/>
        <v>[ZCjuwgaMB9u]|10-14|Male|PLHIV_Attend.T|CY2024Q3</v>
      </c>
    </row>
    <row r="5640" spans="4:18" x14ac:dyDescent="0.2">
      <c r="D5640" t="s">
        <v>125</v>
      </c>
      <c r="E5640" t="s">
        <v>126</v>
      </c>
      <c r="F5640" t="s">
        <v>127</v>
      </c>
      <c r="G5640" t="s">
        <v>167</v>
      </c>
      <c r="H5640" t="s">
        <v>167</v>
      </c>
      <c r="I5640" t="s">
        <v>37</v>
      </c>
      <c r="J5640" t="s">
        <v>38</v>
      </c>
      <c r="K5640" t="s">
        <v>47</v>
      </c>
      <c r="L5640" t="s">
        <v>48</v>
      </c>
      <c r="M5640" t="s">
        <v>166</v>
      </c>
      <c r="N5640">
        <v>705</v>
      </c>
      <c r="O5640" s="14">
        <v>0.751757906749845</v>
      </c>
      <c r="P5640" s="14">
        <v>0.25270639033988102</v>
      </c>
      <c r="Q5640" t="str">
        <f t="shared" si="176"/>
        <v>15-24</v>
      </c>
      <c r="R5640" t="str">
        <f t="shared" si="177"/>
        <v>[ZCjuwgaMB9u]|15-24|Male|PLHIV_Attend.T|CY2024Q3</v>
      </c>
    </row>
    <row r="5641" spans="4:18" x14ac:dyDescent="0.2">
      <c r="D5641" t="s">
        <v>125</v>
      </c>
      <c r="E5641" t="s">
        <v>126</v>
      </c>
      <c r="F5641" t="s">
        <v>127</v>
      </c>
      <c r="G5641" t="s">
        <v>167</v>
      </c>
      <c r="H5641" t="s">
        <v>167</v>
      </c>
      <c r="I5641" t="s">
        <v>40</v>
      </c>
      <c r="J5641" t="s">
        <v>41</v>
      </c>
      <c r="K5641" t="s">
        <v>47</v>
      </c>
      <c r="L5641" t="s">
        <v>48</v>
      </c>
      <c r="M5641" t="s">
        <v>166</v>
      </c>
      <c r="N5641">
        <v>1277</v>
      </c>
      <c r="O5641" s="14">
        <v>0.65310226264409699</v>
      </c>
      <c r="P5641" s="14">
        <v>0.25270639033988102</v>
      </c>
      <c r="Q5641" t="str">
        <f t="shared" si="176"/>
        <v>25-34</v>
      </c>
      <c r="R5641" t="str">
        <f t="shared" si="177"/>
        <v>[ZCjuwgaMB9u]|25-34|Male|PLHIV_Attend.T|CY2024Q3</v>
      </c>
    </row>
    <row r="5642" spans="4:18" x14ac:dyDescent="0.2">
      <c r="D5642" t="s">
        <v>125</v>
      </c>
      <c r="E5642" t="s">
        <v>126</v>
      </c>
      <c r="F5642" t="s">
        <v>127</v>
      </c>
      <c r="G5642" t="s">
        <v>167</v>
      </c>
      <c r="H5642" t="s">
        <v>167</v>
      </c>
      <c r="I5642" t="s">
        <v>42</v>
      </c>
      <c r="J5642" t="s">
        <v>43</v>
      </c>
      <c r="K5642" t="s">
        <v>47</v>
      </c>
      <c r="L5642" t="s">
        <v>48</v>
      </c>
      <c r="M5642" t="s">
        <v>166</v>
      </c>
      <c r="N5642">
        <v>1729</v>
      </c>
      <c r="O5642" s="14">
        <v>0.26592012564651701</v>
      </c>
      <c r="P5642" s="14">
        <v>0.25270639033988102</v>
      </c>
      <c r="Q5642" t="str">
        <f t="shared" si="176"/>
        <v>35-49</v>
      </c>
      <c r="R5642" t="str">
        <f t="shared" si="177"/>
        <v>[ZCjuwgaMB9u]|35-49|Male|PLHIV_Attend.T|CY2024Q3</v>
      </c>
    </row>
    <row r="5643" spans="4:18" x14ac:dyDescent="0.2">
      <c r="D5643" t="s">
        <v>125</v>
      </c>
      <c r="E5643" t="s">
        <v>126</v>
      </c>
      <c r="F5643" t="s">
        <v>127</v>
      </c>
      <c r="G5643" t="s">
        <v>167</v>
      </c>
      <c r="H5643" t="s">
        <v>167</v>
      </c>
      <c r="I5643" t="s">
        <v>44</v>
      </c>
      <c r="J5643" t="s">
        <v>45</v>
      </c>
      <c r="K5643" t="s">
        <v>47</v>
      </c>
      <c r="L5643" t="s">
        <v>48</v>
      </c>
      <c r="M5643" t="s">
        <v>166</v>
      </c>
      <c r="N5643">
        <v>898</v>
      </c>
      <c r="O5643" s="14">
        <v>0.13068680139258501</v>
      </c>
      <c r="P5643" s="14">
        <v>0.25270639033988102</v>
      </c>
      <c r="Q5643" t="str">
        <f t="shared" si="176"/>
        <v>50+</v>
      </c>
      <c r="R5643" t="str">
        <f t="shared" si="177"/>
        <v>[ZCjuwgaMB9u]|50+|Male|PLHIV_Attend.T|CY2024Q3</v>
      </c>
    </row>
    <row r="5644" spans="4:18" x14ac:dyDescent="0.2">
      <c r="D5644" t="s">
        <v>128</v>
      </c>
      <c r="E5644" t="s">
        <v>129</v>
      </c>
      <c r="F5644" t="s">
        <v>130</v>
      </c>
      <c r="G5644" t="s">
        <v>167</v>
      </c>
      <c r="H5644" t="s">
        <v>167</v>
      </c>
      <c r="I5644" t="s">
        <v>27</v>
      </c>
      <c r="J5644" t="s">
        <v>28</v>
      </c>
      <c r="K5644" t="s">
        <v>29</v>
      </c>
      <c r="L5644" t="s">
        <v>30</v>
      </c>
      <c r="M5644" t="s">
        <v>166</v>
      </c>
      <c r="N5644">
        <v>954</v>
      </c>
      <c r="O5644" s="14">
        <v>0.14090695069171499</v>
      </c>
      <c r="P5644" s="14">
        <v>0.55690808477811504</v>
      </c>
      <c r="Q5644" t="str">
        <f t="shared" si="176"/>
        <v>&lt;01</v>
      </c>
      <c r="R5644" t="str">
        <f t="shared" si="177"/>
        <v>[YCKiBAp8QAg]|&lt;01|Female|PLHIV_Attend.T|CY2024Q3</v>
      </c>
    </row>
    <row r="5645" spans="4:18" x14ac:dyDescent="0.2">
      <c r="D5645" t="s">
        <v>128</v>
      </c>
      <c r="E5645" t="s">
        <v>129</v>
      </c>
      <c r="F5645" t="s">
        <v>130</v>
      </c>
      <c r="G5645" t="s">
        <v>167</v>
      </c>
      <c r="H5645" t="s">
        <v>167</v>
      </c>
      <c r="I5645" t="s">
        <v>32</v>
      </c>
      <c r="J5645" t="s">
        <v>33</v>
      </c>
      <c r="K5645" t="s">
        <v>29</v>
      </c>
      <c r="L5645" t="s">
        <v>30</v>
      </c>
      <c r="M5645" t="s">
        <v>166</v>
      </c>
      <c r="N5645">
        <v>1579</v>
      </c>
      <c r="O5645" s="14">
        <v>0.59598538139835</v>
      </c>
      <c r="P5645" s="14">
        <v>0.55690808477811504</v>
      </c>
      <c r="Q5645" t="str">
        <f t="shared" si="176"/>
        <v>01-09</v>
      </c>
      <c r="R5645" t="str">
        <f t="shared" si="177"/>
        <v>[YCKiBAp8QAg]|01-09|Female|PLHIV_Attend.T|CY2024Q3</v>
      </c>
    </row>
    <row r="5646" spans="4:18" x14ac:dyDescent="0.2">
      <c r="D5646" t="s">
        <v>128</v>
      </c>
      <c r="E5646" t="s">
        <v>129</v>
      </c>
      <c r="F5646" t="s">
        <v>130</v>
      </c>
      <c r="G5646" t="s">
        <v>167</v>
      </c>
      <c r="H5646" t="s">
        <v>167</v>
      </c>
      <c r="I5646" t="s">
        <v>35</v>
      </c>
      <c r="J5646" t="s">
        <v>36</v>
      </c>
      <c r="K5646" t="s">
        <v>29</v>
      </c>
      <c r="L5646" t="s">
        <v>30</v>
      </c>
      <c r="M5646" t="s">
        <v>166</v>
      </c>
      <c r="N5646">
        <v>909</v>
      </c>
      <c r="O5646" s="14">
        <v>0.922226615948603</v>
      </c>
      <c r="P5646" s="14">
        <v>0.55690808477811504</v>
      </c>
      <c r="Q5646" t="str">
        <f t="shared" si="176"/>
        <v>10-14</v>
      </c>
      <c r="R5646" t="str">
        <f t="shared" si="177"/>
        <v>[YCKiBAp8QAg]|10-14|Female|PLHIV_Attend.T|CY2024Q3</v>
      </c>
    </row>
    <row r="5647" spans="4:18" x14ac:dyDescent="0.2">
      <c r="D5647" t="s">
        <v>128</v>
      </c>
      <c r="E5647" t="s">
        <v>129</v>
      </c>
      <c r="F5647" t="s">
        <v>130</v>
      </c>
      <c r="G5647" t="s">
        <v>167</v>
      </c>
      <c r="H5647" t="s">
        <v>167</v>
      </c>
      <c r="I5647" t="s">
        <v>37</v>
      </c>
      <c r="J5647" t="s">
        <v>38</v>
      </c>
      <c r="K5647" t="s">
        <v>29</v>
      </c>
      <c r="L5647" t="s">
        <v>30</v>
      </c>
      <c r="M5647" t="s">
        <v>166</v>
      </c>
      <c r="N5647">
        <v>1067</v>
      </c>
      <c r="O5647" s="14">
        <v>0.66398837370798003</v>
      </c>
      <c r="P5647" s="14">
        <v>0.55690808477811504</v>
      </c>
      <c r="Q5647" t="str">
        <f t="shared" si="176"/>
        <v>15-24</v>
      </c>
      <c r="R5647" t="str">
        <f t="shared" si="177"/>
        <v>[YCKiBAp8QAg]|15-24|Female|PLHIV_Attend.T|CY2024Q3</v>
      </c>
    </row>
    <row r="5648" spans="4:18" x14ac:dyDescent="0.2">
      <c r="D5648" t="s">
        <v>128</v>
      </c>
      <c r="E5648" t="s">
        <v>129</v>
      </c>
      <c r="F5648" t="s">
        <v>130</v>
      </c>
      <c r="G5648" t="s">
        <v>167</v>
      </c>
      <c r="H5648" t="s">
        <v>167</v>
      </c>
      <c r="I5648" t="s">
        <v>40</v>
      </c>
      <c r="J5648" t="s">
        <v>41</v>
      </c>
      <c r="K5648" t="s">
        <v>29</v>
      </c>
      <c r="L5648" t="s">
        <v>30</v>
      </c>
      <c r="M5648" t="s">
        <v>166</v>
      </c>
      <c r="N5648">
        <v>1869</v>
      </c>
      <c r="O5648" s="14">
        <v>0.50236597191542398</v>
      </c>
      <c r="P5648" s="14">
        <v>0.55690808477811504</v>
      </c>
      <c r="Q5648" t="str">
        <f t="shared" si="176"/>
        <v>25-34</v>
      </c>
      <c r="R5648" t="str">
        <f t="shared" si="177"/>
        <v>[YCKiBAp8QAg]|25-34|Female|PLHIV_Attend.T|CY2024Q3</v>
      </c>
    </row>
    <row r="5649" spans="4:18" x14ac:dyDescent="0.2">
      <c r="D5649" t="s">
        <v>128</v>
      </c>
      <c r="E5649" t="s">
        <v>129</v>
      </c>
      <c r="F5649" t="s">
        <v>130</v>
      </c>
      <c r="G5649" t="s">
        <v>167</v>
      </c>
      <c r="H5649" t="s">
        <v>167</v>
      </c>
      <c r="I5649" t="s">
        <v>42</v>
      </c>
      <c r="J5649" t="s">
        <v>43</v>
      </c>
      <c r="K5649" t="s">
        <v>29</v>
      </c>
      <c r="L5649" t="s">
        <v>30</v>
      </c>
      <c r="M5649" t="s">
        <v>166</v>
      </c>
      <c r="N5649">
        <v>1807</v>
      </c>
      <c r="O5649" s="14">
        <v>0.129954752279446</v>
      </c>
      <c r="P5649" s="14">
        <v>0.55690808477811504</v>
      </c>
      <c r="Q5649" t="str">
        <f t="shared" si="176"/>
        <v>35-49</v>
      </c>
      <c r="R5649" t="str">
        <f t="shared" si="177"/>
        <v>[YCKiBAp8QAg]|35-49|Female|PLHIV_Attend.T|CY2024Q3</v>
      </c>
    </row>
    <row r="5650" spans="4:18" x14ac:dyDescent="0.2">
      <c r="D5650" t="s">
        <v>128</v>
      </c>
      <c r="E5650" t="s">
        <v>129</v>
      </c>
      <c r="F5650" t="s">
        <v>130</v>
      </c>
      <c r="G5650" t="s">
        <v>167</v>
      </c>
      <c r="H5650" t="s">
        <v>167</v>
      </c>
      <c r="I5650" t="s">
        <v>44</v>
      </c>
      <c r="J5650" t="s">
        <v>45</v>
      </c>
      <c r="K5650" t="s">
        <v>29</v>
      </c>
      <c r="L5650" t="s">
        <v>30</v>
      </c>
      <c r="M5650" t="s">
        <v>166</v>
      </c>
      <c r="N5650">
        <v>734</v>
      </c>
      <c r="O5650" s="14">
        <v>0.615131512051448</v>
      </c>
      <c r="P5650" s="14">
        <v>0.55690808477811504</v>
      </c>
      <c r="Q5650" t="str">
        <f t="shared" si="176"/>
        <v>50+</v>
      </c>
      <c r="R5650" t="str">
        <f t="shared" si="177"/>
        <v>[YCKiBAp8QAg]|50+|Female|PLHIV_Attend.T|CY2024Q3</v>
      </c>
    </row>
    <row r="5651" spans="4:18" x14ac:dyDescent="0.2">
      <c r="D5651" t="s">
        <v>128</v>
      </c>
      <c r="E5651" t="s">
        <v>129</v>
      </c>
      <c r="F5651" t="s">
        <v>130</v>
      </c>
      <c r="G5651" t="s">
        <v>167</v>
      </c>
      <c r="H5651" t="s">
        <v>167</v>
      </c>
      <c r="I5651" t="s">
        <v>27</v>
      </c>
      <c r="J5651" t="s">
        <v>28</v>
      </c>
      <c r="K5651" t="s">
        <v>47</v>
      </c>
      <c r="L5651" t="s">
        <v>48</v>
      </c>
      <c r="M5651" t="s">
        <v>166</v>
      </c>
      <c r="N5651">
        <v>1906</v>
      </c>
      <c r="O5651" s="14">
        <v>0.73891211557201997</v>
      </c>
      <c r="P5651" s="14">
        <v>0.55690808477811504</v>
      </c>
      <c r="Q5651" t="str">
        <f t="shared" si="176"/>
        <v>&lt;01</v>
      </c>
      <c r="R5651" t="str">
        <f t="shared" si="177"/>
        <v>[YCKiBAp8QAg]|&lt;01|Male|PLHIV_Attend.T|CY2024Q3</v>
      </c>
    </row>
    <row r="5652" spans="4:18" x14ac:dyDescent="0.2">
      <c r="D5652" t="s">
        <v>128</v>
      </c>
      <c r="E5652" t="s">
        <v>129</v>
      </c>
      <c r="F5652" t="s">
        <v>130</v>
      </c>
      <c r="G5652" t="s">
        <v>167</v>
      </c>
      <c r="H5652" t="s">
        <v>167</v>
      </c>
      <c r="I5652" t="s">
        <v>32</v>
      </c>
      <c r="J5652" t="s">
        <v>33</v>
      </c>
      <c r="K5652" t="s">
        <v>47</v>
      </c>
      <c r="L5652" t="s">
        <v>48</v>
      </c>
      <c r="M5652" t="s">
        <v>166</v>
      </c>
      <c r="N5652">
        <v>1149</v>
      </c>
      <c r="O5652" s="14">
        <v>0.818222344387323</v>
      </c>
      <c r="P5652" s="14">
        <v>0.55690808477811504</v>
      </c>
      <c r="Q5652" t="str">
        <f t="shared" si="176"/>
        <v>01-09</v>
      </c>
      <c r="R5652" t="str">
        <f t="shared" si="177"/>
        <v>[YCKiBAp8QAg]|01-09|Male|PLHIV_Attend.T|CY2024Q3</v>
      </c>
    </row>
    <row r="5653" spans="4:18" x14ac:dyDescent="0.2">
      <c r="D5653" t="s">
        <v>128</v>
      </c>
      <c r="E5653" t="s">
        <v>129</v>
      </c>
      <c r="F5653" t="s">
        <v>130</v>
      </c>
      <c r="G5653" t="s">
        <v>167</v>
      </c>
      <c r="H5653" t="s">
        <v>167</v>
      </c>
      <c r="I5653" t="s">
        <v>35</v>
      </c>
      <c r="J5653" t="s">
        <v>36</v>
      </c>
      <c r="K5653" t="s">
        <v>47</v>
      </c>
      <c r="L5653" t="s">
        <v>48</v>
      </c>
      <c r="M5653" t="s">
        <v>166</v>
      </c>
      <c r="N5653">
        <v>822</v>
      </c>
      <c r="O5653" s="14">
        <v>0.54726431937888298</v>
      </c>
      <c r="P5653" s="14">
        <v>0.55690808477811504</v>
      </c>
      <c r="Q5653" t="str">
        <f t="shared" si="176"/>
        <v>10-14</v>
      </c>
      <c r="R5653" t="str">
        <f t="shared" si="177"/>
        <v>[YCKiBAp8QAg]|10-14|Male|PLHIV_Attend.T|CY2024Q3</v>
      </c>
    </row>
    <row r="5654" spans="4:18" x14ac:dyDescent="0.2">
      <c r="D5654" t="s">
        <v>128</v>
      </c>
      <c r="E5654" t="s">
        <v>129</v>
      </c>
      <c r="F5654" t="s">
        <v>130</v>
      </c>
      <c r="G5654" t="s">
        <v>167</v>
      </c>
      <c r="H5654" t="s">
        <v>167</v>
      </c>
      <c r="I5654" t="s">
        <v>37</v>
      </c>
      <c r="J5654" t="s">
        <v>38</v>
      </c>
      <c r="K5654" t="s">
        <v>47</v>
      </c>
      <c r="L5654" t="s">
        <v>48</v>
      </c>
      <c r="M5654" t="s">
        <v>166</v>
      </c>
      <c r="N5654">
        <v>1147</v>
      </c>
      <c r="O5654" s="14">
        <v>0.228594403946772</v>
      </c>
      <c r="P5654" s="14">
        <v>0.55690808477811504</v>
      </c>
      <c r="Q5654" t="str">
        <f t="shared" si="176"/>
        <v>15-24</v>
      </c>
      <c r="R5654" t="str">
        <f t="shared" si="177"/>
        <v>[YCKiBAp8QAg]|15-24|Male|PLHIV_Attend.T|CY2024Q3</v>
      </c>
    </row>
    <row r="5655" spans="4:18" x14ac:dyDescent="0.2">
      <c r="D5655" t="s">
        <v>128</v>
      </c>
      <c r="E5655" t="s">
        <v>129</v>
      </c>
      <c r="F5655" t="s">
        <v>130</v>
      </c>
      <c r="G5655" t="s">
        <v>167</v>
      </c>
      <c r="H5655" t="s">
        <v>167</v>
      </c>
      <c r="I5655" t="s">
        <v>40</v>
      </c>
      <c r="J5655" t="s">
        <v>41</v>
      </c>
      <c r="K5655" t="s">
        <v>47</v>
      </c>
      <c r="L5655" t="s">
        <v>48</v>
      </c>
      <c r="M5655" t="s">
        <v>166</v>
      </c>
      <c r="N5655">
        <v>1520</v>
      </c>
      <c r="O5655" s="14">
        <v>0.27551624341867897</v>
      </c>
      <c r="P5655" s="14">
        <v>0.55690808477811504</v>
      </c>
      <c r="Q5655" t="str">
        <f t="shared" si="176"/>
        <v>25-34</v>
      </c>
      <c r="R5655" t="str">
        <f t="shared" si="177"/>
        <v>[YCKiBAp8QAg]|25-34|Male|PLHIV_Attend.T|CY2024Q3</v>
      </c>
    </row>
    <row r="5656" spans="4:18" x14ac:dyDescent="0.2">
      <c r="D5656" t="s">
        <v>128</v>
      </c>
      <c r="E5656" t="s">
        <v>129</v>
      </c>
      <c r="F5656" t="s">
        <v>130</v>
      </c>
      <c r="G5656" t="s">
        <v>167</v>
      </c>
      <c r="H5656" t="s">
        <v>167</v>
      </c>
      <c r="I5656" t="s">
        <v>42</v>
      </c>
      <c r="J5656" t="s">
        <v>43</v>
      </c>
      <c r="K5656" t="s">
        <v>47</v>
      </c>
      <c r="L5656" t="s">
        <v>48</v>
      </c>
      <c r="M5656" t="s">
        <v>166</v>
      </c>
      <c r="N5656">
        <v>1432</v>
      </c>
      <c r="O5656" s="14">
        <v>0.122906830394641</v>
      </c>
      <c r="P5656" s="14">
        <v>0.55690808477811504</v>
      </c>
      <c r="Q5656" t="str">
        <f t="shared" si="176"/>
        <v>35-49</v>
      </c>
      <c r="R5656" t="str">
        <f t="shared" si="177"/>
        <v>[YCKiBAp8QAg]|35-49|Male|PLHIV_Attend.T|CY2024Q3</v>
      </c>
    </row>
    <row r="5657" spans="4:18" x14ac:dyDescent="0.2">
      <c r="D5657" t="s">
        <v>128</v>
      </c>
      <c r="E5657" t="s">
        <v>129</v>
      </c>
      <c r="F5657" t="s">
        <v>130</v>
      </c>
      <c r="G5657" t="s">
        <v>167</v>
      </c>
      <c r="H5657" t="s">
        <v>167</v>
      </c>
      <c r="I5657" t="s">
        <v>44</v>
      </c>
      <c r="J5657" t="s">
        <v>45</v>
      </c>
      <c r="K5657" t="s">
        <v>47</v>
      </c>
      <c r="L5657" t="s">
        <v>48</v>
      </c>
      <c r="M5657" t="s">
        <v>166</v>
      </c>
      <c r="N5657">
        <v>1061</v>
      </c>
      <c r="O5657" s="14">
        <v>0.10413150186650499</v>
      </c>
      <c r="P5657" s="14">
        <v>0.55690808477811504</v>
      </c>
      <c r="Q5657" t="str">
        <f t="shared" si="176"/>
        <v>50+</v>
      </c>
      <c r="R5657" t="str">
        <f t="shared" si="177"/>
        <v>[YCKiBAp8QAg]|50+|Male|PLHIV_Attend.T|CY2024Q3</v>
      </c>
    </row>
    <row r="5658" spans="4:18" x14ac:dyDescent="0.2">
      <c r="D5658" t="s">
        <v>131</v>
      </c>
      <c r="E5658" t="s">
        <v>132</v>
      </c>
      <c r="F5658" t="s">
        <v>133</v>
      </c>
      <c r="G5658" t="s">
        <v>167</v>
      </c>
      <c r="H5658" t="s">
        <v>167</v>
      </c>
      <c r="I5658" t="s">
        <v>27</v>
      </c>
      <c r="J5658" t="s">
        <v>28</v>
      </c>
      <c r="K5658" t="s">
        <v>29</v>
      </c>
      <c r="L5658" t="s">
        <v>30</v>
      </c>
      <c r="M5658" t="s">
        <v>166</v>
      </c>
      <c r="N5658">
        <v>1407</v>
      </c>
      <c r="O5658" s="14">
        <v>0.37629423476755602</v>
      </c>
      <c r="P5658" s="14">
        <v>0.16286319401115201</v>
      </c>
      <c r="Q5658" t="str">
        <f t="shared" si="176"/>
        <v>&lt;01</v>
      </c>
      <c r="R5658" t="str">
        <f t="shared" si="177"/>
        <v>[JQKLKuVuY61]|&lt;01|Female|PLHIV_Attend.T|CY2024Q3</v>
      </c>
    </row>
    <row r="5659" spans="4:18" x14ac:dyDescent="0.2">
      <c r="D5659" t="s">
        <v>131</v>
      </c>
      <c r="E5659" t="s">
        <v>132</v>
      </c>
      <c r="F5659" t="s">
        <v>133</v>
      </c>
      <c r="G5659" t="s">
        <v>167</v>
      </c>
      <c r="H5659" t="s">
        <v>167</v>
      </c>
      <c r="I5659" t="s">
        <v>32</v>
      </c>
      <c r="J5659" t="s">
        <v>33</v>
      </c>
      <c r="K5659" t="s">
        <v>29</v>
      </c>
      <c r="L5659" t="s">
        <v>30</v>
      </c>
      <c r="M5659" t="s">
        <v>166</v>
      </c>
      <c r="N5659">
        <v>1866</v>
      </c>
      <c r="O5659" s="14">
        <v>0.58959356369450699</v>
      </c>
      <c r="P5659" s="14">
        <v>0.16286319401115201</v>
      </c>
      <c r="Q5659" t="str">
        <f t="shared" si="176"/>
        <v>01-09</v>
      </c>
      <c r="R5659" t="str">
        <f t="shared" si="177"/>
        <v>[JQKLKuVuY61]|01-09|Female|PLHIV_Attend.T|CY2024Q3</v>
      </c>
    </row>
    <row r="5660" spans="4:18" x14ac:dyDescent="0.2">
      <c r="D5660" t="s">
        <v>131</v>
      </c>
      <c r="E5660" t="s">
        <v>132</v>
      </c>
      <c r="F5660" t="s">
        <v>133</v>
      </c>
      <c r="G5660" t="s">
        <v>167</v>
      </c>
      <c r="H5660" t="s">
        <v>167</v>
      </c>
      <c r="I5660" t="s">
        <v>35</v>
      </c>
      <c r="J5660" t="s">
        <v>36</v>
      </c>
      <c r="K5660" t="s">
        <v>29</v>
      </c>
      <c r="L5660" t="s">
        <v>30</v>
      </c>
      <c r="M5660" t="s">
        <v>166</v>
      </c>
      <c r="N5660">
        <v>1440</v>
      </c>
      <c r="O5660" s="14">
        <v>0.60230098757892803</v>
      </c>
      <c r="P5660" s="14">
        <v>0.16286319401115201</v>
      </c>
      <c r="Q5660" t="str">
        <f t="shared" si="176"/>
        <v>10-14</v>
      </c>
      <c r="R5660" t="str">
        <f t="shared" si="177"/>
        <v>[JQKLKuVuY61]|10-14|Female|PLHIV_Attend.T|CY2024Q3</v>
      </c>
    </row>
    <row r="5661" spans="4:18" x14ac:dyDescent="0.2">
      <c r="D5661" t="s">
        <v>131</v>
      </c>
      <c r="E5661" t="s">
        <v>132</v>
      </c>
      <c r="F5661" t="s">
        <v>133</v>
      </c>
      <c r="G5661" t="s">
        <v>167</v>
      </c>
      <c r="H5661" t="s">
        <v>167</v>
      </c>
      <c r="I5661" t="s">
        <v>37</v>
      </c>
      <c r="J5661" t="s">
        <v>38</v>
      </c>
      <c r="K5661" t="s">
        <v>29</v>
      </c>
      <c r="L5661" t="s">
        <v>30</v>
      </c>
      <c r="M5661" t="s">
        <v>166</v>
      </c>
      <c r="N5661">
        <v>1044</v>
      </c>
      <c r="O5661" s="14">
        <v>0.77467682282440398</v>
      </c>
      <c r="P5661" s="14">
        <v>0.16286319401115201</v>
      </c>
      <c r="Q5661" t="str">
        <f t="shared" si="176"/>
        <v>15-24</v>
      </c>
      <c r="R5661" t="str">
        <f t="shared" si="177"/>
        <v>[JQKLKuVuY61]|15-24|Female|PLHIV_Attend.T|CY2024Q3</v>
      </c>
    </row>
    <row r="5662" spans="4:18" x14ac:dyDescent="0.2">
      <c r="D5662" t="s">
        <v>131</v>
      </c>
      <c r="E5662" t="s">
        <v>132</v>
      </c>
      <c r="F5662" t="s">
        <v>133</v>
      </c>
      <c r="G5662" t="s">
        <v>167</v>
      </c>
      <c r="H5662" t="s">
        <v>167</v>
      </c>
      <c r="I5662" t="s">
        <v>40</v>
      </c>
      <c r="J5662" t="s">
        <v>41</v>
      </c>
      <c r="K5662" t="s">
        <v>29</v>
      </c>
      <c r="L5662" t="s">
        <v>30</v>
      </c>
      <c r="M5662" t="s">
        <v>166</v>
      </c>
      <c r="N5662">
        <v>1219</v>
      </c>
      <c r="O5662" s="14">
        <v>0.298114147270098</v>
      </c>
      <c r="P5662" s="14">
        <v>0.16286319401115201</v>
      </c>
      <c r="Q5662" t="str">
        <f t="shared" si="176"/>
        <v>25-34</v>
      </c>
      <c r="R5662" t="str">
        <f t="shared" si="177"/>
        <v>[JQKLKuVuY61]|25-34|Female|PLHIV_Attend.T|CY2024Q3</v>
      </c>
    </row>
    <row r="5663" spans="4:18" x14ac:dyDescent="0.2">
      <c r="D5663" t="s">
        <v>131</v>
      </c>
      <c r="E5663" t="s">
        <v>132</v>
      </c>
      <c r="F5663" t="s">
        <v>133</v>
      </c>
      <c r="G5663" t="s">
        <v>167</v>
      </c>
      <c r="H5663" t="s">
        <v>167</v>
      </c>
      <c r="I5663" t="s">
        <v>42</v>
      </c>
      <c r="J5663" t="s">
        <v>43</v>
      </c>
      <c r="K5663" t="s">
        <v>29</v>
      </c>
      <c r="L5663" t="s">
        <v>30</v>
      </c>
      <c r="M5663" t="s">
        <v>166</v>
      </c>
      <c r="N5663">
        <v>1495</v>
      </c>
      <c r="O5663" s="14">
        <v>0.31342036696150899</v>
      </c>
      <c r="P5663" s="14">
        <v>0.16286319401115201</v>
      </c>
      <c r="Q5663" t="str">
        <f t="shared" si="176"/>
        <v>35-49</v>
      </c>
      <c r="R5663" t="str">
        <f t="shared" si="177"/>
        <v>[JQKLKuVuY61]|35-49|Female|PLHIV_Attend.T|CY2024Q3</v>
      </c>
    </row>
    <row r="5664" spans="4:18" x14ac:dyDescent="0.2">
      <c r="D5664" t="s">
        <v>131</v>
      </c>
      <c r="E5664" t="s">
        <v>132</v>
      </c>
      <c r="F5664" t="s">
        <v>133</v>
      </c>
      <c r="G5664" t="s">
        <v>167</v>
      </c>
      <c r="H5664" t="s">
        <v>167</v>
      </c>
      <c r="I5664" t="s">
        <v>44</v>
      </c>
      <c r="J5664" t="s">
        <v>45</v>
      </c>
      <c r="K5664" t="s">
        <v>29</v>
      </c>
      <c r="L5664" t="s">
        <v>30</v>
      </c>
      <c r="M5664" t="s">
        <v>166</v>
      </c>
      <c r="N5664">
        <v>1433</v>
      </c>
      <c r="O5664" s="14">
        <v>0.278209412936121</v>
      </c>
      <c r="P5664" s="14">
        <v>0.16286319401115201</v>
      </c>
      <c r="Q5664" t="str">
        <f t="shared" si="176"/>
        <v>50+</v>
      </c>
      <c r="R5664" t="str">
        <f t="shared" si="177"/>
        <v>[JQKLKuVuY61]|50+|Female|PLHIV_Attend.T|CY2024Q3</v>
      </c>
    </row>
    <row r="5665" spans="4:18" x14ac:dyDescent="0.2">
      <c r="D5665" t="s">
        <v>131</v>
      </c>
      <c r="E5665" t="s">
        <v>132</v>
      </c>
      <c r="F5665" t="s">
        <v>133</v>
      </c>
      <c r="G5665" t="s">
        <v>167</v>
      </c>
      <c r="H5665" t="s">
        <v>167</v>
      </c>
      <c r="I5665" t="s">
        <v>27</v>
      </c>
      <c r="J5665" t="s">
        <v>28</v>
      </c>
      <c r="K5665" t="s">
        <v>47</v>
      </c>
      <c r="L5665" t="s">
        <v>48</v>
      </c>
      <c r="M5665" t="s">
        <v>166</v>
      </c>
      <c r="N5665">
        <v>1108</v>
      </c>
      <c r="O5665" s="14">
        <v>0.44953567860648003</v>
      </c>
      <c r="P5665" s="14">
        <v>0.16286319401115201</v>
      </c>
      <c r="Q5665" t="str">
        <f t="shared" si="176"/>
        <v>&lt;01</v>
      </c>
      <c r="R5665" t="str">
        <f t="shared" si="177"/>
        <v>[JQKLKuVuY61]|&lt;01|Male|PLHIV_Attend.T|CY2024Q3</v>
      </c>
    </row>
    <row r="5666" spans="4:18" x14ac:dyDescent="0.2">
      <c r="D5666" t="s">
        <v>131</v>
      </c>
      <c r="E5666" t="s">
        <v>132</v>
      </c>
      <c r="F5666" t="s">
        <v>133</v>
      </c>
      <c r="G5666" t="s">
        <v>167</v>
      </c>
      <c r="H5666" t="s">
        <v>167</v>
      </c>
      <c r="I5666" t="s">
        <v>32</v>
      </c>
      <c r="J5666" t="s">
        <v>33</v>
      </c>
      <c r="K5666" t="s">
        <v>47</v>
      </c>
      <c r="L5666" t="s">
        <v>48</v>
      </c>
      <c r="M5666" t="s">
        <v>166</v>
      </c>
      <c r="N5666">
        <v>1465</v>
      </c>
      <c r="O5666" s="14">
        <v>0.45744663802906899</v>
      </c>
      <c r="P5666" s="14">
        <v>0.16286319401115201</v>
      </c>
      <c r="Q5666" t="str">
        <f t="shared" si="176"/>
        <v>01-09</v>
      </c>
      <c r="R5666" t="str">
        <f t="shared" si="177"/>
        <v>[JQKLKuVuY61]|01-09|Male|PLHIV_Attend.T|CY2024Q3</v>
      </c>
    </row>
    <row r="5667" spans="4:18" x14ac:dyDescent="0.2">
      <c r="D5667" t="s">
        <v>131</v>
      </c>
      <c r="E5667" t="s">
        <v>132</v>
      </c>
      <c r="F5667" t="s">
        <v>133</v>
      </c>
      <c r="G5667" t="s">
        <v>167</v>
      </c>
      <c r="H5667" t="s">
        <v>167</v>
      </c>
      <c r="I5667" t="s">
        <v>35</v>
      </c>
      <c r="J5667" t="s">
        <v>36</v>
      </c>
      <c r="K5667" t="s">
        <v>47</v>
      </c>
      <c r="L5667" t="s">
        <v>48</v>
      </c>
      <c r="M5667" t="s">
        <v>166</v>
      </c>
      <c r="N5667">
        <v>1223</v>
      </c>
      <c r="O5667" s="14">
        <v>1.47340325638652E-2</v>
      </c>
      <c r="P5667" s="14">
        <v>0.16286319401115201</v>
      </c>
      <c r="Q5667" t="str">
        <f t="shared" si="176"/>
        <v>10-14</v>
      </c>
      <c r="R5667" t="str">
        <f t="shared" si="177"/>
        <v>[JQKLKuVuY61]|10-14|Male|PLHIV_Attend.T|CY2024Q3</v>
      </c>
    </row>
    <row r="5668" spans="4:18" x14ac:dyDescent="0.2">
      <c r="D5668" t="s">
        <v>131</v>
      </c>
      <c r="E5668" t="s">
        <v>132</v>
      </c>
      <c r="F5668" t="s">
        <v>133</v>
      </c>
      <c r="G5668" t="s">
        <v>167</v>
      </c>
      <c r="H5668" t="s">
        <v>167</v>
      </c>
      <c r="I5668" t="s">
        <v>37</v>
      </c>
      <c r="J5668" t="s">
        <v>38</v>
      </c>
      <c r="K5668" t="s">
        <v>47</v>
      </c>
      <c r="L5668" t="s">
        <v>48</v>
      </c>
      <c r="M5668" t="s">
        <v>166</v>
      </c>
      <c r="N5668">
        <v>1933</v>
      </c>
      <c r="O5668" s="14">
        <v>0.86686426633968905</v>
      </c>
      <c r="P5668" s="14">
        <v>0.16286319401115201</v>
      </c>
      <c r="Q5668" t="str">
        <f t="shared" si="176"/>
        <v>15-24</v>
      </c>
      <c r="R5668" t="str">
        <f t="shared" si="177"/>
        <v>[JQKLKuVuY61]|15-24|Male|PLHIV_Attend.T|CY2024Q3</v>
      </c>
    </row>
    <row r="5669" spans="4:18" x14ac:dyDescent="0.2">
      <c r="D5669" t="s">
        <v>131</v>
      </c>
      <c r="E5669" t="s">
        <v>132</v>
      </c>
      <c r="F5669" t="s">
        <v>133</v>
      </c>
      <c r="G5669" t="s">
        <v>167</v>
      </c>
      <c r="H5669" t="s">
        <v>167</v>
      </c>
      <c r="I5669" t="s">
        <v>40</v>
      </c>
      <c r="J5669" t="s">
        <v>41</v>
      </c>
      <c r="K5669" t="s">
        <v>47</v>
      </c>
      <c r="L5669" t="s">
        <v>48</v>
      </c>
      <c r="M5669" t="s">
        <v>166</v>
      </c>
      <c r="N5669">
        <v>1528</v>
      </c>
      <c r="O5669" s="14">
        <v>0.105439700419083</v>
      </c>
      <c r="P5669" s="14">
        <v>0.16286319401115201</v>
      </c>
      <c r="Q5669" t="str">
        <f t="shared" si="176"/>
        <v>25-34</v>
      </c>
      <c r="R5669" t="str">
        <f t="shared" si="177"/>
        <v>[JQKLKuVuY61]|25-34|Male|PLHIV_Attend.T|CY2024Q3</v>
      </c>
    </row>
    <row r="5670" spans="4:18" x14ac:dyDescent="0.2">
      <c r="D5670" t="s">
        <v>131</v>
      </c>
      <c r="E5670" t="s">
        <v>132</v>
      </c>
      <c r="F5670" t="s">
        <v>133</v>
      </c>
      <c r="G5670" t="s">
        <v>167</v>
      </c>
      <c r="H5670" t="s">
        <v>167</v>
      </c>
      <c r="I5670" t="s">
        <v>42</v>
      </c>
      <c r="J5670" t="s">
        <v>43</v>
      </c>
      <c r="K5670" t="s">
        <v>47</v>
      </c>
      <c r="L5670" t="s">
        <v>48</v>
      </c>
      <c r="M5670" t="s">
        <v>166</v>
      </c>
      <c r="N5670">
        <v>1488</v>
      </c>
      <c r="O5670" s="14">
        <v>0.41600989410653699</v>
      </c>
      <c r="P5670" s="14">
        <v>0.16286319401115201</v>
      </c>
      <c r="Q5670" t="str">
        <f t="shared" si="176"/>
        <v>35-49</v>
      </c>
      <c r="R5670" t="str">
        <f t="shared" si="177"/>
        <v>[JQKLKuVuY61]|35-49|Male|PLHIV_Attend.T|CY2024Q3</v>
      </c>
    </row>
    <row r="5671" spans="4:18" x14ac:dyDescent="0.2">
      <c r="D5671" t="s">
        <v>131</v>
      </c>
      <c r="E5671" t="s">
        <v>132</v>
      </c>
      <c r="F5671" t="s">
        <v>133</v>
      </c>
      <c r="G5671" t="s">
        <v>167</v>
      </c>
      <c r="H5671" t="s">
        <v>167</v>
      </c>
      <c r="I5671" t="s">
        <v>44</v>
      </c>
      <c r="J5671" t="s">
        <v>45</v>
      </c>
      <c r="K5671" t="s">
        <v>47</v>
      </c>
      <c r="L5671" t="s">
        <v>48</v>
      </c>
      <c r="M5671" t="s">
        <v>166</v>
      </c>
      <c r="N5671">
        <v>1908</v>
      </c>
      <c r="O5671" s="14">
        <v>7.2014106204733294E-2</v>
      </c>
      <c r="P5671" s="14">
        <v>0.16286319401115201</v>
      </c>
      <c r="Q5671" t="str">
        <f t="shared" si="176"/>
        <v>50+</v>
      </c>
      <c r="R5671" t="str">
        <f t="shared" si="177"/>
        <v>[JQKLKuVuY61]|50+|Male|PLHIV_Attend.T|CY2024Q3</v>
      </c>
    </row>
    <row r="5672" spans="4:18" x14ac:dyDescent="0.2">
      <c r="D5672" t="s">
        <v>134</v>
      </c>
      <c r="E5672" t="s">
        <v>135</v>
      </c>
      <c r="F5672" t="s">
        <v>136</v>
      </c>
      <c r="G5672" t="s">
        <v>167</v>
      </c>
      <c r="H5672" t="s">
        <v>167</v>
      </c>
      <c r="I5672" t="s">
        <v>27</v>
      </c>
      <c r="J5672" t="s">
        <v>28</v>
      </c>
      <c r="K5672" t="s">
        <v>29</v>
      </c>
      <c r="L5672" t="s">
        <v>30</v>
      </c>
      <c r="M5672" t="s">
        <v>166</v>
      </c>
      <c r="N5672">
        <v>1281</v>
      </c>
      <c r="O5672" s="14">
        <v>0.41265953821130102</v>
      </c>
      <c r="P5672" s="14">
        <v>0.95530052832327805</v>
      </c>
      <c r="Q5672" t="str">
        <f t="shared" si="176"/>
        <v>&lt;01</v>
      </c>
      <c r="R5672" t="str">
        <f t="shared" si="177"/>
        <v>[fiRkU6gEjLz]|&lt;01|Female|PLHIV_Attend.T|CY2024Q3</v>
      </c>
    </row>
    <row r="5673" spans="4:18" x14ac:dyDescent="0.2">
      <c r="D5673" t="s">
        <v>134</v>
      </c>
      <c r="E5673" t="s">
        <v>135</v>
      </c>
      <c r="F5673" t="s">
        <v>136</v>
      </c>
      <c r="G5673" t="s">
        <v>167</v>
      </c>
      <c r="H5673" t="s">
        <v>167</v>
      </c>
      <c r="I5673" t="s">
        <v>32</v>
      </c>
      <c r="J5673" t="s">
        <v>33</v>
      </c>
      <c r="K5673" t="s">
        <v>29</v>
      </c>
      <c r="L5673" t="s">
        <v>30</v>
      </c>
      <c r="M5673" t="s">
        <v>166</v>
      </c>
      <c r="N5673">
        <v>717</v>
      </c>
      <c r="O5673" s="14">
        <v>0.610237857094035</v>
      </c>
      <c r="P5673" s="14">
        <v>0.95530052832327805</v>
      </c>
      <c r="Q5673" t="str">
        <f t="shared" si="176"/>
        <v>01-09</v>
      </c>
      <c r="R5673" t="str">
        <f t="shared" si="177"/>
        <v>[fiRkU6gEjLz]|01-09|Female|PLHIV_Attend.T|CY2024Q3</v>
      </c>
    </row>
    <row r="5674" spans="4:18" x14ac:dyDescent="0.2">
      <c r="D5674" t="s">
        <v>134</v>
      </c>
      <c r="E5674" t="s">
        <v>135</v>
      </c>
      <c r="F5674" t="s">
        <v>136</v>
      </c>
      <c r="G5674" t="s">
        <v>167</v>
      </c>
      <c r="H5674" t="s">
        <v>167</v>
      </c>
      <c r="I5674" t="s">
        <v>35</v>
      </c>
      <c r="J5674" t="s">
        <v>36</v>
      </c>
      <c r="K5674" t="s">
        <v>29</v>
      </c>
      <c r="L5674" t="s">
        <v>30</v>
      </c>
      <c r="M5674" t="s">
        <v>166</v>
      </c>
      <c r="N5674">
        <v>935</v>
      </c>
      <c r="O5674" s="14">
        <v>0.65876206639222801</v>
      </c>
      <c r="P5674" s="14">
        <v>0.95530052832327805</v>
      </c>
      <c r="Q5674" t="str">
        <f t="shared" si="176"/>
        <v>10-14</v>
      </c>
      <c r="R5674" t="str">
        <f t="shared" si="177"/>
        <v>[fiRkU6gEjLz]|10-14|Female|PLHIV_Attend.T|CY2024Q3</v>
      </c>
    </row>
    <row r="5675" spans="4:18" x14ac:dyDescent="0.2">
      <c r="D5675" t="s">
        <v>134</v>
      </c>
      <c r="E5675" t="s">
        <v>135</v>
      </c>
      <c r="F5675" t="s">
        <v>136</v>
      </c>
      <c r="G5675" t="s">
        <v>167</v>
      </c>
      <c r="H5675" t="s">
        <v>167</v>
      </c>
      <c r="I5675" t="s">
        <v>37</v>
      </c>
      <c r="J5675" t="s">
        <v>38</v>
      </c>
      <c r="K5675" t="s">
        <v>29</v>
      </c>
      <c r="L5675" t="s">
        <v>30</v>
      </c>
      <c r="M5675" t="s">
        <v>166</v>
      </c>
      <c r="N5675">
        <v>1642</v>
      </c>
      <c r="O5675" s="14">
        <v>0.44589836127124699</v>
      </c>
      <c r="P5675" s="14">
        <v>0.95530052832327805</v>
      </c>
      <c r="Q5675" t="str">
        <f t="shared" si="176"/>
        <v>15-24</v>
      </c>
      <c r="R5675" t="str">
        <f t="shared" si="177"/>
        <v>[fiRkU6gEjLz]|15-24|Female|PLHIV_Attend.T|CY2024Q3</v>
      </c>
    </row>
    <row r="5676" spans="4:18" x14ac:dyDescent="0.2">
      <c r="D5676" t="s">
        <v>134</v>
      </c>
      <c r="E5676" t="s">
        <v>135</v>
      </c>
      <c r="F5676" t="s">
        <v>136</v>
      </c>
      <c r="G5676" t="s">
        <v>167</v>
      </c>
      <c r="H5676" t="s">
        <v>167</v>
      </c>
      <c r="I5676" t="s">
        <v>40</v>
      </c>
      <c r="J5676" t="s">
        <v>41</v>
      </c>
      <c r="K5676" t="s">
        <v>29</v>
      </c>
      <c r="L5676" t="s">
        <v>30</v>
      </c>
      <c r="M5676" t="s">
        <v>166</v>
      </c>
      <c r="N5676">
        <v>1792</v>
      </c>
      <c r="O5676" s="14">
        <v>0.203753469977528</v>
      </c>
      <c r="P5676" s="14">
        <v>0.95530052832327805</v>
      </c>
      <c r="Q5676" t="str">
        <f t="shared" si="176"/>
        <v>25-34</v>
      </c>
      <c r="R5676" t="str">
        <f t="shared" si="177"/>
        <v>[fiRkU6gEjLz]|25-34|Female|PLHIV_Attend.T|CY2024Q3</v>
      </c>
    </row>
    <row r="5677" spans="4:18" x14ac:dyDescent="0.2">
      <c r="D5677" t="s">
        <v>134</v>
      </c>
      <c r="E5677" t="s">
        <v>135</v>
      </c>
      <c r="F5677" t="s">
        <v>136</v>
      </c>
      <c r="G5677" t="s">
        <v>167</v>
      </c>
      <c r="H5677" t="s">
        <v>167</v>
      </c>
      <c r="I5677" t="s">
        <v>42</v>
      </c>
      <c r="J5677" t="s">
        <v>43</v>
      </c>
      <c r="K5677" t="s">
        <v>29</v>
      </c>
      <c r="L5677" t="s">
        <v>30</v>
      </c>
      <c r="M5677" t="s">
        <v>166</v>
      </c>
      <c r="N5677">
        <v>1756</v>
      </c>
      <c r="O5677" s="14">
        <v>0.38816116494126601</v>
      </c>
      <c r="P5677" s="14">
        <v>0.95530052832327805</v>
      </c>
      <c r="Q5677" t="str">
        <f t="shared" si="176"/>
        <v>35-49</v>
      </c>
      <c r="R5677" t="str">
        <f t="shared" si="177"/>
        <v>[fiRkU6gEjLz]|35-49|Female|PLHIV_Attend.T|CY2024Q3</v>
      </c>
    </row>
    <row r="5678" spans="4:18" x14ac:dyDescent="0.2">
      <c r="D5678" t="s">
        <v>134</v>
      </c>
      <c r="E5678" t="s">
        <v>135</v>
      </c>
      <c r="F5678" t="s">
        <v>136</v>
      </c>
      <c r="G5678" t="s">
        <v>167</v>
      </c>
      <c r="H5678" t="s">
        <v>167</v>
      </c>
      <c r="I5678" t="s">
        <v>44</v>
      </c>
      <c r="J5678" t="s">
        <v>45</v>
      </c>
      <c r="K5678" t="s">
        <v>29</v>
      </c>
      <c r="L5678" t="s">
        <v>30</v>
      </c>
      <c r="M5678" t="s">
        <v>166</v>
      </c>
      <c r="N5678">
        <v>1447</v>
      </c>
      <c r="O5678" s="14">
        <v>0.80676921945996605</v>
      </c>
      <c r="P5678" s="14">
        <v>0.95530052832327805</v>
      </c>
      <c r="Q5678" t="str">
        <f t="shared" si="176"/>
        <v>50+</v>
      </c>
      <c r="R5678" t="str">
        <f t="shared" si="177"/>
        <v>[fiRkU6gEjLz]|50+|Female|PLHIV_Attend.T|CY2024Q3</v>
      </c>
    </row>
    <row r="5679" spans="4:18" x14ac:dyDescent="0.2">
      <c r="D5679" t="s">
        <v>134</v>
      </c>
      <c r="E5679" t="s">
        <v>135</v>
      </c>
      <c r="F5679" t="s">
        <v>136</v>
      </c>
      <c r="G5679" t="s">
        <v>167</v>
      </c>
      <c r="H5679" t="s">
        <v>167</v>
      </c>
      <c r="I5679" t="s">
        <v>27</v>
      </c>
      <c r="J5679" t="s">
        <v>28</v>
      </c>
      <c r="K5679" t="s">
        <v>47</v>
      </c>
      <c r="L5679" t="s">
        <v>48</v>
      </c>
      <c r="M5679" t="s">
        <v>166</v>
      </c>
      <c r="N5679">
        <v>1467</v>
      </c>
      <c r="O5679" s="14">
        <v>0.58201746852137104</v>
      </c>
      <c r="P5679" s="14">
        <v>0.95530052832327805</v>
      </c>
      <c r="Q5679" t="str">
        <f t="shared" si="176"/>
        <v>&lt;01</v>
      </c>
      <c r="R5679" t="str">
        <f t="shared" si="177"/>
        <v>[fiRkU6gEjLz]|&lt;01|Male|PLHIV_Attend.T|CY2024Q3</v>
      </c>
    </row>
    <row r="5680" spans="4:18" x14ac:dyDescent="0.2">
      <c r="D5680" t="s">
        <v>134</v>
      </c>
      <c r="E5680" t="s">
        <v>135</v>
      </c>
      <c r="F5680" t="s">
        <v>136</v>
      </c>
      <c r="G5680" t="s">
        <v>167</v>
      </c>
      <c r="H5680" t="s">
        <v>167</v>
      </c>
      <c r="I5680" t="s">
        <v>32</v>
      </c>
      <c r="J5680" t="s">
        <v>33</v>
      </c>
      <c r="K5680" t="s">
        <v>47</v>
      </c>
      <c r="L5680" t="s">
        <v>48</v>
      </c>
      <c r="M5680" t="s">
        <v>166</v>
      </c>
      <c r="N5680">
        <v>1160</v>
      </c>
      <c r="O5680" s="14">
        <v>0.71147383097559203</v>
      </c>
      <c r="P5680" s="14">
        <v>0.95530052832327805</v>
      </c>
      <c r="Q5680" t="str">
        <f t="shared" si="176"/>
        <v>01-09</v>
      </c>
      <c r="R5680" t="str">
        <f t="shared" si="177"/>
        <v>[fiRkU6gEjLz]|01-09|Male|PLHIV_Attend.T|CY2024Q3</v>
      </c>
    </row>
    <row r="5681" spans="4:18" x14ac:dyDescent="0.2">
      <c r="D5681" t="s">
        <v>134</v>
      </c>
      <c r="E5681" t="s">
        <v>135</v>
      </c>
      <c r="F5681" t="s">
        <v>136</v>
      </c>
      <c r="G5681" t="s">
        <v>167</v>
      </c>
      <c r="H5681" t="s">
        <v>167</v>
      </c>
      <c r="I5681" t="s">
        <v>35</v>
      </c>
      <c r="J5681" t="s">
        <v>36</v>
      </c>
      <c r="K5681" t="s">
        <v>47</v>
      </c>
      <c r="L5681" t="s">
        <v>48</v>
      </c>
      <c r="M5681" t="s">
        <v>166</v>
      </c>
      <c r="N5681">
        <v>1857</v>
      </c>
      <c r="O5681" s="14">
        <v>0.236894483910874</v>
      </c>
      <c r="P5681" s="14">
        <v>0.95530052832327805</v>
      </c>
      <c r="Q5681" t="str">
        <f t="shared" si="176"/>
        <v>10-14</v>
      </c>
      <c r="R5681" t="str">
        <f t="shared" si="177"/>
        <v>[fiRkU6gEjLz]|10-14|Male|PLHIV_Attend.T|CY2024Q3</v>
      </c>
    </row>
    <row r="5682" spans="4:18" x14ac:dyDescent="0.2">
      <c r="D5682" t="s">
        <v>134</v>
      </c>
      <c r="E5682" t="s">
        <v>135</v>
      </c>
      <c r="F5682" t="s">
        <v>136</v>
      </c>
      <c r="G5682" t="s">
        <v>167</v>
      </c>
      <c r="H5682" t="s">
        <v>167</v>
      </c>
      <c r="I5682" t="s">
        <v>37</v>
      </c>
      <c r="J5682" t="s">
        <v>38</v>
      </c>
      <c r="K5682" t="s">
        <v>47</v>
      </c>
      <c r="L5682" t="s">
        <v>48</v>
      </c>
      <c r="M5682" t="s">
        <v>166</v>
      </c>
      <c r="N5682">
        <v>1489</v>
      </c>
      <c r="O5682" s="14">
        <v>0.99924393557012103</v>
      </c>
      <c r="P5682" s="14">
        <v>0.95530052832327805</v>
      </c>
      <c r="Q5682" t="str">
        <f t="shared" si="176"/>
        <v>15-24</v>
      </c>
      <c r="R5682" t="str">
        <f t="shared" si="177"/>
        <v>[fiRkU6gEjLz]|15-24|Male|PLHIV_Attend.T|CY2024Q3</v>
      </c>
    </row>
    <row r="5683" spans="4:18" x14ac:dyDescent="0.2">
      <c r="D5683" t="s">
        <v>134</v>
      </c>
      <c r="E5683" t="s">
        <v>135</v>
      </c>
      <c r="F5683" t="s">
        <v>136</v>
      </c>
      <c r="G5683" t="s">
        <v>167</v>
      </c>
      <c r="H5683" t="s">
        <v>167</v>
      </c>
      <c r="I5683" t="s">
        <v>40</v>
      </c>
      <c r="J5683" t="s">
        <v>41</v>
      </c>
      <c r="K5683" t="s">
        <v>47</v>
      </c>
      <c r="L5683" t="s">
        <v>48</v>
      </c>
      <c r="M5683" t="s">
        <v>166</v>
      </c>
      <c r="N5683">
        <v>502</v>
      </c>
      <c r="O5683" s="14">
        <v>0.89060319587588299</v>
      </c>
      <c r="P5683" s="14">
        <v>0.95530052832327805</v>
      </c>
      <c r="Q5683" t="str">
        <f t="shared" si="176"/>
        <v>25-34</v>
      </c>
      <c r="R5683" t="str">
        <f t="shared" si="177"/>
        <v>[fiRkU6gEjLz]|25-34|Male|PLHIV_Attend.T|CY2024Q3</v>
      </c>
    </row>
    <row r="5684" spans="4:18" x14ac:dyDescent="0.2">
      <c r="D5684" t="s">
        <v>134</v>
      </c>
      <c r="E5684" t="s">
        <v>135</v>
      </c>
      <c r="F5684" t="s">
        <v>136</v>
      </c>
      <c r="G5684" t="s">
        <v>167</v>
      </c>
      <c r="H5684" t="s">
        <v>167</v>
      </c>
      <c r="I5684" t="s">
        <v>42</v>
      </c>
      <c r="J5684" t="s">
        <v>43</v>
      </c>
      <c r="K5684" t="s">
        <v>47</v>
      </c>
      <c r="L5684" t="s">
        <v>48</v>
      </c>
      <c r="M5684" t="s">
        <v>166</v>
      </c>
      <c r="N5684">
        <v>1487</v>
      </c>
      <c r="O5684" s="14">
        <v>0.84787562978453901</v>
      </c>
      <c r="P5684" s="14">
        <v>0.95530052832327805</v>
      </c>
      <c r="Q5684" t="str">
        <f t="shared" si="176"/>
        <v>35-49</v>
      </c>
      <c r="R5684" t="str">
        <f t="shared" si="177"/>
        <v>[fiRkU6gEjLz]|35-49|Male|PLHIV_Attend.T|CY2024Q3</v>
      </c>
    </row>
    <row r="5685" spans="4:18" x14ac:dyDescent="0.2">
      <c r="D5685" t="s">
        <v>134</v>
      </c>
      <c r="E5685" t="s">
        <v>135</v>
      </c>
      <c r="F5685" t="s">
        <v>136</v>
      </c>
      <c r="G5685" t="s">
        <v>167</v>
      </c>
      <c r="H5685" t="s">
        <v>167</v>
      </c>
      <c r="I5685" t="s">
        <v>44</v>
      </c>
      <c r="J5685" t="s">
        <v>45</v>
      </c>
      <c r="K5685" t="s">
        <v>47</v>
      </c>
      <c r="L5685" t="s">
        <v>48</v>
      </c>
      <c r="M5685" t="s">
        <v>166</v>
      </c>
      <c r="N5685">
        <v>1939</v>
      </c>
      <c r="O5685" s="14">
        <v>0.98005077638663396</v>
      </c>
      <c r="P5685" s="14">
        <v>0.95530052832327805</v>
      </c>
      <c r="Q5685" t="str">
        <f t="shared" si="176"/>
        <v>50+</v>
      </c>
      <c r="R5685" t="str">
        <f t="shared" si="177"/>
        <v>[fiRkU6gEjLz]|50+|Male|PLHIV_Attend.T|CY2024Q3</v>
      </c>
    </row>
    <row r="5686" spans="4:18" x14ac:dyDescent="0.2">
      <c r="D5686" t="s">
        <v>22</v>
      </c>
      <c r="E5686" t="s">
        <v>23</v>
      </c>
      <c r="F5686" t="s">
        <v>24</v>
      </c>
      <c r="G5686" t="s">
        <v>168</v>
      </c>
      <c r="H5686" t="s">
        <v>168</v>
      </c>
      <c r="I5686" t="s">
        <v>27</v>
      </c>
      <c r="J5686" t="s">
        <v>28</v>
      </c>
      <c r="K5686" t="s">
        <v>29</v>
      </c>
      <c r="L5686" t="s">
        <v>30</v>
      </c>
      <c r="M5686" t="s">
        <v>166</v>
      </c>
      <c r="N5686">
        <v>646</v>
      </c>
      <c r="O5686" s="14">
        <v>0.69947123248130105</v>
      </c>
      <c r="P5686" s="14">
        <v>0.40435861097648701</v>
      </c>
      <c r="Q5686" t="str">
        <f t="shared" si="176"/>
        <v>&lt;01</v>
      </c>
      <c r="R5686" t="str">
        <f t="shared" si="177"/>
        <v>[GkIwZrXy1h2]|&lt;01|Female|Incidence_SUBNAT.Rt.T|CY2024Q3</v>
      </c>
    </row>
    <row r="5687" spans="4:18" x14ac:dyDescent="0.2">
      <c r="D5687" t="s">
        <v>22</v>
      </c>
      <c r="E5687" t="s">
        <v>23</v>
      </c>
      <c r="F5687" t="s">
        <v>24</v>
      </c>
      <c r="G5687" t="s">
        <v>168</v>
      </c>
      <c r="H5687" t="s">
        <v>168</v>
      </c>
      <c r="I5687" t="s">
        <v>32</v>
      </c>
      <c r="J5687" t="s">
        <v>33</v>
      </c>
      <c r="K5687" t="s">
        <v>29</v>
      </c>
      <c r="L5687" t="s">
        <v>30</v>
      </c>
      <c r="M5687" t="s">
        <v>166</v>
      </c>
      <c r="N5687">
        <v>1004</v>
      </c>
      <c r="O5687" s="14">
        <v>0.481681659352034</v>
      </c>
      <c r="P5687" s="14">
        <v>0.40435861097648701</v>
      </c>
      <c r="Q5687" t="str">
        <f t="shared" si="176"/>
        <v>01-09</v>
      </c>
      <c r="R5687" t="str">
        <f t="shared" si="177"/>
        <v>[GkIwZrXy1h2]|01-09|Female|Incidence_SUBNAT.Rt.T|CY2024Q3</v>
      </c>
    </row>
    <row r="5688" spans="4:18" x14ac:dyDescent="0.2">
      <c r="D5688" t="s">
        <v>22</v>
      </c>
      <c r="E5688" t="s">
        <v>23</v>
      </c>
      <c r="F5688" t="s">
        <v>24</v>
      </c>
      <c r="G5688" t="s">
        <v>168</v>
      </c>
      <c r="H5688" t="s">
        <v>168</v>
      </c>
      <c r="I5688" t="s">
        <v>35</v>
      </c>
      <c r="J5688" t="s">
        <v>36</v>
      </c>
      <c r="K5688" t="s">
        <v>29</v>
      </c>
      <c r="L5688" t="s">
        <v>30</v>
      </c>
      <c r="M5688" t="s">
        <v>166</v>
      </c>
      <c r="N5688">
        <v>1427</v>
      </c>
      <c r="O5688" s="14">
        <v>0.99729764484800398</v>
      </c>
      <c r="P5688" s="14">
        <v>0.40435861097648701</v>
      </c>
      <c r="Q5688" t="str">
        <f t="shared" si="176"/>
        <v>10-14</v>
      </c>
      <c r="R5688" t="str">
        <f t="shared" si="177"/>
        <v>[GkIwZrXy1h2]|10-14|Female|Incidence_SUBNAT.Rt.T|CY2024Q3</v>
      </c>
    </row>
    <row r="5689" spans="4:18" x14ac:dyDescent="0.2">
      <c r="D5689" t="s">
        <v>22</v>
      </c>
      <c r="E5689" t="s">
        <v>23</v>
      </c>
      <c r="F5689" t="s">
        <v>24</v>
      </c>
      <c r="G5689" t="s">
        <v>168</v>
      </c>
      <c r="H5689" t="s">
        <v>168</v>
      </c>
      <c r="I5689" t="s">
        <v>37</v>
      </c>
      <c r="J5689" t="s">
        <v>38</v>
      </c>
      <c r="K5689" t="s">
        <v>29</v>
      </c>
      <c r="L5689" t="s">
        <v>30</v>
      </c>
      <c r="M5689" t="s">
        <v>166</v>
      </c>
      <c r="N5689">
        <v>806</v>
      </c>
      <c r="O5689" s="14">
        <v>0.51704798359423898</v>
      </c>
      <c r="P5689" s="14">
        <v>0.40435861097648701</v>
      </c>
      <c r="Q5689" t="str">
        <f t="shared" si="176"/>
        <v>15-24</v>
      </c>
      <c r="R5689" t="str">
        <f t="shared" si="177"/>
        <v>[GkIwZrXy1h2]|15-24|Female|Incidence_SUBNAT.Rt.T|CY2024Q3</v>
      </c>
    </row>
    <row r="5690" spans="4:18" x14ac:dyDescent="0.2">
      <c r="D5690" t="s">
        <v>22</v>
      </c>
      <c r="E5690" t="s">
        <v>23</v>
      </c>
      <c r="F5690" t="s">
        <v>24</v>
      </c>
      <c r="G5690" t="s">
        <v>168</v>
      </c>
      <c r="H5690" t="s">
        <v>168</v>
      </c>
      <c r="I5690" t="s">
        <v>40</v>
      </c>
      <c r="J5690" t="s">
        <v>41</v>
      </c>
      <c r="K5690" t="s">
        <v>29</v>
      </c>
      <c r="L5690" t="s">
        <v>30</v>
      </c>
      <c r="M5690" t="s">
        <v>166</v>
      </c>
      <c r="N5690">
        <v>1938</v>
      </c>
      <c r="O5690" s="14">
        <v>0.20353586529381601</v>
      </c>
      <c r="P5690" s="14">
        <v>0.40435861097648701</v>
      </c>
      <c r="Q5690" t="str">
        <f t="shared" si="176"/>
        <v>25-34</v>
      </c>
      <c r="R5690" t="str">
        <f t="shared" si="177"/>
        <v>[GkIwZrXy1h2]|25-34|Female|Incidence_SUBNAT.Rt.T|CY2024Q3</v>
      </c>
    </row>
    <row r="5691" spans="4:18" x14ac:dyDescent="0.2">
      <c r="D5691" t="s">
        <v>22</v>
      </c>
      <c r="E5691" t="s">
        <v>23</v>
      </c>
      <c r="F5691" t="s">
        <v>24</v>
      </c>
      <c r="G5691" t="s">
        <v>168</v>
      </c>
      <c r="H5691" t="s">
        <v>168</v>
      </c>
      <c r="I5691" t="s">
        <v>42</v>
      </c>
      <c r="J5691" t="s">
        <v>43</v>
      </c>
      <c r="K5691" t="s">
        <v>29</v>
      </c>
      <c r="L5691" t="s">
        <v>30</v>
      </c>
      <c r="M5691" t="s">
        <v>166</v>
      </c>
      <c r="N5691">
        <v>750</v>
      </c>
      <c r="O5691" s="14">
        <v>0.15478547755628799</v>
      </c>
      <c r="P5691" s="14">
        <v>0.40435861097648701</v>
      </c>
      <c r="Q5691" t="str">
        <f t="shared" si="176"/>
        <v>35-49</v>
      </c>
      <c r="R5691" t="str">
        <f t="shared" si="177"/>
        <v>[GkIwZrXy1h2]|35-49|Female|Incidence_SUBNAT.Rt.T|CY2024Q3</v>
      </c>
    </row>
    <row r="5692" spans="4:18" x14ac:dyDescent="0.2">
      <c r="D5692" t="s">
        <v>22</v>
      </c>
      <c r="E5692" t="s">
        <v>23</v>
      </c>
      <c r="F5692" t="s">
        <v>24</v>
      </c>
      <c r="G5692" t="s">
        <v>168</v>
      </c>
      <c r="H5692" t="s">
        <v>168</v>
      </c>
      <c r="I5692" t="s">
        <v>44</v>
      </c>
      <c r="J5692" t="s">
        <v>45</v>
      </c>
      <c r="K5692" t="s">
        <v>29</v>
      </c>
      <c r="L5692" t="s">
        <v>30</v>
      </c>
      <c r="M5692" t="s">
        <v>166</v>
      </c>
      <c r="N5692">
        <v>1191</v>
      </c>
      <c r="O5692" s="14">
        <v>0.12534461542964001</v>
      </c>
      <c r="P5692" s="14">
        <v>0.40435861097648701</v>
      </c>
      <c r="Q5692" t="str">
        <f t="shared" si="176"/>
        <v>50+</v>
      </c>
      <c r="R5692" t="str">
        <f t="shared" si="177"/>
        <v>[GkIwZrXy1h2]|50+|Female|Incidence_SUBNAT.Rt.T|CY2024Q3</v>
      </c>
    </row>
    <row r="5693" spans="4:18" x14ac:dyDescent="0.2">
      <c r="D5693" t="s">
        <v>22</v>
      </c>
      <c r="E5693" t="s">
        <v>23</v>
      </c>
      <c r="F5693" t="s">
        <v>24</v>
      </c>
      <c r="G5693" t="s">
        <v>168</v>
      </c>
      <c r="H5693" t="s">
        <v>168</v>
      </c>
      <c r="I5693" t="s">
        <v>27</v>
      </c>
      <c r="J5693" t="s">
        <v>28</v>
      </c>
      <c r="K5693" t="s">
        <v>47</v>
      </c>
      <c r="L5693" t="s">
        <v>48</v>
      </c>
      <c r="M5693" t="s">
        <v>166</v>
      </c>
      <c r="N5693">
        <v>789</v>
      </c>
      <c r="O5693" s="14">
        <v>0.64713632408529498</v>
      </c>
      <c r="P5693" s="14">
        <v>0.40435861097648701</v>
      </c>
      <c r="Q5693" t="str">
        <f t="shared" si="176"/>
        <v>&lt;01</v>
      </c>
      <c r="R5693" t="str">
        <f t="shared" si="177"/>
        <v>[GkIwZrXy1h2]|&lt;01|Male|Incidence_SUBNAT.Rt.T|CY2024Q3</v>
      </c>
    </row>
    <row r="5694" spans="4:18" x14ac:dyDescent="0.2">
      <c r="D5694" t="s">
        <v>22</v>
      </c>
      <c r="E5694" t="s">
        <v>23</v>
      </c>
      <c r="F5694" t="s">
        <v>24</v>
      </c>
      <c r="G5694" t="s">
        <v>168</v>
      </c>
      <c r="H5694" t="s">
        <v>168</v>
      </c>
      <c r="I5694" t="s">
        <v>32</v>
      </c>
      <c r="J5694" t="s">
        <v>33</v>
      </c>
      <c r="K5694" t="s">
        <v>47</v>
      </c>
      <c r="L5694" t="s">
        <v>48</v>
      </c>
      <c r="M5694" t="s">
        <v>166</v>
      </c>
      <c r="N5694">
        <v>1746</v>
      </c>
      <c r="O5694" s="14">
        <v>0.37650871626101401</v>
      </c>
      <c r="P5694" s="14">
        <v>0.40435861097648701</v>
      </c>
      <c r="Q5694" t="str">
        <f t="shared" si="176"/>
        <v>01-09</v>
      </c>
      <c r="R5694" t="str">
        <f t="shared" si="177"/>
        <v>[GkIwZrXy1h2]|01-09|Male|Incidence_SUBNAT.Rt.T|CY2024Q3</v>
      </c>
    </row>
    <row r="5695" spans="4:18" x14ac:dyDescent="0.2">
      <c r="D5695" t="s">
        <v>22</v>
      </c>
      <c r="E5695" t="s">
        <v>23</v>
      </c>
      <c r="F5695" t="s">
        <v>24</v>
      </c>
      <c r="G5695" t="s">
        <v>168</v>
      </c>
      <c r="H5695" t="s">
        <v>168</v>
      </c>
      <c r="I5695" t="s">
        <v>35</v>
      </c>
      <c r="J5695" t="s">
        <v>36</v>
      </c>
      <c r="K5695" t="s">
        <v>47</v>
      </c>
      <c r="L5695" t="s">
        <v>48</v>
      </c>
      <c r="M5695" t="s">
        <v>166</v>
      </c>
      <c r="N5695">
        <v>1861</v>
      </c>
      <c r="O5695" s="14">
        <v>0.68765753949992403</v>
      </c>
      <c r="P5695" s="14">
        <v>0.40435861097648701</v>
      </c>
      <c r="Q5695" t="str">
        <f t="shared" si="176"/>
        <v>10-14</v>
      </c>
      <c r="R5695" t="str">
        <f t="shared" si="177"/>
        <v>[GkIwZrXy1h2]|10-14|Male|Incidence_SUBNAT.Rt.T|CY2024Q3</v>
      </c>
    </row>
    <row r="5696" spans="4:18" x14ac:dyDescent="0.2">
      <c r="D5696" t="s">
        <v>22</v>
      </c>
      <c r="E5696" t="s">
        <v>23</v>
      </c>
      <c r="F5696" t="s">
        <v>24</v>
      </c>
      <c r="G5696" t="s">
        <v>168</v>
      </c>
      <c r="H5696" t="s">
        <v>168</v>
      </c>
      <c r="I5696" t="s">
        <v>37</v>
      </c>
      <c r="J5696" t="s">
        <v>38</v>
      </c>
      <c r="K5696" t="s">
        <v>47</v>
      </c>
      <c r="L5696" t="s">
        <v>48</v>
      </c>
      <c r="M5696" t="s">
        <v>166</v>
      </c>
      <c r="N5696">
        <v>1717</v>
      </c>
      <c r="O5696" s="14">
        <v>0.50261658988892999</v>
      </c>
      <c r="P5696" s="14">
        <v>0.40435861097648701</v>
      </c>
      <c r="Q5696" t="str">
        <f t="shared" si="176"/>
        <v>15-24</v>
      </c>
      <c r="R5696" t="str">
        <f t="shared" si="177"/>
        <v>[GkIwZrXy1h2]|15-24|Male|Incidence_SUBNAT.Rt.T|CY2024Q3</v>
      </c>
    </row>
    <row r="5697" spans="4:18" x14ac:dyDescent="0.2">
      <c r="D5697" t="s">
        <v>22</v>
      </c>
      <c r="E5697" t="s">
        <v>23</v>
      </c>
      <c r="F5697" t="s">
        <v>24</v>
      </c>
      <c r="G5697" t="s">
        <v>168</v>
      </c>
      <c r="H5697" t="s">
        <v>168</v>
      </c>
      <c r="I5697" t="s">
        <v>40</v>
      </c>
      <c r="J5697" t="s">
        <v>41</v>
      </c>
      <c r="K5697" t="s">
        <v>47</v>
      </c>
      <c r="L5697" t="s">
        <v>48</v>
      </c>
      <c r="M5697" t="s">
        <v>166</v>
      </c>
      <c r="N5697">
        <v>1335</v>
      </c>
      <c r="O5697" s="14">
        <v>0.22795525798574101</v>
      </c>
      <c r="P5697" s="14">
        <v>0.40435861097648701</v>
      </c>
      <c r="Q5697" t="str">
        <f t="shared" si="176"/>
        <v>25-34</v>
      </c>
      <c r="R5697" t="str">
        <f t="shared" si="177"/>
        <v>[GkIwZrXy1h2]|25-34|Male|Incidence_SUBNAT.Rt.T|CY2024Q3</v>
      </c>
    </row>
    <row r="5698" spans="4:18" x14ac:dyDescent="0.2">
      <c r="D5698" t="s">
        <v>22</v>
      </c>
      <c r="E5698" t="s">
        <v>23</v>
      </c>
      <c r="F5698" t="s">
        <v>24</v>
      </c>
      <c r="G5698" t="s">
        <v>168</v>
      </c>
      <c r="H5698" t="s">
        <v>168</v>
      </c>
      <c r="I5698" t="s">
        <v>42</v>
      </c>
      <c r="J5698" t="s">
        <v>43</v>
      </c>
      <c r="K5698" t="s">
        <v>47</v>
      </c>
      <c r="L5698" t="s">
        <v>48</v>
      </c>
      <c r="M5698" t="s">
        <v>166</v>
      </c>
      <c r="N5698">
        <v>610</v>
      </c>
      <c r="O5698" s="14">
        <v>0.24462432460859401</v>
      </c>
      <c r="P5698" s="14">
        <v>0.40435861097648701</v>
      </c>
      <c r="Q5698" t="str">
        <f t="shared" ref="Q5698:Q5761" si="178">SUBSTITUTE(SUBSTITUTE($I5698,CHAR(61),""),CHAR(34),"")</f>
        <v>35-49</v>
      </c>
      <c r="R5698" t="str">
        <f t="shared" ref="R5698:R5761" si="179">IF($D5698&lt;&gt;"","["&amp;$E5698&amp;"]"&amp;"|"&amp;$Q5698&amp;"|"&amp;$K5698&amp;"|"&amp;$G5698&amp;"|"&amp;IF($G5698="TX_CURR_SUBNAT.R","CY2022Q4",$M5698),"")</f>
        <v>[GkIwZrXy1h2]|35-49|Male|Incidence_SUBNAT.Rt.T|CY2024Q3</v>
      </c>
    </row>
    <row r="5699" spans="4:18" x14ac:dyDescent="0.2">
      <c r="D5699" t="s">
        <v>22</v>
      </c>
      <c r="E5699" t="s">
        <v>23</v>
      </c>
      <c r="F5699" t="s">
        <v>24</v>
      </c>
      <c r="G5699" t="s">
        <v>168</v>
      </c>
      <c r="H5699" t="s">
        <v>168</v>
      </c>
      <c r="I5699" t="s">
        <v>44</v>
      </c>
      <c r="J5699" t="s">
        <v>45</v>
      </c>
      <c r="K5699" t="s">
        <v>47</v>
      </c>
      <c r="L5699" t="s">
        <v>48</v>
      </c>
      <c r="M5699" t="s">
        <v>166</v>
      </c>
      <c r="N5699">
        <v>1192</v>
      </c>
      <c r="O5699" s="14">
        <v>0.42775527946650999</v>
      </c>
      <c r="P5699" s="14">
        <v>0.40435861097648701</v>
      </c>
      <c r="Q5699" t="str">
        <f t="shared" si="178"/>
        <v>50+</v>
      </c>
      <c r="R5699" t="str">
        <f t="shared" si="179"/>
        <v>[GkIwZrXy1h2]|50+|Male|Incidence_SUBNAT.Rt.T|CY2024Q3</v>
      </c>
    </row>
    <row r="5700" spans="4:18" x14ac:dyDescent="0.2">
      <c r="D5700" t="s">
        <v>52</v>
      </c>
      <c r="E5700" t="s">
        <v>53</v>
      </c>
      <c r="F5700" t="s">
        <v>54</v>
      </c>
      <c r="G5700" t="s">
        <v>168</v>
      </c>
      <c r="H5700" t="s">
        <v>168</v>
      </c>
      <c r="I5700" t="s">
        <v>27</v>
      </c>
      <c r="J5700" t="s">
        <v>28</v>
      </c>
      <c r="K5700" t="s">
        <v>29</v>
      </c>
      <c r="L5700" t="s">
        <v>30</v>
      </c>
      <c r="M5700" t="s">
        <v>166</v>
      </c>
      <c r="N5700">
        <v>1777</v>
      </c>
      <c r="O5700" s="14">
        <v>0.81878933613188598</v>
      </c>
      <c r="P5700" s="14">
        <v>0.61639246996492103</v>
      </c>
      <c r="Q5700" t="str">
        <f t="shared" si="178"/>
        <v>&lt;01</v>
      </c>
      <c r="R5700" t="str">
        <f t="shared" si="179"/>
        <v>[zphK9WV8JB4]|&lt;01|Female|Incidence_SUBNAT.Rt.T|CY2024Q3</v>
      </c>
    </row>
    <row r="5701" spans="4:18" x14ac:dyDescent="0.2">
      <c r="D5701" t="s">
        <v>52</v>
      </c>
      <c r="E5701" t="s">
        <v>53</v>
      </c>
      <c r="F5701" t="s">
        <v>54</v>
      </c>
      <c r="G5701" t="s">
        <v>168</v>
      </c>
      <c r="H5701" t="s">
        <v>168</v>
      </c>
      <c r="I5701" t="s">
        <v>32</v>
      </c>
      <c r="J5701" t="s">
        <v>33</v>
      </c>
      <c r="K5701" t="s">
        <v>29</v>
      </c>
      <c r="L5701" t="s">
        <v>30</v>
      </c>
      <c r="M5701" t="s">
        <v>166</v>
      </c>
      <c r="N5701">
        <v>1457</v>
      </c>
      <c r="O5701" s="14">
        <v>0.54614578071050301</v>
      </c>
      <c r="P5701" s="14">
        <v>0.61639246996492103</v>
      </c>
      <c r="Q5701" t="str">
        <f t="shared" si="178"/>
        <v>01-09</v>
      </c>
      <c r="R5701" t="str">
        <f t="shared" si="179"/>
        <v>[zphK9WV8JB4]|01-09|Female|Incidence_SUBNAT.Rt.T|CY2024Q3</v>
      </c>
    </row>
    <row r="5702" spans="4:18" x14ac:dyDescent="0.2">
      <c r="D5702" t="s">
        <v>52</v>
      </c>
      <c r="E5702" t="s">
        <v>53</v>
      </c>
      <c r="F5702" t="s">
        <v>54</v>
      </c>
      <c r="G5702" t="s">
        <v>168</v>
      </c>
      <c r="H5702" t="s">
        <v>168</v>
      </c>
      <c r="I5702" t="s">
        <v>35</v>
      </c>
      <c r="J5702" t="s">
        <v>36</v>
      </c>
      <c r="K5702" t="s">
        <v>29</v>
      </c>
      <c r="L5702" t="s">
        <v>30</v>
      </c>
      <c r="M5702" t="s">
        <v>166</v>
      </c>
      <c r="N5702">
        <v>1435</v>
      </c>
      <c r="O5702" s="14">
        <v>0.38552147638984002</v>
      </c>
      <c r="P5702" s="14">
        <v>0.61639246996492103</v>
      </c>
      <c r="Q5702" t="str">
        <f t="shared" si="178"/>
        <v>10-14</v>
      </c>
      <c r="R5702" t="str">
        <f t="shared" si="179"/>
        <v>[zphK9WV8JB4]|10-14|Female|Incidence_SUBNAT.Rt.T|CY2024Q3</v>
      </c>
    </row>
    <row r="5703" spans="4:18" x14ac:dyDescent="0.2">
      <c r="D5703" t="s">
        <v>52</v>
      </c>
      <c r="E5703" t="s">
        <v>53</v>
      </c>
      <c r="F5703" t="s">
        <v>54</v>
      </c>
      <c r="G5703" t="s">
        <v>168</v>
      </c>
      <c r="H5703" t="s">
        <v>168</v>
      </c>
      <c r="I5703" t="s">
        <v>37</v>
      </c>
      <c r="J5703" t="s">
        <v>38</v>
      </c>
      <c r="K5703" t="s">
        <v>29</v>
      </c>
      <c r="L5703" t="s">
        <v>30</v>
      </c>
      <c r="M5703" t="s">
        <v>166</v>
      </c>
      <c r="N5703">
        <v>1608</v>
      </c>
      <c r="O5703" s="14">
        <v>0.59612515871413096</v>
      </c>
      <c r="P5703" s="14">
        <v>0.61639246996492103</v>
      </c>
      <c r="Q5703" t="str">
        <f t="shared" si="178"/>
        <v>15-24</v>
      </c>
      <c r="R5703" t="str">
        <f t="shared" si="179"/>
        <v>[zphK9WV8JB4]|15-24|Female|Incidence_SUBNAT.Rt.T|CY2024Q3</v>
      </c>
    </row>
    <row r="5704" spans="4:18" x14ac:dyDescent="0.2">
      <c r="D5704" t="s">
        <v>52</v>
      </c>
      <c r="E5704" t="s">
        <v>53</v>
      </c>
      <c r="F5704" t="s">
        <v>54</v>
      </c>
      <c r="G5704" t="s">
        <v>168</v>
      </c>
      <c r="H5704" t="s">
        <v>168</v>
      </c>
      <c r="I5704" t="s">
        <v>40</v>
      </c>
      <c r="J5704" t="s">
        <v>41</v>
      </c>
      <c r="K5704" t="s">
        <v>29</v>
      </c>
      <c r="L5704" t="s">
        <v>30</v>
      </c>
      <c r="M5704" t="s">
        <v>166</v>
      </c>
      <c r="N5704">
        <v>829</v>
      </c>
      <c r="O5704" s="14">
        <v>2.2130891680717499E-2</v>
      </c>
      <c r="P5704" s="14">
        <v>0.61639246996492103</v>
      </c>
      <c r="Q5704" t="str">
        <f t="shared" si="178"/>
        <v>25-34</v>
      </c>
      <c r="R5704" t="str">
        <f t="shared" si="179"/>
        <v>[zphK9WV8JB4]|25-34|Female|Incidence_SUBNAT.Rt.T|CY2024Q3</v>
      </c>
    </row>
    <row r="5705" spans="4:18" x14ac:dyDescent="0.2">
      <c r="D5705" t="s">
        <v>52</v>
      </c>
      <c r="E5705" t="s">
        <v>53</v>
      </c>
      <c r="F5705" t="s">
        <v>54</v>
      </c>
      <c r="G5705" t="s">
        <v>168</v>
      </c>
      <c r="H5705" t="s">
        <v>168</v>
      </c>
      <c r="I5705" t="s">
        <v>42</v>
      </c>
      <c r="J5705" t="s">
        <v>43</v>
      </c>
      <c r="K5705" t="s">
        <v>29</v>
      </c>
      <c r="L5705" t="s">
        <v>30</v>
      </c>
      <c r="M5705" t="s">
        <v>166</v>
      </c>
      <c r="N5705">
        <v>1542</v>
      </c>
      <c r="O5705" s="14">
        <v>0.93503312021493901</v>
      </c>
      <c r="P5705" s="14">
        <v>0.61639246996492103</v>
      </c>
      <c r="Q5705" t="str">
        <f t="shared" si="178"/>
        <v>35-49</v>
      </c>
      <c r="R5705" t="str">
        <f t="shared" si="179"/>
        <v>[zphK9WV8JB4]|35-49|Female|Incidence_SUBNAT.Rt.T|CY2024Q3</v>
      </c>
    </row>
    <row r="5706" spans="4:18" x14ac:dyDescent="0.2">
      <c r="D5706" t="s">
        <v>52</v>
      </c>
      <c r="E5706" t="s">
        <v>53</v>
      </c>
      <c r="F5706" t="s">
        <v>54</v>
      </c>
      <c r="G5706" t="s">
        <v>168</v>
      </c>
      <c r="H5706" t="s">
        <v>168</v>
      </c>
      <c r="I5706" t="s">
        <v>44</v>
      </c>
      <c r="J5706" t="s">
        <v>45</v>
      </c>
      <c r="K5706" t="s">
        <v>29</v>
      </c>
      <c r="L5706" t="s">
        <v>30</v>
      </c>
      <c r="M5706" t="s">
        <v>166</v>
      </c>
      <c r="N5706">
        <v>782</v>
      </c>
      <c r="O5706" s="14">
        <v>0.157102728961036</v>
      </c>
      <c r="P5706" s="14">
        <v>0.61639246996492103</v>
      </c>
      <c r="Q5706" t="str">
        <f t="shared" si="178"/>
        <v>50+</v>
      </c>
      <c r="R5706" t="str">
        <f t="shared" si="179"/>
        <v>[zphK9WV8JB4]|50+|Female|Incidence_SUBNAT.Rt.T|CY2024Q3</v>
      </c>
    </row>
    <row r="5707" spans="4:18" x14ac:dyDescent="0.2">
      <c r="D5707" t="s">
        <v>52</v>
      </c>
      <c r="E5707" t="s">
        <v>53</v>
      </c>
      <c r="F5707" t="s">
        <v>54</v>
      </c>
      <c r="G5707" t="s">
        <v>168</v>
      </c>
      <c r="H5707" t="s">
        <v>168</v>
      </c>
      <c r="I5707" t="s">
        <v>27</v>
      </c>
      <c r="J5707" t="s">
        <v>28</v>
      </c>
      <c r="K5707" t="s">
        <v>47</v>
      </c>
      <c r="L5707" t="s">
        <v>48</v>
      </c>
      <c r="M5707" t="s">
        <v>166</v>
      </c>
      <c r="N5707">
        <v>1669</v>
      </c>
      <c r="O5707" s="14">
        <v>0.297429536469281</v>
      </c>
      <c r="P5707" s="14">
        <v>0.61639246996492103</v>
      </c>
      <c r="Q5707" t="str">
        <f t="shared" si="178"/>
        <v>&lt;01</v>
      </c>
      <c r="R5707" t="str">
        <f t="shared" si="179"/>
        <v>[zphK9WV8JB4]|&lt;01|Male|Incidence_SUBNAT.Rt.T|CY2024Q3</v>
      </c>
    </row>
    <row r="5708" spans="4:18" x14ac:dyDescent="0.2">
      <c r="D5708" t="s">
        <v>52</v>
      </c>
      <c r="E5708" t="s">
        <v>53</v>
      </c>
      <c r="F5708" t="s">
        <v>54</v>
      </c>
      <c r="G5708" t="s">
        <v>168</v>
      </c>
      <c r="H5708" t="s">
        <v>168</v>
      </c>
      <c r="I5708" t="s">
        <v>32</v>
      </c>
      <c r="J5708" t="s">
        <v>33</v>
      </c>
      <c r="K5708" t="s">
        <v>47</v>
      </c>
      <c r="L5708" t="s">
        <v>48</v>
      </c>
      <c r="M5708" t="s">
        <v>166</v>
      </c>
      <c r="N5708">
        <v>1253</v>
      </c>
      <c r="O5708" s="14">
        <v>0.58933059638366103</v>
      </c>
      <c r="P5708" s="14">
        <v>0.61639246996492103</v>
      </c>
      <c r="Q5708" t="str">
        <f t="shared" si="178"/>
        <v>01-09</v>
      </c>
      <c r="R5708" t="str">
        <f t="shared" si="179"/>
        <v>[zphK9WV8JB4]|01-09|Male|Incidence_SUBNAT.Rt.T|CY2024Q3</v>
      </c>
    </row>
    <row r="5709" spans="4:18" x14ac:dyDescent="0.2">
      <c r="D5709" t="s">
        <v>52</v>
      </c>
      <c r="E5709" t="s">
        <v>53</v>
      </c>
      <c r="F5709" t="s">
        <v>54</v>
      </c>
      <c r="G5709" t="s">
        <v>168</v>
      </c>
      <c r="H5709" t="s">
        <v>168</v>
      </c>
      <c r="I5709" t="s">
        <v>35</v>
      </c>
      <c r="J5709" t="s">
        <v>36</v>
      </c>
      <c r="K5709" t="s">
        <v>47</v>
      </c>
      <c r="L5709" t="s">
        <v>48</v>
      </c>
      <c r="M5709" t="s">
        <v>166</v>
      </c>
      <c r="N5709">
        <v>1831</v>
      </c>
      <c r="O5709" s="14">
        <v>0.70350230275653303</v>
      </c>
      <c r="P5709" s="14">
        <v>0.61639246996492103</v>
      </c>
      <c r="Q5709" t="str">
        <f t="shared" si="178"/>
        <v>10-14</v>
      </c>
      <c r="R5709" t="str">
        <f t="shared" si="179"/>
        <v>[zphK9WV8JB4]|10-14|Male|Incidence_SUBNAT.Rt.T|CY2024Q3</v>
      </c>
    </row>
    <row r="5710" spans="4:18" x14ac:dyDescent="0.2">
      <c r="D5710" t="s">
        <v>52</v>
      </c>
      <c r="E5710" t="s">
        <v>53</v>
      </c>
      <c r="F5710" t="s">
        <v>54</v>
      </c>
      <c r="G5710" t="s">
        <v>168</v>
      </c>
      <c r="H5710" t="s">
        <v>168</v>
      </c>
      <c r="I5710" t="s">
        <v>37</v>
      </c>
      <c r="J5710" t="s">
        <v>38</v>
      </c>
      <c r="K5710" t="s">
        <v>47</v>
      </c>
      <c r="L5710" t="s">
        <v>48</v>
      </c>
      <c r="M5710" t="s">
        <v>166</v>
      </c>
      <c r="N5710">
        <v>1074</v>
      </c>
      <c r="O5710" s="14">
        <v>0.64000426977872804</v>
      </c>
      <c r="P5710" s="14">
        <v>0.61639246996492103</v>
      </c>
      <c r="Q5710" t="str">
        <f t="shared" si="178"/>
        <v>15-24</v>
      </c>
      <c r="R5710" t="str">
        <f t="shared" si="179"/>
        <v>[zphK9WV8JB4]|15-24|Male|Incidence_SUBNAT.Rt.T|CY2024Q3</v>
      </c>
    </row>
    <row r="5711" spans="4:18" x14ac:dyDescent="0.2">
      <c r="D5711" t="s">
        <v>52</v>
      </c>
      <c r="E5711" t="s">
        <v>53</v>
      </c>
      <c r="F5711" t="s">
        <v>54</v>
      </c>
      <c r="G5711" t="s">
        <v>168</v>
      </c>
      <c r="H5711" t="s">
        <v>168</v>
      </c>
      <c r="I5711" t="s">
        <v>40</v>
      </c>
      <c r="J5711" t="s">
        <v>41</v>
      </c>
      <c r="K5711" t="s">
        <v>47</v>
      </c>
      <c r="L5711" t="s">
        <v>48</v>
      </c>
      <c r="M5711" t="s">
        <v>166</v>
      </c>
      <c r="N5711">
        <v>1673</v>
      </c>
      <c r="O5711" s="14">
        <v>0.86027880897745501</v>
      </c>
      <c r="P5711" s="14">
        <v>0.61639246996492103</v>
      </c>
      <c r="Q5711" t="str">
        <f t="shared" si="178"/>
        <v>25-34</v>
      </c>
      <c r="R5711" t="str">
        <f t="shared" si="179"/>
        <v>[zphK9WV8JB4]|25-34|Male|Incidence_SUBNAT.Rt.T|CY2024Q3</v>
      </c>
    </row>
    <row r="5712" spans="4:18" x14ac:dyDescent="0.2">
      <c r="D5712" t="s">
        <v>52</v>
      </c>
      <c r="E5712" t="s">
        <v>53</v>
      </c>
      <c r="F5712" t="s">
        <v>54</v>
      </c>
      <c r="G5712" t="s">
        <v>168</v>
      </c>
      <c r="H5712" t="s">
        <v>168</v>
      </c>
      <c r="I5712" t="s">
        <v>42</v>
      </c>
      <c r="J5712" t="s">
        <v>43</v>
      </c>
      <c r="K5712" t="s">
        <v>47</v>
      </c>
      <c r="L5712" t="s">
        <v>48</v>
      </c>
      <c r="M5712" t="s">
        <v>166</v>
      </c>
      <c r="N5712">
        <v>1510</v>
      </c>
      <c r="O5712" s="14">
        <v>0.43252198165282602</v>
      </c>
      <c r="P5712" s="14">
        <v>0.61639246996492103</v>
      </c>
      <c r="Q5712" t="str">
        <f t="shared" si="178"/>
        <v>35-49</v>
      </c>
      <c r="R5712" t="str">
        <f t="shared" si="179"/>
        <v>[zphK9WV8JB4]|35-49|Male|Incidence_SUBNAT.Rt.T|CY2024Q3</v>
      </c>
    </row>
    <row r="5713" spans="4:18" x14ac:dyDescent="0.2">
      <c r="D5713" t="s">
        <v>52</v>
      </c>
      <c r="E5713" t="s">
        <v>53</v>
      </c>
      <c r="F5713" t="s">
        <v>54</v>
      </c>
      <c r="G5713" t="s">
        <v>168</v>
      </c>
      <c r="H5713" t="s">
        <v>168</v>
      </c>
      <c r="I5713" t="s">
        <v>44</v>
      </c>
      <c r="J5713" t="s">
        <v>45</v>
      </c>
      <c r="K5713" t="s">
        <v>47</v>
      </c>
      <c r="L5713" t="s">
        <v>48</v>
      </c>
      <c r="M5713" t="s">
        <v>166</v>
      </c>
      <c r="N5713">
        <v>824</v>
      </c>
      <c r="O5713" s="14">
        <v>2.0706067560240599E-2</v>
      </c>
      <c r="P5713" s="14">
        <v>0.61639246996492103</v>
      </c>
      <c r="Q5713" t="str">
        <f t="shared" si="178"/>
        <v>50+</v>
      </c>
      <c r="R5713" t="str">
        <f t="shared" si="179"/>
        <v>[zphK9WV8JB4]|50+|Male|Incidence_SUBNAT.Rt.T|CY2024Q3</v>
      </c>
    </row>
    <row r="5714" spans="4:18" x14ac:dyDescent="0.2">
      <c r="D5714" t="s">
        <v>59</v>
      </c>
      <c r="E5714" t="s">
        <v>60</v>
      </c>
      <c r="F5714" t="s">
        <v>61</v>
      </c>
      <c r="G5714" t="s">
        <v>168</v>
      </c>
      <c r="H5714" t="s">
        <v>168</v>
      </c>
      <c r="I5714" t="s">
        <v>27</v>
      </c>
      <c r="J5714" t="s">
        <v>28</v>
      </c>
      <c r="K5714" t="s">
        <v>29</v>
      </c>
      <c r="L5714" t="s">
        <v>30</v>
      </c>
      <c r="M5714" t="s">
        <v>166</v>
      </c>
      <c r="N5714">
        <v>1051</v>
      </c>
      <c r="O5714" s="14">
        <v>2.90564866736531E-3</v>
      </c>
      <c r="P5714" s="14">
        <v>2.6825056178495298E-2</v>
      </c>
      <c r="Q5714" t="str">
        <f t="shared" si="178"/>
        <v>&lt;01</v>
      </c>
      <c r="R5714" t="str">
        <f t="shared" si="179"/>
        <v>[msW2zpIN7up]|&lt;01|Female|Incidence_SUBNAT.Rt.T|CY2024Q3</v>
      </c>
    </row>
    <row r="5715" spans="4:18" x14ac:dyDescent="0.2">
      <c r="D5715" t="s">
        <v>59</v>
      </c>
      <c r="E5715" t="s">
        <v>60</v>
      </c>
      <c r="F5715" t="s">
        <v>61</v>
      </c>
      <c r="G5715" t="s">
        <v>168</v>
      </c>
      <c r="H5715" t="s">
        <v>168</v>
      </c>
      <c r="I5715" t="s">
        <v>32</v>
      </c>
      <c r="J5715" t="s">
        <v>33</v>
      </c>
      <c r="K5715" t="s">
        <v>29</v>
      </c>
      <c r="L5715" t="s">
        <v>30</v>
      </c>
      <c r="M5715" t="s">
        <v>166</v>
      </c>
      <c r="N5715">
        <v>525</v>
      </c>
      <c r="O5715" s="14">
        <v>0.705811470979825</v>
      </c>
      <c r="P5715" s="14">
        <v>2.6825056178495298E-2</v>
      </c>
      <c r="Q5715" t="str">
        <f t="shared" si="178"/>
        <v>01-09</v>
      </c>
      <c r="R5715" t="str">
        <f t="shared" si="179"/>
        <v>[msW2zpIN7up]|01-09|Female|Incidence_SUBNAT.Rt.T|CY2024Q3</v>
      </c>
    </row>
    <row r="5716" spans="4:18" x14ac:dyDescent="0.2">
      <c r="D5716" t="s">
        <v>59</v>
      </c>
      <c r="E5716" t="s">
        <v>60</v>
      </c>
      <c r="F5716" t="s">
        <v>61</v>
      </c>
      <c r="G5716" t="s">
        <v>168</v>
      </c>
      <c r="H5716" t="s">
        <v>168</v>
      </c>
      <c r="I5716" t="s">
        <v>35</v>
      </c>
      <c r="J5716" t="s">
        <v>36</v>
      </c>
      <c r="K5716" t="s">
        <v>29</v>
      </c>
      <c r="L5716" t="s">
        <v>30</v>
      </c>
      <c r="M5716" t="s">
        <v>166</v>
      </c>
      <c r="N5716">
        <v>1344</v>
      </c>
      <c r="O5716" s="14">
        <v>0.29322510189376799</v>
      </c>
      <c r="P5716" s="14">
        <v>2.6825056178495298E-2</v>
      </c>
      <c r="Q5716" t="str">
        <f t="shared" si="178"/>
        <v>10-14</v>
      </c>
      <c r="R5716" t="str">
        <f t="shared" si="179"/>
        <v>[msW2zpIN7up]|10-14|Female|Incidence_SUBNAT.Rt.T|CY2024Q3</v>
      </c>
    </row>
    <row r="5717" spans="4:18" x14ac:dyDescent="0.2">
      <c r="D5717" t="s">
        <v>59</v>
      </c>
      <c r="E5717" t="s">
        <v>60</v>
      </c>
      <c r="F5717" t="s">
        <v>61</v>
      </c>
      <c r="G5717" t="s">
        <v>168</v>
      </c>
      <c r="H5717" t="s">
        <v>168</v>
      </c>
      <c r="I5717" t="s">
        <v>37</v>
      </c>
      <c r="J5717" t="s">
        <v>38</v>
      </c>
      <c r="K5717" t="s">
        <v>29</v>
      </c>
      <c r="L5717" t="s">
        <v>30</v>
      </c>
      <c r="M5717" t="s">
        <v>166</v>
      </c>
      <c r="N5717">
        <v>512</v>
      </c>
      <c r="O5717" s="14">
        <v>0.11988849123008501</v>
      </c>
      <c r="P5717" s="14">
        <v>2.6825056178495298E-2</v>
      </c>
      <c r="Q5717" t="str">
        <f t="shared" si="178"/>
        <v>15-24</v>
      </c>
      <c r="R5717" t="str">
        <f t="shared" si="179"/>
        <v>[msW2zpIN7up]|15-24|Female|Incidence_SUBNAT.Rt.T|CY2024Q3</v>
      </c>
    </row>
    <row r="5718" spans="4:18" x14ac:dyDescent="0.2">
      <c r="D5718" t="s">
        <v>59</v>
      </c>
      <c r="E5718" t="s">
        <v>60</v>
      </c>
      <c r="F5718" t="s">
        <v>61</v>
      </c>
      <c r="G5718" t="s">
        <v>168</v>
      </c>
      <c r="H5718" t="s">
        <v>168</v>
      </c>
      <c r="I5718" t="s">
        <v>40</v>
      </c>
      <c r="J5718" t="s">
        <v>41</v>
      </c>
      <c r="K5718" t="s">
        <v>29</v>
      </c>
      <c r="L5718" t="s">
        <v>30</v>
      </c>
      <c r="M5718" t="s">
        <v>166</v>
      </c>
      <c r="N5718">
        <v>1117</v>
      </c>
      <c r="O5718" s="14">
        <v>0.15657866024412201</v>
      </c>
      <c r="P5718" s="14">
        <v>2.6825056178495298E-2</v>
      </c>
      <c r="Q5718" t="str">
        <f t="shared" si="178"/>
        <v>25-34</v>
      </c>
      <c r="R5718" t="str">
        <f t="shared" si="179"/>
        <v>[msW2zpIN7up]|25-34|Female|Incidence_SUBNAT.Rt.T|CY2024Q3</v>
      </c>
    </row>
    <row r="5719" spans="4:18" x14ac:dyDescent="0.2">
      <c r="D5719" t="s">
        <v>59</v>
      </c>
      <c r="E5719" t="s">
        <v>60</v>
      </c>
      <c r="F5719" t="s">
        <v>61</v>
      </c>
      <c r="G5719" t="s">
        <v>168</v>
      </c>
      <c r="H5719" t="s">
        <v>168</v>
      </c>
      <c r="I5719" t="s">
        <v>42</v>
      </c>
      <c r="J5719" t="s">
        <v>43</v>
      </c>
      <c r="K5719" t="s">
        <v>29</v>
      </c>
      <c r="L5719" t="s">
        <v>30</v>
      </c>
      <c r="M5719" t="s">
        <v>166</v>
      </c>
      <c r="N5719">
        <v>1212</v>
      </c>
      <c r="O5719" s="14">
        <v>0.22573871864005901</v>
      </c>
      <c r="P5719" s="14">
        <v>2.6825056178495298E-2</v>
      </c>
      <c r="Q5719" t="str">
        <f t="shared" si="178"/>
        <v>35-49</v>
      </c>
      <c r="R5719" t="str">
        <f t="shared" si="179"/>
        <v>[msW2zpIN7up]|35-49|Female|Incidence_SUBNAT.Rt.T|CY2024Q3</v>
      </c>
    </row>
    <row r="5720" spans="4:18" x14ac:dyDescent="0.2">
      <c r="D5720" t="s">
        <v>59</v>
      </c>
      <c r="E5720" t="s">
        <v>60</v>
      </c>
      <c r="F5720" t="s">
        <v>61</v>
      </c>
      <c r="G5720" t="s">
        <v>168</v>
      </c>
      <c r="H5720" t="s">
        <v>168</v>
      </c>
      <c r="I5720" t="s">
        <v>44</v>
      </c>
      <c r="J5720" t="s">
        <v>45</v>
      </c>
      <c r="K5720" t="s">
        <v>29</v>
      </c>
      <c r="L5720" t="s">
        <v>30</v>
      </c>
      <c r="M5720" t="s">
        <v>166</v>
      </c>
      <c r="N5720">
        <v>757</v>
      </c>
      <c r="O5720" s="14">
        <v>0.34848045604303501</v>
      </c>
      <c r="P5720" s="14">
        <v>2.6825056178495298E-2</v>
      </c>
      <c r="Q5720" t="str">
        <f t="shared" si="178"/>
        <v>50+</v>
      </c>
      <c r="R5720" t="str">
        <f t="shared" si="179"/>
        <v>[msW2zpIN7up]|50+|Female|Incidence_SUBNAT.Rt.T|CY2024Q3</v>
      </c>
    </row>
    <row r="5721" spans="4:18" x14ac:dyDescent="0.2">
      <c r="D5721" t="s">
        <v>59</v>
      </c>
      <c r="E5721" t="s">
        <v>60</v>
      </c>
      <c r="F5721" t="s">
        <v>61</v>
      </c>
      <c r="G5721" t="s">
        <v>168</v>
      </c>
      <c r="H5721" t="s">
        <v>168</v>
      </c>
      <c r="I5721" t="s">
        <v>27</v>
      </c>
      <c r="J5721" t="s">
        <v>28</v>
      </c>
      <c r="K5721" t="s">
        <v>47</v>
      </c>
      <c r="L5721" t="s">
        <v>48</v>
      </c>
      <c r="M5721" t="s">
        <v>166</v>
      </c>
      <c r="N5721">
        <v>979</v>
      </c>
      <c r="O5721" s="14">
        <v>0.37212291941977998</v>
      </c>
      <c r="P5721" s="14">
        <v>2.6825056178495298E-2</v>
      </c>
      <c r="Q5721" t="str">
        <f t="shared" si="178"/>
        <v>&lt;01</v>
      </c>
      <c r="R5721" t="str">
        <f t="shared" si="179"/>
        <v>[msW2zpIN7up]|&lt;01|Male|Incidence_SUBNAT.Rt.T|CY2024Q3</v>
      </c>
    </row>
    <row r="5722" spans="4:18" x14ac:dyDescent="0.2">
      <c r="D5722" t="s">
        <v>59</v>
      </c>
      <c r="E5722" t="s">
        <v>60</v>
      </c>
      <c r="F5722" t="s">
        <v>61</v>
      </c>
      <c r="G5722" t="s">
        <v>168</v>
      </c>
      <c r="H5722" t="s">
        <v>168</v>
      </c>
      <c r="I5722" t="s">
        <v>32</v>
      </c>
      <c r="J5722" t="s">
        <v>33</v>
      </c>
      <c r="K5722" t="s">
        <v>47</v>
      </c>
      <c r="L5722" t="s">
        <v>48</v>
      </c>
      <c r="M5722" t="s">
        <v>166</v>
      </c>
      <c r="N5722">
        <v>891</v>
      </c>
      <c r="O5722" s="14">
        <v>8.0242195865139407E-2</v>
      </c>
      <c r="P5722" s="14">
        <v>2.6825056178495298E-2</v>
      </c>
      <c r="Q5722" t="str">
        <f t="shared" si="178"/>
        <v>01-09</v>
      </c>
      <c r="R5722" t="str">
        <f t="shared" si="179"/>
        <v>[msW2zpIN7up]|01-09|Male|Incidence_SUBNAT.Rt.T|CY2024Q3</v>
      </c>
    </row>
    <row r="5723" spans="4:18" x14ac:dyDescent="0.2">
      <c r="D5723" t="s">
        <v>59</v>
      </c>
      <c r="E5723" t="s">
        <v>60</v>
      </c>
      <c r="F5723" t="s">
        <v>61</v>
      </c>
      <c r="G5723" t="s">
        <v>168</v>
      </c>
      <c r="H5723" t="s">
        <v>168</v>
      </c>
      <c r="I5723" t="s">
        <v>35</v>
      </c>
      <c r="J5723" t="s">
        <v>36</v>
      </c>
      <c r="K5723" t="s">
        <v>47</v>
      </c>
      <c r="L5723" t="s">
        <v>48</v>
      </c>
      <c r="M5723" t="s">
        <v>166</v>
      </c>
      <c r="N5723">
        <v>1998</v>
      </c>
      <c r="O5723" s="14">
        <v>0.65541081177070704</v>
      </c>
      <c r="P5723" s="14">
        <v>2.6825056178495298E-2</v>
      </c>
      <c r="Q5723" t="str">
        <f t="shared" si="178"/>
        <v>10-14</v>
      </c>
      <c r="R5723" t="str">
        <f t="shared" si="179"/>
        <v>[msW2zpIN7up]|10-14|Male|Incidence_SUBNAT.Rt.T|CY2024Q3</v>
      </c>
    </row>
    <row r="5724" spans="4:18" x14ac:dyDescent="0.2">
      <c r="D5724" t="s">
        <v>59</v>
      </c>
      <c r="E5724" t="s">
        <v>60</v>
      </c>
      <c r="F5724" t="s">
        <v>61</v>
      </c>
      <c r="G5724" t="s">
        <v>168</v>
      </c>
      <c r="H5724" t="s">
        <v>168</v>
      </c>
      <c r="I5724" t="s">
        <v>37</v>
      </c>
      <c r="J5724" t="s">
        <v>38</v>
      </c>
      <c r="K5724" t="s">
        <v>47</v>
      </c>
      <c r="L5724" t="s">
        <v>48</v>
      </c>
      <c r="M5724" t="s">
        <v>166</v>
      </c>
      <c r="N5724">
        <v>698</v>
      </c>
      <c r="O5724" s="14">
        <v>0.94965414237231005</v>
      </c>
      <c r="P5724" s="14">
        <v>2.6825056178495298E-2</v>
      </c>
      <c r="Q5724" t="str">
        <f t="shared" si="178"/>
        <v>15-24</v>
      </c>
      <c r="R5724" t="str">
        <f t="shared" si="179"/>
        <v>[msW2zpIN7up]|15-24|Male|Incidence_SUBNAT.Rt.T|CY2024Q3</v>
      </c>
    </row>
    <row r="5725" spans="4:18" x14ac:dyDescent="0.2">
      <c r="D5725" t="s">
        <v>59</v>
      </c>
      <c r="E5725" t="s">
        <v>60</v>
      </c>
      <c r="F5725" t="s">
        <v>61</v>
      </c>
      <c r="G5725" t="s">
        <v>168</v>
      </c>
      <c r="H5725" t="s">
        <v>168</v>
      </c>
      <c r="I5725" t="s">
        <v>40</v>
      </c>
      <c r="J5725" t="s">
        <v>41</v>
      </c>
      <c r="K5725" t="s">
        <v>47</v>
      </c>
      <c r="L5725" t="s">
        <v>48</v>
      </c>
      <c r="M5725" t="s">
        <v>166</v>
      </c>
      <c r="N5725">
        <v>1963</v>
      </c>
      <c r="O5725" s="14">
        <v>0.694700171006843</v>
      </c>
      <c r="P5725" s="14">
        <v>2.6825056178495298E-2</v>
      </c>
      <c r="Q5725" t="str">
        <f t="shared" si="178"/>
        <v>25-34</v>
      </c>
      <c r="R5725" t="str">
        <f t="shared" si="179"/>
        <v>[msW2zpIN7up]|25-34|Male|Incidence_SUBNAT.Rt.T|CY2024Q3</v>
      </c>
    </row>
    <row r="5726" spans="4:18" x14ac:dyDescent="0.2">
      <c r="D5726" t="s">
        <v>59</v>
      </c>
      <c r="E5726" t="s">
        <v>60</v>
      </c>
      <c r="F5726" t="s">
        <v>61</v>
      </c>
      <c r="G5726" t="s">
        <v>168</v>
      </c>
      <c r="H5726" t="s">
        <v>168</v>
      </c>
      <c r="I5726" t="s">
        <v>42</v>
      </c>
      <c r="J5726" t="s">
        <v>43</v>
      </c>
      <c r="K5726" t="s">
        <v>47</v>
      </c>
      <c r="L5726" t="s">
        <v>48</v>
      </c>
      <c r="M5726" t="s">
        <v>166</v>
      </c>
      <c r="N5726">
        <v>857</v>
      </c>
      <c r="O5726" s="14">
        <v>0.168039661133662</v>
      </c>
      <c r="P5726" s="14">
        <v>2.6825056178495298E-2</v>
      </c>
      <c r="Q5726" t="str">
        <f t="shared" si="178"/>
        <v>35-49</v>
      </c>
      <c r="R5726" t="str">
        <f t="shared" si="179"/>
        <v>[msW2zpIN7up]|35-49|Male|Incidence_SUBNAT.Rt.T|CY2024Q3</v>
      </c>
    </row>
    <row r="5727" spans="4:18" x14ac:dyDescent="0.2">
      <c r="D5727" t="s">
        <v>59</v>
      </c>
      <c r="E5727" t="s">
        <v>60</v>
      </c>
      <c r="F5727" t="s">
        <v>61</v>
      </c>
      <c r="G5727" t="s">
        <v>168</v>
      </c>
      <c r="H5727" t="s">
        <v>168</v>
      </c>
      <c r="I5727" t="s">
        <v>44</v>
      </c>
      <c r="J5727" t="s">
        <v>45</v>
      </c>
      <c r="K5727" t="s">
        <v>47</v>
      </c>
      <c r="L5727" t="s">
        <v>48</v>
      </c>
      <c r="M5727" t="s">
        <v>166</v>
      </c>
      <c r="N5727">
        <v>1653</v>
      </c>
      <c r="O5727" s="14">
        <v>0.29788895463571002</v>
      </c>
      <c r="P5727" s="14">
        <v>2.6825056178495298E-2</v>
      </c>
      <c r="Q5727" t="str">
        <f t="shared" si="178"/>
        <v>50+</v>
      </c>
      <c r="R5727" t="str">
        <f t="shared" si="179"/>
        <v>[msW2zpIN7up]|50+|Male|Incidence_SUBNAT.Rt.T|CY2024Q3</v>
      </c>
    </row>
    <row r="5728" spans="4:18" x14ac:dyDescent="0.2">
      <c r="D5728" t="s">
        <v>62</v>
      </c>
      <c r="E5728" t="s">
        <v>63</v>
      </c>
      <c r="F5728" t="s">
        <v>64</v>
      </c>
      <c r="G5728" t="s">
        <v>168</v>
      </c>
      <c r="H5728" t="s">
        <v>168</v>
      </c>
      <c r="I5728" t="s">
        <v>27</v>
      </c>
      <c r="J5728" t="s">
        <v>28</v>
      </c>
      <c r="K5728" t="s">
        <v>29</v>
      </c>
      <c r="L5728" t="s">
        <v>30</v>
      </c>
      <c r="M5728" t="s">
        <v>166</v>
      </c>
      <c r="N5728">
        <v>660</v>
      </c>
      <c r="O5728" s="14">
        <v>0.230880487477407</v>
      </c>
      <c r="P5728" s="14">
        <v>0.790102193132043</v>
      </c>
      <c r="Q5728" t="str">
        <f t="shared" si="178"/>
        <v>&lt;01</v>
      </c>
      <c r="R5728" t="str">
        <f t="shared" si="179"/>
        <v>[kxuuIFpOXyO]|&lt;01|Female|Incidence_SUBNAT.Rt.T|CY2024Q3</v>
      </c>
    </row>
    <row r="5729" spans="4:18" x14ac:dyDescent="0.2">
      <c r="D5729" t="s">
        <v>62</v>
      </c>
      <c r="E5729" t="s">
        <v>63</v>
      </c>
      <c r="F5729" t="s">
        <v>64</v>
      </c>
      <c r="G5729" t="s">
        <v>168</v>
      </c>
      <c r="H5729" t="s">
        <v>168</v>
      </c>
      <c r="I5729" t="s">
        <v>32</v>
      </c>
      <c r="J5729" t="s">
        <v>33</v>
      </c>
      <c r="K5729" t="s">
        <v>29</v>
      </c>
      <c r="L5729" t="s">
        <v>30</v>
      </c>
      <c r="M5729" t="s">
        <v>166</v>
      </c>
      <c r="N5729">
        <v>676</v>
      </c>
      <c r="O5729" s="14">
        <v>0.80436957930214703</v>
      </c>
      <c r="P5729" s="14">
        <v>0.790102193132043</v>
      </c>
      <c r="Q5729" t="str">
        <f t="shared" si="178"/>
        <v>01-09</v>
      </c>
      <c r="R5729" t="str">
        <f t="shared" si="179"/>
        <v>[kxuuIFpOXyO]|01-09|Female|Incidence_SUBNAT.Rt.T|CY2024Q3</v>
      </c>
    </row>
    <row r="5730" spans="4:18" x14ac:dyDescent="0.2">
      <c r="D5730" t="s">
        <v>62</v>
      </c>
      <c r="E5730" t="s">
        <v>63</v>
      </c>
      <c r="F5730" t="s">
        <v>64</v>
      </c>
      <c r="G5730" t="s">
        <v>168</v>
      </c>
      <c r="H5730" t="s">
        <v>168</v>
      </c>
      <c r="I5730" t="s">
        <v>35</v>
      </c>
      <c r="J5730" t="s">
        <v>36</v>
      </c>
      <c r="K5730" t="s">
        <v>29</v>
      </c>
      <c r="L5730" t="s">
        <v>30</v>
      </c>
      <c r="M5730" t="s">
        <v>166</v>
      </c>
      <c r="N5730">
        <v>1554</v>
      </c>
      <c r="O5730" s="14">
        <v>0.58452510274946701</v>
      </c>
      <c r="P5730" s="14">
        <v>0.790102193132043</v>
      </c>
      <c r="Q5730" t="str">
        <f t="shared" si="178"/>
        <v>10-14</v>
      </c>
      <c r="R5730" t="str">
        <f t="shared" si="179"/>
        <v>[kxuuIFpOXyO]|10-14|Female|Incidence_SUBNAT.Rt.T|CY2024Q3</v>
      </c>
    </row>
    <row r="5731" spans="4:18" x14ac:dyDescent="0.2">
      <c r="D5731" t="s">
        <v>62</v>
      </c>
      <c r="E5731" t="s">
        <v>63</v>
      </c>
      <c r="F5731" t="s">
        <v>64</v>
      </c>
      <c r="G5731" t="s">
        <v>168</v>
      </c>
      <c r="H5731" t="s">
        <v>168</v>
      </c>
      <c r="I5731" t="s">
        <v>37</v>
      </c>
      <c r="J5731" t="s">
        <v>38</v>
      </c>
      <c r="K5731" t="s">
        <v>29</v>
      </c>
      <c r="L5731" t="s">
        <v>30</v>
      </c>
      <c r="M5731" t="s">
        <v>166</v>
      </c>
      <c r="N5731">
        <v>605</v>
      </c>
      <c r="O5731" s="14">
        <v>0.91950043616816401</v>
      </c>
      <c r="P5731" s="14">
        <v>0.790102193132043</v>
      </c>
      <c r="Q5731" t="str">
        <f t="shared" si="178"/>
        <v>15-24</v>
      </c>
      <c r="R5731" t="str">
        <f t="shared" si="179"/>
        <v>[kxuuIFpOXyO]|15-24|Female|Incidence_SUBNAT.Rt.T|CY2024Q3</v>
      </c>
    </row>
    <row r="5732" spans="4:18" x14ac:dyDescent="0.2">
      <c r="D5732" t="s">
        <v>62</v>
      </c>
      <c r="E5732" t="s">
        <v>63</v>
      </c>
      <c r="F5732" t="s">
        <v>64</v>
      </c>
      <c r="G5732" t="s">
        <v>168</v>
      </c>
      <c r="H5732" t="s">
        <v>168</v>
      </c>
      <c r="I5732" t="s">
        <v>40</v>
      </c>
      <c r="J5732" t="s">
        <v>41</v>
      </c>
      <c r="K5732" t="s">
        <v>29</v>
      </c>
      <c r="L5732" t="s">
        <v>30</v>
      </c>
      <c r="M5732" t="s">
        <v>166</v>
      </c>
      <c r="N5732">
        <v>1280</v>
      </c>
      <c r="O5732" s="14">
        <v>1.30850856658071E-2</v>
      </c>
      <c r="P5732" s="14">
        <v>0.790102193132043</v>
      </c>
      <c r="Q5732" t="str">
        <f t="shared" si="178"/>
        <v>25-34</v>
      </c>
      <c r="R5732" t="str">
        <f t="shared" si="179"/>
        <v>[kxuuIFpOXyO]|25-34|Female|Incidence_SUBNAT.Rt.T|CY2024Q3</v>
      </c>
    </row>
    <row r="5733" spans="4:18" x14ac:dyDescent="0.2">
      <c r="D5733" t="s">
        <v>62</v>
      </c>
      <c r="E5733" t="s">
        <v>63</v>
      </c>
      <c r="F5733" t="s">
        <v>64</v>
      </c>
      <c r="G5733" t="s">
        <v>168</v>
      </c>
      <c r="H5733" t="s">
        <v>168</v>
      </c>
      <c r="I5733" t="s">
        <v>42</v>
      </c>
      <c r="J5733" t="s">
        <v>43</v>
      </c>
      <c r="K5733" t="s">
        <v>29</v>
      </c>
      <c r="L5733" t="s">
        <v>30</v>
      </c>
      <c r="M5733" t="s">
        <v>166</v>
      </c>
      <c r="N5733">
        <v>768</v>
      </c>
      <c r="O5733" s="14">
        <v>0.66876900009810902</v>
      </c>
      <c r="P5733" s="14">
        <v>0.790102193132043</v>
      </c>
      <c r="Q5733" t="str">
        <f t="shared" si="178"/>
        <v>35-49</v>
      </c>
      <c r="R5733" t="str">
        <f t="shared" si="179"/>
        <v>[kxuuIFpOXyO]|35-49|Female|Incidence_SUBNAT.Rt.T|CY2024Q3</v>
      </c>
    </row>
    <row r="5734" spans="4:18" x14ac:dyDescent="0.2">
      <c r="D5734" t="s">
        <v>62</v>
      </c>
      <c r="E5734" t="s">
        <v>63</v>
      </c>
      <c r="F5734" t="s">
        <v>64</v>
      </c>
      <c r="G5734" t="s">
        <v>168</v>
      </c>
      <c r="H5734" t="s">
        <v>168</v>
      </c>
      <c r="I5734" t="s">
        <v>44</v>
      </c>
      <c r="J5734" t="s">
        <v>45</v>
      </c>
      <c r="K5734" t="s">
        <v>29</v>
      </c>
      <c r="L5734" t="s">
        <v>30</v>
      </c>
      <c r="M5734" t="s">
        <v>166</v>
      </c>
      <c r="N5734">
        <v>1160</v>
      </c>
      <c r="O5734" s="14">
        <v>0.82992568728514005</v>
      </c>
      <c r="P5734" s="14">
        <v>0.790102193132043</v>
      </c>
      <c r="Q5734" t="str">
        <f t="shared" si="178"/>
        <v>50+</v>
      </c>
      <c r="R5734" t="str">
        <f t="shared" si="179"/>
        <v>[kxuuIFpOXyO]|50+|Female|Incidence_SUBNAT.Rt.T|CY2024Q3</v>
      </c>
    </row>
    <row r="5735" spans="4:18" x14ac:dyDescent="0.2">
      <c r="D5735" t="s">
        <v>62</v>
      </c>
      <c r="E5735" t="s">
        <v>63</v>
      </c>
      <c r="F5735" t="s">
        <v>64</v>
      </c>
      <c r="G5735" t="s">
        <v>168</v>
      </c>
      <c r="H5735" t="s">
        <v>168</v>
      </c>
      <c r="I5735" t="s">
        <v>27</v>
      </c>
      <c r="J5735" t="s">
        <v>28</v>
      </c>
      <c r="K5735" t="s">
        <v>47</v>
      </c>
      <c r="L5735" t="s">
        <v>48</v>
      </c>
      <c r="M5735" t="s">
        <v>166</v>
      </c>
      <c r="N5735">
        <v>1402</v>
      </c>
      <c r="O5735" s="14">
        <v>5.50217719282955E-2</v>
      </c>
      <c r="P5735" s="14">
        <v>0.790102193132043</v>
      </c>
      <c r="Q5735" t="str">
        <f t="shared" si="178"/>
        <v>&lt;01</v>
      </c>
      <c r="R5735" t="str">
        <f t="shared" si="179"/>
        <v>[kxuuIFpOXyO]|&lt;01|Male|Incidence_SUBNAT.Rt.T|CY2024Q3</v>
      </c>
    </row>
    <row r="5736" spans="4:18" x14ac:dyDescent="0.2">
      <c r="D5736" t="s">
        <v>62</v>
      </c>
      <c r="E5736" t="s">
        <v>63</v>
      </c>
      <c r="F5736" t="s">
        <v>64</v>
      </c>
      <c r="G5736" t="s">
        <v>168</v>
      </c>
      <c r="H5736" t="s">
        <v>168</v>
      </c>
      <c r="I5736" t="s">
        <v>32</v>
      </c>
      <c r="J5736" t="s">
        <v>33</v>
      </c>
      <c r="K5736" t="s">
        <v>47</v>
      </c>
      <c r="L5736" t="s">
        <v>48</v>
      </c>
      <c r="M5736" t="s">
        <v>166</v>
      </c>
      <c r="N5736">
        <v>1303</v>
      </c>
      <c r="O5736" s="14">
        <v>0.69789150287397195</v>
      </c>
      <c r="P5736" s="14">
        <v>0.790102193132043</v>
      </c>
      <c r="Q5736" t="str">
        <f t="shared" si="178"/>
        <v>01-09</v>
      </c>
      <c r="R5736" t="str">
        <f t="shared" si="179"/>
        <v>[kxuuIFpOXyO]|01-09|Male|Incidence_SUBNAT.Rt.T|CY2024Q3</v>
      </c>
    </row>
    <row r="5737" spans="4:18" x14ac:dyDescent="0.2">
      <c r="D5737" t="s">
        <v>62</v>
      </c>
      <c r="E5737" t="s">
        <v>63</v>
      </c>
      <c r="F5737" t="s">
        <v>64</v>
      </c>
      <c r="G5737" t="s">
        <v>168</v>
      </c>
      <c r="H5737" t="s">
        <v>168</v>
      </c>
      <c r="I5737" t="s">
        <v>35</v>
      </c>
      <c r="J5737" t="s">
        <v>36</v>
      </c>
      <c r="K5737" t="s">
        <v>47</v>
      </c>
      <c r="L5737" t="s">
        <v>48</v>
      </c>
      <c r="M5737" t="s">
        <v>166</v>
      </c>
      <c r="N5737">
        <v>1193</v>
      </c>
      <c r="O5737" s="14">
        <v>0.81142521300353099</v>
      </c>
      <c r="P5737" s="14">
        <v>0.790102193132043</v>
      </c>
      <c r="Q5737" t="str">
        <f t="shared" si="178"/>
        <v>10-14</v>
      </c>
      <c r="R5737" t="str">
        <f t="shared" si="179"/>
        <v>[kxuuIFpOXyO]|10-14|Male|Incidence_SUBNAT.Rt.T|CY2024Q3</v>
      </c>
    </row>
    <row r="5738" spans="4:18" x14ac:dyDescent="0.2">
      <c r="D5738" t="s">
        <v>62</v>
      </c>
      <c r="E5738" t="s">
        <v>63</v>
      </c>
      <c r="F5738" t="s">
        <v>64</v>
      </c>
      <c r="G5738" t="s">
        <v>168</v>
      </c>
      <c r="H5738" t="s">
        <v>168</v>
      </c>
      <c r="I5738" t="s">
        <v>37</v>
      </c>
      <c r="J5738" t="s">
        <v>38</v>
      </c>
      <c r="K5738" t="s">
        <v>47</v>
      </c>
      <c r="L5738" t="s">
        <v>48</v>
      </c>
      <c r="M5738" t="s">
        <v>166</v>
      </c>
      <c r="N5738">
        <v>1365</v>
      </c>
      <c r="O5738" s="14">
        <v>0.67878980375826403</v>
      </c>
      <c r="P5738" s="14">
        <v>0.790102193132043</v>
      </c>
      <c r="Q5738" t="str">
        <f t="shared" si="178"/>
        <v>15-24</v>
      </c>
      <c r="R5738" t="str">
        <f t="shared" si="179"/>
        <v>[kxuuIFpOXyO]|15-24|Male|Incidence_SUBNAT.Rt.T|CY2024Q3</v>
      </c>
    </row>
    <row r="5739" spans="4:18" x14ac:dyDescent="0.2">
      <c r="D5739" t="s">
        <v>62</v>
      </c>
      <c r="E5739" t="s">
        <v>63</v>
      </c>
      <c r="F5739" t="s">
        <v>64</v>
      </c>
      <c r="G5739" t="s">
        <v>168</v>
      </c>
      <c r="H5739" t="s">
        <v>168</v>
      </c>
      <c r="I5739" t="s">
        <v>40</v>
      </c>
      <c r="J5739" t="s">
        <v>41</v>
      </c>
      <c r="K5739" t="s">
        <v>47</v>
      </c>
      <c r="L5739" t="s">
        <v>48</v>
      </c>
      <c r="M5739" t="s">
        <v>166</v>
      </c>
      <c r="N5739">
        <v>770</v>
      </c>
      <c r="O5739" s="14">
        <v>7.24834520369768E-2</v>
      </c>
      <c r="P5739" s="14">
        <v>0.790102193132043</v>
      </c>
      <c r="Q5739" t="str">
        <f t="shared" si="178"/>
        <v>25-34</v>
      </c>
      <c r="R5739" t="str">
        <f t="shared" si="179"/>
        <v>[kxuuIFpOXyO]|25-34|Male|Incidence_SUBNAT.Rt.T|CY2024Q3</v>
      </c>
    </row>
    <row r="5740" spans="4:18" x14ac:dyDescent="0.2">
      <c r="D5740" t="s">
        <v>62</v>
      </c>
      <c r="E5740" t="s">
        <v>63</v>
      </c>
      <c r="F5740" t="s">
        <v>64</v>
      </c>
      <c r="G5740" t="s">
        <v>168</v>
      </c>
      <c r="H5740" t="s">
        <v>168</v>
      </c>
      <c r="I5740" t="s">
        <v>42</v>
      </c>
      <c r="J5740" t="s">
        <v>43</v>
      </c>
      <c r="K5740" t="s">
        <v>47</v>
      </c>
      <c r="L5740" t="s">
        <v>48</v>
      </c>
      <c r="M5740" t="s">
        <v>166</v>
      </c>
      <c r="N5740">
        <v>1820</v>
      </c>
      <c r="O5740" s="14">
        <v>0.74166470090858605</v>
      </c>
      <c r="P5740" s="14">
        <v>0.790102193132043</v>
      </c>
      <c r="Q5740" t="str">
        <f t="shared" si="178"/>
        <v>35-49</v>
      </c>
      <c r="R5740" t="str">
        <f t="shared" si="179"/>
        <v>[kxuuIFpOXyO]|35-49|Male|Incidence_SUBNAT.Rt.T|CY2024Q3</v>
      </c>
    </row>
    <row r="5741" spans="4:18" x14ac:dyDescent="0.2">
      <c r="D5741" t="s">
        <v>62</v>
      </c>
      <c r="E5741" t="s">
        <v>63</v>
      </c>
      <c r="F5741" t="s">
        <v>64</v>
      </c>
      <c r="G5741" t="s">
        <v>168</v>
      </c>
      <c r="H5741" t="s">
        <v>168</v>
      </c>
      <c r="I5741" t="s">
        <v>44</v>
      </c>
      <c r="J5741" t="s">
        <v>45</v>
      </c>
      <c r="K5741" t="s">
        <v>47</v>
      </c>
      <c r="L5741" t="s">
        <v>48</v>
      </c>
      <c r="M5741" t="s">
        <v>166</v>
      </c>
      <c r="N5741">
        <v>886</v>
      </c>
      <c r="O5741" s="14">
        <v>0.37156560341827599</v>
      </c>
      <c r="P5741" s="14">
        <v>0.790102193132043</v>
      </c>
      <c r="Q5741" t="str">
        <f t="shared" si="178"/>
        <v>50+</v>
      </c>
      <c r="R5741" t="str">
        <f t="shared" si="179"/>
        <v>[kxuuIFpOXyO]|50+|Male|Incidence_SUBNAT.Rt.T|CY2024Q3</v>
      </c>
    </row>
    <row r="5742" spans="4:18" x14ac:dyDescent="0.2">
      <c r="D5742" t="s">
        <v>65</v>
      </c>
      <c r="E5742" t="s">
        <v>66</v>
      </c>
      <c r="F5742" t="s">
        <v>67</v>
      </c>
      <c r="G5742" t="s">
        <v>168</v>
      </c>
      <c r="H5742" t="s">
        <v>168</v>
      </c>
      <c r="I5742" t="s">
        <v>27</v>
      </c>
      <c r="J5742" t="s">
        <v>28</v>
      </c>
      <c r="K5742" t="s">
        <v>29</v>
      </c>
      <c r="L5742" t="s">
        <v>30</v>
      </c>
      <c r="M5742" t="s">
        <v>166</v>
      </c>
      <c r="N5742">
        <v>1918</v>
      </c>
      <c r="O5742" s="14">
        <v>0.86421823827549804</v>
      </c>
      <c r="P5742" s="14">
        <v>0.16460988437756899</v>
      </c>
      <c r="Q5742" t="str">
        <f t="shared" si="178"/>
        <v>&lt;01</v>
      </c>
      <c r="R5742" t="str">
        <f t="shared" si="179"/>
        <v>[ScR9iFKAasW]|&lt;01|Female|Incidence_SUBNAT.Rt.T|CY2024Q3</v>
      </c>
    </row>
    <row r="5743" spans="4:18" x14ac:dyDescent="0.2">
      <c r="D5743" t="s">
        <v>65</v>
      </c>
      <c r="E5743" t="s">
        <v>66</v>
      </c>
      <c r="F5743" t="s">
        <v>67</v>
      </c>
      <c r="G5743" t="s">
        <v>168</v>
      </c>
      <c r="H5743" t="s">
        <v>168</v>
      </c>
      <c r="I5743" t="s">
        <v>32</v>
      </c>
      <c r="J5743" t="s">
        <v>33</v>
      </c>
      <c r="K5743" t="s">
        <v>29</v>
      </c>
      <c r="L5743" t="s">
        <v>30</v>
      </c>
      <c r="M5743" t="s">
        <v>166</v>
      </c>
      <c r="N5743">
        <v>530</v>
      </c>
      <c r="O5743" s="14">
        <v>0.19694363209419</v>
      </c>
      <c r="P5743" s="14">
        <v>0.16460988437756899</v>
      </c>
      <c r="Q5743" t="str">
        <f t="shared" si="178"/>
        <v>01-09</v>
      </c>
      <c r="R5743" t="str">
        <f t="shared" si="179"/>
        <v>[ScR9iFKAasW]|01-09|Female|Incidence_SUBNAT.Rt.T|CY2024Q3</v>
      </c>
    </row>
    <row r="5744" spans="4:18" x14ac:dyDescent="0.2">
      <c r="D5744" t="s">
        <v>65</v>
      </c>
      <c r="E5744" t="s">
        <v>66</v>
      </c>
      <c r="F5744" t="s">
        <v>67</v>
      </c>
      <c r="G5744" t="s">
        <v>168</v>
      </c>
      <c r="H5744" t="s">
        <v>168</v>
      </c>
      <c r="I5744" t="s">
        <v>35</v>
      </c>
      <c r="J5744" t="s">
        <v>36</v>
      </c>
      <c r="K5744" t="s">
        <v>29</v>
      </c>
      <c r="L5744" t="s">
        <v>30</v>
      </c>
      <c r="M5744" t="s">
        <v>166</v>
      </c>
      <c r="N5744">
        <v>1668</v>
      </c>
      <c r="O5744" s="14">
        <v>0.70657676109112799</v>
      </c>
      <c r="P5744" s="14">
        <v>0.16460988437756899</v>
      </c>
      <c r="Q5744" t="str">
        <f t="shared" si="178"/>
        <v>10-14</v>
      </c>
      <c r="R5744" t="str">
        <f t="shared" si="179"/>
        <v>[ScR9iFKAasW]|10-14|Female|Incidence_SUBNAT.Rt.T|CY2024Q3</v>
      </c>
    </row>
    <row r="5745" spans="4:18" x14ac:dyDescent="0.2">
      <c r="D5745" t="s">
        <v>65</v>
      </c>
      <c r="E5745" t="s">
        <v>66</v>
      </c>
      <c r="F5745" t="s">
        <v>67</v>
      </c>
      <c r="G5745" t="s">
        <v>168</v>
      </c>
      <c r="H5745" t="s">
        <v>168</v>
      </c>
      <c r="I5745" t="s">
        <v>37</v>
      </c>
      <c r="J5745" t="s">
        <v>38</v>
      </c>
      <c r="K5745" t="s">
        <v>29</v>
      </c>
      <c r="L5745" t="s">
        <v>30</v>
      </c>
      <c r="M5745" t="s">
        <v>166</v>
      </c>
      <c r="N5745">
        <v>953</v>
      </c>
      <c r="O5745" s="14">
        <v>0.50497214915230904</v>
      </c>
      <c r="P5745" s="14">
        <v>0.16460988437756899</v>
      </c>
      <c r="Q5745" t="str">
        <f t="shared" si="178"/>
        <v>15-24</v>
      </c>
      <c r="R5745" t="str">
        <f t="shared" si="179"/>
        <v>[ScR9iFKAasW]|15-24|Female|Incidence_SUBNAT.Rt.T|CY2024Q3</v>
      </c>
    </row>
    <row r="5746" spans="4:18" x14ac:dyDescent="0.2">
      <c r="D5746" t="s">
        <v>65</v>
      </c>
      <c r="E5746" t="s">
        <v>66</v>
      </c>
      <c r="F5746" t="s">
        <v>67</v>
      </c>
      <c r="G5746" t="s">
        <v>168</v>
      </c>
      <c r="H5746" t="s">
        <v>168</v>
      </c>
      <c r="I5746" t="s">
        <v>40</v>
      </c>
      <c r="J5746" t="s">
        <v>41</v>
      </c>
      <c r="K5746" t="s">
        <v>29</v>
      </c>
      <c r="L5746" t="s">
        <v>30</v>
      </c>
      <c r="M5746" t="s">
        <v>166</v>
      </c>
      <c r="N5746">
        <v>1706</v>
      </c>
      <c r="O5746" s="14">
        <v>0.58274332666769602</v>
      </c>
      <c r="P5746" s="14">
        <v>0.16460988437756899</v>
      </c>
      <c r="Q5746" t="str">
        <f t="shared" si="178"/>
        <v>25-34</v>
      </c>
      <c r="R5746" t="str">
        <f t="shared" si="179"/>
        <v>[ScR9iFKAasW]|25-34|Female|Incidence_SUBNAT.Rt.T|CY2024Q3</v>
      </c>
    </row>
    <row r="5747" spans="4:18" x14ac:dyDescent="0.2">
      <c r="D5747" t="s">
        <v>65</v>
      </c>
      <c r="E5747" t="s">
        <v>66</v>
      </c>
      <c r="F5747" t="s">
        <v>67</v>
      </c>
      <c r="G5747" t="s">
        <v>168</v>
      </c>
      <c r="H5747" t="s">
        <v>168</v>
      </c>
      <c r="I5747" t="s">
        <v>42</v>
      </c>
      <c r="J5747" t="s">
        <v>43</v>
      </c>
      <c r="K5747" t="s">
        <v>29</v>
      </c>
      <c r="L5747" t="s">
        <v>30</v>
      </c>
      <c r="M5747" t="s">
        <v>166</v>
      </c>
      <c r="N5747">
        <v>1947</v>
      </c>
      <c r="O5747" s="14">
        <v>0.11938096210360501</v>
      </c>
      <c r="P5747" s="14">
        <v>0.16460988437756899</v>
      </c>
      <c r="Q5747" t="str">
        <f t="shared" si="178"/>
        <v>35-49</v>
      </c>
      <c r="R5747" t="str">
        <f t="shared" si="179"/>
        <v>[ScR9iFKAasW]|35-49|Female|Incidence_SUBNAT.Rt.T|CY2024Q3</v>
      </c>
    </row>
    <row r="5748" spans="4:18" x14ac:dyDescent="0.2">
      <c r="D5748" t="s">
        <v>65</v>
      </c>
      <c r="E5748" t="s">
        <v>66</v>
      </c>
      <c r="F5748" t="s">
        <v>67</v>
      </c>
      <c r="G5748" t="s">
        <v>168</v>
      </c>
      <c r="H5748" t="s">
        <v>168</v>
      </c>
      <c r="I5748" t="s">
        <v>44</v>
      </c>
      <c r="J5748" t="s">
        <v>45</v>
      </c>
      <c r="K5748" t="s">
        <v>29</v>
      </c>
      <c r="L5748" t="s">
        <v>30</v>
      </c>
      <c r="M5748" t="s">
        <v>166</v>
      </c>
      <c r="N5748">
        <v>1043</v>
      </c>
      <c r="O5748" s="14">
        <v>0.96109432470984801</v>
      </c>
      <c r="P5748" s="14">
        <v>0.16460988437756899</v>
      </c>
      <c r="Q5748" t="str">
        <f t="shared" si="178"/>
        <v>50+</v>
      </c>
      <c r="R5748" t="str">
        <f t="shared" si="179"/>
        <v>[ScR9iFKAasW]|50+|Female|Incidence_SUBNAT.Rt.T|CY2024Q3</v>
      </c>
    </row>
    <row r="5749" spans="4:18" x14ac:dyDescent="0.2">
      <c r="D5749" t="s">
        <v>65</v>
      </c>
      <c r="E5749" t="s">
        <v>66</v>
      </c>
      <c r="F5749" t="s">
        <v>67</v>
      </c>
      <c r="G5749" t="s">
        <v>168</v>
      </c>
      <c r="H5749" t="s">
        <v>168</v>
      </c>
      <c r="I5749" t="s">
        <v>27</v>
      </c>
      <c r="J5749" t="s">
        <v>28</v>
      </c>
      <c r="K5749" t="s">
        <v>47</v>
      </c>
      <c r="L5749" t="s">
        <v>48</v>
      </c>
      <c r="M5749" t="s">
        <v>166</v>
      </c>
      <c r="N5749">
        <v>648</v>
      </c>
      <c r="O5749" s="14">
        <v>0.60261056269518998</v>
      </c>
      <c r="P5749" s="14">
        <v>0.16460988437756899</v>
      </c>
      <c r="Q5749" t="str">
        <f t="shared" si="178"/>
        <v>&lt;01</v>
      </c>
      <c r="R5749" t="str">
        <f t="shared" si="179"/>
        <v>[ScR9iFKAasW]|&lt;01|Male|Incidence_SUBNAT.Rt.T|CY2024Q3</v>
      </c>
    </row>
    <row r="5750" spans="4:18" x14ac:dyDescent="0.2">
      <c r="D5750" t="s">
        <v>65</v>
      </c>
      <c r="E5750" t="s">
        <v>66</v>
      </c>
      <c r="F5750" t="s">
        <v>67</v>
      </c>
      <c r="G5750" t="s">
        <v>168</v>
      </c>
      <c r="H5750" t="s">
        <v>168</v>
      </c>
      <c r="I5750" t="s">
        <v>32</v>
      </c>
      <c r="J5750" t="s">
        <v>33</v>
      </c>
      <c r="K5750" t="s">
        <v>47</v>
      </c>
      <c r="L5750" t="s">
        <v>48</v>
      </c>
      <c r="M5750" t="s">
        <v>166</v>
      </c>
      <c r="N5750">
        <v>811</v>
      </c>
      <c r="O5750" s="14">
        <v>0.68138802563771605</v>
      </c>
      <c r="P5750" s="14">
        <v>0.16460988437756899</v>
      </c>
      <c r="Q5750" t="str">
        <f t="shared" si="178"/>
        <v>01-09</v>
      </c>
      <c r="R5750" t="str">
        <f t="shared" si="179"/>
        <v>[ScR9iFKAasW]|01-09|Male|Incidence_SUBNAT.Rt.T|CY2024Q3</v>
      </c>
    </row>
    <row r="5751" spans="4:18" x14ac:dyDescent="0.2">
      <c r="D5751" t="s">
        <v>65</v>
      </c>
      <c r="E5751" t="s">
        <v>66</v>
      </c>
      <c r="F5751" t="s">
        <v>67</v>
      </c>
      <c r="G5751" t="s">
        <v>168</v>
      </c>
      <c r="H5751" t="s">
        <v>168</v>
      </c>
      <c r="I5751" t="s">
        <v>35</v>
      </c>
      <c r="J5751" t="s">
        <v>36</v>
      </c>
      <c r="K5751" t="s">
        <v>47</v>
      </c>
      <c r="L5751" t="s">
        <v>48</v>
      </c>
      <c r="M5751" t="s">
        <v>166</v>
      </c>
      <c r="N5751">
        <v>605</v>
      </c>
      <c r="O5751" s="14">
        <v>8.2466848194599193E-2</v>
      </c>
      <c r="P5751" s="14">
        <v>0.16460988437756899</v>
      </c>
      <c r="Q5751" t="str">
        <f t="shared" si="178"/>
        <v>10-14</v>
      </c>
      <c r="R5751" t="str">
        <f t="shared" si="179"/>
        <v>[ScR9iFKAasW]|10-14|Male|Incidence_SUBNAT.Rt.T|CY2024Q3</v>
      </c>
    </row>
    <row r="5752" spans="4:18" x14ac:dyDescent="0.2">
      <c r="D5752" t="s">
        <v>65</v>
      </c>
      <c r="E5752" t="s">
        <v>66</v>
      </c>
      <c r="F5752" t="s">
        <v>67</v>
      </c>
      <c r="G5752" t="s">
        <v>168</v>
      </c>
      <c r="H5752" t="s">
        <v>168</v>
      </c>
      <c r="I5752" t="s">
        <v>37</v>
      </c>
      <c r="J5752" t="s">
        <v>38</v>
      </c>
      <c r="K5752" t="s">
        <v>47</v>
      </c>
      <c r="L5752" t="s">
        <v>48</v>
      </c>
      <c r="M5752" t="s">
        <v>166</v>
      </c>
      <c r="N5752">
        <v>1229</v>
      </c>
      <c r="O5752" s="14">
        <v>0.95496897283010196</v>
      </c>
      <c r="P5752" s="14">
        <v>0.16460988437756899</v>
      </c>
      <c r="Q5752" t="str">
        <f t="shared" si="178"/>
        <v>15-24</v>
      </c>
      <c r="R5752" t="str">
        <f t="shared" si="179"/>
        <v>[ScR9iFKAasW]|15-24|Male|Incidence_SUBNAT.Rt.T|CY2024Q3</v>
      </c>
    </row>
    <row r="5753" spans="4:18" x14ac:dyDescent="0.2">
      <c r="D5753" t="s">
        <v>65</v>
      </c>
      <c r="E5753" t="s">
        <v>66</v>
      </c>
      <c r="F5753" t="s">
        <v>67</v>
      </c>
      <c r="G5753" t="s">
        <v>168</v>
      </c>
      <c r="H5753" t="s">
        <v>168</v>
      </c>
      <c r="I5753" t="s">
        <v>40</v>
      </c>
      <c r="J5753" t="s">
        <v>41</v>
      </c>
      <c r="K5753" t="s">
        <v>47</v>
      </c>
      <c r="L5753" t="s">
        <v>48</v>
      </c>
      <c r="M5753" t="s">
        <v>166</v>
      </c>
      <c r="N5753">
        <v>1627</v>
      </c>
      <c r="O5753" s="14">
        <v>0.28447610675357299</v>
      </c>
      <c r="P5753" s="14">
        <v>0.16460988437756899</v>
      </c>
      <c r="Q5753" t="str">
        <f t="shared" si="178"/>
        <v>25-34</v>
      </c>
      <c r="R5753" t="str">
        <f t="shared" si="179"/>
        <v>[ScR9iFKAasW]|25-34|Male|Incidence_SUBNAT.Rt.T|CY2024Q3</v>
      </c>
    </row>
    <row r="5754" spans="4:18" x14ac:dyDescent="0.2">
      <c r="D5754" t="s">
        <v>65</v>
      </c>
      <c r="E5754" t="s">
        <v>66</v>
      </c>
      <c r="F5754" t="s">
        <v>67</v>
      </c>
      <c r="G5754" t="s">
        <v>168</v>
      </c>
      <c r="H5754" t="s">
        <v>168</v>
      </c>
      <c r="I5754" t="s">
        <v>42</v>
      </c>
      <c r="J5754" t="s">
        <v>43</v>
      </c>
      <c r="K5754" t="s">
        <v>47</v>
      </c>
      <c r="L5754" t="s">
        <v>48</v>
      </c>
      <c r="M5754" t="s">
        <v>166</v>
      </c>
      <c r="N5754">
        <v>1287</v>
      </c>
      <c r="O5754" s="14">
        <v>0.66316509270109203</v>
      </c>
      <c r="P5754" s="14">
        <v>0.16460988437756899</v>
      </c>
      <c r="Q5754" t="str">
        <f t="shared" si="178"/>
        <v>35-49</v>
      </c>
      <c r="R5754" t="str">
        <f t="shared" si="179"/>
        <v>[ScR9iFKAasW]|35-49|Male|Incidence_SUBNAT.Rt.T|CY2024Q3</v>
      </c>
    </row>
    <row r="5755" spans="4:18" x14ac:dyDescent="0.2">
      <c r="D5755" t="s">
        <v>65</v>
      </c>
      <c r="E5755" t="s">
        <v>66</v>
      </c>
      <c r="F5755" t="s">
        <v>67</v>
      </c>
      <c r="G5755" t="s">
        <v>168</v>
      </c>
      <c r="H5755" t="s">
        <v>168</v>
      </c>
      <c r="I5755" t="s">
        <v>44</v>
      </c>
      <c r="J5755" t="s">
        <v>45</v>
      </c>
      <c r="K5755" t="s">
        <v>47</v>
      </c>
      <c r="L5755" t="s">
        <v>48</v>
      </c>
      <c r="M5755" t="s">
        <v>166</v>
      </c>
      <c r="N5755">
        <v>1461</v>
      </c>
      <c r="O5755" s="14">
        <v>0.52396764489822101</v>
      </c>
      <c r="P5755" s="14">
        <v>0.16460988437756899</v>
      </c>
      <c r="Q5755" t="str">
        <f t="shared" si="178"/>
        <v>50+</v>
      </c>
      <c r="R5755" t="str">
        <f t="shared" si="179"/>
        <v>[ScR9iFKAasW]|50+|Male|Incidence_SUBNAT.Rt.T|CY2024Q3</v>
      </c>
    </row>
    <row r="5756" spans="4:18" x14ac:dyDescent="0.2">
      <c r="D5756" t="s">
        <v>68</v>
      </c>
      <c r="E5756" t="s">
        <v>69</v>
      </c>
      <c r="F5756" t="s">
        <v>70</v>
      </c>
      <c r="G5756" t="s">
        <v>168</v>
      </c>
      <c r="H5756" t="s">
        <v>168</v>
      </c>
      <c r="I5756" t="s">
        <v>27</v>
      </c>
      <c r="J5756" t="s">
        <v>28</v>
      </c>
      <c r="K5756" t="s">
        <v>29</v>
      </c>
      <c r="L5756" t="s">
        <v>30</v>
      </c>
      <c r="M5756" t="s">
        <v>166</v>
      </c>
      <c r="N5756">
        <v>1164</v>
      </c>
      <c r="O5756" s="14">
        <v>0.139609248144552</v>
      </c>
      <c r="P5756" s="14">
        <v>0.19881726312451101</v>
      </c>
      <c r="Q5756" t="str">
        <f t="shared" si="178"/>
        <v>&lt;01</v>
      </c>
      <c r="R5756" t="str">
        <f t="shared" si="179"/>
        <v>[PekKUkKHAzY]|&lt;01|Female|Incidence_SUBNAT.Rt.T|CY2024Q3</v>
      </c>
    </row>
    <row r="5757" spans="4:18" x14ac:dyDescent="0.2">
      <c r="D5757" t="s">
        <v>68</v>
      </c>
      <c r="E5757" t="s">
        <v>69</v>
      </c>
      <c r="F5757" t="s">
        <v>70</v>
      </c>
      <c r="G5757" t="s">
        <v>168</v>
      </c>
      <c r="H5757" t="s">
        <v>168</v>
      </c>
      <c r="I5757" t="s">
        <v>32</v>
      </c>
      <c r="J5757" t="s">
        <v>33</v>
      </c>
      <c r="K5757" t="s">
        <v>29</v>
      </c>
      <c r="L5757" t="s">
        <v>30</v>
      </c>
      <c r="M5757" t="s">
        <v>166</v>
      </c>
      <c r="N5757">
        <v>1501</v>
      </c>
      <c r="O5757" s="14">
        <v>0.25889862002804898</v>
      </c>
      <c r="P5757" s="14">
        <v>0.19881726312451101</v>
      </c>
      <c r="Q5757" t="str">
        <f t="shared" si="178"/>
        <v>01-09</v>
      </c>
      <c r="R5757" t="str">
        <f t="shared" si="179"/>
        <v>[PekKUkKHAzY]|01-09|Female|Incidence_SUBNAT.Rt.T|CY2024Q3</v>
      </c>
    </row>
    <row r="5758" spans="4:18" x14ac:dyDescent="0.2">
      <c r="D5758" t="s">
        <v>68</v>
      </c>
      <c r="E5758" t="s">
        <v>69</v>
      </c>
      <c r="F5758" t="s">
        <v>70</v>
      </c>
      <c r="G5758" t="s">
        <v>168</v>
      </c>
      <c r="H5758" t="s">
        <v>168</v>
      </c>
      <c r="I5758" t="s">
        <v>35</v>
      </c>
      <c r="J5758" t="s">
        <v>36</v>
      </c>
      <c r="K5758" t="s">
        <v>29</v>
      </c>
      <c r="L5758" t="s">
        <v>30</v>
      </c>
      <c r="M5758" t="s">
        <v>166</v>
      </c>
      <c r="N5758">
        <v>1179</v>
      </c>
      <c r="O5758" s="14">
        <v>0.80605548527091697</v>
      </c>
      <c r="P5758" s="14">
        <v>0.19881726312451101</v>
      </c>
      <c r="Q5758" t="str">
        <f t="shared" si="178"/>
        <v>10-14</v>
      </c>
      <c r="R5758" t="str">
        <f t="shared" si="179"/>
        <v>[PekKUkKHAzY]|10-14|Female|Incidence_SUBNAT.Rt.T|CY2024Q3</v>
      </c>
    </row>
    <row r="5759" spans="4:18" x14ac:dyDescent="0.2">
      <c r="D5759" t="s">
        <v>68</v>
      </c>
      <c r="E5759" t="s">
        <v>69</v>
      </c>
      <c r="F5759" t="s">
        <v>70</v>
      </c>
      <c r="G5759" t="s">
        <v>168</v>
      </c>
      <c r="H5759" t="s">
        <v>168</v>
      </c>
      <c r="I5759" t="s">
        <v>37</v>
      </c>
      <c r="J5759" t="s">
        <v>38</v>
      </c>
      <c r="K5759" t="s">
        <v>29</v>
      </c>
      <c r="L5759" t="s">
        <v>30</v>
      </c>
      <c r="M5759" t="s">
        <v>166</v>
      </c>
      <c r="N5759">
        <v>1242</v>
      </c>
      <c r="O5759" s="14">
        <v>0.34992152685299499</v>
      </c>
      <c r="P5759" s="14">
        <v>0.19881726312451101</v>
      </c>
      <c r="Q5759" t="str">
        <f t="shared" si="178"/>
        <v>15-24</v>
      </c>
      <c r="R5759" t="str">
        <f t="shared" si="179"/>
        <v>[PekKUkKHAzY]|15-24|Female|Incidence_SUBNAT.Rt.T|CY2024Q3</v>
      </c>
    </row>
    <row r="5760" spans="4:18" x14ac:dyDescent="0.2">
      <c r="D5760" t="s">
        <v>68</v>
      </c>
      <c r="E5760" t="s">
        <v>69</v>
      </c>
      <c r="F5760" t="s">
        <v>70</v>
      </c>
      <c r="G5760" t="s">
        <v>168</v>
      </c>
      <c r="H5760" t="s">
        <v>168</v>
      </c>
      <c r="I5760" t="s">
        <v>40</v>
      </c>
      <c r="J5760" t="s">
        <v>41</v>
      </c>
      <c r="K5760" t="s">
        <v>29</v>
      </c>
      <c r="L5760" t="s">
        <v>30</v>
      </c>
      <c r="M5760" t="s">
        <v>166</v>
      </c>
      <c r="N5760">
        <v>1837</v>
      </c>
      <c r="O5760" s="14">
        <v>0.66466413647867695</v>
      </c>
      <c r="P5760" s="14">
        <v>0.19881726312451101</v>
      </c>
      <c r="Q5760" t="str">
        <f t="shared" si="178"/>
        <v>25-34</v>
      </c>
      <c r="R5760" t="str">
        <f t="shared" si="179"/>
        <v>[PekKUkKHAzY]|25-34|Female|Incidence_SUBNAT.Rt.T|CY2024Q3</v>
      </c>
    </row>
    <row r="5761" spans="4:18" x14ac:dyDescent="0.2">
      <c r="D5761" t="s">
        <v>68</v>
      </c>
      <c r="E5761" t="s">
        <v>69</v>
      </c>
      <c r="F5761" t="s">
        <v>70</v>
      </c>
      <c r="G5761" t="s">
        <v>168</v>
      </c>
      <c r="H5761" t="s">
        <v>168</v>
      </c>
      <c r="I5761" t="s">
        <v>42</v>
      </c>
      <c r="J5761" t="s">
        <v>43</v>
      </c>
      <c r="K5761" t="s">
        <v>29</v>
      </c>
      <c r="L5761" t="s">
        <v>30</v>
      </c>
      <c r="M5761" t="s">
        <v>166</v>
      </c>
      <c r="N5761">
        <v>1140</v>
      </c>
      <c r="O5761" s="14">
        <v>0.66501966444775495</v>
      </c>
      <c r="P5761" s="14">
        <v>0.19881726312451101</v>
      </c>
      <c r="Q5761" t="str">
        <f t="shared" si="178"/>
        <v>35-49</v>
      </c>
      <c r="R5761" t="str">
        <f t="shared" si="179"/>
        <v>[PekKUkKHAzY]|35-49|Female|Incidence_SUBNAT.Rt.T|CY2024Q3</v>
      </c>
    </row>
    <row r="5762" spans="4:18" x14ac:dyDescent="0.2">
      <c r="D5762" t="s">
        <v>68</v>
      </c>
      <c r="E5762" t="s">
        <v>69</v>
      </c>
      <c r="F5762" t="s">
        <v>70</v>
      </c>
      <c r="G5762" t="s">
        <v>168</v>
      </c>
      <c r="H5762" t="s">
        <v>168</v>
      </c>
      <c r="I5762" t="s">
        <v>44</v>
      </c>
      <c r="J5762" t="s">
        <v>45</v>
      </c>
      <c r="K5762" t="s">
        <v>29</v>
      </c>
      <c r="L5762" t="s">
        <v>30</v>
      </c>
      <c r="M5762" t="s">
        <v>166</v>
      </c>
      <c r="N5762">
        <v>1111</v>
      </c>
      <c r="O5762" s="14">
        <v>0.86698827776126597</v>
      </c>
      <c r="P5762" s="14">
        <v>0.19881726312451101</v>
      </c>
      <c r="Q5762" t="str">
        <f t="shared" ref="Q5762:Q5825" si="180">SUBSTITUTE(SUBSTITUTE($I5762,CHAR(61),""),CHAR(34),"")</f>
        <v>50+</v>
      </c>
      <c r="R5762" t="str">
        <f t="shared" ref="R5762:R5825" si="181">IF($D5762&lt;&gt;"","["&amp;$E5762&amp;"]"&amp;"|"&amp;$Q5762&amp;"|"&amp;$K5762&amp;"|"&amp;$G5762&amp;"|"&amp;IF($G5762="TX_CURR_SUBNAT.R","CY2022Q4",$M5762),"")</f>
        <v>[PekKUkKHAzY]|50+|Female|Incidence_SUBNAT.Rt.T|CY2024Q3</v>
      </c>
    </row>
    <row r="5763" spans="4:18" x14ac:dyDescent="0.2">
      <c r="D5763" t="s">
        <v>68</v>
      </c>
      <c r="E5763" t="s">
        <v>69</v>
      </c>
      <c r="F5763" t="s">
        <v>70</v>
      </c>
      <c r="G5763" t="s">
        <v>168</v>
      </c>
      <c r="H5763" t="s">
        <v>168</v>
      </c>
      <c r="I5763" t="s">
        <v>27</v>
      </c>
      <c r="J5763" t="s">
        <v>28</v>
      </c>
      <c r="K5763" t="s">
        <v>47</v>
      </c>
      <c r="L5763" t="s">
        <v>48</v>
      </c>
      <c r="M5763" t="s">
        <v>166</v>
      </c>
      <c r="N5763">
        <v>1330</v>
      </c>
      <c r="O5763" s="14">
        <v>0.84092861134558905</v>
      </c>
      <c r="P5763" s="14">
        <v>0.19881726312451101</v>
      </c>
      <c r="Q5763" t="str">
        <f t="shared" si="180"/>
        <v>&lt;01</v>
      </c>
      <c r="R5763" t="str">
        <f t="shared" si="181"/>
        <v>[PekKUkKHAzY]|&lt;01|Male|Incidence_SUBNAT.Rt.T|CY2024Q3</v>
      </c>
    </row>
    <row r="5764" spans="4:18" x14ac:dyDescent="0.2">
      <c r="D5764" t="s">
        <v>68</v>
      </c>
      <c r="E5764" t="s">
        <v>69</v>
      </c>
      <c r="F5764" t="s">
        <v>70</v>
      </c>
      <c r="G5764" t="s">
        <v>168</v>
      </c>
      <c r="H5764" t="s">
        <v>168</v>
      </c>
      <c r="I5764" t="s">
        <v>32</v>
      </c>
      <c r="J5764" t="s">
        <v>33</v>
      </c>
      <c r="K5764" t="s">
        <v>47</v>
      </c>
      <c r="L5764" t="s">
        <v>48</v>
      </c>
      <c r="M5764" t="s">
        <v>166</v>
      </c>
      <c r="N5764">
        <v>832</v>
      </c>
      <c r="O5764" s="14">
        <v>0.73802813910879195</v>
      </c>
      <c r="P5764" s="14">
        <v>0.19881726312451101</v>
      </c>
      <c r="Q5764" t="str">
        <f t="shared" si="180"/>
        <v>01-09</v>
      </c>
      <c r="R5764" t="str">
        <f t="shared" si="181"/>
        <v>[PekKUkKHAzY]|01-09|Male|Incidence_SUBNAT.Rt.T|CY2024Q3</v>
      </c>
    </row>
    <row r="5765" spans="4:18" x14ac:dyDescent="0.2">
      <c r="D5765" t="s">
        <v>68</v>
      </c>
      <c r="E5765" t="s">
        <v>69</v>
      </c>
      <c r="F5765" t="s">
        <v>70</v>
      </c>
      <c r="G5765" t="s">
        <v>168</v>
      </c>
      <c r="H5765" t="s">
        <v>168</v>
      </c>
      <c r="I5765" t="s">
        <v>35</v>
      </c>
      <c r="J5765" t="s">
        <v>36</v>
      </c>
      <c r="K5765" t="s">
        <v>47</v>
      </c>
      <c r="L5765" t="s">
        <v>48</v>
      </c>
      <c r="M5765" t="s">
        <v>166</v>
      </c>
      <c r="N5765">
        <v>1472</v>
      </c>
      <c r="O5765" s="14">
        <v>0.20318955834954999</v>
      </c>
      <c r="P5765" s="14">
        <v>0.19881726312451101</v>
      </c>
      <c r="Q5765" t="str">
        <f t="shared" si="180"/>
        <v>10-14</v>
      </c>
      <c r="R5765" t="str">
        <f t="shared" si="181"/>
        <v>[PekKUkKHAzY]|10-14|Male|Incidence_SUBNAT.Rt.T|CY2024Q3</v>
      </c>
    </row>
    <row r="5766" spans="4:18" x14ac:dyDescent="0.2">
      <c r="D5766" t="s">
        <v>68</v>
      </c>
      <c r="E5766" t="s">
        <v>69</v>
      </c>
      <c r="F5766" t="s">
        <v>70</v>
      </c>
      <c r="G5766" t="s">
        <v>168</v>
      </c>
      <c r="H5766" t="s">
        <v>168</v>
      </c>
      <c r="I5766" t="s">
        <v>37</v>
      </c>
      <c r="J5766" t="s">
        <v>38</v>
      </c>
      <c r="K5766" t="s">
        <v>47</v>
      </c>
      <c r="L5766" t="s">
        <v>48</v>
      </c>
      <c r="M5766" t="s">
        <v>166</v>
      </c>
      <c r="N5766">
        <v>1750</v>
      </c>
      <c r="O5766" s="14">
        <v>0.21512491279281701</v>
      </c>
      <c r="P5766" s="14">
        <v>0.19881726312451101</v>
      </c>
      <c r="Q5766" t="str">
        <f t="shared" si="180"/>
        <v>15-24</v>
      </c>
      <c r="R5766" t="str">
        <f t="shared" si="181"/>
        <v>[PekKUkKHAzY]|15-24|Male|Incidence_SUBNAT.Rt.T|CY2024Q3</v>
      </c>
    </row>
    <row r="5767" spans="4:18" x14ac:dyDescent="0.2">
      <c r="D5767" t="s">
        <v>68</v>
      </c>
      <c r="E5767" t="s">
        <v>69</v>
      </c>
      <c r="F5767" t="s">
        <v>70</v>
      </c>
      <c r="G5767" t="s">
        <v>168</v>
      </c>
      <c r="H5767" t="s">
        <v>168</v>
      </c>
      <c r="I5767" t="s">
        <v>40</v>
      </c>
      <c r="J5767" t="s">
        <v>41</v>
      </c>
      <c r="K5767" t="s">
        <v>47</v>
      </c>
      <c r="L5767" t="s">
        <v>48</v>
      </c>
      <c r="M5767" t="s">
        <v>166</v>
      </c>
      <c r="N5767">
        <v>746</v>
      </c>
      <c r="O5767" s="14">
        <v>0.67113039409741804</v>
      </c>
      <c r="P5767" s="14">
        <v>0.19881726312451101</v>
      </c>
      <c r="Q5767" t="str">
        <f t="shared" si="180"/>
        <v>25-34</v>
      </c>
      <c r="R5767" t="str">
        <f t="shared" si="181"/>
        <v>[PekKUkKHAzY]|25-34|Male|Incidence_SUBNAT.Rt.T|CY2024Q3</v>
      </c>
    </row>
    <row r="5768" spans="4:18" x14ac:dyDescent="0.2">
      <c r="D5768" t="s">
        <v>68</v>
      </c>
      <c r="E5768" t="s">
        <v>69</v>
      </c>
      <c r="F5768" t="s">
        <v>70</v>
      </c>
      <c r="G5768" t="s">
        <v>168</v>
      </c>
      <c r="H5768" t="s">
        <v>168</v>
      </c>
      <c r="I5768" t="s">
        <v>42</v>
      </c>
      <c r="J5768" t="s">
        <v>43</v>
      </c>
      <c r="K5768" t="s">
        <v>47</v>
      </c>
      <c r="L5768" t="s">
        <v>48</v>
      </c>
      <c r="M5768" t="s">
        <v>166</v>
      </c>
      <c r="N5768">
        <v>532</v>
      </c>
      <c r="O5768" s="14">
        <v>0.20204390399158001</v>
      </c>
      <c r="P5768" s="14">
        <v>0.19881726312451101</v>
      </c>
      <c r="Q5768" t="str">
        <f t="shared" si="180"/>
        <v>35-49</v>
      </c>
      <c r="R5768" t="str">
        <f t="shared" si="181"/>
        <v>[PekKUkKHAzY]|35-49|Male|Incidence_SUBNAT.Rt.T|CY2024Q3</v>
      </c>
    </row>
    <row r="5769" spans="4:18" x14ac:dyDescent="0.2">
      <c r="D5769" t="s">
        <v>68</v>
      </c>
      <c r="E5769" t="s">
        <v>69</v>
      </c>
      <c r="F5769" t="s">
        <v>70</v>
      </c>
      <c r="G5769" t="s">
        <v>168</v>
      </c>
      <c r="H5769" t="s">
        <v>168</v>
      </c>
      <c r="I5769" t="s">
        <v>44</v>
      </c>
      <c r="J5769" t="s">
        <v>45</v>
      </c>
      <c r="K5769" t="s">
        <v>47</v>
      </c>
      <c r="L5769" t="s">
        <v>48</v>
      </c>
      <c r="M5769" t="s">
        <v>166</v>
      </c>
      <c r="N5769">
        <v>1064</v>
      </c>
      <c r="O5769" s="14">
        <v>0.92441479326225795</v>
      </c>
      <c r="P5769" s="14">
        <v>0.19881726312451101</v>
      </c>
      <c r="Q5769" t="str">
        <f t="shared" si="180"/>
        <v>50+</v>
      </c>
      <c r="R5769" t="str">
        <f t="shared" si="181"/>
        <v>[PekKUkKHAzY]|50+|Male|Incidence_SUBNAT.Rt.T|CY2024Q3</v>
      </c>
    </row>
    <row r="5770" spans="4:18" x14ac:dyDescent="0.2">
      <c r="D5770" t="s">
        <v>71</v>
      </c>
      <c r="E5770" t="s">
        <v>72</v>
      </c>
      <c r="F5770" t="s">
        <v>73</v>
      </c>
      <c r="G5770" t="s">
        <v>168</v>
      </c>
      <c r="H5770" t="s">
        <v>168</v>
      </c>
      <c r="I5770" t="s">
        <v>27</v>
      </c>
      <c r="J5770" t="s">
        <v>28</v>
      </c>
      <c r="K5770" t="s">
        <v>29</v>
      </c>
      <c r="L5770" t="s">
        <v>30</v>
      </c>
      <c r="M5770" t="s">
        <v>166</v>
      </c>
      <c r="N5770">
        <v>1928</v>
      </c>
      <c r="O5770" s="14">
        <v>0.19419227819889801</v>
      </c>
      <c r="P5770" s="14">
        <v>0.28972870693542102</v>
      </c>
      <c r="Q5770" t="str">
        <f t="shared" si="180"/>
        <v>&lt;01</v>
      </c>
      <c r="R5770" t="str">
        <f t="shared" si="181"/>
        <v>[am530wpaGvr]|&lt;01|Female|Incidence_SUBNAT.Rt.T|CY2024Q3</v>
      </c>
    </row>
    <row r="5771" spans="4:18" x14ac:dyDescent="0.2">
      <c r="D5771" t="s">
        <v>71</v>
      </c>
      <c r="E5771" t="s">
        <v>72</v>
      </c>
      <c r="F5771" t="s">
        <v>73</v>
      </c>
      <c r="G5771" t="s">
        <v>168</v>
      </c>
      <c r="H5771" t="s">
        <v>168</v>
      </c>
      <c r="I5771" t="s">
        <v>32</v>
      </c>
      <c r="J5771" t="s">
        <v>33</v>
      </c>
      <c r="K5771" t="s">
        <v>29</v>
      </c>
      <c r="L5771" t="s">
        <v>30</v>
      </c>
      <c r="M5771" t="s">
        <v>166</v>
      </c>
      <c r="N5771">
        <v>1188</v>
      </c>
      <c r="O5771" s="14">
        <v>0.14187614712864199</v>
      </c>
      <c r="P5771" s="14">
        <v>0.28972870693542102</v>
      </c>
      <c r="Q5771" t="str">
        <f t="shared" si="180"/>
        <v>01-09</v>
      </c>
      <c r="R5771" t="str">
        <f t="shared" si="181"/>
        <v>[am530wpaGvr]|01-09|Female|Incidence_SUBNAT.Rt.T|CY2024Q3</v>
      </c>
    </row>
    <row r="5772" spans="4:18" x14ac:dyDescent="0.2">
      <c r="D5772" t="s">
        <v>71</v>
      </c>
      <c r="E5772" t="s">
        <v>72</v>
      </c>
      <c r="F5772" t="s">
        <v>73</v>
      </c>
      <c r="G5772" t="s">
        <v>168</v>
      </c>
      <c r="H5772" t="s">
        <v>168</v>
      </c>
      <c r="I5772" t="s">
        <v>35</v>
      </c>
      <c r="J5772" t="s">
        <v>36</v>
      </c>
      <c r="K5772" t="s">
        <v>29</v>
      </c>
      <c r="L5772" t="s">
        <v>30</v>
      </c>
      <c r="M5772" t="s">
        <v>166</v>
      </c>
      <c r="N5772">
        <v>1268</v>
      </c>
      <c r="O5772" s="14">
        <v>2.6492324890568901E-2</v>
      </c>
      <c r="P5772" s="14">
        <v>0.28972870693542102</v>
      </c>
      <c r="Q5772" t="str">
        <f t="shared" si="180"/>
        <v>10-14</v>
      </c>
      <c r="R5772" t="str">
        <f t="shared" si="181"/>
        <v>[am530wpaGvr]|10-14|Female|Incidence_SUBNAT.Rt.T|CY2024Q3</v>
      </c>
    </row>
    <row r="5773" spans="4:18" x14ac:dyDescent="0.2">
      <c r="D5773" t="s">
        <v>71</v>
      </c>
      <c r="E5773" t="s">
        <v>72</v>
      </c>
      <c r="F5773" t="s">
        <v>73</v>
      </c>
      <c r="G5773" t="s">
        <v>168</v>
      </c>
      <c r="H5773" t="s">
        <v>168</v>
      </c>
      <c r="I5773" t="s">
        <v>37</v>
      </c>
      <c r="J5773" t="s">
        <v>38</v>
      </c>
      <c r="K5773" t="s">
        <v>29</v>
      </c>
      <c r="L5773" t="s">
        <v>30</v>
      </c>
      <c r="M5773" t="s">
        <v>166</v>
      </c>
      <c r="N5773">
        <v>886</v>
      </c>
      <c r="O5773" s="14">
        <v>0.61449287785217199</v>
      </c>
      <c r="P5773" s="14">
        <v>0.28972870693542102</v>
      </c>
      <c r="Q5773" t="str">
        <f t="shared" si="180"/>
        <v>15-24</v>
      </c>
      <c r="R5773" t="str">
        <f t="shared" si="181"/>
        <v>[am530wpaGvr]|15-24|Female|Incidence_SUBNAT.Rt.T|CY2024Q3</v>
      </c>
    </row>
    <row r="5774" spans="4:18" x14ac:dyDescent="0.2">
      <c r="D5774" t="s">
        <v>71</v>
      </c>
      <c r="E5774" t="s">
        <v>72</v>
      </c>
      <c r="F5774" t="s">
        <v>73</v>
      </c>
      <c r="G5774" t="s">
        <v>168</v>
      </c>
      <c r="H5774" t="s">
        <v>168</v>
      </c>
      <c r="I5774" t="s">
        <v>40</v>
      </c>
      <c r="J5774" t="s">
        <v>41</v>
      </c>
      <c r="K5774" t="s">
        <v>29</v>
      </c>
      <c r="L5774" t="s">
        <v>30</v>
      </c>
      <c r="M5774" t="s">
        <v>166</v>
      </c>
      <c r="N5774">
        <v>1477</v>
      </c>
      <c r="O5774" s="14">
        <v>0.946957163279876</v>
      </c>
      <c r="P5774" s="14">
        <v>0.28972870693542102</v>
      </c>
      <c r="Q5774" t="str">
        <f t="shared" si="180"/>
        <v>25-34</v>
      </c>
      <c r="R5774" t="str">
        <f t="shared" si="181"/>
        <v>[am530wpaGvr]|25-34|Female|Incidence_SUBNAT.Rt.T|CY2024Q3</v>
      </c>
    </row>
    <row r="5775" spans="4:18" x14ac:dyDescent="0.2">
      <c r="D5775" t="s">
        <v>71</v>
      </c>
      <c r="E5775" t="s">
        <v>72</v>
      </c>
      <c r="F5775" t="s">
        <v>73</v>
      </c>
      <c r="G5775" t="s">
        <v>168</v>
      </c>
      <c r="H5775" t="s">
        <v>168</v>
      </c>
      <c r="I5775" t="s">
        <v>42</v>
      </c>
      <c r="J5775" t="s">
        <v>43</v>
      </c>
      <c r="K5775" t="s">
        <v>29</v>
      </c>
      <c r="L5775" t="s">
        <v>30</v>
      </c>
      <c r="M5775" t="s">
        <v>166</v>
      </c>
      <c r="N5775">
        <v>1135</v>
      </c>
      <c r="O5775" s="14">
        <v>0.124563796445727</v>
      </c>
      <c r="P5775" s="14">
        <v>0.28972870693542102</v>
      </c>
      <c r="Q5775" t="str">
        <f t="shared" si="180"/>
        <v>35-49</v>
      </c>
      <c r="R5775" t="str">
        <f t="shared" si="181"/>
        <v>[am530wpaGvr]|35-49|Female|Incidence_SUBNAT.Rt.T|CY2024Q3</v>
      </c>
    </row>
    <row r="5776" spans="4:18" x14ac:dyDescent="0.2">
      <c r="D5776" t="s">
        <v>71</v>
      </c>
      <c r="E5776" t="s">
        <v>72</v>
      </c>
      <c r="F5776" t="s">
        <v>73</v>
      </c>
      <c r="G5776" t="s">
        <v>168</v>
      </c>
      <c r="H5776" t="s">
        <v>168</v>
      </c>
      <c r="I5776" t="s">
        <v>44</v>
      </c>
      <c r="J5776" t="s">
        <v>45</v>
      </c>
      <c r="K5776" t="s">
        <v>29</v>
      </c>
      <c r="L5776" t="s">
        <v>30</v>
      </c>
      <c r="M5776" t="s">
        <v>166</v>
      </c>
      <c r="N5776">
        <v>1932</v>
      </c>
      <c r="O5776" s="14">
        <v>0.93482815520837903</v>
      </c>
      <c r="P5776" s="14">
        <v>0.28972870693542102</v>
      </c>
      <c r="Q5776" t="str">
        <f t="shared" si="180"/>
        <v>50+</v>
      </c>
      <c r="R5776" t="str">
        <f t="shared" si="181"/>
        <v>[am530wpaGvr]|50+|Female|Incidence_SUBNAT.Rt.T|CY2024Q3</v>
      </c>
    </row>
    <row r="5777" spans="4:18" x14ac:dyDescent="0.2">
      <c r="D5777" t="s">
        <v>71</v>
      </c>
      <c r="E5777" t="s">
        <v>72</v>
      </c>
      <c r="F5777" t="s">
        <v>73</v>
      </c>
      <c r="G5777" t="s">
        <v>168</v>
      </c>
      <c r="H5777" t="s">
        <v>168</v>
      </c>
      <c r="I5777" t="s">
        <v>27</v>
      </c>
      <c r="J5777" t="s">
        <v>28</v>
      </c>
      <c r="K5777" t="s">
        <v>47</v>
      </c>
      <c r="L5777" t="s">
        <v>48</v>
      </c>
      <c r="M5777" t="s">
        <v>166</v>
      </c>
      <c r="N5777">
        <v>1869</v>
      </c>
      <c r="O5777" s="14">
        <v>0.94305347441695597</v>
      </c>
      <c r="P5777" s="14">
        <v>0.28972870693542102</v>
      </c>
      <c r="Q5777" t="str">
        <f t="shared" si="180"/>
        <v>&lt;01</v>
      </c>
      <c r="R5777" t="str">
        <f t="shared" si="181"/>
        <v>[am530wpaGvr]|&lt;01|Male|Incidence_SUBNAT.Rt.T|CY2024Q3</v>
      </c>
    </row>
    <row r="5778" spans="4:18" x14ac:dyDescent="0.2">
      <c r="D5778" t="s">
        <v>71</v>
      </c>
      <c r="E5778" t="s">
        <v>72</v>
      </c>
      <c r="F5778" t="s">
        <v>73</v>
      </c>
      <c r="G5778" t="s">
        <v>168</v>
      </c>
      <c r="H5778" t="s">
        <v>168</v>
      </c>
      <c r="I5778" t="s">
        <v>32</v>
      </c>
      <c r="J5778" t="s">
        <v>33</v>
      </c>
      <c r="K5778" t="s">
        <v>47</v>
      </c>
      <c r="L5778" t="s">
        <v>48</v>
      </c>
      <c r="M5778" t="s">
        <v>166</v>
      </c>
      <c r="N5778">
        <v>1080</v>
      </c>
      <c r="O5778" s="14">
        <v>0.255826908163726</v>
      </c>
      <c r="P5778" s="14">
        <v>0.28972870693542102</v>
      </c>
      <c r="Q5778" t="str">
        <f t="shared" si="180"/>
        <v>01-09</v>
      </c>
      <c r="R5778" t="str">
        <f t="shared" si="181"/>
        <v>[am530wpaGvr]|01-09|Male|Incidence_SUBNAT.Rt.T|CY2024Q3</v>
      </c>
    </row>
    <row r="5779" spans="4:18" x14ac:dyDescent="0.2">
      <c r="D5779" t="s">
        <v>71</v>
      </c>
      <c r="E5779" t="s">
        <v>72</v>
      </c>
      <c r="F5779" t="s">
        <v>73</v>
      </c>
      <c r="G5779" t="s">
        <v>168</v>
      </c>
      <c r="H5779" t="s">
        <v>168</v>
      </c>
      <c r="I5779" t="s">
        <v>35</v>
      </c>
      <c r="J5779" t="s">
        <v>36</v>
      </c>
      <c r="K5779" t="s">
        <v>47</v>
      </c>
      <c r="L5779" t="s">
        <v>48</v>
      </c>
      <c r="M5779" t="s">
        <v>166</v>
      </c>
      <c r="N5779">
        <v>1344</v>
      </c>
      <c r="O5779" s="14">
        <v>0.14220156962983299</v>
      </c>
      <c r="P5779" s="14">
        <v>0.28972870693542102</v>
      </c>
      <c r="Q5779" t="str">
        <f t="shared" si="180"/>
        <v>10-14</v>
      </c>
      <c r="R5779" t="str">
        <f t="shared" si="181"/>
        <v>[am530wpaGvr]|10-14|Male|Incidence_SUBNAT.Rt.T|CY2024Q3</v>
      </c>
    </row>
    <row r="5780" spans="4:18" x14ac:dyDescent="0.2">
      <c r="D5780" t="s">
        <v>71</v>
      </c>
      <c r="E5780" t="s">
        <v>72</v>
      </c>
      <c r="F5780" t="s">
        <v>73</v>
      </c>
      <c r="G5780" t="s">
        <v>168</v>
      </c>
      <c r="H5780" t="s">
        <v>168</v>
      </c>
      <c r="I5780" t="s">
        <v>37</v>
      </c>
      <c r="J5780" t="s">
        <v>38</v>
      </c>
      <c r="K5780" t="s">
        <v>47</v>
      </c>
      <c r="L5780" t="s">
        <v>48</v>
      </c>
      <c r="M5780" t="s">
        <v>166</v>
      </c>
      <c r="N5780">
        <v>1922</v>
      </c>
      <c r="O5780" s="14">
        <v>0.114577231928706</v>
      </c>
      <c r="P5780" s="14">
        <v>0.28972870693542102</v>
      </c>
      <c r="Q5780" t="str">
        <f t="shared" si="180"/>
        <v>15-24</v>
      </c>
      <c r="R5780" t="str">
        <f t="shared" si="181"/>
        <v>[am530wpaGvr]|15-24|Male|Incidence_SUBNAT.Rt.T|CY2024Q3</v>
      </c>
    </row>
    <row r="5781" spans="4:18" x14ac:dyDescent="0.2">
      <c r="D5781" t="s">
        <v>71</v>
      </c>
      <c r="E5781" t="s">
        <v>72</v>
      </c>
      <c r="F5781" t="s">
        <v>73</v>
      </c>
      <c r="G5781" t="s">
        <v>168</v>
      </c>
      <c r="H5781" t="s">
        <v>168</v>
      </c>
      <c r="I5781" t="s">
        <v>40</v>
      </c>
      <c r="J5781" t="s">
        <v>41</v>
      </c>
      <c r="K5781" t="s">
        <v>47</v>
      </c>
      <c r="L5781" t="s">
        <v>48</v>
      </c>
      <c r="M5781" t="s">
        <v>166</v>
      </c>
      <c r="N5781">
        <v>651</v>
      </c>
      <c r="O5781" s="14">
        <v>5.7222864124923901E-3</v>
      </c>
      <c r="P5781" s="14">
        <v>0.28972870693542102</v>
      </c>
      <c r="Q5781" t="str">
        <f t="shared" si="180"/>
        <v>25-34</v>
      </c>
      <c r="R5781" t="str">
        <f t="shared" si="181"/>
        <v>[am530wpaGvr]|25-34|Male|Incidence_SUBNAT.Rt.T|CY2024Q3</v>
      </c>
    </row>
    <row r="5782" spans="4:18" x14ac:dyDescent="0.2">
      <c r="D5782" t="s">
        <v>71</v>
      </c>
      <c r="E5782" t="s">
        <v>72</v>
      </c>
      <c r="F5782" t="s">
        <v>73</v>
      </c>
      <c r="G5782" t="s">
        <v>168</v>
      </c>
      <c r="H5782" t="s">
        <v>168</v>
      </c>
      <c r="I5782" t="s">
        <v>42</v>
      </c>
      <c r="J5782" t="s">
        <v>43</v>
      </c>
      <c r="K5782" t="s">
        <v>47</v>
      </c>
      <c r="L5782" t="s">
        <v>48</v>
      </c>
      <c r="M5782" t="s">
        <v>166</v>
      </c>
      <c r="N5782">
        <v>1362</v>
      </c>
      <c r="O5782" s="14">
        <v>0.312873144168407</v>
      </c>
      <c r="P5782" s="14">
        <v>0.28972870693542102</v>
      </c>
      <c r="Q5782" t="str">
        <f t="shared" si="180"/>
        <v>35-49</v>
      </c>
      <c r="R5782" t="str">
        <f t="shared" si="181"/>
        <v>[am530wpaGvr]|35-49|Male|Incidence_SUBNAT.Rt.T|CY2024Q3</v>
      </c>
    </row>
    <row r="5783" spans="4:18" x14ac:dyDescent="0.2">
      <c r="D5783" t="s">
        <v>71</v>
      </c>
      <c r="E5783" t="s">
        <v>72</v>
      </c>
      <c r="F5783" t="s">
        <v>73</v>
      </c>
      <c r="G5783" t="s">
        <v>168</v>
      </c>
      <c r="H5783" t="s">
        <v>168</v>
      </c>
      <c r="I5783" t="s">
        <v>44</v>
      </c>
      <c r="J5783" t="s">
        <v>45</v>
      </c>
      <c r="K5783" t="s">
        <v>47</v>
      </c>
      <c r="L5783" t="s">
        <v>48</v>
      </c>
      <c r="M5783" t="s">
        <v>166</v>
      </c>
      <c r="N5783">
        <v>1878</v>
      </c>
      <c r="O5783" s="14">
        <v>0.731904737651348</v>
      </c>
      <c r="P5783" s="14">
        <v>0.28972870693542102</v>
      </c>
      <c r="Q5783" t="str">
        <f t="shared" si="180"/>
        <v>50+</v>
      </c>
      <c r="R5783" t="str">
        <f t="shared" si="181"/>
        <v>[am530wpaGvr]|50+|Male|Incidence_SUBNAT.Rt.T|CY2024Q3</v>
      </c>
    </row>
    <row r="5784" spans="4:18" x14ac:dyDescent="0.2">
      <c r="D5784" t="s">
        <v>74</v>
      </c>
      <c r="E5784" t="s">
        <v>75</v>
      </c>
      <c r="F5784" t="s">
        <v>76</v>
      </c>
      <c r="G5784" t="s">
        <v>168</v>
      </c>
      <c r="H5784" t="s">
        <v>168</v>
      </c>
      <c r="I5784" t="s">
        <v>27</v>
      </c>
      <c r="J5784" t="s">
        <v>28</v>
      </c>
      <c r="K5784" t="s">
        <v>29</v>
      </c>
      <c r="L5784" t="s">
        <v>30</v>
      </c>
      <c r="M5784" t="s">
        <v>166</v>
      </c>
      <c r="N5784">
        <v>1526</v>
      </c>
      <c r="O5784" s="14">
        <v>0.458709924248978</v>
      </c>
      <c r="P5784" s="14">
        <v>0.30305550759658201</v>
      </c>
      <c r="Q5784" t="str">
        <f t="shared" si="180"/>
        <v>&lt;01</v>
      </c>
      <c r="R5784" t="str">
        <f t="shared" si="181"/>
        <v>[lLDyBx5XyUi]|&lt;01|Female|Incidence_SUBNAT.Rt.T|CY2024Q3</v>
      </c>
    </row>
    <row r="5785" spans="4:18" x14ac:dyDescent="0.2">
      <c r="D5785" t="s">
        <v>74</v>
      </c>
      <c r="E5785" t="s">
        <v>75</v>
      </c>
      <c r="F5785" t="s">
        <v>76</v>
      </c>
      <c r="G5785" t="s">
        <v>168</v>
      </c>
      <c r="H5785" t="s">
        <v>168</v>
      </c>
      <c r="I5785" t="s">
        <v>32</v>
      </c>
      <c r="J5785" t="s">
        <v>33</v>
      </c>
      <c r="K5785" t="s">
        <v>29</v>
      </c>
      <c r="L5785" t="s">
        <v>30</v>
      </c>
      <c r="M5785" t="s">
        <v>166</v>
      </c>
      <c r="N5785">
        <v>945</v>
      </c>
      <c r="O5785" s="14">
        <v>5.3716910304501701E-2</v>
      </c>
      <c r="P5785" s="14">
        <v>0.30305550759658201</v>
      </c>
      <c r="Q5785" t="str">
        <f t="shared" si="180"/>
        <v>01-09</v>
      </c>
      <c r="R5785" t="str">
        <f t="shared" si="181"/>
        <v>[lLDyBx5XyUi]|01-09|Female|Incidence_SUBNAT.Rt.T|CY2024Q3</v>
      </c>
    </row>
    <row r="5786" spans="4:18" x14ac:dyDescent="0.2">
      <c r="D5786" t="s">
        <v>74</v>
      </c>
      <c r="E5786" t="s">
        <v>75</v>
      </c>
      <c r="F5786" t="s">
        <v>76</v>
      </c>
      <c r="G5786" t="s">
        <v>168</v>
      </c>
      <c r="H5786" t="s">
        <v>168</v>
      </c>
      <c r="I5786" t="s">
        <v>35</v>
      </c>
      <c r="J5786" t="s">
        <v>36</v>
      </c>
      <c r="K5786" t="s">
        <v>29</v>
      </c>
      <c r="L5786" t="s">
        <v>30</v>
      </c>
      <c r="M5786" t="s">
        <v>166</v>
      </c>
      <c r="N5786">
        <v>790</v>
      </c>
      <c r="O5786" s="14">
        <v>0.22828762652352499</v>
      </c>
      <c r="P5786" s="14">
        <v>0.30305550759658201</v>
      </c>
      <c r="Q5786" t="str">
        <f t="shared" si="180"/>
        <v>10-14</v>
      </c>
      <c r="R5786" t="str">
        <f t="shared" si="181"/>
        <v>[lLDyBx5XyUi]|10-14|Female|Incidence_SUBNAT.Rt.T|CY2024Q3</v>
      </c>
    </row>
    <row r="5787" spans="4:18" x14ac:dyDescent="0.2">
      <c r="D5787" t="s">
        <v>74</v>
      </c>
      <c r="E5787" t="s">
        <v>75</v>
      </c>
      <c r="F5787" t="s">
        <v>76</v>
      </c>
      <c r="G5787" t="s">
        <v>168</v>
      </c>
      <c r="H5787" t="s">
        <v>168</v>
      </c>
      <c r="I5787" t="s">
        <v>37</v>
      </c>
      <c r="J5787" t="s">
        <v>38</v>
      </c>
      <c r="K5787" t="s">
        <v>29</v>
      </c>
      <c r="L5787" t="s">
        <v>30</v>
      </c>
      <c r="M5787" t="s">
        <v>166</v>
      </c>
      <c r="N5787">
        <v>724</v>
      </c>
      <c r="O5787" s="14">
        <v>0.34643128723837402</v>
      </c>
      <c r="P5787" s="14">
        <v>0.30305550759658201</v>
      </c>
      <c r="Q5787" t="str">
        <f t="shared" si="180"/>
        <v>15-24</v>
      </c>
      <c r="R5787" t="str">
        <f t="shared" si="181"/>
        <v>[lLDyBx5XyUi]|15-24|Female|Incidence_SUBNAT.Rt.T|CY2024Q3</v>
      </c>
    </row>
    <row r="5788" spans="4:18" x14ac:dyDescent="0.2">
      <c r="D5788" t="s">
        <v>74</v>
      </c>
      <c r="E5788" t="s">
        <v>75</v>
      </c>
      <c r="F5788" t="s">
        <v>76</v>
      </c>
      <c r="G5788" t="s">
        <v>168</v>
      </c>
      <c r="H5788" t="s">
        <v>168</v>
      </c>
      <c r="I5788" t="s">
        <v>40</v>
      </c>
      <c r="J5788" t="s">
        <v>41</v>
      </c>
      <c r="K5788" t="s">
        <v>29</v>
      </c>
      <c r="L5788" t="s">
        <v>30</v>
      </c>
      <c r="M5788" t="s">
        <v>166</v>
      </c>
      <c r="N5788">
        <v>1253</v>
      </c>
      <c r="O5788" s="14">
        <v>0.49622545577585703</v>
      </c>
      <c r="P5788" s="14">
        <v>0.30305550759658201</v>
      </c>
      <c r="Q5788" t="str">
        <f t="shared" si="180"/>
        <v>25-34</v>
      </c>
      <c r="R5788" t="str">
        <f t="shared" si="181"/>
        <v>[lLDyBx5XyUi]|25-34|Female|Incidence_SUBNAT.Rt.T|CY2024Q3</v>
      </c>
    </row>
    <row r="5789" spans="4:18" x14ac:dyDescent="0.2">
      <c r="D5789" t="s">
        <v>74</v>
      </c>
      <c r="E5789" t="s">
        <v>75</v>
      </c>
      <c r="F5789" t="s">
        <v>76</v>
      </c>
      <c r="G5789" t="s">
        <v>168</v>
      </c>
      <c r="H5789" t="s">
        <v>168</v>
      </c>
      <c r="I5789" t="s">
        <v>42</v>
      </c>
      <c r="J5789" t="s">
        <v>43</v>
      </c>
      <c r="K5789" t="s">
        <v>29</v>
      </c>
      <c r="L5789" t="s">
        <v>30</v>
      </c>
      <c r="M5789" t="s">
        <v>166</v>
      </c>
      <c r="N5789">
        <v>1194</v>
      </c>
      <c r="O5789" s="14">
        <v>0.72412518248893298</v>
      </c>
      <c r="P5789" s="14">
        <v>0.30305550759658201</v>
      </c>
      <c r="Q5789" t="str">
        <f t="shared" si="180"/>
        <v>35-49</v>
      </c>
      <c r="R5789" t="str">
        <f t="shared" si="181"/>
        <v>[lLDyBx5XyUi]|35-49|Female|Incidence_SUBNAT.Rt.T|CY2024Q3</v>
      </c>
    </row>
    <row r="5790" spans="4:18" x14ac:dyDescent="0.2">
      <c r="D5790" t="s">
        <v>74</v>
      </c>
      <c r="E5790" t="s">
        <v>75</v>
      </c>
      <c r="F5790" t="s">
        <v>76</v>
      </c>
      <c r="G5790" t="s">
        <v>168</v>
      </c>
      <c r="H5790" t="s">
        <v>168</v>
      </c>
      <c r="I5790" t="s">
        <v>44</v>
      </c>
      <c r="J5790" t="s">
        <v>45</v>
      </c>
      <c r="K5790" t="s">
        <v>29</v>
      </c>
      <c r="L5790" t="s">
        <v>30</v>
      </c>
      <c r="M5790" t="s">
        <v>166</v>
      </c>
      <c r="N5790">
        <v>677</v>
      </c>
      <c r="O5790" s="14">
        <v>0.248058740515262</v>
      </c>
      <c r="P5790" s="14">
        <v>0.30305550759658201</v>
      </c>
      <c r="Q5790" t="str">
        <f t="shared" si="180"/>
        <v>50+</v>
      </c>
      <c r="R5790" t="str">
        <f t="shared" si="181"/>
        <v>[lLDyBx5XyUi]|50+|Female|Incidence_SUBNAT.Rt.T|CY2024Q3</v>
      </c>
    </row>
    <row r="5791" spans="4:18" x14ac:dyDescent="0.2">
      <c r="D5791" t="s">
        <v>74</v>
      </c>
      <c r="E5791" t="s">
        <v>75</v>
      </c>
      <c r="F5791" t="s">
        <v>76</v>
      </c>
      <c r="G5791" t="s">
        <v>168</v>
      </c>
      <c r="H5791" t="s">
        <v>168</v>
      </c>
      <c r="I5791" t="s">
        <v>27</v>
      </c>
      <c r="J5791" t="s">
        <v>28</v>
      </c>
      <c r="K5791" t="s">
        <v>47</v>
      </c>
      <c r="L5791" t="s">
        <v>48</v>
      </c>
      <c r="M5791" t="s">
        <v>166</v>
      </c>
      <c r="N5791">
        <v>1919</v>
      </c>
      <c r="O5791" s="14">
        <v>0.33493633312173199</v>
      </c>
      <c r="P5791" s="14">
        <v>0.30305550759658201</v>
      </c>
      <c r="Q5791" t="str">
        <f t="shared" si="180"/>
        <v>&lt;01</v>
      </c>
      <c r="R5791" t="str">
        <f t="shared" si="181"/>
        <v>[lLDyBx5XyUi]|&lt;01|Male|Incidence_SUBNAT.Rt.T|CY2024Q3</v>
      </c>
    </row>
    <row r="5792" spans="4:18" x14ac:dyDescent="0.2">
      <c r="D5792" t="s">
        <v>74</v>
      </c>
      <c r="E5792" t="s">
        <v>75</v>
      </c>
      <c r="F5792" t="s">
        <v>76</v>
      </c>
      <c r="G5792" t="s">
        <v>168</v>
      </c>
      <c r="H5792" t="s">
        <v>168</v>
      </c>
      <c r="I5792" t="s">
        <v>32</v>
      </c>
      <c r="J5792" t="s">
        <v>33</v>
      </c>
      <c r="K5792" t="s">
        <v>47</v>
      </c>
      <c r="L5792" t="s">
        <v>48</v>
      </c>
      <c r="M5792" t="s">
        <v>166</v>
      </c>
      <c r="N5792">
        <v>830</v>
      </c>
      <c r="O5792" s="14">
        <v>0.17289791349321601</v>
      </c>
      <c r="P5792" s="14">
        <v>0.30305550759658201</v>
      </c>
      <c r="Q5792" t="str">
        <f t="shared" si="180"/>
        <v>01-09</v>
      </c>
      <c r="R5792" t="str">
        <f t="shared" si="181"/>
        <v>[lLDyBx5XyUi]|01-09|Male|Incidence_SUBNAT.Rt.T|CY2024Q3</v>
      </c>
    </row>
    <row r="5793" spans="4:18" x14ac:dyDescent="0.2">
      <c r="D5793" t="s">
        <v>74</v>
      </c>
      <c r="E5793" t="s">
        <v>75</v>
      </c>
      <c r="F5793" t="s">
        <v>76</v>
      </c>
      <c r="G5793" t="s">
        <v>168</v>
      </c>
      <c r="H5793" t="s">
        <v>168</v>
      </c>
      <c r="I5793" t="s">
        <v>35</v>
      </c>
      <c r="J5793" t="s">
        <v>36</v>
      </c>
      <c r="K5793" t="s">
        <v>47</v>
      </c>
      <c r="L5793" t="s">
        <v>48</v>
      </c>
      <c r="M5793" t="s">
        <v>166</v>
      </c>
      <c r="N5793">
        <v>1786</v>
      </c>
      <c r="O5793" s="14">
        <v>0.574625150766224</v>
      </c>
      <c r="P5793" s="14">
        <v>0.30305550759658201</v>
      </c>
      <c r="Q5793" t="str">
        <f t="shared" si="180"/>
        <v>10-14</v>
      </c>
      <c r="R5793" t="str">
        <f t="shared" si="181"/>
        <v>[lLDyBx5XyUi]|10-14|Male|Incidence_SUBNAT.Rt.T|CY2024Q3</v>
      </c>
    </row>
    <row r="5794" spans="4:18" x14ac:dyDescent="0.2">
      <c r="D5794" t="s">
        <v>74</v>
      </c>
      <c r="E5794" t="s">
        <v>75</v>
      </c>
      <c r="F5794" t="s">
        <v>76</v>
      </c>
      <c r="G5794" t="s">
        <v>168</v>
      </c>
      <c r="H5794" t="s">
        <v>168</v>
      </c>
      <c r="I5794" t="s">
        <v>37</v>
      </c>
      <c r="J5794" t="s">
        <v>38</v>
      </c>
      <c r="K5794" t="s">
        <v>47</v>
      </c>
      <c r="L5794" t="s">
        <v>48</v>
      </c>
      <c r="M5794" t="s">
        <v>166</v>
      </c>
      <c r="N5794">
        <v>1575</v>
      </c>
      <c r="O5794" s="14">
        <v>0.402154155308381</v>
      </c>
      <c r="P5794" s="14">
        <v>0.30305550759658201</v>
      </c>
      <c r="Q5794" t="str">
        <f t="shared" si="180"/>
        <v>15-24</v>
      </c>
      <c r="R5794" t="str">
        <f t="shared" si="181"/>
        <v>[lLDyBx5XyUi]|15-24|Male|Incidence_SUBNAT.Rt.T|CY2024Q3</v>
      </c>
    </row>
    <row r="5795" spans="4:18" x14ac:dyDescent="0.2">
      <c r="D5795" t="s">
        <v>74</v>
      </c>
      <c r="E5795" t="s">
        <v>75</v>
      </c>
      <c r="F5795" t="s">
        <v>76</v>
      </c>
      <c r="G5795" t="s">
        <v>168</v>
      </c>
      <c r="H5795" t="s">
        <v>168</v>
      </c>
      <c r="I5795" t="s">
        <v>40</v>
      </c>
      <c r="J5795" t="s">
        <v>41</v>
      </c>
      <c r="K5795" t="s">
        <v>47</v>
      </c>
      <c r="L5795" t="s">
        <v>48</v>
      </c>
      <c r="M5795" t="s">
        <v>166</v>
      </c>
      <c r="N5795">
        <v>911</v>
      </c>
      <c r="O5795" s="14">
        <v>8.7052309187129098E-2</v>
      </c>
      <c r="P5795" s="14">
        <v>0.30305550759658201</v>
      </c>
      <c r="Q5795" t="str">
        <f t="shared" si="180"/>
        <v>25-34</v>
      </c>
      <c r="R5795" t="str">
        <f t="shared" si="181"/>
        <v>[lLDyBx5XyUi]|25-34|Male|Incidence_SUBNAT.Rt.T|CY2024Q3</v>
      </c>
    </row>
    <row r="5796" spans="4:18" x14ac:dyDescent="0.2">
      <c r="D5796" t="s">
        <v>74</v>
      </c>
      <c r="E5796" t="s">
        <v>75</v>
      </c>
      <c r="F5796" t="s">
        <v>76</v>
      </c>
      <c r="G5796" t="s">
        <v>168</v>
      </c>
      <c r="H5796" t="s">
        <v>168</v>
      </c>
      <c r="I5796" t="s">
        <v>42</v>
      </c>
      <c r="J5796" t="s">
        <v>43</v>
      </c>
      <c r="K5796" t="s">
        <v>47</v>
      </c>
      <c r="L5796" t="s">
        <v>48</v>
      </c>
      <c r="M5796" t="s">
        <v>166</v>
      </c>
      <c r="N5796">
        <v>1580</v>
      </c>
      <c r="O5796" s="14">
        <v>0.27370010316371901</v>
      </c>
      <c r="P5796" s="14">
        <v>0.30305550759658201</v>
      </c>
      <c r="Q5796" t="str">
        <f t="shared" si="180"/>
        <v>35-49</v>
      </c>
      <c r="R5796" t="str">
        <f t="shared" si="181"/>
        <v>[lLDyBx5XyUi]|35-49|Male|Incidence_SUBNAT.Rt.T|CY2024Q3</v>
      </c>
    </row>
    <row r="5797" spans="4:18" x14ac:dyDescent="0.2">
      <c r="D5797" t="s">
        <v>74</v>
      </c>
      <c r="E5797" t="s">
        <v>75</v>
      </c>
      <c r="F5797" t="s">
        <v>76</v>
      </c>
      <c r="G5797" t="s">
        <v>168</v>
      </c>
      <c r="H5797" t="s">
        <v>168</v>
      </c>
      <c r="I5797" t="s">
        <v>44</v>
      </c>
      <c r="J5797" t="s">
        <v>45</v>
      </c>
      <c r="K5797" t="s">
        <v>47</v>
      </c>
      <c r="L5797" t="s">
        <v>48</v>
      </c>
      <c r="M5797" t="s">
        <v>166</v>
      </c>
      <c r="N5797">
        <v>1784</v>
      </c>
      <c r="O5797" s="14">
        <v>0.95749035989865705</v>
      </c>
      <c r="P5797" s="14">
        <v>0.30305550759658201</v>
      </c>
      <c r="Q5797" t="str">
        <f t="shared" si="180"/>
        <v>50+</v>
      </c>
      <c r="R5797" t="str">
        <f t="shared" si="181"/>
        <v>[lLDyBx5XyUi]|50+|Male|Incidence_SUBNAT.Rt.T|CY2024Q3</v>
      </c>
    </row>
    <row r="5798" spans="4:18" x14ac:dyDescent="0.2">
      <c r="D5798" t="s">
        <v>77</v>
      </c>
      <c r="E5798" t="s">
        <v>78</v>
      </c>
      <c r="F5798" t="s">
        <v>79</v>
      </c>
      <c r="G5798" t="s">
        <v>168</v>
      </c>
      <c r="H5798" t="s">
        <v>168</v>
      </c>
      <c r="I5798" t="s">
        <v>27</v>
      </c>
      <c r="J5798" t="s">
        <v>28</v>
      </c>
      <c r="K5798" t="s">
        <v>29</v>
      </c>
      <c r="L5798" t="s">
        <v>30</v>
      </c>
      <c r="M5798" t="s">
        <v>166</v>
      </c>
      <c r="N5798">
        <v>1186</v>
      </c>
      <c r="O5798" s="14">
        <v>0.39969873661175398</v>
      </c>
      <c r="P5798" s="14">
        <v>0.83159798220731296</v>
      </c>
      <c r="Q5798" t="str">
        <f t="shared" si="180"/>
        <v>&lt;01</v>
      </c>
      <c r="R5798" t="str">
        <f t="shared" si="181"/>
        <v>[TYnMSwzko3z]|&lt;01|Female|Incidence_SUBNAT.Rt.T|CY2024Q3</v>
      </c>
    </row>
    <row r="5799" spans="4:18" x14ac:dyDescent="0.2">
      <c r="D5799" t="s">
        <v>77</v>
      </c>
      <c r="E5799" t="s">
        <v>78</v>
      </c>
      <c r="F5799" t="s">
        <v>79</v>
      </c>
      <c r="G5799" t="s">
        <v>168</v>
      </c>
      <c r="H5799" t="s">
        <v>168</v>
      </c>
      <c r="I5799" t="s">
        <v>32</v>
      </c>
      <c r="J5799" t="s">
        <v>33</v>
      </c>
      <c r="K5799" t="s">
        <v>29</v>
      </c>
      <c r="L5799" t="s">
        <v>30</v>
      </c>
      <c r="M5799" t="s">
        <v>166</v>
      </c>
      <c r="N5799">
        <v>1888</v>
      </c>
      <c r="O5799" s="14">
        <v>0.20282969274558099</v>
      </c>
      <c r="P5799" s="14">
        <v>0.83159798220731296</v>
      </c>
      <c r="Q5799" t="str">
        <f t="shared" si="180"/>
        <v>01-09</v>
      </c>
      <c r="R5799" t="str">
        <f t="shared" si="181"/>
        <v>[TYnMSwzko3z]|01-09|Female|Incidence_SUBNAT.Rt.T|CY2024Q3</v>
      </c>
    </row>
    <row r="5800" spans="4:18" x14ac:dyDescent="0.2">
      <c r="D5800" t="s">
        <v>77</v>
      </c>
      <c r="E5800" t="s">
        <v>78</v>
      </c>
      <c r="F5800" t="s">
        <v>79</v>
      </c>
      <c r="G5800" t="s">
        <v>168</v>
      </c>
      <c r="H5800" t="s">
        <v>168</v>
      </c>
      <c r="I5800" t="s">
        <v>35</v>
      </c>
      <c r="J5800" t="s">
        <v>36</v>
      </c>
      <c r="K5800" t="s">
        <v>29</v>
      </c>
      <c r="L5800" t="s">
        <v>30</v>
      </c>
      <c r="M5800" t="s">
        <v>166</v>
      </c>
      <c r="N5800">
        <v>579</v>
      </c>
      <c r="O5800" s="14">
        <v>0.28825521259568598</v>
      </c>
      <c r="P5800" s="14">
        <v>0.83159798220731296</v>
      </c>
      <c r="Q5800" t="str">
        <f t="shared" si="180"/>
        <v>10-14</v>
      </c>
      <c r="R5800" t="str">
        <f t="shared" si="181"/>
        <v>[TYnMSwzko3z]|10-14|Female|Incidence_SUBNAT.Rt.T|CY2024Q3</v>
      </c>
    </row>
    <row r="5801" spans="4:18" x14ac:dyDescent="0.2">
      <c r="D5801" t="s">
        <v>77</v>
      </c>
      <c r="E5801" t="s">
        <v>78</v>
      </c>
      <c r="F5801" t="s">
        <v>79</v>
      </c>
      <c r="G5801" t="s">
        <v>168</v>
      </c>
      <c r="H5801" t="s">
        <v>168</v>
      </c>
      <c r="I5801" t="s">
        <v>37</v>
      </c>
      <c r="J5801" t="s">
        <v>38</v>
      </c>
      <c r="K5801" t="s">
        <v>29</v>
      </c>
      <c r="L5801" t="s">
        <v>30</v>
      </c>
      <c r="M5801" t="s">
        <v>166</v>
      </c>
      <c r="N5801">
        <v>657</v>
      </c>
      <c r="O5801" s="14">
        <v>0.32004462205804901</v>
      </c>
      <c r="P5801" s="14">
        <v>0.83159798220731296</v>
      </c>
      <c r="Q5801" t="str">
        <f t="shared" si="180"/>
        <v>15-24</v>
      </c>
      <c r="R5801" t="str">
        <f t="shared" si="181"/>
        <v>[TYnMSwzko3z]|15-24|Female|Incidence_SUBNAT.Rt.T|CY2024Q3</v>
      </c>
    </row>
    <row r="5802" spans="4:18" x14ac:dyDescent="0.2">
      <c r="D5802" t="s">
        <v>77</v>
      </c>
      <c r="E5802" t="s">
        <v>78</v>
      </c>
      <c r="F5802" t="s">
        <v>79</v>
      </c>
      <c r="G5802" t="s">
        <v>168</v>
      </c>
      <c r="H5802" t="s">
        <v>168</v>
      </c>
      <c r="I5802" t="s">
        <v>40</v>
      </c>
      <c r="J5802" t="s">
        <v>41</v>
      </c>
      <c r="K5802" t="s">
        <v>29</v>
      </c>
      <c r="L5802" t="s">
        <v>30</v>
      </c>
      <c r="M5802" t="s">
        <v>166</v>
      </c>
      <c r="N5802">
        <v>540</v>
      </c>
      <c r="O5802" s="14">
        <v>0.87116013932973102</v>
      </c>
      <c r="P5802" s="14">
        <v>0.83159798220731296</v>
      </c>
      <c r="Q5802" t="str">
        <f t="shared" si="180"/>
        <v>25-34</v>
      </c>
      <c r="R5802" t="str">
        <f t="shared" si="181"/>
        <v>[TYnMSwzko3z]|25-34|Female|Incidence_SUBNAT.Rt.T|CY2024Q3</v>
      </c>
    </row>
    <row r="5803" spans="4:18" x14ac:dyDescent="0.2">
      <c r="D5803" t="s">
        <v>77</v>
      </c>
      <c r="E5803" t="s">
        <v>78</v>
      </c>
      <c r="F5803" t="s">
        <v>79</v>
      </c>
      <c r="G5803" t="s">
        <v>168</v>
      </c>
      <c r="H5803" t="s">
        <v>168</v>
      </c>
      <c r="I5803" t="s">
        <v>42</v>
      </c>
      <c r="J5803" t="s">
        <v>43</v>
      </c>
      <c r="K5803" t="s">
        <v>29</v>
      </c>
      <c r="L5803" t="s">
        <v>30</v>
      </c>
      <c r="M5803" t="s">
        <v>166</v>
      </c>
      <c r="N5803">
        <v>627</v>
      </c>
      <c r="O5803" s="14">
        <v>0.96771445218473695</v>
      </c>
      <c r="P5803" s="14">
        <v>0.83159798220731296</v>
      </c>
      <c r="Q5803" t="str">
        <f t="shared" si="180"/>
        <v>35-49</v>
      </c>
      <c r="R5803" t="str">
        <f t="shared" si="181"/>
        <v>[TYnMSwzko3z]|35-49|Female|Incidence_SUBNAT.Rt.T|CY2024Q3</v>
      </c>
    </row>
    <row r="5804" spans="4:18" x14ac:dyDescent="0.2">
      <c r="D5804" t="s">
        <v>77</v>
      </c>
      <c r="E5804" t="s">
        <v>78</v>
      </c>
      <c r="F5804" t="s">
        <v>79</v>
      </c>
      <c r="G5804" t="s">
        <v>168</v>
      </c>
      <c r="H5804" t="s">
        <v>168</v>
      </c>
      <c r="I5804" t="s">
        <v>44</v>
      </c>
      <c r="J5804" t="s">
        <v>45</v>
      </c>
      <c r="K5804" t="s">
        <v>29</v>
      </c>
      <c r="L5804" t="s">
        <v>30</v>
      </c>
      <c r="M5804" t="s">
        <v>166</v>
      </c>
      <c r="N5804">
        <v>1999</v>
      </c>
      <c r="O5804" s="14">
        <v>0.71430649165995397</v>
      </c>
      <c r="P5804" s="14">
        <v>0.83159798220731296</v>
      </c>
      <c r="Q5804" t="str">
        <f t="shared" si="180"/>
        <v>50+</v>
      </c>
      <c r="R5804" t="str">
        <f t="shared" si="181"/>
        <v>[TYnMSwzko3z]|50+|Female|Incidence_SUBNAT.Rt.T|CY2024Q3</v>
      </c>
    </row>
    <row r="5805" spans="4:18" x14ac:dyDescent="0.2">
      <c r="D5805" t="s">
        <v>77</v>
      </c>
      <c r="E5805" t="s">
        <v>78</v>
      </c>
      <c r="F5805" t="s">
        <v>79</v>
      </c>
      <c r="G5805" t="s">
        <v>168</v>
      </c>
      <c r="H5805" t="s">
        <v>168</v>
      </c>
      <c r="I5805" t="s">
        <v>27</v>
      </c>
      <c r="J5805" t="s">
        <v>28</v>
      </c>
      <c r="K5805" t="s">
        <v>47</v>
      </c>
      <c r="L5805" t="s">
        <v>48</v>
      </c>
      <c r="M5805" t="s">
        <v>166</v>
      </c>
      <c r="N5805">
        <v>1231</v>
      </c>
      <c r="O5805" s="14">
        <v>0.47003201022744201</v>
      </c>
      <c r="P5805" s="14">
        <v>0.83159798220731296</v>
      </c>
      <c r="Q5805" t="str">
        <f t="shared" si="180"/>
        <v>&lt;01</v>
      </c>
      <c r="R5805" t="str">
        <f t="shared" si="181"/>
        <v>[TYnMSwzko3z]|&lt;01|Male|Incidence_SUBNAT.Rt.T|CY2024Q3</v>
      </c>
    </row>
    <row r="5806" spans="4:18" x14ac:dyDescent="0.2">
      <c r="D5806" t="s">
        <v>77</v>
      </c>
      <c r="E5806" t="s">
        <v>78</v>
      </c>
      <c r="F5806" t="s">
        <v>79</v>
      </c>
      <c r="G5806" t="s">
        <v>168</v>
      </c>
      <c r="H5806" t="s">
        <v>168</v>
      </c>
      <c r="I5806" t="s">
        <v>32</v>
      </c>
      <c r="J5806" t="s">
        <v>33</v>
      </c>
      <c r="K5806" t="s">
        <v>47</v>
      </c>
      <c r="L5806" t="s">
        <v>48</v>
      </c>
      <c r="M5806" t="s">
        <v>166</v>
      </c>
      <c r="N5806">
        <v>1660</v>
      </c>
      <c r="O5806" s="14">
        <v>0.180419186362997</v>
      </c>
      <c r="P5806" s="14">
        <v>0.83159798220731296</v>
      </c>
      <c r="Q5806" t="str">
        <f t="shared" si="180"/>
        <v>01-09</v>
      </c>
      <c r="R5806" t="str">
        <f t="shared" si="181"/>
        <v>[TYnMSwzko3z]|01-09|Male|Incidence_SUBNAT.Rt.T|CY2024Q3</v>
      </c>
    </row>
    <row r="5807" spans="4:18" x14ac:dyDescent="0.2">
      <c r="D5807" t="s">
        <v>77</v>
      </c>
      <c r="E5807" t="s">
        <v>78</v>
      </c>
      <c r="F5807" t="s">
        <v>79</v>
      </c>
      <c r="G5807" t="s">
        <v>168</v>
      </c>
      <c r="H5807" t="s">
        <v>168</v>
      </c>
      <c r="I5807" t="s">
        <v>35</v>
      </c>
      <c r="J5807" t="s">
        <v>36</v>
      </c>
      <c r="K5807" t="s">
        <v>47</v>
      </c>
      <c r="L5807" t="s">
        <v>48</v>
      </c>
      <c r="M5807" t="s">
        <v>166</v>
      </c>
      <c r="N5807">
        <v>1626</v>
      </c>
      <c r="O5807" s="14">
        <v>0.24722505663521599</v>
      </c>
      <c r="P5807" s="14">
        <v>0.83159798220731296</v>
      </c>
      <c r="Q5807" t="str">
        <f t="shared" si="180"/>
        <v>10-14</v>
      </c>
      <c r="R5807" t="str">
        <f t="shared" si="181"/>
        <v>[TYnMSwzko3z]|10-14|Male|Incidence_SUBNAT.Rt.T|CY2024Q3</v>
      </c>
    </row>
    <row r="5808" spans="4:18" x14ac:dyDescent="0.2">
      <c r="D5808" t="s">
        <v>77</v>
      </c>
      <c r="E5808" t="s">
        <v>78</v>
      </c>
      <c r="F5808" t="s">
        <v>79</v>
      </c>
      <c r="G5808" t="s">
        <v>168</v>
      </c>
      <c r="H5808" t="s">
        <v>168</v>
      </c>
      <c r="I5808" t="s">
        <v>37</v>
      </c>
      <c r="J5808" t="s">
        <v>38</v>
      </c>
      <c r="K5808" t="s">
        <v>47</v>
      </c>
      <c r="L5808" t="s">
        <v>48</v>
      </c>
      <c r="M5808" t="s">
        <v>166</v>
      </c>
      <c r="N5808">
        <v>914</v>
      </c>
      <c r="O5808" s="14">
        <v>9.3149805907160002E-2</v>
      </c>
      <c r="P5808" s="14">
        <v>0.83159798220731296</v>
      </c>
      <c r="Q5808" t="str">
        <f t="shared" si="180"/>
        <v>15-24</v>
      </c>
      <c r="R5808" t="str">
        <f t="shared" si="181"/>
        <v>[TYnMSwzko3z]|15-24|Male|Incidence_SUBNAT.Rt.T|CY2024Q3</v>
      </c>
    </row>
    <row r="5809" spans="4:18" x14ac:dyDescent="0.2">
      <c r="D5809" t="s">
        <v>77</v>
      </c>
      <c r="E5809" t="s">
        <v>78</v>
      </c>
      <c r="F5809" t="s">
        <v>79</v>
      </c>
      <c r="G5809" t="s">
        <v>168</v>
      </c>
      <c r="H5809" t="s">
        <v>168</v>
      </c>
      <c r="I5809" t="s">
        <v>40</v>
      </c>
      <c r="J5809" t="s">
        <v>41</v>
      </c>
      <c r="K5809" t="s">
        <v>47</v>
      </c>
      <c r="L5809" t="s">
        <v>48</v>
      </c>
      <c r="M5809" t="s">
        <v>166</v>
      </c>
      <c r="N5809">
        <v>700</v>
      </c>
      <c r="O5809" s="14">
        <v>0.43694987846538402</v>
      </c>
      <c r="P5809" s="14">
        <v>0.83159798220731296</v>
      </c>
      <c r="Q5809" t="str">
        <f t="shared" si="180"/>
        <v>25-34</v>
      </c>
      <c r="R5809" t="str">
        <f t="shared" si="181"/>
        <v>[TYnMSwzko3z]|25-34|Male|Incidence_SUBNAT.Rt.T|CY2024Q3</v>
      </c>
    </row>
    <row r="5810" spans="4:18" x14ac:dyDescent="0.2">
      <c r="D5810" t="s">
        <v>77</v>
      </c>
      <c r="E5810" t="s">
        <v>78</v>
      </c>
      <c r="F5810" t="s">
        <v>79</v>
      </c>
      <c r="G5810" t="s">
        <v>168</v>
      </c>
      <c r="H5810" t="s">
        <v>168</v>
      </c>
      <c r="I5810" t="s">
        <v>42</v>
      </c>
      <c r="J5810" t="s">
        <v>43</v>
      </c>
      <c r="K5810" t="s">
        <v>47</v>
      </c>
      <c r="L5810" t="s">
        <v>48</v>
      </c>
      <c r="M5810" t="s">
        <v>166</v>
      </c>
      <c r="N5810">
        <v>943</v>
      </c>
      <c r="O5810" s="14">
        <v>0.287224557017908</v>
      </c>
      <c r="P5810" s="14">
        <v>0.83159798220731296</v>
      </c>
      <c r="Q5810" t="str">
        <f t="shared" si="180"/>
        <v>35-49</v>
      </c>
      <c r="R5810" t="str">
        <f t="shared" si="181"/>
        <v>[TYnMSwzko3z]|35-49|Male|Incidence_SUBNAT.Rt.T|CY2024Q3</v>
      </c>
    </row>
    <row r="5811" spans="4:18" x14ac:dyDescent="0.2">
      <c r="D5811" t="s">
        <v>77</v>
      </c>
      <c r="E5811" t="s">
        <v>78</v>
      </c>
      <c r="F5811" t="s">
        <v>79</v>
      </c>
      <c r="G5811" t="s">
        <v>168</v>
      </c>
      <c r="H5811" t="s">
        <v>168</v>
      </c>
      <c r="I5811" t="s">
        <v>44</v>
      </c>
      <c r="J5811" t="s">
        <v>45</v>
      </c>
      <c r="K5811" t="s">
        <v>47</v>
      </c>
      <c r="L5811" t="s">
        <v>48</v>
      </c>
      <c r="M5811" t="s">
        <v>166</v>
      </c>
      <c r="N5811">
        <v>1684</v>
      </c>
      <c r="O5811" s="14">
        <v>0.16697313729673599</v>
      </c>
      <c r="P5811" s="14">
        <v>0.83159798220731296</v>
      </c>
      <c r="Q5811" t="str">
        <f t="shared" si="180"/>
        <v>50+</v>
      </c>
      <c r="R5811" t="str">
        <f t="shared" si="181"/>
        <v>[TYnMSwzko3z]|50+|Male|Incidence_SUBNAT.Rt.T|CY2024Q3</v>
      </c>
    </row>
    <row r="5812" spans="4:18" x14ac:dyDescent="0.2">
      <c r="D5812" t="s">
        <v>80</v>
      </c>
      <c r="E5812" t="s">
        <v>81</v>
      </c>
      <c r="F5812" t="s">
        <v>82</v>
      </c>
      <c r="G5812" t="s">
        <v>168</v>
      </c>
      <c r="H5812" t="s">
        <v>168</v>
      </c>
      <c r="I5812" t="s">
        <v>27</v>
      </c>
      <c r="J5812" t="s">
        <v>28</v>
      </c>
      <c r="K5812" t="s">
        <v>29</v>
      </c>
      <c r="L5812" t="s">
        <v>30</v>
      </c>
      <c r="M5812" t="s">
        <v>166</v>
      </c>
      <c r="N5812">
        <v>1708</v>
      </c>
      <c r="O5812" s="14">
        <v>0.35281536332331598</v>
      </c>
      <c r="P5812" s="14">
        <v>0.14333142153918699</v>
      </c>
      <c r="Q5812" t="str">
        <f t="shared" si="180"/>
        <v>&lt;01</v>
      </c>
      <c r="R5812" t="str">
        <f t="shared" si="181"/>
        <v>[ir8wuHHzoSs]|&lt;01|Female|Incidence_SUBNAT.Rt.T|CY2024Q3</v>
      </c>
    </row>
    <row r="5813" spans="4:18" x14ac:dyDescent="0.2">
      <c r="D5813" t="s">
        <v>80</v>
      </c>
      <c r="E5813" t="s">
        <v>81</v>
      </c>
      <c r="F5813" t="s">
        <v>82</v>
      </c>
      <c r="G5813" t="s">
        <v>168</v>
      </c>
      <c r="H5813" t="s">
        <v>168</v>
      </c>
      <c r="I5813" t="s">
        <v>32</v>
      </c>
      <c r="J5813" t="s">
        <v>33</v>
      </c>
      <c r="K5813" t="s">
        <v>29</v>
      </c>
      <c r="L5813" t="s">
        <v>30</v>
      </c>
      <c r="M5813" t="s">
        <v>166</v>
      </c>
      <c r="N5813">
        <v>568</v>
      </c>
      <c r="O5813" s="14">
        <v>0.47396715148352098</v>
      </c>
      <c r="P5813" s="14">
        <v>0.14333142153918699</v>
      </c>
      <c r="Q5813" t="str">
        <f t="shared" si="180"/>
        <v>01-09</v>
      </c>
      <c r="R5813" t="str">
        <f t="shared" si="181"/>
        <v>[ir8wuHHzoSs]|01-09|Female|Incidence_SUBNAT.Rt.T|CY2024Q3</v>
      </c>
    </row>
    <row r="5814" spans="4:18" x14ac:dyDescent="0.2">
      <c r="D5814" t="s">
        <v>80</v>
      </c>
      <c r="E5814" t="s">
        <v>81</v>
      </c>
      <c r="F5814" t="s">
        <v>82</v>
      </c>
      <c r="G5814" t="s">
        <v>168</v>
      </c>
      <c r="H5814" t="s">
        <v>168</v>
      </c>
      <c r="I5814" t="s">
        <v>35</v>
      </c>
      <c r="J5814" t="s">
        <v>36</v>
      </c>
      <c r="K5814" t="s">
        <v>29</v>
      </c>
      <c r="L5814" t="s">
        <v>30</v>
      </c>
      <c r="M5814" t="s">
        <v>166</v>
      </c>
      <c r="N5814">
        <v>1710</v>
      </c>
      <c r="O5814" s="14">
        <v>7.9976134002208692E-3</v>
      </c>
      <c r="P5814" s="14">
        <v>0.14333142153918699</v>
      </c>
      <c r="Q5814" t="str">
        <f t="shared" si="180"/>
        <v>10-14</v>
      </c>
      <c r="R5814" t="str">
        <f t="shared" si="181"/>
        <v>[ir8wuHHzoSs]|10-14|Female|Incidence_SUBNAT.Rt.T|CY2024Q3</v>
      </c>
    </row>
    <row r="5815" spans="4:18" x14ac:dyDescent="0.2">
      <c r="D5815" t="s">
        <v>80</v>
      </c>
      <c r="E5815" t="s">
        <v>81</v>
      </c>
      <c r="F5815" t="s">
        <v>82</v>
      </c>
      <c r="G5815" t="s">
        <v>168</v>
      </c>
      <c r="H5815" t="s">
        <v>168</v>
      </c>
      <c r="I5815" t="s">
        <v>37</v>
      </c>
      <c r="J5815" t="s">
        <v>38</v>
      </c>
      <c r="K5815" t="s">
        <v>29</v>
      </c>
      <c r="L5815" t="s">
        <v>30</v>
      </c>
      <c r="M5815" t="s">
        <v>166</v>
      </c>
      <c r="N5815">
        <v>694</v>
      </c>
      <c r="O5815" s="14">
        <v>0.897274043643847</v>
      </c>
      <c r="P5815" s="14">
        <v>0.14333142153918699</v>
      </c>
      <c r="Q5815" t="str">
        <f t="shared" si="180"/>
        <v>15-24</v>
      </c>
      <c r="R5815" t="str">
        <f t="shared" si="181"/>
        <v>[ir8wuHHzoSs]|15-24|Female|Incidence_SUBNAT.Rt.T|CY2024Q3</v>
      </c>
    </row>
    <row r="5816" spans="4:18" x14ac:dyDescent="0.2">
      <c r="D5816" t="s">
        <v>80</v>
      </c>
      <c r="E5816" t="s">
        <v>81</v>
      </c>
      <c r="F5816" t="s">
        <v>82</v>
      </c>
      <c r="G5816" t="s">
        <v>168</v>
      </c>
      <c r="H5816" t="s">
        <v>168</v>
      </c>
      <c r="I5816" t="s">
        <v>40</v>
      </c>
      <c r="J5816" t="s">
        <v>41</v>
      </c>
      <c r="K5816" t="s">
        <v>29</v>
      </c>
      <c r="L5816" t="s">
        <v>30</v>
      </c>
      <c r="M5816" t="s">
        <v>166</v>
      </c>
      <c r="N5816">
        <v>813</v>
      </c>
      <c r="O5816" s="14">
        <v>0.40591408475302199</v>
      </c>
      <c r="P5816" s="14">
        <v>0.14333142153918699</v>
      </c>
      <c r="Q5816" t="str">
        <f t="shared" si="180"/>
        <v>25-34</v>
      </c>
      <c r="R5816" t="str">
        <f t="shared" si="181"/>
        <v>[ir8wuHHzoSs]|25-34|Female|Incidence_SUBNAT.Rt.T|CY2024Q3</v>
      </c>
    </row>
    <row r="5817" spans="4:18" x14ac:dyDescent="0.2">
      <c r="D5817" t="s">
        <v>80</v>
      </c>
      <c r="E5817" t="s">
        <v>81</v>
      </c>
      <c r="F5817" t="s">
        <v>82</v>
      </c>
      <c r="G5817" t="s">
        <v>168</v>
      </c>
      <c r="H5817" t="s">
        <v>168</v>
      </c>
      <c r="I5817" t="s">
        <v>42</v>
      </c>
      <c r="J5817" t="s">
        <v>43</v>
      </c>
      <c r="K5817" t="s">
        <v>29</v>
      </c>
      <c r="L5817" t="s">
        <v>30</v>
      </c>
      <c r="M5817" t="s">
        <v>166</v>
      </c>
      <c r="N5817">
        <v>1702</v>
      </c>
      <c r="O5817" s="14">
        <v>0.35399756184779102</v>
      </c>
      <c r="P5817" s="14">
        <v>0.14333142153918699</v>
      </c>
      <c r="Q5817" t="str">
        <f t="shared" si="180"/>
        <v>35-49</v>
      </c>
      <c r="R5817" t="str">
        <f t="shared" si="181"/>
        <v>[ir8wuHHzoSs]|35-49|Female|Incidence_SUBNAT.Rt.T|CY2024Q3</v>
      </c>
    </row>
    <row r="5818" spans="4:18" x14ac:dyDescent="0.2">
      <c r="D5818" t="s">
        <v>80</v>
      </c>
      <c r="E5818" t="s">
        <v>81</v>
      </c>
      <c r="F5818" t="s">
        <v>82</v>
      </c>
      <c r="G5818" t="s">
        <v>168</v>
      </c>
      <c r="H5818" t="s">
        <v>168</v>
      </c>
      <c r="I5818" t="s">
        <v>44</v>
      </c>
      <c r="J5818" t="s">
        <v>45</v>
      </c>
      <c r="K5818" t="s">
        <v>29</v>
      </c>
      <c r="L5818" t="s">
        <v>30</v>
      </c>
      <c r="M5818" t="s">
        <v>166</v>
      </c>
      <c r="N5818">
        <v>1242</v>
      </c>
      <c r="O5818" s="14">
        <v>0.115331537555903</v>
      </c>
      <c r="P5818" s="14">
        <v>0.14333142153918699</v>
      </c>
      <c r="Q5818" t="str">
        <f t="shared" si="180"/>
        <v>50+</v>
      </c>
      <c r="R5818" t="str">
        <f t="shared" si="181"/>
        <v>[ir8wuHHzoSs]|50+|Female|Incidence_SUBNAT.Rt.T|CY2024Q3</v>
      </c>
    </row>
    <row r="5819" spans="4:18" x14ac:dyDescent="0.2">
      <c r="D5819" t="s">
        <v>80</v>
      </c>
      <c r="E5819" t="s">
        <v>81</v>
      </c>
      <c r="F5819" t="s">
        <v>82</v>
      </c>
      <c r="G5819" t="s">
        <v>168</v>
      </c>
      <c r="H5819" t="s">
        <v>168</v>
      </c>
      <c r="I5819" t="s">
        <v>27</v>
      </c>
      <c r="J5819" t="s">
        <v>28</v>
      </c>
      <c r="K5819" t="s">
        <v>47</v>
      </c>
      <c r="L5819" t="s">
        <v>48</v>
      </c>
      <c r="M5819" t="s">
        <v>166</v>
      </c>
      <c r="N5819">
        <v>1193</v>
      </c>
      <c r="O5819" s="14">
        <v>0.12598204659298101</v>
      </c>
      <c r="P5819" s="14">
        <v>0.14333142153918699</v>
      </c>
      <c r="Q5819" t="str">
        <f t="shared" si="180"/>
        <v>&lt;01</v>
      </c>
      <c r="R5819" t="str">
        <f t="shared" si="181"/>
        <v>[ir8wuHHzoSs]|&lt;01|Male|Incidence_SUBNAT.Rt.T|CY2024Q3</v>
      </c>
    </row>
    <row r="5820" spans="4:18" x14ac:dyDescent="0.2">
      <c r="D5820" t="s">
        <v>80</v>
      </c>
      <c r="E5820" t="s">
        <v>81</v>
      </c>
      <c r="F5820" t="s">
        <v>82</v>
      </c>
      <c r="G5820" t="s">
        <v>168</v>
      </c>
      <c r="H5820" t="s">
        <v>168</v>
      </c>
      <c r="I5820" t="s">
        <v>32</v>
      </c>
      <c r="J5820" t="s">
        <v>33</v>
      </c>
      <c r="K5820" t="s">
        <v>47</v>
      </c>
      <c r="L5820" t="s">
        <v>48</v>
      </c>
      <c r="M5820" t="s">
        <v>166</v>
      </c>
      <c r="N5820">
        <v>1988</v>
      </c>
      <c r="O5820" s="14">
        <v>4.3779840925708399E-2</v>
      </c>
      <c r="P5820" s="14">
        <v>0.14333142153918699</v>
      </c>
      <c r="Q5820" t="str">
        <f t="shared" si="180"/>
        <v>01-09</v>
      </c>
      <c r="R5820" t="str">
        <f t="shared" si="181"/>
        <v>[ir8wuHHzoSs]|01-09|Male|Incidence_SUBNAT.Rt.T|CY2024Q3</v>
      </c>
    </row>
    <row r="5821" spans="4:18" x14ac:dyDescent="0.2">
      <c r="D5821" t="s">
        <v>80</v>
      </c>
      <c r="E5821" t="s">
        <v>81</v>
      </c>
      <c r="F5821" t="s">
        <v>82</v>
      </c>
      <c r="G5821" t="s">
        <v>168</v>
      </c>
      <c r="H5821" t="s">
        <v>168</v>
      </c>
      <c r="I5821" t="s">
        <v>35</v>
      </c>
      <c r="J5821" t="s">
        <v>36</v>
      </c>
      <c r="K5821" t="s">
        <v>47</v>
      </c>
      <c r="L5821" t="s">
        <v>48</v>
      </c>
      <c r="M5821" t="s">
        <v>166</v>
      </c>
      <c r="N5821">
        <v>1670</v>
      </c>
      <c r="O5821" s="14">
        <v>0.11353320023044899</v>
      </c>
      <c r="P5821" s="14">
        <v>0.14333142153918699</v>
      </c>
      <c r="Q5821" t="str">
        <f t="shared" si="180"/>
        <v>10-14</v>
      </c>
      <c r="R5821" t="str">
        <f t="shared" si="181"/>
        <v>[ir8wuHHzoSs]|10-14|Male|Incidence_SUBNAT.Rt.T|CY2024Q3</v>
      </c>
    </row>
    <row r="5822" spans="4:18" x14ac:dyDescent="0.2">
      <c r="D5822" t="s">
        <v>80</v>
      </c>
      <c r="E5822" t="s">
        <v>81</v>
      </c>
      <c r="F5822" t="s">
        <v>82</v>
      </c>
      <c r="G5822" t="s">
        <v>168</v>
      </c>
      <c r="H5822" t="s">
        <v>168</v>
      </c>
      <c r="I5822" t="s">
        <v>37</v>
      </c>
      <c r="J5822" t="s">
        <v>38</v>
      </c>
      <c r="K5822" t="s">
        <v>47</v>
      </c>
      <c r="L5822" t="s">
        <v>48</v>
      </c>
      <c r="M5822" t="s">
        <v>166</v>
      </c>
      <c r="N5822">
        <v>1568</v>
      </c>
      <c r="O5822" s="14">
        <v>0.372166400076821</v>
      </c>
      <c r="P5822" s="14">
        <v>0.14333142153918699</v>
      </c>
      <c r="Q5822" t="str">
        <f t="shared" si="180"/>
        <v>15-24</v>
      </c>
      <c r="R5822" t="str">
        <f t="shared" si="181"/>
        <v>[ir8wuHHzoSs]|15-24|Male|Incidence_SUBNAT.Rt.T|CY2024Q3</v>
      </c>
    </row>
    <row r="5823" spans="4:18" x14ac:dyDescent="0.2">
      <c r="D5823" t="s">
        <v>80</v>
      </c>
      <c r="E5823" t="s">
        <v>81</v>
      </c>
      <c r="F5823" t="s">
        <v>82</v>
      </c>
      <c r="G5823" t="s">
        <v>168</v>
      </c>
      <c r="H5823" t="s">
        <v>168</v>
      </c>
      <c r="I5823" t="s">
        <v>40</v>
      </c>
      <c r="J5823" t="s">
        <v>41</v>
      </c>
      <c r="K5823" t="s">
        <v>47</v>
      </c>
      <c r="L5823" t="s">
        <v>48</v>
      </c>
      <c r="M5823" t="s">
        <v>166</v>
      </c>
      <c r="N5823">
        <v>1826</v>
      </c>
      <c r="O5823" s="14">
        <v>0.79629017692059301</v>
      </c>
      <c r="P5823" s="14">
        <v>0.14333142153918699</v>
      </c>
      <c r="Q5823" t="str">
        <f t="shared" si="180"/>
        <v>25-34</v>
      </c>
      <c r="R5823" t="str">
        <f t="shared" si="181"/>
        <v>[ir8wuHHzoSs]|25-34|Male|Incidence_SUBNAT.Rt.T|CY2024Q3</v>
      </c>
    </row>
    <row r="5824" spans="4:18" x14ac:dyDescent="0.2">
      <c r="D5824" t="s">
        <v>80</v>
      </c>
      <c r="E5824" t="s">
        <v>81</v>
      </c>
      <c r="F5824" t="s">
        <v>82</v>
      </c>
      <c r="G5824" t="s">
        <v>168</v>
      </c>
      <c r="H5824" t="s">
        <v>168</v>
      </c>
      <c r="I5824" t="s">
        <v>42</v>
      </c>
      <c r="J5824" t="s">
        <v>43</v>
      </c>
      <c r="K5824" t="s">
        <v>47</v>
      </c>
      <c r="L5824" t="s">
        <v>48</v>
      </c>
      <c r="M5824" t="s">
        <v>166</v>
      </c>
      <c r="N5824">
        <v>1643</v>
      </c>
      <c r="O5824" s="14">
        <v>0.24053972447291</v>
      </c>
      <c r="P5824" s="14">
        <v>0.14333142153918699</v>
      </c>
      <c r="Q5824" t="str">
        <f t="shared" si="180"/>
        <v>35-49</v>
      </c>
      <c r="R5824" t="str">
        <f t="shared" si="181"/>
        <v>[ir8wuHHzoSs]|35-49|Male|Incidence_SUBNAT.Rt.T|CY2024Q3</v>
      </c>
    </row>
    <row r="5825" spans="4:18" x14ac:dyDescent="0.2">
      <c r="D5825" t="s">
        <v>80</v>
      </c>
      <c r="E5825" t="s">
        <v>81</v>
      </c>
      <c r="F5825" t="s">
        <v>82</v>
      </c>
      <c r="G5825" t="s">
        <v>168</v>
      </c>
      <c r="H5825" t="s">
        <v>168</v>
      </c>
      <c r="I5825" t="s">
        <v>44</v>
      </c>
      <c r="J5825" t="s">
        <v>45</v>
      </c>
      <c r="K5825" t="s">
        <v>47</v>
      </c>
      <c r="L5825" t="s">
        <v>48</v>
      </c>
      <c r="M5825" t="s">
        <v>166</v>
      </c>
      <c r="N5825">
        <v>1678</v>
      </c>
      <c r="O5825" s="14">
        <v>0.15356810111552499</v>
      </c>
      <c r="P5825" s="14">
        <v>0.14333142153918699</v>
      </c>
      <c r="Q5825" t="str">
        <f t="shared" si="180"/>
        <v>50+</v>
      </c>
      <c r="R5825" t="str">
        <f t="shared" si="181"/>
        <v>[ir8wuHHzoSs]|50+|Male|Incidence_SUBNAT.Rt.T|CY2024Q3</v>
      </c>
    </row>
    <row r="5826" spans="4:18" x14ac:dyDescent="0.2">
      <c r="D5826" t="s">
        <v>83</v>
      </c>
      <c r="E5826" t="s">
        <v>84</v>
      </c>
      <c r="F5826" t="s">
        <v>85</v>
      </c>
      <c r="G5826" t="s">
        <v>168</v>
      </c>
      <c r="H5826" t="s">
        <v>168</v>
      </c>
      <c r="I5826" t="s">
        <v>27</v>
      </c>
      <c r="J5826" t="s">
        <v>28</v>
      </c>
      <c r="K5826" t="s">
        <v>29</v>
      </c>
      <c r="L5826" t="s">
        <v>30</v>
      </c>
      <c r="M5826" t="s">
        <v>166</v>
      </c>
      <c r="N5826">
        <v>1721</v>
      </c>
      <c r="O5826" s="14">
        <v>0.33741312450729299</v>
      </c>
      <c r="P5826" s="14">
        <v>2.9788714367896301E-2</v>
      </c>
      <c r="Q5826" t="str">
        <f t="shared" ref="Q5826:Q5889" si="182">SUBSTITUTE(SUBSTITUTE($I5826,CHAR(61),""),CHAR(34),"")</f>
        <v>&lt;01</v>
      </c>
      <c r="R5826" t="str">
        <f t="shared" ref="R5826:R5889" si="183">IF($D5826&lt;&gt;"","["&amp;$E5826&amp;"]"&amp;"|"&amp;$Q5826&amp;"|"&amp;$K5826&amp;"|"&amp;$G5826&amp;"|"&amp;IF($G5826="TX_CURR_SUBNAT.R","CY2022Q4",$M5826),"")</f>
        <v>[fyEoGEPERdI]|&lt;01|Female|Incidence_SUBNAT.Rt.T|CY2024Q3</v>
      </c>
    </row>
    <row r="5827" spans="4:18" x14ac:dyDescent="0.2">
      <c r="D5827" t="s">
        <v>83</v>
      </c>
      <c r="E5827" t="s">
        <v>84</v>
      </c>
      <c r="F5827" t="s">
        <v>85</v>
      </c>
      <c r="G5827" t="s">
        <v>168</v>
      </c>
      <c r="H5827" t="s">
        <v>168</v>
      </c>
      <c r="I5827" t="s">
        <v>32</v>
      </c>
      <c r="J5827" t="s">
        <v>33</v>
      </c>
      <c r="K5827" t="s">
        <v>29</v>
      </c>
      <c r="L5827" t="s">
        <v>30</v>
      </c>
      <c r="M5827" t="s">
        <v>166</v>
      </c>
      <c r="N5827">
        <v>663</v>
      </c>
      <c r="O5827" s="14">
        <v>0.78323337901383605</v>
      </c>
      <c r="P5827" s="14">
        <v>2.9788714367896301E-2</v>
      </c>
      <c r="Q5827" t="str">
        <f t="shared" si="182"/>
        <v>01-09</v>
      </c>
      <c r="R5827" t="str">
        <f t="shared" si="183"/>
        <v>[fyEoGEPERdI]|01-09|Female|Incidence_SUBNAT.Rt.T|CY2024Q3</v>
      </c>
    </row>
    <row r="5828" spans="4:18" x14ac:dyDescent="0.2">
      <c r="D5828" t="s">
        <v>83</v>
      </c>
      <c r="E5828" t="s">
        <v>84</v>
      </c>
      <c r="F5828" t="s">
        <v>85</v>
      </c>
      <c r="G5828" t="s">
        <v>168</v>
      </c>
      <c r="H5828" t="s">
        <v>168</v>
      </c>
      <c r="I5828" t="s">
        <v>35</v>
      </c>
      <c r="J5828" t="s">
        <v>36</v>
      </c>
      <c r="K5828" t="s">
        <v>29</v>
      </c>
      <c r="L5828" t="s">
        <v>30</v>
      </c>
      <c r="M5828" t="s">
        <v>166</v>
      </c>
      <c r="N5828">
        <v>846</v>
      </c>
      <c r="O5828" s="14">
        <v>0.53404738358221904</v>
      </c>
      <c r="P5828" s="14">
        <v>2.9788714367896301E-2</v>
      </c>
      <c r="Q5828" t="str">
        <f t="shared" si="182"/>
        <v>10-14</v>
      </c>
      <c r="R5828" t="str">
        <f t="shared" si="183"/>
        <v>[fyEoGEPERdI]|10-14|Female|Incidence_SUBNAT.Rt.T|CY2024Q3</v>
      </c>
    </row>
    <row r="5829" spans="4:18" x14ac:dyDescent="0.2">
      <c r="D5829" t="s">
        <v>83</v>
      </c>
      <c r="E5829" t="s">
        <v>84</v>
      </c>
      <c r="F5829" t="s">
        <v>85</v>
      </c>
      <c r="G5829" t="s">
        <v>168</v>
      </c>
      <c r="H5829" t="s">
        <v>168</v>
      </c>
      <c r="I5829" t="s">
        <v>37</v>
      </c>
      <c r="J5829" t="s">
        <v>38</v>
      </c>
      <c r="K5829" t="s">
        <v>29</v>
      </c>
      <c r="L5829" t="s">
        <v>30</v>
      </c>
      <c r="M5829" t="s">
        <v>166</v>
      </c>
      <c r="N5829">
        <v>1453</v>
      </c>
      <c r="O5829" s="14">
        <v>0.65116202551871505</v>
      </c>
      <c r="P5829" s="14">
        <v>2.9788714367896301E-2</v>
      </c>
      <c r="Q5829" t="str">
        <f t="shared" si="182"/>
        <v>15-24</v>
      </c>
      <c r="R5829" t="str">
        <f t="shared" si="183"/>
        <v>[fyEoGEPERdI]|15-24|Female|Incidence_SUBNAT.Rt.T|CY2024Q3</v>
      </c>
    </row>
    <row r="5830" spans="4:18" x14ac:dyDescent="0.2">
      <c r="D5830" t="s">
        <v>83</v>
      </c>
      <c r="E5830" t="s">
        <v>84</v>
      </c>
      <c r="F5830" t="s">
        <v>85</v>
      </c>
      <c r="G5830" t="s">
        <v>168</v>
      </c>
      <c r="H5830" t="s">
        <v>168</v>
      </c>
      <c r="I5830" t="s">
        <v>40</v>
      </c>
      <c r="J5830" t="s">
        <v>41</v>
      </c>
      <c r="K5830" t="s">
        <v>29</v>
      </c>
      <c r="L5830" t="s">
        <v>30</v>
      </c>
      <c r="M5830" t="s">
        <v>166</v>
      </c>
      <c r="N5830">
        <v>1481</v>
      </c>
      <c r="O5830" s="14">
        <v>8.6148268310353202E-2</v>
      </c>
      <c r="P5830" s="14">
        <v>2.9788714367896301E-2</v>
      </c>
      <c r="Q5830" t="str">
        <f t="shared" si="182"/>
        <v>25-34</v>
      </c>
      <c r="R5830" t="str">
        <f t="shared" si="183"/>
        <v>[fyEoGEPERdI]|25-34|Female|Incidence_SUBNAT.Rt.T|CY2024Q3</v>
      </c>
    </row>
    <row r="5831" spans="4:18" x14ac:dyDescent="0.2">
      <c r="D5831" t="s">
        <v>83</v>
      </c>
      <c r="E5831" t="s">
        <v>84</v>
      </c>
      <c r="F5831" t="s">
        <v>85</v>
      </c>
      <c r="G5831" t="s">
        <v>168</v>
      </c>
      <c r="H5831" t="s">
        <v>168</v>
      </c>
      <c r="I5831" t="s">
        <v>42</v>
      </c>
      <c r="J5831" t="s">
        <v>43</v>
      </c>
      <c r="K5831" t="s">
        <v>29</v>
      </c>
      <c r="L5831" t="s">
        <v>30</v>
      </c>
      <c r="M5831" t="s">
        <v>166</v>
      </c>
      <c r="N5831">
        <v>1444</v>
      </c>
      <c r="O5831" s="14">
        <v>0.76451145904138695</v>
      </c>
      <c r="P5831" s="14">
        <v>2.9788714367896301E-2</v>
      </c>
      <c r="Q5831" t="str">
        <f t="shared" si="182"/>
        <v>35-49</v>
      </c>
      <c r="R5831" t="str">
        <f t="shared" si="183"/>
        <v>[fyEoGEPERdI]|35-49|Female|Incidence_SUBNAT.Rt.T|CY2024Q3</v>
      </c>
    </row>
    <row r="5832" spans="4:18" x14ac:dyDescent="0.2">
      <c r="D5832" t="s">
        <v>83</v>
      </c>
      <c r="E5832" t="s">
        <v>84</v>
      </c>
      <c r="F5832" t="s">
        <v>85</v>
      </c>
      <c r="G5832" t="s">
        <v>168</v>
      </c>
      <c r="H5832" t="s">
        <v>168</v>
      </c>
      <c r="I5832" t="s">
        <v>44</v>
      </c>
      <c r="J5832" t="s">
        <v>45</v>
      </c>
      <c r="K5832" t="s">
        <v>29</v>
      </c>
      <c r="L5832" t="s">
        <v>30</v>
      </c>
      <c r="M5832" t="s">
        <v>166</v>
      </c>
      <c r="N5832">
        <v>1479</v>
      </c>
      <c r="O5832" s="14">
        <v>0.64993975590914499</v>
      </c>
      <c r="P5832" s="14">
        <v>2.9788714367896301E-2</v>
      </c>
      <c r="Q5832" t="str">
        <f t="shared" si="182"/>
        <v>50+</v>
      </c>
      <c r="R5832" t="str">
        <f t="shared" si="183"/>
        <v>[fyEoGEPERdI]|50+|Female|Incidence_SUBNAT.Rt.T|CY2024Q3</v>
      </c>
    </row>
    <row r="5833" spans="4:18" x14ac:dyDescent="0.2">
      <c r="D5833" t="s">
        <v>83</v>
      </c>
      <c r="E5833" t="s">
        <v>84</v>
      </c>
      <c r="F5833" t="s">
        <v>85</v>
      </c>
      <c r="G5833" t="s">
        <v>168</v>
      </c>
      <c r="H5833" t="s">
        <v>168</v>
      </c>
      <c r="I5833" t="s">
        <v>27</v>
      </c>
      <c r="J5833" t="s">
        <v>28</v>
      </c>
      <c r="K5833" t="s">
        <v>47</v>
      </c>
      <c r="L5833" t="s">
        <v>48</v>
      </c>
      <c r="M5833" t="s">
        <v>166</v>
      </c>
      <c r="N5833">
        <v>1851</v>
      </c>
      <c r="O5833" s="14">
        <v>7.0663964841514798E-2</v>
      </c>
      <c r="P5833" s="14">
        <v>2.9788714367896301E-2</v>
      </c>
      <c r="Q5833" t="str">
        <f t="shared" si="182"/>
        <v>&lt;01</v>
      </c>
      <c r="R5833" t="str">
        <f t="shared" si="183"/>
        <v>[fyEoGEPERdI]|&lt;01|Male|Incidence_SUBNAT.Rt.T|CY2024Q3</v>
      </c>
    </row>
    <row r="5834" spans="4:18" x14ac:dyDescent="0.2">
      <c r="D5834" t="s">
        <v>83</v>
      </c>
      <c r="E5834" t="s">
        <v>84</v>
      </c>
      <c r="F5834" t="s">
        <v>85</v>
      </c>
      <c r="G5834" t="s">
        <v>168</v>
      </c>
      <c r="H5834" t="s">
        <v>168</v>
      </c>
      <c r="I5834" t="s">
        <v>32</v>
      </c>
      <c r="J5834" t="s">
        <v>33</v>
      </c>
      <c r="K5834" t="s">
        <v>47</v>
      </c>
      <c r="L5834" t="s">
        <v>48</v>
      </c>
      <c r="M5834" t="s">
        <v>166</v>
      </c>
      <c r="N5834">
        <v>1833</v>
      </c>
      <c r="O5834" s="14">
        <v>0.255856045754626</v>
      </c>
      <c r="P5834" s="14">
        <v>2.9788714367896301E-2</v>
      </c>
      <c r="Q5834" t="str">
        <f t="shared" si="182"/>
        <v>01-09</v>
      </c>
      <c r="R5834" t="str">
        <f t="shared" si="183"/>
        <v>[fyEoGEPERdI]|01-09|Male|Incidence_SUBNAT.Rt.T|CY2024Q3</v>
      </c>
    </row>
    <row r="5835" spans="4:18" x14ac:dyDescent="0.2">
      <c r="D5835" t="s">
        <v>83</v>
      </c>
      <c r="E5835" t="s">
        <v>84</v>
      </c>
      <c r="F5835" t="s">
        <v>85</v>
      </c>
      <c r="G5835" t="s">
        <v>168</v>
      </c>
      <c r="H5835" t="s">
        <v>168</v>
      </c>
      <c r="I5835" t="s">
        <v>35</v>
      </c>
      <c r="J5835" t="s">
        <v>36</v>
      </c>
      <c r="K5835" t="s">
        <v>47</v>
      </c>
      <c r="L5835" t="s">
        <v>48</v>
      </c>
      <c r="M5835" t="s">
        <v>166</v>
      </c>
      <c r="N5835">
        <v>517</v>
      </c>
      <c r="O5835" s="14">
        <v>0.105232112575322</v>
      </c>
      <c r="P5835" s="14">
        <v>2.9788714367896301E-2</v>
      </c>
      <c r="Q5835" t="str">
        <f t="shared" si="182"/>
        <v>10-14</v>
      </c>
      <c r="R5835" t="str">
        <f t="shared" si="183"/>
        <v>[fyEoGEPERdI]|10-14|Male|Incidence_SUBNAT.Rt.T|CY2024Q3</v>
      </c>
    </row>
    <row r="5836" spans="4:18" x14ac:dyDescent="0.2">
      <c r="D5836" t="s">
        <v>83</v>
      </c>
      <c r="E5836" t="s">
        <v>84</v>
      </c>
      <c r="F5836" t="s">
        <v>85</v>
      </c>
      <c r="G5836" t="s">
        <v>168</v>
      </c>
      <c r="H5836" t="s">
        <v>168</v>
      </c>
      <c r="I5836" t="s">
        <v>37</v>
      </c>
      <c r="J5836" t="s">
        <v>38</v>
      </c>
      <c r="K5836" t="s">
        <v>47</v>
      </c>
      <c r="L5836" t="s">
        <v>48</v>
      </c>
      <c r="M5836" t="s">
        <v>166</v>
      </c>
      <c r="N5836">
        <v>1029</v>
      </c>
      <c r="O5836" s="14">
        <v>0.86816254002042104</v>
      </c>
      <c r="P5836" s="14">
        <v>2.9788714367896301E-2</v>
      </c>
      <c r="Q5836" t="str">
        <f t="shared" si="182"/>
        <v>15-24</v>
      </c>
      <c r="R5836" t="str">
        <f t="shared" si="183"/>
        <v>[fyEoGEPERdI]|15-24|Male|Incidence_SUBNAT.Rt.T|CY2024Q3</v>
      </c>
    </row>
    <row r="5837" spans="4:18" x14ac:dyDescent="0.2">
      <c r="D5837" t="s">
        <v>83</v>
      </c>
      <c r="E5837" t="s">
        <v>84</v>
      </c>
      <c r="F5837" t="s">
        <v>85</v>
      </c>
      <c r="G5837" t="s">
        <v>168</v>
      </c>
      <c r="H5837" t="s">
        <v>168</v>
      </c>
      <c r="I5837" t="s">
        <v>40</v>
      </c>
      <c r="J5837" t="s">
        <v>41</v>
      </c>
      <c r="K5837" t="s">
        <v>47</v>
      </c>
      <c r="L5837" t="s">
        <v>48</v>
      </c>
      <c r="M5837" t="s">
        <v>166</v>
      </c>
      <c r="N5837">
        <v>1768</v>
      </c>
      <c r="O5837" s="14">
        <v>0.616414435207844</v>
      </c>
      <c r="P5837" s="14">
        <v>2.9788714367896301E-2</v>
      </c>
      <c r="Q5837" t="str">
        <f t="shared" si="182"/>
        <v>25-34</v>
      </c>
      <c r="R5837" t="str">
        <f t="shared" si="183"/>
        <v>[fyEoGEPERdI]|25-34|Male|Incidence_SUBNAT.Rt.T|CY2024Q3</v>
      </c>
    </row>
    <row r="5838" spans="4:18" x14ac:dyDescent="0.2">
      <c r="D5838" t="s">
        <v>83</v>
      </c>
      <c r="E5838" t="s">
        <v>84</v>
      </c>
      <c r="F5838" t="s">
        <v>85</v>
      </c>
      <c r="G5838" t="s">
        <v>168</v>
      </c>
      <c r="H5838" t="s">
        <v>168</v>
      </c>
      <c r="I5838" t="s">
        <v>42</v>
      </c>
      <c r="J5838" t="s">
        <v>43</v>
      </c>
      <c r="K5838" t="s">
        <v>47</v>
      </c>
      <c r="L5838" t="s">
        <v>48</v>
      </c>
      <c r="M5838" t="s">
        <v>166</v>
      </c>
      <c r="N5838">
        <v>1450</v>
      </c>
      <c r="O5838" s="14">
        <v>6.6625745035708006E-2</v>
      </c>
      <c r="P5838" s="14">
        <v>2.9788714367896301E-2</v>
      </c>
      <c r="Q5838" t="str">
        <f t="shared" si="182"/>
        <v>35-49</v>
      </c>
      <c r="R5838" t="str">
        <f t="shared" si="183"/>
        <v>[fyEoGEPERdI]|35-49|Male|Incidence_SUBNAT.Rt.T|CY2024Q3</v>
      </c>
    </row>
    <row r="5839" spans="4:18" x14ac:dyDescent="0.2">
      <c r="D5839" t="s">
        <v>83</v>
      </c>
      <c r="E5839" t="s">
        <v>84</v>
      </c>
      <c r="F5839" t="s">
        <v>85</v>
      </c>
      <c r="G5839" t="s">
        <v>168</v>
      </c>
      <c r="H5839" t="s">
        <v>168</v>
      </c>
      <c r="I5839" t="s">
        <v>44</v>
      </c>
      <c r="J5839" t="s">
        <v>45</v>
      </c>
      <c r="K5839" t="s">
        <v>47</v>
      </c>
      <c r="L5839" t="s">
        <v>48</v>
      </c>
      <c r="M5839" t="s">
        <v>166</v>
      </c>
      <c r="N5839">
        <v>705</v>
      </c>
      <c r="O5839" s="14">
        <v>0.76803098153322902</v>
      </c>
      <c r="P5839" s="14">
        <v>2.9788714367896301E-2</v>
      </c>
      <c r="Q5839" t="str">
        <f t="shared" si="182"/>
        <v>50+</v>
      </c>
      <c r="R5839" t="str">
        <f t="shared" si="183"/>
        <v>[fyEoGEPERdI]|50+|Male|Incidence_SUBNAT.Rt.T|CY2024Q3</v>
      </c>
    </row>
    <row r="5840" spans="4:18" x14ac:dyDescent="0.2">
      <c r="D5840" t="s">
        <v>86</v>
      </c>
      <c r="E5840" t="s">
        <v>87</v>
      </c>
      <c r="F5840" t="s">
        <v>88</v>
      </c>
      <c r="G5840" t="s">
        <v>168</v>
      </c>
      <c r="H5840" t="s">
        <v>168</v>
      </c>
      <c r="I5840" t="s">
        <v>27</v>
      </c>
      <c r="J5840" t="s">
        <v>28</v>
      </c>
      <c r="K5840" t="s">
        <v>29</v>
      </c>
      <c r="L5840" t="s">
        <v>30</v>
      </c>
      <c r="M5840" t="s">
        <v>166</v>
      </c>
      <c r="N5840">
        <v>926</v>
      </c>
      <c r="O5840" s="14">
        <v>0.78129981760866896</v>
      </c>
      <c r="P5840" s="14">
        <v>0.13333638082258401</v>
      </c>
      <c r="Q5840" t="str">
        <f t="shared" si="182"/>
        <v>&lt;01</v>
      </c>
      <c r="R5840" t="str">
        <f t="shared" si="183"/>
        <v>[cPtvxaZqXIH]|&lt;01|Female|Incidence_SUBNAT.Rt.T|CY2024Q3</v>
      </c>
    </row>
    <row r="5841" spans="4:18" x14ac:dyDescent="0.2">
      <c r="D5841" t="s">
        <v>86</v>
      </c>
      <c r="E5841" t="s">
        <v>87</v>
      </c>
      <c r="F5841" t="s">
        <v>88</v>
      </c>
      <c r="G5841" t="s">
        <v>168</v>
      </c>
      <c r="H5841" t="s">
        <v>168</v>
      </c>
      <c r="I5841" t="s">
        <v>32</v>
      </c>
      <c r="J5841" t="s">
        <v>33</v>
      </c>
      <c r="K5841" t="s">
        <v>29</v>
      </c>
      <c r="L5841" t="s">
        <v>30</v>
      </c>
      <c r="M5841" t="s">
        <v>166</v>
      </c>
      <c r="N5841">
        <v>1930</v>
      </c>
      <c r="O5841" s="14">
        <v>0.58497403864748798</v>
      </c>
      <c r="P5841" s="14">
        <v>0.13333638082258401</v>
      </c>
      <c r="Q5841" t="str">
        <f t="shared" si="182"/>
        <v>01-09</v>
      </c>
      <c r="R5841" t="str">
        <f t="shared" si="183"/>
        <v>[cPtvxaZqXIH]|01-09|Female|Incidence_SUBNAT.Rt.T|CY2024Q3</v>
      </c>
    </row>
    <row r="5842" spans="4:18" x14ac:dyDescent="0.2">
      <c r="D5842" t="s">
        <v>86</v>
      </c>
      <c r="E5842" t="s">
        <v>87</v>
      </c>
      <c r="F5842" t="s">
        <v>88</v>
      </c>
      <c r="G5842" t="s">
        <v>168</v>
      </c>
      <c r="H5842" t="s">
        <v>168</v>
      </c>
      <c r="I5842" t="s">
        <v>35</v>
      </c>
      <c r="J5842" t="s">
        <v>36</v>
      </c>
      <c r="K5842" t="s">
        <v>29</v>
      </c>
      <c r="L5842" t="s">
        <v>30</v>
      </c>
      <c r="M5842" t="s">
        <v>166</v>
      </c>
      <c r="N5842">
        <v>980</v>
      </c>
      <c r="O5842" s="14">
        <v>0.65906884917058095</v>
      </c>
      <c r="P5842" s="14">
        <v>0.13333638082258401</v>
      </c>
      <c r="Q5842" t="str">
        <f t="shared" si="182"/>
        <v>10-14</v>
      </c>
      <c r="R5842" t="str">
        <f t="shared" si="183"/>
        <v>[cPtvxaZqXIH]|10-14|Female|Incidence_SUBNAT.Rt.T|CY2024Q3</v>
      </c>
    </row>
    <row r="5843" spans="4:18" x14ac:dyDescent="0.2">
      <c r="D5843" t="s">
        <v>86</v>
      </c>
      <c r="E5843" t="s">
        <v>87</v>
      </c>
      <c r="F5843" t="s">
        <v>88</v>
      </c>
      <c r="G5843" t="s">
        <v>168</v>
      </c>
      <c r="H5843" t="s">
        <v>168</v>
      </c>
      <c r="I5843" t="s">
        <v>37</v>
      </c>
      <c r="J5843" t="s">
        <v>38</v>
      </c>
      <c r="K5843" t="s">
        <v>29</v>
      </c>
      <c r="L5843" t="s">
        <v>30</v>
      </c>
      <c r="M5843" t="s">
        <v>166</v>
      </c>
      <c r="N5843">
        <v>643</v>
      </c>
      <c r="O5843" s="14">
        <v>0.99878518539480898</v>
      </c>
      <c r="P5843" s="14">
        <v>0.13333638082258401</v>
      </c>
      <c r="Q5843" t="str">
        <f t="shared" si="182"/>
        <v>15-24</v>
      </c>
      <c r="R5843" t="str">
        <f t="shared" si="183"/>
        <v>[cPtvxaZqXIH]|15-24|Female|Incidence_SUBNAT.Rt.T|CY2024Q3</v>
      </c>
    </row>
    <row r="5844" spans="4:18" x14ac:dyDescent="0.2">
      <c r="D5844" t="s">
        <v>86</v>
      </c>
      <c r="E5844" t="s">
        <v>87</v>
      </c>
      <c r="F5844" t="s">
        <v>88</v>
      </c>
      <c r="G5844" t="s">
        <v>168</v>
      </c>
      <c r="H5844" t="s">
        <v>168</v>
      </c>
      <c r="I5844" t="s">
        <v>40</v>
      </c>
      <c r="J5844" t="s">
        <v>41</v>
      </c>
      <c r="K5844" t="s">
        <v>29</v>
      </c>
      <c r="L5844" t="s">
        <v>30</v>
      </c>
      <c r="M5844" t="s">
        <v>166</v>
      </c>
      <c r="N5844">
        <v>1621</v>
      </c>
      <c r="O5844" s="14">
        <v>0.80144758080132295</v>
      </c>
      <c r="P5844" s="14">
        <v>0.13333638082258401</v>
      </c>
      <c r="Q5844" t="str">
        <f t="shared" si="182"/>
        <v>25-34</v>
      </c>
      <c r="R5844" t="str">
        <f t="shared" si="183"/>
        <v>[cPtvxaZqXIH]|25-34|Female|Incidence_SUBNAT.Rt.T|CY2024Q3</v>
      </c>
    </row>
    <row r="5845" spans="4:18" x14ac:dyDescent="0.2">
      <c r="D5845" t="s">
        <v>86</v>
      </c>
      <c r="E5845" t="s">
        <v>87</v>
      </c>
      <c r="F5845" t="s">
        <v>88</v>
      </c>
      <c r="G5845" t="s">
        <v>168</v>
      </c>
      <c r="H5845" t="s">
        <v>168</v>
      </c>
      <c r="I5845" t="s">
        <v>42</v>
      </c>
      <c r="J5845" t="s">
        <v>43</v>
      </c>
      <c r="K5845" t="s">
        <v>29</v>
      </c>
      <c r="L5845" t="s">
        <v>30</v>
      </c>
      <c r="M5845" t="s">
        <v>166</v>
      </c>
      <c r="N5845">
        <v>904</v>
      </c>
      <c r="O5845" s="14">
        <v>0.123442888027057</v>
      </c>
      <c r="P5845" s="14">
        <v>0.13333638082258401</v>
      </c>
      <c r="Q5845" t="str">
        <f t="shared" si="182"/>
        <v>35-49</v>
      </c>
      <c r="R5845" t="str">
        <f t="shared" si="183"/>
        <v>[cPtvxaZqXIH]|35-49|Female|Incidence_SUBNAT.Rt.T|CY2024Q3</v>
      </c>
    </row>
    <row r="5846" spans="4:18" x14ac:dyDescent="0.2">
      <c r="D5846" t="s">
        <v>86</v>
      </c>
      <c r="E5846" t="s">
        <v>87</v>
      </c>
      <c r="F5846" t="s">
        <v>88</v>
      </c>
      <c r="G5846" t="s">
        <v>168</v>
      </c>
      <c r="H5846" t="s">
        <v>168</v>
      </c>
      <c r="I5846" t="s">
        <v>44</v>
      </c>
      <c r="J5846" t="s">
        <v>45</v>
      </c>
      <c r="K5846" t="s">
        <v>29</v>
      </c>
      <c r="L5846" t="s">
        <v>30</v>
      </c>
      <c r="M5846" t="s">
        <v>166</v>
      </c>
      <c r="N5846">
        <v>1554</v>
      </c>
      <c r="O5846" s="14">
        <v>0.50175531557761099</v>
      </c>
      <c r="P5846" s="14">
        <v>0.13333638082258401</v>
      </c>
      <c r="Q5846" t="str">
        <f t="shared" si="182"/>
        <v>50+</v>
      </c>
      <c r="R5846" t="str">
        <f t="shared" si="183"/>
        <v>[cPtvxaZqXIH]|50+|Female|Incidence_SUBNAT.Rt.T|CY2024Q3</v>
      </c>
    </row>
    <row r="5847" spans="4:18" x14ac:dyDescent="0.2">
      <c r="D5847" t="s">
        <v>86</v>
      </c>
      <c r="E5847" t="s">
        <v>87</v>
      </c>
      <c r="F5847" t="s">
        <v>88</v>
      </c>
      <c r="G5847" t="s">
        <v>168</v>
      </c>
      <c r="H5847" t="s">
        <v>168</v>
      </c>
      <c r="I5847" t="s">
        <v>27</v>
      </c>
      <c r="J5847" t="s">
        <v>28</v>
      </c>
      <c r="K5847" t="s">
        <v>47</v>
      </c>
      <c r="L5847" t="s">
        <v>48</v>
      </c>
      <c r="M5847" t="s">
        <v>166</v>
      </c>
      <c r="N5847">
        <v>1052</v>
      </c>
      <c r="O5847" s="14">
        <v>0.76951717305928502</v>
      </c>
      <c r="P5847" s="14">
        <v>0.13333638082258401</v>
      </c>
      <c r="Q5847" t="str">
        <f t="shared" si="182"/>
        <v>&lt;01</v>
      </c>
      <c r="R5847" t="str">
        <f t="shared" si="183"/>
        <v>[cPtvxaZqXIH]|&lt;01|Male|Incidence_SUBNAT.Rt.T|CY2024Q3</v>
      </c>
    </row>
    <row r="5848" spans="4:18" x14ac:dyDescent="0.2">
      <c r="D5848" t="s">
        <v>86</v>
      </c>
      <c r="E5848" t="s">
        <v>87</v>
      </c>
      <c r="F5848" t="s">
        <v>88</v>
      </c>
      <c r="G5848" t="s">
        <v>168</v>
      </c>
      <c r="H5848" t="s">
        <v>168</v>
      </c>
      <c r="I5848" t="s">
        <v>32</v>
      </c>
      <c r="J5848" t="s">
        <v>33</v>
      </c>
      <c r="K5848" t="s">
        <v>47</v>
      </c>
      <c r="L5848" t="s">
        <v>48</v>
      </c>
      <c r="M5848" t="s">
        <v>166</v>
      </c>
      <c r="N5848">
        <v>1150</v>
      </c>
      <c r="O5848" s="14">
        <v>0.81259703543037198</v>
      </c>
      <c r="P5848" s="14">
        <v>0.13333638082258401</v>
      </c>
      <c r="Q5848" t="str">
        <f t="shared" si="182"/>
        <v>01-09</v>
      </c>
      <c r="R5848" t="str">
        <f t="shared" si="183"/>
        <v>[cPtvxaZqXIH]|01-09|Male|Incidence_SUBNAT.Rt.T|CY2024Q3</v>
      </c>
    </row>
    <row r="5849" spans="4:18" x14ac:dyDescent="0.2">
      <c r="D5849" t="s">
        <v>86</v>
      </c>
      <c r="E5849" t="s">
        <v>87</v>
      </c>
      <c r="F5849" t="s">
        <v>88</v>
      </c>
      <c r="G5849" t="s">
        <v>168</v>
      </c>
      <c r="H5849" t="s">
        <v>168</v>
      </c>
      <c r="I5849" t="s">
        <v>35</v>
      </c>
      <c r="J5849" t="s">
        <v>36</v>
      </c>
      <c r="K5849" t="s">
        <v>47</v>
      </c>
      <c r="L5849" t="s">
        <v>48</v>
      </c>
      <c r="M5849" t="s">
        <v>166</v>
      </c>
      <c r="N5849">
        <v>597</v>
      </c>
      <c r="O5849" s="14">
        <v>0.64125988120213195</v>
      </c>
      <c r="P5849" s="14">
        <v>0.13333638082258401</v>
      </c>
      <c r="Q5849" t="str">
        <f t="shared" si="182"/>
        <v>10-14</v>
      </c>
      <c r="R5849" t="str">
        <f t="shared" si="183"/>
        <v>[cPtvxaZqXIH]|10-14|Male|Incidence_SUBNAT.Rt.T|CY2024Q3</v>
      </c>
    </row>
    <row r="5850" spans="4:18" x14ac:dyDescent="0.2">
      <c r="D5850" t="s">
        <v>86</v>
      </c>
      <c r="E5850" t="s">
        <v>87</v>
      </c>
      <c r="F5850" t="s">
        <v>88</v>
      </c>
      <c r="G5850" t="s">
        <v>168</v>
      </c>
      <c r="H5850" t="s">
        <v>168</v>
      </c>
      <c r="I5850" t="s">
        <v>37</v>
      </c>
      <c r="J5850" t="s">
        <v>38</v>
      </c>
      <c r="K5850" t="s">
        <v>47</v>
      </c>
      <c r="L5850" t="s">
        <v>48</v>
      </c>
      <c r="M5850" t="s">
        <v>166</v>
      </c>
      <c r="N5850">
        <v>1879</v>
      </c>
      <c r="O5850" s="14">
        <v>0.93055748078040801</v>
      </c>
      <c r="P5850" s="14">
        <v>0.13333638082258401</v>
      </c>
      <c r="Q5850" t="str">
        <f t="shared" si="182"/>
        <v>15-24</v>
      </c>
      <c r="R5850" t="str">
        <f t="shared" si="183"/>
        <v>[cPtvxaZqXIH]|15-24|Male|Incidence_SUBNAT.Rt.T|CY2024Q3</v>
      </c>
    </row>
    <row r="5851" spans="4:18" x14ac:dyDescent="0.2">
      <c r="D5851" t="s">
        <v>86</v>
      </c>
      <c r="E5851" t="s">
        <v>87</v>
      </c>
      <c r="F5851" t="s">
        <v>88</v>
      </c>
      <c r="G5851" t="s">
        <v>168</v>
      </c>
      <c r="H5851" t="s">
        <v>168</v>
      </c>
      <c r="I5851" t="s">
        <v>40</v>
      </c>
      <c r="J5851" t="s">
        <v>41</v>
      </c>
      <c r="K5851" t="s">
        <v>47</v>
      </c>
      <c r="L5851" t="s">
        <v>48</v>
      </c>
      <c r="M5851" t="s">
        <v>166</v>
      </c>
      <c r="N5851">
        <v>821</v>
      </c>
      <c r="O5851" s="14">
        <v>0.13705734885297699</v>
      </c>
      <c r="P5851" s="14">
        <v>0.13333638082258401</v>
      </c>
      <c r="Q5851" t="str">
        <f t="shared" si="182"/>
        <v>25-34</v>
      </c>
      <c r="R5851" t="str">
        <f t="shared" si="183"/>
        <v>[cPtvxaZqXIH]|25-34|Male|Incidence_SUBNAT.Rt.T|CY2024Q3</v>
      </c>
    </row>
    <row r="5852" spans="4:18" x14ac:dyDescent="0.2">
      <c r="D5852" t="s">
        <v>86</v>
      </c>
      <c r="E5852" t="s">
        <v>87</v>
      </c>
      <c r="F5852" t="s">
        <v>88</v>
      </c>
      <c r="G5852" t="s">
        <v>168</v>
      </c>
      <c r="H5852" t="s">
        <v>168</v>
      </c>
      <c r="I5852" t="s">
        <v>42</v>
      </c>
      <c r="J5852" t="s">
        <v>43</v>
      </c>
      <c r="K5852" t="s">
        <v>47</v>
      </c>
      <c r="L5852" t="s">
        <v>48</v>
      </c>
      <c r="M5852" t="s">
        <v>166</v>
      </c>
      <c r="N5852">
        <v>1814</v>
      </c>
      <c r="O5852" s="14">
        <v>0.96220183232799195</v>
      </c>
      <c r="P5852" s="14">
        <v>0.13333638082258401</v>
      </c>
      <c r="Q5852" t="str">
        <f t="shared" si="182"/>
        <v>35-49</v>
      </c>
      <c r="R5852" t="str">
        <f t="shared" si="183"/>
        <v>[cPtvxaZqXIH]|35-49|Male|Incidence_SUBNAT.Rt.T|CY2024Q3</v>
      </c>
    </row>
    <row r="5853" spans="4:18" x14ac:dyDescent="0.2">
      <c r="D5853" t="s">
        <v>86</v>
      </c>
      <c r="E5853" t="s">
        <v>87</v>
      </c>
      <c r="F5853" t="s">
        <v>88</v>
      </c>
      <c r="G5853" t="s">
        <v>168</v>
      </c>
      <c r="H5853" t="s">
        <v>168</v>
      </c>
      <c r="I5853" t="s">
        <v>44</v>
      </c>
      <c r="J5853" t="s">
        <v>45</v>
      </c>
      <c r="K5853" t="s">
        <v>47</v>
      </c>
      <c r="L5853" t="s">
        <v>48</v>
      </c>
      <c r="M5853" t="s">
        <v>166</v>
      </c>
      <c r="N5853">
        <v>1885</v>
      </c>
      <c r="O5853" s="14">
        <v>0.60293535096570805</v>
      </c>
      <c r="P5853" s="14">
        <v>0.13333638082258401</v>
      </c>
      <c r="Q5853" t="str">
        <f t="shared" si="182"/>
        <v>50+</v>
      </c>
      <c r="R5853" t="str">
        <f t="shared" si="183"/>
        <v>[cPtvxaZqXIH]|50+|Male|Incidence_SUBNAT.Rt.T|CY2024Q3</v>
      </c>
    </row>
    <row r="5854" spans="4:18" x14ac:dyDescent="0.2">
      <c r="D5854" t="s">
        <v>89</v>
      </c>
      <c r="E5854" t="s">
        <v>90</v>
      </c>
      <c r="F5854" t="s">
        <v>91</v>
      </c>
      <c r="G5854" t="s">
        <v>168</v>
      </c>
      <c r="H5854" t="s">
        <v>168</v>
      </c>
      <c r="I5854" t="s">
        <v>27</v>
      </c>
      <c r="J5854" t="s">
        <v>28</v>
      </c>
      <c r="K5854" t="s">
        <v>29</v>
      </c>
      <c r="L5854" t="s">
        <v>30</v>
      </c>
      <c r="M5854" t="s">
        <v>166</v>
      </c>
      <c r="N5854">
        <v>1636</v>
      </c>
      <c r="O5854" s="14">
        <v>0.48883205885067599</v>
      </c>
      <c r="P5854" s="14">
        <v>0.71991415042430196</v>
      </c>
      <c r="Q5854" t="str">
        <f t="shared" si="182"/>
        <v>&lt;01</v>
      </c>
      <c r="R5854" t="str">
        <f t="shared" si="183"/>
        <v>[AZyWpGzhcaA]|&lt;01|Female|Incidence_SUBNAT.Rt.T|CY2024Q3</v>
      </c>
    </row>
    <row r="5855" spans="4:18" x14ac:dyDescent="0.2">
      <c r="D5855" t="s">
        <v>89</v>
      </c>
      <c r="E5855" t="s">
        <v>90</v>
      </c>
      <c r="F5855" t="s">
        <v>91</v>
      </c>
      <c r="G5855" t="s">
        <v>168</v>
      </c>
      <c r="H5855" t="s">
        <v>168</v>
      </c>
      <c r="I5855" t="s">
        <v>32</v>
      </c>
      <c r="J5855" t="s">
        <v>33</v>
      </c>
      <c r="K5855" t="s">
        <v>29</v>
      </c>
      <c r="L5855" t="s">
        <v>30</v>
      </c>
      <c r="M5855" t="s">
        <v>166</v>
      </c>
      <c r="N5855">
        <v>911</v>
      </c>
      <c r="O5855" s="14">
        <v>0.46263467730023</v>
      </c>
      <c r="P5855" s="14">
        <v>0.71991415042430196</v>
      </c>
      <c r="Q5855" t="str">
        <f t="shared" si="182"/>
        <v>01-09</v>
      </c>
      <c r="R5855" t="str">
        <f t="shared" si="183"/>
        <v>[AZyWpGzhcaA]|01-09|Female|Incidence_SUBNAT.Rt.T|CY2024Q3</v>
      </c>
    </row>
    <row r="5856" spans="4:18" x14ac:dyDescent="0.2">
      <c r="D5856" t="s">
        <v>89</v>
      </c>
      <c r="E5856" t="s">
        <v>90</v>
      </c>
      <c r="F5856" t="s">
        <v>91</v>
      </c>
      <c r="G5856" t="s">
        <v>168</v>
      </c>
      <c r="H5856" t="s">
        <v>168</v>
      </c>
      <c r="I5856" t="s">
        <v>35</v>
      </c>
      <c r="J5856" t="s">
        <v>36</v>
      </c>
      <c r="K5856" t="s">
        <v>29</v>
      </c>
      <c r="L5856" t="s">
        <v>30</v>
      </c>
      <c r="M5856" t="s">
        <v>166</v>
      </c>
      <c r="N5856">
        <v>1149</v>
      </c>
      <c r="O5856" s="14">
        <v>0.58888906822539899</v>
      </c>
      <c r="P5856" s="14">
        <v>0.71991415042430196</v>
      </c>
      <c r="Q5856" t="str">
        <f t="shared" si="182"/>
        <v>10-14</v>
      </c>
      <c r="R5856" t="str">
        <f t="shared" si="183"/>
        <v>[AZyWpGzhcaA]|10-14|Female|Incidence_SUBNAT.Rt.T|CY2024Q3</v>
      </c>
    </row>
    <row r="5857" spans="4:18" x14ac:dyDescent="0.2">
      <c r="D5857" t="s">
        <v>89</v>
      </c>
      <c r="E5857" t="s">
        <v>90</v>
      </c>
      <c r="F5857" t="s">
        <v>91</v>
      </c>
      <c r="G5857" t="s">
        <v>168</v>
      </c>
      <c r="H5857" t="s">
        <v>168</v>
      </c>
      <c r="I5857" t="s">
        <v>37</v>
      </c>
      <c r="J5857" t="s">
        <v>38</v>
      </c>
      <c r="K5857" t="s">
        <v>29</v>
      </c>
      <c r="L5857" t="s">
        <v>30</v>
      </c>
      <c r="M5857" t="s">
        <v>166</v>
      </c>
      <c r="N5857">
        <v>559</v>
      </c>
      <c r="O5857" s="14">
        <v>0.82073240750469301</v>
      </c>
      <c r="P5857" s="14">
        <v>0.71991415042430196</v>
      </c>
      <c r="Q5857" t="str">
        <f t="shared" si="182"/>
        <v>15-24</v>
      </c>
      <c r="R5857" t="str">
        <f t="shared" si="183"/>
        <v>[AZyWpGzhcaA]|15-24|Female|Incidence_SUBNAT.Rt.T|CY2024Q3</v>
      </c>
    </row>
    <row r="5858" spans="4:18" x14ac:dyDescent="0.2">
      <c r="D5858" t="s">
        <v>89</v>
      </c>
      <c r="E5858" t="s">
        <v>90</v>
      </c>
      <c r="F5858" t="s">
        <v>91</v>
      </c>
      <c r="G5858" t="s">
        <v>168</v>
      </c>
      <c r="H5858" t="s">
        <v>168</v>
      </c>
      <c r="I5858" t="s">
        <v>40</v>
      </c>
      <c r="J5858" t="s">
        <v>41</v>
      </c>
      <c r="K5858" t="s">
        <v>29</v>
      </c>
      <c r="L5858" t="s">
        <v>30</v>
      </c>
      <c r="M5858" t="s">
        <v>166</v>
      </c>
      <c r="N5858">
        <v>1074</v>
      </c>
      <c r="O5858" s="14">
        <v>0.31618596287444201</v>
      </c>
      <c r="P5858" s="14">
        <v>0.71991415042430196</v>
      </c>
      <c r="Q5858" t="str">
        <f t="shared" si="182"/>
        <v>25-34</v>
      </c>
      <c r="R5858" t="str">
        <f t="shared" si="183"/>
        <v>[AZyWpGzhcaA]|25-34|Female|Incidence_SUBNAT.Rt.T|CY2024Q3</v>
      </c>
    </row>
    <row r="5859" spans="4:18" x14ac:dyDescent="0.2">
      <c r="D5859" t="s">
        <v>89</v>
      </c>
      <c r="E5859" t="s">
        <v>90</v>
      </c>
      <c r="F5859" t="s">
        <v>91</v>
      </c>
      <c r="G5859" t="s">
        <v>168</v>
      </c>
      <c r="H5859" t="s">
        <v>168</v>
      </c>
      <c r="I5859" t="s">
        <v>42</v>
      </c>
      <c r="J5859" t="s">
        <v>43</v>
      </c>
      <c r="K5859" t="s">
        <v>29</v>
      </c>
      <c r="L5859" t="s">
        <v>30</v>
      </c>
      <c r="M5859" t="s">
        <v>166</v>
      </c>
      <c r="N5859">
        <v>545</v>
      </c>
      <c r="O5859" s="14">
        <v>0.62059109145775404</v>
      </c>
      <c r="P5859" s="14">
        <v>0.71991415042430196</v>
      </c>
      <c r="Q5859" t="str">
        <f t="shared" si="182"/>
        <v>35-49</v>
      </c>
      <c r="R5859" t="str">
        <f t="shared" si="183"/>
        <v>[AZyWpGzhcaA]|35-49|Female|Incidence_SUBNAT.Rt.T|CY2024Q3</v>
      </c>
    </row>
    <row r="5860" spans="4:18" x14ac:dyDescent="0.2">
      <c r="D5860" t="s">
        <v>89</v>
      </c>
      <c r="E5860" t="s">
        <v>90</v>
      </c>
      <c r="F5860" t="s">
        <v>91</v>
      </c>
      <c r="G5860" t="s">
        <v>168</v>
      </c>
      <c r="H5860" t="s">
        <v>168</v>
      </c>
      <c r="I5860" t="s">
        <v>44</v>
      </c>
      <c r="J5860" t="s">
        <v>45</v>
      </c>
      <c r="K5860" t="s">
        <v>29</v>
      </c>
      <c r="L5860" t="s">
        <v>30</v>
      </c>
      <c r="M5860" t="s">
        <v>166</v>
      </c>
      <c r="N5860">
        <v>1184</v>
      </c>
      <c r="O5860" s="14">
        <v>0.36468652379699101</v>
      </c>
      <c r="P5860" s="14">
        <v>0.71991415042430196</v>
      </c>
      <c r="Q5860" t="str">
        <f t="shared" si="182"/>
        <v>50+</v>
      </c>
      <c r="R5860" t="str">
        <f t="shared" si="183"/>
        <v>[AZyWpGzhcaA]|50+|Female|Incidence_SUBNAT.Rt.T|CY2024Q3</v>
      </c>
    </row>
    <row r="5861" spans="4:18" x14ac:dyDescent="0.2">
      <c r="D5861" t="s">
        <v>89</v>
      </c>
      <c r="E5861" t="s">
        <v>90</v>
      </c>
      <c r="F5861" t="s">
        <v>91</v>
      </c>
      <c r="G5861" t="s">
        <v>168</v>
      </c>
      <c r="H5861" t="s">
        <v>168</v>
      </c>
      <c r="I5861" t="s">
        <v>27</v>
      </c>
      <c r="J5861" t="s">
        <v>28</v>
      </c>
      <c r="K5861" t="s">
        <v>47</v>
      </c>
      <c r="L5861" t="s">
        <v>48</v>
      </c>
      <c r="M5861" t="s">
        <v>166</v>
      </c>
      <c r="N5861">
        <v>1804</v>
      </c>
      <c r="O5861" s="14">
        <v>0.934291497105733</v>
      </c>
      <c r="P5861" s="14">
        <v>0.71991415042430196</v>
      </c>
      <c r="Q5861" t="str">
        <f t="shared" si="182"/>
        <v>&lt;01</v>
      </c>
      <c r="R5861" t="str">
        <f t="shared" si="183"/>
        <v>[AZyWpGzhcaA]|&lt;01|Male|Incidence_SUBNAT.Rt.T|CY2024Q3</v>
      </c>
    </row>
    <row r="5862" spans="4:18" x14ac:dyDescent="0.2">
      <c r="D5862" t="s">
        <v>89</v>
      </c>
      <c r="E5862" t="s">
        <v>90</v>
      </c>
      <c r="F5862" t="s">
        <v>91</v>
      </c>
      <c r="G5862" t="s">
        <v>168</v>
      </c>
      <c r="H5862" t="s">
        <v>168</v>
      </c>
      <c r="I5862" t="s">
        <v>32</v>
      </c>
      <c r="J5862" t="s">
        <v>33</v>
      </c>
      <c r="K5862" t="s">
        <v>47</v>
      </c>
      <c r="L5862" t="s">
        <v>48</v>
      </c>
      <c r="M5862" t="s">
        <v>166</v>
      </c>
      <c r="N5862">
        <v>1549</v>
      </c>
      <c r="O5862" s="14">
        <v>0.50729349162429604</v>
      </c>
      <c r="P5862" s="14">
        <v>0.71991415042430196</v>
      </c>
      <c r="Q5862" t="str">
        <f t="shared" si="182"/>
        <v>01-09</v>
      </c>
      <c r="R5862" t="str">
        <f t="shared" si="183"/>
        <v>[AZyWpGzhcaA]|01-09|Male|Incidence_SUBNAT.Rt.T|CY2024Q3</v>
      </c>
    </row>
    <row r="5863" spans="4:18" x14ac:dyDescent="0.2">
      <c r="D5863" t="s">
        <v>89</v>
      </c>
      <c r="E5863" t="s">
        <v>90</v>
      </c>
      <c r="F5863" t="s">
        <v>91</v>
      </c>
      <c r="G5863" t="s">
        <v>168</v>
      </c>
      <c r="H5863" t="s">
        <v>168</v>
      </c>
      <c r="I5863" t="s">
        <v>35</v>
      </c>
      <c r="J5863" t="s">
        <v>36</v>
      </c>
      <c r="K5863" t="s">
        <v>47</v>
      </c>
      <c r="L5863" t="s">
        <v>48</v>
      </c>
      <c r="M5863" t="s">
        <v>166</v>
      </c>
      <c r="N5863">
        <v>1828</v>
      </c>
      <c r="O5863" s="14">
        <v>5.3733182838186601E-2</v>
      </c>
      <c r="P5863" s="14">
        <v>0.71991415042430196</v>
      </c>
      <c r="Q5863" t="str">
        <f t="shared" si="182"/>
        <v>10-14</v>
      </c>
      <c r="R5863" t="str">
        <f t="shared" si="183"/>
        <v>[AZyWpGzhcaA]|10-14|Male|Incidence_SUBNAT.Rt.T|CY2024Q3</v>
      </c>
    </row>
    <row r="5864" spans="4:18" x14ac:dyDescent="0.2">
      <c r="D5864" t="s">
        <v>89</v>
      </c>
      <c r="E5864" t="s">
        <v>90</v>
      </c>
      <c r="F5864" t="s">
        <v>91</v>
      </c>
      <c r="G5864" t="s">
        <v>168</v>
      </c>
      <c r="H5864" t="s">
        <v>168</v>
      </c>
      <c r="I5864" t="s">
        <v>37</v>
      </c>
      <c r="J5864" t="s">
        <v>38</v>
      </c>
      <c r="K5864" t="s">
        <v>47</v>
      </c>
      <c r="L5864" t="s">
        <v>48</v>
      </c>
      <c r="M5864" t="s">
        <v>166</v>
      </c>
      <c r="N5864">
        <v>1189</v>
      </c>
      <c r="O5864" s="14">
        <v>0.44776610983535597</v>
      </c>
      <c r="P5864" s="14">
        <v>0.71991415042430196</v>
      </c>
      <c r="Q5864" t="str">
        <f t="shared" si="182"/>
        <v>15-24</v>
      </c>
      <c r="R5864" t="str">
        <f t="shared" si="183"/>
        <v>[AZyWpGzhcaA]|15-24|Male|Incidence_SUBNAT.Rt.T|CY2024Q3</v>
      </c>
    </row>
    <row r="5865" spans="4:18" x14ac:dyDescent="0.2">
      <c r="D5865" t="s">
        <v>89</v>
      </c>
      <c r="E5865" t="s">
        <v>90</v>
      </c>
      <c r="F5865" t="s">
        <v>91</v>
      </c>
      <c r="G5865" t="s">
        <v>168</v>
      </c>
      <c r="H5865" t="s">
        <v>168</v>
      </c>
      <c r="I5865" t="s">
        <v>40</v>
      </c>
      <c r="J5865" t="s">
        <v>41</v>
      </c>
      <c r="K5865" t="s">
        <v>47</v>
      </c>
      <c r="L5865" t="s">
        <v>48</v>
      </c>
      <c r="M5865" t="s">
        <v>166</v>
      </c>
      <c r="N5865">
        <v>1586</v>
      </c>
      <c r="O5865" s="14">
        <v>0.42716783168725703</v>
      </c>
      <c r="P5865" s="14">
        <v>0.71991415042430196</v>
      </c>
      <c r="Q5865" t="str">
        <f t="shared" si="182"/>
        <v>25-34</v>
      </c>
      <c r="R5865" t="str">
        <f t="shared" si="183"/>
        <v>[AZyWpGzhcaA]|25-34|Male|Incidence_SUBNAT.Rt.T|CY2024Q3</v>
      </c>
    </row>
    <row r="5866" spans="4:18" x14ac:dyDescent="0.2">
      <c r="D5866" t="s">
        <v>89</v>
      </c>
      <c r="E5866" t="s">
        <v>90</v>
      </c>
      <c r="F5866" t="s">
        <v>91</v>
      </c>
      <c r="G5866" t="s">
        <v>168</v>
      </c>
      <c r="H5866" t="s">
        <v>168</v>
      </c>
      <c r="I5866" t="s">
        <v>42</v>
      </c>
      <c r="J5866" t="s">
        <v>43</v>
      </c>
      <c r="K5866" t="s">
        <v>47</v>
      </c>
      <c r="L5866" t="s">
        <v>48</v>
      </c>
      <c r="M5866" t="s">
        <v>166</v>
      </c>
      <c r="N5866">
        <v>588</v>
      </c>
      <c r="O5866" s="14">
        <v>0.26154629397205997</v>
      </c>
      <c r="P5866" s="14">
        <v>0.71991415042430196</v>
      </c>
      <c r="Q5866" t="str">
        <f t="shared" si="182"/>
        <v>35-49</v>
      </c>
      <c r="R5866" t="str">
        <f t="shared" si="183"/>
        <v>[AZyWpGzhcaA]|35-49|Male|Incidence_SUBNAT.Rt.T|CY2024Q3</v>
      </c>
    </row>
    <row r="5867" spans="4:18" x14ac:dyDescent="0.2">
      <c r="D5867" t="s">
        <v>89</v>
      </c>
      <c r="E5867" t="s">
        <v>90</v>
      </c>
      <c r="F5867" t="s">
        <v>91</v>
      </c>
      <c r="G5867" t="s">
        <v>168</v>
      </c>
      <c r="H5867" t="s">
        <v>168</v>
      </c>
      <c r="I5867" t="s">
        <v>44</v>
      </c>
      <c r="J5867" t="s">
        <v>45</v>
      </c>
      <c r="K5867" t="s">
        <v>47</v>
      </c>
      <c r="L5867" t="s">
        <v>48</v>
      </c>
      <c r="M5867" t="s">
        <v>166</v>
      </c>
      <c r="N5867">
        <v>1543</v>
      </c>
      <c r="O5867" s="14">
        <v>0.36725870566442598</v>
      </c>
      <c r="P5867" s="14">
        <v>0.71991415042430196</v>
      </c>
      <c r="Q5867" t="str">
        <f t="shared" si="182"/>
        <v>50+</v>
      </c>
      <c r="R5867" t="str">
        <f t="shared" si="183"/>
        <v>[AZyWpGzhcaA]|50+|Male|Incidence_SUBNAT.Rt.T|CY2024Q3</v>
      </c>
    </row>
    <row r="5868" spans="4:18" x14ac:dyDescent="0.2">
      <c r="D5868" t="s">
        <v>92</v>
      </c>
      <c r="E5868" t="s">
        <v>93</v>
      </c>
      <c r="F5868" t="s">
        <v>94</v>
      </c>
      <c r="G5868" t="s">
        <v>168</v>
      </c>
      <c r="H5868" t="s">
        <v>168</v>
      </c>
      <c r="I5868" t="s">
        <v>27</v>
      </c>
      <c r="J5868" t="s">
        <v>28</v>
      </c>
      <c r="K5868" t="s">
        <v>29</v>
      </c>
      <c r="L5868" t="s">
        <v>30</v>
      </c>
      <c r="M5868" t="s">
        <v>166</v>
      </c>
      <c r="N5868">
        <v>1629</v>
      </c>
      <c r="O5868" s="14">
        <v>0.27369921258650698</v>
      </c>
      <c r="P5868" s="14">
        <v>0.36227229656651599</v>
      </c>
      <c r="Q5868" t="str">
        <f t="shared" si="182"/>
        <v>&lt;01</v>
      </c>
      <c r="R5868" t="str">
        <f t="shared" si="183"/>
        <v>[umc2n1Z4wNv]|&lt;01|Female|Incidence_SUBNAT.Rt.T|CY2024Q3</v>
      </c>
    </row>
    <row r="5869" spans="4:18" x14ac:dyDescent="0.2">
      <c r="D5869" t="s">
        <v>92</v>
      </c>
      <c r="E5869" t="s">
        <v>93</v>
      </c>
      <c r="F5869" t="s">
        <v>94</v>
      </c>
      <c r="G5869" t="s">
        <v>168</v>
      </c>
      <c r="H5869" t="s">
        <v>168</v>
      </c>
      <c r="I5869" t="s">
        <v>32</v>
      </c>
      <c r="J5869" t="s">
        <v>33</v>
      </c>
      <c r="K5869" t="s">
        <v>29</v>
      </c>
      <c r="L5869" t="s">
        <v>30</v>
      </c>
      <c r="M5869" t="s">
        <v>166</v>
      </c>
      <c r="N5869">
        <v>605</v>
      </c>
      <c r="O5869" s="14">
        <v>0.34055034280754598</v>
      </c>
      <c r="P5869" s="14">
        <v>0.36227229656651599</v>
      </c>
      <c r="Q5869" t="str">
        <f t="shared" si="182"/>
        <v>01-09</v>
      </c>
      <c r="R5869" t="str">
        <f t="shared" si="183"/>
        <v>[umc2n1Z4wNv]|01-09|Female|Incidence_SUBNAT.Rt.T|CY2024Q3</v>
      </c>
    </row>
    <row r="5870" spans="4:18" x14ac:dyDescent="0.2">
      <c r="D5870" t="s">
        <v>92</v>
      </c>
      <c r="E5870" t="s">
        <v>93</v>
      </c>
      <c r="F5870" t="s">
        <v>94</v>
      </c>
      <c r="G5870" t="s">
        <v>168</v>
      </c>
      <c r="H5870" t="s">
        <v>168</v>
      </c>
      <c r="I5870" t="s">
        <v>35</v>
      </c>
      <c r="J5870" t="s">
        <v>36</v>
      </c>
      <c r="K5870" t="s">
        <v>29</v>
      </c>
      <c r="L5870" t="s">
        <v>30</v>
      </c>
      <c r="M5870" t="s">
        <v>166</v>
      </c>
      <c r="N5870">
        <v>2000</v>
      </c>
      <c r="O5870" s="14">
        <v>0.90691932756453797</v>
      </c>
      <c r="P5870" s="14">
        <v>0.36227229656651599</v>
      </c>
      <c r="Q5870" t="str">
        <f t="shared" si="182"/>
        <v>10-14</v>
      </c>
      <c r="R5870" t="str">
        <f t="shared" si="183"/>
        <v>[umc2n1Z4wNv]|10-14|Female|Incidence_SUBNAT.Rt.T|CY2024Q3</v>
      </c>
    </row>
    <row r="5871" spans="4:18" x14ac:dyDescent="0.2">
      <c r="D5871" t="s">
        <v>92</v>
      </c>
      <c r="E5871" t="s">
        <v>93</v>
      </c>
      <c r="F5871" t="s">
        <v>94</v>
      </c>
      <c r="G5871" t="s">
        <v>168</v>
      </c>
      <c r="H5871" t="s">
        <v>168</v>
      </c>
      <c r="I5871" t="s">
        <v>37</v>
      </c>
      <c r="J5871" t="s">
        <v>38</v>
      </c>
      <c r="K5871" t="s">
        <v>29</v>
      </c>
      <c r="L5871" t="s">
        <v>30</v>
      </c>
      <c r="M5871" t="s">
        <v>166</v>
      </c>
      <c r="N5871">
        <v>1484</v>
      </c>
      <c r="O5871" s="14">
        <v>0.409628930035979</v>
      </c>
      <c r="P5871" s="14">
        <v>0.36227229656651599</v>
      </c>
      <c r="Q5871" t="str">
        <f t="shared" si="182"/>
        <v>15-24</v>
      </c>
      <c r="R5871" t="str">
        <f t="shared" si="183"/>
        <v>[umc2n1Z4wNv]|15-24|Female|Incidence_SUBNAT.Rt.T|CY2024Q3</v>
      </c>
    </row>
    <row r="5872" spans="4:18" x14ac:dyDescent="0.2">
      <c r="D5872" t="s">
        <v>92</v>
      </c>
      <c r="E5872" t="s">
        <v>93</v>
      </c>
      <c r="F5872" t="s">
        <v>94</v>
      </c>
      <c r="G5872" t="s">
        <v>168</v>
      </c>
      <c r="H5872" t="s">
        <v>168</v>
      </c>
      <c r="I5872" t="s">
        <v>40</v>
      </c>
      <c r="J5872" t="s">
        <v>41</v>
      </c>
      <c r="K5872" t="s">
        <v>29</v>
      </c>
      <c r="L5872" t="s">
        <v>30</v>
      </c>
      <c r="M5872" t="s">
        <v>166</v>
      </c>
      <c r="N5872">
        <v>541</v>
      </c>
      <c r="O5872" s="14">
        <v>0.948961742222309</v>
      </c>
      <c r="P5872" s="14">
        <v>0.36227229656651599</v>
      </c>
      <c r="Q5872" t="str">
        <f t="shared" si="182"/>
        <v>25-34</v>
      </c>
      <c r="R5872" t="str">
        <f t="shared" si="183"/>
        <v>[umc2n1Z4wNv]|25-34|Female|Incidence_SUBNAT.Rt.T|CY2024Q3</v>
      </c>
    </row>
    <row r="5873" spans="4:18" x14ac:dyDescent="0.2">
      <c r="D5873" t="s">
        <v>92</v>
      </c>
      <c r="E5873" t="s">
        <v>93</v>
      </c>
      <c r="F5873" t="s">
        <v>94</v>
      </c>
      <c r="G5873" t="s">
        <v>168</v>
      </c>
      <c r="H5873" t="s">
        <v>168</v>
      </c>
      <c r="I5873" t="s">
        <v>42</v>
      </c>
      <c r="J5873" t="s">
        <v>43</v>
      </c>
      <c r="K5873" t="s">
        <v>29</v>
      </c>
      <c r="L5873" t="s">
        <v>30</v>
      </c>
      <c r="M5873" t="s">
        <v>166</v>
      </c>
      <c r="N5873">
        <v>1943</v>
      </c>
      <c r="O5873" s="14">
        <v>0.80826634890399895</v>
      </c>
      <c r="P5873" s="14">
        <v>0.36227229656651599</v>
      </c>
      <c r="Q5873" t="str">
        <f t="shared" si="182"/>
        <v>35-49</v>
      </c>
      <c r="R5873" t="str">
        <f t="shared" si="183"/>
        <v>[umc2n1Z4wNv]|35-49|Female|Incidence_SUBNAT.Rt.T|CY2024Q3</v>
      </c>
    </row>
    <row r="5874" spans="4:18" x14ac:dyDescent="0.2">
      <c r="D5874" t="s">
        <v>92</v>
      </c>
      <c r="E5874" t="s">
        <v>93</v>
      </c>
      <c r="F5874" t="s">
        <v>94</v>
      </c>
      <c r="G5874" t="s">
        <v>168</v>
      </c>
      <c r="H5874" t="s">
        <v>168</v>
      </c>
      <c r="I5874" t="s">
        <v>44</v>
      </c>
      <c r="J5874" t="s">
        <v>45</v>
      </c>
      <c r="K5874" t="s">
        <v>29</v>
      </c>
      <c r="L5874" t="s">
        <v>30</v>
      </c>
      <c r="M5874" t="s">
        <v>166</v>
      </c>
      <c r="N5874">
        <v>829</v>
      </c>
      <c r="O5874" s="14">
        <v>0.14432678534649299</v>
      </c>
      <c r="P5874" s="14">
        <v>0.36227229656651599</v>
      </c>
      <c r="Q5874" t="str">
        <f t="shared" si="182"/>
        <v>50+</v>
      </c>
      <c r="R5874" t="str">
        <f t="shared" si="183"/>
        <v>[umc2n1Z4wNv]|50+|Female|Incidence_SUBNAT.Rt.T|CY2024Q3</v>
      </c>
    </row>
    <row r="5875" spans="4:18" x14ac:dyDescent="0.2">
      <c r="D5875" t="s">
        <v>92</v>
      </c>
      <c r="E5875" t="s">
        <v>93</v>
      </c>
      <c r="F5875" t="s">
        <v>94</v>
      </c>
      <c r="G5875" t="s">
        <v>168</v>
      </c>
      <c r="H5875" t="s">
        <v>168</v>
      </c>
      <c r="I5875" t="s">
        <v>27</v>
      </c>
      <c r="J5875" t="s">
        <v>28</v>
      </c>
      <c r="K5875" t="s">
        <v>47</v>
      </c>
      <c r="L5875" t="s">
        <v>48</v>
      </c>
      <c r="M5875" t="s">
        <v>166</v>
      </c>
      <c r="N5875">
        <v>1805</v>
      </c>
      <c r="O5875" s="14">
        <v>0.57594033703208003</v>
      </c>
      <c r="P5875" s="14">
        <v>0.36227229656651599</v>
      </c>
      <c r="Q5875" t="str">
        <f t="shared" si="182"/>
        <v>&lt;01</v>
      </c>
      <c r="R5875" t="str">
        <f t="shared" si="183"/>
        <v>[umc2n1Z4wNv]|&lt;01|Male|Incidence_SUBNAT.Rt.T|CY2024Q3</v>
      </c>
    </row>
    <row r="5876" spans="4:18" x14ac:dyDescent="0.2">
      <c r="D5876" t="s">
        <v>92</v>
      </c>
      <c r="E5876" t="s">
        <v>93</v>
      </c>
      <c r="F5876" t="s">
        <v>94</v>
      </c>
      <c r="G5876" t="s">
        <v>168</v>
      </c>
      <c r="H5876" t="s">
        <v>168</v>
      </c>
      <c r="I5876" t="s">
        <v>32</v>
      </c>
      <c r="J5876" t="s">
        <v>33</v>
      </c>
      <c r="K5876" t="s">
        <v>47</v>
      </c>
      <c r="L5876" t="s">
        <v>48</v>
      </c>
      <c r="M5876" t="s">
        <v>166</v>
      </c>
      <c r="N5876">
        <v>1616</v>
      </c>
      <c r="O5876" s="14">
        <v>0.49479317222721902</v>
      </c>
      <c r="P5876" s="14">
        <v>0.36227229656651599</v>
      </c>
      <c r="Q5876" t="str">
        <f t="shared" si="182"/>
        <v>01-09</v>
      </c>
      <c r="R5876" t="str">
        <f t="shared" si="183"/>
        <v>[umc2n1Z4wNv]|01-09|Male|Incidence_SUBNAT.Rt.T|CY2024Q3</v>
      </c>
    </row>
    <row r="5877" spans="4:18" x14ac:dyDescent="0.2">
      <c r="D5877" t="s">
        <v>92</v>
      </c>
      <c r="E5877" t="s">
        <v>93</v>
      </c>
      <c r="F5877" t="s">
        <v>94</v>
      </c>
      <c r="G5877" t="s">
        <v>168</v>
      </c>
      <c r="H5877" t="s">
        <v>168</v>
      </c>
      <c r="I5877" t="s">
        <v>35</v>
      </c>
      <c r="J5877" t="s">
        <v>36</v>
      </c>
      <c r="K5877" t="s">
        <v>47</v>
      </c>
      <c r="L5877" t="s">
        <v>48</v>
      </c>
      <c r="M5877" t="s">
        <v>166</v>
      </c>
      <c r="N5877">
        <v>989</v>
      </c>
      <c r="O5877" s="14">
        <v>0.92272810637950897</v>
      </c>
      <c r="P5877" s="14">
        <v>0.36227229656651599</v>
      </c>
      <c r="Q5877" t="str">
        <f t="shared" si="182"/>
        <v>10-14</v>
      </c>
      <c r="R5877" t="str">
        <f t="shared" si="183"/>
        <v>[umc2n1Z4wNv]|10-14|Male|Incidence_SUBNAT.Rt.T|CY2024Q3</v>
      </c>
    </row>
    <row r="5878" spans="4:18" x14ac:dyDescent="0.2">
      <c r="D5878" t="s">
        <v>92</v>
      </c>
      <c r="E5878" t="s">
        <v>93</v>
      </c>
      <c r="F5878" t="s">
        <v>94</v>
      </c>
      <c r="G5878" t="s">
        <v>168</v>
      </c>
      <c r="H5878" t="s">
        <v>168</v>
      </c>
      <c r="I5878" t="s">
        <v>37</v>
      </c>
      <c r="J5878" t="s">
        <v>38</v>
      </c>
      <c r="K5878" t="s">
        <v>47</v>
      </c>
      <c r="L5878" t="s">
        <v>48</v>
      </c>
      <c r="M5878" t="s">
        <v>166</v>
      </c>
      <c r="N5878">
        <v>760</v>
      </c>
      <c r="O5878" s="14">
        <v>0.135833174455911</v>
      </c>
      <c r="P5878" s="14">
        <v>0.36227229656651599</v>
      </c>
      <c r="Q5878" t="str">
        <f t="shared" si="182"/>
        <v>15-24</v>
      </c>
      <c r="R5878" t="str">
        <f t="shared" si="183"/>
        <v>[umc2n1Z4wNv]|15-24|Male|Incidence_SUBNAT.Rt.T|CY2024Q3</v>
      </c>
    </row>
    <row r="5879" spans="4:18" x14ac:dyDescent="0.2">
      <c r="D5879" t="s">
        <v>92</v>
      </c>
      <c r="E5879" t="s">
        <v>93</v>
      </c>
      <c r="F5879" t="s">
        <v>94</v>
      </c>
      <c r="G5879" t="s">
        <v>168</v>
      </c>
      <c r="H5879" t="s">
        <v>168</v>
      </c>
      <c r="I5879" t="s">
        <v>40</v>
      </c>
      <c r="J5879" t="s">
        <v>41</v>
      </c>
      <c r="K5879" t="s">
        <v>47</v>
      </c>
      <c r="L5879" t="s">
        <v>48</v>
      </c>
      <c r="M5879" t="s">
        <v>166</v>
      </c>
      <c r="N5879">
        <v>1441</v>
      </c>
      <c r="O5879" s="14">
        <v>0.60888556460849896</v>
      </c>
      <c r="P5879" s="14">
        <v>0.36227229656651599</v>
      </c>
      <c r="Q5879" t="str">
        <f t="shared" si="182"/>
        <v>25-34</v>
      </c>
      <c r="R5879" t="str">
        <f t="shared" si="183"/>
        <v>[umc2n1Z4wNv]|25-34|Male|Incidence_SUBNAT.Rt.T|CY2024Q3</v>
      </c>
    </row>
    <row r="5880" spans="4:18" x14ac:dyDescent="0.2">
      <c r="D5880" t="s">
        <v>92</v>
      </c>
      <c r="E5880" t="s">
        <v>93</v>
      </c>
      <c r="F5880" t="s">
        <v>94</v>
      </c>
      <c r="G5880" t="s">
        <v>168</v>
      </c>
      <c r="H5880" t="s">
        <v>168</v>
      </c>
      <c r="I5880" t="s">
        <v>42</v>
      </c>
      <c r="J5880" t="s">
        <v>43</v>
      </c>
      <c r="K5880" t="s">
        <v>47</v>
      </c>
      <c r="L5880" t="s">
        <v>48</v>
      </c>
      <c r="M5880" t="s">
        <v>166</v>
      </c>
      <c r="N5880">
        <v>1512</v>
      </c>
      <c r="O5880" s="14">
        <v>9.7616815706715002E-2</v>
      </c>
      <c r="P5880" s="14">
        <v>0.36227229656651599</v>
      </c>
      <c r="Q5880" t="str">
        <f t="shared" si="182"/>
        <v>35-49</v>
      </c>
      <c r="R5880" t="str">
        <f t="shared" si="183"/>
        <v>[umc2n1Z4wNv]|35-49|Male|Incidence_SUBNAT.Rt.T|CY2024Q3</v>
      </c>
    </row>
    <row r="5881" spans="4:18" x14ac:dyDescent="0.2">
      <c r="D5881" t="s">
        <v>92</v>
      </c>
      <c r="E5881" t="s">
        <v>93</v>
      </c>
      <c r="F5881" t="s">
        <v>94</v>
      </c>
      <c r="G5881" t="s">
        <v>168</v>
      </c>
      <c r="H5881" t="s">
        <v>168</v>
      </c>
      <c r="I5881" t="s">
        <v>44</v>
      </c>
      <c r="J5881" t="s">
        <v>45</v>
      </c>
      <c r="K5881" t="s">
        <v>47</v>
      </c>
      <c r="L5881" t="s">
        <v>48</v>
      </c>
      <c r="M5881" t="s">
        <v>166</v>
      </c>
      <c r="N5881">
        <v>1064</v>
      </c>
      <c r="O5881" s="14">
        <v>0.63945269514806602</v>
      </c>
      <c r="P5881" s="14">
        <v>0.36227229656651599</v>
      </c>
      <c r="Q5881" t="str">
        <f t="shared" si="182"/>
        <v>50+</v>
      </c>
      <c r="R5881" t="str">
        <f t="shared" si="183"/>
        <v>[umc2n1Z4wNv]|50+|Male|Incidence_SUBNAT.Rt.T|CY2024Q3</v>
      </c>
    </row>
    <row r="5882" spans="4:18" x14ac:dyDescent="0.2">
      <c r="D5882" t="s">
        <v>95</v>
      </c>
      <c r="E5882" t="s">
        <v>96</v>
      </c>
      <c r="F5882" t="s">
        <v>97</v>
      </c>
      <c r="G5882" t="s">
        <v>168</v>
      </c>
      <c r="H5882" t="s">
        <v>168</v>
      </c>
      <c r="I5882" t="s">
        <v>27</v>
      </c>
      <c r="J5882" t="s">
        <v>28</v>
      </c>
      <c r="K5882" t="s">
        <v>29</v>
      </c>
      <c r="L5882" t="s">
        <v>30</v>
      </c>
      <c r="M5882" t="s">
        <v>166</v>
      </c>
      <c r="N5882">
        <v>503</v>
      </c>
      <c r="O5882" s="14">
        <v>0.36425440525636099</v>
      </c>
      <c r="P5882" s="14">
        <v>0.60125171788968101</v>
      </c>
      <c r="Q5882" t="str">
        <f t="shared" si="182"/>
        <v>&lt;01</v>
      </c>
      <c r="R5882" t="str">
        <f t="shared" si="183"/>
        <v>[gwVYinjBAe9]|&lt;01|Female|Incidence_SUBNAT.Rt.T|CY2024Q3</v>
      </c>
    </row>
    <row r="5883" spans="4:18" x14ac:dyDescent="0.2">
      <c r="D5883" t="s">
        <v>95</v>
      </c>
      <c r="E5883" t="s">
        <v>96</v>
      </c>
      <c r="F5883" t="s">
        <v>97</v>
      </c>
      <c r="G5883" t="s">
        <v>168</v>
      </c>
      <c r="H5883" t="s">
        <v>168</v>
      </c>
      <c r="I5883" t="s">
        <v>32</v>
      </c>
      <c r="J5883" t="s">
        <v>33</v>
      </c>
      <c r="K5883" t="s">
        <v>29</v>
      </c>
      <c r="L5883" t="s">
        <v>30</v>
      </c>
      <c r="M5883" t="s">
        <v>166</v>
      </c>
      <c r="N5883">
        <v>1142</v>
      </c>
      <c r="O5883" s="14">
        <v>0.70008172094821897</v>
      </c>
      <c r="P5883" s="14">
        <v>0.60125171788968101</v>
      </c>
      <c r="Q5883" t="str">
        <f t="shared" si="182"/>
        <v>01-09</v>
      </c>
      <c r="R5883" t="str">
        <f t="shared" si="183"/>
        <v>[gwVYinjBAe9]|01-09|Female|Incidence_SUBNAT.Rt.T|CY2024Q3</v>
      </c>
    </row>
    <row r="5884" spans="4:18" x14ac:dyDescent="0.2">
      <c r="D5884" t="s">
        <v>95</v>
      </c>
      <c r="E5884" t="s">
        <v>96</v>
      </c>
      <c r="F5884" t="s">
        <v>97</v>
      </c>
      <c r="G5884" t="s">
        <v>168</v>
      </c>
      <c r="H5884" t="s">
        <v>168</v>
      </c>
      <c r="I5884" t="s">
        <v>35</v>
      </c>
      <c r="J5884" t="s">
        <v>36</v>
      </c>
      <c r="K5884" t="s">
        <v>29</v>
      </c>
      <c r="L5884" t="s">
        <v>30</v>
      </c>
      <c r="M5884" t="s">
        <v>166</v>
      </c>
      <c r="N5884">
        <v>1500</v>
      </c>
      <c r="O5884" s="14">
        <v>4.5994093175977503E-2</v>
      </c>
      <c r="P5884" s="14">
        <v>0.60125171788968101</v>
      </c>
      <c r="Q5884" t="str">
        <f t="shared" si="182"/>
        <v>10-14</v>
      </c>
      <c r="R5884" t="str">
        <f t="shared" si="183"/>
        <v>[gwVYinjBAe9]|10-14|Female|Incidence_SUBNAT.Rt.T|CY2024Q3</v>
      </c>
    </row>
    <row r="5885" spans="4:18" x14ac:dyDescent="0.2">
      <c r="D5885" t="s">
        <v>95</v>
      </c>
      <c r="E5885" t="s">
        <v>96</v>
      </c>
      <c r="F5885" t="s">
        <v>97</v>
      </c>
      <c r="G5885" t="s">
        <v>168</v>
      </c>
      <c r="H5885" t="s">
        <v>168</v>
      </c>
      <c r="I5885" t="s">
        <v>37</v>
      </c>
      <c r="J5885" t="s">
        <v>38</v>
      </c>
      <c r="K5885" t="s">
        <v>29</v>
      </c>
      <c r="L5885" t="s">
        <v>30</v>
      </c>
      <c r="M5885" t="s">
        <v>166</v>
      </c>
      <c r="N5885">
        <v>589</v>
      </c>
      <c r="O5885" s="14">
        <v>0.61310675553977501</v>
      </c>
      <c r="P5885" s="14">
        <v>0.60125171788968101</v>
      </c>
      <c r="Q5885" t="str">
        <f t="shared" si="182"/>
        <v>15-24</v>
      </c>
      <c r="R5885" t="str">
        <f t="shared" si="183"/>
        <v>[gwVYinjBAe9]|15-24|Female|Incidence_SUBNAT.Rt.T|CY2024Q3</v>
      </c>
    </row>
    <row r="5886" spans="4:18" x14ac:dyDescent="0.2">
      <c r="D5886" t="s">
        <v>95</v>
      </c>
      <c r="E5886" t="s">
        <v>96</v>
      </c>
      <c r="F5886" t="s">
        <v>97</v>
      </c>
      <c r="G5886" t="s">
        <v>168</v>
      </c>
      <c r="H5886" t="s">
        <v>168</v>
      </c>
      <c r="I5886" t="s">
        <v>40</v>
      </c>
      <c r="J5886" t="s">
        <v>41</v>
      </c>
      <c r="K5886" t="s">
        <v>29</v>
      </c>
      <c r="L5886" t="s">
        <v>30</v>
      </c>
      <c r="M5886" t="s">
        <v>166</v>
      </c>
      <c r="N5886">
        <v>774</v>
      </c>
      <c r="O5886" s="14">
        <v>6.8534530932083698E-2</v>
      </c>
      <c r="P5886" s="14">
        <v>0.60125171788968101</v>
      </c>
      <c r="Q5886" t="str">
        <f t="shared" si="182"/>
        <v>25-34</v>
      </c>
      <c r="R5886" t="str">
        <f t="shared" si="183"/>
        <v>[gwVYinjBAe9]|25-34|Female|Incidence_SUBNAT.Rt.T|CY2024Q3</v>
      </c>
    </row>
    <row r="5887" spans="4:18" x14ac:dyDescent="0.2">
      <c r="D5887" t="s">
        <v>95</v>
      </c>
      <c r="E5887" t="s">
        <v>96</v>
      </c>
      <c r="F5887" t="s">
        <v>97</v>
      </c>
      <c r="G5887" t="s">
        <v>168</v>
      </c>
      <c r="H5887" t="s">
        <v>168</v>
      </c>
      <c r="I5887" t="s">
        <v>42</v>
      </c>
      <c r="J5887" t="s">
        <v>43</v>
      </c>
      <c r="K5887" t="s">
        <v>29</v>
      </c>
      <c r="L5887" t="s">
        <v>30</v>
      </c>
      <c r="M5887" t="s">
        <v>166</v>
      </c>
      <c r="N5887">
        <v>1311</v>
      </c>
      <c r="O5887" s="14">
        <v>0.60552470595575902</v>
      </c>
      <c r="P5887" s="14">
        <v>0.60125171788968101</v>
      </c>
      <c r="Q5887" t="str">
        <f t="shared" si="182"/>
        <v>35-49</v>
      </c>
      <c r="R5887" t="str">
        <f t="shared" si="183"/>
        <v>[gwVYinjBAe9]|35-49|Female|Incidence_SUBNAT.Rt.T|CY2024Q3</v>
      </c>
    </row>
    <row r="5888" spans="4:18" x14ac:dyDescent="0.2">
      <c r="D5888" t="s">
        <v>95</v>
      </c>
      <c r="E5888" t="s">
        <v>96</v>
      </c>
      <c r="F5888" t="s">
        <v>97</v>
      </c>
      <c r="G5888" t="s">
        <v>168</v>
      </c>
      <c r="H5888" t="s">
        <v>168</v>
      </c>
      <c r="I5888" t="s">
        <v>44</v>
      </c>
      <c r="J5888" t="s">
        <v>45</v>
      </c>
      <c r="K5888" t="s">
        <v>29</v>
      </c>
      <c r="L5888" t="s">
        <v>30</v>
      </c>
      <c r="M5888" t="s">
        <v>166</v>
      </c>
      <c r="N5888">
        <v>932</v>
      </c>
      <c r="O5888" s="14">
        <v>0.84905517846345901</v>
      </c>
      <c r="P5888" s="14">
        <v>0.60125171788968101</v>
      </c>
      <c r="Q5888" t="str">
        <f t="shared" si="182"/>
        <v>50+</v>
      </c>
      <c r="R5888" t="str">
        <f t="shared" si="183"/>
        <v>[gwVYinjBAe9]|50+|Female|Incidence_SUBNAT.Rt.T|CY2024Q3</v>
      </c>
    </row>
    <row r="5889" spans="4:18" x14ac:dyDescent="0.2">
      <c r="D5889" t="s">
        <v>95</v>
      </c>
      <c r="E5889" t="s">
        <v>96</v>
      </c>
      <c r="F5889" t="s">
        <v>97</v>
      </c>
      <c r="G5889" t="s">
        <v>168</v>
      </c>
      <c r="H5889" t="s">
        <v>168</v>
      </c>
      <c r="I5889" t="s">
        <v>27</v>
      </c>
      <c r="J5889" t="s">
        <v>28</v>
      </c>
      <c r="K5889" t="s">
        <v>47</v>
      </c>
      <c r="L5889" t="s">
        <v>48</v>
      </c>
      <c r="M5889" t="s">
        <v>166</v>
      </c>
      <c r="N5889">
        <v>1380</v>
      </c>
      <c r="O5889" s="14">
        <v>0.243191404035315</v>
      </c>
      <c r="P5889" s="14">
        <v>0.60125171788968101</v>
      </c>
      <c r="Q5889" t="str">
        <f t="shared" si="182"/>
        <v>&lt;01</v>
      </c>
      <c r="R5889" t="str">
        <f t="shared" si="183"/>
        <v>[gwVYinjBAe9]|&lt;01|Male|Incidence_SUBNAT.Rt.T|CY2024Q3</v>
      </c>
    </row>
    <row r="5890" spans="4:18" x14ac:dyDescent="0.2">
      <c r="D5890" t="s">
        <v>95</v>
      </c>
      <c r="E5890" t="s">
        <v>96</v>
      </c>
      <c r="F5890" t="s">
        <v>97</v>
      </c>
      <c r="G5890" t="s">
        <v>168</v>
      </c>
      <c r="H5890" t="s">
        <v>168</v>
      </c>
      <c r="I5890" t="s">
        <v>32</v>
      </c>
      <c r="J5890" t="s">
        <v>33</v>
      </c>
      <c r="K5890" t="s">
        <v>47</v>
      </c>
      <c r="L5890" t="s">
        <v>48</v>
      </c>
      <c r="M5890" t="s">
        <v>166</v>
      </c>
      <c r="N5890">
        <v>764</v>
      </c>
      <c r="O5890" s="14">
        <v>0.95889072329737202</v>
      </c>
      <c r="P5890" s="14">
        <v>0.60125171788968101</v>
      </c>
      <c r="Q5890" t="str">
        <f t="shared" ref="Q5890:Q5953" si="184">SUBSTITUTE(SUBSTITUTE($I5890,CHAR(61),""),CHAR(34),"")</f>
        <v>01-09</v>
      </c>
      <c r="R5890" t="str">
        <f t="shared" ref="R5890:R5953" si="185">IF($D5890&lt;&gt;"","["&amp;$E5890&amp;"]"&amp;"|"&amp;$Q5890&amp;"|"&amp;$K5890&amp;"|"&amp;$G5890&amp;"|"&amp;IF($G5890="TX_CURR_SUBNAT.R","CY2022Q4",$M5890),"")</f>
        <v>[gwVYinjBAe9]|01-09|Male|Incidence_SUBNAT.Rt.T|CY2024Q3</v>
      </c>
    </row>
    <row r="5891" spans="4:18" x14ac:dyDescent="0.2">
      <c r="D5891" t="s">
        <v>95</v>
      </c>
      <c r="E5891" t="s">
        <v>96</v>
      </c>
      <c r="F5891" t="s">
        <v>97</v>
      </c>
      <c r="G5891" t="s">
        <v>168</v>
      </c>
      <c r="H5891" t="s">
        <v>168</v>
      </c>
      <c r="I5891" t="s">
        <v>35</v>
      </c>
      <c r="J5891" t="s">
        <v>36</v>
      </c>
      <c r="K5891" t="s">
        <v>47</v>
      </c>
      <c r="L5891" t="s">
        <v>48</v>
      </c>
      <c r="M5891" t="s">
        <v>166</v>
      </c>
      <c r="N5891">
        <v>1149</v>
      </c>
      <c r="O5891" s="14">
        <v>0.58972558099776495</v>
      </c>
      <c r="P5891" s="14">
        <v>0.60125171788968101</v>
      </c>
      <c r="Q5891" t="str">
        <f t="shared" si="184"/>
        <v>10-14</v>
      </c>
      <c r="R5891" t="str">
        <f t="shared" si="185"/>
        <v>[gwVYinjBAe9]|10-14|Male|Incidence_SUBNAT.Rt.T|CY2024Q3</v>
      </c>
    </row>
    <row r="5892" spans="4:18" x14ac:dyDescent="0.2">
      <c r="D5892" t="s">
        <v>95</v>
      </c>
      <c r="E5892" t="s">
        <v>96</v>
      </c>
      <c r="F5892" t="s">
        <v>97</v>
      </c>
      <c r="G5892" t="s">
        <v>168</v>
      </c>
      <c r="H5892" t="s">
        <v>168</v>
      </c>
      <c r="I5892" t="s">
        <v>37</v>
      </c>
      <c r="J5892" t="s">
        <v>38</v>
      </c>
      <c r="K5892" t="s">
        <v>47</v>
      </c>
      <c r="L5892" t="s">
        <v>48</v>
      </c>
      <c r="M5892" t="s">
        <v>166</v>
      </c>
      <c r="N5892">
        <v>871</v>
      </c>
      <c r="O5892" s="14">
        <v>0.11995177948847401</v>
      </c>
      <c r="P5892" s="14">
        <v>0.60125171788968101</v>
      </c>
      <c r="Q5892" t="str">
        <f t="shared" si="184"/>
        <v>15-24</v>
      </c>
      <c r="R5892" t="str">
        <f t="shared" si="185"/>
        <v>[gwVYinjBAe9]|15-24|Male|Incidence_SUBNAT.Rt.T|CY2024Q3</v>
      </c>
    </row>
    <row r="5893" spans="4:18" x14ac:dyDescent="0.2">
      <c r="D5893" t="s">
        <v>95</v>
      </c>
      <c r="E5893" t="s">
        <v>96</v>
      </c>
      <c r="F5893" t="s">
        <v>97</v>
      </c>
      <c r="G5893" t="s">
        <v>168</v>
      </c>
      <c r="H5893" t="s">
        <v>168</v>
      </c>
      <c r="I5893" t="s">
        <v>40</v>
      </c>
      <c r="J5893" t="s">
        <v>41</v>
      </c>
      <c r="K5893" t="s">
        <v>47</v>
      </c>
      <c r="L5893" t="s">
        <v>48</v>
      </c>
      <c r="M5893" t="s">
        <v>166</v>
      </c>
      <c r="N5893">
        <v>810</v>
      </c>
      <c r="O5893" s="14">
        <v>0.50967291300185003</v>
      </c>
      <c r="P5893" s="14">
        <v>0.60125171788968101</v>
      </c>
      <c r="Q5893" t="str">
        <f t="shared" si="184"/>
        <v>25-34</v>
      </c>
      <c r="R5893" t="str">
        <f t="shared" si="185"/>
        <v>[gwVYinjBAe9]|25-34|Male|Incidence_SUBNAT.Rt.T|CY2024Q3</v>
      </c>
    </row>
    <row r="5894" spans="4:18" x14ac:dyDescent="0.2">
      <c r="D5894" t="s">
        <v>95</v>
      </c>
      <c r="E5894" t="s">
        <v>96</v>
      </c>
      <c r="F5894" t="s">
        <v>97</v>
      </c>
      <c r="G5894" t="s">
        <v>168</v>
      </c>
      <c r="H5894" t="s">
        <v>168</v>
      </c>
      <c r="I5894" t="s">
        <v>42</v>
      </c>
      <c r="J5894" t="s">
        <v>43</v>
      </c>
      <c r="K5894" t="s">
        <v>47</v>
      </c>
      <c r="L5894" t="s">
        <v>48</v>
      </c>
      <c r="M5894" t="s">
        <v>166</v>
      </c>
      <c r="N5894">
        <v>1340</v>
      </c>
      <c r="O5894" s="14">
        <v>0.16749129188247</v>
      </c>
      <c r="P5894" s="14">
        <v>0.60125171788968101</v>
      </c>
      <c r="Q5894" t="str">
        <f t="shared" si="184"/>
        <v>35-49</v>
      </c>
      <c r="R5894" t="str">
        <f t="shared" si="185"/>
        <v>[gwVYinjBAe9]|35-49|Male|Incidence_SUBNAT.Rt.T|CY2024Q3</v>
      </c>
    </row>
    <row r="5895" spans="4:18" x14ac:dyDescent="0.2">
      <c r="D5895" t="s">
        <v>95</v>
      </c>
      <c r="E5895" t="s">
        <v>96</v>
      </c>
      <c r="F5895" t="s">
        <v>97</v>
      </c>
      <c r="G5895" t="s">
        <v>168</v>
      </c>
      <c r="H5895" t="s">
        <v>168</v>
      </c>
      <c r="I5895" t="s">
        <v>44</v>
      </c>
      <c r="J5895" t="s">
        <v>45</v>
      </c>
      <c r="K5895" t="s">
        <v>47</v>
      </c>
      <c r="L5895" t="s">
        <v>48</v>
      </c>
      <c r="M5895" t="s">
        <v>166</v>
      </c>
      <c r="N5895">
        <v>1741</v>
      </c>
      <c r="O5895" s="14">
        <v>0.61553604691289399</v>
      </c>
      <c r="P5895" s="14">
        <v>0.60125171788968101</v>
      </c>
      <c r="Q5895" t="str">
        <f t="shared" si="184"/>
        <v>50+</v>
      </c>
      <c r="R5895" t="str">
        <f t="shared" si="185"/>
        <v>[gwVYinjBAe9]|50+|Male|Incidence_SUBNAT.Rt.T|CY2024Q3</v>
      </c>
    </row>
    <row r="5896" spans="4:18" x14ac:dyDescent="0.2">
      <c r="D5896" t="s">
        <v>98</v>
      </c>
      <c r="E5896" t="s">
        <v>99</v>
      </c>
      <c r="F5896" t="s">
        <v>100</v>
      </c>
      <c r="G5896" t="s">
        <v>168</v>
      </c>
      <c r="H5896" t="s">
        <v>168</v>
      </c>
      <c r="I5896" t="s">
        <v>27</v>
      </c>
      <c r="J5896" t="s">
        <v>28</v>
      </c>
      <c r="K5896" t="s">
        <v>29</v>
      </c>
      <c r="L5896" t="s">
        <v>30</v>
      </c>
      <c r="M5896" t="s">
        <v>166</v>
      </c>
      <c r="N5896">
        <v>828</v>
      </c>
      <c r="O5896" s="14">
        <v>0.23522798041813101</v>
      </c>
      <c r="P5896" s="14">
        <v>0.57728803809732199</v>
      </c>
      <c r="Q5896" t="str">
        <f t="shared" si="184"/>
        <v>&lt;01</v>
      </c>
      <c r="R5896" t="str">
        <f t="shared" si="185"/>
        <v>[mxqa3CDFmIT]|&lt;01|Female|Incidence_SUBNAT.Rt.T|CY2024Q3</v>
      </c>
    </row>
    <row r="5897" spans="4:18" x14ac:dyDescent="0.2">
      <c r="D5897" t="s">
        <v>98</v>
      </c>
      <c r="E5897" t="s">
        <v>99</v>
      </c>
      <c r="F5897" t="s">
        <v>100</v>
      </c>
      <c r="G5897" t="s">
        <v>168</v>
      </c>
      <c r="H5897" t="s">
        <v>168</v>
      </c>
      <c r="I5897" t="s">
        <v>32</v>
      </c>
      <c r="J5897" t="s">
        <v>33</v>
      </c>
      <c r="K5897" t="s">
        <v>29</v>
      </c>
      <c r="L5897" t="s">
        <v>30</v>
      </c>
      <c r="M5897" t="s">
        <v>166</v>
      </c>
      <c r="N5897">
        <v>1654</v>
      </c>
      <c r="O5897" s="14">
        <v>0.26884486828930698</v>
      </c>
      <c r="P5897" s="14">
        <v>0.57728803809732199</v>
      </c>
      <c r="Q5897" t="str">
        <f t="shared" si="184"/>
        <v>01-09</v>
      </c>
      <c r="R5897" t="str">
        <f t="shared" si="185"/>
        <v>[mxqa3CDFmIT]|01-09|Female|Incidence_SUBNAT.Rt.T|CY2024Q3</v>
      </c>
    </row>
    <row r="5898" spans="4:18" x14ac:dyDescent="0.2">
      <c r="D5898" t="s">
        <v>98</v>
      </c>
      <c r="E5898" t="s">
        <v>99</v>
      </c>
      <c r="F5898" t="s">
        <v>100</v>
      </c>
      <c r="G5898" t="s">
        <v>168</v>
      </c>
      <c r="H5898" t="s">
        <v>168</v>
      </c>
      <c r="I5898" t="s">
        <v>35</v>
      </c>
      <c r="J5898" t="s">
        <v>36</v>
      </c>
      <c r="K5898" t="s">
        <v>29</v>
      </c>
      <c r="L5898" t="s">
        <v>30</v>
      </c>
      <c r="M5898" t="s">
        <v>166</v>
      </c>
      <c r="N5898">
        <v>1662</v>
      </c>
      <c r="O5898" s="14">
        <v>0.36459559039212802</v>
      </c>
      <c r="P5898" s="14">
        <v>0.57728803809732199</v>
      </c>
      <c r="Q5898" t="str">
        <f t="shared" si="184"/>
        <v>10-14</v>
      </c>
      <c r="R5898" t="str">
        <f t="shared" si="185"/>
        <v>[mxqa3CDFmIT]|10-14|Female|Incidence_SUBNAT.Rt.T|CY2024Q3</v>
      </c>
    </row>
    <row r="5899" spans="4:18" x14ac:dyDescent="0.2">
      <c r="D5899" t="s">
        <v>98</v>
      </c>
      <c r="E5899" t="s">
        <v>99</v>
      </c>
      <c r="F5899" t="s">
        <v>100</v>
      </c>
      <c r="G5899" t="s">
        <v>168</v>
      </c>
      <c r="H5899" t="s">
        <v>168</v>
      </c>
      <c r="I5899" t="s">
        <v>37</v>
      </c>
      <c r="J5899" t="s">
        <v>38</v>
      </c>
      <c r="K5899" t="s">
        <v>29</v>
      </c>
      <c r="L5899" t="s">
        <v>30</v>
      </c>
      <c r="M5899" t="s">
        <v>166</v>
      </c>
      <c r="N5899">
        <v>1017</v>
      </c>
      <c r="O5899" s="14">
        <v>0.122110435506329</v>
      </c>
      <c r="P5899" s="14">
        <v>0.57728803809732199</v>
      </c>
      <c r="Q5899" t="str">
        <f t="shared" si="184"/>
        <v>15-24</v>
      </c>
      <c r="R5899" t="str">
        <f t="shared" si="185"/>
        <v>[mxqa3CDFmIT]|15-24|Female|Incidence_SUBNAT.Rt.T|CY2024Q3</v>
      </c>
    </row>
    <row r="5900" spans="4:18" x14ac:dyDescent="0.2">
      <c r="D5900" t="s">
        <v>98</v>
      </c>
      <c r="E5900" t="s">
        <v>99</v>
      </c>
      <c r="F5900" t="s">
        <v>100</v>
      </c>
      <c r="G5900" t="s">
        <v>168</v>
      </c>
      <c r="H5900" t="s">
        <v>168</v>
      </c>
      <c r="I5900" t="s">
        <v>40</v>
      </c>
      <c r="J5900" t="s">
        <v>41</v>
      </c>
      <c r="K5900" t="s">
        <v>29</v>
      </c>
      <c r="L5900" t="s">
        <v>30</v>
      </c>
      <c r="M5900" t="s">
        <v>166</v>
      </c>
      <c r="N5900">
        <v>793</v>
      </c>
      <c r="O5900" s="14">
        <v>0.189633019268513</v>
      </c>
      <c r="P5900" s="14">
        <v>0.57728803809732199</v>
      </c>
      <c r="Q5900" t="str">
        <f t="shared" si="184"/>
        <v>25-34</v>
      </c>
      <c r="R5900" t="str">
        <f t="shared" si="185"/>
        <v>[mxqa3CDFmIT]|25-34|Female|Incidence_SUBNAT.Rt.T|CY2024Q3</v>
      </c>
    </row>
    <row r="5901" spans="4:18" x14ac:dyDescent="0.2">
      <c r="D5901" t="s">
        <v>98</v>
      </c>
      <c r="E5901" t="s">
        <v>99</v>
      </c>
      <c r="F5901" t="s">
        <v>100</v>
      </c>
      <c r="G5901" t="s">
        <v>168</v>
      </c>
      <c r="H5901" t="s">
        <v>168</v>
      </c>
      <c r="I5901" t="s">
        <v>42</v>
      </c>
      <c r="J5901" t="s">
        <v>43</v>
      </c>
      <c r="K5901" t="s">
        <v>29</v>
      </c>
      <c r="L5901" t="s">
        <v>30</v>
      </c>
      <c r="M5901" t="s">
        <v>166</v>
      </c>
      <c r="N5901">
        <v>1020</v>
      </c>
      <c r="O5901" s="14">
        <v>5.0596295157447499E-2</v>
      </c>
      <c r="P5901" s="14">
        <v>0.57728803809732199</v>
      </c>
      <c r="Q5901" t="str">
        <f t="shared" si="184"/>
        <v>35-49</v>
      </c>
      <c r="R5901" t="str">
        <f t="shared" si="185"/>
        <v>[mxqa3CDFmIT]|35-49|Female|Incidence_SUBNAT.Rt.T|CY2024Q3</v>
      </c>
    </row>
    <row r="5902" spans="4:18" x14ac:dyDescent="0.2">
      <c r="D5902" t="s">
        <v>98</v>
      </c>
      <c r="E5902" t="s">
        <v>99</v>
      </c>
      <c r="F5902" t="s">
        <v>100</v>
      </c>
      <c r="G5902" t="s">
        <v>168</v>
      </c>
      <c r="H5902" t="s">
        <v>168</v>
      </c>
      <c r="I5902" t="s">
        <v>44</v>
      </c>
      <c r="J5902" t="s">
        <v>45</v>
      </c>
      <c r="K5902" t="s">
        <v>29</v>
      </c>
      <c r="L5902" t="s">
        <v>30</v>
      </c>
      <c r="M5902" t="s">
        <v>166</v>
      </c>
      <c r="N5902">
        <v>1217</v>
      </c>
      <c r="O5902" s="14">
        <v>5.3517696447670501E-2</v>
      </c>
      <c r="P5902" s="14">
        <v>0.57728803809732199</v>
      </c>
      <c r="Q5902" t="str">
        <f t="shared" si="184"/>
        <v>50+</v>
      </c>
      <c r="R5902" t="str">
        <f t="shared" si="185"/>
        <v>[mxqa3CDFmIT]|50+|Female|Incidence_SUBNAT.Rt.T|CY2024Q3</v>
      </c>
    </row>
    <row r="5903" spans="4:18" x14ac:dyDescent="0.2">
      <c r="D5903" t="s">
        <v>98</v>
      </c>
      <c r="E5903" t="s">
        <v>99</v>
      </c>
      <c r="F5903" t="s">
        <v>100</v>
      </c>
      <c r="G5903" t="s">
        <v>168</v>
      </c>
      <c r="H5903" t="s">
        <v>168</v>
      </c>
      <c r="I5903" t="s">
        <v>27</v>
      </c>
      <c r="J5903" t="s">
        <v>28</v>
      </c>
      <c r="K5903" t="s">
        <v>47</v>
      </c>
      <c r="L5903" t="s">
        <v>48</v>
      </c>
      <c r="M5903" t="s">
        <v>166</v>
      </c>
      <c r="N5903">
        <v>832</v>
      </c>
      <c r="O5903" s="14">
        <v>0.91089423885568999</v>
      </c>
      <c r="P5903" s="14">
        <v>0.57728803809732199</v>
      </c>
      <c r="Q5903" t="str">
        <f t="shared" si="184"/>
        <v>&lt;01</v>
      </c>
      <c r="R5903" t="str">
        <f t="shared" si="185"/>
        <v>[mxqa3CDFmIT]|&lt;01|Male|Incidence_SUBNAT.Rt.T|CY2024Q3</v>
      </c>
    </row>
    <row r="5904" spans="4:18" x14ac:dyDescent="0.2">
      <c r="D5904" t="s">
        <v>98</v>
      </c>
      <c r="E5904" t="s">
        <v>99</v>
      </c>
      <c r="F5904" t="s">
        <v>100</v>
      </c>
      <c r="G5904" t="s">
        <v>168</v>
      </c>
      <c r="H5904" t="s">
        <v>168</v>
      </c>
      <c r="I5904" t="s">
        <v>32</v>
      </c>
      <c r="J5904" t="s">
        <v>33</v>
      </c>
      <c r="K5904" t="s">
        <v>47</v>
      </c>
      <c r="L5904" t="s">
        <v>48</v>
      </c>
      <c r="M5904" t="s">
        <v>166</v>
      </c>
      <c r="N5904">
        <v>1169</v>
      </c>
      <c r="O5904" s="14">
        <v>0.892029470764101</v>
      </c>
      <c r="P5904" s="14">
        <v>0.57728803809732199</v>
      </c>
      <c r="Q5904" t="str">
        <f t="shared" si="184"/>
        <v>01-09</v>
      </c>
      <c r="R5904" t="str">
        <f t="shared" si="185"/>
        <v>[mxqa3CDFmIT]|01-09|Male|Incidence_SUBNAT.Rt.T|CY2024Q3</v>
      </c>
    </row>
    <row r="5905" spans="4:18" x14ac:dyDescent="0.2">
      <c r="D5905" t="s">
        <v>98</v>
      </c>
      <c r="E5905" t="s">
        <v>99</v>
      </c>
      <c r="F5905" t="s">
        <v>100</v>
      </c>
      <c r="G5905" t="s">
        <v>168</v>
      </c>
      <c r="H5905" t="s">
        <v>168</v>
      </c>
      <c r="I5905" t="s">
        <v>35</v>
      </c>
      <c r="J5905" t="s">
        <v>36</v>
      </c>
      <c r="K5905" t="s">
        <v>47</v>
      </c>
      <c r="L5905" t="s">
        <v>48</v>
      </c>
      <c r="M5905" t="s">
        <v>166</v>
      </c>
      <c r="N5905">
        <v>981</v>
      </c>
      <c r="O5905" s="14">
        <v>0.196103861555457</v>
      </c>
      <c r="P5905" s="14">
        <v>0.57728803809732199</v>
      </c>
      <c r="Q5905" t="str">
        <f t="shared" si="184"/>
        <v>10-14</v>
      </c>
      <c r="R5905" t="str">
        <f t="shared" si="185"/>
        <v>[mxqa3CDFmIT]|10-14|Male|Incidence_SUBNAT.Rt.T|CY2024Q3</v>
      </c>
    </row>
    <row r="5906" spans="4:18" x14ac:dyDescent="0.2">
      <c r="D5906" t="s">
        <v>98</v>
      </c>
      <c r="E5906" t="s">
        <v>99</v>
      </c>
      <c r="F5906" t="s">
        <v>100</v>
      </c>
      <c r="G5906" t="s">
        <v>168</v>
      </c>
      <c r="H5906" t="s">
        <v>168</v>
      </c>
      <c r="I5906" t="s">
        <v>37</v>
      </c>
      <c r="J5906" t="s">
        <v>38</v>
      </c>
      <c r="K5906" t="s">
        <v>47</v>
      </c>
      <c r="L5906" t="s">
        <v>48</v>
      </c>
      <c r="M5906" t="s">
        <v>166</v>
      </c>
      <c r="N5906">
        <v>1287</v>
      </c>
      <c r="O5906" s="14">
        <v>0.128085430944338</v>
      </c>
      <c r="P5906" s="14">
        <v>0.57728803809732199</v>
      </c>
      <c r="Q5906" t="str">
        <f t="shared" si="184"/>
        <v>15-24</v>
      </c>
      <c r="R5906" t="str">
        <f t="shared" si="185"/>
        <v>[mxqa3CDFmIT]|15-24|Male|Incidence_SUBNAT.Rt.T|CY2024Q3</v>
      </c>
    </row>
    <row r="5907" spans="4:18" x14ac:dyDescent="0.2">
      <c r="D5907" t="s">
        <v>98</v>
      </c>
      <c r="E5907" t="s">
        <v>99</v>
      </c>
      <c r="F5907" t="s">
        <v>100</v>
      </c>
      <c r="G5907" t="s">
        <v>168</v>
      </c>
      <c r="H5907" t="s">
        <v>168</v>
      </c>
      <c r="I5907" t="s">
        <v>40</v>
      </c>
      <c r="J5907" t="s">
        <v>41</v>
      </c>
      <c r="K5907" t="s">
        <v>47</v>
      </c>
      <c r="L5907" t="s">
        <v>48</v>
      </c>
      <c r="M5907" t="s">
        <v>166</v>
      </c>
      <c r="N5907">
        <v>719</v>
      </c>
      <c r="O5907" s="14">
        <v>0.76007032324559998</v>
      </c>
      <c r="P5907" s="14">
        <v>0.57728803809732199</v>
      </c>
      <c r="Q5907" t="str">
        <f t="shared" si="184"/>
        <v>25-34</v>
      </c>
      <c r="R5907" t="str">
        <f t="shared" si="185"/>
        <v>[mxqa3CDFmIT]|25-34|Male|Incidence_SUBNAT.Rt.T|CY2024Q3</v>
      </c>
    </row>
    <row r="5908" spans="4:18" x14ac:dyDescent="0.2">
      <c r="D5908" t="s">
        <v>98</v>
      </c>
      <c r="E5908" t="s">
        <v>99</v>
      </c>
      <c r="F5908" t="s">
        <v>100</v>
      </c>
      <c r="G5908" t="s">
        <v>168</v>
      </c>
      <c r="H5908" t="s">
        <v>168</v>
      </c>
      <c r="I5908" t="s">
        <v>42</v>
      </c>
      <c r="J5908" t="s">
        <v>43</v>
      </c>
      <c r="K5908" t="s">
        <v>47</v>
      </c>
      <c r="L5908" t="s">
        <v>48</v>
      </c>
      <c r="M5908" t="s">
        <v>166</v>
      </c>
      <c r="N5908">
        <v>1638</v>
      </c>
      <c r="O5908" s="14">
        <v>1.24746975488961E-2</v>
      </c>
      <c r="P5908" s="14">
        <v>0.57728803809732199</v>
      </c>
      <c r="Q5908" t="str">
        <f t="shared" si="184"/>
        <v>35-49</v>
      </c>
      <c r="R5908" t="str">
        <f t="shared" si="185"/>
        <v>[mxqa3CDFmIT]|35-49|Male|Incidence_SUBNAT.Rt.T|CY2024Q3</v>
      </c>
    </row>
    <row r="5909" spans="4:18" x14ac:dyDescent="0.2">
      <c r="D5909" t="s">
        <v>98</v>
      </c>
      <c r="E5909" t="s">
        <v>99</v>
      </c>
      <c r="F5909" t="s">
        <v>100</v>
      </c>
      <c r="G5909" t="s">
        <v>168</v>
      </c>
      <c r="H5909" t="s">
        <v>168</v>
      </c>
      <c r="I5909" t="s">
        <v>44</v>
      </c>
      <c r="J5909" t="s">
        <v>45</v>
      </c>
      <c r="K5909" t="s">
        <v>47</v>
      </c>
      <c r="L5909" t="s">
        <v>48</v>
      </c>
      <c r="M5909" t="s">
        <v>166</v>
      </c>
      <c r="N5909">
        <v>1749</v>
      </c>
      <c r="O5909" s="14">
        <v>0.29826543852686899</v>
      </c>
      <c r="P5909" s="14">
        <v>0.57728803809732199</v>
      </c>
      <c r="Q5909" t="str">
        <f t="shared" si="184"/>
        <v>50+</v>
      </c>
      <c r="R5909" t="str">
        <f t="shared" si="185"/>
        <v>[mxqa3CDFmIT]|50+|Male|Incidence_SUBNAT.Rt.T|CY2024Q3</v>
      </c>
    </row>
    <row r="5910" spans="4:18" x14ac:dyDescent="0.2">
      <c r="D5910" t="s">
        <v>101</v>
      </c>
      <c r="E5910" t="s">
        <v>102</v>
      </c>
      <c r="F5910" t="s">
        <v>103</v>
      </c>
      <c r="G5910" t="s">
        <v>168</v>
      </c>
      <c r="H5910" t="s">
        <v>168</v>
      </c>
      <c r="I5910" t="s">
        <v>27</v>
      </c>
      <c r="J5910" t="s">
        <v>28</v>
      </c>
      <c r="K5910" t="s">
        <v>29</v>
      </c>
      <c r="L5910" t="s">
        <v>30</v>
      </c>
      <c r="M5910" t="s">
        <v>166</v>
      </c>
      <c r="N5910">
        <v>1397</v>
      </c>
      <c r="O5910" s="14">
        <v>0.57049375609494701</v>
      </c>
      <c r="P5910" s="14">
        <v>0.52621235931292198</v>
      </c>
      <c r="Q5910" t="str">
        <f t="shared" si="184"/>
        <v>&lt;01</v>
      </c>
      <c r="R5910" t="str">
        <f t="shared" si="185"/>
        <v>[wNqJp8oRIcF]|&lt;01|Female|Incidence_SUBNAT.Rt.T|CY2024Q3</v>
      </c>
    </row>
    <row r="5911" spans="4:18" x14ac:dyDescent="0.2">
      <c r="D5911" t="s">
        <v>101</v>
      </c>
      <c r="E5911" t="s">
        <v>102</v>
      </c>
      <c r="F5911" t="s">
        <v>103</v>
      </c>
      <c r="G5911" t="s">
        <v>168</v>
      </c>
      <c r="H5911" t="s">
        <v>168</v>
      </c>
      <c r="I5911" t="s">
        <v>32</v>
      </c>
      <c r="J5911" t="s">
        <v>33</v>
      </c>
      <c r="K5911" t="s">
        <v>29</v>
      </c>
      <c r="L5911" t="s">
        <v>30</v>
      </c>
      <c r="M5911" t="s">
        <v>166</v>
      </c>
      <c r="N5911">
        <v>1718</v>
      </c>
      <c r="O5911" s="14">
        <v>0.7724424675107</v>
      </c>
      <c r="P5911" s="14">
        <v>0.52621235931292198</v>
      </c>
      <c r="Q5911" t="str">
        <f t="shared" si="184"/>
        <v>01-09</v>
      </c>
      <c r="R5911" t="str">
        <f t="shared" si="185"/>
        <v>[wNqJp8oRIcF]|01-09|Female|Incidence_SUBNAT.Rt.T|CY2024Q3</v>
      </c>
    </row>
    <row r="5912" spans="4:18" x14ac:dyDescent="0.2">
      <c r="D5912" t="s">
        <v>101</v>
      </c>
      <c r="E5912" t="s">
        <v>102</v>
      </c>
      <c r="F5912" t="s">
        <v>103</v>
      </c>
      <c r="G5912" t="s">
        <v>168</v>
      </c>
      <c r="H5912" t="s">
        <v>168</v>
      </c>
      <c r="I5912" t="s">
        <v>35</v>
      </c>
      <c r="J5912" t="s">
        <v>36</v>
      </c>
      <c r="K5912" t="s">
        <v>29</v>
      </c>
      <c r="L5912" t="s">
        <v>30</v>
      </c>
      <c r="M5912" t="s">
        <v>166</v>
      </c>
      <c r="N5912">
        <v>1018</v>
      </c>
      <c r="O5912" s="14">
        <v>0.29335454734973598</v>
      </c>
      <c r="P5912" s="14">
        <v>0.52621235931292198</v>
      </c>
      <c r="Q5912" t="str">
        <f t="shared" si="184"/>
        <v>10-14</v>
      </c>
      <c r="R5912" t="str">
        <f t="shared" si="185"/>
        <v>[wNqJp8oRIcF]|10-14|Female|Incidence_SUBNAT.Rt.T|CY2024Q3</v>
      </c>
    </row>
    <row r="5913" spans="4:18" x14ac:dyDescent="0.2">
      <c r="D5913" t="s">
        <v>101</v>
      </c>
      <c r="E5913" t="s">
        <v>102</v>
      </c>
      <c r="F5913" t="s">
        <v>103</v>
      </c>
      <c r="G5913" t="s">
        <v>168</v>
      </c>
      <c r="H5913" t="s">
        <v>168</v>
      </c>
      <c r="I5913" t="s">
        <v>37</v>
      </c>
      <c r="J5913" t="s">
        <v>38</v>
      </c>
      <c r="K5913" t="s">
        <v>29</v>
      </c>
      <c r="L5913" t="s">
        <v>30</v>
      </c>
      <c r="M5913" t="s">
        <v>166</v>
      </c>
      <c r="N5913">
        <v>1099</v>
      </c>
      <c r="O5913" s="14">
        <v>0.453259936301038</v>
      </c>
      <c r="P5913" s="14">
        <v>0.52621235931292198</v>
      </c>
      <c r="Q5913" t="str">
        <f t="shared" si="184"/>
        <v>15-24</v>
      </c>
      <c r="R5913" t="str">
        <f t="shared" si="185"/>
        <v>[wNqJp8oRIcF]|15-24|Female|Incidence_SUBNAT.Rt.T|CY2024Q3</v>
      </c>
    </row>
    <row r="5914" spans="4:18" x14ac:dyDescent="0.2">
      <c r="D5914" t="s">
        <v>101</v>
      </c>
      <c r="E5914" t="s">
        <v>102</v>
      </c>
      <c r="F5914" t="s">
        <v>103</v>
      </c>
      <c r="G5914" t="s">
        <v>168</v>
      </c>
      <c r="H5914" t="s">
        <v>168</v>
      </c>
      <c r="I5914" t="s">
        <v>40</v>
      </c>
      <c r="J5914" t="s">
        <v>41</v>
      </c>
      <c r="K5914" t="s">
        <v>29</v>
      </c>
      <c r="L5914" t="s">
        <v>30</v>
      </c>
      <c r="M5914" t="s">
        <v>166</v>
      </c>
      <c r="N5914">
        <v>1398</v>
      </c>
      <c r="O5914" s="14">
        <v>0.86792612029239502</v>
      </c>
      <c r="P5914" s="14">
        <v>0.52621235931292198</v>
      </c>
      <c r="Q5914" t="str">
        <f t="shared" si="184"/>
        <v>25-34</v>
      </c>
      <c r="R5914" t="str">
        <f t="shared" si="185"/>
        <v>[wNqJp8oRIcF]|25-34|Female|Incidence_SUBNAT.Rt.T|CY2024Q3</v>
      </c>
    </row>
    <row r="5915" spans="4:18" x14ac:dyDescent="0.2">
      <c r="D5915" t="s">
        <v>101</v>
      </c>
      <c r="E5915" t="s">
        <v>102</v>
      </c>
      <c r="F5915" t="s">
        <v>103</v>
      </c>
      <c r="G5915" t="s">
        <v>168</v>
      </c>
      <c r="H5915" t="s">
        <v>168</v>
      </c>
      <c r="I5915" t="s">
        <v>42</v>
      </c>
      <c r="J5915" t="s">
        <v>43</v>
      </c>
      <c r="K5915" t="s">
        <v>29</v>
      </c>
      <c r="L5915" t="s">
        <v>30</v>
      </c>
      <c r="M5915" t="s">
        <v>166</v>
      </c>
      <c r="N5915">
        <v>548</v>
      </c>
      <c r="O5915" s="14">
        <v>0.34192326618358498</v>
      </c>
      <c r="P5915" s="14">
        <v>0.52621235931292198</v>
      </c>
      <c r="Q5915" t="str">
        <f t="shared" si="184"/>
        <v>35-49</v>
      </c>
      <c r="R5915" t="str">
        <f t="shared" si="185"/>
        <v>[wNqJp8oRIcF]|35-49|Female|Incidence_SUBNAT.Rt.T|CY2024Q3</v>
      </c>
    </row>
    <row r="5916" spans="4:18" x14ac:dyDescent="0.2">
      <c r="D5916" t="s">
        <v>101</v>
      </c>
      <c r="E5916" t="s">
        <v>102</v>
      </c>
      <c r="F5916" t="s">
        <v>103</v>
      </c>
      <c r="G5916" t="s">
        <v>168</v>
      </c>
      <c r="H5916" t="s">
        <v>168</v>
      </c>
      <c r="I5916" t="s">
        <v>44</v>
      </c>
      <c r="J5916" t="s">
        <v>45</v>
      </c>
      <c r="K5916" t="s">
        <v>29</v>
      </c>
      <c r="L5916" t="s">
        <v>30</v>
      </c>
      <c r="M5916" t="s">
        <v>166</v>
      </c>
      <c r="N5916">
        <v>503</v>
      </c>
      <c r="O5916" s="14">
        <v>0.78128313296474505</v>
      </c>
      <c r="P5916" s="14">
        <v>0.52621235931292198</v>
      </c>
      <c r="Q5916" t="str">
        <f t="shared" si="184"/>
        <v>50+</v>
      </c>
      <c r="R5916" t="str">
        <f t="shared" si="185"/>
        <v>[wNqJp8oRIcF]|50+|Female|Incidence_SUBNAT.Rt.T|CY2024Q3</v>
      </c>
    </row>
    <row r="5917" spans="4:18" x14ac:dyDescent="0.2">
      <c r="D5917" t="s">
        <v>101</v>
      </c>
      <c r="E5917" t="s">
        <v>102</v>
      </c>
      <c r="F5917" t="s">
        <v>103</v>
      </c>
      <c r="G5917" t="s">
        <v>168</v>
      </c>
      <c r="H5917" t="s">
        <v>168</v>
      </c>
      <c r="I5917" t="s">
        <v>27</v>
      </c>
      <c r="J5917" t="s">
        <v>28</v>
      </c>
      <c r="K5917" t="s">
        <v>47</v>
      </c>
      <c r="L5917" t="s">
        <v>48</v>
      </c>
      <c r="M5917" t="s">
        <v>166</v>
      </c>
      <c r="N5917">
        <v>1346</v>
      </c>
      <c r="O5917" s="14">
        <v>0.92068886221386503</v>
      </c>
      <c r="P5917" s="14">
        <v>0.52621235931292198</v>
      </c>
      <c r="Q5917" t="str">
        <f t="shared" si="184"/>
        <v>&lt;01</v>
      </c>
      <c r="R5917" t="str">
        <f t="shared" si="185"/>
        <v>[wNqJp8oRIcF]|&lt;01|Male|Incidence_SUBNAT.Rt.T|CY2024Q3</v>
      </c>
    </row>
    <row r="5918" spans="4:18" x14ac:dyDescent="0.2">
      <c r="D5918" t="s">
        <v>101</v>
      </c>
      <c r="E5918" t="s">
        <v>102</v>
      </c>
      <c r="F5918" t="s">
        <v>103</v>
      </c>
      <c r="G5918" t="s">
        <v>168</v>
      </c>
      <c r="H5918" t="s">
        <v>168</v>
      </c>
      <c r="I5918" t="s">
        <v>32</v>
      </c>
      <c r="J5918" t="s">
        <v>33</v>
      </c>
      <c r="K5918" t="s">
        <v>47</v>
      </c>
      <c r="L5918" t="s">
        <v>48</v>
      </c>
      <c r="M5918" t="s">
        <v>166</v>
      </c>
      <c r="N5918">
        <v>1841</v>
      </c>
      <c r="O5918" s="14">
        <v>0.637417604448274</v>
      </c>
      <c r="P5918" s="14">
        <v>0.52621235931292198</v>
      </c>
      <c r="Q5918" t="str">
        <f t="shared" si="184"/>
        <v>01-09</v>
      </c>
      <c r="R5918" t="str">
        <f t="shared" si="185"/>
        <v>[wNqJp8oRIcF]|01-09|Male|Incidence_SUBNAT.Rt.T|CY2024Q3</v>
      </c>
    </row>
    <row r="5919" spans="4:18" x14ac:dyDescent="0.2">
      <c r="D5919" t="s">
        <v>101</v>
      </c>
      <c r="E5919" t="s">
        <v>102</v>
      </c>
      <c r="F5919" t="s">
        <v>103</v>
      </c>
      <c r="G5919" t="s">
        <v>168</v>
      </c>
      <c r="H5919" t="s">
        <v>168</v>
      </c>
      <c r="I5919" t="s">
        <v>35</v>
      </c>
      <c r="J5919" t="s">
        <v>36</v>
      </c>
      <c r="K5919" t="s">
        <v>47</v>
      </c>
      <c r="L5919" t="s">
        <v>48</v>
      </c>
      <c r="M5919" t="s">
        <v>166</v>
      </c>
      <c r="N5919">
        <v>889</v>
      </c>
      <c r="O5919" s="14">
        <v>0.60575008811429099</v>
      </c>
      <c r="P5919" s="14">
        <v>0.52621235931292198</v>
      </c>
      <c r="Q5919" t="str">
        <f t="shared" si="184"/>
        <v>10-14</v>
      </c>
      <c r="R5919" t="str">
        <f t="shared" si="185"/>
        <v>[wNqJp8oRIcF]|10-14|Male|Incidence_SUBNAT.Rt.T|CY2024Q3</v>
      </c>
    </row>
    <row r="5920" spans="4:18" x14ac:dyDescent="0.2">
      <c r="D5920" t="s">
        <v>101</v>
      </c>
      <c r="E5920" t="s">
        <v>102</v>
      </c>
      <c r="F5920" t="s">
        <v>103</v>
      </c>
      <c r="G5920" t="s">
        <v>168</v>
      </c>
      <c r="H5920" t="s">
        <v>168</v>
      </c>
      <c r="I5920" t="s">
        <v>37</v>
      </c>
      <c r="J5920" t="s">
        <v>38</v>
      </c>
      <c r="K5920" t="s">
        <v>47</v>
      </c>
      <c r="L5920" t="s">
        <v>48</v>
      </c>
      <c r="M5920" t="s">
        <v>166</v>
      </c>
      <c r="N5920">
        <v>845</v>
      </c>
      <c r="O5920" s="14">
        <v>0.17795649380423101</v>
      </c>
      <c r="P5920" s="14">
        <v>0.52621235931292198</v>
      </c>
      <c r="Q5920" t="str">
        <f t="shared" si="184"/>
        <v>15-24</v>
      </c>
      <c r="R5920" t="str">
        <f t="shared" si="185"/>
        <v>[wNqJp8oRIcF]|15-24|Male|Incidence_SUBNAT.Rt.T|CY2024Q3</v>
      </c>
    </row>
    <row r="5921" spans="4:18" x14ac:dyDescent="0.2">
      <c r="D5921" t="s">
        <v>101</v>
      </c>
      <c r="E5921" t="s">
        <v>102</v>
      </c>
      <c r="F5921" t="s">
        <v>103</v>
      </c>
      <c r="G5921" t="s">
        <v>168</v>
      </c>
      <c r="H5921" t="s">
        <v>168</v>
      </c>
      <c r="I5921" t="s">
        <v>40</v>
      </c>
      <c r="J5921" t="s">
        <v>41</v>
      </c>
      <c r="K5921" t="s">
        <v>47</v>
      </c>
      <c r="L5921" t="s">
        <v>48</v>
      </c>
      <c r="M5921" t="s">
        <v>166</v>
      </c>
      <c r="N5921">
        <v>866</v>
      </c>
      <c r="O5921" s="14">
        <v>0.35355644789524399</v>
      </c>
      <c r="P5921" s="14">
        <v>0.52621235931292198</v>
      </c>
      <c r="Q5921" t="str">
        <f t="shared" si="184"/>
        <v>25-34</v>
      </c>
      <c r="R5921" t="str">
        <f t="shared" si="185"/>
        <v>[wNqJp8oRIcF]|25-34|Male|Incidence_SUBNAT.Rt.T|CY2024Q3</v>
      </c>
    </row>
    <row r="5922" spans="4:18" x14ac:dyDescent="0.2">
      <c r="D5922" t="s">
        <v>101</v>
      </c>
      <c r="E5922" t="s">
        <v>102</v>
      </c>
      <c r="F5922" t="s">
        <v>103</v>
      </c>
      <c r="G5922" t="s">
        <v>168</v>
      </c>
      <c r="H5922" t="s">
        <v>168</v>
      </c>
      <c r="I5922" t="s">
        <v>42</v>
      </c>
      <c r="J5922" t="s">
        <v>43</v>
      </c>
      <c r="K5922" t="s">
        <v>47</v>
      </c>
      <c r="L5922" t="s">
        <v>48</v>
      </c>
      <c r="M5922" t="s">
        <v>166</v>
      </c>
      <c r="N5922">
        <v>1324</v>
      </c>
      <c r="O5922" s="14">
        <v>0.93106762273237098</v>
      </c>
      <c r="P5922" s="14">
        <v>0.52621235931292198</v>
      </c>
      <c r="Q5922" t="str">
        <f t="shared" si="184"/>
        <v>35-49</v>
      </c>
      <c r="R5922" t="str">
        <f t="shared" si="185"/>
        <v>[wNqJp8oRIcF]|35-49|Male|Incidence_SUBNAT.Rt.T|CY2024Q3</v>
      </c>
    </row>
    <row r="5923" spans="4:18" x14ac:dyDescent="0.2">
      <c r="D5923" t="s">
        <v>101</v>
      </c>
      <c r="E5923" t="s">
        <v>102</v>
      </c>
      <c r="F5923" t="s">
        <v>103</v>
      </c>
      <c r="G5923" t="s">
        <v>168</v>
      </c>
      <c r="H5923" t="s">
        <v>168</v>
      </c>
      <c r="I5923" t="s">
        <v>44</v>
      </c>
      <c r="J5923" t="s">
        <v>45</v>
      </c>
      <c r="K5923" t="s">
        <v>47</v>
      </c>
      <c r="L5923" t="s">
        <v>48</v>
      </c>
      <c r="M5923" t="s">
        <v>166</v>
      </c>
      <c r="N5923">
        <v>1875</v>
      </c>
      <c r="O5923" s="14">
        <v>0.78042725217528597</v>
      </c>
      <c r="P5923" s="14">
        <v>0.52621235931292198</v>
      </c>
      <c r="Q5923" t="str">
        <f t="shared" si="184"/>
        <v>50+</v>
      </c>
      <c r="R5923" t="str">
        <f t="shared" si="185"/>
        <v>[wNqJp8oRIcF]|50+|Male|Incidence_SUBNAT.Rt.T|CY2024Q3</v>
      </c>
    </row>
    <row r="5924" spans="4:18" x14ac:dyDescent="0.2">
      <c r="D5924" t="s">
        <v>104</v>
      </c>
      <c r="E5924" t="s">
        <v>105</v>
      </c>
      <c r="F5924" t="s">
        <v>106</v>
      </c>
      <c r="G5924" t="s">
        <v>168</v>
      </c>
      <c r="H5924" t="s">
        <v>168</v>
      </c>
      <c r="I5924" t="s">
        <v>27</v>
      </c>
      <c r="J5924" t="s">
        <v>28</v>
      </c>
      <c r="K5924" t="s">
        <v>29</v>
      </c>
      <c r="L5924" t="s">
        <v>30</v>
      </c>
      <c r="M5924" t="s">
        <v>166</v>
      </c>
      <c r="N5924">
        <v>1648</v>
      </c>
      <c r="O5924" s="14">
        <v>0.83625297155231204</v>
      </c>
      <c r="P5924" s="14">
        <v>0.21824956033378801</v>
      </c>
      <c r="Q5924" t="str">
        <f t="shared" si="184"/>
        <v>&lt;01</v>
      </c>
      <c r="R5924" t="str">
        <f t="shared" si="185"/>
        <v>[oiPR2CiVJbf]|&lt;01|Female|Incidence_SUBNAT.Rt.T|CY2024Q3</v>
      </c>
    </row>
    <row r="5925" spans="4:18" x14ac:dyDescent="0.2">
      <c r="D5925" t="s">
        <v>104</v>
      </c>
      <c r="E5925" t="s">
        <v>105</v>
      </c>
      <c r="F5925" t="s">
        <v>106</v>
      </c>
      <c r="G5925" t="s">
        <v>168</v>
      </c>
      <c r="H5925" t="s">
        <v>168</v>
      </c>
      <c r="I5925" t="s">
        <v>32</v>
      </c>
      <c r="J5925" t="s">
        <v>33</v>
      </c>
      <c r="K5925" t="s">
        <v>29</v>
      </c>
      <c r="L5925" t="s">
        <v>30</v>
      </c>
      <c r="M5925" t="s">
        <v>166</v>
      </c>
      <c r="N5925">
        <v>1824</v>
      </c>
      <c r="O5925" s="14">
        <v>0.183821237646043</v>
      </c>
      <c r="P5925" s="14">
        <v>0.21824956033378801</v>
      </c>
      <c r="Q5925" t="str">
        <f t="shared" si="184"/>
        <v>01-09</v>
      </c>
      <c r="R5925" t="str">
        <f t="shared" si="185"/>
        <v>[oiPR2CiVJbf]|01-09|Female|Incidence_SUBNAT.Rt.T|CY2024Q3</v>
      </c>
    </row>
    <row r="5926" spans="4:18" x14ac:dyDescent="0.2">
      <c r="D5926" t="s">
        <v>104</v>
      </c>
      <c r="E5926" t="s">
        <v>105</v>
      </c>
      <c r="F5926" t="s">
        <v>106</v>
      </c>
      <c r="G5926" t="s">
        <v>168</v>
      </c>
      <c r="H5926" t="s">
        <v>168</v>
      </c>
      <c r="I5926" t="s">
        <v>35</v>
      </c>
      <c r="J5926" t="s">
        <v>36</v>
      </c>
      <c r="K5926" t="s">
        <v>29</v>
      </c>
      <c r="L5926" t="s">
        <v>30</v>
      </c>
      <c r="M5926" t="s">
        <v>166</v>
      </c>
      <c r="N5926">
        <v>1589</v>
      </c>
      <c r="O5926" s="14">
        <v>4.41328156739473E-3</v>
      </c>
      <c r="P5926" s="14">
        <v>0.21824956033378801</v>
      </c>
      <c r="Q5926" t="str">
        <f t="shared" si="184"/>
        <v>10-14</v>
      </c>
      <c r="R5926" t="str">
        <f t="shared" si="185"/>
        <v>[oiPR2CiVJbf]|10-14|Female|Incidence_SUBNAT.Rt.T|CY2024Q3</v>
      </c>
    </row>
    <row r="5927" spans="4:18" x14ac:dyDescent="0.2">
      <c r="D5927" t="s">
        <v>104</v>
      </c>
      <c r="E5927" t="s">
        <v>105</v>
      </c>
      <c r="F5927" t="s">
        <v>106</v>
      </c>
      <c r="G5927" t="s">
        <v>168</v>
      </c>
      <c r="H5927" t="s">
        <v>168</v>
      </c>
      <c r="I5927" t="s">
        <v>37</v>
      </c>
      <c r="J5927" t="s">
        <v>38</v>
      </c>
      <c r="K5927" t="s">
        <v>29</v>
      </c>
      <c r="L5927" t="s">
        <v>30</v>
      </c>
      <c r="M5927" t="s">
        <v>166</v>
      </c>
      <c r="N5927">
        <v>1578</v>
      </c>
      <c r="O5927" s="14">
        <v>0.37246113386936502</v>
      </c>
      <c r="P5927" s="14">
        <v>0.21824956033378801</v>
      </c>
      <c r="Q5927" t="str">
        <f t="shared" si="184"/>
        <v>15-24</v>
      </c>
      <c r="R5927" t="str">
        <f t="shared" si="185"/>
        <v>[oiPR2CiVJbf]|15-24|Female|Incidence_SUBNAT.Rt.T|CY2024Q3</v>
      </c>
    </row>
    <row r="5928" spans="4:18" x14ac:dyDescent="0.2">
      <c r="D5928" t="s">
        <v>104</v>
      </c>
      <c r="E5928" t="s">
        <v>105</v>
      </c>
      <c r="F5928" t="s">
        <v>106</v>
      </c>
      <c r="G5928" t="s">
        <v>168</v>
      </c>
      <c r="H5928" t="s">
        <v>168</v>
      </c>
      <c r="I5928" t="s">
        <v>40</v>
      </c>
      <c r="J5928" t="s">
        <v>41</v>
      </c>
      <c r="K5928" t="s">
        <v>29</v>
      </c>
      <c r="L5928" t="s">
        <v>30</v>
      </c>
      <c r="M5928" t="s">
        <v>166</v>
      </c>
      <c r="N5928">
        <v>1564</v>
      </c>
      <c r="O5928" s="14">
        <v>0.27120174467563601</v>
      </c>
      <c r="P5928" s="14">
        <v>0.21824956033378801</v>
      </c>
      <c r="Q5928" t="str">
        <f t="shared" si="184"/>
        <v>25-34</v>
      </c>
      <c r="R5928" t="str">
        <f t="shared" si="185"/>
        <v>[oiPR2CiVJbf]|25-34|Female|Incidence_SUBNAT.Rt.T|CY2024Q3</v>
      </c>
    </row>
    <row r="5929" spans="4:18" x14ac:dyDescent="0.2">
      <c r="D5929" t="s">
        <v>104</v>
      </c>
      <c r="E5929" t="s">
        <v>105</v>
      </c>
      <c r="F5929" t="s">
        <v>106</v>
      </c>
      <c r="G5929" t="s">
        <v>168</v>
      </c>
      <c r="H5929" t="s">
        <v>168</v>
      </c>
      <c r="I5929" t="s">
        <v>42</v>
      </c>
      <c r="J5929" t="s">
        <v>43</v>
      </c>
      <c r="K5929" t="s">
        <v>29</v>
      </c>
      <c r="L5929" t="s">
        <v>30</v>
      </c>
      <c r="M5929" t="s">
        <v>166</v>
      </c>
      <c r="N5929">
        <v>1092</v>
      </c>
      <c r="O5929" s="14">
        <v>0.82682123524136797</v>
      </c>
      <c r="P5929" s="14">
        <v>0.21824956033378801</v>
      </c>
      <c r="Q5929" t="str">
        <f t="shared" si="184"/>
        <v>35-49</v>
      </c>
      <c r="R5929" t="str">
        <f t="shared" si="185"/>
        <v>[oiPR2CiVJbf]|35-49|Female|Incidence_SUBNAT.Rt.T|CY2024Q3</v>
      </c>
    </row>
    <row r="5930" spans="4:18" x14ac:dyDescent="0.2">
      <c r="D5930" t="s">
        <v>104</v>
      </c>
      <c r="E5930" t="s">
        <v>105</v>
      </c>
      <c r="F5930" t="s">
        <v>106</v>
      </c>
      <c r="G5930" t="s">
        <v>168</v>
      </c>
      <c r="H5930" t="s">
        <v>168</v>
      </c>
      <c r="I5930" t="s">
        <v>44</v>
      </c>
      <c r="J5930" t="s">
        <v>45</v>
      </c>
      <c r="K5930" t="s">
        <v>29</v>
      </c>
      <c r="L5930" t="s">
        <v>30</v>
      </c>
      <c r="M5930" t="s">
        <v>166</v>
      </c>
      <c r="N5930">
        <v>879</v>
      </c>
      <c r="O5930" s="14">
        <v>0.77741634892299805</v>
      </c>
      <c r="P5930" s="14">
        <v>0.21824956033378801</v>
      </c>
      <c r="Q5930" t="str">
        <f t="shared" si="184"/>
        <v>50+</v>
      </c>
      <c r="R5930" t="str">
        <f t="shared" si="185"/>
        <v>[oiPR2CiVJbf]|50+|Female|Incidence_SUBNAT.Rt.T|CY2024Q3</v>
      </c>
    </row>
    <row r="5931" spans="4:18" x14ac:dyDescent="0.2">
      <c r="D5931" t="s">
        <v>104</v>
      </c>
      <c r="E5931" t="s">
        <v>105</v>
      </c>
      <c r="F5931" t="s">
        <v>106</v>
      </c>
      <c r="G5931" t="s">
        <v>168</v>
      </c>
      <c r="H5931" t="s">
        <v>168</v>
      </c>
      <c r="I5931" t="s">
        <v>27</v>
      </c>
      <c r="J5931" t="s">
        <v>28</v>
      </c>
      <c r="K5931" t="s">
        <v>47</v>
      </c>
      <c r="L5931" t="s">
        <v>48</v>
      </c>
      <c r="M5931" t="s">
        <v>166</v>
      </c>
      <c r="N5931">
        <v>1407</v>
      </c>
      <c r="O5931" s="14">
        <v>0.282774219056591</v>
      </c>
      <c r="P5931" s="14">
        <v>0.21824956033378801</v>
      </c>
      <c r="Q5931" t="str">
        <f t="shared" si="184"/>
        <v>&lt;01</v>
      </c>
      <c r="R5931" t="str">
        <f t="shared" si="185"/>
        <v>[oiPR2CiVJbf]|&lt;01|Male|Incidence_SUBNAT.Rt.T|CY2024Q3</v>
      </c>
    </row>
    <row r="5932" spans="4:18" x14ac:dyDescent="0.2">
      <c r="D5932" t="s">
        <v>104</v>
      </c>
      <c r="E5932" t="s">
        <v>105</v>
      </c>
      <c r="F5932" t="s">
        <v>106</v>
      </c>
      <c r="G5932" t="s">
        <v>168</v>
      </c>
      <c r="H5932" t="s">
        <v>168</v>
      </c>
      <c r="I5932" t="s">
        <v>32</v>
      </c>
      <c r="J5932" t="s">
        <v>33</v>
      </c>
      <c r="K5932" t="s">
        <v>47</v>
      </c>
      <c r="L5932" t="s">
        <v>48</v>
      </c>
      <c r="M5932" t="s">
        <v>166</v>
      </c>
      <c r="N5932">
        <v>1606</v>
      </c>
      <c r="O5932" s="14">
        <v>0.70156668475829098</v>
      </c>
      <c r="P5932" s="14">
        <v>0.21824956033378801</v>
      </c>
      <c r="Q5932" t="str">
        <f t="shared" si="184"/>
        <v>01-09</v>
      </c>
      <c r="R5932" t="str">
        <f t="shared" si="185"/>
        <v>[oiPR2CiVJbf]|01-09|Male|Incidence_SUBNAT.Rt.T|CY2024Q3</v>
      </c>
    </row>
    <row r="5933" spans="4:18" x14ac:dyDescent="0.2">
      <c r="D5933" t="s">
        <v>104</v>
      </c>
      <c r="E5933" t="s">
        <v>105</v>
      </c>
      <c r="F5933" t="s">
        <v>106</v>
      </c>
      <c r="G5933" t="s">
        <v>168</v>
      </c>
      <c r="H5933" t="s">
        <v>168</v>
      </c>
      <c r="I5933" t="s">
        <v>35</v>
      </c>
      <c r="J5933" t="s">
        <v>36</v>
      </c>
      <c r="K5933" t="s">
        <v>47</v>
      </c>
      <c r="L5933" t="s">
        <v>48</v>
      </c>
      <c r="M5933" t="s">
        <v>166</v>
      </c>
      <c r="N5933">
        <v>1702</v>
      </c>
      <c r="O5933" s="14">
        <v>0.64440980064682696</v>
      </c>
      <c r="P5933" s="14">
        <v>0.21824956033378801</v>
      </c>
      <c r="Q5933" t="str">
        <f t="shared" si="184"/>
        <v>10-14</v>
      </c>
      <c r="R5933" t="str">
        <f t="shared" si="185"/>
        <v>[oiPR2CiVJbf]|10-14|Male|Incidence_SUBNAT.Rt.T|CY2024Q3</v>
      </c>
    </row>
    <row r="5934" spans="4:18" x14ac:dyDescent="0.2">
      <c r="D5934" t="s">
        <v>104</v>
      </c>
      <c r="E5934" t="s">
        <v>105</v>
      </c>
      <c r="F5934" t="s">
        <v>106</v>
      </c>
      <c r="G5934" t="s">
        <v>168</v>
      </c>
      <c r="H5934" t="s">
        <v>168</v>
      </c>
      <c r="I5934" t="s">
        <v>37</v>
      </c>
      <c r="J5934" t="s">
        <v>38</v>
      </c>
      <c r="K5934" t="s">
        <v>47</v>
      </c>
      <c r="L5934" t="s">
        <v>48</v>
      </c>
      <c r="M5934" t="s">
        <v>166</v>
      </c>
      <c r="N5934">
        <v>1179</v>
      </c>
      <c r="O5934" s="14">
        <v>0.85711661120876703</v>
      </c>
      <c r="P5934" s="14">
        <v>0.21824956033378801</v>
      </c>
      <c r="Q5934" t="str">
        <f t="shared" si="184"/>
        <v>15-24</v>
      </c>
      <c r="R5934" t="str">
        <f t="shared" si="185"/>
        <v>[oiPR2CiVJbf]|15-24|Male|Incidence_SUBNAT.Rt.T|CY2024Q3</v>
      </c>
    </row>
    <row r="5935" spans="4:18" x14ac:dyDescent="0.2">
      <c r="D5935" t="s">
        <v>104</v>
      </c>
      <c r="E5935" t="s">
        <v>105</v>
      </c>
      <c r="F5935" t="s">
        <v>106</v>
      </c>
      <c r="G5935" t="s">
        <v>168</v>
      </c>
      <c r="H5935" t="s">
        <v>168</v>
      </c>
      <c r="I5935" t="s">
        <v>40</v>
      </c>
      <c r="J5935" t="s">
        <v>41</v>
      </c>
      <c r="K5935" t="s">
        <v>47</v>
      </c>
      <c r="L5935" t="s">
        <v>48</v>
      </c>
      <c r="M5935" t="s">
        <v>166</v>
      </c>
      <c r="N5935">
        <v>1453</v>
      </c>
      <c r="O5935" s="14">
        <v>0.48721403768286098</v>
      </c>
      <c r="P5935" s="14">
        <v>0.21824956033378801</v>
      </c>
      <c r="Q5935" t="str">
        <f t="shared" si="184"/>
        <v>25-34</v>
      </c>
      <c r="R5935" t="str">
        <f t="shared" si="185"/>
        <v>[oiPR2CiVJbf]|25-34|Male|Incidence_SUBNAT.Rt.T|CY2024Q3</v>
      </c>
    </row>
    <row r="5936" spans="4:18" x14ac:dyDescent="0.2">
      <c r="D5936" t="s">
        <v>104</v>
      </c>
      <c r="E5936" t="s">
        <v>105</v>
      </c>
      <c r="F5936" t="s">
        <v>106</v>
      </c>
      <c r="G5936" t="s">
        <v>168</v>
      </c>
      <c r="H5936" t="s">
        <v>168</v>
      </c>
      <c r="I5936" t="s">
        <v>42</v>
      </c>
      <c r="J5936" t="s">
        <v>43</v>
      </c>
      <c r="K5936" t="s">
        <v>47</v>
      </c>
      <c r="L5936" t="s">
        <v>48</v>
      </c>
      <c r="M5936" t="s">
        <v>166</v>
      </c>
      <c r="N5936">
        <v>1145</v>
      </c>
      <c r="O5936" s="14">
        <v>0.96159880934283104</v>
      </c>
      <c r="P5936" s="14">
        <v>0.21824956033378801</v>
      </c>
      <c r="Q5936" t="str">
        <f t="shared" si="184"/>
        <v>35-49</v>
      </c>
      <c r="R5936" t="str">
        <f t="shared" si="185"/>
        <v>[oiPR2CiVJbf]|35-49|Male|Incidence_SUBNAT.Rt.T|CY2024Q3</v>
      </c>
    </row>
    <row r="5937" spans="4:18" x14ac:dyDescent="0.2">
      <c r="D5937" t="s">
        <v>104</v>
      </c>
      <c r="E5937" t="s">
        <v>105</v>
      </c>
      <c r="F5937" t="s">
        <v>106</v>
      </c>
      <c r="G5937" t="s">
        <v>168</v>
      </c>
      <c r="H5937" t="s">
        <v>168</v>
      </c>
      <c r="I5937" t="s">
        <v>44</v>
      </c>
      <c r="J5937" t="s">
        <v>45</v>
      </c>
      <c r="K5937" t="s">
        <v>47</v>
      </c>
      <c r="L5937" t="s">
        <v>48</v>
      </c>
      <c r="M5937" t="s">
        <v>166</v>
      </c>
      <c r="N5937">
        <v>995</v>
      </c>
      <c r="O5937" s="14">
        <v>3.0518749495968198E-2</v>
      </c>
      <c r="P5937" s="14">
        <v>0.21824956033378801</v>
      </c>
      <c r="Q5937" t="str">
        <f t="shared" si="184"/>
        <v>50+</v>
      </c>
      <c r="R5937" t="str">
        <f t="shared" si="185"/>
        <v>[oiPR2CiVJbf]|50+|Male|Incidence_SUBNAT.Rt.T|CY2024Q3</v>
      </c>
    </row>
    <row r="5938" spans="4:18" x14ac:dyDescent="0.2">
      <c r="D5938" t="s">
        <v>107</v>
      </c>
      <c r="E5938" t="s">
        <v>108</v>
      </c>
      <c r="F5938" t="s">
        <v>109</v>
      </c>
      <c r="G5938" t="s">
        <v>168</v>
      </c>
      <c r="H5938" t="s">
        <v>168</v>
      </c>
      <c r="I5938" t="s">
        <v>27</v>
      </c>
      <c r="J5938" t="s">
        <v>28</v>
      </c>
      <c r="K5938" t="s">
        <v>29</v>
      </c>
      <c r="L5938" t="s">
        <v>30</v>
      </c>
      <c r="M5938" t="s">
        <v>166</v>
      </c>
      <c r="N5938">
        <v>1923</v>
      </c>
      <c r="O5938" s="14">
        <v>5.6771801318973303E-2</v>
      </c>
      <c r="P5938" s="14">
        <v>0.43422180437482899</v>
      </c>
      <c r="Q5938" t="str">
        <f t="shared" si="184"/>
        <v>&lt;01</v>
      </c>
      <c r="R5938" t="str">
        <f t="shared" si="185"/>
        <v>[ul0y9diGujK]|&lt;01|Female|Incidence_SUBNAT.Rt.T|CY2024Q3</v>
      </c>
    </row>
    <row r="5939" spans="4:18" x14ac:dyDescent="0.2">
      <c r="D5939" t="s">
        <v>107</v>
      </c>
      <c r="E5939" t="s">
        <v>108</v>
      </c>
      <c r="F5939" t="s">
        <v>109</v>
      </c>
      <c r="G5939" t="s">
        <v>168</v>
      </c>
      <c r="H5939" t="s">
        <v>168</v>
      </c>
      <c r="I5939" t="s">
        <v>32</v>
      </c>
      <c r="J5939" t="s">
        <v>33</v>
      </c>
      <c r="K5939" t="s">
        <v>29</v>
      </c>
      <c r="L5939" t="s">
        <v>30</v>
      </c>
      <c r="M5939" t="s">
        <v>166</v>
      </c>
      <c r="N5939">
        <v>1075</v>
      </c>
      <c r="O5939" s="14">
        <v>0.54321306291967597</v>
      </c>
      <c r="P5939" s="14">
        <v>0.43422180437482899</v>
      </c>
      <c r="Q5939" t="str">
        <f t="shared" si="184"/>
        <v>01-09</v>
      </c>
      <c r="R5939" t="str">
        <f t="shared" si="185"/>
        <v>[ul0y9diGujK]|01-09|Female|Incidence_SUBNAT.Rt.T|CY2024Q3</v>
      </c>
    </row>
    <row r="5940" spans="4:18" x14ac:dyDescent="0.2">
      <c r="D5940" t="s">
        <v>107</v>
      </c>
      <c r="E5940" t="s">
        <v>108</v>
      </c>
      <c r="F5940" t="s">
        <v>109</v>
      </c>
      <c r="G5940" t="s">
        <v>168</v>
      </c>
      <c r="H5940" t="s">
        <v>168</v>
      </c>
      <c r="I5940" t="s">
        <v>35</v>
      </c>
      <c r="J5940" t="s">
        <v>36</v>
      </c>
      <c r="K5940" t="s">
        <v>29</v>
      </c>
      <c r="L5940" t="s">
        <v>30</v>
      </c>
      <c r="M5940" t="s">
        <v>166</v>
      </c>
      <c r="N5940">
        <v>1611</v>
      </c>
      <c r="O5940" s="14">
        <v>5.57934553362429E-2</v>
      </c>
      <c r="P5940" s="14">
        <v>0.43422180437482899</v>
      </c>
      <c r="Q5940" t="str">
        <f t="shared" si="184"/>
        <v>10-14</v>
      </c>
      <c r="R5940" t="str">
        <f t="shared" si="185"/>
        <v>[ul0y9diGujK]|10-14|Female|Incidence_SUBNAT.Rt.T|CY2024Q3</v>
      </c>
    </row>
    <row r="5941" spans="4:18" x14ac:dyDescent="0.2">
      <c r="D5941" t="s">
        <v>107</v>
      </c>
      <c r="E5941" t="s">
        <v>108</v>
      </c>
      <c r="F5941" t="s">
        <v>109</v>
      </c>
      <c r="G5941" t="s">
        <v>168</v>
      </c>
      <c r="H5941" t="s">
        <v>168</v>
      </c>
      <c r="I5941" t="s">
        <v>37</v>
      </c>
      <c r="J5941" t="s">
        <v>38</v>
      </c>
      <c r="K5941" t="s">
        <v>29</v>
      </c>
      <c r="L5941" t="s">
        <v>30</v>
      </c>
      <c r="M5941" t="s">
        <v>166</v>
      </c>
      <c r="N5941">
        <v>1805</v>
      </c>
      <c r="O5941" s="14">
        <v>0.66110540647059701</v>
      </c>
      <c r="P5941" s="14">
        <v>0.43422180437482899</v>
      </c>
      <c r="Q5941" t="str">
        <f t="shared" si="184"/>
        <v>15-24</v>
      </c>
      <c r="R5941" t="str">
        <f t="shared" si="185"/>
        <v>[ul0y9diGujK]|15-24|Female|Incidence_SUBNAT.Rt.T|CY2024Q3</v>
      </c>
    </row>
    <row r="5942" spans="4:18" x14ac:dyDescent="0.2">
      <c r="D5942" t="s">
        <v>107</v>
      </c>
      <c r="E5942" t="s">
        <v>108</v>
      </c>
      <c r="F5942" t="s">
        <v>109</v>
      </c>
      <c r="G5942" t="s">
        <v>168</v>
      </c>
      <c r="H5942" t="s">
        <v>168</v>
      </c>
      <c r="I5942" t="s">
        <v>40</v>
      </c>
      <c r="J5942" t="s">
        <v>41</v>
      </c>
      <c r="K5942" t="s">
        <v>29</v>
      </c>
      <c r="L5942" t="s">
        <v>30</v>
      </c>
      <c r="M5942" t="s">
        <v>166</v>
      </c>
      <c r="N5942">
        <v>1253</v>
      </c>
      <c r="O5942" s="14">
        <v>0.56925118225626603</v>
      </c>
      <c r="P5942" s="14">
        <v>0.43422180437482899</v>
      </c>
      <c r="Q5942" t="str">
        <f t="shared" si="184"/>
        <v>25-34</v>
      </c>
      <c r="R5942" t="str">
        <f t="shared" si="185"/>
        <v>[ul0y9diGujK]|25-34|Female|Incidence_SUBNAT.Rt.T|CY2024Q3</v>
      </c>
    </row>
    <row r="5943" spans="4:18" x14ac:dyDescent="0.2">
      <c r="D5943" t="s">
        <v>107</v>
      </c>
      <c r="E5943" t="s">
        <v>108</v>
      </c>
      <c r="F5943" t="s">
        <v>109</v>
      </c>
      <c r="G5943" t="s">
        <v>168</v>
      </c>
      <c r="H5943" t="s">
        <v>168</v>
      </c>
      <c r="I5943" t="s">
        <v>42</v>
      </c>
      <c r="J5943" t="s">
        <v>43</v>
      </c>
      <c r="K5943" t="s">
        <v>29</v>
      </c>
      <c r="L5943" t="s">
        <v>30</v>
      </c>
      <c r="M5943" t="s">
        <v>166</v>
      </c>
      <c r="N5943">
        <v>1306</v>
      </c>
      <c r="O5943" s="14">
        <v>0.46172156627290001</v>
      </c>
      <c r="P5943" s="14">
        <v>0.43422180437482899</v>
      </c>
      <c r="Q5943" t="str">
        <f t="shared" si="184"/>
        <v>35-49</v>
      </c>
      <c r="R5943" t="str">
        <f t="shared" si="185"/>
        <v>[ul0y9diGujK]|35-49|Female|Incidence_SUBNAT.Rt.T|CY2024Q3</v>
      </c>
    </row>
    <row r="5944" spans="4:18" x14ac:dyDescent="0.2">
      <c r="D5944" t="s">
        <v>107</v>
      </c>
      <c r="E5944" t="s">
        <v>108</v>
      </c>
      <c r="F5944" t="s">
        <v>109</v>
      </c>
      <c r="G5944" t="s">
        <v>168</v>
      </c>
      <c r="H5944" t="s">
        <v>168</v>
      </c>
      <c r="I5944" t="s">
        <v>44</v>
      </c>
      <c r="J5944" t="s">
        <v>45</v>
      </c>
      <c r="K5944" t="s">
        <v>29</v>
      </c>
      <c r="L5944" t="s">
        <v>30</v>
      </c>
      <c r="M5944" t="s">
        <v>166</v>
      </c>
      <c r="N5944">
        <v>1388</v>
      </c>
      <c r="O5944" s="14">
        <v>8.6254585301503497E-2</v>
      </c>
      <c r="P5944" s="14">
        <v>0.43422180437482899</v>
      </c>
      <c r="Q5944" t="str">
        <f t="shared" si="184"/>
        <v>50+</v>
      </c>
      <c r="R5944" t="str">
        <f t="shared" si="185"/>
        <v>[ul0y9diGujK]|50+|Female|Incidence_SUBNAT.Rt.T|CY2024Q3</v>
      </c>
    </row>
    <row r="5945" spans="4:18" x14ac:dyDescent="0.2">
      <c r="D5945" t="s">
        <v>107</v>
      </c>
      <c r="E5945" t="s">
        <v>108</v>
      </c>
      <c r="F5945" t="s">
        <v>109</v>
      </c>
      <c r="G5945" t="s">
        <v>168</v>
      </c>
      <c r="H5945" t="s">
        <v>168</v>
      </c>
      <c r="I5945" t="s">
        <v>27</v>
      </c>
      <c r="J5945" t="s">
        <v>28</v>
      </c>
      <c r="K5945" t="s">
        <v>47</v>
      </c>
      <c r="L5945" t="s">
        <v>48</v>
      </c>
      <c r="M5945" t="s">
        <v>166</v>
      </c>
      <c r="N5945">
        <v>1974</v>
      </c>
      <c r="O5945" s="14">
        <v>0.234689956298098</v>
      </c>
      <c r="P5945" s="14">
        <v>0.43422180437482899</v>
      </c>
      <c r="Q5945" t="str">
        <f t="shared" si="184"/>
        <v>&lt;01</v>
      </c>
      <c r="R5945" t="str">
        <f t="shared" si="185"/>
        <v>[ul0y9diGujK]|&lt;01|Male|Incidence_SUBNAT.Rt.T|CY2024Q3</v>
      </c>
    </row>
    <row r="5946" spans="4:18" x14ac:dyDescent="0.2">
      <c r="D5946" t="s">
        <v>107</v>
      </c>
      <c r="E5946" t="s">
        <v>108</v>
      </c>
      <c r="F5946" t="s">
        <v>109</v>
      </c>
      <c r="G5946" t="s">
        <v>168</v>
      </c>
      <c r="H5946" t="s">
        <v>168</v>
      </c>
      <c r="I5946" t="s">
        <v>32</v>
      </c>
      <c r="J5946" t="s">
        <v>33</v>
      </c>
      <c r="K5946" t="s">
        <v>47</v>
      </c>
      <c r="L5946" t="s">
        <v>48</v>
      </c>
      <c r="M5946" t="s">
        <v>166</v>
      </c>
      <c r="N5946">
        <v>1769</v>
      </c>
      <c r="O5946" s="14">
        <v>0.84758602222427704</v>
      </c>
      <c r="P5946" s="14">
        <v>0.43422180437482899</v>
      </c>
      <c r="Q5946" t="str">
        <f t="shared" si="184"/>
        <v>01-09</v>
      </c>
      <c r="R5946" t="str">
        <f t="shared" si="185"/>
        <v>[ul0y9diGujK]|01-09|Male|Incidence_SUBNAT.Rt.T|CY2024Q3</v>
      </c>
    </row>
    <row r="5947" spans="4:18" x14ac:dyDescent="0.2">
      <c r="D5947" t="s">
        <v>107</v>
      </c>
      <c r="E5947" t="s">
        <v>108</v>
      </c>
      <c r="F5947" t="s">
        <v>109</v>
      </c>
      <c r="G5947" t="s">
        <v>168</v>
      </c>
      <c r="H5947" t="s">
        <v>168</v>
      </c>
      <c r="I5947" t="s">
        <v>35</v>
      </c>
      <c r="J5947" t="s">
        <v>36</v>
      </c>
      <c r="K5947" t="s">
        <v>47</v>
      </c>
      <c r="L5947" t="s">
        <v>48</v>
      </c>
      <c r="M5947" t="s">
        <v>166</v>
      </c>
      <c r="N5947">
        <v>1969</v>
      </c>
      <c r="O5947" s="14">
        <v>0.34458521404303599</v>
      </c>
      <c r="P5947" s="14">
        <v>0.43422180437482899</v>
      </c>
      <c r="Q5947" t="str">
        <f t="shared" si="184"/>
        <v>10-14</v>
      </c>
      <c r="R5947" t="str">
        <f t="shared" si="185"/>
        <v>[ul0y9diGujK]|10-14|Male|Incidence_SUBNAT.Rt.T|CY2024Q3</v>
      </c>
    </row>
    <row r="5948" spans="4:18" x14ac:dyDescent="0.2">
      <c r="D5948" t="s">
        <v>107</v>
      </c>
      <c r="E5948" t="s">
        <v>108</v>
      </c>
      <c r="F5948" t="s">
        <v>109</v>
      </c>
      <c r="G5948" t="s">
        <v>168</v>
      </c>
      <c r="H5948" t="s">
        <v>168</v>
      </c>
      <c r="I5948" t="s">
        <v>37</v>
      </c>
      <c r="J5948" t="s">
        <v>38</v>
      </c>
      <c r="K5948" t="s">
        <v>47</v>
      </c>
      <c r="L5948" t="s">
        <v>48</v>
      </c>
      <c r="M5948" t="s">
        <v>166</v>
      </c>
      <c r="N5948">
        <v>1074</v>
      </c>
      <c r="O5948" s="14">
        <v>0.50506177847273603</v>
      </c>
      <c r="P5948" s="14">
        <v>0.43422180437482899</v>
      </c>
      <c r="Q5948" t="str">
        <f t="shared" si="184"/>
        <v>15-24</v>
      </c>
      <c r="R5948" t="str">
        <f t="shared" si="185"/>
        <v>[ul0y9diGujK]|15-24|Male|Incidence_SUBNAT.Rt.T|CY2024Q3</v>
      </c>
    </row>
    <row r="5949" spans="4:18" x14ac:dyDescent="0.2">
      <c r="D5949" t="s">
        <v>107</v>
      </c>
      <c r="E5949" t="s">
        <v>108</v>
      </c>
      <c r="F5949" t="s">
        <v>109</v>
      </c>
      <c r="G5949" t="s">
        <v>168</v>
      </c>
      <c r="H5949" t="s">
        <v>168</v>
      </c>
      <c r="I5949" t="s">
        <v>40</v>
      </c>
      <c r="J5949" t="s">
        <v>41</v>
      </c>
      <c r="K5949" t="s">
        <v>47</v>
      </c>
      <c r="L5949" t="s">
        <v>48</v>
      </c>
      <c r="M5949" t="s">
        <v>166</v>
      </c>
      <c r="N5949">
        <v>1951</v>
      </c>
      <c r="O5949" s="14">
        <v>0.725924524478614</v>
      </c>
      <c r="P5949" s="14">
        <v>0.43422180437482899</v>
      </c>
      <c r="Q5949" t="str">
        <f t="shared" si="184"/>
        <v>25-34</v>
      </c>
      <c r="R5949" t="str">
        <f t="shared" si="185"/>
        <v>[ul0y9diGujK]|25-34|Male|Incidence_SUBNAT.Rt.T|CY2024Q3</v>
      </c>
    </row>
    <row r="5950" spans="4:18" x14ac:dyDescent="0.2">
      <c r="D5950" t="s">
        <v>107</v>
      </c>
      <c r="E5950" t="s">
        <v>108</v>
      </c>
      <c r="F5950" t="s">
        <v>109</v>
      </c>
      <c r="G5950" t="s">
        <v>168</v>
      </c>
      <c r="H5950" t="s">
        <v>168</v>
      </c>
      <c r="I5950" t="s">
        <v>42</v>
      </c>
      <c r="J5950" t="s">
        <v>43</v>
      </c>
      <c r="K5950" t="s">
        <v>47</v>
      </c>
      <c r="L5950" t="s">
        <v>48</v>
      </c>
      <c r="M5950" t="s">
        <v>166</v>
      </c>
      <c r="N5950">
        <v>1347</v>
      </c>
      <c r="O5950" s="14">
        <v>0.43319742358289698</v>
      </c>
      <c r="P5950" s="14">
        <v>0.43422180437482899</v>
      </c>
      <c r="Q5950" t="str">
        <f t="shared" si="184"/>
        <v>35-49</v>
      </c>
      <c r="R5950" t="str">
        <f t="shared" si="185"/>
        <v>[ul0y9diGujK]|35-49|Male|Incidence_SUBNAT.Rt.T|CY2024Q3</v>
      </c>
    </row>
    <row r="5951" spans="4:18" x14ac:dyDescent="0.2">
      <c r="D5951" t="s">
        <v>107</v>
      </c>
      <c r="E5951" t="s">
        <v>108</v>
      </c>
      <c r="F5951" t="s">
        <v>109</v>
      </c>
      <c r="G5951" t="s">
        <v>168</v>
      </c>
      <c r="H5951" t="s">
        <v>168</v>
      </c>
      <c r="I5951" t="s">
        <v>44</v>
      </c>
      <c r="J5951" t="s">
        <v>45</v>
      </c>
      <c r="K5951" t="s">
        <v>47</v>
      </c>
      <c r="L5951" t="s">
        <v>48</v>
      </c>
      <c r="M5951" t="s">
        <v>166</v>
      </c>
      <c r="N5951">
        <v>1321</v>
      </c>
      <c r="O5951" s="14">
        <v>0.76395846414379798</v>
      </c>
      <c r="P5951" s="14">
        <v>0.43422180437482899</v>
      </c>
      <c r="Q5951" t="str">
        <f t="shared" si="184"/>
        <v>50+</v>
      </c>
      <c r="R5951" t="str">
        <f t="shared" si="185"/>
        <v>[ul0y9diGujK]|50+|Male|Incidence_SUBNAT.Rt.T|CY2024Q3</v>
      </c>
    </row>
    <row r="5952" spans="4:18" x14ac:dyDescent="0.2">
      <c r="D5952" t="s">
        <v>110</v>
      </c>
      <c r="E5952" t="s">
        <v>111</v>
      </c>
      <c r="F5952" t="s">
        <v>112</v>
      </c>
      <c r="G5952" t="s">
        <v>168</v>
      </c>
      <c r="H5952" t="s">
        <v>168</v>
      </c>
      <c r="I5952" t="s">
        <v>27</v>
      </c>
      <c r="J5952" t="s">
        <v>28</v>
      </c>
      <c r="K5952" t="s">
        <v>29</v>
      </c>
      <c r="L5952" t="s">
        <v>30</v>
      </c>
      <c r="M5952" t="s">
        <v>166</v>
      </c>
      <c r="N5952">
        <v>1331</v>
      </c>
      <c r="O5952" s="14">
        <v>0.40881902677938298</v>
      </c>
      <c r="P5952" s="14">
        <v>0.33776879496872397</v>
      </c>
      <c r="Q5952" t="str">
        <f t="shared" si="184"/>
        <v>&lt;01</v>
      </c>
      <c r="R5952" t="str">
        <f t="shared" si="185"/>
        <v>[U8c0so51kT6]|&lt;01|Female|Incidence_SUBNAT.Rt.T|CY2024Q3</v>
      </c>
    </row>
    <row r="5953" spans="4:18" x14ac:dyDescent="0.2">
      <c r="D5953" t="s">
        <v>110</v>
      </c>
      <c r="E5953" t="s">
        <v>111</v>
      </c>
      <c r="F5953" t="s">
        <v>112</v>
      </c>
      <c r="G5953" t="s">
        <v>168</v>
      </c>
      <c r="H5953" t="s">
        <v>168</v>
      </c>
      <c r="I5953" t="s">
        <v>32</v>
      </c>
      <c r="J5953" t="s">
        <v>33</v>
      </c>
      <c r="K5953" t="s">
        <v>29</v>
      </c>
      <c r="L5953" t="s">
        <v>30</v>
      </c>
      <c r="M5953" t="s">
        <v>166</v>
      </c>
      <c r="N5953">
        <v>864</v>
      </c>
      <c r="O5953" s="14">
        <v>0.19555478007532701</v>
      </c>
      <c r="P5953" s="14">
        <v>0.33776879496872397</v>
      </c>
      <c r="Q5953" t="str">
        <f t="shared" si="184"/>
        <v>01-09</v>
      </c>
      <c r="R5953" t="str">
        <f t="shared" si="185"/>
        <v>[U8c0so51kT6]|01-09|Female|Incidence_SUBNAT.Rt.T|CY2024Q3</v>
      </c>
    </row>
    <row r="5954" spans="4:18" x14ac:dyDescent="0.2">
      <c r="D5954" t="s">
        <v>110</v>
      </c>
      <c r="E5954" t="s">
        <v>111</v>
      </c>
      <c r="F5954" t="s">
        <v>112</v>
      </c>
      <c r="G5954" t="s">
        <v>168</v>
      </c>
      <c r="H5954" t="s">
        <v>168</v>
      </c>
      <c r="I5954" t="s">
        <v>35</v>
      </c>
      <c r="J5954" t="s">
        <v>36</v>
      </c>
      <c r="K5954" t="s">
        <v>29</v>
      </c>
      <c r="L5954" t="s">
        <v>30</v>
      </c>
      <c r="M5954" t="s">
        <v>166</v>
      </c>
      <c r="N5954">
        <v>1483</v>
      </c>
      <c r="O5954" s="14">
        <v>0.67201852286234498</v>
      </c>
      <c r="P5954" s="14">
        <v>0.33776879496872397</v>
      </c>
      <c r="Q5954" t="str">
        <f t="shared" ref="Q5954:Q6017" si="186">SUBSTITUTE(SUBSTITUTE($I5954,CHAR(61),""),CHAR(34),"")</f>
        <v>10-14</v>
      </c>
      <c r="R5954" t="str">
        <f t="shared" ref="R5954:R6017" si="187">IF($D5954&lt;&gt;"","["&amp;$E5954&amp;"]"&amp;"|"&amp;$Q5954&amp;"|"&amp;$K5954&amp;"|"&amp;$G5954&amp;"|"&amp;IF($G5954="TX_CURR_SUBNAT.R","CY2022Q4",$M5954),"")</f>
        <v>[U8c0so51kT6]|10-14|Female|Incidence_SUBNAT.Rt.T|CY2024Q3</v>
      </c>
    </row>
    <row r="5955" spans="4:18" x14ac:dyDescent="0.2">
      <c r="D5955" t="s">
        <v>110</v>
      </c>
      <c r="E5955" t="s">
        <v>111</v>
      </c>
      <c r="F5955" t="s">
        <v>112</v>
      </c>
      <c r="G5955" t="s">
        <v>168</v>
      </c>
      <c r="H5955" t="s">
        <v>168</v>
      </c>
      <c r="I5955" t="s">
        <v>37</v>
      </c>
      <c r="J5955" t="s">
        <v>38</v>
      </c>
      <c r="K5955" t="s">
        <v>29</v>
      </c>
      <c r="L5955" t="s">
        <v>30</v>
      </c>
      <c r="M5955" t="s">
        <v>166</v>
      </c>
      <c r="N5955">
        <v>699</v>
      </c>
      <c r="O5955" s="14">
        <v>1.67320887558162E-2</v>
      </c>
      <c r="P5955" s="14">
        <v>0.33776879496872397</v>
      </c>
      <c r="Q5955" t="str">
        <f t="shared" si="186"/>
        <v>15-24</v>
      </c>
      <c r="R5955" t="str">
        <f t="shared" si="187"/>
        <v>[U8c0so51kT6]|15-24|Female|Incidence_SUBNAT.Rt.T|CY2024Q3</v>
      </c>
    </row>
    <row r="5956" spans="4:18" x14ac:dyDescent="0.2">
      <c r="D5956" t="s">
        <v>110</v>
      </c>
      <c r="E5956" t="s">
        <v>111</v>
      </c>
      <c r="F5956" t="s">
        <v>112</v>
      </c>
      <c r="G5956" t="s">
        <v>168</v>
      </c>
      <c r="H5956" t="s">
        <v>168</v>
      </c>
      <c r="I5956" t="s">
        <v>40</v>
      </c>
      <c r="J5956" t="s">
        <v>41</v>
      </c>
      <c r="K5956" t="s">
        <v>29</v>
      </c>
      <c r="L5956" t="s">
        <v>30</v>
      </c>
      <c r="M5956" t="s">
        <v>166</v>
      </c>
      <c r="N5956">
        <v>1443</v>
      </c>
      <c r="O5956" s="14">
        <v>0.21613934589549899</v>
      </c>
      <c r="P5956" s="14">
        <v>0.33776879496872397</v>
      </c>
      <c r="Q5956" t="str">
        <f t="shared" si="186"/>
        <v>25-34</v>
      </c>
      <c r="R5956" t="str">
        <f t="shared" si="187"/>
        <v>[U8c0so51kT6]|25-34|Female|Incidence_SUBNAT.Rt.T|CY2024Q3</v>
      </c>
    </row>
    <row r="5957" spans="4:18" x14ac:dyDescent="0.2">
      <c r="D5957" t="s">
        <v>110</v>
      </c>
      <c r="E5957" t="s">
        <v>111</v>
      </c>
      <c r="F5957" t="s">
        <v>112</v>
      </c>
      <c r="G5957" t="s">
        <v>168</v>
      </c>
      <c r="H5957" t="s">
        <v>168</v>
      </c>
      <c r="I5957" t="s">
        <v>42</v>
      </c>
      <c r="J5957" t="s">
        <v>43</v>
      </c>
      <c r="K5957" t="s">
        <v>29</v>
      </c>
      <c r="L5957" t="s">
        <v>30</v>
      </c>
      <c r="M5957" t="s">
        <v>166</v>
      </c>
      <c r="N5957">
        <v>566</v>
      </c>
      <c r="O5957" s="14">
        <v>0.57801966648548797</v>
      </c>
      <c r="P5957" s="14">
        <v>0.33776879496872397</v>
      </c>
      <c r="Q5957" t="str">
        <f t="shared" si="186"/>
        <v>35-49</v>
      </c>
      <c r="R5957" t="str">
        <f t="shared" si="187"/>
        <v>[U8c0so51kT6]|35-49|Female|Incidence_SUBNAT.Rt.T|CY2024Q3</v>
      </c>
    </row>
    <row r="5958" spans="4:18" x14ac:dyDescent="0.2">
      <c r="D5958" t="s">
        <v>110</v>
      </c>
      <c r="E5958" t="s">
        <v>111</v>
      </c>
      <c r="F5958" t="s">
        <v>112</v>
      </c>
      <c r="G5958" t="s">
        <v>168</v>
      </c>
      <c r="H5958" t="s">
        <v>168</v>
      </c>
      <c r="I5958" t="s">
        <v>44</v>
      </c>
      <c r="J5958" t="s">
        <v>45</v>
      </c>
      <c r="K5958" t="s">
        <v>29</v>
      </c>
      <c r="L5958" t="s">
        <v>30</v>
      </c>
      <c r="M5958" t="s">
        <v>166</v>
      </c>
      <c r="N5958">
        <v>1492</v>
      </c>
      <c r="O5958" s="14">
        <v>0.47969689127057802</v>
      </c>
      <c r="P5958" s="14">
        <v>0.33776879496872397</v>
      </c>
      <c r="Q5958" t="str">
        <f t="shared" si="186"/>
        <v>50+</v>
      </c>
      <c r="R5958" t="str">
        <f t="shared" si="187"/>
        <v>[U8c0so51kT6]|50+|Female|Incidence_SUBNAT.Rt.T|CY2024Q3</v>
      </c>
    </row>
    <row r="5959" spans="4:18" x14ac:dyDescent="0.2">
      <c r="D5959" t="s">
        <v>110</v>
      </c>
      <c r="E5959" t="s">
        <v>111</v>
      </c>
      <c r="F5959" t="s">
        <v>112</v>
      </c>
      <c r="G5959" t="s">
        <v>168</v>
      </c>
      <c r="H5959" t="s">
        <v>168</v>
      </c>
      <c r="I5959" t="s">
        <v>27</v>
      </c>
      <c r="J5959" t="s">
        <v>28</v>
      </c>
      <c r="K5959" t="s">
        <v>47</v>
      </c>
      <c r="L5959" t="s">
        <v>48</v>
      </c>
      <c r="M5959" t="s">
        <v>166</v>
      </c>
      <c r="N5959">
        <v>1745</v>
      </c>
      <c r="O5959" s="14">
        <v>0.44837098498828698</v>
      </c>
      <c r="P5959" s="14">
        <v>0.33776879496872397</v>
      </c>
      <c r="Q5959" t="str">
        <f t="shared" si="186"/>
        <v>&lt;01</v>
      </c>
      <c r="R5959" t="str">
        <f t="shared" si="187"/>
        <v>[U8c0so51kT6]|&lt;01|Male|Incidence_SUBNAT.Rt.T|CY2024Q3</v>
      </c>
    </row>
    <row r="5960" spans="4:18" x14ac:dyDescent="0.2">
      <c r="D5960" t="s">
        <v>110</v>
      </c>
      <c r="E5960" t="s">
        <v>111</v>
      </c>
      <c r="F5960" t="s">
        <v>112</v>
      </c>
      <c r="G5960" t="s">
        <v>168</v>
      </c>
      <c r="H5960" t="s">
        <v>168</v>
      </c>
      <c r="I5960" t="s">
        <v>32</v>
      </c>
      <c r="J5960" t="s">
        <v>33</v>
      </c>
      <c r="K5960" t="s">
        <v>47</v>
      </c>
      <c r="L5960" t="s">
        <v>48</v>
      </c>
      <c r="M5960" t="s">
        <v>166</v>
      </c>
      <c r="N5960">
        <v>995</v>
      </c>
      <c r="O5960" s="14">
        <v>8.9322449872270199E-2</v>
      </c>
      <c r="P5960" s="14">
        <v>0.33776879496872397</v>
      </c>
      <c r="Q5960" t="str">
        <f t="shared" si="186"/>
        <v>01-09</v>
      </c>
      <c r="R5960" t="str">
        <f t="shared" si="187"/>
        <v>[U8c0so51kT6]|01-09|Male|Incidence_SUBNAT.Rt.T|CY2024Q3</v>
      </c>
    </row>
    <row r="5961" spans="4:18" x14ac:dyDescent="0.2">
      <c r="D5961" t="s">
        <v>110</v>
      </c>
      <c r="E5961" t="s">
        <v>111</v>
      </c>
      <c r="F5961" t="s">
        <v>112</v>
      </c>
      <c r="G5961" t="s">
        <v>168</v>
      </c>
      <c r="H5961" t="s">
        <v>168</v>
      </c>
      <c r="I5961" t="s">
        <v>35</v>
      </c>
      <c r="J5961" t="s">
        <v>36</v>
      </c>
      <c r="K5961" t="s">
        <v>47</v>
      </c>
      <c r="L5961" t="s">
        <v>48</v>
      </c>
      <c r="M5961" t="s">
        <v>166</v>
      </c>
      <c r="N5961">
        <v>1566</v>
      </c>
      <c r="O5961" s="14">
        <v>0.92528758523985699</v>
      </c>
      <c r="P5961" s="14">
        <v>0.33776879496872397</v>
      </c>
      <c r="Q5961" t="str">
        <f t="shared" si="186"/>
        <v>10-14</v>
      </c>
      <c r="R5961" t="str">
        <f t="shared" si="187"/>
        <v>[U8c0so51kT6]|10-14|Male|Incidence_SUBNAT.Rt.T|CY2024Q3</v>
      </c>
    </row>
    <row r="5962" spans="4:18" x14ac:dyDescent="0.2">
      <c r="D5962" t="s">
        <v>110</v>
      </c>
      <c r="E5962" t="s">
        <v>111</v>
      </c>
      <c r="F5962" t="s">
        <v>112</v>
      </c>
      <c r="G5962" t="s">
        <v>168</v>
      </c>
      <c r="H5962" t="s">
        <v>168</v>
      </c>
      <c r="I5962" t="s">
        <v>37</v>
      </c>
      <c r="J5962" t="s">
        <v>38</v>
      </c>
      <c r="K5962" t="s">
        <v>47</v>
      </c>
      <c r="L5962" t="s">
        <v>48</v>
      </c>
      <c r="M5962" t="s">
        <v>166</v>
      </c>
      <c r="N5962">
        <v>1561</v>
      </c>
      <c r="O5962" s="14">
        <v>0.97254344425164196</v>
      </c>
      <c r="P5962" s="14">
        <v>0.33776879496872397</v>
      </c>
      <c r="Q5962" t="str">
        <f t="shared" si="186"/>
        <v>15-24</v>
      </c>
      <c r="R5962" t="str">
        <f t="shared" si="187"/>
        <v>[U8c0so51kT6]|15-24|Male|Incidence_SUBNAT.Rt.T|CY2024Q3</v>
      </c>
    </row>
    <row r="5963" spans="4:18" x14ac:dyDescent="0.2">
      <c r="D5963" t="s">
        <v>110</v>
      </c>
      <c r="E5963" t="s">
        <v>111</v>
      </c>
      <c r="F5963" t="s">
        <v>112</v>
      </c>
      <c r="G5963" t="s">
        <v>168</v>
      </c>
      <c r="H5963" t="s">
        <v>168</v>
      </c>
      <c r="I5963" t="s">
        <v>40</v>
      </c>
      <c r="J5963" t="s">
        <v>41</v>
      </c>
      <c r="K5963" t="s">
        <v>47</v>
      </c>
      <c r="L5963" t="s">
        <v>48</v>
      </c>
      <c r="M5963" t="s">
        <v>166</v>
      </c>
      <c r="N5963">
        <v>1182</v>
      </c>
      <c r="O5963" s="14">
        <v>0.478311448823661</v>
      </c>
      <c r="P5963" s="14">
        <v>0.33776879496872397</v>
      </c>
      <c r="Q5963" t="str">
        <f t="shared" si="186"/>
        <v>25-34</v>
      </c>
      <c r="R5963" t="str">
        <f t="shared" si="187"/>
        <v>[U8c0so51kT6]|25-34|Male|Incidence_SUBNAT.Rt.T|CY2024Q3</v>
      </c>
    </row>
    <row r="5964" spans="4:18" x14ac:dyDescent="0.2">
      <c r="D5964" t="s">
        <v>110</v>
      </c>
      <c r="E5964" t="s">
        <v>111</v>
      </c>
      <c r="F5964" t="s">
        <v>112</v>
      </c>
      <c r="G5964" t="s">
        <v>168</v>
      </c>
      <c r="H5964" t="s">
        <v>168</v>
      </c>
      <c r="I5964" t="s">
        <v>42</v>
      </c>
      <c r="J5964" t="s">
        <v>43</v>
      </c>
      <c r="K5964" t="s">
        <v>47</v>
      </c>
      <c r="L5964" t="s">
        <v>48</v>
      </c>
      <c r="M5964" t="s">
        <v>166</v>
      </c>
      <c r="N5964">
        <v>691</v>
      </c>
      <c r="O5964" s="14">
        <v>0.77351497393101498</v>
      </c>
      <c r="P5964" s="14">
        <v>0.33776879496872397</v>
      </c>
      <c r="Q5964" t="str">
        <f t="shared" si="186"/>
        <v>35-49</v>
      </c>
      <c r="R5964" t="str">
        <f t="shared" si="187"/>
        <v>[U8c0so51kT6]|35-49|Male|Incidence_SUBNAT.Rt.T|CY2024Q3</v>
      </c>
    </row>
    <row r="5965" spans="4:18" x14ac:dyDescent="0.2">
      <c r="D5965" t="s">
        <v>110</v>
      </c>
      <c r="E5965" t="s">
        <v>111</v>
      </c>
      <c r="F5965" t="s">
        <v>112</v>
      </c>
      <c r="G5965" t="s">
        <v>168</v>
      </c>
      <c r="H5965" t="s">
        <v>168</v>
      </c>
      <c r="I5965" t="s">
        <v>44</v>
      </c>
      <c r="J5965" t="s">
        <v>45</v>
      </c>
      <c r="K5965" t="s">
        <v>47</v>
      </c>
      <c r="L5965" t="s">
        <v>48</v>
      </c>
      <c r="M5965" t="s">
        <v>166</v>
      </c>
      <c r="N5965">
        <v>1518</v>
      </c>
      <c r="O5965" s="14">
        <v>1.75749990157783E-2</v>
      </c>
      <c r="P5965" s="14">
        <v>0.33776879496872397</v>
      </c>
      <c r="Q5965" t="str">
        <f t="shared" si="186"/>
        <v>50+</v>
      </c>
      <c r="R5965" t="str">
        <f t="shared" si="187"/>
        <v>[U8c0so51kT6]|50+|Male|Incidence_SUBNAT.Rt.T|CY2024Q3</v>
      </c>
    </row>
    <row r="5966" spans="4:18" x14ac:dyDescent="0.2">
      <c r="D5966" t="s">
        <v>113</v>
      </c>
      <c r="E5966" t="s">
        <v>114</v>
      </c>
      <c r="F5966" t="s">
        <v>115</v>
      </c>
      <c r="G5966" t="s">
        <v>168</v>
      </c>
      <c r="H5966" t="s">
        <v>168</v>
      </c>
      <c r="I5966" t="s">
        <v>27</v>
      </c>
      <c r="J5966" t="s">
        <v>28</v>
      </c>
      <c r="K5966" t="s">
        <v>29</v>
      </c>
      <c r="L5966" t="s">
        <v>30</v>
      </c>
      <c r="M5966" t="s">
        <v>166</v>
      </c>
      <c r="N5966">
        <v>1473</v>
      </c>
      <c r="O5966" s="14">
        <v>5.42518894653767E-2</v>
      </c>
      <c r="P5966" s="14">
        <v>0.29855980910360802</v>
      </c>
      <c r="Q5966" t="str">
        <f t="shared" si="186"/>
        <v>&lt;01</v>
      </c>
      <c r="R5966" t="str">
        <f t="shared" si="187"/>
        <v>[rpw540fmNUz]|&lt;01|Female|Incidence_SUBNAT.Rt.T|CY2024Q3</v>
      </c>
    </row>
    <row r="5967" spans="4:18" x14ac:dyDescent="0.2">
      <c r="D5967" t="s">
        <v>113</v>
      </c>
      <c r="E5967" t="s">
        <v>114</v>
      </c>
      <c r="F5967" t="s">
        <v>115</v>
      </c>
      <c r="G5967" t="s">
        <v>168</v>
      </c>
      <c r="H5967" t="s">
        <v>168</v>
      </c>
      <c r="I5967" t="s">
        <v>32</v>
      </c>
      <c r="J5967" t="s">
        <v>33</v>
      </c>
      <c r="K5967" t="s">
        <v>29</v>
      </c>
      <c r="L5967" t="s">
        <v>30</v>
      </c>
      <c r="M5967" t="s">
        <v>166</v>
      </c>
      <c r="N5967">
        <v>1298</v>
      </c>
      <c r="O5967" s="14">
        <v>0.63673963374458298</v>
      </c>
      <c r="P5967" s="14">
        <v>0.29855980910360802</v>
      </c>
      <c r="Q5967" t="str">
        <f t="shared" si="186"/>
        <v>01-09</v>
      </c>
      <c r="R5967" t="str">
        <f t="shared" si="187"/>
        <v>[rpw540fmNUz]|01-09|Female|Incidence_SUBNAT.Rt.T|CY2024Q3</v>
      </c>
    </row>
    <row r="5968" spans="4:18" x14ac:dyDescent="0.2">
      <c r="D5968" t="s">
        <v>113</v>
      </c>
      <c r="E5968" t="s">
        <v>114</v>
      </c>
      <c r="F5968" t="s">
        <v>115</v>
      </c>
      <c r="G5968" t="s">
        <v>168</v>
      </c>
      <c r="H5968" t="s">
        <v>168</v>
      </c>
      <c r="I5968" t="s">
        <v>35</v>
      </c>
      <c r="J5968" t="s">
        <v>36</v>
      </c>
      <c r="K5968" t="s">
        <v>29</v>
      </c>
      <c r="L5968" t="s">
        <v>30</v>
      </c>
      <c r="M5968" t="s">
        <v>166</v>
      </c>
      <c r="N5968">
        <v>1825</v>
      </c>
      <c r="O5968" s="14">
        <v>0.39434642484411597</v>
      </c>
      <c r="P5968" s="14">
        <v>0.29855980910360802</v>
      </c>
      <c r="Q5968" t="str">
        <f t="shared" si="186"/>
        <v>10-14</v>
      </c>
      <c r="R5968" t="str">
        <f t="shared" si="187"/>
        <v>[rpw540fmNUz]|10-14|Female|Incidence_SUBNAT.Rt.T|CY2024Q3</v>
      </c>
    </row>
    <row r="5969" spans="4:18" x14ac:dyDescent="0.2">
      <c r="D5969" t="s">
        <v>113</v>
      </c>
      <c r="E5969" t="s">
        <v>114</v>
      </c>
      <c r="F5969" t="s">
        <v>115</v>
      </c>
      <c r="G5969" t="s">
        <v>168</v>
      </c>
      <c r="H5969" t="s">
        <v>168</v>
      </c>
      <c r="I5969" t="s">
        <v>37</v>
      </c>
      <c r="J5969" t="s">
        <v>38</v>
      </c>
      <c r="K5969" t="s">
        <v>29</v>
      </c>
      <c r="L5969" t="s">
        <v>30</v>
      </c>
      <c r="M5969" t="s">
        <v>166</v>
      </c>
      <c r="N5969">
        <v>1392</v>
      </c>
      <c r="O5969" s="14">
        <v>0.72905551851727102</v>
      </c>
      <c r="P5969" s="14">
        <v>0.29855980910360802</v>
      </c>
      <c r="Q5969" t="str">
        <f t="shared" si="186"/>
        <v>15-24</v>
      </c>
      <c r="R5969" t="str">
        <f t="shared" si="187"/>
        <v>[rpw540fmNUz]|15-24|Female|Incidence_SUBNAT.Rt.T|CY2024Q3</v>
      </c>
    </row>
    <row r="5970" spans="4:18" x14ac:dyDescent="0.2">
      <c r="D5970" t="s">
        <v>113</v>
      </c>
      <c r="E5970" t="s">
        <v>114</v>
      </c>
      <c r="F5970" t="s">
        <v>115</v>
      </c>
      <c r="G5970" t="s">
        <v>168</v>
      </c>
      <c r="H5970" t="s">
        <v>168</v>
      </c>
      <c r="I5970" t="s">
        <v>40</v>
      </c>
      <c r="J5970" t="s">
        <v>41</v>
      </c>
      <c r="K5970" t="s">
        <v>29</v>
      </c>
      <c r="L5970" t="s">
        <v>30</v>
      </c>
      <c r="M5970" t="s">
        <v>166</v>
      </c>
      <c r="N5970">
        <v>1840</v>
      </c>
      <c r="O5970" s="14">
        <v>0.309933371841908</v>
      </c>
      <c r="P5970" s="14">
        <v>0.29855980910360802</v>
      </c>
      <c r="Q5970" t="str">
        <f t="shared" si="186"/>
        <v>25-34</v>
      </c>
      <c r="R5970" t="str">
        <f t="shared" si="187"/>
        <v>[rpw540fmNUz]|25-34|Female|Incidence_SUBNAT.Rt.T|CY2024Q3</v>
      </c>
    </row>
    <row r="5971" spans="4:18" x14ac:dyDescent="0.2">
      <c r="D5971" t="s">
        <v>113</v>
      </c>
      <c r="E5971" t="s">
        <v>114</v>
      </c>
      <c r="F5971" t="s">
        <v>115</v>
      </c>
      <c r="G5971" t="s">
        <v>168</v>
      </c>
      <c r="H5971" t="s">
        <v>168</v>
      </c>
      <c r="I5971" t="s">
        <v>42</v>
      </c>
      <c r="J5971" t="s">
        <v>43</v>
      </c>
      <c r="K5971" t="s">
        <v>29</v>
      </c>
      <c r="L5971" t="s">
        <v>30</v>
      </c>
      <c r="M5971" t="s">
        <v>166</v>
      </c>
      <c r="N5971">
        <v>1412</v>
      </c>
      <c r="O5971" s="14">
        <v>0.49326904537156202</v>
      </c>
      <c r="P5971" s="14">
        <v>0.29855980910360802</v>
      </c>
      <c r="Q5971" t="str">
        <f t="shared" si="186"/>
        <v>35-49</v>
      </c>
      <c r="R5971" t="str">
        <f t="shared" si="187"/>
        <v>[rpw540fmNUz]|35-49|Female|Incidence_SUBNAT.Rt.T|CY2024Q3</v>
      </c>
    </row>
    <row r="5972" spans="4:18" x14ac:dyDescent="0.2">
      <c r="D5972" t="s">
        <v>113</v>
      </c>
      <c r="E5972" t="s">
        <v>114</v>
      </c>
      <c r="F5972" t="s">
        <v>115</v>
      </c>
      <c r="G5972" t="s">
        <v>168</v>
      </c>
      <c r="H5972" t="s">
        <v>168</v>
      </c>
      <c r="I5972" t="s">
        <v>44</v>
      </c>
      <c r="J5972" t="s">
        <v>45</v>
      </c>
      <c r="K5972" t="s">
        <v>29</v>
      </c>
      <c r="L5972" t="s">
        <v>30</v>
      </c>
      <c r="M5972" t="s">
        <v>166</v>
      </c>
      <c r="N5972">
        <v>1252</v>
      </c>
      <c r="O5972" s="14">
        <v>0.160689644049853</v>
      </c>
      <c r="P5972" s="14">
        <v>0.29855980910360802</v>
      </c>
      <c r="Q5972" t="str">
        <f t="shared" si="186"/>
        <v>50+</v>
      </c>
      <c r="R5972" t="str">
        <f t="shared" si="187"/>
        <v>[rpw540fmNUz]|50+|Female|Incidence_SUBNAT.Rt.T|CY2024Q3</v>
      </c>
    </row>
    <row r="5973" spans="4:18" x14ac:dyDescent="0.2">
      <c r="D5973" t="s">
        <v>113</v>
      </c>
      <c r="E5973" t="s">
        <v>114</v>
      </c>
      <c r="F5973" t="s">
        <v>115</v>
      </c>
      <c r="G5973" t="s">
        <v>168</v>
      </c>
      <c r="H5973" t="s">
        <v>168</v>
      </c>
      <c r="I5973" t="s">
        <v>27</v>
      </c>
      <c r="J5973" t="s">
        <v>28</v>
      </c>
      <c r="K5973" t="s">
        <v>47</v>
      </c>
      <c r="L5973" t="s">
        <v>48</v>
      </c>
      <c r="M5973" t="s">
        <v>166</v>
      </c>
      <c r="N5973">
        <v>901</v>
      </c>
      <c r="O5973" s="14">
        <v>0.87265489855781198</v>
      </c>
      <c r="P5973" s="14">
        <v>0.29855980910360802</v>
      </c>
      <c r="Q5973" t="str">
        <f t="shared" si="186"/>
        <v>&lt;01</v>
      </c>
      <c r="R5973" t="str">
        <f t="shared" si="187"/>
        <v>[rpw540fmNUz]|&lt;01|Male|Incidence_SUBNAT.Rt.T|CY2024Q3</v>
      </c>
    </row>
    <row r="5974" spans="4:18" x14ac:dyDescent="0.2">
      <c r="D5974" t="s">
        <v>113</v>
      </c>
      <c r="E5974" t="s">
        <v>114</v>
      </c>
      <c r="F5974" t="s">
        <v>115</v>
      </c>
      <c r="G5974" t="s">
        <v>168</v>
      </c>
      <c r="H5974" t="s">
        <v>168</v>
      </c>
      <c r="I5974" t="s">
        <v>32</v>
      </c>
      <c r="J5974" t="s">
        <v>33</v>
      </c>
      <c r="K5974" t="s">
        <v>47</v>
      </c>
      <c r="L5974" t="s">
        <v>48</v>
      </c>
      <c r="M5974" t="s">
        <v>166</v>
      </c>
      <c r="N5974">
        <v>1201</v>
      </c>
      <c r="O5974" s="14">
        <v>0.57293095951899897</v>
      </c>
      <c r="P5974" s="14">
        <v>0.29855980910360802</v>
      </c>
      <c r="Q5974" t="str">
        <f t="shared" si="186"/>
        <v>01-09</v>
      </c>
      <c r="R5974" t="str">
        <f t="shared" si="187"/>
        <v>[rpw540fmNUz]|01-09|Male|Incidence_SUBNAT.Rt.T|CY2024Q3</v>
      </c>
    </row>
    <row r="5975" spans="4:18" x14ac:dyDescent="0.2">
      <c r="D5975" t="s">
        <v>113</v>
      </c>
      <c r="E5975" t="s">
        <v>114</v>
      </c>
      <c r="F5975" t="s">
        <v>115</v>
      </c>
      <c r="G5975" t="s">
        <v>168</v>
      </c>
      <c r="H5975" t="s">
        <v>168</v>
      </c>
      <c r="I5975" t="s">
        <v>35</v>
      </c>
      <c r="J5975" t="s">
        <v>36</v>
      </c>
      <c r="K5975" t="s">
        <v>47</v>
      </c>
      <c r="L5975" t="s">
        <v>48</v>
      </c>
      <c r="M5975" t="s">
        <v>166</v>
      </c>
      <c r="N5975">
        <v>962</v>
      </c>
      <c r="O5975" s="14">
        <v>0.25317608355544502</v>
      </c>
      <c r="P5975" s="14">
        <v>0.29855980910360802</v>
      </c>
      <c r="Q5975" t="str">
        <f t="shared" si="186"/>
        <v>10-14</v>
      </c>
      <c r="R5975" t="str">
        <f t="shared" si="187"/>
        <v>[rpw540fmNUz]|10-14|Male|Incidence_SUBNAT.Rt.T|CY2024Q3</v>
      </c>
    </row>
    <row r="5976" spans="4:18" x14ac:dyDescent="0.2">
      <c r="D5976" t="s">
        <v>113</v>
      </c>
      <c r="E5976" t="s">
        <v>114</v>
      </c>
      <c r="F5976" t="s">
        <v>115</v>
      </c>
      <c r="G5976" t="s">
        <v>168</v>
      </c>
      <c r="H5976" t="s">
        <v>168</v>
      </c>
      <c r="I5976" t="s">
        <v>37</v>
      </c>
      <c r="J5976" t="s">
        <v>38</v>
      </c>
      <c r="K5976" t="s">
        <v>47</v>
      </c>
      <c r="L5976" t="s">
        <v>48</v>
      </c>
      <c r="M5976" t="s">
        <v>166</v>
      </c>
      <c r="N5976">
        <v>1382</v>
      </c>
      <c r="O5976" s="14">
        <v>0.22472958476282701</v>
      </c>
      <c r="P5976" s="14">
        <v>0.29855980910360802</v>
      </c>
      <c r="Q5976" t="str">
        <f t="shared" si="186"/>
        <v>15-24</v>
      </c>
      <c r="R5976" t="str">
        <f t="shared" si="187"/>
        <v>[rpw540fmNUz]|15-24|Male|Incidence_SUBNAT.Rt.T|CY2024Q3</v>
      </c>
    </row>
    <row r="5977" spans="4:18" x14ac:dyDescent="0.2">
      <c r="D5977" t="s">
        <v>113</v>
      </c>
      <c r="E5977" t="s">
        <v>114</v>
      </c>
      <c r="F5977" t="s">
        <v>115</v>
      </c>
      <c r="G5977" t="s">
        <v>168</v>
      </c>
      <c r="H5977" t="s">
        <v>168</v>
      </c>
      <c r="I5977" t="s">
        <v>40</v>
      </c>
      <c r="J5977" t="s">
        <v>41</v>
      </c>
      <c r="K5977" t="s">
        <v>47</v>
      </c>
      <c r="L5977" t="s">
        <v>48</v>
      </c>
      <c r="M5977" t="s">
        <v>166</v>
      </c>
      <c r="N5977">
        <v>1769</v>
      </c>
      <c r="O5977" s="14">
        <v>0.11462973896414</v>
      </c>
      <c r="P5977" s="14">
        <v>0.29855980910360802</v>
      </c>
      <c r="Q5977" t="str">
        <f t="shared" si="186"/>
        <v>25-34</v>
      </c>
      <c r="R5977" t="str">
        <f t="shared" si="187"/>
        <v>[rpw540fmNUz]|25-34|Male|Incidence_SUBNAT.Rt.T|CY2024Q3</v>
      </c>
    </row>
    <row r="5978" spans="4:18" x14ac:dyDescent="0.2">
      <c r="D5978" t="s">
        <v>113</v>
      </c>
      <c r="E5978" t="s">
        <v>114</v>
      </c>
      <c r="F5978" t="s">
        <v>115</v>
      </c>
      <c r="G5978" t="s">
        <v>168</v>
      </c>
      <c r="H5978" t="s">
        <v>168</v>
      </c>
      <c r="I5978" t="s">
        <v>42</v>
      </c>
      <c r="J5978" t="s">
        <v>43</v>
      </c>
      <c r="K5978" t="s">
        <v>47</v>
      </c>
      <c r="L5978" t="s">
        <v>48</v>
      </c>
      <c r="M5978" t="s">
        <v>166</v>
      </c>
      <c r="N5978">
        <v>1416</v>
      </c>
      <c r="O5978" s="14">
        <v>0.11531491018831699</v>
      </c>
      <c r="P5978" s="14">
        <v>0.29855980910360802</v>
      </c>
      <c r="Q5978" t="str">
        <f t="shared" si="186"/>
        <v>35-49</v>
      </c>
      <c r="R5978" t="str">
        <f t="shared" si="187"/>
        <v>[rpw540fmNUz]|35-49|Male|Incidence_SUBNAT.Rt.T|CY2024Q3</v>
      </c>
    </row>
    <row r="5979" spans="4:18" x14ac:dyDescent="0.2">
      <c r="D5979" t="s">
        <v>113</v>
      </c>
      <c r="E5979" t="s">
        <v>114</v>
      </c>
      <c r="F5979" t="s">
        <v>115</v>
      </c>
      <c r="G5979" t="s">
        <v>168</v>
      </c>
      <c r="H5979" t="s">
        <v>168</v>
      </c>
      <c r="I5979" t="s">
        <v>44</v>
      </c>
      <c r="J5979" t="s">
        <v>45</v>
      </c>
      <c r="K5979" t="s">
        <v>47</v>
      </c>
      <c r="L5979" t="s">
        <v>48</v>
      </c>
      <c r="M5979" t="s">
        <v>166</v>
      </c>
      <c r="N5979">
        <v>1248</v>
      </c>
      <c r="O5979" s="14">
        <v>0.46985826385207502</v>
      </c>
      <c r="P5979" s="14">
        <v>0.29855980910360802</v>
      </c>
      <c r="Q5979" t="str">
        <f t="shared" si="186"/>
        <v>50+</v>
      </c>
      <c r="R5979" t="str">
        <f t="shared" si="187"/>
        <v>[rpw540fmNUz]|50+|Male|Incidence_SUBNAT.Rt.T|CY2024Q3</v>
      </c>
    </row>
    <row r="5980" spans="4:18" x14ac:dyDescent="0.2">
      <c r="D5980" t="s">
        <v>116</v>
      </c>
      <c r="E5980" t="s">
        <v>117</v>
      </c>
      <c r="F5980" t="s">
        <v>118</v>
      </c>
      <c r="G5980" t="s">
        <v>168</v>
      </c>
      <c r="H5980" t="s">
        <v>168</v>
      </c>
      <c r="I5980" t="s">
        <v>27</v>
      </c>
      <c r="J5980" t="s">
        <v>28</v>
      </c>
      <c r="K5980" t="s">
        <v>29</v>
      </c>
      <c r="L5980" t="s">
        <v>30</v>
      </c>
      <c r="M5980" t="s">
        <v>166</v>
      </c>
      <c r="N5980">
        <v>1484</v>
      </c>
      <c r="O5980" s="14">
        <v>8.1966273719444899E-2</v>
      </c>
      <c r="P5980" s="14">
        <v>0.206259709550068</v>
      </c>
      <c r="Q5980" t="str">
        <f t="shared" si="186"/>
        <v>&lt;01</v>
      </c>
      <c r="R5980" t="str">
        <f t="shared" si="187"/>
        <v>[lPTyjLi4w3d]|&lt;01|Female|Incidence_SUBNAT.Rt.T|CY2024Q3</v>
      </c>
    </row>
    <row r="5981" spans="4:18" x14ac:dyDescent="0.2">
      <c r="D5981" t="s">
        <v>116</v>
      </c>
      <c r="E5981" t="s">
        <v>117</v>
      </c>
      <c r="F5981" t="s">
        <v>118</v>
      </c>
      <c r="G5981" t="s">
        <v>168</v>
      </c>
      <c r="H5981" t="s">
        <v>168</v>
      </c>
      <c r="I5981" t="s">
        <v>32</v>
      </c>
      <c r="J5981" t="s">
        <v>33</v>
      </c>
      <c r="K5981" t="s">
        <v>29</v>
      </c>
      <c r="L5981" t="s">
        <v>30</v>
      </c>
      <c r="M5981" t="s">
        <v>166</v>
      </c>
      <c r="N5981">
        <v>1515</v>
      </c>
      <c r="O5981" s="14">
        <v>0.72027936275117099</v>
      </c>
      <c r="P5981" s="14">
        <v>0.206259709550068</v>
      </c>
      <c r="Q5981" t="str">
        <f t="shared" si="186"/>
        <v>01-09</v>
      </c>
      <c r="R5981" t="str">
        <f t="shared" si="187"/>
        <v>[lPTyjLi4w3d]|01-09|Female|Incidence_SUBNAT.Rt.T|CY2024Q3</v>
      </c>
    </row>
    <row r="5982" spans="4:18" x14ac:dyDescent="0.2">
      <c r="D5982" t="s">
        <v>116</v>
      </c>
      <c r="E5982" t="s">
        <v>117</v>
      </c>
      <c r="F5982" t="s">
        <v>118</v>
      </c>
      <c r="G5982" t="s">
        <v>168</v>
      </c>
      <c r="H5982" t="s">
        <v>168</v>
      </c>
      <c r="I5982" t="s">
        <v>35</v>
      </c>
      <c r="J5982" t="s">
        <v>36</v>
      </c>
      <c r="K5982" t="s">
        <v>29</v>
      </c>
      <c r="L5982" t="s">
        <v>30</v>
      </c>
      <c r="M5982" t="s">
        <v>166</v>
      </c>
      <c r="N5982">
        <v>770</v>
      </c>
      <c r="O5982" s="14">
        <v>0.52691603754647098</v>
      </c>
      <c r="P5982" s="14">
        <v>0.206259709550068</v>
      </c>
      <c r="Q5982" t="str">
        <f t="shared" si="186"/>
        <v>10-14</v>
      </c>
      <c r="R5982" t="str">
        <f t="shared" si="187"/>
        <v>[lPTyjLi4w3d]|10-14|Female|Incidence_SUBNAT.Rt.T|CY2024Q3</v>
      </c>
    </row>
    <row r="5983" spans="4:18" x14ac:dyDescent="0.2">
      <c r="D5983" t="s">
        <v>116</v>
      </c>
      <c r="E5983" t="s">
        <v>117</v>
      </c>
      <c r="F5983" t="s">
        <v>118</v>
      </c>
      <c r="G5983" t="s">
        <v>168</v>
      </c>
      <c r="H5983" t="s">
        <v>168</v>
      </c>
      <c r="I5983" t="s">
        <v>37</v>
      </c>
      <c r="J5983" t="s">
        <v>38</v>
      </c>
      <c r="K5983" t="s">
        <v>29</v>
      </c>
      <c r="L5983" t="s">
        <v>30</v>
      </c>
      <c r="M5983" t="s">
        <v>166</v>
      </c>
      <c r="N5983">
        <v>985</v>
      </c>
      <c r="O5983" s="14">
        <v>0.133972788229585</v>
      </c>
      <c r="P5983" s="14">
        <v>0.206259709550068</v>
      </c>
      <c r="Q5983" t="str">
        <f t="shared" si="186"/>
        <v>15-24</v>
      </c>
      <c r="R5983" t="str">
        <f t="shared" si="187"/>
        <v>[lPTyjLi4w3d]|15-24|Female|Incidence_SUBNAT.Rt.T|CY2024Q3</v>
      </c>
    </row>
    <row r="5984" spans="4:18" x14ac:dyDescent="0.2">
      <c r="D5984" t="s">
        <v>116</v>
      </c>
      <c r="E5984" t="s">
        <v>117</v>
      </c>
      <c r="F5984" t="s">
        <v>118</v>
      </c>
      <c r="G5984" t="s">
        <v>168</v>
      </c>
      <c r="H5984" t="s">
        <v>168</v>
      </c>
      <c r="I5984" t="s">
        <v>40</v>
      </c>
      <c r="J5984" t="s">
        <v>41</v>
      </c>
      <c r="K5984" t="s">
        <v>29</v>
      </c>
      <c r="L5984" t="s">
        <v>30</v>
      </c>
      <c r="M5984" t="s">
        <v>166</v>
      </c>
      <c r="N5984">
        <v>774</v>
      </c>
      <c r="O5984" s="14">
        <v>0.87084900564514101</v>
      </c>
      <c r="P5984" s="14">
        <v>0.206259709550068</v>
      </c>
      <c r="Q5984" t="str">
        <f t="shared" si="186"/>
        <v>25-34</v>
      </c>
      <c r="R5984" t="str">
        <f t="shared" si="187"/>
        <v>[lPTyjLi4w3d]|25-34|Female|Incidence_SUBNAT.Rt.T|CY2024Q3</v>
      </c>
    </row>
    <row r="5985" spans="4:18" x14ac:dyDescent="0.2">
      <c r="D5985" t="s">
        <v>116</v>
      </c>
      <c r="E5985" t="s">
        <v>117</v>
      </c>
      <c r="F5985" t="s">
        <v>118</v>
      </c>
      <c r="G5985" t="s">
        <v>168</v>
      </c>
      <c r="H5985" t="s">
        <v>168</v>
      </c>
      <c r="I5985" t="s">
        <v>42</v>
      </c>
      <c r="J5985" t="s">
        <v>43</v>
      </c>
      <c r="K5985" t="s">
        <v>29</v>
      </c>
      <c r="L5985" t="s">
        <v>30</v>
      </c>
      <c r="M5985" t="s">
        <v>166</v>
      </c>
      <c r="N5985">
        <v>1292</v>
      </c>
      <c r="O5985" s="14">
        <v>0.50530966580845404</v>
      </c>
      <c r="P5985" s="14">
        <v>0.206259709550068</v>
      </c>
      <c r="Q5985" t="str">
        <f t="shared" si="186"/>
        <v>35-49</v>
      </c>
      <c r="R5985" t="str">
        <f t="shared" si="187"/>
        <v>[lPTyjLi4w3d]|35-49|Female|Incidence_SUBNAT.Rt.T|CY2024Q3</v>
      </c>
    </row>
    <row r="5986" spans="4:18" x14ac:dyDescent="0.2">
      <c r="D5986" t="s">
        <v>116</v>
      </c>
      <c r="E5986" t="s">
        <v>117</v>
      </c>
      <c r="F5986" t="s">
        <v>118</v>
      </c>
      <c r="G5986" t="s">
        <v>168</v>
      </c>
      <c r="H5986" t="s">
        <v>168</v>
      </c>
      <c r="I5986" t="s">
        <v>44</v>
      </c>
      <c r="J5986" t="s">
        <v>45</v>
      </c>
      <c r="K5986" t="s">
        <v>29</v>
      </c>
      <c r="L5986" t="s">
        <v>30</v>
      </c>
      <c r="M5986" t="s">
        <v>166</v>
      </c>
      <c r="N5986">
        <v>1676</v>
      </c>
      <c r="O5986" s="14">
        <v>0.51198903657495998</v>
      </c>
      <c r="P5986" s="14">
        <v>0.206259709550068</v>
      </c>
      <c r="Q5986" t="str">
        <f t="shared" si="186"/>
        <v>50+</v>
      </c>
      <c r="R5986" t="str">
        <f t="shared" si="187"/>
        <v>[lPTyjLi4w3d]|50+|Female|Incidence_SUBNAT.Rt.T|CY2024Q3</v>
      </c>
    </row>
    <row r="5987" spans="4:18" x14ac:dyDescent="0.2">
      <c r="D5987" t="s">
        <v>116</v>
      </c>
      <c r="E5987" t="s">
        <v>117</v>
      </c>
      <c r="F5987" t="s">
        <v>118</v>
      </c>
      <c r="G5987" t="s">
        <v>168</v>
      </c>
      <c r="H5987" t="s">
        <v>168</v>
      </c>
      <c r="I5987" t="s">
        <v>27</v>
      </c>
      <c r="J5987" t="s">
        <v>28</v>
      </c>
      <c r="K5987" t="s">
        <v>47</v>
      </c>
      <c r="L5987" t="s">
        <v>48</v>
      </c>
      <c r="M5987" t="s">
        <v>166</v>
      </c>
      <c r="N5987">
        <v>1322</v>
      </c>
      <c r="O5987" s="14">
        <v>0.66277549974620298</v>
      </c>
      <c r="P5987" s="14">
        <v>0.206259709550068</v>
      </c>
      <c r="Q5987" t="str">
        <f t="shared" si="186"/>
        <v>&lt;01</v>
      </c>
      <c r="R5987" t="str">
        <f t="shared" si="187"/>
        <v>[lPTyjLi4w3d]|&lt;01|Male|Incidence_SUBNAT.Rt.T|CY2024Q3</v>
      </c>
    </row>
    <row r="5988" spans="4:18" x14ac:dyDescent="0.2">
      <c r="D5988" t="s">
        <v>116</v>
      </c>
      <c r="E5988" t="s">
        <v>117</v>
      </c>
      <c r="F5988" t="s">
        <v>118</v>
      </c>
      <c r="G5988" t="s">
        <v>168</v>
      </c>
      <c r="H5988" t="s">
        <v>168</v>
      </c>
      <c r="I5988" t="s">
        <v>32</v>
      </c>
      <c r="J5988" t="s">
        <v>33</v>
      </c>
      <c r="K5988" t="s">
        <v>47</v>
      </c>
      <c r="L5988" t="s">
        <v>48</v>
      </c>
      <c r="M5988" t="s">
        <v>166</v>
      </c>
      <c r="N5988">
        <v>1539</v>
      </c>
      <c r="O5988" s="14">
        <v>4.9573543947190003E-3</v>
      </c>
      <c r="P5988" s="14">
        <v>0.206259709550068</v>
      </c>
      <c r="Q5988" t="str">
        <f t="shared" si="186"/>
        <v>01-09</v>
      </c>
      <c r="R5988" t="str">
        <f t="shared" si="187"/>
        <v>[lPTyjLi4w3d]|01-09|Male|Incidence_SUBNAT.Rt.T|CY2024Q3</v>
      </c>
    </row>
    <row r="5989" spans="4:18" x14ac:dyDescent="0.2">
      <c r="D5989" t="s">
        <v>116</v>
      </c>
      <c r="E5989" t="s">
        <v>117</v>
      </c>
      <c r="F5989" t="s">
        <v>118</v>
      </c>
      <c r="G5989" t="s">
        <v>168</v>
      </c>
      <c r="H5989" t="s">
        <v>168</v>
      </c>
      <c r="I5989" t="s">
        <v>35</v>
      </c>
      <c r="J5989" t="s">
        <v>36</v>
      </c>
      <c r="K5989" t="s">
        <v>47</v>
      </c>
      <c r="L5989" t="s">
        <v>48</v>
      </c>
      <c r="M5989" t="s">
        <v>166</v>
      </c>
      <c r="N5989">
        <v>912</v>
      </c>
      <c r="O5989" s="14">
        <v>0.64256297890096903</v>
      </c>
      <c r="P5989" s="14">
        <v>0.206259709550068</v>
      </c>
      <c r="Q5989" t="str">
        <f t="shared" si="186"/>
        <v>10-14</v>
      </c>
      <c r="R5989" t="str">
        <f t="shared" si="187"/>
        <v>[lPTyjLi4w3d]|10-14|Male|Incidence_SUBNAT.Rt.T|CY2024Q3</v>
      </c>
    </row>
    <row r="5990" spans="4:18" x14ac:dyDescent="0.2">
      <c r="D5990" t="s">
        <v>116</v>
      </c>
      <c r="E5990" t="s">
        <v>117</v>
      </c>
      <c r="F5990" t="s">
        <v>118</v>
      </c>
      <c r="G5990" t="s">
        <v>168</v>
      </c>
      <c r="H5990" t="s">
        <v>168</v>
      </c>
      <c r="I5990" t="s">
        <v>37</v>
      </c>
      <c r="J5990" t="s">
        <v>38</v>
      </c>
      <c r="K5990" t="s">
        <v>47</v>
      </c>
      <c r="L5990" t="s">
        <v>48</v>
      </c>
      <c r="M5990" t="s">
        <v>166</v>
      </c>
      <c r="N5990">
        <v>923</v>
      </c>
      <c r="O5990" s="14">
        <v>0.63283178745768998</v>
      </c>
      <c r="P5990" s="14">
        <v>0.206259709550068</v>
      </c>
      <c r="Q5990" t="str">
        <f t="shared" si="186"/>
        <v>15-24</v>
      </c>
      <c r="R5990" t="str">
        <f t="shared" si="187"/>
        <v>[lPTyjLi4w3d]|15-24|Male|Incidence_SUBNAT.Rt.T|CY2024Q3</v>
      </c>
    </row>
    <row r="5991" spans="4:18" x14ac:dyDescent="0.2">
      <c r="D5991" t="s">
        <v>116</v>
      </c>
      <c r="E5991" t="s">
        <v>117</v>
      </c>
      <c r="F5991" t="s">
        <v>118</v>
      </c>
      <c r="G5991" t="s">
        <v>168</v>
      </c>
      <c r="H5991" t="s">
        <v>168</v>
      </c>
      <c r="I5991" t="s">
        <v>40</v>
      </c>
      <c r="J5991" t="s">
        <v>41</v>
      </c>
      <c r="K5991" t="s">
        <v>47</v>
      </c>
      <c r="L5991" t="s">
        <v>48</v>
      </c>
      <c r="M5991" t="s">
        <v>166</v>
      </c>
      <c r="N5991">
        <v>915</v>
      </c>
      <c r="O5991" s="14">
        <v>0.99325933819636703</v>
      </c>
      <c r="P5991" s="14">
        <v>0.206259709550068</v>
      </c>
      <c r="Q5991" t="str">
        <f t="shared" si="186"/>
        <v>25-34</v>
      </c>
      <c r="R5991" t="str">
        <f t="shared" si="187"/>
        <v>[lPTyjLi4w3d]|25-34|Male|Incidence_SUBNAT.Rt.T|CY2024Q3</v>
      </c>
    </row>
    <row r="5992" spans="4:18" x14ac:dyDescent="0.2">
      <c r="D5992" t="s">
        <v>116</v>
      </c>
      <c r="E5992" t="s">
        <v>117</v>
      </c>
      <c r="F5992" t="s">
        <v>118</v>
      </c>
      <c r="G5992" t="s">
        <v>168</v>
      </c>
      <c r="H5992" t="s">
        <v>168</v>
      </c>
      <c r="I5992" t="s">
        <v>42</v>
      </c>
      <c r="J5992" t="s">
        <v>43</v>
      </c>
      <c r="K5992" t="s">
        <v>47</v>
      </c>
      <c r="L5992" t="s">
        <v>48</v>
      </c>
      <c r="M5992" t="s">
        <v>166</v>
      </c>
      <c r="N5992">
        <v>1156</v>
      </c>
      <c r="O5992" s="14">
        <v>0.49402348836883903</v>
      </c>
      <c r="P5992" s="14">
        <v>0.206259709550068</v>
      </c>
      <c r="Q5992" t="str">
        <f t="shared" si="186"/>
        <v>35-49</v>
      </c>
      <c r="R5992" t="str">
        <f t="shared" si="187"/>
        <v>[lPTyjLi4w3d]|35-49|Male|Incidence_SUBNAT.Rt.T|CY2024Q3</v>
      </c>
    </row>
    <row r="5993" spans="4:18" x14ac:dyDescent="0.2">
      <c r="D5993" t="s">
        <v>116</v>
      </c>
      <c r="E5993" t="s">
        <v>117</v>
      </c>
      <c r="F5993" t="s">
        <v>118</v>
      </c>
      <c r="G5993" t="s">
        <v>168</v>
      </c>
      <c r="H5993" t="s">
        <v>168</v>
      </c>
      <c r="I5993" t="s">
        <v>44</v>
      </c>
      <c r="J5993" t="s">
        <v>45</v>
      </c>
      <c r="K5993" t="s">
        <v>47</v>
      </c>
      <c r="L5993" t="s">
        <v>48</v>
      </c>
      <c r="M5993" t="s">
        <v>166</v>
      </c>
      <c r="N5993">
        <v>1084</v>
      </c>
      <c r="O5993" s="14">
        <v>0.26065427460707702</v>
      </c>
      <c r="P5993" s="14">
        <v>0.206259709550068</v>
      </c>
      <c r="Q5993" t="str">
        <f t="shared" si="186"/>
        <v>50+</v>
      </c>
      <c r="R5993" t="str">
        <f t="shared" si="187"/>
        <v>[lPTyjLi4w3d]|50+|Male|Incidence_SUBNAT.Rt.T|CY2024Q3</v>
      </c>
    </row>
    <row r="5994" spans="4:18" x14ac:dyDescent="0.2">
      <c r="D5994" t="s">
        <v>119</v>
      </c>
      <c r="E5994" t="s">
        <v>120</v>
      </c>
      <c r="F5994" t="s">
        <v>121</v>
      </c>
      <c r="G5994" t="s">
        <v>168</v>
      </c>
      <c r="H5994" t="s">
        <v>168</v>
      </c>
      <c r="I5994" t="s">
        <v>27</v>
      </c>
      <c r="J5994" t="s">
        <v>28</v>
      </c>
      <c r="K5994" t="s">
        <v>29</v>
      </c>
      <c r="L5994" t="s">
        <v>30</v>
      </c>
      <c r="M5994" t="s">
        <v>166</v>
      </c>
      <c r="N5994">
        <v>1138</v>
      </c>
      <c r="O5994" s="14">
        <v>0.30741248931735798</v>
      </c>
      <c r="P5994" s="14">
        <v>0.43010397930629601</v>
      </c>
      <c r="Q5994" t="str">
        <f t="shared" si="186"/>
        <v>&lt;01</v>
      </c>
      <c r="R5994" t="str">
        <f t="shared" si="187"/>
        <v>[vA4NcHxfMBq]|&lt;01|Female|Incidence_SUBNAT.Rt.T|CY2024Q3</v>
      </c>
    </row>
    <row r="5995" spans="4:18" x14ac:dyDescent="0.2">
      <c r="D5995" t="s">
        <v>119</v>
      </c>
      <c r="E5995" t="s">
        <v>120</v>
      </c>
      <c r="F5995" t="s">
        <v>121</v>
      </c>
      <c r="G5995" t="s">
        <v>168</v>
      </c>
      <c r="H5995" t="s">
        <v>168</v>
      </c>
      <c r="I5995" t="s">
        <v>32</v>
      </c>
      <c r="J5995" t="s">
        <v>33</v>
      </c>
      <c r="K5995" t="s">
        <v>29</v>
      </c>
      <c r="L5995" t="s">
        <v>30</v>
      </c>
      <c r="M5995" t="s">
        <v>166</v>
      </c>
      <c r="N5995">
        <v>544</v>
      </c>
      <c r="O5995" s="14">
        <v>0.44439395098015699</v>
      </c>
      <c r="P5995" s="14">
        <v>0.43010397930629601</v>
      </c>
      <c r="Q5995" t="str">
        <f t="shared" si="186"/>
        <v>01-09</v>
      </c>
      <c r="R5995" t="str">
        <f t="shared" si="187"/>
        <v>[vA4NcHxfMBq]|01-09|Female|Incidence_SUBNAT.Rt.T|CY2024Q3</v>
      </c>
    </row>
    <row r="5996" spans="4:18" x14ac:dyDescent="0.2">
      <c r="D5996" t="s">
        <v>119</v>
      </c>
      <c r="E5996" t="s">
        <v>120</v>
      </c>
      <c r="F5996" t="s">
        <v>121</v>
      </c>
      <c r="G5996" t="s">
        <v>168</v>
      </c>
      <c r="H5996" t="s">
        <v>168</v>
      </c>
      <c r="I5996" t="s">
        <v>35</v>
      </c>
      <c r="J5996" t="s">
        <v>36</v>
      </c>
      <c r="K5996" t="s">
        <v>29</v>
      </c>
      <c r="L5996" t="s">
        <v>30</v>
      </c>
      <c r="M5996" t="s">
        <v>166</v>
      </c>
      <c r="N5996">
        <v>947</v>
      </c>
      <c r="O5996" s="14">
        <v>0.92212154902517796</v>
      </c>
      <c r="P5996" s="14">
        <v>0.43010397930629601</v>
      </c>
      <c r="Q5996" t="str">
        <f t="shared" si="186"/>
        <v>10-14</v>
      </c>
      <c r="R5996" t="str">
        <f t="shared" si="187"/>
        <v>[vA4NcHxfMBq]|10-14|Female|Incidence_SUBNAT.Rt.T|CY2024Q3</v>
      </c>
    </row>
    <row r="5997" spans="4:18" x14ac:dyDescent="0.2">
      <c r="D5997" t="s">
        <v>119</v>
      </c>
      <c r="E5997" t="s">
        <v>120</v>
      </c>
      <c r="F5997" t="s">
        <v>121</v>
      </c>
      <c r="G5997" t="s">
        <v>168</v>
      </c>
      <c r="H5997" t="s">
        <v>168</v>
      </c>
      <c r="I5997" t="s">
        <v>37</v>
      </c>
      <c r="J5997" t="s">
        <v>38</v>
      </c>
      <c r="K5997" t="s">
        <v>29</v>
      </c>
      <c r="L5997" t="s">
        <v>30</v>
      </c>
      <c r="M5997" t="s">
        <v>166</v>
      </c>
      <c r="N5997">
        <v>798</v>
      </c>
      <c r="O5997" s="14">
        <v>0.49401609972119298</v>
      </c>
      <c r="P5997" s="14">
        <v>0.43010397930629601</v>
      </c>
      <c r="Q5997" t="str">
        <f t="shared" si="186"/>
        <v>15-24</v>
      </c>
      <c r="R5997" t="str">
        <f t="shared" si="187"/>
        <v>[vA4NcHxfMBq]|15-24|Female|Incidence_SUBNAT.Rt.T|CY2024Q3</v>
      </c>
    </row>
    <row r="5998" spans="4:18" x14ac:dyDescent="0.2">
      <c r="D5998" t="s">
        <v>119</v>
      </c>
      <c r="E5998" t="s">
        <v>120</v>
      </c>
      <c r="F5998" t="s">
        <v>121</v>
      </c>
      <c r="G5998" t="s">
        <v>168</v>
      </c>
      <c r="H5998" t="s">
        <v>168</v>
      </c>
      <c r="I5998" t="s">
        <v>40</v>
      </c>
      <c r="J5998" t="s">
        <v>41</v>
      </c>
      <c r="K5998" t="s">
        <v>29</v>
      </c>
      <c r="L5998" t="s">
        <v>30</v>
      </c>
      <c r="M5998" t="s">
        <v>166</v>
      </c>
      <c r="N5998">
        <v>900</v>
      </c>
      <c r="O5998" s="14">
        <v>0.654540243325755</v>
      </c>
      <c r="P5998" s="14">
        <v>0.43010397930629601</v>
      </c>
      <c r="Q5998" t="str">
        <f t="shared" si="186"/>
        <v>25-34</v>
      </c>
      <c r="R5998" t="str">
        <f t="shared" si="187"/>
        <v>[vA4NcHxfMBq]|25-34|Female|Incidence_SUBNAT.Rt.T|CY2024Q3</v>
      </c>
    </row>
    <row r="5999" spans="4:18" x14ac:dyDescent="0.2">
      <c r="D5999" t="s">
        <v>119</v>
      </c>
      <c r="E5999" t="s">
        <v>120</v>
      </c>
      <c r="F5999" t="s">
        <v>121</v>
      </c>
      <c r="G5999" t="s">
        <v>168</v>
      </c>
      <c r="H5999" t="s">
        <v>168</v>
      </c>
      <c r="I5999" t="s">
        <v>42</v>
      </c>
      <c r="J5999" t="s">
        <v>43</v>
      </c>
      <c r="K5999" t="s">
        <v>29</v>
      </c>
      <c r="L5999" t="s">
        <v>30</v>
      </c>
      <c r="M5999" t="s">
        <v>166</v>
      </c>
      <c r="N5999">
        <v>795</v>
      </c>
      <c r="O5999" s="14">
        <v>0.406035819323733</v>
      </c>
      <c r="P5999" s="14">
        <v>0.43010397930629601</v>
      </c>
      <c r="Q5999" t="str">
        <f t="shared" si="186"/>
        <v>35-49</v>
      </c>
      <c r="R5999" t="str">
        <f t="shared" si="187"/>
        <v>[vA4NcHxfMBq]|35-49|Female|Incidence_SUBNAT.Rt.T|CY2024Q3</v>
      </c>
    </row>
    <row r="6000" spans="4:18" x14ac:dyDescent="0.2">
      <c r="D6000" t="s">
        <v>119</v>
      </c>
      <c r="E6000" t="s">
        <v>120</v>
      </c>
      <c r="F6000" t="s">
        <v>121</v>
      </c>
      <c r="G6000" t="s">
        <v>168</v>
      </c>
      <c r="H6000" t="s">
        <v>168</v>
      </c>
      <c r="I6000" t="s">
        <v>44</v>
      </c>
      <c r="J6000" t="s">
        <v>45</v>
      </c>
      <c r="K6000" t="s">
        <v>29</v>
      </c>
      <c r="L6000" t="s">
        <v>30</v>
      </c>
      <c r="M6000" t="s">
        <v>166</v>
      </c>
      <c r="N6000">
        <v>1001</v>
      </c>
      <c r="O6000" s="14">
        <v>0.69399401801638305</v>
      </c>
      <c r="P6000" s="14">
        <v>0.43010397930629601</v>
      </c>
      <c r="Q6000" t="str">
        <f t="shared" si="186"/>
        <v>50+</v>
      </c>
      <c r="R6000" t="str">
        <f t="shared" si="187"/>
        <v>[vA4NcHxfMBq]|50+|Female|Incidence_SUBNAT.Rt.T|CY2024Q3</v>
      </c>
    </row>
    <row r="6001" spans="4:18" x14ac:dyDescent="0.2">
      <c r="D6001" t="s">
        <v>119</v>
      </c>
      <c r="E6001" t="s">
        <v>120</v>
      </c>
      <c r="F6001" t="s">
        <v>121</v>
      </c>
      <c r="G6001" t="s">
        <v>168</v>
      </c>
      <c r="H6001" t="s">
        <v>168</v>
      </c>
      <c r="I6001" t="s">
        <v>27</v>
      </c>
      <c r="J6001" t="s">
        <v>28</v>
      </c>
      <c r="K6001" t="s">
        <v>47</v>
      </c>
      <c r="L6001" t="s">
        <v>48</v>
      </c>
      <c r="M6001" t="s">
        <v>166</v>
      </c>
      <c r="N6001">
        <v>1385</v>
      </c>
      <c r="O6001" s="14">
        <v>0.98010791046544898</v>
      </c>
      <c r="P6001" s="14">
        <v>0.43010397930629601</v>
      </c>
      <c r="Q6001" t="str">
        <f t="shared" si="186"/>
        <v>&lt;01</v>
      </c>
      <c r="R6001" t="str">
        <f t="shared" si="187"/>
        <v>[vA4NcHxfMBq]|&lt;01|Male|Incidence_SUBNAT.Rt.T|CY2024Q3</v>
      </c>
    </row>
    <row r="6002" spans="4:18" x14ac:dyDescent="0.2">
      <c r="D6002" t="s">
        <v>119</v>
      </c>
      <c r="E6002" t="s">
        <v>120</v>
      </c>
      <c r="F6002" t="s">
        <v>121</v>
      </c>
      <c r="G6002" t="s">
        <v>168</v>
      </c>
      <c r="H6002" t="s">
        <v>168</v>
      </c>
      <c r="I6002" t="s">
        <v>32</v>
      </c>
      <c r="J6002" t="s">
        <v>33</v>
      </c>
      <c r="K6002" t="s">
        <v>47</v>
      </c>
      <c r="L6002" t="s">
        <v>48</v>
      </c>
      <c r="M6002" t="s">
        <v>166</v>
      </c>
      <c r="N6002">
        <v>1584</v>
      </c>
      <c r="O6002" s="14">
        <v>5.1195897161960602E-2</v>
      </c>
      <c r="P6002" s="14">
        <v>0.43010397930629601</v>
      </c>
      <c r="Q6002" t="str">
        <f t="shared" si="186"/>
        <v>01-09</v>
      </c>
      <c r="R6002" t="str">
        <f t="shared" si="187"/>
        <v>[vA4NcHxfMBq]|01-09|Male|Incidence_SUBNAT.Rt.T|CY2024Q3</v>
      </c>
    </row>
    <row r="6003" spans="4:18" x14ac:dyDescent="0.2">
      <c r="D6003" t="s">
        <v>119</v>
      </c>
      <c r="E6003" t="s">
        <v>120</v>
      </c>
      <c r="F6003" t="s">
        <v>121</v>
      </c>
      <c r="G6003" t="s">
        <v>168</v>
      </c>
      <c r="H6003" t="s">
        <v>168</v>
      </c>
      <c r="I6003" t="s">
        <v>35</v>
      </c>
      <c r="J6003" t="s">
        <v>36</v>
      </c>
      <c r="K6003" t="s">
        <v>47</v>
      </c>
      <c r="L6003" t="s">
        <v>48</v>
      </c>
      <c r="M6003" t="s">
        <v>166</v>
      </c>
      <c r="N6003">
        <v>1021</v>
      </c>
      <c r="O6003" s="14">
        <v>1.3192742131650399E-2</v>
      </c>
      <c r="P6003" s="14">
        <v>0.43010397930629601</v>
      </c>
      <c r="Q6003" t="str">
        <f t="shared" si="186"/>
        <v>10-14</v>
      </c>
      <c r="R6003" t="str">
        <f t="shared" si="187"/>
        <v>[vA4NcHxfMBq]|10-14|Male|Incidence_SUBNAT.Rt.T|CY2024Q3</v>
      </c>
    </row>
    <row r="6004" spans="4:18" x14ac:dyDescent="0.2">
      <c r="D6004" t="s">
        <v>119</v>
      </c>
      <c r="E6004" t="s">
        <v>120</v>
      </c>
      <c r="F6004" t="s">
        <v>121</v>
      </c>
      <c r="G6004" t="s">
        <v>168</v>
      </c>
      <c r="H6004" t="s">
        <v>168</v>
      </c>
      <c r="I6004" t="s">
        <v>37</v>
      </c>
      <c r="J6004" t="s">
        <v>38</v>
      </c>
      <c r="K6004" t="s">
        <v>47</v>
      </c>
      <c r="L6004" t="s">
        <v>48</v>
      </c>
      <c r="M6004" t="s">
        <v>166</v>
      </c>
      <c r="N6004">
        <v>1986</v>
      </c>
      <c r="O6004" s="14">
        <v>0.68695016205310799</v>
      </c>
      <c r="P6004" s="14">
        <v>0.43010397930629601</v>
      </c>
      <c r="Q6004" t="str">
        <f t="shared" si="186"/>
        <v>15-24</v>
      </c>
      <c r="R6004" t="str">
        <f t="shared" si="187"/>
        <v>[vA4NcHxfMBq]|15-24|Male|Incidence_SUBNAT.Rt.T|CY2024Q3</v>
      </c>
    </row>
    <row r="6005" spans="4:18" x14ac:dyDescent="0.2">
      <c r="D6005" t="s">
        <v>119</v>
      </c>
      <c r="E6005" t="s">
        <v>120</v>
      </c>
      <c r="F6005" t="s">
        <v>121</v>
      </c>
      <c r="G6005" t="s">
        <v>168</v>
      </c>
      <c r="H6005" t="s">
        <v>168</v>
      </c>
      <c r="I6005" t="s">
        <v>40</v>
      </c>
      <c r="J6005" t="s">
        <v>41</v>
      </c>
      <c r="K6005" t="s">
        <v>47</v>
      </c>
      <c r="L6005" t="s">
        <v>48</v>
      </c>
      <c r="M6005" t="s">
        <v>166</v>
      </c>
      <c r="N6005">
        <v>1261</v>
      </c>
      <c r="O6005" s="14">
        <v>0.71200055419467401</v>
      </c>
      <c r="P6005" s="14">
        <v>0.43010397930629601</v>
      </c>
      <c r="Q6005" t="str">
        <f t="shared" si="186"/>
        <v>25-34</v>
      </c>
      <c r="R6005" t="str">
        <f t="shared" si="187"/>
        <v>[vA4NcHxfMBq]|25-34|Male|Incidence_SUBNAT.Rt.T|CY2024Q3</v>
      </c>
    </row>
    <row r="6006" spans="4:18" x14ac:dyDescent="0.2">
      <c r="D6006" t="s">
        <v>119</v>
      </c>
      <c r="E6006" t="s">
        <v>120</v>
      </c>
      <c r="F6006" t="s">
        <v>121</v>
      </c>
      <c r="G6006" t="s">
        <v>168</v>
      </c>
      <c r="H6006" t="s">
        <v>168</v>
      </c>
      <c r="I6006" t="s">
        <v>42</v>
      </c>
      <c r="J6006" t="s">
        <v>43</v>
      </c>
      <c r="K6006" t="s">
        <v>47</v>
      </c>
      <c r="L6006" t="s">
        <v>48</v>
      </c>
      <c r="M6006" t="s">
        <v>166</v>
      </c>
      <c r="N6006">
        <v>1433</v>
      </c>
      <c r="O6006" s="14">
        <v>0.12723322981037199</v>
      </c>
      <c r="P6006" s="14">
        <v>0.43010397930629601</v>
      </c>
      <c r="Q6006" t="str">
        <f t="shared" si="186"/>
        <v>35-49</v>
      </c>
      <c r="R6006" t="str">
        <f t="shared" si="187"/>
        <v>[vA4NcHxfMBq]|35-49|Male|Incidence_SUBNAT.Rt.T|CY2024Q3</v>
      </c>
    </row>
    <row r="6007" spans="4:18" x14ac:dyDescent="0.2">
      <c r="D6007" t="s">
        <v>119</v>
      </c>
      <c r="E6007" t="s">
        <v>120</v>
      </c>
      <c r="F6007" t="s">
        <v>121</v>
      </c>
      <c r="G6007" t="s">
        <v>168</v>
      </c>
      <c r="H6007" t="s">
        <v>168</v>
      </c>
      <c r="I6007" t="s">
        <v>44</v>
      </c>
      <c r="J6007" t="s">
        <v>45</v>
      </c>
      <c r="K6007" t="s">
        <v>47</v>
      </c>
      <c r="L6007" t="s">
        <v>48</v>
      </c>
      <c r="M6007" t="s">
        <v>166</v>
      </c>
      <c r="N6007">
        <v>871</v>
      </c>
      <c r="O6007" s="14">
        <v>0.24081912427209301</v>
      </c>
      <c r="P6007" s="14">
        <v>0.43010397930629601</v>
      </c>
      <c r="Q6007" t="str">
        <f t="shared" si="186"/>
        <v>50+</v>
      </c>
      <c r="R6007" t="str">
        <f t="shared" si="187"/>
        <v>[vA4NcHxfMBq]|50+|Male|Incidence_SUBNAT.Rt.T|CY2024Q3</v>
      </c>
    </row>
    <row r="6008" spans="4:18" x14ac:dyDescent="0.2">
      <c r="D6008" t="s">
        <v>122</v>
      </c>
      <c r="E6008" t="s">
        <v>123</v>
      </c>
      <c r="F6008" t="s">
        <v>124</v>
      </c>
      <c r="G6008" t="s">
        <v>168</v>
      </c>
      <c r="H6008" t="s">
        <v>168</v>
      </c>
      <c r="I6008" t="s">
        <v>27</v>
      </c>
      <c r="J6008" t="s">
        <v>28</v>
      </c>
      <c r="K6008" t="s">
        <v>29</v>
      </c>
      <c r="L6008" t="s">
        <v>30</v>
      </c>
      <c r="M6008" t="s">
        <v>166</v>
      </c>
      <c r="N6008">
        <v>924</v>
      </c>
      <c r="O6008" s="14">
        <v>0.334726520814002</v>
      </c>
      <c r="P6008" s="14">
        <v>0.41950060334056599</v>
      </c>
      <c r="Q6008" t="str">
        <f t="shared" si="186"/>
        <v>&lt;01</v>
      </c>
      <c r="R6008" t="str">
        <f t="shared" si="187"/>
        <v>[E7zpfyBt7Tw]|&lt;01|Female|Incidence_SUBNAT.Rt.T|CY2024Q3</v>
      </c>
    </row>
    <row r="6009" spans="4:18" x14ac:dyDescent="0.2">
      <c r="D6009" t="s">
        <v>122</v>
      </c>
      <c r="E6009" t="s">
        <v>123</v>
      </c>
      <c r="F6009" t="s">
        <v>124</v>
      </c>
      <c r="G6009" t="s">
        <v>168</v>
      </c>
      <c r="H6009" t="s">
        <v>168</v>
      </c>
      <c r="I6009" t="s">
        <v>32</v>
      </c>
      <c r="J6009" t="s">
        <v>33</v>
      </c>
      <c r="K6009" t="s">
        <v>29</v>
      </c>
      <c r="L6009" t="s">
        <v>30</v>
      </c>
      <c r="M6009" t="s">
        <v>166</v>
      </c>
      <c r="N6009">
        <v>636</v>
      </c>
      <c r="O6009" s="14">
        <v>4.8403954133391398E-3</v>
      </c>
      <c r="P6009" s="14">
        <v>0.41950060334056599</v>
      </c>
      <c r="Q6009" t="str">
        <f t="shared" si="186"/>
        <v>01-09</v>
      </c>
      <c r="R6009" t="str">
        <f t="shared" si="187"/>
        <v>[E7zpfyBt7Tw]|01-09|Female|Incidence_SUBNAT.Rt.T|CY2024Q3</v>
      </c>
    </row>
    <row r="6010" spans="4:18" x14ac:dyDescent="0.2">
      <c r="D6010" t="s">
        <v>122</v>
      </c>
      <c r="E6010" t="s">
        <v>123</v>
      </c>
      <c r="F6010" t="s">
        <v>124</v>
      </c>
      <c r="G6010" t="s">
        <v>168</v>
      </c>
      <c r="H6010" t="s">
        <v>168</v>
      </c>
      <c r="I6010" t="s">
        <v>35</v>
      </c>
      <c r="J6010" t="s">
        <v>36</v>
      </c>
      <c r="K6010" t="s">
        <v>29</v>
      </c>
      <c r="L6010" t="s">
        <v>30</v>
      </c>
      <c r="M6010" t="s">
        <v>166</v>
      </c>
      <c r="N6010">
        <v>1722</v>
      </c>
      <c r="O6010" s="14">
        <v>0.66985517367720604</v>
      </c>
      <c r="P6010" s="14">
        <v>0.41950060334056599</v>
      </c>
      <c r="Q6010" t="str">
        <f t="shared" si="186"/>
        <v>10-14</v>
      </c>
      <c r="R6010" t="str">
        <f t="shared" si="187"/>
        <v>[E7zpfyBt7Tw]|10-14|Female|Incidence_SUBNAT.Rt.T|CY2024Q3</v>
      </c>
    </row>
    <row r="6011" spans="4:18" x14ac:dyDescent="0.2">
      <c r="D6011" t="s">
        <v>122</v>
      </c>
      <c r="E6011" t="s">
        <v>123</v>
      </c>
      <c r="F6011" t="s">
        <v>124</v>
      </c>
      <c r="G6011" t="s">
        <v>168</v>
      </c>
      <c r="H6011" t="s">
        <v>168</v>
      </c>
      <c r="I6011" t="s">
        <v>37</v>
      </c>
      <c r="J6011" t="s">
        <v>38</v>
      </c>
      <c r="K6011" t="s">
        <v>29</v>
      </c>
      <c r="L6011" t="s">
        <v>30</v>
      </c>
      <c r="M6011" t="s">
        <v>166</v>
      </c>
      <c r="N6011">
        <v>1776</v>
      </c>
      <c r="O6011" s="14">
        <v>0.39402085798792502</v>
      </c>
      <c r="P6011" s="14">
        <v>0.41950060334056599</v>
      </c>
      <c r="Q6011" t="str">
        <f t="shared" si="186"/>
        <v>15-24</v>
      </c>
      <c r="R6011" t="str">
        <f t="shared" si="187"/>
        <v>[E7zpfyBt7Tw]|15-24|Female|Incidence_SUBNAT.Rt.T|CY2024Q3</v>
      </c>
    </row>
    <row r="6012" spans="4:18" x14ac:dyDescent="0.2">
      <c r="D6012" t="s">
        <v>122</v>
      </c>
      <c r="E6012" t="s">
        <v>123</v>
      </c>
      <c r="F6012" t="s">
        <v>124</v>
      </c>
      <c r="G6012" t="s">
        <v>168</v>
      </c>
      <c r="H6012" t="s">
        <v>168</v>
      </c>
      <c r="I6012" t="s">
        <v>40</v>
      </c>
      <c r="J6012" t="s">
        <v>41</v>
      </c>
      <c r="K6012" t="s">
        <v>29</v>
      </c>
      <c r="L6012" t="s">
        <v>30</v>
      </c>
      <c r="M6012" t="s">
        <v>166</v>
      </c>
      <c r="N6012">
        <v>611</v>
      </c>
      <c r="O6012" s="14">
        <v>0.557932735886425</v>
      </c>
      <c r="P6012" s="14">
        <v>0.41950060334056599</v>
      </c>
      <c r="Q6012" t="str">
        <f t="shared" si="186"/>
        <v>25-34</v>
      </c>
      <c r="R6012" t="str">
        <f t="shared" si="187"/>
        <v>[E7zpfyBt7Tw]|25-34|Female|Incidence_SUBNAT.Rt.T|CY2024Q3</v>
      </c>
    </row>
    <row r="6013" spans="4:18" x14ac:dyDescent="0.2">
      <c r="D6013" t="s">
        <v>122</v>
      </c>
      <c r="E6013" t="s">
        <v>123</v>
      </c>
      <c r="F6013" t="s">
        <v>124</v>
      </c>
      <c r="G6013" t="s">
        <v>168</v>
      </c>
      <c r="H6013" t="s">
        <v>168</v>
      </c>
      <c r="I6013" t="s">
        <v>42</v>
      </c>
      <c r="J6013" t="s">
        <v>43</v>
      </c>
      <c r="K6013" t="s">
        <v>29</v>
      </c>
      <c r="L6013" t="s">
        <v>30</v>
      </c>
      <c r="M6013" t="s">
        <v>166</v>
      </c>
      <c r="N6013">
        <v>1156</v>
      </c>
      <c r="O6013" s="14">
        <v>0.10491794161498499</v>
      </c>
      <c r="P6013" s="14">
        <v>0.41950060334056599</v>
      </c>
      <c r="Q6013" t="str">
        <f t="shared" si="186"/>
        <v>35-49</v>
      </c>
      <c r="R6013" t="str">
        <f t="shared" si="187"/>
        <v>[E7zpfyBt7Tw]|35-49|Female|Incidence_SUBNAT.Rt.T|CY2024Q3</v>
      </c>
    </row>
    <row r="6014" spans="4:18" x14ac:dyDescent="0.2">
      <c r="D6014" t="s">
        <v>122</v>
      </c>
      <c r="E6014" t="s">
        <v>123</v>
      </c>
      <c r="F6014" t="s">
        <v>124</v>
      </c>
      <c r="G6014" t="s">
        <v>168</v>
      </c>
      <c r="H6014" t="s">
        <v>168</v>
      </c>
      <c r="I6014" t="s">
        <v>44</v>
      </c>
      <c r="J6014" t="s">
        <v>45</v>
      </c>
      <c r="K6014" t="s">
        <v>29</v>
      </c>
      <c r="L6014" t="s">
        <v>30</v>
      </c>
      <c r="M6014" t="s">
        <v>166</v>
      </c>
      <c r="N6014">
        <v>534</v>
      </c>
      <c r="O6014" s="14">
        <v>0.24077357607893601</v>
      </c>
      <c r="P6014" s="14">
        <v>0.41950060334056599</v>
      </c>
      <c r="Q6014" t="str">
        <f t="shared" si="186"/>
        <v>50+</v>
      </c>
      <c r="R6014" t="str">
        <f t="shared" si="187"/>
        <v>[E7zpfyBt7Tw]|50+|Female|Incidence_SUBNAT.Rt.T|CY2024Q3</v>
      </c>
    </row>
    <row r="6015" spans="4:18" x14ac:dyDescent="0.2">
      <c r="D6015" t="s">
        <v>122</v>
      </c>
      <c r="E6015" t="s">
        <v>123</v>
      </c>
      <c r="F6015" t="s">
        <v>124</v>
      </c>
      <c r="G6015" t="s">
        <v>168</v>
      </c>
      <c r="H6015" t="s">
        <v>168</v>
      </c>
      <c r="I6015" t="s">
        <v>27</v>
      </c>
      <c r="J6015" t="s">
        <v>28</v>
      </c>
      <c r="K6015" t="s">
        <v>47</v>
      </c>
      <c r="L6015" t="s">
        <v>48</v>
      </c>
      <c r="M6015" t="s">
        <v>166</v>
      </c>
      <c r="N6015">
        <v>1288</v>
      </c>
      <c r="O6015" s="14">
        <v>0.46597865060903099</v>
      </c>
      <c r="P6015" s="14">
        <v>0.41950060334056599</v>
      </c>
      <c r="Q6015" t="str">
        <f t="shared" si="186"/>
        <v>&lt;01</v>
      </c>
      <c r="R6015" t="str">
        <f t="shared" si="187"/>
        <v>[E7zpfyBt7Tw]|&lt;01|Male|Incidence_SUBNAT.Rt.T|CY2024Q3</v>
      </c>
    </row>
    <row r="6016" spans="4:18" x14ac:dyDescent="0.2">
      <c r="D6016" t="s">
        <v>122</v>
      </c>
      <c r="E6016" t="s">
        <v>123</v>
      </c>
      <c r="F6016" t="s">
        <v>124</v>
      </c>
      <c r="G6016" t="s">
        <v>168</v>
      </c>
      <c r="H6016" t="s">
        <v>168</v>
      </c>
      <c r="I6016" t="s">
        <v>32</v>
      </c>
      <c r="J6016" t="s">
        <v>33</v>
      </c>
      <c r="K6016" t="s">
        <v>47</v>
      </c>
      <c r="L6016" t="s">
        <v>48</v>
      </c>
      <c r="M6016" t="s">
        <v>166</v>
      </c>
      <c r="N6016">
        <v>1242</v>
      </c>
      <c r="O6016" s="14">
        <v>0.71831127488985702</v>
      </c>
      <c r="P6016" s="14">
        <v>0.41950060334056599</v>
      </c>
      <c r="Q6016" t="str">
        <f t="shared" si="186"/>
        <v>01-09</v>
      </c>
      <c r="R6016" t="str">
        <f t="shared" si="187"/>
        <v>[E7zpfyBt7Tw]|01-09|Male|Incidence_SUBNAT.Rt.T|CY2024Q3</v>
      </c>
    </row>
    <row r="6017" spans="4:18" x14ac:dyDescent="0.2">
      <c r="D6017" t="s">
        <v>122</v>
      </c>
      <c r="E6017" t="s">
        <v>123</v>
      </c>
      <c r="F6017" t="s">
        <v>124</v>
      </c>
      <c r="G6017" t="s">
        <v>168</v>
      </c>
      <c r="H6017" t="s">
        <v>168</v>
      </c>
      <c r="I6017" t="s">
        <v>35</v>
      </c>
      <c r="J6017" t="s">
        <v>36</v>
      </c>
      <c r="K6017" t="s">
        <v>47</v>
      </c>
      <c r="L6017" t="s">
        <v>48</v>
      </c>
      <c r="M6017" t="s">
        <v>166</v>
      </c>
      <c r="N6017">
        <v>1754</v>
      </c>
      <c r="O6017" s="14">
        <v>0.62950826343148902</v>
      </c>
      <c r="P6017" s="14">
        <v>0.41950060334056599</v>
      </c>
      <c r="Q6017" t="str">
        <f t="shared" si="186"/>
        <v>10-14</v>
      </c>
      <c r="R6017" t="str">
        <f t="shared" si="187"/>
        <v>[E7zpfyBt7Tw]|10-14|Male|Incidence_SUBNAT.Rt.T|CY2024Q3</v>
      </c>
    </row>
    <row r="6018" spans="4:18" x14ac:dyDescent="0.2">
      <c r="D6018" t="s">
        <v>122</v>
      </c>
      <c r="E6018" t="s">
        <v>123</v>
      </c>
      <c r="F6018" t="s">
        <v>124</v>
      </c>
      <c r="G6018" t="s">
        <v>168</v>
      </c>
      <c r="H6018" t="s">
        <v>168</v>
      </c>
      <c r="I6018" t="s">
        <v>37</v>
      </c>
      <c r="J6018" t="s">
        <v>38</v>
      </c>
      <c r="K6018" t="s">
        <v>47</v>
      </c>
      <c r="L6018" t="s">
        <v>48</v>
      </c>
      <c r="M6018" t="s">
        <v>166</v>
      </c>
      <c r="N6018">
        <v>1301</v>
      </c>
      <c r="O6018" s="14">
        <v>0.99714903905987695</v>
      </c>
      <c r="P6018" s="14">
        <v>0.41950060334056599</v>
      </c>
      <c r="Q6018" t="str">
        <f t="shared" ref="Q6018:Q6081" si="188">SUBSTITUTE(SUBSTITUTE($I6018,CHAR(61),""),CHAR(34),"")</f>
        <v>15-24</v>
      </c>
      <c r="R6018" t="str">
        <f t="shared" ref="R6018:R6081" si="189">IF($D6018&lt;&gt;"","["&amp;$E6018&amp;"]"&amp;"|"&amp;$Q6018&amp;"|"&amp;$K6018&amp;"|"&amp;$G6018&amp;"|"&amp;IF($G6018="TX_CURR_SUBNAT.R","CY2022Q4",$M6018),"")</f>
        <v>[E7zpfyBt7Tw]|15-24|Male|Incidence_SUBNAT.Rt.T|CY2024Q3</v>
      </c>
    </row>
    <row r="6019" spans="4:18" x14ac:dyDescent="0.2">
      <c r="D6019" t="s">
        <v>122</v>
      </c>
      <c r="E6019" t="s">
        <v>123</v>
      </c>
      <c r="F6019" t="s">
        <v>124</v>
      </c>
      <c r="G6019" t="s">
        <v>168</v>
      </c>
      <c r="H6019" t="s">
        <v>168</v>
      </c>
      <c r="I6019" t="s">
        <v>40</v>
      </c>
      <c r="J6019" t="s">
        <v>41</v>
      </c>
      <c r="K6019" t="s">
        <v>47</v>
      </c>
      <c r="L6019" t="s">
        <v>48</v>
      </c>
      <c r="M6019" t="s">
        <v>166</v>
      </c>
      <c r="N6019">
        <v>1357</v>
      </c>
      <c r="O6019" s="14">
        <v>5.9656371362507302E-2</v>
      </c>
      <c r="P6019" s="14">
        <v>0.41950060334056599</v>
      </c>
      <c r="Q6019" t="str">
        <f t="shared" si="188"/>
        <v>25-34</v>
      </c>
      <c r="R6019" t="str">
        <f t="shared" si="189"/>
        <v>[E7zpfyBt7Tw]|25-34|Male|Incidence_SUBNAT.Rt.T|CY2024Q3</v>
      </c>
    </row>
    <row r="6020" spans="4:18" x14ac:dyDescent="0.2">
      <c r="D6020" t="s">
        <v>122</v>
      </c>
      <c r="E6020" t="s">
        <v>123</v>
      </c>
      <c r="F6020" t="s">
        <v>124</v>
      </c>
      <c r="G6020" t="s">
        <v>168</v>
      </c>
      <c r="H6020" t="s">
        <v>168</v>
      </c>
      <c r="I6020" t="s">
        <v>42</v>
      </c>
      <c r="J6020" t="s">
        <v>43</v>
      </c>
      <c r="K6020" t="s">
        <v>47</v>
      </c>
      <c r="L6020" t="s">
        <v>48</v>
      </c>
      <c r="M6020" t="s">
        <v>166</v>
      </c>
      <c r="N6020">
        <v>1736</v>
      </c>
      <c r="O6020" s="14">
        <v>0.221096802502871</v>
      </c>
      <c r="P6020" s="14">
        <v>0.41950060334056599</v>
      </c>
      <c r="Q6020" t="str">
        <f t="shared" si="188"/>
        <v>35-49</v>
      </c>
      <c r="R6020" t="str">
        <f t="shared" si="189"/>
        <v>[E7zpfyBt7Tw]|35-49|Male|Incidence_SUBNAT.Rt.T|CY2024Q3</v>
      </c>
    </row>
    <row r="6021" spans="4:18" x14ac:dyDescent="0.2">
      <c r="D6021" t="s">
        <v>122</v>
      </c>
      <c r="E6021" t="s">
        <v>123</v>
      </c>
      <c r="F6021" t="s">
        <v>124</v>
      </c>
      <c r="G6021" t="s">
        <v>168</v>
      </c>
      <c r="H6021" t="s">
        <v>168</v>
      </c>
      <c r="I6021" t="s">
        <v>44</v>
      </c>
      <c r="J6021" t="s">
        <v>45</v>
      </c>
      <c r="K6021" t="s">
        <v>47</v>
      </c>
      <c r="L6021" t="s">
        <v>48</v>
      </c>
      <c r="M6021" t="s">
        <v>166</v>
      </c>
      <c r="N6021">
        <v>1233</v>
      </c>
      <c r="O6021" s="14">
        <v>0.122774068266153</v>
      </c>
      <c r="P6021" s="14">
        <v>0.41950060334056599</v>
      </c>
      <c r="Q6021" t="str">
        <f t="shared" si="188"/>
        <v>50+</v>
      </c>
      <c r="R6021" t="str">
        <f t="shared" si="189"/>
        <v>[E7zpfyBt7Tw]|50+|Male|Incidence_SUBNAT.Rt.T|CY2024Q3</v>
      </c>
    </row>
    <row r="6022" spans="4:18" x14ac:dyDescent="0.2">
      <c r="D6022" t="s">
        <v>125</v>
      </c>
      <c r="E6022" t="s">
        <v>126</v>
      </c>
      <c r="F6022" t="s">
        <v>127</v>
      </c>
      <c r="G6022" t="s">
        <v>168</v>
      </c>
      <c r="H6022" t="s">
        <v>168</v>
      </c>
      <c r="I6022" t="s">
        <v>27</v>
      </c>
      <c r="J6022" t="s">
        <v>28</v>
      </c>
      <c r="K6022" t="s">
        <v>29</v>
      </c>
      <c r="L6022" t="s">
        <v>30</v>
      </c>
      <c r="M6022" t="s">
        <v>166</v>
      </c>
      <c r="N6022">
        <v>1813</v>
      </c>
      <c r="O6022" s="14">
        <v>0.44757188856601698</v>
      </c>
      <c r="P6022" s="14">
        <v>0.25270639033988102</v>
      </c>
      <c r="Q6022" t="str">
        <f t="shared" si="188"/>
        <v>&lt;01</v>
      </c>
      <c r="R6022" t="str">
        <f t="shared" si="189"/>
        <v>[ZCjuwgaMB9u]|&lt;01|Female|Incidence_SUBNAT.Rt.T|CY2024Q3</v>
      </c>
    </row>
    <row r="6023" spans="4:18" x14ac:dyDescent="0.2">
      <c r="D6023" t="s">
        <v>125</v>
      </c>
      <c r="E6023" t="s">
        <v>126</v>
      </c>
      <c r="F6023" t="s">
        <v>127</v>
      </c>
      <c r="G6023" t="s">
        <v>168</v>
      </c>
      <c r="H6023" t="s">
        <v>168</v>
      </c>
      <c r="I6023" t="s">
        <v>32</v>
      </c>
      <c r="J6023" t="s">
        <v>33</v>
      </c>
      <c r="K6023" t="s">
        <v>29</v>
      </c>
      <c r="L6023" t="s">
        <v>30</v>
      </c>
      <c r="M6023" t="s">
        <v>166</v>
      </c>
      <c r="N6023">
        <v>927</v>
      </c>
      <c r="O6023" s="14">
        <v>0.87273228005506098</v>
      </c>
      <c r="P6023" s="14">
        <v>0.25270639033988102</v>
      </c>
      <c r="Q6023" t="str">
        <f t="shared" si="188"/>
        <v>01-09</v>
      </c>
      <c r="R6023" t="str">
        <f t="shared" si="189"/>
        <v>[ZCjuwgaMB9u]|01-09|Female|Incidence_SUBNAT.Rt.T|CY2024Q3</v>
      </c>
    </row>
    <row r="6024" spans="4:18" x14ac:dyDescent="0.2">
      <c r="D6024" t="s">
        <v>125</v>
      </c>
      <c r="E6024" t="s">
        <v>126</v>
      </c>
      <c r="F6024" t="s">
        <v>127</v>
      </c>
      <c r="G6024" t="s">
        <v>168</v>
      </c>
      <c r="H6024" t="s">
        <v>168</v>
      </c>
      <c r="I6024" t="s">
        <v>35</v>
      </c>
      <c r="J6024" t="s">
        <v>36</v>
      </c>
      <c r="K6024" t="s">
        <v>29</v>
      </c>
      <c r="L6024" t="s">
        <v>30</v>
      </c>
      <c r="M6024" t="s">
        <v>166</v>
      </c>
      <c r="N6024">
        <v>1310</v>
      </c>
      <c r="O6024" s="14">
        <v>0.27705188957042998</v>
      </c>
      <c r="P6024" s="14">
        <v>0.25270639033988102</v>
      </c>
      <c r="Q6024" t="str">
        <f t="shared" si="188"/>
        <v>10-14</v>
      </c>
      <c r="R6024" t="str">
        <f t="shared" si="189"/>
        <v>[ZCjuwgaMB9u]|10-14|Female|Incidence_SUBNAT.Rt.T|CY2024Q3</v>
      </c>
    </row>
    <row r="6025" spans="4:18" x14ac:dyDescent="0.2">
      <c r="D6025" t="s">
        <v>125</v>
      </c>
      <c r="E6025" t="s">
        <v>126</v>
      </c>
      <c r="F6025" t="s">
        <v>127</v>
      </c>
      <c r="G6025" t="s">
        <v>168</v>
      </c>
      <c r="H6025" t="s">
        <v>168</v>
      </c>
      <c r="I6025" t="s">
        <v>37</v>
      </c>
      <c r="J6025" t="s">
        <v>38</v>
      </c>
      <c r="K6025" t="s">
        <v>29</v>
      </c>
      <c r="L6025" t="s">
        <v>30</v>
      </c>
      <c r="M6025" t="s">
        <v>166</v>
      </c>
      <c r="N6025">
        <v>1782</v>
      </c>
      <c r="O6025" s="14">
        <v>0.53787247464060794</v>
      </c>
      <c r="P6025" s="14">
        <v>0.25270639033988102</v>
      </c>
      <c r="Q6025" t="str">
        <f t="shared" si="188"/>
        <v>15-24</v>
      </c>
      <c r="R6025" t="str">
        <f t="shared" si="189"/>
        <v>[ZCjuwgaMB9u]|15-24|Female|Incidence_SUBNAT.Rt.T|CY2024Q3</v>
      </c>
    </row>
    <row r="6026" spans="4:18" x14ac:dyDescent="0.2">
      <c r="D6026" t="s">
        <v>125</v>
      </c>
      <c r="E6026" t="s">
        <v>126</v>
      </c>
      <c r="F6026" t="s">
        <v>127</v>
      </c>
      <c r="G6026" t="s">
        <v>168</v>
      </c>
      <c r="H6026" t="s">
        <v>168</v>
      </c>
      <c r="I6026" t="s">
        <v>40</v>
      </c>
      <c r="J6026" t="s">
        <v>41</v>
      </c>
      <c r="K6026" t="s">
        <v>29</v>
      </c>
      <c r="L6026" t="s">
        <v>30</v>
      </c>
      <c r="M6026" t="s">
        <v>166</v>
      </c>
      <c r="N6026">
        <v>1941</v>
      </c>
      <c r="O6026" s="14">
        <v>0.18171831499785199</v>
      </c>
      <c r="P6026" s="14">
        <v>0.25270639033988102</v>
      </c>
      <c r="Q6026" t="str">
        <f t="shared" si="188"/>
        <v>25-34</v>
      </c>
      <c r="R6026" t="str">
        <f t="shared" si="189"/>
        <v>[ZCjuwgaMB9u]|25-34|Female|Incidence_SUBNAT.Rt.T|CY2024Q3</v>
      </c>
    </row>
    <row r="6027" spans="4:18" x14ac:dyDescent="0.2">
      <c r="D6027" t="s">
        <v>125</v>
      </c>
      <c r="E6027" t="s">
        <v>126</v>
      </c>
      <c r="F6027" t="s">
        <v>127</v>
      </c>
      <c r="G6027" t="s">
        <v>168</v>
      </c>
      <c r="H6027" t="s">
        <v>168</v>
      </c>
      <c r="I6027" t="s">
        <v>42</v>
      </c>
      <c r="J6027" t="s">
        <v>43</v>
      </c>
      <c r="K6027" t="s">
        <v>29</v>
      </c>
      <c r="L6027" t="s">
        <v>30</v>
      </c>
      <c r="M6027" t="s">
        <v>166</v>
      </c>
      <c r="N6027">
        <v>1696</v>
      </c>
      <c r="O6027" s="14">
        <v>0.83895120373927101</v>
      </c>
      <c r="P6027" s="14">
        <v>0.25270639033988102</v>
      </c>
      <c r="Q6027" t="str">
        <f t="shared" si="188"/>
        <v>35-49</v>
      </c>
      <c r="R6027" t="str">
        <f t="shared" si="189"/>
        <v>[ZCjuwgaMB9u]|35-49|Female|Incidence_SUBNAT.Rt.T|CY2024Q3</v>
      </c>
    </row>
    <row r="6028" spans="4:18" x14ac:dyDescent="0.2">
      <c r="D6028" t="s">
        <v>125</v>
      </c>
      <c r="E6028" t="s">
        <v>126</v>
      </c>
      <c r="F6028" t="s">
        <v>127</v>
      </c>
      <c r="G6028" t="s">
        <v>168</v>
      </c>
      <c r="H6028" t="s">
        <v>168</v>
      </c>
      <c r="I6028" t="s">
        <v>44</v>
      </c>
      <c r="J6028" t="s">
        <v>45</v>
      </c>
      <c r="K6028" t="s">
        <v>29</v>
      </c>
      <c r="L6028" t="s">
        <v>30</v>
      </c>
      <c r="M6028" t="s">
        <v>166</v>
      </c>
      <c r="N6028">
        <v>1993</v>
      </c>
      <c r="O6028" s="14">
        <v>0.84979374636895999</v>
      </c>
      <c r="P6028" s="14">
        <v>0.25270639033988102</v>
      </c>
      <c r="Q6028" t="str">
        <f t="shared" si="188"/>
        <v>50+</v>
      </c>
      <c r="R6028" t="str">
        <f t="shared" si="189"/>
        <v>[ZCjuwgaMB9u]|50+|Female|Incidence_SUBNAT.Rt.T|CY2024Q3</v>
      </c>
    </row>
    <row r="6029" spans="4:18" x14ac:dyDescent="0.2">
      <c r="D6029" t="s">
        <v>125</v>
      </c>
      <c r="E6029" t="s">
        <v>126</v>
      </c>
      <c r="F6029" t="s">
        <v>127</v>
      </c>
      <c r="G6029" t="s">
        <v>168</v>
      </c>
      <c r="H6029" t="s">
        <v>168</v>
      </c>
      <c r="I6029" t="s">
        <v>27</v>
      </c>
      <c r="J6029" t="s">
        <v>28</v>
      </c>
      <c r="K6029" t="s">
        <v>47</v>
      </c>
      <c r="L6029" t="s">
        <v>48</v>
      </c>
      <c r="M6029" t="s">
        <v>166</v>
      </c>
      <c r="N6029">
        <v>1500</v>
      </c>
      <c r="O6029" s="14">
        <v>0.37634986778721202</v>
      </c>
      <c r="P6029" s="14">
        <v>0.25270639033988102</v>
      </c>
      <c r="Q6029" t="str">
        <f t="shared" si="188"/>
        <v>&lt;01</v>
      </c>
      <c r="R6029" t="str">
        <f t="shared" si="189"/>
        <v>[ZCjuwgaMB9u]|&lt;01|Male|Incidence_SUBNAT.Rt.T|CY2024Q3</v>
      </c>
    </row>
    <row r="6030" spans="4:18" x14ac:dyDescent="0.2">
      <c r="D6030" t="s">
        <v>125</v>
      </c>
      <c r="E6030" t="s">
        <v>126</v>
      </c>
      <c r="F6030" t="s">
        <v>127</v>
      </c>
      <c r="G6030" t="s">
        <v>168</v>
      </c>
      <c r="H6030" t="s">
        <v>168</v>
      </c>
      <c r="I6030" t="s">
        <v>32</v>
      </c>
      <c r="J6030" t="s">
        <v>33</v>
      </c>
      <c r="K6030" t="s">
        <v>47</v>
      </c>
      <c r="L6030" t="s">
        <v>48</v>
      </c>
      <c r="M6030" t="s">
        <v>166</v>
      </c>
      <c r="N6030">
        <v>1955</v>
      </c>
      <c r="O6030" s="14">
        <v>1.56745461281389E-2</v>
      </c>
      <c r="P6030" s="14">
        <v>0.25270639033988102</v>
      </c>
      <c r="Q6030" t="str">
        <f t="shared" si="188"/>
        <v>01-09</v>
      </c>
      <c r="R6030" t="str">
        <f t="shared" si="189"/>
        <v>[ZCjuwgaMB9u]|01-09|Male|Incidence_SUBNAT.Rt.T|CY2024Q3</v>
      </c>
    </row>
    <row r="6031" spans="4:18" x14ac:dyDescent="0.2">
      <c r="D6031" t="s">
        <v>125</v>
      </c>
      <c r="E6031" t="s">
        <v>126</v>
      </c>
      <c r="F6031" t="s">
        <v>127</v>
      </c>
      <c r="G6031" t="s">
        <v>168</v>
      </c>
      <c r="H6031" t="s">
        <v>168</v>
      </c>
      <c r="I6031" t="s">
        <v>35</v>
      </c>
      <c r="J6031" t="s">
        <v>36</v>
      </c>
      <c r="K6031" t="s">
        <v>47</v>
      </c>
      <c r="L6031" t="s">
        <v>48</v>
      </c>
      <c r="M6031" t="s">
        <v>166</v>
      </c>
      <c r="N6031">
        <v>631</v>
      </c>
      <c r="O6031" s="14">
        <v>0.46802118141204102</v>
      </c>
      <c r="P6031" s="14">
        <v>0.25270639033988102</v>
      </c>
      <c r="Q6031" t="str">
        <f t="shared" si="188"/>
        <v>10-14</v>
      </c>
      <c r="R6031" t="str">
        <f t="shared" si="189"/>
        <v>[ZCjuwgaMB9u]|10-14|Male|Incidence_SUBNAT.Rt.T|CY2024Q3</v>
      </c>
    </row>
    <row r="6032" spans="4:18" x14ac:dyDescent="0.2">
      <c r="D6032" t="s">
        <v>125</v>
      </c>
      <c r="E6032" t="s">
        <v>126</v>
      </c>
      <c r="F6032" t="s">
        <v>127</v>
      </c>
      <c r="G6032" t="s">
        <v>168</v>
      </c>
      <c r="H6032" t="s">
        <v>168</v>
      </c>
      <c r="I6032" t="s">
        <v>37</v>
      </c>
      <c r="J6032" t="s">
        <v>38</v>
      </c>
      <c r="K6032" t="s">
        <v>47</v>
      </c>
      <c r="L6032" t="s">
        <v>48</v>
      </c>
      <c r="M6032" t="s">
        <v>166</v>
      </c>
      <c r="N6032">
        <v>1604</v>
      </c>
      <c r="O6032" s="14">
        <v>0.68683385732583702</v>
      </c>
      <c r="P6032" s="14">
        <v>0.25270639033988102</v>
      </c>
      <c r="Q6032" t="str">
        <f t="shared" si="188"/>
        <v>15-24</v>
      </c>
      <c r="R6032" t="str">
        <f t="shared" si="189"/>
        <v>[ZCjuwgaMB9u]|15-24|Male|Incidence_SUBNAT.Rt.T|CY2024Q3</v>
      </c>
    </row>
    <row r="6033" spans="4:18" x14ac:dyDescent="0.2">
      <c r="D6033" t="s">
        <v>125</v>
      </c>
      <c r="E6033" t="s">
        <v>126</v>
      </c>
      <c r="F6033" t="s">
        <v>127</v>
      </c>
      <c r="G6033" t="s">
        <v>168</v>
      </c>
      <c r="H6033" t="s">
        <v>168</v>
      </c>
      <c r="I6033" t="s">
        <v>40</v>
      </c>
      <c r="J6033" t="s">
        <v>41</v>
      </c>
      <c r="K6033" t="s">
        <v>47</v>
      </c>
      <c r="L6033" t="s">
        <v>48</v>
      </c>
      <c r="M6033" t="s">
        <v>166</v>
      </c>
      <c r="N6033">
        <v>968</v>
      </c>
      <c r="O6033" s="14">
        <v>0.71733868308365301</v>
      </c>
      <c r="P6033" s="14">
        <v>0.25270639033988102</v>
      </c>
      <c r="Q6033" t="str">
        <f t="shared" si="188"/>
        <v>25-34</v>
      </c>
      <c r="R6033" t="str">
        <f t="shared" si="189"/>
        <v>[ZCjuwgaMB9u]|25-34|Male|Incidence_SUBNAT.Rt.T|CY2024Q3</v>
      </c>
    </row>
    <row r="6034" spans="4:18" x14ac:dyDescent="0.2">
      <c r="D6034" t="s">
        <v>125</v>
      </c>
      <c r="E6034" t="s">
        <v>126</v>
      </c>
      <c r="F6034" t="s">
        <v>127</v>
      </c>
      <c r="G6034" t="s">
        <v>168</v>
      </c>
      <c r="H6034" t="s">
        <v>168</v>
      </c>
      <c r="I6034" t="s">
        <v>42</v>
      </c>
      <c r="J6034" t="s">
        <v>43</v>
      </c>
      <c r="K6034" t="s">
        <v>47</v>
      </c>
      <c r="L6034" t="s">
        <v>48</v>
      </c>
      <c r="M6034" t="s">
        <v>166</v>
      </c>
      <c r="N6034">
        <v>800</v>
      </c>
      <c r="O6034" s="14">
        <v>0.864567504031584</v>
      </c>
      <c r="P6034" s="14">
        <v>0.25270639033988102</v>
      </c>
      <c r="Q6034" t="str">
        <f t="shared" si="188"/>
        <v>35-49</v>
      </c>
      <c r="R6034" t="str">
        <f t="shared" si="189"/>
        <v>[ZCjuwgaMB9u]|35-49|Male|Incidence_SUBNAT.Rt.T|CY2024Q3</v>
      </c>
    </row>
    <row r="6035" spans="4:18" x14ac:dyDescent="0.2">
      <c r="D6035" t="s">
        <v>125</v>
      </c>
      <c r="E6035" t="s">
        <v>126</v>
      </c>
      <c r="F6035" t="s">
        <v>127</v>
      </c>
      <c r="G6035" t="s">
        <v>168</v>
      </c>
      <c r="H6035" t="s">
        <v>168</v>
      </c>
      <c r="I6035" t="s">
        <v>44</v>
      </c>
      <c r="J6035" t="s">
        <v>45</v>
      </c>
      <c r="K6035" t="s">
        <v>47</v>
      </c>
      <c r="L6035" t="s">
        <v>48</v>
      </c>
      <c r="M6035" t="s">
        <v>166</v>
      </c>
      <c r="N6035">
        <v>1767</v>
      </c>
      <c r="O6035" s="14">
        <v>0.79676206409931205</v>
      </c>
      <c r="P6035" s="14">
        <v>0.25270639033988102</v>
      </c>
      <c r="Q6035" t="str">
        <f t="shared" si="188"/>
        <v>50+</v>
      </c>
      <c r="R6035" t="str">
        <f t="shared" si="189"/>
        <v>[ZCjuwgaMB9u]|50+|Male|Incidence_SUBNAT.Rt.T|CY2024Q3</v>
      </c>
    </row>
    <row r="6036" spans="4:18" x14ac:dyDescent="0.2">
      <c r="D6036" t="s">
        <v>128</v>
      </c>
      <c r="E6036" t="s">
        <v>129</v>
      </c>
      <c r="F6036" t="s">
        <v>130</v>
      </c>
      <c r="G6036" t="s">
        <v>168</v>
      </c>
      <c r="H6036" t="s">
        <v>168</v>
      </c>
      <c r="I6036" t="s">
        <v>27</v>
      </c>
      <c r="J6036" t="s">
        <v>28</v>
      </c>
      <c r="K6036" t="s">
        <v>29</v>
      </c>
      <c r="L6036" t="s">
        <v>30</v>
      </c>
      <c r="M6036" t="s">
        <v>166</v>
      </c>
      <c r="N6036">
        <v>565</v>
      </c>
      <c r="O6036" s="14">
        <v>0.40466676373034699</v>
      </c>
      <c r="P6036" s="14">
        <v>0.55690808477811504</v>
      </c>
      <c r="Q6036" t="str">
        <f t="shared" si="188"/>
        <v>&lt;01</v>
      </c>
      <c r="R6036" t="str">
        <f t="shared" si="189"/>
        <v>[YCKiBAp8QAg]|&lt;01|Female|Incidence_SUBNAT.Rt.T|CY2024Q3</v>
      </c>
    </row>
    <row r="6037" spans="4:18" x14ac:dyDescent="0.2">
      <c r="D6037" t="s">
        <v>128</v>
      </c>
      <c r="E6037" t="s">
        <v>129</v>
      </c>
      <c r="F6037" t="s">
        <v>130</v>
      </c>
      <c r="G6037" t="s">
        <v>168</v>
      </c>
      <c r="H6037" t="s">
        <v>168</v>
      </c>
      <c r="I6037" t="s">
        <v>32</v>
      </c>
      <c r="J6037" t="s">
        <v>33</v>
      </c>
      <c r="K6037" t="s">
        <v>29</v>
      </c>
      <c r="L6037" t="s">
        <v>30</v>
      </c>
      <c r="M6037" t="s">
        <v>166</v>
      </c>
      <c r="N6037">
        <v>1845</v>
      </c>
      <c r="O6037" s="14">
        <v>0.93764464091509603</v>
      </c>
      <c r="P6037" s="14">
        <v>0.55690808477811504</v>
      </c>
      <c r="Q6037" t="str">
        <f t="shared" si="188"/>
        <v>01-09</v>
      </c>
      <c r="R6037" t="str">
        <f t="shared" si="189"/>
        <v>[YCKiBAp8QAg]|01-09|Female|Incidence_SUBNAT.Rt.T|CY2024Q3</v>
      </c>
    </row>
    <row r="6038" spans="4:18" x14ac:dyDescent="0.2">
      <c r="D6038" t="s">
        <v>128</v>
      </c>
      <c r="E6038" t="s">
        <v>129</v>
      </c>
      <c r="F6038" t="s">
        <v>130</v>
      </c>
      <c r="G6038" t="s">
        <v>168</v>
      </c>
      <c r="H6038" t="s">
        <v>168</v>
      </c>
      <c r="I6038" t="s">
        <v>35</v>
      </c>
      <c r="J6038" t="s">
        <v>36</v>
      </c>
      <c r="K6038" t="s">
        <v>29</v>
      </c>
      <c r="L6038" t="s">
        <v>30</v>
      </c>
      <c r="M6038" t="s">
        <v>166</v>
      </c>
      <c r="N6038">
        <v>1838</v>
      </c>
      <c r="O6038" s="14">
        <v>0.50278794788755499</v>
      </c>
      <c r="P6038" s="14">
        <v>0.55690808477811504</v>
      </c>
      <c r="Q6038" t="str">
        <f t="shared" si="188"/>
        <v>10-14</v>
      </c>
      <c r="R6038" t="str">
        <f t="shared" si="189"/>
        <v>[YCKiBAp8QAg]|10-14|Female|Incidence_SUBNAT.Rt.T|CY2024Q3</v>
      </c>
    </row>
    <row r="6039" spans="4:18" x14ac:dyDescent="0.2">
      <c r="D6039" t="s">
        <v>128</v>
      </c>
      <c r="E6039" t="s">
        <v>129</v>
      </c>
      <c r="F6039" t="s">
        <v>130</v>
      </c>
      <c r="G6039" t="s">
        <v>168</v>
      </c>
      <c r="H6039" t="s">
        <v>168</v>
      </c>
      <c r="I6039" t="s">
        <v>37</v>
      </c>
      <c r="J6039" t="s">
        <v>38</v>
      </c>
      <c r="K6039" t="s">
        <v>29</v>
      </c>
      <c r="L6039" t="s">
        <v>30</v>
      </c>
      <c r="M6039" t="s">
        <v>166</v>
      </c>
      <c r="N6039">
        <v>553</v>
      </c>
      <c r="O6039" s="14">
        <v>0.68193191895261396</v>
      </c>
      <c r="P6039" s="14">
        <v>0.55690808477811504</v>
      </c>
      <c r="Q6039" t="str">
        <f t="shared" si="188"/>
        <v>15-24</v>
      </c>
      <c r="R6039" t="str">
        <f t="shared" si="189"/>
        <v>[YCKiBAp8QAg]|15-24|Female|Incidence_SUBNAT.Rt.T|CY2024Q3</v>
      </c>
    </row>
    <row r="6040" spans="4:18" x14ac:dyDescent="0.2">
      <c r="D6040" t="s">
        <v>128</v>
      </c>
      <c r="E6040" t="s">
        <v>129</v>
      </c>
      <c r="F6040" t="s">
        <v>130</v>
      </c>
      <c r="G6040" t="s">
        <v>168</v>
      </c>
      <c r="H6040" t="s">
        <v>168</v>
      </c>
      <c r="I6040" t="s">
        <v>40</v>
      </c>
      <c r="J6040" t="s">
        <v>41</v>
      </c>
      <c r="K6040" t="s">
        <v>29</v>
      </c>
      <c r="L6040" t="s">
        <v>30</v>
      </c>
      <c r="M6040" t="s">
        <v>166</v>
      </c>
      <c r="N6040">
        <v>758</v>
      </c>
      <c r="O6040" s="14">
        <v>0.747442840132862</v>
      </c>
      <c r="P6040" s="14">
        <v>0.55690808477811504</v>
      </c>
      <c r="Q6040" t="str">
        <f t="shared" si="188"/>
        <v>25-34</v>
      </c>
      <c r="R6040" t="str">
        <f t="shared" si="189"/>
        <v>[YCKiBAp8QAg]|25-34|Female|Incidence_SUBNAT.Rt.T|CY2024Q3</v>
      </c>
    </row>
    <row r="6041" spans="4:18" x14ac:dyDescent="0.2">
      <c r="D6041" t="s">
        <v>128</v>
      </c>
      <c r="E6041" t="s">
        <v>129</v>
      </c>
      <c r="F6041" t="s">
        <v>130</v>
      </c>
      <c r="G6041" t="s">
        <v>168</v>
      </c>
      <c r="H6041" t="s">
        <v>168</v>
      </c>
      <c r="I6041" t="s">
        <v>42</v>
      </c>
      <c r="J6041" t="s">
        <v>43</v>
      </c>
      <c r="K6041" t="s">
        <v>29</v>
      </c>
      <c r="L6041" t="s">
        <v>30</v>
      </c>
      <c r="M6041" t="s">
        <v>166</v>
      </c>
      <c r="N6041">
        <v>676</v>
      </c>
      <c r="O6041" s="14">
        <v>0.43977868277579502</v>
      </c>
      <c r="P6041" s="14">
        <v>0.55690808477811504</v>
      </c>
      <c r="Q6041" t="str">
        <f t="shared" si="188"/>
        <v>35-49</v>
      </c>
      <c r="R6041" t="str">
        <f t="shared" si="189"/>
        <v>[YCKiBAp8QAg]|35-49|Female|Incidence_SUBNAT.Rt.T|CY2024Q3</v>
      </c>
    </row>
    <row r="6042" spans="4:18" x14ac:dyDescent="0.2">
      <c r="D6042" t="s">
        <v>128</v>
      </c>
      <c r="E6042" t="s">
        <v>129</v>
      </c>
      <c r="F6042" t="s">
        <v>130</v>
      </c>
      <c r="G6042" t="s">
        <v>168</v>
      </c>
      <c r="H6042" t="s">
        <v>168</v>
      </c>
      <c r="I6042" t="s">
        <v>44</v>
      </c>
      <c r="J6042" t="s">
        <v>45</v>
      </c>
      <c r="K6042" t="s">
        <v>29</v>
      </c>
      <c r="L6042" t="s">
        <v>30</v>
      </c>
      <c r="M6042" t="s">
        <v>166</v>
      </c>
      <c r="N6042">
        <v>552</v>
      </c>
      <c r="O6042" s="14">
        <v>0.39991313475184098</v>
      </c>
      <c r="P6042" s="14">
        <v>0.55690808477811504</v>
      </c>
      <c r="Q6042" t="str">
        <f t="shared" si="188"/>
        <v>50+</v>
      </c>
      <c r="R6042" t="str">
        <f t="shared" si="189"/>
        <v>[YCKiBAp8QAg]|50+|Female|Incidence_SUBNAT.Rt.T|CY2024Q3</v>
      </c>
    </row>
    <row r="6043" spans="4:18" x14ac:dyDescent="0.2">
      <c r="D6043" t="s">
        <v>128</v>
      </c>
      <c r="E6043" t="s">
        <v>129</v>
      </c>
      <c r="F6043" t="s">
        <v>130</v>
      </c>
      <c r="G6043" t="s">
        <v>168</v>
      </c>
      <c r="H6043" t="s">
        <v>168</v>
      </c>
      <c r="I6043" t="s">
        <v>27</v>
      </c>
      <c r="J6043" t="s">
        <v>28</v>
      </c>
      <c r="K6043" t="s">
        <v>47</v>
      </c>
      <c r="L6043" t="s">
        <v>48</v>
      </c>
      <c r="M6043" t="s">
        <v>166</v>
      </c>
      <c r="N6043">
        <v>1504</v>
      </c>
      <c r="O6043" s="14">
        <v>0.583220576634631</v>
      </c>
      <c r="P6043" s="14">
        <v>0.55690808477811504</v>
      </c>
      <c r="Q6043" t="str">
        <f t="shared" si="188"/>
        <v>&lt;01</v>
      </c>
      <c r="R6043" t="str">
        <f t="shared" si="189"/>
        <v>[YCKiBAp8QAg]|&lt;01|Male|Incidence_SUBNAT.Rt.T|CY2024Q3</v>
      </c>
    </row>
    <row r="6044" spans="4:18" x14ac:dyDescent="0.2">
      <c r="D6044" t="s">
        <v>128</v>
      </c>
      <c r="E6044" t="s">
        <v>129</v>
      </c>
      <c r="F6044" t="s">
        <v>130</v>
      </c>
      <c r="G6044" t="s">
        <v>168</v>
      </c>
      <c r="H6044" t="s">
        <v>168</v>
      </c>
      <c r="I6044" t="s">
        <v>32</v>
      </c>
      <c r="J6044" t="s">
        <v>33</v>
      </c>
      <c r="K6044" t="s">
        <v>47</v>
      </c>
      <c r="L6044" t="s">
        <v>48</v>
      </c>
      <c r="M6044" t="s">
        <v>166</v>
      </c>
      <c r="N6044">
        <v>1960</v>
      </c>
      <c r="O6044" s="14">
        <v>0.721171463606879</v>
      </c>
      <c r="P6044" s="14">
        <v>0.55690808477811504</v>
      </c>
      <c r="Q6044" t="str">
        <f t="shared" si="188"/>
        <v>01-09</v>
      </c>
      <c r="R6044" t="str">
        <f t="shared" si="189"/>
        <v>[YCKiBAp8QAg]|01-09|Male|Incidence_SUBNAT.Rt.T|CY2024Q3</v>
      </c>
    </row>
    <row r="6045" spans="4:18" x14ac:dyDescent="0.2">
      <c r="D6045" t="s">
        <v>128</v>
      </c>
      <c r="E6045" t="s">
        <v>129</v>
      </c>
      <c r="F6045" t="s">
        <v>130</v>
      </c>
      <c r="G6045" t="s">
        <v>168</v>
      </c>
      <c r="H6045" t="s">
        <v>168</v>
      </c>
      <c r="I6045" t="s">
        <v>35</v>
      </c>
      <c r="J6045" t="s">
        <v>36</v>
      </c>
      <c r="K6045" t="s">
        <v>47</v>
      </c>
      <c r="L6045" t="s">
        <v>48</v>
      </c>
      <c r="M6045" t="s">
        <v>166</v>
      </c>
      <c r="N6045">
        <v>1094</v>
      </c>
      <c r="O6045" s="14">
        <v>2.3905835580080699E-2</v>
      </c>
      <c r="P6045" s="14">
        <v>0.55690808477811504</v>
      </c>
      <c r="Q6045" t="str">
        <f t="shared" si="188"/>
        <v>10-14</v>
      </c>
      <c r="R6045" t="str">
        <f t="shared" si="189"/>
        <v>[YCKiBAp8QAg]|10-14|Male|Incidence_SUBNAT.Rt.T|CY2024Q3</v>
      </c>
    </row>
    <row r="6046" spans="4:18" x14ac:dyDescent="0.2">
      <c r="D6046" t="s">
        <v>128</v>
      </c>
      <c r="E6046" t="s">
        <v>129</v>
      </c>
      <c r="F6046" t="s">
        <v>130</v>
      </c>
      <c r="G6046" t="s">
        <v>168</v>
      </c>
      <c r="H6046" t="s">
        <v>168</v>
      </c>
      <c r="I6046" t="s">
        <v>37</v>
      </c>
      <c r="J6046" t="s">
        <v>38</v>
      </c>
      <c r="K6046" t="s">
        <v>47</v>
      </c>
      <c r="L6046" t="s">
        <v>48</v>
      </c>
      <c r="M6046" t="s">
        <v>166</v>
      </c>
      <c r="N6046">
        <v>1191</v>
      </c>
      <c r="O6046" s="14">
        <v>0.55330043705180298</v>
      </c>
      <c r="P6046" s="14">
        <v>0.55690808477811504</v>
      </c>
      <c r="Q6046" t="str">
        <f t="shared" si="188"/>
        <v>15-24</v>
      </c>
      <c r="R6046" t="str">
        <f t="shared" si="189"/>
        <v>[YCKiBAp8QAg]|15-24|Male|Incidence_SUBNAT.Rt.T|CY2024Q3</v>
      </c>
    </row>
    <row r="6047" spans="4:18" x14ac:dyDescent="0.2">
      <c r="D6047" t="s">
        <v>128</v>
      </c>
      <c r="E6047" t="s">
        <v>129</v>
      </c>
      <c r="F6047" t="s">
        <v>130</v>
      </c>
      <c r="G6047" t="s">
        <v>168</v>
      </c>
      <c r="H6047" t="s">
        <v>168</v>
      </c>
      <c r="I6047" t="s">
        <v>40</v>
      </c>
      <c r="J6047" t="s">
        <v>41</v>
      </c>
      <c r="K6047" t="s">
        <v>47</v>
      </c>
      <c r="L6047" t="s">
        <v>48</v>
      </c>
      <c r="M6047" t="s">
        <v>166</v>
      </c>
      <c r="N6047">
        <v>1698</v>
      </c>
      <c r="O6047" s="14">
        <v>0.57768322224728796</v>
      </c>
      <c r="P6047" s="14">
        <v>0.55690808477811504</v>
      </c>
      <c r="Q6047" t="str">
        <f t="shared" si="188"/>
        <v>25-34</v>
      </c>
      <c r="R6047" t="str">
        <f t="shared" si="189"/>
        <v>[YCKiBAp8QAg]|25-34|Male|Incidence_SUBNAT.Rt.T|CY2024Q3</v>
      </c>
    </row>
    <row r="6048" spans="4:18" x14ac:dyDescent="0.2">
      <c r="D6048" t="s">
        <v>128</v>
      </c>
      <c r="E6048" t="s">
        <v>129</v>
      </c>
      <c r="F6048" t="s">
        <v>130</v>
      </c>
      <c r="G6048" t="s">
        <v>168</v>
      </c>
      <c r="H6048" t="s">
        <v>168</v>
      </c>
      <c r="I6048" t="s">
        <v>42</v>
      </c>
      <c r="J6048" t="s">
        <v>43</v>
      </c>
      <c r="K6048" t="s">
        <v>47</v>
      </c>
      <c r="L6048" t="s">
        <v>48</v>
      </c>
      <c r="M6048" t="s">
        <v>166</v>
      </c>
      <c r="N6048">
        <v>1862</v>
      </c>
      <c r="O6048" s="14">
        <v>0.81394914677366603</v>
      </c>
      <c r="P6048" s="14">
        <v>0.55690808477811504</v>
      </c>
      <c r="Q6048" t="str">
        <f t="shared" si="188"/>
        <v>35-49</v>
      </c>
      <c r="R6048" t="str">
        <f t="shared" si="189"/>
        <v>[YCKiBAp8QAg]|35-49|Male|Incidence_SUBNAT.Rt.T|CY2024Q3</v>
      </c>
    </row>
    <row r="6049" spans="4:18" x14ac:dyDescent="0.2">
      <c r="D6049" t="s">
        <v>128</v>
      </c>
      <c r="E6049" t="s">
        <v>129</v>
      </c>
      <c r="F6049" t="s">
        <v>130</v>
      </c>
      <c r="G6049" t="s">
        <v>168</v>
      </c>
      <c r="H6049" t="s">
        <v>168</v>
      </c>
      <c r="I6049" t="s">
        <v>44</v>
      </c>
      <c r="J6049" t="s">
        <v>45</v>
      </c>
      <c r="K6049" t="s">
        <v>47</v>
      </c>
      <c r="L6049" t="s">
        <v>48</v>
      </c>
      <c r="M6049" t="s">
        <v>166</v>
      </c>
      <c r="N6049">
        <v>693</v>
      </c>
      <c r="O6049" s="14">
        <v>0.47384879342280301</v>
      </c>
      <c r="P6049" s="14">
        <v>0.55690808477811504</v>
      </c>
      <c r="Q6049" t="str">
        <f t="shared" si="188"/>
        <v>50+</v>
      </c>
      <c r="R6049" t="str">
        <f t="shared" si="189"/>
        <v>[YCKiBAp8QAg]|50+|Male|Incidence_SUBNAT.Rt.T|CY2024Q3</v>
      </c>
    </row>
    <row r="6050" spans="4:18" x14ac:dyDescent="0.2">
      <c r="D6050" t="s">
        <v>131</v>
      </c>
      <c r="E6050" t="s">
        <v>132</v>
      </c>
      <c r="F6050" t="s">
        <v>133</v>
      </c>
      <c r="G6050" t="s">
        <v>168</v>
      </c>
      <c r="H6050" t="s">
        <v>168</v>
      </c>
      <c r="I6050" t="s">
        <v>27</v>
      </c>
      <c r="J6050" t="s">
        <v>28</v>
      </c>
      <c r="K6050" t="s">
        <v>29</v>
      </c>
      <c r="L6050" t="s">
        <v>30</v>
      </c>
      <c r="M6050" t="s">
        <v>166</v>
      </c>
      <c r="N6050">
        <v>1690</v>
      </c>
      <c r="O6050" s="14">
        <v>0.31906512985006003</v>
      </c>
      <c r="P6050" s="14">
        <v>0.16286319401115201</v>
      </c>
      <c r="Q6050" t="str">
        <f t="shared" si="188"/>
        <v>&lt;01</v>
      </c>
      <c r="R6050" t="str">
        <f t="shared" si="189"/>
        <v>[JQKLKuVuY61]|&lt;01|Female|Incidence_SUBNAT.Rt.T|CY2024Q3</v>
      </c>
    </row>
    <row r="6051" spans="4:18" x14ac:dyDescent="0.2">
      <c r="D6051" t="s">
        <v>131</v>
      </c>
      <c r="E6051" t="s">
        <v>132</v>
      </c>
      <c r="F6051" t="s">
        <v>133</v>
      </c>
      <c r="G6051" t="s">
        <v>168</v>
      </c>
      <c r="H6051" t="s">
        <v>168</v>
      </c>
      <c r="I6051" t="s">
        <v>32</v>
      </c>
      <c r="J6051" t="s">
        <v>33</v>
      </c>
      <c r="K6051" t="s">
        <v>29</v>
      </c>
      <c r="L6051" t="s">
        <v>30</v>
      </c>
      <c r="M6051" t="s">
        <v>166</v>
      </c>
      <c r="N6051">
        <v>1411</v>
      </c>
      <c r="O6051" s="14">
        <v>0.19301574118435399</v>
      </c>
      <c r="P6051" s="14">
        <v>0.16286319401115201</v>
      </c>
      <c r="Q6051" t="str">
        <f t="shared" si="188"/>
        <v>01-09</v>
      </c>
      <c r="R6051" t="str">
        <f t="shared" si="189"/>
        <v>[JQKLKuVuY61]|01-09|Female|Incidence_SUBNAT.Rt.T|CY2024Q3</v>
      </c>
    </row>
    <row r="6052" spans="4:18" x14ac:dyDescent="0.2">
      <c r="D6052" t="s">
        <v>131</v>
      </c>
      <c r="E6052" t="s">
        <v>132</v>
      </c>
      <c r="F6052" t="s">
        <v>133</v>
      </c>
      <c r="G6052" t="s">
        <v>168</v>
      </c>
      <c r="H6052" t="s">
        <v>168</v>
      </c>
      <c r="I6052" t="s">
        <v>35</v>
      </c>
      <c r="J6052" t="s">
        <v>36</v>
      </c>
      <c r="K6052" t="s">
        <v>29</v>
      </c>
      <c r="L6052" t="s">
        <v>30</v>
      </c>
      <c r="M6052" t="s">
        <v>166</v>
      </c>
      <c r="N6052">
        <v>1132</v>
      </c>
      <c r="O6052" s="14">
        <v>8.4899649489671006E-2</v>
      </c>
      <c r="P6052" s="14">
        <v>0.16286319401115201</v>
      </c>
      <c r="Q6052" t="str">
        <f t="shared" si="188"/>
        <v>10-14</v>
      </c>
      <c r="R6052" t="str">
        <f t="shared" si="189"/>
        <v>[JQKLKuVuY61]|10-14|Female|Incidence_SUBNAT.Rt.T|CY2024Q3</v>
      </c>
    </row>
    <row r="6053" spans="4:18" x14ac:dyDescent="0.2">
      <c r="D6053" t="s">
        <v>131</v>
      </c>
      <c r="E6053" t="s">
        <v>132</v>
      </c>
      <c r="F6053" t="s">
        <v>133</v>
      </c>
      <c r="G6053" t="s">
        <v>168</v>
      </c>
      <c r="H6053" t="s">
        <v>168</v>
      </c>
      <c r="I6053" t="s">
        <v>37</v>
      </c>
      <c r="J6053" t="s">
        <v>38</v>
      </c>
      <c r="K6053" t="s">
        <v>29</v>
      </c>
      <c r="L6053" t="s">
        <v>30</v>
      </c>
      <c r="M6053" t="s">
        <v>166</v>
      </c>
      <c r="N6053">
        <v>1584</v>
      </c>
      <c r="O6053" s="14">
        <v>0.58536235103383705</v>
      </c>
      <c r="P6053" s="14">
        <v>0.16286319401115201</v>
      </c>
      <c r="Q6053" t="str">
        <f t="shared" si="188"/>
        <v>15-24</v>
      </c>
      <c r="R6053" t="str">
        <f t="shared" si="189"/>
        <v>[JQKLKuVuY61]|15-24|Female|Incidence_SUBNAT.Rt.T|CY2024Q3</v>
      </c>
    </row>
    <row r="6054" spans="4:18" x14ac:dyDescent="0.2">
      <c r="D6054" t="s">
        <v>131</v>
      </c>
      <c r="E6054" t="s">
        <v>132</v>
      </c>
      <c r="F6054" t="s">
        <v>133</v>
      </c>
      <c r="G6054" t="s">
        <v>168</v>
      </c>
      <c r="H6054" t="s">
        <v>168</v>
      </c>
      <c r="I6054" t="s">
        <v>40</v>
      </c>
      <c r="J6054" t="s">
        <v>41</v>
      </c>
      <c r="K6054" t="s">
        <v>29</v>
      </c>
      <c r="L6054" t="s">
        <v>30</v>
      </c>
      <c r="M6054" t="s">
        <v>166</v>
      </c>
      <c r="N6054">
        <v>697</v>
      </c>
      <c r="O6054" s="14">
        <v>9.8410758189857006E-2</v>
      </c>
      <c r="P6054" s="14">
        <v>0.16286319401115201</v>
      </c>
      <c r="Q6054" t="str">
        <f t="shared" si="188"/>
        <v>25-34</v>
      </c>
      <c r="R6054" t="str">
        <f t="shared" si="189"/>
        <v>[JQKLKuVuY61]|25-34|Female|Incidence_SUBNAT.Rt.T|CY2024Q3</v>
      </c>
    </row>
    <row r="6055" spans="4:18" x14ac:dyDescent="0.2">
      <c r="D6055" t="s">
        <v>131</v>
      </c>
      <c r="E6055" t="s">
        <v>132</v>
      </c>
      <c r="F6055" t="s">
        <v>133</v>
      </c>
      <c r="G6055" t="s">
        <v>168</v>
      </c>
      <c r="H6055" t="s">
        <v>168</v>
      </c>
      <c r="I6055" t="s">
        <v>42</v>
      </c>
      <c r="J6055" t="s">
        <v>43</v>
      </c>
      <c r="K6055" t="s">
        <v>29</v>
      </c>
      <c r="L6055" t="s">
        <v>30</v>
      </c>
      <c r="M6055" t="s">
        <v>166</v>
      </c>
      <c r="N6055">
        <v>1914</v>
      </c>
      <c r="O6055" s="14">
        <v>0.446898570982739</v>
      </c>
      <c r="P6055" s="14">
        <v>0.16286319401115201</v>
      </c>
      <c r="Q6055" t="str">
        <f t="shared" si="188"/>
        <v>35-49</v>
      </c>
      <c r="R6055" t="str">
        <f t="shared" si="189"/>
        <v>[JQKLKuVuY61]|35-49|Female|Incidence_SUBNAT.Rt.T|CY2024Q3</v>
      </c>
    </row>
    <row r="6056" spans="4:18" x14ac:dyDescent="0.2">
      <c r="D6056" t="s">
        <v>131</v>
      </c>
      <c r="E6056" t="s">
        <v>132</v>
      </c>
      <c r="F6056" t="s">
        <v>133</v>
      </c>
      <c r="G6056" t="s">
        <v>168</v>
      </c>
      <c r="H6056" t="s">
        <v>168</v>
      </c>
      <c r="I6056" t="s">
        <v>44</v>
      </c>
      <c r="J6056" t="s">
        <v>45</v>
      </c>
      <c r="K6056" t="s">
        <v>29</v>
      </c>
      <c r="L6056" t="s">
        <v>30</v>
      </c>
      <c r="M6056" t="s">
        <v>166</v>
      </c>
      <c r="N6056">
        <v>789</v>
      </c>
      <c r="O6056" s="14">
        <v>0.96662990399636295</v>
      </c>
      <c r="P6056" s="14">
        <v>0.16286319401115201</v>
      </c>
      <c r="Q6056" t="str">
        <f t="shared" si="188"/>
        <v>50+</v>
      </c>
      <c r="R6056" t="str">
        <f t="shared" si="189"/>
        <v>[JQKLKuVuY61]|50+|Female|Incidence_SUBNAT.Rt.T|CY2024Q3</v>
      </c>
    </row>
    <row r="6057" spans="4:18" x14ac:dyDescent="0.2">
      <c r="D6057" t="s">
        <v>131</v>
      </c>
      <c r="E6057" t="s">
        <v>132</v>
      </c>
      <c r="F6057" t="s">
        <v>133</v>
      </c>
      <c r="G6057" t="s">
        <v>168</v>
      </c>
      <c r="H6057" t="s">
        <v>168</v>
      </c>
      <c r="I6057" t="s">
        <v>27</v>
      </c>
      <c r="J6057" t="s">
        <v>28</v>
      </c>
      <c r="K6057" t="s">
        <v>47</v>
      </c>
      <c r="L6057" t="s">
        <v>48</v>
      </c>
      <c r="M6057" t="s">
        <v>166</v>
      </c>
      <c r="N6057">
        <v>1210</v>
      </c>
      <c r="O6057" s="14">
        <v>0.51599127030931402</v>
      </c>
      <c r="P6057" s="14">
        <v>0.16286319401115201</v>
      </c>
      <c r="Q6057" t="str">
        <f t="shared" si="188"/>
        <v>&lt;01</v>
      </c>
      <c r="R6057" t="str">
        <f t="shared" si="189"/>
        <v>[JQKLKuVuY61]|&lt;01|Male|Incidence_SUBNAT.Rt.T|CY2024Q3</v>
      </c>
    </row>
    <row r="6058" spans="4:18" x14ac:dyDescent="0.2">
      <c r="D6058" t="s">
        <v>131</v>
      </c>
      <c r="E6058" t="s">
        <v>132</v>
      </c>
      <c r="F6058" t="s">
        <v>133</v>
      </c>
      <c r="G6058" t="s">
        <v>168</v>
      </c>
      <c r="H6058" t="s">
        <v>168</v>
      </c>
      <c r="I6058" t="s">
        <v>32</v>
      </c>
      <c r="J6058" t="s">
        <v>33</v>
      </c>
      <c r="K6058" t="s">
        <v>47</v>
      </c>
      <c r="L6058" t="s">
        <v>48</v>
      </c>
      <c r="M6058" t="s">
        <v>166</v>
      </c>
      <c r="N6058">
        <v>1416</v>
      </c>
      <c r="O6058" s="14">
        <v>6.1878575710579801E-2</v>
      </c>
      <c r="P6058" s="14">
        <v>0.16286319401115201</v>
      </c>
      <c r="Q6058" t="str">
        <f t="shared" si="188"/>
        <v>01-09</v>
      </c>
      <c r="R6058" t="str">
        <f t="shared" si="189"/>
        <v>[JQKLKuVuY61]|01-09|Male|Incidence_SUBNAT.Rt.T|CY2024Q3</v>
      </c>
    </row>
    <row r="6059" spans="4:18" x14ac:dyDescent="0.2">
      <c r="D6059" t="s">
        <v>131</v>
      </c>
      <c r="E6059" t="s">
        <v>132</v>
      </c>
      <c r="F6059" t="s">
        <v>133</v>
      </c>
      <c r="G6059" t="s">
        <v>168</v>
      </c>
      <c r="H6059" t="s">
        <v>168</v>
      </c>
      <c r="I6059" t="s">
        <v>35</v>
      </c>
      <c r="J6059" t="s">
        <v>36</v>
      </c>
      <c r="K6059" t="s">
        <v>47</v>
      </c>
      <c r="L6059" t="s">
        <v>48</v>
      </c>
      <c r="M6059" t="s">
        <v>166</v>
      </c>
      <c r="N6059">
        <v>928</v>
      </c>
      <c r="O6059" s="14">
        <v>0.99079881282523297</v>
      </c>
      <c r="P6059" s="14">
        <v>0.16286319401115201</v>
      </c>
      <c r="Q6059" t="str">
        <f t="shared" si="188"/>
        <v>10-14</v>
      </c>
      <c r="R6059" t="str">
        <f t="shared" si="189"/>
        <v>[JQKLKuVuY61]|10-14|Male|Incidence_SUBNAT.Rt.T|CY2024Q3</v>
      </c>
    </row>
    <row r="6060" spans="4:18" x14ac:dyDescent="0.2">
      <c r="D6060" t="s">
        <v>131</v>
      </c>
      <c r="E6060" t="s">
        <v>132</v>
      </c>
      <c r="F6060" t="s">
        <v>133</v>
      </c>
      <c r="G6060" t="s">
        <v>168</v>
      </c>
      <c r="H6060" t="s">
        <v>168</v>
      </c>
      <c r="I6060" t="s">
        <v>37</v>
      </c>
      <c r="J6060" t="s">
        <v>38</v>
      </c>
      <c r="K6060" t="s">
        <v>47</v>
      </c>
      <c r="L6060" t="s">
        <v>48</v>
      </c>
      <c r="M6060" t="s">
        <v>166</v>
      </c>
      <c r="N6060">
        <v>1780</v>
      </c>
      <c r="O6060" s="14">
        <v>0.52718968130648103</v>
      </c>
      <c r="P6060" s="14">
        <v>0.16286319401115201</v>
      </c>
      <c r="Q6060" t="str">
        <f t="shared" si="188"/>
        <v>15-24</v>
      </c>
      <c r="R6060" t="str">
        <f t="shared" si="189"/>
        <v>[JQKLKuVuY61]|15-24|Male|Incidence_SUBNAT.Rt.T|CY2024Q3</v>
      </c>
    </row>
    <row r="6061" spans="4:18" x14ac:dyDescent="0.2">
      <c r="D6061" t="s">
        <v>131</v>
      </c>
      <c r="E6061" t="s">
        <v>132</v>
      </c>
      <c r="F6061" t="s">
        <v>133</v>
      </c>
      <c r="G6061" t="s">
        <v>168</v>
      </c>
      <c r="H6061" t="s">
        <v>168</v>
      </c>
      <c r="I6061" t="s">
        <v>40</v>
      </c>
      <c r="J6061" t="s">
        <v>41</v>
      </c>
      <c r="K6061" t="s">
        <v>47</v>
      </c>
      <c r="L6061" t="s">
        <v>48</v>
      </c>
      <c r="M6061" t="s">
        <v>166</v>
      </c>
      <c r="N6061">
        <v>727</v>
      </c>
      <c r="O6061" s="14">
        <v>0.40264391945674999</v>
      </c>
      <c r="P6061" s="14">
        <v>0.16286319401115201</v>
      </c>
      <c r="Q6061" t="str">
        <f t="shared" si="188"/>
        <v>25-34</v>
      </c>
      <c r="R6061" t="str">
        <f t="shared" si="189"/>
        <v>[JQKLKuVuY61]|25-34|Male|Incidence_SUBNAT.Rt.T|CY2024Q3</v>
      </c>
    </row>
    <row r="6062" spans="4:18" x14ac:dyDescent="0.2">
      <c r="D6062" t="s">
        <v>131</v>
      </c>
      <c r="E6062" t="s">
        <v>132</v>
      </c>
      <c r="F6062" t="s">
        <v>133</v>
      </c>
      <c r="G6062" t="s">
        <v>168</v>
      </c>
      <c r="H6062" t="s">
        <v>168</v>
      </c>
      <c r="I6062" t="s">
        <v>42</v>
      </c>
      <c r="J6062" t="s">
        <v>43</v>
      </c>
      <c r="K6062" t="s">
        <v>47</v>
      </c>
      <c r="L6062" t="s">
        <v>48</v>
      </c>
      <c r="M6062" t="s">
        <v>166</v>
      </c>
      <c r="N6062">
        <v>1281</v>
      </c>
      <c r="O6062" s="14">
        <v>3.8193324115127297E-2</v>
      </c>
      <c r="P6062" s="14">
        <v>0.16286319401115201</v>
      </c>
      <c r="Q6062" t="str">
        <f t="shared" si="188"/>
        <v>35-49</v>
      </c>
      <c r="R6062" t="str">
        <f t="shared" si="189"/>
        <v>[JQKLKuVuY61]|35-49|Male|Incidence_SUBNAT.Rt.T|CY2024Q3</v>
      </c>
    </row>
    <row r="6063" spans="4:18" x14ac:dyDescent="0.2">
      <c r="D6063" t="s">
        <v>131</v>
      </c>
      <c r="E6063" t="s">
        <v>132</v>
      </c>
      <c r="F6063" t="s">
        <v>133</v>
      </c>
      <c r="G6063" t="s">
        <v>168</v>
      </c>
      <c r="H6063" t="s">
        <v>168</v>
      </c>
      <c r="I6063" t="s">
        <v>44</v>
      </c>
      <c r="J6063" t="s">
        <v>45</v>
      </c>
      <c r="K6063" t="s">
        <v>47</v>
      </c>
      <c r="L6063" t="s">
        <v>48</v>
      </c>
      <c r="M6063" t="s">
        <v>166</v>
      </c>
      <c r="N6063">
        <v>1466</v>
      </c>
      <c r="O6063" s="14">
        <v>0.90371139138005696</v>
      </c>
      <c r="P6063" s="14">
        <v>0.16286319401115201</v>
      </c>
      <c r="Q6063" t="str">
        <f t="shared" si="188"/>
        <v>50+</v>
      </c>
      <c r="R6063" t="str">
        <f t="shared" si="189"/>
        <v>[JQKLKuVuY61]|50+|Male|Incidence_SUBNAT.Rt.T|CY2024Q3</v>
      </c>
    </row>
    <row r="6064" spans="4:18" x14ac:dyDescent="0.2">
      <c r="D6064" t="s">
        <v>134</v>
      </c>
      <c r="E6064" t="s">
        <v>135</v>
      </c>
      <c r="F6064" t="s">
        <v>136</v>
      </c>
      <c r="G6064" t="s">
        <v>168</v>
      </c>
      <c r="H6064" t="s">
        <v>168</v>
      </c>
      <c r="I6064" t="s">
        <v>27</v>
      </c>
      <c r="J6064" t="s">
        <v>28</v>
      </c>
      <c r="K6064" t="s">
        <v>29</v>
      </c>
      <c r="L6064" t="s">
        <v>30</v>
      </c>
      <c r="M6064" t="s">
        <v>166</v>
      </c>
      <c r="N6064">
        <v>1306</v>
      </c>
      <c r="O6064" s="14">
        <v>0.63440727605484404</v>
      </c>
      <c r="P6064" s="14">
        <v>0.95530052832327805</v>
      </c>
      <c r="Q6064" t="str">
        <f t="shared" si="188"/>
        <v>&lt;01</v>
      </c>
      <c r="R6064" t="str">
        <f t="shared" si="189"/>
        <v>[fiRkU6gEjLz]|&lt;01|Female|Incidence_SUBNAT.Rt.T|CY2024Q3</v>
      </c>
    </row>
    <row r="6065" spans="4:18" x14ac:dyDescent="0.2">
      <c r="D6065" t="s">
        <v>134</v>
      </c>
      <c r="E6065" t="s">
        <v>135</v>
      </c>
      <c r="F6065" t="s">
        <v>136</v>
      </c>
      <c r="G6065" t="s">
        <v>168</v>
      </c>
      <c r="H6065" t="s">
        <v>168</v>
      </c>
      <c r="I6065" t="s">
        <v>32</v>
      </c>
      <c r="J6065" t="s">
        <v>33</v>
      </c>
      <c r="K6065" t="s">
        <v>29</v>
      </c>
      <c r="L6065" t="s">
        <v>30</v>
      </c>
      <c r="M6065" t="s">
        <v>166</v>
      </c>
      <c r="N6065">
        <v>1941</v>
      </c>
      <c r="O6065" s="14">
        <v>0.88467211253009703</v>
      </c>
      <c r="P6065" s="14">
        <v>0.95530052832327805</v>
      </c>
      <c r="Q6065" t="str">
        <f t="shared" si="188"/>
        <v>01-09</v>
      </c>
      <c r="R6065" t="str">
        <f t="shared" si="189"/>
        <v>[fiRkU6gEjLz]|01-09|Female|Incidence_SUBNAT.Rt.T|CY2024Q3</v>
      </c>
    </row>
    <row r="6066" spans="4:18" x14ac:dyDescent="0.2">
      <c r="D6066" t="s">
        <v>134</v>
      </c>
      <c r="E6066" t="s">
        <v>135</v>
      </c>
      <c r="F6066" t="s">
        <v>136</v>
      </c>
      <c r="G6066" t="s">
        <v>168</v>
      </c>
      <c r="H6066" t="s">
        <v>168</v>
      </c>
      <c r="I6066" t="s">
        <v>35</v>
      </c>
      <c r="J6066" t="s">
        <v>36</v>
      </c>
      <c r="K6066" t="s">
        <v>29</v>
      </c>
      <c r="L6066" t="s">
        <v>30</v>
      </c>
      <c r="M6066" t="s">
        <v>166</v>
      </c>
      <c r="N6066">
        <v>1172</v>
      </c>
      <c r="O6066" s="14">
        <v>0.42457268014550198</v>
      </c>
      <c r="P6066" s="14">
        <v>0.95530052832327805</v>
      </c>
      <c r="Q6066" t="str">
        <f t="shared" si="188"/>
        <v>10-14</v>
      </c>
      <c r="R6066" t="str">
        <f t="shared" si="189"/>
        <v>[fiRkU6gEjLz]|10-14|Female|Incidence_SUBNAT.Rt.T|CY2024Q3</v>
      </c>
    </row>
    <row r="6067" spans="4:18" x14ac:dyDescent="0.2">
      <c r="D6067" t="s">
        <v>134</v>
      </c>
      <c r="E6067" t="s">
        <v>135</v>
      </c>
      <c r="F6067" t="s">
        <v>136</v>
      </c>
      <c r="G6067" t="s">
        <v>168</v>
      </c>
      <c r="H6067" t="s">
        <v>168</v>
      </c>
      <c r="I6067" t="s">
        <v>37</v>
      </c>
      <c r="J6067" t="s">
        <v>38</v>
      </c>
      <c r="K6067" t="s">
        <v>29</v>
      </c>
      <c r="L6067" t="s">
        <v>30</v>
      </c>
      <c r="M6067" t="s">
        <v>166</v>
      </c>
      <c r="N6067">
        <v>1575</v>
      </c>
      <c r="O6067" s="14">
        <v>0.17443194845691301</v>
      </c>
      <c r="P6067" s="14">
        <v>0.95530052832327805</v>
      </c>
      <c r="Q6067" t="str">
        <f t="shared" si="188"/>
        <v>15-24</v>
      </c>
      <c r="R6067" t="str">
        <f t="shared" si="189"/>
        <v>[fiRkU6gEjLz]|15-24|Female|Incidence_SUBNAT.Rt.T|CY2024Q3</v>
      </c>
    </row>
    <row r="6068" spans="4:18" x14ac:dyDescent="0.2">
      <c r="D6068" t="s">
        <v>134</v>
      </c>
      <c r="E6068" t="s">
        <v>135</v>
      </c>
      <c r="F6068" t="s">
        <v>136</v>
      </c>
      <c r="G6068" t="s">
        <v>168</v>
      </c>
      <c r="H6068" t="s">
        <v>168</v>
      </c>
      <c r="I6068" t="s">
        <v>40</v>
      </c>
      <c r="J6068" t="s">
        <v>41</v>
      </c>
      <c r="K6068" t="s">
        <v>29</v>
      </c>
      <c r="L6068" t="s">
        <v>30</v>
      </c>
      <c r="M6068" t="s">
        <v>166</v>
      </c>
      <c r="N6068">
        <v>733</v>
      </c>
      <c r="O6068" s="14">
        <v>0.30488907499238799</v>
      </c>
      <c r="P6068" s="14">
        <v>0.95530052832327805</v>
      </c>
      <c r="Q6068" t="str">
        <f t="shared" si="188"/>
        <v>25-34</v>
      </c>
      <c r="R6068" t="str">
        <f t="shared" si="189"/>
        <v>[fiRkU6gEjLz]|25-34|Female|Incidence_SUBNAT.Rt.T|CY2024Q3</v>
      </c>
    </row>
    <row r="6069" spans="4:18" x14ac:dyDescent="0.2">
      <c r="D6069" t="s">
        <v>134</v>
      </c>
      <c r="E6069" t="s">
        <v>135</v>
      </c>
      <c r="F6069" t="s">
        <v>136</v>
      </c>
      <c r="G6069" t="s">
        <v>168</v>
      </c>
      <c r="H6069" t="s">
        <v>168</v>
      </c>
      <c r="I6069" t="s">
        <v>42</v>
      </c>
      <c r="J6069" t="s">
        <v>43</v>
      </c>
      <c r="K6069" t="s">
        <v>29</v>
      </c>
      <c r="L6069" t="s">
        <v>30</v>
      </c>
      <c r="M6069" t="s">
        <v>166</v>
      </c>
      <c r="N6069">
        <v>1673</v>
      </c>
      <c r="O6069" s="14">
        <v>0.83491253852844205</v>
      </c>
      <c r="P6069" s="14">
        <v>0.95530052832327805</v>
      </c>
      <c r="Q6069" t="str">
        <f t="shared" si="188"/>
        <v>35-49</v>
      </c>
      <c r="R6069" t="str">
        <f t="shared" si="189"/>
        <v>[fiRkU6gEjLz]|35-49|Female|Incidence_SUBNAT.Rt.T|CY2024Q3</v>
      </c>
    </row>
    <row r="6070" spans="4:18" x14ac:dyDescent="0.2">
      <c r="D6070" t="s">
        <v>134</v>
      </c>
      <c r="E6070" t="s">
        <v>135</v>
      </c>
      <c r="F6070" t="s">
        <v>136</v>
      </c>
      <c r="G6070" t="s">
        <v>168</v>
      </c>
      <c r="H6070" t="s">
        <v>168</v>
      </c>
      <c r="I6070" t="s">
        <v>44</v>
      </c>
      <c r="J6070" t="s">
        <v>45</v>
      </c>
      <c r="K6070" t="s">
        <v>29</v>
      </c>
      <c r="L6070" t="s">
        <v>30</v>
      </c>
      <c r="M6070" t="s">
        <v>166</v>
      </c>
      <c r="N6070">
        <v>1759</v>
      </c>
      <c r="O6070" s="14">
        <v>0.74878533557057403</v>
      </c>
      <c r="P6070" s="14">
        <v>0.95530052832327805</v>
      </c>
      <c r="Q6070" t="str">
        <f t="shared" si="188"/>
        <v>50+</v>
      </c>
      <c r="R6070" t="str">
        <f t="shared" si="189"/>
        <v>[fiRkU6gEjLz]|50+|Female|Incidence_SUBNAT.Rt.T|CY2024Q3</v>
      </c>
    </row>
    <row r="6071" spans="4:18" x14ac:dyDescent="0.2">
      <c r="D6071" t="s">
        <v>134</v>
      </c>
      <c r="E6071" t="s">
        <v>135</v>
      </c>
      <c r="F6071" t="s">
        <v>136</v>
      </c>
      <c r="G6071" t="s">
        <v>168</v>
      </c>
      <c r="H6071" t="s">
        <v>168</v>
      </c>
      <c r="I6071" t="s">
        <v>27</v>
      </c>
      <c r="J6071" t="s">
        <v>28</v>
      </c>
      <c r="K6071" t="s">
        <v>47</v>
      </c>
      <c r="L6071" t="s">
        <v>48</v>
      </c>
      <c r="M6071" t="s">
        <v>166</v>
      </c>
      <c r="N6071">
        <v>1137</v>
      </c>
      <c r="O6071" s="14">
        <v>7.1195571217685903E-3</v>
      </c>
      <c r="P6071" s="14">
        <v>0.95530052832327805</v>
      </c>
      <c r="Q6071" t="str">
        <f t="shared" si="188"/>
        <v>&lt;01</v>
      </c>
      <c r="R6071" t="str">
        <f t="shared" si="189"/>
        <v>[fiRkU6gEjLz]|&lt;01|Male|Incidence_SUBNAT.Rt.T|CY2024Q3</v>
      </c>
    </row>
    <row r="6072" spans="4:18" x14ac:dyDescent="0.2">
      <c r="D6072" t="s">
        <v>134</v>
      </c>
      <c r="E6072" t="s">
        <v>135</v>
      </c>
      <c r="F6072" t="s">
        <v>136</v>
      </c>
      <c r="G6072" t="s">
        <v>168</v>
      </c>
      <c r="H6072" t="s">
        <v>168</v>
      </c>
      <c r="I6072" t="s">
        <v>32</v>
      </c>
      <c r="J6072" t="s">
        <v>33</v>
      </c>
      <c r="K6072" t="s">
        <v>47</v>
      </c>
      <c r="L6072" t="s">
        <v>48</v>
      </c>
      <c r="M6072" t="s">
        <v>166</v>
      </c>
      <c r="N6072">
        <v>1264</v>
      </c>
      <c r="O6072" s="14">
        <v>0.96225097007118199</v>
      </c>
      <c r="P6072" s="14">
        <v>0.95530052832327805</v>
      </c>
      <c r="Q6072" t="str">
        <f t="shared" si="188"/>
        <v>01-09</v>
      </c>
      <c r="R6072" t="str">
        <f t="shared" si="189"/>
        <v>[fiRkU6gEjLz]|01-09|Male|Incidence_SUBNAT.Rt.T|CY2024Q3</v>
      </c>
    </row>
    <row r="6073" spans="4:18" x14ac:dyDescent="0.2">
      <c r="D6073" t="s">
        <v>134</v>
      </c>
      <c r="E6073" t="s">
        <v>135</v>
      </c>
      <c r="F6073" t="s">
        <v>136</v>
      </c>
      <c r="G6073" t="s">
        <v>168</v>
      </c>
      <c r="H6073" t="s">
        <v>168</v>
      </c>
      <c r="I6073" t="s">
        <v>35</v>
      </c>
      <c r="J6073" t="s">
        <v>36</v>
      </c>
      <c r="K6073" t="s">
        <v>47</v>
      </c>
      <c r="L6073" t="s">
        <v>48</v>
      </c>
      <c r="M6073" t="s">
        <v>166</v>
      </c>
      <c r="N6073">
        <v>1339</v>
      </c>
      <c r="O6073" s="14">
        <v>0.48891036189161202</v>
      </c>
      <c r="P6073" s="14">
        <v>0.95530052832327805</v>
      </c>
      <c r="Q6073" t="str">
        <f t="shared" si="188"/>
        <v>10-14</v>
      </c>
      <c r="R6073" t="str">
        <f t="shared" si="189"/>
        <v>[fiRkU6gEjLz]|10-14|Male|Incidence_SUBNAT.Rt.T|CY2024Q3</v>
      </c>
    </row>
    <row r="6074" spans="4:18" x14ac:dyDescent="0.2">
      <c r="D6074" t="s">
        <v>134</v>
      </c>
      <c r="E6074" t="s">
        <v>135</v>
      </c>
      <c r="F6074" t="s">
        <v>136</v>
      </c>
      <c r="G6074" t="s">
        <v>168</v>
      </c>
      <c r="H6074" t="s">
        <v>168</v>
      </c>
      <c r="I6074" t="s">
        <v>37</v>
      </c>
      <c r="J6074" t="s">
        <v>38</v>
      </c>
      <c r="K6074" t="s">
        <v>47</v>
      </c>
      <c r="L6074" t="s">
        <v>48</v>
      </c>
      <c r="M6074" t="s">
        <v>166</v>
      </c>
      <c r="N6074">
        <v>1372</v>
      </c>
      <c r="O6074" s="14">
        <v>0.74707577773369804</v>
      </c>
      <c r="P6074" s="14">
        <v>0.95530052832327805</v>
      </c>
      <c r="Q6074" t="str">
        <f t="shared" si="188"/>
        <v>15-24</v>
      </c>
      <c r="R6074" t="str">
        <f t="shared" si="189"/>
        <v>[fiRkU6gEjLz]|15-24|Male|Incidence_SUBNAT.Rt.T|CY2024Q3</v>
      </c>
    </row>
    <row r="6075" spans="4:18" x14ac:dyDescent="0.2">
      <c r="D6075" t="s">
        <v>134</v>
      </c>
      <c r="E6075" t="s">
        <v>135</v>
      </c>
      <c r="F6075" t="s">
        <v>136</v>
      </c>
      <c r="G6075" t="s">
        <v>168</v>
      </c>
      <c r="H6075" t="s">
        <v>168</v>
      </c>
      <c r="I6075" t="s">
        <v>40</v>
      </c>
      <c r="J6075" t="s">
        <v>41</v>
      </c>
      <c r="K6075" t="s">
        <v>47</v>
      </c>
      <c r="L6075" t="s">
        <v>48</v>
      </c>
      <c r="M6075" t="s">
        <v>166</v>
      </c>
      <c r="N6075">
        <v>1244</v>
      </c>
      <c r="O6075" s="14">
        <v>0.18397321039810799</v>
      </c>
      <c r="P6075" s="14">
        <v>0.95530052832327805</v>
      </c>
      <c r="Q6075" t="str">
        <f t="shared" si="188"/>
        <v>25-34</v>
      </c>
      <c r="R6075" t="str">
        <f t="shared" si="189"/>
        <v>[fiRkU6gEjLz]|25-34|Male|Incidence_SUBNAT.Rt.T|CY2024Q3</v>
      </c>
    </row>
    <row r="6076" spans="4:18" x14ac:dyDescent="0.2">
      <c r="D6076" t="s">
        <v>134</v>
      </c>
      <c r="E6076" t="s">
        <v>135</v>
      </c>
      <c r="F6076" t="s">
        <v>136</v>
      </c>
      <c r="G6076" t="s">
        <v>168</v>
      </c>
      <c r="H6076" t="s">
        <v>168</v>
      </c>
      <c r="I6076" t="s">
        <v>42</v>
      </c>
      <c r="J6076" t="s">
        <v>43</v>
      </c>
      <c r="K6076" t="s">
        <v>47</v>
      </c>
      <c r="L6076" t="s">
        <v>48</v>
      </c>
      <c r="M6076" t="s">
        <v>166</v>
      </c>
      <c r="N6076">
        <v>1073</v>
      </c>
      <c r="O6076" s="14">
        <v>0.68420328851789203</v>
      </c>
      <c r="P6076" s="14">
        <v>0.95530052832327805</v>
      </c>
      <c r="Q6076" t="str">
        <f t="shared" si="188"/>
        <v>35-49</v>
      </c>
      <c r="R6076" t="str">
        <f t="shared" si="189"/>
        <v>[fiRkU6gEjLz]|35-49|Male|Incidence_SUBNAT.Rt.T|CY2024Q3</v>
      </c>
    </row>
    <row r="6077" spans="4:18" x14ac:dyDescent="0.2">
      <c r="D6077" t="s">
        <v>134</v>
      </c>
      <c r="E6077" t="s">
        <v>135</v>
      </c>
      <c r="F6077" t="s">
        <v>136</v>
      </c>
      <c r="G6077" t="s">
        <v>168</v>
      </c>
      <c r="H6077" t="s">
        <v>168</v>
      </c>
      <c r="I6077" t="s">
        <v>44</v>
      </c>
      <c r="J6077" t="s">
        <v>45</v>
      </c>
      <c r="K6077" t="s">
        <v>47</v>
      </c>
      <c r="L6077" t="s">
        <v>48</v>
      </c>
      <c r="M6077" t="s">
        <v>166</v>
      </c>
      <c r="N6077">
        <v>864</v>
      </c>
      <c r="O6077" s="14">
        <v>0.53135151439346395</v>
      </c>
      <c r="P6077" s="14">
        <v>0.95530052832327805</v>
      </c>
      <c r="Q6077" t="str">
        <f t="shared" si="188"/>
        <v>50+</v>
      </c>
      <c r="R6077" t="str">
        <f t="shared" si="189"/>
        <v>[fiRkU6gEjLz]|50+|Male|Incidence_SUBNAT.Rt.T|CY2024Q3</v>
      </c>
    </row>
    <row r="6078" spans="4:18" x14ac:dyDescent="0.2">
      <c r="D6078" t="s">
        <v>22</v>
      </c>
      <c r="E6078" t="s">
        <v>23</v>
      </c>
      <c r="F6078" t="s">
        <v>24</v>
      </c>
      <c r="G6078" t="s">
        <v>169</v>
      </c>
      <c r="H6078" t="s">
        <v>169</v>
      </c>
      <c r="I6078" t="s">
        <v>27</v>
      </c>
      <c r="J6078" t="s">
        <v>28</v>
      </c>
      <c r="K6078" t="s">
        <v>29</v>
      </c>
      <c r="L6078" t="s">
        <v>30</v>
      </c>
      <c r="M6078" t="s">
        <v>166</v>
      </c>
      <c r="N6078">
        <v>1742</v>
      </c>
      <c r="O6078" s="14">
        <v>0.81631326000206195</v>
      </c>
      <c r="P6078" s="14">
        <v>0.40435861097648701</v>
      </c>
      <c r="Q6078" t="str">
        <f t="shared" si="188"/>
        <v>&lt;01</v>
      </c>
      <c r="R6078" t="str">
        <f t="shared" si="189"/>
        <v>[GkIwZrXy1h2]|&lt;01|Female|NEW_INFECTIONS_SUBNAT.T|CY2024Q3</v>
      </c>
    </row>
    <row r="6079" spans="4:18" x14ac:dyDescent="0.2">
      <c r="D6079" t="s">
        <v>22</v>
      </c>
      <c r="E6079" t="s">
        <v>23</v>
      </c>
      <c r="F6079" t="s">
        <v>24</v>
      </c>
      <c r="G6079" t="s">
        <v>169</v>
      </c>
      <c r="H6079" t="s">
        <v>169</v>
      </c>
      <c r="I6079" t="s">
        <v>32</v>
      </c>
      <c r="J6079" t="s">
        <v>33</v>
      </c>
      <c r="K6079" t="s">
        <v>29</v>
      </c>
      <c r="L6079" t="s">
        <v>30</v>
      </c>
      <c r="M6079" t="s">
        <v>166</v>
      </c>
      <c r="N6079">
        <v>1948</v>
      </c>
      <c r="O6079" s="14">
        <v>0.85475796274840798</v>
      </c>
      <c r="P6079" s="14">
        <v>0.40435861097648701</v>
      </c>
      <c r="Q6079" t="str">
        <f t="shared" si="188"/>
        <v>01-09</v>
      </c>
      <c r="R6079" t="str">
        <f t="shared" si="189"/>
        <v>[GkIwZrXy1h2]|01-09|Female|NEW_INFECTIONS_SUBNAT.T|CY2024Q3</v>
      </c>
    </row>
    <row r="6080" spans="4:18" x14ac:dyDescent="0.2">
      <c r="D6080" t="s">
        <v>22</v>
      </c>
      <c r="E6080" t="s">
        <v>23</v>
      </c>
      <c r="F6080" t="s">
        <v>24</v>
      </c>
      <c r="G6080" t="s">
        <v>169</v>
      </c>
      <c r="H6080" t="s">
        <v>169</v>
      </c>
      <c r="I6080" t="s">
        <v>35</v>
      </c>
      <c r="J6080" t="s">
        <v>36</v>
      </c>
      <c r="K6080" t="s">
        <v>29</v>
      </c>
      <c r="L6080" t="s">
        <v>30</v>
      </c>
      <c r="M6080" t="s">
        <v>166</v>
      </c>
      <c r="N6080">
        <v>751</v>
      </c>
      <c r="O6080" s="14">
        <v>0.23762403149157801</v>
      </c>
      <c r="P6080" s="14">
        <v>0.40435861097648701</v>
      </c>
      <c r="Q6080" t="str">
        <f t="shared" si="188"/>
        <v>10-14</v>
      </c>
      <c r="R6080" t="str">
        <f t="shared" si="189"/>
        <v>[GkIwZrXy1h2]|10-14|Female|NEW_INFECTIONS_SUBNAT.T|CY2024Q3</v>
      </c>
    </row>
    <row r="6081" spans="4:18" x14ac:dyDescent="0.2">
      <c r="D6081" t="s">
        <v>22</v>
      </c>
      <c r="E6081" t="s">
        <v>23</v>
      </c>
      <c r="F6081" t="s">
        <v>24</v>
      </c>
      <c r="G6081" t="s">
        <v>169</v>
      </c>
      <c r="H6081" t="s">
        <v>169</v>
      </c>
      <c r="I6081" t="s">
        <v>37</v>
      </c>
      <c r="J6081" t="s">
        <v>38</v>
      </c>
      <c r="K6081" t="s">
        <v>29</v>
      </c>
      <c r="L6081" t="s">
        <v>30</v>
      </c>
      <c r="M6081" t="s">
        <v>166</v>
      </c>
      <c r="N6081">
        <v>1001</v>
      </c>
      <c r="O6081" s="14">
        <v>0.55310901650227595</v>
      </c>
      <c r="P6081" s="14">
        <v>0.40435861097648701</v>
      </c>
      <c r="Q6081" t="str">
        <f t="shared" si="188"/>
        <v>15-24</v>
      </c>
      <c r="R6081" t="str">
        <f t="shared" si="189"/>
        <v>[GkIwZrXy1h2]|15-24|Female|NEW_INFECTIONS_SUBNAT.T|CY2024Q3</v>
      </c>
    </row>
    <row r="6082" spans="4:18" x14ac:dyDescent="0.2">
      <c r="D6082" t="s">
        <v>22</v>
      </c>
      <c r="E6082" t="s">
        <v>23</v>
      </c>
      <c r="F6082" t="s">
        <v>24</v>
      </c>
      <c r="G6082" t="s">
        <v>169</v>
      </c>
      <c r="H6082" t="s">
        <v>169</v>
      </c>
      <c r="I6082" t="s">
        <v>40</v>
      </c>
      <c r="J6082" t="s">
        <v>41</v>
      </c>
      <c r="K6082" t="s">
        <v>29</v>
      </c>
      <c r="L6082" t="s">
        <v>30</v>
      </c>
      <c r="M6082" t="s">
        <v>166</v>
      </c>
      <c r="N6082">
        <v>1650</v>
      </c>
      <c r="O6082" s="14">
        <v>0.94649553298950195</v>
      </c>
      <c r="P6082" s="14">
        <v>0.40435861097648701</v>
      </c>
      <c r="Q6082" t="str">
        <f t="shared" ref="Q6082:Q6145" si="190">SUBSTITUTE(SUBSTITUTE($I6082,CHAR(61),""),CHAR(34),"")</f>
        <v>25-34</v>
      </c>
      <c r="R6082" t="str">
        <f t="shared" ref="R6082:R6145" si="191">IF($D6082&lt;&gt;"","["&amp;$E6082&amp;"]"&amp;"|"&amp;$Q6082&amp;"|"&amp;$K6082&amp;"|"&amp;$G6082&amp;"|"&amp;IF($G6082="TX_CURR_SUBNAT.R","CY2022Q4",$M6082),"")</f>
        <v>[GkIwZrXy1h2]|25-34|Female|NEW_INFECTIONS_SUBNAT.T|CY2024Q3</v>
      </c>
    </row>
    <row r="6083" spans="4:18" x14ac:dyDescent="0.2">
      <c r="D6083" t="s">
        <v>22</v>
      </c>
      <c r="E6083" t="s">
        <v>23</v>
      </c>
      <c r="F6083" t="s">
        <v>24</v>
      </c>
      <c r="G6083" t="s">
        <v>169</v>
      </c>
      <c r="H6083" t="s">
        <v>169</v>
      </c>
      <c r="I6083" t="s">
        <v>42</v>
      </c>
      <c r="J6083" t="s">
        <v>43</v>
      </c>
      <c r="K6083" t="s">
        <v>29</v>
      </c>
      <c r="L6083" t="s">
        <v>30</v>
      </c>
      <c r="M6083" t="s">
        <v>166</v>
      </c>
      <c r="N6083">
        <v>601</v>
      </c>
      <c r="O6083" s="14">
        <v>0.81061537214554802</v>
      </c>
      <c r="P6083" s="14">
        <v>0.40435861097648701</v>
      </c>
      <c r="Q6083" t="str">
        <f t="shared" si="190"/>
        <v>35-49</v>
      </c>
      <c r="R6083" t="str">
        <f t="shared" si="191"/>
        <v>[GkIwZrXy1h2]|35-49|Female|NEW_INFECTIONS_SUBNAT.T|CY2024Q3</v>
      </c>
    </row>
    <row r="6084" spans="4:18" x14ac:dyDescent="0.2">
      <c r="D6084" t="s">
        <v>22</v>
      </c>
      <c r="E6084" t="s">
        <v>23</v>
      </c>
      <c r="F6084" t="s">
        <v>24</v>
      </c>
      <c r="G6084" t="s">
        <v>169</v>
      </c>
      <c r="H6084" t="s">
        <v>169</v>
      </c>
      <c r="I6084" t="s">
        <v>44</v>
      </c>
      <c r="J6084" t="s">
        <v>45</v>
      </c>
      <c r="K6084" t="s">
        <v>29</v>
      </c>
      <c r="L6084" t="s">
        <v>30</v>
      </c>
      <c r="M6084" t="s">
        <v>166</v>
      </c>
      <c r="N6084">
        <v>1049</v>
      </c>
      <c r="O6084" s="14">
        <v>0.92936021438799798</v>
      </c>
      <c r="P6084" s="14">
        <v>0.40435861097648701</v>
      </c>
      <c r="Q6084" t="str">
        <f t="shared" si="190"/>
        <v>50+</v>
      </c>
      <c r="R6084" t="str">
        <f t="shared" si="191"/>
        <v>[GkIwZrXy1h2]|50+|Female|NEW_INFECTIONS_SUBNAT.T|CY2024Q3</v>
      </c>
    </row>
    <row r="6085" spans="4:18" x14ac:dyDescent="0.2">
      <c r="D6085" t="s">
        <v>22</v>
      </c>
      <c r="E6085" t="s">
        <v>23</v>
      </c>
      <c r="F6085" t="s">
        <v>24</v>
      </c>
      <c r="G6085" t="s">
        <v>169</v>
      </c>
      <c r="H6085" t="s">
        <v>169</v>
      </c>
      <c r="I6085" t="s">
        <v>27</v>
      </c>
      <c r="J6085" t="s">
        <v>28</v>
      </c>
      <c r="K6085" t="s">
        <v>47</v>
      </c>
      <c r="L6085" t="s">
        <v>48</v>
      </c>
      <c r="M6085" t="s">
        <v>166</v>
      </c>
      <c r="N6085">
        <v>985</v>
      </c>
      <c r="O6085" s="14">
        <v>0.290470493258908</v>
      </c>
      <c r="P6085" s="14">
        <v>0.40435861097648701</v>
      </c>
      <c r="Q6085" t="str">
        <f t="shared" si="190"/>
        <v>&lt;01</v>
      </c>
      <c r="R6085" t="str">
        <f t="shared" si="191"/>
        <v>[GkIwZrXy1h2]|&lt;01|Male|NEW_INFECTIONS_SUBNAT.T|CY2024Q3</v>
      </c>
    </row>
    <row r="6086" spans="4:18" x14ac:dyDescent="0.2">
      <c r="D6086" t="s">
        <v>22</v>
      </c>
      <c r="E6086" t="s">
        <v>23</v>
      </c>
      <c r="F6086" t="s">
        <v>24</v>
      </c>
      <c r="G6086" t="s">
        <v>169</v>
      </c>
      <c r="H6086" t="s">
        <v>169</v>
      </c>
      <c r="I6086" t="s">
        <v>32</v>
      </c>
      <c r="J6086" t="s">
        <v>33</v>
      </c>
      <c r="K6086" t="s">
        <v>47</v>
      </c>
      <c r="L6086" t="s">
        <v>48</v>
      </c>
      <c r="M6086" t="s">
        <v>166</v>
      </c>
      <c r="N6086">
        <v>909</v>
      </c>
      <c r="O6086" s="14">
        <v>0.28533338801935298</v>
      </c>
      <c r="P6086" s="14">
        <v>0.40435861097648701</v>
      </c>
      <c r="Q6086" t="str">
        <f t="shared" si="190"/>
        <v>01-09</v>
      </c>
      <c r="R6086" t="str">
        <f t="shared" si="191"/>
        <v>[GkIwZrXy1h2]|01-09|Male|NEW_INFECTIONS_SUBNAT.T|CY2024Q3</v>
      </c>
    </row>
    <row r="6087" spans="4:18" x14ac:dyDescent="0.2">
      <c r="D6087" t="s">
        <v>22</v>
      </c>
      <c r="E6087" t="s">
        <v>23</v>
      </c>
      <c r="F6087" t="s">
        <v>24</v>
      </c>
      <c r="G6087" t="s">
        <v>169</v>
      </c>
      <c r="H6087" t="s">
        <v>169</v>
      </c>
      <c r="I6087" t="s">
        <v>35</v>
      </c>
      <c r="J6087" t="s">
        <v>36</v>
      </c>
      <c r="K6087" t="s">
        <v>47</v>
      </c>
      <c r="L6087" t="s">
        <v>48</v>
      </c>
      <c r="M6087" t="s">
        <v>166</v>
      </c>
      <c r="N6087">
        <v>1829</v>
      </c>
      <c r="O6087" s="14">
        <v>0.76384798763319794</v>
      </c>
      <c r="P6087" s="14">
        <v>0.40435861097648701</v>
      </c>
      <c r="Q6087" t="str">
        <f t="shared" si="190"/>
        <v>10-14</v>
      </c>
      <c r="R6087" t="str">
        <f t="shared" si="191"/>
        <v>[GkIwZrXy1h2]|10-14|Male|NEW_INFECTIONS_SUBNAT.T|CY2024Q3</v>
      </c>
    </row>
    <row r="6088" spans="4:18" x14ac:dyDescent="0.2">
      <c r="D6088" t="s">
        <v>22</v>
      </c>
      <c r="E6088" t="s">
        <v>23</v>
      </c>
      <c r="F6088" t="s">
        <v>24</v>
      </c>
      <c r="G6088" t="s">
        <v>169</v>
      </c>
      <c r="H6088" t="s">
        <v>169</v>
      </c>
      <c r="I6088" t="s">
        <v>37</v>
      </c>
      <c r="J6088" t="s">
        <v>38</v>
      </c>
      <c r="K6088" t="s">
        <v>47</v>
      </c>
      <c r="L6088" t="s">
        <v>48</v>
      </c>
      <c r="M6088" t="s">
        <v>166</v>
      </c>
      <c r="N6088">
        <v>1700</v>
      </c>
      <c r="O6088" s="14">
        <v>0.139216093346477</v>
      </c>
      <c r="P6088" s="14">
        <v>0.40435861097648701</v>
      </c>
      <c r="Q6088" t="str">
        <f t="shared" si="190"/>
        <v>15-24</v>
      </c>
      <c r="R6088" t="str">
        <f t="shared" si="191"/>
        <v>[GkIwZrXy1h2]|15-24|Male|NEW_INFECTIONS_SUBNAT.T|CY2024Q3</v>
      </c>
    </row>
    <row r="6089" spans="4:18" x14ac:dyDescent="0.2">
      <c r="D6089" t="s">
        <v>22</v>
      </c>
      <c r="E6089" t="s">
        <v>23</v>
      </c>
      <c r="F6089" t="s">
        <v>24</v>
      </c>
      <c r="G6089" t="s">
        <v>169</v>
      </c>
      <c r="H6089" t="s">
        <v>169</v>
      </c>
      <c r="I6089" t="s">
        <v>40</v>
      </c>
      <c r="J6089" t="s">
        <v>41</v>
      </c>
      <c r="K6089" t="s">
        <v>47</v>
      </c>
      <c r="L6089" t="s">
        <v>48</v>
      </c>
      <c r="M6089" t="s">
        <v>166</v>
      </c>
      <c r="N6089">
        <v>552</v>
      </c>
      <c r="O6089" s="14">
        <v>1.6332541126757898E-2</v>
      </c>
      <c r="P6089" s="14">
        <v>0.40435861097648701</v>
      </c>
      <c r="Q6089" t="str">
        <f t="shared" si="190"/>
        <v>25-34</v>
      </c>
      <c r="R6089" t="str">
        <f t="shared" si="191"/>
        <v>[GkIwZrXy1h2]|25-34|Male|NEW_INFECTIONS_SUBNAT.T|CY2024Q3</v>
      </c>
    </row>
    <row r="6090" spans="4:18" x14ac:dyDescent="0.2">
      <c r="D6090" t="s">
        <v>22</v>
      </c>
      <c r="E6090" t="s">
        <v>23</v>
      </c>
      <c r="F6090" t="s">
        <v>24</v>
      </c>
      <c r="G6090" t="s">
        <v>169</v>
      </c>
      <c r="H6090" t="s">
        <v>169</v>
      </c>
      <c r="I6090" t="s">
        <v>42</v>
      </c>
      <c r="J6090" t="s">
        <v>43</v>
      </c>
      <c r="K6090" t="s">
        <v>47</v>
      </c>
      <c r="L6090" t="s">
        <v>48</v>
      </c>
      <c r="M6090" t="s">
        <v>166</v>
      </c>
      <c r="N6090">
        <v>1098</v>
      </c>
      <c r="O6090" s="14">
        <v>0.73069645999930799</v>
      </c>
      <c r="P6090" s="14">
        <v>0.40435861097648701</v>
      </c>
      <c r="Q6090" t="str">
        <f t="shared" si="190"/>
        <v>35-49</v>
      </c>
      <c r="R6090" t="str">
        <f t="shared" si="191"/>
        <v>[GkIwZrXy1h2]|35-49|Male|NEW_INFECTIONS_SUBNAT.T|CY2024Q3</v>
      </c>
    </row>
    <row r="6091" spans="4:18" x14ac:dyDescent="0.2">
      <c r="D6091" t="s">
        <v>22</v>
      </c>
      <c r="E6091" t="s">
        <v>23</v>
      </c>
      <c r="F6091" t="s">
        <v>24</v>
      </c>
      <c r="G6091" t="s">
        <v>169</v>
      </c>
      <c r="H6091" t="s">
        <v>169</v>
      </c>
      <c r="I6091" t="s">
        <v>44</v>
      </c>
      <c r="J6091" t="s">
        <v>45</v>
      </c>
      <c r="K6091" t="s">
        <v>47</v>
      </c>
      <c r="L6091" t="s">
        <v>48</v>
      </c>
      <c r="M6091" t="s">
        <v>166</v>
      </c>
      <c r="N6091">
        <v>850</v>
      </c>
      <c r="O6091" s="14">
        <v>0.93172104936093103</v>
      </c>
      <c r="P6091" s="14">
        <v>0.40435861097648701</v>
      </c>
      <c r="Q6091" t="str">
        <f t="shared" si="190"/>
        <v>50+</v>
      </c>
      <c r="R6091" t="str">
        <f t="shared" si="191"/>
        <v>[GkIwZrXy1h2]|50+|Male|NEW_INFECTIONS_SUBNAT.T|CY2024Q3</v>
      </c>
    </row>
    <row r="6092" spans="4:18" x14ac:dyDescent="0.2">
      <c r="D6092" t="s">
        <v>52</v>
      </c>
      <c r="E6092" t="s">
        <v>53</v>
      </c>
      <c r="F6092" t="s">
        <v>54</v>
      </c>
      <c r="G6092" t="s">
        <v>169</v>
      </c>
      <c r="H6092" t="s">
        <v>169</v>
      </c>
      <c r="I6092" t="s">
        <v>27</v>
      </c>
      <c r="J6092" t="s">
        <v>28</v>
      </c>
      <c r="K6092" t="s">
        <v>29</v>
      </c>
      <c r="L6092" t="s">
        <v>30</v>
      </c>
      <c r="M6092" t="s">
        <v>166</v>
      </c>
      <c r="N6092">
        <v>1590</v>
      </c>
      <c r="O6092" s="14">
        <v>0.57263751537539098</v>
      </c>
      <c r="P6092" s="14">
        <v>0.61639246996492103</v>
      </c>
      <c r="Q6092" t="str">
        <f t="shared" si="190"/>
        <v>&lt;01</v>
      </c>
      <c r="R6092" t="str">
        <f t="shared" si="191"/>
        <v>[zphK9WV8JB4]|&lt;01|Female|NEW_INFECTIONS_SUBNAT.T|CY2024Q3</v>
      </c>
    </row>
    <row r="6093" spans="4:18" x14ac:dyDescent="0.2">
      <c r="D6093" t="s">
        <v>52</v>
      </c>
      <c r="E6093" t="s">
        <v>53</v>
      </c>
      <c r="F6093" t="s">
        <v>54</v>
      </c>
      <c r="G6093" t="s">
        <v>169</v>
      </c>
      <c r="H6093" t="s">
        <v>169</v>
      </c>
      <c r="I6093" t="s">
        <v>32</v>
      </c>
      <c r="J6093" t="s">
        <v>33</v>
      </c>
      <c r="K6093" t="s">
        <v>29</v>
      </c>
      <c r="L6093" t="s">
        <v>30</v>
      </c>
      <c r="M6093" t="s">
        <v>166</v>
      </c>
      <c r="N6093">
        <v>773</v>
      </c>
      <c r="O6093" s="14">
        <v>0.31521089770831201</v>
      </c>
      <c r="P6093" s="14">
        <v>0.61639246996492103</v>
      </c>
      <c r="Q6093" t="str">
        <f t="shared" si="190"/>
        <v>01-09</v>
      </c>
      <c r="R6093" t="str">
        <f t="shared" si="191"/>
        <v>[zphK9WV8JB4]|01-09|Female|NEW_INFECTIONS_SUBNAT.T|CY2024Q3</v>
      </c>
    </row>
    <row r="6094" spans="4:18" x14ac:dyDescent="0.2">
      <c r="D6094" t="s">
        <v>52</v>
      </c>
      <c r="E6094" t="s">
        <v>53</v>
      </c>
      <c r="F6094" t="s">
        <v>54</v>
      </c>
      <c r="G6094" t="s">
        <v>169</v>
      </c>
      <c r="H6094" t="s">
        <v>169</v>
      </c>
      <c r="I6094" t="s">
        <v>35</v>
      </c>
      <c r="J6094" t="s">
        <v>36</v>
      </c>
      <c r="K6094" t="s">
        <v>29</v>
      </c>
      <c r="L6094" t="s">
        <v>30</v>
      </c>
      <c r="M6094" t="s">
        <v>166</v>
      </c>
      <c r="N6094">
        <v>712</v>
      </c>
      <c r="O6094" s="14">
        <v>0.36279696715064302</v>
      </c>
      <c r="P6094" s="14">
        <v>0.61639246996492103</v>
      </c>
      <c r="Q6094" t="str">
        <f t="shared" si="190"/>
        <v>10-14</v>
      </c>
      <c r="R6094" t="str">
        <f t="shared" si="191"/>
        <v>[zphK9WV8JB4]|10-14|Female|NEW_INFECTIONS_SUBNAT.T|CY2024Q3</v>
      </c>
    </row>
    <row r="6095" spans="4:18" x14ac:dyDescent="0.2">
      <c r="D6095" t="s">
        <v>52</v>
      </c>
      <c r="E6095" t="s">
        <v>53</v>
      </c>
      <c r="F6095" t="s">
        <v>54</v>
      </c>
      <c r="G6095" t="s">
        <v>169</v>
      </c>
      <c r="H6095" t="s">
        <v>169</v>
      </c>
      <c r="I6095" t="s">
        <v>37</v>
      </c>
      <c r="J6095" t="s">
        <v>38</v>
      </c>
      <c r="K6095" t="s">
        <v>29</v>
      </c>
      <c r="L6095" t="s">
        <v>30</v>
      </c>
      <c r="M6095" t="s">
        <v>166</v>
      </c>
      <c r="N6095">
        <v>1427</v>
      </c>
      <c r="O6095" s="14">
        <v>0.439674564870074</v>
      </c>
      <c r="P6095" s="14">
        <v>0.61639246996492103</v>
      </c>
      <c r="Q6095" t="str">
        <f t="shared" si="190"/>
        <v>15-24</v>
      </c>
      <c r="R6095" t="str">
        <f t="shared" si="191"/>
        <v>[zphK9WV8JB4]|15-24|Female|NEW_INFECTIONS_SUBNAT.T|CY2024Q3</v>
      </c>
    </row>
    <row r="6096" spans="4:18" x14ac:dyDescent="0.2">
      <c r="D6096" t="s">
        <v>52</v>
      </c>
      <c r="E6096" t="s">
        <v>53</v>
      </c>
      <c r="F6096" t="s">
        <v>54</v>
      </c>
      <c r="G6096" t="s">
        <v>169</v>
      </c>
      <c r="H6096" t="s">
        <v>169</v>
      </c>
      <c r="I6096" t="s">
        <v>40</v>
      </c>
      <c r="J6096" t="s">
        <v>41</v>
      </c>
      <c r="K6096" t="s">
        <v>29</v>
      </c>
      <c r="L6096" t="s">
        <v>30</v>
      </c>
      <c r="M6096" t="s">
        <v>166</v>
      </c>
      <c r="N6096">
        <v>1713</v>
      </c>
      <c r="O6096" s="14">
        <v>0.48817111505195498</v>
      </c>
      <c r="P6096" s="14">
        <v>0.61639246996492103</v>
      </c>
      <c r="Q6096" t="str">
        <f t="shared" si="190"/>
        <v>25-34</v>
      </c>
      <c r="R6096" t="str">
        <f t="shared" si="191"/>
        <v>[zphK9WV8JB4]|25-34|Female|NEW_INFECTIONS_SUBNAT.T|CY2024Q3</v>
      </c>
    </row>
    <row r="6097" spans="4:18" x14ac:dyDescent="0.2">
      <c r="D6097" t="s">
        <v>52</v>
      </c>
      <c r="E6097" t="s">
        <v>53</v>
      </c>
      <c r="F6097" t="s">
        <v>54</v>
      </c>
      <c r="G6097" t="s">
        <v>169</v>
      </c>
      <c r="H6097" t="s">
        <v>169</v>
      </c>
      <c r="I6097" t="s">
        <v>42</v>
      </c>
      <c r="J6097" t="s">
        <v>43</v>
      </c>
      <c r="K6097" t="s">
        <v>29</v>
      </c>
      <c r="L6097" t="s">
        <v>30</v>
      </c>
      <c r="M6097" t="s">
        <v>166</v>
      </c>
      <c r="N6097">
        <v>600</v>
      </c>
      <c r="O6097" s="14">
        <v>0.47682821797206998</v>
      </c>
      <c r="P6097" s="14">
        <v>0.61639246996492103</v>
      </c>
      <c r="Q6097" t="str">
        <f t="shared" si="190"/>
        <v>35-49</v>
      </c>
      <c r="R6097" t="str">
        <f t="shared" si="191"/>
        <v>[zphK9WV8JB4]|35-49|Female|NEW_INFECTIONS_SUBNAT.T|CY2024Q3</v>
      </c>
    </row>
    <row r="6098" spans="4:18" x14ac:dyDescent="0.2">
      <c r="D6098" t="s">
        <v>52</v>
      </c>
      <c r="E6098" t="s">
        <v>53</v>
      </c>
      <c r="F6098" t="s">
        <v>54</v>
      </c>
      <c r="G6098" t="s">
        <v>169</v>
      </c>
      <c r="H6098" t="s">
        <v>169</v>
      </c>
      <c r="I6098" t="s">
        <v>44</v>
      </c>
      <c r="J6098" t="s">
        <v>45</v>
      </c>
      <c r="K6098" t="s">
        <v>29</v>
      </c>
      <c r="L6098" t="s">
        <v>30</v>
      </c>
      <c r="M6098" t="s">
        <v>166</v>
      </c>
      <c r="N6098">
        <v>1765</v>
      </c>
      <c r="O6098" s="14">
        <v>0.44623458012938499</v>
      </c>
      <c r="P6098" s="14">
        <v>0.61639246996492103</v>
      </c>
      <c r="Q6098" t="str">
        <f t="shared" si="190"/>
        <v>50+</v>
      </c>
      <c r="R6098" t="str">
        <f t="shared" si="191"/>
        <v>[zphK9WV8JB4]|50+|Female|NEW_INFECTIONS_SUBNAT.T|CY2024Q3</v>
      </c>
    </row>
    <row r="6099" spans="4:18" x14ac:dyDescent="0.2">
      <c r="D6099" t="s">
        <v>52</v>
      </c>
      <c r="E6099" t="s">
        <v>53</v>
      </c>
      <c r="F6099" t="s">
        <v>54</v>
      </c>
      <c r="G6099" t="s">
        <v>169</v>
      </c>
      <c r="H6099" t="s">
        <v>169</v>
      </c>
      <c r="I6099" t="s">
        <v>27</v>
      </c>
      <c r="J6099" t="s">
        <v>28</v>
      </c>
      <c r="K6099" t="s">
        <v>47</v>
      </c>
      <c r="L6099" t="s">
        <v>48</v>
      </c>
      <c r="M6099" t="s">
        <v>166</v>
      </c>
      <c r="N6099">
        <v>1288</v>
      </c>
      <c r="O6099" s="14">
        <v>0.117147389566526</v>
      </c>
      <c r="P6099" s="14">
        <v>0.61639246996492103</v>
      </c>
      <c r="Q6099" t="str">
        <f t="shared" si="190"/>
        <v>&lt;01</v>
      </c>
      <c r="R6099" t="str">
        <f t="shared" si="191"/>
        <v>[zphK9WV8JB4]|&lt;01|Male|NEW_INFECTIONS_SUBNAT.T|CY2024Q3</v>
      </c>
    </row>
    <row r="6100" spans="4:18" x14ac:dyDescent="0.2">
      <c r="D6100" t="s">
        <v>52</v>
      </c>
      <c r="E6100" t="s">
        <v>53</v>
      </c>
      <c r="F6100" t="s">
        <v>54</v>
      </c>
      <c r="G6100" t="s">
        <v>169</v>
      </c>
      <c r="H6100" t="s">
        <v>169</v>
      </c>
      <c r="I6100" t="s">
        <v>32</v>
      </c>
      <c r="J6100" t="s">
        <v>33</v>
      </c>
      <c r="K6100" t="s">
        <v>47</v>
      </c>
      <c r="L6100" t="s">
        <v>48</v>
      </c>
      <c r="M6100" t="s">
        <v>166</v>
      </c>
      <c r="N6100">
        <v>659</v>
      </c>
      <c r="O6100" s="14">
        <v>7.39358423743397E-2</v>
      </c>
      <c r="P6100" s="14">
        <v>0.61639246996492103</v>
      </c>
      <c r="Q6100" t="str">
        <f t="shared" si="190"/>
        <v>01-09</v>
      </c>
      <c r="R6100" t="str">
        <f t="shared" si="191"/>
        <v>[zphK9WV8JB4]|01-09|Male|NEW_INFECTIONS_SUBNAT.T|CY2024Q3</v>
      </c>
    </row>
    <row r="6101" spans="4:18" x14ac:dyDescent="0.2">
      <c r="D6101" t="s">
        <v>52</v>
      </c>
      <c r="E6101" t="s">
        <v>53</v>
      </c>
      <c r="F6101" t="s">
        <v>54</v>
      </c>
      <c r="G6101" t="s">
        <v>169</v>
      </c>
      <c r="H6101" t="s">
        <v>169</v>
      </c>
      <c r="I6101" t="s">
        <v>35</v>
      </c>
      <c r="J6101" t="s">
        <v>36</v>
      </c>
      <c r="K6101" t="s">
        <v>47</v>
      </c>
      <c r="L6101" t="s">
        <v>48</v>
      </c>
      <c r="M6101" t="s">
        <v>166</v>
      </c>
      <c r="N6101">
        <v>558</v>
      </c>
      <c r="O6101" s="14">
        <v>0.31975924968719499</v>
      </c>
      <c r="P6101" s="14">
        <v>0.61639246996492103</v>
      </c>
      <c r="Q6101" t="str">
        <f t="shared" si="190"/>
        <v>10-14</v>
      </c>
      <c r="R6101" t="str">
        <f t="shared" si="191"/>
        <v>[zphK9WV8JB4]|10-14|Male|NEW_INFECTIONS_SUBNAT.T|CY2024Q3</v>
      </c>
    </row>
    <row r="6102" spans="4:18" x14ac:dyDescent="0.2">
      <c r="D6102" t="s">
        <v>52</v>
      </c>
      <c r="E6102" t="s">
        <v>53</v>
      </c>
      <c r="F6102" t="s">
        <v>54</v>
      </c>
      <c r="G6102" t="s">
        <v>169</v>
      </c>
      <c r="H6102" t="s">
        <v>169</v>
      </c>
      <c r="I6102" t="s">
        <v>37</v>
      </c>
      <c r="J6102" t="s">
        <v>38</v>
      </c>
      <c r="K6102" t="s">
        <v>47</v>
      </c>
      <c r="L6102" t="s">
        <v>48</v>
      </c>
      <c r="M6102" t="s">
        <v>166</v>
      </c>
      <c r="N6102">
        <v>1869</v>
      </c>
      <c r="O6102" s="14">
        <v>0.67688273149542499</v>
      </c>
      <c r="P6102" s="14">
        <v>0.61639246996492103</v>
      </c>
      <c r="Q6102" t="str">
        <f t="shared" si="190"/>
        <v>15-24</v>
      </c>
      <c r="R6102" t="str">
        <f t="shared" si="191"/>
        <v>[zphK9WV8JB4]|15-24|Male|NEW_INFECTIONS_SUBNAT.T|CY2024Q3</v>
      </c>
    </row>
    <row r="6103" spans="4:18" x14ac:dyDescent="0.2">
      <c r="D6103" t="s">
        <v>52</v>
      </c>
      <c r="E6103" t="s">
        <v>53</v>
      </c>
      <c r="F6103" t="s">
        <v>54</v>
      </c>
      <c r="G6103" t="s">
        <v>169</v>
      </c>
      <c r="H6103" t="s">
        <v>169</v>
      </c>
      <c r="I6103" t="s">
        <v>40</v>
      </c>
      <c r="J6103" t="s">
        <v>41</v>
      </c>
      <c r="K6103" t="s">
        <v>47</v>
      </c>
      <c r="L6103" t="s">
        <v>48</v>
      </c>
      <c r="M6103" t="s">
        <v>166</v>
      </c>
      <c r="N6103">
        <v>1306</v>
      </c>
      <c r="O6103" s="14">
        <v>0.74727304070256695</v>
      </c>
      <c r="P6103" s="14">
        <v>0.61639246996492103</v>
      </c>
      <c r="Q6103" t="str">
        <f t="shared" si="190"/>
        <v>25-34</v>
      </c>
      <c r="R6103" t="str">
        <f t="shared" si="191"/>
        <v>[zphK9WV8JB4]|25-34|Male|NEW_INFECTIONS_SUBNAT.T|CY2024Q3</v>
      </c>
    </row>
    <row r="6104" spans="4:18" x14ac:dyDescent="0.2">
      <c r="D6104" t="s">
        <v>52</v>
      </c>
      <c r="E6104" t="s">
        <v>53</v>
      </c>
      <c r="F6104" t="s">
        <v>54</v>
      </c>
      <c r="G6104" t="s">
        <v>169</v>
      </c>
      <c r="H6104" t="s">
        <v>169</v>
      </c>
      <c r="I6104" t="s">
        <v>42</v>
      </c>
      <c r="J6104" t="s">
        <v>43</v>
      </c>
      <c r="K6104" t="s">
        <v>47</v>
      </c>
      <c r="L6104" t="s">
        <v>48</v>
      </c>
      <c r="M6104" t="s">
        <v>166</v>
      </c>
      <c r="N6104">
        <v>1216</v>
      </c>
      <c r="O6104" s="14">
        <v>0.71300797187723197</v>
      </c>
      <c r="P6104" s="14">
        <v>0.61639246996492103</v>
      </c>
      <c r="Q6104" t="str">
        <f t="shared" si="190"/>
        <v>35-49</v>
      </c>
      <c r="R6104" t="str">
        <f t="shared" si="191"/>
        <v>[zphK9WV8JB4]|35-49|Male|NEW_INFECTIONS_SUBNAT.T|CY2024Q3</v>
      </c>
    </row>
    <row r="6105" spans="4:18" x14ac:dyDescent="0.2">
      <c r="D6105" t="s">
        <v>52</v>
      </c>
      <c r="E6105" t="s">
        <v>53</v>
      </c>
      <c r="F6105" t="s">
        <v>54</v>
      </c>
      <c r="G6105" t="s">
        <v>169</v>
      </c>
      <c r="H6105" t="s">
        <v>169</v>
      </c>
      <c r="I6105" t="s">
        <v>44</v>
      </c>
      <c r="J6105" t="s">
        <v>45</v>
      </c>
      <c r="K6105" t="s">
        <v>47</v>
      </c>
      <c r="L6105" t="s">
        <v>48</v>
      </c>
      <c r="M6105" t="s">
        <v>166</v>
      </c>
      <c r="N6105">
        <v>1248</v>
      </c>
      <c r="O6105" s="14">
        <v>0.778738382039592</v>
      </c>
      <c r="P6105" s="14">
        <v>0.61639246996492103</v>
      </c>
      <c r="Q6105" t="str">
        <f t="shared" si="190"/>
        <v>50+</v>
      </c>
      <c r="R6105" t="str">
        <f t="shared" si="191"/>
        <v>[zphK9WV8JB4]|50+|Male|NEW_INFECTIONS_SUBNAT.T|CY2024Q3</v>
      </c>
    </row>
    <row r="6106" spans="4:18" x14ac:dyDescent="0.2">
      <c r="D6106" t="s">
        <v>59</v>
      </c>
      <c r="E6106" t="s">
        <v>60</v>
      </c>
      <c r="F6106" t="s">
        <v>61</v>
      </c>
      <c r="G6106" t="s">
        <v>169</v>
      </c>
      <c r="H6106" t="s">
        <v>169</v>
      </c>
      <c r="I6106" t="s">
        <v>27</v>
      </c>
      <c r="J6106" t="s">
        <v>28</v>
      </c>
      <c r="K6106" t="s">
        <v>29</v>
      </c>
      <c r="L6106" t="s">
        <v>30</v>
      </c>
      <c r="M6106" t="s">
        <v>166</v>
      </c>
      <c r="N6106">
        <v>783</v>
      </c>
      <c r="O6106" s="14">
        <v>0.77002957323566101</v>
      </c>
      <c r="P6106" s="14">
        <v>2.6825056178495298E-2</v>
      </c>
      <c r="Q6106" t="str">
        <f t="shared" si="190"/>
        <v>&lt;01</v>
      </c>
      <c r="R6106" t="str">
        <f t="shared" si="191"/>
        <v>[msW2zpIN7up]|&lt;01|Female|NEW_INFECTIONS_SUBNAT.T|CY2024Q3</v>
      </c>
    </row>
    <row r="6107" spans="4:18" x14ac:dyDescent="0.2">
      <c r="D6107" t="s">
        <v>59</v>
      </c>
      <c r="E6107" t="s">
        <v>60</v>
      </c>
      <c r="F6107" t="s">
        <v>61</v>
      </c>
      <c r="G6107" t="s">
        <v>169</v>
      </c>
      <c r="H6107" t="s">
        <v>169</v>
      </c>
      <c r="I6107" t="s">
        <v>32</v>
      </c>
      <c r="J6107" t="s">
        <v>33</v>
      </c>
      <c r="K6107" t="s">
        <v>29</v>
      </c>
      <c r="L6107" t="s">
        <v>30</v>
      </c>
      <c r="M6107" t="s">
        <v>166</v>
      </c>
      <c r="N6107">
        <v>1890</v>
      </c>
      <c r="O6107" s="14">
        <v>0.35019996622577299</v>
      </c>
      <c r="P6107" s="14">
        <v>2.6825056178495298E-2</v>
      </c>
      <c r="Q6107" t="str">
        <f t="shared" si="190"/>
        <v>01-09</v>
      </c>
      <c r="R6107" t="str">
        <f t="shared" si="191"/>
        <v>[msW2zpIN7up]|01-09|Female|NEW_INFECTIONS_SUBNAT.T|CY2024Q3</v>
      </c>
    </row>
    <row r="6108" spans="4:18" x14ac:dyDescent="0.2">
      <c r="D6108" t="s">
        <v>59</v>
      </c>
      <c r="E6108" t="s">
        <v>60</v>
      </c>
      <c r="F6108" t="s">
        <v>61</v>
      </c>
      <c r="G6108" t="s">
        <v>169</v>
      </c>
      <c r="H6108" t="s">
        <v>169</v>
      </c>
      <c r="I6108" t="s">
        <v>35</v>
      </c>
      <c r="J6108" t="s">
        <v>36</v>
      </c>
      <c r="K6108" t="s">
        <v>29</v>
      </c>
      <c r="L6108" t="s">
        <v>30</v>
      </c>
      <c r="M6108" t="s">
        <v>166</v>
      </c>
      <c r="N6108">
        <v>1580</v>
      </c>
      <c r="O6108" s="14">
        <v>1.8207107903435799E-2</v>
      </c>
      <c r="P6108" s="14">
        <v>2.6825056178495298E-2</v>
      </c>
      <c r="Q6108" t="str">
        <f t="shared" si="190"/>
        <v>10-14</v>
      </c>
      <c r="R6108" t="str">
        <f t="shared" si="191"/>
        <v>[msW2zpIN7up]|10-14|Female|NEW_INFECTIONS_SUBNAT.T|CY2024Q3</v>
      </c>
    </row>
    <row r="6109" spans="4:18" x14ac:dyDescent="0.2">
      <c r="D6109" t="s">
        <v>59</v>
      </c>
      <c r="E6109" t="s">
        <v>60</v>
      </c>
      <c r="F6109" t="s">
        <v>61</v>
      </c>
      <c r="G6109" t="s">
        <v>169</v>
      </c>
      <c r="H6109" t="s">
        <v>169</v>
      </c>
      <c r="I6109" t="s">
        <v>37</v>
      </c>
      <c r="J6109" t="s">
        <v>38</v>
      </c>
      <c r="K6109" t="s">
        <v>29</v>
      </c>
      <c r="L6109" t="s">
        <v>30</v>
      </c>
      <c r="M6109" t="s">
        <v>166</v>
      </c>
      <c r="N6109">
        <v>587</v>
      </c>
      <c r="O6109" s="14">
        <v>6.9427197333425297E-2</v>
      </c>
      <c r="P6109" s="14">
        <v>2.6825056178495298E-2</v>
      </c>
      <c r="Q6109" t="str">
        <f t="shared" si="190"/>
        <v>15-24</v>
      </c>
      <c r="R6109" t="str">
        <f t="shared" si="191"/>
        <v>[msW2zpIN7up]|15-24|Female|NEW_INFECTIONS_SUBNAT.T|CY2024Q3</v>
      </c>
    </row>
    <row r="6110" spans="4:18" x14ac:dyDescent="0.2">
      <c r="D6110" t="s">
        <v>59</v>
      </c>
      <c r="E6110" t="s">
        <v>60</v>
      </c>
      <c r="F6110" t="s">
        <v>61</v>
      </c>
      <c r="G6110" t="s">
        <v>169</v>
      </c>
      <c r="H6110" t="s">
        <v>169</v>
      </c>
      <c r="I6110" t="s">
        <v>40</v>
      </c>
      <c r="J6110" t="s">
        <v>41</v>
      </c>
      <c r="K6110" t="s">
        <v>29</v>
      </c>
      <c r="L6110" t="s">
        <v>30</v>
      </c>
      <c r="M6110" t="s">
        <v>166</v>
      </c>
      <c r="N6110">
        <v>674</v>
      </c>
      <c r="O6110" s="14">
        <v>0.82322992850095</v>
      </c>
      <c r="P6110" s="14">
        <v>2.6825056178495298E-2</v>
      </c>
      <c r="Q6110" t="str">
        <f t="shared" si="190"/>
        <v>25-34</v>
      </c>
      <c r="R6110" t="str">
        <f t="shared" si="191"/>
        <v>[msW2zpIN7up]|25-34|Female|NEW_INFECTIONS_SUBNAT.T|CY2024Q3</v>
      </c>
    </row>
    <row r="6111" spans="4:18" x14ac:dyDescent="0.2">
      <c r="D6111" t="s">
        <v>59</v>
      </c>
      <c r="E6111" t="s">
        <v>60</v>
      </c>
      <c r="F6111" t="s">
        <v>61</v>
      </c>
      <c r="G6111" t="s">
        <v>169</v>
      </c>
      <c r="H6111" t="s">
        <v>169</v>
      </c>
      <c r="I6111" t="s">
        <v>42</v>
      </c>
      <c r="J6111" t="s">
        <v>43</v>
      </c>
      <c r="K6111" t="s">
        <v>29</v>
      </c>
      <c r="L6111" t="s">
        <v>30</v>
      </c>
      <c r="M6111" t="s">
        <v>166</v>
      </c>
      <c r="N6111">
        <v>569</v>
      </c>
      <c r="O6111" s="14">
        <v>0.81615145597606897</v>
      </c>
      <c r="P6111" s="14">
        <v>2.6825056178495298E-2</v>
      </c>
      <c r="Q6111" t="str">
        <f t="shared" si="190"/>
        <v>35-49</v>
      </c>
      <c r="R6111" t="str">
        <f t="shared" si="191"/>
        <v>[msW2zpIN7up]|35-49|Female|NEW_INFECTIONS_SUBNAT.T|CY2024Q3</v>
      </c>
    </row>
    <row r="6112" spans="4:18" x14ac:dyDescent="0.2">
      <c r="D6112" t="s">
        <v>59</v>
      </c>
      <c r="E6112" t="s">
        <v>60</v>
      </c>
      <c r="F6112" t="s">
        <v>61</v>
      </c>
      <c r="G6112" t="s">
        <v>169</v>
      </c>
      <c r="H6112" t="s">
        <v>169</v>
      </c>
      <c r="I6112" t="s">
        <v>44</v>
      </c>
      <c r="J6112" t="s">
        <v>45</v>
      </c>
      <c r="K6112" t="s">
        <v>29</v>
      </c>
      <c r="L6112" t="s">
        <v>30</v>
      </c>
      <c r="M6112" t="s">
        <v>166</v>
      </c>
      <c r="N6112">
        <v>1154</v>
      </c>
      <c r="O6112" s="14">
        <v>0.42563435062766097</v>
      </c>
      <c r="P6112" s="14">
        <v>2.6825056178495298E-2</v>
      </c>
      <c r="Q6112" t="str">
        <f t="shared" si="190"/>
        <v>50+</v>
      </c>
      <c r="R6112" t="str">
        <f t="shared" si="191"/>
        <v>[msW2zpIN7up]|50+|Female|NEW_INFECTIONS_SUBNAT.T|CY2024Q3</v>
      </c>
    </row>
    <row r="6113" spans="4:18" x14ac:dyDescent="0.2">
      <c r="D6113" t="s">
        <v>59</v>
      </c>
      <c r="E6113" t="s">
        <v>60</v>
      </c>
      <c r="F6113" t="s">
        <v>61</v>
      </c>
      <c r="G6113" t="s">
        <v>169</v>
      </c>
      <c r="H6113" t="s">
        <v>169</v>
      </c>
      <c r="I6113" t="s">
        <v>27</v>
      </c>
      <c r="J6113" t="s">
        <v>28</v>
      </c>
      <c r="K6113" t="s">
        <v>47</v>
      </c>
      <c r="L6113" t="s">
        <v>48</v>
      </c>
      <c r="M6113" t="s">
        <v>166</v>
      </c>
      <c r="N6113">
        <v>1608</v>
      </c>
      <c r="O6113" s="14">
        <v>0.26362026785500298</v>
      </c>
      <c r="P6113" s="14">
        <v>2.6825056178495298E-2</v>
      </c>
      <c r="Q6113" t="str">
        <f t="shared" si="190"/>
        <v>&lt;01</v>
      </c>
      <c r="R6113" t="str">
        <f t="shared" si="191"/>
        <v>[msW2zpIN7up]|&lt;01|Male|NEW_INFECTIONS_SUBNAT.T|CY2024Q3</v>
      </c>
    </row>
    <row r="6114" spans="4:18" x14ac:dyDescent="0.2">
      <c r="D6114" t="s">
        <v>59</v>
      </c>
      <c r="E6114" t="s">
        <v>60</v>
      </c>
      <c r="F6114" t="s">
        <v>61</v>
      </c>
      <c r="G6114" t="s">
        <v>169</v>
      </c>
      <c r="H6114" t="s">
        <v>169</v>
      </c>
      <c r="I6114" t="s">
        <v>32</v>
      </c>
      <c r="J6114" t="s">
        <v>33</v>
      </c>
      <c r="K6114" t="s">
        <v>47</v>
      </c>
      <c r="L6114" t="s">
        <v>48</v>
      </c>
      <c r="M6114" t="s">
        <v>166</v>
      </c>
      <c r="N6114">
        <v>1748</v>
      </c>
      <c r="O6114" s="14">
        <v>0.37685501459054599</v>
      </c>
      <c r="P6114" s="14">
        <v>2.6825056178495298E-2</v>
      </c>
      <c r="Q6114" t="str">
        <f t="shared" si="190"/>
        <v>01-09</v>
      </c>
      <c r="R6114" t="str">
        <f t="shared" si="191"/>
        <v>[msW2zpIN7up]|01-09|Male|NEW_INFECTIONS_SUBNAT.T|CY2024Q3</v>
      </c>
    </row>
    <row r="6115" spans="4:18" x14ac:dyDescent="0.2">
      <c r="D6115" t="s">
        <v>59</v>
      </c>
      <c r="E6115" t="s">
        <v>60</v>
      </c>
      <c r="F6115" t="s">
        <v>61</v>
      </c>
      <c r="G6115" t="s">
        <v>169</v>
      </c>
      <c r="H6115" t="s">
        <v>169</v>
      </c>
      <c r="I6115" t="s">
        <v>35</v>
      </c>
      <c r="J6115" t="s">
        <v>36</v>
      </c>
      <c r="K6115" t="s">
        <v>47</v>
      </c>
      <c r="L6115" t="s">
        <v>48</v>
      </c>
      <c r="M6115" t="s">
        <v>166</v>
      </c>
      <c r="N6115">
        <v>1544</v>
      </c>
      <c r="O6115" s="14">
        <v>0.80791652877815101</v>
      </c>
      <c r="P6115" s="14">
        <v>2.6825056178495298E-2</v>
      </c>
      <c r="Q6115" t="str">
        <f t="shared" si="190"/>
        <v>10-14</v>
      </c>
      <c r="R6115" t="str">
        <f t="shared" si="191"/>
        <v>[msW2zpIN7up]|10-14|Male|NEW_INFECTIONS_SUBNAT.T|CY2024Q3</v>
      </c>
    </row>
    <row r="6116" spans="4:18" x14ac:dyDescent="0.2">
      <c r="D6116" t="s">
        <v>59</v>
      </c>
      <c r="E6116" t="s">
        <v>60</v>
      </c>
      <c r="F6116" t="s">
        <v>61</v>
      </c>
      <c r="G6116" t="s">
        <v>169</v>
      </c>
      <c r="H6116" t="s">
        <v>169</v>
      </c>
      <c r="I6116" t="s">
        <v>37</v>
      </c>
      <c r="J6116" t="s">
        <v>38</v>
      </c>
      <c r="K6116" t="s">
        <v>47</v>
      </c>
      <c r="L6116" t="s">
        <v>48</v>
      </c>
      <c r="M6116" t="s">
        <v>166</v>
      </c>
      <c r="N6116">
        <v>1104</v>
      </c>
      <c r="O6116" s="14">
        <v>0.92912902473472103</v>
      </c>
      <c r="P6116" s="14">
        <v>2.6825056178495298E-2</v>
      </c>
      <c r="Q6116" t="str">
        <f t="shared" si="190"/>
        <v>15-24</v>
      </c>
      <c r="R6116" t="str">
        <f t="shared" si="191"/>
        <v>[msW2zpIN7up]|15-24|Male|NEW_INFECTIONS_SUBNAT.T|CY2024Q3</v>
      </c>
    </row>
    <row r="6117" spans="4:18" x14ac:dyDescent="0.2">
      <c r="D6117" t="s">
        <v>59</v>
      </c>
      <c r="E6117" t="s">
        <v>60</v>
      </c>
      <c r="F6117" t="s">
        <v>61</v>
      </c>
      <c r="G6117" t="s">
        <v>169</v>
      </c>
      <c r="H6117" t="s">
        <v>169</v>
      </c>
      <c r="I6117" t="s">
        <v>40</v>
      </c>
      <c r="J6117" t="s">
        <v>41</v>
      </c>
      <c r="K6117" t="s">
        <v>47</v>
      </c>
      <c r="L6117" t="s">
        <v>48</v>
      </c>
      <c r="M6117" t="s">
        <v>166</v>
      </c>
      <c r="N6117">
        <v>1556</v>
      </c>
      <c r="O6117" s="14">
        <v>0.14644405408762401</v>
      </c>
      <c r="P6117" s="14">
        <v>2.6825056178495298E-2</v>
      </c>
      <c r="Q6117" t="str">
        <f t="shared" si="190"/>
        <v>25-34</v>
      </c>
      <c r="R6117" t="str">
        <f t="shared" si="191"/>
        <v>[msW2zpIN7up]|25-34|Male|NEW_INFECTIONS_SUBNAT.T|CY2024Q3</v>
      </c>
    </row>
    <row r="6118" spans="4:18" x14ac:dyDescent="0.2">
      <c r="D6118" t="s">
        <v>59</v>
      </c>
      <c r="E6118" t="s">
        <v>60</v>
      </c>
      <c r="F6118" t="s">
        <v>61</v>
      </c>
      <c r="G6118" t="s">
        <v>169</v>
      </c>
      <c r="H6118" t="s">
        <v>169</v>
      </c>
      <c r="I6118" t="s">
        <v>42</v>
      </c>
      <c r="J6118" t="s">
        <v>43</v>
      </c>
      <c r="K6118" t="s">
        <v>47</v>
      </c>
      <c r="L6118" t="s">
        <v>48</v>
      </c>
      <c r="M6118" t="s">
        <v>166</v>
      </c>
      <c r="N6118">
        <v>1486</v>
      </c>
      <c r="O6118" s="14">
        <v>0.17827417748048899</v>
      </c>
      <c r="P6118" s="14">
        <v>2.6825056178495298E-2</v>
      </c>
      <c r="Q6118" t="str">
        <f t="shared" si="190"/>
        <v>35-49</v>
      </c>
      <c r="R6118" t="str">
        <f t="shared" si="191"/>
        <v>[msW2zpIN7up]|35-49|Male|NEW_INFECTIONS_SUBNAT.T|CY2024Q3</v>
      </c>
    </row>
    <row r="6119" spans="4:18" x14ac:dyDescent="0.2">
      <c r="D6119" t="s">
        <v>59</v>
      </c>
      <c r="E6119" t="s">
        <v>60</v>
      </c>
      <c r="F6119" t="s">
        <v>61</v>
      </c>
      <c r="G6119" t="s">
        <v>169</v>
      </c>
      <c r="H6119" t="s">
        <v>169</v>
      </c>
      <c r="I6119" t="s">
        <v>44</v>
      </c>
      <c r="J6119" t="s">
        <v>45</v>
      </c>
      <c r="K6119" t="s">
        <v>47</v>
      </c>
      <c r="L6119" t="s">
        <v>48</v>
      </c>
      <c r="M6119" t="s">
        <v>166</v>
      </c>
      <c r="N6119">
        <v>1945</v>
      </c>
      <c r="O6119" s="14">
        <v>0.130244590574875</v>
      </c>
      <c r="P6119" s="14">
        <v>2.6825056178495298E-2</v>
      </c>
      <c r="Q6119" t="str">
        <f t="shared" si="190"/>
        <v>50+</v>
      </c>
      <c r="R6119" t="str">
        <f t="shared" si="191"/>
        <v>[msW2zpIN7up]|50+|Male|NEW_INFECTIONS_SUBNAT.T|CY2024Q3</v>
      </c>
    </row>
    <row r="6120" spans="4:18" x14ac:dyDescent="0.2">
      <c r="D6120" t="s">
        <v>62</v>
      </c>
      <c r="E6120" t="s">
        <v>63</v>
      </c>
      <c r="F6120" t="s">
        <v>64</v>
      </c>
      <c r="G6120" t="s">
        <v>169</v>
      </c>
      <c r="H6120" t="s">
        <v>169</v>
      </c>
      <c r="I6120" t="s">
        <v>27</v>
      </c>
      <c r="J6120" t="s">
        <v>28</v>
      </c>
      <c r="K6120" t="s">
        <v>29</v>
      </c>
      <c r="L6120" t="s">
        <v>30</v>
      </c>
      <c r="M6120" t="s">
        <v>166</v>
      </c>
      <c r="N6120">
        <v>1088</v>
      </c>
      <c r="O6120" s="14">
        <v>0.50440204096957997</v>
      </c>
      <c r="P6120" s="14">
        <v>0.790102193132043</v>
      </c>
      <c r="Q6120" t="str">
        <f t="shared" si="190"/>
        <v>&lt;01</v>
      </c>
      <c r="R6120" t="str">
        <f t="shared" si="191"/>
        <v>[kxuuIFpOXyO]|&lt;01|Female|NEW_INFECTIONS_SUBNAT.T|CY2024Q3</v>
      </c>
    </row>
    <row r="6121" spans="4:18" x14ac:dyDescent="0.2">
      <c r="D6121" t="s">
        <v>62</v>
      </c>
      <c r="E6121" t="s">
        <v>63</v>
      </c>
      <c r="F6121" t="s">
        <v>64</v>
      </c>
      <c r="G6121" t="s">
        <v>169</v>
      </c>
      <c r="H6121" t="s">
        <v>169</v>
      </c>
      <c r="I6121" t="s">
        <v>32</v>
      </c>
      <c r="J6121" t="s">
        <v>33</v>
      </c>
      <c r="K6121" t="s">
        <v>29</v>
      </c>
      <c r="L6121" t="s">
        <v>30</v>
      </c>
      <c r="M6121" t="s">
        <v>166</v>
      </c>
      <c r="N6121">
        <v>1404</v>
      </c>
      <c r="O6121" s="14">
        <v>0.91262391419149902</v>
      </c>
      <c r="P6121" s="14">
        <v>0.790102193132043</v>
      </c>
      <c r="Q6121" t="str">
        <f t="shared" si="190"/>
        <v>01-09</v>
      </c>
      <c r="R6121" t="str">
        <f t="shared" si="191"/>
        <v>[kxuuIFpOXyO]|01-09|Female|NEW_INFECTIONS_SUBNAT.T|CY2024Q3</v>
      </c>
    </row>
    <row r="6122" spans="4:18" x14ac:dyDescent="0.2">
      <c r="D6122" t="s">
        <v>62</v>
      </c>
      <c r="E6122" t="s">
        <v>63</v>
      </c>
      <c r="F6122" t="s">
        <v>64</v>
      </c>
      <c r="G6122" t="s">
        <v>169</v>
      </c>
      <c r="H6122" t="s">
        <v>169</v>
      </c>
      <c r="I6122" t="s">
        <v>35</v>
      </c>
      <c r="J6122" t="s">
        <v>36</v>
      </c>
      <c r="K6122" t="s">
        <v>29</v>
      </c>
      <c r="L6122" t="s">
        <v>30</v>
      </c>
      <c r="M6122" t="s">
        <v>166</v>
      </c>
      <c r="N6122">
        <v>1499</v>
      </c>
      <c r="O6122" s="14">
        <v>0.19149477686732999</v>
      </c>
      <c r="P6122" s="14">
        <v>0.790102193132043</v>
      </c>
      <c r="Q6122" t="str">
        <f t="shared" si="190"/>
        <v>10-14</v>
      </c>
      <c r="R6122" t="str">
        <f t="shared" si="191"/>
        <v>[kxuuIFpOXyO]|10-14|Female|NEW_INFECTIONS_SUBNAT.T|CY2024Q3</v>
      </c>
    </row>
    <row r="6123" spans="4:18" x14ac:dyDescent="0.2">
      <c r="D6123" t="s">
        <v>62</v>
      </c>
      <c r="E6123" t="s">
        <v>63</v>
      </c>
      <c r="F6123" t="s">
        <v>64</v>
      </c>
      <c r="G6123" t="s">
        <v>169</v>
      </c>
      <c r="H6123" t="s">
        <v>169</v>
      </c>
      <c r="I6123" t="s">
        <v>37</v>
      </c>
      <c r="J6123" t="s">
        <v>38</v>
      </c>
      <c r="K6123" t="s">
        <v>29</v>
      </c>
      <c r="L6123" t="s">
        <v>30</v>
      </c>
      <c r="M6123" t="s">
        <v>166</v>
      </c>
      <c r="N6123">
        <v>809</v>
      </c>
      <c r="O6123" s="14">
        <v>0.21405697334557799</v>
      </c>
      <c r="P6123" s="14">
        <v>0.790102193132043</v>
      </c>
      <c r="Q6123" t="str">
        <f t="shared" si="190"/>
        <v>15-24</v>
      </c>
      <c r="R6123" t="str">
        <f t="shared" si="191"/>
        <v>[kxuuIFpOXyO]|15-24|Female|NEW_INFECTIONS_SUBNAT.T|CY2024Q3</v>
      </c>
    </row>
    <row r="6124" spans="4:18" x14ac:dyDescent="0.2">
      <c r="D6124" t="s">
        <v>62</v>
      </c>
      <c r="E6124" t="s">
        <v>63</v>
      </c>
      <c r="F6124" t="s">
        <v>64</v>
      </c>
      <c r="G6124" t="s">
        <v>169</v>
      </c>
      <c r="H6124" t="s">
        <v>169</v>
      </c>
      <c r="I6124" t="s">
        <v>40</v>
      </c>
      <c r="J6124" t="s">
        <v>41</v>
      </c>
      <c r="K6124" t="s">
        <v>29</v>
      </c>
      <c r="L6124" t="s">
        <v>30</v>
      </c>
      <c r="M6124" t="s">
        <v>166</v>
      </c>
      <c r="N6124">
        <v>1596</v>
      </c>
      <c r="O6124" s="14">
        <v>0.52348077832721196</v>
      </c>
      <c r="P6124" s="14">
        <v>0.790102193132043</v>
      </c>
      <c r="Q6124" t="str">
        <f t="shared" si="190"/>
        <v>25-34</v>
      </c>
      <c r="R6124" t="str">
        <f t="shared" si="191"/>
        <v>[kxuuIFpOXyO]|25-34|Female|NEW_INFECTIONS_SUBNAT.T|CY2024Q3</v>
      </c>
    </row>
    <row r="6125" spans="4:18" x14ac:dyDescent="0.2">
      <c r="D6125" t="s">
        <v>62</v>
      </c>
      <c r="E6125" t="s">
        <v>63</v>
      </c>
      <c r="F6125" t="s">
        <v>64</v>
      </c>
      <c r="G6125" t="s">
        <v>169</v>
      </c>
      <c r="H6125" t="s">
        <v>169</v>
      </c>
      <c r="I6125" t="s">
        <v>42</v>
      </c>
      <c r="J6125" t="s">
        <v>43</v>
      </c>
      <c r="K6125" t="s">
        <v>29</v>
      </c>
      <c r="L6125" t="s">
        <v>30</v>
      </c>
      <c r="M6125" t="s">
        <v>166</v>
      </c>
      <c r="N6125">
        <v>656</v>
      </c>
      <c r="O6125" s="14">
        <v>0.50625680550001595</v>
      </c>
      <c r="P6125" s="14">
        <v>0.790102193132043</v>
      </c>
      <c r="Q6125" t="str">
        <f t="shared" si="190"/>
        <v>35-49</v>
      </c>
      <c r="R6125" t="str">
        <f t="shared" si="191"/>
        <v>[kxuuIFpOXyO]|35-49|Female|NEW_INFECTIONS_SUBNAT.T|CY2024Q3</v>
      </c>
    </row>
    <row r="6126" spans="4:18" x14ac:dyDescent="0.2">
      <c r="D6126" t="s">
        <v>62</v>
      </c>
      <c r="E6126" t="s">
        <v>63</v>
      </c>
      <c r="F6126" t="s">
        <v>64</v>
      </c>
      <c r="G6126" t="s">
        <v>169</v>
      </c>
      <c r="H6126" t="s">
        <v>169</v>
      </c>
      <c r="I6126" t="s">
        <v>44</v>
      </c>
      <c r="J6126" t="s">
        <v>45</v>
      </c>
      <c r="K6126" t="s">
        <v>29</v>
      </c>
      <c r="L6126" t="s">
        <v>30</v>
      </c>
      <c r="M6126" t="s">
        <v>166</v>
      </c>
      <c r="N6126">
        <v>1610</v>
      </c>
      <c r="O6126" s="14">
        <v>0.42789498856291203</v>
      </c>
      <c r="P6126" s="14">
        <v>0.790102193132043</v>
      </c>
      <c r="Q6126" t="str">
        <f t="shared" si="190"/>
        <v>50+</v>
      </c>
      <c r="R6126" t="str">
        <f t="shared" si="191"/>
        <v>[kxuuIFpOXyO]|50+|Female|NEW_INFECTIONS_SUBNAT.T|CY2024Q3</v>
      </c>
    </row>
    <row r="6127" spans="4:18" x14ac:dyDescent="0.2">
      <c r="D6127" t="s">
        <v>62</v>
      </c>
      <c r="E6127" t="s">
        <v>63</v>
      </c>
      <c r="F6127" t="s">
        <v>64</v>
      </c>
      <c r="G6127" t="s">
        <v>169</v>
      </c>
      <c r="H6127" t="s">
        <v>169</v>
      </c>
      <c r="I6127" t="s">
        <v>27</v>
      </c>
      <c r="J6127" t="s">
        <v>28</v>
      </c>
      <c r="K6127" t="s">
        <v>47</v>
      </c>
      <c r="L6127" t="s">
        <v>48</v>
      </c>
      <c r="M6127" t="s">
        <v>166</v>
      </c>
      <c r="N6127">
        <v>1651</v>
      </c>
      <c r="O6127" s="14">
        <v>0.47704844083636999</v>
      </c>
      <c r="P6127" s="14">
        <v>0.790102193132043</v>
      </c>
      <c r="Q6127" t="str">
        <f t="shared" si="190"/>
        <v>&lt;01</v>
      </c>
      <c r="R6127" t="str">
        <f t="shared" si="191"/>
        <v>[kxuuIFpOXyO]|&lt;01|Male|NEW_INFECTIONS_SUBNAT.T|CY2024Q3</v>
      </c>
    </row>
    <row r="6128" spans="4:18" x14ac:dyDescent="0.2">
      <c r="D6128" t="s">
        <v>62</v>
      </c>
      <c r="E6128" t="s">
        <v>63</v>
      </c>
      <c r="F6128" t="s">
        <v>64</v>
      </c>
      <c r="G6128" t="s">
        <v>169</v>
      </c>
      <c r="H6128" t="s">
        <v>169</v>
      </c>
      <c r="I6128" t="s">
        <v>32</v>
      </c>
      <c r="J6128" t="s">
        <v>33</v>
      </c>
      <c r="K6128" t="s">
        <v>47</v>
      </c>
      <c r="L6128" t="s">
        <v>48</v>
      </c>
      <c r="M6128" t="s">
        <v>166</v>
      </c>
      <c r="N6128">
        <v>1667</v>
      </c>
      <c r="O6128" s="14">
        <v>0.24842510395683301</v>
      </c>
      <c r="P6128" s="14">
        <v>0.790102193132043</v>
      </c>
      <c r="Q6128" t="str">
        <f t="shared" si="190"/>
        <v>01-09</v>
      </c>
      <c r="R6128" t="str">
        <f t="shared" si="191"/>
        <v>[kxuuIFpOXyO]|01-09|Male|NEW_INFECTIONS_SUBNAT.T|CY2024Q3</v>
      </c>
    </row>
    <row r="6129" spans="4:18" x14ac:dyDescent="0.2">
      <c r="D6129" t="s">
        <v>62</v>
      </c>
      <c r="E6129" t="s">
        <v>63</v>
      </c>
      <c r="F6129" t="s">
        <v>64</v>
      </c>
      <c r="G6129" t="s">
        <v>169</v>
      </c>
      <c r="H6129" t="s">
        <v>169</v>
      </c>
      <c r="I6129" t="s">
        <v>35</v>
      </c>
      <c r="J6129" t="s">
        <v>36</v>
      </c>
      <c r="K6129" t="s">
        <v>47</v>
      </c>
      <c r="L6129" t="s">
        <v>48</v>
      </c>
      <c r="M6129" t="s">
        <v>166</v>
      </c>
      <c r="N6129">
        <v>549</v>
      </c>
      <c r="O6129" s="14">
        <v>0.54544770950451504</v>
      </c>
      <c r="P6129" s="14">
        <v>0.790102193132043</v>
      </c>
      <c r="Q6129" t="str">
        <f t="shared" si="190"/>
        <v>10-14</v>
      </c>
      <c r="R6129" t="str">
        <f t="shared" si="191"/>
        <v>[kxuuIFpOXyO]|10-14|Male|NEW_INFECTIONS_SUBNAT.T|CY2024Q3</v>
      </c>
    </row>
    <row r="6130" spans="4:18" x14ac:dyDescent="0.2">
      <c r="D6130" t="s">
        <v>62</v>
      </c>
      <c r="E6130" t="s">
        <v>63</v>
      </c>
      <c r="F6130" t="s">
        <v>64</v>
      </c>
      <c r="G6130" t="s">
        <v>169</v>
      </c>
      <c r="H6130" t="s">
        <v>169</v>
      </c>
      <c r="I6130" t="s">
        <v>37</v>
      </c>
      <c r="J6130" t="s">
        <v>38</v>
      </c>
      <c r="K6130" t="s">
        <v>47</v>
      </c>
      <c r="L6130" t="s">
        <v>48</v>
      </c>
      <c r="M6130" t="s">
        <v>166</v>
      </c>
      <c r="N6130">
        <v>1768</v>
      </c>
      <c r="O6130" s="14">
        <v>5.6888986844569403E-2</v>
      </c>
      <c r="P6130" s="14">
        <v>0.790102193132043</v>
      </c>
      <c r="Q6130" t="str">
        <f t="shared" si="190"/>
        <v>15-24</v>
      </c>
      <c r="R6130" t="str">
        <f t="shared" si="191"/>
        <v>[kxuuIFpOXyO]|15-24|Male|NEW_INFECTIONS_SUBNAT.T|CY2024Q3</v>
      </c>
    </row>
    <row r="6131" spans="4:18" x14ac:dyDescent="0.2">
      <c r="D6131" t="s">
        <v>62</v>
      </c>
      <c r="E6131" t="s">
        <v>63</v>
      </c>
      <c r="F6131" t="s">
        <v>64</v>
      </c>
      <c r="G6131" t="s">
        <v>169</v>
      </c>
      <c r="H6131" t="s">
        <v>169</v>
      </c>
      <c r="I6131" t="s">
        <v>40</v>
      </c>
      <c r="J6131" t="s">
        <v>41</v>
      </c>
      <c r="K6131" t="s">
        <v>47</v>
      </c>
      <c r="L6131" t="s">
        <v>48</v>
      </c>
      <c r="M6131" t="s">
        <v>166</v>
      </c>
      <c r="N6131">
        <v>523</v>
      </c>
      <c r="O6131" s="14">
        <v>0.13767585530877099</v>
      </c>
      <c r="P6131" s="14">
        <v>0.790102193132043</v>
      </c>
      <c r="Q6131" t="str">
        <f t="shared" si="190"/>
        <v>25-34</v>
      </c>
      <c r="R6131" t="str">
        <f t="shared" si="191"/>
        <v>[kxuuIFpOXyO]|25-34|Male|NEW_INFECTIONS_SUBNAT.T|CY2024Q3</v>
      </c>
    </row>
    <row r="6132" spans="4:18" x14ac:dyDescent="0.2">
      <c r="D6132" t="s">
        <v>62</v>
      </c>
      <c r="E6132" t="s">
        <v>63</v>
      </c>
      <c r="F6132" t="s">
        <v>64</v>
      </c>
      <c r="G6132" t="s">
        <v>169</v>
      </c>
      <c r="H6132" t="s">
        <v>169</v>
      </c>
      <c r="I6132" t="s">
        <v>42</v>
      </c>
      <c r="J6132" t="s">
        <v>43</v>
      </c>
      <c r="K6132" t="s">
        <v>47</v>
      </c>
      <c r="L6132" t="s">
        <v>48</v>
      </c>
      <c r="M6132" t="s">
        <v>166</v>
      </c>
      <c r="N6132">
        <v>1027</v>
      </c>
      <c r="O6132" s="14">
        <v>0.81736156158149198</v>
      </c>
      <c r="P6132" s="14">
        <v>0.790102193132043</v>
      </c>
      <c r="Q6132" t="str">
        <f t="shared" si="190"/>
        <v>35-49</v>
      </c>
      <c r="R6132" t="str">
        <f t="shared" si="191"/>
        <v>[kxuuIFpOXyO]|35-49|Male|NEW_INFECTIONS_SUBNAT.T|CY2024Q3</v>
      </c>
    </row>
    <row r="6133" spans="4:18" x14ac:dyDescent="0.2">
      <c r="D6133" t="s">
        <v>62</v>
      </c>
      <c r="E6133" t="s">
        <v>63</v>
      </c>
      <c r="F6133" t="s">
        <v>64</v>
      </c>
      <c r="G6133" t="s">
        <v>169</v>
      </c>
      <c r="H6133" t="s">
        <v>169</v>
      </c>
      <c r="I6133" t="s">
        <v>44</v>
      </c>
      <c r="J6133" t="s">
        <v>45</v>
      </c>
      <c r="K6133" t="s">
        <v>47</v>
      </c>
      <c r="L6133" t="s">
        <v>48</v>
      </c>
      <c r="M6133" t="s">
        <v>166</v>
      </c>
      <c r="N6133">
        <v>730</v>
      </c>
      <c r="O6133" s="14">
        <v>2.6782451197505001E-2</v>
      </c>
      <c r="P6133" s="14">
        <v>0.790102193132043</v>
      </c>
      <c r="Q6133" t="str">
        <f t="shared" si="190"/>
        <v>50+</v>
      </c>
      <c r="R6133" t="str">
        <f t="shared" si="191"/>
        <v>[kxuuIFpOXyO]|50+|Male|NEW_INFECTIONS_SUBNAT.T|CY2024Q3</v>
      </c>
    </row>
    <row r="6134" spans="4:18" x14ac:dyDescent="0.2">
      <c r="D6134" t="s">
        <v>65</v>
      </c>
      <c r="E6134" t="s">
        <v>66</v>
      </c>
      <c r="F6134" t="s">
        <v>67</v>
      </c>
      <c r="G6134" t="s">
        <v>169</v>
      </c>
      <c r="H6134" t="s">
        <v>169</v>
      </c>
      <c r="I6134" t="s">
        <v>27</v>
      </c>
      <c r="J6134" t="s">
        <v>28</v>
      </c>
      <c r="K6134" t="s">
        <v>29</v>
      </c>
      <c r="L6134" t="s">
        <v>30</v>
      </c>
      <c r="M6134" t="s">
        <v>166</v>
      </c>
      <c r="N6134">
        <v>1496</v>
      </c>
      <c r="O6134" s="14">
        <v>0.84900767006911304</v>
      </c>
      <c r="P6134" s="14">
        <v>0.16460988437756899</v>
      </c>
      <c r="Q6134" t="str">
        <f t="shared" si="190"/>
        <v>&lt;01</v>
      </c>
      <c r="R6134" t="str">
        <f t="shared" si="191"/>
        <v>[ScR9iFKAasW]|&lt;01|Female|NEW_INFECTIONS_SUBNAT.T|CY2024Q3</v>
      </c>
    </row>
    <row r="6135" spans="4:18" x14ac:dyDescent="0.2">
      <c r="D6135" t="s">
        <v>65</v>
      </c>
      <c r="E6135" t="s">
        <v>66</v>
      </c>
      <c r="F6135" t="s">
        <v>67</v>
      </c>
      <c r="G6135" t="s">
        <v>169</v>
      </c>
      <c r="H6135" t="s">
        <v>169</v>
      </c>
      <c r="I6135" t="s">
        <v>32</v>
      </c>
      <c r="J6135" t="s">
        <v>33</v>
      </c>
      <c r="K6135" t="s">
        <v>29</v>
      </c>
      <c r="L6135" t="s">
        <v>30</v>
      </c>
      <c r="M6135" t="s">
        <v>166</v>
      </c>
      <c r="N6135">
        <v>1250</v>
      </c>
      <c r="O6135" s="14">
        <v>0.92608007416129101</v>
      </c>
      <c r="P6135" s="14">
        <v>0.16460988437756899</v>
      </c>
      <c r="Q6135" t="str">
        <f t="shared" si="190"/>
        <v>01-09</v>
      </c>
      <c r="R6135" t="str">
        <f t="shared" si="191"/>
        <v>[ScR9iFKAasW]|01-09|Female|NEW_INFECTIONS_SUBNAT.T|CY2024Q3</v>
      </c>
    </row>
    <row r="6136" spans="4:18" x14ac:dyDescent="0.2">
      <c r="D6136" t="s">
        <v>65</v>
      </c>
      <c r="E6136" t="s">
        <v>66</v>
      </c>
      <c r="F6136" t="s">
        <v>67</v>
      </c>
      <c r="G6136" t="s">
        <v>169</v>
      </c>
      <c r="H6136" t="s">
        <v>169</v>
      </c>
      <c r="I6136" t="s">
        <v>35</v>
      </c>
      <c r="J6136" t="s">
        <v>36</v>
      </c>
      <c r="K6136" t="s">
        <v>29</v>
      </c>
      <c r="L6136" t="s">
        <v>30</v>
      </c>
      <c r="M6136" t="s">
        <v>166</v>
      </c>
      <c r="N6136">
        <v>963</v>
      </c>
      <c r="O6136" s="14">
        <v>0.29574432317167498</v>
      </c>
      <c r="P6136" s="14">
        <v>0.16460988437756899</v>
      </c>
      <c r="Q6136" t="str">
        <f t="shared" si="190"/>
        <v>10-14</v>
      </c>
      <c r="R6136" t="str">
        <f t="shared" si="191"/>
        <v>[ScR9iFKAasW]|10-14|Female|NEW_INFECTIONS_SUBNAT.T|CY2024Q3</v>
      </c>
    </row>
    <row r="6137" spans="4:18" x14ac:dyDescent="0.2">
      <c r="D6137" t="s">
        <v>65</v>
      </c>
      <c r="E6137" t="s">
        <v>66</v>
      </c>
      <c r="F6137" t="s">
        <v>67</v>
      </c>
      <c r="G6137" t="s">
        <v>169</v>
      </c>
      <c r="H6137" t="s">
        <v>169</v>
      </c>
      <c r="I6137" t="s">
        <v>37</v>
      </c>
      <c r="J6137" t="s">
        <v>38</v>
      </c>
      <c r="K6137" t="s">
        <v>29</v>
      </c>
      <c r="L6137" t="s">
        <v>30</v>
      </c>
      <c r="M6137" t="s">
        <v>166</v>
      </c>
      <c r="N6137">
        <v>756</v>
      </c>
      <c r="O6137" s="14">
        <v>0.23653884953819199</v>
      </c>
      <c r="P6137" s="14">
        <v>0.16460988437756899</v>
      </c>
      <c r="Q6137" t="str">
        <f t="shared" si="190"/>
        <v>15-24</v>
      </c>
      <c r="R6137" t="str">
        <f t="shared" si="191"/>
        <v>[ScR9iFKAasW]|15-24|Female|NEW_INFECTIONS_SUBNAT.T|CY2024Q3</v>
      </c>
    </row>
    <row r="6138" spans="4:18" x14ac:dyDescent="0.2">
      <c r="D6138" t="s">
        <v>65</v>
      </c>
      <c r="E6138" t="s">
        <v>66</v>
      </c>
      <c r="F6138" t="s">
        <v>67</v>
      </c>
      <c r="G6138" t="s">
        <v>169</v>
      </c>
      <c r="H6138" t="s">
        <v>169</v>
      </c>
      <c r="I6138" t="s">
        <v>40</v>
      </c>
      <c r="J6138" t="s">
        <v>41</v>
      </c>
      <c r="K6138" t="s">
        <v>29</v>
      </c>
      <c r="L6138" t="s">
        <v>30</v>
      </c>
      <c r="M6138" t="s">
        <v>166</v>
      </c>
      <c r="N6138">
        <v>893</v>
      </c>
      <c r="O6138" s="14">
        <v>0.51955712679773602</v>
      </c>
      <c r="P6138" s="14">
        <v>0.16460988437756899</v>
      </c>
      <c r="Q6138" t="str">
        <f t="shared" si="190"/>
        <v>25-34</v>
      </c>
      <c r="R6138" t="str">
        <f t="shared" si="191"/>
        <v>[ScR9iFKAasW]|25-34|Female|NEW_INFECTIONS_SUBNAT.T|CY2024Q3</v>
      </c>
    </row>
    <row r="6139" spans="4:18" x14ac:dyDescent="0.2">
      <c r="D6139" t="s">
        <v>65</v>
      </c>
      <c r="E6139" t="s">
        <v>66</v>
      </c>
      <c r="F6139" t="s">
        <v>67</v>
      </c>
      <c r="G6139" t="s">
        <v>169</v>
      </c>
      <c r="H6139" t="s">
        <v>169</v>
      </c>
      <c r="I6139" t="s">
        <v>42</v>
      </c>
      <c r="J6139" t="s">
        <v>43</v>
      </c>
      <c r="K6139" t="s">
        <v>29</v>
      </c>
      <c r="L6139" t="s">
        <v>30</v>
      </c>
      <c r="M6139" t="s">
        <v>166</v>
      </c>
      <c r="N6139">
        <v>1902</v>
      </c>
      <c r="O6139" s="14">
        <v>0.56379741523414895</v>
      </c>
      <c r="P6139" s="14">
        <v>0.16460988437756899</v>
      </c>
      <c r="Q6139" t="str">
        <f t="shared" si="190"/>
        <v>35-49</v>
      </c>
      <c r="R6139" t="str">
        <f t="shared" si="191"/>
        <v>[ScR9iFKAasW]|35-49|Female|NEW_INFECTIONS_SUBNAT.T|CY2024Q3</v>
      </c>
    </row>
    <row r="6140" spans="4:18" x14ac:dyDescent="0.2">
      <c r="D6140" t="s">
        <v>65</v>
      </c>
      <c r="E6140" t="s">
        <v>66</v>
      </c>
      <c r="F6140" t="s">
        <v>67</v>
      </c>
      <c r="G6140" t="s">
        <v>169</v>
      </c>
      <c r="H6140" t="s">
        <v>169</v>
      </c>
      <c r="I6140" t="s">
        <v>44</v>
      </c>
      <c r="J6140" t="s">
        <v>45</v>
      </c>
      <c r="K6140" t="s">
        <v>29</v>
      </c>
      <c r="L6140" t="s">
        <v>30</v>
      </c>
      <c r="M6140" t="s">
        <v>166</v>
      </c>
      <c r="N6140">
        <v>1651</v>
      </c>
      <c r="O6140" s="14">
        <v>0.45853297202847898</v>
      </c>
      <c r="P6140" s="14">
        <v>0.16460988437756899</v>
      </c>
      <c r="Q6140" t="str">
        <f t="shared" si="190"/>
        <v>50+</v>
      </c>
      <c r="R6140" t="str">
        <f t="shared" si="191"/>
        <v>[ScR9iFKAasW]|50+|Female|NEW_INFECTIONS_SUBNAT.T|CY2024Q3</v>
      </c>
    </row>
    <row r="6141" spans="4:18" x14ac:dyDescent="0.2">
      <c r="D6141" t="s">
        <v>65</v>
      </c>
      <c r="E6141" t="s">
        <v>66</v>
      </c>
      <c r="F6141" t="s">
        <v>67</v>
      </c>
      <c r="G6141" t="s">
        <v>169</v>
      </c>
      <c r="H6141" t="s">
        <v>169</v>
      </c>
      <c r="I6141" t="s">
        <v>27</v>
      </c>
      <c r="J6141" t="s">
        <v>28</v>
      </c>
      <c r="K6141" t="s">
        <v>47</v>
      </c>
      <c r="L6141" t="s">
        <v>48</v>
      </c>
      <c r="M6141" t="s">
        <v>166</v>
      </c>
      <c r="N6141">
        <v>1728</v>
      </c>
      <c r="O6141" s="14">
        <v>0.51144125708378896</v>
      </c>
      <c r="P6141" s="14">
        <v>0.16460988437756899</v>
      </c>
      <c r="Q6141" t="str">
        <f t="shared" si="190"/>
        <v>&lt;01</v>
      </c>
      <c r="R6141" t="str">
        <f t="shared" si="191"/>
        <v>[ScR9iFKAasW]|&lt;01|Male|NEW_INFECTIONS_SUBNAT.T|CY2024Q3</v>
      </c>
    </row>
    <row r="6142" spans="4:18" x14ac:dyDescent="0.2">
      <c r="D6142" t="s">
        <v>65</v>
      </c>
      <c r="E6142" t="s">
        <v>66</v>
      </c>
      <c r="F6142" t="s">
        <v>67</v>
      </c>
      <c r="G6142" t="s">
        <v>169</v>
      </c>
      <c r="H6142" t="s">
        <v>169</v>
      </c>
      <c r="I6142" t="s">
        <v>32</v>
      </c>
      <c r="J6142" t="s">
        <v>33</v>
      </c>
      <c r="K6142" t="s">
        <v>47</v>
      </c>
      <c r="L6142" t="s">
        <v>48</v>
      </c>
      <c r="M6142" t="s">
        <v>166</v>
      </c>
      <c r="N6142">
        <v>1412</v>
      </c>
      <c r="O6142" s="14">
        <v>0.79360330849885896</v>
      </c>
      <c r="P6142" s="14">
        <v>0.16460988437756899</v>
      </c>
      <c r="Q6142" t="str">
        <f t="shared" si="190"/>
        <v>01-09</v>
      </c>
      <c r="R6142" t="str">
        <f t="shared" si="191"/>
        <v>[ScR9iFKAasW]|01-09|Male|NEW_INFECTIONS_SUBNAT.T|CY2024Q3</v>
      </c>
    </row>
    <row r="6143" spans="4:18" x14ac:dyDescent="0.2">
      <c r="D6143" t="s">
        <v>65</v>
      </c>
      <c r="E6143" t="s">
        <v>66</v>
      </c>
      <c r="F6143" t="s">
        <v>67</v>
      </c>
      <c r="G6143" t="s">
        <v>169</v>
      </c>
      <c r="H6143" t="s">
        <v>169</v>
      </c>
      <c r="I6143" t="s">
        <v>35</v>
      </c>
      <c r="J6143" t="s">
        <v>36</v>
      </c>
      <c r="K6143" t="s">
        <v>47</v>
      </c>
      <c r="L6143" t="s">
        <v>48</v>
      </c>
      <c r="M6143" t="s">
        <v>166</v>
      </c>
      <c r="N6143">
        <v>727</v>
      </c>
      <c r="O6143" s="14">
        <v>0.62783870846033096</v>
      </c>
      <c r="P6143" s="14">
        <v>0.16460988437756899</v>
      </c>
      <c r="Q6143" t="str">
        <f t="shared" si="190"/>
        <v>10-14</v>
      </c>
      <c r="R6143" t="str">
        <f t="shared" si="191"/>
        <v>[ScR9iFKAasW]|10-14|Male|NEW_INFECTIONS_SUBNAT.T|CY2024Q3</v>
      </c>
    </row>
    <row r="6144" spans="4:18" x14ac:dyDescent="0.2">
      <c r="D6144" t="s">
        <v>65</v>
      </c>
      <c r="E6144" t="s">
        <v>66</v>
      </c>
      <c r="F6144" t="s">
        <v>67</v>
      </c>
      <c r="G6144" t="s">
        <v>169</v>
      </c>
      <c r="H6144" t="s">
        <v>169</v>
      </c>
      <c r="I6144" t="s">
        <v>37</v>
      </c>
      <c r="J6144" t="s">
        <v>38</v>
      </c>
      <c r="K6144" t="s">
        <v>47</v>
      </c>
      <c r="L6144" t="s">
        <v>48</v>
      </c>
      <c r="M6144" t="s">
        <v>166</v>
      </c>
      <c r="N6144">
        <v>1136</v>
      </c>
      <c r="O6144" s="14">
        <v>0.36921786330640299</v>
      </c>
      <c r="P6144" s="14">
        <v>0.16460988437756899</v>
      </c>
      <c r="Q6144" t="str">
        <f t="shared" si="190"/>
        <v>15-24</v>
      </c>
      <c r="R6144" t="str">
        <f t="shared" si="191"/>
        <v>[ScR9iFKAasW]|15-24|Male|NEW_INFECTIONS_SUBNAT.T|CY2024Q3</v>
      </c>
    </row>
    <row r="6145" spans="4:18" x14ac:dyDescent="0.2">
      <c r="D6145" t="s">
        <v>65</v>
      </c>
      <c r="E6145" t="s">
        <v>66</v>
      </c>
      <c r="F6145" t="s">
        <v>67</v>
      </c>
      <c r="G6145" t="s">
        <v>169</v>
      </c>
      <c r="H6145" t="s">
        <v>169</v>
      </c>
      <c r="I6145" t="s">
        <v>40</v>
      </c>
      <c r="J6145" t="s">
        <v>41</v>
      </c>
      <c r="K6145" t="s">
        <v>47</v>
      </c>
      <c r="L6145" t="s">
        <v>48</v>
      </c>
      <c r="M6145" t="s">
        <v>166</v>
      </c>
      <c r="N6145">
        <v>1272</v>
      </c>
      <c r="O6145" s="14">
        <v>0.178578410530463</v>
      </c>
      <c r="P6145" s="14">
        <v>0.16460988437756899</v>
      </c>
      <c r="Q6145" t="str">
        <f t="shared" si="190"/>
        <v>25-34</v>
      </c>
      <c r="R6145" t="str">
        <f t="shared" si="191"/>
        <v>[ScR9iFKAasW]|25-34|Male|NEW_INFECTIONS_SUBNAT.T|CY2024Q3</v>
      </c>
    </row>
    <row r="6146" spans="4:18" x14ac:dyDescent="0.2">
      <c r="D6146" t="s">
        <v>65</v>
      </c>
      <c r="E6146" t="s">
        <v>66</v>
      </c>
      <c r="F6146" t="s">
        <v>67</v>
      </c>
      <c r="G6146" t="s">
        <v>169</v>
      </c>
      <c r="H6146" t="s">
        <v>169</v>
      </c>
      <c r="I6146" t="s">
        <v>42</v>
      </c>
      <c r="J6146" t="s">
        <v>43</v>
      </c>
      <c r="K6146" t="s">
        <v>47</v>
      </c>
      <c r="L6146" t="s">
        <v>48</v>
      </c>
      <c r="M6146" t="s">
        <v>166</v>
      </c>
      <c r="N6146">
        <v>1170</v>
      </c>
      <c r="O6146" s="14">
        <v>0.52357778768055097</v>
      </c>
      <c r="P6146" s="14">
        <v>0.16460988437756899</v>
      </c>
      <c r="Q6146" t="str">
        <f t="shared" ref="Q6146:Q6209" si="192">SUBSTITUTE(SUBSTITUTE($I6146,CHAR(61),""),CHAR(34),"")</f>
        <v>35-49</v>
      </c>
      <c r="R6146" t="str">
        <f t="shared" ref="R6146:R6209" si="193">IF($D6146&lt;&gt;"","["&amp;$E6146&amp;"]"&amp;"|"&amp;$Q6146&amp;"|"&amp;$K6146&amp;"|"&amp;$G6146&amp;"|"&amp;IF($G6146="TX_CURR_SUBNAT.R","CY2022Q4",$M6146),"")</f>
        <v>[ScR9iFKAasW]|35-49|Male|NEW_INFECTIONS_SUBNAT.T|CY2024Q3</v>
      </c>
    </row>
    <row r="6147" spans="4:18" x14ac:dyDescent="0.2">
      <c r="D6147" t="s">
        <v>65</v>
      </c>
      <c r="E6147" t="s">
        <v>66</v>
      </c>
      <c r="F6147" t="s">
        <v>67</v>
      </c>
      <c r="G6147" t="s">
        <v>169</v>
      </c>
      <c r="H6147" t="s">
        <v>169</v>
      </c>
      <c r="I6147" t="s">
        <v>44</v>
      </c>
      <c r="J6147" t="s">
        <v>45</v>
      </c>
      <c r="K6147" t="s">
        <v>47</v>
      </c>
      <c r="L6147" t="s">
        <v>48</v>
      </c>
      <c r="M6147" t="s">
        <v>166</v>
      </c>
      <c r="N6147">
        <v>1188</v>
      </c>
      <c r="O6147" s="14">
        <v>0.78338826610706702</v>
      </c>
      <c r="P6147" s="14">
        <v>0.16460988437756899</v>
      </c>
      <c r="Q6147" t="str">
        <f t="shared" si="192"/>
        <v>50+</v>
      </c>
      <c r="R6147" t="str">
        <f t="shared" si="193"/>
        <v>[ScR9iFKAasW]|50+|Male|NEW_INFECTIONS_SUBNAT.T|CY2024Q3</v>
      </c>
    </row>
    <row r="6148" spans="4:18" x14ac:dyDescent="0.2">
      <c r="D6148" t="s">
        <v>68</v>
      </c>
      <c r="E6148" t="s">
        <v>69</v>
      </c>
      <c r="F6148" t="s">
        <v>70</v>
      </c>
      <c r="G6148" t="s">
        <v>169</v>
      </c>
      <c r="H6148" t="s">
        <v>169</v>
      </c>
      <c r="I6148" t="s">
        <v>27</v>
      </c>
      <c r="J6148" t="s">
        <v>28</v>
      </c>
      <c r="K6148" t="s">
        <v>29</v>
      </c>
      <c r="L6148" t="s">
        <v>30</v>
      </c>
      <c r="M6148" t="s">
        <v>166</v>
      </c>
      <c r="N6148">
        <v>1953</v>
      </c>
      <c r="O6148" s="14">
        <v>0.75952389347367</v>
      </c>
      <c r="P6148" s="14">
        <v>0.19881726312451101</v>
      </c>
      <c r="Q6148" t="str">
        <f t="shared" si="192"/>
        <v>&lt;01</v>
      </c>
      <c r="R6148" t="str">
        <f t="shared" si="193"/>
        <v>[PekKUkKHAzY]|&lt;01|Female|NEW_INFECTIONS_SUBNAT.T|CY2024Q3</v>
      </c>
    </row>
    <row r="6149" spans="4:18" x14ac:dyDescent="0.2">
      <c r="D6149" t="s">
        <v>68</v>
      </c>
      <c r="E6149" t="s">
        <v>69</v>
      </c>
      <c r="F6149" t="s">
        <v>70</v>
      </c>
      <c r="G6149" t="s">
        <v>169</v>
      </c>
      <c r="H6149" t="s">
        <v>169</v>
      </c>
      <c r="I6149" t="s">
        <v>32</v>
      </c>
      <c r="J6149" t="s">
        <v>33</v>
      </c>
      <c r="K6149" t="s">
        <v>29</v>
      </c>
      <c r="L6149" t="s">
        <v>30</v>
      </c>
      <c r="M6149" t="s">
        <v>166</v>
      </c>
      <c r="N6149">
        <v>594</v>
      </c>
      <c r="O6149" s="14">
        <v>0.78692560154013302</v>
      </c>
      <c r="P6149" s="14">
        <v>0.19881726312451101</v>
      </c>
      <c r="Q6149" t="str">
        <f t="shared" si="192"/>
        <v>01-09</v>
      </c>
      <c r="R6149" t="str">
        <f t="shared" si="193"/>
        <v>[PekKUkKHAzY]|01-09|Female|NEW_INFECTIONS_SUBNAT.T|CY2024Q3</v>
      </c>
    </row>
    <row r="6150" spans="4:18" x14ac:dyDescent="0.2">
      <c r="D6150" t="s">
        <v>68</v>
      </c>
      <c r="E6150" t="s">
        <v>69</v>
      </c>
      <c r="F6150" t="s">
        <v>70</v>
      </c>
      <c r="G6150" t="s">
        <v>169</v>
      </c>
      <c r="H6150" t="s">
        <v>169</v>
      </c>
      <c r="I6150" t="s">
        <v>35</v>
      </c>
      <c r="J6150" t="s">
        <v>36</v>
      </c>
      <c r="K6150" t="s">
        <v>29</v>
      </c>
      <c r="L6150" t="s">
        <v>30</v>
      </c>
      <c r="M6150" t="s">
        <v>166</v>
      </c>
      <c r="N6150">
        <v>1215</v>
      </c>
      <c r="O6150" s="14">
        <v>0.201551175676286</v>
      </c>
      <c r="P6150" s="14">
        <v>0.19881726312451101</v>
      </c>
      <c r="Q6150" t="str">
        <f t="shared" si="192"/>
        <v>10-14</v>
      </c>
      <c r="R6150" t="str">
        <f t="shared" si="193"/>
        <v>[PekKUkKHAzY]|10-14|Female|NEW_INFECTIONS_SUBNAT.T|CY2024Q3</v>
      </c>
    </row>
    <row r="6151" spans="4:18" x14ac:dyDescent="0.2">
      <c r="D6151" t="s">
        <v>68</v>
      </c>
      <c r="E6151" t="s">
        <v>69</v>
      </c>
      <c r="F6151" t="s">
        <v>70</v>
      </c>
      <c r="G6151" t="s">
        <v>169</v>
      </c>
      <c r="H6151" t="s">
        <v>169</v>
      </c>
      <c r="I6151" t="s">
        <v>37</v>
      </c>
      <c r="J6151" t="s">
        <v>38</v>
      </c>
      <c r="K6151" t="s">
        <v>29</v>
      </c>
      <c r="L6151" t="s">
        <v>30</v>
      </c>
      <c r="M6151" t="s">
        <v>166</v>
      </c>
      <c r="N6151">
        <v>1002</v>
      </c>
      <c r="O6151" s="14">
        <v>0.46284718671813602</v>
      </c>
      <c r="P6151" s="14">
        <v>0.19881726312451101</v>
      </c>
      <c r="Q6151" t="str">
        <f t="shared" si="192"/>
        <v>15-24</v>
      </c>
      <c r="R6151" t="str">
        <f t="shared" si="193"/>
        <v>[PekKUkKHAzY]|15-24|Female|NEW_INFECTIONS_SUBNAT.T|CY2024Q3</v>
      </c>
    </row>
    <row r="6152" spans="4:18" x14ac:dyDescent="0.2">
      <c r="D6152" t="s">
        <v>68</v>
      </c>
      <c r="E6152" t="s">
        <v>69</v>
      </c>
      <c r="F6152" t="s">
        <v>70</v>
      </c>
      <c r="G6152" t="s">
        <v>169</v>
      </c>
      <c r="H6152" t="s">
        <v>169</v>
      </c>
      <c r="I6152" t="s">
        <v>40</v>
      </c>
      <c r="J6152" t="s">
        <v>41</v>
      </c>
      <c r="K6152" t="s">
        <v>29</v>
      </c>
      <c r="L6152" t="s">
        <v>30</v>
      </c>
      <c r="M6152" t="s">
        <v>166</v>
      </c>
      <c r="N6152">
        <v>1679</v>
      </c>
      <c r="O6152" s="14">
        <v>0.49698931095190302</v>
      </c>
      <c r="P6152" s="14">
        <v>0.19881726312451101</v>
      </c>
      <c r="Q6152" t="str">
        <f t="shared" si="192"/>
        <v>25-34</v>
      </c>
      <c r="R6152" t="str">
        <f t="shared" si="193"/>
        <v>[PekKUkKHAzY]|25-34|Female|NEW_INFECTIONS_SUBNAT.T|CY2024Q3</v>
      </c>
    </row>
    <row r="6153" spans="4:18" x14ac:dyDescent="0.2">
      <c r="D6153" t="s">
        <v>68</v>
      </c>
      <c r="E6153" t="s">
        <v>69</v>
      </c>
      <c r="F6153" t="s">
        <v>70</v>
      </c>
      <c r="G6153" t="s">
        <v>169</v>
      </c>
      <c r="H6153" t="s">
        <v>169</v>
      </c>
      <c r="I6153" t="s">
        <v>42</v>
      </c>
      <c r="J6153" t="s">
        <v>43</v>
      </c>
      <c r="K6153" t="s">
        <v>29</v>
      </c>
      <c r="L6153" t="s">
        <v>30</v>
      </c>
      <c r="M6153" t="s">
        <v>166</v>
      </c>
      <c r="N6153">
        <v>1268</v>
      </c>
      <c r="O6153" s="14">
        <v>0.79066578671336196</v>
      </c>
      <c r="P6153" s="14">
        <v>0.19881726312451101</v>
      </c>
      <c r="Q6153" t="str">
        <f t="shared" si="192"/>
        <v>35-49</v>
      </c>
      <c r="R6153" t="str">
        <f t="shared" si="193"/>
        <v>[PekKUkKHAzY]|35-49|Female|NEW_INFECTIONS_SUBNAT.T|CY2024Q3</v>
      </c>
    </row>
    <row r="6154" spans="4:18" x14ac:dyDescent="0.2">
      <c r="D6154" t="s">
        <v>68</v>
      </c>
      <c r="E6154" t="s">
        <v>69</v>
      </c>
      <c r="F6154" t="s">
        <v>70</v>
      </c>
      <c r="G6154" t="s">
        <v>169</v>
      </c>
      <c r="H6154" t="s">
        <v>169</v>
      </c>
      <c r="I6154" t="s">
        <v>44</v>
      </c>
      <c r="J6154" t="s">
        <v>45</v>
      </c>
      <c r="K6154" t="s">
        <v>29</v>
      </c>
      <c r="L6154" t="s">
        <v>30</v>
      </c>
      <c r="M6154" t="s">
        <v>166</v>
      </c>
      <c r="N6154">
        <v>1453</v>
      </c>
      <c r="O6154" s="14">
        <v>0.51546816155314401</v>
      </c>
      <c r="P6154" s="14">
        <v>0.19881726312451101</v>
      </c>
      <c r="Q6154" t="str">
        <f t="shared" si="192"/>
        <v>50+</v>
      </c>
      <c r="R6154" t="str">
        <f t="shared" si="193"/>
        <v>[PekKUkKHAzY]|50+|Female|NEW_INFECTIONS_SUBNAT.T|CY2024Q3</v>
      </c>
    </row>
    <row r="6155" spans="4:18" x14ac:dyDescent="0.2">
      <c r="D6155" t="s">
        <v>68</v>
      </c>
      <c r="E6155" t="s">
        <v>69</v>
      </c>
      <c r="F6155" t="s">
        <v>70</v>
      </c>
      <c r="G6155" t="s">
        <v>169</v>
      </c>
      <c r="H6155" t="s">
        <v>169</v>
      </c>
      <c r="I6155" t="s">
        <v>27</v>
      </c>
      <c r="J6155" t="s">
        <v>28</v>
      </c>
      <c r="K6155" t="s">
        <v>47</v>
      </c>
      <c r="L6155" t="s">
        <v>48</v>
      </c>
      <c r="M6155" t="s">
        <v>166</v>
      </c>
      <c r="N6155">
        <v>932</v>
      </c>
      <c r="O6155" s="14">
        <v>0.28184336517006198</v>
      </c>
      <c r="P6155" s="14">
        <v>0.19881726312451101</v>
      </c>
      <c r="Q6155" t="str">
        <f t="shared" si="192"/>
        <v>&lt;01</v>
      </c>
      <c r="R6155" t="str">
        <f t="shared" si="193"/>
        <v>[PekKUkKHAzY]|&lt;01|Male|NEW_INFECTIONS_SUBNAT.T|CY2024Q3</v>
      </c>
    </row>
    <row r="6156" spans="4:18" x14ac:dyDescent="0.2">
      <c r="D6156" t="s">
        <v>68</v>
      </c>
      <c r="E6156" t="s">
        <v>69</v>
      </c>
      <c r="F6156" t="s">
        <v>70</v>
      </c>
      <c r="G6156" t="s">
        <v>169</v>
      </c>
      <c r="H6156" t="s">
        <v>169</v>
      </c>
      <c r="I6156" t="s">
        <v>32</v>
      </c>
      <c r="J6156" t="s">
        <v>33</v>
      </c>
      <c r="K6156" t="s">
        <v>47</v>
      </c>
      <c r="L6156" t="s">
        <v>48</v>
      </c>
      <c r="M6156" t="s">
        <v>166</v>
      </c>
      <c r="N6156">
        <v>1754</v>
      </c>
      <c r="O6156" s="14">
        <v>0.34036580519750698</v>
      </c>
      <c r="P6156" s="14">
        <v>0.19881726312451101</v>
      </c>
      <c r="Q6156" t="str">
        <f t="shared" si="192"/>
        <v>01-09</v>
      </c>
      <c r="R6156" t="str">
        <f t="shared" si="193"/>
        <v>[PekKUkKHAzY]|01-09|Male|NEW_INFECTIONS_SUBNAT.T|CY2024Q3</v>
      </c>
    </row>
    <row r="6157" spans="4:18" x14ac:dyDescent="0.2">
      <c r="D6157" t="s">
        <v>68</v>
      </c>
      <c r="E6157" t="s">
        <v>69</v>
      </c>
      <c r="F6157" t="s">
        <v>70</v>
      </c>
      <c r="G6157" t="s">
        <v>169</v>
      </c>
      <c r="H6157" t="s">
        <v>169</v>
      </c>
      <c r="I6157" t="s">
        <v>35</v>
      </c>
      <c r="J6157" t="s">
        <v>36</v>
      </c>
      <c r="K6157" t="s">
        <v>47</v>
      </c>
      <c r="L6157" t="s">
        <v>48</v>
      </c>
      <c r="M6157" t="s">
        <v>166</v>
      </c>
      <c r="N6157">
        <v>1961</v>
      </c>
      <c r="O6157" s="14">
        <v>0.71617339644581102</v>
      </c>
      <c r="P6157" s="14">
        <v>0.19881726312451101</v>
      </c>
      <c r="Q6157" t="str">
        <f t="shared" si="192"/>
        <v>10-14</v>
      </c>
      <c r="R6157" t="str">
        <f t="shared" si="193"/>
        <v>[PekKUkKHAzY]|10-14|Male|NEW_INFECTIONS_SUBNAT.T|CY2024Q3</v>
      </c>
    </row>
    <row r="6158" spans="4:18" x14ac:dyDescent="0.2">
      <c r="D6158" t="s">
        <v>68</v>
      </c>
      <c r="E6158" t="s">
        <v>69</v>
      </c>
      <c r="F6158" t="s">
        <v>70</v>
      </c>
      <c r="G6158" t="s">
        <v>169</v>
      </c>
      <c r="H6158" t="s">
        <v>169</v>
      </c>
      <c r="I6158" t="s">
        <v>37</v>
      </c>
      <c r="J6158" t="s">
        <v>38</v>
      </c>
      <c r="K6158" t="s">
        <v>47</v>
      </c>
      <c r="L6158" t="s">
        <v>48</v>
      </c>
      <c r="M6158" t="s">
        <v>166</v>
      </c>
      <c r="N6158">
        <v>1720</v>
      </c>
      <c r="O6158" s="14">
        <v>0.77582277543842804</v>
      </c>
      <c r="P6158" s="14">
        <v>0.19881726312451101</v>
      </c>
      <c r="Q6158" t="str">
        <f t="shared" si="192"/>
        <v>15-24</v>
      </c>
      <c r="R6158" t="str">
        <f t="shared" si="193"/>
        <v>[PekKUkKHAzY]|15-24|Male|NEW_INFECTIONS_SUBNAT.T|CY2024Q3</v>
      </c>
    </row>
    <row r="6159" spans="4:18" x14ac:dyDescent="0.2">
      <c r="D6159" t="s">
        <v>68</v>
      </c>
      <c r="E6159" t="s">
        <v>69</v>
      </c>
      <c r="F6159" t="s">
        <v>70</v>
      </c>
      <c r="G6159" t="s">
        <v>169</v>
      </c>
      <c r="H6159" t="s">
        <v>169</v>
      </c>
      <c r="I6159" t="s">
        <v>40</v>
      </c>
      <c r="J6159" t="s">
        <v>41</v>
      </c>
      <c r="K6159" t="s">
        <v>47</v>
      </c>
      <c r="L6159" t="s">
        <v>48</v>
      </c>
      <c r="M6159" t="s">
        <v>166</v>
      </c>
      <c r="N6159">
        <v>1377</v>
      </c>
      <c r="O6159" s="14">
        <v>4.8310761572793098E-2</v>
      </c>
      <c r="P6159" s="14">
        <v>0.19881726312451101</v>
      </c>
      <c r="Q6159" t="str">
        <f t="shared" si="192"/>
        <v>25-34</v>
      </c>
      <c r="R6159" t="str">
        <f t="shared" si="193"/>
        <v>[PekKUkKHAzY]|25-34|Male|NEW_INFECTIONS_SUBNAT.T|CY2024Q3</v>
      </c>
    </row>
    <row r="6160" spans="4:18" x14ac:dyDescent="0.2">
      <c r="D6160" t="s">
        <v>68</v>
      </c>
      <c r="E6160" t="s">
        <v>69</v>
      </c>
      <c r="F6160" t="s">
        <v>70</v>
      </c>
      <c r="G6160" t="s">
        <v>169</v>
      </c>
      <c r="H6160" t="s">
        <v>169</v>
      </c>
      <c r="I6160" t="s">
        <v>42</v>
      </c>
      <c r="J6160" t="s">
        <v>43</v>
      </c>
      <c r="K6160" t="s">
        <v>47</v>
      </c>
      <c r="L6160" t="s">
        <v>48</v>
      </c>
      <c r="M6160" t="s">
        <v>166</v>
      </c>
      <c r="N6160">
        <v>1732</v>
      </c>
      <c r="O6160" s="14">
        <v>6.5042381174862399E-2</v>
      </c>
      <c r="P6160" s="14">
        <v>0.19881726312451101</v>
      </c>
      <c r="Q6160" t="str">
        <f t="shared" si="192"/>
        <v>35-49</v>
      </c>
      <c r="R6160" t="str">
        <f t="shared" si="193"/>
        <v>[PekKUkKHAzY]|35-49|Male|NEW_INFECTIONS_SUBNAT.T|CY2024Q3</v>
      </c>
    </row>
    <row r="6161" spans="4:18" x14ac:dyDescent="0.2">
      <c r="D6161" t="s">
        <v>68</v>
      </c>
      <c r="E6161" t="s">
        <v>69</v>
      </c>
      <c r="F6161" t="s">
        <v>70</v>
      </c>
      <c r="G6161" t="s">
        <v>169</v>
      </c>
      <c r="H6161" t="s">
        <v>169</v>
      </c>
      <c r="I6161" t="s">
        <v>44</v>
      </c>
      <c r="J6161" t="s">
        <v>45</v>
      </c>
      <c r="K6161" t="s">
        <v>47</v>
      </c>
      <c r="L6161" t="s">
        <v>48</v>
      </c>
      <c r="M6161" t="s">
        <v>166</v>
      </c>
      <c r="N6161">
        <v>701</v>
      </c>
      <c r="O6161" s="14">
        <v>3.5596908302977702E-2</v>
      </c>
      <c r="P6161" s="14">
        <v>0.19881726312451101</v>
      </c>
      <c r="Q6161" t="str">
        <f t="shared" si="192"/>
        <v>50+</v>
      </c>
      <c r="R6161" t="str">
        <f t="shared" si="193"/>
        <v>[PekKUkKHAzY]|50+|Male|NEW_INFECTIONS_SUBNAT.T|CY2024Q3</v>
      </c>
    </row>
    <row r="6162" spans="4:18" x14ac:dyDescent="0.2">
      <c r="D6162" t="s">
        <v>71</v>
      </c>
      <c r="E6162" t="s">
        <v>72</v>
      </c>
      <c r="F6162" t="s">
        <v>73</v>
      </c>
      <c r="G6162" t="s">
        <v>169</v>
      </c>
      <c r="H6162" t="s">
        <v>169</v>
      </c>
      <c r="I6162" t="s">
        <v>27</v>
      </c>
      <c r="J6162" t="s">
        <v>28</v>
      </c>
      <c r="K6162" t="s">
        <v>29</v>
      </c>
      <c r="L6162" t="s">
        <v>30</v>
      </c>
      <c r="M6162" t="s">
        <v>166</v>
      </c>
      <c r="N6162">
        <v>797</v>
      </c>
      <c r="O6162" s="14">
        <v>0.71927926852367796</v>
      </c>
      <c r="P6162" s="14">
        <v>0.28972870693542102</v>
      </c>
      <c r="Q6162" t="str">
        <f t="shared" si="192"/>
        <v>&lt;01</v>
      </c>
      <c r="R6162" t="str">
        <f t="shared" si="193"/>
        <v>[am530wpaGvr]|&lt;01|Female|NEW_INFECTIONS_SUBNAT.T|CY2024Q3</v>
      </c>
    </row>
    <row r="6163" spans="4:18" x14ac:dyDescent="0.2">
      <c r="D6163" t="s">
        <v>71</v>
      </c>
      <c r="E6163" t="s">
        <v>72</v>
      </c>
      <c r="F6163" t="s">
        <v>73</v>
      </c>
      <c r="G6163" t="s">
        <v>169</v>
      </c>
      <c r="H6163" t="s">
        <v>169</v>
      </c>
      <c r="I6163" t="s">
        <v>32</v>
      </c>
      <c r="J6163" t="s">
        <v>33</v>
      </c>
      <c r="K6163" t="s">
        <v>29</v>
      </c>
      <c r="L6163" t="s">
        <v>30</v>
      </c>
      <c r="M6163" t="s">
        <v>166</v>
      </c>
      <c r="N6163">
        <v>1113</v>
      </c>
      <c r="O6163" s="14">
        <v>0.58712240122258696</v>
      </c>
      <c r="P6163" s="14">
        <v>0.28972870693542102</v>
      </c>
      <c r="Q6163" t="str">
        <f t="shared" si="192"/>
        <v>01-09</v>
      </c>
      <c r="R6163" t="str">
        <f t="shared" si="193"/>
        <v>[am530wpaGvr]|01-09|Female|NEW_INFECTIONS_SUBNAT.T|CY2024Q3</v>
      </c>
    </row>
    <row r="6164" spans="4:18" x14ac:dyDescent="0.2">
      <c r="D6164" t="s">
        <v>71</v>
      </c>
      <c r="E6164" t="s">
        <v>72</v>
      </c>
      <c r="F6164" t="s">
        <v>73</v>
      </c>
      <c r="G6164" t="s">
        <v>169</v>
      </c>
      <c r="H6164" t="s">
        <v>169</v>
      </c>
      <c r="I6164" t="s">
        <v>35</v>
      </c>
      <c r="J6164" t="s">
        <v>36</v>
      </c>
      <c r="K6164" t="s">
        <v>29</v>
      </c>
      <c r="L6164" t="s">
        <v>30</v>
      </c>
      <c r="M6164" t="s">
        <v>166</v>
      </c>
      <c r="N6164">
        <v>1189</v>
      </c>
      <c r="O6164" s="14">
        <v>0.448898076545447</v>
      </c>
      <c r="P6164" s="14">
        <v>0.28972870693542102</v>
      </c>
      <c r="Q6164" t="str">
        <f t="shared" si="192"/>
        <v>10-14</v>
      </c>
      <c r="R6164" t="str">
        <f t="shared" si="193"/>
        <v>[am530wpaGvr]|10-14|Female|NEW_INFECTIONS_SUBNAT.T|CY2024Q3</v>
      </c>
    </row>
    <row r="6165" spans="4:18" x14ac:dyDescent="0.2">
      <c r="D6165" t="s">
        <v>71</v>
      </c>
      <c r="E6165" t="s">
        <v>72</v>
      </c>
      <c r="F6165" t="s">
        <v>73</v>
      </c>
      <c r="G6165" t="s">
        <v>169</v>
      </c>
      <c r="H6165" t="s">
        <v>169</v>
      </c>
      <c r="I6165" t="s">
        <v>37</v>
      </c>
      <c r="J6165" t="s">
        <v>38</v>
      </c>
      <c r="K6165" t="s">
        <v>29</v>
      </c>
      <c r="L6165" t="s">
        <v>30</v>
      </c>
      <c r="M6165" t="s">
        <v>166</v>
      </c>
      <c r="N6165">
        <v>1326</v>
      </c>
      <c r="O6165" s="14">
        <v>0.53640429559163705</v>
      </c>
      <c r="P6165" s="14">
        <v>0.28972870693542102</v>
      </c>
      <c r="Q6165" t="str">
        <f t="shared" si="192"/>
        <v>15-24</v>
      </c>
      <c r="R6165" t="str">
        <f t="shared" si="193"/>
        <v>[am530wpaGvr]|15-24|Female|NEW_INFECTIONS_SUBNAT.T|CY2024Q3</v>
      </c>
    </row>
    <row r="6166" spans="4:18" x14ac:dyDescent="0.2">
      <c r="D6166" t="s">
        <v>71</v>
      </c>
      <c r="E6166" t="s">
        <v>72</v>
      </c>
      <c r="F6166" t="s">
        <v>73</v>
      </c>
      <c r="G6166" t="s">
        <v>169</v>
      </c>
      <c r="H6166" t="s">
        <v>169</v>
      </c>
      <c r="I6166" t="s">
        <v>40</v>
      </c>
      <c r="J6166" t="s">
        <v>41</v>
      </c>
      <c r="K6166" t="s">
        <v>29</v>
      </c>
      <c r="L6166" t="s">
        <v>30</v>
      </c>
      <c r="M6166" t="s">
        <v>166</v>
      </c>
      <c r="N6166">
        <v>604</v>
      </c>
      <c r="O6166" s="14">
        <v>0.212487590266392</v>
      </c>
      <c r="P6166" s="14">
        <v>0.28972870693542102</v>
      </c>
      <c r="Q6166" t="str">
        <f t="shared" si="192"/>
        <v>25-34</v>
      </c>
      <c r="R6166" t="str">
        <f t="shared" si="193"/>
        <v>[am530wpaGvr]|25-34|Female|NEW_INFECTIONS_SUBNAT.T|CY2024Q3</v>
      </c>
    </row>
    <row r="6167" spans="4:18" x14ac:dyDescent="0.2">
      <c r="D6167" t="s">
        <v>71</v>
      </c>
      <c r="E6167" t="s">
        <v>72</v>
      </c>
      <c r="F6167" t="s">
        <v>73</v>
      </c>
      <c r="G6167" t="s">
        <v>169</v>
      </c>
      <c r="H6167" t="s">
        <v>169</v>
      </c>
      <c r="I6167" t="s">
        <v>42</v>
      </c>
      <c r="J6167" t="s">
        <v>43</v>
      </c>
      <c r="K6167" t="s">
        <v>29</v>
      </c>
      <c r="L6167" t="s">
        <v>30</v>
      </c>
      <c r="M6167" t="s">
        <v>166</v>
      </c>
      <c r="N6167">
        <v>1445</v>
      </c>
      <c r="O6167" s="14">
        <v>0.73631238914094899</v>
      </c>
      <c r="P6167" s="14">
        <v>0.28972870693542102</v>
      </c>
      <c r="Q6167" t="str">
        <f t="shared" si="192"/>
        <v>35-49</v>
      </c>
      <c r="R6167" t="str">
        <f t="shared" si="193"/>
        <v>[am530wpaGvr]|35-49|Female|NEW_INFECTIONS_SUBNAT.T|CY2024Q3</v>
      </c>
    </row>
    <row r="6168" spans="4:18" x14ac:dyDescent="0.2">
      <c r="D6168" t="s">
        <v>71</v>
      </c>
      <c r="E6168" t="s">
        <v>72</v>
      </c>
      <c r="F6168" t="s">
        <v>73</v>
      </c>
      <c r="G6168" t="s">
        <v>169</v>
      </c>
      <c r="H6168" t="s">
        <v>169</v>
      </c>
      <c r="I6168" t="s">
        <v>44</v>
      </c>
      <c r="J6168" t="s">
        <v>45</v>
      </c>
      <c r="K6168" t="s">
        <v>29</v>
      </c>
      <c r="L6168" t="s">
        <v>30</v>
      </c>
      <c r="M6168" t="s">
        <v>166</v>
      </c>
      <c r="N6168">
        <v>1878</v>
      </c>
      <c r="O6168" s="14">
        <v>0.43531428161077201</v>
      </c>
      <c r="P6168" s="14">
        <v>0.28972870693542102</v>
      </c>
      <c r="Q6168" t="str">
        <f t="shared" si="192"/>
        <v>50+</v>
      </c>
      <c r="R6168" t="str">
        <f t="shared" si="193"/>
        <v>[am530wpaGvr]|50+|Female|NEW_INFECTIONS_SUBNAT.T|CY2024Q3</v>
      </c>
    </row>
    <row r="6169" spans="4:18" x14ac:dyDescent="0.2">
      <c r="D6169" t="s">
        <v>71</v>
      </c>
      <c r="E6169" t="s">
        <v>72</v>
      </c>
      <c r="F6169" t="s">
        <v>73</v>
      </c>
      <c r="G6169" t="s">
        <v>169</v>
      </c>
      <c r="H6169" t="s">
        <v>169</v>
      </c>
      <c r="I6169" t="s">
        <v>27</v>
      </c>
      <c r="J6169" t="s">
        <v>28</v>
      </c>
      <c r="K6169" t="s">
        <v>47</v>
      </c>
      <c r="L6169" t="s">
        <v>48</v>
      </c>
      <c r="M6169" t="s">
        <v>166</v>
      </c>
      <c r="N6169">
        <v>1080</v>
      </c>
      <c r="O6169" s="14">
        <v>0.50668946420773897</v>
      </c>
      <c r="P6169" s="14">
        <v>0.28972870693542102</v>
      </c>
      <c r="Q6169" t="str">
        <f t="shared" si="192"/>
        <v>&lt;01</v>
      </c>
      <c r="R6169" t="str">
        <f t="shared" si="193"/>
        <v>[am530wpaGvr]|&lt;01|Male|NEW_INFECTIONS_SUBNAT.T|CY2024Q3</v>
      </c>
    </row>
    <row r="6170" spans="4:18" x14ac:dyDescent="0.2">
      <c r="D6170" t="s">
        <v>71</v>
      </c>
      <c r="E6170" t="s">
        <v>72</v>
      </c>
      <c r="F6170" t="s">
        <v>73</v>
      </c>
      <c r="G6170" t="s">
        <v>169</v>
      </c>
      <c r="H6170" t="s">
        <v>169</v>
      </c>
      <c r="I6170" t="s">
        <v>32</v>
      </c>
      <c r="J6170" t="s">
        <v>33</v>
      </c>
      <c r="K6170" t="s">
        <v>47</v>
      </c>
      <c r="L6170" t="s">
        <v>48</v>
      </c>
      <c r="M6170" t="s">
        <v>166</v>
      </c>
      <c r="N6170">
        <v>1496</v>
      </c>
      <c r="O6170" s="14">
        <v>1.9201560877263501E-2</v>
      </c>
      <c r="P6170" s="14">
        <v>0.28972870693542102</v>
      </c>
      <c r="Q6170" t="str">
        <f t="shared" si="192"/>
        <v>01-09</v>
      </c>
      <c r="R6170" t="str">
        <f t="shared" si="193"/>
        <v>[am530wpaGvr]|01-09|Male|NEW_INFECTIONS_SUBNAT.T|CY2024Q3</v>
      </c>
    </row>
    <row r="6171" spans="4:18" x14ac:dyDescent="0.2">
      <c r="D6171" t="s">
        <v>71</v>
      </c>
      <c r="E6171" t="s">
        <v>72</v>
      </c>
      <c r="F6171" t="s">
        <v>73</v>
      </c>
      <c r="G6171" t="s">
        <v>169</v>
      </c>
      <c r="H6171" t="s">
        <v>169</v>
      </c>
      <c r="I6171" t="s">
        <v>35</v>
      </c>
      <c r="J6171" t="s">
        <v>36</v>
      </c>
      <c r="K6171" t="s">
        <v>47</v>
      </c>
      <c r="L6171" t="s">
        <v>48</v>
      </c>
      <c r="M6171" t="s">
        <v>166</v>
      </c>
      <c r="N6171">
        <v>1191</v>
      </c>
      <c r="O6171" s="14">
        <v>0.73459005728364002</v>
      </c>
      <c r="P6171" s="14">
        <v>0.28972870693542102</v>
      </c>
      <c r="Q6171" t="str">
        <f t="shared" si="192"/>
        <v>10-14</v>
      </c>
      <c r="R6171" t="str">
        <f t="shared" si="193"/>
        <v>[am530wpaGvr]|10-14|Male|NEW_INFECTIONS_SUBNAT.T|CY2024Q3</v>
      </c>
    </row>
    <row r="6172" spans="4:18" x14ac:dyDescent="0.2">
      <c r="D6172" t="s">
        <v>71</v>
      </c>
      <c r="E6172" t="s">
        <v>72</v>
      </c>
      <c r="F6172" t="s">
        <v>73</v>
      </c>
      <c r="G6172" t="s">
        <v>169</v>
      </c>
      <c r="H6172" t="s">
        <v>169</v>
      </c>
      <c r="I6172" t="s">
        <v>37</v>
      </c>
      <c r="J6172" t="s">
        <v>38</v>
      </c>
      <c r="K6172" t="s">
        <v>47</v>
      </c>
      <c r="L6172" t="s">
        <v>48</v>
      </c>
      <c r="M6172" t="s">
        <v>166</v>
      </c>
      <c r="N6172">
        <v>1792</v>
      </c>
      <c r="O6172" s="14">
        <v>0.28809679928235699</v>
      </c>
      <c r="P6172" s="14">
        <v>0.28972870693542102</v>
      </c>
      <c r="Q6172" t="str">
        <f t="shared" si="192"/>
        <v>15-24</v>
      </c>
      <c r="R6172" t="str">
        <f t="shared" si="193"/>
        <v>[am530wpaGvr]|15-24|Male|NEW_INFECTIONS_SUBNAT.T|CY2024Q3</v>
      </c>
    </row>
    <row r="6173" spans="4:18" x14ac:dyDescent="0.2">
      <c r="D6173" t="s">
        <v>71</v>
      </c>
      <c r="E6173" t="s">
        <v>72</v>
      </c>
      <c r="F6173" t="s">
        <v>73</v>
      </c>
      <c r="G6173" t="s">
        <v>169</v>
      </c>
      <c r="H6173" t="s">
        <v>169</v>
      </c>
      <c r="I6173" t="s">
        <v>40</v>
      </c>
      <c r="J6173" t="s">
        <v>41</v>
      </c>
      <c r="K6173" t="s">
        <v>47</v>
      </c>
      <c r="L6173" t="s">
        <v>48</v>
      </c>
      <c r="M6173" t="s">
        <v>166</v>
      </c>
      <c r="N6173">
        <v>1398</v>
      </c>
      <c r="O6173" s="14">
        <v>0.92747116996906698</v>
      </c>
      <c r="P6173" s="14">
        <v>0.28972870693542102</v>
      </c>
      <c r="Q6173" t="str">
        <f t="shared" si="192"/>
        <v>25-34</v>
      </c>
      <c r="R6173" t="str">
        <f t="shared" si="193"/>
        <v>[am530wpaGvr]|25-34|Male|NEW_INFECTIONS_SUBNAT.T|CY2024Q3</v>
      </c>
    </row>
    <row r="6174" spans="4:18" x14ac:dyDescent="0.2">
      <c r="D6174" t="s">
        <v>71</v>
      </c>
      <c r="E6174" t="s">
        <v>72</v>
      </c>
      <c r="F6174" t="s">
        <v>73</v>
      </c>
      <c r="G6174" t="s">
        <v>169</v>
      </c>
      <c r="H6174" t="s">
        <v>169</v>
      </c>
      <c r="I6174" t="s">
        <v>42</v>
      </c>
      <c r="J6174" t="s">
        <v>43</v>
      </c>
      <c r="K6174" t="s">
        <v>47</v>
      </c>
      <c r="L6174" t="s">
        <v>48</v>
      </c>
      <c r="M6174" t="s">
        <v>166</v>
      </c>
      <c r="N6174">
        <v>969</v>
      </c>
      <c r="O6174" s="14">
        <v>0.77964681829325899</v>
      </c>
      <c r="P6174" s="14">
        <v>0.28972870693542102</v>
      </c>
      <c r="Q6174" t="str">
        <f t="shared" si="192"/>
        <v>35-49</v>
      </c>
      <c r="R6174" t="str">
        <f t="shared" si="193"/>
        <v>[am530wpaGvr]|35-49|Male|NEW_INFECTIONS_SUBNAT.T|CY2024Q3</v>
      </c>
    </row>
    <row r="6175" spans="4:18" x14ac:dyDescent="0.2">
      <c r="D6175" t="s">
        <v>71</v>
      </c>
      <c r="E6175" t="s">
        <v>72</v>
      </c>
      <c r="F6175" t="s">
        <v>73</v>
      </c>
      <c r="G6175" t="s">
        <v>169</v>
      </c>
      <c r="H6175" t="s">
        <v>169</v>
      </c>
      <c r="I6175" t="s">
        <v>44</v>
      </c>
      <c r="J6175" t="s">
        <v>45</v>
      </c>
      <c r="K6175" t="s">
        <v>47</v>
      </c>
      <c r="L6175" t="s">
        <v>48</v>
      </c>
      <c r="M6175" t="s">
        <v>166</v>
      </c>
      <c r="N6175">
        <v>1711</v>
      </c>
      <c r="O6175" s="14">
        <v>0.63745586387813102</v>
      </c>
      <c r="P6175" s="14">
        <v>0.28972870693542102</v>
      </c>
      <c r="Q6175" t="str">
        <f t="shared" si="192"/>
        <v>50+</v>
      </c>
      <c r="R6175" t="str">
        <f t="shared" si="193"/>
        <v>[am530wpaGvr]|50+|Male|NEW_INFECTIONS_SUBNAT.T|CY2024Q3</v>
      </c>
    </row>
    <row r="6176" spans="4:18" x14ac:dyDescent="0.2">
      <c r="D6176" t="s">
        <v>74</v>
      </c>
      <c r="E6176" t="s">
        <v>75</v>
      </c>
      <c r="F6176" t="s">
        <v>76</v>
      </c>
      <c r="G6176" t="s">
        <v>169</v>
      </c>
      <c r="H6176" t="s">
        <v>169</v>
      </c>
      <c r="I6176" t="s">
        <v>27</v>
      </c>
      <c r="J6176" t="s">
        <v>28</v>
      </c>
      <c r="K6176" t="s">
        <v>29</v>
      </c>
      <c r="L6176" t="s">
        <v>30</v>
      </c>
      <c r="M6176" t="s">
        <v>166</v>
      </c>
      <c r="N6176">
        <v>1263</v>
      </c>
      <c r="O6176" s="14">
        <v>0.76213478925637901</v>
      </c>
      <c r="P6176" s="14">
        <v>0.30305550759658201</v>
      </c>
      <c r="Q6176" t="str">
        <f t="shared" si="192"/>
        <v>&lt;01</v>
      </c>
      <c r="R6176" t="str">
        <f t="shared" si="193"/>
        <v>[lLDyBx5XyUi]|&lt;01|Female|NEW_INFECTIONS_SUBNAT.T|CY2024Q3</v>
      </c>
    </row>
    <row r="6177" spans="4:18" x14ac:dyDescent="0.2">
      <c r="D6177" t="s">
        <v>74</v>
      </c>
      <c r="E6177" t="s">
        <v>75</v>
      </c>
      <c r="F6177" t="s">
        <v>76</v>
      </c>
      <c r="G6177" t="s">
        <v>169</v>
      </c>
      <c r="H6177" t="s">
        <v>169</v>
      </c>
      <c r="I6177" t="s">
        <v>32</v>
      </c>
      <c r="J6177" t="s">
        <v>33</v>
      </c>
      <c r="K6177" t="s">
        <v>29</v>
      </c>
      <c r="L6177" t="s">
        <v>30</v>
      </c>
      <c r="M6177" t="s">
        <v>166</v>
      </c>
      <c r="N6177">
        <v>1823</v>
      </c>
      <c r="O6177" s="14">
        <v>0.84806662960909296</v>
      </c>
      <c r="P6177" s="14">
        <v>0.30305550759658201</v>
      </c>
      <c r="Q6177" t="str">
        <f t="shared" si="192"/>
        <v>01-09</v>
      </c>
      <c r="R6177" t="str">
        <f t="shared" si="193"/>
        <v>[lLDyBx5XyUi]|01-09|Female|NEW_INFECTIONS_SUBNAT.T|CY2024Q3</v>
      </c>
    </row>
    <row r="6178" spans="4:18" x14ac:dyDescent="0.2">
      <c r="D6178" t="s">
        <v>74</v>
      </c>
      <c r="E6178" t="s">
        <v>75</v>
      </c>
      <c r="F6178" t="s">
        <v>76</v>
      </c>
      <c r="G6178" t="s">
        <v>169</v>
      </c>
      <c r="H6178" t="s">
        <v>169</v>
      </c>
      <c r="I6178" t="s">
        <v>35</v>
      </c>
      <c r="J6178" t="s">
        <v>36</v>
      </c>
      <c r="K6178" t="s">
        <v>29</v>
      </c>
      <c r="L6178" t="s">
        <v>30</v>
      </c>
      <c r="M6178" t="s">
        <v>166</v>
      </c>
      <c r="N6178">
        <v>576</v>
      </c>
      <c r="O6178" s="14">
        <v>0.11108833621256101</v>
      </c>
      <c r="P6178" s="14">
        <v>0.30305550759658201</v>
      </c>
      <c r="Q6178" t="str">
        <f t="shared" si="192"/>
        <v>10-14</v>
      </c>
      <c r="R6178" t="str">
        <f t="shared" si="193"/>
        <v>[lLDyBx5XyUi]|10-14|Female|NEW_INFECTIONS_SUBNAT.T|CY2024Q3</v>
      </c>
    </row>
    <row r="6179" spans="4:18" x14ac:dyDescent="0.2">
      <c r="D6179" t="s">
        <v>74</v>
      </c>
      <c r="E6179" t="s">
        <v>75</v>
      </c>
      <c r="F6179" t="s">
        <v>76</v>
      </c>
      <c r="G6179" t="s">
        <v>169</v>
      </c>
      <c r="H6179" t="s">
        <v>169</v>
      </c>
      <c r="I6179" t="s">
        <v>37</v>
      </c>
      <c r="J6179" t="s">
        <v>38</v>
      </c>
      <c r="K6179" t="s">
        <v>29</v>
      </c>
      <c r="L6179" t="s">
        <v>30</v>
      </c>
      <c r="M6179" t="s">
        <v>166</v>
      </c>
      <c r="N6179">
        <v>1104</v>
      </c>
      <c r="O6179" s="14">
        <v>0.57975476118736002</v>
      </c>
      <c r="P6179" s="14">
        <v>0.30305550759658201</v>
      </c>
      <c r="Q6179" t="str">
        <f t="shared" si="192"/>
        <v>15-24</v>
      </c>
      <c r="R6179" t="str">
        <f t="shared" si="193"/>
        <v>[lLDyBx5XyUi]|15-24|Female|NEW_INFECTIONS_SUBNAT.T|CY2024Q3</v>
      </c>
    </row>
    <row r="6180" spans="4:18" x14ac:dyDescent="0.2">
      <c r="D6180" t="s">
        <v>74</v>
      </c>
      <c r="E6180" t="s">
        <v>75</v>
      </c>
      <c r="F6180" t="s">
        <v>76</v>
      </c>
      <c r="G6180" t="s">
        <v>169</v>
      </c>
      <c r="H6180" t="s">
        <v>169</v>
      </c>
      <c r="I6180" t="s">
        <v>40</v>
      </c>
      <c r="J6180" t="s">
        <v>41</v>
      </c>
      <c r="K6180" t="s">
        <v>29</v>
      </c>
      <c r="L6180" t="s">
        <v>30</v>
      </c>
      <c r="M6180" t="s">
        <v>166</v>
      </c>
      <c r="N6180">
        <v>1684</v>
      </c>
      <c r="O6180" s="14">
        <v>0.71125703258439898</v>
      </c>
      <c r="P6180" s="14">
        <v>0.30305550759658201</v>
      </c>
      <c r="Q6180" t="str">
        <f t="shared" si="192"/>
        <v>25-34</v>
      </c>
      <c r="R6180" t="str">
        <f t="shared" si="193"/>
        <v>[lLDyBx5XyUi]|25-34|Female|NEW_INFECTIONS_SUBNAT.T|CY2024Q3</v>
      </c>
    </row>
    <row r="6181" spans="4:18" x14ac:dyDescent="0.2">
      <c r="D6181" t="s">
        <v>74</v>
      </c>
      <c r="E6181" t="s">
        <v>75</v>
      </c>
      <c r="F6181" t="s">
        <v>76</v>
      </c>
      <c r="G6181" t="s">
        <v>169</v>
      </c>
      <c r="H6181" t="s">
        <v>169</v>
      </c>
      <c r="I6181" t="s">
        <v>42</v>
      </c>
      <c r="J6181" t="s">
        <v>43</v>
      </c>
      <c r="K6181" t="s">
        <v>29</v>
      </c>
      <c r="L6181" t="s">
        <v>30</v>
      </c>
      <c r="M6181" t="s">
        <v>166</v>
      </c>
      <c r="N6181">
        <v>1475</v>
      </c>
      <c r="O6181" s="14">
        <v>0.67223026626743398</v>
      </c>
      <c r="P6181" s="14">
        <v>0.30305550759658201</v>
      </c>
      <c r="Q6181" t="str">
        <f t="shared" si="192"/>
        <v>35-49</v>
      </c>
      <c r="R6181" t="str">
        <f t="shared" si="193"/>
        <v>[lLDyBx5XyUi]|35-49|Female|NEW_INFECTIONS_SUBNAT.T|CY2024Q3</v>
      </c>
    </row>
    <row r="6182" spans="4:18" x14ac:dyDescent="0.2">
      <c r="D6182" t="s">
        <v>74</v>
      </c>
      <c r="E6182" t="s">
        <v>75</v>
      </c>
      <c r="F6182" t="s">
        <v>76</v>
      </c>
      <c r="G6182" t="s">
        <v>169</v>
      </c>
      <c r="H6182" t="s">
        <v>169</v>
      </c>
      <c r="I6182" t="s">
        <v>44</v>
      </c>
      <c r="J6182" t="s">
        <v>45</v>
      </c>
      <c r="K6182" t="s">
        <v>29</v>
      </c>
      <c r="L6182" t="s">
        <v>30</v>
      </c>
      <c r="M6182" t="s">
        <v>166</v>
      </c>
      <c r="N6182">
        <v>889</v>
      </c>
      <c r="O6182" s="14">
        <v>0.548509217565879</v>
      </c>
      <c r="P6182" s="14">
        <v>0.30305550759658201</v>
      </c>
      <c r="Q6182" t="str">
        <f t="shared" si="192"/>
        <v>50+</v>
      </c>
      <c r="R6182" t="str">
        <f t="shared" si="193"/>
        <v>[lLDyBx5XyUi]|50+|Female|NEW_INFECTIONS_SUBNAT.T|CY2024Q3</v>
      </c>
    </row>
    <row r="6183" spans="4:18" x14ac:dyDescent="0.2">
      <c r="D6183" t="s">
        <v>74</v>
      </c>
      <c r="E6183" t="s">
        <v>75</v>
      </c>
      <c r="F6183" t="s">
        <v>76</v>
      </c>
      <c r="G6183" t="s">
        <v>169</v>
      </c>
      <c r="H6183" t="s">
        <v>169</v>
      </c>
      <c r="I6183" t="s">
        <v>27</v>
      </c>
      <c r="J6183" t="s">
        <v>28</v>
      </c>
      <c r="K6183" t="s">
        <v>47</v>
      </c>
      <c r="L6183" t="s">
        <v>48</v>
      </c>
      <c r="M6183" t="s">
        <v>166</v>
      </c>
      <c r="N6183">
        <v>624</v>
      </c>
      <c r="O6183" s="14">
        <v>0.98426021286286403</v>
      </c>
      <c r="P6183" s="14">
        <v>0.30305550759658201</v>
      </c>
      <c r="Q6183" t="str">
        <f t="shared" si="192"/>
        <v>&lt;01</v>
      </c>
      <c r="R6183" t="str">
        <f t="shared" si="193"/>
        <v>[lLDyBx5XyUi]|&lt;01|Male|NEW_INFECTIONS_SUBNAT.T|CY2024Q3</v>
      </c>
    </row>
    <row r="6184" spans="4:18" x14ac:dyDescent="0.2">
      <c r="D6184" t="s">
        <v>74</v>
      </c>
      <c r="E6184" t="s">
        <v>75</v>
      </c>
      <c r="F6184" t="s">
        <v>76</v>
      </c>
      <c r="G6184" t="s">
        <v>169</v>
      </c>
      <c r="H6184" t="s">
        <v>169</v>
      </c>
      <c r="I6184" t="s">
        <v>32</v>
      </c>
      <c r="J6184" t="s">
        <v>33</v>
      </c>
      <c r="K6184" t="s">
        <v>47</v>
      </c>
      <c r="L6184" t="s">
        <v>48</v>
      </c>
      <c r="M6184" t="s">
        <v>166</v>
      </c>
      <c r="N6184">
        <v>1882</v>
      </c>
      <c r="O6184" s="14">
        <v>0.561657878104597</v>
      </c>
      <c r="P6184" s="14">
        <v>0.30305550759658201</v>
      </c>
      <c r="Q6184" t="str">
        <f t="shared" si="192"/>
        <v>01-09</v>
      </c>
      <c r="R6184" t="str">
        <f t="shared" si="193"/>
        <v>[lLDyBx5XyUi]|01-09|Male|NEW_INFECTIONS_SUBNAT.T|CY2024Q3</v>
      </c>
    </row>
    <row r="6185" spans="4:18" x14ac:dyDescent="0.2">
      <c r="D6185" t="s">
        <v>74</v>
      </c>
      <c r="E6185" t="s">
        <v>75</v>
      </c>
      <c r="F6185" t="s">
        <v>76</v>
      </c>
      <c r="G6185" t="s">
        <v>169</v>
      </c>
      <c r="H6185" t="s">
        <v>169</v>
      </c>
      <c r="I6185" t="s">
        <v>35</v>
      </c>
      <c r="J6185" t="s">
        <v>36</v>
      </c>
      <c r="K6185" t="s">
        <v>47</v>
      </c>
      <c r="L6185" t="s">
        <v>48</v>
      </c>
      <c r="M6185" t="s">
        <v>166</v>
      </c>
      <c r="N6185">
        <v>1064</v>
      </c>
      <c r="O6185" s="14">
        <v>0.14914794382639199</v>
      </c>
      <c r="P6185" s="14">
        <v>0.30305550759658201</v>
      </c>
      <c r="Q6185" t="str">
        <f t="shared" si="192"/>
        <v>10-14</v>
      </c>
      <c r="R6185" t="str">
        <f t="shared" si="193"/>
        <v>[lLDyBx5XyUi]|10-14|Male|NEW_INFECTIONS_SUBNAT.T|CY2024Q3</v>
      </c>
    </row>
    <row r="6186" spans="4:18" x14ac:dyDescent="0.2">
      <c r="D6186" t="s">
        <v>74</v>
      </c>
      <c r="E6186" t="s">
        <v>75</v>
      </c>
      <c r="F6186" t="s">
        <v>76</v>
      </c>
      <c r="G6186" t="s">
        <v>169</v>
      </c>
      <c r="H6186" t="s">
        <v>169</v>
      </c>
      <c r="I6186" t="s">
        <v>37</v>
      </c>
      <c r="J6186" t="s">
        <v>38</v>
      </c>
      <c r="K6186" t="s">
        <v>47</v>
      </c>
      <c r="L6186" t="s">
        <v>48</v>
      </c>
      <c r="M6186" t="s">
        <v>166</v>
      </c>
      <c r="N6186">
        <v>674</v>
      </c>
      <c r="O6186" s="14">
        <v>0.20528681925497899</v>
      </c>
      <c r="P6186" s="14">
        <v>0.30305550759658201</v>
      </c>
      <c r="Q6186" t="str">
        <f t="shared" si="192"/>
        <v>15-24</v>
      </c>
      <c r="R6186" t="str">
        <f t="shared" si="193"/>
        <v>[lLDyBx5XyUi]|15-24|Male|NEW_INFECTIONS_SUBNAT.T|CY2024Q3</v>
      </c>
    </row>
    <row r="6187" spans="4:18" x14ac:dyDescent="0.2">
      <c r="D6187" t="s">
        <v>74</v>
      </c>
      <c r="E6187" t="s">
        <v>75</v>
      </c>
      <c r="F6187" t="s">
        <v>76</v>
      </c>
      <c r="G6187" t="s">
        <v>169</v>
      </c>
      <c r="H6187" t="s">
        <v>169</v>
      </c>
      <c r="I6187" t="s">
        <v>40</v>
      </c>
      <c r="J6187" t="s">
        <v>41</v>
      </c>
      <c r="K6187" t="s">
        <v>47</v>
      </c>
      <c r="L6187" t="s">
        <v>48</v>
      </c>
      <c r="M6187" t="s">
        <v>166</v>
      </c>
      <c r="N6187">
        <v>1899</v>
      </c>
      <c r="O6187" s="14">
        <v>0.78924796800129104</v>
      </c>
      <c r="P6187" s="14">
        <v>0.30305550759658201</v>
      </c>
      <c r="Q6187" t="str">
        <f t="shared" si="192"/>
        <v>25-34</v>
      </c>
      <c r="R6187" t="str">
        <f t="shared" si="193"/>
        <v>[lLDyBx5XyUi]|25-34|Male|NEW_INFECTIONS_SUBNAT.T|CY2024Q3</v>
      </c>
    </row>
    <row r="6188" spans="4:18" x14ac:dyDescent="0.2">
      <c r="D6188" t="s">
        <v>74</v>
      </c>
      <c r="E6188" t="s">
        <v>75</v>
      </c>
      <c r="F6188" t="s">
        <v>76</v>
      </c>
      <c r="G6188" t="s">
        <v>169</v>
      </c>
      <c r="H6188" t="s">
        <v>169</v>
      </c>
      <c r="I6188" t="s">
        <v>42</v>
      </c>
      <c r="J6188" t="s">
        <v>43</v>
      </c>
      <c r="K6188" t="s">
        <v>47</v>
      </c>
      <c r="L6188" t="s">
        <v>48</v>
      </c>
      <c r="M6188" t="s">
        <v>166</v>
      </c>
      <c r="N6188">
        <v>1773</v>
      </c>
      <c r="O6188" s="14">
        <v>0.69217427424155198</v>
      </c>
      <c r="P6188" s="14">
        <v>0.30305550759658201</v>
      </c>
      <c r="Q6188" t="str">
        <f t="shared" si="192"/>
        <v>35-49</v>
      </c>
      <c r="R6188" t="str">
        <f t="shared" si="193"/>
        <v>[lLDyBx5XyUi]|35-49|Male|NEW_INFECTIONS_SUBNAT.T|CY2024Q3</v>
      </c>
    </row>
    <row r="6189" spans="4:18" x14ac:dyDescent="0.2">
      <c r="D6189" t="s">
        <v>74</v>
      </c>
      <c r="E6189" t="s">
        <v>75</v>
      </c>
      <c r="F6189" t="s">
        <v>76</v>
      </c>
      <c r="G6189" t="s">
        <v>169</v>
      </c>
      <c r="H6189" t="s">
        <v>169</v>
      </c>
      <c r="I6189" t="s">
        <v>44</v>
      </c>
      <c r="J6189" t="s">
        <v>45</v>
      </c>
      <c r="K6189" t="s">
        <v>47</v>
      </c>
      <c r="L6189" t="s">
        <v>48</v>
      </c>
      <c r="M6189" t="s">
        <v>166</v>
      </c>
      <c r="N6189">
        <v>1114</v>
      </c>
      <c r="O6189" s="14">
        <v>0.71899455669335999</v>
      </c>
      <c r="P6189" s="14">
        <v>0.30305550759658201</v>
      </c>
      <c r="Q6189" t="str">
        <f t="shared" si="192"/>
        <v>50+</v>
      </c>
      <c r="R6189" t="str">
        <f t="shared" si="193"/>
        <v>[lLDyBx5XyUi]|50+|Male|NEW_INFECTIONS_SUBNAT.T|CY2024Q3</v>
      </c>
    </row>
    <row r="6190" spans="4:18" x14ac:dyDescent="0.2">
      <c r="D6190" t="s">
        <v>77</v>
      </c>
      <c r="E6190" t="s">
        <v>78</v>
      </c>
      <c r="F6190" t="s">
        <v>79</v>
      </c>
      <c r="G6190" t="s">
        <v>169</v>
      </c>
      <c r="H6190" t="s">
        <v>169</v>
      </c>
      <c r="I6190" t="s">
        <v>27</v>
      </c>
      <c r="J6190" t="s">
        <v>28</v>
      </c>
      <c r="K6190" t="s">
        <v>29</v>
      </c>
      <c r="L6190" t="s">
        <v>30</v>
      </c>
      <c r="M6190" t="s">
        <v>166</v>
      </c>
      <c r="N6190">
        <v>512</v>
      </c>
      <c r="O6190" s="14">
        <v>0.105294120963663</v>
      </c>
      <c r="P6190" s="14">
        <v>0.83159798220731296</v>
      </c>
      <c r="Q6190" t="str">
        <f t="shared" si="192"/>
        <v>&lt;01</v>
      </c>
      <c r="R6190" t="str">
        <f t="shared" si="193"/>
        <v>[TYnMSwzko3z]|&lt;01|Female|NEW_INFECTIONS_SUBNAT.T|CY2024Q3</v>
      </c>
    </row>
    <row r="6191" spans="4:18" x14ac:dyDescent="0.2">
      <c r="D6191" t="s">
        <v>77</v>
      </c>
      <c r="E6191" t="s">
        <v>78</v>
      </c>
      <c r="F6191" t="s">
        <v>79</v>
      </c>
      <c r="G6191" t="s">
        <v>169</v>
      </c>
      <c r="H6191" t="s">
        <v>169</v>
      </c>
      <c r="I6191" t="s">
        <v>32</v>
      </c>
      <c r="J6191" t="s">
        <v>33</v>
      </c>
      <c r="K6191" t="s">
        <v>29</v>
      </c>
      <c r="L6191" t="s">
        <v>30</v>
      </c>
      <c r="M6191" t="s">
        <v>166</v>
      </c>
      <c r="N6191">
        <v>887</v>
      </c>
      <c r="O6191" s="14">
        <v>0.94266340415924799</v>
      </c>
      <c r="P6191" s="14">
        <v>0.83159798220731296</v>
      </c>
      <c r="Q6191" t="str">
        <f t="shared" si="192"/>
        <v>01-09</v>
      </c>
      <c r="R6191" t="str">
        <f t="shared" si="193"/>
        <v>[TYnMSwzko3z]|01-09|Female|NEW_INFECTIONS_SUBNAT.T|CY2024Q3</v>
      </c>
    </row>
    <row r="6192" spans="4:18" x14ac:dyDescent="0.2">
      <c r="D6192" t="s">
        <v>77</v>
      </c>
      <c r="E6192" t="s">
        <v>78</v>
      </c>
      <c r="F6192" t="s">
        <v>79</v>
      </c>
      <c r="G6192" t="s">
        <v>169</v>
      </c>
      <c r="H6192" t="s">
        <v>169</v>
      </c>
      <c r="I6192" t="s">
        <v>35</v>
      </c>
      <c r="J6192" t="s">
        <v>36</v>
      </c>
      <c r="K6192" t="s">
        <v>29</v>
      </c>
      <c r="L6192" t="s">
        <v>30</v>
      </c>
      <c r="M6192" t="s">
        <v>166</v>
      </c>
      <c r="N6192">
        <v>1480</v>
      </c>
      <c r="O6192" s="14">
        <v>0.47943180706352001</v>
      </c>
      <c r="P6192" s="14">
        <v>0.83159798220731296</v>
      </c>
      <c r="Q6192" t="str">
        <f t="shared" si="192"/>
        <v>10-14</v>
      </c>
      <c r="R6192" t="str">
        <f t="shared" si="193"/>
        <v>[TYnMSwzko3z]|10-14|Female|NEW_INFECTIONS_SUBNAT.T|CY2024Q3</v>
      </c>
    </row>
    <row r="6193" spans="4:18" x14ac:dyDescent="0.2">
      <c r="D6193" t="s">
        <v>77</v>
      </c>
      <c r="E6193" t="s">
        <v>78</v>
      </c>
      <c r="F6193" t="s">
        <v>79</v>
      </c>
      <c r="G6193" t="s">
        <v>169</v>
      </c>
      <c r="H6193" t="s">
        <v>169</v>
      </c>
      <c r="I6193" t="s">
        <v>37</v>
      </c>
      <c r="J6193" t="s">
        <v>38</v>
      </c>
      <c r="K6193" t="s">
        <v>29</v>
      </c>
      <c r="L6193" t="s">
        <v>30</v>
      </c>
      <c r="M6193" t="s">
        <v>166</v>
      </c>
      <c r="N6193">
        <v>1290</v>
      </c>
      <c r="O6193" s="14">
        <v>0.87951476965099595</v>
      </c>
      <c r="P6193" s="14">
        <v>0.83159798220731296</v>
      </c>
      <c r="Q6193" t="str">
        <f t="shared" si="192"/>
        <v>15-24</v>
      </c>
      <c r="R6193" t="str">
        <f t="shared" si="193"/>
        <v>[TYnMSwzko3z]|15-24|Female|NEW_INFECTIONS_SUBNAT.T|CY2024Q3</v>
      </c>
    </row>
    <row r="6194" spans="4:18" x14ac:dyDescent="0.2">
      <c r="D6194" t="s">
        <v>77</v>
      </c>
      <c r="E6194" t="s">
        <v>78</v>
      </c>
      <c r="F6194" t="s">
        <v>79</v>
      </c>
      <c r="G6194" t="s">
        <v>169</v>
      </c>
      <c r="H6194" t="s">
        <v>169</v>
      </c>
      <c r="I6194" t="s">
        <v>40</v>
      </c>
      <c r="J6194" t="s">
        <v>41</v>
      </c>
      <c r="K6194" t="s">
        <v>29</v>
      </c>
      <c r="L6194" t="s">
        <v>30</v>
      </c>
      <c r="M6194" t="s">
        <v>166</v>
      </c>
      <c r="N6194">
        <v>567</v>
      </c>
      <c r="O6194" s="14">
        <v>0.81829844298772503</v>
      </c>
      <c r="P6194" s="14">
        <v>0.83159798220731296</v>
      </c>
      <c r="Q6194" t="str">
        <f t="shared" si="192"/>
        <v>25-34</v>
      </c>
      <c r="R6194" t="str">
        <f t="shared" si="193"/>
        <v>[TYnMSwzko3z]|25-34|Female|NEW_INFECTIONS_SUBNAT.T|CY2024Q3</v>
      </c>
    </row>
    <row r="6195" spans="4:18" x14ac:dyDescent="0.2">
      <c r="D6195" t="s">
        <v>77</v>
      </c>
      <c r="E6195" t="s">
        <v>78</v>
      </c>
      <c r="F6195" t="s">
        <v>79</v>
      </c>
      <c r="G6195" t="s">
        <v>169</v>
      </c>
      <c r="H6195" t="s">
        <v>169</v>
      </c>
      <c r="I6195" t="s">
        <v>42</v>
      </c>
      <c r="J6195" t="s">
        <v>43</v>
      </c>
      <c r="K6195" t="s">
        <v>29</v>
      </c>
      <c r="L6195" t="s">
        <v>30</v>
      </c>
      <c r="M6195" t="s">
        <v>166</v>
      </c>
      <c r="N6195">
        <v>1891</v>
      </c>
      <c r="O6195" s="14">
        <v>0.64326373371295598</v>
      </c>
      <c r="P6195" s="14">
        <v>0.83159798220731296</v>
      </c>
      <c r="Q6195" t="str">
        <f t="shared" si="192"/>
        <v>35-49</v>
      </c>
      <c r="R6195" t="str">
        <f t="shared" si="193"/>
        <v>[TYnMSwzko3z]|35-49|Female|NEW_INFECTIONS_SUBNAT.T|CY2024Q3</v>
      </c>
    </row>
    <row r="6196" spans="4:18" x14ac:dyDescent="0.2">
      <c r="D6196" t="s">
        <v>77</v>
      </c>
      <c r="E6196" t="s">
        <v>78</v>
      </c>
      <c r="F6196" t="s">
        <v>79</v>
      </c>
      <c r="G6196" t="s">
        <v>169</v>
      </c>
      <c r="H6196" t="s">
        <v>169</v>
      </c>
      <c r="I6196" t="s">
        <v>44</v>
      </c>
      <c r="J6196" t="s">
        <v>45</v>
      </c>
      <c r="K6196" t="s">
        <v>29</v>
      </c>
      <c r="L6196" t="s">
        <v>30</v>
      </c>
      <c r="M6196" t="s">
        <v>166</v>
      </c>
      <c r="N6196">
        <v>1975</v>
      </c>
      <c r="O6196" s="14">
        <v>0.72435713186860096</v>
      </c>
      <c r="P6196" s="14">
        <v>0.83159798220731296</v>
      </c>
      <c r="Q6196" t="str">
        <f t="shared" si="192"/>
        <v>50+</v>
      </c>
      <c r="R6196" t="str">
        <f t="shared" si="193"/>
        <v>[TYnMSwzko3z]|50+|Female|NEW_INFECTIONS_SUBNAT.T|CY2024Q3</v>
      </c>
    </row>
    <row r="6197" spans="4:18" x14ac:dyDescent="0.2">
      <c r="D6197" t="s">
        <v>77</v>
      </c>
      <c r="E6197" t="s">
        <v>78</v>
      </c>
      <c r="F6197" t="s">
        <v>79</v>
      </c>
      <c r="G6197" t="s">
        <v>169</v>
      </c>
      <c r="H6197" t="s">
        <v>169</v>
      </c>
      <c r="I6197" t="s">
        <v>27</v>
      </c>
      <c r="J6197" t="s">
        <v>28</v>
      </c>
      <c r="K6197" t="s">
        <v>47</v>
      </c>
      <c r="L6197" t="s">
        <v>48</v>
      </c>
      <c r="M6197" t="s">
        <v>166</v>
      </c>
      <c r="N6197">
        <v>1916</v>
      </c>
      <c r="O6197" s="14">
        <v>0.56652434123679996</v>
      </c>
      <c r="P6197" s="14">
        <v>0.83159798220731296</v>
      </c>
      <c r="Q6197" t="str">
        <f t="shared" si="192"/>
        <v>&lt;01</v>
      </c>
      <c r="R6197" t="str">
        <f t="shared" si="193"/>
        <v>[TYnMSwzko3z]|&lt;01|Male|NEW_INFECTIONS_SUBNAT.T|CY2024Q3</v>
      </c>
    </row>
    <row r="6198" spans="4:18" x14ac:dyDescent="0.2">
      <c r="D6198" t="s">
        <v>77</v>
      </c>
      <c r="E6198" t="s">
        <v>78</v>
      </c>
      <c r="F6198" t="s">
        <v>79</v>
      </c>
      <c r="G6198" t="s">
        <v>169</v>
      </c>
      <c r="H6198" t="s">
        <v>169</v>
      </c>
      <c r="I6198" t="s">
        <v>32</v>
      </c>
      <c r="J6198" t="s">
        <v>33</v>
      </c>
      <c r="K6198" t="s">
        <v>47</v>
      </c>
      <c r="L6198" t="s">
        <v>48</v>
      </c>
      <c r="M6198" t="s">
        <v>166</v>
      </c>
      <c r="N6198">
        <v>1525</v>
      </c>
      <c r="O6198" s="14">
        <v>0.22221173858269999</v>
      </c>
      <c r="P6198" s="14">
        <v>0.83159798220731296</v>
      </c>
      <c r="Q6198" t="str">
        <f t="shared" si="192"/>
        <v>01-09</v>
      </c>
      <c r="R6198" t="str">
        <f t="shared" si="193"/>
        <v>[TYnMSwzko3z]|01-09|Male|NEW_INFECTIONS_SUBNAT.T|CY2024Q3</v>
      </c>
    </row>
    <row r="6199" spans="4:18" x14ac:dyDescent="0.2">
      <c r="D6199" t="s">
        <v>77</v>
      </c>
      <c r="E6199" t="s">
        <v>78</v>
      </c>
      <c r="F6199" t="s">
        <v>79</v>
      </c>
      <c r="G6199" t="s">
        <v>169</v>
      </c>
      <c r="H6199" t="s">
        <v>169</v>
      </c>
      <c r="I6199" t="s">
        <v>35</v>
      </c>
      <c r="J6199" t="s">
        <v>36</v>
      </c>
      <c r="K6199" t="s">
        <v>47</v>
      </c>
      <c r="L6199" t="s">
        <v>48</v>
      </c>
      <c r="M6199" t="s">
        <v>166</v>
      </c>
      <c r="N6199">
        <v>1180</v>
      </c>
      <c r="O6199" s="14">
        <v>0.55216475669294596</v>
      </c>
      <c r="P6199" s="14">
        <v>0.83159798220731296</v>
      </c>
      <c r="Q6199" t="str">
        <f t="shared" si="192"/>
        <v>10-14</v>
      </c>
      <c r="R6199" t="str">
        <f t="shared" si="193"/>
        <v>[TYnMSwzko3z]|10-14|Male|NEW_INFECTIONS_SUBNAT.T|CY2024Q3</v>
      </c>
    </row>
    <row r="6200" spans="4:18" x14ac:dyDescent="0.2">
      <c r="D6200" t="s">
        <v>77</v>
      </c>
      <c r="E6200" t="s">
        <v>78</v>
      </c>
      <c r="F6200" t="s">
        <v>79</v>
      </c>
      <c r="G6200" t="s">
        <v>169</v>
      </c>
      <c r="H6200" t="s">
        <v>169</v>
      </c>
      <c r="I6200" t="s">
        <v>37</v>
      </c>
      <c r="J6200" t="s">
        <v>38</v>
      </c>
      <c r="K6200" t="s">
        <v>47</v>
      </c>
      <c r="L6200" t="s">
        <v>48</v>
      </c>
      <c r="M6200" t="s">
        <v>166</v>
      </c>
      <c r="N6200">
        <v>910</v>
      </c>
      <c r="O6200" s="14">
        <v>0.95274082524701997</v>
      </c>
      <c r="P6200" s="14">
        <v>0.83159798220731296</v>
      </c>
      <c r="Q6200" t="str">
        <f t="shared" si="192"/>
        <v>15-24</v>
      </c>
      <c r="R6200" t="str">
        <f t="shared" si="193"/>
        <v>[TYnMSwzko3z]|15-24|Male|NEW_INFECTIONS_SUBNAT.T|CY2024Q3</v>
      </c>
    </row>
    <row r="6201" spans="4:18" x14ac:dyDescent="0.2">
      <c r="D6201" t="s">
        <v>77</v>
      </c>
      <c r="E6201" t="s">
        <v>78</v>
      </c>
      <c r="F6201" t="s">
        <v>79</v>
      </c>
      <c r="G6201" t="s">
        <v>169</v>
      </c>
      <c r="H6201" t="s">
        <v>169</v>
      </c>
      <c r="I6201" t="s">
        <v>40</v>
      </c>
      <c r="J6201" t="s">
        <v>41</v>
      </c>
      <c r="K6201" t="s">
        <v>47</v>
      </c>
      <c r="L6201" t="s">
        <v>48</v>
      </c>
      <c r="M6201" t="s">
        <v>166</v>
      </c>
      <c r="N6201">
        <v>1435</v>
      </c>
      <c r="O6201" s="14">
        <v>0.28606579266488602</v>
      </c>
      <c r="P6201" s="14">
        <v>0.83159798220731296</v>
      </c>
      <c r="Q6201" t="str">
        <f t="shared" si="192"/>
        <v>25-34</v>
      </c>
      <c r="R6201" t="str">
        <f t="shared" si="193"/>
        <v>[TYnMSwzko3z]|25-34|Male|NEW_INFECTIONS_SUBNAT.T|CY2024Q3</v>
      </c>
    </row>
    <row r="6202" spans="4:18" x14ac:dyDescent="0.2">
      <c r="D6202" t="s">
        <v>77</v>
      </c>
      <c r="E6202" t="s">
        <v>78</v>
      </c>
      <c r="F6202" t="s">
        <v>79</v>
      </c>
      <c r="G6202" t="s">
        <v>169</v>
      </c>
      <c r="H6202" t="s">
        <v>169</v>
      </c>
      <c r="I6202" t="s">
        <v>42</v>
      </c>
      <c r="J6202" t="s">
        <v>43</v>
      </c>
      <c r="K6202" t="s">
        <v>47</v>
      </c>
      <c r="L6202" t="s">
        <v>48</v>
      </c>
      <c r="M6202" t="s">
        <v>166</v>
      </c>
      <c r="N6202">
        <v>1570</v>
      </c>
      <c r="O6202" s="14">
        <v>0.92540855519473597</v>
      </c>
      <c r="P6202" s="14">
        <v>0.83159798220731296</v>
      </c>
      <c r="Q6202" t="str">
        <f t="shared" si="192"/>
        <v>35-49</v>
      </c>
      <c r="R6202" t="str">
        <f t="shared" si="193"/>
        <v>[TYnMSwzko3z]|35-49|Male|NEW_INFECTIONS_SUBNAT.T|CY2024Q3</v>
      </c>
    </row>
    <row r="6203" spans="4:18" x14ac:dyDescent="0.2">
      <c r="D6203" t="s">
        <v>77</v>
      </c>
      <c r="E6203" t="s">
        <v>78</v>
      </c>
      <c r="F6203" t="s">
        <v>79</v>
      </c>
      <c r="G6203" t="s">
        <v>169</v>
      </c>
      <c r="H6203" t="s">
        <v>169</v>
      </c>
      <c r="I6203" t="s">
        <v>44</v>
      </c>
      <c r="J6203" t="s">
        <v>45</v>
      </c>
      <c r="K6203" t="s">
        <v>47</v>
      </c>
      <c r="L6203" t="s">
        <v>48</v>
      </c>
      <c r="M6203" t="s">
        <v>166</v>
      </c>
      <c r="N6203">
        <v>1161</v>
      </c>
      <c r="O6203" s="14">
        <v>0.82369601819664195</v>
      </c>
      <c r="P6203" s="14">
        <v>0.83159798220731296</v>
      </c>
      <c r="Q6203" t="str">
        <f t="shared" si="192"/>
        <v>50+</v>
      </c>
      <c r="R6203" t="str">
        <f t="shared" si="193"/>
        <v>[TYnMSwzko3z]|50+|Male|NEW_INFECTIONS_SUBNAT.T|CY2024Q3</v>
      </c>
    </row>
    <row r="6204" spans="4:18" x14ac:dyDescent="0.2">
      <c r="D6204" t="s">
        <v>80</v>
      </c>
      <c r="E6204" t="s">
        <v>81</v>
      </c>
      <c r="F6204" t="s">
        <v>82</v>
      </c>
      <c r="G6204" t="s">
        <v>169</v>
      </c>
      <c r="H6204" t="s">
        <v>169</v>
      </c>
      <c r="I6204" t="s">
        <v>27</v>
      </c>
      <c r="J6204" t="s">
        <v>28</v>
      </c>
      <c r="K6204" t="s">
        <v>29</v>
      </c>
      <c r="L6204" t="s">
        <v>30</v>
      </c>
      <c r="M6204" t="s">
        <v>166</v>
      </c>
      <c r="N6204">
        <v>1231</v>
      </c>
      <c r="O6204" s="14">
        <v>0.36396960541605899</v>
      </c>
      <c r="P6204" s="14">
        <v>0.14333142153918699</v>
      </c>
      <c r="Q6204" t="str">
        <f t="shared" si="192"/>
        <v>&lt;01</v>
      </c>
      <c r="R6204" t="str">
        <f t="shared" si="193"/>
        <v>[ir8wuHHzoSs]|&lt;01|Female|NEW_INFECTIONS_SUBNAT.T|CY2024Q3</v>
      </c>
    </row>
    <row r="6205" spans="4:18" x14ac:dyDescent="0.2">
      <c r="D6205" t="s">
        <v>80</v>
      </c>
      <c r="E6205" t="s">
        <v>81</v>
      </c>
      <c r="F6205" t="s">
        <v>82</v>
      </c>
      <c r="G6205" t="s">
        <v>169</v>
      </c>
      <c r="H6205" t="s">
        <v>169</v>
      </c>
      <c r="I6205" t="s">
        <v>32</v>
      </c>
      <c r="J6205" t="s">
        <v>33</v>
      </c>
      <c r="K6205" t="s">
        <v>29</v>
      </c>
      <c r="L6205" t="s">
        <v>30</v>
      </c>
      <c r="M6205" t="s">
        <v>166</v>
      </c>
      <c r="N6205">
        <v>1363</v>
      </c>
      <c r="O6205" s="14">
        <v>0.43775399541482302</v>
      </c>
      <c r="P6205" s="14">
        <v>0.14333142153918699</v>
      </c>
      <c r="Q6205" t="str">
        <f t="shared" si="192"/>
        <v>01-09</v>
      </c>
      <c r="R6205" t="str">
        <f t="shared" si="193"/>
        <v>[ir8wuHHzoSs]|01-09|Female|NEW_INFECTIONS_SUBNAT.T|CY2024Q3</v>
      </c>
    </row>
    <row r="6206" spans="4:18" x14ac:dyDescent="0.2">
      <c r="D6206" t="s">
        <v>80</v>
      </c>
      <c r="E6206" t="s">
        <v>81</v>
      </c>
      <c r="F6206" t="s">
        <v>82</v>
      </c>
      <c r="G6206" t="s">
        <v>169</v>
      </c>
      <c r="H6206" t="s">
        <v>169</v>
      </c>
      <c r="I6206" t="s">
        <v>35</v>
      </c>
      <c r="J6206" t="s">
        <v>36</v>
      </c>
      <c r="K6206" t="s">
        <v>29</v>
      </c>
      <c r="L6206" t="s">
        <v>30</v>
      </c>
      <c r="M6206" t="s">
        <v>166</v>
      </c>
      <c r="N6206">
        <v>743</v>
      </c>
      <c r="O6206" s="14">
        <v>0.34665554529055997</v>
      </c>
      <c r="P6206" s="14">
        <v>0.14333142153918699</v>
      </c>
      <c r="Q6206" t="str">
        <f t="shared" si="192"/>
        <v>10-14</v>
      </c>
      <c r="R6206" t="str">
        <f t="shared" si="193"/>
        <v>[ir8wuHHzoSs]|10-14|Female|NEW_INFECTIONS_SUBNAT.T|CY2024Q3</v>
      </c>
    </row>
    <row r="6207" spans="4:18" x14ac:dyDescent="0.2">
      <c r="D6207" t="s">
        <v>80</v>
      </c>
      <c r="E6207" t="s">
        <v>81</v>
      </c>
      <c r="F6207" t="s">
        <v>82</v>
      </c>
      <c r="G6207" t="s">
        <v>169</v>
      </c>
      <c r="H6207" t="s">
        <v>169</v>
      </c>
      <c r="I6207" t="s">
        <v>37</v>
      </c>
      <c r="J6207" t="s">
        <v>38</v>
      </c>
      <c r="K6207" t="s">
        <v>29</v>
      </c>
      <c r="L6207" t="s">
        <v>30</v>
      </c>
      <c r="M6207" t="s">
        <v>166</v>
      </c>
      <c r="N6207">
        <v>594</v>
      </c>
      <c r="O6207" s="14">
        <v>0.75796895800158404</v>
      </c>
      <c r="P6207" s="14">
        <v>0.14333142153918699</v>
      </c>
      <c r="Q6207" t="str">
        <f t="shared" si="192"/>
        <v>15-24</v>
      </c>
      <c r="R6207" t="str">
        <f t="shared" si="193"/>
        <v>[ir8wuHHzoSs]|15-24|Female|NEW_INFECTIONS_SUBNAT.T|CY2024Q3</v>
      </c>
    </row>
    <row r="6208" spans="4:18" x14ac:dyDescent="0.2">
      <c r="D6208" t="s">
        <v>80</v>
      </c>
      <c r="E6208" t="s">
        <v>81</v>
      </c>
      <c r="F6208" t="s">
        <v>82</v>
      </c>
      <c r="G6208" t="s">
        <v>169</v>
      </c>
      <c r="H6208" t="s">
        <v>169</v>
      </c>
      <c r="I6208" t="s">
        <v>40</v>
      </c>
      <c r="J6208" t="s">
        <v>41</v>
      </c>
      <c r="K6208" t="s">
        <v>29</v>
      </c>
      <c r="L6208" t="s">
        <v>30</v>
      </c>
      <c r="M6208" t="s">
        <v>166</v>
      </c>
      <c r="N6208">
        <v>1879</v>
      </c>
      <c r="O6208" s="14">
        <v>0.20026959688402701</v>
      </c>
      <c r="P6208" s="14">
        <v>0.14333142153918699</v>
      </c>
      <c r="Q6208" t="str">
        <f t="shared" si="192"/>
        <v>25-34</v>
      </c>
      <c r="R6208" t="str">
        <f t="shared" si="193"/>
        <v>[ir8wuHHzoSs]|25-34|Female|NEW_INFECTIONS_SUBNAT.T|CY2024Q3</v>
      </c>
    </row>
    <row r="6209" spans="4:18" x14ac:dyDescent="0.2">
      <c r="D6209" t="s">
        <v>80</v>
      </c>
      <c r="E6209" t="s">
        <v>81</v>
      </c>
      <c r="F6209" t="s">
        <v>82</v>
      </c>
      <c r="G6209" t="s">
        <v>169</v>
      </c>
      <c r="H6209" t="s">
        <v>169</v>
      </c>
      <c r="I6209" t="s">
        <v>42</v>
      </c>
      <c r="J6209" t="s">
        <v>43</v>
      </c>
      <c r="K6209" t="s">
        <v>29</v>
      </c>
      <c r="L6209" t="s">
        <v>30</v>
      </c>
      <c r="M6209" t="s">
        <v>166</v>
      </c>
      <c r="N6209">
        <v>644</v>
      </c>
      <c r="O6209" s="14">
        <v>0.22015087911859199</v>
      </c>
      <c r="P6209" s="14">
        <v>0.14333142153918699</v>
      </c>
      <c r="Q6209" t="str">
        <f t="shared" si="192"/>
        <v>35-49</v>
      </c>
      <c r="R6209" t="str">
        <f t="shared" si="193"/>
        <v>[ir8wuHHzoSs]|35-49|Female|NEW_INFECTIONS_SUBNAT.T|CY2024Q3</v>
      </c>
    </row>
    <row r="6210" spans="4:18" x14ac:dyDescent="0.2">
      <c r="D6210" t="s">
        <v>80</v>
      </c>
      <c r="E6210" t="s">
        <v>81</v>
      </c>
      <c r="F6210" t="s">
        <v>82</v>
      </c>
      <c r="G6210" t="s">
        <v>169</v>
      </c>
      <c r="H6210" t="s">
        <v>169</v>
      </c>
      <c r="I6210" t="s">
        <v>44</v>
      </c>
      <c r="J6210" t="s">
        <v>45</v>
      </c>
      <c r="K6210" t="s">
        <v>29</v>
      </c>
      <c r="L6210" t="s">
        <v>30</v>
      </c>
      <c r="M6210" t="s">
        <v>166</v>
      </c>
      <c r="N6210">
        <v>1239</v>
      </c>
      <c r="O6210" s="14">
        <v>0.40300157153978899</v>
      </c>
      <c r="P6210" s="14">
        <v>0.14333142153918699</v>
      </c>
      <c r="Q6210" t="str">
        <f t="shared" ref="Q6210:Q6273" si="194">SUBSTITUTE(SUBSTITUTE($I6210,CHAR(61),""),CHAR(34),"")</f>
        <v>50+</v>
      </c>
      <c r="R6210" t="str">
        <f t="shared" ref="R6210:R6273" si="195">IF($D6210&lt;&gt;"","["&amp;$E6210&amp;"]"&amp;"|"&amp;$Q6210&amp;"|"&amp;$K6210&amp;"|"&amp;$G6210&amp;"|"&amp;IF($G6210="TX_CURR_SUBNAT.R","CY2022Q4",$M6210),"")</f>
        <v>[ir8wuHHzoSs]|50+|Female|NEW_INFECTIONS_SUBNAT.T|CY2024Q3</v>
      </c>
    </row>
    <row r="6211" spans="4:18" x14ac:dyDescent="0.2">
      <c r="D6211" t="s">
        <v>80</v>
      </c>
      <c r="E6211" t="s">
        <v>81</v>
      </c>
      <c r="F6211" t="s">
        <v>82</v>
      </c>
      <c r="G6211" t="s">
        <v>169</v>
      </c>
      <c r="H6211" t="s">
        <v>169</v>
      </c>
      <c r="I6211" t="s">
        <v>27</v>
      </c>
      <c r="J6211" t="s">
        <v>28</v>
      </c>
      <c r="K6211" t="s">
        <v>47</v>
      </c>
      <c r="L6211" t="s">
        <v>48</v>
      </c>
      <c r="M6211" t="s">
        <v>166</v>
      </c>
      <c r="N6211">
        <v>1301</v>
      </c>
      <c r="O6211" s="14">
        <v>0.31322329840622798</v>
      </c>
      <c r="P6211" s="14">
        <v>0.14333142153918699</v>
      </c>
      <c r="Q6211" t="str">
        <f t="shared" si="194"/>
        <v>&lt;01</v>
      </c>
      <c r="R6211" t="str">
        <f t="shared" si="195"/>
        <v>[ir8wuHHzoSs]|&lt;01|Male|NEW_INFECTIONS_SUBNAT.T|CY2024Q3</v>
      </c>
    </row>
    <row r="6212" spans="4:18" x14ac:dyDescent="0.2">
      <c r="D6212" t="s">
        <v>80</v>
      </c>
      <c r="E6212" t="s">
        <v>81</v>
      </c>
      <c r="F6212" t="s">
        <v>82</v>
      </c>
      <c r="G6212" t="s">
        <v>169</v>
      </c>
      <c r="H6212" t="s">
        <v>169</v>
      </c>
      <c r="I6212" t="s">
        <v>32</v>
      </c>
      <c r="J6212" t="s">
        <v>33</v>
      </c>
      <c r="K6212" t="s">
        <v>47</v>
      </c>
      <c r="L6212" t="s">
        <v>48</v>
      </c>
      <c r="M6212" t="s">
        <v>166</v>
      </c>
      <c r="N6212">
        <v>1334</v>
      </c>
      <c r="O6212" s="14">
        <v>0.473095683148131</v>
      </c>
      <c r="P6212" s="14">
        <v>0.14333142153918699</v>
      </c>
      <c r="Q6212" t="str">
        <f t="shared" si="194"/>
        <v>01-09</v>
      </c>
      <c r="R6212" t="str">
        <f t="shared" si="195"/>
        <v>[ir8wuHHzoSs]|01-09|Male|NEW_INFECTIONS_SUBNAT.T|CY2024Q3</v>
      </c>
    </row>
    <row r="6213" spans="4:18" x14ac:dyDescent="0.2">
      <c r="D6213" t="s">
        <v>80</v>
      </c>
      <c r="E6213" t="s">
        <v>81</v>
      </c>
      <c r="F6213" t="s">
        <v>82</v>
      </c>
      <c r="G6213" t="s">
        <v>169</v>
      </c>
      <c r="H6213" t="s">
        <v>169</v>
      </c>
      <c r="I6213" t="s">
        <v>35</v>
      </c>
      <c r="J6213" t="s">
        <v>36</v>
      </c>
      <c r="K6213" t="s">
        <v>47</v>
      </c>
      <c r="L6213" t="s">
        <v>48</v>
      </c>
      <c r="M6213" t="s">
        <v>166</v>
      </c>
      <c r="N6213">
        <v>503</v>
      </c>
      <c r="O6213" s="14">
        <v>0.56524677132256296</v>
      </c>
      <c r="P6213" s="14">
        <v>0.14333142153918699</v>
      </c>
      <c r="Q6213" t="str">
        <f t="shared" si="194"/>
        <v>10-14</v>
      </c>
      <c r="R6213" t="str">
        <f t="shared" si="195"/>
        <v>[ir8wuHHzoSs]|10-14|Male|NEW_INFECTIONS_SUBNAT.T|CY2024Q3</v>
      </c>
    </row>
    <row r="6214" spans="4:18" x14ac:dyDescent="0.2">
      <c r="D6214" t="s">
        <v>80</v>
      </c>
      <c r="E6214" t="s">
        <v>81</v>
      </c>
      <c r="F6214" t="s">
        <v>82</v>
      </c>
      <c r="G6214" t="s">
        <v>169</v>
      </c>
      <c r="H6214" t="s">
        <v>169</v>
      </c>
      <c r="I6214" t="s">
        <v>37</v>
      </c>
      <c r="J6214" t="s">
        <v>38</v>
      </c>
      <c r="K6214" t="s">
        <v>47</v>
      </c>
      <c r="L6214" t="s">
        <v>48</v>
      </c>
      <c r="M6214" t="s">
        <v>166</v>
      </c>
      <c r="N6214">
        <v>826</v>
      </c>
      <c r="O6214" s="14">
        <v>0.22313110553659499</v>
      </c>
      <c r="P6214" s="14">
        <v>0.14333142153918699</v>
      </c>
      <c r="Q6214" t="str">
        <f t="shared" si="194"/>
        <v>15-24</v>
      </c>
      <c r="R6214" t="str">
        <f t="shared" si="195"/>
        <v>[ir8wuHHzoSs]|15-24|Male|NEW_INFECTIONS_SUBNAT.T|CY2024Q3</v>
      </c>
    </row>
    <row r="6215" spans="4:18" x14ac:dyDescent="0.2">
      <c r="D6215" t="s">
        <v>80</v>
      </c>
      <c r="E6215" t="s">
        <v>81</v>
      </c>
      <c r="F6215" t="s">
        <v>82</v>
      </c>
      <c r="G6215" t="s">
        <v>169</v>
      </c>
      <c r="H6215" t="s">
        <v>169</v>
      </c>
      <c r="I6215" t="s">
        <v>40</v>
      </c>
      <c r="J6215" t="s">
        <v>41</v>
      </c>
      <c r="K6215" t="s">
        <v>47</v>
      </c>
      <c r="L6215" t="s">
        <v>48</v>
      </c>
      <c r="M6215" t="s">
        <v>166</v>
      </c>
      <c r="N6215">
        <v>876</v>
      </c>
      <c r="O6215" s="14">
        <v>0.77365690609440196</v>
      </c>
      <c r="P6215" s="14">
        <v>0.14333142153918699</v>
      </c>
      <c r="Q6215" t="str">
        <f t="shared" si="194"/>
        <v>25-34</v>
      </c>
      <c r="R6215" t="str">
        <f t="shared" si="195"/>
        <v>[ir8wuHHzoSs]|25-34|Male|NEW_INFECTIONS_SUBNAT.T|CY2024Q3</v>
      </c>
    </row>
    <row r="6216" spans="4:18" x14ac:dyDescent="0.2">
      <c r="D6216" t="s">
        <v>80</v>
      </c>
      <c r="E6216" t="s">
        <v>81</v>
      </c>
      <c r="F6216" t="s">
        <v>82</v>
      </c>
      <c r="G6216" t="s">
        <v>169</v>
      </c>
      <c r="H6216" t="s">
        <v>169</v>
      </c>
      <c r="I6216" t="s">
        <v>42</v>
      </c>
      <c r="J6216" t="s">
        <v>43</v>
      </c>
      <c r="K6216" t="s">
        <v>47</v>
      </c>
      <c r="L6216" t="s">
        <v>48</v>
      </c>
      <c r="M6216" t="s">
        <v>166</v>
      </c>
      <c r="N6216">
        <v>1827</v>
      </c>
      <c r="O6216" s="14">
        <v>0.64813612285070099</v>
      </c>
      <c r="P6216" s="14">
        <v>0.14333142153918699</v>
      </c>
      <c r="Q6216" t="str">
        <f t="shared" si="194"/>
        <v>35-49</v>
      </c>
      <c r="R6216" t="str">
        <f t="shared" si="195"/>
        <v>[ir8wuHHzoSs]|35-49|Male|NEW_INFECTIONS_SUBNAT.T|CY2024Q3</v>
      </c>
    </row>
    <row r="6217" spans="4:18" x14ac:dyDescent="0.2">
      <c r="D6217" t="s">
        <v>80</v>
      </c>
      <c r="E6217" t="s">
        <v>81</v>
      </c>
      <c r="F6217" t="s">
        <v>82</v>
      </c>
      <c r="G6217" t="s">
        <v>169</v>
      </c>
      <c r="H6217" t="s">
        <v>169</v>
      </c>
      <c r="I6217" t="s">
        <v>44</v>
      </c>
      <c r="J6217" t="s">
        <v>45</v>
      </c>
      <c r="K6217" t="s">
        <v>47</v>
      </c>
      <c r="L6217" t="s">
        <v>48</v>
      </c>
      <c r="M6217" t="s">
        <v>166</v>
      </c>
      <c r="N6217">
        <v>703</v>
      </c>
      <c r="O6217" s="14">
        <v>3.1750004272908E-2</v>
      </c>
      <c r="P6217" s="14">
        <v>0.14333142153918699</v>
      </c>
      <c r="Q6217" t="str">
        <f t="shared" si="194"/>
        <v>50+</v>
      </c>
      <c r="R6217" t="str">
        <f t="shared" si="195"/>
        <v>[ir8wuHHzoSs]|50+|Male|NEW_INFECTIONS_SUBNAT.T|CY2024Q3</v>
      </c>
    </row>
    <row r="6218" spans="4:18" x14ac:dyDescent="0.2">
      <c r="D6218" t="s">
        <v>83</v>
      </c>
      <c r="E6218" t="s">
        <v>84</v>
      </c>
      <c r="F6218" t="s">
        <v>85</v>
      </c>
      <c r="G6218" t="s">
        <v>169</v>
      </c>
      <c r="H6218" t="s">
        <v>169</v>
      </c>
      <c r="I6218" t="s">
        <v>27</v>
      </c>
      <c r="J6218" t="s">
        <v>28</v>
      </c>
      <c r="K6218" t="s">
        <v>29</v>
      </c>
      <c r="L6218" t="s">
        <v>30</v>
      </c>
      <c r="M6218" t="s">
        <v>166</v>
      </c>
      <c r="N6218">
        <v>1979</v>
      </c>
      <c r="O6218" s="14">
        <v>0.57084812945686303</v>
      </c>
      <c r="P6218" s="14">
        <v>2.9788714367896301E-2</v>
      </c>
      <c r="Q6218" t="str">
        <f t="shared" si="194"/>
        <v>&lt;01</v>
      </c>
      <c r="R6218" t="str">
        <f t="shared" si="195"/>
        <v>[fyEoGEPERdI]|&lt;01|Female|NEW_INFECTIONS_SUBNAT.T|CY2024Q3</v>
      </c>
    </row>
    <row r="6219" spans="4:18" x14ac:dyDescent="0.2">
      <c r="D6219" t="s">
        <v>83</v>
      </c>
      <c r="E6219" t="s">
        <v>84</v>
      </c>
      <c r="F6219" t="s">
        <v>85</v>
      </c>
      <c r="G6219" t="s">
        <v>169</v>
      </c>
      <c r="H6219" t="s">
        <v>169</v>
      </c>
      <c r="I6219" t="s">
        <v>32</v>
      </c>
      <c r="J6219" t="s">
        <v>33</v>
      </c>
      <c r="K6219" t="s">
        <v>29</v>
      </c>
      <c r="L6219" t="s">
        <v>30</v>
      </c>
      <c r="M6219" t="s">
        <v>166</v>
      </c>
      <c r="N6219">
        <v>1479</v>
      </c>
      <c r="O6219" s="14">
        <v>0.69777619605884</v>
      </c>
      <c r="P6219" s="14">
        <v>2.9788714367896301E-2</v>
      </c>
      <c r="Q6219" t="str">
        <f t="shared" si="194"/>
        <v>01-09</v>
      </c>
      <c r="R6219" t="str">
        <f t="shared" si="195"/>
        <v>[fyEoGEPERdI]|01-09|Female|NEW_INFECTIONS_SUBNAT.T|CY2024Q3</v>
      </c>
    </row>
    <row r="6220" spans="4:18" x14ac:dyDescent="0.2">
      <c r="D6220" t="s">
        <v>83</v>
      </c>
      <c r="E6220" t="s">
        <v>84</v>
      </c>
      <c r="F6220" t="s">
        <v>85</v>
      </c>
      <c r="G6220" t="s">
        <v>169</v>
      </c>
      <c r="H6220" t="s">
        <v>169</v>
      </c>
      <c r="I6220" t="s">
        <v>35</v>
      </c>
      <c r="J6220" t="s">
        <v>36</v>
      </c>
      <c r="K6220" t="s">
        <v>29</v>
      </c>
      <c r="L6220" t="s">
        <v>30</v>
      </c>
      <c r="M6220" t="s">
        <v>166</v>
      </c>
      <c r="N6220">
        <v>1420</v>
      </c>
      <c r="O6220" s="14">
        <v>0.45468409801833298</v>
      </c>
      <c r="P6220" s="14">
        <v>2.9788714367896301E-2</v>
      </c>
      <c r="Q6220" t="str">
        <f t="shared" si="194"/>
        <v>10-14</v>
      </c>
      <c r="R6220" t="str">
        <f t="shared" si="195"/>
        <v>[fyEoGEPERdI]|10-14|Female|NEW_INFECTIONS_SUBNAT.T|CY2024Q3</v>
      </c>
    </row>
    <row r="6221" spans="4:18" x14ac:dyDescent="0.2">
      <c r="D6221" t="s">
        <v>83</v>
      </c>
      <c r="E6221" t="s">
        <v>84</v>
      </c>
      <c r="F6221" t="s">
        <v>85</v>
      </c>
      <c r="G6221" t="s">
        <v>169</v>
      </c>
      <c r="H6221" t="s">
        <v>169</v>
      </c>
      <c r="I6221" t="s">
        <v>37</v>
      </c>
      <c r="J6221" t="s">
        <v>38</v>
      </c>
      <c r="K6221" t="s">
        <v>29</v>
      </c>
      <c r="L6221" t="s">
        <v>30</v>
      </c>
      <c r="M6221" t="s">
        <v>166</v>
      </c>
      <c r="N6221">
        <v>1441</v>
      </c>
      <c r="O6221" s="14">
        <v>7.9774368787184399E-2</v>
      </c>
      <c r="P6221" s="14">
        <v>2.9788714367896301E-2</v>
      </c>
      <c r="Q6221" t="str">
        <f t="shared" si="194"/>
        <v>15-24</v>
      </c>
      <c r="R6221" t="str">
        <f t="shared" si="195"/>
        <v>[fyEoGEPERdI]|15-24|Female|NEW_INFECTIONS_SUBNAT.T|CY2024Q3</v>
      </c>
    </row>
    <row r="6222" spans="4:18" x14ac:dyDescent="0.2">
      <c r="D6222" t="s">
        <v>83</v>
      </c>
      <c r="E6222" t="s">
        <v>84</v>
      </c>
      <c r="F6222" t="s">
        <v>85</v>
      </c>
      <c r="G6222" t="s">
        <v>169</v>
      </c>
      <c r="H6222" t="s">
        <v>169</v>
      </c>
      <c r="I6222" t="s">
        <v>40</v>
      </c>
      <c r="J6222" t="s">
        <v>41</v>
      </c>
      <c r="K6222" t="s">
        <v>29</v>
      </c>
      <c r="L6222" t="s">
        <v>30</v>
      </c>
      <c r="M6222" t="s">
        <v>166</v>
      </c>
      <c r="N6222">
        <v>1761</v>
      </c>
      <c r="O6222" s="14">
        <v>0.62434155447408601</v>
      </c>
      <c r="P6222" s="14">
        <v>2.9788714367896301E-2</v>
      </c>
      <c r="Q6222" t="str">
        <f t="shared" si="194"/>
        <v>25-34</v>
      </c>
      <c r="R6222" t="str">
        <f t="shared" si="195"/>
        <v>[fyEoGEPERdI]|25-34|Female|NEW_INFECTIONS_SUBNAT.T|CY2024Q3</v>
      </c>
    </row>
    <row r="6223" spans="4:18" x14ac:dyDescent="0.2">
      <c r="D6223" t="s">
        <v>83</v>
      </c>
      <c r="E6223" t="s">
        <v>84</v>
      </c>
      <c r="F6223" t="s">
        <v>85</v>
      </c>
      <c r="G6223" t="s">
        <v>169</v>
      </c>
      <c r="H6223" t="s">
        <v>169</v>
      </c>
      <c r="I6223" t="s">
        <v>42</v>
      </c>
      <c r="J6223" t="s">
        <v>43</v>
      </c>
      <c r="K6223" t="s">
        <v>29</v>
      </c>
      <c r="L6223" t="s">
        <v>30</v>
      </c>
      <c r="M6223" t="s">
        <v>166</v>
      </c>
      <c r="N6223">
        <v>651</v>
      </c>
      <c r="O6223" s="14">
        <v>0.70036412007175397</v>
      </c>
      <c r="P6223" s="14">
        <v>2.9788714367896301E-2</v>
      </c>
      <c r="Q6223" t="str">
        <f t="shared" si="194"/>
        <v>35-49</v>
      </c>
      <c r="R6223" t="str">
        <f t="shared" si="195"/>
        <v>[fyEoGEPERdI]|35-49|Female|NEW_INFECTIONS_SUBNAT.T|CY2024Q3</v>
      </c>
    </row>
    <row r="6224" spans="4:18" x14ac:dyDescent="0.2">
      <c r="D6224" t="s">
        <v>83</v>
      </c>
      <c r="E6224" t="s">
        <v>84</v>
      </c>
      <c r="F6224" t="s">
        <v>85</v>
      </c>
      <c r="G6224" t="s">
        <v>169</v>
      </c>
      <c r="H6224" t="s">
        <v>169</v>
      </c>
      <c r="I6224" t="s">
        <v>44</v>
      </c>
      <c r="J6224" t="s">
        <v>45</v>
      </c>
      <c r="K6224" t="s">
        <v>29</v>
      </c>
      <c r="L6224" t="s">
        <v>30</v>
      </c>
      <c r="M6224" t="s">
        <v>166</v>
      </c>
      <c r="N6224">
        <v>1023</v>
      </c>
      <c r="O6224" s="14">
        <v>0.76216238574124895</v>
      </c>
      <c r="P6224" s="14">
        <v>2.9788714367896301E-2</v>
      </c>
      <c r="Q6224" t="str">
        <f t="shared" si="194"/>
        <v>50+</v>
      </c>
      <c r="R6224" t="str">
        <f t="shared" si="195"/>
        <v>[fyEoGEPERdI]|50+|Female|NEW_INFECTIONS_SUBNAT.T|CY2024Q3</v>
      </c>
    </row>
    <row r="6225" spans="4:18" x14ac:dyDescent="0.2">
      <c r="D6225" t="s">
        <v>83</v>
      </c>
      <c r="E6225" t="s">
        <v>84</v>
      </c>
      <c r="F6225" t="s">
        <v>85</v>
      </c>
      <c r="G6225" t="s">
        <v>169</v>
      </c>
      <c r="H6225" t="s">
        <v>169</v>
      </c>
      <c r="I6225" t="s">
        <v>27</v>
      </c>
      <c r="J6225" t="s">
        <v>28</v>
      </c>
      <c r="K6225" t="s">
        <v>47</v>
      </c>
      <c r="L6225" t="s">
        <v>48</v>
      </c>
      <c r="M6225" t="s">
        <v>166</v>
      </c>
      <c r="N6225">
        <v>955</v>
      </c>
      <c r="O6225" s="14">
        <v>0.61741744121536601</v>
      </c>
      <c r="P6225" s="14">
        <v>2.9788714367896301E-2</v>
      </c>
      <c r="Q6225" t="str">
        <f t="shared" si="194"/>
        <v>&lt;01</v>
      </c>
      <c r="R6225" t="str">
        <f t="shared" si="195"/>
        <v>[fyEoGEPERdI]|&lt;01|Male|NEW_INFECTIONS_SUBNAT.T|CY2024Q3</v>
      </c>
    </row>
    <row r="6226" spans="4:18" x14ac:dyDescent="0.2">
      <c r="D6226" t="s">
        <v>83</v>
      </c>
      <c r="E6226" t="s">
        <v>84</v>
      </c>
      <c r="F6226" t="s">
        <v>85</v>
      </c>
      <c r="G6226" t="s">
        <v>169</v>
      </c>
      <c r="H6226" t="s">
        <v>169</v>
      </c>
      <c r="I6226" t="s">
        <v>32</v>
      </c>
      <c r="J6226" t="s">
        <v>33</v>
      </c>
      <c r="K6226" t="s">
        <v>47</v>
      </c>
      <c r="L6226" t="s">
        <v>48</v>
      </c>
      <c r="M6226" t="s">
        <v>166</v>
      </c>
      <c r="N6226">
        <v>1195</v>
      </c>
      <c r="O6226" s="14">
        <v>0.24435913097113399</v>
      </c>
      <c r="P6226" s="14">
        <v>2.9788714367896301E-2</v>
      </c>
      <c r="Q6226" t="str">
        <f t="shared" si="194"/>
        <v>01-09</v>
      </c>
      <c r="R6226" t="str">
        <f t="shared" si="195"/>
        <v>[fyEoGEPERdI]|01-09|Male|NEW_INFECTIONS_SUBNAT.T|CY2024Q3</v>
      </c>
    </row>
    <row r="6227" spans="4:18" x14ac:dyDescent="0.2">
      <c r="D6227" t="s">
        <v>83</v>
      </c>
      <c r="E6227" t="s">
        <v>84</v>
      </c>
      <c r="F6227" t="s">
        <v>85</v>
      </c>
      <c r="G6227" t="s">
        <v>169</v>
      </c>
      <c r="H6227" t="s">
        <v>169</v>
      </c>
      <c r="I6227" t="s">
        <v>35</v>
      </c>
      <c r="J6227" t="s">
        <v>36</v>
      </c>
      <c r="K6227" t="s">
        <v>47</v>
      </c>
      <c r="L6227" t="s">
        <v>48</v>
      </c>
      <c r="M6227" t="s">
        <v>166</v>
      </c>
      <c r="N6227">
        <v>1028</v>
      </c>
      <c r="O6227" s="14">
        <v>0.19822572264820301</v>
      </c>
      <c r="P6227" s="14">
        <v>2.9788714367896301E-2</v>
      </c>
      <c r="Q6227" t="str">
        <f t="shared" si="194"/>
        <v>10-14</v>
      </c>
      <c r="R6227" t="str">
        <f t="shared" si="195"/>
        <v>[fyEoGEPERdI]|10-14|Male|NEW_INFECTIONS_SUBNAT.T|CY2024Q3</v>
      </c>
    </row>
    <row r="6228" spans="4:18" x14ac:dyDescent="0.2">
      <c r="D6228" t="s">
        <v>83</v>
      </c>
      <c r="E6228" t="s">
        <v>84</v>
      </c>
      <c r="F6228" t="s">
        <v>85</v>
      </c>
      <c r="G6228" t="s">
        <v>169</v>
      </c>
      <c r="H6228" t="s">
        <v>169</v>
      </c>
      <c r="I6228" t="s">
        <v>37</v>
      </c>
      <c r="J6228" t="s">
        <v>38</v>
      </c>
      <c r="K6228" t="s">
        <v>47</v>
      </c>
      <c r="L6228" t="s">
        <v>48</v>
      </c>
      <c r="M6228" t="s">
        <v>166</v>
      </c>
      <c r="N6228">
        <v>967</v>
      </c>
      <c r="O6228" s="14">
        <v>0.80541032413020697</v>
      </c>
      <c r="P6228" s="14">
        <v>2.9788714367896301E-2</v>
      </c>
      <c r="Q6228" t="str">
        <f t="shared" si="194"/>
        <v>15-24</v>
      </c>
      <c r="R6228" t="str">
        <f t="shared" si="195"/>
        <v>[fyEoGEPERdI]|15-24|Male|NEW_INFECTIONS_SUBNAT.T|CY2024Q3</v>
      </c>
    </row>
    <row r="6229" spans="4:18" x14ac:dyDescent="0.2">
      <c r="D6229" t="s">
        <v>83</v>
      </c>
      <c r="E6229" t="s">
        <v>84</v>
      </c>
      <c r="F6229" t="s">
        <v>85</v>
      </c>
      <c r="G6229" t="s">
        <v>169</v>
      </c>
      <c r="H6229" t="s">
        <v>169</v>
      </c>
      <c r="I6229" t="s">
        <v>40</v>
      </c>
      <c r="J6229" t="s">
        <v>41</v>
      </c>
      <c r="K6229" t="s">
        <v>47</v>
      </c>
      <c r="L6229" t="s">
        <v>48</v>
      </c>
      <c r="M6229" t="s">
        <v>166</v>
      </c>
      <c r="N6229">
        <v>1594</v>
      </c>
      <c r="O6229" s="14">
        <v>0.70138490293175004</v>
      </c>
      <c r="P6229" s="14">
        <v>2.9788714367896301E-2</v>
      </c>
      <c r="Q6229" t="str">
        <f t="shared" si="194"/>
        <v>25-34</v>
      </c>
      <c r="R6229" t="str">
        <f t="shared" si="195"/>
        <v>[fyEoGEPERdI]|25-34|Male|NEW_INFECTIONS_SUBNAT.T|CY2024Q3</v>
      </c>
    </row>
    <row r="6230" spans="4:18" x14ac:dyDescent="0.2">
      <c r="D6230" t="s">
        <v>83</v>
      </c>
      <c r="E6230" t="s">
        <v>84</v>
      </c>
      <c r="F6230" t="s">
        <v>85</v>
      </c>
      <c r="G6230" t="s">
        <v>169</v>
      </c>
      <c r="H6230" t="s">
        <v>169</v>
      </c>
      <c r="I6230" t="s">
        <v>42</v>
      </c>
      <c r="J6230" t="s">
        <v>43</v>
      </c>
      <c r="K6230" t="s">
        <v>47</v>
      </c>
      <c r="L6230" t="s">
        <v>48</v>
      </c>
      <c r="M6230" t="s">
        <v>166</v>
      </c>
      <c r="N6230">
        <v>1509</v>
      </c>
      <c r="O6230" s="14">
        <v>0.38548527797684101</v>
      </c>
      <c r="P6230" s="14">
        <v>2.9788714367896301E-2</v>
      </c>
      <c r="Q6230" t="str">
        <f t="shared" si="194"/>
        <v>35-49</v>
      </c>
      <c r="R6230" t="str">
        <f t="shared" si="195"/>
        <v>[fyEoGEPERdI]|35-49|Male|NEW_INFECTIONS_SUBNAT.T|CY2024Q3</v>
      </c>
    </row>
    <row r="6231" spans="4:18" x14ac:dyDescent="0.2">
      <c r="D6231" t="s">
        <v>83</v>
      </c>
      <c r="E6231" t="s">
        <v>84</v>
      </c>
      <c r="F6231" t="s">
        <v>85</v>
      </c>
      <c r="G6231" t="s">
        <v>169</v>
      </c>
      <c r="H6231" t="s">
        <v>169</v>
      </c>
      <c r="I6231" t="s">
        <v>44</v>
      </c>
      <c r="J6231" t="s">
        <v>45</v>
      </c>
      <c r="K6231" t="s">
        <v>47</v>
      </c>
      <c r="L6231" t="s">
        <v>48</v>
      </c>
      <c r="M6231" t="s">
        <v>166</v>
      </c>
      <c r="N6231">
        <v>1023</v>
      </c>
      <c r="O6231" s="14">
        <v>0.22198176430538299</v>
      </c>
      <c r="P6231" s="14">
        <v>2.9788714367896301E-2</v>
      </c>
      <c r="Q6231" t="str">
        <f t="shared" si="194"/>
        <v>50+</v>
      </c>
      <c r="R6231" t="str">
        <f t="shared" si="195"/>
        <v>[fyEoGEPERdI]|50+|Male|NEW_INFECTIONS_SUBNAT.T|CY2024Q3</v>
      </c>
    </row>
    <row r="6232" spans="4:18" x14ac:dyDescent="0.2">
      <c r="D6232" t="s">
        <v>86</v>
      </c>
      <c r="E6232" t="s">
        <v>87</v>
      </c>
      <c r="F6232" t="s">
        <v>88</v>
      </c>
      <c r="G6232" t="s">
        <v>169</v>
      </c>
      <c r="H6232" t="s">
        <v>169</v>
      </c>
      <c r="I6232" t="s">
        <v>27</v>
      </c>
      <c r="J6232" t="s">
        <v>28</v>
      </c>
      <c r="K6232" t="s">
        <v>29</v>
      </c>
      <c r="L6232" t="s">
        <v>30</v>
      </c>
      <c r="M6232" t="s">
        <v>166</v>
      </c>
      <c r="N6232">
        <v>1810</v>
      </c>
      <c r="O6232" s="14">
        <v>0.79242506343871399</v>
      </c>
      <c r="P6232" s="14">
        <v>0.13333638082258401</v>
      </c>
      <c r="Q6232" t="str">
        <f t="shared" si="194"/>
        <v>&lt;01</v>
      </c>
      <c r="R6232" t="str">
        <f t="shared" si="195"/>
        <v>[cPtvxaZqXIH]|&lt;01|Female|NEW_INFECTIONS_SUBNAT.T|CY2024Q3</v>
      </c>
    </row>
    <row r="6233" spans="4:18" x14ac:dyDescent="0.2">
      <c r="D6233" t="s">
        <v>86</v>
      </c>
      <c r="E6233" t="s">
        <v>87</v>
      </c>
      <c r="F6233" t="s">
        <v>88</v>
      </c>
      <c r="G6233" t="s">
        <v>169</v>
      </c>
      <c r="H6233" t="s">
        <v>169</v>
      </c>
      <c r="I6233" t="s">
        <v>32</v>
      </c>
      <c r="J6233" t="s">
        <v>33</v>
      </c>
      <c r="K6233" t="s">
        <v>29</v>
      </c>
      <c r="L6233" t="s">
        <v>30</v>
      </c>
      <c r="M6233" t="s">
        <v>166</v>
      </c>
      <c r="N6233">
        <v>1274</v>
      </c>
      <c r="O6233" s="14">
        <v>0.95879017678089395</v>
      </c>
      <c r="P6233" s="14">
        <v>0.13333638082258401</v>
      </c>
      <c r="Q6233" t="str">
        <f t="shared" si="194"/>
        <v>01-09</v>
      </c>
      <c r="R6233" t="str">
        <f t="shared" si="195"/>
        <v>[cPtvxaZqXIH]|01-09|Female|NEW_INFECTIONS_SUBNAT.T|CY2024Q3</v>
      </c>
    </row>
    <row r="6234" spans="4:18" x14ac:dyDescent="0.2">
      <c r="D6234" t="s">
        <v>86</v>
      </c>
      <c r="E6234" t="s">
        <v>87</v>
      </c>
      <c r="F6234" t="s">
        <v>88</v>
      </c>
      <c r="G6234" t="s">
        <v>169</v>
      </c>
      <c r="H6234" t="s">
        <v>169</v>
      </c>
      <c r="I6234" t="s">
        <v>35</v>
      </c>
      <c r="J6234" t="s">
        <v>36</v>
      </c>
      <c r="K6234" t="s">
        <v>29</v>
      </c>
      <c r="L6234" t="s">
        <v>30</v>
      </c>
      <c r="M6234" t="s">
        <v>166</v>
      </c>
      <c r="N6234">
        <v>1540</v>
      </c>
      <c r="O6234" s="14">
        <v>0.52385621424764395</v>
      </c>
      <c r="P6234" s="14">
        <v>0.13333638082258401</v>
      </c>
      <c r="Q6234" t="str">
        <f t="shared" si="194"/>
        <v>10-14</v>
      </c>
      <c r="R6234" t="str">
        <f t="shared" si="195"/>
        <v>[cPtvxaZqXIH]|10-14|Female|NEW_INFECTIONS_SUBNAT.T|CY2024Q3</v>
      </c>
    </row>
    <row r="6235" spans="4:18" x14ac:dyDescent="0.2">
      <c r="D6235" t="s">
        <v>86</v>
      </c>
      <c r="E6235" t="s">
        <v>87</v>
      </c>
      <c r="F6235" t="s">
        <v>88</v>
      </c>
      <c r="G6235" t="s">
        <v>169</v>
      </c>
      <c r="H6235" t="s">
        <v>169</v>
      </c>
      <c r="I6235" t="s">
        <v>37</v>
      </c>
      <c r="J6235" t="s">
        <v>38</v>
      </c>
      <c r="K6235" t="s">
        <v>29</v>
      </c>
      <c r="L6235" t="s">
        <v>30</v>
      </c>
      <c r="M6235" t="s">
        <v>166</v>
      </c>
      <c r="N6235">
        <v>947</v>
      </c>
      <c r="O6235" s="14">
        <v>0.59192479960620403</v>
      </c>
      <c r="P6235" s="14">
        <v>0.13333638082258401</v>
      </c>
      <c r="Q6235" t="str">
        <f t="shared" si="194"/>
        <v>15-24</v>
      </c>
      <c r="R6235" t="str">
        <f t="shared" si="195"/>
        <v>[cPtvxaZqXIH]|15-24|Female|NEW_INFECTIONS_SUBNAT.T|CY2024Q3</v>
      </c>
    </row>
    <row r="6236" spans="4:18" x14ac:dyDescent="0.2">
      <c r="D6236" t="s">
        <v>86</v>
      </c>
      <c r="E6236" t="s">
        <v>87</v>
      </c>
      <c r="F6236" t="s">
        <v>88</v>
      </c>
      <c r="G6236" t="s">
        <v>169</v>
      </c>
      <c r="H6236" t="s">
        <v>169</v>
      </c>
      <c r="I6236" t="s">
        <v>40</v>
      </c>
      <c r="J6236" t="s">
        <v>41</v>
      </c>
      <c r="K6236" t="s">
        <v>29</v>
      </c>
      <c r="L6236" t="s">
        <v>30</v>
      </c>
      <c r="M6236" t="s">
        <v>166</v>
      </c>
      <c r="N6236">
        <v>1737</v>
      </c>
      <c r="O6236" s="14">
        <v>0.78775538597255901</v>
      </c>
      <c r="P6236" s="14">
        <v>0.13333638082258401</v>
      </c>
      <c r="Q6236" t="str">
        <f t="shared" si="194"/>
        <v>25-34</v>
      </c>
      <c r="R6236" t="str">
        <f t="shared" si="195"/>
        <v>[cPtvxaZqXIH]|25-34|Female|NEW_INFECTIONS_SUBNAT.T|CY2024Q3</v>
      </c>
    </row>
    <row r="6237" spans="4:18" x14ac:dyDescent="0.2">
      <c r="D6237" t="s">
        <v>86</v>
      </c>
      <c r="E6237" t="s">
        <v>87</v>
      </c>
      <c r="F6237" t="s">
        <v>88</v>
      </c>
      <c r="G6237" t="s">
        <v>169</v>
      </c>
      <c r="H6237" t="s">
        <v>169</v>
      </c>
      <c r="I6237" t="s">
        <v>42</v>
      </c>
      <c r="J6237" t="s">
        <v>43</v>
      </c>
      <c r="K6237" t="s">
        <v>29</v>
      </c>
      <c r="L6237" t="s">
        <v>30</v>
      </c>
      <c r="M6237" t="s">
        <v>166</v>
      </c>
      <c r="N6237">
        <v>875</v>
      </c>
      <c r="O6237" s="14">
        <v>0.84236190677620504</v>
      </c>
      <c r="P6237" s="14">
        <v>0.13333638082258401</v>
      </c>
      <c r="Q6237" t="str">
        <f t="shared" si="194"/>
        <v>35-49</v>
      </c>
      <c r="R6237" t="str">
        <f t="shared" si="195"/>
        <v>[cPtvxaZqXIH]|35-49|Female|NEW_INFECTIONS_SUBNAT.T|CY2024Q3</v>
      </c>
    </row>
    <row r="6238" spans="4:18" x14ac:dyDescent="0.2">
      <c r="D6238" t="s">
        <v>86</v>
      </c>
      <c r="E6238" t="s">
        <v>87</v>
      </c>
      <c r="F6238" t="s">
        <v>88</v>
      </c>
      <c r="G6238" t="s">
        <v>169</v>
      </c>
      <c r="H6238" t="s">
        <v>169</v>
      </c>
      <c r="I6238" t="s">
        <v>44</v>
      </c>
      <c r="J6238" t="s">
        <v>45</v>
      </c>
      <c r="K6238" t="s">
        <v>29</v>
      </c>
      <c r="L6238" t="s">
        <v>30</v>
      </c>
      <c r="M6238" t="s">
        <v>166</v>
      </c>
      <c r="N6238">
        <v>1108</v>
      </c>
      <c r="O6238" s="14">
        <v>0.15857001533731799</v>
      </c>
      <c r="P6238" s="14">
        <v>0.13333638082258401</v>
      </c>
      <c r="Q6238" t="str">
        <f t="shared" si="194"/>
        <v>50+</v>
      </c>
      <c r="R6238" t="str">
        <f t="shared" si="195"/>
        <v>[cPtvxaZqXIH]|50+|Female|NEW_INFECTIONS_SUBNAT.T|CY2024Q3</v>
      </c>
    </row>
    <row r="6239" spans="4:18" x14ac:dyDescent="0.2">
      <c r="D6239" t="s">
        <v>86</v>
      </c>
      <c r="E6239" t="s">
        <v>87</v>
      </c>
      <c r="F6239" t="s">
        <v>88</v>
      </c>
      <c r="G6239" t="s">
        <v>169</v>
      </c>
      <c r="H6239" t="s">
        <v>169</v>
      </c>
      <c r="I6239" t="s">
        <v>27</v>
      </c>
      <c r="J6239" t="s">
        <v>28</v>
      </c>
      <c r="K6239" t="s">
        <v>47</v>
      </c>
      <c r="L6239" t="s">
        <v>48</v>
      </c>
      <c r="M6239" t="s">
        <v>166</v>
      </c>
      <c r="N6239">
        <v>1065</v>
      </c>
      <c r="O6239" s="14">
        <v>0.29251162358559701</v>
      </c>
      <c r="P6239" s="14">
        <v>0.13333638082258401</v>
      </c>
      <c r="Q6239" t="str">
        <f t="shared" si="194"/>
        <v>&lt;01</v>
      </c>
      <c r="R6239" t="str">
        <f t="shared" si="195"/>
        <v>[cPtvxaZqXIH]|&lt;01|Male|NEW_INFECTIONS_SUBNAT.T|CY2024Q3</v>
      </c>
    </row>
    <row r="6240" spans="4:18" x14ac:dyDescent="0.2">
      <c r="D6240" t="s">
        <v>86</v>
      </c>
      <c r="E6240" t="s">
        <v>87</v>
      </c>
      <c r="F6240" t="s">
        <v>88</v>
      </c>
      <c r="G6240" t="s">
        <v>169</v>
      </c>
      <c r="H6240" t="s">
        <v>169</v>
      </c>
      <c r="I6240" t="s">
        <v>32</v>
      </c>
      <c r="J6240" t="s">
        <v>33</v>
      </c>
      <c r="K6240" t="s">
        <v>47</v>
      </c>
      <c r="L6240" t="s">
        <v>48</v>
      </c>
      <c r="M6240" t="s">
        <v>166</v>
      </c>
      <c r="N6240">
        <v>927</v>
      </c>
      <c r="O6240" s="14">
        <v>0.82521827518940005</v>
      </c>
      <c r="P6240" s="14">
        <v>0.13333638082258401</v>
      </c>
      <c r="Q6240" t="str">
        <f t="shared" si="194"/>
        <v>01-09</v>
      </c>
      <c r="R6240" t="str">
        <f t="shared" si="195"/>
        <v>[cPtvxaZqXIH]|01-09|Male|NEW_INFECTIONS_SUBNAT.T|CY2024Q3</v>
      </c>
    </row>
    <row r="6241" spans="4:18" x14ac:dyDescent="0.2">
      <c r="D6241" t="s">
        <v>86</v>
      </c>
      <c r="E6241" t="s">
        <v>87</v>
      </c>
      <c r="F6241" t="s">
        <v>88</v>
      </c>
      <c r="G6241" t="s">
        <v>169</v>
      </c>
      <c r="H6241" t="s">
        <v>169</v>
      </c>
      <c r="I6241" t="s">
        <v>35</v>
      </c>
      <c r="J6241" t="s">
        <v>36</v>
      </c>
      <c r="K6241" t="s">
        <v>47</v>
      </c>
      <c r="L6241" t="s">
        <v>48</v>
      </c>
      <c r="M6241" t="s">
        <v>166</v>
      </c>
      <c r="N6241">
        <v>1409</v>
      </c>
      <c r="O6241" s="14">
        <v>0.120167198590934</v>
      </c>
      <c r="P6241" s="14">
        <v>0.13333638082258401</v>
      </c>
      <c r="Q6241" t="str">
        <f t="shared" si="194"/>
        <v>10-14</v>
      </c>
      <c r="R6241" t="str">
        <f t="shared" si="195"/>
        <v>[cPtvxaZqXIH]|10-14|Male|NEW_INFECTIONS_SUBNAT.T|CY2024Q3</v>
      </c>
    </row>
    <row r="6242" spans="4:18" x14ac:dyDescent="0.2">
      <c r="D6242" t="s">
        <v>86</v>
      </c>
      <c r="E6242" t="s">
        <v>87</v>
      </c>
      <c r="F6242" t="s">
        <v>88</v>
      </c>
      <c r="G6242" t="s">
        <v>169</v>
      </c>
      <c r="H6242" t="s">
        <v>169</v>
      </c>
      <c r="I6242" t="s">
        <v>37</v>
      </c>
      <c r="J6242" t="s">
        <v>38</v>
      </c>
      <c r="K6242" t="s">
        <v>47</v>
      </c>
      <c r="L6242" t="s">
        <v>48</v>
      </c>
      <c r="M6242" t="s">
        <v>166</v>
      </c>
      <c r="N6242">
        <v>1609</v>
      </c>
      <c r="O6242" s="14">
        <v>1.58051657490432E-3</v>
      </c>
      <c r="P6242" s="14">
        <v>0.13333638082258401</v>
      </c>
      <c r="Q6242" t="str">
        <f t="shared" si="194"/>
        <v>15-24</v>
      </c>
      <c r="R6242" t="str">
        <f t="shared" si="195"/>
        <v>[cPtvxaZqXIH]|15-24|Male|NEW_INFECTIONS_SUBNAT.T|CY2024Q3</v>
      </c>
    </row>
    <row r="6243" spans="4:18" x14ac:dyDescent="0.2">
      <c r="D6243" t="s">
        <v>86</v>
      </c>
      <c r="E6243" t="s">
        <v>87</v>
      </c>
      <c r="F6243" t="s">
        <v>88</v>
      </c>
      <c r="G6243" t="s">
        <v>169</v>
      </c>
      <c r="H6243" t="s">
        <v>169</v>
      </c>
      <c r="I6243" t="s">
        <v>40</v>
      </c>
      <c r="J6243" t="s">
        <v>41</v>
      </c>
      <c r="K6243" t="s">
        <v>47</v>
      </c>
      <c r="L6243" t="s">
        <v>48</v>
      </c>
      <c r="M6243" t="s">
        <v>166</v>
      </c>
      <c r="N6243">
        <v>1985</v>
      </c>
      <c r="O6243" s="14">
        <v>0.69838843517936799</v>
      </c>
      <c r="P6243" s="14">
        <v>0.13333638082258401</v>
      </c>
      <c r="Q6243" t="str">
        <f t="shared" si="194"/>
        <v>25-34</v>
      </c>
      <c r="R6243" t="str">
        <f t="shared" si="195"/>
        <v>[cPtvxaZqXIH]|25-34|Male|NEW_INFECTIONS_SUBNAT.T|CY2024Q3</v>
      </c>
    </row>
    <row r="6244" spans="4:18" x14ac:dyDescent="0.2">
      <c r="D6244" t="s">
        <v>86</v>
      </c>
      <c r="E6244" t="s">
        <v>87</v>
      </c>
      <c r="F6244" t="s">
        <v>88</v>
      </c>
      <c r="G6244" t="s">
        <v>169</v>
      </c>
      <c r="H6244" t="s">
        <v>169</v>
      </c>
      <c r="I6244" t="s">
        <v>42</v>
      </c>
      <c r="J6244" t="s">
        <v>43</v>
      </c>
      <c r="K6244" t="s">
        <v>47</v>
      </c>
      <c r="L6244" t="s">
        <v>48</v>
      </c>
      <c r="M6244" t="s">
        <v>166</v>
      </c>
      <c r="N6244">
        <v>1854</v>
      </c>
      <c r="O6244" s="14">
        <v>0.38364637130871398</v>
      </c>
      <c r="P6244" s="14">
        <v>0.13333638082258401</v>
      </c>
      <c r="Q6244" t="str">
        <f t="shared" si="194"/>
        <v>35-49</v>
      </c>
      <c r="R6244" t="str">
        <f t="shared" si="195"/>
        <v>[cPtvxaZqXIH]|35-49|Male|NEW_INFECTIONS_SUBNAT.T|CY2024Q3</v>
      </c>
    </row>
    <row r="6245" spans="4:18" x14ac:dyDescent="0.2">
      <c r="D6245" t="s">
        <v>86</v>
      </c>
      <c r="E6245" t="s">
        <v>87</v>
      </c>
      <c r="F6245" t="s">
        <v>88</v>
      </c>
      <c r="G6245" t="s">
        <v>169</v>
      </c>
      <c r="H6245" t="s">
        <v>169</v>
      </c>
      <c r="I6245" t="s">
        <v>44</v>
      </c>
      <c r="J6245" t="s">
        <v>45</v>
      </c>
      <c r="K6245" t="s">
        <v>47</v>
      </c>
      <c r="L6245" t="s">
        <v>48</v>
      </c>
      <c r="M6245" t="s">
        <v>166</v>
      </c>
      <c r="N6245">
        <v>914</v>
      </c>
      <c r="O6245" s="14">
        <v>0.42144205700606102</v>
      </c>
      <c r="P6245" s="14">
        <v>0.13333638082258401</v>
      </c>
      <c r="Q6245" t="str">
        <f t="shared" si="194"/>
        <v>50+</v>
      </c>
      <c r="R6245" t="str">
        <f t="shared" si="195"/>
        <v>[cPtvxaZqXIH]|50+|Male|NEW_INFECTIONS_SUBNAT.T|CY2024Q3</v>
      </c>
    </row>
    <row r="6246" spans="4:18" x14ac:dyDescent="0.2">
      <c r="D6246" t="s">
        <v>89</v>
      </c>
      <c r="E6246" t="s">
        <v>90</v>
      </c>
      <c r="F6246" t="s">
        <v>91</v>
      </c>
      <c r="G6246" t="s">
        <v>169</v>
      </c>
      <c r="H6246" t="s">
        <v>169</v>
      </c>
      <c r="I6246" t="s">
        <v>27</v>
      </c>
      <c r="J6246" t="s">
        <v>28</v>
      </c>
      <c r="K6246" t="s">
        <v>29</v>
      </c>
      <c r="L6246" t="s">
        <v>30</v>
      </c>
      <c r="M6246" t="s">
        <v>166</v>
      </c>
      <c r="N6246">
        <v>1953</v>
      </c>
      <c r="O6246" s="14">
        <v>0.92848801380023405</v>
      </c>
      <c r="P6246" s="14">
        <v>0.71991415042430196</v>
      </c>
      <c r="Q6246" t="str">
        <f t="shared" si="194"/>
        <v>&lt;01</v>
      </c>
      <c r="R6246" t="str">
        <f t="shared" si="195"/>
        <v>[AZyWpGzhcaA]|&lt;01|Female|NEW_INFECTIONS_SUBNAT.T|CY2024Q3</v>
      </c>
    </row>
    <row r="6247" spans="4:18" x14ac:dyDescent="0.2">
      <c r="D6247" t="s">
        <v>89</v>
      </c>
      <c r="E6247" t="s">
        <v>90</v>
      </c>
      <c r="F6247" t="s">
        <v>91</v>
      </c>
      <c r="G6247" t="s">
        <v>169</v>
      </c>
      <c r="H6247" t="s">
        <v>169</v>
      </c>
      <c r="I6247" t="s">
        <v>32</v>
      </c>
      <c r="J6247" t="s">
        <v>33</v>
      </c>
      <c r="K6247" t="s">
        <v>29</v>
      </c>
      <c r="L6247" t="s">
        <v>30</v>
      </c>
      <c r="M6247" t="s">
        <v>166</v>
      </c>
      <c r="N6247">
        <v>1975</v>
      </c>
      <c r="O6247" s="14">
        <v>0.30010284832678702</v>
      </c>
      <c r="P6247" s="14">
        <v>0.71991415042430196</v>
      </c>
      <c r="Q6247" t="str">
        <f t="shared" si="194"/>
        <v>01-09</v>
      </c>
      <c r="R6247" t="str">
        <f t="shared" si="195"/>
        <v>[AZyWpGzhcaA]|01-09|Female|NEW_INFECTIONS_SUBNAT.T|CY2024Q3</v>
      </c>
    </row>
    <row r="6248" spans="4:18" x14ac:dyDescent="0.2">
      <c r="D6248" t="s">
        <v>89</v>
      </c>
      <c r="E6248" t="s">
        <v>90</v>
      </c>
      <c r="F6248" t="s">
        <v>91</v>
      </c>
      <c r="G6248" t="s">
        <v>169</v>
      </c>
      <c r="H6248" t="s">
        <v>169</v>
      </c>
      <c r="I6248" t="s">
        <v>35</v>
      </c>
      <c r="J6248" t="s">
        <v>36</v>
      </c>
      <c r="K6248" t="s">
        <v>29</v>
      </c>
      <c r="L6248" t="s">
        <v>30</v>
      </c>
      <c r="M6248" t="s">
        <v>166</v>
      </c>
      <c r="N6248">
        <v>1119</v>
      </c>
      <c r="O6248" s="14">
        <v>0.30531783495098402</v>
      </c>
      <c r="P6248" s="14">
        <v>0.71991415042430196</v>
      </c>
      <c r="Q6248" t="str">
        <f t="shared" si="194"/>
        <v>10-14</v>
      </c>
      <c r="R6248" t="str">
        <f t="shared" si="195"/>
        <v>[AZyWpGzhcaA]|10-14|Female|NEW_INFECTIONS_SUBNAT.T|CY2024Q3</v>
      </c>
    </row>
    <row r="6249" spans="4:18" x14ac:dyDescent="0.2">
      <c r="D6249" t="s">
        <v>89</v>
      </c>
      <c r="E6249" t="s">
        <v>90</v>
      </c>
      <c r="F6249" t="s">
        <v>91</v>
      </c>
      <c r="G6249" t="s">
        <v>169</v>
      </c>
      <c r="H6249" t="s">
        <v>169</v>
      </c>
      <c r="I6249" t="s">
        <v>37</v>
      </c>
      <c r="J6249" t="s">
        <v>38</v>
      </c>
      <c r="K6249" t="s">
        <v>29</v>
      </c>
      <c r="L6249" t="s">
        <v>30</v>
      </c>
      <c r="M6249" t="s">
        <v>166</v>
      </c>
      <c r="N6249">
        <v>1167</v>
      </c>
      <c r="O6249" s="14">
        <v>0.446659836918116</v>
      </c>
      <c r="P6249" s="14">
        <v>0.71991415042430196</v>
      </c>
      <c r="Q6249" t="str">
        <f t="shared" si="194"/>
        <v>15-24</v>
      </c>
      <c r="R6249" t="str">
        <f t="shared" si="195"/>
        <v>[AZyWpGzhcaA]|15-24|Female|NEW_INFECTIONS_SUBNAT.T|CY2024Q3</v>
      </c>
    </row>
    <row r="6250" spans="4:18" x14ac:dyDescent="0.2">
      <c r="D6250" t="s">
        <v>89</v>
      </c>
      <c r="E6250" t="s">
        <v>90</v>
      </c>
      <c r="F6250" t="s">
        <v>91</v>
      </c>
      <c r="G6250" t="s">
        <v>169</v>
      </c>
      <c r="H6250" t="s">
        <v>169</v>
      </c>
      <c r="I6250" t="s">
        <v>40</v>
      </c>
      <c r="J6250" t="s">
        <v>41</v>
      </c>
      <c r="K6250" t="s">
        <v>29</v>
      </c>
      <c r="L6250" t="s">
        <v>30</v>
      </c>
      <c r="M6250" t="s">
        <v>166</v>
      </c>
      <c r="N6250">
        <v>1945</v>
      </c>
      <c r="O6250" s="14">
        <v>0.461337943328544</v>
      </c>
      <c r="P6250" s="14">
        <v>0.71991415042430196</v>
      </c>
      <c r="Q6250" t="str">
        <f t="shared" si="194"/>
        <v>25-34</v>
      </c>
      <c r="R6250" t="str">
        <f t="shared" si="195"/>
        <v>[AZyWpGzhcaA]|25-34|Female|NEW_INFECTIONS_SUBNAT.T|CY2024Q3</v>
      </c>
    </row>
    <row r="6251" spans="4:18" x14ac:dyDescent="0.2">
      <c r="D6251" t="s">
        <v>89</v>
      </c>
      <c r="E6251" t="s">
        <v>90</v>
      </c>
      <c r="F6251" t="s">
        <v>91</v>
      </c>
      <c r="G6251" t="s">
        <v>169</v>
      </c>
      <c r="H6251" t="s">
        <v>169</v>
      </c>
      <c r="I6251" t="s">
        <v>42</v>
      </c>
      <c r="J6251" t="s">
        <v>43</v>
      </c>
      <c r="K6251" t="s">
        <v>29</v>
      </c>
      <c r="L6251" t="s">
        <v>30</v>
      </c>
      <c r="M6251" t="s">
        <v>166</v>
      </c>
      <c r="N6251">
        <v>610</v>
      </c>
      <c r="O6251" s="14">
        <v>0.73206915264017902</v>
      </c>
      <c r="P6251" s="14">
        <v>0.71991415042430196</v>
      </c>
      <c r="Q6251" t="str">
        <f t="shared" si="194"/>
        <v>35-49</v>
      </c>
      <c r="R6251" t="str">
        <f t="shared" si="195"/>
        <v>[AZyWpGzhcaA]|35-49|Female|NEW_INFECTIONS_SUBNAT.T|CY2024Q3</v>
      </c>
    </row>
    <row r="6252" spans="4:18" x14ac:dyDescent="0.2">
      <c r="D6252" t="s">
        <v>89</v>
      </c>
      <c r="E6252" t="s">
        <v>90</v>
      </c>
      <c r="F6252" t="s">
        <v>91</v>
      </c>
      <c r="G6252" t="s">
        <v>169</v>
      </c>
      <c r="H6252" t="s">
        <v>169</v>
      </c>
      <c r="I6252" t="s">
        <v>44</v>
      </c>
      <c r="J6252" t="s">
        <v>45</v>
      </c>
      <c r="K6252" t="s">
        <v>29</v>
      </c>
      <c r="L6252" t="s">
        <v>30</v>
      </c>
      <c r="M6252" t="s">
        <v>166</v>
      </c>
      <c r="N6252">
        <v>1070</v>
      </c>
      <c r="O6252" s="14">
        <v>0.44986719894222899</v>
      </c>
      <c r="P6252" s="14">
        <v>0.71991415042430196</v>
      </c>
      <c r="Q6252" t="str">
        <f t="shared" si="194"/>
        <v>50+</v>
      </c>
      <c r="R6252" t="str">
        <f t="shared" si="195"/>
        <v>[AZyWpGzhcaA]|50+|Female|NEW_INFECTIONS_SUBNAT.T|CY2024Q3</v>
      </c>
    </row>
    <row r="6253" spans="4:18" x14ac:dyDescent="0.2">
      <c r="D6253" t="s">
        <v>89</v>
      </c>
      <c r="E6253" t="s">
        <v>90</v>
      </c>
      <c r="F6253" t="s">
        <v>91</v>
      </c>
      <c r="G6253" t="s">
        <v>169</v>
      </c>
      <c r="H6253" t="s">
        <v>169</v>
      </c>
      <c r="I6253" t="s">
        <v>27</v>
      </c>
      <c r="J6253" t="s">
        <v>28</v>
      </c>
      <c r="K6253" t="s">
        <v>47</v>
      </c>
      <c r="L6253" t="s">
        <v>48</v>
      </c>
      <c r="M6253" t="s">
        <v>166</v>
      </c>
      <c r="N6253">
        <v>1917</v>
      </c>
      <c r="O6253" s="14">
        <v>0.67227124306373298</v>
      </c>
      <c r="P6253" s="14">
        <v>0.71991415042430196</v>
      </c>
      <c r="Q6253" t="str">
        <f t="shared" si="194"/>
        <v>&lt;01</v>
      </c>
      <c r="R6253" t="str">
        <f t="shared" si="195"/>
        <v>[AZyWpGzhcaA]|&lt;01|Male|NEW_INFECTIONS_SUBNAT.T|CY2024Q3</v>
      </c>
    </row>
    <row r="6254" spans="4:18" x14ac:dyDescent="0.2">
      <c r="D6254" t="s">
        <v>89</v>
      </c>
      <c r="E6254" t="s">
        <v>90</v>
      </c>
      <c r="F6254" t="s">
        <v>91</v>
      </c>
      <c r="G6254" t="s">
        <v>169</v>
      </c>
      <c r="H6254" t="s">
        <v>169</v>
      </c>
      <c r="I6254" t="s">
        <v>32</v>
      </c>
      <c r="J6254" t="s">
        <v>33</v>
      </c>
      <c r="K6254" t="s">
        <v>47</v>
      </c>
      <c r="L6254" t="s">
        <v>48</v>
      </c>
      <c r="M6254" t="s">
        <v>166</v>
      </c>
      <c r="N6254">
        <v>983</v>
      </c>
      <c r="O6254" s="14">
        <v>0.39744328847155003</v>
      </c>
      <c r="P6254" s="14">
        <v>0.71991415042430196</v>
      </c>
      <c r="Q6254" t="str">
        <f t="shared" si="194"/>
        <v>01-09</v>
      </c>
      <c r="R6254" t="str">
        <f t="shared" si="195"/>
        <v>[AZyWpGzhcaA]|01-09|Male|NEW_INFECTIONS_SUBNAT.T|CY2024Q3</v>
      </c>
    </row>
    <row r="6255" spans="4:18" x14ac:dyDescent="0.2">
      <c r="D6255" t="s">
        <v>89</v>
      </c>
      <c r="E6255" t="s">
        <v>90</v>
      </c>
      <c r="F6255" t="s">
        <v>91</v>
      </c>
      <c r="G6255" t="s">
        <v>169</v>
      </c>
      <c r="H6255" t="s">
        <v>169</v>
      </c>
      <c r="I6255" t="s">
        <v>35</v>
      </c>
      <c r="J6255" t="s">
        <v>36</v>
      </c>
      <c r="K6255" t="s">
        <v>47</v>
      </c>
      <c r="L6255" t="s">
        <v>48</v>
      </c>
      <c r="M6255" t="s">
        <v>166</v>
      </c>
      <c r="N6255">
        <v>1160</v>
      </c>
      <c r="O6255" s="14">
        <v>0.288375298026949</v>
      </c>
      <c r="P6255" s="14">
        <v>0.71991415042430196</v>
      </c>
      <c r="Q6255" t="str">
        <f t="shared" si="194"/>
        <v>10-14</v>
      </c>
      <c r="R6255" t="str">
        <f t="shared" si="195"/>
        <v>[AZyWpGzhcaA]|10-14|Male|NEW_INFECTIONS_SUBNAT.T|CY2024Q3</v>
      </c>
    </row>
    <row r="6256" spans="4:18" x14ac:dyDescent="0.2">
      <c r="D6256" t="s">
        <v>89</v>
      </c>
      <c r="E6256" t="s">
        <v>90</v>
      </c>
      <c r="F6256" t="s">
        <v>91</v>
      </c>
      <c r="G6256" t="s">
        <v>169</v>
      </c>
      <c r="H6256" t="s">
        <v>169</v>
      </c>
      <c r="I6256" t="s">
        <v>37</v>
      </c>
      <c r="J6256" t="s">
        <v>38</v>
      </c>
      <c r="K6256" t="s">
        <v>47</v>
      </c>
      <c r="L6256" t="s">
        <v>48</v>
      </c>
      <c r="M6256" t="s">
        <v>166</v>
      </c>
      <c r="N6256">
        <v>1182</v>
      </c>
      <c r="O6256" s="14">
        <v>0.394291189499199</v>
      </c>
      <c r="P6256" s="14">
        <v>0.71991415042430196</v>
      </c>
      <c r="Q6256" t="str">
        <f t="shared" si="194"/>
        <v>15-24</v>
      </c>
      <c r="R6256" t="str">
        <f t="shared" si="195"/>
        <v>[AZyWpGzhcaA]|15-24|Male|NEW_INFECTIONS_SUBNAT.T|CY2024Q3</v>
      </c>
    </row>
    <row r="6257" spans="4:18" x14ac:dyDescent="0.2">
      <c r="D6257" t="s">
        <v>89</v>
      </c>
      <c r="E6257" t="s">
        <v>90</v>
      </c>
      <c r="F6257" t="s">
        <v>91</v>
      </c>
      <c r="G6257" t="s">
        <v>169</v>
      </c>
      <c r="H6257" t="s">
        <v>169</v>
      </c>
      <c r="I6257" t="s">
        <v>40</v>
      </c>
      <c r="J6257" t="s">
        <v>41</v>
      </c>
      <c r="K6257" t="s">
        <v>47</v>
      </c>
      <c r="L6257" t="s">
        <v>48</v>
      </c>
      <c r="M6257" t="s">
        <v>166</v>
      </c>
      <c r="N6257">
        <v>1582</v>
      </c>
      <c r="O6257" s="14">
        <v>0.59475564933381997</v>
      </c>
      <c r="P6257" s="14">
        <v>0.71991415042430196</v>
      </c>
      <c r="Q6257" t="str">
        <f t="shared" si="194"/>
        <v>25-34</v>
      </c>
      <c r="R6257" t="str">
        <f t="shared" si="195"/>
        <v>[AZyWpGzhcaA]|25-34|Male|NEW_INFECTIONS_SUBNAT.T|CY2024Q3</v>
      </c>
    </row>
    <row r="6258" spans="4:18" x14ac:dyDescent="0.2">
      <c r="D6258" t="s">
        <v>89</v>
      </c>
      <c r="E6258" t="s">
        <v>90</v>
      </c>
      <c r="F6258" t="s">
        <v>91</v>
      </c>
      <c r="G6258" t="s">
        <v>169</v>
      </c>
      <c r="H6258" t="s">
        <v>169</v>
      </c>
      <c r="I6258" t="s">
        <v>42</v>
      </c>
      <c r="J6258" t="s">
        <v>43</v>
      </c>
      <c r="K6258" t="s">
        <v>47</v>
      </c>
      <c r="L6258" t="s">
        <v>48</v>
      </c>
      <c r="M6258" t="s">
        <v>166</v>
      </c>
      <c r="N6258">
        <v>1059</v>
      </c>
      <c r="O6258" s="14">
        <v>0.69777145073749103</v>
      </c>
      <c r="P6258" s="14">
        <v>0.71991415042430196</v>
      </c>
      <c r="Q6258" t="str">
        <f t="shared" si="194"/>
        <v>35-49</v>
      </c>
      <c r="R6258" t="str">
        <f t="shared" si="195"/>
        <v>[AZyWpGzhcaA]|35-49|Male|NEW_INFECTIONS_SUBNAT.T|CY2024Q3</v>
      </c>
    </row>
    <row r="6259" spans="4:18" x14ac:dyDescent="0.2">
      <c r="D6259" t="s">
        <v>89</v>
      </c>
      <c r="E6259" t="s">
        <v>90</v>
      </c>
      <c r="F6259" t="s">
        <v>91</v>
      </c>
      <c r="G6259" t="s">
        <v>169</v>
      </c>
      <c r="H6259" t="s">
        <v>169</v>
      </c>
      <c r="I6259" t="s">
        <v>44</v>
      </c>
      <c r="J6259" t="s">
        <v>45</v>
      </c>
      <c r="K6259" t="s">
        <v>47</v>
      </c>
      <c r="L6259" t="s">
        <v>48</v>
      </c>
      <c r="M6259" t="s">
        <v>166</v>
      </c>
      <c r="N6259">
        <v>830</v>
      </c>
      <c r="O6259" s="14">
        <v>0.70198996318504203</v>
      </c>
      <c r="P6259" s="14">
        <v>0.71991415042430196</v>
      </c>
      <c r="Q6259" t="str">
        <f t="shared" si="194"/>
        <v>50+</v>
      </c>
      <c r="R6259" t="str">
        <f t="shared" si="195"/>
        <v>[AZyWpGzhcaA]|50+|Male|NEW_INFECTIONS_SUBNAT.T|CY2024Q3</v>
      </c>
    </row>
    <row r="6260" spans="4:18" x14ac:dyDescent="0.2">
      <c r="D6260" t="s">
        <v>92</v>
      </c>
      <c r="E6260" t="s">
        <v>93</v>
      </c>
      <c r="F6260" t="s">
        <v>94</v>
      </c>
      <c r="G6260" t="s">
        <v>169</v>
      </c>
      <c r="H6260" t="s">
        <v>169</v>
      </c>
      <c r="I6260" t="s">
        <v>27</v>
      </c>
      <c r="J6260" t="s">
        <v>28</v>
      </c>
      <c r="K6260" t="s">
        <v>29</v>
      </c>
      <c r="L6260" t="s">
        <v>30</v>
      </c>
      <c r="M6260" t="s">
        <v>166</v>
      </c>
      <c r="N6260">
        <v>1614</v>
      </c>
      <c r="O6260" s="14">
        <v>0.201907411683351</v>
      </c>
      <c r="P6260" s="14">
        <v>0.36227229656651599</v>
      </c>
      <c r="Q6260" t="str">
        <f t="shared" si="194"/>
        <v>&lt;01</v>
      </c>
      <c r="R6260" t="str">
        <f t="shared" si="195"/>
        <v>[umc2n1Z4wNv]|&lt;01|Female|NEW_INFECTIONS_SUBNAT.T|CY2024Q3</v>
      </c>
    </row>
    <row r="6261" spans="4:18" x14ac:dyDescent="0.2">
      <c r="D6261" t="s">
        <v>92</v>
      </c>
      <c r="E6261" t="s">
        <v>93</v>
      </c>
      <c r="F6261" t="s">
        <v>94</v>
      </c>
      <c r="G6261" t="s">
        <v>169</v>
      </c>
      <c r="H6261" t="s">
        <v>169</v>
      </c>
      <c r="I6261" t="s">
        <v>32</v>
      </c>
      <c r="J6261" t="s">
        <v>33</v>
      </c>
      <c r="K6261" t="s">
        <v>29</v>
      </c>
      <c r="L6261" t="s">
        <v>30</v>
      </c>
      <c r="M6261" t="s">
        <v>166</v>
      </c>
      <c r="N6261">
        <v>975</v>
      </c>
      <c r="O6261" s="14">
        <v>0.88365359976887703</v>
      </c>
      <c r="P6261" s="14">
        <v>0.36227229656651599</v>
      </c>
      <c r="Q6261" t="str">
        <f t="shared" si="194"/>
        <v>01-09</v>
      </c>
      <c r="R6261" t="str">
        <f t="shared" si="195"/>
        <v>[umc2n1Z4wNv]|01-09|Female|NEW_INFECTIONS_SUBNAT.T|CY2024Q3</v>
      </c>
    </row>
    <row r="6262" spans="4:18" x14ac:dyDescent="0.2">
      <c r="D6262" t="s">
        <v>92</v>
      </c>
      <c r="E6262" t="s">
        <v>93</v>
      </c>
      <c r="F6262" t="s">
        <v>94</v>
      </c>
      <c r="G6262" t="s">
        <v>169</v>
      </c>
      <c r="H6262" t="s">
        <v>169</v>
      </c>
      <c r="I6262" t="s">
        <v>35</v>
      </c>
      <c r="J6262" t="s">
        <v>36</v>
      </c>
      <c r="K6262" t="s">
        <v>29</v>
      </c>
      <c r="L6262" t="s">
        <v>30</v>
      </c>
      <c r="M6262" t="s">
        <v>166</v>
      </c>
      <c r="N6262">
        <v>1003</v>
      </c>
      <c r="O6262" s="14">
        <v>0.85894756158813801</v>
      </c>
      <c r="P6262" s="14">
        <v>0.36227229656651599</v>
      </c>
      <c r="Q6262" t="str">
        <f t="shared" si="194"/>
        <v>10-14</v>
      </c>
      <c r="R6262" t="str">
        <f t="shared" si="195"/>
        <v>[umc2n1Z4wNv]|10-14|Female|NEW_INFECTIONS_SUBNAT.T|CY2024Q3</v>
      </c>
    </row>
    <row r="6263" spans="4:18" x14ac:dyDescent="0.2">
      <c r="D6263" t="s">
        <v>92</v>
      </c>
      <c r="E6263" t="s">
        <v>93</v>
      </c>
      <c r="F6263" t="s">
        <v>94</v>
      </c>
      <c r="G6263" t="s">
        <v>169</v>
      </c>
      <c r="H6263" t="s">
        <v>169</v>
      </c>
      <c r="I6263" t="s">
        <v>37</v>
      </c>
      <c r="J6263" t="s">
        <v>38</v>
      </c>
      <c r="K6263" t="s">
        <v>29</v>
      </c>
      <c r="L6263" t="s">
        <v>30</v>
      </c>
      <c r="M6263" t="s">
        <v>166</v>
      </c>
      <c r="N6263">
        <v>609</v>
      </c>
      <c r="O6263" s="14">
        <v>0.89233138412237201</v>
      </c>
      <c r="P6263" s="14">
        <v>0.36227229656651599</v>
      </c>
      <c r="Q6263" t="str">
        <f t="shared" si="194"/>
        <v>15-24</v>
      </c>
      <c r="R6263" t="str">
        <f t="shared" si="195"/>
        <v>[umc2n1Z4wNv]|15-24|Female|NEW_INFECTIONS_SUBNAT.T|CY2024Q3</v>
      </c>
    </row>
    <row r="6264" spans="4:18" x14ac:dyDescent="0.2">
      <c r="D6264" t="s">
        <v>92</v>
      </c>
      <c r="E6264" t="s">
        <v>93</v>
      </c>
      <c r="F6264" t="s">
        <v>94</v>
      </c>
      <c r="G6264" t="s">
        <v>169</v>
      </c>
      <c r="H6264" t="s">
        <v>169</v>
      </c>
      <c r="I6264" t="s">
        <v>40</v>
      </c>
      <c r="J6264" t="s">
        <v>41</v>
      </c>
      <c r="K6264" t="s">
        <v>29</v>
      </c>
      <c r="L6264" t="s">
        <v>30</v>
      </c>
      <c r="M6264" t="s">
        <v>166</v>
      </c>
      <c r="N6264">
        <v>1232</v>
      </c>
      <c r="O6264" s="14">
        <v>0.39999113767407801</v>
      </c>
      <c r="P6264" s="14">
        <v>0.36227229656651599</v>
      </c>
      <c r="Q6264" t="str">
        <f t="shared" si="194"/>
        <v>25-34</v>
      </c>
      <c r="R6264" t="str">
        <f t="shared" si="195"/>
        <v>[umc2n1Z4wNv]|25-34|Female|NEW_INFECTIONS_SUBNAT.T|CY2024Q3</v>
      </c>
    </row>
    <row r="6265" spans="4:18" x14ac:dyDescent="0.2">
      <c r="D6265" t="s">
        <v>92</v>
      </c>
      <c r="E6265" t="s">
        <v>93</v>
      </c>
      <c r="F6265" t="s">
        <v>94</v>
      </c>
      <c r="G6265" t="s">
        <v>169</v>
      </c>
      <c r="H6265" t="s">
        <v>169</v>
      </c>
      <c r="I6265" t="s">
        <v>42</v>
      </c>
      <c r="J6265" t="s">
        <v>43</v>
      </c>
      <c r="K6265" t="s">
        <v>29</v>
      </c>
      <c r="L6265" t="s">
        <v>30</v>
      </c>
      <c r="M6265" t="s">
        <v>166</v>
      </c>
      <c r="N6265">
        <v>562</v>
      </c>
      <c r="O6265" s="14">
        <v>0.24810619396157599</v>
      </c>
      <c r="P6265" s="14">
        <v>0.36227229656651599</v>
      </c>
      <c r="Q6265" t="str">
        <f t="shared" si="194"/>
        <v>35-49</v>
      </c>
      <c r="R6265" t="str">
        <f t="shared" si="195"/>
        <v>[umc2n1Z4wNv]|35-49|Female|NEW_INFECTIONS_SUBNAT.T|CY2024Q3</v>
      </c>
    </row>
    <row r="6266" spans="4:18" x14ac:dyDescent="0.2">
      <c r="D6266" t="s">
        <v>92</v>
      </c>
      <c r="E6266" t="s">
        <v>93</v>
      </c>
      <c r="F6266" t="s">
        <v>94</v>
      </c>
      <c r="G6266" t="s">
        <v>169</v>
      </c>
      <c r="H6266" t="s">
        <v>169</v>
      </c>
      <c r="I6266" t="s">
        <v>44</v>
      </c>
      <c r="J6266" t="s">
        <v>45</v>
      </c>
      <c r="K6266" t="s">
        <v>29</v>
      </c>
      <c r="L6266" t="s">
        <v>30</v>
      </c>
      <c r="M6266" t="s">
        <v>166</v>
      </c>
      <c r="N6266">
        <v>1288</v>
      </c>
      <c r="O6266" s="14">
        <v>0.47355777327902598</v>
      </c>
      <c r="P6266" s="14">
        <v>0.36227229656651599</v>
      </c>
      <c r="Q6266" t="str">
        <f t="shared" si="194"/>
        <v>50+</v>
      </c>
      <c r="R6266" t="str">
        <f t="shared" si="195"/>
        <v>[umc2n1Z4wNv]|50+|Female|NEW_INFECTIONS_SUBNAT.T|CY2024Q3</v>
      </c>
    </row>
    <row r="6267" spans="4:18" x14ac:dyDescent="0.2">
      <c r="D6267" t="s">
        <v>92</v>
      </c>
      <c r="E6267" t="s">
        <v>93</v>
      </c>
      <c r="F6267" t="s">
        <v>94</v>
      </c>
      <c r="G6267" t="s">
        <v>169</v>
      </c>
      <c r="H6267" t="s">
        <v>169</v>
      </c>
      <c r="I6267" t="s">
        <v>27</v>
      </c>
      <c r="J6267" t="s">
        <v>28</v>
      </c>
      <c r="K6267" t="s">
        <v>47</v>
      </c>
      <c r="L6267" t="s">
        <v>48</v>
      </c>
      <c r="M6267" t="s">
        <v>166</v>
      </c>
      <c r="N6267">
        <v>1148</v>
      </c>
      <c r="O6267" s="14">
        <v>0.46423717006109699</v>
      </c>
      <c r="P6267" s="14">
        <v>0.36227229656651599</v>
      </c>
      <c r="Q6267" t="str">
        <f t="shared" si="194"/>
        <v>&lt;01</v>
      </c>
      <c r="R6267" t="str">
        <f t="shared" si="195"/>
        <v>[umc2n1Z4wNv]|&lt;01|Male|NEW_INFECTIONS_SUBNAT.T|CY2024Q3</v>
      </c>
    </row>
    <row r="6268" spans="4:18" x14ac:dyDescent="0.2">
      <c r="D6268" t="s">
        <v>92</v>
      </c>
      <c r="E6268" t="s">
        <v>93</v>
      </c>
      <c r="F6268" t="s">
        <v>94</v>
      </c>
      <c r="G6268" t="s">
        <v>169</v>
      </c>
      <c r="H6268" t="s">
        <v>169</v>
      </c>
      <c r="I6268" t="s">
        <v>32</v>
      </c>
      <c r="J6268" t="s">
        <v>33</v>
      </c>
      <c r="K6268" t="s">
        <v>47</v>
      </c>
      <c r="L6268" t="s">
        <v>48</v>
      </c>
      <c r="M6268" t="s">
        <v>166</v>
      </c>
      <c r="N6268">
        <v>1348</v>
      </c>
      <c r="O6268" s="14">
        <v>0.14550228766165699</v>
      </c>
      <c r="P6268" s="14">
        <v>0.36227229656651599</v>
      </c>
      <c r="Q6268" t="str">
        <f t="shared" si="194"/>
        <v>01-09</v>
      </c>
      <c r="R6268" t="str">
        <f t="shared" si="195"/>
        <v>[umc2n1Z4wNv]|01-09|Male|NEW_INFECTIONS_SUBNAT.T|CY2024Q3</v>
      </c>
    </row>
    <row r="6269" spans="4:18" x14ac:dyDescent="0.2">
      <c r="D6269" t="s">
        <v>92</v>
      </c>
      <c r="E6269" t="s">
        <v>93</v>
      </c>
      <c r="F6269" t="s">
        <v>94</v>
      </c>
      <c r="G6269" t="s">
        <v>169</v>
      </c>
      <c r="H6269" t="s">
        <v>169</v>
      </c>
      <c r="I6269" t="s">
        <v>35</v>
      </c>
      <c r="J6269" t="s">
        <v>36</v>
      </c>
      <c r="K6269" t="s">
        <v>47</v>
      </c>
      <c r="L6269" t="s">
        <v>48</v>
      </c>
      <c r="M6269" t="s">
        <v>166</v>
      </c>
      <c r="N6269">
        <v>819</v>
      </c>
      <c r="O6269" s="14">
        <v>0.95496715838089596</v>
      </c>
      <c r="P6269" s="14">
        <v>0.36227229656651599</v>
      </c>
      <c r="Q6269" t="str">
        <f t="shared" si="194"/>
        <v>10-14</v>
      </c>
      <c r="R6269" t="str">
        <f t="shared" si="195"/>
        <v>[umc2n1Z4wNv]|10-14|Male|NEW_INFECTIONS_SUBNAT.T|CY2024Q3</v>
      </c>
    </row>
    <row r="6270" spans="4:18" x14ac:dyDescent="0.2">
      <c r="D6270" t="s">
        <v>92</v>
      </c>
      <c r="E6270" t="s">
        <v>93</v>
      </c>
      <c r="F6270" t="s">
        <v>94</v>
      </c>
      <c r="G6270" t="s">
        <v>169</v>
      </c>
      <c r="H6270" t="s">
        <v>169</v>
      </c>
      <c r="I6270" t="s">
        <v>37</v>
      </c>
      <c r="J6270" t="s">
        <v>38</v>
      </c>
      <c r="K6270" t="s">
        <v>47</v>
      </c>
      <c r="L6270" t="s">
        <v>48</v>
      </c>
      <c r="M6270" t="s">
        <v>166</v>
      </c>
      <c r="N6270">
        <v>1773</v>
      </c>
      <c r="O6270" s="14">
        <v>0.45552391000092002</v>
      </c>
      <c r="P6270" s="14">
        <v>0.36227229656651599</v>
      </c>
      <c r="Q6270" t="str">
        <f t="shared" si="194"/>
        <v>15-24</v>
      </c>
      <c r="R6270" t="str">
        <f t="shared" si="195"/>
        <v>[umc2n1Z4wNv]|15-24|Male|NEW_INFECTIONS_SUBNAT.T|CY2024Q3</v>
      </c>
    </row>
    <row r="6271" spans="4:18" x14ac:dyDescent="0.2">
      <c r="D6271" t="s">
        <v>92</v>
      </c>
      <c r="E6271" t="s">
        <v>93</v>
      </c>
      <c r="F6271" t="s">
        <v>94</v>
      </c>
      <c r="G6271" t="s">
        <v>169</v>
      </c>
      <c r="H6271" t="s">
        <v>169</v>
      </c>
      <c r="I6271" t="s">
        <v>40</v>
      </c>
      <c r="J6271" t="s">
        <v>41</v>
      </c>
      <c r="K6271" t="s">
        <v>47</v>
      </c>
      <c r="L6271" t="s">
        <v>48</v>
      </c>
      <c r="M6271" t="s">
        <v>166</v>
      </c>
      <c r="N6271">
        <v>1635</v>
      </c>
      <c r="O6271" s="14">
        <v>6.8957065697759404E-2</v>
      </c>
      <c r="P6271" s="14">
        <v>0.36227229656651599</v>
      </c>
      <c r="Q6271" t="str">
        <f t="shared" si="194"/>
        <v>25-34</v>
      </c>
      <c r="R6271" t="str">
        <f t="shared" si="195"/>
        <v>[umc2n1Z4wNv]|25-34|Male|NEW_INFECTIONS_SUBNAT.T|CY2024Q3</v>
      </c>
    </row>
    <row r="6272" spans="4:18" x14ac:dyDescent="0.2">
      <c r="D6272" t="s">
        <v>92</v>
      </c>
      <c r="E6272" t="s">
        <v>93</v>
      </c>
      <c r="F6272" t="s">
        <v>94</v>
      </c>
      <c r="G6272" t="s">
        <v>169</v>
      </c>
      <c r="H6272" t="s">
        <v>169</v>
      </c>
      <c r="I6272" t="s">
        <v>42</v>
      </c>
      <c r="J6272" t="s">
        <v>43</v>
      </c>
      <c r="K6272" t="s">
        <v>47</v>
      </c>
      <c r="L6272" t="s">
        <v>48</v>
      </c>
      <c r="M6272" t="s">
        <v>166</v>
      </c>
      <c r="N6272">
        <v>1476</v>
      </c>
      <c r="O6272" s="14">
        <v>3.8870494579896303E-2</v>
      </c>
      <c r="P6272" s="14">
        <v>0.36227229656651599</v>
      </c>
      <c r="Q6272" t="str">
        <f t="shared" si="194"/>
        <v>35-49</v>
      </c>
      <c r="R6272" t="str">
        <f t="shared" si="195"/>
        <v>[umc2n1Z4wNv]|35-49|Male|NEW_INFECTIONS_SUBNAT.T|CY2024Q3</v>
      </c>
    </row>
    <row r="6273" spans="4:18" x14ac:dyDescent="0.2">
      <c r="D6273" t="s">
        <v>92</v>
      </c>
      <c r="E6273" t="s">
        <v>93</v>
      </c>
      <c r="F6273" t="s">
        <v>94</v>
      </c>
      <c r="G6273" t="s">
        <v>169</v>
      </c>
      <c r="H6273" t="s">
        <v>169</v>
      </c>
      <c r="I6273" t="s">
        <v>44</v>
      </c>
      <c r="J6273" t="s">
        <v>45</v>
      </c>
      <c r="K6273" t="s">
        <v>47</v>
      </c>
      <c r="L6273" t="s">
        <v>48</v>
      </c>
      <c r="M6273" t="s">
        <v>166</v>
      </c>
      <c r="N6273">
        <v>1349</v>
      </c>
      <c r="O6273" s="14">
        <v>0.40198320336639898</v>
      </c>
      <c r="P6273" s="14">
        <v>0.36227229656651599</v>
      </c>
      <c r="Q6273" t="str">
        <f t="shared" si="194"/>
        <v>50+</v>
      </c>
      <c r="R6273" t="str">
        <f t="shared" si="195"/>
        <v>[umc2n1Z4wNv]|50+|Male|NEW_INFECTIONS_SUBNAT.T|CY2024Q3</v>
      </c>
    </row>
    <row r="6274" spans="4:18" x14ac:dyDescent="0.2">
      <c r="D6274" t="s">
        <v>95</v>
      </c>
      <c r="E6274" t="s">
        <v>96</v>
      </c>
      <c r="F6274" t="s">
        <v>97</v>
      </c>
      <c r="G6274" t="s">
        <v>169</v>
      </c>
      <c r="H6274" t="s">
        <v>169</v>
      </c>
      <c r="I6274" t="s">
        <v>27</v>
      </c>
      <c r="J6274" t="s">
        <v>28</v>
      </c>
      <c r="K6274" t="s">
        <v>29</v>
      </c>
      <c r="L6274" t="s">
        <v>30</v>
      </c>
      <c r="M6274" t="s">
        <v>166</v>
      </c>
      <c r="N6274">
        <v>577</v>
      </c>
      <c r="O6274" s="14">
        <v>0.57659239321947098</v>
      </c>
      <c r="P6274" s="14">
        <v>0.60125171788968101</v>
      </c>
      <c r="Q6274" t="str">
        <f t="shared" ref="Q6274:Q6337" si="196">SUBSTITUTE(SUBSTITUTE($I6274,CHAR(61),""),CHAR(34),"")</f>
        <v>&lt;01</v>
      </c>
      <c r="R6274" t="str">
        <f t="shared" ref="R6274:R6337" si="197">IF($D6274&lt;&gt;"","["&amp;$E6274&amp;"]"&amp;"|"&amp;$Q6274&amp;"|"&amp;$K6274&amp;"|"&amp;$G6274&amp;"|"&amp;IF($G6274="TX_CURR_SUBNAT.R","CY2022Q4",$M6274),"")</f>
        <v>[gwVYinjBAe9]|&lt;01|Female|NEW_INFECTIONS_SUBNAT.T|CY2024Q3</v>
      </c>
    </row>
    <row r="6275" spans="4:18" x14ac:dyDescent="0.2">
      <c r="D6275" t="s">
        <v>95</v>
      </c>
      <c r="E6275" t="s">
        <v>96</v>
      </c>
      <c r="F6275" t="s">
        <v>97</v>
      </c>
      <c r="G6275" t="s">
        <v>169</v>
      </c>
      <c r="H6275" t="s">
        <v>169</v>
      </c>
      <c r="I6275" t="s">
        <v>32</v>
      </c>
      <c r="J6275" t="s">
        <v>33</v>
      </c>
      <c r="K6275" t="s">
        <v>29</v>
      </c>
      <c r="L6275" t="s">
        <v>30</v>
      </c>
      <c r="M6275" t="s">
        <v>166</v>
      </c>
      <c r="N6275">
        <v>597</v>
      </c>
      <c r="O6275" s="14">
        <v>0.399333252804354</v>
      </c>
      <c r="P6275" s="14">
        <v>0.60125171788968101</v>
      </c>
      <c r="Q6275" t="str">
        <f t="shared" si="196"/>
        <v>01-09</v>
      </c>
      <c r="R6275" t="str">
        <f t="shared" si="197"/>
        <v>[gwVYinjBAe9]|01-09|Female|NEW_INFECTIONS_SUBNAT.T|CY2024Q3</v>
      </c>
    </row>
    <row r="6276" spans="4:18" x14ac:dyDescent="0.2">
      <c r="D6276" t="s">
        <v>95</v>
      </c>
      <c r="E6276" t="s">
        <v>96</v>
      </c>
      <c r="F6276" t="s">
        <v>97</v>
      </c>
      <c r="G6276" t="s">
        <v>169</v>
      </c>
      <c r="H6276" t="s">
        <v>169</v>
      </c>
      <c r="I6276" t="s">
        <v>35</v>
      </c>
      <c r="J6276" t="s">
        <v>36</v>
      </c>
      <c r="K6276" t="s">
        <v>29</v>
      </c>
      <c r="L6276" t="s">
        <v>30</v>
      </c>
      <c r="M6276" t="s">
        <v>166</v>
      </c>
      <c r="N6276">
        <v>957</v>
      </c>
      <c r="O6276" s="14">
        <v>0.228515452472493</v>
      </c>
      <c r="P6276" s="14">
        <v>0.60125171788968101</v>
      </c>
      <c r="Q6276" t="str">
        <f t="shared" si="196"/>
        <v>10-14</v>
      </c>
      <c r="R6276" t="str">
        <f t="shared" si="197"/>
        <v>[gwVYinjBAe9]|10-14|Female|NEW_INFECTIONS_SUBNAT.T|CY2024Q3</v>
      </c>
    </row>
    <row r="6277" spans="4:18" x14ac:dyDescent="0.2">
      <c r="D6277" t="s">
        <v>95</v>
      </c>
      <c r="E6277" t="s">
        <v>96</v>
      </c>
      <c r="F6277" t="s">
        <v>97</v>
      </c>
      <c r="G6277" t="s">
        <v>169</v>
      </c>
      <c r="H6277" t="s">
        <v>169</v>
      </c>
      <c r="I6277" t="s">
        <v>37</v>
      </c>
      <c r="J6277" t="s">
        <v>38</v>
      </c>
      <c r="K6277" t="s">
        <v>29</v>
      </c>
      <c r="L6277" t="s">
        <v>30</v>
      </c>
      <c r="M6277" t="s">
        <v>166</v>
      </c>
      <c r="N6277">
        <v>917</v>
      </c>
      <c r="O6277" s="14">
        <v>0.15198344388045401</v>
      </c>
      <c r="P6277" s="14">
        <v>0.60125171788968101</v>
      </c>
      <c r="Q6277" t="str">
        <f t="shared" si="196"/>
        <v>15-24</v>
      </c>
      <c r="R6277" t="str">
        <f t="shared" si="197"/>
        <v>[gwVYinjBAe9]|15-24|Female|NEW_INFECTIONS_SUBNAT.T|CY2024Q3</v>
      </c>
    </row>
    <row r="6278" spans="4:18" x14ac:dyDescent="0.2">
      <c r="D6278" t="s">
        <v>95</v>
      </c>
      <c r="E6278" t="s">
        <v>96</v>
      </c>
      <c r="F6278" t="s">
        <v>97</v>
      </c>
      <c r="G6278" t="s">
        <v>169</v>
      </c>
      <c r="H6278" t="s">
        <v>169</v>
      </c>
      <c r="I6278" t="s">
        <v>40</v>
      </c>
      <c r="J6278" t="s">
        <v>41</v>
      </c>
      <c r="K6278" t="s">
        <v>29</v>
      </c>
      <c r="L6278" t="s">
        <v>30</v>
      </c>
      <c r="M6278" t="s">
        <v>166</v>
      </c>
      <c r="N6278">
        <v>1301</v>
      </c>
      <c r="O6278" s="14">
        <v>0.569767293520272</v>
      </c>
      <c r="P6278" s="14">
        <v>0.60125171788968101</v>
      </c>
      <c r="Q6278" t="str">
        <f t="shared" si="196"/>
        <v>25-34</v>
      </c>
      <c r="R6278" t="str">
        <f t="shared" si="197"/>
        <v>[gwVYinjBAe9]|25-34|Female|NEW_INFECTIONS_SUBNAT.T|CY2024Q3</v>
      </c>
    </row>
    <row r="6279" spans="4:18" x14ac:dyDescent="0.2">
      <c r="D6279" t="s">
        <v>95</v>
      </c>
      <c r="E6279" t="s">
        <v>96</v>
      </c>
      <c r="F6279" t="s">
        <v>97</v>
      </c>
      <c r="G6279" t="s">
        <v>169</v>
      </c>
      <c r="H6279" t="s">
        <v>169</v>
      </c>
      <c r="I6279" t="s">
        <v>42</v>
      </c>
      <c r="J6279" t="s">
        <v>43</v>
      </c>
      <c r="K6279" t="s">
        <v>29</v>
      </c>
      <c r="L6279" t="s">
        <v>30</v>
      </c>
      <c r="M6279" t="s">
        <v>166</v>
      </c>
      <c r="N6279">
        <v>1352</v>
      </c>
      <c r="O6279" s="14">
        <v>0.81920730555430099</v>
      </c>
      <c r="P6279" s="14">
        <v>0.60125171788968101</v>
      </c>
      <c r="Q6279" t="str">
        <f t="shared" si="196"/>
        <v>35-49</v>
      </c>
      <c r="R6279" t="str">
        <f t="shared" si="197"/>
        <v>[gwVYinjBAe9]|35-49|Female|NEW_INFECTIONS_SUBNAT.T|CY2024Q3</v>
      </c>
    </row>
    <row r="6280" spans="4:18" x14ac:dyDescent="0.2">
      <c r="D6280" t="s">
        <v>95</v>
      </c>
      <c r="E6280" t="s">
        <v>96</v>
      </c>
      <c r="F6280" t="s">
        <v>97</v>
      </c>
      <c r="G6280" t="s">
        <v>169</v>
      </c>
      <c r="H6280" t="s">
        <v>169</v>
      </c>
      <c r="I6280" t="s">
        <v>44</v>
      </c>
      <c r="J6280" t="s">
        <v>45</v>
      </c>
      <c r="K6280" t="s">
        <v>29</v>
      </c>
      <c r="L6280" t="s">
        <v>30</v>
      </c>
      <c r="M6280" t="s">
        <v>166</v>
      </c>
      <c r="N6280">
        <v>1145</v>
      </c>
      <c r="O6280" s="14">
        <v>0.778795923339203</v>
      </c>
      <c r="P6280" s="14">
        <v>0.60125171788968101</v>
      </c>
      <c r="Q6280" t="str">
        <f t="shared" si="196"/>
        <v>50+</v>
      </c>
      <c r="R6280" t="str">
        <f t="shared" si="197"/>
        <v>[gwVYinjBAe9]|50+|Female|NEW_INFECTIONS_SUBNAT.T|CY2024Q3</v>
      </c>
    </row>
    <row r="6281" spans="4:18" x14ac:dyDescent="0.2">
      <c r="D6281" t="s">
        <v>95</v>
      </c>
      <c r="E6281" t="s">
        <v>96</v>
      </c>
      <c r="F6281" t="s">
        <v>97</v>
      </c>
      <c r="G6281" t="s">
        <v>169</v>
      </c>
      <c r="H6281" t="s">
        <v>169</v>
      </c>
      <c r="I6281" t="s">
        <v>27</v>
      </c>
      <c r="J6281" t="s">
        <v>28</v>
      </c>
      <c r="K6281" t="s">
        <v>47</v>
      </c>
      <c r="L6281" t="s">
        <v>48</v>
      </c>
      <c r="M6281" t="s">
        <v>166</v>
      </c>
      <c r="N6281">
        <v>1492</v>
      </c>
      <c r="O6281" s="14">
        <v>0.26336969970725499</v>
      </c>
      <c r="P6281" s="14">
        <v>0.60125171788968101</v>
      </c>
      <c r="Q6281" t="str">
        <f t="shared" si="196"/>
        <v>&lt;01</v>
      </c>
      <c r="R6281" t="str">
        <f t="shared" si="197"/>
        <v>[gwVYinjBAe9]|&lt;01|Male|NEW_INFECTIONS_SUBNAT.T|CY2024Q3</v>
      </c>
    </row>
    <row r="6282" spans="4:18" x14ac:dyDescent="0.2">
      <c r="D6282" t="s">
        <v>95</v>
      </c>
      <c r="E6282" t="s">
        <v>96</v>
      </c>
      <c r="F6282" t="s">
        <v>97</v>
      </c>
      <c r="G6282" t="s">
        <v>169</v>
      </c>
      <c r="H6282" t="s">
        <v>169</v>
      </c>
      <c r="I6282" t="s">
        <v>32</v>
      </c>
      <c r="J6282" t="s">
        <v>33</v>
      </c>
      <c r="K6282" t="s">
        <v>47</v>
      </c>
      <c r="L6282" t="s">
        <v>48</v>
      </c>
      <c r="M6282" t="s">
        <v>166</v>
      </c>
      <c r="N6282">
        <v>1299</v>
      </c>
      <c r="O6282" s="14">
        <v>0.83102026372216597</v>
      </c>
      <c r="P6282" s="14">
        <v>0.60125171788968101</v>
      </c>
      <c r="Q6282" t="str">
        <f t="shared" si="196"/>
        <v>01-09</v>
      </c>
      <c r="R6282" t="str">
        <f t="shared" si="197"/>
        <v>[gwVYinjBAe9]|01-09|Male|NEW_INFECTIONS_SUBNAT.T|CY2024Q3</v>
      </c>
    </row>
    <row r="6283" spans="4:18" x14ac:dyDescent="0.2">
      <c r="D6283" t="s">
        <v>95</v>
      </c>
      <c r="E6283" t="s">
        <v>96</v>
      </c>
      <c r="F6283" t="s">
        <v>97</v>
      </c>
      <c r="G6283" t="s">
        <v>169</v>
      </c>
      <c r="H6283" t="s">
        <v>169</v>
      </c>
      <c r="I6283" t="s">
        <v>35</v>
      </c>
      <c r="J6283" t="s">
        <v>36</v>
      </c>
      <c r="K6283" t="s">
        <v>47</v>
      </c>
      <c r="L6283" t="s">
        <v>48</v>
      </c>
      <c r="M6283" t="s">
        <v>166</v>
      </c>
      <c r="N6283">
        <v>814</v>
      </c>
      <c r="O6283" s="14">
        <v>9.1309730894863605E-2</v>
      </c>
      <c r="P6283" s="14">
        <v>0.60125171788968101</v>
      </c>
      <c r="Q6283" t="str">
        <f t="shared" si="196"/>
        <v>10-14</v>
      </c>
      <c r="R6283" t="str">
        <f t="shared" si="197"/>
        <v>[gwVYinjBAe9]|10-14|Male|NEW_INFECTIONS_SUBNAT.T|CY2024Q3</v>
      </c>
    </row>
    <row r="6284" spans="4:18" x14ac:dyDescent="0.2">
      <c r="D6284" t="s">
        <v>95</v>
      </c>
      <c r="E6284" t="s">
        <v>96</v>
      </c>
      <c r="F6284" t="s">
        <v>97</v>
      </c>
      <c r="G6284" t="s">
        <v>169</v>
      </c>
      <c r="H6284" t="s">
        <v>169</v>
      </c>
      <c r="I6284" t="s">
        <v>37</v>
      </c>
      <c r="J6284" t="s">
        <v>38</v>
      </c>
      <c r="K6284" t="s">
        <v>47</v>
      </c>
      <c r="L6284" t="s">
        <v>48</v>
      </c>
      <c r="M6284" t="s">
        <v>166</v>
      </c>
      <c r="N6284">
        <v>1530</v>
      </c>
      <c r="O6284" s="14">
        <v>0.38964632246643299</v>
      </c>
      <c r="P6284" s="14">
        <v>0.60125171788968101</v>
      </c>
      <c r="Q6284" t="str">
        <f t="shared" si="196"/>
        <v>15-24</v>
      </c>
      <c r="R6284" t="str">
        <f t="shared" si="197"/>
        <v>[gwVYinjBAe9]|15-24|Male|NEW_INFECTIONS_SUBNAT.T|CY2024Q3</v>
      </c>
    </row>
    <row r="6285" spans="4:18" x14ac:dyDescent="0.2">
      <c r="D6285" t="s">
        <v>95</v>
      </c>
      <c r="E6285" t="s">
        <v>96</v>
      </c>
      <c r="F6285" t="s">
        <v>97</v>
      </c>
      <c r="G6285" t="s">
        <v>169</v>
      </c>
      <c r="H6285" t="s">
        <v>169</v>
      </c>
      <c r="I6285" t="s">
        <v>40</v>
      </c>
      <c r="J6285" t="s">
        <v>41</v>
      </c>
      <c r="K6285" t="s">
        <v>47</v>
      </c>
      <c r="L6285" t="s">
        <v>48</v>
      </c>
      <c r="M6285" t="s">
        <v>166</v>
      </c>
      <c r="N6285">
        <v>627</v>
      </c>
      <c r="O6285" s="14">
        <v>7.1162160485982895E-2</v>
      </c>
      <c r="P6285" s="14">
        <v>0.60125171788968101</v>
      </c>
      <c r="Q6285" t="str">
        <f t="shared" si="196"/>
        <v>25-34</v>
      </c>
      <c r="R6285" t="str">
        <f t="shared" si="197"/>
        <v>[gwVYinjBAe9]|25-34|Male|NEW_INFECTIONS_SUBNAT.T|CY2024Q3</v>
      </c>
    </row>
    <row r="6286" spans="4:18" x14ac:dyDescent="0.2">
      <c r="D6286" t="s">
        <v>95</v>
      </c>
      <c r="E6286" t="s">
        <v>96</v>
      </c>
      <c r="F6286" t="s">
        <v>97</v>
      </c>
      <c r="G6286" t="s">
        <v>169</v>
      </c>
      <c r="H6286" t="s">
        <v>169</v>
      </c>
      <c r="I6286" t="s">
        <v>42</v>
      </c>
      <c r="J6286" t="s">
        <v>43</v>
      </c>
      <c r="K6286" t="s">
        <v>47</v>
      </c>
      <c r="L6286" t="s">
        <v>48</v>
      </c>
      <c r="M6286" t="s">
        <v>166</v>
      </c>
      <c r="N6286">
        <v>860</v>
      </c>
      <c r="O6286" s="14">
        <v>0.59575975360348798</v>
      </c>
      <c r="P6286" s="14">
        <v>0.60125171788968101</v>
      </c>
      <c r="Q6286" t="str">
        <f t="shared" si="196"/>
        <v>35-49</v>
      </c>
      <c r="R6286" t="str">
        <f t="shared" si="197"/>
        <v>[gwVYinjBAe9]|35-49|Male|NEW_INFECTIONS_SUBNAT.T|CY2024Q3</v>
      </c>
    </row>
    <row r="6287" spans="4:18" x14ac:dyDescent="0.2">
      <c r="D6287" t="s">
        <v>95</v>
      </c>
      <c r="E6287" t="s">
        <v>96</v>
      </c>
      <c r="F6287" t="s">
        <v>97</v>
      </c>
      <c r="G6287" t="s">
        <v>169</v>
      </c>
      <c r="H6287" t="s">
        <v>169</v>
      </c>
      <c r="I6287" t="s">
        <v>44</v>
      </c>
      <c r="J6287" t="s">
        <v>45</v>
      </c>
      <c r="K6287" t="s">
        <v>47</v>
      </c>
      <c r="L6287" t="s">
        <v>48</v>
      </c>
      <c r="M6287" t="s">
        <v>166</v>
      </c>
      <c r="N6287">
        <v>641</v>
      </c>
      <c r="O6287" s="14">
        <v>0.53802373283542704</v>
      </c>
      <c r="P6287" s="14">
        <v>0.60125171788968101</v>
      </c>
      <c r="Q6287" t="str">
        <f t="shared" si="196"/>
        <v>50+</v>
      </c>
      <c r="R6287" t="str">
        <f t="shared" si="197"/>
        <v>[gwVYinjBAe9]|50+|Male|NEW_INFECTIONS_SUBNAT.T|CY2024Q3</v>
      </c>
    </row>
    <row r="6288" spans="4:18" x14ac:dyDescent="0.2">
      <c r="D6288" t="s">
        <v>98</v>
      </c>
      <c r="E6288" t="s">
        <v>99</v>
      </c>
      <c r="F6288" t="s">
        <v>100</v>
      </c>
      <c r="G6288" t="s">
        <v>169</v>
      </c>
      <c r="H6288" t="s">
        <v>169</v>
      </c>
      <c r="I6288" t="s">
        <v>27</v>
      </c>
      <c r="J6288" t="s">
        <v>28</v>
      </c>
      <c r="K6288" t="s">
        <v>29</v>
      </c>
      <c r="L6288" t="s">
        <v>30</v>
      </c>
      <c r="M6288" t="s">
        <v>166</v>
      </c>
      <c r="N6288">
        <v>952</v>
      </c>
      <c r="O6288" s="14">
        <v>0.72324092593043998</v>
      </c>
      <c r="P6288" s="14">
        <v>0.57728803809732199</v>
      </c>
      <c r="Q6288" t="str">
        <f t="shared" si="196"/>
        <v>&lt;01</v>
      </c>
      <c r="R6288" t="str">
        <f t="shared" si="197"/>
        <v>[mxqa3CDFmIT]|&lt;01|Female|NEW_INFECTIONS_SUBNAT.T|CY2024Q3</v>
      </c>
    </row>
    <row r="6289" spans="4:18" x14ac:dyDescent="0.2">
      <c r="D6289" t="s">
        <v>98</v>
      </c>
      <c r="E6289" t="s">
        <v>99</v>
      </c>
      <c r="F6289" t="s">
        <v>100</v>
      </c>
      <c r="G6289" t="s">
        <v>169</v>
      </c>
      <c r="H6289" t="s">
        <v>169</v>
      </c>
      <c r="I6289" t="s">
        <v>32</v>
      </c>
      <c r="J6289" t="s">
        <v>33</v>
      </c>
      <c r="K6289" t="s">
        <v>29</v>
      </c>
      <c r="L6289" t="s">
        <v>30</v>
      </c>
      <c r="M6289" t="s">
        <v>166</v>
      </c>
      <c r="N6289">
        <v>537</v>
      </c>
      <c r="O6289" s="14">
        <v>0.28232446382753601</v>
      </c>
      <c r="P6289" s="14">
        <v>0.57728803809732199</v>
      </c>
      <c r="Q6289" t="str">
        <f t="shared" si="196"/>
        <v>01-09</v>
      </c>
      <c r="R6289" t="str">
        <f t="shared" si="197"/>
        <v>[mxqa3CDFmIT]|01-09|Female|NEW_INFECTIONS_SUBNAT.T|CY2024Q3</v>
      </c>
    </row>
    <row r="6290" spans="4:18" x14ac:dyDescent="0.2">
      <c r="D6290" t="s">
        <v>98</v>
      </c>
      <c r="E6290" t="s">
        <v>99</v>
      </c>
      <c r="F6290" t="s">
        <v>100</v>
      </c>
      <c r="G6290" t="s">
        <v>169</v>
      </c>
      <c r="H6290" t="s">
        <v>169</v>
      </c>
      <c r="I6290" t="s">
        <v>35</v>
      </c>
      <c r="J6290" t="s">
        <v>36</v>
      </c>
      <c r="K6290" t="s">
        <v>29</v>
      </c>
      <c r="L6290" t="s">
        <v>30</v>
      </c>
      <c r="M6290" t="s">
        <v>166</v>
      </c>
      <c r="N6290">
        <v>1291</v>
      </c>
      <c r="O6290" s="14">
        <v>0.59633448044769499</v>
      </c>
      <c r="P6290" s="14">
        <v>0.57728803809732199</v>
      </c>
      <c r="Q6290" t="str">
        <f t="shared" si="196"/>
        <v>10-14</v>
      </c>
      <c r="R6290" t="str">
        <f t="shared" si="197"/>
        <v>[mxqa3CDFmIT]|10-14|Female|NEW_INFECTIONS_SUBNAT.T|CY2024Q3</v>
      </c>
    </row>
    <row r="6291" spans="4:18" x14ac:dyDescent="0.2">
      <c r="D6291" t="s">
        <v>98</v>
      </c>
      <c r="E6291" t="s">
        <v>99</v>
      </c>
      <c r="F6291" t="s">
        <v>100</v>
      </c>
      <c r="G6291" t="s">
        <v>169</v>
      </c>
      <c r="H6291" t="s">
        <v>169</v>
      </c>
      <c r="I6291" t="s">
        <v>37</v>
      </c>
      <c r="J6291" t="s">
        <v>38</v>
      </c>
      <c r="K6291" t="s">
        <v>29</v>
      </c>
      <c r="L6291" t="s">
        <v>30</v>
      </c>
      <c r="M6291" t="s">
        <v>166</v>
      </c>
      <c r="N6291">
        <v>743</v>
      </c>
      <c r="O6291" s="14">
        <v>8.2384263630956397E-2</v>
      </c>
      <c r="P6291" s="14">
        <v>0.57728803809732199</v>
      </c>
      <c r="Q6291" t="str">
        <f t="shared" si="196"/>
        <v>15-24</v>
      </c>
      <c r="R6291" t="str">
        <f t="shared" si="197"/>
        <v>[mxqa3CDFmIT]|15-24|Female|NEW_INFECTIONS_SUBNAT.T|CY2024Q3</v>
      </c>
    </row>
    <row r="6292" spans="4:18" x14ac:dyDescent="0.2">
      <c r="D6292" t="s">
        <v>98</v>
      </c>
      <c r="E6292" t="s">
        <v>99</v>
      </c>
      <c r="F6292" t="s">
        <v>100</v>
      </c>
      <c r="G6292" t="s">
        <v>169</v>
      </c>
      <c r="H6292" t="s">
        <v>169</v>
      </c>
      <c r="I6292" t="s">
        <v>40</v>
      </c>
      <c r="J6292" t="s">
        <v>41</v>
      </c>
      <c r="K6292" t="s">
        <v>29</v>
      </c>
      <c r="L6292" t="s">
        <v>30</v>
      </c>
      <c r="M6292" t="s">
        <v>166</v>
      </c>
      <c r="N6292">
        <v>1193</v>
      </c>
      <c r="O6292" s="14">
        <v>0.97227107360959097</v>
      </c>
      <c r="P6292" s="14">
        <v>0.57728803809732199</v>
      </c>
      <c r="Q6292" t="str">
        <f t="shared" si="196"/>
        <v>25-34</v>
      </c>
      <c r="R6292" t="str">
        <f t="shared" si="197"/>
        <v>[mxqa3CDFmIT]|25-34|Female|NEW_INFECTIONS_SUBNAT.T|CY2024Q3</v>
      </c>
    </row>
    <row r="6293" spans="4:18" x14ac:dyDescent="0.2">
      <c r="D6293" t="s">
        <v>98</v>
      </c>
      <c r="E6293" t="s">
        <v>99</v>
      </c>
      <c r="F6293" t="s">
        <v>100</v>
      </c>
      <c r="G6293" t="s">
        <v>169</v>
      </c>
      <c r="H6293" t="s">
        <v>169</v>
      </c>
      <c r="I6293" t="s">
        <v>42</v>
      </c>
      <c r="J6293" t="s">
        <v>43</v>
      </c>
      <c r="K6293" t="s">
        <v>29</v>
      </c>
      <c r="L6293" t="s">
        <v>30</v>
      </c>
      <c r="M6293" t="s">
        <v>166</v>
      </c>
      <c r="N6293">
        <v>619</v>
      </c>
      <c r="O6293" s="14">
        <v>0.39327053097076697</v>
      </c>
      <c r="P6293" s="14">
        <v>0.57728803809732199</v>
      </c>
      <c r="Q6293" t="str">
        <f t="shared" si="196"/>
        <v>35-49</v>
      </c>
      <c r="R6293" t="str">
        <f t="shared" si="197"/>
        <v>[mxqa3CDFmIT]|35-49|Female|NEW_INFECTIONS_SUBNAT.T|CY2024Q3</v>
      </c>
    </row>
    <row r="6294" spans="4:18" x14ac:dyDescent="0.2">
      <c r="D6294" t="s">
        <v>98</v>
      </c>
      <c r="E6294" t="s">
        <v>99</v>
      </c>
      <c r="F6294" t="s">
        <v>100</v>
      </c>
      <c r="G6294" t="s">
        <v>169</v>
      </c>
      <c r="H6294" t="s">
        <v>169</v>
      </c>
      <c r="I6294" t="s">
        <v>44</v>
      </c>
      <c r="J6294" t="s">
        <v>45</v>
      </c>
      <c r="K6294" t="s">
        <v>29</v>
      </c>
      <c r="L6294" t="s">
        <v>30</v>
      </c>
      <c r="M6294" t="s">
        <v>166</v>
      </c>
      <c r="N6294">
        <v>1410</v>
      </c>
      <c r="O6294" s="14">
        <v>0.57506012148223795</v>
      </c>
      <c r="P6294" s="14">
        <v>0.57728803809732199</v>
      </c>
      <c r="Q6294" t="str">
        <f t="shared" si="196"/>
        <v>50+</v>
      </c>
      <c r="R6294" t="str">
        <f t="shared" si="197"/>
        <v>[mxqa3CDFmIT]|50+|Female|NEW_INFECTIONS_SUBNAT.T|CY2024Q3</v>
      </c>
    </row>
    <row r="6295" spans="4:18" x14ac:dyDescent="0.2">
      <c r="D6295" t="s">
        <v>98</v>
      </c>
      <c r="E6295" t="s">
        <v>99</v>
      </c>
      <c r="F6295" t="s">
        <v>100</v>
      </c>
      <c r="G6295" t="s">
        <v>169</v>
      </c>
      <c r="H6295" t="s">
        <v>169</v>
      </c>
      <c r="I6295" t="s">
        <v>27</v>
      </c>
      <c r="J6295" t="s">
        <v>28</v>
      </c>
      <c r="K6295" t="s">
        <v>47</v>
      </c>
      <c r="L6295" t="s">
        <v>48</v>
      </c>
      <c r="M6295" t="s">
        <v>166</v>
      </c>
      <c r="N6295">
        <v>1195</v>
      </c>
      <c r="O6295" s="14">
        <v>0.58578812517225698</v>
      </c>
      <c r="P6295" s="14">
        <v>0.57728803809732199</v>
      </c>
      <c r="Q6295" t="str">
        <f t="shared" si="196"/>
        <v>&lt;01</v>
      </c>
      <c r="R6295" t="str">
        <f t="shared" si="197"/>
        <v>[mxqa3CDFmIT]|&lt;01|Male|NEW_INFECTIONS_SUBNAT.T|CY2024Q3</v>
      </c>
    </row>
    <row r="6296" spans="4:18" x14ac:dyDescent="0.2">
      <c r="D6296" t="s">
        <v>98</v>
      </c>
      <c r="E6296" t="s">
        <v>99</v>
      </c>
      <c r="F6296" t="s">
        <v>100</v>
      </c>
      <c r="G6296" t="s">
        <v>169</v>
      </c>
      <c r="H6296" t="s">
        <v>169</v>
      </c>
      <c r="I6296" t="s">
        <v>32</v>
      </c>
      <c r="J6296" t="s">
        <v>33</v>
      </c>
      <c r="K6296" t="s">
        <v>47</v>
      </c>
      <c r="L6296" t="s">
        <v>48</v>
      </c>
      <c r="M6296" t="s">
        <v>166</v>
      </c>
      <c r="N6296">
        <v>909</v>
      </c>
      <c r="O6296" s="14">
        <v>0.71838564891368195</v>
      </c>
      <c r="P6296" s="14">
        <v>0.57728803809732199</v>
      </c>
      <c r="Q6296" t="str">
        <f t="shared" si="196"/>
        <v>01-09</v>
      </c>
      <c r="R6296" t="str">
        <f t="shared" si="197"/>
        <v>[mxqa3CDFmIT]|01-09|Male|NEW_INFECTIONS_SUBNAT.T|CY2024Q3</v>
      </c>
    </row>
    <row r="6297" spans="4:18" x14ac:dyDescent="0.2">
      <c r="D6297" t="s">
        <v>98</v>
      </c>
      <c r="E6297" t="s">
        <v>99</v>
      </c>
      <c r="F6297" t="s">
        <v>100</v>
      </c>
      <c r="G6297" t="s">
        <v>169</v>
      </c>
      <c r="H6297" t="s">
        <v>169</v>
      </c>
      <c r="I6297" t="s">
        <v>35</v>
      </c>
      <c r="J6297" t="s">
        <v>36</v>
      </c>
      <c r="K6297" t="s">
        <v>47</v>
      </c>
      <c r="L6297" t="s">
        <v>48</v>
      </c>
      <c r="M6297" t="s">
        <v>166</v>
      </c>
      <c r="N6297">
        <v>1751</v>
      </c>
      <c r="O6297" s="14">
        <v>0.34215366747230302</v>
      </c>
      <c r="P6297" s="14">
        <v>0.57728803809732199</v>
      </c>
      <c r="Q6297" t="str">
        <f t="shared" si="196"/>
        <v>10-14</v>
      </c>
      <c r="R6297" t="str">
        <f t="shared" si="197"/>
        <v>[mxqa3CDFmIT]|10-14|Male|NEW_INFECTIONS_SUBNAT.T|CY2024Q3</v>
      </c>
    </row>
    <row r="6298" spans="4:18" x14ac:dyDescent="0.2">
      <c r="D6298" t="s">
        <v>98</v>
      </c>
      <c r="E6298" t="s">
        <v>99</v>
      </c>
      <c r="F6298" t="s">
        <v>100</v>
      </c>
      <c r="G6298" t="s">
        <v>169</v>
      </c>
      <c r="H6298" t="s">
        <v>169</v>
      </c>
      <c r="I6298" t="s">
        <v>37</v>
      </c>
      <c r="J6298" t="s">
        <v>38</v>
      </c>
      <c r="K6298" t="s">
        <v>47</v>
      </c>
      <c r="L6298" t="s">
        <v>48</v>
      </c>
      <c r="M6298" t="s">
        <v>166</v>
      </c>
      <c r="N6298">
        <v>1239</v>
      </c>
      <c r="O6298" s="14">
        <v>8.5609942208975595E-2</v>
      </c>
      <c r="P6298" s="14">
        <v>0.57728803809732199</v>
      </c>
      <c r="Q6298" t="str">
        <f t="shared" si="196"/>
        <v>15-24</v>
      </c>
      <c r="R6298" t="str">
        <f t="shared" si="197"/>
        <v>[mxqa3CDFmIT]|15-24|Male|NEW_INFECTIONS_SUBNAT.T|CY2024Q3</v>
      </c>
    </row>
    <row r="6299" spans="4:18" x14ac:dyDescent="0.2">
      <c r="D6299" t="s">
        <v>98</v>
      </c>
      <c r="E6299" t="s">
        <v>99</v>
      </c>
      <c r="F6299" t="s">
        <v>100</v>
      </c>
      <c r="G6299" t="s">
        <v>169</v>
      </c>
      <c r="H6299" t="s">
        <v>169</v>
      </c>
      <c r="I6299" t="s">
        <v>40</v>
      </c>
      <c r="J6299" t="s">
        <v>41</v>
      </c>
      <c r="K6299" t="s">
        <v>47</v>
      </c>
      <c r="L6299" t="s">
        <v>48</v>
      </c>
      <c r="M6299" t="s">
        <v>166</v>
      </c>
      <c r="N6299">
        <v>1218</v>
      </c>
      <c r="O6299" s="14">
        <v>6.6205922048538896E-2</v>
      </c>
      <c r="P6299" s="14">
        <v>0.57728803809732199</v>
      </c>
      <c r="Q6299" t="str">
        <f t="shared" si="196"/>
        <v>25-34</v>
      </c>
      <c r="R6299" t="str">
        <f t="shared" si="197"/>
        <v>[mxqa3CDFmIT]|25-34|Male|NEW_INFECTIONS_SUBNAT.T|CY2024Q3</v>
      </c>
    </row>
    <row r="6300" spans="4:18" x14ac:dyDescent="0.2">
      <c r="D6300" t="s">
        <v>98</v>
      </c>
      <c r="E6300" t="s">
        <v>99</v>
      </c>
      <c r="F6300" t="s">
        <v>100</v>
      </c>
      <c r="G6300" t="s">
        <v>169</v>
      </c>
      <c r="H6300" t="s">
        <v>169</v>
      </c>
      <c r="I6300" t="s">
        <v>42</v>
      </c>
      <c r="J6300" t="s">
        <v>43</v>
      </c>
      <c r="K6300" t="s">
        <v>47</v>
      </c>
      <c r="L6300" t="s">
        <v>48</v>
      </c>
      <c r="M6300" t="s">
        <v>166</v>
      </c>
      <c r="N6300">
        <v>1456</v>
      </c>
      <c r="O6300" s="14">
        <v>0.93646582425572</v>
      </c>
      <c r="P6300" s="14">
        <v>0.57728803809732199</v>
      </c>
      <c r="Q6300" t="str">
        <f t="shared" si="196"/>
        <v>35-49</v>
      </c>
      <c r="R6300" t="str">
        <f t="shared" si="197"/>
        <v>[mxqa3CDFmIT]|35-49|Male|NEW_INFECTIONS_SUBNAT.T|CY2024Q3</v>
      </c>
    </row>
    <row r="6301" spans="4:18" x14ac:dyDescent="0.2">
      <c r="D6301" t="s">
        <v>98</v>
      </c>
      <c r="E6301" t="s">
        <v>99</v>
      </c>
      <c r="F6301" t="s">
        <v>100</v>
      </c>
      <c r="G6301" t="s">
        <v>169</v>
      </c>
      <c r="H6301" t="s">
        <v>169</v>
      </c>
      <c r="I6301" t="s">
        <v>44</v>
      </c>
      <c r="J6301" t="s">
        <v>45</v>
      </c>
      <c r="K6301" t="s">
        <v>47</v>
      </c>
      <c r="L6301" t="s">
        <v>48</v>
      </c>
      <c r="M6301" t="s">
        <v>166</v>
      </c>
      <c r="N6301">
        <v>1740</v>
      </c>
      <c r="O6301" s="14">
        <v>0.96159010031260606</v>
      </c>
      <c r="P6301" s="14">
        <v>0.57728803809732199</v>
      </c>
      <c r="Q6301" t="str">
        <f t="shared" si="196"/>
        <v>50+</v>
      </c>
      <c r="R6301" t="str">
        <f t="shared" si="197"/>
        <v>[mxqa3CDFmIT]|50+|Male|NEW_INFECTIONS_SUBNAT.T|CY2024Q3</v>
      </c>
    </row>
    <row r="6302" spans="4:18" x14ac:dyDescent="0.2">
      <c r="D6302" t="s">
        <v>101</v>
      </c>
      <c r="E6302" t="s">
        <v>102</v>
      </c>
      <c r="F6302" t="s">
        <v>103</v>
      </c>
      <c r="G6302" t="s">
        <v>169</v>
      </c>
      <c r="H6302" t="s">
        <v>169</v>
      </c>
      <c r="I6302" t="s">
        <v>27</v>
      </c>
      <c r="J6302" t="s">
        <v>28</v>
      </c>
      <c r="K6302" t="s">
        <v>29</v>
      </c>
      <c r="L6302" t="s">
        <v>30</v>
      </c>
      <c r="M6302" t="s">
        <v>166</v>
      </c>
      <c r="N6302">
        <v>1308</v>
      </c>
      <c r="O6302" s="14">
        <v>0.64181632781401299</v>
      </c>
      <c r="P6302" s="14">
        <v>0.52621235931292198</v>
      </c>
      <c r="Q6302" t="str">
        <f t="shared" si="196"/>
        <v>&lt;01</v>
      </c>
      <c r="R6302" t="str">
        <f t="shared" si="197"/>
        <v>[wNqJp8oRIcF]|&lt;01|Female|NEW_INFECTIONS_SUBNAT.T|CY2024Q3</v>
      </c>
    </row>
    <row r="6303" spans="4:18" x14ac:dyDescent="0.2">
      <c r="D6303" t="s">
        <v>101</v>
      </c>
      <c r="E6303" t="s">
        <v>102</v>
      </c>
      <c r="F6303" t="s">
        <v>103</v>
      </c>
      <c r="G6303" t="s">
        <v>169</v>
      </c>
      <c r="H6303" t="s">
        <v>169</v>
      </c>
      <c r="I6303" t="s">
        <v>32</v>
      </c>
      <c r="J6303" t="s">
        <v>33</v>
      </c>
      <c r="K6303" t="s">
        <v>29</v>
      </c>
      <c r="L6303" t="s">
        <v>30</v>
      </c>
      <c r="M6303" t="s">
        <v>166</v>
      </c>
      <c r="N6303">
        <v>749</v>
      </c>
      <c r="O6303" s="14">
        <v>0.17624805239029201</v>
      </c>
      <c r="P6303" s="14">
        <v>0.52621235931292198</v>
      </c>
      <c r="Q6303" t="str">
        <f t="shared" si="196"/>
        <v>01-09</v>
      </c>
      <c r="R6303" t="str">
        <f t="shared" si="197"/>
        <v>[wNqJp8oRIcF]|01-09|Female|NEW_INFECTIONS_SUBNAT.T|CY2024Q3</v>
      </c>
    </row>
    <row r="6304" spans="4:18" x14ac:dyDescent="0.2">
      <c r="D6304" t="s">
        <v>101</v>
      </c>
      <c r="E6304" t="s">
        <v>102</v>
      </c>
      <c r="F6304" t="s">
        <v>103</v>
      </c>
      <c r="G6304" t="s">
        <v>169</v>
      </c>
      <c r="H6304" t="s">
        <v>169</v>
      </c>
      <c r="I6304" t="s">
        <v>35</v>
      </c>
      <c r="J6304" t="s">
        <v>36</v>
      </c>
      <c r="K6304" t="s">
        <v>29</v>
      </c>
      <c r="L6304" t="s">
        <v>30</v>
      </c>
      <c r="M6304" t="s">
        <v>166</v>
      </c>
      <c r="N6304">
        <v>1642</v>
      </c>
      <c r="O6304" s="14">
        <v>0.55384480440989103</v>
      </c>
      <c r="P6304" s="14">
        <v>0.52621235931292198</v>
      </c>
      <c r="Q6304" t="str">
        <f t="shared" si="196"/>
        <v>10-14</v>
      </c>
      <c r="R6304" t="str">
        <f t="shared" si="197"/>
        <v>[wNqJp8oRIcF]|10-14|Female|NEW_INFECTIONS_SUBNAT.T|CY2024Q3</v>
      </c>
    </row>
    <row r="6305" spans="4:18" x14ac:dyDescent="0.2">
      <c r="D6305" t="s">
        <v>101</v>
      </c>
      <c r="E6305" t="s">
        <v>102</v>
      </c>
      <c r="F6305" t="s">
        <v>103</v>
      </c>
      <c r="G6305" t="s">
        <v>169</v>
      </c>
      <c r="H6305" t="s">
        <v>169</v>
      </c>
      <c r="I6305" t="s">
        <v>37</v>
      </c>
      <c r="J6305" t="s">
        <v>38</v>
      </c>
      <c r="K6305" t="s">
        <v>29</v>
      </c>
      <c r="L6305" t="s">
        <v>30</v>
      </c>
      <c r="M6305" t="s">
        <v>166</v>
      </c>
      <c r="N6305">
        <v>664</v>
      </c>
      <c r="O6305" s="14">
        <v>0.35191643796861199</v>
      </c>
      <c r="P6305" s="14">
        <v>0.52621235931292198</v>
      </c>
      <c r="Q6305" t="str">
        <f t="shared" si="196"/>
        <v>15-24</v>
      </c>
      <c r="R6305" t="str">
        <f t="shared" si="197"/>
        <v>[wNqJp8oRIcF]|15-24|Female|NEW_INFECTIONS_SUBNAT.T|CY2024Q3</v>
      </c>
    </row>
    <row r="6306" spans="4:18" x14ac:dyDescent="0.2">
      <c r="D6306" t="s">
        <v>101</v>
      </c>
      <c r="E6306" t="s">
        <v>102</v>
      </c>
      <c r="F6306" t="s">
        <v>103</v>
      </c>
      <c r="G6306" t="s">
        <v>169</v>
      </c>
      <c r="H6306" t="s">
        <v>169</v>
      </c>
      <c r="I6306" t="s">
        <v>40</v>
      </c>
      <c r="J6306" t="s">
        <v>41</v>
      </c>
      <c r="K6306" t="s">
        <v>29</v>
      </c>
      <c r="L6306" t="s">
        <v>30</v>
      </c>
      <c r="M6306" t="s">
        <v>166</v>
      </c>
      <c r="N6306">
        <v>1627</v>
      </c>
      <c r="O6306" s="14">
        <v>0.47444435348734298</v>
      </c>
      <c r="P6306" s="14">
        <v>0.52621235931292198</v>
      </c>
      <c r="Q6306" t="str">
        <f t="shared" si="196"/>
        <v>25-34</v>
      </c>
      <c r="R6306" t="str">
        <f t="shared" si="197"/>
        <v>[wNqJp8oRIcF]|25-34|Female|NEW_INFECTIONS_SUBNAT.T|CY2024Q3</v>
      </c>
    </row>
    <row r="6307" spans="4:18" x14ac:dyDescent="0.2">
      <c r="D6307" t="s">
        <v>101</v>
      </c>
      <c r="E6307" t="s">
        <v>102</v>
      </c>
      <c r="F6307" t="s">
        <v>103</v>
      </c>
      <c r="G6307" t="s">
        <v>169</v>
      </c>
      <c r="H6307" t="s">
        <v>169</v>
      </c>
      <c r="I6307" t="s">
        <v>42</v>
      </c>
      <c r="J6307" t="s">
        <v>43</v>
      </c>
      <c r="K6307" t="s">
        <v>29</v>
      </c>
      <c r="L6307" t="s">
        <v>30</v>
      </c>
      <c r="M6307" t="s">
        <v>166</v>
      </c>
      <c r="N6307">
        <v>841</v>
      </c>
      <c r="O6307" s="14">
        <v>0.66016108798794404</v>
      </c>
      <c r="P6307" s="14">
        <v>0.52621235931292198</v>
      </c>
      <c r="Q6307" t="str">
        <f t="shared" si="196"/>
        <v>35-49</v>
      </c>
      <c r="R6307" t="str">
        <f t="shared" si="197"/>
        <v>[wNqJp8oRIcF]|35-49|Female|NEW_INFECTIONS_SUBNAT.T|CY2024Q3</v>
      </c>
    </row>
    <row r="6308" spans="4:18" x14ac:dyDescent="0.2">
      <c r="D6308" t="s">
        <v>101</v>
      </c>
      <c r="E6308" t="s">
        <v>102</v>
      </c>
      <c r="F6308" t="s">
        <v>103</v>
      </c>
      <c r="G6308" t="s">
        <v>169</v>
      </c>
      <c r="H6308" t="s">
        <v>169</v>
      </c>
      <c r="I6308" t="s">
        <v>44</v>
      </c>
      <c r="J6308" t="s">
        <v>45</v>
      </c>
      <c r="K6308" t="s">
        <v>29</v>
      </c>
      <c r="L6308" t="s">
        <v>30</v>
      </c>
      <c r="M6308" t="s">
        <v>166</v>
      </c>
      <c r="N6308">
        <v>1115</v>
      </c>
      <c r="O6308" s="14">
        <v>0.55340484366752196</v>
      </c>
      <c r="P6308" s="14">
        <v>0.52621235931292198</v>
      </c>
      <c r="Q6308" t="str">
        <f t="shared" si="196"/>
        <v>50+</v>
      </c>
      <c r="R6308" t="str">
        <f t="shared" si="197"/>
        <v>[wNqJp8oRIcF]|50+|Female|NEW_INFECTIONS_SUBNAT.T|CY2024Q3</v>
      </c>
    </row>
    <row r="6309" spans="4:18" x14ac:dyDescent="0.2">
      <c r="D6309" t="s">
        <v>101</v>
      </c>
      <c r="E6309" t="s">
        <v>102</v>
      </c>
      <c r="F6309" t="s">
        <v>103</v>
      </c>
      <c r="G6309" t="s">
        <v>169</v>
      </c>
      <c r="H6309" t="s">
        <v>169</v>
      </c>
      <c r="I6309" t="s">
        <v>27</v>
      </c>
      <c r="J6309" t="s">
        <v>28</v>
      </c>
      <c r="K6309" t="s">
        <v>47</v>
      </c>
      <c r="L6309" t="s">
        <v>48</v>
      </c>
      <c r="M6309" t="s">
        <v>166</v>
      </c>
      <c r="N6309">
        <v>1933</v>
      </c>
      <c r="O6309" s="14">
        <v>0.64210862433537796</v>
      </c>
      <c r="P6309" s="14">
        <v>0.52621235931292198</v>
      </c>
      <c r="Q6309" t="str">
        <f t="shared" si="196"/>
        <v>&lt;01</v>
      </c>
      <c r="R6309" t="str">
        <f t="shared" si="197"/>
        <v>[wNqJp8oRIcF]|&lt;01|Male|NEW_INFECTIONS_SUBNAT.T|CY2024Q3</v>
      </c>
    </row>
    <row r="6310" spans="4:18" x14ac:dyDescent="0.2">
      <c r="D6310" t="s">
        <v>101</v>
      </c>
      <c r="E6310" t="s">
        <v>102</v>
      </c>
      <c r="F6310" t="s">
        <v>103</v>
      </c>
      <c r="G6310" t="s">
        <v>169</v>
      </c>
      <c r="H6310" t="s">
        <v>169</v>
      </c>
      <c r="I6310" t="s">
        <v>32</v>
      </c>
      <c r="J6310" t="s">
        <v>33</v>
      </c>
      <c r="K6310" t="s">
        <v>47</v>
      </c>
      <c r="L6310" t="s">
        <v>48</v>
      </c>
      <c r="M6310" t="s">
        <v>166</v>
      </c>
      <c r="N6310">
        <v>1198</v>
      </c>
      <c r="O6310" s="14">
        <v>0.864214153494686</v>
      </c>
      <c r="P6310" s="14">
        <v>0.52621235931292198</v>
      </c>
      <c r="Q6310" t="str">
        <f t="shared" si="196"/>
        <v>01-09</v>
      </c>
      <c r="R6310" t="str">
        <f t="shared" si="197"/>
        <v>[wNqJp8oRIcF]|01-09|Male|NEW_INFECTIONS_SUBNAT.T|CY2024Q3</v>
      </c>
    </row>
    <row r="6311" spans="4:18" x14ac:dyDescent="0.2">
      <c r="D6311" t="s">
        <v>101</v>
      </c>
      <c r="E6311" t="s">
        <v>102</v>
      </c>
      <c r="F6311" t="s">
        <v>103</v>
      </c>
      <c r="G6311" t="s">
        <v>169</v>
      </c>
      <c r="H6311" t="s">
        <v>169</v>
      </c>
      <c r="I6311" t="s">
        <v>35</v>
      </c>
      <c r="J6311" t="s">
        <v>36</v>
      </c>
      <c r="K6311" t="s">
        <v>47</v>
      </c>
      <c r="L6311" t="s">
        <v>48</v>
      </c>
      <c r="M6311" t="s">
        <v>166</v>
      </c>
      <c r="N6311">
        <v>1535</v>
      </c>
      <c r="O6311" s="14">
        <v>0.46980180614627898</v>
      </c>
      <c r="P6311" s="14">
        <v>0.52621235931292198</v>
      </c>
      <c r="Q6311" t="str">
        <f t="shared" si="196"/>
        <v>10-14</v>
      </c>
      <c r="R6311" t="str">
        <f t="shared" si="197"/>
        <v>[wNqJp8oRIcF]|10-14|Male|NEW_INFECTIONS_SUBNAT.T|CY2024Q3</v>
      </c>
    </row>
    <row r="6312" spans="4:18" x14ac:dyDescent="0.2">
      <c r="D6312" t="s">
        <v>101</v>
      </c>
      <c r="E6312" t="s">
        <v>102</v>
      </c>
      <c r="F6312" t="s">
        <v>103</v>
      </c>
      <c r="G6312" t="s">
        <v>169</v>
      </c>
      <c r="H6312" t="s">
        <v>169</v>
      </c>
      <c r="I6312" t="s">
        <v>37</v>
      </c>
      <c r="J6312" t="s">
        <v>38</v>
      </c>
      <c r="K6312" t="s">
        <v>47</v>
      </c>
      <c r="L6312" t="s">
        <v>48</v>
      </c>
      <c r="M6312" t="s">
        <v>166</v>
      </c>
      <c r="N6312">
        <v>1634</v>
      </c>
      <c r="O6312" s="14">
        <v>0.55798461288213697</v>
      </c>
      <c r="P6312" s="14">
        <v>0.52621235931292198</v>
      </c>
      <c r="Q6312" t="str">
        <f t="shared" si="196"/>
        <v>15-24</v>
      </c>
      <c r="R6312" t="str">
        <f t="shared" si="197"/>
        <v>[wNqJp8oRIcF]|15-24|Male|NEW_INFECTIONS_SUBNAT.T|CY2024Q3</v>
      </c>
    </row>
    <row r="6313" spans="4:18" x14ac:dyDescent="0.2">
      <c r="D6313" t="s">
        <v>101</v>
      </c>
      <c r="E6313" t="s">
        <v>102</v>
      </c>
      <c r="F6313" t="s">
        <v>103</v>
      </c>
      <c r="G6313" t="s">
        <v>169</v>
      </c>
      <c r="H6313" t="s">
        <v>169</v>
      </c>
      <c r="I6313" t="s">
        <v>40</v>
      </c>
      <c r="J6313" t="s">
        <v>41</v>
      </c>
      <c r="K6313" t="s">
        <v>47</v>
      </c>
      <c r="L6313" t="s">
        <v>48</v>
      </c>
      <c r="M6313" t="s">
        <v>166</v>
      </c>
      <c r="N6313">
        <v>637</v>
      </c>
      <c r="O6313" s="14">
        <v>0.56204637372866295</v>
      </c>
      <c r="P6313" s="14">
        <v>0.52621235931292198</v>
      </c>
      <c r="Q6313" t="str">
        <f t="shared" si="196"/>
        <v>25-34</v>
      </c>
      <c r="R6313" t="str">
        <f t="shared" si="197"/>
        <v>[wNqJp8oRIcF]|25-34|Male|NEW_INFECTIONS_SUBNAT.T|CY2024Q3</v>
      </c>
    </row>
    <row r="6314" spans="4:18" x14ac:dyDescent="0.2">
      <c r="D6314" t="s">
        <v>101</v>
      </c>
      <c r="E6314" t="s">
        <v>102</v>
      </c>
      <c r="F6314" t="s">
        <v>103</v>
      </c>
      <c r="G6314" t="s">
        <v>169</v>
      </c>
      <c r="H6314" t="s">
        <v>169</v>
      </c>
      <c r="I6314" t="s">
        <v>42</v>
      </c>
      <c r="J6314" t="s">
        <v>43</v>
      </c>
      <c r="K6314" t="s">
        <v>47</v>
      </c>
      <c r="L6314" t="s">
        <v>48</v>
      </c>
      <c r="M6314" t="s">
        <v>166</v>
      </c>
      <c r="N6314">
        <v>1747</v>
      </c>
      <c r="O6314" s="14">
        <v>0.756439312361181</v>
      </c>
      <c r="P6314" s="14">
        <v>0.52621235931292198</v>
      </c>
      <c r="Q6314" t="str">
        <f t="shared" si="196"/>
        <v>35-49</v>
      </c>
      <c r="R6314" t="str">
        <f t="shared" si="197"/>
        <v>[wNqJp8oRIcF]|35-49|Male|NEW_INFECTIONS_SUBNAT.T|CY2024Q3</v>
      </c>
    </row>
    <row r="6315" spans="4:18" x14ac:dyDescent="0.2">
      <c r="D6315" t="s">
        <v>101</v>
      </c>
      <c r="E6315" t="s">
        <v>102</v>
      </c>
      <c r="F6315" t="s">
        <v>103</v>
      </c>
      <c r="G6315" t="s">
        <v>169</v>
      </c>
      <c r="H6315" t="s">
        <v>169</v>
      </c>
      <c r="I6315" t="s">
        <v>44</v>
      </c>
      <c r="J6315" t="s">
        <v>45</v>
      </c>
      <c r="K6315" t="s">
        <v>47</v>
      </c>
      <c r="L6315" t="s">
        <v>48</v>
      </c>
      <c r="M6315" t="s">
        <v>166</v>
      </c>
      <c r="N6315">
        <v>1728</v>
      </c>
      <c r="O6315" s="14">
        <v>0.27427892270498</v>
      </c>
      <c r="P6315" s="14">
        <v>0.52621235931292198</v>
      </c>
      <c r="Q6315" t="str">
        <f t="shared" si="196"/>
        <v>50+</v>
      </c>
      <c r="R6315" t="str">
        <f t="shared" si="197"/>
        <v>[wNqJp8oRIcF]|50+|Male|NEW_INFECTIONS_SUBNAT.T|CY2024Q3</v>
      </c>
    </row>
    <row r="6316" spans="4:18" x14ac:dyDescent="0.2">
      <c r="D6316" t="s">
        <v>104</v>
      </c>
      <c r="E6316" t="s">
        <v>105</v>
      </c>
      <c r="F6316" t="s">
        <v>106</v>
      </c>
      <c r="G6316" t="s">
        <v>169</v>
      </c>
      <c r="H6316" t="s">
        <v>169</v>
      </c>
      <c r="I6316" t="s">
        <v>27</v>
      </c>
      <c r="J6316" t="s">
        <v>28</v>
      </c>
      <c r="K6316" t="s">
        <v>29</v>
      </c>
      <c r="L6316" t="s">
        <v>30</v>
      </c>
      <c r="M6316" t="s">
        <v>166</v>
      </c>
      <c r="N6316">
        <v>1397</v>
      </c>
      <c r="O6316" s="14">
        <v>0.92742845718748901</v>
      </c>
      <c r="P6316" s="14">
        <v>0.21824956033378801</v>
      </c>
      <c r="Q6316" t="str">
        <f t="shared" si="196"/>
        <v>&lt;01</v>
      </c>
      <c r="R6316" t="str">
        <f t="shared" si="197"/>
        <v>[oiPR2CiVJbf]|&lt;01|Female|NEW_INFECTIONS_SUBNAT.T|CY2024Q3</v>
      </c>
    </row>
    <row r="6317" spans="4:18" x14ac:dyDescent="0.2">
      <c r="D6317" t="s">
        <v>104</v>
      </c>
      <c r="E6317" t="s">
        <v>105</v>
      </c>
      <c r="F6317" t="s">
        <v>106</v>
      </c>
      <c r="G6317" t="s">
        <v>169</v>
      </c>
      <c r="H6317" t="s">
        <v>169</v>
      </c>
      <c r="I6317" t="s">
        <v>32</v>
      </c>
      <c r="J6317" t="s">
        <v>33</v>
      </c>
      <c r="K6317" t="s">
        <v>29</v>
      </c>
      <c r="L6317" t="s">
        <v>30</v>
      </c>
      <c r="M6317" t="s">
        <v>166</v>
      </c>
      <c r="N6317">
        <v>882</v>
      </c>
      <c r="O6317" s="14">
        <v>0.39149525528773699</v>
      </c>
      <c r="P6317" s="14">
        <v>0.21824956033378801</v>
      </c>
      <c r="Q6317" t="str">
        <f t="shared" si="196"/>
        <v>01-09</v>
      </c>
      <c r="R6317" t="str">
        <f t="shared" si="197"/>
        <v>[oiPR2CiVJbf]|01-09|Female|NEW_INFECTIONS_SUBNAT.T|CY2024Q3</v>
      </c>
    </row>
    <row r="6318" spans="4:18" x14ac:dyDescent="0.2">
      <c r="D6318" t="s">
        <v>104</v>
      </c>
      <c r="E6318" t="s">
        <v>105</v>
      </c>
      <c r="F6318" t="s">
        <v>106</v>
      </c>
      <c r="G6318" t="s">
        <v>169</v>
      </c>
      <c r="H6318" t="s">
        <v>169</v>
      </c>
      <c r="I6318" t="s">
        <v>35</v>
      </c>
      <c r="J6318" t="s">
        <v>36</v>
      </c>
      <c r="K6318" t="s">
        <v>29</v>
      </c>
      <c r="L6318" t="s">
        <v>30</v>
      </c>
      <c r="M6318" t="s">
        <v>166</v>
      </c>
      <c r="N6318">
        <v>873</v>
      </c>
      <c r="O6318" s="14">
        <v>0.35435827379114898</v>
      </c>
      <c r="P6318" s="14">
        <v>0.21824956033378801</v>
      </c>
      <c r="Q6318" t="str">
        <f t="shared" si="196"/>
        <v>10-14</v>
      </c>
      <c r="R6318" t="str">
        <f t="shared" si="197"/>
        <v>[oiPR2CiVJbf]|10-14|Female|NEW_INFECTIONS_SUBNAT.T|CY2024Q3</v>
      </c>
    </row>
    <row r="6319" spans="4:18" x14ac:dyDescent="0.2">
      <c r="D6319" t="s">
        <v>104</v>
      </c>
      <c r="E6319" t="s">
        <v>105</v>
      </c>
      <c r="F6319" t="s">
        <v>106</v>
      </c>
      <c r="G6319" t="s">
        <v>169</v>
      </c>
      <c r="H6319" t="s">
        <v>169</v>
      </c>
      <c r="I6319" t="s">
        <v>37</v>
      </c>
      <c r="J6319" t="s">
        <v>38</v>
      </c>
      <c r="K6319" t="s">
        <v>29</v>
      </c>
      <c r="L6319" t="s">
        <v>30</v>
      </c>
      <c r="M6319" t="s">
        <v>166</v>
      </c>
      <c r="N6319">
        <v>1624</v>
      </c>
      <c r="O6319" s="14">
        <v>9.3046414200216504E-2</v>
      </c>
      <c r="P6319" s="14">
        <v>0.21824956033378801</v>
      </c>
      <c r="Q6319" t="str">
        <f t="shared" si="196"/>
        <v>15-24</v>
      </c>
      <c r="R6319" t="str">
        <f t="shared" si="197"/>
        <v>[oiPR2CiVJbf]|15-24|Female|NEW_INFECTIONS_SUBNAT.T|CY2024Q3</v>
      </c>
    </row>
    <row r="6320" spans="4:18" x14ac:dyDescent="0.2">
      <c r="D6320" t="s">
        <v>104</v>
      </c>
      <c r="E6320" t="s">
        <v>105</v>
      </c>
      <c r="F6320" t="s">
        <v>106</v>
      </c>
      <c r="G6320" t="s">
        <v>169</v>
      </c>
      <c r="H6320" t="s">
        <v>169</v>
      </c>
      <c r="I6320" t="s">
        <v>40</v>
      </c>
      <c r="J6320" t="s">
        <v>41</v>
      </c>
      <c r="K6320" t="s">
        <v>29</v>
      </c>
      <c r="L6320" t="s">
        <v>30</v>
      </c>
      <c r="M6320" t="s">
        <v>166</v>
      </c>
      <c r="N6320">
        <v>1416</v>
      </c>
      <c r="O6320" s="14">
        <v>1.99239945504814E-2</v>
      </c>
      <c r="P6320" s="14">
        <v>0.21824956033378801</v>
      </c>
      <c r="Q6320" t="str">
        <f t="shared" si="196"/>
        <v>25-34</v>
      </c>
      <c r="R6320" t="str">
        <f t="shared" si="197"/>
        <v>[oiPR2CiVJbf]|25-34|Female|NEW_INFECTIONS_SUBNAT.T|CY2024Q3</v>
      </c>
    </row>
    <row r="6321" spans="4:18" x14ac:dyDescent="0.2">
      <c r="D6321" t="s">
        <v>104</v>
      </c>
      <c r="E6321" t="s">
        <v>105</v>
      </c>
      <c r="F6321" t="s">
        <v>106</v>
      </c>
      <c r="G6321" t="s">
        <v>169</v>
      </c>
      <c r="H6321" t="s">
        <v>169</v>
      </c>
      <c r="I6321" t="s">
        <v>42</v>
      </c>
      <c r="J6321" t="s">
        <v>43</v>
      </c>
      <c r="K6321" t="s">
        <v>29</v>
      </c>
      <c r="L6321" t="s">
        <v>30</v>
      </c>
      <c r="M6321" t="s">
        <v>166</v>
      </c>
      <c r="N6321">
        <v>686</v>
      </c>
      <c r="O6321" s="14">
        <v>0.669137666467577</v>
      </c>
      <c r="P6321" s="14">
        <v>0.21824956033378801</v>
      </c>
      <c r="Q6321" t="str">
        <f t="shared" si="196"/>
        <v>35-49</v>
      </c>
      <c r="R6321" t="str">
        <f t="shared" si="197"/>
        <v>[oiPR2CiVJbf]|35-49|Female|NEW_INFECTIONS_SUBNAT.T|CY2024Q3</v>
      </c>
    </row>
    <row r="6322" spans="4:18" x14ac:dyDescent="0.2">
      <c r="D6322" t="s">
        <v>104</v>
      </c>
      <c r="E6322" t="s">
        <v>105</v>
      </c>
      <c r="F6322" t="s">
        <v>106</v>
      </c>
      <c r="G6322" t="s">
        <v>169</v>
      </c>
      <c r="H6322" t="s">
        <v>169</v>
      </c>
      <c r="I6322" t="s">
        <v>44</v>
      </c>
      <c r="J6322" t="s">
        <v>45</v>
      </c>
      <c r="K6322" t="s">
        <v>29</v>
      </c>
      <c r="L6322" t="s">
        <v>30</v>
      </c>
      <c r="M6322" t="s">
        <v>166</v>
      </c>
      <c r="N6322">
        <v>1662</v>
      </c>
      <c r="O6322" s="14">
        <v>0.58238689671270505</v>
      </c>
      <c r="P6322" s="14">
        <v>0.21824956033378801</v>
      </c>
      <c r="Q6322" t="str">
        <f t="shared" si="196"/>
        <v>50+</v>
      </c>
      <c r="R6322" t="str">
        <f t="shared" si="197"/>
        <v>[oiPR2CiVJbf]|50+|Female|NEW_INFECTIONS_SUBNAT.T|CY2024Q3</v>
      </c>
    </row>
    <row r="6323" spans="4:18" x14ac:dyDescent="0.2">
      <c r="D6323" t="s">
        <v>104</v>
      </c>
      <c r="E6323" t="s">
        <v>105</v>
      </c>
      <c r="F6323" t="s">
        <v>106</v>
      </c>
      <c r="G6323" t="s">
        <v>169</v>
      </c>
      <c r="H6323" t="s">
        <v>169</v>
      </c>
      <c r="I6323" t="s">
        <v>27</v>
      </c>
      <c r="J6323" t="s">
        <v>28</v>
      </c>
      <c r="K6323" t="s">
        <v>47</v>
      </c>
      <c r="L6323" t="s">
        <v>48</v>
      </c>
      <c r="M6323" t="s">
        <v>166</v>
      </c>
      <c r="N6323">
        <v>702</v>
      </c>
      <c r="O6323" s="14">
        <v>0.17133363266475499</v>
      </c>
      <c r="P6323" s="14">
        <v>0.21824956033378801</v>
      </c>
      <c r="Q6323" t="str">
        <f t="shared" si="196"/>
        <v>&lt;01</v>
      </c>
      <c r="R6323" t="str">
        <f t="shared" si="197"/>
        <v>[oiPR2CiVJbf]|&lt;01|Male|NEW_INFECTIONS_SUBNAT.T|CY2024Q3</v>
      </c>
    </row>
    <row r="6324" spans="4:18" x14ac:dyDescent="0.2">
      <c r="D6324" t="s">
        <v>104</v>
      </c>
      <c r="E6324" t="s">
        <v>105</v>
      </c>
      <c r="F6324" t="s">
        <v>106</v>
      </c>
      <c r="G6324" t="s">
        <v>169</v>
      </c>
      <c r="H6324" t="s">
        <v>169</v>
      </c>
      <c r="I6324" t="s">
        <v>32</v>
      </c>
      <c r="J6324" t="s">
        <v>33</v>
      </c>
      <c r="K6324" t="s">
        <v>47</v>
      </c>
      <c r="L6324" t="s">
        <v>48</v>
      </c>
      <c r="M6324" t="s">
        <v>166</v>
      </c>
      <c r="N6324">
        <v>1602</v>
      </c>
      <c r="O6324" s="14">
        <v>0.74939642730168998</v>
      </c>
      <c r="P6324" s="14">
        <v>0.21824956033378801</v>
      </c>
      <c r="Q6324" t="str">
        <f t="shared" si="196"/>
        <v>01-09</v>
      </c>
      <c r="R6324" t="str">
        <f t="shared" si="197"/>
        <v>[oiPR2CiVJbf]|01-09|Male|NEW_INFECTIONS_SUBNAT.T|CY2024Q3</v>
      </c>
    </row>
    <row r="6325" spans="4:18" x14ac:dyDescent="0.2">
      <c r="D6325" t="s">
        <v>104</v>
      </c>
      <c r="E6325" t="s">
        <v>105</v>
      </c>
      <c r="F6325" t="s">
        <v>106</v>
      </c>
      <c r="G6325" t="s">
        <v>169</v>
      </c>
      <c r="H6325" t="s">
        <v>169</v>
      </c>
      <c r="I6325" t="s">
        <v>35</v>
      </c>
      <c r="J6325" t="s">
        <v>36</v>
      </c>
      <c r="K6325" t="s">
        <v>47</v>
      </c>
      <c r="L6325" t="s">
        <v>48</v>
      </c>
      <c r="M6325" t="s">
        <v>166</v>
      </c>
      <c r="N6325">
        <v>761</v>
      </c>
      <c r="O6325" s="14">
        <v>0.109944188501686</v>
      </c>
      <c r="P6325" s="14">
        <v>0.21824956033378801</v>
      </c>
      <c r="Q6325" t="str">
        <f t="shared" si="196"/>
        <v>10-14</v>
      </c>
      <c r="R6325" t="str">
        <f t="shared" si="197"/>
        <v>[oiPR2CiVJbf]|10-14|Male|NEW_INFECTIONS_SUBNAT.T|CY2024Q3</v>
      </c>
    </row>
    <row r="6326" spans="4:18" x14ac:dyDescent="0.2">
      <c r="D6326" t="s">
        <v>104</v>
      </c>
      <c r="E6326" t="s">
        <v>105</v>
      </c>
      <c r="F6326" t="s">
        <v>106</v>
      </c>
      <c r="G6326" t="s">
        <v>169</v>
      </c>
      <c r="H6326" t="s">
        <v>169</v>
      </c>
      <c r="I6326" t="s">
        <v>37</v>
      </c>
      <c r="J6326" t="s">
        <v>38</v>
      </c>
      <c r="K6326" t="s">
        <v>47</v>
      </c>
      <c r="L6326" t="s">
        <v>48</v>
      </c>
      <c r="M6326" t="s">
        <v>166</v>
      </c>
      <c r="N6326">
        <v>1870</v>
      </c>
      <c r="O6326" s="14">
        <v>0.94466019445098903</v>
      </c>
      <c r="P6326" s="14">
        <v>0.21824956033378801</v>
      </c>
      <c r="Q6326" t="str">
        <f t="shared" si="196"/>
        <v>15-24</v>
      </c>
      <c r="R6326" t="str">
        <f t="shared" si="197"/>
        <v>[oiPR2CiVJbf]|15-24|Male|NEW_INFECTIONS_SUBNAT.T|CY2024Q3</v>
      </c>
    </row>
    <row r="6327" spans="4:18" x14ac:dyDescent="0.2">
      <c r="D6327" t="s">
        <v>104</v>
      </c>
      <c r="E6327" t="s">
        <v>105</v>
      </c>
      <c r="F6327" t="s">
        <v>106</v>
      </c>
      <c r="G6327" t="s">
        <v>169</v>
      </c>
      <c r="H6327" t="s">
        <v>169</v>
      </c>
      <c r="I6327" t="s">
        <v>40</v>
      </c>
      <c r="J6327" t="s">
        <v>41</v>
      </c>
      <c r="K6327" t="s">
        <v>47</v>
      </c>
      <c r="L6327" t="s">
        <v>48</v>
      </c>
      <c r="M6327" t="s">
        <v>166</v>
      </c>
      <c r="N6327">
        <v>1901</v>
      </c>
      <c r="O6327" s="14">
        <v>0.70798339624889195</v>
      </c>
      <c r="P6327" s="14">
        <v>0.21824956033378801</v>
      </c>
      <c r="Q6327" t="str">
        <f t="shared" si="196"/>
        <v>25-34</v>
      </c>
      <c r="R6327" t="str">
        <f t="shared" si="197"/>
        <v>[oiPR2CiVJbf]|25-34|Male|NEW_INFECTIONS_SUBNAT.T|CY2024Q3</v>
      </c>
    </row>
    <row r="6328" spans="4:18" x14ac:dyDescent="0.2">
      <c r="D6328" t="s">
        <v>104</v>
      </c>
      <c r="E6328" t="s">
        <v>105</v>
      </c>
      <c r="F6328" t="s">
        <v>106</v>
      </c>
      <c r="G6328" t="s">
        <v>169</v>
      </c>
      <c r="H6328" t="s">
        <v>169</v>
      </c>
      <c r="I6328" t="s">
        <v>42</v>
      </c>
      <c r="J6328" t="s">
        <v>43</v>
      </c>
      <c r="K6328" t="s">
        <v>47</v>
      </c>
      <c r="L6328" t="s">
        <v>48</v>
      </c>
      <c r="M6328" t="s">
        <v>166</v>
      </c>
      <c r="N6328">
        <v>1385</v>
      </c>
      <c r="O6328" s="14">
        <v>0.270090048667043</v>
      </c>
      <c r="P6328" s="14">
        <v>0.21824956033378801</v>
      </c>
      <c r="Q6328" t="str">
        <f t="shared" si="196"/>
        <v>35-49</v>
      </c>
      <c r="R6328" t="str">
        <f t="shared" si="197"/>
        <v>[oiPR2CiVJbf]|35-49|Male|NEW_INFECTIONS_SUBNAT.T|CY2024Q3</v>
      </c>
    </row>
    <row r="6329" spans="4:18" x14ac:dyDescent="0.2">
      <c r="D6329" t="s">
        <v>104</v>
      </c>
      <c r="E6329" t="s">
        <v>105</v>
      </c>
      <c r="F6329" t="s">
        <v>106</v>
      </c>
      <c r="G6329" t="s">
        <v>169</v>
      </c>
      <c r="H6329" t="s">
        <v>169</v>
      </c>
      <c r="I6329" t="s">
        <v>44</v>
      </c>
      <c r="J6329" t="s">
        <v>45</v>
      </c>
      <c r="K6329" t="s">
        <v>47</v>
      </c>
      <c r="L6329" t="s">
        <v>48</v>
      </c>
      <c r="M6329" t="s">
        <v>166</v>
      </c>
      <c r="N6329">
        <v>1277</v>
      </c>
      <c r="O6329" s="14">
        <v>0.34712323755957197</v>
      </c>
      <c r="P6329" s="14">
        <v>0.21824956033378801</v>
      </c>
      <c r="Q6329" t="str">
        <f t="shared" si="196"/>
        <v>50+</v>
      </c>
      <c r="R6329" t="str">
        <f t="shared" si="197"/>
        <v>[oiPR2CiVJbf]|50+|Male|NEW_INFECTIONS_SUBNAT.T|CY2024Q3</v>
      </c>
    </row>
    <row r="6330" spans="4:18" x14ac:dyDescent="0.2">
      <c r="D6330" t="s">
        <v>107</v>
      </c>
      <c r="E6330" t="s">
        <v>108</v>
      </c>
      <c r="F6330" t="s">
        <v>109</v>
      </c>
      <c r="G6330" t="s">
        <v>169</v>
      </c>
      <c r="H6330" t="s">
        <v>169</v>
      </c>
      <c r="I6330" t="s">
        <v>27</v>
      </c>
      <c r="J6330" t="s">
        <v>28</v>
      </c>
      <c r="K6330" t="s">
        <v>29</v>
      </c>
      <c r="L6330" t="s">
        <v>30</v>
      </c>
      <c r="M6330" t="s">
        <v>166</v>
      </c>
      <c r="N6330">
        <v>514</v>
      </c>
      <c r="O6330" s="14">
        <v>0.516339764697477</v>
      </c>
      <c r="P6330" s="14">
        <v>0.43422180437482899</v>
      </c>
      <c r="Q6330" t="str">
        <f t="shared" si="196"/>
        <v>&lt;01</v>
      </c>
      <c r="R6330" t="str">
        <f t="shared" si="197"/>
        <v>[ul0y9diGujK]|&lt;01|Female|NEW_INFECTIONS_SUBNAT.T|CY2024Q3</v>
      </c>
    </row>
    <row r="6331" spans="4:18" x14ac:dyDescent="0.2">
      <c r="D6331" t="s">
        <v>107</v>
      </c>
      <c r="E6331" t="s">
        <v>108</v>
      </c>
      <c r="F6331" t="s">
        <v>109</v>
      </c>
      <c r="G6331" t="s">
        <v>169</v>
      </c>
      <c r="H6331" t="s">
        <v>169</v>
      </c>
      <c r="I6331" t="s">
        <v>32</v>
      </c>
      <c r="J6331" t="s">
        <v>33</v>
      </c>
      <c r="K6331" t="s">
        <v>29</v>
      </c>
      <c r="L6331" t="s">
        <v>30</v>
      </c>
      <c r="M6331" t="s">
        <v>166</v>
      </c>
      <c r="N6331">
        <v>822</v>
      </c>
      <c r="O6331" s="14">
        <v>0.19548409176059101</v>
      </c>
      <c r="P6331" s="14">
        <v>0.43422180437482899</v>
      </c>
      <c r="Q6331" t="str">
        <f t="shared" si="196"/>
        <v>01-09</v>
      </c>
      <c r="R6331" t="str">
        <f t="shared" si="197"/>
        <v>[ul0y9diGujK]|01-09|Female|NEW_INFECTIONS_SUBNAT.T|CY2024Q3</v>
      </c>
    </row>
    <row r="6332" spans="4:18" x14ac:dyDescent="0.2">
      <c r="D6332" t="s">
        <v>107</v>
      </c>
      <c r="E6332" t="s">
        <v>108</v>
      </c>
      <c r="F6332" t="s">
        <v>109</v>
      </c>
      <c r="G6332" t="s">
        <v>169</v>
      </c>
      <c r="H6332" t="s">
        <v>169</v>
      </c>
      <c r="I6332" t="s">
        <v>35</v>
      </c>
      <c r="J6332" t="s">
        <v>36</v>
      </c>
      <c r="K6332" t="s">
        <v>29</v>
      </c>
      <c r="L6332" t="s">
        <v>30</v>
      </c>
      <c r="M6332" t="s">
        <v>166</v>
      </c>
      <c r="N6332">
        <v>1018</v>
      </c>
      <c r="O6332" s="14">
        <v>0.85857729078270495</v>
      </c>
      <c r="P6332" s="14">
        <v>0.43422180437482899</v>
      </c>
      <c r="Q6332" t="str">
        <f t="shared" si="196"/>
        <v>10-14</v>
      </c>
      <c r="R6332" t="str">
        <f t="shared" si="197"/>
        <v>[ul0y9diGujK]|10-14|Female|NEW_INFECTIONS_SUBNAT.T|CY2024Q3</v>
      </c>
    </row>
    <row r="6333" spans="4:18" x14ac:dyDescent="0.2">
      <c r="D6333" t="s">
        <v>107</v>
      </c>
      <c r="E6333" t="s">
        <v>108</v>
      </c>
      <c r="F6333" t="s">
        <v>109</v>
      </c>
      <c r="G6333" t="s">
        <v>169</v>
      </c>
      <c r="H6333" t="s">
        <v>169</v>
      </c>
      <c r="I6333" t="s">
        <v>37</v>
      </c>
      <c r="J6333" t="s">
        <v>38</v>
      </c>
      <c r="K6333" t="s">
        <v>29</v>
      </c>
      <c r="L6333" t="s">
        <v>30</v>
      </c>
      <c r="M6333" t="s">
        <v>166</v>
      </c>
      <c r="N6333">
        <v>1369</v>
      </c>
      <c r="O6333" s="14">
        <v>0.71215025614947103</v>
      </c>
      <c r="P6333" s="14">
        <v>0.43422180437482899</v>
      </c>
      <c r="Q6333" t="str">
        <f t="shared" si="196"/>
        <v>15-24</v>
      </c>
      <c r="R6333" t="str">
        <f t="shared" si="197"/>
        <v>[ul0y9diGujK]|15-24|Female|NEW_INFECTIONS_SUBNAT.T|CY2024Q3</v>
      </c>
    </row>
    <row r="6334" spans="4:18" x14ac:dyDescent="0.2">
      <c r="D6334" t="s">
        <v>107</v>
      </c>
      <c r="E6334" t="s">
        <v>108</v>
      </c>
      <c r="F6334" t="s">
        <v>109</v>
      </c>
      <c r="G6334" t="s">
        <v>169</v>
      </c>
      <c r="H6334" t="s">
        <v>169</v>
      </c>
      <c r="I6334" t="s">
        <v>40</v>
      </c>
      <c r="J6334" t="s">
        <v>41</v>
      </c>
      <c r="K6334" t="s">
        <v>29</v>
      </c>
      <c r="L6334" t="s">
        <v>30</v>
      </c>
      <c r="M6334" t="s">
        <v>166</v>
      </c>
      <c r="N6334">
        <v>1941</v>
      </c>
      <c r="O6334" s="14">
        <v>0.16177203995175701</v>
      </c>
      <c r="P6334" s="14">
        <v>0.43422180437482899</v>
      </c>
      <c r="Q6334" t="str">
        <f t="shared" si="196"/>
        <v>25-34</v>
      </c>
      <c r="R6334" t="str">
        <f t="shared" si="197"/>
        <v>[ul0y9diGujK]|25-34|Female|NEW_INFECTIONS_SUBNAT.T|CY2024Q3</v>
      </c>
    </row>
    <row r="6335" spans="4:18" x14ac:dyDescent="0.2">
      <c r="D6335" t="s">
        <v>107</v>
      </c>
      <c r="E6335" t="s">
        <v>108</v>
      </c>
      <c r="F6335" t="s">
        <v>109</v>
      </c>
      <c r="G6335" t="s">
        <v>169</v>
      </c>
      <c r="H6335" t="s">
        <v>169</v>
      </c>
      <c r="I6335" t="s">
        <v>42</v>
      </c>
      <c r="J6335" t="s">
        <v>43</v>
      </c>
      <c r="K6335" t="s">
        <v>29</v>
      </c>
      <c r="L6335" t="s">
        <v>30</v>
      </c>
      <c r="M6335" t="s">
        <v>166</v>
      </c>
      <c r="N6335">
        <v>842</v>
      </c>
      <c r="O6335" s="14">
        <v>0.254607144277543</v>
      </c>
      <c r="P6335" s="14">
        <v>0.43422180437482899</v>
      </c>
      <c r="Q6335" t="str">
        <f t="shared" si="196"/>
        <v>35-49</v>
      </c>
      <c r="R6335" t="str">
        <f t="shared" si="197"/>
        <v>[ul0y9diGujK]|35-49|Female|NEW_INFECTIONS_SUBNAT.T|CY2024Q3</v>
      </c>
    </row>
    <row r="6336" spans="4:18" x14ac:dyDescent="0.2">
      <c r="D6336" t="s">
        <v>107</v>
      </c>
      <c r="E6336" t="s">
        <v>108</v>
      </c>
      <c r="F6336" t="s">
        <v>109</v>
      </c>
      <c r="G6336" t="s">
        <v>169</v>
      </c>
      <c r="H6336" t="s">
        <v>169</v>
      </c>
      <c r="I6336" t="s">
        <v>44</v>
      </c>
      <c r="J6336" t="s">
        <v>45</v>
      </c>
      <c r="K6336" t="s">
        <v>29</v>
      </c>
      <c r="L6336" t="s">
        <v>30</v>
      </c>
      <c r="M6336" t="s">
        <v>166</v>
      </c>
      <c r="N6336">
        <v>738</v>
      </c>
      <c r="O6336" s="14">
        <v>0.52239920385181904</v>
      </c>
      <c r="P6336" s="14">
        <v>0.43422180437482899</v>
      </c>
      <c r="Q6336" t="str">
        <f t="shared" si="196"/>
        <v>50+</v>
      </c>
      <c r="R6336" t="str">
        <f t="shared" si="197"/>
        <v>[ul0y9diGujK]|50+|Female|NEW_INFECTIONS_SUBNAT.T|CY2024Q3</v>
      </c>
    </row>
    <row r="6337" spans="4:18" x14ac:dyDescent="0.2">
      <c r="D6337" t="s">
        <v>107</v>
      </c>
      <c r="E6337" t="s">
        <v>108</v>
      </c>
      <c r="F6337" t="s">
        <v>109</v>
      </c>
      <c r="G6337" t="s">
        <v>169</v>
      </c>
      <c r="H6337" t="s">
        <v>169</v>
      </c>
      <c r="I6337" t="s">
        <v>27</v>
      </c>
      <c r="J6337" t="s">
        <v>28</v>
      </c>
      <c r="K6337" t="s">
        <v>47</v>
      </c>
      <c r="L6337" t="s">
        <v>48</v>
      </c>
      <c r="M6337" t="s">
        <v>166</v>
      </c>
      <c r="N6337">
        <v>1324</v>
      </c>
      <c r="O6337" s="14">
        <v>0.25115697318688002</v>
      </c>
      <c r="P6337" s="14">
        <v>0.43422180437482899</v>
      </c>
      <c r="Q6337" t="str">
        <f t="shared" si="196"/>
        <v>&lt;01</v>
      </c>
      <c r="R6337" t="str">
        <f t="shared" si="197"/>
        <v>[ul0y9diGujK]|&lt;01|Male|NEW_INFECTIONS_SUBNAT.T|CY2024Q3</v>
      </c>
    </row>
    <row r="6338" spans="4:18" x14ac:dyDescent="0.2">
      <c r="D6338" t="s">
        <v>107</v>
      </c>
      <c r="E6338" t="s">
        <v>108</v>
      </c>
      <c r="F6338" t="s">
        <v>109</v>
      </c>
      <c r="G6338" t="s">
        <v>169</v>
      </c>
      <c r="H6338" t="s">
        <v>169</v>
      </c>
      <c r="I6338" t="s">
        <v>32</v>
      </c>
      <c r="J6338" t="s">
        <v>33</v>
      </c>
      <c r="K6338" t="s">
        <v>47</v>
      </c>
      <c r="L6338" t="s">
        <v>48</v>
      </c>
      <c r="M6338" t="s">
        <v>166</v>
      </c>
      <c r="N6338">
        <v>1104</v>
      </c>
      <c r="O6338" s="14">
        <v>0.98396553401835296</v>
      </c>
      <c r="P6338" s="14">
        <v>0.43422180437482899</v>
      </c>
      <c r="Q6338" t="str">
        <f t="shared" ref="Q6338:Q6401" si="198">SUBSTITUTE(SUBSTITUTE($I6338,CHAR(61),""),CHAR(34),"")</f>
        <v>01-09</v>
      </c>
      <c r="R6338" t="str">
        <f t="shared" ref="R6338:R6401" si="199">IF($D6338&lt;&gt;"","["&amp;$E6338&amp;"]"&amp;"|"&amp;$Q6338&amp;"|"&amp;$K6338&amp;"|"&amp;$G6338&amp;"|"&amp;IF($G6338="TX_CURR_SUBNAT.R","CY2022Q4",$M6338),"")</f>
        <v>[ul0y9diGujK]|01-09|Male|NEW_INFECTIONS_SUBNAT.T|CY2024Q3</v>
      </c>
    </row>
    <row r="6339" spans="4:18" x14ac:dyDescent="0.2">
      <c r="D6339" t="s">
        <v>107</v>
      </c>
      <c r="E6339" t="s">
        <v>108</v>
      </c>
      <c r="F6339" t="s">
        <v>109</v>
      </c>
      <c r="G6339" t="s">
        <v>169</v>
      </c>
      <c r="H6339" t="s">
        <v>169</v>
      </c>
      <c r="I6339" t="s">
        <v>35</v>
      </c>
      <c r="J6339" t="s">
        <v>36</v>
      </c>
      <c r="K6339" t="s">
        <v>47</v>
      </c>
      <c r="L6339" t="s">
        <v>48</v>
      </c>
      <c r="M6339" t="s">
        <v>166</v>
      </c>
      <c r="N6339">
        <v>1511</v>
      </c>
      <c r="O6339" s="14">
        <v>0.10219280095770999</v>
      </c>
      <c r="P6339" s="14">
        <v>0.43422180437482899</v>
      </c>
      <c r="Q6339" t="str">
        <f t="shared" si="198"/>
        <v>10-14</v>
      </c>
      <c r="R6339" t="str">
        <f t="shared" si="199"/>
        <v>[ul0y9diGujK]|10-14|Male|NEW_INFECTIONS_SUBNAT.T|CY2024Q3</v>
      </c>
    </row>
    <row r="6340" spans="4:18" x14ac:dyDescent="0.2">
      <c r="D6340" t="s">
        <v>107</v>
      </c>
      <c r="E6340" t="s">
        <v>108</v>
      </c>
      <c r="F6340" t="s">
        <v>109</v>
      </c>
      <c r="G6340" t="s">
        <v>169</v>
      </c>
      <c r="H6340" t="s">
        <v>169</v>
      </c>
      <c r="I6340" t="s">
        <v>37</v>
      </c>
      <c r="J6340" t="s">
        <v>38</v>
      </c>
      <c r="K6340" t="s">
        <v>47</v>
      </c>
      <c r="L6340" t="s">
        <v>48</v>
      </c>
      <c r="M6340" t="s">
        <v>166</v>
      </c>
      <c r="N6340">
        <v>1842</v>
      </c>
      <c r="O6340" s="14">
        <v>0.91614660155028105</v>
      </c>
      <c r="P6340" s="14">
        <v>0.43422180437482899</v>
      </c>
      <c r="Q6340" t="str">
        <f t="shared" si="198"/>
        <v>15-24</v>
      </c>
      <c r="R6340" t="str">
        <f t="shared" si="199"/>
        <v>[ul0y9diGujK]|15-24|Male|NEW_INFECTIONS_SUBNAT.T|CY2024Q3</v>
      </c>
    </row>
    <row r="6341" spans="4:18" x14ac:dyDescent="0.2">
      <c r="D6341" t="s">
        <v>107</v>
      </c>
      <c r="E6341" t="s">
        <v>108</v>
      </c>
      <c r="F6341" t="s">
        <v>109</v>
      </c>
      <c r="G6341" t="s">
        <v>169</v>
      </c>
      <c r="H6341" t="s">
        <v>169</v>
      </c>
      <c r="I6341" t="s">
        <v>40</v>
      </c>
      <c r="J6341" t="s">
        <v>41</v>
      </c>
      <c r="K6341" t="s">
        <v>47</v>
      </c>
      <c r="L6341" t="s">
        <v>48</v>
      </c>
      <c r="M6341" t="s">
        <v>166</v>
      </c>
      <c r="N6341">
        <v>691</v>
      </c>
      <c r="O6341" s="14">
        <v>0.66987568791955698</v>
      </c>
      <c r="P6341" s="14">
        <v>0.43422180437482899</v>
      </c>
      <c r="Q6341" t="str">
        <f t="shared" si="198"/>
        <v>25-34</v>
      </c>
      <c r="R6341" t="str">
        <f t="shared" si="199"/>
        <v>[ul0y9diGujK]|25-34|Male|NEW_INFECTIONS_SUBNAT.T|CY2024Q3</v>
      </c>
    </row>
    <row r="6342" spans="4:18" x14ac:dyDescent="0.2">
      <c r="D6342" t="s">
        <v>107</v>
      </c>
      <c r="E6342" t="s">
        <v>108</v>
      </c>
      <c r="F6342" t="s">
        <v>109</v>
      </c>
      <c r="G6342" t="s">
        <v>169</v>
      </c>
      <c r="H6342" t="s">
        <v>169</v>
      </c>
      <c r="I6342" t="s">
        <v>42</v>
      </c>
      <c r="J6342" t="s">
        <v>43</v>
      </c>
      <c r="K6342" t="s">
        <v>47</v>
      </c>
      <c r="L6342" t="s">
        <v>48</v>
      </c>
      <c r="M6342" t="s">
        <v>166</v>
      </c>
      <c r="N6342">
        <v>833</v>
      </c>
      <c r="O6342" s="14">
        <v>0.64409616007469594</v>
      </c>
      <c r="P6342" s="14">
        <v>0.43422180437482899</v>
      </c>
      <c r="Q6342" t="str">
        <f t="shared" si="198"/>
        <v>35-49</v>
      </c>
      <c r="R6342" t="str">
        <f t="shared" si="199"/>
        <v>[ul0y9diGujK]|35-49|Male|NEW_INFECTIONS_SUBNAT.T|CY2024Q3</v>
      </c>
    </row>
    <row r="6343" spans="4:18" x14ac:dyDescent="0.2">
      <c r="D6343" t="s">
        <v>107</v>
      </c>
      <c r="E6343" t="s">
        <v>108</v>
      </c>
      <c r="F6343" t="s">
        <v>109</v>
      </c>
      <c r="G6343" t="s">
        <v>169</v>
      </c>
      <c r="H6343" t="s">
        <v>169</v>
      </c>
      <c r="I6343" t="s">
        <v>44</v>
      </c>
      <c r="J6343" t="s">
        <v>45</v>
      </c>
      <c r="K6343" t="s">
        <v>47</v>
      </c>
      <c r="L6343" t="s">
        <v>48</v>
      </c>
      <c r="M6343" t="s">
        <v>166</v>
      </c>
      <c r="N6343">
        <v>521</v>
      </c>
      <c r="O6343" s="14">
        <v>0.18295698170550201</v>
      </c>
      <c r="P6343" s="14">
        <v>0.43422180437482899</v>
      </c>
      <c r="Q6343" t="str">
        <f t="shared" si="198"/>
        <v>50+</v>
      </c>
      <c r="R6343" t="str">
        <f t="shared" si="199"/>
        <v>[ul0y9diGujK]|50+|Male|NEW_INFECTIONS_SUBNAT.T|CY2024Q3</v>
      </c>
    </row>
    <row r="6344" spans="4:18" x14ac:dyDescent="0.2">
      <c r="D6344" t="s">
        <v>110</v>
      </c>
      <c r="E6344" t="s">
        <v>111</v>
      </c>
      <c r="F6344" t="s">
        <v>112</v>
      </c>
      <c r="G6344" t="s">
        <v>169</v>
      </c>
      <c r="H6344" t="s">
        <v>169</v>
      </c>
      <c r="I6344" t="s">
        <v>27</v>
      </c>
      <c r="J6344" t="s">
        <v>28</v>
      </c>
      <c r="K6344" t="s">
        <v>29</v>
      </c>
      <c r="L6344" t="s">
        <v>30</v>
      </c>
      <c r="M6344" t="s">
        <v>166</v>
      </c>
      <c r="N6344">
        <v>1130</v>
      </c>
      <c r="O6344" s="14">
        <v>0.629918579943478</v>
      </c>
      <c r="P6344" s="14">
        <v>0.33776879496872397</v>
      </c>
      <c r="Q6344" t="str">
        <f t="shared" si="198"/>
        <v>&lt;01</v>
      </c>
      <c r="R6344" t="str">
        <f t="shared" si="199"/>
        <v>[U8c0so51kT6]|&lt;01|Female|NEW_INFECTIONS_SUBNAT.T|CY2024Q3</v>
      </c>
    </row>
    <row r="6345" spans="4:18" x14ac:dyDescent="0.2">
      <c r="D6345" t="s">
        <v>110</v>
      </c>
      <c r="E6345" t="s">
        <v>111</v>
      </c>
      <c r="F6345" t="s">
        <v>112</v>
      </c>
      <c r="G6345" t="s">
        <v>169</v>
      </c>
      <c r="H6345" t="s">
        <v>169</v>
      </c>
      <c r="I6345" t="s">
        <v>32</v>
      </c>
      <c r="J6345" t="s">
        <v>33</v>
      </c>
      <c r="K6345" t="s">
        <v>29</v>
      </c>
      <c r="L6345" t="s">
        <v>30</v>
      </c>
      <c r="M6345" t="s">
        <v>166</v>
      </c>
      <c r="N6345">
        <v>1994</v>
      </c>
      <c r="O6345" s="14">
        <v>0.77554754284210503</v>
      </c>
      <c r="P6345" s="14">
        <v>0.33776879496872397</v>
      </c>
      <c r="Q6345" t="str">
        <f t="shared" si="198"/>
        <v>01-09</v>
      </c>
      <c r="R6345" t="str">
        <f t="shared" si="199"/>
        <v>[U8c0so51kT6]|01-09|Female|NEW_INFECTIONS_SUBNAT.T|CY2024Q3</v>
      </c>
    </row>
    <row r="6346" spans="4:18" x14ac:dyDescent="0.2">
      <c r="D6346" t="s">
        <v>110</v>
      </c>
      <c r="E6346" t="s">
        <v>111</v>
      </c>
      <c r="F6346" t="s">
        <v>112</v>
      </c>
      <c r="G6346" t="s">
        <v>169</v>
      </c>
      <c r="H6346" t="s">
        <v>169</v>
      </c>
      <c r="I6346" t="s">
        <v>35</v>
      </c>
      <c r="J6346" t="s">
        <v>36</v>
      </c>
      <c r="K6346" t="s">
        <v>29</v>
      </c>
      <c r="L6346" t="s">
        <v>30</v>
      </c>
      <c r="M6346" t="s">
        <v>166</v>
      </c>
      <c r="N6346">
        <v>1199</v>
      </c>
      <c r="O6346" s="14">
        <v>0.16450570989400101</v>
      </c>
      <c r="P6346" s="14">
        <v>0.33776879496872397</v>
      </c>
      <c r="Q6346" t="str">
        <f t="shared" si="198"/>
        <v>10-14</v>
      </c>
      <c r="R6346" t="str">
        <f t="shared" si="199"/>
        <v>[U8c0so51kT6]|10-14|Female|NEW_INFECTIONS_SUBNAT.T|CY2024Q3</v>
      </c>
    </row>
    <row r="6347" spans="4:18" x14ac:dyDescent="0.2">
      <c r="D6347" t="s">
        <v>110</v>
      </c>
      <c r="E6347" t="s">
        <v>111</v>
      </c>
      <c r="F6347" t="s">
        <v>112</v>
      </c>
      <c r="G6347" t="s">
        <v>169</v>
      </c>
      <c r="H6347" t="s">
        <v>169</v>
      </c>
      <c r="I6347" t="s">
        <v>37</v>
      </c>
      <c r="J6347" t="s">
        <v>38</v>
      </c>
      <c r="K6347" t="s">
        <v>29</v>
      </c>
      <c r="L6347" t="s">
        <v>30</v>
      </c>
      <c r="M6347" t="s">
        <v>166</v>
      </c>
      <c r="N6347">
        <v>502</v>
      </c>
      <c r="O6347" s="14">
        <v>0.32413075654767498</v>
      </c>
      <c r="P6347" s="14">
        <v>0.33776879496872397</v>
      </c>
      <c r="Q6347" t="str">
        <f t="shared" si="198"/>
        <v>15-24</v>
      </c>
      <c r="R6347" t="str">
        <f t="shared" si="199"/>
        <v>[U8c0so51kT6]|15-24|Female|NEW_INFECTIONS_SUBNAT.T|CY2024Q3</v>
      </c>
    </row>
    <row r="6348" spans="4:18" x14ac:dyDescent="0.2">
      <c r="D6348" t="s">
        <v>110</v>
      </c>
      <c r="E6348" t="s">
        <v>111</v>
      </c>
      <c r="F6348" t="s">
        <v>112</v>
      </c>
      <c r="G6348" t="s">
        <v>169</v>
      </c>
      <c r="H6348" t="s">
        <v>169</v>
      </c>
      <c r="I6348" t="s">
        <v>40</v>
      </c>
      <c r="J6348" t="s">
        <v>41</v>
      </c>
      <c r="K6348" t="s">
        <v>29</v>
      </c>
      <c r="L6348" t="s">
        <v>30</v>
      </c>
      <c r="M6348" t="s">
        <v>166</v>
      </c>
      <c r="N6348">
        <v>889</v>
      </c>
      <c r="O6348" s="14">
        <v>0.83848238154314503</v>
      </c>
      <c r="P6348" s="14">
        <v>0.33776879496872397</v>
      </c>
      <c r="Q6348" t="str">
        <f t="shared" si="198"/>
        <v>25-34</v>
      </c>
      <c r="R6348" t="str">
        <f t="shared" si="199"/>
        <v>[U8c0so51kT6]|25-34|Female|NEW_INFECTIONS_SUBNAT.T|CY2024Q3</v>
      </c>
    </row>
    <row r="6349" spans="4:18" x14ac:dyDescent="0.2">
      <c r="D6349" t="s">
        <v>110</v>
      </c>
      <c r="E6349" t="s">
        <v>111</v>
      </c>
      <c r="F6349" t="s">
        <v>112</v>
      </c>
      <c r="G6349" t="s">
        <v>169</v>
      </c>
      <c r="H6349" t="s">
        <v>169</v>
      </c>
      <c r="I6349" t="s">
        <v>42</v>
      </c>
      <c r="J6349" t="s">
        <v>43</v>
      </c>
      <c r="K6349" t="s">
        <v>29</v>
      </c>
      <c r="L6349" t="s">
        <v>30</v>
      </c>
      <c r="M6349" t="s">
        <v>166</v>
      </c>
      <c r="N6349">
        <v>1485</v>
      </c>
      <c r="O6349" s="14">
        <v>0.91261191503144801</v>
      </c>
      <c r="P6349" s="14">
        <v>0.33776879496872397</v>
      </c>
      <c r="Q6349" t="str">
        <f t="shared" si="198"/>
        <v>35-49</v>
      </c>
      <c r="R6349" t="str">
        <f t="shared" si="199"/>
        <v>[U8c0so51kT6]|35-49|Female|NEW_INFECTIONS_SUBNAT.T|CY2024Q3</v>
      </c>
    </row>
    <row r="6350" spans="4:18" x14ac:dyDescent="0.2">
      <c r="D6350" t="s">
        <v>110</v>
      </c>
      <c r="E6350" t="s">
        <v>111</v>
      </c>
      <c r="F6350" t="s">
        <v>112</v>
      </c>
      <c r="G6350" t="s">
        <v>169</v>
      </c>
      <c r="H6350" t="s">
        <v>169</v>
      </c>
      <c r="I6350" t="s">
        <v>44</v>
      </c>
      <c r="J6350" t="s">
        <v>45</v>
      </c>
      <c r="K6350" t="s">
        <v>29</v>
      </c>
      <c r="L6350" t="s">
        <v>30</v>
      </c>
      <c r="M6350" t="s">
        <v>166</v>
      </c>
      <c r="N6350">
        <v>1472</v>
      </c>
      <c r="O6350" s="14">
        <v>0.306658586254343</v>
      </c>
      <c r="P6350" s="14">
        <v>0.33776879496872397</v>
      </c>
      <c r="Q6350" t="str">
        <f t="shared" si="198"/>
        <v>50+</v>
      </c>
      <c r="R6350" t="str">
        <f t="shared" si="199"/>
        <v>[U8c0so51kT6]|50+|Female|NEW_INFECTIONS_SUBNAT.T|CY2024Q3</v>
      </c>
    </row>
    <row r="6351" spans="4:18" x14ac:dyDescent="0.2">
      <c r="D6351" t="s">
        <v>110</v>
      </c>
      <c r="E6351" t="s">
        <v>111</v>
      </c>
      <c r="F6351" t="s">
        <v>112</v>
      </c>
      <c r="G6351" t="s">
        <v>169</v>
      </c>
      <c r="H6351" t="s">
        <v>169</v>
      </c>
      <c r="I6351" t="s">
        <v>27</v>
      </c>
      <c r="J6351" t="s">
        <v>28</v>
      </c>
      <c r="K6351" t="s">
        <v>47</v>
      </c>
      <c r="L6351" t="s">
        <v>48</v>
      </c>
      <c r="M6351" t="s">
        <v>166</v>
      </c>
      <c r="N6351">
        <v>1948</v>
      </c>
      <c r="O6351" s="14">
        <v>0.65466637536883399</v>
      </c>
      <c r="P6351" s="14">
        <v>0.33776879496872397</v>
      </c>
      <c r="Q6351" t="str">
        <f t="shared" si="198"/>
        <v>&lt;01</v>
      </c>
      <c r="R6351" t="str">
        <f t="shared" si="199"/>
        <v>[U8c0so51kT6]|&lt;01|Male|NEW_INFECTIONS_SUBNAT.T|CY2024Q3</v>
      </c>
    </row>
    <row r="6352" spans="4:18" x14ac:dyDescent="0.2">
      <c r="D6352" t="s">
        <v>110</v>
      </c>
      <c r="E6352" t="s">
        <v>111</v>
      </c>
      <c r="F6352" t="s">
        <v>112</v>
      </c>
      <c r="G6352" t="s">
        <v>169</v>
      </c>
      <c r="H6352" t="s">
        <v>169</v>
      </c>
      <c r="I6352" t="s">
        <v>32</v>
      </c>
      <c r="J6352" t="s">
        <v>33</v>
      </c>
      <c r="K6352" t="s">
        <v>47</v>
      </c>
      <c r="L6352" t="s">
        <v>48</v>
      </c>
      <c r="M6352" t="s">
        <v>166</v>
      </c>
      <c r="N6352">
        <v>1056</v>
      </c>
      <c r="O6352" s="14">
        <v>0.51273468439467296</v>
      </c>
      <c r="P6352" s="14">
        <v>0.33776879496872397</v>
      </c>
      <c r="Q6352" t="str">
        <f t="shared" si="198"/>
        <v>01-09</v>
      </c>
      <c r="R6352" t="str">
        <f t="shared" si="199"/>
        <v>[U8c0so51kT6]|01-09|Male|NEW_INFECTIONS_SUBNAT.T|CY2024Q3</v>
      </c>
    </row>
    <row r="6353" spans="4:18" x14ac:dyDescent="0.2">
      <c r="D6353" t="s">
        <v>110</v>
      </c>
      <c r="E6353" t="s">
        <v>111</v>
      </c>
      <c r="F6353" t="s">
        <v>112</v>
      </c>
      <c r="G6353" t="s">
        <v>169</v>
      </c>
      <c r="H6353" t="s">
        <v>169</v>
      </c>
      <c r="I6353" t="s">
        <v>35</v>
      </c>
      <c r="J6353" t="s">
        <v>36</v>
      </c>
      <c r="K6353" t="s">
        <v>47</v>
      </c>
      <c r="L6353" t="s">
        <v>48</v>
      </c>
      <c r="M6353" t="s">
        <v>166</v>
      </c>
      <c r="N6353">
        <v>1262</v>
      </c>
      <c r="O6353" s="14">
        <v>0.52646210999228105</v>
      </c>
      <c r="P6353" s="14">
        <v>0.33776879496872397</v>
      </c>
      <c r="Q6353" t="str">
        <f t="shared" si="198"/>
        <v>10-14</v>
      </c>
      <c r="R6353" t="str">
        <f t="shared" si="199"/>
        <v>[U8c0so51kT6]|10-14|Male|NEW_INFECTIONS_SUBNAT.T|CY2024Q3</v>
      </c>
    </row>
    <row r="6354" spans="4:18" x14ac:dyDescent="0.2">
      <c r="D6354" t="s">
        <v>110</v>
      </c>
      <c r="E6354" t="s">
        <v>111</v>
      </c>
      <c r="F6354" t="s">
        <v>112</v>
      </c>
      <c r="G6354" t="s">
        <v>169</v>
      </c>
      <c r="H6354" t="s">
        <v>169</v>
      </c>
      <c r="I6354" t="s">
        <v>37</v>
      </c>
      <c r="J6354" t="s">
        <v>38</v>
      </c>
      <c r="K6354" t="s">
        <v>47</v>
      </c>
      <c r="L6354" t="s">
        <v>48</v>
      </c>
      <c r="M6354" t="s">
        <v>166</v>
      </c>
      <c r="N6354">
        <v>1685</v>
      </c>
      <c r="O6354" s="14">
        <v>0.61427317745983601</v>
      </c>
      <c r="P6354" s="14">
        <v>0.33776879496872397</v>
      </c>
      <c r="Q6354" t="str">
        <f t="shared" si="198"/>
        <v>15-24</v>
      </c>
      <c r="R6354" t="str">
        <f t="shared" si="199"/>
        <v>[U8c0so51kT6]|15-24|Male|NEW_INFECTIONS_SUBNAT.T|CY2024Q3</v>
      </c>
    </row>
    <row r="6355" spans="4:18" x14ac:dyDescent="0.2">
      <c r="D6355" t="s">
        <v>110</v>
      </c>
      <c r="E6355" t="s">
        <v>111</v>
      </c>
      <c r="F6355" t="s">
        <v>112</v>
      </c>
      <c r="G6355" t="s">
        <v>169</v>
      </c>
      <c r="H6355" t="s">
        <v>169</v>
      </c>
      <c r="I6355" t="s">
        <v>40</v>
      </c>
      <c r="J6355" t="s">
        <v>41</v>
      </c>
      <c r="K6355" t="s">
        <v>47</v>
      </c>
      <c r="L6355" t="s">
        <v>48</v>
      </c>
      <c r="M6355" t="s">
        <v>166</v>
      </c>
      <c r="N6355">
        <v>1659</v>
      </c>
      <c r="O6355" s="14">
        <v>0.41767739225179001</v>
      </c>
      <c r="P6355" s="14">
        <v>0.33776879496872397</v>
      </c>
      <c r="Q6355" t="str">
        <f t="shared" si="198"/>
        <v>25-34</v>
      </c>
      <c r="R6355" t="str">
        <f t="shared" si="199"/>
        <v>[U8c0so51kT6]|25-34|Male|NEW_INFECTIONS_SUBNAT.T|CY2024Q3</v>
      </c>
    </row>
    <row r="6356" spans="4:18" x14ac:dyDescent="0.2">
      <c r="D6356" t="s">
        <v>110</v>
      </c>
      <c r="E6356" t="s">
        <v>111</v>
      </c>
      <c r="F6356" t="s">
        <v>112</v>
      </c>
      <c r="G6356" t="s">
        <v>169</v>
      </c>
      <c r="H6356" t="s">
        <v>169</v>
      </c>
      <c r="I6356" t="s">
        <v>42</v>
      </c>
      <c r="J6356" t="s">
        <v>43</v>
      </c>
      <c r="K6356" t="s">
        <v>47</v>
      </c>
      <c r="L6356" t="s">
        <v>48</v>
      </c>
      <c r="M6356" t="s">
        <v>166</v>
      </c>
      <c r="N6356">
        <v>775</v>
      </c>
      <c r="O6356" s="14">
        <v>1.6786273336038E-2</v>
      </c>
      <c r="P6356" s="14">
        <v>0.33776879496872397</v>
      </c>
      <c r="Q6356" t="str">
        <f t="shared" si="198"/>
        <v>35-49</v>
      </c>
      <c r="R6356" t="str">
        <f t="shared" si="199"/>
        <v>[U8c0so51kT6]|35-49|Male|NEW_INFECTIONS_SUBNAT.T|CY2024Q3</v>
      </c>
    </row>
    <row r="6357" spans="4:18" x14ac:dyDescent="0.2">
      <c r="D6357" t="s">
        <v>110</v>
      </c>
      <c r="E6357" t="s">
        <v>111</v>
      </c>
      <c r="F6357" t="s">
        <v>112</v>
      </c>
      <c r="G6357" t="s">
        <v>169</v>
      </c>
      <c r="H6357" t="s">
        <v>169</v>
      </c>
      <c r="I6357" t="s">
        <v>44</v>
      </c>
      <c r="J6357" t="s">
        <v>45</v>
      </c>
      <c r="K6357" t="s">
        <v>47</v>
      </c>
      <c r="L6357" t="s">
        <v>48</v>
      </c>
      <c r="M6357" t="s">
        <v>166</v>
      </c>
      <c r="N6357">
        <v>1529</v>
      </c>
      <c r="O6357" s="14">
        <v>0.805250286124647</v>
      </c>
      <c r="P6357" s="14">
        <v>0.33776879496872397</v>
      </c>
      <c r="Q6357" t="str">
        <f t="shared" si="198"/>
        <v>50+</v>
      </c>
      <c r="R6357" t="str">
        <f t="shared" si="199"/>
        <v>[U8c0so51kT6]|50+|Male|NEW_INFECTIONS_SUBNAT.T|CY2024Q3</v>
      </c>
    </row>
    <row r="6358" spans="4:18" x14ac:dyDescent="0.2">
      <c r="D6358" t="s">
        <v>113</v>
      </c>
      <c r="E6358" t="s">
        <v>114</v>
      </c>
      <c r="F6358" t="s">
        <v>115</v>
      </c>
      <c r="G6358" t="s">
        <v>169</v>
      </c>
      <c r="H6358" t="s">
        <v>169</v>
      </c>
      <c r="I6358" t="s">
        <v>27</v>
      </c>
      <c r="J6358" t="s">
        <v>28</v>
      </c>
      <c r="K6358" t="s">
        <v>29</v>
      </c>
      <c r="L6358" t="s">
        <v>30</v>
      </c>
      <c r="M6358" t="s">
        <v>166</v>
      </c>
      <c r="N6358">
        <v>816</v>
      </c>
      <c r="O6358" s="14">
        <v>0.59308725572191201</v>
      </c>
      <c r="P6358" s="14">
        <v>0.29855980910360802</v>
      </c>
      <c r="Q6358" t="str">
        <f t="shared" si="198"/>
        <v>&lt;01</v>
      </c>
      <c r="R6358" t="str">
        <f t="shared" si="199"/>
        <v>[rpw540fmNUz]|&lt;01|Female|NEW_INFECTIONS_SUBNAT.T|CY2024Q3</v>
      </c>
    </row>
    <row r="6359" spans="4:18" x14ac:dyDescent="0.2">
      <c r="D6359" t="s">
        <v>113</v>
      </c>
      <c r="E6359" t="s">
        <v>114</v>
      </c>
      <c r="F6359" t="s">
        <v>115</v>
      </c>
      <c r="G6359" t="s">
        <v>169</v>
      </c>
      <c r="H6359" t="s">
        <v>169</v>
      </c>
      <c r="I6359" t="s">
        <v>32</v>
      </c>
      <c r="J6359" t="s">
        <v>33</v>
      </c>
      <c r="K6359" t="s">
        <v>29</v>
      </c>
      <c r="L6359" t="s">
        <v>30</v>
      </c>
      <c r="M6359" t="s">
        <v>166</v>
      </c>
      <c r="N6359">
        <v>1815</v>
      </c>
      <c r="O6359" s="14">
        <v>0.622598902788013</v>
      </c>
      <c r="P6359" s="14">
        <v>0.29855980910360802</v>
      </c>
      <c r="Q6359" t="str">
        <f t="shared" si="198"/>
        <v>01-09</v>
      </c>
      <c r="R6359" t="str">
        <f t="shared" si="199"/>
        <v>[rpw540fmNUz]|01-09|Female|NEW_INFECTIONS_SUBNAT.T|CY2024Q3</v>
      </c>
    </row>
    <row r="6360" spans="4:18" x14ac:dyDescent="0.2">
      <c r="D6360" t="s">
        <v>113</v>
      </c>
      <c r="E6360" t="s">
        <v>114</v>
      </c>
      <c r="F6360" t="s">
        <v>115</v>
      </c>
      <c r="G6360" t="s">
        <v>169</v>
      </c>
      <c r="H6360" t="s">
        <v>169</v>
      </c>
      <c r="I6360" t="s">
        <v>35</v>
      </c>
      <c r="J6360" t="s">
        <v>36</v>
      </c>
      <c r="K6360" t="s">
        <v>29</v>
      </c>
      <c r="L6360" t="s">
        <v>30</v>
      </c>
      <c r="M6360" t="s">
        <v>166</v>
      </c>
      <c r="N6360">
        <v>1345</v>
      </c>
      <c r="O6360" s="14">
        <v>0.92155072954483297</v>
      </c>
      <c r="P6360" s="14">
        <v>0.29855980910360802</v>
      </c>
      <c r="Q6360" t="str">
        <f t="shared" si="198"/>
        <v>10-14</v>
      </c>
      <c r="R6360" t="str">
        <f t="shared" si="199"/>
        <v>[rpw540fmNUz]|10-14|Female|NEW_INFECTIONS_SUBNAT.T|CY2024Q3</v>
      </c>
    </row>
    <row r="6361" spans="4:18" x14ac:dyDescent="0.2">
      <c r="D6361" t="s">
        <v>113</v>
      </c>
      <c r="E6361" t="s">
        <v>114</v>
      </c>
      <c r="F6361" t="s">
        <v>115</v>
      </c>
      <c r="G6361" t="s">
        <v>169</v>
      </c>
      <c r="H6361" t="s">
        <v>169</v>
      </c>
      <c r="I6361" t="s">
        <v>37</v>
      </c>
      <c r="J6361" t="s">
        <v>38</v>
      </c>
      <c r="K6361" t="s">
        <v>29</v>
      </c>
      <c r="L6361" t="s">
        <v>30</v>
      </c>
      <c r="M6361" t="s">
        <v>166</v>
      </c>
      <c r="N6361">
        <v>523</v>
      </c>
      <c r="O6361" s="14">
        <v>0.116123169660568</v>
      </c>
      <c r="P6361" s="14">
        <v>0.29855980910360802</v>
      </c>
      <c r="Q6361" t="str">
        <f t="shared" si="198"/>
        <v>15-24</v>
      </c>
      <c r="R6361" t="str">
        <f t="shared" si="199"/>
        <v>[rpw540fmNUz]|15-24|Female|NEW_INFECTIONS_SUBNAT.T|CY2024Q3</v>
      </c>
    </row>
    <row r="6362" spans="4:18" x14ac:dyDescent="0.2">
      <c r="D6362" t="s">
        <v>113</v>
      </c>
      <c r="E6362" t="s">
        <v>114</v>
      </c>
      <c r="F6362" t="s">
        <v>115</v>
      </c>
      <c r="G6362" t="s">
        <v>169</v>
      </c>
      <c r="H6362" t="s">
        <v>169</v>
      </c>
      <c r="I6362" t="s">
        <v>40</v>
      </c>
      <c r="J6362" t="s">
        <v>41</v>
      </c>
      <c r="K6362" t="s">
        <v>29</v>
      </c>
      <c r="L6362" t="s">
        <v>30</v>
      </c>
      <c r="M6362" t="s">
        <v>166</v>
      </c>
      <c r="N6362">
        <v>1124</v>
      </c>
      <c r="O6362" s="14">
        <v>0.53632414597086597</v>
      </c>
      <c r="P6362" s="14">
        <v>0.29855980910360802</v>
      </c>
      <c r="Q6362" t="str">
        <f t="shared" si="198"/>
        <v>25-34</v>
      </c>
      <c r="R6362" t="str">
        <f t="shared" si="199"/>
        <v>[rpw540fmNUz]|25-34|Female|NEW_INFECTIONS_SUBNAT.T|CY2024Q3</v>
      </c>
    </row>
    <row r="6363" spans="4:18" x14ac:dyDescent="0.2">
      <c r="D6363" t="s">
        <v>113</v>
      </c>
      <c r="E6363" t="s">
        <v>114</v>
      </c>
      <c r="F6363" t="s">
        <v>115</v>
      </c>
      <c r="G6363" t="s">
        <v>169</v>
      </c>
      <c r="H6363" t="s">
        <v>169</v>
      </c>
      <c r="I6363" t="s">
        <v>42</v>
      </c>
      <c r="J6363" t="s">
        <v>43</v>
      </c>
      <c r="K6363" t="s">
        <v>29</v>
      </c>
      <c r="L6363" t="s">
        <v>30</v>
      </c>
      <c r="M6363" t="s">
        <v>166</v>
      </c>
      <c r="N6363">
        <v>866</v>
      </c>
      <c r="O6363" s="14">
        <v>2.0934861851856099E-2</v>
      </c>
      <c r="P6363" s="14">
        <v>0.29855980910360802</v>
      </c>
      <c r="Q6363" t="str">
        <f t="shared" si="198"/>
        <v>35-49</v>
      </c>
      <c r="R6363" t="str">
        <f t="shared" si="199"/>
        <v>[rpw540fmNUz]|35-49|Female|NEW_INFECTIONS_SUBNAT.T|CY2024Q3</v>
      </c>
    </row>
    <row r="6364" spans="4:18" x14ac:dyDescent="0.2">
      <c r="D6364" t="s">
        <v>113</v>
      </c>
      <c r="E6364" t="s">
        <v>114</v>
      </c>
      <c r="F6364" t="s">
        <v>115</v>
      </c>
      <c r="G6364" t="s">
        <v>169</v>
      </c>
      <c r="H6364" t="s">
        <v>169</v>
      </c>
      <c r="I6364" t="s">
        <v>44</v>
      </c>
      <c r="J6364" t="s">
        <v>45</v>
      </c>
      <c r="K6364" t="s">
        <v>29</v>
      </c>
      <c r="L6364" t="s">
        <v>30</v>
      </c>
      <c r="M6364" t="s">
        <v>166</v>
      </c>
      <c r="N6364">
        <v>1270</v>
      </c>
      <c r="O6364" s="14">
        <v>0.151260640472174</v>
      </c>
      <c r="P6364" s="14">
        <v>0.29855980910360802</v>
      </c>
      <c r="Q6364" t="str">
        <f t="shared" si="198"/>
        <v>50+</v>
      </c>
      <c r="R6364" t="str">
        <f t="shared" si="199"/>
        <v>[rpw540fmNUz]|50+|Female|NEW_INFECTIONS_SUBNAT.T|CY2024Q3</v>
      </c>
    </row>
    <row r="6365" spans="4:18" x14ac:dyDescent="0.2">
      <c r="D6365" t="s">
        <v>113</v>
      </c>
      <c r="E6365" t="s">
        <v>114</v>
      </c>
      <c r="F6365" t="s">
        <v>115</v>
      </c>
      <c r="G6365" t="s">
        <v>169</v>
      </c>
      <c r="H6365" t="s">
        <v>169</v>
      </c>
      <c r="I6365" t="s">
        <v>27</v>
      </c>
      <c r="J6365" t="s">
        <v>28</v>
      </c>
      <c r="K6365" t="s">
        <v>47</v>
      </c>
      <c r="L6365" t="s">
        <v>48</v>
      </c>
      <c r="M6365" t="s">
        <v>166</v>
      </c>
      <c r="N6365">
        <v>1096</v>
      </c>
      <c r="O6365" s="14">
        <v>0.31112576881423598</v>
      </c>
      <c r="P6365" s="14">
        <v>0.29855980910360802</v>
      </c>
      <c r="Q6365" t="str">
        <f t="shared" si="198"/>
        <v>&lt;01</v>
      </c>
      <c r="R6365" t="str">
        <f t="shared" si="199"/>
        <v>[rpw540fmNUz]|&lt;01|Male|NEW_INFECTIONS_SUBNAT.T|CY2024Q3</v>
      </c>
    </row>
    <row r="6366" spans="4:18" x14ac:dyDescent="0.2">
      <c r="D6366" t="s">
        <v>113</v>
      </c>
      <c r="E6366" t="s">
        <v>114</v>
      </c>
      <c r="F6366" t="s">
        <v>115</v>
      </c>
      <c r="G6366" t="s">
        <v>169</v>
      </c>
      <c r="H6366" t="s">
        <v>169</v>
      </c>
      <c r="I6366" t="s">
        <v>32</v>
      </c>
      <c r="J6366" t="s">
        <v>33</v>
      </c>
      <c r="K6366" t="s">
        <v>47</v>
      </c>
      <c r="L6366" t="s">
        <v>48</v>
      </c>
      <c r="M6366" t="s">
        <v>166</v>
      </c>
      <c r="N6366">
        <v>995</v>
      </c>
      <c r="O6366" s="14">
        <v>0.79442344512790397</v>
      </c>
      <c r="P6366" s="14">
        <v>0.29855980910360802</v>
      </c>
      <c r="Q6366" t="str">
        <f t="shared" si="198"/>
        <v>01-09</v>
      </c>
      <c r="R6366" t="str">
        <f t="shared" si="199"/>
        <v>[rpw540fmNUz]|01-09|Male|NEW_INFECTIONS_SUBNAT.T|CY2024Q3</v>
      </c>
    </row>
    <row r="6367" spans="4:18" x14ac:dyDescent="0.2">
      <c r="D6367" t="s">
        <v>113</v>
      </c>
      <c r="E6367" t="s">
        <v>114</v>
      </c>
      <c r="F6367" t="s">
        <v>115</v>
      </c>
      <c r="G6367" t="s">
        <v>169</v>
      </c>
      <c r="H6367" t="s">
        <v>169</v>
      </c>
      <c r="I6367" t="s">
        <v>35</v>
      </c>
      <c r="J6367" t="s">
        <v>36</v>
      </c>
      <c r="K6367" t="s">
        <v>47</v>
      </c>
      <c r="L6367" t="s">
        <v>48</v>
      </c>
      <c r="M6367" t="s">
        <v>166</v>
      </c>
      <c r="N6367">
        <v>588</v>
      </c>
      <c r="O6367" s="14">
        <v>0.99726888281293202</v>
      </c>
      <c r="P6367" s="14">
        <v>0.29855980910360802</v>
      </c>
      <c r="Q6367" t="str">
        <f t="shared" si="198"/>
        <v>10-14</v>
      </c>
      <c r="R6367" t="str">
        <f t="shared" si="199"/>
        <v>[rpw540fmNUz]|10-14|Male|NEW_INFECTIONS_SUBNAT.T|CY2024Q3</v>
      </c>
    </row>
    <row r="6368" spans="4:18" x14ac:dyDescent="0.2">
      <c r="D6368" t="s">
        <v>113</v>
      </c>
      <c r="E6368" t="s">
        <v>114</v>
      </c>
      <c r="F6368" t="s">
        <v>115</v>
      </c>
      <c r="G6368" t="s">
        <v>169</v>
      </c>
      <c r="H6368" t="s">
        <v>169</v>
      </c>
      <c r="I6368" t="s">
        <v>37</v>
      </c>
      <c r="J6368" t="s">
        <v>38</v>
      </c>
      <c r="K6368" t="s">
        <v>47</v>
      </c>
      <c r="L6368" t="s">
        <v>48</v>
      </c>
      <c r="M6368" t="s">
        <v>166</v>
      </c>
      <c r="N6368">
        <v>1913</v>
      </c>
      <c r="O6368" s="14">
        <v>0.14997742651030399</v>
      </c>
      <c r="P6368" s="14">
        <v>0.29855980910360802</v>
      </c>
      <c r="Q6368" t="str">
        <f t="shared" si="198"/>
        <v>15-24</v>
      </c>
      <c r="R6368" t="str">
        <f t="shared" si="199"/>
        <v>[rpw540fmNUz]|15-24|Male|NEW_INFECTIONS_SUBNAT.T|CY2024Q3</v>
      </c>
    </row>
    <row r="6369" spans="4:18" x14ac:dyDescent="0.2">
      <c r="D6369" t="s">
        <v>113</v>
      </c>
      <c r="E6369" t="s">
        <v>114</v>
      </c>
      <c r="F6369" t="s">
        <v>115</v>
      </c>
      <c r="G6369" t="s">
        <v>169</v>
      </c>
      <c r="H6369" t="s">
        <v>169</v>
      </c>
      <c r="I6369" t="s">
        <v>40</v>
      </c>
      <c r="J6369" t="s">
        <v>41</v>
      </c>
      <c r="K6369" t="s">
        <v>47</v>
      </c>
      <c r="L6369" t="s">
        <v>48</v>
      </c>
      <c r="M6369" t="s">
        <v>166</v>
      </c>
      <c r="N6369">
        <v>1278</v>
      </c>
      <c r="O6369" s="14">
        <v>0.21808429830707601</v>
      </c>
      <c r="P6369" s="14">
        <v>0.29855980910360802</v>
      </c>
      <c r="Q6369" t="str">
        <f t="shared" si="198"/>
        <v>25-34</v>
      </c>
      <c r="R6369" t="str">
        <f t="shared" si="199"/>
        <v>[rpw540fmNUz]|25-34|Male|NEW_INFECTIONS_SUBNAT.T|CY2024Q3</v>
      </c>
    </row>
    <row r="6370" spans="4:18" x14ac:dyDescent="0.2">
      <c r="D6370" t="s">
        <v>113</v>
      </c>
      <c r="E6370" t="s">
        <v>114</v>
      </c>
      <c r="F6370" t="s">
        <v>115</v>
      </c>
      <c r="G6370" t="s">
        <v>169</v>
      </c>
      <c r="H6370" t="s">
        <v>169</v>
      </c>
      <c r="I6370" t="s">
        <v>42</v>
      </c>
      <c r="J6370" t="s">
        <v>43</v>
      </c>
      <c r="K6370" t="s">
        <v>47</v>
      </c>
      <c r="L6370" t="s">
        <v>48</v>
      </c>
      <c r="M6370" t="s">
        <v>166</v>
      </c>
      <c r="N6370">
        <v>705</v>
      </c>
      <c r="O6370" s="14">
        <v>5.9595468686893603E-2</v>
      </c>
      <c r="P6370" s="14">
        <v>0.29855980910360802</v>
      </c>
      <c r="Q6370" t="str">
        <f t="shared" si="198"/>
        <v>35-49</v>
      </c>
      <c r="R6370" t="str">
        <f t="shared" si="199"/>
        <v>[rpw540fmNUz]|35-49|Male|NEW_INFECTIONS_SUBNAT.T|CY2024Q3</v>
      </c>
    </row>
    <row r="6371" spans="4:18" x14ac:dyDescent="0.2">
      <c r="D6371" t="s">
        <v>113</v>
      </c>
      <c r="E6371" t="s">
        <v>114</v>
      </c>
      <c r="F6371" t="s">
        <v>115</v>
      </c>
      <c r="G6371" t="s">
        <v>169</v>
      </c>
      <c r="H6371" t="s">
        <v>169</v>
      </c>
      <c r="I6371" t="s">
        <v>44</v>
      </c>
      <c r="J6371" t="s">
        <v>45</v>
      </c>
      <c r="K6371" t="s">
        <v>47</v>
      </c>
      <c r="L6371" t="s">
        <v>48</v>
      </c>
      <c r="M6371" t="s">
        <v>166</v>
      </c>
      <c r="N6371">
        <v>1168</v>
      </c>
      <c r="O6371" s="14">
        <v>0.95345883932896003</v>
      </c>
      <c r="P6371" s="14">
        <v>0.29855980910360802</v>
      </c>
      <c r="Q6371" t="str">
        <f t="shared" si="198"/>
        <v>50+</v>
      </c>
      <c r="R6371" t="str">
        <f t="shared" si="199"/>
        <v>[rpw540fmNUz]|50+|Male|NEW_INFECTIONS_SUBNAT.T|CY2024Q3</v>
      </c>
    </row>
    <row r="6372" spans="4:18" x14ac:dyDescent="0.2">
      <c r="D6372" t="s">
        <v>116</v>
      </c>
      <c r="E6372" t="s">
        <v>117</v>
      </c>
      <c r="F6372" t="s">
        <v>118</v>
      </c>
      <c r="G6372" t="s">
        <v>169</v>
      </c>
      <c r="H6372" t="s">
        <v>169</v>
      </c>
      <c r="I6372" t="s">
        <v>27</v>
      </c>
      <c r="J6372" t="s">
        <v>28</v>
      </c>
      <c r="K6372" t="s">
        <v>29</v>
      </c>
      <c r="L6372" t="s">
        <v>30</v>
      </c>
      <c r="M6372" t="s">
        <v>166</v>
      </c>
      <c r="N6372">
        <v>1699</v>
      </c>
      <c r="O6372" s="14">
        <v>0.19363401923328599</v>
      </c>
      <c r="P6372" s="14">
        <v>0.206259709550068</v>
      </c>
      <c r="Q6372" t="str">
        <f t="shared" si="198"/>
        <v>&lt;01</v>
      </c>
      <c r="R6372" t="str">
        <f t="shared" si="199"/>
        <v>[lPTyjLi4w3d]|&lt;01|Female|NEW_INFECTIONS_SUBNAT.T|CY2024Q3</v>
      </c>
    </row>
    <row r="6373" spans="4:18" x14ac:dyDescent="0.2">
      <c r="D6373" t="s">
        <v>116</v>
      </c>
      <c r="E6373" t="s">
        <v>117</v>
      </c>
      <c r="F6373" t="s">
        <v>118</v>
      </c>
      <c r="G6373" t="s">
        <v>169</v>
      </c>
      <c r="H6373" t="s">
        <v>169</v>
      </c>
      <c r="I6373" t="s">
        <v>32</v>
      </c>
      <c r="J6373" t="s">
        <v>33</v>
      </c>
      <c r="K6373" t="s">
        <v>29</v>
      </c>
      <c r="L6373" t="s">
        <v>30</v>
      </c>
      <c r="M6373" t="s">
        <v>166</v>
      </c>
      <c r="N6373">
        <v>612</v>
      </c>
      <c r="O6373" s="14">
        <v>0.69170849793590605</v>
      </c>
      <c r="P6373" s="14">
        <v>0.206259709550068</v>
      </c>
      <c r="Q6373" t="str">
        <f t="shared" si="198"/>
        <v>01-09</v>
      </c>
      <c r="R6373" t="str">
        <f t="shared" si="199"/>
        <v>[lPTyjLi4w3d]|01-09|Female|NEW_INFECTIONS_SUBNAT.T|CY2024Q3</v>
      </c>
    </row>
    <row r="6374" spans="4:18" x14ac:dyDescent="0.2">
      <c r="D6374" t="s">
        <v>116</v>
      </c>
      <c r="E6374" t="s">
        <v>117</v>
      </c>
      <c r="F6374" t="s">
        <v>118</v>
      </c>
      <c r="G6374" t="s">
        <v>169</v>
      </c>
      <c r="H6374" t="s">
        <v>169</v>
      </c>
      <c r="I6374" t="s">
        <v>35</v>
      </c>
      <c r="J6374" t="s">
        <v>36</v>
      </c>
      <c r="K6374" t="s">
        <v>29</v>
      </c>
      <c r="L6374" t="s">
        <v>30</v>
      </c>
      <c r="M6374" t="s">
        <v>166</v>
      </c>
      <c r="N6374">
        <v>501</v>
      </c>
      <c r="O6374" s="14">
        <v>0.55307433404959705</v>
      </c>
      <c r="P6374" s="14">
        <v>0.206259709550068</v>
      </c>
      <c r="Q6374" t="str">
        <f t="shared" si="198"/>
        <v>10-14</v>
      </c>
      <c r="R6374" t="str">
        <f t="shared" si="199"/>
        <v>[lPTyjLi4w3d]|10-14|Female|NEW_INFECTIONS_SUBNAT.T|CY2024Q3</v>
      </c>
    </row>
    <row r="6375" spans="4:18" x14ac:dyDescent="0.2">
      <c r="D6375" t="s">
        <v>116</v>
      </c>
      <c r="E6375" t="s">
        <v>117</v>
      </c>
      <c r="F6375" t="s">
        <v>118</v>
      </c>
      <c r="G6375" t="s">
        <v>169</v>
      </c>
      <c r="H6375" t="s">
        <v>169</v>
      </c>
      <c r="I6375" t="s">
        <v>37</v>
      </c>
      <c r="J6375" t="s">
        <v>38</v>
      </c>
      <c r="K6375" t="s">
        <v>29</v>
      </c>
      <c r="L6375" t="s">
        <v>30</v>
      </c>
      <c r="M6375" t="s">
        <v>166</v>
      </c>
      <c r="N6375">
        <v>732</v>
      </c>
      <c r="O6375" s="14">
        <v>0.81802516081370402</v>
      </c>
      <c r="P6375" s="14">
        <v>0.206259709550068</v>
      </c>
      <c r="Q6375" t="str">
        <f t="shared" si="198"/>
        <v>15-24</v>
      </c>
      <c r="R6375" t="str">
        <f t="shared" si="199"/>
        <v>[lPTyjLi4w3d]|15-24|Female|NEW_INFECTIONS_SUBNAT.T|CY2024Q3</v>
      </c>
    </row>
    <row r="6376" spans="4:18" x14ac:dyDescent="0.2">
      <c r="D6376" t="s">
        <v>116</v>
      </c>
      <c r="E6376" t="s">
        <v>117</v>
      </c>
      <c r="F6376" t="s">
        <v>118</v>
      </c>
      <c r="G6376" t="s">
        <v>169</v>
      </c>
      <c r="H6376" t="s">
        <v>169</v>
      </c>
      <c r="I6376" t="s">
        <v>40</v>
      </c>
      <c r="J6376" t="s">
        <v>41</v>
      </c>
      <c r="K6376" t="s">
        <v>29</v>
      </c>
      <c r="L6376" t="s">
        <v>30</v>
      </c>
      <c r="M6376" t="s">
        <v>166</v>
      </c>
      <c r="N6376">
        <v>627</v>
      </c>
      <c r="O6376" s="14">
        <v>0.245382564375177</v>
      </c>
      <c r="P6376" s="14">
        <v>0.206259709550068</v>
      </c>
      <c r="Q6376" t="str">
        <f t="shared" si="198"/>
        <v>25-34</v>
      </c>
      <c r="R6376" t="str">
        <f t="shared" si="199"/>
        <v>[lPTyjLi4w3d]|25-34|Female|NEW_INFECTIONS_SUBNAT.T|CY2024Q3</v>
      </c>
    </row>
    <row r="6377" spans="4:18" x14ac:dyDescent="0.2">
      <c r="D6377" t="s">
        <v>116</v>
      </c>
      <c r="E6377" t="s">
        <v>117</v>
      </c>
      <c r="F6377" t="s">
        <v>118</v>
      </c>
      <c r="G6377" t="s">
        <v>169</v>
      </c>
      <c r="H6377" t="s">
        <v>169</v>
      </c>
      <c r="I6377" t="s">
        <v>42</v>
      </c>
      <c r="J6377" t="s">
        <v>43</v>
      </c>
      <c r="K6377" t="s">
        <v>29</v>
      </c>
      <c r="L6377" t="s">
        <v>30</v>
      </c>
      <c r="M6377" t="s">
        <v>166</v>
      </c>
      <c r="N6377">
        <v>1950</v>
      </c>
      <c r="O6377" s="14">
        <v>0.29321222333237501</v>
      </c>
      <c r="P6377" s="14">
        <v>0.206259709550068</v>
      </c>
      <c r="Q6377" t="str">
        <f t="shared" si="198"/>
        <v>35-49</v>
      </c>
      <c r="R6377" t="str">
        <f t="shared" si="199"/>
        <v>[lPTyjLi4w3d]|35-49|Female|NEW_INFECTIONS_SUBNAT.T|CY2024Q3</v>
      </c>
    </row>
    <row r="6378" spans="4:18" x14ac:dyDescent="0.2">
      <c r="D6378" t="s">
        <v>116</v>
      </c>
      <c r="E6378" t="s">
        <v>117</v>
      </c>
      <c r="F6378" t="s">
        <v>118</v>
      </c>
      <c r="G6378" t="s">
        <v>169</v>
      </c>
      <c r="H6378" t="s">
        <v>169</v>
      </c>
      <c r="I6378" t="s">
        <v>44</v>
      </c>
      <c r="J6378" t="s">
        <v>45</v>
      </c>
      <c r="K6378" t="s">
        <v>29</v>
      </c>
      <c r="L6378" t="s">
        <v>30</v>
      </c>
      <c r="M6378" t="s">
        <v>166</v>
      </c>
      <c r="N6378">
        <v>834</v>
      </c>
      <c r="O6378" s="14">
        <v>0.12836183677427501</v>
      </c>
      <c r="P6378" s="14">
        <v>0.206259709550068</v>
      </c>
      <c r="Q6378" t="str">
        <f t="shared" si="198"/>
        <v>50+</v>
      </c>
      <c r="R6378" t="str">
        <f t="shared" si="199"/>
        <v>[lPTyjLi4w3d]|50+|Female|NEW_INFECTIONS_SUBNAT.T|CY2024Q3</v>
      </c>
    </row>
    <row r="6379" spans="4:18" x14ac:dyDescent="0.2">
      <c r="D6379" t="s">
        <v>116</v>
      </c>
      <c r="E6379" t="s">
        <v>117</v>
      </c>
      <c r="F6379" t="s">
        <v>118</v>
      </c>
      <c r="G6379" t="s">
        <v>169</v>
      </c>
      <c r="H6379" t="s">
        <v>169</v>
      </c>
      <c r="I6379" t="s">
        <v>27</v>
      </c>
      <c r="J6379" t="s">
        <v>28</v>
      </c>
      <c r="K6379" t="s">
        <v>47</v>
      </c>
      <c r="L6379" t="s">
        <v>48</v>
      </c>
      <c r="M6379" t="s">
        <v>166</v>
      </c>
      <c r="N6379">
        <v>1298</v>
      </c>
      <c r="O6379" s="14">
        <v>0.54436294292099796</v>
      </c>
      <c r="P6379" s="14">
        <v>0.206259709550068</v>
      </c>
      <c r="Q6379" t="str">
        <f t="shared" si="198"/>
        <v>&lt;01</v>
      </c>
      <c r="R6379" t="str">
        <f t="shared" si="199"/>
        <v>[lPTyjLi4w3d]|&lt;01|Male|NEW_INFECTIONS_SUBNAT.T|CY2024Q3</v>
      </c>
    </row>
    <row r="6380" spans="4:18" x14ac:dyDescent="0.2">
      <c r="D6380" t="s">
        <v>116</v>
      </c>
      <c r="E6380" t="s">
        <v>117</v>
      </c>
      <c r="F6380" t="s">
        <v>118</v>
      </c>
      <c r="G6380" t="s">
        <v>169</v>
      </c>
      <c r="H6380" t="s">
        <v>169</v>
      </c>
      <c r="I6380" t="s">
        <v>32</v>
      </c>
      <c r="J6380" t="s">
        <v>33</v>
      </c>
      <c r="K6380" t="s">
        <v>47</v>
      </c>
      <c r="L6380" t="s">
        <v>48</v>
      </c>
      <c r="M6380" t="s">
        <v>166</v>
      </c>
      <c r="N6380">
        <v>1898</v>
      </c>
      <c r="O6380" s="14">
        <v>7.4297466780990397E-3</v>
      </c>
      <c r="P6380" s="14">
        <v>0.206259709550068</v>
      </c>
      <c r="Q6380" t="str">
        <f t="shared" si="198"/>
        <v>01-09</v>
      </c>
      <c r="R6380" t="str">
        <f t="shared" si="199"/>
        <v>[lPTyjLi4w3d]|01-09|Male|NEW_INFECTIONS_SUBNAT.T|CY2024Q3</v>
      </c>
    </row>
    <row r="6381" spans="4:18" x14ac:dyDescent="0.2">
      <c r="D6381" t="s">
        <v>116</v>
      </c>
      <c r="E6381" t="s">
        <v>117</v>
      </c>
      <c r="F6381" t="s">
        <v>118</v>
      </c>
      <c r="G6381" t="s">
        <v>169</v>
      </c>
      <c r="H6381" t="s">
        <v>169</v>
      </c>
      <c r="I6381" t="s">
        <v>35</v>
      </c>
      <c r="J6381" t="s">
        <v>36</v>
      </c>
      <c r="K6381" t="s">
        <v>47</v>
      </c>
      <c r="L6381" t="s">
        <v>48</v>
      </c>
      <c r="M6381" t="s">
        <v>166</v>
      </c>
      <c r="N6381">
        <v>1562</v>
      </c>
      <c r="O6381" s="14">
        <v>0.65991205209866199</v>
      </c>
      <c r="P6381" s="14">
        <v>0.206259709550068</v>
      </c>
      <c r="Q6381" t="str">
        <f t="shared" si="198"/>
        <v>10-14</v>
      </c>
      <c r="R6381" t="str">
        <f t="shared" si="199"/>
        <v>[lPTyjLi4w3d]|10-14|Male|NEW_INFECTIONS_SUBNAT.T|CY2024Q3</v>
      </c>
    </row>
    <row r="6382" spans="4:18" x14ac:dyDescent="0.2">
      <c r="D6382" t="s">
        <v>116</v>
      </c>
      <c r="E6382" t="s">
        <v>117</v>
      </c>
      <c r="F6382" t="s">
        <v>118</v>
      </c>
      <c r="G6382" t="s">
        <v>169</v>
      </c>
      <c r="H6382" t="s">
        <v>169</v>
      </c>
      <c r="I6382" t="s">
        <v>37</v>
      </c>
      <c r="J6382" t="s">
        <v>38</v>
      </c>
      <c r="K6382" t="s">
        <v>47</v>
      </c>
      <c r="L6382" t="s">
        <v>48</v>
      </c>
      <c r="M6382" t="s">
        <v>166</v>
      </c>
      <c r="N6382">
        <v>742</v>
      </c>
      <c r="O6382" s="14">
        <v>0.71674447180703305</v>
      </c>
      <c r="P6382" s="14">
        <v>0.206259709550068</v>
      </c>
      <c r="Q6382" t="str">
        <f t="shared" si="198"/>
        <v>15-24</v>
      </c>
      <c r="R6382" t="str">
        <f t="shared" si="199"/>
        <v>[lPTyjLi4w3d]|15-24|Male|NEW_INFECTIONS_SUBNAT.T|CY2024Q3</v>
      </c>
    </row>
    <row r="6383" spans="4:18" x14ac:dyDescent="0.2">
      <c r="D6383" t="s">
        <v>116</v>
      </c>
      <c r="E6383" t="s">
        <v>117</v>
      </c>
      <c r="F6383" t="s">
        <v>118</v>
      </c>
      <c r="G6383" t="s">
        <v>169</v>
      </c>
      <c r="H6383" t="s">
        <v>169</v>
      </c>
      <c r="I6383" t="s">
        <v>40</v>
      </c>
      <c r="J6383" t="s">
        <v>41</v>
      </c>
      <c r="K6383" t="s">
        <v>47</v>
      </c>
      <c r="L6383" t="s">
        <v>48</v>
      </c>
      <c r="M6383" t="s">
        <v>166</v>
      </c>
      <c r="N6383">
        <v>1092</v>
      </c>
      <c r="O6383" s="14">
        <v>0.57457618089392803</v>
      </c>
      <c r="P6383" s="14">
        <v>0.206259709550068</v>
      </c>
      <c r="Q6383" t="str">
        <f t="shared" si="198"/>
        <v>25-34</v>
      </c>
      <c r="R6383" t="str">
        <f t="shared" si="199"/>
        <v>[lPTyjLi4w3d]|25-34|Male|NEW_INFECTIONS_SUBNAT.T|CY2024Q3</v>
      </c>
    </row>
    <row r="6384" spans="4:18" x14ac:dyDescent="0.2">
      <c r="D6384" t="s">
        <v>116</v>
      </c>
      <c r="E6384" t="s">
        <v>117</v>
      </c>
      <c r="F6384" t="s">
        <v>118</v>
      </c>
      <c r="G6384" t="s">
        <v>169</v>
      </c>
      <c r="H6384" t="s">
        <v>169</v>
      </c>
      <c r="I6384" t="s">
        <v>42</v>
      </c>
      <c r="J6384" t="s">
        <v>43</v>
      </c>
      <c r="K6384" t="s">
        <v>47</v>
      </c>
      <c r="L6384" t="s">
        <v>48</v>
      </c>
      <c r="M6384" t="s">
        <v>166</v>
      </c>
      <c r="N6384">
        <v>951</v>
      </c>
      <c r="O6384" s="14">
        <v>0.77898684516549099</v>
      </c>
      <c r="P6384" s="14">
        <v>0.206259709550068</v>
      </c>
      <c r="Q6384" t="str">
        <f t="shared" si="198"/>
        <v>35-49</v>
      </c>
      <c r="R6384" t="str">
        <f t="shared" si="199"/>
        <v>[lPTyjLi4w3d]|35-49|Male|NEW_INFECTIONS_SUBNAT.T|CY2024Q3</v>
      </c>
    </row>
    <row r="6385" spans="4:18" x14ac:dyDescent="0.2">
      <c r="D6385" t="s">
        <v>116</v>
      </c>
      <c r="E6385" t="s">
        <v>117</v>
      </c>
      <c r="F6385" t="s">
        <v>118</v>
      </c>
      <c r="G6385" t="s">
        <v>169</v>
      </c>
      <c r="H6385" t="s">
        <v>169</v>
      </c>
      <c r="I6385" t="s">
        <v>44</v>
      </c>
      <c r="J6385" t="s">
        <v>45</v>
      </c>
      <c r="K6385" t="s">
        <v>47</v>
      </c>
      <c r="L6385" t="s">
        <v>48</v>
      </c>
      <c r="M6385" t="s">
        <v>166</v>
      </c>
      <c r="N6385">
        <v>1946</v>
      </c>
      <c r="O6385" s="14">
        <v>0.77084981137886599</v>
      </c>
      <c r="P6385" s="14">
        <v>0.206259709550068</v>
      </c>
      <c r="Q6385" t="str">
        <f t="shared" si="198"/>
        <v>50+</v>
      </c>
      <c r="R6385" t="str">
        <f t="shared" si="199"/>
        <v>[lPTyjLi4w3d]|50+|Male|NEW_INFECTIONS_SUBNAT.T|CY2024Q3</v>
      </c>
    </row>
    <row r="6386" spans="4:18" x14ac:dyDescent="0.2">
      <c r="D6386" t="s">
        <v>119</v>
      </c>
      <c r="E6386" t="s">
        <v>120</v>
      </c>
      <c r="F6386" t="s">
        <v>121</v>
      </c>
      <c r="G6386" t="s">
        <v>169</v>
      </c>
      <c r="H6386" t="s">
        <v>169</v>
      </c>
      <c r="I6386" t="s">
        <v>27</v>
      </c>
      <c r="J6386" t="s">
        <v>28</v>
      </c>
      <c r="K6386" t="s">
        <v>29</v>
      </c>
      <c r="L6386" t="s">
        <v>30</v>
      </c>
      <c r="M6386" t="s">
        <v>166</v>
      </c>
      <c r="N6386">
        <v>1240</v>
      </c>
      <c r="O6386" s="14">
        <v>9.11382839549333E-2</v>
      </c>
      <c r="P6386" s="14">
        <v>0.43010397930629601</v>
      </c>
      <c r="Q6386" t="str">
        <f t="shared" si="198"/>
        <v>&lt;01</v>
      </c>
      <c r="R6386" t="str">
        <f t="shared" si="199"/>
        <v>[vA4NcHxfMBq]|&lt;01|Female|NEW_INFECTIONS_SUBNAT.T|CY2024Q3</v>
      </c>
    </row>
    <row r="6387" spans="4:18" x14ac:dyDescent="0.2">
      <c r="D6387" t="s">
        <v>119</v>
      </c>
      <c r="E6387" t="s">
        <v>120</v>
      </c>
      <c r="F6387" t="s">
        <v>121</v>
      </c>
      <c r="G6387" t="s">
        <v>169</v>
      </c>
      <c r="H6387" t="s">
        <v>169</v>
      </c>
      <c r="I6387" t="s">
        <v>32</v>
      </c>
      <c r="J6387" t="s">
        <v>33</v>
      </c>
      <c r="K6387" t="s">
        <v>29</v>
      </c>
      <c r="L6387" t="s">
        <v>30</v>
      </c>
      <c r="M6387" t="s">
        <v>166</v>
      </c>
      <c r="N6387">
        <v>545</v>
      </c>
      <c r="O6387" s="14">
        <v>0.71179904672317196</v>
      </c>
      <c r="P6387" s="14">
        <v>0.43010397930629601</v>
      </c>
      <c r="Q6387" t="str">
        <f t="shared" si="198"/>
        <v>01-09</v>
      </c>
      <c r="R6387" t="str">
        <f t="shared" si="199"/>
        <v>[vA4NcHxfMBq]|01-09|Female|NEW_INFECTIONS_SUBNAT.T|CY2024Q3</v>
      </c>
    </row>
    <row r="6388" spans="4:18" x14ac:dyDescent="0.2">
      <c r="D6388" t="s">
        <v>119</v>
      </c>
      <c r="E6388" t="s">
        <v>120</v>
      </c>
      <c r="F6388" t="s">
        <v>121</v>
      </c>
      <c r="G6388" t="s">
        <v>169</v>
      </c>
      <c r="H6388" t="s">
        <v>169</v>
      </c>
      <c r="I6388" t="s">
        <v>35</v>
      </c>
      <c r="J6388" t="s">
        <v>36</v>
      </c>
      <c r="K6388" t="s">
        <v>29</v>
      </c>
      <c r="L6388" t="s">
        <v>30</v>
      </c>
      <c r="M6388" t="s">
        <v>166</v>
      </c>
      <c r="N6388">
        <v>1138</v>
      </c>
      <c r="O6388" s="14">
        <v>0.57341963378712502</v>
      </c>
      <c r="P6388" s="14">
        <v>0.43010397930629601</v>
      </c>
      <c r="Q6388" t="str">
        <f t="shared" si="198"/>
        <v>10-14</v>
      </c>
      <c r="R6388" t="str">
        <f t="shared" si="199"/>
        <v>[vA4NcHxfMBq]|10-14|Female|NEW_INFECTIONS_SUBNAT.T|CY2024Q3</v>
      </c>
    </row>
    <row r="6389" spans="4:18" x14ac:dyDescent="0.2">
      <c r="D6389" t="s">
        <v>119</v>
      </c>
      <c r="E6389" t="s">
        <v>120</v>
      </c>
      <c r="F6389" t="s">
        <v>121</v>
      </c>
      <c r="G6389" t="s">
        <v>169</v>
      </c>
      <c r="H6389" t="s">
        <v>169</v>
      </c>
      <c r="I6389" t="s">
        <v>37</v>
      </c>
      <c r="J6389" t="s">
        <v>38</v>
      </c>
      <c r="K6389" t="s">
        <v>29</v>
      </c>
      <c r="L6389" t="s">
        <v>30</v>
      </c>
      <c r="M6389" t="s">
        <v>166</v>
      </c>
      <c r="N6389">
        <v>1122</v>
      </c>
      <c r="O6389" s="14">
        <v>0.656262701842934</v>
      </c>
      <c r="P6389" s="14">
        <v>0.43010397930629601</v>
      </c>
      <c r="Q6389" t="str">
        <f t="shared" si="198"/>
        <v>15-24</v>
      </c>
      <c r="R6389" t="str">
        <f t="shared" si="199"/>
        <v>[vA4NcHxfMBq]|15-24|Female|NEW_INFECTIONS_SUBNAT.T|CY2024Q3</v>
      </c>
    </row>
    <row r="6390" spans="4:18" x14ac:dyDescent="0.2">
      <c r="D6390" t="s">
        <v>119</v>
      </c>
      <c r="E6390" t="s">
        <v>120</v>
      </c>
      <c r="F6390" t="s">
        <v>121</v>
      </c>
      <c r="G6390" t="s">
        <v>169</v>
      </c>
      <c r="H6390" t="s">
        <v>169</v>
      </c>
      <c r="I6390" t="s">
        <v>40</v>
      </c>
      <c r="J6390" t="s">
        <v>41</v>
      </c>
      <c r="K6390" t="s">
        <v>29</v>
      </c>
      <c r="L6390" t="s">
        <v>30</v>
      </c>
      <c r="M6390" t="s">
        <v>166</v>
      </c>
      <c r="N6390">
        <v>564</v>
      </c>
      <c r="O6390" s="14">
        <v>0.167592590209097</v>
      </c>
      <c r="P6390" s="14">
        <v>0.43010397930629601</v>
      </c>
      <c r="Q6390" t="str">
        <f t="shared" si="198"/>
        <v>25-34</v>
      </c>
      <c r="R6390" t="str">
        <f t="shared" si="199"/>
        <v>[vA4NcHxfMBq]|25-34|Female|NEW_INFECTIONS_SUBNAT.T|CY2024Q3</v>
      </c>
    </row>
    <row r="6391" spans="4:18" x14ac:dyDescent="0.2">
      <c r="D6391" t="s">
        <v>119</v>
      </c>
      <c r="E6391" t="s">
        <v>120</v>
      </c>
      <c r="F6391" t="s">
        <v>121</v>
      </c>
      <c r="G6391" t="s">
        <v>169</v>
      </c>
      <c r="H6391" t="s">
        <v>169</v>
      </c>
      <c r="I6391" t="s">
        <v>42</v>
      </c>
      <c r="J6391" t="s">
        <v>43</v>
      </c>
      <c r="K6391" t="s">
        <v>29</v>
      </c>
      <c r="L6391" t="s">
        <v>30</v>
      </c>
      <c r="M6391" t="s">
        <v>166</v>
      </c>
      <c r="N6391">
        <v>1446</v>
      </c>
      <c r="O6391" s="14">
        <v>0.99513083696365401</v>
      </c>
      <c r="P6391" s="14">
        <v>0.43010397930629601</v>
      </c>
      <c r="Q6391" t="str">
        <f t="shared" si="198"/>
        <v>35-49</v>
      </c>
      <c r="R6391" t="str">
        <f t="shared" si="199"/>
        <v>[vA4NcHxfMBq]|35-49|Female|NEW_INFECTIONS_SUBNAT.T|CY2024Q3</v>
      </c>
    </row>
    <row r="6392" spans="4:18" x14ac:dyDescent="0.2">
      <c r="D6392" t="s">
        <v>119</v>
      </c>
      <c r="E6392" t="s">
        <v>120</v>
      </c>
      <c r="F6392" t="s">
        <v>121</v>
      </c>
      <c r="G6392" t="s">
        <v>169</v>
      </c>
      <c r="H6392" t="s">
        <v>169</v>
      </c>
      <c r="I6392" t="s">
        <v>44</v>
      </c>
      <c r="J6392" t="s">
        <v>45</v>
      </c>
      <c r="K6392" t="s">
        <v>29</v>
      </c>
      <c r="L6392" t="s">
        <v>30</v>
      </c>
      <c r="M6392" t="s">
        <v>166</v>
      </c>
      <c r="N6392">
        <v>960</v>
      </c>
      <c r="O6392" s="14">
        <v>0.63145862682722498</v>
      </c>
      <c r="P6392" s="14">
        <v>0.43010397930629601</v>
      </c>
      <c r="Q6392" t="str">
        <f t="shared" si="198"/>
        <v>50+</v>
      </c>
      <c r="R6392" t="str">
        <f t="shared" si="199"/>
        <v>[vA4NcHxfMBq]|50+|Female|NEW_INFECTIONS_SUBNAT.T|CY2024Q3</v>
      </c>
    </row>
    <row r="6393" spans="4:18" x14ac:dyDescent="0.2">
      <c r="D6393" t="s">
        <v>119</v>
      </c>
      <c r="E6393" t="s">
        <v>120</v>
      </c>
      <c r="F6393" t="s">
        <v>121</v>
      </c>
      <c r="G6393" t="s">
        <v>169</v>
      </c>
      <c r="H6393" t="s">
        <v>169</v>
      </c>
      <c r="I6393" t="s">
        <v>27</v>
      </c>
      <c r="J6393" t="s">
        <v>28</v>
      </c>
      <c r="K6393" t="s">
        <v>47</v>
      </c>
      <c r="L6393" t="s">
        <v>48</v>
      </c>
      <c r="M6393" t="s">
        <v>166</v>
      </c>
      <c r="N6393">
        <v>1281</v>
      </c>
      <c r="O6393" s="14">
        <v>0.89696473930962395</v>
      </c>
      <c r="P6393" s="14">
        <v>0.43010397930629601</v>
      </c>
      <c r="Q6393" t="str">
        <f t="shared" si="198"/>
        <v>&lt;01</v>
      </c>
      <c r="R6393" t="str">
        <f t="shared" si="199"/>
        <v>[vA4NcHxfMBq]|&lt;01|Male|NEW_INFECTIONS_SUBNAT.T|CY2024Q3</v>
      </c>
    </row>
    <row r="6394" spans="4:18" x14ac:dyDescent="0.2">
      <c r="D6394" t="s">
        <v>119</v>
      </c>
      <c r="E6394" t="s">
        <v>120</v>
      </c>
      <c r="F6394" t="s">
        <v>121</v>
      </c>
      <c r="G6394" t="s">
        <v>169</v>
      </c>
      <c r="H6394" t="s">
        <v>169</v>
      </c>
      <c r="I6394" t="s">
        <v>32</v>
      </c>
      <c r="J6394" t="s">
        <v>33</v>
      </c>
      <c r="K6394" t="s">
        <v>47</v>
      </c>
      <c r="L6394" t="s">
        <v>48</v>
      </c>
      <c r="M6394" t="s">
        <v>166</v>
      </c>
      <c r="N6394">
        <v>929</v>
      </c>
      <c r="O6394" s="14">
        <v>0.58570372732356202</v>
      </c>
      <c r="P6394" s="14">
        <v>0.43010397930629601</v>
      </c>
      <c r="Q6394" t="str">
        <f t="shared" si="198"/>
        <v>01-09</v>
      </c>
      <c r="R6394" t="str">
        <f t="shared" si="199"/>
        <v>[vA4NcHxfMBq]|01-09|Male|NEW_INFECTIONS_SUBNAT.T|CY2024Q3</v>
      </c>
    </row>
    <row r="6395" spans="4:18" x14ac:dyDescent="0.2">
      <c r="D6395" t="s">
        <v>119</v>
      </c>
      <c r="E6395" t="s">
        <v>120</v>
      </c>
      <c r="F6395" t="s">
        <v>121</v>
      </c>
      <c r="G6395" t="s">
        <v>169</v>
      </c>
      <c r="H6395" t="s">
        <v>169</v>
      </c>
      <c r="I6395" t="s">
        <v>35</v>
      </c>
      <c r="J6395" t="s">
        <v>36</v>
      </c>
      <c r="K6395" t="s">
        <v>47</v>
      </c>
      <c r="L6395" t="s">
        <v>48</v>
      </c>
      <c r="M6395" t="s">
        <v>166</v>
      </c>
      <c r="N6395">
        <v>1021</v>
      </c>
      <c r="O6395" s="14">
        <v>0.39827383100055203</v>
      </c>
      <c r="P6395" s="14">
        <v>0.43010397930629601</v>
      </c>
      <c r="Q6395" t="str">
        <f t="shared" si="198"/>
        <v>10-14</v>
      </c>
      <c r="R6395" t="str">
        <f t="shared" si="199"/>
        <v>[vA4NcHxfMBq]|10-14|Male|NEW_INFECTIONS_SUBNAT.T|CY2024Q3</v>
      </c>
    </row>
    <row r="6396" spans="4:18" x14ac:dyDescent="0.2">
      <c r="D6396" t="s">
        <v>119</v>
      </c>
      <c r="E6396" t="s">
        <v>120</v>
      </c>
      <c r="F6396" t="s">
        <v>121</v>
      </c>
      <c r="G6396" t="s">
        <v>169</v>
      </c>
      <c r="H6396" t="s">
        <v>169</v>
      </c>
      <c r="I6396" t="s">
        <v>37</v>
      </c>
      <c r="J6396" t="s">
        <v>38</v>
      </c>
      <c r="K6396" t="s">
        <v>47</v>
      </c>
      <c r="L6396" t="s">
        <v>48</v>
      </c>
      <c r="M6396" t="s">
        <v>166</v>
      </c>
      <c r="N6396">
        <v>1749</v>
      </c>
      <c r="O6396" s="14">
        <v>0.11363253765739501</v>
      </c>
      <c r="P6396" s="14">
        <v>0.43010397930629601</v>
      </c>
      <c r="Q6396" t="str">
        <f t="shared" si="198"/>
        <v>15-24</v>
      </c>
      <c r="R6396" t="str">
        <f t="shared" si="199"/>
        <v>[vA4NcHxfMBq]|15-24|Male|NEW_INFECTIONS_SUBNAT.T|CY2024Q3</v>
      </c>
    </row>
    <row r="6397" spans="4:18" x14ac:dyDescent="0.2">
      <c r="D6397" t="s">
        <v>119</v>
      </c>
      <c r="E6397" t="s">
        <v>120</v>
      </c>
      <c r="F6397" t="s">
        <v>121</v>
      </c>
      <c r="G6397" t="s">
        <v>169</v>
      </c>
      <c r="H6397" t="s">
        <v>169</v>
      </c>
      <c r="I6397" t="s">
        <v>40</v>
      </c>
      <c r="J6397" t="s">
        <v>41</v>
      </c>
      <c r="K6397" t="s">
        <v>47</v>
      </c>
      <c r="L6397" t="s">
        <v>48</v>
      </c>
      <c r="M6397" t="s">
        <v>166</v>
      </c>
      <c r="N6397">
        <v>1977</v>
      </c>
      <c r="O6397" s="14">
        <v>0.28987430431880101</v>
      </c>
      <c r="P6397" s="14">
        <v>0.43010397930629601</v>
      </c>
      <c r="Q6397" t="str">
        <f t="shared" si="198"/>
        <v>25-34</v>
      </c>
      <c r="R6397" t="str">
        <f t="shared" si="199"/>
        <v>[vA4NcHxfMBq]|25-34|Male|NEW_INFECTIONS_SUBNAT.T|CY2024Q3</v>
      </c>
    </row>
    <row r="6398" spans="4:18" x14ac:dyDescent="0.2">
      <c r="D6398" t="s">
        <v>119</v>
      </c>
      <c r="E6398" t="s">
        <v>120</v>
      </c>
      <c r="F6398" t="s">
        <v>121</v>
      </c>
      <c r="G6398" t="s">
        <v>169</v>
      </c>
      <c r="H6398" t="s">
        <v>169</v>
      </c>
      <c r="I6398" t="s">
        <v>42</v>
      </c>
      <c r="J6398" t="s">
        <v>43</v>
      </c>
      <c r="K6398" t="s">
        <v>47</v>
      </c>
      <c r="L6398" t="s">
        <v>48</v>
      </c>
      <c r="M6398" t="s">
        <v>166</v>
      </c>
      <c r="N6398">
        <v>1991</v>
      </c>
      <c r="O6398" s="14">
        <v>0.17515795445069701</v>
      </c>
      <c r="P6398" s="14">
        <v>0.43010397930629601</v>
      </c>
      <c r="Q6398" t="str">
        <f t="shared" si="198"/>
        <v>35-49</v>
      </c>
      <c r="R6398" t="str">
        <f t="shared" si="199"/>
        <v>[vA4NcHxfMBq]|35-49|Male|NEW_INFECTIONS_SUBNAT.T|CY2024Q3</v>
      </c>
    </row>
    <row r="6399" spans="4:18" x14ac:dyDescent="0.2">
      <c r="D6399" t="s">
        <v>119</v>
      </c>
      <c r="E6399" t="s">
        <v>120</v>
      </c>
      <c r="F6399" t="s">
        <v>121</v>
      </c>
      <c r="G6399" t="s">
        <v>169</v>
      </c>
      <c r="H6399" t="s">
        <v>169</v>
      </c>
      <c r="I6399" t="s">
        <v>44</v>
      </c>
      <c r="J6399" t="s">
        <v>45</v>
      </c>
      <c r="K6399" t="s">
        <v>47</v>
      </c>
      <c r="L6399" t="s">
        <v>48</v>
      </c>
      <c r="M6399" t="s">
        <v>166</v>
      </c>
      <c r="N6399">
        <v>1157</v>
      </c>
      <c r="O6399" s="14">
        <v>7.2430047439411296E-2</v>
      </c>
      <c r="P6399" s="14">
        <v>0.43010397930629601</v>
      </c>
      <c r="Q6399" t="str">
        <f t="shared" si="198"/>
        <v>50+</v>
      </c>
      <c r="R6399" t="str">
        <f t="shared" si="199"/>
        <v>[vA4NcHxfMBq]|50+|Male|NEW_INFECTIONS_SUBNAT.T|CY2024Q3</v>
      </c>
    </row>
    <row r="6400" spans="4:18" x14ac:dyDescent="0.2">
      <c r="D6400" t="s">
        <v>122</v>
      </c>
      <c r="E6400" t="s">
        <v>123</v>
      </c>
      <c r="F6400" t="s">
        <v>124</v>
      </c>
      <c r="G6400" t="s">
        <v>169</v>
      </c>
      <c r="H6400" t="s">
        <v>169</v>
      </c>
      <c r="I6400" t="s">
        <v>27</v>
      </c>
      <c r="J6400" t="s">
        <v>28</v>
      </c>
      <c r="K6400" t="s">
        <v>29</v>
      </c>
      <c r="L6400" t="s">
        <v>30</v>
      </c>
      <c r="M6400" t="s">
        <v>166</v>
      </c>
      <c r="N6400">
        <v>621</v>
      </c>
      <c r="O6400" s="14">
        <v>0.76674913894385099</v>
      </c>
      <c r="P6400" s="14">
        <v>0.41950060334056599</v>
      </c>
      <c r="Q6400" t="str">
        <f t="shared" si="198"/>
        <v>&lt;01</v>
      </c>
      <c r="R6400" t="str">
        <f t="shared" si="199"/>
        <v>[E7zpfyBt7Tw]|&lt;01|Female|NEW_INFECTIONS_SUBNAT.T|CY2024Q3</v>
      </c>
    </row>
    <row r="6401" spans="4:18" x14ac:dyDescent="0.2">
      <c r="D6401" t="s">
        <v>122</v>
      </c>
      <c r="E6401" t="s">
        <v>123</v>
      </c>
      <c r="F6401" t="s">
        <v>124</v>
      </c>
      <c r="G6401" t="s">
        <v>169</v>
      </c>
      <c r="H6401" t="s">
        <v>169</v>
      </c>
      <c r="I6401" t="s">
        <v>32</v>
      </c>
      <c r="J6401" t="s">
        <v>33</v>
      </c>
      <c r="K6401" t="s">
        <v>29</v>
      </c>
      <c r="L6401" t="s">
        <v>30</v>
      </c>
      <c r="M6401" t="s">
        <v>166</v>
      </c>
      <c r="N6401">
        <v>761</v>
      </c>
      <c r="O6401" s="14">
        <v>0.700305485865101</v>
      </c>
      <c r="P6401" s="14">
        <v>0.41950060334056599</v>
      </c>
      <c r="Q6401" t="str">
        <f t="shared" si="198"/>
        <v>01-09</v>
      </c>
      <c r="R6401" t="str">
        <f t="shared" si="199"/>
        <v>[E7zpfyBt7Tw]|01-09|Female|NEW_INFECTIONS_SUBNAT.T|CY2024Q3</v>
      </c>
    </row>
    <row r="6402" spans="4:18" x14ac:dyDescent="0.2">
      <c r="D6402" t="s">
        <v>122</v>
      </c>
      <c r="E6402" t="s">
        <v>123</v>
      </c>
      <c r="F6402" t="s">
        <v>124</v>
      </c>
      <c r="G6402" t="s">
        <v>169</v>
      </c>
      <c r="H6402" t="s">
        <v>169</v>
      </c>
      <c r="I6402" t="s">
        <v>35</v>
      </c>
      <c r="J6402" t="s">
        <v>36</v>
      </c>
      <c r="K6402" t="s">
        <v>29</v>
      </c>
      <c r="L6402" t="s">
        <v>30</v>
      </c>
      <c r="M6402" t="s">
        <v>166</v>
      </c>
      <c r="N6402">
        <v>1930</v>
      </c>
      <c r="O6402" s="14">
        <v>0.77665503369644295</v>
      </c>
      <c r="P6402" s="14">
        <v>0.41950060334056599</v>
      </c>
      <c r="Q6402" t="str">
        <f t="shared" ref="Q6402:Q6465" si="200">SUBSTITUTE(SUBSTITUTE($I6402,CHAR(61),""),CHAR(34),"")</f>
        <v>10-14</v>
      </c>
      <c r="R6402" t="str">
        <f t="shared" ref="R6402:R6465" si="201">IF($D6402&lt;&gt;"","["&amp;$E6402&amp;"]"&amp;"|"&amp;$Q6402&amp;"|"&amp;$K6402&amp;"|"&amp;$G6402&amp;"|"&amp;IF($G6402="TX_CURR_SUBNAT.R","CY2022Q4",$M6402),"")</f>
        <v>[E7zpfyBt7Tw]|10-14|Female|NEW_INFECTIONS_SUBNAT.T|CY2024Q3</v>
      </c>
    </row>
    <row r="6403" spans="4:18" x14ac:dyDescent="0.2">
      <c r="D6403" t="s">
        <v>122</v>
      </c>
      <c r="E6403" t="s">
        <v>123</v>
      </c>
      <c r="F6403" t="s">
        <v>124</v>
      </c>
      <c r="G6403" t="s">
        <v>169</v>
      </c>
      <c r="H6403" t="s">
        <v>169</v>
      </c>
      <c r="I6403" t="s">
        <v>37</v>
      </c>
      <c r="J6403" t="s">
        <v>38</v>
      </c>
      <c r="K6403" t="s">
        <v>29</v>
      </c>
      <c r="L6403" t="s">
        <v>30</v>
      </c>
      <c r="M6403" t="s">
        <v>166</v>
      </c>
      <c r="N6403">
        <v>1341</v>
      </c>
      <c r="O6403" s="14">
        <v>0.71355220978148304</v>
      </c>
      <c r="P6403" s="14">
        <v>0.41950060334056599</v>
      </c>
      <c r="Q6403" t="str">
        <f t="shared" si="200"/>
        <v>15-24</v>
      </c>
      <c r="R6403" t="str">
        <f t="shared" si="201"/>
        <v>[E7zpfyBt7Tw]|15-24|Female|NEW_INFECTIONS_SUBNAT.T|CY2024Q3</v>
      </c>
    </row>
    <row r="6404" spans="4:18" x14ac:dyDescent="0.2">
      <c r="D6404" t="s">
        <v>122</v>
      </c>
      <c r="E6404" t="s">
        <v>123</v>
      </c>
      <c r="F6404" t="s">
        <v>124</v>
      </c>
      <c r="G6404" t="s">
        <v>169</v>
      </c>
      <c r="H6404" t="s">
        <v>169</v>
      </c>
      <c r="I6404" t="s">
        <v>40</v>
      </c>
      <c r="J6404" t="s">
        <v>41</v>
      </c>
      <c r="K6404" t="s">
        <v>29</v>
      </c>
      <c r="L6404" t="s">
        <v>30</v>
      </c>
      <c r="M6404" t="s">
        <v>166</v>
      </c>
      <c r="N6404">
        <v>1330</v>
      </c>
      <c r="O6404" s="14">
        <v>0.65043713338673104</v>
      </c>
      <c r="P6404" s="14">
        <v>0.41950060334056599</v>
      </c>
      <c r="Q6404" t="str">
        <f t="shared" si="200"/>
        <v>25-34</v>
      </c>
      <c r="R6404" t="str">
        <f t="shared" si="201"/>
        <v>[E7zpfyBt7Tw]|25-34|Female|NEW_INFECTIONS_SUBNAT.T|CY2024Q3</v>
      </c>
    </row>
    <row r="6405" spans="4:18" x14ac:dyDescent="0.2">
      <c r="D6405" t="s">
        <v>122</v>
      </c>
      <c r="E6405" t="s">
        <v>123</v>
      </c>
      <c r="F6405" t="s">
        <v>124</v>
      </c>
      <c r="G6405" t="s">
        <v>169</v>
      </c>
      <c r="H6405" t="s">
        <v>169</v>
      </c>
      <c r="I6405" t="s">
        <v>42</v>
      </c>
      <c r="J6405" t="s">
        <v>43</v>
      </c>
      <c r="K6405" t="s">
        <v>29</v>
      </c>
      <c r="L6405" t="s">
        <v>30</v>
      </c>
      <c r="M6405" t="s">
        <v>166</v>
      </c>
      <c r="N6405">
        <v>945</v>
      </c>
      <c r="O6405" s="14">
        <v>0.87130674440413702</v>
      </c>
      <c r="P6405" s="14">
        <v>0.41950060334056599</v>
      </c>
      <c r="Q6405" t="str">
        <f t="shared" si="200"/>
        <v>35-49</v>
      </c>
      <c r="R6405" t="str">
        <f t="shared" si="201"/>
        <v>[E7zpfyBt7Tw]|35-49|Female|NEW_INFECTIONS_SUBNAT.T|CY2024Q3</v>
      </c>
    </row>
    <row r="6406" spans="4:18" x14ac:dyDescent="0.2">
      <c r="D6406" t="s">
        <v>122</v>
      </c>
      <c r="E6406" t="s">
        <v>123</v>
      </c>
      <c r="F6406" t="s">
        <v>124</v>
      </c>
      <c r="G6406" t="s">
        <v>169</v>
      </c>
      <c r="H6406" t="s">
        <v>169</v>
      </c>
      <c r="I6406" t="s">
        <v>44</v>
      </c>
      <c r="J6406" t="s">
        <v>45</v>
      </c>
      <c r="K6406" t="s">
        <v>29</v>
      </c>
      <c r="L6406" t="s">
        <v>30</v>
      </c>
      <c r="M6406" t="s">
        <v>166</v>
      </c>
      <c r="N6406">
        <v>1375</v>
      </c>
      <c r="O6406" s="14">
        <v>0.96381582343019501</v>
      </c>
      <c r="P6406" s="14">
        <v>0.41950060334056599</v>
      </c>
      <c r="Q6406" t="str">
        <f t="shared" si="200"/>
        <v>50+</v>
      </c>
      <c r="R6406" t="str">
        <f t="shared" si="201"/>
        <v>[E7zpfyBt7Tw]|50+|Female|NEW_INFECTIONS_SUBNAT.T|CY2024Q3</v>
      </c>
    </row>
    <row r="6407" spans="4:18" x14ac:dyDescent="0.2">
      <c r="D6407" t="s">
        <v>122</v>
      </c>
      <c r="E6407" t="s">
        <v>123</v>
      </c>
      <c r="F6407" t="s">
        <v>124</v>
      </c>
      <c r="G6407" t="s">
        <v>169</v>
      </c>
      <c r="H6407" t="s">
        <v>169</v>
      </c>
      <c r="I6407" t="s">
        <v>27</v>
      </c>
      <c r="J6407" t="s">
        <v>28</v>
      </c>
      <c r="K6407" t="s">
        <v>47</v>
      </c>
      <c r="L6407" t="s">
        <v>48</v>
      </c>
      <c r="M6407" t="s">
        <v>166</v>
      </c>
      <c r="N6407">
        <v>633</v>
      </c>
      <c r="O6407" s="14">
        <v>8.6095851613208693E-2</v>
      </c>
      <c r="P6407" s="14">
        <v>0.41950060334056599</v>
      </c>
      <c r="Q6407" t="str">
        <f t="shared" si="200"/>
        <v>&lt;01</v>
      </c>
      <c r="R6407" t="str">
        <f t="shared" si="201"/>
        <v>[E7zpfyBt7Tw]|&lt;01|Male|NEW_INFECTIONS_SUBNAT.T|CY2024Q3</v>
      </c>
    </row>
    <row r="6408" spans="4:18" x14ac:dyDescent="0.2">
      <c r="D6408" t="s">
        <v>122</v>
      </c>
      <c r="E6408" t="s">
        <v>123</v>
      </c>
      <c r="F6408" t="s">
        <v>124</v>
      </c>
      <c r="G6408" t="s">
        <v>169</v>
      </c>
      <c r="H6408" t="s">
        <v>169</v>
      </c>
      <c r="I6408" t="s">
        <v>32</v>
      </c>
      <c r="J6408" t="s">
        <v>33</v>
      </c>
      <c r="K6408" t="s">
        <v>47</v>
      </c>
      <c r="L6408" t="s">
        <v>48</v>
      </c>
      <c r="M6408" t="s">
        <v>166</v>
      </c>
      <c r="N6408">
        <v>1612</v>
      </c>
      <c r="O6408" s="14">
        <v>0.17249525221996001</v>
      </c>
      <c r="P6408" s="14">
        <v>0.41950060334056599</v>
      </c>
      <c r="Q6408" t="str">
        <f t="shared" si="200"/>
        <v>01-09</v>
      </c>
      <c r="R6408" t="str">
        <f t="shared" si="201"/>
        <v>[E7zpfyBt7Tw]|01-09|Male|NEW_INFECTIONS_SUBNAT.T|CY2024Q3</v>
      </c>
    </row>
    <row r="6409" spans="4:18" x14ac:dyDescent="0.2">
      <c r="D6409" t="s">
        <v>122</v>
      </c>
      <c r="E6409" t="s">
        <v>123</v>
      </c>
      <c r="F6409" t="s">
        <v>124</v>
      </c>
      <c r="G6409" t="s">
        <v>169</v>
      </c>
      <c r="H6409" t="s">
        <v>169</v>
      </c>
      <c r="I6409" t="s">
        <v>35</v>
      </c>
      <c r="J6409" t="s">
        <v>36</v>
      </c>
      <c r="K6409" t="s">
        <v>47</v>
      </c>
      <c r="L6409" t="s">
        <v>48</v>
      </c>
      <c r="M6409" t="s">
        <v>166</v>
      </c>
      <c r="N6409">
        <v>1621</v>
      </c>
      <c r="O6409" s="14">
        <v>0.35771257802843998</v>
      </c>
      <c r="P6409" s="14">
        <v>0.41950060334056599</v>
      </c>
      <c r="Q6409" t="str">
        <f t="shared" si="200"/>
        <v>10-14</v>
      </c>
      <c r="R6409" t="str">
        <f t="shared" si="201"/>
        <v>[E7zpfyBt7Tw]|10-14|Male|NEW_INFECTIONS_SUBNAT.T|CY2024Q3</v>
      </c>
    </row>
    <row r="6410" spans="4:18" x14ac:dyDescent="0.2">
      <c r="D6410" t="s">
        <v>122</v>
      </c>
      <c r="E6410" t="s">
        <v>123</v>
      </c>
      <c r="F6410" t="s">
        <v>124</v>
      </c>
      <c r="G6410" t="s">
        <v>169</v>
      </c>
      <c r="H6410" t="s">
        <v>169</v>
      </c>
      <c r="I6410" t="s">
        <v>37</v>
      </c>
      <c r="J6410" t="s">
        <v>38</v>
      </c>
      <c r="K6410" t="s">
        <v>47</v>
      </c>
      <c r="L6410" t="s">
        <v>48</v>
      </c>
      <c r="M6410" t="s">
        <v>166</v>
      </c>
      <c r="N6410">
        <v>902</v>
      </c>
      <c r="O6410" s="14">
        <v>0.83217227854765996</v>
      </c>
      <c r="P6410" s="14">
        <v>0.41950060334056599</v>
      </c>
      <c r="Q6410" t="str">
        <f t="shared" si="200"/>
        <v>15-24</v>
      </c>
      <c r="R6410" t="str">
        <f t="shared" si="201"/>
        <v>[E7zpfyBt7Tw]|15-24|Male|NEW_INFECTIONS_SUBNAT.T|CY2024Q3</v>
      </c>
    </row>
    <row r="6411" spans="4:18" x14ac:dyDescent="0.2">
      <c r="D6411" t="s">
        <v>122</v>
      </c>
      <c r="E6411" t="s">
        <v>123</v>
      </c>
      <c r="F6411" t="s">
        <v>124</v>
      </c>
      <c r="G6411" t="s">
        <v>169</v>
      </c>
      <c r="H6411" t="s">
        <v>169</v>
      </c>
      <c r="I6411" t="s">
        <v>40</v>
      </c>
      <c r="J6411" t="s">
        <v>41</v>
      </c>
      <c r="K6411" t="s">
        <v>47</v>
      </c>
      <c r="L6411" t="s">
        <v>48</v>
      </c>
      <c r="M6411" t="s">
        <v>166</v>
      </c>
      <c r="N6411">
        <v>806</v>
      </c>
      <c r="O6411" s="14">
        <v>0.236656394088641</v>
      </c>
      <c r="P6411" s="14">
        <v>0.41950060334056599</v>
      </c>
      <c r="Q6411" t="str">
        <f t="shared" si="200"/>
        <v>25-34</v>
      </c>
      <c r="R6411" t="str">
        <f t="shared" si="201"/>
        <v>[E7zpfyBt7Tw]|25-34|Male|NEW_INFECTIONS_SUBNAT.T|CY2024Q3</v>
      </c>
    </row>
    <row r="6412" spans="4:18" x14ac:dyDescent="0.2">
      <c r="D6412" t="s">
        <v>122</v>
      </c>
      <c r="E6412" t="s">
        <v>123</v>
      </c>
      <c r="F6412" t="s">
        <v>124</v>
      </c>
      <c r="G6412" t="s">
        <v>169</v>
      </c>
      <c r="H6412" t="s">
        <v>169</v>
      </c>
      <c r="I6412" t="s">
        <v>42</v>
      </c>
      <c r="J6412" t="s">
        <v>43</v>
      </c>
      <c r="K6412" t="s">
        <v>47</v>
      </c>
      <c r="L6412" t="s">
        <v>48</v>
      </c>
      <c r="M6412" t="s">
        <v>166</v>
      </c>
      <c r="N6412">
        <v>1439</v>
      </c>
      <c r="O6412" s="14">
        <v>0.86998476088047005</v>
      </c>
      <c r="P6412" s="14">
        <v>0.41950060334056599</v>
      </c>
      <c r="Q6412" t="str">
        <f t="shared" si="200"/>
        <v>35-49</v>
      </c>
      <c r="R6412" t="str">
        <f t="shared" si="201"/>
        <v>[E7zpfyBt7Tw]|35-49|Male|NEW_INFECTIONS_SUBNAT.T|CY2024Q3</v>
      </c>
    </row>
    <row r="6413" spans="4:18" x14ac:dyDescent="0.2">
      <c r="D6413" t="s">
        <v>122</v>
      </c>
      <c r="E6413" t="s">
        <v>123</v>
      </c>
      <c r="F6413" t="s">
        <v>124</v>
      </c>
      <c r="G6413" t="s">
        <v>169</v>
      </c>
      <c r="H6413" t="s">
        <v>169</v>
      </c>
      <c r="I6413" t="s">
        <v>44</v>
      </c>
      <c r="J6413" t="s">
        <v>45</v>
      </c>
      <c r="K6413" t="s">
        <v>47</v>
      </c>
      <c r="L6413" t="s">
        <v>48</v>
      </c>
      <c r="M6413" t="s">
        <v>166</v>
      </c>
      <c r="N6413">
        <v>922</v>
      </c>
      <c r="O6413" s="14">
        <v>0.19648107746616</v>
      </c>
      <c r="P6413" s="14">
        <v>0.41950060334056599</v>
      </c>
      <c r="Q6413" t="str">
        <f t="shared" si="200"/>
        <v>50+</v>
      </c>
      <c r="R6413" t="str">
        <f t="shared" si="201"/>
        <v>[E7zpfyBt7Tw]|50+|Male|NEW_INFECTIONS_SUBNAT.T|CY2024Q3</v>
      </c>
    </row>
    <row r="6414" spans="4:18" x14ac:dyDescent="0.2">
      <c r="D6414" t="s">
        <v>125</v>
      </c>
      <c r="E6414" t="s">
        <v>126</v>
      </c>
      <c r="F6414" t="s">
        <v>127</v>
      </c>
      <c r="G6414" t="s">
        <v>169</v>
      </c>
      <c r="H6414" t="s">
        <v>169</v>
      </c>
      <c r="I6414" t="s">
        <v>27</v>
      </c>
      <c r="J6414" t="s">
        <v>28</v>
      </c>
      <c r="K6414" t="s">
        <v>29</v>
      </c>
      <c r="L6414" t="s">
        <v>30</v>
      </c>
      <c r="M6414" t="s">
        <v>166</v>
      </c>
      <c r="N6414">
        <v>1836</v>
      </c>
      <c r="O6414" s="14">
        <v>0.94762804615311302</v>
      </c>
      <c r="P6414" s="14">
        <v>0.25270639033988102</v>
      </c>
      <c r="Q6414" t="str">
        <f t="shared" si="200"/>
        <v>&lt;01</v>
      </c>
      <c r="R6414" t="str">
        <f t="shared" si="201"/>
        <v>[ZCjuwgaMB9u]|&lt;01|Female|NEW_INFECTIONS_SUBNAT.T|CY2024Q3</v>
      </c>
    </row>
    <row r="6415" spans="4:18" x14ac:dyDescent="0.2">
      <c r="D6415" t="s">
        <v>125</v>
      </c>
      <c r="E6415" t="s">
        <v>126</v>
      </c>
      <c r="F6415" t="s">
        <v>127</v>
      </c>
      <c r="G6415" t="s">
        <v>169</v>
      </c>
      <c r="H6415" t="s">
        <v>169</v>
      </c>
      <c r="I6415" t="s">
        <v>32</v>
      </c>
      <c r="J6415" t="s">
        <v>33</v>
      </c>
      <c r="K6415" t="s">
        <v>29</v>
      </c>
      <c r="L6415" t="s">
        <v>30</v>
      </c>
      <c r="M6415" t="s">
        <v>166</v>
      </c>
      <c r="N6415">
        <v>1344</v>
      </c>
      <c r="O6415" s="14">
        <v>0.41350545734167099</v>
      </c>
      <c r="P6415" s="14">
        <v>0.25270639033988102</v>
      </c>
      <c r="Q6415" t="str">
        <f t="shared" si="200"/>
        <v>01-09</v>
      </c>
      <c r="R6415" t="str">
        <f t="shared" si="201"/>
        <v>[ZCjuwgaMB9u]|01-09|Female|NEW_INFECTIONS_SUBNAT.T|CY2024Q3</v>
      </c>
    </row>
    <row r="6416" spans="4:18" x14ac:dyDescent="0.2">
      <c r="D6416" t="s">
        <v>125</v>
      </c>
      <c r="E6416" t="s">
        <v>126</v>
      </c>
      <c r="F6416" t="s">
        <v>127</v>
      </c>
      <c r="G6416" t="s">
        <v>169</v>
      </c>
      <c r="H6416" t="s">
        <v>169</v>
      </c>
      <c r="I6416" t="s">
        <v>35</v>
      </c>
      <c r="J6416" t="s">
        <v>36</v>
      </c>
      <c r="K6416" t="s">
        <v>29</v>
      </c>
      <c r="L6416" t="s">
        <v>30</v>
      </c>
      <c r="M6416" t="s">
        <v>166</v>
      </c>
      <c r="N6416">
        <v>837</v>
      </c>
      <c r="O6416" s="14">
        <v>0.39550054399296602</v>
      </c>
      <c r="P6416" s="14">
        <v>0.25270639033988102</v>
      </c>
      <c r="Q6416" t="str">
        <f t="shared" si="200"/>
        <v>10-14</v>
      </c>
      <c r="R6416" t="str">
        <f t="shared" si="201"/>
        <v>[ZCjuwgaMB9u]|10-14|Female|NEW_INFECTIONS_SUBNAT.T|CY2024Q3</v>
      </c>
    </row>
    <row r="6417" spans="4:18" x14ac:dyDescent="0.2">
      <c r="D6417" t="s">
        <v>125</v>
      </c>
      <c r="E6417" t="s">
        <v>126</v>
      </c>
      <c r="F6417" t="s">
        <v>127</v>
      </c>
      <c r="G6417" t="s">
        <v>169</v>
      </c>
      <c r="H6417" t="s">
        <v>169</v>
      </c>
      <c r="I6417" t="s">
        <v>37</v>
      </c>
      <c r="J6417" t="s">
        <v>38</v>
      </c>
      <c r="K6417" t="s">
        <v>29</v>
      </c>
      <c r="L6417" t="s">
        <v>30</v>
      </c>
      <c r="M6417" t="s">
        <v>166</v>
      </c>
      <c r="N6417">
        <v>1325</v>
      </c>
      <c r="O6417" s="14">
        <v>0.133043508743867</v>
      </c>
      <c r="P6417" s="14">
        <v>0.25270639033988102</v>
      </c>
      <c r="Q6417" t="str">
        <f t="shared" si="200"/>
        <v>15-24</v>
      </c>
      <c r="R6417" t="str">
        <f t="shared" si="201"/>
        <v>[ZCjuwgaMB9u]|15-24|Female|NEW_INFECTIONS_SUBNAT.T|CY2024Q3</v>
      </c>
    </row>
    <row r="6418" spans="4:18" x14ac:dyDescent="0.2">
      <c r="D6418" t="s">
        <v>125</v>
      </c>
      <c r="E6418" t="s">
        <v>126</v>
      </c>
      <c r="F6418" t="s">
        <v>127</v>
      </c>
      <c r="G6418" t="s">
        <v>169</v>
      </c>
      <c r="H6418" t="s">
        <v>169</v>
      </c>
      <c r="I6418" t="s">
        <v>40</v>
      </c>
      <c r="J6418" t="s">
        <v>41</v>
      </c>
      <c r="K6418" t="s">
        <v>29</v>
      </c>
      <c r="L6418" t="s">
        <v>30</v>
      </c>
      <c r="M6418" t="s">
        <v>166</v>
      </c>
      <c r="N6418">
        <v>530</v>
      </c>
      <c r="O6418" s="14">
        <v>0.54468204174190804</v>
      </c>
      <c r="P6418" s="14">
        <v>0.25270639033988102</v>
      </c>
      <c r="Q6418" t="str">
        <f t="shared" si="200"/>
        <v>25-34</v>
      </c>
      <c r="R6418" t="str">
        <f t="shared" si="201"/>
        <v>[ZCjuwgaMB9u]|25-34|Female|NEW_INFECTIONS_SUBNAT.T|CY2024Q3</v>
      </c>
    </row>
    <row r="6419" spans="4:18" x14ac:dyDescent="0.2">
      <c r="D6419" t="s">
        <v>125</v>
      </c>
      <c r="E6419" t="s">
        <v>126</v>
      </c>
      <c r="F6419" t="s">
        <v>127</v>
      </c>
      <c r="G6419" t="s">
        <v>169</v>
      </c>
      <c r="H6419" t="s">
        <v>169</v>
      </c>
      <c r="I6419" t="s">
        <v>42</v>
      </c>
      <c r="J6419" t="s">
        <v>43</v>
      </c>
      <c r="K6419" t="s">
        <v>29</v>
      </c>
      <c r="L6419" t="s">
        <v>30</v>
      </c>
      <c r="M6419" t="s">
        <v>166</v>
      </c>
      <c r="N6419">
        <v>628</v>
      </c>
      <c r="O6419" s="14">
        <v>0.42935537942685198</v>
      </c>
      <c r="P6419" s="14">
        <v>0.25270639033988102</v>
      </c>
      <c r="Q6419" t="str">
        <f t="shared" si="200"/>
        <v>35-49</v>
      </c>
      <c r="R6419" t="str">
        <f t="shared" si="201"/>
        <v>[ZCjuwgaMB9u]|35-49|Female|NEW_INFECTIONS_SUBNAT.T|CY2024Q3</v>
      </c>
    </row>
    <row r="6420" spans="4:18" x14ac:dyDescent="0.2">
      <c r="D6420" t="s">
        <v>125</v>
      </c>
      <c r="E6420" t="s">
        <v>126</v>
      </c>
      <c r="F6420" t="s">
        <v>127</v>
      </c>
      <c r="G6420" t="s">
        <v>169</v>
      </c>
      <c r="H6420" t="s">
        <v>169</v>
      </c>
      <c r="I6420" t="s">
        <v>44</v>
      </c>
      <c r="J6420" t="s">
        <v>45</v>
      </c>
      <c r="K6420" t="s">
        <v>29</v>
      </c>
      <c r="L6420" t="s">
        <v>30</v>
      </c>
      <c r="M6420" t="s">
        <v>166</v>
      </c>
      <c r="N6420">
        <v>1079</v>
      </c>
      <c r="O6420" s="14">
        <v>6.4328806474804906E-2</v>
      </c>
      <c r="P6420" s="14">
        <v>0.25270639033988102</v>
      </c>
      <c r="Q6420" t="str">
        <f t="shared" si="200"/>
        <v>50+</v>
      </c>
      <c r="R6420" t="str">
        <f t="shared" si="201"/>
        <v>[ZCjuwgaMB9u]|50+|Female|NEW_INFECTIONS_SUBNAT.T|CY2024Q3</v>
      </c>
    </row>
    <row r="6421" spans="4:18" x14ac:dyDescent="0.2">
      <c r="D6421" t="s">
        <v>125</v>
      </c>
      <c r="E6421" t="s">
        <v>126</v>
      </c>
      <c r="F6421" t="s">
        <v>127</v>
      </c>
      <c r="G6421" t="s">
        <v>169</v>
      </c>
      <c r="H6421" t="s">
        <v>169</v>
      </c>
      <c r="I6421" t="s">
        <v>27</v>
      </c>
      <c r="J6421" t="s">
        <v>28</v>
      </c>
      <c r="K6421" t="s">
        <v>47</v>
      </c>
      <c r="L6421" t="s">
        <v>48</v>
      </c>
      <c r="M6421" t="s">
        <v>166</v>
      </c>
      <c r="N6421">
        <v>717</v>
      </c>
      <c r="O6421" s="14">
        <v>0.71044162451289605</v>
      </c>
      <c r="P6421" s="14">
        <v>0.25270639033988102</v>
      </c>
      <c r="Q6421" t="str">
        <f t="shared" si="200"/>
        <v>&lt;01</v>
      </c>
      <c r="R6421" t="str">
        <f t="shared" si="201"/>
        <v>[ZCjuwgaMB9u]|&lt;01|Male|NEW_INFECTIONS_SUBNAT.T|CY2024Q3</v>
      </c>
    </row>
    <row r="6422" spans="4:18" x14ac:dyDescent="0.2">
      <c r="D6422" t="s">
        <v>125</v>
      </c>
      <c r="E6422" t="s">
        <v>126</v>
      </c>
      <c r="F6422" t="s">
        <v>127</v>
      </c>
      <c r="G6422" t="s">
        <v>169</v>
      </c>
      <c r="H6422" t="s">
        <v>169</v>
      </c>
      <c r="I6422" t="s">
        <v>32</v>
      </c>
      <c r="J6422" t="s">
        <v>33</v>
      </c>
      <c r="K6422" t="s">
        <v>47</v>
      </c>
      <c r="L6422" t="s">
        <v>48</v>
      </c>
      <c r="M6422" t="s">
        <v>166</v>
      </c>
      <c r="N6422">
        <v>1164</v>
      </c>
      <c r="O6422" s="14">
        <v>0.18560364586301101</v>
      </c>
      <c r="P6422" s="14">
        <v>0.25270639033988102</v>
      </c>
      <c r="Q6422" t="str">
        <f t="shared" si="200"/>
        <v>01-09</v>
      </c>
      <c r="R6422" t="str">
        <f t="shared" si="201"/>
        <v>[ZCjuwgaMB9u]|01-09|Male|NEW_INFECTIONS_SUBNAT.T|CY2024Q3</v>
      </c>
    </row>
    <row r="6423" spans="4:18" x14ac:dyDescent="0.2">
      <c r="D6423" t="s">
        <v>125</v>
      </c>
      <c r="E6423" t="s">
        <v>126</v>
      </c>
      <c r="F6423" t="s">
        <v>127</v>
      </c>
      <c r="G6423" t="s">
        <v>169</v>
      </c>
      <c r="H6423" t="s">
        <v>169</v>
      </c>
      <c r="I6423" t="s">
        <v>35</v>
      </c>
      <c r="J6423" t="s">
        <v>36</v>
      </c>
      <c r="K6423" t="s">
        <v>47</v>
      </c>
      <c r="L6423" t="s">
        <v>48</v>
      </c>
      <c r="M6423" t="s">
        <v>166</v>
      </c>
      <c r="N6423">
        <v>1799</v>
      </c>
      <c r="O6423" s="14">
        <v>0.61001289263367697</v>
      </c>
      <c r="P6423" s="14">
        <v>0.25270639033988102</v>
      </c>
      <c r="Q6423" t="str">
        <f t="shared" si="200"/>
        <v>10-14</v>
      </c>
      <c r="R6423" t="str">
        <f t="shared" si="201"/>
        <v>[ZCjuwgaMB9u]|10-14|Male|NEW_INFECTIONS_SUBNAT.T|CY2024Q3</v>
      </c>
    </row>
    <row r="6424" spans="4:18" x14ac:dyDescent="0.2">
      <c r="D6424" t="s">
        <v>125</v>
      </c>
      <c r="E6424" t="s">
        <v>126</v>
      </c>
      <c r="F6424" t="s">
        <v>127</v>
      </c>
      <c r="G6424" t="s">
        <v>169</v>
      </c>
      <c r="H6424" t="s">
        <v>169</v>
      </c>
      <c r="I6424" t="s">
        <v>37</v>
      </c>
      <c r="J6424" t="s">
        <v>38</v>
      </c>
      <c r="K6424" t="s">
        <v>47</v>
      </c>
      <c r="L6424" t="s">
        <v>48</v>
      </c>
      <c r="M6424" t="s">
        <v>166</v>
      </c>
      <c r="N6424">
        <v>1214</v>
      </c>
      <c r="O6424" s="14">
        <v>0.97814906318672001</v>
      </c>
      <c r="P6424" s="14">
        <v>0.25270639033988102</v>
      </c>
      <c r="Q6424" t="str">
        <f t="shared" si="200"/>
        <v>15-24</v>
      </c>
      <c r="R6424" t="str">
        <f t="shared" si="201"/>
        <v>[ZCjuwgaMB9u]|15-24|Male|NEW_INFECTIONS_SUBNAT.T|CY2024Q3</v>
      </c>
    </row>
    <row r="6425" spans="4:18" x14ac:dyDescent="0.2">
      <c r="D6425" t="s">
        <v>125</v>
      </c>
      <c r="E6425" t="s">
        <v>126</v>
      </c>
      <c r="F6425" t="s">
        <v>127</v>
      </c>
      <c r="G6425" t="s">
        <v>169</v>
      </c>
      <c r="H6425" t="s">
        <v>169</v>
      </c>
      <c r="I6425" t="s">
        <v>40</v>
      </c>
      <c r="J6425" t="s">
        <v>41</v>
      </c>
      <c r="K6425" t="s">
        <v>47</v>
      </c>
      <c r="L6425" t="s">
        <v>48</v>
      </c>
      <c r="M6425" t="s">
        <v>166</v>
      </c>
      <c r="N6425">
        <v>521</v>
      </c>
      <c r="O6425" s="14">
        <v>5.5496026761829902E-2</v>
      </c>
      <c r="P6425" s="14">
        <v>0.25270639033988102</v>
      </c>
      <c r="Q6425" t="str">
        <f t="shared" si="200"/>
        <v>25-34</v>
      </c>
      <c r="R6425" t="str">
        <f t="shared" si="201"/>
        <v>[ZCjuwgaMB9u]|25-34|Male|NEW_INFECTIONS_SUBNAT.T|CY2024Q3</v>
      </c>
    </row>
    <row r="6426" spans="4:18" x14ac:dyDescent="0.2">
      <c r="D6426" t="s">
        <v>125</v>
      </c>
      <c r="E6426" t="s">
        <v>126</v>
      </c>
      <c r="F6426" t="s">
        <v>127</v>
      </c>
      <c r="G6426" t="s">
        <v>169</v>
      </c>
      <c r="H6426" t="s">
        <v>169</v>
      </c>
      <c r="I6426" t="s">
        <v>42</v>
      </c>
      <c r="J6426" t="s">
        <v>43</v>
      </c>
      <c r="K6426" t="s">
        <v>47</v>
      </c>
      <c r="L6426" t="s">
        <v>48</v>
      </c>
      <c r="M6426" t="s">
        <v>166</v>
      </c>
      <c r="N6426">
        <v>1219</v>
      </c>
      <c r="O6426" s="14">
        <v>2.3216526489704799E-2</v>
      </c>
      <c r="P6426" s="14">
        <v>0.25270639033988102</v>
      </c>
      <c r="Q6426" t="str">
        <f t="shared" si="200"/>
        <v>35-49</v>
      </c>
      <c r="R6426" t="str">
        <f t="shared" si="201"/>
        <v>[ZCjuwgaMB9u]|35-49|Male|NEW_INFECTIONS_SUBNAT.T|CY2024Q3</v>
      </c>
    </row>
    <row r="6427" spans="4:18" x14ac:dyDescent="0.2">
      <c r="D6427" t="s">
        <v>125</v>
      </c>
      <c r="E6427" t="s">
        <v>126</v>
      </c>
      <c r="F6427" t="s">
        <v>127</v>
      </c>
      <c r="G6427" t="s">
        <v>169</v>
      </c>
      <c r="H6427" t="s">
        <v>169</v>
      </c>
      <c r="I6427" t="s">
        <v>44</v>
      </c>
      <c r="J6427" t="s">
        <v>45</v>
      </c>
      <c r="K6427" t="s">
        <v>47</v>
      </c>
      <c r="L6427" t="s">
        <v>48</v>
      </c>
      <c r="M6427" t="s">
        <v>166</v>
      </c>
      <c r="N6427">
        <v>1632</v>
      </c>
      <c r="O6427" s="14">
        <v>9.1009161435067695E-2</v>
      </c>
      <c r="P6427" s="14">
        <v>0.25270639033988102</v>
      </c>
      <c r="Q6427" t="str">
        <f t="shared" si="200"/>
        <v>50+</v>
      </c>
      <c r="R6427" t="str">
        <f t="shared" si="201"/>
        <v>[ZCjuwgaMB9u]|50+|Male|NEW_INFECTIONS_SUBNAT.T|CY2024Q3</v>
      </c>
    </row>
    <row r="6428" spans="4:18" x14ac:dyDescent="0.2">
      <c r="D6428" t="s">
        <v>128</v>
      </c>
      <c r="E6428" t="s">
        <v>129</v>
      </c>
      <c r="F6428" t="s">
        <v>130</v>
      </c>
      <c r="G6428" t="s">
        <v>169</v>
      </c>
      <c r="H6428" t="s">
        <v>169</v>
      </c>
      <c r="I6428" t="s">
        <v>27</v>
      </c>
      <c r="J6428" t="s">
        <v>28</v>
      </c>
      <c r="K6428" t="s">
        <v>29</v>
      </c>
      <c r="L6428" t="s">
        <v>30</v>
      </c>
      <c r="M6428" t="s">
        <v>166</v>
      </c>
      <c r="N6428">
        <v>1735</v>
      </c>
      <c r="O6428" s="14">
        <v>0.68490990973077703</v>
      </c>
      <c r="P6428" s="14">
        <v>0.55690808477811504</v>
      </c>
      <c r="Q6428" t="str">
        <f t="shared" si="200"/>
        <v>&lt;01</v>
      </c>
      <c r="R6428" t="str">
        <f t="shared" si="201"/>
        <v>[YCKiBAp8QAg]|&lt;01|Female|NEW_INFECTIONS_SUBNAT.T|CY2024Q3</v>
      </c>
    </row>
    <row r="6429" spans="4:18" x14ac:dyDescent="0.2">
      <c r="D6429" t="s">
        <v>128</v>
      </c>
      <c r="E6429" t="s">
        <v>129</v>
      </c>
      <c r="F6429" t="s">
        <v>130</v>
      </c>
      <c r="G6429" t="s">
        <v>169</v>
      </c>
      <c r="H6429" t="s">
        <v>169</v>
      </c>
      <c r="I6429" t="s">
        <v>32</v>
      </c>
      <c r="J6429" t="s">
        <v>33</v>
      </c>
      <c r="K6429" t="s">
        <v>29</v>
      </c>
      <c r="L6429" t="s">
        <v>30</v>
      </c>
      <c r="M6429" t="s">
        <v>166</v>
      </c>
      <c r="N6429">
        <v>623</v>
      </c>
      <c r="O6429" s="14">
        <v>0.61667229514569</v>
      </c>
      <c r="P6429" s="14">
        <v>0.55690808477811504</v>
      </c>
      <c r="Q6429" t="str">
        <f t="shared" si="200"/>
        <v>01-09</v>
      </c>
      <c r="R6429" t="str">
        <f t="shared" si="201"/>
        <v>[YCKiBAp8QAg]|01-09|Female|NEW_INFECTIONS_SUBNAT.T|CY2024Q3</v>
      </c>
    </row>
    <row r="6430" spans="4:18" x14ac:dyDescent="0.2">
      <c r="D6430" t="s">
        <v>128</v>
      </c>
      <c r="E6430" t="s">
        <v>129</v>
      </c>
      <c r="F6430" t="s">
        <v>130</v>
      </c>
      <c r="G6430" t="s">
        <v>169</v>
      </c>
      <c r="H6430" t="s">
        <v>169</v>
      </c>
      <c r="I6430" t="s">
        <v>35</v>
      </c>
      <c r="J6430" t="s">
        <v>36</v>
      </c>
      <c r="K6430" t="s">
        <v>29</v>
      </c>
      <c r="L6430" t="s">
        <v>30</v>
      </c>
      <c r="M6430" t="s">
        <v>166</v>
      </c>
      <c r="N6430">
        <v>584</v>
      </c>
      <c r="O6430" s="14">
        <v>0.18814020650461299</v>
      </c>
      <c r="P6430" s="14">
        <v>0.55690808477811504</v>
      </c>
      <c r="Q6430" t="str">
        <f t="shared" si="200"/>
        <v>10-14</v>
      </c>
      <c r="R6430" t="str">
        <f t="shared" si="201"/>
        <v>[YCKiBAp8QAg]|10-14|Female|NEW_INFECTIONS_SUBNAT.T|CY2024Q3</v>
      </c>
    </row>
    <row r="6431" spans="4:18" x14ac:dyDescent="0.2">
      <c r="D6431" t="s">
        <v>128</v>
      </c>
      <c r="E6431" t="s">
        <v>129</v>
      </c>
      <c r="F6431" t="s">
        <v>130</v>
      </c>
      <c r="G6431" t="s">
        <v>169</v>
      </c>
      <c r="H6431" t="s">
        <v>169</v>
      </c>
      <c r="I6431" t="s">
        <v>37</v>
      </c>
      <c r="J6431" t="s">
        <v>38</v>
      </c>
      <c r="K6431" t="s">
        <v>29</v>
      </c>
      <c r="L6431" t="s">
        <v>30</v>
      </c>
      <c r="M6431" t="s">
        <v>166</v>
      </c>
      <c r="N6431">
        <v>1166</v>
      </c>
      <c r="O6431" s="14">
        <v>0.59191224514506802</v>
      </c>
      <c r="P6431" s="14">
        <v>0.55690808477811504</v>
      </c>
      <c r="Q6431" t="str">
        <f t="shared" si="200"/>
        <v>15-24</v>
      </c>
      <c r="R6431" t="str">
        <f t="shared" si="201"/>
        <v>[YCKiBAp8QAg]|15-24|Female|NEW_INFECTIONS_SUBNAT.T|CY2024Q3</v>
      </c>
    </row>
    <row r="6432" spans="4:18" x14ac:dyDescent="0.2">
      <c r="D6432" t="s">
        <v>128</v>
      </c>
      <c r="E6432" t="s">
        <v>129</v>
      </c>
      <c r="F6432" t="s">
        <v>130</v>
      </c>
      <c r="G6432" t="s">
        <v>169</v>
      </c>
      <c r="H6432" t="s">
        <v>169</v>
      </c>
      <c r="I6432" t="s">
        <v>40</v>
      </c>
      <c r="J6432" t="s">
        <v>41</v>
      </c>
      <c r="K6432" t="s">
        <v>29</v>
      </c>
      <c r="L6432" t="s">
        <v>30</v>
      </c>
      <c r="M6432" t="s">
        <v>166</v>
      </c>
      <c r="N6432">
        <v>1436</v>
      </c>
      <c r="O6432" s="14">
        <v>3.0032699462026399E-2</v>
      </c>
      <c r="P6432" s="14">
        <v>0.55690808477811504</v>
      </c>
      <c r="Q6432" t="str">
        <f t="shared" si="200"/>
        <v>25-34</v>
      </c>
      <c r="R6432" t="str">
        <f t="shared" si="201"/>
        <v>[YCKiBAp8QAg]|25-34|Female|NEW_INFECTIONS_SUBNAT.T|CY2024Q3</v>
      </c>
    </row>
    <row r="6433" spans="4:18" x14ac:dyDescent="0.2">
      <c r="D6433" t="s">
        <v>128</v>
      </c>
      <c r="E6433" t="s">
        <v>129</v>
      </c>
      <c r="F6433" t="s">
        <v>130</v>
      </c>
      <c r="G6433" t="s">
        <v>169</v>
      </c>
      <c r="H6433" t="s">
        <v>169</v>
      </c>
      <c r="I6433" t="s">
        <v>42</v>
      </c>
      <c r="J6433" t="s">
        <v>43</v>
      </c>
      <c r="K6433" t="s">
        <v>29</v>
      </c>
      <c r="L6433" t="s">
        <v>30</v>
      </c>
      <c r="M6433" t="s">
        <v>166</v>
      </c>
      <c r="N6433">
        <v>1380</v>
      </c>
      <c r="O6433" s="14">
        <v>0.413175072753802</v>
      </c>
      <c r="P6433" s="14">
        <v>0.55690808477811504</v>
      </c>
      <c r="Q6433" t="str">
        <f t="shared" si="200"/>
        <v>35-49</v>
      </c>
      <c r="R6433" t="str">
        <f t="shared" si="201"/>
        <v>[YCKiBAp8QAg]|35-49|Female|NEW_INFECTIONS_SUBNAT.T|CY2024Q3</v>
      </c>
    </row>
    <row r="6434" spans="4:18" x14ac:dyDescent="0.2">
      <c r="D6434" t="s">
        <v>128</v>
      </c>
      <c r="E6434" t="s">
        <v>129</v>
      </c>
      <c r="F6434" t="s">
        <v>130</v>
      </c>
      <c r="G6434" t="s">
        <v>169</v>
      </c>
      <c r="H6434" t="s">
        <v>169</v>
      </c>
      <c r="I6434" t="s">
        <v>44</v>
      </c>
      <c r="J6434" t="s">
        <v>45</v>
      </c>
      <c r="K6434" t="s">
        <v>29</v>
      </c>
      <c r="L6434" t="s">
        <v>30</v>
      </c>
      <c r="M6434" t="s">
        <v>166</v>
      </c>
      <c r="N6434">
        <v>1766</v>
      </c>
      <c r="O6434" s="14">
        <v>0.86478899535722997</v>
      </c>
      <c r="P6434" s="14">
        <v>0.55690808477811504</v>
      </c>
      <c r="Q6434" t="str">
        <f t="shared" si="200"/>
        <v>50+</v>
      </c>
      <c r="R6434" t="str">
        <f t="shared" si="201"/>
        <v>[YCKiBAp8QAg]|50+|Female|NEW_INFECTIONS_SUBNAT.T|CY2024Q3</v>
      </c>
    </row>
    <row r="6435" spans="4:18" x14ac:dyDescent="0.2">
      <c r="D6435" t="s">
        <v>128</v>
      </c>
      <c r="E6435" t="s">
        <v>129</v>
      </c>
      <c r="F6435" t="s">
        <v>130</v>
      </c>
      <c r="G6435" t="s">
        <v>169</v>
      </c>
      <c r="H6435" t="s">
        <v>169</v>
      </c>
      <c r="I6435" t="s">
        <v>27</v>
      </c>
      <c r="J6435" t="s">
        <v>28</v>
      </c>
      <c r="K6435" t="s">
        <v>47</v>
      </c>
      <c r="L6435" t="s">
        <v>48</v>
      </c>
      <c r="M6435" t="s">
        <v>166</v>
      </c>
      <c r="N6435">
        <v>845</v>
      </c>
      <c r="O6435" s="14">
        <v>0.51257788436487295</v>
      </c>
      <c r="P6435" s="14">
        <v>0.55690808477811504</v>
      </c>
      <c r="Q6435" t="str">
        <f t="shared" si="200"/>
        <v>&lt;01</v>
      </c>
      <c r="R6435" t="str">
        <f t="shared" si="201"/>
        <v>[YCKiBAp8QAg]|&lt;01|Male|NEW_INFECTIONS_SUBNAT.T|CY2024Q3</v>
      </c>
    </row>
    <row r="6436" spans="4:18" x14ac:dyDescent="0.2">
      <c r="D6436" t="s">
        <v>128</v>
      </c>
      <c r="E6436" t="s">
        <v>129</v>
      </c>
      <c r="F6436" t="s">
        <v>130</v>
      </c>
      <c r="G6436" t="s">
        <v>169</v>
      </c>
      <c r="H6436" t="s">
        <v>169</v>
      </c>
      <c r="I6436" t="s">
        <v>32</v>
      </c>
      <c r="J6436" t="s">
        <v>33</v>
      </c>
      <c r="K6436" t="s">
        <v>47</v>
      </c>
      <c r="L6436" t="s">
        <v>48</v>
      </c>
      <c r="M6436" t="s">
        <v>166</v>
      </c>
      <c r="N6436">
        <v>1283</v>
      </c>
      <c r="O6436" s="14">
        <v>0.502319846302271</v>
      </c>
      <c r="P6436" s="14">
        <v>0.55690808477811504</v>
      </c>
      <c r="Q6436" t="str">
        <f t="shared" si="200"/>
        <v>01-09</v>
      </c>
      <c r="R6436" t="str">
        <f t="shared" si="201"/>
        <v>[YCKiBAp8QAg]|01-09|Male|NEW_INFECTIONS_SUBNAT.T|CY2024Q3</v>
      </c>
    </row>
    <row r="6437" spans="4:18" x14ac:dyDescent="0.2">
      <c r="D6437" t="s">
        <v>128</v>
      </c>
      <c r="E6437" t="s">
        <v>129</v>
      </c>
      <c r="F6437" t="s">
        <v>130</v>
      </c>
      <c r="G6437" t="s">
        <v>169</v>
      </c>
      <c r="H6437" t="s">
        <v>169</v>
      </c>
      <c r="I6437" t="s">
        <v>35</v>
      </c>
      <c r="J6437" t="s">
        <v>36</v>
      </c>
      <c r="K6437" t="s">
        <v>47</v>
      </c>
      <c r="L6437" t="s">
        <v>48</v>
      </c>
      <c r="M6437" t="s">
        <v>166</v>
      </c>
      <c r="N6437">
        <v>1266</v>
      </c>
      <c r="O6437" s="14">
        <v>0.31541730440221699</v>
      </c>
      <c r="P6437" s="14">
        <v>0.55690808477811504</v>
      </c>
      <c r="Q6437" t="str">
        <f t="shared" si="200"/>
        <v>10-14</v>
      </c>
      <c r="R6437" t="str">
        <f t="shared" si="201"/>
        <v>[YCKiBAp8QAg]|10-14|Male|NEW_INFECTIONS_SUBNAT.T|CY2024Q3</v>
      </c>
    </row>
    <row r="6438" spans="4:18" x14ac:dyDescent="0.2">
      <c r="D6438" t="s">
        <v>128</v>
      </c>
      <c r="E6438" t="s">
        <v>129</v>
      </c>
      <c r="F6438" t="s">
        <v>130</v>
      </c>
      <c r="G6438" t="s">
        <v>169</v>
      </c>
      <c r="H6438" t="s">
        <v>169</v>
      </c>
      <c r="I6438" t="s">
        <v>37</v>
      </c>
      <c r="J6438" t="s">
        <v>38</v>
      </c>
      <c r="K6438" t="s">
        <v>47</v>
      </c>
      <c r="L6438" t="s">
        <v>48</v>
      </c>
      <c r="M6438" t="s">
        <v>166</v>
      </c>
      <c r="N6438">
        <v>861</v>
      </c>
      <c r="O6438" s="14">
        <v>0.537673245882615</v>
      </c>
      <c r="P6438" s="14">
        <v>0.55690808477811504</v>
      </c>
      <c r="Q6438" t="str">
        <f t="shared" si="200"/>
        <v>15-24</v>
      </c>
      <c r="R6438" t="str">
        <f t="shared" si="201"/>
        <v>[YCKiBAp8QAg]|15-24|Male|NEW_INFECTIONS_SUBNAT.T|CY2024Q3</v>
      </c>
    </row>
    <row r="6439" spans="4:18" x14ac:dyDescent="0.2">
      <c r="D6439" t="s">
        <v>128</v>
      </c>
      <c r="E6439" t="s">
        <v>129</v>
      </c>
      <c r="F6439" t="s">
        <v>130</v>
      </c>
      <c r="G6439" t="s">
        <v>169</v>
      </c>
      <c r="H6439" t="s">
        <v>169</v>
      </c>
      <c r="I6439" t="s">
        <v>40</v>
      </c>
      <c r="J6439" t="s">
        <v>41</v>
      </c>
      <c r="K6439" t="s">
        <v>47</v>
      </c>
      <c r="L6439" t="s">
        <v>48</v>
      </c>
      <c r="M6439" t="s">
        <v>166</v>
      </c>
      <c r="N6439">
        <v>1489</v>
      </c>
      <c r="O6439" s="14">
        <v>0.96824963926337704</v>
      </c>
      <c r="P6439" s="14">
        <v>0.55690808477811504</v>
      </c>
      <c r="Q6439" t="str">
        <f t="shared" si="200"/>
        <v>25-34</v>
      </c>
      <c r="R6439" t="str">
        <f t="shared" si="201"/>
        <v>[YCKiBAp8QAg]|25-34|Male|NEW_INFECTIONS_SUBNAT.T|CY2024Q3</v>
      </c>
    </row>
    <row r="6440" spans="4:18" x14ac:dyDescent="0.2">
      <c r="D6440" t="s">
        <v>128</v>
      </c>
      <c r="E6440" t="s">
        <v>129</v>
      </c>
      <c r="F6440" t="s">
        <v>130</v>
      </c>
      <c r="G6440" t="s">
        <v>169</v>
      </c>
      <c r="H6440" t="s">
        <v>169</v>
      </c>
      <c r="I6440" t="s">
        <v>42</v>
      </c>
      <c r="J6440" t="s">
        <v>43</v>
      </c>
      <c r="K6440" t="s">
        <v>47</v>
      </c>
      <c r="L6440" t="s">
        <v>48</v>
      </c>
      <c r="M6440" t="s">
        <v>166</v>
      </c>
      <c r="N6440">
        <v>1832</v>
      </c>
      <c r="O6440" s="14">
        <v>0.94370739278383597</v>
      </c>
      <c r="P6440" s="14">
        <v>0.55690808477811504</v>
      </c>
      <c r="Q6440" t="str">
        <f t="shared" si="200"/>
        <v>35-49</v>
      </c>
      <c r="R6440" t="str">
        <f t="shared" si="201"/>
        <v>[YCKiBAp8QAg]|35-49|Male|NEW_INFECTIONS_SUBNAT.T|CY2024Q3</v>
      </c>
    </row>
    <row r="6441" spans="4:18" x14ac:dyDescent="0.2">
      <c r="D6441" t="s">
        <v>128</v>
      </c>
      <c r="E6441" t="s">
        <v>129</v>
      </c>
      <c r="F6441" t="s">
        <v>130</v>
      </c>
      <c r="G6441" t="s">
        <v>169</v>
      </c>
      <c r="H6441" t="s">
        <v>169</v>
      </c>
      <c r="I6441" t="s">
        <v>44</v>
      </c>
      <c r="J6441" t="s">
        <v>45</v>
      </c>
      <c r="K6441" t="s">
        <v>47</v>
      </c>
      <c r="L6441" t="s">
        <v>48</v>
      </c>
      <c r="M6441" t="s">
        <v>166</v>
      </c>
      <c r="N6441">
        <v>1957</v>
      </c>
      <c r="O6441" s="14">
        <v>1.29526020027697E-2</v>
      </c>
      <c r="P6441" s="14">
        <v>0.55690808477811504</v>
      </c>
      <c r="Q6441" t="str">
        <f t="shared" si="200"/>
        <v>50+</v>
      </c>
      <c r="R6441" t="str">
        <f t="shared" si="201"/>
        <v>[YCKiBAp8QAg]|50+|Male|NEW_INFECTIONS_SUBNAT.T|CY2024Q3</v>
      </c>
    </row>
    <row r="6442" spans="4:18" x14ac:dyDescent="0.2">
      <c r="D6442" t="s">
        <v>131</v>
      </c>
      <c r="E6442" t="s">
        <v>132</v>
      </c>
      <c r="F6442" t="s">
        <v>133</v>
      </c>
      <c r="G6442" t="s">
        <v>169</v>
      </c>
      <c r="H6442" t="s">
        <v>169</v>
      </c>
      <c r="I6442" t="s">
        <v>27</v>
      </c>
      <c r="J6442" t="s">
        <v>28</v>
      </c>
      <c r="K6442" t="s">
        <v>29</v>
      </c>
      <c r="L6442" t="s">
        <v>30</v>
      </c>
      <c r="M6442" t="s">
        <v>166</v>
      </c>
      <c r="N6442">
        <v>1332</v>
      </c>
      <c r="O6442" s="14">
        <v>0.37302633281797198</v>
      </c>
      <c r="P6442" s="14">
        <v>0.16286319401115201</v>
      </c>
      <c r="Q6442" t="str">
        <f t="shared" si="200"/>
        <v>&lt;01</v>
      </c>
      <c r="R6442" t="str">
        <f t="shared" si="201"/>
        <v>[JQKLKuVuY61]|&lt;01|Female|NEW_INFECTIONS_SUBNAT.T|CY2024Q3</v>
      </c>
    </row>
    <row r="6443" spans="4:18" x14ac:dyDescent="0.2">
      <c r="D6443" t="s">
        <v>131</v>
      </c>
      <c r="E6443" t="s">
        <v>132</v>
      </c>
      <c r="F6443" t="s">
        <v>133</v>
      </c>
      <c r="G6443" t="s">
        <v>169</v>
      </c>
      <c r="H6443" t="s">
        <v>169</v>
      </c>
      <c r="I6443" t="s">
        <v>32</v>
      </c>
      <c r="J6443" t="s">
        <v>33</v>
      </c>
      <c r="K6443" t="s">
        <v>29</v>
      </c>
      <c r="L6443" t="s">
        <v>30</v>
      </c>
      <c r="M6443" t="s">
        <v>166</v>
      </c>
      <c r="N6443">
        <v>1849</v>
      </c>
      <c r="O6443" s="14">
        <v>0.109288935549557</v>
      </c>
      <c r="P6443" s="14">
        <v>0.16286319401115201</v>
      </c>
      <c r="Q6443" t="str">
        <f t="shared" si="200"/>
        <v>01-09</v>
      </c>
      <c r="R6443" t="str">
        <f t="shared" si="201"/>
        <v>[JQKLKuVuY61]|01-09|Female|NEW_INFECTIONS_SUBNAT.T|CY2024Q3</v>
      </c>
    </row>
    <row r="6444" spans="4:18" x14ac:dyDescent="0.2">
      <c r="D6444" t="s">
        <v>131</v>
      </c>
      <c r="E6444" t="s">
        <v>132</v>
      </c>
      <c r="F6444" t="s">
        <v>133</v>
      </c>
      <c r="G6444" t="s">
        <v>169</v>
      </c>
      <c r="H6444" t="s">
        <v>169</v>
      </c>
      <c r="I6444" t="s">
        <v>35</v>
      </c>
      <c r="J6444" t="s">
        <v>36</v>
      </c>
      <c r="K6444" t="s">
        <v>29</v>
      </c>
      <c r="L6444" t="s">
        <v>30</v>
      </c>
      <c r="M6444" t="s">
        <v>166</v>
      </c>
      <c r="N6444">
        <v>1161</v>
      </c>
      <c r="O6444" s="14">
        <v>0.95715110306628004</v>
      </c>
      <c r="P6444" s="14">
        <v>0.16286319401115201</v>
      </c>
      <c r="Q6444" t="str">
        <f t="shared" si="200"/>
        <v>10-14</v>
      </c>
      <c r="R6444" t="str">
        <f t="shared" si="201"/>
        <v>[JQKLKuVuY61]|10-14|Female|NEW_INFECTIONS_SUBNAT.T|CY2024Q3</v>
      </c>
    </row>
    <row r="6445" spans="4:18" x14ac:dyDescent="0.2">
      <c r="D6445" t="s">
        <v>131</v>
      </c>
      <c r="E6445" t="s">
        <v>132</v>
      </c>
      <c r="F6445" t="s">
        <v>133</v>
      </c>
      <c r="G6445" t="s">
        <v>169</v>
      </c>
      <c r="H6445" t="s">
        <v>169</v>
      </c>
      <c r="I6445" t="s">
        <v>37</v>
      </c>
      <c r="J6445" t="s">
        <v>38</v>
      </c>
      <c r="K6445" t="s">
        <v>29</v>
      </c>
      <c r="L6445" t="s">
        <v>30</v>
      </c>
      <c r="M6445" t="s">
        <v>166</v>
      </c>
      <c r="N6445">
        <v>1185</v>
      </c>
      <c r="O6445" s="14">
        <v>0.43157558143138902</v>
      </c>
      <c r="P6445" s="14">
        <v>0.16286319401115201</v>
      </c>
      <c r="Q6445" t="str">
        <f t="shared" si="200"/>
        <v>15-24</v>
      </c>
      <c r="R6445" t="str">
        <f t="shared" si="201"/>
        <v>[JQKLKuVuY61]|15-24|Female|NEW_INFECTIONS_SUBNAT.T|CY2024Q3</v>
      </c>
    </row>
    <row r="6446" spans="4:18" x14ac:dyDescent="0.2">
      <c r="D6446" t="s">
        <v>131</v>
      </c>
      <c r="E6446" t="s">
        <v>132</v>
      </c>
      <c r="F6446" t="s">
        <v>133</v>
      </c>
      <c r="G6446" t="s">
        <v>169</v>
      </c>
      <c r="H6446" t="s">
        <v>169</v>
      </c>
      <c r="I6446" t="s">
        <v>40</v>
      </c>
      <c r="J6446" t="s">
        <v>41</v>
      </c>
      <c r="K6446" t="s">
        <v>29</v>
      </c>
      <c r="L6446" t="s">
        <v>30</v>
      </c>
      <c r="M6446" t="s">
        <v>166</v>
      </c>
      <c r="N6446">
        <v>1800</v>
      </c>
      <c r="O6446" s="14">
        <v>0.56481338432058703</v>
      </c>
      <c r="P6446" s="14">
        <v>0.16286319401115201</v>
      </c>
      <c r="Q6446" t="str">
        <f t="shared" si="200"/>
        <v>25-34</v>
      </c>
      <c r="R6446" t="str">
        <f t="shared" si="201"/>
        <v>[JQKLKuVuY61]|25-34|Female|NEW_INFECTIONS_SUBNAT.T|CY2024Q3</v>
      </c>
    </row>
    <row r="6447" spans="4:18" x14ac:dyDescent="0.2">
      <c r="D6447" t="s">
        <v>131</v>
      </c>
      <c r="E6447" t="s">
        <v>132</v>
      </c>
      <c r="F6447" t="s">
        <v>133</v>
      </c>
      <c r="G6447" t="s">
        <v>169</v>
      </c>
      <c r="H6447" t="s">
        <v>169</v>
      </c>
      <c r="I6447" t="s">
        <v>42</v>
      </c>
      <c r="J6447" t="s">
        <v>43</v>
      </c>
      <c r="K6447" t="s">
        <v>29</v>
      </c>
      <c r="L6447" t="s">
        <v>30</v>
      </c>
      <c r="M6447" t="s">
        <v>166</v>
      </c>
      <c r="N6447">
        <v>554</v>
      </c>
      <c r="O6447" s="14">
        <v>0.63769544288516</v>
      </c>
      <c r="P6447" s="14">
        <v>0.16286319401115201</v>
      </c>
      <c r="Q6447" t="str">
        <f t="shared" si="200"/>
        <v>35-49</v>
      </c>
      <c r="R6447" t="str">
        <f t="shared" si="201"/>
        <v>[JQKLKuVuY61]|35-49|Female|NEW_INFECTIONS_SUBNAT.T|CY2024Q3</v>
      </c>
    </row>
    <row r="6448" spans="4:18" x14ac:dyDescent="0.2">
      <c r="D6448" t="s">
        <v>131</v>
      </c>
      <c r="E6448" t="s">
        <v>132</v>
      </c>
      <c r="F6448" t="s">
        <v>133</v>
      </c>
      <c r="G6448" t="s">
        <v>169</v>
      </c>
      <c r="H6448" t="s">
        <v>169</v>
      </c>
      <c r="I6448" t="s">
        <v>44</v>
      </c>
      <c r="J6448" t="s">
        <v>45</v>
      </c>
      <c r="K6448" t="s">
        <v>29</v>
      </c>
      <c r="L6448" t="s">
        <v>30</v>
      </c>
      <c r="M6448" t="s">
        <v>166</v>
      </c>
      <c r="N6448">
        <v>1336</v>
      </c>
      <c r="O6448" s="14">
        <v>8.6529226973652805E-3</v>
      </c>
      <c r="P6448" s="14">
        <v>0.16286319401115201</v>
      </c>
      <c r="Q6448" t="str">
        <f t="shared" si="200"/>
        <v>50+</v>
      </c>
      <c r="R6448" t="str">
        <f t="shared" si="201"/>
        <v>[JQKLKuVuY61]|50+|Female|NEW_INFECTIONS_SUBNAT.T|CY2024Q3</v>
      </c>
    </row>
    <row r="6449" spans="4:18" x14ac:dyDescent="0.2">
      <c r="D6449" t="s">
        <v>131</v>
      </c>
      <c r="E6449" t="s">
        <v>132</v>
      </c>
      <c r="F6449" t="s">
        <v>133</v>
      </c>
      <c r="G6449" t="s">
        <v>169</v>
      </c>
      <c r="H6449" t="s">
        <v>169</v>
      </c>
      <c r="I6449" t="s">
        <v>27</v>
      </c>
      <c r="J6449" t="s">
        <v>28</v>
      </c>
      <c r="K6449" t="s">
        <v>47</v>
      </c>
      <c r="L6449" t="s">
        <v>48</v>
      </c>
      <c r="M6449" t="s">
        <v>166</v>
      </c>
      <c r="N6449">
        <v>657</v>
      </c>
      <c r="O6449" s="14">
        <v>0.37209509219974302</v>
      </c>
      <c r="P6449" s="14">
        <v>0.16286319401115201</v>
      </c>
      <c r="Q6449" t="str">
        <f t="shared" si="200"/>
        <v>&lt;01</v>
      </c>
      <c r="R6449" t="str">
        <f t="shared" si="201"/>
        <v>[JQKLKuVuY61]|&lt;01|Male|NEW_INFECTIONS_SUBNAT.T|CY2024Q3</v>
      </c>
    </row>
    <row r="6450" spans="4:18" x14ac:dyDescent="0.2">
      <c r="D6450" t="s">
        <v>131</v>
      </c>
      <c r="E6450" t="s">
        <v>132</v>
      </c>
      <c r="F6450" t="s">
        <v>133</v>
      </c>
      <c r="G6450" t="s">
        <v>169</v>
      </c>
      <c r="H6450" t="s">
        <v>169</v>
      </c>
      <c r="I6450" t="s">
        <v>32</v>
      </c>
      <c r="J6450" t="s">
        <v>33</v>
      </c>
      <c r="K6450" t="s">
        <v>47</v>
      </c>
      <c r="L6450" t="s">
        <v>48</v>
      </c>
      <c r="M6450" t="s">
        <v>166</v>
      </c>
      <c r="N6450">
        <v>802</v>
      </c>
      <c r="O6450" s="14">
        <v>0.92886387556791306</v>
      </c>
      <c r="P6450" s="14">
        <v>0.16286319401115201</v>
      </c>
      <c r="Q6450" t="str">
        <f t="shared" si="200"/>
        <v>01-09</v>
      </c>
      <c r="R6450" t="str">
        <f t="shared" si="201"/>
        <v>[JQKLKuVuY61]|01-09|Male|NEW_INFECTIONS_SUBNAT.T|CY2024Q3</v>
      </c>
    </row>
    <row r="6451" spans="4:18" x14ac:dyDescent="0.2">
      <c r="D6451" t="s">
        <v>131</v>
      </c>
      <c r="E6451" t="s">
        <v>132</v>
      </c>
      <c r="F6451" t="s">
        <v>133</v>
      </c>
      <c r="G6451" t="s">
        <v>169</v>
      </c>
      <c r="H6451" t="s">
        <v>169</v>
      </c>
      <c r="I6451" t="s">
        <v>35</v>
      </c>
      <c r="J6451" t="s">
        <v>36</v>
      </c>
      <c r="K6451" t="s">
        <v>47</v>
      </c>
      <c r="L6451" t="s">
        <v>48</v>
      </c>
      <c r="M6451" t="s">
        <v>166</v>
      </c>
      <c r="N6451">
        <v>1572</v>
      </c>
      <c r="O6451" s="14">
        <v>0.20543745416216599</v>
      </c>
      <c r="P6451" s="14">
        <v>0.16286319401115201</v>
      </c>
      <c r="Q6451" t="str">
        <f t="shared" si="200"/>
        <v>10-14</v>
      </c>
      <c r="R6451" t="str">
        <f t="shared" si="201"/>
        <v>[JQKLKuVuY61]|10-14|Male|NEW_INFECTIONS_SUBNAT.T|CY2024Q3</v>
      </c>
    </row>
    <row r="6452" spans="4:18" x14ac:dyDescent="0.2">
      <c r="D6452" t="s">
        <v>131</v>
      </c>
      <c r="E6452" t="s">
        <v>132</v>
      </c>
      <c r="F6452" t="s">
        <v>133</v>
      </c>
      <c r="G6452" t="s">
        <v>169</v>
      </c>
      <c r="H6452" t="s">
        <v>169</v>
      </c>
      <c r="I6452" t="s">
        <v>37</v>
      </c>
      <c r="J6452" t="s">
        <v>38</v>
      </c>
      <c r="K6452" t="s">
        <v>47</v>
      </c>
      <c r="L6452" t="s">
        <v>48</v>
      </c>
      <c r="M6452" t="s">
        <v>166</v>
      </c>
      <c r="N6452">
        <v>1273</v>
      </c>
      <c r="O6452" s="14">
        <v>9.8584519233554602E-2</v>
      </c>
      <c r="P6452" s="14">
        <v>0.16286319401115201</v>
      </c>
      <c r="Q6452" t="str">
        <f t="shared" si="200"/>
        <v>15-24</v>
      </c>
      <c r="R6452" t="str">
        <f t="shared" si="201"/>
        <v>[JQKLKuVuY61]|15-24|Male|NEW_INFECTIONS_SUBNAT.T|CY2024Q3</v>
      </c>
    </row>
    <row r="6453" spans="4:18" x14ac:dyDescent="0.2">
      <c r="D6453" t="s">
        <v>131</v>
      </c>
      <c r="E6453" t="s">
        <v>132</v>
      </c>
      <c r="F6453" t="s">
        <v>133</v>
      </c>
      <c r="G6453" t="s">
        <v>169</v>
      </c>
      <c r="H6453" t="s">
        <v>169</v>
      </c>
      <c r="I6453" t="s">
        <v>40</v>
      </c>
      <c r="J6453" t="s">
        <v>41</v>
      </c>
      <c r="K6453" t="s">
        <v>47</v>
      </c>
      <c r="L6453" t="s">
        <v>48</v>
      </c>
      <c r="M6453" t="s">
        <v>166</v>
      </c>
      <c r="N6453">
        <v>1884</v>
      </c>
      <c r="O6453" s="14">
        <v>0.63979137875139702</v>
      </c>
      <c r="P6453" s="14">
        <v>0.16286319401115201</v>
      </c>
      <c r="Q6453" t="str">
        <f t="shared" si="200"/>
        <v>25-34</v>
      </c>
      <c r="R6453" t="str">
        <f t="shared" si="201"/>
        <v>[JQKLKuVuY61]|25-34|Male|NEW_INFECTIONS_SUBNAT.T|CY2024Q3</v>
      </c>
    </row>
    <row r="6454" spans="4:18" x14ac:dyDescent="0.2">
      <c r="D6454" t="s">
        <v>131</v>
      </c>
      <c r="E6454" t="s">
        <v>132</v>
      </c>
      <c r="F6454" t="s">
        <v>133</v>
      </c>
      <c r="G6454" t="s">
        <v>169</v>
      </c>
      <c r="H6454" t="s">
        <v>169</v>
      </c>
      <c r="I6454" t="s">
        <v>42</v>
      </c>
      <c r="J6454" t="s">
        <v>43</v>
      </c>
      <c r="K6454" t="s">
        <v>47</v>
      </c>
      <c r="L6454" t="s">
        <v>48</v>
      </c>
      <c r="M6454" t="s">
        <v>166</v>
      </c>
      <c r="N6454">
        <v>914</v>
      </c>
      <c r="O6454" s="14">
        <v>0.10462973685935099</v>
      </c>
      <c r="P6454" s="14">
        <v>0.16286319401115201</v>
      </c>
      <c r="Q6454" t="str">
        <f t="shared" si="200"/>
        <v>35-49</v>
      </c>
      <c r="R6454" t="str">
        <f t="shared" si="201"/>
        <v>[JQKLKuVuY61]|35-49|Male|NEW_INFECTIONS_SUBNAT.T|CY2024Q3</v>
      </c>
    </row>
    <row r="6455" spans="4:18" x14ac:dyDescent="0.2">
      <c r="D6455" t="s">
        <v>131</v>
      </c>
      <c r="E6455" t="s">
        <v>132</v>
      </c>
      <c r="F6455" t="s">
        <v>133</v>
      </c>
      <c r="G6455" t="s">
        <v>169</v>
      </c>
      <c r="H6455" t="s">
        <v>169</v>
      </c>
      <c r="I6455" t="s">
        <v>44</v>
      </c>
      <c r="J6455" t="s">
        <v>45</v>
      </c>
      <c r="K6455" t="s">
        <v>47</v>
      </c>
      <c r="L6455" t="s">
        <v>48</v>
      </c>
      <c r="M6455" t="s">
        <v>166</v>
      </c>
      <c r="N6455">
        <v>1987</v>
      </c>
      <c r="O6455" s="14">
        <v>0.43720104638487101</v>
      </c>
      <c r="P6455" s="14">
        <v>0.16286319401115201</v>
      </c>
      <c r="Q6455" t="str">
        <f t="shared" si="200"/>
        <v>50+</v>
      </c>
      <c r="R6455" t="str">
        <f t="shared" si="201"/>
        <v>[JQKLKuVuY61]|50+|Male|NEW_INFECTIONS_SUBNAT.T|CY2024Q3</v>
      </c>
    </row>
    <row r="6456" spans="4:18" x14ac:dyDescent="0.2">
      <c r="D6456" t="s">
        <v>134</v>
      </c>
      <c r="E6456" t="s">
        <v>135</v>
      </c>
      <c r="F6456" t="s">
        <v>136</v>
      </c>
      <c r="G6456" t="s">
        <v>169</v>
      </c>
      <c r="H6456" t="s">
        <v>169</v>
      </c>
      <c r="I6456" t="s">
        <v>27</v>
      </c>
      <c r="J6456" t="s">
        <v>28</v>
      </c>
      <c r="K6456" t="s">
        <v>29</v>
      </c>
      <c r="L6456" t="s">
        <v>30</v>
      </c>
      <c r="M6456" t="s">
        <v>166</v>
      </c>
      <c r="N6456">
        <v>1971</v>
      </c>
      <c r="O6456" s="14">
        <v>0.26229442539624898</v>
      </c>
      <c r="P6456" s="14">
        <v>0.95530052832327805</v>
      </c>
      <c r="Q6456" t="str">
        <f t="shared" si="200"/>
        <v>&lt;01</v>
      </c>
      <c r="R6456" t="str">
        <f t="shared" si="201"/>
        <v>[fiRkU6gEjLz]|&lt;01|Female|NEW_INFECTIONS_SUBNAT.T|CY2024Q3</v>
      </c>
    </row>
    <row r="6457" spans="4:18" x14ac:dyDescent="0.2">
      <c r="D6457" t="s">
        <v>134</v>
      </c>
      <c r="E6457" t="s">
        <v>135</v>
      </c>
      <c r="F6457" t="s">
        <v>136</v>
      </c>
      <c r="G6457" t="s">
        <v>169</v>
      </c>
      <c r="H6457" t="s">
        <v>169</v>
      </c>
      <c r="I6457" t="s">
        <v>32</v>
      </c>
      <c r="J6457" t="s">
        <v>33</v>
      </c>
      <c r="K6457" t="s">
        <v>29</v>
      </c>
      <c r="L6457" t="s">
        <v>30</v>
      </c>
      <c r="M6457" t="s">
        <v>166</v>
      </c>
      <c r="N6457">
        <v>852</v>
      </c>
      <c r="O6457" s="14">
        <v>0.98043112899176799</v>
      </c>
      <c r="P6457" s="14">
        <v>0.95530052832327805</v>
      </c>
      <c r="Q6457" t="str">
        <f t="shared" si="200"/>
        <v>01-09</v>
      </c>
      <c r="R6457" t="str">
        <f t="shared" si="201"/>
        <v>[fiRkU6gEjLz]|01-09|Female|NEW_INFECTIONS_SUBNAT.T|CY2024Q3</v>
      </c>
    </row>
    <row r="6458" spans="4:18" x14ac:dyDescent="0.2">
      <c r="D6458" t="s">
        <v>134</v>
      </c>
      <c r="E6458" t="s">
        <v>135</v>
      </c>
      <c r="F6458" t="s">
        <v>136</v>
      </c>
      <c r="G6458" t="s">
        <v>169</v>
      </c>
      <c r="H6458" t="s">
        <v>169</v>
      </c>
      <c r="I6458" t="s">
        <v>35</v>
      </c>
      <c r="J6458" t="s">
        <v>36</v>
      </c>
      <c r="K6458" t="s">
        <v>29</v>
      </c>
      <c r="L6458" t="s">
        <v>30</v>
      </c>
      <c r="M6458" t="s">
        <v>166</v>
      </c>
      <c r="N6458">
        <v>1346</v>
      </c>
      <c r="O6458" s="14">
        <v>0.46208765846677102</v>
      </c>
      <c r="P6458" s="14">
        <v>0.95530052832327805</v>
      </c>
      <c r="Q6458" t="str">
        <f t="shared" si="200"/>
        <v>10-14</v>
      </c>
      <c r="R6458" t="str">
        <f t="shared" si="201"/>
        <v>[fiRkU6gEjLz]|10-14|Female|NEW_INFECTIONS_SUBNAT.T|CY2024Q3</v>
      </c>
    </row>
    <row r="6459" spans="4:18" x14ac:dyDescent="0.2">
      <c r="D6459" t="s">
        <v>134</v>
      </c>
      <c r="E6459" t="s">
        <v>135</v>
      </c>
      <c r="F6459" t="s">
        <v>136</v>
      </c>
      <c r="G6459" t="s">
        <v>169</v>
      </c>
      <c r="H6459" t="s">
        <v>169</v>
      </c>
      <c r="I6459" t="s">
        <v>37</v>
      </c>
      <c r="J6459" t="s">
        <v>38</v>
      </c>
      <c r="K6459" t="s">
        <v>29</v>
      </c>
      <c r="L6459" t="s">
        <v>30</v>
      </c>
      <c r="M6459" t="s">
        <v>166</v>
      </c>
      <c r="N6459">
        <v>1917</v>
      </c>
      <c r="O6459" s="14">
        <v>0.72375907911919102</v>
      </c>
      <c r="P6459" s="14">
        <v>0.95530052832327805</v>
      </c>
      <c r="Q6459" t="str">
        <f t="shared" si="200"/>
        <v>15-24</v>
      </c>
      <c r="R6459" t="str">
        <f t="shared" si="201"/>
        <v>[fiRkU6gEjLz]|15-24|Female|NEW_INFECTIONS_SUBNAT.T|CY2024Q3</v>
      </c>
    </row>
    <row r="6460" spans="4:18" x14ac:dyDescent="0.2">
      <c r="D6460" t="s">
        <v>134</v>
      </c>
      <c r="E6460" t="s">
        <v>135</v>
      </c>
      <c r="F6460" t="s">
        <v>136</v>
      </c>
      <c r="G6460" t="s">
        <v>169</v>
      </c>
      <c r="H6460" t="s">
        <v>169</v>
      </c>
      <c r="I6460" t="s">
        <v>40</v>
      </c>
      <c r="J6460" t="s">
        <v>41</v>
      </c>
      <c r="K6460" t="s">
        <v>29</v>
      </c>
      <c r="L6460" t="s">
        <v>30</v>
      </c>
      <c r="M6460" t="s">
        <v>166</v>
      </c>
      <c r="N6460">
        <v>997</v>
      </c>
      <c r="O6460" s="14">
        <v>0.58164910995401398</v>
      </c>
      <c r="P6460" s="14">
        <v>0.95530052832327805</v>
      </c>
      <c r="Q6460" t="str">
        <f t="shared" si="200"/>
        <v>25-34</v>
      </c>
      <c r="R6460" t="str">
        <f t="shared" si="201"/>
        <v>[fiRkU6gEjLz]|25-34|Female|NEW_INFECTIONS_SUBNAT.T|CY2024Q3</v>
      </c>
    </row>
    <row r="6461" spans="4:18" x14ac:dyDescent="0.2">
      <c r="D6461" t="s">
        <v>134</v>
      </c>
      <c r="E6461" t="s">
        <v>135</v>
      </c>
      <c r="F6461" t="s">
        <v>136</v>
      </c>
      <c r="G6461" t="s">
        <v>169</v>
      </c>
      <c r="H6461" t="s">
        <v>169</v>
      </c>
      <c r="I6461" t="s">
        <v>42</v>
      </c>
      <c r="J6461" t="s">
        <v>43</v>
      </c>
      <c r="K6461" t="s">
        <v>29</v>
      </c>
      <c r="L6461" t="s">
        <v>30</v>
      </c>
      <c r="M6461" t="s">
        <v>166</v>
      </c>
      <c r="N6461">
        <v>1438</v>
      </c>
      <c r="O6461" s="14">
        <v>0.73897424875758599</v>
      </c>
      <c r="P6461" s="14">
        <v>0.95530052832327805</v>
      </c>
      <c r="Q6461" t="str">
        <f t="shared" si="200"/>
        <v>35-49</v>
      </c>
      <c r="R6461" t="str">
        <f t="shared" si="201"/>
        <v>[fiRkU6gEjLz]|35-49|Female|NEW_INFECTIONS_SUBNAT.T|CY2024Q3</v>
      </c>
    </row>
    <row r="6462" spans="4:18" x14ac:dyDescent="0.2">
      <c r="D6462" t="s">
        <v>134</v>
      </c>
      <c r="E6462" t="s">
        <v>135</v>
      </c>
      <c r="F6462" t="s">
        <v>136</v>
      </c>
      <c r="G6462" t="s">
        <v>169</v>
      </c>
      <c r="H6462" t="s">
        <v>169</v>
      </c>
      <c r="I6462" t="s">
        <v>44</v>
      </c>
      <c r="J6462" t="s">
        <v>45</v>
      </c>
      <c r="K6462" t="s">
        <v>29</v>
      </c>
      <c r="L6462" t="s">
        <v>30</v>
      </c>
      <c r="M6462" t="s">
        <v>166</v>
      </c>
      <c r="N6462">
        <v>653</v>
      </c>
      <c r="O6462" s="14">
        <v>0.195299779297784</v>
      </c>
      <c r="P6462" s="14">
        <v>0.95530052832327805</v>
      </c>
      <c r="Q6462" t="str">
        <f t="shared" si="200"/>
        <v>50+</v>
      </c>
      <c r="R6462" t="str">
        <f t="shared" si="201"/>
        <v>[fiRkU6gEjLz]|50+|Female|NEW_INFECTIONS_SUBNAT.T|CY2024Q3</v>
      </c>
    </row>
    <row r="6463" spans="4:18" x14ac:dyDescent="0.2">
      <c r="D6463" t="s">
        <v>134</v>
      </c>
      <c r="E6463" t="s">
        <v>135</v>
      </c>
      <c r="F6463" t="s">
        <v>136</v>
      </c>
      <c r="G6463" t="s">
        <v>169</v>
      </c>
      <c r="H6463" t="s">
        <v>169</v>
      </c>
      <c r="I6463" t="s">
        <v>27</v>
      </c>
      <c r="J6463" t="s">
        <v>28</v>
      </c>
      <c r="K6463" t="s">
        <v>47</v>
      </c>
      <c r="L6463" t="s">
        <v>48</v>
      </c>
      <c r="M6463" t="s">
        <v>166</v>
      </c>
      <c r="N6463">
        <v>1828</v>
      </c>
      <c r="O6463" s="14">
        <v>0.765832273755223</v>
      </c>
      <c r="P6463" s="14">
        <v>0.95530052832327805</v>
      </c>
      <c r="Q6463" t="str">
        <f t="shared" si="200"/>
        <v>&lt;01</v>
      </c>
      <c r="R6463" t="str">
        <f t="shared" si="201"/>
        <v>[fiRkU6gEjLz]|&lt;01|Male|NEW_INFECTIONS_SUBNAT.T|CY2024Q3</v>
      </c>
    </row>
    <row r="6464" spans="4:18" x14ac:dyDescent="0.2">
      <c r="D6464" t="s">
        <v>134</v>
      </c>
      <c r="E6464" t="s">
        <v>135</v>
      </c>
      <c r="F6464" t="s">
        <v>136</v>
      </c>
      <c r="G6464" t="s">
        <v>169</v>
      </c>
      <c r="H6464" t="s">
        <v>169</v>
      </c>
      <c r="I6464" t="s">
        <v>32</v>
      </c>
      <c r="J6464" t="s">
        <v>33</v>
      </c>
      <c r="K6464" t="s">
        <v>47</v>
      </c>
      <c r="L6464" t="s">
        <v>48</v>
      </c>
      <c r="M6464" t="s">
        <v>166</v>
      </c>
      <c r="N6464">
        <v>1462</v>
      </c>
      <c r="O6464" s="14">
        <v>0.628601216943935</v>
      </c>
      <c r="P6464" s="14">
        <v>0.95530052832327805</v>
      </c>
      <c r="Q6464" t="str">
        <f t="shared" si="200"/>
        <v>01-09</v>
      </c>
      <c r="R6464" t="str">
        <f t="shared" si="201"/>
        <v>[fiRkU6gEjLz]|01-09|Male|NEW_INFECTIONS_SUBNAT.T|CY2024Q3</v>
      </c>
    </row>
    <row r="6465" spans="4:18" x14ac:dyDescent="0.2">
      <c r="D6465" t="s">
        <v>134</v>
      </c>
      <c r="E6465" t="s">
        <v>135</v>
      </c>
      <c r="F6465" t="s">
        <v>136</v>
      </c>
      <c r="G6465" t="s">
        <v>169</v>
      </c>
      <c r="H6465" t="s">
        <v>169</v>
      </c>
      <c r="I6465" t="s">
        <v>35</v>
      </c>
      <c r="J6465" t="s">
        <v>36</v>
      </c>
      <c r="K6465" t="s">
        <v>47</v>
      </c>
      <c r="L6465" t="s">
        <v>48</v>
      </c>
      <c r="M6465" t="s">
        <v>166</v>
      </c>
      <c r="N6465">
        <v>1818</v>
      </c>
      <c r="O6465" s="14">
        <v>0.86819755262695297</v>
      </c>
      <c r="P6465" s="14">
        <v>0.95530052832327805</v>
      </c>
      <c r="Q6465" t="str">
        <f t="shared" si="200"/>
        <v>10-14</v>
      </c>
      <c r="R6465" t="str">
        <f t="shared" si="201"/>
        <v>[fiRkU6gEjLz]|10-14|Male|NEW_INFECTIONS_SUBNAT.T|CY2024Q3</v>
      </c>
    </row>
    <row r="6466" spans="4:18" x14ac:dyDescent="0.2">
      <c r="D6466" t="s">
        <v>134</v>
      </c>
      <c r="E6466" t="s">
        <v>135</v>
      </c>
      <c r="F6466" t="s">
        <v>136</v>
      </c>
      <c r="G6466" t="s">
        <v>169</v>
      </c>
      <c r="H6466" t="s">
        <v>169</v>
      </c>
      <c r="I6466" t="s">
        <v>37</v>
      </c>
      <c r="J6466" t="s">
        <v>38</v>
      </c>
      <c r="K6466" t="s">
        <v>47</v>
      </c>
      <c r="L6466" t="s">
        <v>48</v>
      </c>
      <c r="M6466" t="s">
        <v>166</v>
      </c>
      <c r="N6466">
        <v>592</v>
      </c>
      <c r="O6466" s="14">
        <v>5.5264713708311299E-2</v>
      </c>
      <c r="P6466" s="14">
        <v>0.95530052832327805</v>
      </c>
      <c r="Q6466" t="str">
        <f t="shared" ref="Q6466:Q6529" si="202">SUBSTITUTE(SUBSTITUTE($I6466,CHAR(61),""),CHAR(34),"")</f>
        <v>15-24</v>
      </c>
      <c r="R6466" t="str">
        <f t="shared" ref="R6466:R6529" si="203">IF($D6466&lt;&gt;"","["&amp;$E6466&amp;"]"&amp;"|"&amp;$Q6466&amp;"|"&amp;$K6466&amp;"|"&amp;$G6466&amp;"|"&amp;IF($G6466="TX_CURR_SUBNAT.R","CY2022Q4",$M6466),"")</f>
        <v>[fiRkU6gEjLz]|15-24|Male|NEW_INFECTIONS_SUBNAT.T|CY2024Q3</v>
      </c>
    </row>
    <row r="6467" spans="4:18" x14ac:dyDescent="0.2">
      <c r="D6467" t="s">
        <v>134</v>
      </c>
      <c r="E6467" t="s">
        <v>135</v>
      </c>
      <c r="F6467" t="s">
        <v>136</v>
      </c>
      <c r="G6467" t="s">
        <v>169</v>
      </c>
      <c r="H6467" t="s">
        <v>169</v>
      </c>
      <c r="I6467" t="s">
        <v>40</v>
      </c>
      <c r="J6467" t="s">
        <v>41</v>
      </c>
      <c r="K6467" t="s">
        <v>47</v>
      </c>
      <c r="L6467" t="s">
        <v>48</v>
      </c>
      <c r="M6467" t="s">
        <v>166</v>
      </c>
      <c r="N6467">
        <v>944</v>
      </c>
      <c r="O6467" s="14">
        <v>0.15557763003744199</v>
      </c>
      <c r="P6467" s="14">
        <v>0.95530052832327805</v>
      </c>
      <c r="Q6467" t="str">
        <f t="shared" si="202"/>
        <v>25-34</v>
      </c>
      <c r="R6467" t="str">
        <f t="shared" si="203"/>
        <v>[fiRkU6gEjLz]|25-34|Male|NEW_INFECTIONS_SUBNAT.T|CY2024Q3</v>
      </c>
    </row>
    <row r="6468" spans="4:18" x14ac:dyDescent="0.2">
      <c r="D6468" t="s">
        <v>134</v>
      </c>
      <c r="E6468" t="s">
        <v>135</v>
      </c>
      <c r="F6468" t="s">
        <v>136</v>
      </c>
      <c r="G6468" t="s">
        <v>169</v>
      </c>
      <c r="H6468" t="s">
        <v>169</v>
      </c>
      <c r="I6468" t="s">
        <v>42</v>
      </c>
      <c r="J6468" t="s">
        <v>43</v>
      </c>
      <c r="K6468" t="s">
        <v>47</v>
      </c>
      <c r="L6468" t="s">
        <v>48</v>
      </c>
      <c r="M6468" t="s">
        <v>166</v>
      </c>
      <c r="N6468">
        <v>1453</v>
      </c>
      <c r="O6468" s="14">
        <v>0.62621166626922797</v>
      </c>
      <c r="P6468" s="14">
        <v>0.95530052832327805</v>
      </c>
      <c r="Q6468" t="str">
        <f t="shared" si="202"/>
        <v>35-49</v>
      </c>
      <c r="R6468" t="str">
        <f t="shared" si="203"/>
        <v>[fiRkU6gEjLz]|35-49|Male|NEW_INFECTIONS_SUBNAT.T|CY2024Q3</v>
      </c>
    </row>
    <row r="6469" spans="4:18" x14ac:dyDescent="0.2">
      <c r="D6469" t="s">
        <v>134</v>
      </c>
      <c r="E6469" t="s">
        <v>135</v>
      </c>
      <c r="F6469" t="s">
        <v>136</v>
      </c>
      <c r="G6469" t="s">
        <v>169</v>
      </c>
      <c r="H6469" t="s">
        <v>169</v>
      </c>
      <c r="I6469" t="s">
        <v>44</v>
      </c>
      <c r="J6469" t="s">
        <v>45</v>
      </c>
      <c r="K6469" t="s">
        <v>47</v>
      </c>
      <c r="L6469" t="s">
        <v>48</v>
      </c>
      <c r="M6469" t="s">
        <v>166</v>
      </c>
      <c r="N6469">
        <v>1041</v>
      </c>
      <c r="O6469" s="14">
        <v>0.76420711260288998</v>
      </c>
      <c r="P6469" s="14">
        <v>0.95530052832327805</v>
      </c>
      <c r="Q6469" t="str">
        <f t="shared" si="202"/>
        <v>50+</v>
      </c>
      <c r="R6469" t="str">
        <f t="shared" si="203"/>
        <v>[fiRkU6gEjLz]|50+|Male|NEW_INFECTIONS_SUBNAT.T|CY2024Q3</v>
      </c>
    </row>
    <row r="6470" spans="4:18" x14ac:dyDescent="0.2">
      <c r="D6470" t="s">
        <v>22</v>
      </c>
      <c r="E6470" t="s">
        <v>23</v>
      </c>
      <c r="F6470" t="s">
        <v>24</v>
      </c>
      <c r="G6470" t="s">
        <v>170</v>
      </c>
      <c r="H6470" t="s">
        <v>171</v>
      </c>
      <c r="I6470" t="s">
        <v>27</v>
      </c>
      <c r="J6470" t="s">
        <v>28</v>
      </c>
      <c r="K6470" t="s">
        <v>29</v>
      </c>
      <c r="L6470" t="s">
        <v>30</v>
      </c>
      <c r="M6470" t="s">
        <v>172</v>
      </c>
      <c r="N6470">
        <v>1093</v>
      </c>
      <c r="O6470" s="14">
        <v>0.80426086834631905</v>
      </c>
      <c r="P6470" s="14">
        <v>0.40435861097648701</v>
      </c>
      <c r="Q6470" t="str">
        <f t="shared" si="202"/>
        <v>&lt;01</v>
      </c>
      <c r="R6470" t="str">
        <f t="shared" si="203"/>
        <v>[GkIwZrXy1h2]|&lt;01|Female|PLHIV_Residents.T2|CY2025Q3</v>
      </c>
    </row>
    <row r="6471" spans="4:18" x14ac:dyDescent="0.2">
      <c r="D6471" t="s">
        <v>22</v>
      </c>
      <c r="E6471" t="s">
        <v>23</v>
      </c>
      <c r="F6471" t="s">
        <v>24</v>
      </c>
      <c r="G6471" t="s">
        <v>170</v>
      </c>
      <c r="H6471" t="s">
        <v>171</v>
      </c>
      <c r="I6471" t="s">
        <v>32</v>
      </c>
      <c r="J6471" t="s">
        <v>33</v>
      </c>
      <c r="K6471" t="s">
        <v>29</v>
      </c>
      <c r="L6471" t="s">
        <v>30</v>
      </c>
      <c r="M6471" t="s">
        <v>172</v>
      </c>
      <c r="N6471">
        <v>536</v>
      </c>
      <c r="O6471" s="14">
        <v>0.35869185696355999</v>
      </c>
      <c r="P6471" s="14">
        <v>0.40435861097648701</v>
      </c>
      <c r="Q6471" t="str">
        <f t="shared" si="202"/>
        <v>01-09</v>
      </c>
      <c r="R6471" t="str">
        <f t="shared" si="203"/>
        <v>[GkIwZrXy1h2]|01-09|Female|PLHIV_Residents.T2|CY2025Q3</v>
      </c>
    </row>
    <row r="6472" spans="4:18" x14ac:dyDescent="0.2">
      <c r="D6472" t="s">
        <v>22</v>
      </c>
      <c r="E6472" t="s">
        <v>23</v>
      </c>
      <c r="F6472" t="s">
        <v>24</v>
      </c>
      <c r="G6472" t="s">
        <v>170</v>
      </c>
      <c r="H6472" t="s">
        <v>171</v>
      </c>
      <c r="I6472" t="s">
        <v>35</v>
      </c>
      <c r="J6472" t="s">
        <v>36</v>
      </c>
      <c r="K6472" t="s">
        <v>29</v>
      </c>
      <c r="L6472" t="s">
        <v>30</v>
      </c>
      <c r="M6472" t="s">
        <v>172</v>
      </c>
      <c r="N6472">
        <v>621</v>
      </c>
      <c r="O6472" s="14">
        <v>0.35135121224448101</v>
      </c>
      <c r="P6472" s="14">
        <v>0.40435861097648701</v>
      </c>
      <c r="Q6472" t="str">
        <f t="shared" si="202"/>
        <v>10-14</v>
      </c>
      <c r="R6472" t="str">
        <f t="shared" si="203"/>
        <v>[GkIwZrXy1h2]|10-14|Female|PLHIV_Residents.T2|CY2025Q3</v>
      </c>
    </row>
    <row r="6473" spans="4:18" x14ac:dyDescent="0.2">
      <c r="D6473" t="s">
        <v>22</v>
      </c>
      <c r="E6473" t="s">
        <v>23</v>
      </c>
      <c r="F6473" t="s">
        <v>24</v>
      </c>
      <c r="G6473" t="s">
        <v>170</v>
      </c>
      <c r="H6473" t="s">
        <v>171</v>
      </c>
      <c r="I6473" t="s">
        <v>37</v>
      </c>
      <c r="J6473" t="s">
        <v>38</v>
      </c>
      <c r="K6473" t="s">
        <v>29</v>
      </c>
      <c r="L6473" t="s">
        <v>30</v>
      </c>
      <c r="M6473" t="s">
        <v>172</v>
      </c>
      <c r="N6473">
        <v>1212</v>
      </c>
      <c r="O6473" s="14">
        <v>0.93593842978589203</v>
      </c>
      <c r="P6473" s="14">
        <v>0.40435861097648701</v>
      </c>
      <c r="Q6473" t="str">
        <f t="shared" si="202"/>
        <v>15-24</v>
      </c>
      <c r="R6473" t="str">
        <f t="shared" si="203"/>
        <v>[GkIwZrXy1h2]|15-24|Female|PLHIV_Residents.T2|CY2025Q3</v>
      </c>
    </row>
    <row r="6474" spans="4:18" x14ac:dyDescent="0.2">
      <c r="D6474" t="s">
        <v>22</v>
      </c>
      <c r="E6474" t="s">
        <v>23</v>
      </c>
      <c r="F6474" t="s">
        <v>24</v>
      </c>
      <c r="G6474" t="s">
        <v>170</v>
      </c>
      <c r="H6474" t="s">
        <v>171</v>
      </c>
      <c r="I6474" t="s">
        <v>40</v>
      </c>
      <c r="J6474" t="s">
        <v>41</v>
      </c>
      <c r="K6474" t="s">
        <v>29</v>
      </c>
      <c r="L6474" t="s">
        <v>30</v>
      </c>
      <c r="M6474" t="s">
        <v>172</v>
      </c>
      <c r="N6474">
        <v>967</v>
      </c>
      <c r="O6474" s="14">
        <v>0.37815321818925401</v>
      </c>
      <c r="P6474" s="14">
        <v>0.40435861097648701</v>
      </c>
      <c r="Q6474" t="str">
        <f t="shared" si="202"/>
        <v>25-34</v>
      </c>
      <c r="R6474" t="str">
        <f t="shared" si="203"/>
        <v>[GkIwZrXy1h2]|25-34|Female|PLHIV_Residents.T2|CY2025Q3</v>
      </c>
    </row>
    <row r="6475" spans="4:18" x14ac:dyDescent="0.2">
      <c r="D6475" t="s">
        <v>22</v>
      </c>
      <c r="E6475" t="s">
        <v>23</v>
      </c>
      <c r="F6475" t="s">
        <v>24</v>
      </c>
      <c r="G6475" t="s">
        <v>170</v>
      </c>
      <c r="H6475" t="s">
        <v>171</v>
      </c>
      <c r="I6475" t="s">
        <v>42</v>
      </c>
      <c r="J6475" t="s">
        <v>43</v>
      </c>
      <c r="K6475" t="s">
        <v>29</v>
      </c>
      <c r="L6475" t="s">
        <v>30</v>
      </c>
      <c r="M6475" t="s">
        <v>172</v>
      </c>
      <c r="N6475">
        <v>1172</v>
      </c>
      <c r="O6475" s="14">
        <v>0.86287006270140398</v>
      </c>
      <c r="P6475" s="14">
        <v>0.40435861097648701</v>
      </c>
      <c r="Q6475" t="str">
        <f t="shared" si="202"/>
        <v>35-49</v>
      </c>
      <c r="R6475" t="str">
        <f t="shared" si="203"/>
        <v>[GkIwZrXy1h2]|35-49|Female|PLHIV_Residents.T2|CY2025Q3</v>
      </c>
    </row>
    <row r="6476" spans="4:18" x14ac:dyDescent="0.2">
      <c r="D6476" t="s">
        <v>22</v>
      </c>
      <c r="E6476" t="s">
        <v>23</v>
      </c>
      <c r="F6476" t="s">
        <v>24</v>
      </c>
      <c r="G6476" t="s">
        <v>170</v>
      </c>
      <c r="H6476" t="s">
        <v>171</v>
      </c>
      <c r="I6476" t="s">
        <v>44</v>
      </c>
      <c r="J6476" t="s">
        <v>45</v>
      </c>
      <c r="K6476" t="s">
        <v>29</v>
      </c>
      <c r="L6476" t="s">
        <v>30</v>
      </c>
      <c r="M6476" t="s">
        <v>172</v>
      </c>
      <c r="N6476">
        <v>584</v>
      </c>
      <c r="O6476" s="14">
        <v>0.55975130526348904</v>
      </c>
      <c r="P6476" s="14">
        <v>0.40435861097648701</v>
      </c>
      <c r="Q6476" t="str">
        <f t="shared" si="202"/>
        <v>50+</v>
      </c>
      <c r="R6476" t="str">
        <f t="shared" si="203"/>
        <v>[GkIwZrXy1h2]|50+|Female|PLHIV_Residents.T2|CY2025Q3</v>
      </c>
    </row>
    <row r="6477" spans="4:18" x14ac:dyDescent="0.2">
      <c r="D6477" t="s">
        <v>22</v>
      </c>
      <c r="E6477" t="s">
        <v>23</v>
      </c>
      <c r="F6477" t="s">
        <v>24</v>
      </c>
      <c r="G6477" t="s">
        <v>170</v>
      </c>
      <c r="H6477" t="s">
        <v>171</v>
      </c>
      <c r="I6477" t="s">
        <v>27</v>
      </c>
      <c r="J6477" t="s">
        <v>28</v>
      </c>
      <c r="K6477" t="s">
        <v>47</v>
      </c>
      <c r="L6477" t="s">
        <v>48</v>
      </c>
      <c r="M6477" t="s">
        <v>172</v>
      </c>
      <c r="N6477">
        <v>1933</v>
      </c>
      <c r="O6477" s="14">
        <v>0.37522983225062501</v>
      </c>
      <c r="P6477" s="14">
        <v>0.40435861097648701</v>
      </c>
      <c r="Q6477" t="str">
        <f t="shared" si="202"/>
        <v>&lt;01</v>
      </c>
      <c r="R6477" t="str">
        <f t="shared" si="203"/>
        <v>[GkIwZrXy1h2]|&lt;01|Male|PLHIV_Residents.T2|CY2025Q3</v>
      </c>
    </row>
    <row r="6478" spans="4:18" x14ac:dyDescent="0.2">
      <c r="D6478" t="s">
        <v>22</v>
      </c>
      <c r="E6478" t="s">
        <v>23</v>
      </c>
      <c r="F6478" t="s">
        <v>24</v>
      </c>
      <c r="G6478" t="s">
        <v>170</v>
      </c>
      <c r="H6478" t="s">
        <v>171</v>
      </c>
      <c r="I6478" t="s">
        <v>32</v>
      </c>
      <c r="J6478" t="s">
        <v>33</v>
      </c>
      <c r="K6478" t="s">
        <v>47</v>
      </c>
      <c r="L6478" t="s">
        <v>48</v>
      </c>
      <c r="M6478" t="s">
        <v>172</v>
      </c>
      <c r="N6478">
        <v>1902</v>
      </c>
      <c r="O6478" s="14">
        <v>0.57024408481083799</v>
      </c>
      <c r="P6478" s="14">
        <v>0.40435861097648701</v>
      </c>
      <c r="Q6478" t="str">
        <f t="shared" si="202"/>
        <v>01-09</v>
      </c>
      <c r="R6478" t="str">
        <f t="shared" si="203"/>
        <v>[GkIwZrXy1h2]|01-09|Male|PLHIV_Residents.T2|CY2025Q3</v>
      </c>
    </row>
    <row r="6479" spans="4:18" x14ac:dyDescent="0.2">
      <c r="D6479" t="s">
        <v>22</v>
      </c>
      <c r="E6479" t="s">
        <v>23</v>
      </c>
      <c r="F6479" t="s">
        <v>24</v>
      </c>
      <c r="G6479" t="s">
        <v>170</v>
      </c>
      <c r="H6479" t="s">
        <v>171</v>
      </c>
      <c r="I6479" t="s">
        <v>35</v>
      </c>
      <c r="J6479" t="s">
        <v>36</v>
      </c>
      <c r="K6479" t="s">
        <v>47</v>
      </c>
      <c r="L6479" t="s">
        <v>48</v>
      </c>
      <c r="M6479" t="s">
        <v>172</v>
      </c>
      <c r="N6479">
        <v>1146</v>
      </c>
      <c r="O6479" s="14">
        <v>0.88601658842526398</v>
      </c>
      <c r="P6479" s="14">
        <v>0.40435861097648701</v>
      </c>
      <c r="Q6479" t="str">
        <f t="shared" si="202"/>
        <v>10-14</v>
      </c>
      <c r="R6479" t="str">
        <f t="shared" si="203"/>
        <v>[GkIwZrXy1h2]|10-14|Male|PLHIV_Residents.T2|CY2025Q3</v>
      </c>
    </row>
    <row r="6480" spans="4:18" x14ac:dyDescent="0.2">
      <c r="D6480" t="s">
        <v>22</v>
      </c>
      <c r="E6480" t="s">
        <v>23</v>
      </c>
      <c r="F6480" t="s">
        <v>24</v>
      </c>
      <c r="G6480" t="s">
        <v>170</v>
      </c>
      <c r="H6480" t="s">
        <v>171</v>
      </c>
      <c r="I6480" t="s">
        <v>37</v>
      </c>
      <c r="J6480" t="s">
        <v>38</v>
      </c>
      <c r="K6480" t="s">
        <v>47</v>
      </c>
      <c r="L6480" t="s">
        <v>48</v>
      </c>
      <c r="M6480" t="s">
        <v>172</v>
      </c>
      <c r="N6480">
        <v>586</v>
      </c>
      <c r="O6480" s="14">
        <v>0.56207694066688396</v>
      </c>
      <c r="P6480" s="14">
        <v>0.40435861097648701</v>
      </c>
      <c r="Q6480" t="str">
        <f t="shared" si="202"/>
        <v>15-24</v>
      </c>
      <c r="R6480" t="str">
        <f t="shared" si="203"/>
        <v>[GkIwZrXy1h2]|15-24|Male|PLHIV_Residents.T2|CY2025Q3</v>
      </c>
    </row>
    <row r="6481" spans="4:18" x14ac:dyDescent="0.2">
      <c r="D6481" t="s">
        <v>22</v>
      </c>
      <c r="E6481" t="s">
        <v>23</v>
      </c>
      <c r="F6481" t="s">
        <v>24</v>
      </c>
      <c r="G6481" t="s">
        <v>170</v>
      </c>
      <c r="H6481" t="s">
        <v>171</v>
      </c>
      <c r="I6481" t="s">
        <v>40</v>
      </c>
      <c r="J6481" t="s">
        <v>41</v>
      </c>
      <c r="K6481" t="s">
        <v>47</v>
      </c>
      <c r="L6481" t="s">
        <v>48</v>
      </c>
      <c r="M6481" t="s">
        <v>172</v>
      </c>
      <c r="N6481">
        <v>536</v>
      </c>
      <c r="O6481" s="14">
        <v>0.50526066799648095</v>
      </c>
      <c r="P6481" s="14">
        <v>0.40435861097648701</v>
      </c>
      <c r="Q6481" t="str">
        <f t="shared" si="202"/>
        <v>25-34</v>
      </c>
      <c r="R6481" t="str">
        <f t="shared" si="203"/>
        <v>[GkIwZrXy1h2]|25-34|Male|PLHIV_Residents.T2|CY2025Q3</v>
      </c>
    </row>
    <row r="6482" spans="4:18" x14ac:dyDescent="0.2">
      <c r="D6482" t="s">
        <v>22</v>
      </c>
      <c r="E6482" t="s">
        <v>23</v>
      </c>
      <c r="F6482" t="s">
        <v>24</v>
      </c>
      <c r="G6482" t="s">
        <v>170</v>
      </c>
      <c r="H6482" t="s">
        <v>171</v>
      </c>
      <c r="I6482" t="s">
        <v>42</v>
      </c>
      <c r="J6482" t="s">
        <v>43</v>
      </c>
      <c r="K6482" t="s">
        <v>47</v>
      </c>
      <c r="L6482" t="s">
        <v>48</v>
      </c>
      <c r="M6482" t="s">
        <v>172</v>
      </c>
      <c r="N6482">
        <v>1125</v>
      </c>
      <c r="O6482" s="14">
        <v>2.0544159924611401E-2</v>
      </c>
      <c r="P6482" s="14">
        <v>0.40435861097648701</v>
      </c>
      <c r="Q6482" t="str">
        <f t="shared" si="202"/>
        <v>35-49</v>
      </c>
      <c r="R6482" t="str">
        <f t="shared" si="203"/>
        <v>[GkIwZrXy1h2]|35-49|Male|PLHIV_Residents.T2|CY2025Q3</v>
      </c>
    </row>
    <row r="6483" spans="4:18" x14ac:dyDescent="0.2">
      <c r="D6483" t="s">
        <v>22</v>
      </c>
      <c r="E6483" t="s">
        <v>23</v>
      </c>
      <c r="F6483" t="s">
        <v>24</v>
      </c>
      <c r="G6483" t="s">
        <v>170</v>
      </c>
      <c r="H6483" t="s">
        <v>171</v>
      </c>
      <c r="I6483" t="s">
        <v>44</v>
      </c>
      <c r="J6483" t="s">
        <v>45</v>
      </c>
      <c r="K6483" t="s">
        <v>47</v>
      </c>
      <c r="L6483" t="s">
        <v>48</v>
      </c>
      <c r="M6483" t="s">
        <v>172</v>
      </c>
      <c r="N6483">
        <v>1680</v>
      </c>
      <c r="O6483" s="14">
        <v>0.90590778691694096</v>
      </c>
      <c r="P6483" s="14">
        <v>0.40435861097648701</v>
      </c>
      <c r="Q6483" t="str">
        <f t="shared" si="202"/>
        <v>50+</v>
      </c>
      <c r="R6483" t="str">
        <f t="shared" si="203"/>
        <v>[GkIwZrXy1h2]|50+|Male|PLHIV_Residents.T2|CY2025Q3</v>
      </c>
    </row>
    <row r="6484" spans="4:18" x14ac:dyDescent="0.2">
      <c r="D6484" t="s">
        <v>52</v>
      </c>
      <c r="E6484" t="s">
        <v>53</v>
      </c>
      <c r="F6484" t="s">
        <v>54</v>
      </c>
      <c r="G6484" t="s">
        <v>170</v>
      </c>
      <c r="H6484" t="s">
        <v>171</v>
      </c>
      <c r="I6484" t="s">
        <v>27</v>
      </c>
      <c r="J6484" t="s">
        <v>28</v>
      </c>
      <c r="K6484" t="s">
        <v>29</v>
      </c>
      <c r="L6484" t="s">
        <v>30</v>
      </c>
      <c r="M6484" t="s">
        <v>172</v>
      </c>
      <c r="N6484">
        <v>1241</v>
      </c>
      <c r="O6484" s="14">
        <v>0.41179152531549301</v>
      </c>
      <c r="P6484" s="14">
        <v>0.61639246996492103</v>
      </c>
      <c r="Q6484" t="str">
        <f t="shared" si="202"/>
        <v>&lt;01</v>
      </c>
      <c r="R6484" t="str">
        <f t="shared" si="203"/>
        <v>[zphK9WV8JB4]|&lt;01|Female|PLHIV_Residents.T2|CY2025Q3</v>
      </c>
    </row>
    <row r="6485" spans="4:18" x14ac:dyDescent="0.2">
      <c r="D6485" t="s">
        <v>52</v>
      </c>
      <c r="E6485" t="s">
        <v>53</v>
      </c>
      <c r="F6485" t="s">
        <v>54</v>
      </c>
      <c r="G6485" t="s">
        <v>170</v>
      </c>
      <c r="H6485" t="s">
        <v>171</v>
      </c>
      <c r="I6485" t="s">
        <v>32</v>
      </c>
      <c r="J6485" t="s">
        <v>33</v>
      </c>
      <c r="K6485" t="s">
        <v>29</v>
      </c>
      <c r="L6485" t="s">
        <v>30</v>
      </c>
      <c r="M6485" t="s">
        <v>172</v>
      </c>
      <c r="N6485">
        <v>1598</v>
      </c>
      <c r="O6485" s="14">
        <v>0.686725972918794</v>
      </c>
      <c r="P6485" s="14">
        <v>0.61639246996492103</v>
      </c>
      <c r="Q6485" t="str">
        <f t="shared" si="202"/>
        <v>01-09</v>
      </c>
      <c r="R6485" t="str">
        <f t="shared" si="203"/>
        <v>[zphK9WV8JB4]|01-09|Female|PLHIV_Residents.T2|CY2025Q3</v>
      </c>
    </row>
    <row r="6486" spans="4:18" x14ac:dyDescent="0.2">
      <c r="D6486" t="s">
        <v>52</v>
      </c>
      <c r="E6486" t="s">
        <v>53</v>
      </c>
      <c r="F6486" t="s">
        <v>54</v>
      </c>
      <c r="G6486" t="s">
        <v>170</v>
      </c>
      <c r="H6486" t="s">
        <v>171</v>
      </c>
      <c r="I6486" t="s">
        <v>35</v>
      </c>
      <c r="J6486" t="s">
        <v>36</v>
      </c>
      <c r="K6486" t="s">
        <v>29</v>
      </c>
      <c r="L6486" t="s">
        <v>30</v>
      </c>
      <c r="M6486" t="s">
        <v>172</v>
      </c>
      <c r="N6486">
        <v>1171</v>
      </c>
      <c r="O6486" s="14">
        <v>0.68929816246964004</v>
      </c>
      <c r="P6486" s="14">
        <v>0.61639246996492103</v>
      </c>
      <c r="Q6486" t="str">
        <f t="shared" si="202"/>
        <v>10-14</v>
      </c>
      <c r="R6486" t="str">
        <f t="shared" si="203"/>
        <v>[zphK9WV8JB4]|10-14|Female|PLHIV_Residents.T2|CY2025Q3</v>
      </c>
    </row>
    <row r="6487" spans="4:18" x14ac:dyDescent="0.2">
      <c r="D6487" t="s">
        <v>52</v>
      </c>
      <c r="E6487" t="s">
        <v>53</v>
      </c>
      <c r="F6487" t="s">
        <v>54</v>
      </c>
      <c r="G6487" t="s">
        <v>170</v>
      </c>
      <c r="H6487" t="s">
        <v>171</v>
      </c>
      <c r="I6487" t="s">
        <v>37</v>
      </c>
      <c r="J6487" t="s">
        <v>38</v>
      </c>
      <c r="K6487" t="s">
        <v>29</v>
      </c>
      <c r="L6487" t="s">
        <v>30</v>
      </c>
      <c r="M6487" t="s">
        <v>172</v>
      </c>
      <c r="N6487">
        <v>1796</v>
      </c>
      <c r="O6487" s="14">
        <v>0.55728306109085701</v>
      </c>
      <c r="P6487" s="14">
        <v>0.61639246996492103</v>
      </c>
      <c r="Q6487" t="str">
        <f t="shared" si="202"/>
        <v>15-24</v>
      </c>
      <c r="R6487" t="str">
        <f t="shared" si="203"/>
        <v>[zphK9WV8JB4]|15-24|Female|PLHIV_Residents.T2|CY2025Q3</v>
      </c>
    </row>
    <row r="6488" spans="4:18" x14ac:dyDescent="0.2">
      <c r="D6488" t="s">
        <v>52</v>
      </c>
      <c r="E6488" t="s">
        <v>53</v>
      </c>
      <c r="F6488" t="s">
        <v>54</v>
      </c>
      <c r="G6488" t="s">
        <v>170</v>
      </c>
      <c r="H6488" t="s">
        <v>171</v>
      </c>
      <c r="I6488" t="s">
        <v>40</v>
      </c>
      <c r="J6488" t="s">
        <v>41</v>
      </c>
      <c r="K6488" t="s">
        <v>29</v>
      </c>
      <c r="L6488" t="s">
        <v>30</v>
      </c>
      <c r="M6488" t="s">
        <v>172</v>
      </c>
      <c r="N6488">
        <v>1456</v>
      </c>
      <c r="O6488" s="14">
        <v>0.99580884468741704</v>
      </c>
      <c r="P6488" s="14">
        <v>0.61639246996492103</v>
      </c>
      <c r="Q6488" t="str">
        <f t="shared" si="202"/>
        <v>25-34</v>
      </c>
      <c r="R6488" t="str">
        <f t="shared" si="203"/>
        <v>[zphK9WV8JB4]|25-34|Female|PLHIV_Residents.T2|CY2025Q3</v>
      </c>
    </row>
    <row r="6489" spans="4:18" x14ac:dyDescent="0.2">
      <c r="D6489" t="s">
        <v>52</v>
      </c>
      <c r="E6489" t="s">
        <v>53</v>
      </c>
      <c r="F6489" t="s">
        <v>54</v>
      </c>
      <c r="G6489" t="s">
        <v>170</v>
      </c>
      <c r="H6489" t="s">
        <v>171</v>
      </c>
      <c r="I6489" t="s">
        <v>42</v>
      </c>
      <c r="J6489" t="s">
        <v>43</v>
      </c>
      <c r="K6489" t="s">
        <v>29</v>
      </c>
      <c r="L6489" t="s">
        <v>30</v>
      </c>
      <c r="M6489" t="s">
        <v>172</v>
      </c>
      <c r="N6489">
        <v>996</v>
      </c>
      <c r="O6489" s="14">
        <v>1.0844446485862099E-2</v>
      </c>
      <c r="P6489" s="14">
        <v>0.61639246996492103</v>
      </c>
      <c r="Q6489" t="str">
        <f t="shared" si="202"/>
        <v>35-49</v>
      </c>
      <c r="R6489" t="str">
        <f t="shared" si="203"/>
        <v>[zphK9WV8JB4]|35-49|Female|PLHIV_Residents.T2|CY2025Q3</v>
      </c>
    </row>
    <row r="6490" spans="4:18" x14ac:dyDescent="0.2">
      <c r="D6490" t="s">
        <v>52</v>
      </c>
      <c r="E6490" t="s">
        <v>53</v>
      </c>
      <c r="F6490" t="s">
        <v>54</v>
      </c>
      <c r="G6490" t="s">
        <v>170</v>
      </c>
      <c r="H6490" t="s">
        <v>171</v>
      </c>
      <c r="I6490" t="s">
        <v>44</v>
      </c>
      <c r="J6490" t="s">
        <v>45</v>
      </c>
      <c r="K6490" t="s">
        <v>29</v>
      </c>
      <c r="L6490" t="s">
        <v>30</v>
      </c>
      <c r="M6490" t="s">
        <v>172</v>
      </c>
      <c r="N6490">
        <v>1275</v>
      </c>
      <c r="O6490" s="14">
        <v>0.88242466934025299</v>
      </c>
      <c r="P6490" s="14">
        <v>0.61639246996492103</v>
      </c>
      <c r="Q6490" t="str">
        <f t="shared" si="202"/>
        <v>50+</v>
      </c>
      <c r="R6490" t="str">
        <f t="shared" si="203"/>
        <v>[zphK9WV8JB4]|50+|Female|PLHIV_Residents.T2|CY2025Q3</v>
      </c>
    </row>
    <row r="6491" spans="4:18" x14ac:dyDescent="0.2">
      <c r="D6491" t="s">
        <v>52</v>
      </c>
      <c r="E6491" t="s">
        <v>53</v>
      </c>
      <c r="F6491" t="s">
        <v>54</v>
      </c>
      <c r="G6491" t="s">
        <v>170</v>
      </c>
      <c r="H6491" t="s">
        <v>171</v>
      </c>
      <c r="I6491" t="s">
        <v>27</v>
      </c>
      <c r="J6491" t="s">
        <v>28</v>
      </c>
      <c r="K6491" t="s">
        <v>47</v>
      </c>
      <c r="L6491" t="s">
        <v>48</v>
      </c>
      <c r="M6491" t="s">
        <v>172</v>
      </c>
      <c r="N6491">
        <v>1527</v>
      </c>
      <c r="O6491" s="14">
        <v>0.75229126075282704</v>
      </c>
      <c r="P6491" s="14">
        <v>0.61639246996492103</v>
      </c>
      <c r="Q6491" t="str">
        <f t="shared" si="202"/>
        <v>&lt;01</v>
      </c>
      <c r="R6491" t="str">
        <f t="shared" si="203"/>
        <v>[zphK9WV8JB4]|&lt;01|Male|PLHIV_Residents.T2|CY2025Q3</v>
      </c>
    </row>
    <row r="6492" spans="4:18" x14ac:dyDescent="0.2">
      <c r="D6492" t="s">
        <v>52</v>
      </c>
      <c r="E6492" t="s">
        <v>53</v>
      </c>
      <c r="F6492" t="s">
        <v>54</v>
      </c>
      <c r="G6492" t="s">
        <v>170</v>
      </c>
      <c r="H6492" t="s">
        <v>171</v>
      </c>
      <c r="I6492" t="s">
        <v>32</v>
      </c>
      <c r="J6492" t="s">
        <v>33</v>
      </c>
      <c r="K6492" t="s">
        <v>47</v>
      </c>
      <c r="L6492" t="s">
        <v>48</v>
      </c>
      <c r="M6492" t="s">
        <v>172</v>
      </c>
      <c r="N6492">
        <v>1873</v>
      </c>
      <c r="O6492" s="14">
        <v>0.83355872752144899</v>
      </c>
      <c r="P6492" s="14">
        <v>0.61639246996492103</v>
      </c>
      <c r="Q6492" t="str">
        <f t="shared" si="202"/>
        <v>01-09</v>
      </c>
      <c r="R6492" t="str">
        <f t="shared" si="203"/>
        <v>[zphK9WV8JB4]|01-09|Male|PLHIV_Residents.T2|CY2025Q3</v>
      </c>
    </row>
    <row r="6493" spans="4:18" x14ac:dyDescent="0.2">
      <c r="D6493" t="s">
        <v>52</v>
      </c>
      <c r="E6493" t="s">
        <v>53</v>
      </c>
      <c r="F6493" t="s">
        <v>54</v>
      </c>
      <c r="G6493" t="s">
        <v>170</v>
      </c>
      <c r="H6493" t="s">
        <v>171</v>
      </c>
      <c r="I6493" t="s">
        <v>35</v>
      </c>
      <c r="J6493" t="s">
        <v>36</v>
      </c>
      <c r="K6493" t="s">
        <v>47</v>
      </c>
      <c r="L6493" t="s">
        <v>48</v>
      </c>
      <c r="M6493" t="s">
        <v>172</v>
      </c>
      <c r="N6493">
        <v>538</v>
      </c>
      <c r="O6493" s="14">
        <v>4.94808731600642E-2</v>
      </c>
      <c r="P6493" s="14">
        <v>0.61639246996492103</v>
      </c>
      <c r="Q6493" t="str">
        <f t="shared" si="202"/>
        <v>10-14</v>
      </c>
      <c r="R6493" t="str">
        <f t="shared" si="203"/>
        <v>[zphK9WV8JB4]|10-14|Male|PLHIV_Residents.T2|CY2025Q3</v>
      </c>
    </row>
    <row r="6494" spans="4:18" x14ac:dyDescent="0.2">
      <c r="D6494" t="s">
        <v>52</v>
      </c>
      <c r="E6494" t="s">
        <v>53</v>
      </c>
      <c r="F6494" t="s">
        <v>54</v>
      </c>
      <c r="G6494" t="s">
        <v>170</v>
      </c>
      <c r="H6494" t="s">
        <v>171</v>
      </c>
      <c r="I6494" t="s">
        <v>37</v>
      </c>
      <c r="J6494" t="s">
        <v>38</v>
      </c>
      <c r="K6494" t="s">
        <v>47</v>
      </c>
      <c r="L6494" t="s">
        <v>48</v>
      </c>
      <c r="M6494" t="s">
        <v>172</v>
      </c>
      <c r="N6494">
        <v>1957</v>
      </c>
      <c r="O6494" s="14">
        <v>0.41094134585000602</v>
      </c>
      <c r="P6494" s="14">
        <v>0.61639246996492103</v>
      </c>
      <c r="Q6494" t="str">
        <f t="shared" si="202"/>
        <v>15-24</v>
      </c>
      <c r="R6494" t="str">
        <f t="shared" si="203"/>
        <v>[zphK9WV8JB4]|15-24|Male|PLHIV_Residents.T2|CY2025Q3</v>
      </c>
    </row>
    <row r="6495" spans="4:18" x14ac:dyDescent="0.2">
      <c r="D6495" t="s">
        <v>52</v>
      </c>
      <c r="E6495" t="s">
        <v>53</v>
      </c>
      <c r="F6495" t="s">
        <v>54</v>
      </c>
      <c r="G6495" t="s">
        <v>170</v>
      </c>
      <c r="H6495" t="s">
        <v>171</v>
      </c>
      <c r="I6495" t="s">
        <v>40</v>
      </c>
      <c r="J6495" t="s">
        <v>41</v>
      </c>
      <c r="K6495" t="s">
        <v>47</v>
      </c>
      <c r="L6495" t="s">
        <v>48</v>
      </c>
      <c r="M6495" t="s">
        <v>172</v>
      </c>
      <c r="N6495">
        <v>1680</v>
      </c>
      <c r="O6495" s="14">
        <v>0.71192549192346599</v>
      </c>
      <c r="P6495" s="14">
        <v>0.61639246996492103</v>
      </c>
      <c r="Q6495" t="str">
        <f t="shared" si="202"/>
        <v>25-34</v>
      </c>
      <c r="R6495" t="str">
        <f t="shared" si="203"/>
        <v>[zphK9WV8JB4]|25-34|Male|PLHIV_Residents.T2|CY2025Q3</v>
      </c>
    </row>
    <row r="6496" spans="4:18" x14ac:dyDescent="0.2">
      <c r="D6496" t="s">
        <v>52</v>
      </c>
      <c r="E6496" t="s">
        <v>53</v>
      </c>
      <c r="F6496" t="s">
        <v>54</v>
      </c>
      <c r="G6496" t="s">
        <v>170</v>
      </c>
      <c r="H6496" t="s">
        <v>171</v>
      </c>
      <c r="I6496" t="s">
        <v>42</v>
      </c>
      <c r="J6496" t="s">
        <v>43</v>
      </c>
      <c r="K6496" t="s">
        <v>47</v>
      </c>
      <c r="L6496" t="s">
        <v>48</v>
      </c>
      <c r="M6496" t="s">
        <v>172</v>
      </c>
      <c r="N6496">
        <v>1170</v>
      </c>
      <c r="O6496" s="14">
        <v>0.60290847066789899</v>
      </c>
      <c r="P6496" s="14">
        <v>0.61639246996492103</v>
      </c>
      <c r="Q6496" t="str">
        <f t="shared" si="202"/>
        <v>35-49</v>
      </c>
      <c r="R6496" t="str">
        <f t="shared" si="203"/>
        <v>[zphK9WV8JB4]|35-49|Male|PLHIV_Residents.T2|CY2025Q3</v>
      </c>
    </row>
    <row r="6497" spans="4:18" x14ac:dyDescent="0.2">
      <c r="D6497" t="s">
        <v>52</v>
      </c>
      <c r="E6497" t="s">
        <v>53</v>
      </c>
      <c r="F6497" t="s">
        <v>54</v>
      </c>
      <c r="G6497" t="s">
        <v>170</v>
      </c>
      <c r="H6497" t="s">
        <v>171</v>
      </c>
      <c r="I6497" t="s">
        <v>44</v>
      </c>
      <c r="J6497" t="s">
        <v>45</v>
      </c>
      <c r="K6497" t="s">
        <v>47</v>
      </c>
      <c r="L6497" t="s">
        <v>48</v>
      </c>
      <c r="M6497" t="s">
        <v>172</v>
      </c>
      <c r="N6497">
        <v>1082</v>
      </c>
      <c r="O6497" s="14">
        <v>0.78838736820034705</v>
      </c>
      <c r="P6497" s="14">
        <v>0.61639246996492103</v>
      </c>
      <c r="Q6497" t="str">
        <f t="shared" si="202"/>
        <v>50+</v>
      </c>
      <c r="R6497" t="str">
        <f t="shared" si="203"/>
        <v>[zphK9WV8JB4]|50+|Male|PLHIV_Residents.T2|CY2025Q3</v>
      </c>
    </row>
    <row r="6498" spans="4:18" x14ac:dyDescent="0.2">
      <c r="D6498" t="s">
        <v>59</v>
      </c>
      <c r="E6498" t="s">
        <v>60</v>
      </c>
      <c r="F6498" t="s">
        <v>61</v>
      </c>
      <c r="G6498" t="s">
        <v>170</v>
      </c>
      <c r="H6498" t="s">
        <v>171</v>
      </c>
      <c r="I6498" t="s">
        <v>27</v>
      </c>
      <c r="J6498" t="s">
        <v>28</v>
      </c>
      <c r="K6498" t="s">
        <v>29</v>
      </c>
      <c r="L6498" t="s">
        <v>30</v>
      </c>
      <c r="M6498" t="s">
        <v>172</v>
      </c>
      <c r="N6498">
        <v>935</v>
      </c>
      <c r="O6498" s="14">
        <v>0.56529067247174702</v>
      </c>
      <c r="P6498" s="14">
        <v>2.6825056178495298E-2</v>
      </c>
      <c r="Q6498" t="str">
        <f t="shared" si="202"/>
        <v>&lt;01</v>
      </c>
      <c r="R6498" t="str">
        <f t="shared" si="203"/>
        <v>[msW2zpIN7up]|&lt;01|Female|PLHIV_Residents.T2|CY2025Q3</v>
      </c>
    </row>
    <row r="6499" spans="4:18" x14ac:dyDescent="0.2">
      <c r="D6499" t="s">
        <v>59</v>
      </c>
      <c r="E6499" t="s">
        <v>60</v>
      </c>
      <c r="F6499" t="s">
        <v>61</v>
      </c>
      <c r="G6499" t="s">
        <v>170</v>
      </c>
      <c r="H6499" t="s">
        <v>171</v>
      </c>
      <c r="I6499" t="s">
        <v>32</v>
      </c>
      <c r="J6499" t="s">
        <v>33</v>
      </c>
      <c r="K6499" t="s">
        <v>29</v>
      </c>
      <c r="L6499" t="s">
        <v>30</v>
      </c>
      <c r="M6499" t="s">
        <v>172</v>
      </c>
      <c r="N6499">
        <v>806</v>
      </c>
      <c r="O6499" s="14">
        <v>0.21268244530074301</v>
      </c>
      <c r="P6499" s="14">
        <v>2.6825056178495298E-2</v>
      </c>
      <c r="Q6499" t="str">
        <f t="shared" si="202"/>
        <v>01-09</v>
      </c>
      <c r="R6499" t="str">
        <f t="shared" si="203"/>
        <v>[msW2zpIN7up]|01-09|Female|PLHIV_Residents.T2|CY2025Q3</v>
      </c>
    </row>
    <row r="6500" spans="4:18" x14ac:dyDescent="0.2">
      <c r="D6500" t="s">
        <v>59</v>
      </c>
      <c r="E6500" t="s">
        <v>60</v>
      </c>
      <c r="F6500" t="s">
        <v>61</v>
      </c>
      <c r="G6500" t="s">
        <v>170</v>
      </c>
      <c r="H6500" t="s">
        <v>171</v>
      </c>
      <c r="I6500" t="s">
        <v>35</v>
      </c>
      <c r="J6500" t="s">
        <v>36</v>
      </c>
      <c r="K6500" t="s">
        <v>29</v>
      </c>
      <c r="L6500" t="s">
        <v>30</v>
      </c>
      <c r="M6500" t="s">
        <v>172</v>
      </c>
      <c r="N6500">
        <v>666</v>
      </c>
      <c r="O6500" s="14">
        <v>0.32323718490079001</v>
      </c>
      <c r="P6500" s="14">
        <v>2.6825056178495298E-2</v>
      </c>
      <c r="Q6500" t="str">
        <f t="shared" si="202"/>
        <v>10-14</v>
      </c>
      <c r="R6500" t="str">
        <f t="shared" si="203"/>
        <v>[msW2zpIN7up]|10-14|Female|PLHIV_Residents.T2|CY2025Q3</v>
      </c>
    </row>
    <row r="6501" spans="4:18" x14ac:dyDescent="0.2">
      <c r="D6501" t="s">
        <v>59</v>
      </c>
      <c r="E6501" t="s">
        <v>60</v>
      </c>
      <c r="F6501" t="s">
        <v>61</v>
      </c>
      <c r="G6501" t="s">
        <v>170</v>
      </c>
      <c r="H6501" t="s">
        <v>171</v>
      </c>
      <c r="I6501" t="s">
        <v>37</v>
      </c>
      <c r="J6501" t="s">
        <v>38</v>
      </c>
      <c r="K6501" t="s">
        <v>29</v>
      </c>
      <c r="L6501" t="s">
        <v>30</v>
      </c>
      <c r="M6501" t="s">
        <v>172</v>
      </c>
      <c r="N6501">
        <v>1297</v>
      </c>
      <c r="O6501" s="14">
        <v>0.216683585196733</v>
      </c>
      <c r="P6501" s="14">
        <v>2.6825056178495298E-2</v>
      </c>
      <c r="Q6501" t="str">
        <f t="shared" si="202"/>
        <v>15-24</v>
      </c>
      <c r="R6501" t="str">
        <f t="shared" si="203"/>
        <v>[msW2zpIN7up]|15-24|Female|PLHIV_Residents.T2|CY2025Q3</v>
      </c>
    </row>
    <row r="6502" spans="4:18" x14ac:dyDescent="0.2">
      <c r="D6502" t="s">
        <v>59</v>
      </c>
      <c r="E6502" t="s">
        <v>60</v>
      </c>
      <c r="F6502" t="s">
        <v>61</v>
      </c>
      <c r="G6502" t="s">
        <v>170</v>
      </c>
      <c r="H6502" t="s">
        <v>171</v>
      </c>
      <c r="I6502" t="s">
        <v>40</v>
      </c>
      <c r="J6502" t="s">
        <v>41</v>
      </c>
      <c r="K6502" t="s">
        <v>29</v>
      </c>
      <c r="L6502" t="s">
        <v>30</v>
      </c>
      <c r="M6502" t="s">
        <v>172</v>
      </c>
      <c r="N6502">
        <v>1975</v>
      </c>
      <c r="O6502" s="14">
        <v>0.48260970041155798</v>
      </c>
      <c r="P6502" s="14">
        <v>2.6825056178495298E-2</v>
      </c>
      <c r="Q6502" t="str">
        <f t="shared" si="202"/>
        <v>25-34</v>
      </c>
      <c r="R6502" t="str">
        <f t="shared" si="203"/>
        <v>[msW2zpIN7up]|25-34|Female|PLHIV_Residents.T2|CY2025Q3</v>
      </c>
    </row>
    <row r="6503" spans="4:18" x14ac:dyDescent="0.2">
      <c r="D6503" t="s">
        <v>59</v>
      </c>
      <c r="E6503" t="s">
        <v>60</v>
      </c>
      <c r="F6503" t="s">
        <v>61</v>
      </c>
      <c r="G6503" t="s">
        <v>170</v>
      </c>
      <c r="H6503" t="s">
        <v>171</v>
      </c>
      <c r="I6503" t="s">
        <v>42</v>
      </c>
      <c r="J6503" t="s">
        <v>43</v>
      </c>
      <c r="K6503" t="s">
        <v>29</v>
      </c>
      <c r="L6503" t="s">
        <v>30</v>
      </c>
      <c r="M6503" t="s">
        <v>172</v>
      </c>
      <c r="N6503">
        <v>1196</v>
      </c>
      <c r="O6503" s="14">
        <v>0.55794518347829603</v>
      </c>
      <c r="P6503" s="14">
        <v>2.6825056178495298E-2</v>
      </c>
      <c r="Q6503" t="str">
        <f t="shared" si="202"/>
        <v>35-49</v>
      </c>
      <c r="R6503" t="str">
        <f t="shared" si="203"/>
        <v>[msW2zpIN7up]|35-49|Female|PLHIV_Residents.T2|CY2025Q3</v>
      </c>
    </row>
    <row r="6504" spans="4:18" x14ac:dyDescent="0.2">
      <c r="D6504" t="s">
        <v>59</v>
      </c>
      <c r="E6504" t="s">
        <v>60</v>
      </c>
      <c r="F6504" t="s">
        <v>61</v>
      </c>
      <c r="G6504" t="s">
        <v>170</v>
      </c>
      <c r="H6504" t="s">
        <v>171</v>
      </c>
      <c r="I6504" t="s">
        <v>44</v>
      </c>
      <c r="J6504" t="s">
        <v>45</v>
      </c>
      <c r="K6504" t="s">
        <v>29</v>
      </c>
      <c r="L6504" t="s">
        <v>30</v>
      </c>
      <c r="M6504" t="s">
        <v>172</v>
      </c>
      <c r="N6504">
        <v>1557</v>
      </c>
      <c r="O6504" s="14">
        <v>0.39656954258680299</v>
      </c>
      <c r="P6504" s="14">
        <v>2.6825056178495298E-2</v>
      </c>
      <c r="Q6504" t="str">
        <f t="shared" si="202"/>
        <v>50+</v>
      </c>
      <c r="R6504" t="str">
        <f t="shared" si="203"/>
        <v>[msW2zpIN7up]|50+|Female|PLHIV_Residents.T2|CY2025Q3</v>
      </c>
    </row>
    <row r="6505" spans="4:18" x14ac:dyDescent="0.2">
      <c r="D6505" t="s">
        <v>59</v>
      </c>
      <c r="E6505" t="s">
        <v>60</v>
      </c>
      <c r="F6505" t="s">
        <v>61</v>
      </c>
      <c r="G6505" t="s">
        <v>170</v>
      </c>
      <c r="H6505" t="s">
        <v>171</v>
      </c>
      <c r="I6505" t="s">
        <v>27</v>
      </c>
      <c r="J6505" t="s">
        <v>28</v>
      </c>
      <c r="K6505" t="s">
        <v>47</v>
      </c>
      <c r="L6505" t="s">
        <v>48</v>
      </c>
      <c r="M6505" t="s">
        <v>172</v>
      </c>
      <c r="N6505">
        <v>1553</v>
      </c>
      <c r="O6505" s="14">
        <v>0.86638768110424302</v>
      </c>
      <c r="P6505" s="14">
        <v>2.6825056178495298E-2</v>
      </c>
      <c r="Q6505" t="str">
        <f t="shared" si="202"/>
        <v>&lt;01</v>
      </c>
      <c r="R6505" t="str">
        <f t="shared" si="203"/>
        <v>[msW2zpIN7up]|&lt;01|Male|PLHIV_Residents.T2|CY2025Q3</v>
      </c>
    </row>
    <row r="6506" spans="4:18" x14ac:dyDescent="0.2">
      <c r="D6506" t="s">
        <v>59</v>
      </c>
      <c r="E6506" t="s">
        <v>60</v>
      </c>
      <c r="F6506" t="s">
        <v>61</v>
      </c>
      <c r="G6506" t="s">
        <v>170</v>
      </c>
      <c r="H6506" t="s">
        <v>171</v>
      </c>
      <c r="I6506" t="s">
        <v>32</v>
      </c>
      <c r="J6506" t="s">
        <v>33</v>
      </c>
      <c r="K6506" t="s">
        <v>47</v>
      </c>
      <c r="L6506" t="s">
        <v>48</v>
      </c>
      <c r="M6506" t="s">
        <v>172</v>
      </c>
      <c r="N6506">
        <v>1022</v>
      </c>
      <c r="O6506" s="14">
        <v>0.39535990543663502</v>
      </c>
      <c r="P6506" s="14">
        <v>2.6825056178495298E-2</v>
      </c>
      <c r="Q6506" t="str">
        <f t="shared" si="202"/>
        <v>01-09</v>
      </c>
      <c r="R6506" t="str">
        <f t="shared" si="203"/>
        <v>[msW2zpIN7up]|01-09|Male|PLHIV_Residents.T2|CY2025Q3</v>
      </c>
    </row>
    <row r="6507" spans="4:18" x14ac:dyDescent="0.2">
      <c r="D6507" t="s">
        <v>59</v>
      </c>
      <c r="E6507" t="s">
        <v>60</v>
      </c>
      <c r="F6507" t="s">
        <v>61</v>
      </c>
      <c r="G6507" t="s">
        <v>170</v>
      </c>
      <c r="H6507" t="s">
        <v>171</v>
      </c>
      <c r="I6507" t="s">
        <v>35</v>
      </c>
      <c r="J6507" t="s">
        <v>36</v>
      </c>
      <c r="K6507" t="s">
        <v>47</v>
      </c>
      <c r="L6507" t="s">
        <v>48</v>
      </c>
      <c r="M6507" t="s">
        <v>172</v>
      </c>
      <c r="N6507">
        <v>707</v>
      </c>
      <c r="O6507" s="14">
        <v>0.69312022626400005</v>
      </c>
      <c r="P6507" s="14">
        <v>2.6825056178495298E-2</v>
      </c>
      <c r="Q6507" t="str">
        <f t="shared" si="202"/>
        <v>10-14</v>
      </c>
      <c r="R6507" t="str">
        <f t="shared" si="203"/>
        <v>[msW2zpIN7up]|10-14|Male|PLHIV_Residents.T2|CY2025Q3</v>
      </c>
    </row>
    <row r="6508" spans="4:18" x14ac:dyDescent="0.2">
      <c r="D6508" t="s">
        <v>59</v>
      </c>
      <c r="E6508" t="s">
        <v>60</v>
      </c>
      <c r="F6508" t="s">
        <v>61</v>
      </c>
      <c r="G6508" t="s">
        <v>170</v>
      </c>
      <c r="H6508" t="s">
        <v>171</v>
      </c>
      <c r="I6508" t="s">
        <v>37</v>
      </c>
      <c r="J6508" t="s">
        <v>38</v>
      </c>
      <c r="K6508" t="s">
        <v>47</v>
      </c>
      <c r="L6508" t="s">
        <v>48</v>
      </c>
      <c r="M6508" t="s">
        <v>172</v>
      </c>
      <c r="N6508">
        <v>1689</v>
      </c>
      <c r="O6508" s="14">
        <v>0.50544719304889396</v>
      </c>
      <c r="P6508" s="14">
        <v>2.6825056178495298E-2</v>
      </c>
      <c r="Q6508" t="str">
        <f t="shared" si="202"/>
        <v>15-24</v>
      </c>
      <c r="R6508" t="str">
        <f t="shared" si="203"/>
        <v>[msW2zpIN7up]|15-24|Male|PLHIV_Residents.T2|CY2025Q3</v>
      </c>
    </row>
    <row r="6509" spans="4:18" x14ac:dyDescent="0.2">
      <c r="D6509" t="s">
        <v>59</v>
      </c>
      <c r="E6509" t="s">
        <v>60</v>
      </c>
      <c r="F6509" t="s">
        <v>61</v>
      </c>
      <c r="G6509" t="s">
        <v>170</v>
      </c>
      <c r="H6509" t="s">
        <v>171</v>
      </c>
      <c r="I6509" t="s">
        <v>40</v>
      </c>
      <c r="J6509" t="s">
        <v>41</v>
      </c>
      <c r="K6509" t="s">
        <v>47</v>
      </c>
      <c r="L6509" t="s">
        <v>48</v>
      </c>
      <c r="M6509" t="s">
        <v>172</v>
      </c>
      <c r="N6509">
        <v>1917</v>
      </c>
      <c r="O6509" s="14">
        <v>0.829384257318452</v>
      </c>
      <c r="P6509" s="14">
        <v>2.6825056178495298E-2</v>
      </c>
      <c r="Q6509" t="str">
        <f t="shared" si="202"/>
        <v>25-34</v>
      </c>
      <c r="R6509" t="str">
        <f t="shared" si="203"/>
        <v>[msW2zpIN7up]|25-34|Male|PLHIV_Residents.T2|CY2025Q3</v>
      </c>
    </row>
    <row r="6510" spans="4:18" x14ac:dyDescent="0.2">
      <c r="D6510" t="s">
        <v>59</v>
      </c>
      <c r="E6510" t="s">
        <v>60</v>
      </c>
      <c r="F6510" t="s">
        <v>61</v>
      </c>
      <c r="G6510" t="s">
        <v>170</v>
      </c>
      <c r="H6510" t="s">
        <v>171</v>
      </c>
      <c r="I6510" t="s">
        <v>42</v>
      </c>
      <c r="J6510" t="s">
        <v>43</v>
      </c>
      <c r="K6510" t="s">
        <v>47</v>
      </c>
      <c r="L6510" t="s">
        <v>48</v>
      </c>
      <c r="M6510" t="s">
        <v>172</v>
      </c>
      <c r="N6510">
        <v>1554</v>
      </c>
      <c r="O6510" s="14">
        <v>0.13481980608776201</v>
      </c>
      <c r="P6510" s="14">
        <v>2.6825056178495298E-2</v>
      </c>
      <c r="Q6510" t="str">
        <f t="shared" si="202"/>
        <v>35-49</v>
      </c>
      <c r="R6510" t="str">
        <f t="shared" si="203"/>
        <v>[msW2zpIN7up]|35-49|Male|PLHIV_Residents.T2|CY2025Q3</v>
      </c>
    </row>
    <row r="6511" spans="4:18" x14ac:dyDescent="0.2">
      <c r="D6511" t="s">
        <v>59</v>
      </c>
      <c r="E6511" t="s">
        <v>60</v>
      </c>
      <c r="F6511" t="s">
        <v>61</v>
      </c>
      <c r="G6511" t="s">
        <v>170</v>
      </c>
      <c r="H6511" t="s">
        <v>171</v>
      </c>
      <c r="I6511" t="s">
        <v>44</v>
      </c>
      <c r="J6511" t="s">
        <v>45</v>
      </c>
      <c r="K6511" t="s">
        <v>47</v>
      </c>
      <c r="L6511" t="s">
        <v>48</v>
      </c>
      <c r="M6511" t="s">
        <v>172</v>
      </c>
      <c r="N6511">
        <v>1045</v>
      </c>
      <c r="O6511" s="14">
        <v>0.12975307973101699</v>
      </c>
      <c r="P6511" s="14">
        <v>2.6825056178495298E-2</v>
      </c>
      <c r="Q6511" t="str">
        <f t="shared" si="202"/>
        <v>50+</v>
      </c>
      <c r="R6511" t="str">
        <f t="shared" si="203"/>
        <v>[msW2zpIN7up]|50+|Male|PLHIV_Residents.T2|CY2025Q3</v>
      </c>
    </row>
    <row r="6512" spans="4:18" x14ac:dyDescent="0.2">
      <c r="D6512" t="s">
        <v>62</v>
      </c>
      <c r="E6512" t="s">
        <v>63</v>
      </c>
      <c r="F6512" t="s">
        <v>64</v>
      </c>
      <c r="G6512" t="s">
        <v>170</v>
      </c>
      <c r="H6512" t="s">
        <v>171</v>
      </c>
      <c r="I6512" t="s">
        <v>27</v>
      </c>
      <c r="J6512" t="s">
        <v>28</v>
      </c>
      <c r="K6512" t="s">
        <v>29</v>
      </c>
      <c r="L6512" t="s">
        <v>30</v>
      </c>
      <c r="M6512" t="s">
        <v>172</v>
      </c>
      <c r="N6512">
        <v>1586</v>
      </c>
      <c r="O6512" s="14">
        <v>0.76925651566125497</v>
      </c>
      <c r="P6512" s="14">
        <v>0.790102193132043</v>
      </c>
      <c r="Q6512" t="str">
        <f t="shared" si="202"/>
        <v>&lt;01</v>
      </c>
      <c r="R6512" t="str">
        <f t="shared" si="203"/>
        <v>[kxuuIFpOXyO]|&lt;01|Female|PLHIV_Residents.T2|CY2025Q3</v>
      </c>
    </row>
    <row r="6513" spans="4:18" x14ac:dyDescent="0.2">
      <c r="D6513" t="s">
        <v>62</v>
      </c>
      <c r="E6513" t="s">
        <v>63</v>
      </c>
      <c r="F6513" t="s">
        <v>64</v>
      </c>
      <c r="G6513" t="s">
        <v>170</v>
      </c>
      <c r="H6513" t="s">
        <v>171</v>
      </c>
      <c r="I6513" t="s">
        <v>32</v>
      </c>
      <c r="J6513" t="s">
        <v>33</v>
      </c>
      <c r="K6513" t="s">
        <v>29</v>
      </c>
      <c r="L6513" t="s">
        <v>30</v>
      </c>
      <c r="M6513" t="s">
        <v>172</v>
      </c>
      <c r="N6513">
        <v>1843</v>
      </c>
      <c r="O6513" s="14">
        <v>0.47453508689068302</v>
      </c>
      <c r="P6513" s="14">
        <v>0.790102193132043</v>
      </c>
      <c r="Q6513" t="str">
        <f t="shared" si="202"/>
        <v>01-09</v>
      </c>
      <c r="R6513" t="str">
        <f t="shared" si="203"/>
        <v>[kxuuIFpOXyO]|01-09|Female|PLHIV_Residents.T2|CY2025Q3</v>
      </c>
    </row>
    <row r="6514" spans="4:18" x14ac:dyDescent="0.2">
      <c r="D6514" t="s">
        <v>62</v>
      </c>
      <c r="E6514" t="s">
        <v>63</v>
      </c>
      <c r="F6514" t="s">
        <v>64</v>
      </c>
      <c r="G6514" t="s">
        <v>170</v>
      </c>
      <c r="H6514" t="s">
        <v>171</v>
      </c>
      <c r="I6514" t="s">
        <v>35</v>
      </c>
      <c r="J6514" t="s">
        <v>36</v>
      </c>
      <c r="K6514" t="s">
        <v>29</v>
      </c>
      <c r="L6514" t="s">
        <v>30</v>
      </c>
      <c r="M6514" t="s">
        <v>172</v>
      </c>
      <c r="N6514">
        <v>1873</v>
      </c>
      <c r="O6514" s="14">
        <v>0.67025694320909701</v>
      </c>
      <c r="P6514" s="14">
        <v>0.790102193132043</v>
      </c>
      <c r="Q6514" t="str">
        <f t="shared" si="202"/>
        <v>10-14</v>
      </c>
      <c r="R6514" t="str">
        <f t="shared" si="203"/>
        <v>[kxuuIFpOXyO]|10-14|Female|PLHIV_Residents.T2|CY2025Q3</v>
      </c>
    </row>
    <row r="6515" spans="4:18" x14ac:dyDescent="0.2">
      <c r="D6515" t="s">
        <v>62</v>
      </c>
      <c r="E6515" t="s">
        <v>63</v>
      </c>
      <c r="F6515" t="s">
        <v>64</v>
      </c>
      <c r="G6515" t="s">
        <v>170</v>
      </c>
      <c r="H6515" t="s">
        <v>171</v>
      </c>
      <c r="I6515" t="s">
        <v>37</v>
      </c>
      <c r="J6515" t="s">
        <v>38</v>
      </c>
      <c r="K6515" t="s">
        <v>29</v>
      </c>
      <c r="L6515" t="s">
        <v>30</v>
      </c>
      <c r="M6515" t="s">
        <v>172</v>
      </c>
      <c r="N6515">
        <v>1104</v>
      </c>
      <c r="O6515" s="14">
        <v>0.19647356960922499</v>
      </c>
      <c r="P6515" s="14">
        <v>0.790102193132043</v>
      </c>
      <c r="Q6515" t="str">
        <f t="shared" si="202"/>
        <v>15-24</v>
      </c>
      <c r="R6515" t="str">
        <f t="shared" si="203"/>
        <v>[kxuuIFpOXyO]|15-24|Female|PLHIV_Residents.T2|CY2025Q3</v>
      </c>
    </row>
    <row r="6516" spans="4:18" x14ac:dyDescent="0.2">
      <c r="D6516" t="s">
        <v>62</v>
      </c>
      <c r="E6516" t="s">
        <v>63</v>
      </c>
      <c r="F6516" t="s">
        <v>64</v>
      </c>
      <c r="G6516" t="s">
        <v>170</v>
      </c>
      <c r="H6516" t="s">
        <v>171</v>
      </c>
      <c r="I6516" t="s">
        <v>40</v>
      </c>
      <c r="J6516" t="s">
        <v>41</v>
      </c>
      <c r="K6516" t="s">
        <v>29</v>
      </c>
      <c r="L6516" t="s">
        <v>30</v>
      </c>
      <c r="M6516" t="s">
        <v>172</v>
      </c>
      <c r="N6516">
        <v>1095</v>
      </c>
      <c r="O6516" s="14">
        <v>0.65484877233393501</v>
      </c>
      <c r="P6516" s="14">
        <v>0.790102193132043</v>
      </c>
      <c r="Q6516" t="str">
        <f t="shared" si="202"/>
        <v>25-34</v>
      </c>
      <c r="R6516" t="str">
        <f t="shared" si="203"/>
        <v>[kxuuIFpOXyO]|25-34|Female|PLHIV_Residents.T2|CY2025Q3</v>
      </c>
    </row>
    <row r="6517" spans="4:18" x14ac:dyDescent="0.2">
      <c r="D6517" t="s">
        <v>62</v>
      </c>
      <c r="E6517" t="s">
        <v>63</v>
      </c>
      <c r="F6517" t="s">
        <v>64</v>
      </c>
      <c r="G6517" t="s">
        <v>170</v>
      </c>
      <c r="H6517" t="s">
        <v>171</v>
      </c>
      <c r="I6517" t="s">
        <v>42</v>
      </c>
      <c r="J6517" t="s">
        <v>43</v>
      </c>
      <c r="K6517" t="s">
        <v>29</v>
      </c>
      <c r="L6517" t="s">
        <v>30</v>
      </c>
      <c r="M6517" t="s">
        <v>172</v>
      </c>
      <c r="N6517">
        <v>1074</v>
      </c>
      <c r="O6517" s="14">
        <v>0.62452293885871801</v>
      </c>
      <c r="P6517" s="14">
        <v>0.790102193132043</v>
      </c>
      <c r="Q6517" t="str">
        <f t="shared" si="202"/>
        <v>35-49</v>
      </c>
      <c r="R6517" t="str">
        <f t="shared" si="203"/>
        <v>[kxuuIFpOXyO]|35-49|Female|PLHIV_Residents.T2|CY2025Q3</v>
      </c>
    </row>
    <row r="6518" spans="4:18" x14ac:dyDescent="0.2">
      <c r="D6518" t="s">
        <v>62</v>
      </c>
      <c r="E6518" t="s">
        <v>63</v>
      </c>
      <c r="F6518" t="s">
        <v>64</v>
      </c>
      <c r="G6518" t="s">
        <v>170</v>
      </c>
      <c r="H6518" t="s">
        <v>171</v>
      </c>
      <c r="I6518" t="s">
        <v>44</v>
      </c>
      <c r="J6518" t="s">
        <v>45</v>
      </c>
      <c r="K6518" t="s">
        <v>29</v>
      </c>
      <c r="L6518" t="s">
        <v>30</v>
      </c>
      <c r="M6518" t="s">
        <v>172</v>
      </c>
      <c r="N6518">
        <v>1870</v>
      </c>
      <c r="O6518" s="14">
        <v>0.83106232737190999</v>
      </c>
      <c r="P6518" s="14">
        <v>0.790102193132043</v>
      </c>
      <c r="Q6518" t="str">
        <f t="shared" si="202"/>
        <v>50+</v>
      </c>
      <c r="R6518" t="str">
        <f t="shared" si="203"/>
        <v>[kxuuIFpOXyO]|50+|Female|PLHIV_Residents.T2|CY2025Q3</v>
      </c>
    </row>
    <row r="6519" spans="4:18" x14ac:dyDescent="0.2">
      <c r="D6519" t="s">
        <v>62</v>
      </c>
      <c r="E6519" t="s">
        <v>63</v>
      </c>
      <c r="F6519" t="s">
        <v>64</v>
      </c>
      <c r="G6519" t="s">
        <v>170</v>
      </c>
      <c r="H6519" t="s">
        <v>171</v>
      </c>
      <c r="I6519" t="s">
        <v>27</v>
      </c>
      <c r="J6519" t="s">
        <v>28</v>
      </c>
      <c r="K6519" t="s">
        <v>47</v>
      </c>
      <c r="L6519" t="s">
        <v>48</v>
      </c>
      <c r="M6519" t="s">
        <v>172</v>
      </c>
      <c r="N6519">
        <v>1399</v>
      </c>
      <c r="O6519" s="14">
        <v>0.32534550153650299</v>
      </c>
      <c r="P6519" s="14">
        <v>0.790102193132043</v>
      </c>
      <c r="Q6519" t="str">
        <f t="shared" si="202"/>
        <v>&lt;01</v>
      </c>
      <c r="R6519" t="str">
        <f t="shared" si="203"/>
        <v>[kxuuIFpOXyO]|&lt;01|Male|PLHIV_Residents.T2|CY2025Q3</v>
      </c>
    </row>
    <row r="6520" spans="4:18" x14ac:dyDescent="0.2">
      <c r="D6520" t="s">
        <v>62</v>
      </c>
      <c r="E6520" t="s">
        <v>63</v>
      </c>
      <c r="F6520" t="s">
        <v>64</v>
      </c>
      <c r="G6520" t="s">
        <v>170</v>
      </c>
      <c r="H6520" t="s">
        <v>171</v>
      </c>
      <c r="I6520" t="s">
        <v>32</v>
      </c>
      <c r="J6520" t="s">
        <v>33</v>
      </c>
      <c r="K6520" t="s">
        <v>47</v>
      </c>
      <c r="L6520" t="s">
        <v>48</v>
      </c>
      <c r="M6520" t="s">
        <v>172</v>
      </c>
      <c r="N6520">
        <v>655</v>
      </c>
      <c r="O6520" s="14">
        <v>0.116305627161637</v>
      </c>
      <c r="P6520" s="14">
        <v>0.790102193132043</v>
      </c>
      <c r="Q6520" t="str">
        <f t="shared" si="202"/>
        <v>01-09</v>
      </c>
      <c r="R6520" t="str">
        <f t="shared" si="203"/>
        <v>[kxuuIFpOXyO]|01-09|Male|PLHIV_Residents.T2|CY2025Q3</v>
      </c>
    </row>
    <row r="6521" spans="4:18" x14ac:dyDescent="0.2">
      <c r="D6521" t="s">
        <v>62</v>
      </c>
      <c r="E6521" t="s">
        <v>63</v>
      </c>
      <c r="F6521" t="s">
        <v>64</v>
      </c>
      <c r="G6521" t="s">
        <v>170</v>
      </c>
      <c r="H6521" t="s">
        <v>171</v>
      </c>
      <c r="I6521" t="s">
        <v>35</v>
      </c>
      <c r="J6521" t="s">
        <v>36</v>
      </c>
      <c r="K6521" t="s">
        <v>47</v>
      </c>
      <c r="L6521" t="s">
        <v>48</v>
      </c>
      <c r="M6521" t="s">
        <v>172</v>
      </c>
      <c r="N6521">
        <v>770</v>
      </c>
      <c r="O6521" s="14">
        <v>0.33293726341798902</v>
      </c>
      <c r="P6521" s="14">
        <v>0.790102193132043</v>
      </c>
      <c r="Q6521" t="str">
        <f t="shared" si="202"/>
        <v>10-14</v>
      </c>
      <c r="R6521" t="str">
        <f t="shared" si="203"/>
        <v>[kxuuIFpOXyO]|10-14|Male|PLHIV_Residents.T2|CY2025Q3</v>
      </c>
    </row>
    <row r="6522" spans="4:18" x14ac:dyDescent="0.2">
      <c r="D6522" t="s">
        <v>62</v>
      </c>
      <c r="E6522" t="s">
        <v>63</v>
      </c>
      <c r="F6522" t="s">
        <v>64</v>
      </c>
      <c r="G6522" t="s">
        <v>170</v>
      </c>
      <c r="H6522" t="s">
        <v>171</v>
      </c>
      <c r="I6522" t="s">
        <v>37</v>
      </c>
      <c r="J6522" t="s">
        <v>38</v>
      </c>
      <c r="K6522" t="s">
        <v>47</v>
      </c>
      <c r="L6522" t="s">
        <v>48</v>
      </c>
      <c r="M6522" t="s">
        <v>172</v>
      </c>
      <c r="N6522">
        <v>1429</v>
      </c>
      <c r="O6522" s="14">
        <v>1.3065702747553601E-2</v>
      </c>
      <c r="P6522" s="14">
        <v>0.790102193132043</v>
      </c>
      <c r="Q6522" t="str">
        <f t="shared" si="202"/>
        <v>15-24</v>
      </c>
      <c r="R6522" t="str">
        <f t="shared" si="203"/>
        <v>[kxuuIFpOXyO]|15-24|Male|PLHIV_Residents.T2|CY2025Q3</v>
      </c>
    </row>
    <row r="6523" spans="4:18" x14ac:dyDescent="0.2">
      <c r="D6523" t="s">
        <v>62</v>
      </c>
      <c r="E6523" t="s">
        <v>63</v>
      </c>
      <c r="F6523" t="s">
        <v>64</v>
      </c>
      <c r="G6523" t="s">
        <v>170</v>
      </c>
      <c r="H6523" t="s">
        <v>171</v>
      </c>
      <c r="I6523" t="s">
        <v>40</v>
      </c>
      <c r="J6523" t="s">
        <v>41</v>
      </c>
      <c r="K6523" t="s">
        <v>47</v>
      </c>
      <c r="L6523" t="s">
        <v>48</v>
      </c>
      <c r="M6523" t="s">
        <v>172</v>
      </c>
      <c r="N6523">
        <v>1867</v>
      </c>
      <c r="O6523" s="14">
        <v>0.45059370668604998</v>
      </c>
      <c r="P6523" s="14">
        <v>0.790102193132043</v>
      </c>
      <c r="Q6523" t="str">
        <f t="shared" si="202"/>
        <v>25-34</v>
      </c>
      <c r="R6523" t="str">
        <f t="shared" si="203"/>
        <v>[kxuuIFpOXyO]|25-34|Male|PLHIV_Residents.T2|CY2025Q3</v>
      </c>
    </row>
    <row r="6524" spans="4:18" x14ac:dyDescent="0.2">
      <c r="D6524" t="s">
        <v>62</v>
      </c>
      <c r="E6524" t="s">
        <v>63</v>
      </c>
      <c r="F6524" t="s">
        <v>64</v>
      </c>
      <c r="G6524" t="s">
        <v>170</v>
      </c>
      <c r="H6524" t="s">
        <v>171</v>
      </c>
      <c r="I6524" t="s">
        <v>42</v>
      </c>
      <c r="J6524" t="s">
        <v>43</v>
      </c>
      <c r="K6524" t="s">
        <v>47</v>
      </c>
      <c r="L6524" t="s">
        <v>48</v>
      </c>
      <c r="M6524" t="s">
        <v>172</v>
      </c>
      <c r="N6524">
        <v>1259</v>
      </c>
      <c r="O6524" s="14">
        <v>0.84412844199687198</v>
      </c>
      <c r="P6524" s="14">
        <v>0.790102193132043</v>
      </c>
      <c r="Q6524" t="str">
        <f t="shared" si="202"/>
        <v>35-49</v>
      </c>
      <c r="R6524" t="str">
        <f t="shared" si="203"/>
        <v>[kxuuIFpOXyO]|35-49|Male|PLHIV_Residents.T2|CY2025Q3</v>
      </c>
    </row>
    <row r="6525" spans="4:18" x14ac:dyDescent="0.2">
      <c r="D6525" t="s">
        <v>62</v>
      </c>
      <c r="E6525" t="s">
        <v>63</v>
      </c>
      <c r="F6525" t="s">
        <v>64</v>
      </c>
      <c r="G6525" t="s">
        <v>170</v>
      </c>
      <c r="H6525" t="s">
        <v>171</v>
      </c>
      <c r="I6525" t="s">
        <v>44</v>
      </c>
      <c r="J6525" t="s">
        <v>45</v>
      </c>
      <c r="K6525" t="s">
        <v>47</v>
      </c>
      <c r="L6525" t="s">
        <v>48</v>
      </c>
      <c r="M6525" t="s">
        <v>172</v>
      </c>
      <c r="N6525">
        <v>1108</v>
      </c>
      <c r="O6525" s="14">
        <v>0.63426737999543503</v>
      </c>
      <c r="P6525" s="14">
        <v>0.790102193132043</v>
      </c>
      <c r="Q6525" t="str">
        <f t="shared" si="202"/>
        <v>50+</v>
      </c>
      <c r="R6525" t="str">
        <f t="shared" si="203"/>
        <v>[kxuuIFpOXyO]|50+|Male|PLHIV_Residents.T2|CY2025Q3</v>
      </c>
    </row>
    <row r="6526" spans="4:18" x14ac:dyDescent="0.2">
      <c r="D6526" t="s">
        <v>65</v>
      </c>
      <c r="E6526" t="s">
        <v>66</v>
      </c>
      <c r="F6526" t="s">
        <v>67</v>
      </c>
      <c r="G6526" t="s">
        <v>170</v>
      </c>
      <c r="H6526" t="s">
        <v>171</v>
      </c>
      <c r="I6526" t="s">
        <v>27</v>
      </c>
      <c r="J6526" t="s">
        <v>28</v>
      </c>
      <c r="K6526" t="s">
        <v>29</v>
      </c>
      <c r="L6526" t="s">
        <v>30</v>
      </c>
      <c r="M6526" t="s">
        <v>172</v>
      </c>
      <c r="N6526">
        <v>1226</v>
      </c>
      <c r="O6526" s="14">
        <v>0.14832194289192599</v>
      </c>
      <c r="P6526" s="14">
        <v>0.16460988437756899</v>
      </c>
      <c r="Q6526" t="str">
        <f t="shared" si="202"/>
        <v>&lt;01</v>
      </c>
      <c r="R6526" t="str">
        <f t="shared" si="203"/>
        <v>[ScR9iFKAasW]|&lt;01|Female|PLHIV_Residents.T2|CY2025Q3</v>
      </c>
    </row>
    <row r="6527" spans="4:18" x14ac:dyDescent="0.2">
      <c r="D6527" t="s">
        <v>65</v>
      </c>
      <c r="E6527" t="s">
        <v>66</v>
      </c>
      <c r="F6527" t="s">
        <v>67</v>
      </c>
      <c r="G6527" t="s">
        <v>170</v>
      </c>
      <c r="H6527" t="s">
        <v>171</v>
      </c>
      <c r="I6527" t="s">
        <v>32</v>
      </c>
      <c r="J6527" t="s">
        <v>33</v>
      </c>
      <c r="K6527" t="s">
        <v>29</v>
      </c>
      <c r="L6527" t="s">
        <v>30</v>
      </c>
      <c r="M6527" t="s">
        <v>172</v>
      </c>
      <c r="N6527">
        <v>1679</v>
      </c>
      <c r="O6527" s="14">
        <v>0.57250719843432296</v>
      </c>
      <c r="P6527" s="14">
        <v>0.16460988437756899</v>
      </c>
      <c r="Q6527" t="str">
        <f t="shared" si="202"/>
        <v>01-09</v>
      </c>
      <c r="R6527" t="str">
        <f t="shared" si="203"/>
        <v>[ScR9iFKAasW]|01-09|Female|PLHIV_Residents.T2|CY2025Q3</v>
      </c>
    </row>
    <row r="6528" spans="4:18" x14ac:dyDescent="0.2">
      <c r="D6528" t="s">
        <v>65</v>
      </c>
      <c r="E6528" t="s">
        <v>66</v>
      </c>
      <c r="F6528" t="s">
        <v>67</v>
      </c>
      <c r="G6528" t="s">
        <v>170</v>
      </c>
      <c r="H6528" t="s">
        <v>171</v>
      </c>
      <c r="I6528" t="s">
        <v>35</v>
      </c>
      <c r="J6528" t="s">
        <v>36</v>
      </c>
      <c r="K6528" t="s">
        <v>29</v>
      </c>
      <c r="L6528" t="s">
        <v>30</v>
      </c>
      <c r="M6528" t="s">
        <v>172</v>
      </c>
      <c r="N6528">
        <v>1560</v>
      </c>
      <c r="O6528" s="14">
        <v>1.2285950360819701E-2</v>
      </c>
      <c r="P6528" s="14">
        <v>0.16460988437756899</v>
      </c>
      <c r="Q6528" t="str">
        <f t="shared" si="202"/>
        <v>10-14</v>
      </c>
      <c r="R6528" t="str">
        <f t="shared" si="203"/>
        <v>[ScR9iFKAasW]|10-14|Female|PLHIV_Residents.T2|CY2025Q3</v>
      </c>
    </row>
    <row r="6529" spans="4:18" x14ac:dyDescent="0.2">
      <c r="D6529" t="s">
        <v>65</v>
      </c>
      <c r="E6529" t="s">
        <v>66</v>
      </c>
      <c r="F6529" t="s">
        <v>67</v>
      </c>
      <c r="G6529" t="s">
        <v>170</v>
      </c>
      <c r="H6529" t="s">
        <v>171</v>
      </c>
      <c r="I6529" t="s">
        <v>37</v>
      </c>
      <c r="J6529" t="s">
        <v>38</v>
      </c>
      <c r="K6529" t="s">
        <v>29</v>
      </c>
      <c r="L6529" t="s">
        <v>30</v>
      </c>
      <c r="M6529" t="s">
        <v>172</v>
      </c>
      <c r="N6529">
        <v>1345</v>
      </c>
      <c r="O6529" s="14">
        <v>0.94370111427269898</v>
      </c>
      <c r="P6529" s="14">
        <v>0.16460988437756899</v>
      </c>
      <c r="Q6529" t="str">
        <f t="shared" si="202"/>
        <v>15-24</v>
      </c>
      <c r="R6529" t="str">
        <f t="shared" si="203"/>
        <v>[ScR9iFKAasW]|15-24|Female|PLHIV_Residents.T2|CY2025Q3</v>
      </c>
    </row>
    <row r="6530" spans="4:18" x14ac:dyDescent="0.2">
      <c r="D6530" t="s">
        <v>65</v>
      </c>
      <c r="E6530" t="s">
        <v>66</v>
      </c>
      <c r="F6530" t="s">
        <v>67</v>
      </c>
      <c r="G6530" t="s">
        <v>170</v>
      </c>
      <c r="H6530" t="s">
        <v>171</v>
      </c>
      <c r="I6530" t="s">
        <v>40</v>
      </c>
      <c r="J6530" t="s">
        <v>41</v>
      </c>
      <c r="K6530" t="s">
        <v>29</v>
      </c>
      <c r="L6530" t="s">
        <v>30</v>
      </c>
      <c r="M6530" t="s">
        <v>172</v>
      </c>
      <c r="N6530">
        <v>1005</v>
      </c>
      <c r="O6530" s="14">
        <v>0.25723521155305201</v>
      </c>
      <c r="P6530" s="14">
        <v>0.16460988437756899</v>
      </c>
      <c r="Q6530" t="str">
        <f t="shared" ref="Q6530:Q6593" si="204">SUBSTITUTE(SUBSTITUTE($I6530,CHAR(61),""),CHAR(34),"")</f>
        <v>25-34</v>
      </c>
      <c r="R6530" t="str">
        <f t="shared" ref="R6530:R6593" si="205">IF($D6530&lt;&gt;"","["&amp;$E6530&amp;"]"&amp;"|"&amp;$Q6530&amp;"|"&amp;$K6530&amp;"|"&amp;$G6530&amp;"|"&amp;IF($G6530="TX_CURR_SUBNAT.R","CY2022Q4",$M6530),"")</f>
        <v>[ScR9iFKAasW]|25-34|Female|PLHIV_Residents.T2|CY2025Q3</v>
      </c>
    </row>
    <row r="6531" spans="4:18" x14ac:dyDescent="0.2">
      <c r="D6531" t="s">
        <v>65</v>
      </c>
      <c r="E6531" t="s">
        <v>66</v>
      </c>
      <c r="F6531" t="s">
        <v>67</v>
      </c>
      <c r="G6531" t="s">
        <v>170</v>
      </c>
      <c r="H6531" t="s">
        <v>171</v>
      </c>
      <c r="I6531" t="s">
        <v>42</v>
      </c>
      <c r="J6531" t="s">
        <v>43</v>
      </c>
      <c r="K6531" t="s">
        <v>29</v>
      </c>
      <c r="L6531" t="s">
        <v>30</v>
      </c>
      <c r="M6531" t="s">
        <v>172</v>
      </c>
      <c r="N6531">
        <v>1379</v>
      </c>
      <c r="O6531" s="14">
        <v>0.205182458274066</v>
      </c>
      <c r="P6531" s="14">
        <v>0.16460988437756899</v>
      </c>
      <c r="Q6531" t="str">
        <f t="shared" si="204"/>
        <v>35-49</v>
      </c>
      <c r="R6531" t="str">
        <f t="shared" si="205"/>
        <v>[ScR9iFKAasW]|35-49|Female|PLHIV_Residents.T2|CY2025Q3</v>
      </c>
    </row>
    <row r="6532" spans="4:18" x14ac:dyDescent="0.2">
      <c r="D6532" t="s">
        <v>65</v>
      </c>
      <c r="E6532" t="s">
        <v>66</v>
      </c>
      <c r="F6532" t="s">
        <v>67</v>
      </c>
      <c r="G6532" t="s">
        <v>170</v>
      </c>
      <c r="H6532" t="s">
        <v>171</v>
      </c>
      <c r="I6532" t="s">
        <v>44</v>
      </c>
      <c r="J6532" t="s">
        <v>45</v>
      </c>
      <c r="K6532" t="s">
        <v>29</v>
      </c>
      <c r="L6532" t="s">
        <v>30</v>
      </c>
      <c r="M6532" t="s">
        <v>172</v>
      </c>
      <c r="N6532">
        <v>1227</v>
      </c>
      <c r="O6532" s="14">
        <v>0.27345113223418599</v>
      </c>
      <c r="P6532" s="14">
        <v>0.16460988437756899</v>
      </c>
      <c r="Q6532" t="str">
        <f t="shared" si="204"/>
        <v>50+</v>
      </c>
      <c r="R6532" t="str">
        <f t="shared" si="205"/>
        <v>[ScR9iFKAasW]|50+|Female|PLHIV_Residents.T2|CY2025Q3</v>
      </c>
    </row>
    <row r="6533" spans="4:18" x14ac:dyDescent="0.2">
      <c r="D6533" t="s">
        <v>65</v>
      </c>
      <c r="E6533" t="s">
        <v>66</v>
      </c>
      <c r="F6533" t="s">
        <v>67</v>
      </c>
      <c r="G6533" t="s">
        <v>170</v>
      </c>
      <c r="H6533" t="s">
        <v>171</v>
      </c>
      <c r="I6533" t="s">
        <v>27</v>
      </c>
      <c r="J6533" t="s">
        <v>28</v>
      </c>
      <c r="K6533" t="s">
        <v>47</v>
      </c>
      <c r="L6533" t="s">
        <v>48</v>
      </c>
      <c r="M6533" t="s">
        <v>172</v>
      </c>
      <c r="N6533">
        <v>1778</v>
      </c>
      <c r="O6533" s="14">
        <v>0.44351647677831402</v>
      </c>
      <c r="P6533" s="14">
        <v>0.16460988437756899</v>
      </c>
      <c r="Q6533" t="str">
        <f t="shared" si="204"/>
        <v>&lt;01</v>
      </c>
      <c r="R6533" t="str">
        <f t="shared" si="205"/>
        <v>[ScR9iFKAasW]|&lt;01|Male|PLHIV_Residents.T2|CY2025Q3</v>
      </c>
    </row>
    <row r="6534" spans="4:18" x14ac:dyDescent="0.2">
      <c r="D6534" t="s">
        <v>65</v>
      </c>
      <c r="E6534" t="s">
        <v>66</v>
      </c>
      <c r="F6534" t="s">
        <v>67</v>
      </c>
      <c r="G6534" t="s">
        <v>170</v>
      </c>
      <c r="H6534" t="s">
        <v>171</v>
      </c>
      <c r="I6534" t="s">
        <v>32</v>
      </c>
      <c r="J6534" t="s">
        <v>33</v>
      </c>
      <c r="K6534" t="s">
        <v>47</v>
      </c>
      <c r="L6534" t="s">
        <v>48</v>
      </c>
      <c r="M6534" t="s">
        <v>172</v>
      </c>
      <c r="N6534">
        <v>1970</v>
      </c>
      <c r="O6534" s="14">
        <v>0.72669459716416895</v>
      </c>
      <c r="P6534" s="14">
        <v>0.16460988437756899</v>
      </c>
      <c r="Q6534" t="str">
        <f t="shared" si="204"/>
        <v>01-09</v>
      </c>
      <c r="R6534" t="str">
        <f t="shared" si="205"/>
        <v>[ScR9iFKAasW]|01-09|Male|PLHIV_Residents.T2|CY2025Q3</v>
      </c>
    </row>
    <row r="6535" spans="4:18" x14ac:dyDescent="0.2">
      <c r="D6535" t="s">
        <v>65</v>
      </c>
      <c r="E6535" t="s">
        <v>66</v>
      </c>
      <c r="F6535" t="s">
        <v>67</v>
      </c>
      <c r="G6535" t="s">
        <v>170</v>
      </c>
      <c r="H6535" t="s">
        <v>171</v>
      </c>
      <c r="I6535" t="s">
        <v>35</v>
      </c>
      <c r="J6535" t="s">
        <v>36</v>
      </c>
      <c r="K6535" t="s">
        <v>47</v>
      </c>
      <c r="L6535" t="s">
        <v>48</v>
      </c>
      <c r="M6535" t="s">
        <v>172</v>
      </c>
      <c r="N6535">
        <v>1778</v>
      </c>
      <c r="O6535" s="14">
        <v>0.80443697539158199</v>
      </c>
      <c r="P6535" s="14">
        <v>0.16460988437756899</v>
      </c>
      <c r="Q6535" t="str">
        <f t="shared" si="204"/>
        <v>10-14</v>
      </c>
      <c r="R6535" t="str">
        <f t="shared" si="205"/>
        <v>[ScR9iFKAasW]|10-14|Male|PLHIV_Residents.T2|CY2025Q3</v>
      </c>
    </row>
    <row r="6536" spans="4:18" x14ac:dyDescent="0.2">
      <c r="D6536" t="s">
        <v>65</v>
      </c>
      <c r="E6536" t="s">
        <v>66</v>
      </c>
      <c r="F6536" t="s">
        <v>67</v>
      </c>
      <c r="G6536" t="s">
        <v>170</v>
      </c>
      <c r="H6536" t="s">
        <v>171</v>
      </c>
      <c r="I6536" t="s">
        <v>37</v>
      </c>
      <c r="J6536" t="s">
        <v>38</v>
      </c>
      <c r="K6536" t="s">
        <v>47</v>
      </c>
      <c r="L6536" t="s">
        <v>48</v>
      </c>
      <c r="M6536" t="s">
        <v>172</v>
      </c>
      <c r="N6536">
        <v>662</v>
      </c>
      <c r="O6536" s="14">
        <v>0.14306604303419601</v>
      </c>
      <c r="P6536" s="14">
        <v>0.16460988437756899</v>
      </c>
      <c r="Q6536" t="str">
        <f t="shared" si="204"/>
        <v>15-24</v>
      </c>
      <c r="R6536" t="str">
        <f t="shared" si="205"/>
        <v>[ScR9iFKAasW]|15-24|Male|PLHIV_Residents.T2|CY2025Q3</v>
      </c>
    </row>
    <row r="6537" spans="4:18" x14ac:dyDescent="0.2">
      <c r="D6537" t="s">
        <v>65</v>
      </c>
      <c r="E6537" t="s">
        <v>66</v>
      </c>
      <c r="F6537" t="s">
        <v>67</v>
      </c>
      <c r="G6537" t="s">
        <v>170</v>
      </c>
      <c r="H6537" t="s">
        <v>171</v>
      </c>
      <c r="I6537" t="s">
        <v>40</v>
      </c>
      <c r="J6537" t="s">
        <v>41</v>
      </c>
      <c r="K6537" t="s">
        <v>47</v>
      </c>
      <c r="L6537" t="s">
        <v>48</v>
      </c>
      <c r="M6537" t="s">
        <v>172</v>
      </c>
      <c r="N6537">
        <v>1458</v>
      </c>
      <c r="O6537" s="14">
        <v>0.16012414637953001</v>
      </c>
      <c r="P6537" s="14">
        <v>0.16460988437756899</v>
      </c>
      <c r="Q6537" t="str">
        <f t="shared" si="204"/>
        <v>25-34</v>
      </c>
      <c r="R6537" t="str">
        <f t="shared" si="205"/>
        <v>[ScR9iFKAasW]|25-34|Male|PLHIV_Residents.T2|CY2025Q3</v>
      </c>
    </row>
    <row r="6538" spans="4:18" x14ac:dyDescent="0.2">
      <c r="D6538" t="s">
        <v>65</v>
      </c>
      <c r="E6538" t="s">
        <v>66</v>
      </c>
      <c r="F6538" t="s">
        <v>67</v>
      </c>
      <c r="G6538" t="s">
        <v>170</v>
      </c>
      <c r="H6538" t="s">
        <v>171</v>
      </c>
      <c r="I6538" t="s">
        <v>42</v>
      </c>
      <c r="J6538" t="s">
        <v>43</v>
      </c>
      <c r="K6538" t="s">
        <v>47</v>
      </c>
      <c r="L6538" t="s">
        <v>48</v>
      </c>
      <c r="M6538" t="s">
        <v>172</v>
      </c>
      <c r="N6538">
        <v>1354</v>
      </c>
      <c r="O6538" s="14">
        <v>0.50062450254335999</v>
      </c>
      <c r="P6538" s="14">
        <v>0.16460988437756899</v>
      </c>
      <c r="Q6538" t="str">
        <f t="shared" si="204"/>
        <v>35-49</v>
      </c>
      <c r="R6538" t="str">
        <f t="shared" si="205"/>
        <v>[ScR9iFKAasW]|35-49|Male|PLHIV_Residents.T2|CY2025Q3</v>
      </c>
    </row>
    <row r="6539" spans="4:18" x14ac:dyDescent="0.2">
      <c r="D6539" t="s">
        <v>65</v>
      </c>
      <c r="E6539" t="s">
        <v>66</v>
      </c>
      <c r="F6539" t="s">
        <v>67</v>
      </c>
      <c r="G6539" t="s">
        <v>170</v>
      </c>
      <c r="H6539" t="s">
        <v>171</v>
      </c>
      <c r="I6539" t="s">
        <v>44</v>
      </c>
      <c r="J6539" t="s">
        <v>45</v>
      </c>
      <c r="K6539" t="s">
        <v>47</v>
      </c>
      <c r="L6539" t="s">
        <v>48</v>
      </c>
      <c r="M6539" t="s">
        <v>172</v>
      </c>
      <c r="N6539">
        <v>973</v>
      </c>
      <c r="O6539" s="14">
        <v>0.90317455586046003</v>
      </c>
      <c r="P6539" s="14">
        <v>0.16460988437756899</v>
      </c>
      <c r="Q6539" t="str">
        <f t="shared" si="204"/>
        <v>50+</v>
      </c>
      <c r="R6539" t="str">
        <f t="shared" si="205"/>
        <v>[ScR9iFKAasW]|50+|Male|PLHIV_Residents.T2|CY2025Q3</v>
      </c>
    </row>
    <row r="6540" spans="4:18" x14ac:dyDescent="0.2">
      <c r="D6540" t="s">
        <v>68</v>
      </c>
      <c r="E6540" t="s">
        <v>69</v>
      </c>
      <c r="F6540" t="s">
        <v>70</v>
      </c>
      <c r="G6540" t="s">
        <v>170</v>
      </c>
      <c r="H6540" t="s">
        <v>171</v>
      </c>
      <c r="I6540" t="s">
        <v>27</v>
      </c>
      <c r="J6540" t="s">
        <v>28</v>
      </c>
      <c r="K6540" t="s">
        <v>29</v>
      </c>
      <c r="L6540" t="s">
        <v>30</v>
      </c>
      <c r="M6540" t="s">
        <v>172</v>
      </c>
      <c r="N6540">
        <v>1426</v>
      </c>
      <c r="O6540" s="14">
        <v>0.79139775247313104</v>
      </c>
      <c r="P6540" s="14">
        <v>0.19881726312451101</v>
      </c>
      <c r="Q6540" t="str">
        <f t="shared" si="204"/>
        <v>&lt;01</v>
      </c>
      <c r="R6540" t="str">
        <f t="shared" si="205"/>
        <v>[PekKUkKHAzY]|&lt;01|Female|PLHIV_Residents.T2|CY2025Q3</v>
      </c>
    </row>
    <row r="6541" spans="4:18" x14ac:dyDescent="0.2">
      <c r="D6541" t="s">
        <v>68</v>
      </c>
      <c r="E6541" t="s">
        <v>69</v>
      </c>
      <c r="F6541" t="s">
        <v>70</v>
      </c>
      <c r="G6541" t="s">
        <v>170</v>
      </c>
      <c r="H6541" t="s">
        <v>171</v>
      </c>
      <c r="I6541" t="s">
        <v>32</v>
      </c>
      <c r="J6541" t="s">
        <v>33</v>
      </c>
      <c r="K6541" t="s">
        <v>29</v>
      </c>
      <c r="L6541" t="s">
        <v>30</v>
      </c>
      <c r="M6541" t="s">
        <v>172</v>
      </c>
      <c r="N6541">
        <v>553</v>
      </c>
      <c r="O6541" s="14">
        <v>0.98066851403564204</v>
      </c>
      <c r="P6541" s="14">
        <v>0.19881726312451101</v>
      </c>
      <c r="Q6541" t="str">
        <f t="shared" si="204"/>
        <v>01-09</v>
      </c>
      <c r="R6541" t="str">
        <f t="shared" si="205"/>
        <v>[PekKUkKHAzY]|01-09|Female|PLHIV_Residents.T2|CY2025Q3</v>
      </c>
    </row>
    <row r="6542" spans="4:18" x14ac:dyDescent="0.2">
      <c r="D6542" t="s">
        <v>68</v>
      </c>
      <c r="E6542" t="s">
        <v>69</v>
      </c>
      <c r="F6542" t="s">
        <v>70</v>
      </c>
      <c r="G6542" t="s">
        <v>170</v>
      </c>
      <c r="H6542" t="s">
        <v>171</v>
      </c>
      <c r="I6542" t="s">
        <v>35</v>
      </c>
      <c r="J6542" t="s">
        <v>36</v>
      </c>
      <c r="K6542" t="s">
        <v>29</v>
      </c>
      <c r="L6542" t="s">
        <v>30</v>
      </c>
      <c r="M6542" t="s">
        <v>172</v>
      </c>
      <c r="N6542">
        <v>1426</v>
      </c>
      <c r="O6542" s="14">
        <v>0.43181579350493798</v>
      </c>
      <c r="P6542" s="14">
        <v>0.19881726312451101</v>
      </c>
      <c r="Q6542" t="str">
        <f t="shared" si="204"/>
        <v>10-14</v>
      </c>
      <c r="R6542" t="str">
        <f t="shared" si="205"/>
        <v>[PekKUkKHAzY]|10-14|Female|PLHIV_Residents.T2|CY2025Q3</v>
      </c>
    </row>
    <row r="6543" spans="4:18" x14ac:dyDescent="0.2">
      <c r="D6543" t="s">
        <v>68</v>
      </c>
      <c r="E6543" t="s">
        <v>69</v>
      </c>
      <c r="F6543" t="s">
        <v>70</v>
      </c>
      <c r="G6543" t="s">
        <v>170</v>
      </c>
      <c r="H6543" t="s">
        <v>171</v>
      </c>
      <c r="I6543" t="s">
        <v>37</v>
      </c>
      <c r="J6543" t="s">
        <v>38</v>
      </c>
      <c r="K6543" t="s">
        <v>29</v>
      </c>
      <c r="L6543" t="s">
        <v>30</v>
      </c>
      <c r="M6543" t="s">
        <v>172</v>
      </c>
      <c r="N6543">
        <v>1653</v>
      </c>
      <c r="O6543" s="14">
        <v>0.96496551204472802</v>
      </c>
      <c r="P6543" s="14">
        <v>0.19881726312451101</v>
      </c>
      <c r="Q6543" t="str">
        <f t="shared" si="204"/>
        <v>15-24</v>
      </c>
      <c r="R6543" t="str">
        <f t="shared" si="205"/>
        <v>[PekKUkKHAzY]|15-24|Female|PLHIV_Residents.T2|CY2025Q3</v>
      </c>
    </row>
    <row r="6544" spans="4:18" x14ac:dyDescent="0.2">
      <c r="D6544" t="s">
        <v>68</v>
      </c>
      <c r="E6544" t="s">
        <v>69</v>
      </c>
      <c r="F6544" t="s">
        <v>70</v>
      </c>
      <c r="G6544" t="s">
        <v>170</v>
      </c>
      <c r="H6544" t="s">
        <v>171</v>
      </c>
      <c r="I6544" t="s">
        <v>40</v>
      </c>
      <c r="J6544" t="s">
        <v>41</v>
      </c>
      <c r="K6544" t="s">
        <v>29</v>
      </c>
      <c r="L6544" t="s">
        <v>30</v>
      </c>
      <c r="M6544" t="s">
        <v>172</v>
      </c>
      <c r="N6544">
        <v>1259</v>
      </c>
      <c r="O6544" s="14">
        <v>0.53096509655006197</v>
      </c>
      <c r="P6544" s="14">
        <v>0.19881726312451101</v>
      </c>
      <c r="Q6544" t="str">
        <f t="shared" si="204"/>
        <v>25-34</v>
      </c>
      <c r="R6544" t="str">
        <f t="shared" si="205"/>
        <v>[PekKUkKHAzY]|25-34|Female|PLHIV_Residents.T2|CY2025Q3</v>
      </c>
    </row>
    <row r="6545" spans="4:18" x14ac:dyDescent="0.2">
      <c r="D6545" t="s">
        <v>68</v>
      </c>
      <c r="E6545" t="s">
        <v>69</v>
      </c>
      <c r="F6545" t="s">
        <v>70</v>
      </c>
      <c r="G6545" t="s">
        <v>170</v>
      </c>
      <c r="H6545" t="s">
        <v>171</v>
      </c>
      <c r="I6545" t="s">
        <v>42</v>
      </c>
      <c r="J6545" t="s">
        <v>43</v>
      </c>
      <c r="K6545" t="s">
        <v>29</v>
      </c>
      <c r="L6545" t="s">
        <v>30</v>
      </c>
      <c r="M6545" t="s">
        <v>172</v>
      </c>
      <c r="N6545">
        <v>1200</v>
      </c>
      <c r="O6545" s="14">
        <v>5.5518191540613798E-2</v>
      </c>
      <c r="P6545" s="14">
        <v>0.19881726312451101</v>
      </c>
      <c r="Q6545" t="str">
        <f t="shared" si="204"/>
        <v>35-49</v>
      </c>
      <c r="R6545" t="str">
        <f t="shared" si="205"/>
        <v>[PekKUkKHAzY]|35-49|Female|PLHIV_Residents.T2|CY2025Q3</v>
      </c>
    </row>
    <row r="6546" spans="4:18" x14ac:dyDescent="0.2">
      <c r="D6546" t="s">
        <v>68</v>
      </c>
      <c r="E6546" t="s">
        <v>69</v>
      </c>
      <c r="F6546" t="s">
        <v>70</v>
      </c>
      <c r="G6546" t="s">
        <v>170</v>
      </c>
      <c r="H6546" t="s">
        <v>171</v>
      </c>
      <c r="I6546" t="s">
        <v>44</v>
      </c>
      <c r="J6546" t="s">
        <v>45</v>
      </c>
      <c r="K6546" t="s">
        <v>29</v>
      </c>
      <c r="L6546" t="s">
        <v>30</v>
      </c>
      <c r="M6546" t="s">
        <v>172</v>
      </c>
      <c r="N6546">
        <v>1494</v>
      </c>
      <c r="O6546" s="14">
        <v>0.42889756290242098</v>
      </c>
      <c r="P6546" s="14">
        <v>0.19881726312451101</v>
      </c>
      <c r="Q6546" t="str">
        <f t="shared" si="204"/>
        <v>50+</v>
      </c>
      <c r="R6546" t="str">
        <f t="shared" si="205"/>
        <v>[PekKUkKHAzY]|50+|Female|PLHIV_Residents.T2|CY2025Q3</v>
      </c>
    </row>
    <row r="6547" spans="4:18" x14ac:dyDescent="0.2">
      <c r="D6547" t="s">
        <v>68</v>
      </c>
      <c r="E6547" t="s">
        <v>69</v>
      </c>
      <c r="F6547" t="s">
        <v>70</v>
      </c>
      <c r="G6547" t="s">
        <v>170</v>
      </c>
      <c r="H6547" t="s">
        <v>171</v>
      </c>
      <c r="I6547" t="s">
        <v>27</v>
      </c>
      <c r="J6547" t="s">
        <v>28</v>
      </c>
      <c r="K6547" t="s">
        <v>47</v>
      </c>
      <c r="L6547" t="s">
        <v>48</v>
      </c>
      <c r="M6547" t="s">
        <v>172</v>
      </c>
      <c r="N6547">
        <v>1432</v>
      </c>
      <c r="O6547" s="14">
        <v>0.108392238151282</v>
      </c>
      <c r="P6547" s="14">
        <v>0.19881726312451101</v>
      </c>
      <c r="Q6547" t="str">
        <f t="shared" si="204"/>
        <v>&lt;01</v>
      </c>
      <c r="R6547" t="str">
        <f t="shared" si="205"/>
        <v>[PekKUkKHAzY]|&lt;01|Male|PLHIV_Residents.T2|CY2025Q3</v>
      </c>
    </row>
    <row r="6548" spans="4:18" x14ac:dyDescent="0.2">
      <c r="D6548" t="s">
        <v>68</v>
      </c>
      <c r="E6548" t="s">
        <v>69</v>
      </c>
      <c r="F6548" t="s">
        <v>70</v>
      </c>
      <c r="G6548" t="s">
        <v>170</v>
      </c>
      <c r="H6548" t="s">
        <v>171</v>
      </c>
      <c r="I6548" t="s">
        <v>32</v>
      </c>
      <c r="J6548" t="s">
        <v>33</v>
      </c>
      <c r="K6548" t="s">
        <v>47</v>
      </c>
      <c r="L6548" t="s">
        <v>48</v>
      </c>
      <c r="M6548" t="s">
        <v>172</v>
      </c>
      <c r="N6548">
        <v>1204</v>
      </c>
      <c r="O6548" s="14">
        <v>0.81521147699095298</v>
      </c>
      <c r="P6548" s="14">
        <v>0.19881726312451101</v>
      </c>
      <c r="Q6548" t="str">
        <f t="shared" si="204"/>
        <v>01-09</v>
      </c>
      <c r="R6548" t="str">
        <f t="shared" si="205"/>
        <v>[PekKUkKHAzY]|01-09|Male|PLHIV_Residents.T2|CY2025Q3</v>
      </c>
    </row>
    <row r="6549" spans="4:18" x14ac:dyDescent="0.2">
      <c r="D6549" t="s">
        <v>68</v>
      </c>
      <c r="E6549" t="s">
        <v>69</v>
      </c>
      <c r="F6549" t="s">
        <v>70</v>
      </c>
      <c r="G6549" t="s">
        <v>170</v>
      </c>
      <c r="H6549" t="s">
        <v>171</v>
      </c>
      <c r="I6549" t="s">
        <v>35</v>
      </c>
      <c r="J6549" t="s">
        <v>36</v>
      </c>
      <c r="K6549" t="s">
        <v>47</v>
      </c>
      <c r="L6549" t="s">
        <v>48</v>
      </c>
      <c r="M6549" t="s">
        <v>172</v>
      </c>
      <c r="N6549">
        <v>1736</v>
      </c>
      <c r="O6549" s="14">
        <v>0.126822874415666</v>
      </c>
      <c r="P6549" s="14">
        <v>0.19881726312451101</v>
      </c>
      <c r="Q6549" t="str">
        <f t="shared" si="204"/>
        <v>10-14</v>
      </c>
      <c r="R6549" t="str">
        <f t="shared" si="205"/>
        <v>[PekKUkKHAzY]|10-14|Male|PLHIV_Residents.T2|CY2025Q3</v>
      </c>
    </row>
    <row r="6550" spans="4:18" x14ac:dyDescent="0.2">
      <c r="D6550" t="s">
        <v>68</v>
      </c>
      <c r="E6550" t="s">
        <v>69</v>
      </c>
      <c r="F6550" t="s">
        <v>70</v>
      </c>
      <c r="G6550" t="s">
        <v>170</v>
      </c>
      <c r="H6550" t="s">
        <v>171</v>
      </c>
      <c r="I6550" t="s">
        <v>37</v>
      </c>
      <c r="J6550" t="s">
        <v>38</v>
      </c>
      <c r="K6550" t="s">
        <v>47</v>
      </c>
      <c r="L6550" t="s">
        <v>48</v>
      </c>
      <c r="M6550" t="s">
        <v>172</v>
      </c>
      <c r="N6550">
        <v>1946</v>
      </c>
      <c r="O6550" s="14">
        <v>0.55397503636777401</v>
      </c>
      <c r="P6550" s="14">
        <v>0.19881726312451101</v>
      </c>
      <c r="Q6550" t="str">
        <f t="shared" si="204"/>
        <v>15-24</v>
      </c>
      <c r="R6550" t="str">
        <f t="shared" si="205"/>
        <v>[PekKUkKHAzY]|15-24|Male|PLHIV_Residents.T2|CY2025Q3</v>
      </c>
    </row>
    <row r="6551" spans="4:18" x14ac:dyDescent="0.2">
      <c r="D6551" t="s">
        <v>68</v>
      </c>
      <c r="E6551" t="s">
        <v>69</v>
      </c>
      <c r="F6551" t="s">
        <v>70</v>
      </c>
      <c r="G6551" t="s">
        <v>170</v>
      </c>
      <c r="H6551" t="s">
        <v>171</v>
      </c>
      <c r="I6551" t="s">
        <v>40</v>
      </c>
      <c r="J6551" t="s">
        <v>41</v>
      </c>
      <c r="K6551" t="s">
        <v>47</v>
      </c>
      <c r="L6551" t="s">
        <v>48</v>
      </c>
      <c r="M6551" t="s">
        <v>172</v>
      </c>
      <c r="N6551">
        <v>924</v>
      </c>
      <c r="O6551" s="14">
        <v>0.75440106005407903</v>
      </c>
      <c r="P6551" s="14">
        <v>0.19881726312451101</v>
      </c>
      <c r="Q6551" t="str">
        <f t="shared" si="204"/>
        <v>25-34</v>
      </c>
      <c r="R6551" t="str">
        <f t="shared" si="205"/>
        <v>[PekKUkKHAzY]|25-34|Male|PLHIV_Residents.T2|CY2025Q3</v>
      </c>
    </row>
    <row r="6552" spans="4:18" x14ac:dyDescent="0.2">
      <c r="D6552" t="s">
        <v>68</v>
      </c>
      <c r="E6552" t="s">
        <v>69</v>
      </c>
      <c r="F6552" t="s">
        <v>70</v>
      </c>
      <c r="G6552" t="s">
        <v>170</v>
      </c>
      <c r="H6552" t="s">
        <v>171</v>
      </c>
      <c r="I6552" t="s">
        <v>42</v>
      </c>
      <c r="J6552" t="s">
        <v>43</v>
      </c>
      <c r="K6552" t="s">
        <v>47</v>
      </c>
      <c r="L6552" t="s">
        <v>48</v>
      </c>
      <c r="M6552" t="s">
        <v>172</v>
      </c>
      <c r="N6552">
        <v>773</v>
      </c>
      <c r="O6552" s="14">
        <v>0.74112807400524605</v>
      </c>
      <c r="P6552" s="14">
        <v>0.19881726312451101</v>
      </c>
      <c r="Q6552" t="str">
        <f t="shared" si="204"/>
        <v>35-49</v>
      </c>
      <c r="R6552" t="str">
        <f t="shared" si="205"/>
        <v>[PekKUkKHAzY]|35-49|Male|PLHIV_Residents.T2|CY2025Q3</v>
      </c>
    </row>
    <row r="6553" spans="4:18" x14ac:dyDescent="0.2">
      <c r="D6553" t="s">
        <v>68</v>
      </c>
      <c r="E6553" t="s">
        <v>69</v>
      </c>
      <c r="F6553" t="s">
        <v>70</v>
      </c>
      <c r="G6553" t="s">
        <v>170</v>
      </c>
      <c r="H6553" t="s">
        <v>171</v>
      </c>
      <c r="I6553" t="s">
        <v>44</v>
      </c>
      <c r="J6553" t="s">
        <v>45</v>
      </c>
      <c r="K6553" t="s">
        <v>47</v>
      </c>
      <c r="L6553" t="s">
        <v>48</v>
      </c>
      <c r="M6553" t="s">
        <v>172</v>
      </c>
      <c r="N6553">
        <v>522</v>
      </c>
      <c r="O6553" s="14">
        <v>0.41503097838722203</v>
      </c>
      <c r="P6553" s="14">
        <v>0.19881726312451101</v>
      </c>
      <c r="Q6553" t="str">
        <f t="shared" si="204"/>
        <v>50+</v>
      </c>
      <c r="R6553" t="str">
        <f t="shared" si="205"/>
        <v>[PekKUkKHAzY]|50+|Male|PLHIV_Residents.T2|CY2025Q3</v>
      </c>
    </row>
    <row r="6554" spans="4:18" x14ac:dyDescent="0.2">
      <c r="D6554" t="s">
        <v>71</v>
      </c>
      <c r="E6554" t="s">
        <v>72</v>
      </c>
      <c r="F6554" t="s">
        <v>73</v>
      </c>
      <c r="G6554" t="s">
        <v>170</v>
      </c>
      <c r="H6554" t="s">
        <v>171</v>
      </c>
      <c r="I6554" t="s">
        <v>27</v>
      </c>
      <c r="J6554" t="s">
        <v>28</v>
      </c>
      <c r="K6554" t="s">
        <v>29</v>
      </c>
      <c r="L6554" t="s">
        <v>30</v>
      </c>
      <c r="M6554" t="s">
        <v>172</v>
      </c>
      <c r="N6554">
        <v>1636</v>
      </c>
      <c r="O6554" s="14">
        <v>0.37942538759671202</v>
      </c>
      <c r="P6554" s="14">
        <v>0.28972870693542102</v>
      </c>
      <c r="Q6554" t="str">
        <f t="shared" si="204"/>
        <v>&lt;01</v>
      </c>
      <c r="R6554" t="str">
        <f t="shared" si="205"/>
        <v>[am530wpaGvr]|&lt;01|Female|PLHIV_Residents.T2|CY2025Q3</v>
      </c>
    </row>
    <row r="6555" spans="4:18" x14ac:dyDescent="0.2">
      <c r="D6555" t="s">
        <v>71</v>
      </c>
      <c r="E6555" t="s">
        <v>72</v>
      </c>
      <c r="F6555" t="s">
        <v>73</v>
      </c>
      <c r="G6555" t="s">
        <v>170</v>
      </c>
      <c r="H6555" t="s">
        <v>171</v>
      </c>
      <c r="I6555" t="s">
        <v>32</v>
      </c>
      <c r="J6555" t="s">
        <v>33</v>
      </c>
      <c r="K6555" t="s">
        <v>29</v>
      </c>
      <c r="L6555" t="s">
        <v>30</v>
      </c>
      <c r="M6555" t="s">
        <v>172</v>
      </c>
      <c r="N6555">
        <v>1793</v>
      </c>
      <c r="O6555" s="14">
        <v>5.7235578773543197E-2</v>
      </c>
      <c r="P6555" s="14">
        <v>0.28972870693542102</v>
      </c>
      <c r="Q6555" t="str">
        <f t="shared" si="204"/>
        <v>01-09</v>
      </c>
      <c r="R6555" t="str">
        <f t="shared" si="205"/>
        <v>[am530wpaGvr]|01-09|Female|PLHIV_Residents.T2|CY2025Q3</v>
      </c>
    </row>
    <row r="6556" spans="4:18" x14ac:dyDescent="0.2">
      <c r="D6556" t="s">
        <v>71</v>
      </c>
      <c r="E6556" t="s">
        <v>72</v>
      </c>
      <c r="F6556" t="s">
        <v>73</v>
      </c>
      <c r="G6556" t="s">
        <v>170</v>
      </c>
      <c r="H6556" t="s">
        <v>171</v>
      </c>
      <c r="I6556" t="s">
        <v>35</v>
      </c>
      <c r="J6556" t="s">
        <v>36</v>
      </c>
      <c r="K6556" t="s">
        <v>29</v>
      </c>
      <c r="L6556" t="s">
        <v>30</v>
      </c>
      <c r="M6556" t="s">
        <v>172</v>
      </c>
      <c r="N6556">
        <v>1587</v>
      </c>
      <c r="O6556" s="14">
        <v>0.59013899369165301</v>
      </c>
      <c r="P6556" s="14">
        <v>0.28972870693542102</v>
      </c>
      <c r="Q6556" t="str">
        <f t="shared" si="204"/>
        <v>10-14</v>
      </c>
      <c r="R6556" t="str">
        <f t="shared" si="205"/>
        <v>[am530wpaGvr]|10-14|Female|PLHIV_Residents.T2|CY2025Q3</v>
      </c>
    </row>
    <row r="6557" spans="4:18" x14ac:dyDescent="0.2">
      <c r="D6557" t="s">
        <v>71</v>
      </c>
      <c r="E6557" t="s">
        <v>72</v>
      </c>
      <c r="F6557" t="s">
        <v>73</v>
      </c>
      <c r="G6557" t="s">
        <v>170</v>
      </c>
      <c r="H6557" t="s">
        <v>171</v>
      </c>
      <c r="I6557" t="s">
        <v>37</v>
      </c>
      <c r="J6557" t="s">
        <v>38</v>
      </c>
      <c r="K6557" t="s">
        <v>29</v>
      </c>
      <c r="L6557" t="s">
        <v>30</v>
      </c>
      <c r="M6557" t="s">
        <v>172</v>
      </c>
      <c r="N6557">
        <v>1573</v>
      </c>
      <c r="O6557" s="14">
        <v>6.8673598812893005E-2</v>
      </c>
      <c r="P6557" s="14">
        <v>0.28972870693542102</v>
      </c>
      <c r="Q6557" t="str">
        <f t="shared" si="204"/>
        <v>15-24</v>
      </c>
      <c r="R6557" t="str">
        <f t="shared" si="205"/>
        <v>[am530wpaGvr]|15-24|Female|PLHIV_Residents.T2|CY2025Q3</v>
      </c>
    </row>
    <row r="6558" spans="4:18" x14ac:dyDescent="0.2">
      <c r="D6558" t="s">
        <v>71</v>
      </c>
      <c r="E6558" t="s">
        <v>72</v>
      </c>
      <c r="F6558" t="s">
        <v>73</v>
      </c>
      <c r="G6558" t="s">
        <v>170</v>
      </c>
      <c r="H6558" t="s">
        <v>171</v>
      </c>
      <c r="I6558" t="s">
        <v>40</v>
      </c>
      <c r="J6558" t="s">
        <v>41</v>
      </c>
      <c r="K6558" t="s">
        <v>29</v>
      </c>
      <c r="L6558" t="s">
        <v>30</v>
      </c>
      <c r="M6558" t="s">
        <v>172</v>
      </c>
      <c r="N6558">
        <v>1457</v>
      </c>
      <c r="O6558" s="14">
        <v>0.97547425469383597</v>
      </c>
      <c r="P6558" s="14">
        <v>0.28972870693542102</v>
      </c>
      <c r="Q6558" t="str">
        <f t="shared" si="204"/>
        <v>25-34</v>
      </c>
      <c r="R6558" t="str">
        <f t="shared" si="205"/>
        <v>[am530wpaGvr]|25-34|Female|PLHIV_Residents.T2|CY2025Q3</v>
      </c>
    </row>
    <row r="6559" spans="4:18" x14ac:dyDescent="0.2">
      <c r="D6559" t="s">
        <v>71</v>
      </c>
      <c r="E6559" t="s">
        <v>72</v>
      </c>
      <c r="F6559" t="s">
        <v>73</v>
      </c>
      <c r="G6559" t="s">
        <v>170</v>
      </c>
      <c r="H6559" t="s">
        <v>171</v>
      </c>
      <c r="I6559" t="s">
        <v>42</v>
      </c>
      <c r="J6559" t="s">
        <v>43</v>
      </c>
      <c r="K6559" t="s">
        <v>29</v>
      </c>
      <c r="L6559" t="s">
        <v>30</v>
      </c>
      <c r="M6559" t="s">
        <v>172</v>
      </c>
      <c r="N6559">
        <v>1958</v>
      </c>
      <c r="O6559" s="14">
        <v>0.29654792370274702</v>
      </c>
      <c r="P6559" s="14">
        <v>0.28972870693542102</v>
      </c>
      <c r="Q6559" t="str">
        <f t="shared" si="204"/>
        <v>35-49</v>
      </c>
      <c r="R6559" t="str">
        <f t="shared" si="205"/>
        <v>[am530wpaGvr]|35-49|Female|PLHIV_Residents.T2|CY2025Q3</v>
      </c>
    </row>
    <row r="6560" spans="4:18" x14ac:dyDescent="0.2">
      <c r="D6560" t="s">
        <v>71</v>
      </c>
      <c r="E6560" t="s">
        <v>72</v>
      </c>
      <c r="F6560" t="s">
        <v>73</v>
      </c>
      <c r="G6560" t="s">
        <v>170</v>
      </c>
      <c r="H6560" t="s">
        <v>171</v>
      </c>
      <c r="I6560" t="s">
        <v>44</v>
      </c>
      <c r="J6560" t="s">
        <v>45</v>
      </c>
      <c r="K6560" t="s">
        <v>29</v>
      </c>
      <c r="L6560" t="s">
        <v>30</v>
      </c>
      <c r="M6560" t="s">
        <v>172</v>
      </c>
      <c r="N6560">
        <v>1131</v>
      </c>
      <c r="O6560" s="14">
        <v>0.26454741344787203</v>
      </c>
      <c r="P6560" s="14">
        <v>0.28972870693542102</v>
      </c>
      <c r="Q6560" t="str">
        <f t="shared" si="204"/>
        <v>50+</v>
      </c>
      <c r="R6560" t="str">
        <f t="shared" si="205"/>
        <v>[am530wpaGvr]|50+|Female|PLHIV_Residents.T2|CY2025Q3</v>
      </c>
    </row>
    <row r="6561" spans="4:18" x14ac:dyDescent="0.2">
      <c r="D6561" t="s">
        <v>71</v>
      </c>
      <c r="E6561" t="s">
        <v>72</v>
      </c>
      <c r="F6561" t="s">
        <v>73</v>
      </c>
      <c r="G6561" t="s">
        <v>170</v>
      </c>
      <c r="H6561" t="s">
        <v>171</v>
      </c>
      <c r="I6561" t="s">
        <v>27</v>
      </c>
      <c r="J6561" t="s">
        <v>28</v>
      </c>
      <c r="K6561" t="s">
        <v>47</v>
      </c>
      <c r="L6561" t="s">
        <v>48</v>
      </c>
      <c r="M6561" t="s">
        <v>172</v>
      </c>
      <c r="N6561">
        <v>1481</v>
      </c>
      <c r="O6561" s="14">
        <v>0.84860276221297704</v>
      </c>
      <c r="P6561" s="14">
        <v>0.28972870693542102</v>
      </c>
      <c r="Q6561" t="str">
        <f t="shared" si="204"/>
        <v>&lt;01</v>
      </c>
      <c r="R6561" t="str">
        <f t="shared" si="205"/>
        <v>[am530wpaGvr]|&lt;01|Male|PLHIV_Residents.T2|CY2025Q3</v>
      </c>
    </row>
    <row r="6562" spans="4:18" x14ac:dyDescent="0.2">
      <c r="D6562" t="s">
        <v>71</v>
      </c>
      <c r="E6562" t="s">
        <v>72</v>
      </c>
      <c r="F6562" t="s">
        <v>73</v>
      </c>
      <c r="G6562" t="s">
        <v>170</v>
      </c>
      <c r="H6562" t="s">
        <v>171</v>
      </c>
      <c r="I6562" t="s">
        <v>32</v>
      </c>
      <c r="J6562" t="s">
        <v>33</v>
      </c>
      <c r="K6562" t="s">
        <v>47</v>
      </c>
      <c r="L6562" t="s">
        <v>48</v>
      </c>
      <c r="M6562" t="s">
        <v>172</v>
      </c>
      <c r="N6562">
        <v>565</v>
      </c>
      <c r="O6562" s="14">
        <v>0.65321964025497403</v>
      </c>
      <c r="P6562" s="14">
        <v>0.28972870693542102</v>
      </c>
      <c r="Q6562" t="str">
        <f t="shared" si="204"/>
        <v>01-09</v>
      </c>
      <c r="R6562" t="str">
        <f t="shared" si="205"/>
        <v>[am530wpaGvr]|01-09|Male|PLHIV_Residents.T2|CY2025Q3</v>
      </c>
    </row>
    <row r="6563" spans="4:18" x14ac:dyDescent="0.2">
      <c r="D6563" t="s">
        <v>71</v>
      </c>
      <c r="E6563" t="s">
        <v>72</v>
      </c>
      <c r="F6563" t="s">
        <v>73</v>
      </c>
      <c r="G6563" t="s">
        <v>170</v>
      </c>
      <c r="H6563" t="s">
        <v>171</v>
      </c>
      <c r="I6563" t="s">
        <v>35</v>
      </c>
      <c r="J6563" t="s">
        <v>36</v>
      </c>
      <c r="K6563" t="s">
        <v>47</v>
      </c>
      <c r="L6563" t="s">
        <v>48</v>
      </c>
      <c r="M6563" t="s">
        <v>172</v>
      </c>
      <c r="N6563">
        <v>737</v>
      </c>
      <c r="O6563" s="14">
        <v>1.5332606621086599E-2</v>
      </c>
      <c r="P6563" s="14">
        <v>0.28972870693542102</v>
      </c>
      <c r="Q6563" t="str">
        <f t="shared" si="204"/>
        <v>10-14</v>
      </c>
      <c r="R6563" t="str">
        <f t="shared" si="205"/>
        <v>[am530wpaGvr]|10-14|Male|PLHIV_Residents.T2|CY2025Q3</v>
      </c>
    </row>
    <row r="6564" spans="4:18" x14ac:dyDescent="0.2">
      <c r="D6564" t="s">
        <v>71</v>
      </c>
      <c r="E6564" t="s">
        <v>72</v>
      </c>
      <c r="F6564" t="s">
        <v>73</v>
      </c>
      <c r="G6564" t="s">
        <v>170</v>
      </c>
      <c r="H6564" t="s">
        <v>171</v>
      </c>
      <c r="I6564" t="s">
        <v>37</v>
      </c>
      <c r="J6564" t="s">
        <v>38</v>
      </c>
      <c r="K6564" t="s">
        <v>47</v>
      </c>
      <c r="L6564" t="s">
        <v>48</v>
      </c>
      <c r="M6564" t="s">
        <v>172</v>
      </c>
      <c r="N6564">
        <v>944</v>
      </c>
      <c r="O6564" s="14">
        <v>0.58925636438652895</v>
      </c>
      <c r="P6564" s="14">
        <v>0.28972870693542102</v>
      </c>
      <c r="Q6564" t="str">
        <f t="shared" si="204"/>
        <v>15-24</v>
      </c>
      <c r="R6564" t="str">
        <f t="shared" si="205"/>
        <v>[am530wpaGvr]|15-24|Male|PLHIV_Residents.T2|CY2025Q3</v>
      </c>
    </row>
    <row r="6565" spans="4:18" x14ac:dyDescent="0.2">
      <c r="D6565" t="s">
        <v>71</v>
      </c>
      <c r="E6565" t="s">
        <v>72</v>
      </c>
      <c r="F6565" t="s">
        <v>73</v>
      </c>
      <c r="G6565" t="s">
        <v>170</v>
      </c>
      <c r="H6565" t="s">
        <v>171</v>
      </c>
      <c r="I6565" t="s">
        <v>40</v>
      </c>
      <c r="J6565" t="s">
        <v>41</v>
      </c>
      <c r="K6565" t="s">
        <v>47</v>
      </c>
      <c r="L6565" t="s">
        <v>48</v>
      </c>
      <c r="M6565" t="s">
        <v>172</v>
      </c>
      <c r="N6565">
        <v>846</v>
      </c>
      <c r="O6565" s="14">
        <v>0.69737835414707705</v>
      </c>
      <c r="P6565" s="14">
        <v>0.28972870693542102</v>
      </c>
      <c r="Q6565" t="str">
        <f t="shared" si="204"/>
        <v>25-34</v>
      </c>
      <c r="R6565" t="str">
        <f t="shared" si="205"/>
        <v>[am530wpaGvr]|25-34|Male|PLHIV_Residents.T2|CY2025Q3</v>
      </c>
    </row>
    <row r="6566" spans="4:18" x14ac:dyDescent="0.2">
      <c r="D6566" t="s">
        <v>71</v>
      </c>
      <c r="E6566" t="s">
        <v>72</v>
      </c>
      <c r="F6566" t="s">
        <v>73</v>
      </c>
      <c r="G6566" t="s">
        <v>170</v>
      </c>
      <c r="H6566" t="s">
        <v>171</v>
      </c>
      <c r="I6566" t="s">
        <v>42</v>
      </c>
      <c r="J6566" t="s">
        <v>43</v>
      </c>
      <c r="K6566" t="s">
        <v>47</v>
      </c>
      <c r="L6566" t="s">
        <v>48</v>
      </c>
      <c r="M6566" t="s">
        <v>172</v>
      </c>
      <c r="N6566">
        <v>1518</v>
      </c>
      <c r="O6566" s="14">
        <v>0.223218065686524</v>
      </c>
      <c r="P6566" s="14">
        <v>0.28972870693542102</v>
      </c>
      <c r="Q6566" t="str">
        <f t="shared" si="204"/>
        <v>35-49</v>
      </c>
      <c r="R6566" t="str">
        <f t="shared" si="205"/>
        <v>[am530wpaGvr]|35-49|Male|PLHIV_Residents.T2|CY2025Q3</v>
      </c>
    </row>
    <row r="6567" spans="4:18" x14ac:dyDescent="0.2">
      <c r="D6567" t="s">
        <v>71</v>
      </c>
      <c r="E6567" t="s">
        <v>72</v>
      </c>
      <c r="F6567" t="s">
        <v>73</v>
      </c>
      <c r="G6567" t="s">
        <v>170</v>
      </c>
      <c r="H6567" t="s">
        <v>171</v>
      </c>
      <c r="I6567" t="s">
        <v>44</v>
      </c>
      <c r="J6567" t="s">
        <v>45</v>
      </c>
      <c r="K6567" t="s">
        <v>47</v>
      </c>
      <c r="L6567" t="s">
        <v>48</v>
      </c>
      <c r="M6567" t="s">
        <v>172</v>
      </c>
      <c r="N6567">
        <v>1606</v>
      </c>
      <c r="O6567" s="14">
        <v>0.71613299008458897</v>
      </c>
      <c r="P6567" s="14">
        <v>0.28972870693542102</v>
      </c>
      <c r="Q6567" t="str">
        <f t="shared" si="204"/>
        <v>50+</v>
      </c>
      <c r="R6567" t="str">
        <f t="shared" si="205"/>
        <v>[am530wpaGvr]|50+|Male|PLHIV_Residents.T2|CY2025Q3</v>
      </c>
    </row>
    <row r="6568" spans="4:18" x14ac:dyDescent="0.2">
      <c r="D6568" t="s">
        <v>74</v>
      </c>
      <c r="E6568" t="s">
        <v>75</v>
      </c>
      <c r="F6568" t="s">
        <v>76</v>
      </c>
      <c r="G6568" t="s">
        <v>170</v>
      </c>
      <c r="H6568" t="s">
        <v>171</v>
      </c>
      <c r="I6568" t="s">
        <v>27</v>
      </c>
      <c r="J6568" t="s">
        <v>28</v>
      </c>
      <c r="K6568" t="s">
        <v>29</v>
      </c>
      <c r="L6568" t="s">
        <v>30</v>
      </c>
      <c r="M6568" t="s">
        <v>172</v>
      </c>
      <c r="N6568">
        <v>1151</v>
      </c>
      <c r="O6568" s="14">
        <v>0.62199885770678498</v>
      </c>
      <c r="P6568" s="14">
        <v>0.30305550759658201</v>
      </c>
      <c r="Q6568" t="str">
        <f t="shared" si="204"/>
        <v>&lt;01</v>
      </c>
      <c r="R6568" t="str">
        <f t="shared" si="205"/>
        <v>[lLDyBx5XyUi]|&lt;01|Female|PLHIV_Residents.T2|CY2025Q3</v>
      </c>
    </row>
    <row r="6569" spans="4:18" x14ac:dyDescent="0.2">
      <c r="D6569" t="s">
        <v>74</v>
      </c>
      <c r="E6569" t="s">
        <v>75</v>
      </c>
      <c r="F6569" t="s">
        <v>76</v>
      </c>
      <c r="G6569" t="s">
        <v>170</v>
      </c>
      <c r="H6569" t="s">
        <v>171</v>
      </c>
      <c r="I6569" t="s">
        <v>32</v>
      </c>
      <c r="J6569" t="s">
        <v>33</v>
      </c>
      <c r="K6569" t="s">
        <v>29</v>
      </c>
      <c r="L6569" t="s">
        <v>30</v>
      </c>
      <c r="M6569" t="s">
        <v>172</v>
      </c>
      <c r="N6569">
        <v>1609</v>
      </c>
      <c r="O6569" s="14">
        <v>0.54820224898867298</v>
      </c>
      <c r="P6569" s="14">
        <v>0.30305550759658201</v>
      </c>
      <c r="Q6569" t="str">
        <f t="shared" si="204"/>
        <v>01-09</v>
      </c>
      <c r="R6569" t="str">
        <f t="shared" si="205"/>
        <v>[lLDyBx5XyUi]|01-09|Female|PLHIV_Residents.T2|CY2025Q3</v>
      </c>
    </row>
    <row r="6570" spans="4:18" x14ac:dyDescent="0.2">
      <c r="D6570" t="s">
        <v>74</v>
      </c>
      <c r="E6570" t="s">
        <v>75</v>
      </c>
      <c r="F6570" t="s">
        <v>76</v>
      </c>
      <c r="G6570" t="s">
        <v>170</v>
      </c>
      <c r="H6570" t="s">
        <v>171</v>
      </c>
      <c r="I6570" t="s">
        <v>35</v>
      </c>
      <c r="J6570" t="s">
        <v>36</v>
      </c>
      <c r="K6570" t="s">
        <v>29</v>
      </c>
      <c r="L6570" t="s">
        <v>30</v>
      </c>
      <c r="M6570" t="s">
        <v>172</v>
      </c>
      <c r="N6570">
        <v>1330</v>
      </c>
      <c r="O6570" s="14">
        <v>0.51516892504878298</v>
      </c>
      <c r="P6570" s="14">
        <v>0.30305550759658201</v>
      </c>
      <c r="Q6570" t="str">
        <f t="shared" si="204"/>
        <v>10-14</v>
      </c>
      <c r="R6570" t="str">
        <f t="shared" si="205"/>
        <v>[lLDyBx5XyUi]|10-14|Female|PLHIV_Residents.T2|CY2025Q3</v>
      </c>
    </row>
    <row r="6571" spans="4:18" x14ac:dyDescent="0.2">
      <c r="D6571" t="s">
        <v>74</v>
      </c>
      <c r="E6571" t="s">
        <v>75</v>
      </c>
      <c r="F6571" t="s">
        <v>76</v>
      </c>
      <c r="G6571" t="s">
        <v>170</v>
      </c>
      <c r="H6571" t="s">
        <v>171</v>
      </c>
      <c r="I6571" t="s">
        <v>37</v>
      </c>
      <c r="J6571" t="s">
        <v>38</v>
      </c>
      <c r="K6571" t="s">
        <v>29</v>
      </c>
      <c r="L6571" t="s">
        <v>30</v>
      </c>
      <c r="M6571" t="s">
        <v>172</v>
      </c>
      <c r="N6571">
        <v>663</v>
      </c>
      <c r="O6571" s="14">
        <v>0.130375393666327</v>
      </c>
      <c r="P6571" s="14">
        <v>0.30305550759658201</v>
      </c>
      <c r="Q6571" t="str">
        <f t="shared" si="204"/>
        <v>15-24</v>
      </c>
      <c r="R6571" t="str">
        <f t="shared" si="205"/>
        <v>[lLDyBx5XyUi]|15-24|Female|PLHIV_Residents.T2|CY2025Q3</v>
      </c>
    </row>
    <row r="6572" spans="4:18" x14ac:dyDescent="0.2">
      <c r="D6572" t="s">
        <v>74</v>
      </c>
      <c r="E6572" t="s">
        <v>75</v>
      </c>
      <c r="F6572" t="s">
        <v>76</v>
      </c>
      <c r="G6572" t="s">
        <v>170</v>
      </c>
      <c r="H6572" t="s">
        <v>171</v>
      </c>
      <c r="I6572" t="s">
        <v>40</v>
      </c>
      <c r="J6572" t="s">
        <v>41</v>
      </c>
      <c r="K6572" t="s">
        <v>29</v>
      </c>
      <c r="L6572" t="s">
        <v>30</v>
      </c>
      <c r="M6572" t="s">
        <v>172</v>
      </c>
      <c r="N6572">
        <v>1988</v>
      </c>
      <c r="O6572" s="14">
        <v>0.42016400094144002</v>
      </c>
      <c r="P6572" s="14">
        <v>0.30305550759658201</v>
      </c>
      <c r="Q6572" t="str">
        <f t="shared" si="204"/>
        <v>25-34</v>
      </c>
      <c r="R6572" t="str">
        <f t="shared" si="205"/>
        <v>[lLDyBx5XyUi]|25-34|Female|PLHIV_Residents.T2|CY2025Q3</v>
      </c>
    </row>
    <row r="6573" spans="4:18" x14ac:dyDescent="0.2">
      <c r="D6573" t="s">
        <v>74</v>
      </c>
      <c r="E6573" t="s">
        <v>75</v>
      </c>
      <c r="F6573" t="s">
        <v>76</v>
      </c>
      <c r="G6573" t="s">
        <v>170</v>
      </c>
      <c r="H6573" t="s">
        <v>171</v>
      </c>
      <c r="I6573" t="s">
        <v>42</v>
      </c>
      <c r="J6573" t="s">
        <v>43</v>
      </c>
      <c r="K6573" t="s">
        <v>29</v>
      </c>
      <c r="L6573" t="s">
        <v>30</v>
      </c>
      <c r="M6573" t="s">
        <v>172</v>
      </c>
      <c r="N6573">
        <v>1277</v>
      </c>
      <c r="O6573" s="14">
        <v>0.57025638129562095</v>
      </c>
      <c r="P6573" s="14">
        <v>0.30305550759658201</v>
      </c>
      <c r="Q6573" t="str">
        <f t="shared" si="204"/>
        <v>35-49</v>
      </c>
      <c r="R6573" t="str">
        <f t="shared" si="205"/>
        <v>[lLDyBx5XyUi]|35-49|Female|PLHIV_Residents.T2|CY2025Q3</v>
      </c>
    </row>
    <row r="6574" spans="4:18" x14ac:dyDescent="0.2">
      <c r="D6574" t="s">
        <v>74</v>
      </c>
      <c r="E6574" t="s">
        <v>75</v>
      </c>
      <c r="F6574" t="s">
        <v>76</v>
      </c>
      <c r="G6574" t="s">
        <v>170</v>
      </c>
      <c r="H6574" t="s">
        <v>171</v>
      </c>
      <c r="I6574" t="s">
        <v>44</v>
      </c>
      <c r="J6574" t="s">
        <v>45</v>
      </c>
      <c r="K6574" t="s">
        <v>29</v>
      </c>
      <c r="L6574" t="s">
        <v>30</v>
      </c>
      <c r="M6574" t="s">
        <v>172</v>
      </c>
      <c r="N6574">
        <v>1924</v>
      </c>
      <c r="O6574" s="14">
        <v>0.55416918755509004</v>
      </c>
      <c r="P6574" s="14">
        <v>0.30305550759658201</v>
      </c>
      <c r="Q6574" t="str">
        <f t="shared" si="204"/>
        <v>50+</v>
      </c>
      <c r="R6574" t="str">
        <f t="shared" si="205"/>
        <v>[lLDyBx5XyUi]|50+|Female|PLHIV_Residents.T2|CY2025Q3</v>
      </c>
    </row>
    <row r="6575" spans="4:18" x14ac:dyDescent="0.2">
      <c r="D6575" t="s">
        <v>74</v>
      </c>
      <c r="E6575" t="s">
        <v>75</v>
      </c>
      <c r="F6575" t="s">
        <v>76</v>
      </c>
      <c r="G6575" t="s">
        <v>170</v>
      </c>
      <c r="H6575" t="s">
        <v>171</v>
      </c>
      <c r="I6575" t="s">
        <v>27</v>
      </c>
      <c r="J6575" t="s">
        <v>28</v>
      </c>
      <c r="K6575" t="s">
        <v>47</v>
      </c>
      <c r="L6575" t="s">
        <v>48</v>
      </c>
      <c r="M6575" t="s">
        <v>172</v>
      </c>
      <c r="N6575">
        <v>1400</v>
      </c>
      <c r="O6575" s="14">
        <v>0.81509079993702505</v>
      </c>
      <c r="P6575" s="14">
        <v>0.30305550759658201</v>
      </c>
      <c r="Q6575" t="str">
        <f t="shared" si="204"/>
        <v>&lt;01</v>
      </c>
      <c r="R6575" t="str">
        <f t="shared" si="205"/>
        <v>[lLDyBx5XyUi]|&lt;01|Male|PLHIV_Residents.T2|CY2025Q3</v>
      </c>
    </row>
    <row r="6576" spans="4:18" x14ac:dyDescent="0.2">
      <c r="D6576" t="s">
        <v>74</v>
      </c>
      <c r="E6576" t="s">
        <v>75</v>
      </c>
      <c r="F6576" t="s">
        <v>76</v>
      </c>
      <c r="G6576" t="s">
        <v>170</v>
      </c>
      <c r="H6576" t="s">
        <v>171</v>
      </c>
      <c r="I6576" t="s">
        <v>32</v>
      </c>
      <c r="J6576" t="s">
        <v>33</v>
      </c>
      <c r="K6576" t="s">
        <v>47</v>
      </c>
      <c r="L6576" t="s">
        <v>48</v>
      </c>
      <c r="M6576" t="s">
        <v>172</v>
      </c>
      <c r="N6576">
        <v>1315</v>
      </c>
      <c r="O6576" s="14">
        <v>0.12691394425928601</v>
      </c>
      <c r="P6576" s="14">
        <v>0.30305550759658201</v>
      </c>
      <c r="Q6576" t="str">
        <f t="shared" si="204"/>
        <v>01-09</v>
      </c>
      <c r="R6576" t="str">
        <f t="shared" si="205"/>
        <v>[lLDyBx5XyUi]|01-09|Male|PLHIV_Residents.T2|CY2025Q3</v>
      </c>
    </row>
    <row r="6577" spans="4:18" x14ac:dyDescent="0.2">
      <c r="D6577" t="s">
        <v>74</v>
      </c>
      <c r="E6577" t="s">
        <v>75</v>
      </c>
      <c r="F6577" t="s">
        <v>76</v>
      </c>
      <c r="G6577" t="s">
        <v>170</v>
      </c>
      <c r="H6577" t="s">
        <v>171</v>
      </c>
      <c r="I6577" t="s">
        <v>35</v>
      </c>
      <c r="J6577" t="s">
        <v>36</v>
      </c>
      <c r="K6577" t="s">
        <v>47</v>
      </c>
      <c r="L6577" t="s">
        <v>48</v>
      </c>
      <c r="M6577" t="s">
        <v>172</v>
      </c>
      <c r="N6577">
        <v>1665</v>
      </c>
      <c r="O6577" s="14">
        <v>0.70683910581283305</v>
      </c>
      <c r="P6577" s="14">
        <v>0.30305550759658201</v>
      </c>
      <c r="Q6577" t="str">
        <f t="shared" si="204"/>
        <v>10-14</v>
      </c>
      <c r="R6577" t="str">
        <f t="shared" si="205"/>
        <v>[lLDyBx5XyUi]|10-14|Male|PLHIV_Residents.T2|CY2025Q3</v>
      </c>
    </row>
    <row r="6578" spans="4:18" x14ac:dyDescent="0.2">
      <c r="D6578" t="s">
        <v>74</v>
      </c>
      <c r="E6578" t="s">
        <v>75</v>
      </c>
      <c r="F6578" t="s">
        <v>76</v>
      </c>
      <c r="G6578" t="s">
        <v>170</v>
      </c>
      <c r="H6578" t="s">
        <v>171</v>
      </c>
      <c r="I6578" t="s">
        <v>37</v>
      </c>
      <c r="J6578" t="s">
        <v>38</v>
      </c>
      <c r="K6578" t="s">
        <v>47</v>
      </c>
      <c r="L6578" t="s">
        <v>48</v>
      </c>
      <c r="M6578" t="s">
        <v>172</v>
      </c>
      <c r="N6578">
        <v>1205</v>
      </c>
      <c r="O6578" s="14">
        <v>6.9288949482142898E-2</v>
      </c>
      <c r="P6578" s="14">
        <v>0.30305550759658201</v>
      </c>
      <c r="Q6578" t="str">
        <f t="shared" si="204"/>
        <v>15-24</v>
      </c>
      <c r="R6578" t="str">
        <f t="shared" si="205"/>
        <v>[lLDyBx5XyUi]|15-24|Male|PLHIV_Residents.T2|CY2025Q3</v>
      </c>
    </row>
    <row r="6579" spans="4:18" x14ac:dyDescent="0.2">
      <c r="D6579" t="s">
        <v>74</v>
      </c>
      <c r="E6579" t="s">
        <v>75</v>
      </c>
      <c r="F6579" t="s">
        <v>76</v>
      </c>
      <c r="G6579" t="s">
        <v>170</v>
      </c>
      <c r="H6579" t="s">
        <v>171</v>
      </c>
      <c r="I6579" t="s">
        <v>40</v>
      </c>
      <c r="J6579" t="s">
        <v>41</v>
      </c>
      <c r="K6579" t="s">
        <v>47</v>
      </c>
      <c r="L6579" t="s">
        <v>48</v>
      </c>
      <c r="M6579" t="s">
        <v>172</v>
      </c>
      <c r="N6579">
        <v>1970</v>
      </c>
      <c r="O6579" s="14">
        <v>0.65955292480066396</v>
      </c>
      <c r="P6579" s="14">
        <v>0.30305550759658201</v>
      </c>
      <c r="Q6579" t="str">
        <f t="shared" si="204"/>
        <v>25-34</v>
      </c>
      <c r="R6579" t="str">
        <f t="shared" si="205"/>
        <v>[lLDyBx5XyUi]|25-34|Male|PLHIV_Residents.T2|CY2025Q3</v>
      </c>
    </row>
    <row r="6580" spans="4:18" x14ac:dyDescent="0.2">
      <c r="D6580" t="s">
        <v>74</v>
      </c>
      <c r="E6580" t="s">
        <v>75</v>
      </c>
      <c r="F6580" t="s">
        <v>76</v>
      </c>
      <c r="G6580" t="s">
        <v>170</v>
      </c>
      <c r="H6580" t="s">
        <v>171</v>
      </c>
      <c r="I6580" t="s">
        <v>42</v>
      </c>
      <c r="J6580" t="s">
        <v>43</v>
      </c>
      <c r="K6580" t="s">
        <v>47</v>
      </c>
      <c r="L6580" t="s">
        <v>48</v>
      </c>
      <c r="M6580" t="s">
        <v>172</v>
      </c>
      <c r="N6580">
        <v>1602</v>
      </c>
      <c r="O6580" s="14">
        <v>0.43744887690991202</v>
      </c>
      <c r="P6580" s="14">
        <v>0.30305550759658201</v>
      </c>
      <c r="Q6580" t="str">
        <f t="shared" si="204"/>
        <v>35-49</v>
      </c>
      <c r="R6580" t="str">
        <f t="shared" si="205"/>
        <v>[lLDyBx5XyUi]|35-49|Male|PLHIV_Residents.T2|CY2025Q3</v>
      </c>
    </row>
    <row r="6581" spans="4:18" x14ac:dyDescent="0.2">
      <c r="D6581" t="s">
        <v>74</v>
      </c>
      <c r="E6581" t="s">
        <v>75</v>
      </c>
      <c r="F6581" t="s">
        <v>76</v>
      </c>
      <c r="G6581" t="s">
        <v>170</v>
      </c>
      <c r="H6581" t="s">
        <v>171</v>
      </c>
      <c r="I6581" t="s">
        <v>44</v>
      </c>
      <c r="J6581" t="s">
        <v>45</v>
      </c>
      <c r="K6581" t="s">
        <v>47</v>
      </c>
      <c r="L6581" t="s">
        <v>48</v>
      </c>
      <c r="M6581" t="s">
        <v>172</v>
      </c>
      <c r="N6581">
        <v>1917</v>
      </c>
      <c r="O6581" s="14">
        <v>0.95893406053073704</v>
      </c>
      <c r="P6581" s="14">
        <v>0.30305550759658201</v>
      </c>
      <c r="Q6581" t="str">
        <f t="shared" si="204"/>
        <v>50+</v>
      </c>
      <c r="R6581" t="str">
        <f t="shared" si="205"/>
        <v>[lLDyBx5XyUi]|50+|Male|PLHIV_Residents.T2|CY2025Q3</v>
      </c>
    </row>
    <row r="6582" spans="4:18" x14ac:dyDescent="0.2">
      <c r="D6582" t="s">
        <v>77</v>
      </c>
      <c r="E6582" t="s">
        <v>78</v>
      </c>
      <c r="F6582" t="s">
        <v>79</v>
      </c>
      <c r="G6582" t="s">
        <v>170</v>
      </c>
      <c r="H6582" t="s">
        <v>171</v>
      </c>
      <c r="I6582" t="s">
        <v>27</v>
      </c>
      <c r="J6582" t="s">
        <v>28</v>
      </c>
      <c r="K6582" t="s">
        <v>29</v>
      </c>
      <c r="L6582" t="s">
        <v>30</v>
      </c>
      <c r="M6582" t="s">
        <v>172</v>
      </c>
      <c r="N6582">
        <v>1907</v>
      </c>
      <c r="O6582" s="14">
        <v>0.92022900725714896</v>
      </c>
      <c r="P6582" s="14">
        <v>0.83159798220731296</v>
      </c>
      <c r="Q6582" t="str">
        <f t="shared" si="204"/>
        <v>&lt;01</v>
      </c>
      <c r="R6582" t="str">
        <f t="shared" si="205"/>
        <v>[TYnMSwzko3z]|&lt;01|Female|PLHIV_Residents.T2|CY2025Q3</v>
      </c>
    </row>
    <row r="6583" spans="4:18" x14ac:dyDescent="0.2">
      <c r="D6583" t="s">
        <v>77</v>
      </c>
      <c r="E6583" t="s">
        <v>78</v>
      </c>
      <c r="F6583" t="s">
        <v>79</v>
      </c>
      <c r="G6583" t="s">
        <v>170</v>
      </c>
      <c r="H6583" t="s">
        <v>171</v>
      </c>
      <c r="I6583" t="s">
        <v>32</v>
      </c>
      <c r="J6583" t="s">
        <v>33</v>
      </c>
      <c r="K6583" t="s">
        <v>29</v>
      </c>
      <c r="L6583" t="s">
        <v>30</v>
      </c>
      <c r="M6583" t="s">
        <v>172</v>
      </c>
      <c r="N6583">
        <v>724</v>
      </c>
      <c r="O6583" s="14">
        <v>0.72053420217707798</v>
      </c>
      <c r="P6583" s="14">
        <v>0.83159798220731296</v>
      </c>
      <c r="Q6583" t="str">
        <f t="shared" si="204"/>
        <v>01-09</v>
      </c>
      <c r="R6583" t="str">
        <f t="shared" si="205"/>
        <v>[TYnMSwzko3z]|01-09|Female|PLHIV_Residents.T2|CY2025Q3</v>
      </c>
    </row>
    <row r="6584" spans="4:18" x14ac:dyDescent="0.2">
      <c r="D6584" t="s">
        <v>77</v>
      </c>
      <c r="E6584" t="s">
        <v>78</v>
      </c>
      <c r="F6584" t="s">
        <v>79</v>
      </c>
      <c r="G6584" t="s">
        <v>170</v>
      </c>
      <c r="H6584" t="s">
        <v>171</v>
      </c>
      <c r="I6584" t="s">
        <v>35</v>
      </c>
      <c r="J6584" t="s">
        <v>36</v>
      </c>
      <c r="K6584" t="s">
        <v>29</v>
      </c>
      <c r="L6584" t="s">
        <v>30</v>
      </c>
      <c r="M6584" t="s">
        <v>172</v>
      </c>
      <c r="N6584">
        <v>1039</v>
      </c>
      <c r="O6584" s="14">
        <v>0.116421210113913</v>
      </c>
      <c r="P6584" s="14">
        <v>0.83159798220731296</v>
      </c>
      <c r="Q6584" t="str">
        <f t="shared" si="204"/>
        <v>10-14</v>
      </c>
      <c r="R6584" t="str">
        <f t="shared" si="205"/>
        <v>[TYnMSwzko3z]|10-14|Female|PLHIV_Residents.T2|CY2025Q3</v>
      </c>
    </row>
    <row r="6585" spans="4:18" x14ac:dyDescent="0.2">
      <c r="D6585" t="s">
        <v>77</v>
      </c>
      <c r="E6585" t="s">
        <v>78</v>
      </c>
      <c r="F6585" t="s">
        <v>79</v>
      </c>
      <c r="G6585" t="s">
        <v>170</v>
      </c>
      <c r="H6585" t="s">
        <v>171</v>
      </c>
      <c r="I6585" t="s">
        <v>37</v>
      </c>
      <c r="J6585" t="s">
        <v>38</v>
      </c>
      <c r="K6585" t="s">
        <v>29</v>
      </c>
      <c r="L6585" t="s">
        <v>30</v>
      </c>
      <c r="M6585" t="s">
        <v>172</v>
      </c>
      <c r="N6585">
        <v>1801</v>
      </c>
      <c r="O6585" s="14">
        <v>0.28764839214272803</v>
      </c>
      <c r="P6585" s="14">
        <v>0.83159798220731296</v>
      </c>
      <c r="Q6585" t="str">
        <f t="shared" si="204"/>
        <v>15-24</v>
      </c>
      <c r="R6585" t="str">
        <f t="shared" si="205"/>
        <v>[TYnMSwzko3z]|15-24|Female|PLHIV_Residents.T2|CY2025Q3</v>
      </c>
    </row>
    <row r="6586" spans="4:18" x14ac:dyDescent="0.2">
      <c r="D6586" t="s">
        <v>77</v>
      </c>
      <c r="E6586" t="s">
        <v>78</v>
      </c>
      <c r="F6586" t="s">
        <v>79</v>
      </c>
      <c r="G6586" t="s">
        <v>170</v>
      </c>
      <c r="H6586" t="s">
        <v>171</v>
      </c>
      <c r="I6586" t="s">
        <v>40</v>
      </c>
      <c r="J6586" t="s">
        <v>41</v>
      </c>
      <c r="K6586" t="s">
        <v>29</v>
      </c>
      <c r="L6586" t="s">
        <v>30</v>
      </c>
      <c r="M6586" t="s">
        <v>172</v>
      </c>
      <c r="N6586">
        <v>684</v>
      </c>
      <c r="O6586" s="14">
        <v>0.83390046888962399</v>
      </c>
      <c r="P6586" s="14">
        <v>0.83159798220731296</v>
      </c>
      <c r="Q6586" t="str">
        <f t="shared" si="204"/>
        <v>25-34</v>
      </c>
      <c r="R6586" t="str">
        <f t="shared" si="205"/>
        <v>[TYnMSwzko3z]|25-34|Female|PLHIV_Residents.T2|CY2025Q3</v>
      </c>
    </row>
    <row r="6587" spans="4:18" x14ac:dyDescent="0.2">
      <c r="D6587" t="s">
        <v>77</v>
      </c>
      <c r="E6587" t="s">
        <v>78</v>
      </c>
      <c r="F6587" t="s">
        <v>79</v>
      </c>
      <c r="G6587" t="s">
        <v>170</v>
      </c>
      <c r="H6587" t="s">
        <v>171</v>
      </c>
      <c r="I6587" t="s">
        <v>42</v>
      </c>
      <c r="J6587" t="s">
        <v>43</v>
      </c>
      <c r="K6587" t="s">
        <v>29</v>
      </c>
      <c r="L6587" t="s">
        <v>30</v>
      </c>
      <c r="M6587" t="s">
        <v>172</v>
      </c>
      <c r="N6587">
        <v>1951</v>
      </c>
      <c r="O6587" s="14">
        <v>0.73749327193945602</v>
      </c>
      <c r="P6587" s="14">
        <v>0.83159798220731296</v>
      </c>
      <c r="Q6587" t="str">
        <f t="shared" si="204"/>
        <v>35-49</v>
      </c>
      <c r="R6587" t="str">
        <f t="shared" si="205"/>
        <v>[TYnMSwzko3z]|35-49|Female|PLHIV_Residents.T2|CY2025Q3</v>
      </c>
    </row>
    <row r="6588" spans="4:18" x14ac:dyDescent="0.2">
      <c r="D6588" t="s">
        <v>77</v>
      </c>
      <c r="E6588" t="s">
        <v>78</v>
      </c>
      <c r="F6588" t="s">
        <v>79</v>
      </c>
      <c r="G6588" t="s">
        <v>170</v>
      </c>
      <c r="H6588" t="s">
        <v>171</v>
      </c>
      <c r="I6588" t="s">
        <v>44</v>
      </c>
      <c r="J6588" t="s">
        <v>45</v>
      </c>
      <c r="K6588" t="s">
        <v>29</v>
      </c>
      <c r="L6588" t="s">
        <v>30</v>
      </c>
      <c r="M6588" t="s">
        <v>172</v>
      </c>
      <c r="N6588">
        <v>709</v>
      </c>
      <c r="O6588" s="14">
        <v>0.249854821478948</v>
      </c>
      <c r="P6588" s="14">
        <v>0.83159798220731296</v>
      </c>
      <c r="Q6588" t="str">
        <f t="shared" si="204"/>
        <v>50+</v>
      </c>
      <c r="R6588" t="str">
        <f t="shared" si="205"/>
        <v>[TYnMSwzko3z]|50+|Female|PLHIV_Residents.T2|CY2025Q3</v>
      </c>
    </row>
    <row r="6589" spans="4:18" x14ac:dyDescent="0.2">
      <c r="D6589" t="s">
        <v>77</v>
      </c>
      <c r="E6589" t="s">
        <v>78</v>
      </c>
      <c r="F6589" t="s">
        <v>79</v>
      </c>
      <c r="G6589" t="s">
        <v>170</v>
      </c>
      <c r="H6589" t="s">
        <v>171</v>
      </c>
      <c r="I6589" t="s">
        <v>27</v>
      </c>
      <c r="J6589" t="s">
        <v>28</v>
      </c>
      <c r="K6589" t="s">
        <v>47</v>
      </c>
      <c r="L6589" t="s">
        <v>48</v>
      </c>
      <c r="M6589" t="s">
        <v>172</v>
      </c>
      <c r="N6589">
        <v>910</v>
      </c>
      <c r="O6589" s="14">
        <v>0.67135558277368501</v>
      </c>
      <c r="P6589" s="14">
        <v>0.83159798220731296</v>
      </c>
      <c r="Q6589" t="str">
        <f t="shared" si="204"/>
        <v>&lt;01</v>
      </c>
      <c r="R6589" t="str">
        <f t="shared" si="205"/>
        <v>[TYnMSwzko3z]|&lt;01|Male|PLHIV_Residents.T2|CY2025Q3</v>
      </c>
    </row>
    <row r="6590" spans="4:18" x14ac:dyDescent="0.2">
      <c r="D6590" t="s">
        <v>77</v>
      </c>
      <c r="E6590" t="s">
        <v>78</v>
      </c>
      <c r="F6590" t="s">
        <v>79</v>
      </c>
      <c r="G6590" t="s">
        <v>170</v>
      </c>
      <c r="H6590" t="s">
        <v>171</v>
      </c>
      <c r="I6590" t="s">
        <v>32</v>
      </c>
      <c r="J6590" t="s">
        <v>33</v>
      </c>
      <c r="K6590" t="s">
        <v>47</v>
      </c>
      <c r="L6590" t="s">
        <v>48</v>
      </c>
      <c r="M6590" t="s">
        <v>172</v>
      </c>
      <c r="N6590">
        <v>628</v>
      </c>
      <c r="O6590" s="14">
        <v>6.3496376387774901E-3</v>
      </c>
      <c r="P6590" s="14">
        <v>0.83159798220731296</v>
      </c>
      <c r="Q6590" t="str">
        <f t="shared" si="204"/>
        <v>01-09</v>
      </c>
      <c r="R6590" t="str">
        <f t="shared" si="205"/>
        <v>[TYnMSwzko3z]|01-09|Male|PLHIV_Residents.T2|CY2025Q3</v>
      </c>
    </row>
    <row r="6591" spans="4:18" x14ac:dyDescent="0.2">
      <c r="D6591" t="s">
        <v>77</v>
      </c>
      <c r="E6591" t="s">
        <v>78</v>
      </c>
      <c r="F6591" t="s">
        <v>79</v>
      </c>
      <c r="G6591" t="s">
        <v>170</v>
      </c>
      <c r="H6591" t="s">
        <v>171</v>
      </c>
      <c r="I6591" t="s">
        <v>35</v>
      </c>
      <c r="J6591" t="s">
        <v>36</v>
      </c>
      <c r="K6591" t="s">
        <v>47</v>
      </c>
      <c r="L6591" t="s">
        <v>48</v>
      </c>
      <c r="M6591" t="s">
        <v>172</v>
      </c>
      <c r="N6591">
        <v>1844</v>
      </c>
      <c r="O6591" s="14">
        <v>0.770942500559613</v>
      </c>
      <c r="P6591" s="14">
        <v>0.83159798220731296</v>
      </c>
      <c r="Q6591" t="str">
        <f t="shared" si="204"/>
        <v>10-14</v>
      </c>
      <c r="R6591" t="str">
        <f t="shared" si="205"/>
        <v>[TYnMSwzko3z]|10-14|Male|PLHIV_Residents.T2|CY2025Q3</v>
      </c>
    </row>
    <row r="6592" spans="4:18" x14ac:dyDescent="0.2">
      <c r="D6592" t="s">
        <v>77</v>
      </c>
      <c r="E6592" t="s">
        <v>78</v>
      </c>
      <c r="F6592" t="s">
        <v>79</v>
      </c>
      <c r="G6592" t="s">
        <v>170</v>
      </c>
      <c r="H6592" t="s">
        <v>171</v>
      </c>
      <c r="I6592" t="s">
        <v>37</v>
      </c>
      <c r="J6592" t="s">
        <v>38</v>
      </c>
      <c r="K6592" t="s">
        <v>47</v>
      </c>
      <c r="L6592" t="s">
        <v>48</v>
      </c>
      <c r="M6592" t="s">
        <v>172</v>
      </c>
      <c r="N6592">
        <v>1660</v>
      </c>
      <c r="O6592" s="14">
        <v>8.1603521946817595E-2</v>
      </c>
      <c r="P6592" s="14">
        <v>0.83159798220731296</v>
      </c>
      <c r="Q6592" t="str">
        <f t="shared" si="204"/>
        <v>15-24</v>
      </c>
      <c r="R6592" t="str">
        <f t="shared" si="205"/>
        <v>[TYnMSwzko3z]|15-24|Male|PLHIV_Residents.T2|CY2025Q3</v>
      </c>
    </row>
    <row r="6593" spans="4:18" x14ac:dyDescent="0.2">
      <c r="D6593" t="s">
        <v>77</v>
      </c>
      <c r="E6593" t="s">
        <v>78</v>
      </c>
      <c r="F6593" t="s">
        <v>79</v>
      </c>
      <c r="G6593" t="s">
        <v>170</v>
      </c>
      <c r="H6593" t="s">
        <v>171</v>
      </c>
      <c r="I6593" t="s">
        <v>40</v>
      </c>
      <c r="J6593" t="s">
        <v>41</v>
      </c>
      <c r="K6593" t="s">
        <v>47</v>
      </c>
      <c r="L6593" t="s">
        <v>48</v>
      </c>
      <c r="M6593" t="s">
        <v>172</v>
      </c>
      <c r="N6593">
        <v>582</v>
      </c>
      <c r="O6593" s="14">
        <v>0.85991501039825402</v>
      </c>
      <c r="P6593" s="14">
        <v>0.83159798220731296</v>
      </c>
      <c r="Q6593" t="str">
        <f t="shared" si="204"/>
        <v>25-34</v>
      </c>
      <c r="R6593" t="str">
        <f t="shared" si="205"/>
        <v>[TYnMSwzko3z]|25-34|Male|PLHIV_Residents.T2|CY2025Q3</v>
      </c>
    </row>
    <row r="6594" spans="4:18" x14ac:dyDescent="0.2">
      <c r="D6594" t="s">
        <v>77</v>
      </c>
      <c r="E6594" t="s">
        <v>78</v>
      </c>
      <c r="F6594" t="s">
        <v>79</v>
      </c>
      <c r="G6594" t="s">
        <v>170</v>
      </c>
      <c r="H6594" t="s">
        <v>171</v>
      </c>
      <c r="I6594" t="s">
        <v>42</v>
      </c>
      <c r="J6594" t="s">
        <v>43</v>
      </c>
      <c r="K6594" t="s">
        <v>47</v>
      </c>
      <c r="L6594" t="s">
        <v>48</v>
      </c>
      <c r="M6594" t="s">
        <v>172</v>
      </c>
      <c r="N6594">
        <v>1702</v>
      </c>
      <c r="O6594" s="14">
        <v>0.82998851826414499</v>
      </c>
      <c r="P6594" s="14">
        <v>0.83159798220731296</v>
      </c>
      <c r="Q6594" t="str">
        <f t="shared" ref="Q6594:Q6657" si="206">SUBSTITUTE(SUBSTITUTE($I6594,CHAR(61),""),CHAR(34),"")</f>
        <v>35-49</v>
      </c>
      <c r="R6594" t="str">
        <f t="shared" ref="R6594:R6657" si="207">IF($D6594&lt;&gt;"","["&amp;$E6594&amp;"]"&amp;"|"&amp;$Q6594&amp;"|"&amp;$K6594&amp;"|"&amp;$G6594&amp;"|"&amp;IF($G6594="TX_CURR_SUBNAT.R","CY2022Q4",$M6594),"")</f>
        <v>[TYnMSwzko3z]|35-49|Male|PLHIV_Residents.T2|CY2025Q3</v>
      </c>
    </row>
    <row r="6595" spans="4:18" x14ac:dyDescent="0.2">
      <c r="D6595" t="s">
        <v>77</v>
      </c>
      <c r="E6595" t="s">
        <v>78</v>
      </c>
      <c r="F6595" t="s">
        <v>79</v>
      </c>
      <c r="G6595" t="s">
        <v>170</v>
      </c>
      <c r="H6595" t="s">
        <v>171</v>
      </c>
      <c r="I6595" t="s">
        <v>44</v>
      </c>
      <c r="J6595" t="s">
        <v>45</v>
      </c>
      <c r="K6595" t="s">
        <v>47</v>
      </c>
      <c r="L6595" t="s">
        <v>48</v>
      </c>
      <c r="M6595" t="s">
        <v>172</v>
      </c>
      <c r="N6595">
        <v>1283</v>
      </c>
      <c r="O6595" s="14">
        <v>0.95323905372060802</v>
      </c>
      <c r="P6595" s="14">
        <v>0.83159798220731296</v>
      </c>
      <c r="Q6595" t="str">
        <f t="shared" si="206"/>
        <v>50+</v>
      </c>
      <c r="R6595" t="str">
        <f t="shared" si="207"/>
        <v>[TYnMSwzko3z]|50+|Male|PLHIV_Residents.T2|CY2025Q3</v>
      </c>
    </row>
    <row r="6596" spans="4:18" x14ac:dyDescent="0.2">
      <c r="D6596" t="s">
        <v>80</v>
      </c>
      <c r="E6596" t="s">
        <v>81</v>
      </c>
      <c r="F6596" t="s">
        <v>82</v>
      </c>
      <c r="G6596" t="s">
        <v>170</v>
      </c>
      <c r="H6596" t="s">
        <v>171</v>
      </c>
      <c r="I6596" t="s">
        <v>27</v>
      </c>
      <c r="J6596" t="s">
        <v>28</v>
      </c>
      <c r="K6596" t="s">
        <v>29</v>
      </c>
      <c r="L6596" t="s">
        <v>30</v>
      </c>
      <c r="M6596" t="s">
        <v>172</v>
      </c>
      <c r="N6596">
        <v>886</v>
      </c>
      <c r="O6596" s="14">
        <v>0.62491789017804</v>
      </c>
      <c r="P6596" s="14">
        <v>0.14333142153918699</v>
      </c>
      <c r="Q6596" t="str">
        <f t="shared" si="206"/>
        <v>&lt;01</v>
      </c>
      <c r="R6596" t="str">
        <f t="shared" si="207"/>
        <v>[ir8wuHHzoSs]|&lt;01|Female|PLHIV_Residents.T2|CY2025Q3</v>
      </c>
    </row>
    <row r="6597" spans="4:18" x14ac:dyDescent="0.2">
      <c r="D6597" t="s">
        <v>80</v>
      </c>
      <c r="E6597" t="s">
        <v>81</v>
      </c>
      <c r="F6597" t="s">
        <v>82</v>
      </c>
      <c r="G6597" t="s">
        <v>170</v>
      </c>
      <c r="H6597" t="s">
        <v>171</v>
      </c>
      <c r="I6597" t="s">
        <v>32</v>
      </c>
      <c r="J6597" t="s">
        <v>33</v>
      </c>
      <c r="K6597" t="s">
        <v>29</v>
      </c>
      <c r="L6597" t="s">
        <v>30</v>
      </c>
      <c r="M6597" t="s">
        <v>172</v>
      </c>
      <c r="N6597">
        <v>1142</v>
      </c>
      <c r="O6597" s="14">
        <v>0.89241165132261802</v>
      </c>
      <c r="P6597" s="14">
        <v>0.14333142153918699</v>
      </c>
      <c r="Q6597" t="str">
        <f t="shared" si="206"/>
        <v>01-09</v>
      </c>
      <c r="R6597" t="str">
        <f t="shared" si="207"/>
        <v>[ir8wuHHzoSs]|01-09|Female|PLHIV_Residents.T2|CY2025Q3</v>
      </c>
    </row>
    <row r="6598" spans="4:18" x14ac:dyDescent="0.2">
      <c r="D6598" t="s">
        <v>80</v>
      </c>
      <c r="E6598" t="s">
        <v>81</v>
      </c>
      <c r="F6598" t="s">
        <v>82</v>
      </c>
      <c r="G6598" t="s">
        <v>170</v>
      </c>
      <c r="H6598" t="s">
        <v>171</v>
      </c>
      <c r="I6598" t="s">
        <v>35</v>
      </c>
      <c r="J6598" t="s">
        <v>36</v>
      </c>
      <c r="K6598" t="s">
        <v>29</v>
      </c>
      <c r="L6598" t="s">
        <v>30</v>
      </c>
      <c r="M6598" t="s">
        <v>172</v>
      </c>
      <c r="N6598">
        <v>962</v>
      </c>
      <c r="O6598" s="14">
        <v>0.36109742685221102</v>
      </c>
      <c r="P6598" s="14">
        <v>0.14333142153918699</v>
      </c>
      <c r="Q6598" t="str">
        <f t="shared" si="206"/>
        <v>10-14</v>
      </c>
      <c r="R6598" t="str">
        <f t="shared" si="207"/>
        <v>[ir8wuHHzoSs]|10-14|Female|PLHIV_Residents.T2|CY2025Q3</v>
      </c>
    </row>
    <row r="6599" spans="4:18" x14ac:dyDescent="0.2">
      <c r="D6599" t="s">
        <v>80</v>
      </c>
      <c r="E6599" t="s">
        <v>81</v>
      </c>
      <c r="F6599" t="s">
        <v>82</v>
      </c>
      <c r="G6599" t="s">
        <v>170</v>
      </c>
      <c r="H6599" t="s">
        <v>171</v>
      </c>
      <c r="I6599" t="s">
        <v>37</v>
      </c>
      <c r="J6599" t="s">
        <v>38</v>
      </c>
      <c r="K6599" t="s">
        <v>29</v>
      </c>
      <c r="L6599" t="s">
        <v>30</v>
      </c>
      <c r="M6599" t="s">
        <v>172</v>
      </c>
      <c r="N6599">
        <v>1270</v>
      </c>
      <c r="O6599" s="14">
        <v>0.39466978167183703</v>
      </c>
      <c r="P6599" s="14">
        <v>0.14333142153918699</v>
      </c>
      <c r="Q6599" t="str">
        <f t="shared" si="206"/>
        <v>15-24</v>
      </c>
      <c r="R6599" t="str">
        <f t="shared" si="207"/>
        <v>[ir8wuHHzoSs]|15-24|Female|PLHIV_Residents.T2|CY2025Q3</v>
      </c>
    </row>
    <row r="6600" spans="4:18" x14ac:dyDescent="0.2">
      <c r="D6600" t="s">
        <v>80</v>
      </c>
      <c r="E6600" t="s">
        <v>81</v>
      </c>
      <c r="F6600" t="s">
        <v>82</v>
      </c>
      <c r="G6600" t="s">
        <v>170</v>
      </c>
      <c r="H6600" t="s">
        <v>171</v>
      </c>
      <c r="I6600" t="s">
        <v>40</v>
      </c>
      <c r="J6600" t="s">
        <v>41</v>
      </c>
      <c r="K6600" t="s">
        <v>29</v>
      </c>
      <c r="L6600" t="s">
        <v>30</v>
      </c>
      <c r="M6600" t="s">
        <v>172</v>
      </c>
      <c r="N6600">
        <v>929</v>
      </c>
      <c r="O6600" s="14">
        <v>7.1009584935381995E-2</v>
      </c>
      <c r="P6600" s="14">
        <v>0.14333142153918699</v>
      </c>
      <c r="Q6600" t="str">
        <f t="shared" si="206"/>
        <v>25-34</v>
      </c>
      <c r="R6600" t="str">
        <f t="shared" si="207"/>
        <v>[ir8wuHHzoSs]|25-34|Female|PLHIV_Residents.T2|CY2025Q3</v>
      </c>
    </row>
    <row r="6601" spans="4:18" x14ac:dyDescent="0.2">
      <c r="D6601" t="s">
        <v>80</v>
      </c>
      <c r="E6601" t="s">
        <v>81</v>
      </c>
      <c r="F6601" t="s">
        <v>82</v>
      </c>
      <c r="G6601" t="s">
        <v>170</v>
      </c>
      <c r="H6601" t="s">
        <v>171</v>
      </c>
      <c r="I6601" t="s">
        <v>42</v>
      </c>
      <c r="J6601" t="s">
        <v>43</v>
      </c>
      <c r="K6601" t="s">
        <v>29</v>
      </c>
      <c r="L6601" t="s">
        <v>30</v>
      </c>
      <c r="M6601" t="s">
        <v>172</v>
      </c>
      <c r="N6601">
        <v>1343</v>
      </c>
      <c r="O6601" s="14">
        <v>0.60595981031656299</v>
      </c>
      <c r="P6601" s="14">
        <v>0.14333142153918699</v>
      </c>
      <c r="Q6601" t="str">
        <f t="shared" si="206"/>
        <v>35-49</v>
      </c>
      <c r="R6601" t="str">
        <f t="shared" si="207"/>
        <v>[ir8wuHHzoSs]|35-49|Female|PLHIV_Residents.T2|CY2025Q3</v>
      </c>
    </row>
    <row r="6602" spans="4:18" x14ac:dyDescent="0.2">
      <c r="D6602" t="s">
        <v>80</v>
      </c>
      <c r="E6602" t="s">
        <v>81</v>
      </c>
      <c r="F6602" t="s">
        <v>82</v>
      </c>
      <c r="G6602" t="s">
        <v>170</v>
      </c>
      <c r="H6602" t="s">
        <v>171</v>
      </c>
      <c r="I6602" t="s">
        <v>44</v>
      </c>
      <c r="J6602" t="s">
        <v>45</v>
      </c>
      <c r="K6602" t="s">
        <v>29</v>
      </c>
      <c r="L6602" t="s">
        <v>30</v>
      </c>
      <c r="M6602" t="s">
        <v>172</v>
      </c>
      <c r="N6602">
        <v>1191</v>
      </c>
      <c r="O6602" s="14">
        <v>0.59079092065803696</v>
      </c>
      <c r="P6602" s="14">
        <v>0.14333142153918699</v>
      </c>
      <c r="Q6602" t="str">
        <f t="shared" si="206"/>
        <v>50+</v>
      </c>
      <c r="R6602" t="str">
        <f t="shared" si="207"/>
        <v>[ir8wuHHzoSs]|50+|Female|PLHIV_Residents.T2|CY2025Q3</v>
      </c>
    </row>
    <row r="6603" spans="4:18" x14ac:dyDescent="0.2">
      <c r="D6603" t="s">
        <v>80</v>
      </c>
      <c r="E6603" t="s">
        <v>81</v>
      </c>
      <c r="F6603" t="s">
        <v>82</v>
      </c>
      <c r="G6603" t="s">
        <v>170</v>
      </c>
      <c r="H6603" t="s">
        <v>171</v>
      </c>
      <c r="I6603" t="s">
        <v>27</v>
      </c>
      <c r="J6603" t="s">
        <v>28</v>
      </c>
      <c r="K6603" t="s">
        <v>47</v>
      </c>
      <c r="L6603" t="s">
        <v>48</v>
      </c>
      <c r="M6603" t="s">
        <v>172</v>
      </c>
      <c r="N6603">
        <v>602</v>
      </c>
      <c r="O6603" s="14">
        <v>0.60018388181924798</v>
      </c>
      <c r="P6603" s="14">
        <v>0.14333142153918699</v>
      </c>
      <c r="Q6603" t="str">
        <f t="shared" si="206"/>
        <v>&lt;01</v>
      </c>
      <c r="R6603" t="str">
        <f t="shared" si="207"/>
        <v>[ir8wuHHzoSs]|&lt;01|Male|PLHIV_Residents.T2|CY2025Q3</v>
      </c>
    </row>
    <row r="6604" spans="4:18" x14ac:dyDescent="0.2">
      <c r="D6604" t="s">
        <v>80</v>
      </c>
      <c r="E6604" t="s">
        <v>81</v>
      </c>
      <c r="F6604" t="s">
        <v>82</v>
      </c>
      <c r="G6604" t="s">
        <v>170</v>
      </c>
      <c r="H6604" t="s">
        <v>171</v>
      </c>
      <c r="I6604" t="s">
        <v>32</v>
      </c>
      <c r="J6604" t="s">
        <v>33</v>
      </c>
      <c r="K6604" t="s">
        <v>47</v>
      </c>
      <c r="L6604" t="s">
        <v>48</v>
      </c>
      <c r="M6604" t="s">
        <v>172</v>
      </c>
      <c r="N6604">
        <v>1027</v>
      </c>
      <c r="O6604" s="14">
        <v>0.46739824907854199</v>
      </c>
      <c r="P6604" s="14">
        <v>0.14333142153918699</v>
      </c>
      <c r="Q6604" t="str">
        <f t="shared" si="206"/>
        <v>01-09</v>
      </c>
      <c r="R6604" t="str">
        <f t="shared" si="207"/>
        <v>[ir8wuHHzoSs]|01-09|Male|PLHIV_Residents.T2|CY2025Q3</v>
      </c>
    </row>
    <row r="6605" spans="4:18" x14ac:dyDescent="0.2">
      <c r="D6605" t="s">
        <v>80</v>
      </c>
      <c r="E6605" t="s">
        <v>81</v>
      </c>
      <c r="F6605" t="s">
        <v>82</v>
      </c>
      <c r="G6605" t="s">
        <v>170</v>
      </c>
      <c r="H6605" t="s">
        <v>171</v>
      </c>
      <c r="I6605" t="s">
        <v>35</v>
      </c>
      <c r="J6605" t="s">
        <v>36</v>
      </c>
      <c r="K6605" t="s">
        <v>47</v>
      </c>
      <c r="L6605" t="s">
        <v>48</v>
      </c>
      <c r="M6605" t="s">
        <v>172</v>
      </c>
      <c r="N6605">
        <v>1815</v>
      </c>
      <c r="O6605" s="14">
        <v>0.158782739192247</v>
      </c>
      <c r="P6605" s="14">
        <v>0.14333142153918699</v>
      </c>
      <c r="Q6605" t="str">
        <f t="shared" si="206"/>
        <v>10-14</v>
      </c>
      <c r="R6605" t="str">
        <f t="shared" si="207"/>
        <v>[ir8wuHHzoSs]|10-14|Male|PLHIV_Residents.T2|CY2025Q3</v>
      </c>
    </row>
    <row r="6606" spans="4:18" x14ac:dyDescent="0.2">
      <c r="D6606" t="s">
        <v>80</v>
      </c>
      <c r="E6606" t="s">
        <v>81</v>
      </c>
      <c r="F6606" t="s">
        <v>82</v>
      </c>
      <c r="G6606" t="s">
        <v>170</v>
      </c>
      <c r="H6606" t="s">
        <v>171</v>
      </c>
      <c r="I6606" t="s">
        <v>37</v>
      </c>
      <c r="J6606" t="s">
        <v>38</v>
      </c>
      <c r="K6606" t="s">
        <v>47</v>
      </c>
      <c r="L6606" t="s">
        <v>48</v>
      </c>
      <c r="M6606" t="s">
        <v>172</v>
      </c>
      <c r="N6606">
        <v>1511</v>
      </c>
      <c r="O6606" s="14">
        <v>0.16053746081888701</v>
      </c>
      <c r="P6606" s="14">
        <v>0.14333142153918699</v>
      </c>
      <c r="Q6606" t="str">
        <f t="shared" si="206"/>
        <v>15-24</v>
      </c>
      <c r="R6606" t="str">
        <f t="shared" si="207"/>
        <v>[ir8wuHHzoSs]|15-24|Male|PLHIV_Residents.T2|CY2025Q3</v>
      </c>
    </row>
    <row r="6607" spans="4:18" x14ac:dyDescent="0.2">
      <c r="D6607" t="s">
        <v>80</v>
      </c>
      <c r="E6607" t="s">
        <v>81</v>
      </c>
      <c r="F6607" t="s">
        <v>82</v>
      </c>
      <c r="G6607" t="s">
        <v>170</v>
      </c>
      <c r="H6607" t="s">
        <v>171</v>
      </c>
      <c r="I6607" t="s">
        <v>40</v>
      </c>
      <c r="J6607" t="s">
        <v>41</v>
      </c>
      <c r="K6607" t="s">
        <v>47</v>
      </c>
      <c r="L6607" t="s">
        <v>48</v>
      </c>
      <c r="M6607" t="s">
        <v>172</v>
      </c>
      <c r="N6607">
        <v>1157</v>
      </c>
      <c r="O6607" s="14">
        <v>0.27644450776279</v>
      </c>
      <c r="P6607" s="14">
        <v>0.14333142153918699</v>
      </c>
      <c r="Q6607" t="str">
        <f t="shared" si="206"/>
        <v>25-34</v>
      </c>
      <c r="R6607" t="str">
        <f t="shared" si="207"/>
        <v>[ir8wuHHzoSs]|25-34|Male|PLHIV_Residents.T2|CY2025Q3</v>
      </c>
    </row>
    <row r="6608" spans="4:18" x14ac:dyDescent="0.2">
      <c r="D6608" t="s">
        <v>80</v>
      </c>
      <c r="E6608" t="s">
        <v>81</v>
      </c>
      <c r="F6608" t="s">
        <v>82</v>
      </c>
      <c r="G6608" t="s">
        <v>170</v>
      </c>
      <c r="H6608" t="s">
        <v>171</v>
      </c>
      <c r="I6608" t="s">
        <v>42</v>
      </c>
      <c r="J6608" t="s">
        <v>43</v>
      </c>
      <c r="K6608" t="s">
        <v>47</v>
      </c>
      <c r="L6608" t="s">
        <v>48</v>
      </c>
      <c r="M6608" t="s">
        <v>172</v>
      </c>
      <c r="N6608">
        <v>591</v>
      </c>
      <c r="O6608" s="14">
        <v>0.638515385100618</v>
      </c>
      <c r="P6608" s="14">
        <v>0.14333142153918699</v>
      </c>
      <c r="Q6608" t="str">
        <f t="shared" si="206"/>
        <v>35-49</v>
      </c>
      <c r="R6608" t="str">
        <f t="shared" si="207"/>
        <v>[ir8wuHHzoSs]|35-49|Male|PLHIV_Residents.T2|CY2025Q3</v>
      </c>
    </row>
    <row r="6609" spans="4:18" x14ac:dyDescent="0.2">
      <c r="D6609" t="s">
        <v>80</v>
      </c>
      <c r="E6609" t="s">
        <v>81</v>
      </c>
      <c r="F6609" t="s">
        <v>82</v>
      </c>
      <c r="G6609" t="s">
        <v>170</v>
      </c>
      <c r="H6609" t="s">
        <v>171</v>
      </c>
      <c r="I6609" t="s">
        <v>44</v>
      </c>
      <c r="J6609" t="s">
        <v>45</v>
      </c>
      <c r="K6609" t="s">
        <v>47</v>
      </c>
      <c r="L6609" t="s">
        <v>48</v>
      </c>
      <c r="M6609" t="s">
        <v>172</v>
      </c>
      <c r="N6609">
        <v>1988</v>
      </c>
      <c r="O6609" s="14">
        <v>0.14471673546358901</v>
      </c>
      <c r="P6609" s="14">
        <v>0.14333142153918699</v>
      </c>
      <c r="Q6609" t="str">
        <f t="shared" si="206"/>
        <v>50+</v>
      </c>
      <c r="R6609" t="str">
        <f t="shared" si="207"/>
        <v>[ir8wuHHzoSs]|50+|Male|PLHIV_Residents.T2|CY2025Q3</v>
      </c>
    </row>
    <row r="6610" spans="4:18" x14ac:dyDescent="0.2">
      <c r="D6610" t="s">
        <v>83</v>
      </c>
      <c r="E6610" t="s">
        <v>84</v>
      </c>
      <c r="F6610" t="s">
        <v>85</v>
      </c>
      <c r="G6610" t="s">
        <v>170</v>
      </c>
      <c r="H6610" t="s">
        <v>171</v>
      </c>
      <c r="I6610" t="s">
        <v>27</v>
      </c>
      <c r="J6610" t="s">
        <v>28</v>
      </c>
      <c r="K6610" t="s">
        <v>29</v>
      </c>
      <c r="L6610" t="s">
        <v>30</v>
      </c>
      <c r="M6610" t="s">
        <v>172</v>
      </c>
      <c r="N6610">
        <v>1717</v>
      </c>
      <c r="O6610" s="14">
        <v>0.12263104831799899</v>
      </c>
      <c r="P6610" s="14">
        <v>2.9788714367896301E-2</v>
      </c>
      <c r="Q6610" t="str">
        <f t="shared" si="206"/>
        <v>&lt;01</v>
      </c>
      <c r="R6610" t="str">
        <f t="shared" si="207"/>
        <v>[fyEoGEPERdI]|&lt;01|Female|PLHIV_Residents.T2|CY2025Q3</v>
      </c>
    </row>
    <row r="6611" spans="4:18" x14ac:dyDescent="0.2">
      <c r="D6611" t="s">
        <v>83</v>
      </c>
      <c r="E6611" t="s">
        <v>84</v>
      </c>
      <c r="F6611" t="s">
        <v>85</v>
      </c>
      <c r="G6611" t="s">
        <v>170</v>
      </c>
      <c r="H6611" t="s">
        <v>171</v>
      </c>
      <c r="I6611" t="s">
        <v>32</v>
      </c>
      <c r="J6611" t="s">
        <v>33</v>
      </c>
      <c r="K6611" t="s">
        <v>29</v>
      </c>
      <c r="L6611" t="s">
        <v>30</v>
      </c>
      <c r="M6611" t="s">
        <v>172</v>
      </c>
      <c r="N6611">
        <v>1927</v>
      </c>
      <c r="O6611" s="14">
        <v>0.31076438492163999</v>
      </c>
      <c r="P6611" s="14">
        <v>2.9788714367896301E-2</v>
      </c>
      <c r="Q6611" t="str">
        <f t="shared" si="206"/>
        <v>01-09</v>
      </c>
      <c r="R6611" t="str">
        <f t="shared" si="207"/>
        <v>[fyEoGEPERdI]|01-09|Female|PLHIV_Residents.T2|CY2025Q3</v>
      </c>
    </row>
    <row r="6612" spans="4:18" x14ac:dyDescent="0.2">
      <c r="D6612" t="s">
        <v>83</v>
      </c>
      <c r="E6612" t="s">
        <v>84</v>
      </c>
      <c r="F6612" t="s">
        <v>85</v>
      </c>
      <c r="G6612" t="s">
        <v>170</v>
      </c>
      <c r="H6612" t="s">
        <v>171</v>
      </c>
      <c r="I6612" t="s">
        <v>35</v>
      </c>
      <c r="J6612" t="s">
        <v>36</v>
      </c>
      <c r="K6612" t="s">
        <v>29</v>
      </c>
      <c r="L6612" t="s">
        <v>30</v>
      </c>
      <c r="M6612" t="s">
        <v>172</v>
      </c>
      <c r="N6612">
        <v>885</v>
      </c>
      <c r="O6612" s="14">
        <v>0.56280680978670705</v>
      </c>
      <c r="P6612" s="14">
        <v>2.9788714367896301E-2</v>
      </c>
      <c r="Q6612" t="str">
        <f t="shared" si="206"/>
        <v>10-14</v>
      </c>
      <c r="R6612" t="str">
        <f t="shared" si="207"/>
        <v>[fyEoGEPERdI]|10-14|Female|PLHIV_Residents.T2|CY2025Q3</v>
      </c>
    </row>
    <row r="6613" spans="4:18" x14ac:dyDescent="0.2">
      <c r="D6613" t="s">
        <v>83</v>
      </c>
      <c r="E6613" t="s">
        <v>84</v>
      </c>
      <c r="F6613" t="s">
        <v>85</v>
      </c>
      <c r="G6613" t="s">
        <v>170</v>
      </c>
      <c r="H6613" t="s">
        <v>171</v>
      </c>
      <c r="I6613" t="s">
        <v>37</v>
      </c>
      <c r="J6613" t="s">
        <v>38</v>
      </c>
      <c r="K6613" t="s">
        <v>29</v>
      </c>
      <c r="L6613" t="s">
        <v>30</v>
      </c>
      <c r="M6613" t="s">
        <v>172</v>
      </c>
      <c r="N6613">
        <v>707</v>
      </c>
      <c r="O6613" s="14">
        <v>0.98101794533431497</v>
      </c>
      <c r="P6613" s="14">
        <v>2.9788714367896301E-2</v>
      </c>
      <c r="Q6613" t="str">
        <f t="shared" si="206"/>
        <v>15-24</v>
      </c>
      <c r="R6613" t="str">
        <f t="shared" si="207"/>
        <v>[fyEoGEPERdI]|15-24|Female|PLHIV_Residents.T2|CY2025Q3</v>
      </c>
    </row>
    <row r="6614" spans="4:18" x14ac:dyDescent="0.2">
      <c r="D6614" t="s">
        <v>83</v>
      </c>
      <c r="E6614" t="s">
        <v>84</v>
      </c>
      <c r="F6614" t="s">
        <v>85</v>
      </c>
      <c r="G6614" t="s">
        <v>170</v>
      </c>
      <c r="H6614" t="s">
        <v>171</v>
      </c>
      <c r="I6614" t="s">
        <v>40</v>
      </c>
      <c r="J6614" t="s">
        <v>41</v>
      </c>
      <c r="K6614" t="s">
        <v>29</v>
      </c>
      <c r="L6614" t="s">
        <v>30</v>
      </c>
      <c r="M6614" t="s">
        <v>172</v>
      </c>
      <c r="N6614">
        <v>962</v>
      </c>
      <c r="O6614" s="14">
        <v>4.1857811156660301E-3</v>
      </c>
      <c r="P6614" s="14">
        <v>2.9788714367896301E-2</v>
      </c>
      <c r="Q6614" t="str">
        <f t="shared" si="206"/>
        <v>25-34</v>
      </c>
      <c r="R6614" t="str">
        <f t="shared" si="207"/>
        <v>[fyEoGEPERdI]|25-34|Female|PLHIV_Residents.T2|CY2025Q3</v>
      </c>
    </row>
    <row r="6615" spans="4:18" x14ac:dyDescent="0.2">
      <c r="D6615" t="s">
        <v>83</v>
      </c>
      <c r="E6615" t="s">
        <v>84</v>
      </c>
      <c r="F6615" t="s">
        <v>85</v>
      </c>
      <c r="G6615" t="s">
        <v>170</v>
      </c>
      <c r="H6615" t="s">
        <v>171</v>
      </c>
      <c r="I6615" t="s">
        <v>42</v>
      </c>
      <c r="J6615" t="s">
        <v>43</v>
      </c>
      <c r="K6615" t="s">
        <v>29</v>
      </c>
      <c r="L6615" t="s">
        <v>30</v>
      </c>
      <c r="M6615" t="s">
        <v>172</v>
      </c>
      <c r="N6615">
        <v>1838</v>
      </c>
      <c r="O6615" s="14">
        <v>0.50796306692063797</v>
      </c>
      <c r="P6615" s="14">
        <v>2.9788714367896301E-2</v>
      </c>
      <c r="Q6615" t="str">
        <f t="shared" si="206"/>
        <v>35-49</v>
      </c>
      <c r="R6615" t="str">
        <f t="shared" si="207"/>
        <v>[fyEoGEPERdI]|35-49|Female|PLHIV_Residents.T2|CY2025Q3</v>
      </c>
    </row>
    <row r="6616" spans="4:18" x14ac:dyDescent="0.2">
      <c r="D6616" t="s">
        <v>83</v>
      </c>
      <c r="E6616" t="s">
        <v>84</v>
      </c>
      <c r="F6616" t="s">
        <v>85</v>
      </c>
      <c r="G6616" t="s">
        <v>170</v>
      </c>
      <c r="H6616" t="s">
        <v>171</v>
      </c>
      <c r="I6616" t="s">
        <v>44</v>
      </c>
      <c r="J6616" t="s">
        <v>45</v>
      </c>
      <c r="K6616" t="s">
        <v>29</v>
      </c>
      <c r="L6616" t="s">
        <v>30</v>
      </c>
      <c r="M6616" t="s">
        <v>172</v>
      </c>
      <c r="N6616">
        <v>1660</v>
      </c>
      <c r="O6616" s="14">
        <v>0.799548479029909</v>
      </c>
      <c r="P6616" s="14">
        <v>2.9788714367896301E-2</v>
      </c>
      <c r="Q6616" t="str">
        <f t="shared" si="206"/>
        <v>50+</v>
      </c>
      <c r="R6616" t="str">
        <f t="shared" si="207"/>
        <v>[fyEoGEPERdI]|50+|Female|PLHIV_Residents.T2|CY2025Q3</v>
      </c>
    </row>
    <row r="6617" spans="4:18" x14ac:dyDescent="0.2">
      <c r="D6617" t="s">
        <v>83</v>
      </c>
      <c r="E6617" t="s">
        <v>84</v>
      </c>
      <c r="F6617" t="s">
        <v>85</v>
      </c>
      <c r="G6617" t="s">
        <v>170</v>
      </c>
      <c r="H6617" t="s">
        <v>171</v>
      </c>
      <c r="I6617" t="s">
        <v>27</v>
      </c>
      <c r="J6617" t="s">
        <v>28</v>
      </c>
      <c r="K6617" t="s">
        <v>47</v>
      </c>
      <c r="L6617" t="s">
        <v>48</v>
      </c>
      <c r="M6617" t="s">
        <v>172</v>
      </c>
      <c r="N6617">
        <v>569</v>
      </c>
      <c r="O6617" s="14">
        <v>0.72058825846761498</v>
      </c>
      <c r="P6617" s="14">
        <v>2.9788714367896301E-2</v>
      </c>
      <c r="Q6617" t="str">
        <f t="shared" si="206"/>
        <v>&lt;01</v>
      </c>
      <c r="R6617" t="str">
        <f t="shared" si="207"/>
        <v>[fyEoGEPERdI]|&lt;01|Male|PLHIV_Residents.T2|CY2025Q3</v>
      </c>
    </row>
    <row r="6618" spans="4:18" x14ac:dyDescent="0.2">
      <c r="D6618" t="s">
        <v>83</v>
      </c>
      <c r="E6618" t="s">
        <v>84</v>
      </c>
      <c r="F6618" t="s">
        <v>85</v>
      </c>
      <c r="G6618" t="s">
        <v>170</v>
      </c>
      <c r="H6618" t="s">
        <v>171</v>
      </c>
      <c r="I6618" t="s">
        <v>32</v>
      </c>
      <c r="J6618" t="s">
        <v>33</v>
      </c>
      <c r="K6618" t="s">
        <v>47</v>
      </c>
      <c r="L6618" t="s">
        <v>48</v>
      </c>
      <c r="M6618" t="s">
        <v>172</v>
      </c>
      <c r="N6618">
        <v>820</v>
      </c>
      <c r="O6618" s="14">
        <v>0.76459398400038503</v>
      </c>
      <c r="P6618" s="14">
        <v>2.9788714367896301E-2</v>
      </c>
      <c r="Q6618" t="str">
        <f t="shared" si="206"/>
        <v>01-09</v>
      </c>
      <c r="R6618" t="str">
        <f t="shared" si="207"/>
        <v>[fyEoGEPERdI]|01-09|Male|PLHIV_Residents.T2|CY2025Q3</v>
      </c>
    </row>
    <row r="6619" spans="4:18" x14ac:dyDescent="0.2">
      <c r="D6619" t="s">
        <v>83</v>
      </c>
      <c r="E6619" t="s">
        <v>84</v>
      </c>
      <c r="F6619" t="s">
        <v>85</v>
      </c>
      <c r="G6619" t="s">
        <v>170</v>
      </c>
      <c r="H6619" t="s">
        <v>171</v>
      </c>
      <c r="I6619" t="s">
        <v>35</v>
      </c>
      <c r="J6619" t="s">
        <v>36</v>
      </c>
      <c r="K6619" t="s">
        <v>47</v>
      </c>
      <c r="L6619" t="s">
        <v>48</v>
      </c>
      <c r="M6619" t="s">
        <v>172</v>
      </c>
      <c r="N6619">
        <v>828</v>
      </c>
      <c r="O6619" s="14">
        <v>0.22975080017931801</v>
      </c>
      <c r="P6619" s="14">
        <v>2.9788714367896301E-2</v>
      </c>
      <c r="Q6619" t="str">
        <f t="shared" si="206"/>
        <v>10-14</v>
      </c>
      <c r="R6619" t="str">
        <f t="shared" si="207"/>
        <v>[fyEoGEPERdI]|10-14|Male|PLHIV_Residents.T2|CY2025Q3</v>
      </c>
    </row>
    <row r="6620" spans="4:18" x14ac:dyDescent="0.2">
      <c r="D6620" t="s">
        <v>83</v>
      </c>
      <c r="E6620" t="s">
        <v>84</v>
      </c>
      <c r="F6620" t="s">
        <v>85</v>
      </c>
      <c r="G6620" t="s">
        <v>170</v>
      </c>
      <c r="H6620" t="s">
        <v>171</v>
      </c>
      <c r="I6620" t="s">
        <v>37</v>
      </c>
      <c r="J6620" t="s">
        <v>38</v>
      </c>
      <c r="K6620" t="s">
        <v>47</v>
      </c>
      <c r="L6620" t="s">
        <v>48</v>
      </c>
      <c r="M6620" t="s">
        <v>172</v>
      </c>
      <c r="N6620">
        <v>647</v>
      </c>
      <c r="O6620" s="14">
        <v>0.62307762028649405</v>
      </c>
      <c r="P6620" s="14">
        <v>2.9788714367896301E-2</v>
      </c>
      <c r="Q6620" t="str">
        <f t="shared" si="206"/>
        <v>15-24</v>
      </c>
      <c r="R6620" t="str">
        <f t="shared" si="207"/>
        <v>[fyEoGEPERdI]|15-24|Male|PLHIV_Residents.T2|CY2025Q3</v>
      </c>
    </row>
    <row r="6621" spans="4:18" x14ac:dyDescent="0.2">
      <c r="D6621" t="s">
        <v>83</v>
      </c>
      <c r="E6621" t="s">
        <v>84</v>
      </c>
      <c r="F6621" t="s">
        <v>85</v>
      </c>
      <c r="G6621" t="s">
        <v>170</v>
      </c>
      <c r="H6621" t="s">
        <v>171</v>
      </c>
      <c r="I6621" t="s">
        <v>40</v>
      </c>
      <c r="J6621" t="s">
        <v>41</v>
      </c>
      <c r="K6621" t="s">
        <v>47</v>
      </c>
      <c r="L6621" t="s">
        <v>48</v>
      </c>
      <c r="M6621" t="s">
        <v>172</v>
      </c>
      <c r="N6621">
        <v>657</v>
      </c>
      <c r="O6621" s="14">
        <v>0.94778897450305499</v>
      </c>
      <c r="P6621" s="14">
        <v>2.9788714367896301E-2</v>
      </c>
      <c r="Q6621" t="str">
        <f t="shared" si="206"/>
        <v>25-34</v>
      </c>
      <c r="R6621" t="str">
        <f t="shared" si="207"/>
        <v>[fyEoGEPERdI]|25-34|Male|PLHIV_Residents.T2|CY2025Q3</v>
      </c>
    </row>
    <row r="6622" spans="4:18" x14ac:dyDescent="0.2">
      <c r="D6622" t="s">
        <v>83</v>
      </c>
      <c r="E6622" t="s">
        <v>84</v>
      </c>
      <c r="F6622" t="s">
        <v>85</v>
      </c>
      <c r="G6622" t="s">
        <v>170</v>
      </c>
      <c r="H6622" t="s">
        <v>171</v>
      </c>
      <c r="I6622" t="s">
        <v>42</v>
      </c>
      <c r="J6622" t="s">
        <v>43</v>
      </c>
      <c r="K6622" t="s">
        <v>47</v>
      </c>
      <c r="L6622" t="s">
        <v>48</v>
      </c>
      <c r="M6622" t="s">
        <v>172</v>
      </c>
      <c r="N6622">
        <v>1153</v>
      </c>
      <c r="O6622" s="14">
        <v>0.62673387606628195</v>
      </c>
      <c r="P6622" s="14">
        <v>2.9788714367896301E-2</v>
      </c>
      <c r="Q6622" t="str">
        <f t="shared" si="206"/>
        <v>35-49</v>
      </c>
      <c r="R6622" t="str">
        <f t="shared" si="207"/>
        <v>[fyEoGEPERdI]|35-49|Male|PLHIV_Residents.T2|CY2025Q3</v>
      </c>
    </row>
    <row r="6623" spans="4:18" x14ac:dyDescent="0.2">
      <c r="D6623" t="s">
        <v>83</v>
      </c>
      <c r="E6623" t="s">
        <v>84</v>
      </c>
      <c r="F6623" t="s">
        <v>85</v>
      </c>
      <c r="G6623" t="s">
        <v>170</v>
      </c>
      <c r="H6623" t="s">
        <v>171</v>
      </c>
      <c r="I6623" t="s">
        <v>44</v>
      </c>
      <c r="J6623" t="s">
        <v>45</v>
      </c>
      <c r="K6623" t="s">
        <v>47</v>
      </c>
      <c r="L6623" t="s">
        <v>48</v>
      </c>
      <c r="M6623" t="s">
        <v>172</v>
      </c>
      <c r="N6623">
        <v>1301</v>
      </c>
      <c r="O6623" s="14">
        <v>0.88671474484726798</v>
      </c>
      <c r="P6623" s="14">
        <v>2.9788714367896301E-2</v>
      </c>
      <c r="Q6623" t="str">
        <f t="shared" si="206"/>
        <v>50+</v>
      </c>
      <c r="R6623" t="str">
        <f t="shared" si="207"/>
        <v>[fyEoGEPERdI]|50+|Male|PLHIV_Residents.T2|CY2025Q3</v>
      </c>
    </row>
    <row r="6624" spans="4:18" x14ac:dyDescent="0.2">
      <c r="D6624" t="s">
        <v>86</v>
      </c>
      <c r="E6624" t="s">
        <v>87</v>
      </c>
      <c r="F6624" t="s">
        <v>88</v>
      </c>
      <c r="G6624" t="s">
        <v>170</v>
      </c>
      <c r="H6624" t="s">
        <v>171</v>
      </c>
      <c r="I6624" t="s">
        <v>27</v>
      </c>
      <c r="J6624" t="s">
        <v>28</v>
      </c>
      <c r="K6624" t="s">
        <v>29</v>
      </c>
      <c r="L6624" t="s">
        <v>30</v>
      </c>
      <c r="M6624" t="s">
        <v>172</v>
      </c>
      <c r="N6624">
        <v>1528</v>
      </c>
      <c r="O6624" s="14">
        <v>0.37762086279690299</v>
      </c>
      <c r="P6624" s="14">
        <v>0.13333638082258401</v>
      </c>
      <c r="Q6624" t="str">
        <f t="shared" si="206"/>
        <v>&lt;01</v>
      </c>
      <c r="R6624" t="str">
        <f t="shared" si="207"/>
        <v>[cPtvxaZqXIH]|&lt;01|Female|PLHIV_Residents.T2|CY2025Q3</v>
      </c>
    </row>
    <row r="6625" spans="4:18" x14ac:dyDescent="0.2">
      <c r="D6625" t="s">
        <v>86</v>
      </c>
      <c r="E6625" t="s">
        <v>87</v>
      </c>
      <c r="F6625" t="s">
        <v>88</v>
      </c>
      <c r="G6625" t="s">
        <v>170</v>
      </c>
      <c r="H6625" t="s">
        <v>171</v>
      </c>
      <c r="I6625" t="s">
        <v>32</v>
      </c>
      <c r="J6625" t="s">
        <v>33</v>
      </c>
      <c r="K6625" t="s">
        <v>29</v>
      </c>
      <c r="L6625" t="s">
        <v>30</v>
      </c>
      <c r="M6625" t="s">
        <v>172</v>
      </c>
      <c r="N6625">
        <v>1208</v>
      </c>
      <c r="O6625" s="14">
        <v>0.68053719983436201</v>
      </c>
      <c r="P6625" s="14">
        <v>0.13333638082258401</v>
      </c>
      <c r="Q6625" t="str">
        <f t="shared" si="206"/>
        <v>01-09</v>
      </c>
      <c r="R6625" t="str">
        <f t="shared" si="207"/>
        <v>[cPtvxaZqXIH]|01-09|Female|PLHIV_Residents.T2|CY2025Q3</v>
      </c>
    </row>
    <row r="6626" spans="4:18" x14ac:dyDescent="0.2">
      <c r="D6626" t="s">
        <v>86</v>
      </c>
      <c r="E6626" t="s">
        <v>87</v>
      </c>
      <c r="F6626" t="s">
        <v>88</v>
      </c>
      <c r="G6626" t="s">
        <v>170</v>
      </c>
      <c r="H6626" t="s">
        <v>171</v>
      </c>
      <c r="I6626" t="s">
        <v>35</v>
      </c>
      <c r="J6626" t="s">
        <v>36</v>
      </c>
      <c r="K6626" t="s">
        <v>29</v>
      </c>
      <c r="L6626" t="s">
        <v>30</v>
      </c>
      <c r="M6626" t="s">
        <v>172</v>
      </c>
      <c r="N6626">
        <v>1555</v>
      </c>
      <c r="O6626" s="14">
        <v>0.13784064189530901</v>
      </c>
      <c r="P6626" s="14">
        <v>0.13333638082258401</v>
      </c>
      <c r="Q6626" t="str">
        <f t="shared" si="206"/>
        <v>10-14</v>
      </c>
      <c r="R6626" t="str">
        <f t="shared" si="207"/>
        <v>[cPtvxaZqXIH]|10-14|Female|PLHIV_Residents.T2|CY2025Q3</v>
      </c>
    </row>
    <row r="6627" spans="4:18" x14ac:dyDescent="0.2">
      <c r="D6627" t="s">
        <v>86</v>
      </c>
      <c r="E6627" t="s">
        <v>87</v>
      </c>
      <c r="F6627" t="s">
        <v>88</v>
      </c>
      <c r="G6627" t="s">
        <v>170</v>
      </c>
      <c r="H6627" t="s">
        <v>171</v>
      </c>
      <c r="I6627" t="s">
        <v>37</v>
      </c>
      <c r="J6627" t="s">
        <v>38</v>
      </c>
      <c r="K6627" t="s">
        <v>29</v>
      </c>
      <c r="L6627" t="s">
        <v>30</v>
      </c>
      <c r="M6627" t="s">
        <v>172</v>
      </c>
      <c r="N6627">
        <v>920</v>
      </c>
      <c r="O6627" s="14">
        <v>0.80577241396531496</v>
      </c>
      <c r="P6627" s="14">
        <v>0.13333638082258401</v>
      </c>
      <c r="Q6627" t="str">
        <f t="shared" si="206"/>
        <v>15-24</v>
      </c>
      <c r="R6627" t="str">
        <f t="shared" si="207"/>
        <v>[cPtvxaZqXIH]|15-24|Female|PLHIV_Residents.T2|CY2025Q3</v>
      </c>
    </row>
    <row r="6628" spans="4:18" x14ac:dyDescent="0.2">
      <c r="D6628" t="s">
        <v>86</v>
      </c>
      <c r="E6628" t="s">
        <v>87</v>
      </c>
      <c r="F6628" t="s">
        <v>88</v>
      </c>
      <c r="G6628" t="s">
        <v>170</v>
      </c>
      <c r="H6628" t="s">
        <v>171</v>
      </c>
      <c r="I6628" t="s">
        <v>40</v>
      </c>
      <c r="J6628" t="s">
        <v>41</v>
      </c>
      <c r="K6628" t="s">
        <v>29</v>
      </c>
      <c r="L6628" t="s">
        <v>30</v>
      </c>
      <c r="M6628" t="s">
        <v>172</v>
      </c>
      <c r="N6628">
        <v>1498</v>
      </c>
      <c r="O6628" s="14">
        <v>0.81648818869143702</v>
      </c>
      <c r="P6628" s="14">
        <v>0.13333638082258401</v>
      </c>
      <c r="Q6628" t="str">
        <f t="shared" si="206"/>
        <v>25-34</v>
      </c>
      <c r="R6628" t="str">
        <f t="shared" si="207"/>
        <v>[cPtvxaZqXIH]|25-34|Female|PLHIV_Residents.T2|CY2025Q3</v>
      </c>
    </row>
    <row r="6629" spans="4:18" x14ac:dyDescent="0.2">
      <c r="D6629" t="s">
        <v>86</v>
      </c>
      <c r="E6629" t="s">
        <v>87</v>
      </c>
      <c r="F6629" t="s">
        <v>88</v>
      </c>
      <c r="G6629" t="s">
        <v>170</v>
      </c>
      <c r="H6629" t="s">
        <v>171</v>
      </c>
      <c r="I6629" t="s">
        <v>42</v>
      </c>
      <c r="J6629" t="s">
        <v>43</v>
      </c>
      <c r="K6629" t="s">
        <v>29</v>
      </c>
      <c r="L6629" t="s">
        <v>30</v>
      </c>
      <c r="M6629" t="s">
        <v>172</v>
      </c>
      <c r="N6629">
        <v>1495</v>
      </c>
      <c r="O6629" s="14">
        <v>0.45895834709517702</v>
      </c>
      <c r="P6629" s="14">
        <v>0.13333638082258401</v>
      </c>
      <c r="Q6629" t="str">
        <f t="shared" si="206"/>
        <v>35-49</v>
      </c>
      <c r="R6629" t="str">
        <f t="shared" si="207"/>
        <v>[cPtvxaZqXIH]|35-49|Female|PLHIV_Residents.T2|CY2025Q3</v>
      </c>
    </row>
    <row r="6630" spans="4:18" x14ac:dyDescent="0.2">
      <c r="D6630" t="s">
        <v>86</v>
      </c>
      <c r="E6630" t="s">
        <v>87</v>
      </c>
      <c r="F6630" t="s">
        <v>88</v>
      </c>
      <c r="G6630" t="s">
        <v>170</v>
      </c>
      <c r="H6630" t="s">
        <v>171</v>
      </c>
      <c r="I6630" t="s">
        <v>44</v>
      </c>
      <c r="J6630" t="s">
        <v>45</v>
      </c>
      <c r="K6630" t="s">
        <v>29</v>
      </c>
      <c r="L6630" t="s">
        <v>30</v>
      </c>
      <c r="M6630" t="s">
        <v>172</v>
      </c>
      <c r="N6630">
        <v>730</v>
      </c>
      <c r="O6630" s="14">
        <v>0.803564363857731</v>
      </c>
      <c r="P6630" s="14">
        <v>0.13333638082258401</v>
      </c>
      <c r="Q6630" t="str">
        <f t="shared" si="206"/>
        <v>50+</v>
      </c>
      <c r="R6630" t="str">
        <f t="shared" si="207"/>
        <v>[cPtvxaZqXIH]|50+|Female|PLHIV_Residents.T2|CY2025Q3</v>
      </c>
    </row>
    <row r="6631" spans="4:18" x14ac:dyDescent="0.2">
      <c r="D6631" t="s">
        <v>86</v>
      </c>
      <c r="E6631" t="s">
        <v>87</v>
      </c>
      <c r="F6631" t="s">
        <v>88</v>
      </c>
      <c r="G6631" t="s">
        <v>170</v>
      </c>
      <c r="H6631" t="s">
        <v>171</v>
      </c>
      <c r="I6631" t="s">
        <v>27</v>
      </c>
      <c r="J6631" t="s">
        <v>28</v>
      </c>
      <c r="K6631" t="s">
        <v>47</v>
      </c>
      <c r="L6631" t="s">
        <v>48</v>
      </c>
      <c r="M6631" t="s">
        <v>172</v>
      </c>
      <c r="N6631">
        <v>511</v>
      </c>
      <c r="O6631" s="14">
        <v>0.25367334135808101</v>
      </c>
      <c r="P6631" s="14">
        <v>0.13333638082258401</v>
      </c>
      <c r="Q6631" t="str">
        <f t="shared" si="206"/>
        <v>&lt;01</v>
      </c>
      <c r="R6631" t="str">
        <f t="shared" si="207"/>
        <v>[cPtvxaZqXIH]|&lt;01|Male|PLHIV_Residents.T2|CY2025Q3</v>
      </c>
    </row>
    <row r="6632" spans="4:18" x14ac:dyDescent="0.2">
      <c r="D6632" t="s">
        <v>86</v>
      </c>
      <c r="E6632" t="s">
        <v>87</v>
      </c>
      <c r="F6632" t="s">
        <v>88</v>
      </c>
      <c r="G6632" t="s">
        <v>170</v>
      </c>
      <c r="H6632" t="s">
        <v>171</v>
      </c>
      <c r="I6632" t="s">
        <v>32</v>
      </c>
      <c r="J6632" t="s">
        <v>33</v>
      </c>
      <c r="K6632" t="s">
        <v>47</v>
      </c>
      <c r="L6632" t="s">
        <v>48</v>
      </c>
      <c r="M6632" t="s">
        <v>172</v>
      </c>
      <c r="N6632">
        <v>1890</v>
      </c>
      <c r="O6632" s="14">
        <v>0.205345653230324</v>
      </c>
      <c r="P6632" s="14">
        <v>0.13333638082258401</v>
      </c>
      <c r="Q6632" t="str">
        <f t="shared" si="206"/>
        <v>01-09</v>
      </c>
      <c r="R6632" t="str">
        <f t="shared" si="207"/>
        <v>[cPtvxaZqXIH]|01-09|Male|PLHIV_Residents.T2|CY2025Q3</v>
      </c>
    </row>
    <row r="6633" spans="4:18" x14ac:dyDescent="0.2">
      <c r="D6633" t="s">
        <v>86</v>
      </c>
      <c r="E6633" t="s">
        <v>87</v>
      </c>
      <c r="F6633" t="s">
        <v>88</v>
      </c>
      <c r="G6633" t="s">
        <v>170</v>
      </c>
      <c r="H6633" t="s">
        <v>171</v>
      </c>
      <c r="I6633" t="s">
        <v>35</v>
      </c>
      <c r="J6633" t="s">
        <v>36</v>
      </c>
      <c r="K6633" t="s">
        <v>47</v>
      </c>
      <c r="L6633" t="s">
        <v>48</v>
      </c>
      <c r="M6633" t="s">
        <v>172</v>
      </c>
      <c r="N6633">
        <v>658</v>
      </c>
      <c r="O6633" s="14">
        <v>0.77353937691077601</v>
      </c>
      <c r="P6633" s="14">
        <v>0.13333638082258401</v>
      </c>
      <c r="Q6633" t="str">
        <f t="shared" si="206"/>
        <v>10-14</v>
      </c>
      <c r="R6633" t="str">
        <f t="shared" si="207"/>
        <v>[cPtvxaZqXIH]|10-14|Male|PLHIV_Residents.T2|CY2025Q3</v>
      </c>
    </row>
    <row r="6634" spans="4:18" x14ac:dyDescent="0.2">
      <c r="D6634" t="s">
        <v>86</v>
      </c>
      <c r="E6634" t="s">
        <v>87</v>
      </c>
      <c r="F6634" t="s">
        <v>88</v>
      </c>
      <c r="G6634" t="s">
        <v>170</v>
      </c>
      <c r="H6634" t="s">
        <v>171</v>
      </c>
      <c r="I6634" t="s">
        <v>37</v>
      </c>
      <c r="J6634" t="s">
        <v>38</v>
      </c>
      <c r="K6634" t="s">
        <v>47</v>
      </c>
      <c r="L6634" t="s">
        <v>48</v>
      </c>
      <c r="M6634" t="s">
        <v>172</v>
      </c>
      <c r="N6634">
        <v>1382</v>
      </c>
      <c r="O6634" s="14">
        <v>0.291418614564463</v>
      </c>
      <c r="P6634" s="14">
        <v>0.13333638082258401</v>
      </c>
      <c r="Q6634" t="str">
        <f t="shared" si="206"/>
        <v>15-24</v>
      </c>
      <c r="R6634" t="str">
        <f t="shared" si="207"/>
        <v>[cPtvxaZqXIH]|15-24|Male|PLHIV_Residents.T2|CY2025Q3</v>
      </c>
    </row>
    <row r="6635" spans="4:18" x14ac:dyDescent="0.2">
      <c r="D6635" t="s">
        <v>86</v>
      </c>
      <c r="E6635" t="s">
        <v>87</v>
      </c>
      <c r="F6635" t="s">
        <v>88</v>
      </c>
      <c r="G6635" t="s">
        <v>170</v>
      </c>
      <c r="H6635" t="s">
        <v>171</v>
      </c>
      <c r="I6635" t="s">
        <v>40</v>
      </c>
      <c r="J6635" t="s">
        <v>41</v>
      </c>
      <c r="K6635" t="s">
        <v>47</v>
      </c>
      <c r="L6635" t="s">
        <v>48</v>
      </c>
      <c r="M6635" t="s">
        <v>172</v>
      </c>
      <c r="N6635">
        <v>1085</v>
      </c>
      <c r="O6635" s="14">
        <v>0.63695933949202299</v>
      </c>
      <c r="P6635" s="14">
        <v>0.13333638082258401</v>
      </c>
      <c r="Q6635" t="str">
        <f t="shared" si="206"/>
        <v>25-34</v>
      </c>
      <c r="R6635" t="str">
        <f t="shared" si="207"/>
        <v>[cPtvxaZqXIH]|25-34|Male|PLHIV_Residents.T2|CY2025Q3</v>
      </c>
    </row>
    <row r="6636" spans="4:18" x14ac:dyDescent="0.2">
      <c r="D6636" t="s">
        <v>86</v>
      </c>
      <c r="E6636" t="s">
        <v>87</v>
      </c>
      <c r="F6636" t="s">
        <v>88</v>
      </c>
      <c r="G6636" t="s">
        <v>170</v>
      </c>
      <c r="H6636" t="s">
        <v>171</v>
      </c>
      <c r="I6636" t="s">
        <v>42</v>
      </c>
      <c r="J6636" t="s">
        <v>43</v>
      </c>
      <c r="K6636" t="s">
        <v>47</v>
      </c>
      <c r="L6636" t="s">
        <v>48</v>
      </c>
      <c r="M6636" t="s">
        <v>172</v>
      </c>
      <c r="N6636">
        <v>755</v>
      </c>
      <c r="O6636" s="14">
        <v>0.32950479863211501</v>
      </c>
      <c r="P6636" s="14">
        <v>0.13333638082258401</v>
      </c>
      <c r="Q6636" t="str">
        <f t="shared" si="206"/>
        <v>35-49</v>
      </c>
      <c r="R6636" t="str">
        <f t="shared" si="207"/>
        <v>[cPtvxaZqXIH]|35-49|Male|PLHIV_Residents.T2|CY2025Q3</v>
      </c>
    </row>
    <row r="6637" spans="4:18" x14ac:dyDescent="0.2">
      <c r="D6637" t="s">
        <v>86</v>
      </c>
      <c r="E6637" t="s">
        <v>87</v>
      </c>
      <c r="F6637" t="s">
        <v>88</v>
      </c>
      <c r="G6637" t="s">
        <v>170</v>
      </c>
      <c r="H6637" t="s">
        <v>171</v>
      </c>
      <c r="I6637" t="s">
        <v>44</v>
      </c>
      <c r="J6637" t="s">
        <v>45</v>
      </c>
      <c r="K6637" t="s">
        <v>47</v>
      </c>
      <c r="L6637" t="s">
        <v>48</v>
      </c>
      <c r="M6637" t="s">
        <v>172</v>
      </c>
      <c r="N6637">
        <v>1532</v>
      </c>
      <c r="O6637" s="14">
        <v>0.46246478287503101</v>
      </c>
      <c r="P6637" s="14">
        <v>0.13333638082258401</v>
      </c>
      <c r="Q6637" t="str">
        <f t="shared" si="206"/>
        <v>50+</v>
      </c>
      <c r="R6637" t="str">
        <f t="shared" si="207"/>
        <v>[cPtvxaZqXIH]|50+|Male|PLHIV_Residents.T2|CY2025Q3</v>
      </c>
    </row>
    <row r="6638" spans="4:18" x14ac:dyDescent="0.2">
      <c r="D6638" t="s">
        <v>89</v>
      </c>
      <c r="E6638" t="s">
        <v>90</v>
      </c>
      <c r="F6638" t="s">
        <v>91</v>
      </c>
      <c r="G6638" t="s">
        <v>170</v>
      </c>
      <c r="H6638" t="s">
        <v>171</v>
      </c>
      <c r="I6638" t="s">
        <v>27</v>
      </c>
      <c r="J6638" t="s">
        <v>28</v>
      </c>
      <c r="K6638" t="s">
        <v>29</v>
      </c>
      <c r="L6638" t="s">
        <v>30</v>
      </c>
      <c r="M6638" t="s">
        <v>172</v>
      </c>
      <c r="N6638">
        <v>836</v>
      </c>
      <c r="O6638" s="14">
        <v>0.98505228594876804</v>
      </c>
      <c r="P6638" s="14">
        <v>0.71991415042430196</v>
      </c>
      <c r="Q6638" t="str">
        <f t="shared" si="206"/>
        <v>&lt;01</v>
      </c>
      <c r="R6638" t="str">
        <f t="shared" si="207"/>
        <v>[AZyWpGzhcaA]|&lt;01|Female|PLHIV_Residents.T2|CY2025Q3</v>
      </c>
    </row>
    <row r="6639" spans="4:18" x14ac:dyDescent="0.2">
      <c r="D6639" t="s">
        <v>89</v>
      </c>
      <c r="E6639" t="s">
        <v>90</v>
      </c>
      <c r="F6639" t="s">
        <v>91</v>
      </c>
      <c r="G6639" t="s">
        <v>170</v>
      </c>
      <c r="H6639" t="s">
        <v>171</v>
      </c>
      <c r="I6639" t="s">
        <v>32</v>
      </c>
      <c r="J6639" t="s">
        <v>33</v>
      </c>
      <c r="K6639" t="s">
        <v>29</v>
      </c>
      <c r="L6639" t="s">
        <v>30</v>
      </c>
      <c r="M6639" t="s">
        <v>172</v>
      </c>
      <c r="N6639">
        <v>855</v>
      </c>
      <c r="O6639" s="14">
        <v>0.42301442963071201</v>
      </c>
      <c r="P6639" s="14">
        <v>0.71991415042430196</v>
      </c>
      <c r="Q6639" t="str">
        <f t="shared" si="206"/>
        <v>01-09</v>
      </c>
      <c r="R6639" t="str">
        <f t="shared" si="207"/>
        <v>[AZyWpGzhcaA]|01-09|Female|PLHIV_Residents.T2|CY2025Q3</v>
      </c>
    </row>
    <row r="6640" spans="4:18" x14ac:dyDescent="0.2">
      <c r="D6640" t="s">
        <v>89</v>
      </c>
      <c r="E6640" t="s">
        <v>90</v>
      </c>
      <c r="F6640" t="s">
        <v>91</v>
      </c>
      <c r="G6640" t="s">
        <v>170</v>
      </c>
      <c r="H6640" t="s">
        <v>171</v>
      </c>
      <c r="I6640" t="s">
        <v>35</v>
      </c>
      <c r="J6640" t="s">
        <v>36</v>
      </c>
      <c r="K6640" t="s">
        <v>29</v>
      </c>
      <c r="L6640" t="s">
        <v>30</v>
      </c>
      <c r="M6640" t="s">
        <v>172</v>
      </c>
      <c r="N6640">
        <v>1369</v>
      </c>
      <c r="O6640" s="14">
        <v>0.72812949097715296</v>
      </c>
      <c r="P6640" s="14">
        <v>0.71991415042430196</v>
      </c>
      <c r="Q6640" t="str">
        <f t="shared" si="206"/>
        <v>10-14</v>
      </c>
      <c r="R6640" t="str">
        <f t="shared" si="207"/>
        <v>[AZyWpGzhcaA]|10-14|Female|PLHIV_Residents.T2|CY2025Q3</v>
      </c>
    </row>
    <row r="6641" spans="4:18" x14ac:dyDescent="0.2">
      <c r="D6641" t="s">
        <v>89</v>
      </c>
      <c r="E6641" t="s">
        <v>90</v>
      </c>
      <c r="F6641" t="s">
        <v>91</v>
      </c>
      <c r="G6641" t="s">
        <v>170</v>
      </c>
      <c r="H6641" t="s">
        <v>171</v>
      </c>
      <c r="I6641" t="s">
        <v>37</v>
      </c>
      <c r="J6641" t="s">
        <v>38</v>
      </c>
      <c r="K6641" t="s">
        <v>29</v>
      </c>
      <c r="L6641" t="s">
        <v>30</v>
      </c>
      <c r="M6641" t="s">
        <v>172</v>
      </c>
      <c r="N6641">
        <v>1150</v>
      </c>
      <c r="O6641" s="14">
        <v>0.27077410812489699</v>
      </c>
      <c r="P6641" s="14">
        <v>0.71991415042430196</v>
      </c>
      <c r="Q6641" t="str">
        <f t="shared" si="206"/>
        <v>15-24</v>
      </c>
      <c r="R6641" t="str">
        <f t="shared" si="207"/>
        <v>[AZyWpGzhcaA]|15-24|Female|PLHIV_Residents.T2|CY2025Q3</v>
      </c>
    </row>
    <row r="6642" spans="4:18" x14ac:dyDescent="0.2">
      <c r="D6642" t="s">
        <v>89</v>
      </c>
      <c r="E6642" t="s">
        <v>90</v>
      </c>
      <c r="F6642" t="s">
        <v>91</v>
      </c>
      <c r="G6642" t="s">
        <v>170</v>
      </c>
      <c r="H6642" t="s">
        <v>171</v>
      </c>
      <c r="I6642" t="s">
        <v>40</v>
      </c>
      <c r="J6642" t="s">
        <v>41</v>
      </c>
      <c r="K6642" t="s">
        <v>29</v>
      </c>
      <c r="L6642" t="s">
        <v>30</v>
      </c>
      <c r="M6642" t="s">
        <v>172</v>
      </c>
      <c r="N6642">
        <v>1009</v>
      </c>
      <c r="O6642" s="14">
        <v>0.76423853985033896</v>
      </c>
      <c r="P6642" s="14">
        <v>0.71991415042430196</v>
      </c>
      <c r="Q6642" t="str">
        <f t="shared" si="206"/>
        <v>25-34</v>
      </c>
      <c r="R6642" t="str">
        <f t="shared" si="207"/>
        <v>[AZyWpGzhcaA]|25-34|Female|PLHIV_Residents.T2|CY2025Q3</v>
      </c>
    </row>
    <row r="6643" spans="4:18" x14ac:dyDescent="0.2">
      <c r="D6643" t="s">
        <v>89</v>
      </c>
      <c r="E6643" t="s">
        <v>90</v>
      </c>
      <c r="F6643" t="s">
        <v>91</v>
      </c>
      <c r="G6643" t="s">
        <v>170</v>
      </c>
      <c r="H6643" t="s">
        <v>171</v>
      </c>
      <c r="I6643" t="s">
        <v>42</v>
      </c>
      <c r="J6643" t="s">
        <v>43</v>
      </c>
      <c r="K6643" t="s">
        <v>29</v>
      </c>
      <c r="L6643" t="s">
        <v>30</v>
      </c>
      <c r="M6643" t="s">
        <v>172</v>
      </c>
      <c r="N6643">
        <v>638</v>
      </c>
      <c r="O6643" s="14">
        <v>0.33624197356402902</v>
      </c>
      <c r="P6643" s="14">
        <v>0.71991415042430196</v>
      </c>
      <c r="Q6643" t="str">
        <f t="shared" si="206"/>
        <v>35-49</v>
      </c>
      <c r="R6643" t="str">
        <f t="shared" si="207"/>
        <v>[AZyWpGzhcaA]|35-49|Female|PLHIV_Residents.T2|CY2025Q3</v>
      </c>
    </row>
    <row r="6644" spans="4:18" x14ac:dyDescent="0.2">
      <c r="D6644" t="s">
        <v>89</v>
      </c>
      <c r="E6644" t="s">
        <v>90</v>
      </c>
      <c r="F6644" t="s">
        <v>91</v>
      </c>
      <c r="G6644" t="s">
        <v>170</v>
      </c>
      <c r="H6644" t="s">
        <v>171</v>
      </c>
      <c r="I6644" t="s">
        <v>44</v>
      </c>
      <c r="J6644" t="s">
        <v>45</v>
      </c>
      <c r="K6644" t="s">
        <v>29</v>
      </c>
      <c r="L6644" t="s">
        <v>30</v>
      </c>
      <c r="M6644" t="s">
        <v>172</v>
      </c>
      <c r="N6644">
        <v>1002</v>
      </c>
      <c r="O6644" s="14">
        <v>8.6409026058390695E-2</v>
      </c>
      <c r="P6644" s="14">
        <v>0.71991415042430196</v>
      </c>
      <c r="Q6644" t="str">
        <f t="shared" si="206"/>
        <v>50+</v>
      </c>
      <c r="R6644" t="str">
        <f t="shared" si="207"/>
        <v>[AZyWpGzhcaA]|50+|Female|PLHIV_Residents.T2|CY2025Q3</v>
      </c>
    </row>
    <row r="6645" spans="4:18" x14ac:dyDescent="0.2">
      <c r="D6645" t="s">
        <v>89</v>
      </c>
      <c r="E6645" t="s">
        <v>90</v>
      </c>
      <c r="F6645" t="s">
        <v>91</v>
      </c>
      <c r="G6645" t="s">
        <v>170</v>
      </c>
      <c r="H6645" t="s">
        <v>171</v>
      </c>
      <c r="I6645" t="s">
        <v>27</v>
      </c>
      <c r="J6645" t="s">
        <v>28</v>
      </c>
      <c r="K6645" t="s">
        <v>47</v>
      </c>
      <c r="L6645" t="s">
        <v>48</v>
      </c>
      <c r="M6645" t="s">
        <v>172</v>
      </c>
      <c r="N6645">
        <v>1500</v>
      </c>
      <c r="O6645" s="14">
        <v>0.46440703002736</v>
      </c>
      <c r="P6645" s="14">
        <v>0.71991415042430196</v>
      </c>
      <c r="Q6645" t="str">
        <f t="shared" si="206"/>
        <v>&lt;01</v>
      </c>
      <c r="R6645" t="str">
        <f t="shared" si="207"/>
        <v>[AZyWpGzhcaA]|&lt;01|Male|PLHIV_Residents.T2|CY2025Q3</v>
      </c>
    </row>
    <row r="6646" spans="4:18" x14ac:dyDescent="0.2">
      <c r="D6646" t="s">
        <v>89</v>
      </c>
      <c r="E6646" t="s">
        <v>90</v>
      </c>
      <c r="F6646" t="s">
        <v>91</v>
      </c>
      <c r="G6646" t="s">
        <v>170</v>
      </c>
      <c r="H6646" t="s">
        <v>171</v>
      </c>
      <c r="I6646" t="s">
        <v>32</v>
      </c>
      <c r="J6646" t="s">
        <v>33</v>
      </c>
      <c r="K6646" t="s">
        <v>47</v>
      </c>
      <c r="L6646" t="s">
        <v>48</v>
      </c>
      <c r="M6646" t="s">
        <v>172</v>
      </c>
      <c r="N6646">
        <v>1468</v>
      </c>
      <c r="O6646" s="14">
        <v>0.833641330711544</v>
      </c>
      <c r="P6646" s="14">
        <v>0.71991415042430196</v>
      </c>
      <c r="Q6646" t="str">
        <f t="shared" si="206"/>
        <v>01-09</v>
      </c>
      <c r="R6646" t="str">
        <f t="shared" si="207"/>
        <v>[AZyWpGzhcaA]|01-09|Male|PLHIV_Residents.T2|CY2025Q3</v>
      </c>
    </row>
    <row r="6647" spans="4:18" x14ac:dyDescent="0.2">
      <c r="D6647" t="s">
        <v>89</v>
      </c>
      <c r="E6647" t="s">
        <v>90</v>
      </c>
      <c r="F6647" t="s">
        <v>91</v>
      </c>
      <c r="G6647" t="s">
        <v>170</v>
      </c>
      <c r="H6647" t="s">
        <v>171</v>
      </c>
      <c r="I6647" t="s">
        <v>35</v>
      </c>
      <c r="J6647" t="s">
        <v>36</v>
      </c>
      <c r="K6647" t="s">
        <v>47</v>
      </c>
      <c r="L6647" t="s">
        <v>48</v>
      </c>
      <c r="M6647" t="s">
        <v>172</v>
      </c>
      <c r="N6647">
        <v>1777</v>
      </c>
      <c r="O6647" s="14">
        <v>0.54837468871846795</v>
      </c>
      <c r="P6647" s="14">
        <v>0.71991415042430196</v>
      </c>
      <c r="Q6647" t="str">
        <f t="shared" si="206"/>
        <v>10-14</v>
      </c>
      <c r="R6647" t="str">
        <f t="shared" si="207"/>
        <v>[AZyWpGzhcaA]|10-14|Male|PLHIV_Residents.T2|CY2025Q3</v>
      </c>
    </row>
    <row r="6648" spans="4:18" x14ac:dyDescent="0.2">
      <c r="D6648" t="s">
        <v>89</v>
      </c>
      <c r="E6648" t="s">
        <v>90</v>
      </c>
      <c r="F6648" t="s">
        <v>91</v>
      </c>
      <c r="G6648" t="s">
        <v>170</v>
      </c>
      <c r="H6648" t="s">
        <v>171</v>
      </c>
      <c r="I6648" t="s">
        <v>37</v>
      </c>
      <c r="J6648" t="s">
        <v>38</v>
      </c>
      <c r="K6648" t="s">
        <v>47</v>
      </c>
      <c r="L6648" t="s">
        <v>48</v>
      </c>
      <c r="M6648" t="s">
        <v>172</v>
      </c>
      <c r="N6648">
        <v>1731</v>
      </c>
      <c r="O6648" s="14">
        <v>0.16585316788405199</v>
      </c>
      <c r="P6648" s="14">
        <v>0.71991415042430196</v>
      </c>
      <c r="Q6648" t="str">
        <f t="shared" si="206"/>
        <v>15-24</v>
      </c>
      <c r="R6648" t="str">
        <f t="shared" si="207"/>
        <v>[AZyWpGzhcaA]|15-24|Male|PLHIV_Residents.T2|CY2025Q3</v>
      </c>
    </row>
    <row r="6649" spans="4:18" x14ac:dyDescent="0.2">
      <c r="D6649" t="s">
        <v>89</v>
      </c>
      <c r="E6649" t="s">
        <v>90</v>
      </c>
      <c r="F6649" t="s">
        <v>91</v>
      </c>
      <c r="G6649" t="s">
        <v>170</v>
      </c>
      <c r="H6649" t="s">
        <v>171</v>
      </c>
      <c r="I6649" t="s">
        <v>40</v>
      </c>
      <c r="J6649" t="s">
        <v>41</v>
      </c>
      <c r="K6649" t="s">
        <v>47</v>
      </c>
      <c r="L6649" t="s">
        <v>48</v>
      </c>
      <c r="M6649" t="s">
        <v>172</v>
      </c>
      <c r="N6649">
        <v>1701</v>
      </c>
      <c r="O6649" s="14">
        <v>0.236678459681571</v>
      </c>
      <c r="P6649" s="14">
        <v>0.71991415042430196</v>
      </c>
      <c r="Q6649" t="str">
        <f t="shared" si="206"/>
        <v>25-34</v>
      </c>
      <c r="R6649" t="str">
        <f t="shared" si="207"/>
        <v>[AZyWpGzhcaA]|25-34|Male|PLHIV_Residents.T2|CY2025Q3</v>
      </c>
    </row>
    <row r="6650" spans="4:18" x14ac:dyDescent="0.2">
      <c r="D6650" t="s">
        <v>89</v>
      </c>
      <c r="E6650" t="s">
        <v>90</v>
      </c>
      <c r="F6650" t="s">
        <v>91</v>
      </c>
      <c r="G6650" t="s">
        <v>170</v>
      </c>
      <c r="H6650" t="s">
        <v>171</v>
      </c>
      <c r="I6650" t="s">
        <v>42</v>
      </c>
      <c r="J6650" t="s">
        <v>43</v>
      </c>
      <c r="K6650" t="s">
        <v>47</v>
      </c>
      <c r="L6650" t="s">
        <v>48</v>
      </c>
      <c r="M6650" t="s">
        <v>172</v>
      </c>
      <c r="N6650">
        <v>855</v>
      </c>
      <c r="O6650" s="14">
        <v>0.65255789319053303</v>
      </c>
      <c r="P6650" s="14">
        <v>0.71991415042430196</v>
      </c>
      <c r="Q6650" t="str">
        <f t="shared" si="206"/>
        <v>35-49</v>
      </c>
      <c r="R6650" t="str">
        <f t="shared" si="207"/>
        <v>[AZyWpGzhcaA]|35-49|Male|PLHIV_Residents.T2|CY2025Q3</v>
      </c>
    </row>
    <row r="6651" spans="4:18" x14ac:dyDescent="0.2">
      <c r="D6651" t="s">
        <v>89</v>
      </c>
      <c r="E6651" t="s">
        <v>90</v>
      </c>
      <c r="F6651" t="s">
        <v>91</v>
      </c>
      <c r="G6651" t="s">
        <v>170</v>
      </c>
      <c r="H6651" t="s">
        <v>171</v>
      </c>
      <c r="I6651" t="s">
        <v>44</v>
      </c>
      <c r="J6651" t="s">
        <v>45</v>
      </c>
      <c r="K6651" t="s">
        <v>47</v>
      </c>
      <c r="L6651" t="s">
        <v>48</v>
      </c>
      <c r="M6651" t="s">
        <v>172</v>
      </c>
      <c r="N6651">
        <v>1743</v>
      </c>
      <c r="O6651" s="14">
        <v>0.26592727424576901</v>
      </c>
      <c r="P6651" s="14">
        <v>0.71991415042430196</v>
      </c>
      <c r="Q6651" t="str">
        <f t="shared" si="206"/>
        <v>50+</v>
      </c>
      <c r="R6651" t="str">
        <f t="shared" si="207"/>
        <v>[AZyWpGzhcaA]|50+|Male|PLHIV_Residents.T2|CY2025Q3</v>
      </c>
    </row>
    <row r="6652" spans="4:18" x14ac:dyDescent="0.2">
      <c r="D6652" t="s">
        <v>92</v>
      </c>
      <c r="E6652" t="s">
        <v>93</v>
      </c>
      <c r="F6652" t="s">
        <v>94</v>
      </c>
      <c r="G6652" t="s">
        <v>170</v>
      </c>
      <c r="H6652" t="s">
        <v>171</v>
      </c>
      <c r="I6652" t="s">
        <v>27</v>
      </c>
      <c r="J6652" t="s">
        <v>28</v>
      </c>
      <c r="K6652" t="s">
        <v>29</v>
      </c>
      <c r="L6652" t="s">
        <v>30</v>
      </c>
      <c r="M6652" t="s">
        <v>172</v>
      </c>
      <c r="N6652">
        <v>719</v>
      </c>
      <c r="O6652" s="14">
        <v>0.50449691293761101</v>
      </c>
      <c r="P6652" s="14">
        <v>0.36227229656651599</v>
      </c>
      <c r="Q6652" t="str">
        <f t="shared" si="206"/>
        <v>&lt;01</v>
      </c>
      <c r="R6652" t="str">
        <f t="shared" si="207"/>
        <v>[umc2n1Z4wNv]|&lt;01|Female|PLHIV_Residents.T2|CY2025Q3</v>
      </c>
    </row>
    <row r="6653" spans="4:18" x14ac:dyDescent="0.2">
      <c r="D6653" t="s">
        <v>92</v>
      </c>
      <c r="E6653" t="s">
        <v>93</v>
      </c>
      <c r="F6653" t="s">
        <v>94</v>
      </c>
      <c r="G6653" t="s">
        <v>170</v>
      </c>
      <c r="H6653" t="s">
        <v>171</v>
      </c>
      <c r="I6653" t="s">
        <v>32</v>
      </c>
      <c r="J6653" t="s">
        <v>33</v>
      </c>
      <c r="K6653" t="s">
        <v>29</v>
      </c>
      <c r="L6653" t="s">
        <v>30</v>
      </c>
      <c r="M6653" t="s">
        <v>172</v>
      </c>
      <c r="N6653">
        <v>1079</v>
      </c>
      <c r="O6653" s="14">
        <v>0.27945152600295797</v>
      </c>
      <c r="P6653" s="14">
        <v>0.36227229656651599</v>
      </c>
      <c r="Q6653" t="str">
        <f t="shared" si="206"/>
        <v>01-09</v>
      </c>
      <c r="R6653" t="str">
        <f t="shared" si="207"/>
        <v>[umc2n1Z4wNv]|01-09|Female|PLHIV_Residents.T2|CY2025Q3</v>
      </c>
    </row>
    <row r="6654" spans="4:18" x14ac:dyDescent="0.2">
      <c r="D6654" t="s">
        <v>92</v>
      </c>
      <c r="E6654" t="s">
        <v>93</v>
      </c>
      <c r="F6654" t="s">
        <v>94</v>
      </c>
      <c r="G6654" t="s">
        <v>170</v>
      </c>
      <c r="H6654" t="s">
        <v>171</v>
      </c>
      <c r="I6654" t="s">
        <v>35</v>
      </c>
      <c r="J6654" t="s">
        <v>36</v>
      </c>
      <c r="K6654" t="s">
        <v>29</v>
      </c>
      <c r="L6654" t="s">
        <v>30</v>
      </c>
      <c r="M6654" t="s">
        <v>172</v>
      </c>
      <c r="N6654">
        <v>878</v>
      </c>
      <c r="O6654" s="14">
        <v>0.42460171226412102</v>
      </c>
      <c r="P6654" s="14">
        <v>0.36227229656651599</v>
      </c>
      <c r="Q6654" t="str">
        <f t="shared" si="206"/>
        <v>10-14</v>
      </c>
      <c r="R6654" t="str">
        <f t="shared" si="207"/>
        <v>[umc2n1Z4wNv]|10-14|Female|PLHIV_Residents.T2|CY2025Q3</v>
      </c>
    </row>
    <row r="6655" spans="4:18" x14ac:dyDescent="0.2">
      <c r="D6655" t="s">
        <v>92</v>
      </c>
      <c r="E6655" t="s">
        <v>93</v>
      </c>
      <c r="F6655" t="s">
        <v>94</v>
      </c>
      <c r="G6655" t="s">
        <v>170</v>
      </c>
      <c r="H6655" t="s">
        <v>171</v>
      </c>
      <c r="I6655" t="s">
        <v>37</v>
      </c>
      <c r="J6655" t="s">
        <v>38</v>
      </c>
      <c r="K6655" t="s">
        <v>29</v>
      </c>
      <c r="L6655" t="s">
        <v>30</v>
      </c>
      <c r="M6655" t="s">
        <v>172</v>
      </c>
      <c r="N6655">
        <v>1019</v>
      </c>
      <c r="O6655" s="14">
        <v>0.70114380819722999</v>
      </c>
      <c r="P6655" s="14">
        <v>0.36227229656651599</v>
      </c>
      <c r="Q6655" t="str">
        <f t="shared" si="206"/>
        <v>15-24</v>
      </c>
      <c r="R6655" t="str">
        <f t="shared" si="207"/>
        <v>[umc2n1Z4wNv]|15-24|Female|PLHIV_Residents.T2|CY2025Q3</v>
      </c>
    </row>
    <row r="6656" spans="4:18" x14ac:dyDescent="0.2">
      <c r="D6656" t="s">
        <v>92</v>
      </c>
      <c r="E6656" t="s">
        <v>93</v>
      </c>
      <c r="F6656" t="s">
        <v>94</v>
      </c>
      <c r="G6656" t="s">
        <v>170</v>
      </c>
      <c r="H6656" t="s">
        <v>171</v>
      </c>
      <c r="I6656" t="s">
        <v>40</v>
      </c>
      <c r="J6656" t="s">
        <v>41</v>
      </c>
      <c r="K6656" t="s">
        <v>29</v>
      </c>
      <c r="L6656" t="s">
        <v>30</v>
      </c>
      <c r="M6656" t="s">
        <v>172</v>
      </c>
      <c r="N6656">
        <v>1617</v>
      </c>
      <c r="O6656" s="14">
        <v>0.71549108950421203</v>
      </c>
      <c r="P6656" s="14">
        <v>0.36227229656651599</v>
      </c>
      <c r="Q6656" t="str">
        <f t="shared" si="206"/>
        <v>25-34</v>
      </c>
      <c r="R6656" t="str">
        <f t="shared" si="207"/>
        <v>[umc2n1Z4wNv]|25-34|Female|PLHIV_Residents.T2|CY2025Q3</v>
      </c>
    </row>
    <row r="6657" spans="4:18" x14ac:dyDescent="0.2">
      <c r="D6657" t="s">
        <v>92</v>
      </c>
      <c r="E6657" t="s">
        <v>93</v>
      </c>
      <c r="F6657" t="s">
        <v>94</v>
      </c>
      <c r="G6657" t="s">
        <v>170</v>
      </c>
      <c r="H6657" t="s">
        <v>171</v>
      </c>
      <c r="I6657" t="s">
        <v>42</v>
      </c>
      <c r="J6657" t="s">
        <v>43</v>
      </c>
      <c r="K6657" t="s">
        <v>29</v>
      </c>
      <c r="L6657" t="s">
        <v>30</v>
      </c>
      <c r="M6657" t="s">
        <v>172</v>
      </c>
      <c r="N6657">
        <v>886</v>
      </c>
      <c r="O6657" s="14">
        <v>0.65477941534481898</v>
      </c>
      <c r="P6657" s="14">
        <v>0.36227229656651599</v>
      </c>
      <c r="Q6657" t="str">
        <f t="shared" si="206"/>
        <v>35-49</v>
      </c>
      <c r="R6657" t="str">
        <f t="shared" si="207"/>
        <v>[umc2n1Z4wNv]|35-49|Female|PLHIV_Residents.T2|CY2025Q3</v>
      </c>
    </row>
    <row r="6658" spans="4:18" x14ac:dyDescent="0.2">
      <c r="D6658" t="s">
        <v>92</v>
      </c>
      <c r="E6658" t="s">
        <v>93</v>
      </c>
      <c r="F6658" t="s">
        <v>94</v>
      </c>
      <c r="G6658" t="s">
        <v>170</v>
      </c>
      <c r="H6658" t="s">
        <v>171</v>
      </c>
      <c r="I6658" t="s">
        <v>44</v>
      </c>
      <c r="J6658" t="s">
        <v>45</v>
      </c>
      <c r="K6658" t="s">
        <v>29</v>
      </c>
      <c r="L6658" t="s">
        <v>30</v>
      </c>
      <c r="M6658" t="s">
        <v>172</v>
      </c>
      <c r="N6658">
        <v>1113</v>
      </c>
      <c r="O6658" s="14">
        <v>0.54980618366971601</v>
      </c>
      <c r="P6658" s="14">
        <v>0.36227229656651599</v>
      </c>
      <c r="Q6658" t="str">
        <f t="shared" ref="Q6658:Q6721" si="208">SUBSTITUTE(SUBSTITUTE($I6658,CHAR(61),""),CHAR(34),"")</f>
        <v>50+</v>
      </c>
      <c r="R6658" t="str">
        <f t="shared" ref="R6658:R6721" si="209">IF($D6658&lt;&gt;"","["&amp;$E6658&amp;"]"&amp;"|"&amp;$Q6658&amp;"|"&amp;$K6658&amp;"|"&amp;$G6658&amp;"|"&amp;IF($G6658="TX_CURR_SUBNAT.R","CY2022Q4",$M6658),"")</f>
        <v>[umc2n1Z4wNv]|50+|Female|PLHIV_Residents.T2|CY2025Q3</v>
      </c>
    </row>
    <row r="6659" spans="4:18" x14ac:dyDescent="0.2">
      <c r="D6659" t="s">
        <v>92</v>
      </c>
      <c r="E6659" t="s">
        <v>93</v>
      </c>
      <c r="F6659" t="s">
        <v>94</v>
      </c>
      <c r="G6659" t="s">
        <v>170</v>
      </c>
      <c r="H6659" t="s">
        <v>171</v>
      </c>
      <c r="I6659" t="s">
        <v>27</v>
      </c>
      <c r="J6659" t="s">
        <v>28</v>
      </c>
      <c r="K6659" t="s">
        <v>47</v>
      </c>
      <c r="L6659" t="s">
        <v>48</v>
      </c>
      <c r="M6659" t="s">
        <v>172</v>
      </c>
      <c r="N6659">
        <v>927</v>
      </c>
      <c r="O6659" s="14">
        <v>0.56814651610329703</v>
      </c>
      <c r="P6659" s="14">
        <v>0.36227229656651599</v>
      </c>
      <c r="Q6659" t="str">
        <f t="shared" si="208"/>
        <v>&lt;01</v>
      </c>
      <c r="R6659" t="str">
        <f t="shared" si="209"/>
        <v>[umc2n1Z4wNv]|&lt;01|Male|PLHIV_Residents.T2|CY2025Q3</v>
      </c>
    </row>
    <row r="6660" spans="4:18" x14ac:dyDescent="0.2">
      <c r="D6660" t="s">
        <v>92</v>
      </c>
      <c r="E6660" t="s">
        <v>93</v>
      </c>
      <c r="F6660" t="s">
        <v>94</v>
      </c>
      <c r="G6660" t="s">
        <v>170</v>
      </c>
      <c r="H6660" t="s">
        <v>171</v>
      </c>
      <c r="I6660" t="s">
        <v>32</v>
      </c>
      <c r="J6660" t="s">
        <v>33</v>
      </c>
      <c r="K6660" t="s">
        <v>47</v>
      </c>
      <c r="L6660" t="s">
        <v>48</v>
      </c>
      <c r="M6660" t="s">
        <v>172</v>
      </c>
      <c r="N6660">
        <v>1282</v>
      </c>
      <c r="O6660" s="14">
        <v>0.39785920572467098</v>
      </c>
      <c r="P6660" s="14">
        <v>0.36227229656651599</v>
      </c>
      <c r="Q6660" t="str">
        <f t="shared" si="208"/>
        <v>01-09</v>
      </c>
      <c r="R6660" t="str">
        <f t="shared" si="209"/>
        <v>[umc2n1Z4wNv]|01-09|Male|PLHIV_Residents.T2|CY2025Q3</v>
      </c>
    </row>
    <row r="6661" spans="4:18" x14ac:dyDescent="0.2">
      <c r="D6661" t="s">
        <v>92</v>
      </c>
      <c r="E6661" t="s">
        <v>93</v>
      </c>
      <c r="F6661" t="s">
        <v>94</v>
      </c>
      <c r="G6661" t="s">
        <v>170</v>
      </c>
      <c r="H6661" t="s">
        <v>171</v>
      </c>
      <c r="I6661" t="s">
        <v>35</v>
      </c>
      <c r="J6661" t="s">
        <v>36</v>
      </c>
      <c r="K6661" t="s">
        <v>47</v>
      </c>
      <c r="L6661" t="s">
        <v>48</v>
      </c>
      <c r="M6661" t="s">
        <v>172</v>
      </c>
      <c r="N6661">
        <v>754</v>
      </c>
      <c r="O6661" s="14">
        <v>0.243334953440353</v>
      </c>
      <c r="P6661" s="14">
        <v>0.36227229656651599</v>
      </c>
      <c r="Q6661" t="str">
        <f t="shared" si="208"/>
        <v>10-14</v>
      </c>
      <c r="R6661" t="str">
        <f t="shared" si="209"/>
        <v>[umc2n1Z4wNv]|10-14|Male|PLHIV_Residents.T2|CY2025Q3</v>
      </c>
    </row>
    <row r="6662" spans="4:18" x14ac:dyDescent="0.2">
      <c r="D6662" t="s">
        <v>92</v>
      </c>
      <c r="E6662" t="s">
        <v>93</v>
      </c>
      <c r="F6662" t="s">
        <v>94</v>
      </c>
      <c r="G6662" t="s">
        <v>170</v>
      </c>
      <c r="H6662" t="s">
        <v>171</v>
      </c>
      <c r="I6662" t="s">
        <v>37</v>
      </c>
      <c r="J6662" t="s">
        <v>38</v>
      </c>
      <c r="K6662" t="s">
        <v>47</v>
      </c>
      <c r="L6662" t="s">
        <v>48</v>
      </c>
      <c r="M6662" t="s">
        <v>172</v>
      </c>
      <c r="N6662">
        <v>675</v>
      </c>
      <c r="O6662" s="14">
        <v>0.267333498224616</v>
      </c>
      <c r="P6662" s="14">
        <v>0.36227229656651599</v>
      </c>
      <c r="Q6662" t="str">
        <f t="shared" si="208"/>
        <v>15-24</v>
      </c>
      <c r="R6662" t="str">
        <f t="shared" si="209"/>
        <v>[umc2n1Z4wNv]|15-24|Male|PLHIV_Residents.T2|CY2025Q3</v>
      </c>
    </row>
    <row r="6663" spans="4:18" x14ac:dyDescent="0.2">
      <c r="D6663" t="s">
        <v>92</v>
      </c>
      <c r="E6663" t="s">
        <v>93</v>
      </c>
      <c r="F6663" t="s">
        <v>94</v>
      </c>
      <c r="G6663" t="s">
        <v>170</v>
      </c>
      <c r="H6663" t="s">
        <v>171</v>
      </c>
      <c r="I6663" t="s">
        <v>40</v>
      </c>
      <c r="J6663" t="s">
        <v>41</v>
      </c>
      <c r="K6663" t="s">
        <v>47</v>
      </c>
      <c r="L6663" t="s">
        <v>48</v>
      </c>
      <c r="M6663" t="s">
        <v>172</v>
      </c>
      <c r="N6663">
        <v>779</v>
      </c>
      <c r="O6663" s="14">
        <v>1.3238023733720201E-2</v>
      </c>
      <c r="P6663" s="14">
        <v>0.36227229656651599</v>
      </c>
      <c r="Q6663" t="str">
        <f t="shared" si="208"/>
        <v>25-34</v>
      </c>
      <c r="R6663" t="str">
        <f t="shared" si="209"/>
        <v>[umc2n1Z4wNv]|25-34|Male|PLHIV_Residents.T2|CY2025Q3</v>
      </c>
    </row>
    <row r="6664" spans="4:18" x14ac:dyDescent="0.2">
      <c r="D6664" t="s">
        <v>92</v>
      </c>
      <c r="E6664" t="s">
        <v>93</v>
      </c>
      <c r="F6664" t="s">
        <v>94</v>
      </c>
      <c r="G6664" t="s">
        <v>170</v>
      </c>
      <c r="H6664" t="s">
        <v>171</v>
      </c>
      <c r="I6664" t="s">
        <v>42</v>
      </c>
      <c r="J6664" t="s">
        <v>43</v>
      </c>
      <c r="K6664" t="s">
        <v>47</v>
      </c>
      <c r="L6664" t="s">
        <v>48</v>
      </c>
      <c r="M6664" t="s">
        <v>172</v>
      </c>
      <c r="N6664">
        <v>1097</v>
      </c>
      <c r="O6664" s="14">
        <v>0.76811642618849896</v>
      </c>
      <c r="P6664" s="14">
        <v>0.36227229656651599</v>
      </c>
      <c r="Q6664" t="str">
        <f t="shared" si="208"/>
        <v>35-49</v>
      </c>
      <c r="R6664" t="str">
        <f t="shared" si="209"/>
        <v>[umc2n1Z4wNv]|35-49|Male|PLHIV_Residents.T2|CY2025Q3</v>
      </c>
    </row>
    <row r="6665" spans="4:18" x14ac:dyDescent="0.2">
      <c r="D6665" t="s">
        <v>92</v>
      </c>
      <c r="E6665" t="s">
        <v>93</v>
      </c>
      <c r="F6665" t="s">
        <v>94</v>
      </c>
      <c r="G6665" t="s">
        <v>170</v>
      </c>
      <c r="H6665" t="s">
        <v>171</v>
      </c>
      <c r="I6665" t="s">
        <v>44</v>
      </c>
      <c r="J6665" t="s">
        <v>45</v>
      </c>
      <c r="K6665" t="s">
        <v>47</v>
      </c>
      <c r="L6665" t="s">
        <v>48</v>
      </c>
      <c r="M6665" t="s">
        <v>172</v>
      </c>
      <c r="N6665">
        <v>1196</v>
      </c>
      <c r="O6665" s="14">
        <v>9.7744981292635202E-2</v>
      </c>
      <c r="P6665" s="14">
        <v>0.36227229656651599</v>
      </c>
      <c r="Q6665" t="str">
        <f t="shared" si="208"/>
        <v>50+</v>
      </c>
      <c r="R6665" t="str">
        <f t="shared" si="209"/>
        <v>[umc2n1Z4wNv]|50+|Male|PLHIV_Residents.T2|CY2025Q3</v>
      </c>
    </row>
    <row r="6666" spans="4:18" x14ac:dyDescent="0.2">
      <c r="D6666" t="s">
        <v>95</v>
      </c>
      <c r="E6666" t="s">
        <v>96</v>
      </c>
      <c r="F6666" t="s">
        <v>97</v>
      </c>
      <c r="G6666" t="s">
        <v>170</v>
      </c>
      <c r="H6666" t="s">
        <v>171</v>
      </c>
      <c r="I6666" t="s">
        <v>27</v>
      </c>
      <c r="J6666" t="s">
        <v>28</v>
      </c>
      <c r="K6666" t="s">
        <v>29</v>
      </c>
      <c r="L6666" t="s">
        <v>30</v>
      </c>
      <c r="M6666" t="s">
        <v>172</v>
      </c>
      <c r="N6666">
        <v>1108</v>
      </c>
      <c r="O6666" s="14">
        <v>0.25243270373903198</v>
      </c>
      <c r="P6666" s="14">
        <v>0.60125171788968101</v>
      </c>
      <c r="Q6666" t="str">
        <f t="shared" si="208"/>
        <v>&lt;01</v>
      </c>
      <c r="R6666" t="str">
        <f t="shared" si="209"/>
        <v>[gwVYinjBAe9]|&lt;01|Female|PLHIV_Residents.T2|CY2025Q3</v>
      </c>
    </row>
    <row r="6667" spans="4:18" x14ac:dyDescent="0.2">
      <c r="D6667" t="s">
        <v>95</v>
      </c>
      <c r="E6667" t="s">
        <v>96</v>
      </c>
      <c r="F6667" t="s">
        <v>97</v>
      </c>
      <c r="G6667" t="s">
        <v>170</v>
      </c>
      <c r="H6667" t="s">
        <v>171</v>
      </c>
      <c r="I6667" t="s">
        <v>32</v>
      </c>
      <c r="J6667" t="s">
        <v>33</v>
      </c>
      <c r="K6667" t="s">
        <v>29</v>
      </c>
      <c r="L6667" t="s">
        <v>30</v>
      </c>
      <c r="M6667" t="s">
        <v>172</v>
      </c>
      <c r="N6667">
        <v>1070</v>
      </c>
      <c r="O6667" s="14">
        <v>0.48423553025350002</v>
      </c>
      <c r="P6667" s="14">
        <v>0.60125171788968101</v>
      </c>
      <c r="Q6667" t="str">
        <f t="shared" si="208"/>
        <v>01-09</v>
      </c>
      <c r="R6667" t="str">
        <f t="shared" si="209"/>
        <v>[gwVYinjBAe9]|01-09|Female|PLHIV_Residents.T2|CY2025Q3</v>
      </c>
    </row>
    <row r="6668" spans="4:18" x14ac:dyDescent="0.2">
      <c r="D6668" t="s">
        <v>95</v>
      </c>
      <c r="E6668" t="s">
        <v>96</v>
      </c>
      <c r="F6668" t="s">
        <v>97</v>
      </c>
      <c r="G6668" t="s">
        <v>170</v>
      </c>
      <c r="H6668" t="s">
        <v>171</v>
      </c>
      <c r="I6668" t="s">
        <v>35</v>
      </c>
      <c r="J6668" t="s">
        <v>36</v>
      </c>
      <c r="K6668" t="s">
        <v>29</v>
      </c>
      <c r="L6668" t="s">
        <v>30</v>
      </c>
      <c r="M6668" t="s">
        <v>172</v>
      </c>
      <c r="N6668">
        <v>1541</v>
      </c>
      <c r="O6668" s="14">
        <v>0.76746179047040597</v>
      </c>
      <c r="P6668" s="14">
        <v>0.60125171788968101</v>
      </c>
      <c r="Q6668" t="str">
        <f t="shared" si="208"/>
        <v>10-14</v>
      </c>
      <c r="R6668" t="str">
        <f t="shared" si="209"/>
        <v>[gwVYinjBAe9]|10-14|Female|PLHIV_Residents.T2|CY2025Q3</v>
      </c>
    </row>
    <row r="6669" spans="4:18" x14ac:dyDescent="0.2">
      <c r="D6669" t="s">
        <v>95</v>
      </c>
      <c r="E6669" t="s">
        <v>96</v>
      </c>
      <c r="F6669" t="s">
        <v>97</v>
      </c>
      <c r="G6669" t="s">
        <v>170</v>
      </c>
      <c r="H6669" t="s">
        <v>171</v>
      </c>
      <c r="I6669" t="s">
        <v>37</v>
      </c>
      <c r="J6669" t="s">
        <v>38</v>
      </c>
      <c r="K6669" t="s">
        <v>29</v>
      </c>
      <c r="L6669" t="s">
        <v>30</v>
      </c>
      <c r="M6669" t="s">
        <v>172</v>
      </c>
      <c r="N6669">
        <v>757</v>
      </c>
      <c r="O6669" s="14">
        <v>0.27040183381177502</v>
      </c>
      <c r="P6669" s="14">
        <v>0.60125171788968101</v>
      </c>
      <c r="Q6669" t="str">
        <f t="shared" si="208"/>
        <v>15-24</v>
      </c>
      <c r="R6669" t="str">
        <f t="shared" si="209"/>
        <v>[gwVYinjBAe9]|15-24|Female|PLHIV_Residents.T2|CY2025Q3</v>
      </c>
    </row>
    <row r="6670" spans="4:18" x14ac:dyDescent="0.2">
      <c r="D6670" t="s">
        <v>95</v>
      </c>
      <c r="E6670" t="s">
        <v>96</v>
      </c>
      <c r="F6670" t="s">
        <v>97</v>
      </c>
      <c r="G6670" t="s">
        <v>170</v>
      </c>
      <c r="H6670" t="s">
        <v>171</v>
      </c>
      <c r="I6670" t="s">
        <v>40</v>
      </c>
      <c r="J6670" t="s">
        <v>41</v>
      </c>
      <c r="K6670" t="s">
        <v>29</v>
      </c>
      <c r="L6670" t="s">
        <v>30</v>
      </c>
      <c r="M6670" t="s">
        <v>172</v>
      </c>
      <c r="N6670">
        <v>1341</v>
      </c>
      <c r="O6670" s="14">
        <v>0.19851477514021099</v>
      </c>
      <c r="P6670" s="14">
        <v>0.60125171788968101</v>
      </c>
      <c r="Q6670" t="str">
        <f t="shared" si="208"/>
        <v>25-34</v>
      </c>
      <c r="R6670" t="str">
        <f t="shared" si="209"/>
        <v>[gwVYinjBAe9]|25-34|Female|PLHIV_Residents.T2|CY2025Q3</v>
      </c>
    </row>
    <row r="6671" spans="4:18" x14ac:dyDescent="0.2">
      <c r="D6671" t="s">
        <v>95</v>
      </c>
      <c r="E6671" t="s">
        <v>96</v>
      </c>
      <c r="F6671" t="s">
        <v>97</v>
      </c>
      <c r="G6671" t="s">
        <v>170</v>
      </c>
      <c r="H6671" t="s">
        <v>171</v>
      </c>
      <c r="I6671" t="s">
        <v>42</v>
      </c>
      <c r="J6671" t="s">
        <v>43</v>
      </c>
      <c r="K6671" t="s">
        <v>29</v>
      </c>
      <c r="L6671" t="s">
        <v>30</v>
      </c>
      <c r="M6671" t="s">
        <v>172</v>
      </c>
      <c r="N6671">
        <v>981</v>
      </c>
      <c r="O6671" s="14">
        <v>0.49739149725064602</v>
      </c>
      <c r="P6671" s="14">
        <v>0.60125171788968101</v>
      </c>
      <c r="Q6671" t="str">
        <f t="shared" si="208"/>
        <v>35-49</v>
      </c>
      <c r="R6671" t="str">
        <f t="shared" si="209"/>
        <v>[gwVYinjBAe9]|35-49|Female|PLHIV_Residents.T2|CY2025Q3</v>
      </c>
    </row>
    <row r="6672" spans="4:18" x14ac:dyDescent="0.2">
      <c r="D6672" t="s">
        <v>95</v>
      </c>
      <c r="E6672" t="s">
        <v>96</v>
      </c>
      <c r="F6672" t="s">
        <v>97</v>
      </c>
      <c r="G6672" t="s">
        <v>170</v>
      </c>
      <c r="H6672" t="s">
        <v>171</v>
      </c>
      <c r="I6672" t="s">
        <v>44</v>
      </c>
      <c r="J6672" t="s">
        <v>45</v>
      </c>
      <c r="K6672" t="s">
        <v>29</v>
      </c>
      <c r="L6672" t="s">
        <v>30</v>
      </c>
      <c r="M6672" t="s">
        <v>172</v>
      </c>
      <c r="N6672">
        <v>750</v>
      </c>
      <c r="O6672" s="14">
        <v>0.59905783133581303</v>
      </c>
      <c r="P6672" s="14">
        <v>0.60125171788968101</v>
      </c>
      <c r="Q6672" t="str">
        <f t="shared" si="208"/>
        <v>50+</v>
      </c>
      <c r="R6672" t="str">
        <f t="shared" si="209"/>
        <v>[gwVYinjBAe9]|50+|Female|PLHIV_Residents.T2|CY2025Q3</v>
      </c>
    </row>
    <row r="6673" spans="4:18" x14ac:dyDescent="0.2">
      <c r="D6673" t="s">
        <v>95</v>
      </c>
      <c r="E6673" t="s">
        <v>96</v>
      </c>
      <c r="F6673" t="s">
        <v>97</v>
      </c>
      <c r="G6673" t="s">
        <v>170</v>
      </c>
      <c r="H6673" t="s">
        <v>171</v>
      </c>
      <c r="I6673" t="s">
        <v>27</v>
      </c>
      <c r="J6673" t="s">
        <v>28</v>
      </c>
      <c r="K6673" t="s">
        <v>47</v>
      </c>
      <c r="L6673" t="s">
        <v>48</v>
      </c>
      <c r="M6673" t="s">
        <v>172</v>
      </c>
      <c r="N6673">
        <v>630</v>
      </c>
      <c r="O6673" s="14">
        <v>0.72940129484049998</v>
      </c>
      <c r="P6673" s="14">
        <v>0.60125171788968101</v>
      </c>
      <c r="Q6673" t="str">
        <f t="shared" si="208"/>
        <v>&lt;01</v>
      </c>
      <c r="R6673" t="str">
        <f t="shared" si="209"/>
        <v>[gwVYinjBAe9]|&lt;01|Male|PLHIV_Residents.T2|CY2025Q3</v>
      </c>
    </row>
    <row r="6674" spans="4:18" x14ac:dyDescent="0.2">
      <c r="D6674" t="s">
        <v>95</v>
      </c>
      <c r="E6674" t="s">
        <v>96</v>
      </c>
      <c r="F6674" t="s">
        <v>97</v>
      </c>
      <c r="G6674" t="s">
        <v>170</v>
      </c>
      <c r="H6674" t="s">
        <v>171</v>
      </c>
      <c r="I6674" t="s">
        <v>32</v>
      </c>
      <c r="J6674" t="s">
        <v>33</v>
      </c>
      <c r="K6674" t="s">
        <v>47</v>
      </c>
      <c r="L6674" t="s">
        <v>48</v>
      </c>
      <c r="M6674" t="s">
        <v>172</v>
      </c>
      <c r="N6674">
        <v>1224</v>
      </c>
      <c r="O6674" s="14">
        <v>0.600164050236344</v>
      </c>
      <c r="P6674" s="14">
        <v>0.60125171788968101</v>
      </c>
      <c r="Q6674" t="str">
        <f t="shared" si="208"/>
        <v>01-09</v>
      </c>
      <c r="R6674" t="str">
        <f t="shared" si="209"/>
        <v>[gwVYinjBAe9]|01-09|Male|PLHIV_Residents.T2|CY2025Q3</v>
      </c>
    </row>
    <row r="6675" spans="4:18" x14ac:dyDescent="0.2">
      <c r="D6675" t="s">
        <v>95</v>
      </c>
      <c r="E6675" t="s">
        <v>96</v>
      </c>
      <c r="F6675" t="s">
        <v>97</v>
      </c>
      <c r="G6675" t="s">
        <v>170</v>
      </c>
      <c r="H6675" t="s">
        <v>171</v>
      </c>
      <c r="I6675" t="s">
        <v>35</v>
      </c>
      <c r="J6675" t="s">
        <v>36</v>
      </c>
      <c r="K6675" t="s">
        <v>47</v>
      </c>
      <c r="L6675" t="s">
        <v>48</v>
      </c>
      <c r="M6675" t="s">
        <v>172</v>
      </c>
      <c r="N6675">
        <v>1951</v>
      </c>
      <c r="O6675" s="14">
        <v>0.55643310141749702</v>
      </c>
      <c r="P6675" s="14">
        <v>0.60125171788968101</v>
      </c>
      <c r="Q6675" t="str">
        <f t="shared" si="208"/>
        <v>10-14</v>
      </c>
      <c r="R6675" t="str">
        <f t="shared" si="209"/>
        <v>[gwVYinjBAe9]|10-14|Male|PLHIV_Residents.T2|CY2025Q3</v>
      </c>
    </row>
    <row r="6676" spans="4:18" x14ac:dyDescent="0.2">
      <c r="D6676" t="s">
        <v>95</v>
      </c>
      <c r="E6676" t="s">
        <v>96</v>
      </c>
      <c r="F6676" t="s">
        <v>97</v>
      </c>
      <c r="G6676" t="s">
        <v>170</v>
      </c>
      <c r="H6676" t="s">
        <v>171</v>
      </c>
      <c r="I6676" t="s">
        <v>37</v>
      </c>
      <c r="J6676" t="s">
        <v>38</v>
      </c>
      <c r="K6676" t="s">
        <v>47</v>
      </c>
      <c r="L6676" t="s">
        <v>48</v>
      </c>
      <c r="M6676" t="s">
        <v>172</v>
      </c>
      <c r="N6676">
        <v>558</v>
      </c>
      <c r="O6676" s="14">
        <v>0.2115824369248</v>
      </c>
      <c r="P6676" s="14">
        <v>0.60125171788968101</v>
      </c>
      <c r="Q6676" t="str">
        <f t="shared" si="208"/>
        <v>15-24</v>
      </c>
      <c r="R6676" t="str">
        <f t="shared" si="209"/>
        <v>[gwVYinjBAe9]|15-24|Male|PLHIV_Residents.T2|CY2025Q3</v>
      </c>
    </row>
    <row r="6677" spans="4:18" x14ac:dyDescent="0.2">
      <c r="D6677" t="s">
        <v>95</v>
      </c>
      <c r="E6677" t="s">
        <v>96</v>
      </c>
      <c r="F6677" t="s">
        <v>97</v>
      </c>
      <c r="G6677" t="s">
        <v>170</v>
      </c>
      <c r="H6677" t="s">
        <v>171</v>
      </c>
      <c r="I6677" t="s">
        <v>40</v>
      </c>
      <c r="J6677" t="s">
        <v>41</v>
      </c>
      <c r="K6677" t="s">
        <v>47</v>
      </c>
      <c r="L6677" t="s">
        <v>48</v>
      </c>
      <c r="M6677" t="s">
        <v>172</v>
      </c>
      <c r="N6677">
        <v>1664</v>
      </c>
      <c r="O6677" s="14">
        <v>0.65375945973210003</v>
      </c>
      <c r="P6677" s="14">
        <v>0.60125171788968101</v>
      </c>
      <c r="Q6677" t="str">
        <f t="shared" si="208"/>
        <v>25-34</v>
      </c>
      <c r="R6677" t="str">
        <f t="shared" si="209"/>
        <v>[gwVYinjBAe9]|25-34|Male|PLHIV_Residents.T2|CY2025Q3</v>
      </c>
    </row>
    <row r="6678" spans="4:18" x14ac:dyDescent="0.2">
      <c r="D6678" t="s">
        <v>95</v>
      </c>
      <c r="E6678" t="s">
        <v>96</v>
      </c>
      <c r="F6678" t="s">
        <v>97</v>
      </c>
      <c r="G6678" t="s">
        <v>170</v>
      </c>
      <c r="H6678" t="s">
        <v>171</v>
      </c>
      <c r="I6678" t="s">
        <v>42</v>
      </c>
      <c r="J6678" t="s">
        <v>43</v>
      </c>
      <c r="K6678" t="s">
        <v>47</v>
      </c>
      <c r="L6678" t="s">
        <v>48</v>
      </c>
      <c r="M6678" t="s">
        <v>172</v>
      </c>
      <c r="N6678">
        <v>1083</v>
      </c>
      <c r="O6678" s="14">
        <v>0.78694653767161105</v>
      </c>
      <c r="P6678" s="14">
        <v>0.60125171788968101</v>
      </c>
      <c r="Q6678" t="str">
        <f t="shared" si="208"/>
        <v>35-49</v>
      </c>
      <c r="R6678" t="str">
        <f t="shared" si="209"/>
        <v>[gwVYinjBAe9]|35-49|Male|PLHIV_Residents.T2|CY2025Q3</v>
      </c>
    </row>
    <row r="6679" spans="4:18" x14ac:dyDescent="0.2">
      <c r="D6679" t="s">
        <v>95</v>
      </c>
      <c r="E6679" t="s">
        <v>96</v>
      </c>
      <c r="F6679" t="s">
        <v>97</v>
      </c>
      <c r="G6679" t="s">
        <v>170</v>
      </c>
      <c r="H6679" t="s">
        <v>171</v>
      </c>
      <c r="I6679" t="s">
        <v>44</v>
      </c>
      <c r="J6679" t="s">
        <v>45</v>
      </c>
      <c r="K6679" t="s">
        <v>47</v>
      </c>
      <c r="L6679" t="s">
        <v>48</v>
      </c>
      <c r="M6679" t="s">
        <v>172</v>
      </c>
      <c r="N6679">
        <v>1526</v>
      </c>
      <c r="O6679" s="14">
        <v>8.8048826903104796E-2</v>
      </c>
      <c r="P6679" s="14">
        <v>0.60125171788968101</v>
      </c>
      <c r="Q6679" t="str">
        <f t="shared" si="208"/>
        <v>50+</v>
      </c>
      <c r="R6679" t="str">
        <f t="shared" si="209"/>
        <v>[gwVYinjBAe9]|50+|Male|PLHIV_Residents.T2|CY2025Q3</v>
      </c>
    </row>
    <row r="6680" spans="4:18" x14ac:dyDescent="0.2">
      <c r="D6680" t="s">
        <v>98</v>
      </c>
      <c r="E6680" t="s">
        <v>99</v>
      </c>
      <c r="F6680" t="s">
        <v>100</v>
      </c>
      <c r="G6680" t="s">
        <v>170</v>
      </c>
      <c r="H6680" t="s">
        <v>171</v>
      </c>
      <c r="I6680" t="s">
        <v>27</v>
      </c>
      <c r="J6680" t="s">
        <v>28</v>
      </c>
      <c r="K6680" t="s">
        <v>29</v>
      </c>
      <c r="L6680" t="s">
        <v>30</v>
      </c>
      <c r="M6680" t="s">
        <v>172</v>
      </c>
      <c r="N6680">
        <v>1208</v>
      </c>
      <c r="O6680" s="14">
        <v>0.71812736662104704</v>
      </c>
      <c r="P6680" s="14">
        <v>0.57728803809732199</v>
      </c>
      <c r="Q6680" t="str">
        <f t="shared" si="208"/>
        <v>&lt;01</v>
      </c>
      <c r="R6680" t="str">
        <f t="shared" si="209"/>
        <v>[mxqa3CDFmIT]|&lt;01|Female|PLHIV_Residents.T2|CY2025Q3</v>
      </c>
    </row>
    <row r="6681" spans="4:18" x14ac:dyDescent="0.2">
      <c r="D6681" t="s">
        <v>98</v>
      </c>
      <c r="E6681" t="s">
        <v>99</v>
      </c>
      <c r="F6681" t="s">
        <v>100</v>
      </c>
      <c r="G6681" t="s">
        <v>170</v>
      </c>
      <c r="H6681" t="s">
        <v>171</v>
      </c>
      <c r="I6681" t="s">
        <v>32</v>
      </c>
      <c r="J6681" t="s">
        <v>33</v>
      </c>
      <c r="K6681" t="s">
        <v>29</v>
      </c>
      <c r="L6681" t="s">
        <v>30</v>
      </c>
      <c r="M6681" t="s">
        <v>172</v>
      </c>
      <c r="N6681">
        <v>1030</v>
      </c>
      <c r="O6681" s="14">
        <v>0.59851701906882204</v>
      </c>
      <c r="P6681" s="14">
        <v>0.57728803809732199</v>
      </c>
      <c r="Q6681" t="str">
        <f t="shared" si="208"/>
        <v>01-09</v>
      </c>
      <c r="R6681" t="str">
        <f t="shared" si="209"/>
        <v>[mxqa3CDFmIT]|01-09|Female|PLHIV_Residents.T2|CY2025Q3</v>
      </c>
    </row>
    <row r="6682" spans="4:18" x14ac:dyDescent="0.2">
      <c r="D6682" t="s">
        <v>98</v>
      </c>
      <c r="E6682" t="s">
        <v>99</v>
      </c>
      <c r="F6682" t="s">
        <v>100</v>
      </c>
      <c r="G6682" t="s">
        <v>170</v>
      </c>
      <c r="H6682" t="s">
        <v>171</v>
      </c>
      <c r="I6682" t="s">
        <v>35</v>
      </c>
      <c r="J6682" t="s">
        <v>36</v>
      </c>
      <c r="K6682" t="s">
        <v>29</v>
      </c>
      <c r="L6682" t="s">
        <v>30</v>
      </c>
      <c r="M6682" t="s">
        <v>172</v>
      </c>
      <c r="N6682">
        <v>905</v>
      </c>
      <c r="O6682" s="14">
        <v>0.14192464691586801</v>
      </c>
      <c r="P6682" s="14">
        <v>0.57728803809732199</v>
      </c>
      <c r="Q6682" t="str">
        <f t="shared" si="208"/>
        <v>10-14</v>
      </c>
      <c r="R6682" t="str">
        <f t="shared" si="209"/>
        <v>[mxqa3CDFmIT]|10-14|Female|PLHIV_Residents.T2|CY2025Q3</v>
      </c>
    </row>
    <row r="6683" spans="4:18" x14ac:dyDescent="0.2">
      <c r="D6683" t="s">
        <v>98</v>
      </c>
      <c r="E6683" t="s">
        <v>99</v>
      </c>
      <c r="F6683" t="s">
        <v>100</v>
      </c>
      <c r="G6683" t="s">
        <v>170</v>
      </c>
      <c r="H6683" t="s">
        <v>171</v>
      </c>
      <c r="I6683" t="s">
        <v>37</v>
      </c>
      <c r="J6683" t="s">
        <v>38</v>
      </c>
      <c r="K6683" t="s">
        <v>29</v>
      </c>
      <c r="L6683" t="s">
        <v>30</v>
      </c>
      <c r="M6683" t="s">
        <v>172</v>
      </c>
      <c r="N6683">
        <v>1910</v>
      </c>
      <c r="O6683" s="14">
        <v>0.54324671812355496</v>
      </c>
      <c r="P6683" s="14">
        <v>0.57728803809732199</v>
      </c>
      <c r="Q6683" t="str">
        <f t="shared" si="208"/>
        <v>15-24</v>
      </c>
      <c r="R6683" t="str">
        <f t="shared" si="209"/>
        <v>[mxqa3CDFmIT]|15-24|Female|PLHIV_Residents.T2|CY2025Q3</v>
      </c>
    </row>
    <row r="6684" spans="4:18" x14ac:dyDescent="0.2">
      <c r="D6684" t="s">
        <v>98</v>
      </c>
      <c r="E6684" t="s">
        <v>99</v>
      </c>
      <c r="F6684" t="s">
        <v>100</v>
      </c>
      <c r="G6684" t="s">
        <v>170</v>
      </c>
      <c r="H6684" t="s">
        <v>171</v>
      </c>
      <c r="I6684" t="s">
        <v>40</v>
      </c>
      <c r="J6684" t="s">
        <v>41</v>
      </c>
      <c r="K6684" t="s">
        <v>29</v>
      </c>
      <c r="L6684" t="s">
        <v>30</v>
      </c>
      <c r="M6684" t="s">
        <v>172</v>
      </c>
      <c r="N6684">
        <v>1872</v>
      </c>
      <c r="O6684" s="14">
        <v>0.28875852841883898</v>
      </c>
      <c r="P6684" s="14">
        <v>0.57728803809732199</v>
      </c>
      <c r="Q6684" t="str">
        <f t="shared" si="208"/>
        <v>25-34</v>
      </c>
      <c r="R6684" t="str">
        <f t="shared" si="209"/>
        <v>[mxqa3CDFmIT]|25-34|Female|PLHIV_Residents.T2|CY2025Q3</v>
      </c>
    </row>
    <row r="6685" spans="4:18" x14ac:dyDescent="0.2">
      <c r="D6685" t="s">
        <v>98</v>
      </c>
      <c r="E6685" t="s">
        <v>99</v>
      </c>
      <c r="F6685" t="s">
        <v>100</v>
      </c>
      <c r="G6685" t="s">
        <v>170</v>
      </c>
      <c r="H6685" t="s">
        <v>171</v>
      </c>
      <c r="I6685" t="s">
        <v>42</v>
      </c>
      <c r="J6685" t="s">
        <v>43</v>
      </c>
      <c r="K6685" t="s">
        <v>29</v>
      </c>
      <c r="L6685" t="s">
        <v>30</v>
      </c>
      <c r="M6685" t="s">
        <v>172</v>
      </c>
      <c r="N6685">
        <v>1419</v>
      </c>
      <c r="O6685" s="14">
        <v>0.78711089119315103</v>
      </c>
      <c r="P6685" s="14">
        <v>0.57728803809732199</v>
      </c>
      <c r="Q6685" t="str">
        <f t="shared" si="208"/>
        <v>35-49</v>
      </c>
      <c r="R6685" t="str">
        <f t="shared" si="209"/>
        <v>[mxqa3CDFmIT]|35-49|Female|PLHIV_Residents.T2|CY2025Q3</v>
      </c>
    </row>
    <row r="6686" spans="4:18" x14ac:dyDescent="0.2">
      <c r="D6686" t="s">
        <v>98</v>
      </c>
      <c r="E6686" t="s">
        <v>99</v>
      </c>
      <c r="F6686" t="s">
        <v>100</v>
      </c>
      <c r="G6686" t="s">
        <v>170</v>
      </c>
      <c r="H6686" t="s">
        <v>171</v>
      </c>
      <c r="I6686" t="s">
        <v>44</v>
      </c>
      <c r="J6686" t="s">
        <v>45</v>
      </c>
      <c r="K6686" t="s">
        <v>29</v>
      </c>
      <c r="L6686" t="s">
        <v>30</v>
      </c>
      <c r="M6686" t="s">
        <v>172</v>
      </c>
      <c r="N6686">
        <v>1287</v>
      </c>
      <c r="O6686" s="14">
        <v>0.73105622688308403</v>
      </c>
      <c r="P6686" s="14">
        <v>0.57728803809732199</v>
      </c>
      <c r="Q6686" t="str">
        <f t="shared" si="208"/>
        <v>50+</v>
      </c>
      <c r="R6686" t="str">
        <f t="shared" si="209"/>
        <v>[mxqa3CDFmIT]|50+|Female|PLHIV_Residents.T2|CY2025Q3</v>
      </c>
    </row>
    <row r="6687" spans="4:18" x14ac:dyDescent="0.2">
      <c r="D6687" t="s">
        <v>98</v>
      </c>
      <c r="E6687" t="s">
        <v>99</v>
      </c>
      <c r="F6687" t="s">
        <v>100</v>
      </c>
      <c r="G6687" t="s">
        <v>170</v>
      </c>
      <c r="H6687" t="s">
        <v>171</v>
      </c>
      <c r="I6687" t="s">
        <v>27</v>
      </c>
      <c r="J6687" t="s">
        <v>28</v>
      </c>
      <c r="K6687" t="s">
        <v>47</v>
      </c>
      <c r="L6687" t="s">
        <v>48</v>
      </c>
      <c r="M6687" t="s">
        <v>172</v>
      </c>
      <c r="N6687">
        <v>1484</v>
      </c>
      <c r="O6687" s="14">
        <v>0.13361131539568299</v>
      </c>
      <c r="P6687" s="14">
        <v>0.57728803809732199</v>
      </c>
      <c r="Q6687" t="str">
        <f t="shared" si="208"/>
        <v>&lt;01</v>
      </c>
      <c r="R6687" t="str">
        <f t="shared" si="209"/>
        <v>[mxqa3CDFmIT]|&lt;01|Male|PLHIV_Residents.T2|CY2025Q3</v>
      </c>
    </row>
    <row r="6688" spans="4:18" x14ac:dyDescent="0.2">
      <c r="D6688" t="s">
        <v>98</v>
      </c>
      <c r="E6688" t="s">
        <v>99</v>
      </c>
      <c r="F6688" t="s">
        <v>100</v>
      </c>
      <c r="G6688" t="s">
        <v>170</v>
      </c>
      <c r="H6688" t="s">
        <v>171</v>
      </c>
      <c r="I6688" t="s">
        <v>32</v>
      </c>
      <c r="J6688" t="s">
        <v>33</v>
      </c>
      <c r="K6688" t="s">
        <v>47</v>
      </c>
      <c r="L6688" t="s">
        <v>48</v>
      </c>
      <c r="M6688" t="s">
        <v>172</v>
      </c>
      <c r="N6688">
        <v>1479</v>
      </c>
      <c r="O6688" s="14">
        <v>0.23301782482303701</v>
      </c>
      <c r="P6688" s="14">
        <v>0.57728803809732199</v>
      </c>
      <c r="Q6688" t="str">
        <f t="shared" si="208"/>
        <v>01-09</v>
      </c>
      <c r="R6688" t="str">
        <f t="shared" si="209"/>
        <v>[mxqa3CDFmIT]|01-09|Male|PLHIV_Residents.T2|CY2025Q3</v>
      </c>
    </row>
    <row r="6689" spans="4:18" x14ac:dyDescent="0.2">
      <c r="D6689" t="s">
        <v>98</v>
      </c>
      <c r="E6689" t="s">
        <v>99</v>
      </c>
      <c r="F6689" t="s">
        <v>100</v>
      </c>
      <c r="G6689" t="s">
        <v>170</v>
      </c>
      <c r="H6689" t="s">
        <v>171</v>
      </c>
      <c r="I6689" t="s">
        <v>35</v>
      </c>
      <c r="J6689" t="s">
        <v>36</v>
      </c>
      <c r="K6689" t="s">
        <v>47</v>
      </c>
      <c r="L6689" t="s">
        <v>48</v>
      </c>
      <c r="M6689" t="s">
        <v>172</v>
      </c>
      <c r="N6689">
        <v>1544</v>
      </c>
      <c r="O6689" s="14">
        <v>0.16209515347145501</v>
      </c>
      <c r="P6689" s="14">
        <v>0.57728803809732199</v>
      </c>
      <c r="Q6689" t="str">
        <f t="shared" si="208"/>
        <v>10-14</v>
      </c>
      <c r="R6689" t="str">
        <f t="shared" si="209"/>
        <v>[mxqa3CDFmIT]|10-14|Male|PLHIV_Residents.T2|CY2025Q3</v>
      </c>
    </row>
    <row r="6690" spans="4:18" x14ac:dyDescent="0.2">
      <c r="D6690" t="s">
        <v>98</v>
      </c>
      <c r="E6690" t="s">
        <v>99</v>
      </c>
      <c r="F6690" t="s">
        <v>100</v>
      </c>
      <c r="G6690" t="s">
        <v>170</v>
      </c>
      <c r="H6690" t="s">
        <v>171</v>
      </c>
      <c r="I6690" t="s">
        <v>37</v>
      </c>
      <c r="J6690" t="s">
        <v>38</v>
      </c>
      <c r="K6690" t="s">
        <v>47</v>
      </c>
      <c r="L6690" t="s">
        <v>48</v>
      </c>
      <c r="M6690" t="s">
        <v>172</v>
      </c>
      <c r="N6690">
        <v>1979</v>
      </c>
      <c r="O6690" s="14">
        <v>0.12815214344300299</v>
      </c>
      <c r="P6690" s="14">
        <v>0.57728803809732199</v>
      </c>
      <c r="Q6690" t="str">
        <f t="shared" si="208"/>
        <v>15-24</v>
      </c>
      <c r="R6690" t="str">
        <f t="shared" si="209"/>
        <v>[mxqa3CDFmIT]|15-24|Male|PLHIV_Residents.T2|CY2025Q3</v>
      </c>
    </row>
    <row r="6691" spans="4:18" x14ac:dyDescent="0.2">
      <c r="D6691" t="s">
        <v>98</v>
      </c>
      <c r="E6691" t="s">
        <v>99</v>
      </c>
      <c r="F6691" t="s">
        <v>100</v>
      </c>
      <c r="G6691" t="s">
        <v>170</v>
      </c>
      <c r="H6691" t="s">
        <v>171</v>
      </c>
      <c r="I6691" t="s">
        <v>40</v>
      </c>
      <c r="J6691" t="s">
        <v>41</v>
      </c>
      <c r="K6691" t="s">
        <v>47</v>
      </c>
      <c r="L6691" t="s">
        <v>48</v>
      </c>
      <c r="M6691" t="s">
        <v>172</v>
      </c>
      <c r="N6691">
        <v>1073</v>
      </c>
      <c r="O6691" s="14">
        <v>0.83572530420497104</v>
      </c>
      <c r="P6691" s="14">
        <v>0.57728803809732199</v>
      </c>
      <c r="Q6691" t="str">
        <f t="shared" si="208"/>
        <v>25-34</v>
      </c>
      <c r="R6691" t="str">
        <f t="shared" si="209"/>
        <v>[mxqa3CDFmIT]|25-34|Male|PLHIV_Residents.T2|CY2025Q3</v>
      </c>
    </row>
    <row r="6692" spans="4:18" x14ac:dyDescent="0.2">
      <c r="D6692" t="s">
        <v>98</v>
      </c>
      <c r="E6692" t="s">
        <v>99</v>
      </c>
      <c r="F6692" t="s">
        <v>100</v>
      </c>
      <c r="G6692" t="s">
        <v>170</v>
      </c>
      <c r="H6692" t="s">
        <v>171</v>
      </c>
      <c r="I6692" t="s">
        <v>42</v>
      </c>
      <c r="J6692" t="s">
        <v>43</v>
      </c>
      <c r="K6692" t="s">
        <v>47</v>
      </c>
      <c r="L6692" t="s">
        <v>48</v>
      </c>
      <c r="M6692" t="s">
        <v>172</v>
      </c>
      <c r="N6692">
        <v>738</v>
      </c>
      <c r="O6692" s="14">
        <v>0.21429052902385601</v>
      </c>
      <c r="P6692" s="14">
        <v>0.57728803809732199</v>
      </c>
      <c r="Q6692" t="str">
        <f t="shared" si="208"/>
        <v>35-49</v>
      </c>
      <c r="R6692" t="str">
        <f t="shared" si="209"/>
        <v>[mxqa3CDFmIT]|35-49|Male|PLHIV_Residents.T2|CY2025Q3</v>
      </c>
    </row>
    <row r="6693" spans="4:18" x14ac:dyDescent="0.2">
      <c r="D6693" t="s">
        <v>98</v>
      </c>
      <c r="E6693" t="s">
        <v>99</v>
      </c>
      <c r="F6693" t="s">
        <v>100</v>
      </c>
      <c r="G6693" t="s">
        <v>170</v>
      </c>
      <c r="H6693" t="s">
        <v>171</v>
      </c>
      <c r="I6693" t="s">
        <v>44</v>
      </c>
      <c r="J6693" t="s">
        <v>45</v>
      </c>
      <c r="K6693" t="s">
        <v>47</v>
      </c>
      <c r="L6693" t="s">
        <v>48</v>
      </c>
      <c r="M6693" t="s">
        <v>172</v>
      </c>
      <c r="N6693">
        <v>1280</v>
      </c>
      <c r="O6693" s="14">
        <v>5.0287061138078598E-2</v>
      </c>
      <c r="P6693" s="14">
        <v>0.57728803809732199</v>
      </c>
      <c r="Q6693" t="str">
        <f t="shared" si="208"/>
        <v>50+</v>
      </c>
      <c r="R6693" t="str">
        <f t="shared" si="209"/>
        <v>[mxqa3CDFmIT]|50+|Male|PLHIV_Residents.T2|CY2025Q3</v>
      </c>
    </row>
    <row r="6694" spans="4:18" x14ac:dyDescent="0.2">
      <c r="D6694" t="s">
        <v>101</v>
      </c>
      <c r="E6694" t="s">
        <v>102</v>
      </c>
      <c r="F6694" t="s">
        <v>103</v>
      </c>
      <c r="G6694" t="s">
        <v>170</v>
      </c>
      <c r="H6694" t="s">
        <v>171</v>
      </c>
      <c r="I6694" t="s">
        <v>27</v>
      </c>
      <c r="J6694" t="s">
        <v>28</v>
      </c>
      <c r="K6694" t="s">
        <v>29</v>
      </c>
      <c r="L6694" t="s">
        <v>30</v>
      </c>
      <c r="M6694" t="s">
        <v>172</v>
      </c>
      <c r="N6694">
        <v>580</v>
      </c>
      <c r="O6694" s="14">
        <v>0.96675231424160302</v>
      </c>
      <c r="P6694" s="14">
        <v>0.52621235931292198</v>
      </c>
      <c r="Q6694" t="str">
        <f t="shared" si="208"/>
        <v>&lt;01</v>
      </c>
      <c r="R6694" t="str">
        <f t="shared" si="209"/>
        <v>[wNqJp8oRIcF]|&lt;01|Female|PLHIV_Residents.T2|CY2025Q3</v>
      </c>
    </row>
    <row r="6695" spans="4:18" x14ac:dyDescent="0.2">
      <c r="D6695" t="s">
        <v>101</v>
      </c>
      <c r="E6695" t="s">
        <v>102</v>
      </c>
      <c r="F6695" t="s">
        <v>103</v>
      </c>
      <c r="G6695" t="s">
        <v>170</v>
      </c>
      <c r="H6695" t="s">
        <v>171</v>
      </c>
      <c r="I6695" t="s">
        <v>32</v>
      </c>
      <c r="J6695" t="s">
        <v>33</v>
      </c>
      <c r="K6695" t="s">
        <v>29</v>
      </c>
      <c r="L6695" t="s">
        <v>30</v>
      </c>
      <c r="M6695" t="s">
        <v>172</v>
      </c>
      <c r="N6695">
        <v>1395</v>
      </c>
      <c r="O6695" s="14">
        <v>0.68879660731181502</v>
      </c>
      <c r="P6695" s="14">
        <v>0.52621235931292198</v>
      </c>
      <c r="Q6695" t="str">
        <f t="shared" si="208"/>
        <v>01-09</v>
      </c>
      <c r="R6695" t="str">
        <f t="shared" si="209"/>
        <v>[wNqJp8oRIcF]|01-09|Female|PLHIV_Residents.T2|CY2025Q3</v>
      </c>
    </row>
    <row r="6696" spans="4:18" x14ac:dyDescent="0.2">
      <c r="D6696" t="s">
        <v>101</v>
      </c>
      <c r="E6696" t="s">
        <v>102</v>
      </c>
      <c r="F6696" t="s">
        <v>103</v>
      </c>
      <c r="G6696" t="s">
        <v>170</v>
      </c>
      <c r="H6696" t="s">
        <v>171</v>
      </c>
      <c r="I6696" t="s">
        <v>35</v>
      </c>
      <c r="J6696" t="s">
        <v>36</v>
      </c>
      <c r="K6696" t="s">
        <v>29</v>
      </c>
      <c r="L6696" t="s">
        <v>30</v>
      </c>
      <c r="M6696" t="s">
        <v>172</v>
      </c>
      <c r="N6696">
        <v>1055</v>
      </c>
      <c r="O6696" s="14">
        <v>0.29854928865097502</v>
      </c>
      <c r="P6696" s="14">
        <v>0.52621235931292198</v>
      </c>
      <c r="Q6696" t="str">
        <f t="shared" si="208"/>
        <v>10-14</v>
      </c>
      <c r="R6696" t="str">
        <f t="shared" si="209"/>
        <v>[wNqJp8oRIcF]|10-14|Female|PLHIV_Residents.T2|CY2025Q3</v>
      </c>
    </row>
    <row r="6697" spans="4:18" x14ac:dyDescent="0.2">
      <c r="D6697" t="s">
        <v>101</v>
      </c>
      <c r="E6697" t="s">
        <v>102</v>
      </c>
      <c r="F6697" t="s">
        <v>103</v>
      </c>
      <c r="G6697" t="s">
        <v>170</v>
      </c>
      <c r="H6697" t="s">
        <v>171</v>
      </c>
      <c r="I6697" t="s">
        <v>37</v>
      </c>
      <c r="J6697" t="s">
        <v>38</v>
      </c>
      <c r="K6697" t="s">
        <v>29</v>
      </c>
      <c r="L6697" t="s">
        <v>30</v>
      </c>
      <c r="M6697" t="s">
        <v>172</v>
      </c>
      <c r="N6697">
        <v>1307</v>
      </c>
      <c r="O6697" s="14">
        <v>0.51912911050021604</v>
      </c>
      <c r="P6697" s="14">
        <v>0.52621235931292198</v>
      </c>
      <c r="Q6697" t="str">
        <f t="shared" si="208"/>
        <v>15-24</v>
      </c>
      <c r="R6697" t="str">
        <f t="shared" si="209"/>
        <v>[wNqJp8oRIcF]|15-24|Female|PLHIV_Residents.T2|CY2025Q3</v>
      </c>
    </row>
    <row r="6698" spans="4:18" x14ac:dyDescent="0.2">
      <c r="D6698" t="s">
        <v>101</v>
      </c>
      <c r="E6698" t="s">
        <v>102</v>
      </c>
      <c r="F6698" t="s">
        <v>103</v>
      </c>
      <c r="G6698" t="s">
        <v>170</v>
      </c>
      <c r="H6698" t="s">
        <v>171</v>
      </c>
      <c r="I6698" t="s">
        <v>40</v>
      </c>
      <c r="J6698" t="s">
        <v>41</v>
      </c>
      <c r="K6698" t="s">
        <v>29</v>
      </c>
      <c r="L6698" t="s">
        <v>30</v>
      </c>
      <c r="M6698" t="s">
        <v>172</v>
      </c>
      <c r="N6698">
        <v>683</v>
      </c>
      <c r="O6698" s="14">
        <v>0.74471556744538203</v>
      </c>
      <c r="P6698" s="14">
        <v>0.52621235931292198</v>
      </c>
      <c r="Q6698" t="str">
        <f t="shared" si="208"/>
        <v>25-34</v>
      </c>
      <c r="R6698" t="str">
        <f t="shared" si="209"/>
        <v>[wNqJp8oRIcF]|25-34|Female|PLHIV_Residents.T2|CY2025Q3</v>
      </c>
    </row>
    <row r="6699" spans="4:18" x14ac:dyDescent="0.2">
      <c r="D6699" t="s">
        <v>101</v>
      </c>
      <c r="E6699" t="s">
        <v>102</v>
      </c>
      <c r="F6699" t="s">
        <v>103</v>
      </c>
      <c r="G6699" t="s">
        <v>170</v>
      </c>
      <c r="H6699" t="s">
        <v>171</v>
      </c>
      <c r="I6699" t="s">
        <v>42</v>
      </c>
      <c r="J6699" t="s">
        <v>43</v>
      </c>
      <c r="K6699" t="s">
        <v>29</v>
      </c>
      <c r="L6699" t="s">
        <v>30</v>
      </c>
      <c r="M6699" t="s">
        <v>172</v>
      </c>
      <c r="N6699">
        <v>1821</v>
      </c>
      <c r="O6699" s="14">
        <v>0.32646256079897301</v>
      </c>
      <c r="P6699" s="14">
        <v>0.52621235931292198</v>
      </c>
      <c r="Q6699" t="str">
        <f t="shared" si="208"/>
        <v>35-49</v>
      </c>
      <c r="R6699" t="str">
        <f t="shared" si="209"/>
        <v>[wNqJp8oRIcF]|35-49|Female|PLHIV_Residents.T2|CY2025Q3</v>
      </c>
    </row>
    <row r="6700" spans="4:18" x14ac:dyDescent="0.2">
      <c r="D6700" t="s">
        <v>101</v>
      </c>
      <c r="E6700" t="s">
        <v>102</v>
      </c>
      <c r="F6700" t="s">
        <v>103</v>
      </c>
      <c r="G6700" t="s">
        <v>170</v>
      </c>
      <c r="H6700" t="s">
        <v>171</v>
      </c>
      <c r="I6700" t="s">
        <v>44</v>
      </c>
      <c r="J6700" t="s">
        <v>45</v>
      </c>
      <c r="K6700" t="s">
        <v>29</v>
      </c>
      <c r="L6700" t="s">
        <v>30</v>
      </c>
      <c r="M6700" t="s">
        <v>172</v>
      </c>
      <c r="N6700">
        <v>772</v>
      </c>
      <c r="O6700" s="14">
        <v>0.74509207834489599</v>
      </c>
      <c r="P6700" s="14">
        <v>0.52621235931292198</v>
      </c>
      <c r="Q6700" t="str">
        <f t="shared" si="208"/>
        <v>50+</v>
      </c>
      <c r="R6700" t="str">
        <f t="shared" si="209"/>
        <v>[wNqJp8oRIcF]|50+|Female|PLHIV_Residents.T2|CY2025Q3</v>
      </c>
    </row>
    <row r="6701" spans="4:18" x14ac:dyDescent="0.2">
      <c r="D6701" t="s">
        <v>101</v>
      </c>
      <c r="E6701" t="s">
        <v>102</v>
      </c>
      <c r="F6701" t="s">
        <v>103</v>
      </c>
      <c r="G6701" t="s">
        <v>170</v>
      </c>
      <c r="H6701" t="s">
        <v>171</v>
      </c>
      <c r="I6701" t="s">
        <v>27</v>
      </c>
      <c r="J6701" t="s">
        <v>28</v>
      </c>
      <c r="K6701" t="s">
        <v>47</v>
      </c>
      <c r="L6701" t="s">
        <v>48</v>
      </c>
      <c r="M6701" t="s">
        <v>172</v>
      </c>
      <c r="N6701">
        <v>840</v>
      </c>
      <c r="O6701" s="14">
        <v>0.839595407247543</v>
      </c>
      <c r="P6701" s="14">
        <v>0.52621235931292198</v>
      </c>
      <c r="Q6701" t="str">
        <f t="shared" si="208"/>
        <v>&lt;01</v>
      </c>
      <c r="R6701" t="str">
        <f t="shared" si="209"/>
        <v>[wNqJp8oRIcF]|&lt;01|Male|PLHIV_Residents.T2|CY2025Q3</v>
      </c>
    </row>
    <row r="6702" spans="4:18" x14ac:dyDescent="0.2">
      <c r="D6702" t="s">
        <v>101</v>
      </c>
      <c r="E6702" t="s">
        <v>102</v>
      </c>
      <c r="F6702" t="s">
        <v>103</v>
      </c>
      <c r="G6702" t="s">
        <v>170</v>
      </c>
      <c r="H6702" t="s">
        <v>171</v>
      </c>
      <c r="I6702" t="s">
        <v>32</v>
      </c>
      <c r="J6702" t="s">
        <v>33</v>
      </c>
      <c r="K6702" t="s">
        <v>47</v>
      </c>
      <c r="L6702" t="s">
        <v>48</v>
      </c>
      <c r="M6702" t="s">
        <v>172</v>
      </c>
      <c r="N6702">
        <v>826</v>
      </c>
      <c r="O6702" s="14">
        <v>0.18924117344431601</v>
      </c>
      <c r="P6702" s="14">
        <v>0.52621235931292198</v>
      </c>
      <c r="Q6702" t="str">
        <f t="shared" si="208"/>
        <v>01-09</v>
      </c>
      <c r="R6702" t="str">
        <f t="shared" si="209"/>
        <v>[wNqJp8oRIcF]|01-09|Male|PLHIV_Residents.T2|CY2025Q3</v>
      </c>
    </row>
    <row r="6703" spans="4:18" x14ac:dyDescent="0.2">
      <c r="D6703" t="s">
        <v>101</v>
      </c>
      <c r="E6703" t="s">
        <v>102</v>
      </c>
      <c r="F6703" t="s">
        <v>103</v>
      </c>
      <c r="G6703" t="s">
        <v>170</v>
      </c>
      <c r="H6703" t="s">
        <v>171</v>
      </c>
      <c r="I6703" t="s">
        <v>35</v>
      </c>
      <c r="J6703" t="s">
        <v>36</v>
      </c>
      <c r="K6703" t="s">
        <v>47</v>
      </c>
      <c r="L6703" t="s">
        <v>48</v>
      </c>
      <c r="M6703" t="s">
        <v>172</v>
      </c>
      <c r="N6703">
        <v>1025</v>
      </c>
      <c r="O6703" s="14">
        <v>0.42690002825111201</v>
      </c>
      <c r="P6703" s="14">
        <v>0.52621235931292198</v>
      </c>
      <c r="Q6703" t="str">
        <f t="shared" si="208"/>
        <v>10-14</v>
      </c>
      <c r="R6703" t="str">
        <f t="shared" si="209"/>
        <v>[wNqJp8oRIcF]|10-14|Male|PLHIV_Residents.T2|CY2025Q3</v>
      </c>
    </row>
    <row r="6704" spans="4:18" x14ac:dyDescent="0.2">
      <c r="D6704" t="s">
        <v>101</v>
      </c>
      <c r="E6704" t="s">
        <v>102</v>
      </c>
      <c r="F6704" t="s">
        <v>103</v>
      </c>
      <c r="G6704" t="s">
        <v>170</v>
      </c>
      <c r="H6704" t="s">
        <v>171</v>
      </c>
      <c r="I6704" t="s">
        <v>37</v>
      </c>
      <c r="J6704" t="s">
        <v>38</v>
      </c>
      <c r="K6704" t="s">
        <v>47</v>
      </c>
      <c r="L6704" t="s">
        <v>48</v>
      </c>
      <c r="M6704" t="s">
        <v>172</v>
      </c>
      <c r="N6704">
        <v>1536</v>
      </c>
      <c r="O6704" s="14">
        <v>0.61795362574048296</v>
      </c>
      <c r="P6704" s="14">
        <v>0.52621235931292198</v>
      </c>
      <c r="Q6704" t="str">
        <f t="shared" si="208"/>
        <v>15-24</v>
      </c>
      <c r="R6704" t="str">
        <f t="shared" si="209"/>
        <v>[wNqJp8oRIcF]|15-24|Male|PLHIV_Residents.T2|CY2025Q3</v>
      </c>
    </row>
    <row r="6705" spans="4:18" x14ac:dyDescent="0.2">
      <c r="D6705" t="s">
        <v>101</v>
      </c>
      <c r="E6705" t="s">
        <v>102</v>
      </c>
      <c r="F6705" t="s">
        <v>103</v>
      </c>
      <c r="G6705" t="s">
        <v>170</v>
      </c>
      <c r="H6705" t="s">
        <v>171</v>
      </c>
      <c r="I6705" t="s">
        <v>40</v>
      </c>
      <c r="J6705" t="s">
        <v>41</v>
      </c>
      <c r="K6705" t="s">
        <v>47</v>
      </c>
      <c r="L6705" t="s">
        <v>48</v>
      </c>
      <c r="M6705" t="s">
        <v>172</v>
      </c>
      <c r="N6705">
        <v>783</v>
      </c>
      <c r="O6705" s="14">
        <v>0.96118005155585695</v>
      </c>
      <c r="P6705" s="14">
        <v>0.52621235931292198</v>
      </c>
      <c r="Q6705" t="str">
        <f t="shared" si="208"/>
        <v>25-34</v>
      </c>
      <c r="R6705" t="str">
        <f t="shared" si="209"/>
        <v>[wNqJp8oRIcF]|25-34|Male|PLHIV_Residents.T2|CY2025Q3</v>
      </c>
    </row>
    <row r="6706" spans="4:18" x14ac:dyDescent="0.2">
      <c r="D6706" t="s">
        <v>101</v>
      </c>
      <c r="E6706" t="s">
        <v>102</v>
      </c>
      <c r="F6706" t="s">
        <v>103</v>
      </c>
      <c r="G6706" t="s">
        <v>170</v>
      </c>
      <c r="H6706" t="s">
        <v>171</v>
      </c>
      <c r="I6706" t="s">
        <v>42</v>
      </c>
      <c r="J6706" t="s">
        <v>43</v>
      </c>
      <c r="K6706" t="s">
        <v>47</v>
      </c>
      <c r="L6706" t="s">
        <v>48</v>
      </c>
      <c r="M6706" t="s">
        <v>172</v>
      </c>
      <c r="N6706">
        <v>1754</v>
      </c>
      <c r="O6706" s="14">
        <v>0.56442149775102701</v>
      </c>
      <c r="P6706" s="14">
        <v>0.52621235931292198</v>
      </c>
      <c r="Q6706" t="str">
        <f t="shared" si="208"/>
        <v>35-49</v>
      </c>
      <c r="R6706" t="str">
        <f t="shared" si="209"/>
        <v>[wNqJp8oRIcF]|35-49|Male|PLHIV_Residents.T2|CY2025Q3</v>
      </c>
    </row>
    <row r="6707" spans="4:18" x14ac:dyDescent="0.2">
      <c r="D6707" t="s">
        <v>101</v>
      </c>
      <c r="E6707" t="s">
        <v>102</v>
      </c>
      <c r="F6707" t="s">
        <v>103</v>
      </c>
      <c r="G6707" t="s">
        <v>170</v>
      </c>
      <c r="H6707" t="s">
        <v>171</v>
      </c>
      <c r="I6707" t="s">
        <v>44</v>
      </c>
      <c r="J6707" t="s">
        <v>45</v>
      </c>
      <c r="K6707" t="s">
        <v>47</v>
      </c>
      <c r="L6707" t="s">
        <v>48</v>
      </c>
      <c r="M6707" t="s">
        <v>172</v>
      </c>
      <c r="N6707">
        <v>1166</v>
      </c>
      <c r="O6707" s="14">
        <v>0.50908134202472899</v>
      </c>
      <c r="P6707" s="14">
        <v>0.52621235931292198</v>
      </c>
      <c r="Q6707" t="str">
        <f t="shared" si="208"/>
        <v>50+</v>
      </c>
      <c r="R6707" t="str">
        <f t="shared" si="209"/>
        <v>[wNqJp8oRIcF]|50+|Male|PLHIV_Residents.T2|CY2025Q3</v>
      </c>
    </row>
    <row r="6708" spans="4:18" x14ac:dyDescent="0.2">
      <c r="D6708" t="s">
        <v>104</v>
      </c>
      <c r="E6708" t="s">
        <v>105</v>
      </c>
      <c r="F6708" t="s">
        <v>106</v>
      </c>
      <c r="G6708" t="s">
        <v>170</v>
      </c>
      <c r="H6708" t="s">
        <v>171</v>
      </c>
      <c r="I6708" t="s">
        <v>27</v>
      </c>
      <c r="J6708" t="s">
        <v>28</v>
      </c>
      <c r="K6708" t="s">
        <v>29</v>
      </c>
      <c r="L6708" t="s">
        <v>30</v>
      </c>
      <c r="M6708" t="s">
        <v>172</v>
      </c>
      <c r="N6708">
        <v>657</v>
      </c>
      <c r="O6708" s="14">
        <v>0.78541450691409398</v>
      </c>
      <c r="P6708" s="14">
        <v>0.21824956033378801</v>
      </c>
      <c r="Q6708" t="str">
        <f t="shared" si="208"/>
        <v>&lt;01</v>
      </c>
      <c r="R6708" t="str">
        <f t="shared" si="209"/>
        <v>[oiPR2CiVJbf]|&lt;01|Female|PLHIV_Residents.T2|CY2025Q3</v>
      </c>
    </row>
    <row r="6709" spans="4:18" x14ac:dyDescent="0.2">
      <c r="D6709" t="s">
        <v>104</v>
      </c>
      <c r="E6709" t="s">
        <v>105</v>
      </c>
      <c r="F6709" t="s">
        <v>106</v>
      </c>
      <c r="G6709" t="s">
        <v>170</v>
      </c>
      <c r="H6709" t="s">
        <v>171</v>
      </c>
      <c r="I6709" t="s">
        <v>32</v>
      </c>
      <c r="J6709" t="s">
        <v>33</v>
      </c>
      <c r="K6709" t="s">
        <v>29</v>
      </c>
      <c r="L6709" t="s">
        <v>30</v>
      </c>
      <c r="M6709" t="s">
        <v>172</v>
      </c>
      <c r="N6709">
        <v>1057</v>
      </c>
      <c r="O6709" s="14">
        <v>0.84304925706237599</v>
      </c>
      <c r="P6709" s="14">
        <v>0.21824956033378801</v>
      </c>
      <c r="Q6709" t="str">
        <f t="shared" si="208"/>
        <v>01-09</v>
      </c>
      <c r="R6709" t="str">
        <f t="shared" si="209"/>
        <v>[oiPR2CiVJbf]|01-09|Female|PLHIV_Residents.T2|CY2025Q3</v>
      </c>
    </row>
    <row r="6710" spans="4:18" x14ac:dyDescent="0.2">
      <c r="D6710" t="s">
        <v>104</v>
      </c>
      <c r="E6710" t="s">
        <v>105</v>
      </c>
      <c r="F6710" t="s">
        <v>106</v>
      </c>
      <c r="G6710" t="s">
        <v>170</v>
      </c>
      <c r="H6710" t="s">
        <v>171</v>
      </c>
      <c r="I6710" t="s">
        <v>35</v>
      </c>
      <c r="J6710" t="s">
        <v>36</v>
      </c>
      <c r="K6710" t="s">
        <v>29</v>
      </c>
      <c r="L6710" t="s">
        <v>30</v>
      </c>
      <c r="M6710" t="s">
        <v>172</v>
      </c>
      <c r="N6710">
        <v>695</v>
      </c>
      <c r="O6710" s="14">
        <v>0.249709230381995</v>
      </c>
      <c r="P6710" s="14">
        <v>0.21824956033378801</v>
      </c>
      <c r="Q6710" t="str">
        <f t="shared" si="208"/>
        <v>10-14</v>
      </c>
      <c r="R6710" t="str">
        <f t="shared" si="209"/>
        <v>[oiPR2CiVJbf]|10-14|Female|PLHIV_Residents.T2|CY2025Q3</v>
      </c>
    </row>
    <row r="6711" spans="4:18" x14ac:dyDescent="0.2">
      <c r="D6711" t="s">
        <v>104</v>
      </c>
      <c r="E6711" t="s">
        <v>105</v>
      </c>
      <c r="F6711" t="s">
        <v>106</v>
      </c>
      <c r="G6711" t="s">
        <v>170</v>
      </c>
      <c r="H6711" t="s">
        <v>171</v>
      </c>
      <c r="I6711" t="s">
        <v>37</v>
      </c>
      <c r="J6711" t="s">
        <v>38</v>
      </c>
      <c r="K6711" t="s">
        <v>29</v>
      </c>
      <c r="L6711" t="s">
        <v>30</v>
      </c>
      <c r="M6711" t="s">
        <v>172</v>
      </c>
      <c r="N6711">
        <v>921</v>
      </c>
      <c r="O6711" s="14">
        <v>0.79705155710689701</v>
      </c>
      <c r="P6711" s="14">
        <v>0.21824956033378801</v>
      </c>
      <c r="Q6711" t="str">
        <f t="shared" si="208"/>
        <v>15-24</v>
      </c>
      <c r="R6711" t="str">
        <f t="shared" si="209"/>
        <v>[oiPR2CiVJbf]|15-24|Female|PLHIV_Residents.T2|CY2025Q3</v>
      </c>
    </row>
    <row r="6712" spans="4:18" x14ac:dyDescent="0.2">
      <c r="D6712" t="s">
        <v>104</v>
      </c>
      <c r="E6712" t="s">
        <v>105</v>
      </c>
      <c r="F6712" t="s">
        <v>106</v>
      </c>
      <c r="G6712" t="s">
        <v>170</v>
      </c>
      <c r="H6712" t="s">
        <v>171</v>
      </c>
      <c r="I6712" t="s">
        <v>40</v>
      </c>
      <c r="J6712" t="s">
        <v>41</v>
      </c>
      <c r="K6712" t="s">
        <v>29</v>
      </c>
      <c r="L6712" t="s">
        <v>30</v>
      </c>
      <c r="M6712" t="s">
        <v>172</v>
      </c>
      <c r="N6712">
        <v>1115</v>
      </c>
      <c r="O6712" s="14">
        <v>0.606266289949417</v>
      </c>
      <c r="P6712" s="14">
        <v>0.21824956033378801</v>
      </c>
      <c r="Q6712" t="str">
        <f t="shared" si="208"/>
        <v>25-34</v>
      </c>
      <c r="R6712" t="str">
        <f t="shared" si="209"/>
        <v>[oiPR2CiVJbf]|25-34|Female|PLHIV_Residents.T2|CY2025Q3</v>
      </c>
    </row>
    <row r="6713" spans="4:18" x14ac:dyDescent="0.2">
      <c r="D6713" t="s">
        <v>104</v>
      </c>
      <c r="E6713" t="s">
        <v>105</v>
      </c>
      <c r="F6713" t="s">
        <v>106</v>
      </c>
      <c r="G6713" t="s">
        <v>170</v>
      </c>
      <c r="H6713" t="s">
        <v>171</v>
      </c>
      <c r="I6713" t="s">
        <v>42</v>
      </c>
      <c r="J6713" t="s">
        <v>43</v>
      </c>
      <c r="K6713" t="s">
        <v>29</v>
      </c>
      <c r="L6713" t="s">
        <v>30</v>
      </c>
      <c r="M6713" t="s">
        <v>172</v>
      </c>
      <c r="N6713">
        <v>886</v>
      </c>
      <c r="O6713" s="14">
        <v>0.46976714325137398</v>
      </c>
      <c r="P6713" s="14">
        <v>0.21824956033378801</v>
      </c>
      <c r="Q6713" t="str">
        <f t="shared" si="208"/>
        <v>35-49</v>
      </c>
      <c r="R6713" t="str">
        <f t="shared" si="209"/>
        <v>[oiPR2CiVJbf]|35-49|Female|PLHIV_Residents.T2|CY2025Q3</v>
      </c>
    </row>
    <row r="6714" spans="4:18" x14ac:dyDescent="0.2">
      <c r="D6714" t="s">
        <v>104</v>
      </c>
      <c r="E6714" t="s">
        <v>105</v>
      </c>
      <c r="F6714" t="s">
        <v>106</v>
      </c>
      <c r="G6714" t="s">
        <v>170</v>
      </c>
      <c r="H6714" t="s">
        <v>171</v>
      </c>
      <c r="I6714" t="s">
        <v>44</v>
      </c>
      <c r="J6714" t="s">
        <v>45</v>
      </c>
      <c r="K6714" t="s">
        <v>29</v>
      </c>
      <c r="L6714" t="s">
        <v>30</v>
      </c>
      <c r="M6714" t="s">
        <v>172</v>
      </c>
      <c r="N6714">
        <v>1045</v>
      </c>
      <c r="O6714" s="14">
        <v>0.74088960653170899</v>
      </c>
      <c r="P6714" s="14">
        <v>0.21824956033378801</v>
      </c>
      <c r="Q6714" t="str">
        <f t="shared" si="208"/>
        <v>50+</v>
      </c>
      <c r="R6714" t="str">
        <f t="shared" si="209"/>
        <v>[oiPR2CiVJbf]|50+|Female|PLHIV_Residents.T2|CY2025Q3</v>
      </c>
    </row>
    <row r="6715" spans="4:18" x14ac:dyDescent="0.2">
      <c r="D6715" t="s">
        <v>104</v>
      </c>
      <c r="E6715" t="s">
        <v>105</v>
      </c>
      <c r="F6715" t="s">
        <v>106</v>
      </c>
      <c r="G6715" t="s">
        <v>170</v>
      </c>
      <c r="H6715" t="s">
        <v>171</v>
      </c>
      <c r="I6715" t="s">
        <v>27</v>
      </c>
      <c r="J6715" t="s">
        <v>28</v>
      </c>
      <c r="K6715" t="s">
        <v>47</v>
      </c>
      <c r="L6715" t="s">
        <v>48</v>
      </c>
      <c r="M6715" t="s">
        <v>172</v>
      </c>
      <c r="N6715">
        <v>1747</v>
      </c>
      <c r="O6715" s="14">
        <v>0.62674805778078702</v>
      </c>
      <c r="P6715" s="14">
        <v>0.21824956033378801</v>
      </c>
      <c r="Q6715" t="str">
        <f t="shared" si="208"/>
        <v>&lt;01</v>
      </c>
      <c r="R6715" t="str">
        <f t="shared" si="209"/>
        <v>[oiPR2CiVJbf]|&lt;01|Male|PLHIV_Residents.T2|CY2025Q3</v>
      </c>
    </row>
    <row r="6716" spans="4:18" x14ac:dyDescent="0.2">
      <c r="D6716" t="s">
        <v>104</v>
      </c>
      <c r="E6716" t="s">
        <v>105</v>
      </c>
      <c r="F6716" t="s">
        <v>106</v>
      </c>
      <c r="G6716" t="s">
        <v>170</v>
      </c>
      <c r="H6716" t="s">
        <v>171</v>
      </c>
      <c r="I6716" t="s">
        <v>32</v>
      </c>
      <c r="J6716" t="s">
        <v>33</v>
      </c>
      <c r="K6716" t="s">
        <v>47</v>
      </c>
      <c r="L6716" t="s">
        <v>48</v>
      </c>
      <c r="M6716" t="s">
        <v>172</v>
      </c>
      <c r="N6716">
        <v>1573</v>
      </c>
      <c r="O6716" s="14">
        <v>0.43346708873286799</v>
      </c>
      <c r="P6716" s="14">
        <v>0.21824956033378801</v>
      </c>
      <c r="Q6716" t="str">
        <f t="shared" si="208"/>
        <v>01-09</v>
      </c>
      <c r="R6716" t="str">
        <f t="shared" si="209"/>
        <v>[oiPR2CiVJbf]|01-09|Male|PLHIV_Residents.T2|CY2025Q3</v>
      </c>
    </row>
    <row r="6717" spans="4:18" x14ac:dyDescent="0.2">
      <c r="D6717" t="s">
        <v>104</v>
      </c>
      <c r="E6717" t="s">
        <v>105</v>
      </c>
      <c r="F6717" t="s">
        <v>106</v>
      </c>
      <c r="G6717" t="s">
        <v>170</v>
      </c>
      <c r="H6717" t="s">
        <v>171</v>
      </c>
      <c r="I6717" t="s">
        <v>35</v>
      </c>
      <c r="J6717" t="s">
        <v>36</v>
      </c>
      <c r="K6717" t="s">
        <v>47</v>
      </c>
      <c r="L6717" t="s">
        <v>48</v>
      </c>
      <c r="M6717" t="s">
        <v>172</v>
      </c>
      <c r="N6717">
        <v>1968</v>
      </c>
      <c r="O6717" s="14">
        <v>0.23238333221525001</v>
      </c>
      <c r="P6717" s="14">
        <v>0.21824956033378801</v>
      </c>
      <c r="Q6717" t="str">
        <f t="shared" si="208"/>
        <v>10-14</v>
      </c>
      <c r="R6717" t="str">
        <f t="shared" si="209"/>
        <v>[oiPR2CiVJbf]|10-14|Male|PLHIV_Residents.T2|CY2025Q3</v>
      </c>
    </row>
    <row r="6718" spans="4:18" x14ac:dyDescent="0.2">
      <c r="D6718" t="s">
        <v>104</v>
      </c>
      <c r="E6718" t="s">
        <v>105</v>
      </c>
      <c r="F6718" t="s">
        <v>106</v>
      </c>
      <c r="G6718" t="s">
        <v>170</v>
      </c>
      <c r="H6718" t="s">
        <v>171</v>
      </c>
      <c r="I6718" t="s">
        <v>37</v>
      </c>
      <c r="J6718" t="s">
        <v>38</v>
      </c>
      <c r="K6718" t="s">
        <v>47</v>
      </c>
      <c r="L6718" t="s">
        <v>48</v>
      </c>
      <c r="M6718" t="s">
        <v>172</v>
      </c>
      <c r="N6718">
        <v>1497</v>
      </c>
      <c r="O6718" s="14">
        <v>0.31312041892670101</v>
      </c>
      <c r="P6718" s="14">
        <v>0.21824956033378801</v>
      </c>
      <c r="Q6718" t="str">
        <f t="shared" si="208"/>
        <v>15-24</v>
      </c>
      <c r="R6718" t="str">
        <f t="shared" si="209"/>
        <v>[oiPR2CiVJbf]|15-24|Male|PLHIV_Residents.T2|CY2025Q3</v>
      </c>
    </row>
    <row r="6719" spans="4:18" x14ac:dyDescent="0.2">
      <c r="D6719" t="s">
        <v>104</v>
      </c>
      <c r="E6719" t="s">
        <v>105</v>
      </c>
      <c r="F6719" t="s">
        <v>106</v>
      </c>
      <c r="G6719" t="s">
        <v>170</v>
      </c>
      <c r="H6719" t="s">
        <v>171</v>
      </c>
      <c r="I6719" t="s">
        <v>40</v>
      </c>
      <c r="J6719" t="s">
        <v>41</v>
      </c>
      <c r="K6719" t="s">
        <v>47</v>
      </c>
      <c r="L6719" t="s">
        <v>48</v>
      </c>
      <c r="M6719" t="s">
        <v>172</v>
      </c>
      <c r="N6719">
        <v>1217</v>
      </c>
      <c r="O6719" s="14">
        <v>0.95182999526150502</v>
      </c>
      <c r="P6719" s="14">
        <v>0.21824956033378801</v>
      </c>
      <c r="Q6719" t="str">
        <f t="shared" si="208"/>
        <v>25-34</v>
      </c>
      <c r="R6719" t="str">
        <f t="shared" si="209"/>
        <v>[oiPR2CiVJbf]|25-34|Male|PLHIV_Residents.T2|CY2025Q3</v>
      </c>
    </row>
    <row r="6720" spans="4:18" x14ac:dyDescent="0.2">
      <c r="D6720" t="s">
        <v>104</v>
      </c>
      <c r="E6720" t="s">
        <v>105</v>
      </c>
      <c r="F6720" t="s">
        <v>106</v>
      </c>
      <c r="G6720" t="s">
        <v>170</v>
      </c>
      <c r="H6720" t="s">
        <v>171</v>
      </c>
      <c r="I6720" t="s">
        <v>42</v>
      </c>
      <c r="J6720" t="s">
        <v>43</v>
      </c>
      <c r="K6720" t="s">
        <v>47</v>
      </c>
      <c r="L6720" t="s">
        <v>48</v>
      </c>
      <c r="M6720" t="s">
        <v>172</v>
      </c>
      <c r="N6720">
        <v>1454</v>
      </c>
      <c r="O6720" s="14">
        <v>0.434719796059653</v>
      </c>
      <c r="P6720" s="14">
        <v>0.21824956033378801</v>
      </c>
      <c r="Q6720" t="str">
        <f t="shared" si="208"/>
        <v>35-49</v>
      </c>
      <c r="R6720" t="str">
        <f t="shared" si="209"/>
        <v>[oiPR2CiVJbf]|35-49|Male|PLHIV_Residents.T2|CY2025Q3</v>
      </c>
    </row>
    <row r="6721" spans="4:18" x14ac:dyDescent="0.2">
      <c r="D6721" t="s">
        <v>104</v>
      </c>
      <c r="E6721" t="s">
        <v>105</v>
      </c>
      <c r="F6721" t="s">
        <v>106</v>
      </c>
      <c r="G6721" t="s">
        <v>170</v>
      </c>
      <c r="H6721" t="s">
        <v>171</v>
      </c>
      <c r="I6721" t="s">
        <v>44</v>
      </c>
      <c r="J6721" t="s">
        <v>45</v>
      </c>
      <c r="K6721" t="s">
        <v>47</v>
      </c>
      <c r="L6721" t="s">
        <v>48</v>
      </c>
      <c r="M6721" t="s">
        <v>172</v>
      </c>
      <c r="N6721">
        <v>705</v>
      </c>
      <c r="O6721" s="14">
        <v>0.32145659788511699</v>
      </c>
      <c r="P6721" s="14">
        <v>0.21824956033378801</v>
      </c>
      <c r="Q6721" t="str">
        <f t="shared" si="208"/>
        <v>50+</v>
      </c>
      <c r="R6721" t="str">
        <f t="shared" si="209"/>
        <v>[oiPR2CiVJbf]|50+|Male|PLHIV_Residents.T2|CY2025Q3</v>
      </c>
    </row>
    <row r="6722" spans="4:18" x14ac:dyDescent="0.2">
      <c r="D6722" t="s">
        <v>107</v>
      </c>
      <c r="E6722" t="s">
        <v>108</v>
      </c>
      <c r="F6722" t="s">
        <v>109</v>
      </c>
      <c r="G6722" t="s">
        <v>170</v>
      </c>
      <c r="H6722" t="s">
        <v>171</v>
      </c>
      <c r="I6722" t="s">
        <v>27</v>
      </c>
      <c r="J6722" t="s">
        <v>28</v>
      </c>
      <c r="K6722" t="s">
        <v>29</v>
      </c>
      <c r="L6722" t="s">
        <v>30</v>
      </c>
      <c r="M6722" t="s">
        <v>172</v>
      </c>
      <c r="N6722">
        <v>1342</v>
      </c>
      <c r="O6722" s="14">
        <v>0.43362122587859597</v>
      </c>
      <c r="P6722" s="14">
        <v>0.43422180437482899</v>
      </c>
      <c r="Q6722" t="str">
        <f t="shared" ref="Q6722:Q6785" si="210">SUBSTITUTE(SUBSTITUTE($I6722,CHAR(61),""),CHAR(34),"")</f>
        <v>&lt;01</v>
      </c>
      <c r="R6722" t="str">
        <f t="shared" ref="R6722:R6785" si="211">IF($D6722&lt;&gt;"","["&amp;$E6722&amp;"]"&amp;"|"&amp;$Q6722&amp;"|"&amp;$K6722&amp;"|"&amp;$G6722&amp;"|"&amp;IF($G6722="TX_CURR_SUBNAT.R","CY2022Q4",$M6722),"")</f>
        <v>[ul0y9diGujK]|&lt;01|Female|PLHIV_Residents.T2|CY2025Q3</v>
      </c>
    </row>
    <row r="6723" spans="4:18" x14ac:dyDescent="0.2">
      <c r="D6723" t="s">
        <v>107</v>
      </c>
      <c r="E6723" t="s">
        <v>108</v>
      </c>
      <c r="F6723" t="s">
        <v>109</v>
      </c>
      <c r="G6723" t="s">
        <v>170</v>
      </c>
      <c r="H6723" t="s">
        <v>171</v>
      </c>
      <c r="I6723" t="s">
        <v>32</v>
      </c>
      <c r="J6723" t="s">
        <v>33</v>
      </c>
      <c r="K6723" t="s">
        <v>29</v>
      </c>
      <c r="L6723" t="s">
        <v>30</v>
      </c>
      <c r="M6723" t="s">
        <v>172</v>
      </c>
      <c r="N6723">
        <v>1063</v>
      </c>
      <c r="O6723" s="14">
        <v>0.38809246546588799</v>
      </c>
      <c r="P6723" s="14">
        <v>0.43422180437482899</v>
      </c>
      <c r="Q6723" t="str">
        <f t="shared" si="210"/>
        <v>01-09</v>
      </c>
      <c r="R6723" t="str">
        <f t="shared" si="211"/>
        <v>[ul0y9diGujK]|01-09|Female|PLHIV_Residents.T2|CY2025Q3</v>
      </c>
    </row>
    <row r="6724" spans="4:18" x14ac:dyDescent="0.2">
      <c r="D6724" t="s">
        <v>107</v>
      </c>
      <c r="E6724" t="s">
        <v>108</v>
      </c>
      <c r="F6724" t="s">
        <v>109</v>
      </c>
      <c r="G6724" t="s">
        <v>170</v>
      </c>
      <c r="H6724" t="s">
        <v>171</v>
      </c>
      <c r="I6724" t="s">
        <v>35</v>
      </c>
      <c r="J6724" t="s">
        <v>36</v>
      </c>
      <c r="K6724" t="s">
        <v>29</v>
      </c>
      <c r="L6724" t="s">
        <v>30</v>
      </c>
      <c r="M6724" t="s">
        <v>172</v>
      </c>
      <c r="N6724">
        <v>946</v>
      </c>
      <c r="O6724" s="14">
        <v>0.90723215416073799</v>
      </c>
      <c r="P6724" s="14">
        <v>0.43422180437482899</v>
      </c>
      <c r="Q6724" t="str">
        <f t="shared" si="210"/>
        <v>10-14</v>
      </c>
      <c r="R6724" t="str">
        <f t="shared" si="211"/>
        <v>[ul0y9diGujK]|10-14|Female|PLHIV_Residents.T2|CY2025Q3</v>
      </c>
    </row>
    <row r="6725" spans="4:18" x14ac:dyDescent="0.2">
      <c r="D6725" t="s">
        <v>107</v>
      </c>
      <c r="E6725" t="s">
        <v>108</v>
      </c>
      <c r="F6725" t="s">
        <v>109</v>
      </c>
      <c r="G6725" t="s">
        <v>170</v>
      </c>
      <c r="H6725" t="s">
        <v>171</v>
      </c>
      <c r="I6725" t="s">
        <v>37</v>
      </c>
      <c r="J6725" t="s">
        <v>38</v>
      </c>
      <c r="K6725" t="s">
        <v>29</v>
      </c>
      <c r="L6725" t="s">
        <v>30</v>
      </c>
      <c r="M6725" t="s">
        <v>172</v>
      </c>
      <c r="N6725">
        <v>1874</v>
      </c>
      <c r="O6725" s="14">
        <v>0.30717285256832799</v>
      </c>
      <c r="P6725" s="14">
        <v>0.43422180437482899</v>
      </c>
      <c r="Q6725" t="str">
        <f t="shared" si="210"/>
        <v>15-24</v>
      </c>
      <c r="R6725" t="str">
        <f t="shared" si="211"/>
        <v>[ul0y9diGujK]|15-24|Female|PLHIV_Residents.T2|CY2025Q3</v>
      </c>
    </row>
    <row r="6726" spans="4:18" x14ac:dyDescent="0.2">
      <c r="D6726" t="s">
        <v>107</v>
      </c>
      <c r="E6726" t="s">
        <v>108</v>
      </c>
      <c r="F6726" t="s">
        <v>109</v>
      </c>
      <c r="G6726" t="s">
        <v>170</v>
      </c>
      <c r="H6726" t="s">
        <v>171</v>
      </c>
      <c r="I6726" t="s">
        <v>40</v>
      </c>
      <c r="J6726" t="s">
        <v>41</v>
      </c>
      <c r="K6726" t="s">
        <v>29</v>
      </c>
      <c r="L6726" t="s">
        <v>30</v>
      </c>
      <c r="M6726" t="s">
        <v>172</v>
      </c>
      <c r="N6726">
        <v>1401</v>
      </c>
      <c r="O6726" s="14">
        <v>0.31979883881285798</v>
      </c>
      <c r="P6726" s="14">
        <v>0.43422180437482899</v>
      </c>
      <c r="Q6726" t="str">
        <f t="shared" si="210"/>
        <v>25-34</v>
      </c>
      <c r="R6726" t="str">
        <f t="shared" si="211"/>
        <v>[ul0y9diGujK]|25-34|Female|PLHIV_Residents.T2|CY2025Q3</v>
      </c>
    </row>
    <row r="6727" spans="4:18" x14ac:dyDescent="0.2">
      <c r="D6727" t="s">
        <v>107</v>
      </c>
      <c r="E6727" t="s">
        <v>108</v>
      </c>
      <c r="F6727" t="s">
        <v>109</v>
      </c>
      <c r="G6727" t="s">
        <v>170</v>
      </c>
      <c r="H6727" t="s">
        <v>171</v>
      </c>
      <c r="I6727" t="s">
        <v>42</v>
      </c>
      <c r="J6727" t="s">
        <v>43</v>
      </c>
      <c r="K6727" t="s">
        <v>29</v>
      </c>
      <c r="L6727" t="s">
        <v>30</v>
      </c>
      <c r="M6727" t="s">
        <v>172</v>
      </c>
      <c r="N6727">
        <v>1007</v>
      </c>
      <c r="O6727" s="14">
        <v>0.98304357635788597</v>
      </c>
      <c r="P6727" s="14">
        <v>0.43422180437482899</v>
      </c>
      <c r="Q6727" t="str">
        <f t="shared" si="210"/>
        <v>35-49</v>
      </c>
      <c r="R6727" t="str">
        <f t="shared" si="211"/>
        <v>[ul0y9diGujK]|35-49|Female|PLHIV_Residents.T2|CY2025Q3</v>
      </c>
    </row>
    <row r="6728" spans="4:18" x14ac:dyDescent="0.2">
      <c r="D6728" t="s">
        <v>107</v>
      </c>
      <c r="E6728" t="s">
        <v>108</v>
      </c>
      <c r="F6728" t="s">
        <v>109</v>
      </c>
      <c r="G6728" t="s">
        <v>170</v>
      </c>
      <c r="H6728" t="s">
        <v>171</v>
      </c>
      <c r="I6728" t="s">
        <v>44</v>
      </c>
      <c r="J6728" t="s">
        <v>45</v>
      </c>
      <c r="K6728" t="s">
        <v>29</v>
      </c>
      <c r="L6728" t="s">
        <v>30</v>
      </c>
      <c r="M6728" t="s">
        <v>172</v>
      </c>
      <c r="N6728">
        <v>1548</v>
      </c>
      <c r="O6728" s="14">
        <v>0.74529048893600702</v>
      </c>
      <c r="P6728" s="14">
        <v>0.43422180437482899</v>
      </c>
      <c r="Q6728" t="str">
        <f t="shared" si="210"/>
        <v>50+</v>
      </c>
      <c r="R6728" t="str">
        <f t="shared" si="211"/>
        <v>[ul0y9diGujK]|50+|Female|PLHIV_Residents.T2|CY2025Q3</v>
      </c>
    </row>
    <row r="6729" spans="4:18" x14ac:dyDescent="0.2">
      <c r="D6729" t="s">
        <v>107</v>
      </c>
      <c r="E6729" t="s">
        <v>108</v>
      </c>
      <c r="F6729" t="s">
        <v>109</v>
      </c>
      <c r="G6729" t="s">
        <v>170</v>
      </c>
      <c r="H6729" t="s">
        <v>171</v>
      </c>
      <c r="I6729" t="s">
        <v>27</v>
      </c>
      <c r="J6729" t="s">
        <v>28</v>
      </c>
      <c r="K6729" t="s">
        <v>47</v>
      </c>
      <c r="L6729" t="s">
        <v>48</v>
      </c>
      <c r="M6729" t="s">
        <v>172</v>
      </c>
      <c r="N6729">
        <v>521</v>
      </c>
      <c r="O6729" s="14">
        <v>0.93663917761296001</v>
      </c>
      <c r="P6729" s="14">
        <v>0.43422180437482899</v>
      </c>
      <c r="Q6729" t="str">
        <f t="shared" si="210"/>
        <v>&lt;01</v>
      </c>
      <c r="R6729" t="str">
        <f t="shared" si="211"/>
        <v>[ul0y9diGujK]|&lt;01|Male|PLHIV_Residents.T2|CY2025Q3</v>
      </c>
    </row>
    <row r="6730" spans="4:18" x14ac:dyDescent="0.2">
      <c r="D6730" t="s">
        <v>107</v>
      </c>
      <c r="E6730" t="s">
        <v>108</v>
      </c>
      <c r="F6730" t="s">
        <v>109</v>
      </c>
      <c r="G6730" t="s">
        <v>170</v>
      </c>
      <c r="H6730" t="s">
        <v>171</v>
      </c>
      <c r="I6730" t="s">
        <v>32</v>
      </c>
      <c r="J6730" t="s">
        <v>33</v>
      </c>
      <c r="K6730" t="s">
        <v>47</v>
      </c>
      <c r="L6730" t="s">
        <v>48</v>
      </c>
      <c r="M6730" t="s">
        <v>172</v>
      </c>
      <c r="N6730">
        <v>1523</v>
      </c>
      <c r="O6730" s="14">
        <v>0.55181791796349</v>
      </c>
      <c r="P6730" s="14">
        <v>0.43422180437482899</v>
      </c>
      <c r="Q6730" t="str">
        <f t="shared" si="210"/>
        <v>01-09</v>
      </c>
      <c r="R6730" t="str">
        <f t="shared" si="211"/>
        <v>[ul0y9diGujK]|01-09|Male|PLHIV_Residents.T2|CY2025Q3</v>
      </c>
    </row>
    <row r="6731" spans="4:18" x14ac:dyDescent="0.2">
      <c r="D6731" t="s">
        <v>107</v>
      </c>
      <c r="E6731" t="s">
        <v>108</v>
      </c>
      <c r="F6731" t="s">
        <v>109</v>
      </c>
      <c r="G6731" t="s">
        <v>170</v>
      </c>
      <c r="H6731" t="s">
        <v>171</v>
      </c>
      <c r="I6731" t="s">
        <v>35</v>
      </c>
      <c r="J6731" t="s">
        <v>36</v>
      </c>
      <c r="K6731" t="s">
        <v>47</v>
      </c>
      <c r="L6731" t="s">
        <v>48</v>
      </c>
      <c r="M6731" t="s">
        <v>172</v>
      </c>
      <c r="N6731">
        <v>1332</v>
      </c>
      <c r="O6731" s="14">
        <v>9.6008188789710402E-2</v>
      </c>
      <c r="P6731" s="14">
        <v>0.43422180437482899</v>
      </c>
      <c r="Q6731" t="str">
        <f t="shared" si="210"/>
        <v>10-14</v>
      </c>
      <c r="R6731" t="str">
        <f t="shared" si="211"/>
        <v>[ul0y9diGujK]|10-14|Male|PLHIV_Residents.T2|CY2025Q3</v>
      </c>
    </row>
    <row r="6732" spans="4:18" x14ac:dyDescent="0.2">
      <c r="D6732" t="s">
        <v>107</v>
      </c>
      <c r="E6732" t="s">
        <v>108</v>
      </c>
      <c r="F6732" t="s">
        <v>109</v>
      </c>
      <c r="G6732" t="s">
        <v>170</v>
      </c>
      <c r="H6732" t="s">
        <v>171</v>
      </c>
      <c r="I6732" t="s">
        <v>37</v>
      </c>
      <c r="J6732" t="s">
        <v>38</v>
      </c>
      <c r="K6732" t="s">
        <v>47</v>
      </c>
      <c r="L6732" t="s">
        <v>48</v>
      </c>
      <c r="M6732" t="s">
        <v>172</v>
      </c>
      <c r="N6732">
        <v>1516</v>
      </c>
      <c r="O6732" s="14">
        <v>0.86401665792800497</v>
      </c>
      <c r="P6732" s="14">
        <v>0.43422180437482899</v>
      </c>
      <c r="Q6732" t="str">
        <f t="shared" si="210"/>
        <v>15-24</v>
      </c>
      <c r="R6732" t="str">
        <f t="shared" si="211"/>
        <v>[ul0y9diGujK]|15-24|Male|PLHIV_Residents.T2|CY2025Q3</v>
      </c>
    </row>
    <row r="6733" spans="4:18" x14ac:dyDescent="0.2">
      <c r="D6733" t="s">
        <v>107</v>
      </c>
      <c r="E6733" t="s">
        <v>108</v>
      </c>
      <c r="F6733" t="s">
        <v>109</v>
      </c>
      <c r="G6733" t="s">
        <v>170</v>
      </c>
      <c r="H6733" t="s">
        <v>171</v>
      </c>
      <c r="I6733" t="s">
        <v>40</v>
      </c>
      <c r="J6733" t="s">
        <v>41</v>
      </c>
      <c r="K6733" t="s">
        <v>47</v>
      </c>
      <c r="L6733" t="s">
        <v>48</v>
      </c>
      <c r="M6733" t="s">
        <v>172</v>
      </c>
      <c r="N6733">
        <v>1668</v>
      </c>
      <c r="O6733" s="14">
        <v>0.67884837952442501</v>
      </c>
      <c r="P6733" s="14">
        <v>0.43422180437482899</v>
      </c>
      <c r="Q6733" t="str">
        <f t="shared" si="210"/>
        <v>25-34</v>
      </c>
      <c r="R6733" t="str">
        <f t="shared" si="211"/>
        <v>[ul0y9diGujK]|25-34|Male|PLHIV_Residents.T2|CY2025Q3</v>
      </c>
    </row>
    <row r="6734" spans="4:18" x14ac:dyDescent="0.2">
      <c r="D6734" t="s">
        <v>107</v>
      </c>
      <c r="E6734" t="s">
        <v>108</v>
      </c>
      <c r="F6734" t="s">
        <v>109</v>
      </c>
      <c r="G6734" t="s">
        <v>170</v>
      </c>
      <c r="H6734" t="s">
        <v>171</v>
      </c>
      <c r="I6734" t="s">
        <v>42</v>
      </c>
      <c r="J6734" t="s">
        <v>43</v>
      </c>
      <c r="K6734" t="s">
        <v>47</v>
      </c>
      <c r="L6734" t="s">
        <v>48</v>
      </c>
      <c r="M6734" t="s">
        <v>172</v>
      </c>
      <c r="N6734">
        <v>1282</v>
      </c>
      <c r="O6734" s="14">
        <v>0.71707703499123499</v>
      </c>
      <c r="P6734" s="14">
        <v>0.43422180437482899</v>
      </c>
      <c r="Q6734" t="str">
        <f t="shared" si="210"/>
        <v>35-49</v>
      </c>
      <c r="R6734" t="str">
        <f t="shared" si="211"/>
        <v>[ul0y9diGujK]|35-49|Male|PLHIV_Residents.T2|CY2025Q3</v>
      </c>
    </row>
    <row r="6735" spans="4:18" x14ac:dyDescent="0.2">
      <c r="D6735" t="s">
        <v>107</v>
      </c>
      <c r="E6735" t="s">
        <v>108</v>
      </c>
      <c r="F6735" t="s">
        <v>109</v>
      </c>
      <c r="G6735" t="s">
        <v>170</v>
      </c>
      <c r="H6735" t="s">
        <v>171</v>
      </c>
      <c r="I6735" t="s">
        <v>44</v>
      </c>
      <c r="J6735" t="s">
        <v>45</v>
      </c>
      <c r="K6735" t="s">
        <v>47</v>
      </c>
      <c r="L6735" t="s">
        <v>48</v>
      </c>
      <c r="M6735" t="s">
        <v>172</v>
      </c>
      <c r="N6735">
        <v>639</v>
      </c>
      <c r="O6735" s="14">
        <v>0.33708166982978599</v>
      </c>
      <c r="P6735" s="14">
        <v>0.43422180437482899</v>
      </c>
      <c r="Q6735" t="str">
        <f t="shared" si="210"/>
        <v>50+</v>
      </c>
      <c r="R6735" t="str">
        <f t="shared" si="211"/>
        <v>[ul0y9diGujK]|50+|Male|PLHIV_Residents.T2|CY2025Q3</v>
      </c>
    </row>
    <row r="6736" spans="4:18" x14ac:dyDescent="0.2">
      <c r="D6736" t="s">
        <v>110</v>
      </c>
      <c r="E6736" t="s">
        <v>111</v>
      </c>
      <c r="F6736" t="s">
        <v>112</v>
      </c>
      <c r="G6736" t="s">
        <v>170</v>
      </c>
      <c r="H6736" t="s">
        <v>171</v>
      </c>
      <c r="I6736" t="s">
        <v>27</v>
      </c>
      <c r="J6736" t="s">
        <v>28</v>
      </c>
      <c r="K6736" t="s">
        <v>29</v>
      </c>
      <c r="L6736" t="s">
        <v>30</v>
      </c>
      <c r="M6736" t="s">
        <v>172</v>
      </c>
      <c r="N6736">
        <v>1092</v>
      </c>
      <c r="O6736" s="14">
        <v>0.62549263238906905</v>
      </c>
      <c r="P6736" s="14">
        <v>0.33776879496872397</v>
      </c>
      <c r="Q6736" t="str">
        <f t="shared" si="210"/>
        <v>&lt;01</v>
      </c>
      <c r="R6736" t="str">
        <f t="shared" si="211"/>
        <v>[U8c0so51kT6]|&lt;01|Female|PLHIV_Residents.T2|CY2025Q3</v>
      </c>
    </row>
    <row r="6737" spans="4:18" x14ac:dyDescent="0.2">
      <c r="D6737" t="s">
        <v>110</v>
      </c>
      <c r="E6737" t="s">
        <v>111</v>
      </c>
      <c r="F6737" t="s">
        <v>112</v>
      </c>
      <c r="G6737" t="s">
        <v>170</v>
      </c>
      <c r="H6737" t="s">
        <v>171</v>
      </c>
      <c r="I6737" t="s">
        <v>32</v>
      </c>
      <c r="J6737" t="s">
        <v>33</v>
      </c>
      <c r="K6737" t="s">
        <v>29</v>
      </c>
      <c r="L6737" t="s">
        <v>30</v>
      </c>
      <c r="M6737" t="s">
        <v>172</v>
      </c>
      <c r="N6737">
        <v>1737</v>
      </c>
      <c r="O6737" s="14">
        <v>0.76425496349111199</v>
      </c>
      <c r="P6737" s="14">
        <v>0.33776879496872397</v>
      </c>
      <c r="Q6737" t="str">
        <f t="shared" si="210"/>
        <v>01-09</v>
      </c>
      <c r="R6737" t="str">
        <f t="shared" si="211"/>
        <v>[U8c0so51kT6]|01-09|Female|PLHIV_Residents.T2|CY2025Q3</v>
      </c>
    </row>
    <row r="6738" spans="4:18" x14ac:dyDescent="0.2">
      <c r="D6738" t="s">
        <v>110</v>
      </c>
      <c r="E6738" t="s">
        <v>111</v>
      </c>
      <c r="F6738" t="s">
        <v>112</v>
      </c>
      <c r="G6738" t="s">
        <v>170</v>
      </c>
      <c r="H6738" t="s">
        <v>171</v>
      </c>
      <c r="I6738" t="s">
        <v>35</v>
      </c>
      <c r="J6738" t="s">
        <v>36</v>
      </c>
      <c r="K6738" t="s">
        <v>29</v>
      </c>
      <c r="L6738" t="s">
        <v>30</v>
      </c>
      <c r="M6738" t="s">
        <v>172</v>
      </c>
      <c r="N6738">
        <v>972</v>
      </c>
      <c r="O6738" s="14">
        <v>0.94506972841918502</v>
      </c>
      <c r="P6738" s="14">
        <v>0.33776879496872397</v>
      </c>
      <c r="Q6738" t="str">
        <f t="shared" si="210"/>
        <v>10-14</v>
      </c>
      <c r="R6738" t="str">
        <f t="shared" si="211"/>
        <v>[U8c0so51kT6]|10-14|Female|PLHIV_Residents.T2|CY2025Q3</v>
      </c>
    </row>
    <row r="6739" spans="4:18" x14ac:dyDescent="0.2">
      <c r="D6739" t="s">
        <v>110</v>
      </c>
      <c r="E6739" t="s">
        <v>111</v>
      </c>
      <c r="F6739" t="s">
        <v>112</v>
      </c>
      <c r="G6739" t="s">
        <v>170</v>
      </c>
      <c r="H6739" t="s">
        <v>171</v>
      </c>
      <c r="I6739" t="s">
        <v>37</v>
      </c>
      <c r="J6739" t="s">
        <v>38</v>
      </c>
      <c r="K6739" t="s">
        <v>29</v>
      </c>
      <c r="L6739" t="s">
        <v>30</v>
      </c>
      <c r="M6739" t="s">
        <v>172</v>
      </c>
      <c r="N6739">
        <v>1186</v>
      </c>
      <c r="O6739" s="14">
        <v>0.81244932929985203</v>
      </c>
      <c r="P6739" s="14">
        <v>0.33776879496872397</v>
      </c>
      <c r="Q6739" t="str">
        <f t="shared" si="210"/>
        <v>15-24</v>
      </c>
      <c r="R6739" t="str">
        <f t="shared" si="211"/>
        <v>[U8c0so51kT6]|15-24|Female|PLHIV_Residents.T2|CY2025Q3</v>
      </c>
    </row>
    <row r="6740" spans="4:18" x14ac:dyDescent="0.2">
      <c r="D6740" t="s">
        <v>110</v>
      </c>
      <c r="E6740" t="s">
        <v>111</v>
      </c>
      <c r="F6740" t="s">
        <v>112</v>
      </c>
      <c r="G6740" t="s">
        <v>170</v>
      </c>
      <c r="H6740" t="s">
        <v>171</v>
      </c>
      <c r="I6740" t="s">
        <v>40</v>
      </c>
      <c r="J6740" t="s">
        <v>41</v>
      </c>
      <c r="K6740" t="s">
        <v>29</v>
      </c>
      <c r="L6740" t="s">
        <v>30</v>
      </c>
      <c r="M6740" t="s">
        <v>172</v>
      </c>
      <c r="N6740">
        <v>1816</v>
      </c>
      <c r="O6740" s="14">
        <v>0.90767789422534395</v>
      </c>
      <c r="P6740" s="14">
        <v>0.33776879496872397</v>
      </c>
      <c r="Q6740" t="str">
        <f t="shared" si="210"/>
        <v>25-34</v>
      </c>
      <c r="R6740" t="str">
        <f t="shared" si="211"/>
        <v>[U8c0so51kT6]|25-34|Female|PLHIV_Residents.T2|CY2025Q3</v>
      </c>
    </row>
    <row r="6741" spans="4:18" x14ac:dyDescent="0.2">
      <c r="D6741" t="s">
        <v>110</v>
      </c>
      <c r="E6741" t="s">
        <v>111</v>
      </c>
      <c r="F6741" t="s">
        <v>112</v>
      </c>
      <c r="G6741" t="s">
        <v>170</v>
      </c>
      <c r="H6741" t="s">
        <v>171</v>
      </c>
      <c r="I6741" t="s">
        <v>42</v>
      </c>
      <c r="J6741" t="s">
        <v>43</v>
      </c>
      <c r="K6741" t="s">
        <v>29</v>
      </c>
      <c r="L6741" t="s">
        <v>30</v>
      </c>
      <c r="M6741" t="s">
        <v>172</v>
      </c>
      <c r="N6741">
        <v>568</v>
      </c>
      <c r="O6741" s="14">
        <v>0.61828382755629696</v>
      </c>
      <c r="P6741" s="14">
        <v>0.33776879496872397</v>
      </c>
      <c r="Q6741" t="str">
        <f t="shared" si="210"/>
        <v>35-49</v>
      </c>
      <c r="R6741" t="str">
        <f t="shared" si="211"/>
        <v>[U8c0so51kT6]|35-49|Female|PLHIV_Residents.T2|CY2025Q3</v>
      </c>
    </row>
    <row r="6742" spans="4:18" x14ac:dyDescent="0.2">
      <c r="D6742" t="s">
        <v>110</v>
      </c>
      <c r="E6742" t="s">
        <v>111</v>
      </c>
      <c r="F6742" t="s">
        <v>112</v>
      </c>
      <c r="G6742" t="s">
        <v>170</v>
      </c>
      <c r="H6742" t="s">
        <v>171</v>
      </c>
      <c r="I6742" t="s">
        <v>44</v>
      </c>
      <c r="J6742" t="s">
        <v>45</v>
      </c>
      <c r="K6742" t="s">
        <v>29</v>
      </c>
      <c r="L6742" t="s">
        <v>30</v>
      </c>
      <c r="M6742" t="s">
        <v>172</v>
      </c>
      <c r="N6742">
        <v>1862</v>
      </c>
      <c r="O6742" s="14">
        <v>0.46875566197559199</v>
      </c>
      <c r="P6742" s="14">
        <v>0.33776879496872397</v>
      </c>
      <c r="Q6742" t="str">
        <f t="shared" si="210"/>
        <v>50+</v>
      </c>
      <c r="R6742" t="str">
        <f t="shared" si="211"/>
        <v>[U8c0so51kT6]|50+|Female|PLHIV_Residents.T2|CY2025Q3</v>
      </c>
    </row>
    <row r="6743" spans="4:18" x14ac:dyDescent="0.2">
      <c r="D6743" t="s">
        <v>110</v>
      </c>
      <c r="E6743" t="s">
        <v>111</v>
      </c>
      <c r="F6743" t="s">
        <v>112</v>
      </c>
      <c r="G6743" t="s">
        <v>170</v>
      </c>
      <c r="H6743" t="s">
        <v>171</v>
      </c>
      <c r="I6743" t="s">
        <v>27</v>
      </c>
      <c r="J6743" t="s">
        <v>28</v>
      </c>
      <c r="K6743" t="s">
        <v>47</v>
      </c>
      <c r="L6743" t="s">
        <v>48</v>
      </c>
      <c r="M6743" t="s">
        <v>172</v>
      </c>
      <c r="N6743">
        <v>1283</v>
      </c>
      <c r="O6743" s="14">
        <v>0.80793973617255699</v>
      </c>
      <c r="P6743" s="14">
        <v>0.33776879496872397</v>
      </c>
      <c r="Q6743" t="str">
        <f t="shared" si="210"/>
        <v>&lt;01</v>
      </c>
      <c r="R6743" t="str">
        <f t="shared" si="211"/>
        <v>[U8c0so51kT6]|&lt;01|Male|PLHIV_Residents.T2|CY2025Q3</v>
      </c>
    </row>
    <row r="6744" spans="4:18" x14ac:dyDescent="0.2">
      <c r="D6744" t="s">
        <v>110</v>
      </c>
      <c r="E6744" t="s">
        <v>111</v>
      </c>
      <c r="F6744" t="s">
        <v>112</v>
      </c>
      <c r="G6744" t="s">
        <v>170</v>
      </c>
      <c r="H6744" t="s">
        <v>171</v>
      </c>
      <c r="I6744" t="s">
        <v>32</v>
      </c>
      <c r="J6744" t="s">
        <v>33</v>
      </c>
      <c r="K6744" t="s">
        <v>47</v>
      </c>
      <c r="L6744" t="s">
        <v>48</v>
      </c>
      <c r="M6744" t="s">
        <v>172</v>
      </c>
      <c r="N6744">
        <v>1611</v>
      </c>
      <c r="O6744" s="14">
        <v>0.743138314690441</v>
      </c>
      <c r="P6744" s="14">
        <v>0.33776879496872397</v>
      </c>
      <c r="Q6744" t="str">
        <f t="shared" si="210"/>
        <v>01-09</v>
      </c>
      <c r="R6744" t="str">
        <f t="shared" si="211"/>
        <v>[U8c0so51kT6]|01-09|Male|PLHIV_Residents.T2|CY2025Q3</v>
      </c>
    </row>
    <row r="6745" spans="4:18" x14ac:dyDescent="0.2">
      <c r="D6745" t="s">
        <v>110</v>
      </c>
      <c r="E6745" t="s">
        <v>111</v>
      </c>
      <c r="F6745" t="s">
        <v>112</v>
      </c>
      <c r="G6745" t="s">
        <v>170</v>
      </c>
      <c r="H6745" t="s">
        <v>171</v>
      </c>
      <c r="I6745" t="s">
        <v>35</v>
      </c>
      <c r="J6745" t="s">
        <v>36</v>
      </c>
      <c r="K6745" t="s">
        <v>47</v>
      </c>
      <c r="L6745" t="s">
        <v>48</v>
      </c>
      <c r="M6745" t="s">
        <v>172</v>
      </c>
      <c r="N6745">
        <v>607</v>
      </c>
      <c r="O6745" s="14">
        <v>0.99947015545330897</v>
      </c>
      <c r="P6745" s="14">
        <v>0.33776879496872397</v>
      </c>
      <c r="Q6745" t="str">
        <f t="shared" si="210"/>
        <v>10-14</v>
      </c>
      <c r="R6745" t="str">
        <f t="shared" si="211"/>
        <v>[U8c0so51kT6]|10-14|Male|PLHIV_Residents.T2|CY2025Q3</v>
      </c>
    </row>
    <row r="6746" spans="4:18" x14ac:dyDescent="0.2">
      <c r="D6746" t="s">
        <v>110</v>
      </c>
      <c r="E6746" t="s">
        <v>111</v>
      </c>
      <c r="F6746" t="s">
        <v>112</v>
      </c>
      <c r="G6746" t="s">
        <v>170</v>
      </c>
      <c r="H6746" t="s">
        <v>171</v>
      </c>
      <c r="I6746" t="s">
        <v>37</v>
      </c>
      <c r="J6746" t="s">
        <v>38</v>
      </c>
      <c r="K6746" t="s">
        <v>47</v>
      </c>
      <c r="L6746" t="s">
        <v>48</v>
      </c>
      <c r="M6746" t="s">
        <v>172</v>
      </c>
      <c r="N6746">
        <v>1465</v>
      </c>
      <c r="O6746" s="14">
        <v>0.21934903389774299</v>
      </c>
      <c r="P6746" s="14">
        <v>0.33776879496872397</v>
      </c>
      <c r="Q6746" t="str">
        <f t="shared" si="210"/>
        <v>15-24</v>
      </c>
      <c r="R6746" t="str">
        <f t="shared" si="211"/>
        <v>[U8c0so51kT6]|15-24|Male|PLHIV_Residents.T2|CY2025Q3</v>
      </c>
    </row>
    <row r="6747" spans="4:18" x14ac:dyDescent="0.2">
      <c r="D6747" t="s">
        <v>110</v>
      </c>
      <c r="E6747" t="s">
        <v>111</v>
      </c>
      <c r="F6747" t="s">
        <v>112</v>
      </c>
      <c r="G6747" t="s">
        <v>170</v>
      </c>
      <c r="H6747" t="s">
        <v>171</v>
      </c>
      <c r="I6747" t="s">
        <v>40</v>
      </c>
      <c r="J6747" t="s">
        <v>41</v>
      </c>
      <c r="K6747" t="s">
        <v>47</v>
      </c>
      <c r="L6747" t="s">
        <v>48</v>
      </c>
      <c r="M6747" t="s">
        <v>172</v>
      </c>
      <c r="N6747">
        <v>1240</v>
      </c>
      <c r="O6747" s="14">
        <v>0.64531609020195901</v>
      </c>
      <c r="P6747" s="14">
        <v>0.33776879496872397</v>
      </c>
      <c r="Q6747" t="str">
        <f t="shared" si="210"/>
        <v>25-34</v>
      </c>
      <c r="R6747" t="str">
        <f t="shared" si="211"/>
        <v>[U8c0so51kT6]|25-34|Male|PLHIV_Residents.T2|CY2025Q3</v>
      </c>
    </row>
    <row r="6748" spans="4:18" x14ac:dyDescent="0.2">
      <c r="D6748" t="s">
        <v>110</v>
      </c>
      <c r="E6748" t="s">
        <v>111</v>
      </c>
      <c r="F6748" t="s">
        <v>112</v>
      </c>
      <c r="G6748" t="s">
        <v>170</v>
      </c>
      <c r="H6748" t="s">
        <v>171</v>
      </c>
      <c r="I6748" t="s">
        <v>42</v>
      </c>
      <c r="J6748" t="s">
        <v>43</v>
      </c>
      <c r="K6748" t="s">
        <v>47</v>
      </c>
      <c r="L6748" t="s">
        <v>48</v>
      </c>
      <c r="M6748" t="s">
        <v>172</v>
      </c>
      <c r="N6748">
        <v>1692</v>
      </c>
      <c r="O6748" s="14">
        <v>0.98302617785520896</v>
      </c>
      <c r="P6748" s="14">
        <v>0.33776879496872397</v>
      </c>
      <c r="Q6748" t="str">
        <f t="shared" si="210"/>
        <v>35-49</v>
      </c>
      <c r="R6748" t="str">
        <f t="shared" si="211"/>
        <v>[U8c0so51kT6]|35-49|Male|PLHIV_Residents.T2|CY2025Q3</v>
      </c>
    </row>
    <row r="6749" spans="4:18" x14ac:dyDescent="0.2">
      <c r="D6749" t="s">
        <v>110</v>
      </c>
      <c r="E6749" t="s">
        <v>111</v>
      </c>
      <c r="F6749" t="s">
        <v>112</v>
      </c>
      <c r="G6749" t="s">
        <v>170</v>
      </c>
      <c r="H6749" t="s">
        <v>171</v>
      </c>
      <c r="I6749" t="s">
        <v>44</v>
      </c>
      <c r="J6749" t="s">
        <v>45</v>
      </c>
      <c r="K6749" t="s">
        <v>47</v>
      </c>
      <c r="L6749" t="s">
        <v>48</v>
      </c>
      <c r="M6749" t="s">
        <v>172</v>
      </c>
      <c r="N6749">
        <v>1632</v>
      </c>
      <c r="O6749" s="14">
        <v>0.63030800502747297</v>
      </c>
      <c r="P6749" s="14">
        <v>0.33776879496872397</v>
      </c>
      <c r="Q6749" t="str">
        <f t="shared" si="210"/>
        <v>50+</v>
      </c>
      <c r="R6749" t="str">
        <f t="shared" si="211"/>
        <v>[U8c0so51kT6]|50+|Male|PLHIV_Residents.T2|CY2025Q3</v>
      </c>
    </row>
    <row r="6750" spans="4:18" x14ac:dyDescent="0.2">
      <c r="D6750" t="s">
        <v>113</v>
      </c>
      <c r="E6750" t="s">
        <v>114</v>
      </c>
      <c r="F6750" t="s">
        <v>115</v>
      </c>
      <c r="G6750" t="s">
        <v>170</v>
      </c>
      <c r="H6750" t="s">
        <v>171</v>
      </c>
      <c r="I6750" t="s">
        <v>27</v>
      </c>
      <c r="J6750" t="s">
        <v>28</v>
      </c>
      <c r="K6750" t="s">
        <v>29</v>
      </c>
      <c r="L6750" t="s">
        <v>30</v>
      </c>
      <c r="M6750" t="s">
        <v>172</v>
      </c>
      <c r="N6750">
        <v>1355</v>
      </c>
      <c r="O6750" s="14">
        <v>0.106194728054106</v>
      </c>
      <c r="P6750" s="14">
        <v>0.29855980910360802</v>
      </c>
      <c r="Q6750" t="str">
        <f t="shared" si="210"/>
        <v>&lt;01</v>
      </c>
      <c r="R6750" t="str">
        <f t="shared" si="211"/>
        <v>[rpw540fmNUz]|&lt;01|Female|PLHIV_Residents.T2|CY2025Q3</v>
      </c>
    </row>
    <row r="6751" spans="4:18" x14ac:dyDescent="0.2">
      <c r="D6751" t="s">
        <v>113</v>
      </c>
      <c r="E6751" t="s">
        <v>114</v>
      </c>
      <c r="F6751" t="s">
        <v>115</v>
      </c>
      <c r="G6751" t="s">
        <v>170</v>
      </c>
      <c r="H6751" t="s">
        <v>171</v>
      </c>
      <c r="I6751" t="s">
        <v>32</v>
      </c>
      <c r="J6751" t="s">
        <v>33</v>
      </c>
      <c r="K6751" t="s">
        <v>29</v>
      </c>
      <c r="L6751" t="s">
        <v>30</v>
      </c>
      <c r="M6751" t="s">
        <v>172</v>
      </c>
      <c r="N6751">
        <v>1913</v>
      </c>
      <c r="O6751" s="14">
        <v>0.62261023931205295</v>
      </c>
      <c r="P6751" s="14">
        <v>0.29855980910360802</v>
      </c>
      <c r="Q6751" t="str">
        <f t="shared" si="210"/>
        <v>01-09</v>
      </c>
      <c r="R6751" t="str">
        <f t="shared" si="211"/>
        <v>[rpw540fmNUz]|01-09|Female|PLHIV_Residents.T2|CY2025Q3</v>
      </c>
    </row>
    <row r="6752" spans="4:18" x14ac:dyDescent="0.2">
      <c r="D6752" t="s">
        <v>113</v>
      </c>
      <c r="E6752" t="s">
        <v>114</v>
      </c>
      <c r="F6752" t="s">
        <v>115</v>
      </c>
      <c r="G6752" t="s">
        <v>170</v>
      </c>
      <c r="H6752" t="s">
        <v>171</v>
      </c>
      <c r="I6752" t="s">
        <v>35</v>
      </c>
      <c r="J6752" t="s">
        <v>36</v>
      </c>
      <c r="K6752" t="s">
        <v>29</v>
      </c>
      <c r="L6752" t="s">
        <v>30</v>
      </c>
      <c r="M6752" t="s">
        <v>172</v>
      </c>
      <c r="N6752">
        <v>1844</v>
      </c>
      <c r="O6752" s="14">
        <v>0.70732632302679099</v>
      </c>
      <c r="P6752" s="14">
        <v>0.29855980910360802</v>
      </c>
      <c r="Q6752" t="str">
        <f t="shared" si="210"/>
        <v>10-14</v>
      </c>
      <c r="R6752" t="str">
        <f t="shared" si="211"/>
        <v>[rpw540fmNUz]|10-14|Female|PLHIV_Residents.T2|CY2025Q3</v>
      </c>
    </row>
    <row r="6753" spans="4:18" x14ac:dyDescent="0.2">
      <c r="D6753" t="s">
        <v>113</v>
      </c>
      <c r="E6753" t="s">
        <v>114</v>
      </c>
      <c r="F6753" t="s">
        <v>115</v>
      </c>
      <c r="G6753" t="s">
        <v>170</v>
      </c>
      <c r="H6753" t="s">
        <v>171</v>
      </c>
      <c r="I6753" t="s">
        <v>37</v>
      </c>
      <c r="J6753" t="s">
        <v>38</v>
      </c>
      <c r="K6753" t="s">
        <v>29</v>
      </c>
      <c r="L6753" t="s">
        <v>30</v>
      </c>
      <c r="M6753" t="s">
        <v>172</v>
      </c>
      <c r="N6753">
        <v>860</v>
      </c>
      <c r="O6753" s="14">
        <v>0.43855243246071002</v>
      </c>
      <c r="P6753" s="14">
        <v>0.29855980910360802</v>
      </c>
      <c r="Q6753" t="str">
        <f t="shared" si="210"/>
        <v>15-24</v>
      </c>
      <c r="R6753" t="str">
        <f t="shared" si="211"/>
        <v>[rpw540fmNUz]|15-24|Female|PLHIV_Residents.T2|CY2025Q3</v>
      </c>
    </row>
    <row r="6754" spans="4:18" x14ac:dyDescent="0.2">
      <c r="D6754" t="s">
        <v>113</v>
      </c>
      <c r="E6754" t="s">
        <v>114</v>
      </c>
      <c r="F6754" t="s">
        <v>115</v>
      </c>
      <c r="G6754" t="s">
        <v>170</v>
      </c>
      <c r="H6754" t="s">
        <v>171</v>
      </c>
      <c r="I6754" t="s">
        <v>40</v>
      </c>
      <c r="J6754" t="s">
        <v>41</v>
      </c>
      <c r="K6754" t="s">
        <v>29</v>
      </c>
      <c r="L6754" t="s">
        <v>30</v>
      </c>
      <c r="M6754" t="s">
        <v>172</v>
      </c>
      <c r="N6754">
        <v>964</v>
      </c>
      <c r="O6754" s="14">
        <v>0.25597698567435101</v>
      </c>
      <c r="P6754" s="14">
        <v>0.29855980910360802</v>
      </c>
      <c r="Q6754" t="str">
        <f t="shared" si="210"/>
        <v>25-34</v>
      </c>
      <c r="R6754" t="str">
        <f t="shared" si="211"/>
        <v>[rpw540fmNUz]|25-34|Female|PLHIV_Residents.T2|CY2025Q3</v>
      </c>
    </row>
    <row r="6755" spans="4:18" x14ac:dyDescent="0.2">
      <c r="D6755" t="s">
        <v>113</v>
      </c>
      <c r="E6755" t="s">
        <v>114</v>
      </c>
      <c r="F6755" t="s">
        <v>115</v>
      </c>
      <c r="G6755" t="s">
        <v>170</v>
      </c>
      <c r="H6755" t="s">
        <v>171</v>
      </c>
      <c r="I6755" t="s">
        <v>42</v>
      </c>
      <c r="J6755" t="s">
        <v>43</v>
      </c>
      <c r="K6755" t="s">
        <v>29</v>
      </c>
      <c r="L6755" t="s">
        <v>30</v>
      </c>
      <c r="M6755" t="s">
        <v>172</v>
      </c>
      <c r="N6755">
        <v>1429</v>
      </c>
      <c r="O6755" s="14">
        <v>0.498692146968096</v>
      </c>
      <c r="P6755" s="14">
        <v>0.29855980910360802</v>
      </c>
      <c r="Q6755" t="str">
        <f t="shared" si="210"/>
        <v>35-49</v>
      </c>
      <c r="R6755" t="str">
        <f t="shared" si="211"/>
        <v>[rpw540fmNUz]|35-49|Female|PLHIV_Residents.T2|CY2025Q3</v>
      </c>
    </row>
    <row r="6756" spans="4:18" x14ac:dyDescent="0.2">
      <c r="D6756" t="s">
        <v>113</v>
      </c>
      <c r="E6756" t="s">
        <v>114</v>
      </c>
      <c r="F6756" t="s">
        <v>115</v>
      </c>
      <c r="G6756" t="s">
        <v>170</v>
      </c>
      <c r="H6756" t="s">
        <v>171</v>
      </c>
      <c r="I6756" t="s">
        <v>44</v>
      </c>
      <c r="J6756" t="s">
        <v>45</v>
      </c>
      <c r="K6756" t="s">
        <v>29</v>
      </c>
      <c r="L6756" t="s">
        <v>30</v>
      </c>
      <c r="M6756" t="s">
        <v>172</v>
      </c>
      <c r="N6756">
        <v>1291</v>
      </c>
      <c r="O6756" s="14">
        <v>0.71655497723258998</v>
      </c>
      <c r="P6756" s="14">
        <v>0.29855980910360802</v>
      </c>
      <c r="Q6756" t="str">
        <f t="shared" si="210"/>
        <v>50+</v>
      </c>
      <c r="R6756" t="str">
        <f t="shared" si="211"/>
        <v>[rpw540fmNUz]|50+|Female|PLHIV_Residents.T2|CY2025Q3</v>
      </c>
    </row>
    <row r="6757" spans="4:18" x14ac:dyDescent="0.2">
      <c r="D6757" t="s">
        <v>113</v>
      </c>
      <c r="E6757" t="s">
        <v>114</v>
      </c>
      <c r="F6757" t="s">
        <v>115</v>
      </c>
      <c r="G6757" t="s">
        <v>170</v>
      </c>
      <c r="H6757" t="s">
        <v>171</v>
      </c>
      <c r="I6757" t="s">
        <v>27</v>
      </c>
      <c r="J6757" t="s">
        <v>28</v>
      </c>
      <c r="K6757" t="s">
        <v>47</v>
      </c>
      <c r="L6757" t="s">
        <v>48</v>
      </c>
      <c r="M6757" t="s">
        <v>172</v>
      </c>
      <c r="N6757">
        <v>1504</v>
      </c>
      <c r="O6757" s="14">
        <v>0.18591224658302999</v>
      </c>
      <c r="P6757" s="14">
        <v>0.29855980910360802</v>
      </c>
      <c r="Q6757" t="str">
        <f t="shared" si="210"/>
        <v>&lt;01</v>
      </c>
      <c r="R6757" t="str">
        <f t="shared" si="211"/>
        <v>[rpw540fmNUz]|&lt;01|Male|PLHIV_Residents.T2|CY2025Q3</v>
      </c>
    </row>
    <row r="6758" spans="4:18" x14ac:dyDescent="0.2">
      <c r="D6758" t="s">
        <v>113</v>
      </c>
      <c r="E6758" t="s">
        <v>114</v>
      </c>
      <c r="F6758" t="s">
        <v>115</v>
      </c>
      <c r="G6758" t="s">
        <v>170</v>
      </c>
      <c r="H6758" t="s">
        <v>171</v>
      </c>
      <c r="I6758" t="s">
        <v>32</v>
      </c>
      <c r="J6758" t="s">
        <v>33</v>
      </c>
      <c r="K6758" t="s">
        <v>47</v>
      </c>
      <c r="L6758" t="s">
        <v>48</v>
      </c>
      <c r="M6758" t="s">
        <v>172</v>
      </c>
      <c r="N6758">
        <v>1990</v>
      </c>
      <c r="O6758" s="14">
        <v>0.96888117399066698</v>
      </c>
      <c r="P6758" s="14">
        <v>0.29855980910360802</v>
      </c>
      <c r="Q6758" t="str">
        <f t="shared" si="210"/>
        <v>01-09</v>
      </c>
      <c r="R6758" t="str">
        <f t="shared" si="211"/>
        <v>[rpw540fmNUz]|01-09|Male|PLHIV_Residents.T2|CY2025Q3</v>
      </c>
    </row>
    <row r="6759" spans="4:18" x14ac:dyDescent="0.2">
      <c r="D6759" t="s">
        <v>113</v>
      </c>
      <c r="E6759" t="s">
        <v>114</v>
      </c>
      <c r="F6759" t="s">
        <v>115</v>
      </c>
      <c r="G6759" t="s">
        <v>170</v>
      </c>
      <c r="H6759" t="s">
        <v>171</v>
      </c>
      <c r="I6759" t="s">
        <v>35</v>
      </c>
      <c r="J6759" t="s">
        <v>36</v>
      </c>
      <c r="K6759" t="s">
        <v>47</v>
      </c>
      <c r="L6759" t="s">
        <v>48</v>
      </c>
      <c r="M6759" t="s">
        <v>172</v>
      </c>
      <c r="N6759">
        <v>509</v>
      </c>
      <c r="O6759" s="14">
        <v>0.390244510024786</v>
      </c>
      <c r="P6759" s="14">
        <v>0.29855980910360802</v>
      </c>
      <c r="Q6759" t="str">
        <f t="shared" si="210"/>
        <v>10-14</v>
      </c>
      <c r="R6759" t="str">
        <f t="shared" si="211"/>
        <v>[rpw540fmNUz]|10-14|Male|PLHIV_Residents.T2|CY2025Q3</v>
      </c>
    </row>
    <row r="6760" spans="4:18" x14ac:dyDescent="0.2">
      <c r="D6760" t="s">
        <v>113</v>
      </c>
      <c r="E6760" t="s">
        <v>114</v>
      </c>
      <c r="F6760" t="s">
        <v>115</v>
      </c>
      <c r="G6760" t="s">
        <v>170</v>
      </c>
      <c r="H6760" t="s">
        <v>171</v>
      </c>
      <c r="I6760" t="s">
        <v>37</v>
      </c>
      <c r="J6760" t="s">
        <v>38</v>
      </c>
      <c r="K6760" t="s">
        <v>47</v>
      </c>
      <c r="L6760" t="s">
        <v>48</v>
      </c>
      <c r="M6760" t="s">
        <v>172</v>
      </c>
      <c r="N6760">
        <v>1489</v>
      </c>
      <c r="O6760" s="14">
        <v>0.61496967752464105</v>
      </c>
      <c r="P6760" s="14">
        <v>0.29855980910360802</v>
      </c>
      <c r="Q6760" t="str">
        <f t="shared" si="210"/>
        <v>15-24</v>
      </c>
      <c r="R6760" t="str">
        <f t="shared" si="211"/>
        <v>[rpw540fmNUz]|15-24|Male|PLHIV_Residents.T2|CY2025Q3</v>
      </c>
    </row>
    <row r="6761" spans="4:18" x14ac:dyDescent="0.2">
      <c r="D6761" t="s">
        <v>113</v>
      </c>
      <c r="E6761" t="s">
        <v>114</v>
      </c>
      <c r="F6761" t="s">
        <v>115</v>
      </c>
      <c r="G6761" t="s">
        <v>170</v>
      </c>
      <c r="H6761" t="s">
        <v>171</v>
      </c>
      <c r="I6761" t="s">
        <v>40</v>
      </c>
      <c r="J6761" t="s">
        <v>41</v>
      </c>
      <c r="K6761" t="s">
        <v>47</v>
      </c>
      <c r="L6761" t="s">
        <v>48</v>
      </c>
      <c r="M6761" t="s">
        <v>172</v>
      </c>
      <c r="N6761">
        <v>1730</v>
      </c>
      <c r="O6761" s="14">
        <v>0.35632991627790001</v>
      </c>
      <c r="P6761" s="14">
        <v>0.29855980910360802</v>
      </c>
      <c r="Q6761" t="str">
        <f t="shared" si="210"/>
        <v>25-34</v>
      </c>
      <c r="R6761" t="str">
        <f t="shared" si="211"/>
        <v>[rpw540fmNUz]|25-34|Male|PLHIV_Residents.T2|CY2025Q3</v>
      </c>
    </row>
    <row r="6762" spans="4:18" x14ac:dyDescent="0.2">
      <c r="D6762" t="s">
        <v>113</v>
      </c>
      <c r="E6762" t="s">
        <v>114</v>
      </c>
      <c r="F6762" t="s">
        <v>115</v>
      </c>
      <c r="G6762" t="s">
        <v>170</v>
      </c>
      <c r="H6762" t="s">
        <v>171</v>
      </c>
      <c r="I6762" t="s">
        <v>42</v>
      </c>
      <c r="J6762" t="s">
        <v>43</v>
      </c>
      <c r="K6762" t="s">
        <v>47</v>
      </c>
      <c r="L6762" t="s">
        <v>48</v>
      </c>
      <c r="M6762" t="s">
        <v>172</v>
      </c>
      <c r="N6762">
        <v>1109</v>
      </c>
      <c r="O6762" s="14">
        <v>0.200017888797447</v>
      </c>
      <c r="P6762" s="14">
        <v>0.29855980910360802</v>
      </c>
      <c r="Q6762" t="str">
        <f t="shared" si="210"/>
        <v>35-49</v>
      </c>
      <c r="R6762" t="str">
        <f t="shared" si="211"/>
        <v>[rpw540fmNUz]|35-49|Male|PLHIV_Residents.T2|CY2025Q3</v>
      </c>
    </row>
    <row r="6763" spans="4:18" x14ac:dyDescent="0.2">
      <c r="D6763" t="s">
        <v>113</v>
      </c>
      <c r="E6763" t="s">
        <v>114</v>
      </c>
      <c r="F6763" t="s">
        <v>115</v>
      </c>
      <c r="G6763" t="s">
        <v>170</v>
      </c>
      <c r="H6763" t="s">
        <v>171</v>
      </c>
      <c r="I6763" t="s">
        <v>44</v>
      </c>
      <c r="J6763" t="s">
        <v>45</v>
      </c>
      <c r="K6763" t="s">
        <v>47</v>
      </c>
      <c r="L6763" t="s">
        <v>48</v>
      </c>
      <c r="M6763" t="s">
        <v>172</v>
      </c>
      <c r="N6763">
        <v>1666</v>
      </c>
      <c r="O6763" s="14">
        <v>0.34975710511207603</v>
      </c>
      <c r="P6763" s="14">
        <v>0.29855980910360802</v>
      </c>
      <c r="Q6763" t="str">
        <f t="shared" si="210"/>
        <v>50+</v>
      </c>
      <c r="R6763" t="str">
        <f t="shared" si="211"/>
        <v>[rpw540fmNUz]|50+|Male|PLHIV_Residents.T2|CY2025Q3</v>
      </c>
    </row>
    <row r="6764" spans="4:18" x14ac:dyDescent="0.2">
      <c r="D6764" t="s">
        <v>116</v>
      </c>
      <c r="E6764" t="s">
        <v>117</v>
      </c>
      <c r="F6764" t="s">
        <v>118</v>
      </c>
      <c r="G6764" t="s">
        <v>170</v>
      </c>
      <c r="H6764" t="s">
        <v>171</v>
      </c>
      <c r="I6764" t="s">
        <v>27</v>
      </c>
      <c r="J6764" t="s">
        <v>28</v>
      </c>
      <c r="K6764" t="s">
        <v>29</v>
      </c>
      <c r="L6764" t="s">
        <v>30</v>
      </c>
      <c r="M6764" t="s">
        <v>172</v>
      </c>
      <c r="N6764">
        <v>1267</v>
      </c>
      <c r="O6764" s="14">
        <v>0.217650854028761</v>
      </c>
      <c r="P6764" s="14">
        <v>0.206259709550068</v>
      </c>
      <c r="Q6764" t="str">
        <f t="shared" si="210"/>
        <v>&lt;01</v>
      </c>
      <c r="R6764" t="str">
        <f t="shared" si="211"/>
        <v>[lPTyjLi4w3d]|&lt;01|Female|PLHIV_Residents.T2|CY2025Q3</v>
      </c>
    </row>
    <row r="6765" spans="4:18" x14ac:dyDescent="0.2">
      <c r="D6765" t="s">
        <v>116</v>
      </c>
      <c r="E6765" t="s">
        <v>117</v>
      </c>
      <c r="F6765" t="s">
        <v>118</v>
      </c>
      <c r="G6765" t="s">
        <v>170</v>
      </c>
      <c r="H6765" t="s">
        <v>171</v>
      </c>
      <c r="I6765" t="s">
        <v>32</v>
      </c>
      <c r="J6765" t="s">
        <v>33</v>
      </c>
      <c r="K6765" t="s">
        <v>29</v>
      </c>
      <c r="L6765" t="s">
        <v>30</v>
      </c>
      <c r="M6765" t="s">
        <v>172</v>
      </c>
      <c r="N6765">
        <v>1451</v>
      </c>
      <c r="O6765" s="14">
        <v>3.3562462544068701E-2</v>
      </c>
      <c r="P6765" s="14">
        <v>0.206259709550068</v>
      </c>
      <c r="Q6765" t="str">
        <f t="shared" si="210"/>
        <v>01-09</v>
      </c>
      <c r="R6765" t="str">
        <f t="shared" si="211"/>
        <v>[lPTyjLi4w3d]|01-09|Female|PLHIV_Residents.T2|CY2025Q3</v>
      </c>
    </row>
    <row r="6766" spans="4:18" x14ac:dyDescent="0.2">
      <c r="D6766" t="s">
        <v>116</v>
      </c>
      <c r="E6766" t="s">
        <v>117</v>
      </c>
      <c r="F6766" t="s">
        <v>118</v>
      </c>
      <c r="G6766" t="s">
        <v>170</v>
      </c>
      <c r="H6766" t="s">
        <v>171</v>
      </c>
      <c r="I6766" t="s">
        <v>35</v>
      </c>
      <c r="J6766" t="s">
        <v>36</v>
      </c>
      <c r="K6766" t="s">
        <v>29</v>
      </c>
      <c r="L6766" t="s">
        <v>30</v>
      </c>
      <c r="M6766" t="s">
        <v>172</v>
      </c>
      <c r="N6766">
        <v>1382</v>
      </c>
      <c r="O6766" s="14">
        <v>4.5301052276045098E-2</v>
      </c>
      <c r="P6766" s="14">
        <v>0.206259709550068</v>
      </c>
      <c r="Q6766" t="str">
        <f t="shared" si="210"/>
        <v>10-14</v>
      </c>
      <c r="R6766" t="str">
        <f t="shared" si="211"/>
        <v>[lPTyjLi4w3d]|10-14|Female|PLHIV_Residents.T2|CY2025Q3</v>
      </c>
    </row>
    <row r="6767" spans="4:18" x14ac:dyDescent="0.2">
      <c r="D6767" t="s">
        <v>116</v>
      </c>
      <c r="E6767" t="s">
        <v>117</v>
      </c>
      <c r="F6767" t="s">
        <v>118</v>
      </c>
      <c r="G6767" t="s">
        <v>170</v>
      </c>
      <c r="H6767" t="s">
        <v>171</v>
      </c>
      <c r="I6767" t="s">
        <v>37</v>
      </c>
      <c r="J6767" t="s">
        <v>38</v>
      </c>
      <c r="K6767" t="s">
        <v>29</v>
      </c>
      <c r="L6767" t="s">
        <v>30</v>
      </c>
      <c r="M6767" t="s">
        <v>172</v>
      </c>
      <c r="N6767">
        <v>1529</v>
      </c>
      <c r="O6767" s="14">
        <v>0.70295908953994501</v>
      </c>
      <c r="P6767" s="14">
        <v>0.206259709550068</v>
      </c>
      <c r="Q6767" t="str">
        <f t="shared" si="210"/>
        <v>15-24</v>
      </c>
      <c r="R6767" t="str">
        <f t="shared" si="211"/>
        <v>[lPTyjLi4w3d]|15-24|Female|PLHIV_Residents.T2|CY2025Q3</v>
      </c>
    </row>
    <row r="6768" spans="4:18" x14ac:dyDescent="0.2">
      <c r="D6768" t="s">
        <v>116</v>
      </c>
      <c r="E6768" t="s">
        <v>117</v>
      </c>
      <c r="F6768" t="s">
        <v>118</v>
      </c>
      <c r="G6768" t="s">
        <v>170</v>
      </c>
      <c r="H6768" t="s">
        <v>171</v>
      </c>
      <c r="I6768" t="s">
        <v>40</v>
      </c>
      <c r="J6768" t="s">
        <v>41</v>
      </c>
      <c r="K6768" t="s">
        <v>29</v>
      </c>
      <c r="L6768" t="s">
        <v>30</v>
      </c>
      <c r="M6768" t="s">
        <v>172</v>
      </c>
      <c r="N6768">
        <v>985</v>
      </c>
      <c r="O6768" s="14">
        <v>0.430828855372965</v>
      </c>
      <c r="P6768" s="14">
        <v>0.206259709550068</v>
      </c>
      <c r="Q6768" t="str">
        <f t="shared" si="210"/>
        <v>25-34</v>
      </c>
      <c r="R6768" t="str">
        <f t="shared" si="211"/>
        <v>[lPTyjLi4w3d]|25-34|Female|PLHIV_Residents.T2|CY2025Q3</v>
      </c>
    </row>
    <row r="6769" spans="4:18" x14ac:dyDescent="0.2">
      <c r="D6769" t="s">
        <v>116</v>
      </c>
      <c r="E6769" t="s">
        <v>117</v>
      </c>
      <c r="F6769" t="s">
        <v>118</v>
      </c>
      <c r="G6769" t="s">
        <v>170</v>
      </c>
      <c r="H6769" t="s">
        <v>171</v>
      </c>
      <c r="I6769" t="s">
        <v>42</v>
      </c>
      <c r="J6769" t="s">
        <v>43</v>
      </c>
      <c r="K6769" t="s">
        <v>29</v>
      </c>
      <c r="L6769" t="s">
        <v>30</v>
      </c>
      <c r="M6769" t="s">
        <v>172</v>
      </c>
      <c r="N6769">
        <v>1722</v>
      </c>
      <c r="O6769" s="14">
        <v>1.07502450700849E-2</v>
      </c>
      <c r="P6769" s="14">
        <v>0.206259709550068</v>
      </c>
      <c r="Q6769" t="str">
        <f t="shared" si="210"/>
        <v>35-49</v>
      </c>
      <c r="R6769" t="str">
        <f t="shared" si="211"/>
        <v>[lPTyjLi4w3d]|35-49|Female|PLHIV_Residents.T2|CY2025Q3</v>
      </c>
    </row>
    <row r="6770" spans="4:18" x14ac:dyDescent="0.2">
      <c r="D6770" t="s">
        <v>116</v>
      </c>
      <c r="E6770" t="s">
        <v>117</v>
      </c>
      <c r="F6770" t="s">
        <v>118</v>
      </c>
      <c r="G6770" t="s">
        <v>170</v>
      </c>
      <c r="H6770" t="s">
        <v>171</v>
      </c>
      <c r="I6770" t="s">
        <v>44</v>
      </c>
      <c r="J6770" t="s">
        <v>45</v>
      </c>
      <c r="K6770" t="s">
        <v>29</v>
      </c>
      <c r="L6770" t="s">
        <v>30</v>
      </c>
      <c r="M6770" t="s">
        <v>172</v>
      </c>
      <c r="N6770">
        <v>1865</v>
      </c>
      <c r="O6770" s="14">
        <v>0.46599762281402901</v>
      </c>
      <c r="P6770" s="14">
        <v>0.206259709550068</v>
      </c>
      <c r="Q6770" t="str">
        <f t="shared" si="210"/>
        <v>50+</v>
      </c>
      <c r="R6770" t="str">
        <f t="shared" si="211"/>
        <v>[lPTyjLi4w3d]|50+|Female|PLHIV_Residents.T2|CY2025Q3</v>
      </c>
    </row>
    <row r="6771" spans="4:18" x14ac:dyDescent="0.2">
      <c r="D6771" t="s">
        <v>116</v>
      </c>
      <c r="E6771" t="s">
        <v>117</v>
      </c>
      <c r="F6771" t="s">
        <v>118</v>
      </c>
      <c r="G6771" t="s">
        <v>170</v>
      </c>
      <c r="H6771" t="s">
        <v>171</v>
      </c>
      <c r="I6771" t="s">
        <v>27</v>
      </c>
      <c r="J6771" t="s">
        <v>28</v>
      </c>
      <c r="K6771" t="s">
        <v>47</v>
      </c>
      <c r="L6771" t="s">
        <v>48</v>
      </c>
      <c r="M6771" t="s">
        <v>172</v>
      </c>
      <c r="N6771">
        <v>1247</v>
      </c>
      <c r="O6771" s="14">
        <v>0.68485873285680998</v>
      </c>
      <c r="P6771" s="14">
        <v>0.206259709550068</v>
      </c>
      <c r="Q6771" t="str">
        <f t="shared" si="210"/>
        <v>&lt;01</v>
      </c>
      <c r="R6771" t="str">
        <f t="shared" si="211"/>
        <v>[lPTyjLi4w3d]|&lt;01|Male|PLHIV_Residents.T2|CY2025Q3</v>
      </c>
    </row>
    <row r="6772" spans="4:18" x14ac:dyDescent="0.2">
      <c r="D6772" t="s">
        <v>116</v>
      </c>
      <c r="E6772" t="s">
        <v>117</v>
      </c>
      <c r="F6772" t="s">
        <v>118</v>
      </c>
      <c r="G6772" t="s">
        <v>170</v>
      </c>
      <c r="H6772" t="s">
        <v>171</v>
      </c>
      <c r="I6772" t="s">
        <v>32</v>
      </c>
      <c r="J6772" t="s">
        <v>33</v>
      </c>
      <c r="K6772" t="s">
        <v>47</v>
      </c>
      <c r="L6772" t="s">
        <v>48</v>
      </c>
      <c r="M6772" t="s">
        <v>172</v>
      </c>
      <c r="N6772">
        <v>1218</v>
      </c>
      <c r="O6772" s="14">
        <v>0.32174301659688398</v>
      </c>
      <c r="P6772" s="14">
        <v>0.206259709550068</v>
      </c>
      <c r="Q6772" t="str">
        <f t="shared" si="210"/>
        <v>01-09</v>
      </c>
      <c r="R6772" t="str">
        <f t="shared" si="211"/>
        <v>[lPTyjLi4w3d]|01-09|Male|PLHIV_Residents.T2|CY2025Q3</v>
      </c>
    </row>
    <row r="6773" spans="4:18" x14ac:dyDescent="0.2">
      <c r="D6773" t="s">
        <v>116</v>
      </c>
      <c r="E6773" t="s">
        <v>117</v>
      </c>
      <c r="F6773" t="s">
        <v>118</v>
      </c>
      <c r="G6773" t="s">
        <v>170</v>
      </c>
      <c r="H6773" t="s">
        <v>171</v>
      </c>
      <c r="I6773" t="s">
        <v>35</v>
      </c>
      <c r="J6773" t="s">
        <v>36</v>
      </c>
      <c r="K6773" t="s">
        <v>47</v>
      </c>
      <c r="L6773" t="s">
        <v>48</v>
      </c>
      <c r="M6773" t="s">
        <v>172</v>
      </c>
      <c r="N6773">
        <v>1959</v>
      </c>
      <c r="O6773" s="14">
        <v>0.75277019524946798</v>
      </c>
      <c r="P6773" s="14">
        <v>0.206259709550068</v>
      </c>
      <c r="Q6773" t="str">
        <f t="shared" si="210"/>
        <v>10-14</v>
      </c>
      <c r="R6773" t="str">
        <f t="shared" si="211"/>
        <v>[lPTyjLi4w3d]|10-14|Male|PLHIV_Residents.T2|CY2025Q3</v>
      </c>
    </row>
    <row r="6774" spans="4:18" x14ac:dyDescent="0.2">
      <c r="D6774" t="s">
        <v>116</v>
      </c>
      <c r="E6774" t="s">
        <v>117</v>
      </c>
      <c r="F6774" t="s">
        <v>118</v>
      </c>
      <c r="G6774" t="s">
        <v>170</v>
      </c>
      <c r="H6774" t="s">
        <v>171</v>
      </c>
      <c r="I6774" t="s">
        <v>37</v>
      </c>
      <c r="J6774" t="s">
        <v>38</v>
      </c>
      <c r="K6774" t="s">
        <v>47</v>
      </c>
      <c r="L6774" t="s">
        <v>48</v>
      </c>
      <c r="M6774" t="s">
        <v>172</v>
      </c>
      <c r="N6774">
        <v>1028</v>
      </c>
      <c r="O6774" s="14">
        <v>0.79999805451370798</v>
      </c>
      <c r="P6774" s="14">
        <v>0.206259709550068</v>
      </c>
      <c r="Q6774" t="str">
        <f t="shared" si="210"/>
        <v>15-24</v>
      </c>
      <c r="R6774" t="str">
        <f t="shared" si="211"/>
        <v>[lPTyjLi4w3d]|15-24|Male|PLHIV_Residents.T2|CY2025Q3</v>
      </c>
    </row>
    <row r="6775" spans="4:18" x14ac:dyDescent="0.2">
      <c r="D6775" t="s">
        <v>116</v>
      </c>
      <c r="E6775" t="s">
        <v>117</v>
      </c>
      <c r="F6775" t="s">
        <v>118</v>
      </c>
      <c r="G6775" t="s">
        <v>170</v>
      </c>
      <c r="H6775" t="s">
        <v>171</v>
      </c>
      <c r="I6775" t="s">
        <v>40</v>
      </c>
      <c r="J6775" t="s">
        <v>41</v>
      </c>
      <c r="K6775" t="s">
        <v>47</v>
      </c>
      <c r="L6775" t="s">
        <v>48</v>
      </c>
      <c r="M6775" t="s">
        <v>172</v>
      </c>
      <c r="N6775">
        <v>919</v>
      </c>
      <c r="O6775" s="14">
        <v>0.52889285655692198</v>
      </c>
      <c r="P6775" s="14">
        <v>0.206259709550068</v>
      </c>
      <c r="Q6775" t="str">
        <f t="shared" si="210"/>
        <v>25-34</v>
      </c>
      <c r="R6775" t="str">
        <f t="shared" si="211"/>
        <v>[lPTyjLi4w3d]|25-34|Male|PLHIV_Residents.T2|CY2025Q3</v>
      </c>
    </row>
    <row r="6776" spans="4:18" x14ac:dyDescent="0.2">
      <c r="D6776" t="s">
        <v>116</v>
      </c>
      <c r="E6776" t="s">
        <v>117</v>
      </c>
      <c r="F6776" t="s">
        <v>118</v>
      </c>
      <c r="G6776" t="s">
        <v>170</v>
      </c>
      <c r="H6776" t="s">
        <v>171</v>
      </c>
      <c r="I6776" t="s">
        <v>42</v>
      </c>
      <c r="J6776" t="s">
        <v>43</v>
      </c>
      <c r="K6776" t="s">
        <v>47</v>
      </c>
      <c r="L6776" t="s">
        <v>48</v>
      </c>
      <c r="M6776" t="s">
        <v>172</v>
      </c>
      <c r="N6776">
        <v>576</v>
      </c>
      <c r="O6776" s="14">
        <v>0.93542729364708099</v>
      </c>
      <c r="P6776" s="14">
        <v>0.206259709550068</v>
      </c>
      <c r="Q6776" t="str">
        <f t="shared" si="210"/>
        <v>35-49</v>
      </c>
      <c r="R6776" t="str">
        <f t="shared" si="211"/>
        <v>[lPTyjLi4w3d]|35-49|Male|PLHIV_Residents.T2|CY2025Q3</v>
      </c>
    </row>
    <row r="6777" spans="4:18" x14ac:dyDescent="0.2">
      <c r="D6777" t="s">
        <v>116</v>
      </c>
      <c r="E6777" t="s">
        <v>117</v>
      </c>
      <c r="F6777" t="s">
        <v>118</v>
      </c>
      <c r="G6777" t="s">
        <v>170</v>
      </c>
      <c r="H6777" t="s">
        <v>171</v>
      </c>
      <c r="I6777" t="s">
        <v>44</v>
      </c>
      <c r="J6777" t="s">
        <v>45</v>
      </c>
      <c r="K6777" t="s">
        <v>47</v>
      </c>
      <c r="L6777" t="s">
        <v>48</v>
      </c>
      <c r="M6777" t="s">
        <v>172</v>
      </c>
      <c r="N6777">
        <v>1140</v>
      </c>
      <c r="O6777" s="14">
        <v>2.01324347872287E-2</v>
      </c>
      <c r="P6777" s="14">
        <v>0.206259709550068</v>
      </c>
      <c r="Q6777" t="str">
        <f t="shared" si="210"/>
        <v>50+</v>
      </c>
      <c r="R6777" t="str">
        <f t="shared" si="211"/>
        <v>[lPTyjLi4w3d]|50+|Male|PLHIV_Residents.T2|CY2025Q3</v>
      </c>
    </row>
    <row r="6778" spans="4:18" x14ac:dyDescent="0.2">
      <c r="D6778" t="s">
        <v>119</v>
      </c>
      <c r="E6778" t="s">
        <v>120</v>
      </c>
      <c r="F6778" t="s">
        <v>121</v>
      </c>
      <c r="G6778" t="s">
        <v>170</v>
      </c>
      <c r="H6778" t="s">
        <v>171</v>
      </c>
      <c r="I6778" t="s">
        <v>27</v>
      </c>
      <c r="J6778" t="s">
        <v>28</v>
      </c>
      <c r="K6778" t="s">
        <v>29</v>
      </c>
      <c r="L6778" t="s">
        <v>30</v>
      </c>
      <c r="M6778" t="s">
        <v>172</v>
      </c>
      <c r="N6778">
        <v>785</v>
      </c>
      <c r="O6778" s="14">
        <v>0.27731255977414498</v>
      </c>
      <c r="P6778" s="14">
        <v>0.43010397930629601</v>
      </c>
      <c r="Q6778" t="str">
        <f t="shared" si="210"/>
        <v>&lt;01</v>
      </c>
      <c r="R6778" t="str">
        <f t="shared" si="211"/>
        <v>[vA4NcHxfMBq]|&lt;01|Female|PLHIV_Residents.T2|CY2025Q3</v>
      </c>
    </row>
    <row r="6779" spans="4:18" x14ac:dyDescent="0.2">
      <c r="D6779" t="s">
        <v>119</v>
      </c>
      <c r="E6779" t="s">
        <v>120</v>
      </c>
      <c r="F6779" t="s">
        <v>121</v>
      </c>
      <c r="G6779" t="s">
        <v>170</v>
      </c>
      <c r="H6779" t="s">
        <v>171</v>
      </c>
      <c r="I6779" t="s">
        <v>32</v>
      </c>
      <c r="J6779" t="s">
        <v>33</v>
      </c>
      <c r="K6779" t="s">
        <v>29</v>
      </c>
      <c r="L6779" t="s">
        <v>30</v>
      </c>
      <c r="M6779" t="s">
        <v>172</v>
      </c>
      <c r="N6779">
        <v>1894</v>
      </c>
      <c r="O6779" s="14">
        <v>0.50948971719481095</v>
      </c>
      <c r="P6779" s="14">
        <v>0.43010397930629601</v>
      </c>
      <c r="Q6779" t="str">
        <f t="shared" si="210"/>
        <v>01-09</v>
      </c>
      <c r="R6779" t="str">
        <f t="shared" si="211"/>
        <v>[vA4NcHxfMBq]|01-09|Female|PLHIV_Residents.T2|CY2025Q3</v>
      </c>
    </row>
    <row r="6780" spans="4:18" x14ac:dyDescent="0.2">
      <c r="D6780" t="s">
        <v>119</v>
      </c>
      <c r="E6780" t="s">
        <v>120</v>
      </c>
      <c r="F6780" t="s">
        <v>121</v>
      </c>
      <c r="G6780" t="s">
        <v>170</v>
      </c>
      <c r="H6780" t="s">
        <v>171</v>
      </c>
      <c r="I6780" t="s">
        <v>35</v>
      </c>
      <c r="J6780" t="s">
        <v>36</v>
      </c>
      <c r="K6780" t="s">
        <v>29</v>
      </c>
      <c r="L6780" t="s">
        <v>30</v>
      </c>
      <c r="M6780" t="s">
        <v>172</v>
      </c>
      <c r="N6780">
        <v>1973</v>
      </c>
      <c r="O6780" s="14">
        <v>0.918140577850863</v>
      </c>
      <c r="P6780" s="14">
        <v>0.43010397930629601</v>
      </c>
      <c r="Q6780" t="str">
        <f t="shared" si="210"/>
        <v>10-14</v>
      </c>
      <c r="R6780" t="str">
        <f t="shared" si="211"/>
        <v>[vA4NcHxfMBq]|10-14|Female|PLHIV_Residents.T2|CY2025Q3</v>
      </c>
    </row>
    <row r="6781" spans="4:18" x14ac:dyDescent="0.2">
      <c r="D6781" t="s">
        <v>119</v>
      </c>
      <c r="E6781" t="s">
        <v>120</v>
      </c>
      <c r="F6781" t="s">
        <v>121</v>
      </c>
      <c r="G6781" t="s">
        <v>170</v>
      </c>
      <c r="H6781" t="s">
        <v>171</v>
      </c>
      <c r="I6781" t="s">
        <v>37</v>
      </c>
      <c r="J6781" t="s">
        <v>38</v>
      </c>
      <c r="K6781" t="s">
        <v>29</v>
      </c>
      <c r="L6781" t="s">
        <v>30</v>
      </c>
      <c r="M6781" t="s">
        <v>172</v>
      </c>
      <c r="N6781">
        <v>576</v>
      </c>
      <c r="O6781" s="14">
        <v>0.22781404806301001</v>
      </c>
      <c r="P6781" s="14">
        <v>0.43010397930629601</v>
      </c>
      <c r="Q6781" t="str">
        <f t="shared" si="210"/>
        <v>15-24</v>
      </c>
      <c r="R6781" t="str">
        <f t="shared" si="211"/>
        <v>[vA4NcHxfMBq]|15-24|Female|PLHIV_Residents.T2|CY2025Q3</v>
      </c>
    </row>
    <row r="6782" spans="4:18" x14ac:dyDescent="0.2">
      <c r="D6782" t="s">
        <v>119</v>
      </c>
      <c r="E6782" t="s">
        <v>120</v>
      </c>
      <c r="F6782" t="s">
        <v>121</v>
      </c>
      <c r="G6782" t="s">
        <v>170</v>
      </c>
      <c r="H6782" t="s">
        <v>171</v>
      </c>
      <c r="I6782" t="s">
        <v>40</v>
      </c>
      <c r="J6782" t="s">
        <v>41</v>
      </c>
      <c r="K6782" t="s">
        <v>29</v>
      </c>
      <c r="L6782" t="s">
        <v>30</v>
      </c>
      <c r="M6782" t="s">
        <v>172</v>
      </c>
      <c r="N6782">
        <v>1469</v>
      </c>
      <c r="O6782" s="14">
        <v>0.86548190517350998</v>
      </c>
      <c r="P6782" s="14">
        <v>0.43010397930629601</v>
      </c>
      <c r="Q6782" t="str">
        <f t="shared" si="210"/>
        <v>25-34</v>
      </c>
      <c r="R6782" t="str">
        <f t="shared" si="211"/>
        <v>[vA4NcHxfMBq]|25-34|Female|PLHIV_Residents.T2|CY2025Q3</v>
      </c>
    </row>
    <row r="6783" spans="4:18" x14ac:dyDescent="0.2">
      <c r="D6783" t="s">
        <v>119</v>
      </c>
      <c r="E6783" t="s">
        <v>120</v>
      </c>
      <c r="F6783" t="s">
        <v>121</v>
      </c>
      <c r="G6783" t="s">
        <v>170</v>
      </c>
      <c r="H6783" t="s">
        <v>171</v>
      </c>
      <c r="I6783" t="s">
        <v>42</v>
      </c>
      <c r="J6783" t="s">
        <v>43</v>
      </c>
      <c r="K6783" t="s">
        <v>29</v>
      </c>
      <c r="L6783" t="s">
        <v>30</v>
      </c>
      <c r="M6783" t="s">
        <v>172</v>
      </c>
      <c r="N6783">
        <v>1158</v>
      </c>
      <c r="O6783" s="14">
        <v>0.61502901744097505</v>
      </c>
      <c r="P6783" s="14">
        <v>0.43010397930629601</v>
      </c>
      <c r="Q6783" t="str">
        <f t="shared" si="210"/>
        <v>35-49</v>
      </c>
      <c r="R6783" t="str">
        <f t="shared" si="211"/>
        <v>[vA4NcHxfMBq]|35-49|Female|PLHIV_Residents.T2|CY2025Q3</v>
      </c>
    </row>
    <row r="6784" spans="4:18" x14ac:dyDescent="0.2">
      <c r="D6784" t="s">
        <v>119</v>
      </c>
      <c r="E6784" t="s">
        <v>120</v>
      </c>
      <c r="F6784" t="s">
        <v>121</v>
      </c>
      <c r="G6784" t="s">
        <v>170</v>
      </c>
      <c r="H6784" t="s">
        <v>171</v>
      </c>
      <c r="I6784" t="s">
        <v>44</v>
      </c>
      <c r="J6784" t="s">
        <v>45</v>
      </c>
      <c r="K6784" t="s">
        <v>29</v>
      </c>
      <c r="L6784" t="s">
        <v>30</v>
      </c>
      <c r="M6784" t="s">
        <v>172</v>
      </c>
      <c r="N6784">
        <v>1246</v>
      </c>
      <c r="O6784" s="14">
        <v>0.97675840114243295</v>
      </c>
      <c r="P6784" s="14">
        <v>0.43010397930629601</v>
      </c>
      <c r="Q6784" t="str">
        <f t="shared" si="210"/>
        <v>50+</v>
      </c>
      <c r="R6784" t="str">
        <f t="shared" si="211"/>
        <v>[vA4NcHxfMBq]|50+|Female|PLHIV_Residents.T2|CY2025Q3</v>
      </c>
    </row>
    <row r="6785" spans="4:18" x14ac:dyDescent="0.2">
      <c r="D6785" t="s">
        <v>119</v>
      </c>
      <c r="E6785" t="s">
        <v>120</v>
      </c>
      <c r="F6785" t="s">
        <v>121</v>
      </c>
      <c r="G6785" t="s">
        <v>170</v>
      </c>
      <c r="H6785" t="s">
        <v>171</v>
      </c>
      <c r="I6785" t="s">
        <v>27</v>
      </c>
      <c r="J6785" t="s">
        <v>28</v>
      </c>
      <c r="K6785" t="s">
        <v>47</v>
      </c>
      <c r="L6785" t="s">
        <v>48</v>
      </c>
      <c r="M6785" t="s">
        <v>172</v>
      </c>
      <c r="N6785">
        <v>1497</v>
      </c>
      <c r="O6785" s="14">
        <v>0.201292515965179</v>
      </c>
      <c r="P6785" s="14">
        <v>0.43010397930629601</v>
      </c>
      <c r="Q6785" t="str">
        <f t="shared" si="210"/>
        <v>&lt;01</v>
      </c>
      <c r="R6785" t="str">
        <f t="shared" si="211"/>
        <v>[vA4NcHxfMBq]|&lt;01|Male|PLHIV_Residents.T2|CY2025Q3</v>
      </c>
    </row>
    <row r="6786" spans="4:18" x14ac:dyDescent="0.2">
      <c r="D6786" t="s">
        <v>119</v>
      </c>
      <c r="E6786" t="s">
        <v>120</v>
      </c>
      <c r="F6786" t="s">
        <v>121</v>
      </c>
      <c r="G6786" t="s">
        <v>170</v>
      </c>
      <c r="H6786" t="s">
        <v>171</v>
      </c>
      <c r="I6786" t="s">
        <v>32</v>
      </c>
      <c r="J6786" t="s">
        <v>33</v>
      </c>
      <c r="K6786" t="s">
        <v>47</v>
      </c>
      <c r="L6786" t="s">
        <v>48</v>
      </c>
      <c r="M6786" t="s">
        <v>172</v>
      </c>
      <c r="N6786">
        <v>610</v>
      </c>
      <c r="O6786" s="14">
        <v>0.71132976608350895</v>
      </c>
      <c r="P6786" s="14">
        <v>0.43010397930629601</v>
      </c>
      <c r="Q6786" t="str">
        <f t="shared" ref="Q6786:Q6849" si="212">SUBSTITUTE(SUBSTITUTE($I6786,CHAR(61),""),CHAR(34),"")</f>
        <v>01-09</v>
      </c>
      <c r="R6786" t="str">
        <f t="shared" ref="R6786:R6849" si="213">IF($D6786&lt;&gt;"","["&amp;$E6786&amp;"]"&amp;"|"&amp;$Q6786&amp;"|"&amp;$K6786&amp;"|"&amp;$G6786&amp;"|"&amp;IF($G6786="TX_CURR_SUBNAT.R","CY2022Q4",$M6786),"")</f>
        <v>[vA4NcHxfMBq]|01-09|Male|PLHIV_Residents.T2|CY2025Q3</v>
      </c>
    </row>
    <row r="6787" spans="4:18" x14ac:dyDescent="0.2">
      <c r="D6787" t="s">
        <v>119</v>
      </c>
      <c r="E6787" t="s">
        <v>120</v>
      </c>
      <c r="F6787" t="s">
        <v>121</v>
      </c>
      <c r="G6787" t="s">
        <v>170</v>
      </c>
      <c r="H6787" t="s">
        <v>171</v>
      </c>
      <c r="I6787" t="s">
        <v>35</v>
      </c>
      <c r="J6787" t="s">
        <v>36</v>
      </c>
      <c r="K6787" t="s">
        <v>47</v>
      </c>
      <c r="L6787" t="s">
        <v>48</v>
      </c>
      <c r="M6787" t="s">
        <v>172</v>
      </c>
      <c r="N6787">
        <v>905</v>
      </c>
      <c r="O6787" s="14">
        <v>0.76088146562688097</v>
      </c>
      <c r="P6787" s="14">
        <v>0.43010397930629601</v>
      </c>
      <c r="Q6787" t="str">
        <f t="shared" si="212"/>
        <v>10-14</v>
      </c>
      <c r="R6787" t="str">
        <f t="shared" si="213"/>
        <v>[vA4NcHxfMBq]|10-14|Male|PLHIV_Residents.T2|CY2025Q3</v>
      </c>
    </row>
    <row r="6788" spans="4:18" x14ac:dyDescent="0.2">
      <c r="D6788" t="s">
        <v>119</v>
      </c>
      <c r="E6788" t="s">
        <v>120</v>
      </c>
      <c r="F6788" t="s">
        <v>121</v>
      </c>
      <c r="G6788" t="s">
        <v>170</v>
      </c>
      <c r="H6788" t="s">
        <v>171</v>
      </c>
      <c r="I6788" t="s">
        <v>37</v>
      </c>
      <c r="J6788" t="s">
        <v>38</v>
      </c>
      <c r="K6788" t="s">
        <v>47</v>
      </c>
      <c r="L6788" t="s">
        <v>48</v>
      </c>
      <c r="M6788" t="s">
        <v>172</v>
      </c>
      <c r="N6788">
        <v>1698</v>
      </c>
      <c r="O6788" s="14">
        <v>0.78448361530900002</v>
      </c>
      <c r="P6788" s="14">
        <v>0.43010397930629601</v>
      </c>
      <c r="Q6788" t="str">
        <f t="shared" si="212"/>
        <v>15-24</v>
      </c>
      <c r="R6788" t="str">
        <f t="shared" si="213"/>
        <v>[vA4NcHxfMBq]|15-24|Male|PLHIV_Residents.T2|CY2025Q3</v>
      </c>
    </row>
    <row r="6789" spans="4:18" x14ac:dyDescent="0.2">
      <c r="D6789" t="s">
        <v>119</v>
      </c>
      <c r="E6789" t="s">
        <v>120</v>
      </c>
      <c r="F6789" t="s">
        <v>121</v>
      </c>
      <c r="G6789" t="s">
        <v>170</v>
      </c>
      <c r="H6789" t="s">
        <v>171</v>
      </c>
      <c r="I6789" t="s">
        <v>40</v>
      </c>
      <c r="J6789" t="s">
        <v>41</v>
      </c>
      <c r="K6789" t="s">
        <v>47</v>
      </c>
      <c r="L6789" t="s">
        <v>48</v>
      </c>
      <c r="M6789" t="s">
        <v>172</v>
      </c>
      <c r="N6789">
        <v>1276</v>
      </c>
      <c r="O6789" s="14">
        <v>0.14895900990814001</v>
      </c>
      <c r="P6789" s="14">
        <v>0.43010397930629601</v>
      </c>
      <c r="Q6789" t="str">
        <f t="shared" si="212"/>
        <v>25-34</v>
      </c>
      <c r="R6789" t="str">
        <f t="shared" si="213"/>
        <v>[vA4NcHxfMBq]|25-34|Male|PLHIV_Residents.T2|CY2025Q3</v>
      </c>
    </row>
    <row r="6790" spans="4:18" x14ac:dyDescent="0.2">
      <c r="D6790" t="s">
        <v>119</v>
      </c>
      <c r="E6790" t="s">
        <v>120</v>
      </c>
      <c r="F6790" t="s">
        <v>121</v>
      </c>
      <c r="G6790" t="s">
        <v>170</v>
      </c>
      <c r="H6790" t="s">
        <v>171</v>
      </c>
      <c r="I6790" t="s">
        <v>42</v>
      </c>
      <c r="J6790" t="s">
        <v>43</v>
      </c>
      <c r="K6790" t="s">
        <v>47</v>
      </c>
      <c r="L6790" t="s">
        <v>48</v>
      </c>
      <c r="M6790" t="s">
        <v>172</v>
      </c>
      <c r="N6790">
        <v>1474</v>
      </c>
      <c r="O6790" s="14">
        <v>0.94353247014805697</v>
      </c>
      <c r="P6790" s="14">
        <v>0.43010397930629601</v>
      </c>
      <c r="Q6790" t="str">
        <f t="shared" si="212"/>
        <v>35-49</v>
      </c>
      <c r="R6790" t="str">
        <f t="shared" si="213"/>
        <v>[vA4NcHxfMBq]|35-49|Male|PLHIV_Residents.T2|CY2025Q3</v>
      </c>
    </row>
    <row r="6791" spans="4:18" x14ac:dyDescent="0.2">
      <c r="D6791" t="s">
        <v>119</v>
      </c>
      <c r="E6791" t="s">
        <v>120</v>
      </c>
      <c r="F6791" t="s">
        <v>121</v>
      </c>
      <c r="G6791" t="s">
        <v>170</v>
      </c>
      <c r="H6791" t="s">
        <v>171</v>
      </c>
      <c r="I6791" t="s">
        <v>44</v>
      </c>
      <c r="J6791" t="s">
        <v>45</v>
      </c>
      <c r="K6791" t="s">
        <v>47</v>
      </c>
      <c r="L6791" t="s">
        <v>48</v>
      </c>
      <c r="M6791" t="s">
        <v>172</v>
      </c>
      <c r="N6791">
        <v>1356</v>
      </c>
      <c r="O6791" s="14">
        <v>0.18326044082641599</v>
      </c>
      <c r="P6791" s="14">
        <v>0.43010397930629601</v>
      </c>
      <c r="Q6791" t="str">
        <f t="shared" si="212"/>
        <v>50+</v>
      </c>
      <c r="R6791" t="str">
        <f t="shared" si="213"/>
        <v>[vA4NcHxfMBq]|50+|Male|PLHIV_Residents.T2|CY2025Q3</v>
      </c>
    </row>
    <row r="6792" spans="4:18" x14ac:dyDescent="0.2">
      <c r="D6792" t="s">
        <v>122</v>
      </c>
      <c r="E6792" t="s">
        <v>123</v>
      </c>
      <c r="F6792" t="s">
        <v>124</v>
      </c>
      <c r="G6792" t="s">
        <v>170</v>
      </c>
      <c r="H6792" t="s">
        <v>171</v>
      </c>
      <c r="I6792" t="s">
        <v>27</v>
      </c>
      <c r="J6792" t="s">
        <v>28</v>
      </c>
      <c r="K6792" t="s">
        <v>29</v>
      </c>
      <c r="L6792" t="s">
        <v>30</v>
      </c>
      <c r="M6792" t="s">
        <v>172</v>
      </c>
      <c r="N6792">
        <v>779</v>
      </c>
      <c r="O6792" s="14">
        <v>0.35645802854560299</v>
      </c>
      <c r="P6792" s="14">
        <v>0.41950060334056599</v>
      </c>
      <c r="Q6792" t="str">
        <f t="shared" si="212"/>
        <v>&lt;01</v>
      </c>
      <c r="R6792" t="str">
        <f t="shared" si="213"/>
        <v>[E7zpfyBt7Tw]|&lt;01|Female|PLHIV_Residents.T2|CY2025Q3</v>
      </c>
    </row>
    <row r="6793" spans="4:18" x14ac:dyDescent="0.2">
      <c r="D6793" t="s">
        <v>122</v>
      </c>
      <c r="E6793" t="s">
        <v>123</v>
      </c>
      <c r="F6793" t="s">
        <v>124</v>
      </c>
      <c r="G6793" t="s">
        <v>170</v>
      </c>
      <c r="H6793" t="s">
        <v>171</v>
      </c>
      <c r="I6793" t="s">
        <v>32</v>
      </c>
      <c r="J6793" t="s">
        <v>33</v>
      </c>
      <c r="K6793" t="s">
        <v>29</v>
      </c>
      <c r="L6793" t="s">
        <v>30</v>
      </c>
      <c r="M6793" t="s">
        <v>172</v>
      </c>
      <c r="N6793">
        <v>908</v>
      </c>
      <c r="O6793" s="14">
        <v>0.73397399298846699</v>
      </c>
      <c r="P6793" s="14">
        <v>0.41950060334056599</v>
      </c>
      <c r="Q6793" t="str">
        <f t="shared" si="212"/>
        <v>01-09</v>
      </c>
      <c r="R6793" t="str">
        <f t="shared" si="213"/>
        <v>[E7zpfyBt7Tw]|01-09|Female|PLHIV_Residents.T2|CY2025Q3</v>
      </c>
    </row>
    <row r="6794" spans="4:18" x14ac:dyDescent="0.2">
      <c r="D6794" t="s">
        <v>122</v>
      </c>
      <c r="E6794" t="s">
        <v>123</v>
      </c>
      <c r="F6794" t="s">
        <v>124</v>
      </c>
      <c r="G6794" t="s">
        <v>170</v>
      </c>
      <c r="H6794" t="s">
        <v>171</v>
      </c>
      <c r="I6794" t="s">
        <v>35</v>
      </c>
      <c r="J6794" t="s">
        <v>36</v>
      </c>
      <c r="K6794" t="s">
        <v>29</v>
      </c>
      <c r="L6794" t="s">
        <v>30</v>
      </c>
      <c r="M6794" t="s">
        <v>172</v>
      </c>
      <c r="N6794">
        <v>1345</v>
      </c>
      <c r="O6794" s="14">
        <v>0.28246975666843399</v>
      </c>
      <c r="P6794" s="14">
        <v>0.41950060334056599</v>
      </c>
      <c r="Q6794" t="str">
        <f t="shared" si="212"/>
        <v>10-14</v>
      </c>
      <c r="R6794" t="str">
        <f t="shared" si="213"/>
        <v>[E7zpfyBt7Tw]|10-14|Female|PLHIV_Residents.T2|CY2025Q3</v>
      </c>
    </row>
    <row r="6795" spans="4:18" x14ac:dyDescent="0.2">
      <c r="D6795" t="s">
        <v>122</v>
      </c>
      <c r="E6795" t="s">
        <v>123</v>
      </c>
      <c r="F6795" t="s">
        <v>124</v>
      </c>
      <c r="G6795" t="s">
        <v>170</v>
      </c>
      <c r="H6795" t="s">
        <v>171</v>
      </c>
      <c r="I6795" t="s">
        <v>37</v>
      </c>
      <c r="J6795" t="s">
        <v>38</v>
      </c>
      <c r="K6795" t="s">
        <v>29</v>
      </c>
      <c r="L6795" t="s">
        <v>30</v>
      </c>
      <c r="M6795" t="s">
        <v>172</v>
      </c>
      <c r="N6795">
        <v>1152</v>
      </c>
      <c r="O6795" s="14">
        <v>0.59158247243613005</v>
      </c>
      <c r="P6795" s="14">
        <v>0.41950060334056599</v>
      </c>
      <c r="Q6795" t="str">
        <f t="shared" si="212"/>
        <v>15-24</v>
      </c>
      <c r="R6795" t="str">
        <f t="shared" si="213"/>
        <v>[E7zpfyBt7Tw]|15-24|Female|PLHIV_Residents.T2|CY2025Q3</v>
      </c>
    </row>
    <row r="6796" spans="4:18" x14ac:dyDescent="0.2">
      <c r="D6796" t="s">
        <v>122</v>
      </c>
      <c r="E6796" t="s">
        <v>123</v>
      </c>
      <c r="F6796" t="s">
        <v>124</v>
      </c>
      <c r="G6796" t="s">
        <v>170</v>
      </c>
      <c r="H6796" t="s">
        <v>171</v>
      </c>
      <c r="I6796" t="s">
        <v>40</v>
      </c>
      <c r="J6796" t="s">
        <v>41</v>
      </c>
      <c r="K6796" t="s">
        <v>29</v>
      </c>
      <c r="L6796" t="s">
        <v>30</v>
      </c>
      <c r="M6796" t="s">
        <v>172</v>
      </c>
      <c r="N6796">
        <v>1149</v>
      </c>
      <c r="O6796" s="14">
        <v>2.0005333935841901E-2</v>
      </c>
      <c r="P6796" s="14">
        <v>0.41950060334056599</v>
      </c>
      <c r="Q6796" t="str">
        <f t="shared" si="212"/>
        <v>25-34</v>
      </c>
      <c r="R6796" t="str">
        <f t="shared" si="213"/>
        <v>[E7zpfyBt7Tw]|25-34|Female|PLHIV_Residents.T2|CY2025Q3</v>
      </c>
    </row>
    <row r="6797" spans="4:18" x14ac:dyDescent="0.2">
      <c r="D6797" t="s">
        <v>122</v>
      </c>
      <c r="E6797" t="s">
        <v>123</v>
      </c>
      <c r="F6797" t="s">
        <v>124</v>
      </c>
      <c r="G6797" t="s">
        <v>170</v>
      </c>
      <c r="H6797" t="s">
        <v>171</v>
      </c>
      <c r="I6797" t="s">
        <v>42</v>
      </c>
      <c r="J6797" t="s">
        <v>43</v>
      </c>
      <c r="K6797" t="s">
        <v>29</v>
      </c>
      <c r="L6797" t="s">
        <v>30</v>
      </c>
      <c r="M6797" t="s">
        <v>172</v>
      </c>
      <c r="N6797">
        <v>1051</v>
      </c>
      <c r="O6797" s="14">
        <v>0.78138252906501304</v>
      </c>
      <c r="P6797" s="14">
        <v>0.41950060334056599</v>
      </c>
      <c r="Q6797" t="str">
        <f t="shared" si="212"/>
        <v>35-49</v>
      </c>
      <c r="R6797" t="str">
        <f t="shared" si="213"/>
        <v>[E7zpfyBt7Tw]|35-49|Female|PLHIV_Residents.T2|CY2025Q3</v>
      </c>
    </row>
    <row r="6798" spans="4:18" x14ac:dyDescent="0.2">
      <c r="D6798" t="s">
        <v>122</v>
      </c>
      <c r="E6798" t="s">
        <v>123</v>
      </c>
      <c r="F6798" t="s">
        <v>124</v>
      </c>
      <c r="G6798" t="s">
        <v>170</v>
      </c>
      <c r="H6798" t="s">
        <v>171</v>
      </c>
      <c r="I6798" t="s">
        <v>44</v>
      </c>
      <c r="J6798" t="s">
        <v>45</v>
      </c>
      <c r="K6798" t="s">
        <v>29</v>
      </c>
      <c r="L6798" t="s">
        <v>30</v>
      </c>
      <c r="M6798" t="s">
        <v>172</v>
      </c>
      <c r="N6798">
        <v>1512</v>
      </c>
      <c r="O6798" s="14">
        <v>0.165327286813408</v>
      </c>
      <c r="P6798" s="14">
        <v>0.41950060334056599</v>
      </c>
      <c r="Q6798" t="str">
        <f t="shared" si="212"/>
        <v>50+</v>
      </c>
      <c r="R6798" t="str">
        <f t="shared" si="213"/>
        <v>[E7zpfyBt7Tw]|50+|Female|PLHIV_Residents.T2|CY2025Q3</v>
      </c>
    </row>
    <row r="6799" spans="4:18" x14ac:dyDescent="0.2">
      <c r="D6799" t="s">
        <v>122</v>
      </c>
      <c r="E6799" t="s">
        <v>123</v>
      </c>
      <c r="F6799" t="s">
        <v>124</v>
      </c>
      <c r="G6799" t="s">
        <v>170</v>
      </c>
      <c r="H6799" t="s">
        <v>171</v>
      </c>
      <c r="I6799" t="s">
        <v>27</v>
      </c>
      <c r="J6799" t="s">
        <v>28</v>
      </c>
      <c r="K6799" t="s">
        <v>47</v>
      </c>
      <c r="L6799" t="s">
        <v>48</v>
      </c>
      <c r="M6799" t="s">
        <v>172</v>
      </c>
      <c r="N6799">
        <v>986</v>
      </c>
      <c r="O6799" s="14">
        <v>0.30457095196470602</v>
      </c>
      <c r="P6799" s="14">
        <v>0.41950060334056599</v>
      </c>
      <c r="Q6799" t="str">
        <f t="shared" si="212"/>
        <v>&lt;01</v>
      </c>
      <c r="R6799" t="str">
        <f t="shared" si="213"/>
        <v>[E7zpfyBt7Tw]|&lt;01|Male|PLHIV_Residents.T2|CY2025Q3</v>
      </c>
    </row>
    <row r="6800" spans="4:18" x14ac:dyDescent="0.2">
      <c r="D6800" t="s">
        <v>122</v>
      </c>
      <c r="E6800" t="s">
        <v>123</v>
      </c>
      <c r="F6800" t="s">
        <v>124</v>
      </c>
      <c r="G6800" t="s">
        <v>170</v>
      </c>
      <c r="H6800" t="s">
        <v>171</v>
      </c>
      <c r="I6800" t="s">
        <v>32</v>
      </c>
      <c r="J6800" t="s">
        <v>33</v>
      </c>
      <c r="K6800" t="s">
        <v>47</v>
      </c>
      <c r="L6800" t="s">
        <v>48</v>
      </c>
      <c r="M6800" t="s">
        <v>172</v>
      </c>
      <c r="N6800">
        <v>1845</v>
      </c>
      <c r="O6800" s="14">
        <v>0.81013320013880696</v>
      </c>
      <c r="P6800" s="14">
        <v>0.41950060334056599</v>
      </c>
      <c r="Q6800" t="str">
        <f t="shared" si="212"/>
        <v>01-09</v>
      </c>
      <c r="R6800" t="str">
        <f t="shared" si="213"/>
        <v>[E7zpfyBt7Tw]|01-09|Male|PLHIV_Residents.T2|CY2025Q3</v>
      </c>
    </row>
    <row r="6801" spans="4:18" x14ac:dyDescent="0.2">
      <c r="D6801" t="s">
        <v>122</v>
      </c>
      <c r="E6801" t="s">
        <v>123</v>
      </c>
      <c r="F6801" t="s">
        <v>124</v>
      </c>
      <c r="G6801" t="s">
        <v>170</v>
      </c>
      <c r="H6801" t="s">
        <v>171</v>
      </c>
      <c r="I6801" t="s">
        <v>35</v>
      </c>
      <c r="J6801" t="s">
        <v>36</v>
      </c>
      <c r="K6801" t="s">
        <v>47</v>
      </c>
      <c r="L6801" t="s">
        <v>48</v>
      </c>
      <c r="M6801" t="s">
        <v>172</v>
      </c>
      <c r="N6801">
        <v>1839</v>
      </c>
      <c r="O6801" s="14">
        <v>0.69194574095308803</v>
      </c>
      <c r="P6801" s="14">
        <v>0.41950060334056599</v>
      </c>
      <c r="Q6801" t="str">
        <f t="shared" si="212"/>
        <v>10-14</v>
      </c>
      <c r="R6801" t="str">
        <f t="shared" si="213"/>
        <v>[E7zpfyBt7Tw]|10-14|Male|PLHIV_Residents.T2|CY2025Q3</v>
      </c>
    </row>
    <row r="6802" spans="4:18" x14ac:dyDescent="0.2">
      <c r="D6802" t="s">
        <v>122</v>
      </c>
      <c r="E6802" t="s">
        <v>123</v>
      </c>
      <c r="F6802" t="s">
        <v>124</v>
      </c>
      <c r="G6802" t="s">
        <v>170</v>
      </c>
      <c r="H6802" t="s">
        <v>171</v>
      </c>
      <c r="I6802" t="s">
        <v>37</v>
      </c>
      <c r="J6802" t="s">
        <v>38</v>
      </c>
      <c r="K6802" t="s">
        <v>47</v>
      </c>
      <c r="L6802" t="s">
        <v>48</v>
      </c>
      <c r="M6802" t="s">
        <v>172</v>
      </c>
      <c r="N6802">
        <v>1512</v>
      </c>
      <c r="O6802" s="14">
        <v>0.434753124602139</v>
      </c>
      <c r="P6802" s="14">
        <v>0.41950060334056599</v>
      </c>
      <c r="Q6802" t="str">
        <f t="shared" si="212"/>
        <v>15-24</v>
      </c>
      <c r="R6802" t="str">
        <f t="shared" si="213"/>
        <v>[E7zpfyBt7Tw]|15-24|Male|PLHIV_Residents.T2|CY2025Q3</v>
      </c>
    </row>
    <row r="6803" spans="4:18" x14ac:dyDescent="0.2">
      <c r="D6803" t="s">
        <v>122</v>
      </c>
      <c r="E6803" t="s">
        <v>123</v>
      </c>
      <c r="F6803" t="s">
        <v>124</v>
      </c>
      <c r="G6803" t="s">
        <v>170</v>
      </c>
      <c r="H6803" t="s">
        <v>171</v>
      </c>
      <c r="I6803" t="s">
        <v>40</v>
      </c>
      <c r="J6803" t="s">
        <v>41</v>
      </c>
      <c r="K6803" t="s">
        <v>47</v>
      </c>
      <c r="L6803" t="s">
        <v>48</v>
      </c>
      <c r="M6803" t="s">
        <v>172</v>
      </c>
      <c r="N6803">
        <v>615</v>
      </c>
      <c r="O6803" s="14">
        <v>0.96517866593785595</v>
      </c>
      <c r="P6803" s="14">
        <v>0.41950060334056599</v>
      </c>
      <c r="Q6803" t="str">
        <f t="shared" si="212"/>
        <v>25-34</v>
      </c>
      <c r="R6803" t="str">
        <f t="shared" si="213"/>
        <v>[E7zpfyBt7Tw]|25-34|Male|PLHIV_Residents.T2|CY2025Q3</v>
      </c>
    </row>
    <row r="6804" spans="4:18" x14ac:dyDescent="0.2">
      <c r="D6804" t="s">
        <v>122</v>
      </c>
      <c r="E6804" t="s">
        <v>123</v>
      </c>
      <c r="F6804" t="s">
        <v>124</v>
      </c>
      <c r="G6804" t="s">
        <v>170</v>
      </c>
      <c r="H6804" t="s">
        <v>171</v>
      </c>
      <c r="I6804" t="s">
        <v>42</v>
      </c>
      <c r="J6804" t="s">
        <v>43</v>
      </c>
      <c r="K6804" t="s">
        <v>47</v>
      </c>
      <c r="L6804" t="s">
        <v>48</v>
      </c>
      <c r="M6804" t="s">
        <v>172</v>
      </c>
      <c r="N6804">
        <v>1678</v>
      </c>
      <c r="O6804" s="14">
        <v>0.41948915785178498</v>
      </c>
      <c r="P6804" s="14">
        <v>0.41950060334056599</v>
      </c>
      <c r="Q6804" t="str">
        <f t="shared" si="212"/>
        <v>35-49</v>
      </c>
      <c r="R6804" t="str">
        <f t="shared" si="213"/>
        <v>[E7zpfyBt7Tw]|35-49|Male|PLHIV_Residents.T2|CY2025Q3</v>
      </c>
    </row>
    <row r="6805" spans="4:18" x14ac:dyDescent="0.2">
      <c r="D6805" t="s">
        <v>122</v>
      </c>
      <c r="E6805" t="s">
        <v>123</v>
      </c>
      <c r="F6805" t="s">
        <v>124</v>
      </c>
      <c r="G6805" t="s">
        <v>170</v>
      </c>
      <c r="H6805" t="s">
        <v>171</v>
      </c>
      <c r="I6805" t="s">
        <v>44</v>
      </c>
      <c r="J6805" t="s">
        <v>45</v>
      </c>
      <c r="K6805" t="s">
        <v>47</v>
      </c>
      <c r="L6805" t="s">
        <v>48</v>
      </c>
      <c r="M6805" t="s">
        <v>172</v>
      </c>
      <c r="N6805">
        <v>783</v>
      </c>
      <c r="O6805" s="14">
        <v>0.92628260306082699</v>
      </c>
      <c r="P6805" s="14">
        <v>0.41950060334056599</v>
      </c>
      <c r="Q6805" t="str">
        <f t="shared" si="212"/>
        <v>50+</v>
      </c>
      <c r="R6805" t="str">
        <f t="shared" si="213"/>
        <v>[E7zpfyBt7Tw]|50+|Male|PLHIV_Residents.T2|CY2025Q3</v>
      </c>
    </row>
    <row r="6806" spans="4:18" x14ac:dyDescent="0.2">
      <c r="D6806" t="s">
        <v>125</v>
      </c>
      <c r="E6806" t="s">
        <v>126</v>
      </c>
      <c r="F6806" t="s">
        <v>127</v>
      </c>
      <c r="G6806" t="s">
        <v>170</v>
      </c>
      <c r="H6806" t="s">
        <v>171</v>
      </c>
      <c r="I6806" t="s">
        <v>27</v>
      </c>
      <c r="J6806" t="s">
        <v>28</v>
      </c>
      <c r="K6806" t="s">
        <v>29</v>
      </c>
      <c r="L6806" t="s">
        <v>30</v>
      </c>
      <c r="M6806" t="s">
        <v>172</v>
      </c>
      <c r="N6806">
        <v>1208</v>
      </c>
      <c r="O6806" s="14">
        <v>0.23845315328799199</v>
      </c>
      <c r="P6806" s="14">
        <v>0.25270639033988102</v>
      </c>
      <c r="Q6806" t="str">
        <f t="shared" si="212"/>
        <v>&lt;01</v>
      </c>
      <c r="R6806" t="str">
        <f t="shared" si="213"/>
        <v>[ZCjuwgaMB9u]|&lt;01|Female|PLHIV_Residents.T2|CY2025Q3</v>
      </c>
    </row>
    <row r="6807" spans="4:18" x14ac:dyDescent="0.2">
      <c r="D6807" t="s">
        <v>125</v>
      </c>
      <c r="E6807" t="s">
        <v>126</v>
      </c>
      <c r="F6807" t="s">
        <v>127</v>
      </c>
      <c r="G6807" t="s">
        <v>170</v>
      </c>
      <c r="H6807" t="s">
        <v>171</v>
      </c>
      <c r="I6807" t="s">
        <v>32</v>
      </c>
      <c r="J6807" t="s">
        <v>33</v>
      </c>
      <c r="K6807" t="s">
        <v>29</v>
      </c>
      <c r="L6807" t="s">
        <v>30</v>
      </c>
      <c r="M6807" t="s">
        <v>172</v>
      </c>
      <c r="N6807">
        <v>1712</v>
      </c>
      <c r="O6807" s="14">
        <v>0.49376656976528499</v>
      </c>
      <c r="P6807" s="14">
        <v>0.25270639033988102</v>
      </c>
      <c r="Q6807" t="str">
        <f t="shared" si="212"/>
        <v>01-09</v>
      </c>
      <c r="R6807" t="str">
        <f t="shared" si="213"/>
        <v>[ZCjuwgaMB9u]|01-09|Female|PLHIV_Residents.T2|CY2025Q3</v>
      </c>
    </row>
    <row r="6808" spans="4:18" x14ac:dyDescent="0.2">
      <c r="D6808" t="s">
        <v>125</v>
      </c>
      <c r="E6808" t="s">
        <v>126</v>
      </c>
      <c r="F6808" t="s">
        <v>127</v>
      </c>
      <c r="G6808" t="s">
        <v>170</v>
      </c>
      <c r="H6808" t="s">
        <v>171</v>
      </c>
      <c r="I6808" t="s">
        <v>35</v>
      </c>
      <c r="J6808" t="s">
        <v>36</v>
      </c>
      <c r="K6808" t="s">
        <v>29</v>
      </c>
      <c r="L6808" t="s">
        <v>30</v>
      </c>
      <c r="M6808" t="s">
        <v>172</v>
      </c>
      <c r="N6808">
        <v>1592</v>
      </c>
      <c r="O6808" s="14">
        <v>0.29133571800775798</v>
      </c>
      <c r="P6808" s="14">
        <v>0.25270639033988102</v>
      </c>
      <c r="Q6808" t="str">
        <f t="shared" si="212"/>
        <v>10-14</v>
      </c>
      <c r="R6808" t="str">
        <f t="shared" si="213"/>
        <v>[ZCjuwgaMB9u]|10-14|Female|PLHIV_Residents.T2|CY2025Q3</v>
      </c>
    </row>
    <row r="6809" spans="4:18" x14ac:dyDescent="0.2">
      <c r="D6809" t="s">
        <v>125</v>
      </c>
      <c r="E6809" t="s">
        <v>126</v>
      </c>
      <c r="F6809" t="s">
        <v>127</v>
      </c>
      <c r="G6809" t="s">
        <v>170</v>
      </c>
      <c r="H6809" t="s">
        <v>171</v>
      </c>
      <c r="I6809" t="s">
        <v>37</v>
      </c>
      <c r="J6809" t="s">
        <v>38</v>
      </c>
      <c r="K6809" t="s">
        <v>29</v>
      </c>
      <c r="L6809" t="s">
        <v>30</v>
      </c>
      <c r="M6809" t="s">
        <v>172</v>
      </c>
      <c r="N6809">
        <v>1423</v>
      </c>
      <c r="O6809" s="14">
        <v>0.59049438312649705</v>
      </c>
      <c r="P6809" s="14">
        <v>0.25270639033988102</v>
      </c>
      <c r="Q6809" t="str">
        <f t="shared" si="212"/>
        <v>15-24</v>
      </c>
      <c r="R6809" t="str">
        <f t="shared" si="213"/>
        <v>[ZCjuwgaMB9u]|15-24|Female|PLHIV_Residents.T2|CY2025Q3</v>
      </c>
    </row>
    <row r="6810" spans="4:18" x14ac:dyDescent="0.2">
      <c r="D6810" t="s">
        <v>125</v>
      </c>
      <c r="E6810" t="s">
        <v>126</v>
      </c>
      <c r="F6810" t="s">
        <v>127</v>
      </c>
      <c r="G6810" t="s">
        <v>170</v>
      </c>
      <c r="H6810" t="s">
        <v>171</v>
      </c>
      <c r="I6810" t="s">
        <v>40</v>
      </c>
      <c r="J6810" t="s">
        <v>41</v>
      </c>
      <c r="K6810" t="s">
        <v>29</v>
      </c>
      <c r="L6810" t="s">
        <v>30</v>
      </c>
      <c r="M6810" t="s">
        <v>172</v>
      </c>
      <c r="N6810">
        <v>1060</v>
      </c>
      <c r="O6810" s="14">
        <v>0.31114475266076602</v>
      </c>
      <c r="P6810" s="14">
        <v>0.25270639033988102</v>
      </c>
      <c r="Q6810" t="str">
        <f t="shared" si="212"/>
        <v>25-34</v>
      </c>
      <c r="R6810" t="str">
        <f t="shared" si="213"/>
        <v>[ZCjuwgaMB9u]|25-34|Female|PLHIV_Residents.T2|CY2025Q3</v>
      </c>
    </row>
    <row r="6811" spans="4:18" x14ac:dyDescent="0.2">
      <c r="D6811" t="s">
        <v>125</v>
      </c>
      <c r="E6811" t="s">
        <v>126</v>
      </c>
      <c r="F6811" t="s">
        <v>127</v>
      </c>
      <c r="G6811" t="s">
        <v>170</v>
      </c>
      <c r="H6811" t="s">
        <v>171</v>
      </c>
      <c r="I6811" t="s">
        <v>42</v>
      </c>
      <c r="J6811" t="s">
        <v>43</v>
      </c>
      <c r="K6811" t="s">
        <v>29</v>
      </c>
      <c r="L6811" t="s">
        <v>30</v>
      </c>
      <c r="M6811" t="s">
        <v>172</v>
      </c>
      <c r="N6811">
        <v>1454</v>
      </c>
      <c r="O6811" s="14">
        <v>0.30285415728576498</v>
      </c>
      <c r="P6811" s="14">
        <v>0.25270639033988102</v>
      </c>
      <c r="Q6811" t="str">
        <f t="shared" si="212"/>
        <v>35-49</v>
      </c>
      <c r="R6811" t="str">
        <f t="shared" si="213"/>
        <v>[ZCjuwgaMB9u]|35-49|Female|PLHIV_Residents.T2|CY2025Q3</v>
      </c>
    </row>
    <row r="6812" spans="4:18" x14ac:dyDescent="0.2">
      <c r="D6812" t="s">
        <v>125</v>
      </c>
      <c r="E6812" t="s">
        <v>126</v>
      </c>
      <c r="F6812" t="s">
        <v>127</v>
      </c>
      <c r="G6812" t="s">
        <v>170</v>
      </c>
      <c r="H6812" t="s">
        <v>171</v>
      </c>
      <c r="I6812" t="s">
        <v>44</v>
      </c>
      <c r="J6812" t="s">
        <v>45</v>
      </c>
      <c r="K6812" t="s">
        <v>29</v>
      </c>
      <c r="L6812" t="s">
        <v>30</v>
      </c>
      <c r="M6812" t="s">
        <v>172</v>
      </c>
      <c r="N6812">
        <v>971</v>
      </c>
      <c r="O6812" s="14">
        <v>0.89287326298654102</v>
      </c>
      <c r="P6812" s="14">
        <v>0.25270639033988102</v>
      </c>
      <c r="Q6812" t="str">
        <f t="shared" si="212"/>
        <v>50+</v>
      </c>
      <c r="R6812" t="str">
        <f t="shared" si="213"/>
        <v>[ZCjuwgaMB9u]|50+|Female|PLHIV_Residents.T2|CY2025Q3</v>
      </c>
    </row>
    <row r="6813" spans="4:18" x14ac:dyDescent="0.2">
      <c r="D6813" t="s">
        <v>125</v>
      </c>
      <c r="E6813" t="s">
        <v>126</v>
      </c>
      <c r="F6813" t="s">
        <v>127</v>
      </c>
      <c r="G6813" t="s">
        <v>170</v>
      </c>
      <c r="H6813" t="s">
        <v>171</v>
      </c>
      <c r="I6813" t="s">
        <v>27</v>
      </c>
      <c r="J6813" t="s">
        <v>28</v>
      </c>
      <c r="K6813" t="s">
        <v>47</v>
      </c>
      <c r="L6813" t="s">
        <v>48</v>
      </c>
      <c r="M6813" t="s">
        <v>172</v>
      </c>
      <c r="N6813">
        <v>715</v>
      </c>
      <c r="O6813" s="14">
        <v>0.88847136916592695</v>
      </c>
      <c r="P6813" s="14">
        <v>0.25270639033988102</v>
      </c>
      <c r="Q6813" t="str">
        <f t="shared" si="212"/>
        <v>&lt;01</v>
      </c>
      <c r="R6813" t="str">
        <f t="shared" si="213"/>
        <v>[ZCjuwgaMB9u]|&lt;01|Male|PLHIV_Residents.T2|CY2025Q3</v>
      </c>
    </row>
    <row r="6814" spans="4:18" x14ac:dyDescent="0.2">
      <c r="D6814" t="s">
        <v>125</v>
      </c>
      <c r="E6814" t="s">
        <v>126</v>
      </c>
      <c r="F6814" t="s">
        <v>127</v>
      </c>
      <c r="G6814" t="s">
        <v>170</v>
      </c>
      <c r="H6814" t="s">
        <v>171</v>
      </c>
      <c r="I6814" t="s">
        <v>32</v>
      </c>
      <c r="J6814" t="s">
        <v>33</v>
      </c>
      <c r="K6814" t="s">
        <v>47</v>
      </c>
      <c r="L6814" t="s">
        <v>48</v>
      </c>
      <c r="M6814" t="s">
        <v>172</v>
      </c>
      <c r="N6814">
        <v>813</v>
      </c>
      <c r="O6814" s="14">
        <v>3.3672540448606001E-3</v>
      </c>
      <c r="P6814" s="14">
        <v>0.25270639033988102</v>
      </c>
      <c r="Q6814" t="str">
        <f t="shared" si="212"/>
        <v>01-09</v>
      </c>
      <c r="R6814" t="str">
        <f t="shared" si="213"/>
        <v>[ZCjuwgaMB9u]|01-09|Male|PLHIV_Residents.T2|CY2025Q3</v>
      </c>
    </row>
    <row r="6815" spans="4:18" x14ac:dyDescent="0.2">
      <c r="D6815" t="s">
        <v>125</v>
      </c>
      <c r="E6815" t="s">
        <v>126</v>
      </c>
      <c r="F6815" t="s">
        <v>127</v>
      </c>
      <c r="G6815" t="s">
        <v>170</v>
      </c>
      <c r="H6815" t="s">
        <v>171</v>
      </c>
      <c r="I6815" t="s">
        <v>35</v>
      </c>
      <c r="J6815" t="s">
        <v>36</v>
      </c>
      <c r="K6815" t="s">
        <v>47</v>
      </c>
      <c r="L6815" t="s">
        <v>48</v>
      </c>
      <c r="M6815" t="s">
        <v>172</v>
      </c>
      <c r="N6815">
        <v>848</v>
      </c>
      <c r="O6815" s="14">
        <v>0.333531577838585</v>
      </c>
      <c r="P6815" s="14">
        <v>0.25270639033988102</v>
      </c>
      <c r="Q6815" t="str">
        <f t="shared" si="212"/>
        <v>10-14</v>
      </c>
      <c r="R6815" t="str">
        <f t="shared" si="213"/>
        <v>[ZCjuwgaMB9u]|10-14|Male|PLHIV_Residents.T2|CY2025Q3</v>
      </c>
    </row>
    <row r="6816" spans="4:18" x14ac:dyDescent="0.2">
      <c r="D6816" t="s">
        <v>125</v>
      </c>
      <c r="E6816" t="s">
        <v>126</v>
      </c>
      <c r="F6816" t="s">
        <v>127</v>
      </c>
      <c r="G6816" t="s">
        <v>170</v>
      </c>
      <c r="H6816" t="s">
        <v>171</v>
      </c>
      <c r="I6816" t="s">
        <v>37</v>
      </c>
      <c r="J6816" t="s">
        <v>38</v>
      </c>
      <c r="K6816" t="s">
        <v>47</v>
      </c>
      <c r="L6816" t="s">
        <v>48</v>
      </c>
      <c r="M6816" t="s">
        <v>172</v>
      </c>
      <c r="N6816">
        <v>1912</v>
      </c>
      <c r="O6816" s="14">
        <v>0.77341120783239603</v>
      </c>
      <c r="P6816" s="14">
        <v>0.25270639033988102</v>
      </c>
      <c r="Q6816" t="str">
        <f t="shared" si="212"/>
        <v>15-24</v>
      </c>
      <c r="R6816" t="str">
        <f t="shared" si="213"/>
        <v>[ZCjuwgaMB9u]|15-24|Male|PLHIV_Residents.T2|CY2025Q3</v>
      </c>
    </row>
    <row r="6817" spans="4:18" x14ac:dyDescent="0.2">
      <c r="D6817" t="s">
        <v>125</v>
      </c>
      <c r="E6817" t="s">
        <v>126</v>
      </c>
      <c r="F6817" t="s">
        <v>127</v>
      </c>
      <c r="G6817" t="s">
        <v>170</v>
      </c>
      <c r="H6817" t="s">
        <v>171</v>
      </c>
      <c r="I6817" t="s">
        <v>40</v>
      </c>
      <c r="J6817" t="s">
        <v>41</v>
      </c>
      <c r="K6817" t="s">
        <v>47</v>
      </c>
      <c r="L6817" t="s">
        <v>48</v>
      </c>
      <c r="M6817" t="s">
        <v>172</v>
      </c>
      <c r="N6817">
        <v>664</v>
      </c>
      <c r="O6817" s="14">
        <v>0.51238271291367699</v>
      </c>
      <c r="P6817" s="14">
        <v>0.25270639033988102</v>
      </c>
      <c r="Q6817" t="str">
        <f t="shared" si="212"/>
        <v>25-34</v>
      </c>
      <c r="R6817" t="str">
        <f t="shared" si="213"/>
        <v>[ZCjuwgaMB9u]|25-34|Male|PLHIV_Residents.T2|CY2025Q3</v>
      </c>
    </row>
    <row r="6818" spans="4:18" x14ac:dyDescent="0.2">
      <c r="D6818" t="s">
        <v>125</v>
      </c>
      <c r="E6818" t="s">
        <v>126</v>
      </c>
      <c r="F6818" t="s">
        <v>127</v>
      </c>
      <c r="G6818" t="s">
        <v>170</v>
      </c>
      <c r="H6818" t="s">
        <v>171</v>
      </c>
      <c r="I6818" t="s">
        <v>42</v>
      </c>
      <c r="J6818" t="s">
        <v>43</v>
      </c>
      <c r="K6818" t="s">
        <v>47</v>
      </c>
      <c r="L6818" t="s">
        <v>48</v>
      </c>
      <c r="M6818" t="s">
        <v>172</v>
      </c>
      <c r="N6818">
        <v>971</v>
      </c>
      <c r="O6818" s="14">
        <v>0.15969095425680299</v>
      </c>
      <c r="P6818" s="14">
        <v>0.25270639033988102</v>
      </c>
      <c r="Q6818" t="str">
        <f t="shared" si="212"/>
        <v>35-49</v>
      </c>
      <c r="R6818" t="str">
        <f t="shared" si="213"/>
        <v>[ZCjuwgaMB9u]|35-49|Male|PLHIV_Residents.T2|CY2025Q3</v>
      </c>
    </row>
    <row r="6819" spans="4:18" x14ac:dyDescent="0.2">
      <c r="D6819" t="s">
        <v>125</v>
      </c>
      <c r="E6819" t="s">
        <v>126</v>
      </c>
      <c r="F6819" t="s">
        <v>127</v>
      </c>
      <c r="G6819" t="s">
        <v>170</v>
      </c>
      <c r="H6819" t="s">
        <v>171</v>
      </c>
      <c r="I6819" t="s">
        <v>44</v>
      </c>
      <c r="J6819" t="s">
        <v>45</v>
      </c>
      <c r="K6819" t="s">
        <v>47</v>
      </c>
      <c r="L6819" t="s">
        <v>48</v>
      </c>
      <c r="M6819" t="s">
        <v>172</v>
      </c>
      <c r="N6819">
        <v>694</v>
      </c>
      <c r="O6819" s="14">
        <v>1.3751009246334401E-2</v>
      </c>
      <c r="P6819" s="14">
        <v>0.25270639033988102</v>
      </c>
      <c r="Q6819" t="str">
        <f t="shared" si="212"/>
        <v>50+</v>
      </c>
      <c r="R6819" t="str">
        <f t="shared" si="213"/>
        <v>[ZCjuwgaMB9u]|50+|Male|PLHIV_Residents.T2|CY2025Q3</v>
      </c>
    </row>
    <row r="6820" spans="4:18" x14ac:dyDescent="0.2">
      <c r="D6820" t="s">
        <v>128</v>
      </c>
      <c r="E6820" t="s">
        <v>129</v>
      </c>
      <c r="F6820" t="s">
        <v>130</v>
      </c>
      <c r="G6820" t="s">
        <v>170</v>
      </c>
      <c r="H6820" t="s">
        <v>171</v>
      </c>
      <c r="I6820" t="s">
        <v>27</v>
      </c>
      <c r="J6820" t="s">
        <v>28</v>
      </c>
      <c r="K6820" t="s">
        <v>29</v>
      </c>
      <c r="L6820" t="s">
        <v>30</v>
      </c>
      <c r="M6820" t="s">
        <v>172</v>
      </c>
      <c r="N6820">
        <v>1022</v>
      </c>
      <c r="O6820" s="14">
        <v>0.85731684463098601</v>
      </c>
      <c r="P6820" s="14">
        <v>0.55690808477811504</v>
      </c>
      <c r="Q6820" t="str">
        <f t="shared" si="212"/>
        <v>&lt;01</v>
      </c>
      <c r="R6820" t="str">
        <f t="shared" si="213"/>
        <v>[YCKiBAp8QAg]|&lt;01|Female|PLHIV_Residents.T2|CY2025Q3</v>
      </c>
    </row>
    <row r="6821" spans="4:18" x14ac:dyDescent="0.2">
      <c r="D6821" t="s">
        <v>128</v>
      </c>
      <c r="E6821" t="s">
        <v>129</v>
      </c>
      <c r="F6821" t="s">
        <v>130</v>
      </c>
      <c r="G6821" t="s">
        <v>170</v>
      </c>
      <c r="H6821" t="s">
        <v>171</v>
      </c>
      <c r="I6821" t="s">
        <v>32</v>
      </c>
      <c r="J6821" t="s">
        <v>33</v>
      </c>
      <c r="K6821" t="s">
        <v>29</v>
      </c>
      <c r="L6821" t="s">
        <v>30</v>
      </c>
      <c r="M6821" t="s">
        <v>172</v>
      </c>
      <c r="N6821">
        <v>1016</v>
      </c>
      <c r="O6821" s="14">
        <v>0.58125239587388899</v>
      </c>
      <c r="P6821" s="14">
        <v>0.55690808477811504</v>
      </c>
      <c r="Q6821" t="str">
        <f t="shared" si="212"/>
        <v>01-09</v>
      </c>
      <c r="R6821" t="str">
        <f t="shared" si="213"/>
        <v>[YCKiBAp8QAg]|01-09|Female|PLHIV_Residents.T2|CY2025Q3</v>
      </c>
    </row>
    <row r="6822" spans="4:18" x14ac:dyDescent="0.2">
      <c r="D6822" t="s">
        <v>128</v>
      </c>
      <c r="E6822" t="s">
        <v>129</v>
      </c>
      <c r="F6822" t="s">
        <v>130</v>
      </c>
      <c r="G6822" t="s">
        <v>170</v>
      </c>
      <c r="H6822" t="s">
        <v>171</v>
      </c>
      <c r="I6822" t="s">
        <v>35</v>
      </c>
      <c r="J6822" t="s">
        <v>36</v>
      </c>
      <c r="K6822" t="s">
        <v>29</v>
      </c>
      <c r="L6822" t="s">
        <v>30</v>
      </c>
      <c r="M6822" t="s">
        <v>172</v>
      </c>
      <c r="N6822">
        <v>1234</v>
      </c>
      <c r="O6822" s="14">
        <v>0.416850212262943</v>
      </c>
      <c r="P6822" s="14">
        <v>0.55690808477811504</v>
      </c>
      <c r="Q6822" t="str">
        <f t="shared" si="212"/>
        <v>10-14</v>
      </c>
      <c r="R6822" t="str">
        <f t="shared" si="213"/>
        <v>[YCKiBAp8QAg]|10-14|Female|PLHIV_Residents.T2|CY2025Q3</v>
      </c>
    </row>
    <row r="6823" spans="4:18" x14ac:dyDescent="0.2">
      <c r="D6823" t="s">
        <v>128</v>
      </c>
      <c r="E6823" t="s">
        <v>129</v>
      </c>
      <c r="F6823" t="s">
        <v>130</v>
      </c>
      <c r="G6823" t="s">
        <v>170</v>
      </c>
      <c r="H6823" t="s">
        <v>171</v>
      </c>
      <c r="I6823" t="s">
        <v>37</v>
      </c>
      <c r="J6823" t="s">
        <v>38</v>
      </c>
      <c r="K6823" t="s">
        <v>29</v>
      </c>
      <c r="L6823" t="s">
        <v>30</v>
      </c>
      <c r="M6823" t="s">
        <v>172</v>
      </c>
      <c r="N6823">
        <v>1348</v>
      </c>
      <c r="O6823" s="14">
        <v>0.65760310599580396</v>
      </c>
      <c r="P6823" s="14">
        <v>0.55690808477811504</v>
      </c>
      <c r="Q6823" t="str">
        <f t="shared" si="212"/>
        <v>15-24</v>
      </c>
      <c r="R6823" t="str">
        <f t="shared" si="213"/>
        <v>[YCKiBAp8QAg]|15-24|Female|PLHIV_Residents.T2|CY2025Q3</v>
      </c>
    </row>
    <row r="6824" spans="4:18" x14ac:dyDescent="0.2">
      <c r="D6824" t="s">
        <v>128</v>
      </c>
      <c r="E6824" t="s">
        <v>129</v>
      </c>
      <c r="F6824" t="s">
        <v>130</v>
      </c>
      <c r="G6824" t="s">
        <v>170</v>
      </c>
      <c r="H6824" t="s">
        <v>171</v>
      </c>
      <c r="I6824" t="s">
        <v>40</v>
      </c>
      <c r="J6824" t="s">
        <v>41</v>
      </c>
      <c r="K6824" t="s">
        <v>29</v>
      </c>
      <c r="L6824" t="s">
        <v>30</v>
      </c>
      <c r="M6824" t="s">
        <v>172</v>
      </c>
      <c r="N6824">
        <v>1792</v>
      </c>
      <c r="O6824" s="14">
        <v>0.90162625326775003</v>
      </c>
      <c r="P6824" s="14">
        <v>0.55690808477811504</v>
      </c>
      <c r="Q6824" t="str">
        <f t="shared" si="212"/>
        <v>25-34</v>
      </c>
      <c r="R6824" t="str">
        <f t="shared" si="213"/>
        <v>[YCKiBAp8QAg]|25-34|Female|PLHIV_Residents.T2|CY2025Q3</v>
      </c>
    </row>
    <row r="6825" spans="4:18" x14ac:dyDescent="0.2">
      <c r="D6825" t="s">
        <v>128</v>
      </c>
      <c r="E6825" t="s">
        <v>129</v>
      </c>
      <c r="F6825" t="s">
        <v>130</v>
      </c>
      <c r="G6825" t="s">
        <v>170</v>
      </c>
      <c r="H6825" t="s">
        <v>171</v>
      </c>
      <c r="I6825" t="s">
        <v>42</v>
      </c>
      <c r="J6825" t="s">
        <v>43</v>
      </c>
      <c r="K6825" t="s">
        <v>29</v>
      </c>
      <c r="L6825" t="s">
        <v>30</v>
      </c>
      <c r="M6825" t="s">
        <v>172</v>
      </c>
      <c r="N6825">
        <v>1042</v>
      </c>
      <c r="O6825" s="14">
        <v>0.21626485255546901</v>
      </c>
      <c r="P6825" s="14">
        <v>0.55690808477811504</v>
      </c>
      <c r="Q6825" t="str">
        <f t="shared" si="212"/>
        <v>35-49</v>
      </c>
      <c r="R6825" t="str">
        <f t="shared" si="213"/>
        <v>[YCKiBAp8QAg]|35-49|Female|PLHIV_Residents.T2|CY2025Q3</v>
      </c>
    </row>
    <row r="6826" spans="4:18" x14ac:dyDescent="0.2">
      <c r="D6826" t="s">
        <v>128</v>
      </c>
      <c r="E6826" t="s">
        <v>129</v>
      </c>
      <c r="F6826" t="s">
        <v>130</v>
      </c>
      <c r="G6826" t="s">
        <v>170</v>
      </c>
      <c r="H6826" t="s">
        <v>171</v>
      </c>
      <c r="I6826" t="s">
        <v>44</v>
      </c>
      <c r="J6826" t="s">
        <v>45</v>
      </c>
      <c r="K6826" t="s">
        <v>29</v>
      </c>
      <c r="L6826" t="s">
        <v>30</v>
      </c>
      <c r="M6826" t="s">
        <v>172</v>
      </c>
      <c r="N6826">
        <v>917</v>
      </c>
      <c r="O6826" s="14">
        <v>0.80290530528873205</v>
      </c>
      <c r="P6826" s="14">
        <v>0.55690808477811504</v>
      </c>
      <c r="Q6826" t="str">
        <f t="shared" si="212"/>
        <v>50+</v>
      </c>
      <c r="R6826" t="str">
        <f t="shared" si="213"/>
        <v>[YCKiBAp8QAg]|50+|Female|PLHIV_Residents.T2|CY2025Q3</v>
      </c>
    </row>
    <row r="6827" spans="4:18" x14ac:dyDescent="0.2">
      <c r="D6827" t="s">
        <v>128</v>
      </c>
      <c r="E6827" t="s">
        <v>129</v>
      </c>
      <c r="F6827" t="s">
        <v>130</v>
      </c>
      <c r="G6827" t="s">
        <v>170</v>
      </c>
      <c r="H6827" t="s">
        <v>171</v>
      </c>
      <c r="I6827" t="s">
        <v>27</v>
      </c>
      <c r="J6827" t="s">
        <v>28</v>
      </c>
      <c r="K6827" t="s">
        <v>47</v>
      </c>
      <c r="L6827" t="s">
        <v>48</v>
      </c>
      <c r="M6827" t="s">
        <v>172</v>
      </c>
      <c r="N6827">
        <v>1721</v>
      </c>
      <c r="O6827" s="14">
        <v>0.391457207966596</v>
      </c>
      <c r="P6827" s="14">
        <v>0.55690808477811504</v>
      </c>
      <c r="Q6827" t="str">
        <f t="shared" si="212"/>
        <v>&lt;01</v>
      </c>
      <c r="R6827" t="str">
        <f t="shared" si="213"/>
        <v>[YCKiBAp8QAg]|&lt;01|Male|PLHIV_Residents.T2|CY2025Q3</v>
      </c>
    </row>
    <row r="6828" spans="4:18" x14ac:dyDescent="0.2">
      <c r="D6828" t="s">
        <v>128</v>
      </c>
      <c r="E6828" t="s">
        <v>129</v>
      </c>
      <c r="F6828" t="s">
        <v>130</v>
      </c>
      <c r="G6828" t="s">
        <v>170</v>
      </c>
      <c r="H6828" t="s">
        <v>171</v>
      </c>
      <c r="I6828" t="s">
        <v>32</v>
      </c>
      <c r="J6828" t="s">
        <v>33</v>
      </c>
      <c r="K6828" t="s">
        <v>47</v>
      </c>
      <c r="L6828" t="s">
        <v>48</v>
      </c>
      <c r="M6828" t="s">
        <v>172</v>
      </c>
      <c r="N6828">
        <v>707</v>
      </c>
      <c r="O6828" s="14">
        <v>0.63344967761076998</v>
      </c>
      <c r="P6828" s="14">
        <v>0.55690808477811504</v>
      </c>
      <c r="Q6828" t="str">
        <f t="shared" si="212"/>
        <v>01-09</v>
      </c>
      <c r="R6828" t="str">
        <f t="shared" si="213"/>
        <v>[YCKiBAp8QAg]|01-09|Male|PLHIV_Residents.T2|CY2025Q3</v>
      </c>
    </row>
    <row r="6829" spans="4:18" x14ac:dyDescent="0.2">
      <c r="D6829" t="s">
        <v>128</v>
      </c>
      <c r="E6829" t="s">
        <v>129</v>
      </c>
      <c r="F6829" t="s">
        <v>130</v>
      </c>
      <c r="G6829" t="s">
        <v>170</v>
      </c>
      <c r="H6829" t="s">
        <v>171</v>
      </c>
      <c r="I6829" t="s">
        <v>35</v>
      </c>
      <c r="J6829" t="s">
        <v>36</v>
      </c>
      <c r="K6829" t="s">
        <v>47</v>
      </c>
      <c r="L6829" t="s">
        <v>48</v>
      </c>
      <c r="M6829" t="s">
        <v>172</v>
      </c>
      <c r="N6829">
        <v>577</v>
      </c>
      <c r="O6829" s="14">
        <v>0.130127802724019</v>
      </c>
      <c r="P6829" s="14">
        <v>0.55690808477811504</v>
      </c>
      <c r="Q6829" t="str">
        <f t="shared" si="212"/>
        <v>10-14</v>
      </c>
      <c r="R6829" t="str">
        <f t="shared" si="213"/>
        <v>[YCKiBAp8QAg]|10-14|Male|PLHIV_Residents.T2|CY2025Q3</v>
      </c>
    </row>
    <row r="6830" spans="4:18" x14ac:dyDescent="0.2">
      <c r="D6830" t="s">
        <v>128</v>
      </c>
      <c r="E6830" t="s">
        <v>129</v>
      </c>
      <c r="F6830" t="s">
        <v>130</v>
      </c>
      <c r="G6830" t="s">
        <v>170</v>
      </c>
      <c r="H6830" t="s">
        <v>171</v>
      </c>
      <c r="I6830" t="s">
        <v>37</v>
      </c>
      <c r="J6830" t="s">
        <v>38</v>
      </c>
      <c r="K6830" t="s">
        <v>47</v>
      </c>
      <c r="L6830" t="s">
        <v>48</v>
      </c>
      <c r="M6830" t="s">
        <v>172</v>
      </c>
      <c r="N6830">
        <v>1819</v>
      </c>
      <c r="O6830" s="14">
        <v>0.94474558858200897</v>
      </c>
      <c r="P6830" s="14">
        <v>0.55690808477811504</v>
      </c>
      <c r="Q6830" t="str">
        <f t="shared" si="212"/>
        <v>15-24</v>
      </c>
      <c r="R6830" t="str">
        <f t="shared" si="213"/>
        <v>[YCKiBAp8QAg]|15-24|Male|PLHIV_Residents.T2|CY2025Q3</v>
      </c>
    </row>
    <row r="6831" spans="4:18" x14ac:dyDescent="0.2">
      <c r="D6831" t="s">
        <v>128</v>
      </c>
      <c r="E6831" t="s">
        <v>129</v>
      </c>
      <c r="F6831" t="s">
        <v>130</v>
      </c>
      <c r="G6831" t="s">
        <v>170</v>
      </c>
      <c r="H6831" t="s">
        <v>171</v>
      </c>
      <c r="I6831" t="s">
        <v>40</v>
      </c>
      <c r="J6831" t="s">
        <v>41</v>
      </c>
      <c r="K6831" t="s">
        <v>47</v>
      </c>
      <c r="L6831" t="s">
        <v>48</v>
      </c>
      <c r="M6831" t="s">
        <v>172</v>
      </c>
      <c r="N6831">
        <v>1146</v>
      </c>
      <c r="O6831" s="14">
        <v>0.89632329833693802</v>
      </c>
      <c r="P6831" s="14">
        <v>0.55690808477811504</v>
      </c>
      <c r="Q6831" t="str">
        <f t="shared" si="212"/>
        <v>25-34</v>
      </c>
      <c r="R6831" t="str">
        <f t="shared" si="213"/>
        <v>[YCKiBAp8QAg]|25-34|Male|PLHIV_Residents.T2|CY2025Q3</v>
      </c>
    </row>
    <row r="6832" spans="4:18" x14ac:dyDescent="0.2">
      <c r="D6832" t="s">
        <v>128</v>
      </c>
      <c r="E6832" t="s">
        <v>129</v>
      </c>
      <c r="F6832" t="s">
        <v>130</v>
      </c>
      <c r="G6832" t="s">
        <v>170</v>
      </c>
      <c r="H6832" t="s">
        <v>171</v>
      </c>
      <c r="I6832" t="s">
        <v>42</v>
      </c>
      <c r="J6832" t="s">
        <v>43</v>
      </c>
      <c r="K6832" t="s">
        <v>47</v>
      </c>
      <c r="L6832" t="s">
        <v>48</v>
      </c>
      <c r="M6832" t="s">
        <v>172</v>
      </c>
      <c r="N6832">
        <v>840</v>
      </c>
      <c r="O6832" s="14">
        <v>0.19794022338464901</v>
      </c>
      <c r="P6832" s="14">
        <v>0.55690808477811504</v>
      </c>
      <c r="Q6832" t="str">
        <f t="shared" si="212"/>
        <v>35-49</v>
      </c>
      <c r="R6832" t="str">
        <f t="shared" si="213"/>
        <v>[YCKiBAp8QAg]|35-49|Male|PLHIV_Residents.T2|CY2025Q3</v>
      </c>
    </row>
    <row r="6833" spans="4:18" x14ac:dyDescent="0.2">
      <c r="D6833" t="s">
        <v>128</v>
      </c>
      <c r="E6833" t="s">
        <v>129</v>
      </c>
      <c r="F6833" t="s">
        <v>130</v>
      </c>
      <c r="G6833" t="s">
        <v>170</v>
      </c>
      <c r="H6833" t="s">
        <v>171</v>
      </c>
      <c r="I6833" t="s">
        <v>44</v>
      </c>
      <c r="J6833" t="s">
        <v>45</v>
      </c>
      <c r="K6833" t="s">
        <v>47</v>
      </c>
      <c r="L6833" t="s">
        <v>48</v>
      </c>
      <c r="M6833" t="s">
        <v>172</v>
      </c>
      <c r="N6833">
        <v>1063</v>
      </c>
      <c r="O6833" s="14">
        <v>0.593946770764887</v>
      </c>
      <c r="P6833" s="14">
        <v>0.55690808477811504</v>
      </c>
      <c r="Q6833" t="str">
        <f t="shared" si="212"/>
        <v>50+</v>
      </c>
      <c r="R6833" t="str">
        <f t="shared" si="213"/>
        <v>[YCKiBAp8QAg]|50+|Male|PLHIV_Residents.T2|CY2025Q3</v>
      </c>
    </row>
    <row r="6834" spans="4:18" x14ac:dyDescent="0.2">
      <c r="D6834" t="s">
        <v>131</v>
      </c>
      <c r="E6834" t="s">
        <v>132</v>
      </c>
      <c r="F6834" t="s">
        <v>133</v>
      </c>
      <c r="G6834" t="s">
        <v>170</v>
      </c>
      <c r="H6834" t="s">
        <v>171</v>
      </c>
      <c r="I6834" t="s">
        <v>27</v>
      </c>
      <c r="J6834" t="s">
        <v>28</v>
      </c>
      <c r="K6834" t="s">
        <v>29</v>
      </c>
      <c r="L6834" t="s">
        <v>30</v>
      </c>
      <c r="M6834" t="s">
        <v>172</v>
      </c>
      <c r="N6834">
        <v>1353</v>
      </c>
      <c r="O6834" s="14">
        <v>0.73142692074179605</v>
      </c>
      <c r="P6834" s="14">
        <v>0.16286319401115201</v>
      </c>
      <c r="Q6834" t="str">
        <f t="shared" si="212"/>
        <v>&lt;01</v>
      </c>
      <c r="R6834" t="str">
        <f t="shared" si="213"/>
        <v>[JQKLKuVuY61]|&lt;01|Female|PLHIV_Residents.T2|CY2025Q3</v>
      </c>
    </row>
    <row r="6835" spans="4:18" x14ac:dyDescent="0.2">
      <c r="D6835" t="s">
        <v>131</v>
      </c>
      <c r="E6835" t="s">
        <v>132</v>
      </c>
      <c r="F6835" t="s">
        <v>133</v>
      </c>
      <c r="G6835" t="s">
        <v>170</v>
      </c>
      <c r="H6835" t="s">
        <v>171</v>
      </c>
      <c r="I6835" t="s">
        <v>32</v>
      </c>
      <c r="J6835" t="s">
        <v>33</v>
      </c>
      <c r="K6835" t="s">
        <v>29</v>
      </c>
      <c r="L6835" t="s">
        <v>30</v>
      </c>
      <c r="M6835" t="s">
        <v>172</v>
      </c>
      <c r="N6835">
        <v>1266</v>
      </c>
      <c r="O6835" s="14">
        <v>0.10349499178119</v>
      </c>
      <c r="P6835" s="14">
        <v>0.16286319401115201</v>
      </c>
      <c r="Q6835" t="str">
        <f t="shared" si="212"/>
        <v>01-09</v>
      </c>
      <c r="R6835" t="str">
        <f t="shared" si="213"/>
        <v>[JQKLKuVuY61]|01-09|Female|PLHIV_Residents.T2|CY2025Q3</v>
      </c>
    </row>
    <row r="6836" spans="4:18" x14ac:dyDescent="0.2">
      <c r="D6836" t="s">
        <v>131</v>
      </c>
      <c r="E6836" t="s">
        <v>132</v>
      </c>
      <c r="F6836" t="s">
        <v>133</v>
      </c>
      <c r="G6836" t="s">
        <v>170</v>
      </c>
      <c r="H6836" t="s">
        <v>171</v>
      </c>
      <c r="I6836" t="s">
        <v>35</v>
      </c>
      <c r="J6836" t="s">
        <v>36</v>
      </c>
      <c r="K6836" t="s">
        <v>29</v>
      </c>
      <c r="L6836" t="s">
        <v>30</v>
      </c>
      <c r="M6836" t="s">
        <v>172</v>
      </c>
      <c r="N6836">
        <v>513</v>
      </c>
      <c r="O6836" s="14">
        <v>0.38710210332646999</v>
      </c>
      <c r="P6836" s="14">
        <v>0.16286319401115201</v>
      </c>
      <c r="Q6836" t="str">
        <f t="shared" si="212"/>
        <v>10-14</v>
      </c>
      <c r="R6836" t="str">
        <f t="shared" si="213"/>
        <v>[JQKLKuVuY61]|10-14|Female|PLHIV_Residents.T2|CY2025Q3</v>
      </c>
    </row>
    <row r="6837" spans="4:18" x14ac:dyDescent="0.2">
      <c r="D6837" t="s">
        <v>131</v>
      </c>
      <c r="E6837" t="s">
        <v>132</v>
      </c>
      <c r="F6837" t="s">
        <v>133</v>
      </c>
      <c r="G6837" t="s">
        <v>170</v>
      </c>
      <c r="H6837" t="s">
        <v>171</v>
      </c>
      <c r="I6837" t="s">
        <v>37</v>
      </c>
      <c r="J6837" t="s">
        <v>38</v>
      </c>
      <c r="K6837" t="s">
        <v>29</v>
      </c>
      <c r="L6837" t="s">
        <v>30</v>
      </c>
      <c r="M6837" t="s">
        <v>172</v>
      </c>
      <c r="N6837">
        <v>1957</v>
      </c>
      <c r="O6837" s="14">
        <v>0.88574683200568005</v>
      </c>
      <c r="P6837" s="14">
        <v>0.16286319401115201</v>
      </c>
      <c r="Q6837" t="str">
        <f t="shared" si="212"/>
        <v>15-24</v>
      </c>
      <c r="R6837" t="str">
        <f t="shared" si="213"/>
        <v>[JQKLKuVuY61]|15-24|Female|PLHIV_Residents.T2|CY2025Q3</v>
      </c>
    </row>
    <row r="6838" spans="4:18" x14ac:dyDescent="0.2">
      <c r="D6838" t="s">
        <v>131</v>
      </c>
      <c r="E6838" t="s">
        <v>132</v>
      </c>
      <c r="F6838" t="s">
        <v>133</v>
      </c>
      <c r="G6838" t="s">
        <v>170</v>
      </c>
      <c r="H6838" t="s">
        <v>171</v>
      </c>
      <c r="I6838" t="s">
        <v>40</v>
      </c>
      <c r="J6838" t="s">
        <v>41</v>
      </c>
      <c r="K6838" t="s">
        <v>29</v>
      </c>
      <c r="L6838" t="s">
        <v>30</v>
      </c>
      <c r="M6838" t="s">
        <v>172</v>
      </c>
      <c r="N6838">
        <v>897</v>
      </c>
      <c r="O6838" s="14">
        <v>0.28733825637027599</v>
      </c>
      <c r="P6838" s="14">
        <v>0.16286319401115201</v>
      </c>
      <c r="Q6838" t="str">
        <f t="shared" si="212"/>
        <v>25-34</v>
      </c>
      <c r="R6838" t="str">
        <f t="shared" si="213"/>
        <v>[JQKLKuVuY61]|25-34|Female|PLHIV_Residents.T2|CY2025Q3</v>
      </c>
    </row>
    <row r="6839" spans="4:18" x14ac:dyDescent="0.2">
      <c r="D6839" t="s">
        <v>131</v>
      </c>
      <c r="E6839" t="s">
        <v>132</v>
      </c>
      <c r="F6839" t="s">
        <v>133</v>
      </c>
      <c r="G6839" t="s">
        <v>170</v>
      </c>
      <c r="H6839" t="s">
        <v>171</v>
      </c>
      <c r="I6839" t="s">
        <v>42</v>
      </c>
      <c r="J6839" t="s">
        <v>43</v>
      </c>
      <c r="K6839" t="s">
        <v>29</v>
      </c>
      <c r="L6839" t="s">
        <v>30</v>
      </c>
      <c r="M6839" t="s">
        <v>172</v>
      </c>
      <c r="N6839">
        <v>1550</v>
      </c>
      <c r="O6839" s="14">
        <v>0.536342717939988</v>
      </c>
      <c r="P6839" s="14">
        <v>0.16286319401115201</v>
      </c>
      <c r="Q6839" t="str">
        <f t="shared" si="212"/>
        <v>35-49</v>
      </c>
      <c r="R6839" t="str">
        <f t="shared" si="213"/>
        <v>[JQKLKuVuY61]|35-49|Female|PLHIV_Residents.T2|CY2025Q3</v>
      </c>
    </row>
    <row r="6840" spans="4:18" x14ac:dyDescent="0.2">
      <c r="D6840" t="s">
        <v>131</v>
      </c>
      <c r="E6840" t="s">
        <v>132</v>
      </c>
      <c r="F6840" t="s">
        <v>133</v>
      </c>
      <c r="G6840" t="s">
        <v>170</v>
      </c>
      <c r="H6840" t="s">
        <v>171</v>
      </c>
      <c r="I6840" t="s">
        <v>44</v>
      </c>
      <c r="J6840" t="s">
        <v>45</v>
      </c>
      <c r="K6840" t="s">
        <v>29</v>
      </c>
      <c r="L6840" t="s">
        <v>30</v>
      </c>
      <c r="M6840" t="s">
        <v>172</v>
      </c>
      <c r="N6840">
        <v>1039</v>
      </c>
      <c r="O6840" s="14">
        <v>0.17891416256316001</v>
      </c>
      <c r="P6840" s="14">
        <v>0.16286319401115201</v>
      </c>
      <c r="Q6840" t="str">
        <f t="shared" si="212"/>
        <v>50+</v>
      </c>
      <c r="R6840" t="str">
        <f t="shared" si="213"/>
        <v>[JQKLKuVuY61]|50+|Female|PLHIV_Residents.T2|CY2025Q3</v>
      </c>
    </row>
    <row r="6841" spans="4:18" x14ac:dyDescent="0.2">
      <c r="D6841" t="s">
        <v>131</v>
      </c>
      <c r="E6841" t="s">
        <v>132</v>
      </c>
      <c r="F6841" t="s">
        <v>133</v>
      </c>
      <c r="G6841" t="s">
        <v>170</v>
      </c>
      <c r="H6841" t="s">
        <v>171</v>
      </c>
      <c r="I6841" t="s">
        <v>27</v>
      </c>
      <c r="J6841" t="s">
        <v>28</v>
      </c>
      <c r="K6841" t="s">
        <v>47</v>
      </c>
      <c r="L6841" t="s">
        <v>48</v>
      </c>
      <c r="M6841" t="s">
        <v>172</v>
      </c>
      <c r="N6841">
        <v>1564</v>
      </c>
      <c r="O6841" s="14">
        <v>0.786849116208032</v>
      </c>
      <c r="P6841" s="14">
        <v>0.16286319401115201</v>
      </c>
      <c r="Q6841" t="str">
        <f t="shared" si="212"/>
        <v>&lt;01</v>
      </c>
      <c r="R6841" t="str">
        <f t="shared" si="213"/>
        <v>[JQKLKuVuY61]|&lt;01|Male|PLHIV_Residents.T2|CY2025Q3</v>
      </c>
    </row>
    <row r="6842" spans="4:18" x14ac:dyDescent="0.2">
      <c r="D6842" t="s">
        <v>131</v>
      </c>
      <c r="E6842" t="s">
        <v>132</v>
      </c>
      <c r="F6842" t="s">
        <v>133</v>
      </c>
      <c r="G6842" t="s">
        <v>170</v>
      </c>
      <c r="H6842" t="s">
        <v>171</v>
      </c>
      <c r="I6842" t="s">
        <v>32</v>
      </c>
      <c r="J6842" t="s">
        <v>33</v>
      </c>
      <c r="K6842" t="s">
        <v>47</v>
      </c>
      <c r="L6842" t="s">
        <v>48</v>
      </c>
      <c r="M6842" t="s">
        <v>172</v>
      </c>
      <c r="N6842">
        <v>1165</v>
      </c>
      <c r="O6842" s="14">
        <v>0.55762077518738795</v>
      </c>
      <c r="P6842" s="14">
        <v>0.16286319401115201</v>
      </c>
      <c r="Q6842" t="str">
        <f t="shared" si="212"/>
        <v>01-09</v>
      </c>
      <c r="R6842" t="str">
        <f t="shared" si="213"/>
        <v>[JQKLKuVuY61]|01-09|Male|PLHIV_Residents.T2|CY2025Q3</v>
      </c>
    </row>
    <row r="6843" spans="4:18" x14ac:dyDescent="0.2">
      <c r="D6843" t="s">
        <v>131</v>
      </c>
      <c r="E6843" t="s">
        <v>132</v>
      </c>
      <c r="F6843" t="s">
        <v>133</v>
      </c>
      <c r="G6843" t="s">
        <v>170</v>
      </c>
      <c r="H6843" t="s">
        <v>171</v>
      </c>
      <c r="I6843" t="s">
        <v>35</v>
      </c>
      <c r="J6843" t="s">
        <v>36</v>
      </c>
      <c r="K6843" t="s">
        <v>47</v>
      </c>
      <c r="L6843" t="s">
        <v>48</v>
      </c>
      <c r="M6843" t="s">
        <v>172</v>
      </c>
      <c r="N6843">
        <v>663</v>
      </c>
      <c r="O6843" s="14">
        <v>0.54458602447994098</v>
      </c>
      <c r="P6843" s="14">
        <v>0.16286319401115201</v>
      </c>
      <c r="Q6843" t="str">
        <f t="shared" si="212"/>
        <v>10-14</v>
      </c>
      <c r="R6843" t="str">
        <f t="shared" si="213"/>
        <v>[JQKLKuVuY61]|10-14|Male|PLHIV_Residents.T2|CY2025Q3</v>
      </c>
    </row>
    <row r="6844" spans="4:18" x14ac:dyDescent="0.2">
      <c r="D6844" t="s">
        <v>131</v>
      </c>
      <c r="E6844" t="s">
        <v>132</v>
      </c>
      <c r="F6844" t="s">
        <v>133</v>
      </c>
      <c r="G6844" t="s">
        <v>170</v>
      </c>
      <c r="H6844" t="s">
        <v>171</v>
      </c>
      <c r="I6844" t="s">
        <v>37</v>
      </c>
      <c r="J6844" t="s">
        <v>38</v>
      </c>
      <c r="K6844" t="s">
        <v>47</v>
      </c>
      <c r="L6844" t="s">
        <v>48</v>
      </c>
      <c r="M6844" t="s">
        <v>172</v>
      </c>
      <c r="N6844">
        <v>1540</v>
      </c>
      <c r="O6844" s="14">
        <v>0.77579732984304395</v>
      </c>
      <c r="P6844" s="14">
        <v>0.16286319401115201</v>
      </c>
      <c r="Q6844" t="str">
        <f t="shared" si="212"/>
        <v>15-24</v>
      </c>
      <c r="R6844" t="str">
        <f t="shared" si="213"/>
        <v>[JQKLKuVuY61]|15-24|Male|PLHIV_Residents.T2|CY2025Q3</v>
      </c>
    </row>
    <row r="6845" spans="4:18" x14ac:dyDescent="0.2">
      <c r="D6845" t="s">
        <v>131</v>
      </c>
      <c r="E6845" t="s">
        <v>132</v>
      </c>
      <c r="F6845" t="s">
        <v>133</v>
      </c>
      <c r="G6845" t="s">
        <v>170</v>
      </c>
      <c r="H6845" t="s">
        <v>171</v>
      </c>
      <c r="I6845" t="s">
        <v>40</v>
      </c>
      <c r="J6845" t="s">
        <v>41</v>
      </c>
      <c r="K6845" t="s">
        <v>47</v>
      </c>
      <c r="L6845" t="s">
        <v>48</v>
      </c>
      <c r="M6845" t="s">
        <v>172</v>
      </c>
      <c r="N6845">
        <v>1691</v>
      </c>
      <c r="O6845" s="14">
        <v>0.424123058561236</v>
      </c>
      <c r="P6845" s="14">
        <v>0.16286319401115201</v>
      </c>
      <c r="Q6845" t="str">
        <f t="shared" si="212"/>
        <v>25-34</v>
      </c>
      <c r="R6845" t="str">
        <f t="shared" si="213"/>
        <v>[JQKLKuVuY61]|25-34|Male|PLHIV_Residents.T2|CY2025Q3</v>
      </c>
    </row>
    <row r="6846" spans="4:18" x14ac:dyDescent="0.2">
      <c r="D6846" t="s">
        <v>131</v>
      </c>
      <c r="E6846" t="s">
        <v>132</v>
      </c>
      <c r="F6846" t="s">
        <v>133</v>
      </c>
      <c r="G6846" t="s">
        <v>170</v>
      </c>
      <c r="H6846" t="s">
        <v>171</v>
      </c>
      <c r="I6846" t="s">
        <v>42</v>
      </c>
      <c r="J6846" t="s">
        <v>43</v>
      </c>
      <c r="K6846" t="s">
        <v>47</v>
      </c>
      <c r="L6846" t="s">
        <v>48</v>
      </c>
      <c r="M6846" t="s">
        <v>172</v>
      </c>
      <c r="N6846">
        <v>1817</v>
      </c>
      <c r="O6846" s="14">
        <v>0.72163391672074795</v>
      </c>
      <c r="P6846" s="14">
        <v>0.16286319401115201</v>
      </c>
      <c r="Q6846" t="str">
        <f t="shared" si="212"/>
        <v>35-49</v>
      </c>
      <c r="R6846" t="str">
        <f t="shared" si="213"/>
        <v>[JQKLKuVuY61]|35-49|Male|PLHIV_Residents.T2|CY2025Q3</v>
      </c>
    </row>
    <row r="6847" spans="4:18" x14ac:dyDescent="0.2">
      <c r="D6847" t="s">
        <v>131</v>
      </c>
      <c r="E6847" t="s">
        <v>132</v>
      </c>
      <c r="F6847" t="s">
        <v>133</v>
      </c>
      <c r="G6847" t="s">
        <v>170</v>
      </c>
      <c r="H6847" t="s">
        <v>171</v>
      </c>
      <c r="I6847" t="s">
        <v>44</v>
      </c>
      <c r="J6847" t="s">
        <v>45</v>
      </c>
      <c r="K6847" t="s">
        <v>47</v>
      </c>
      <c r="L6847" t="s">
        <v>48</v>
      </c>
      <c r="M6847" t="s">
        <v>172</v>
      </c>
      <c r="N6847">
        <v>1801</v>
      </c>
      <c r="O6847" s="14">
        <v>0.43180991103872701</v>
      </c>
      <c r="P6847" s="14">
        <v>0.16286319401115201</v>
      </c>
      <c r="Q6847" t="str">
        <f t="shared" si="212"/>
        <v>50+</v>
      </c>
      <c r="R6847" t="str">
        <f t="shared" si="213"/>
        <v>[JQKLKuVuY61]|50+|Male|PLHIV_Residents.T2|CY2025Q3</v>
      </c>
    </row>
    <row r="6848" spans="4:18" x14ac:dyDescent="0.2">
      <c r="D6848" t="s">
        <v>134</v>
      </c>
      <c r="E6848" t="s">
        <v>135</v>
      </c>
      <c r="F6848" t="s">
        <v>136</v>
      </c>
      <c r="G6848" t="s">
        <v>170</v>
      </c>
      <c r="H6848" t="s">
        <v>171</v>
      </c>
      <c r="I6848" t="s">
        <v>27</v>
      </c>
      <c r="J6848" t="s">
        <v>28</v>
      </c>
      <c r="K6848" t="s">
        <v>29</v>
      </c>
      <c r="L6848" t="s">
        <v>30</v>
      </c>
      <c r="M6848" t="s">
        <v>172</v>
      </c>
      <c r="N6848">
        <v>1836</v>
      </c>
      <c r="O6848" s="14">
        <v>0.158645421033725</v>
      </c>
      <c r="P6848" s="14">
        <v>0.95530052832327805</v>
      </c>
      <c r="Q6848" t="str">
        <f t="shared" si="212"/>
        <v>&lt;01</v>
      </c>
      <c r="R6848" t="str">
        <f t="shared" si="213"/>
        <v>[fiRkU6gEjLz]|&lt;01|Female|PLHIV_Residents.T2|CY2025Q3</v>
      </c>
    </row>
    <row r="6849" spans="4:18" x14ac:dyDescent="0.2">
      <c r="D6849" t="s">
        <v>134</v>
      </c>
      <c r="E6849" t="s">
        <v>135</v>
      </c>
      <c r="F6849" t="s">
        <v>136</v>
      </c>
      <c r="G6849" t="s">
        <v>170</v>
      </c>
      <c r="H6849" t="s">
        <v>171</v>
      </c>
      <c r="I6849" t="s">
        <v>32</v>
      </c>
      <c r="J6849" t="s">
        <v>33</v>
      </c>
      <c r="K6849" t="s">
        <v>29</v>
      </c>
      <c r="L6849" t="s">
        <v>30</v>
      </c>
      <c r="M6849" t="s">
        <v>172</v>
      </c>
      <c r="N6849">
        <v>921</v>
      </c>
      <c r="O6849" s="14">
        <v>0.58123726188205205</v>
      </c>
      <c r="P6849" s="14">
        <v>0.95530052832327805</v>
      </c>
      <c r="Q6849" t="str">
        <f t="shared" si="212"/>
        <v>01-09</v>
      </c>
      <c r="R6849" t="str">
        <f t="shared" si="213"/>
        <v>[fiRkU6gEjLz]|01-09|Female|PLHIV_Residents.T2|CY2025Q3</v>
      </c>
    </row>
    <row r="6850" spans="4:18" x14ac:dyDescent="0.2">
      <c r="D6850" t="s">
        <v>134</v>
      </c>
      <c r="E6850" t="s">
        <v>135</v>
      </c>
      <c r="F6850" t="s">
        <v>136</v>
      </c>
      <c r="G6850" t="s">
        <v>170</v>
      </c>
      <c r="H6850" t="s">
        <v>171</v>
      </c>
      <c r="I6850" t="s">
        <v>35</v>
      </c>
      <c r="J6850" t="s">
        <v>36</v>
      </c>
      <c r="K6850" t="s">
        <v>29</v>
      </c>
      <c r="L6850" t="s">
        <v>30</v>
      </c>
      <c r="M6850" t="s">
        <v>172</v>
      </c>
      <c r="N6850">
        <v>1125</v>
      </c>
      <c r="O6850" s="14">
        <v>0.69818772072903801</v>
      </c>
      <c r="P6850" s="14">
        <v>0.95530052832327805</v>
      </c>
      <c r="Q6850" t="str">
        <f t="shared" ref="Q6850:Q6913" si="214">SUBSTITUTE(SUBSTITUTE($I6850,CHAR(61),""),CHAR(34),"")</f>
        <v>10-14</v>
      </c>
      <c r="R6850" t="str">
        <f t="shared" ref="R6850:R6913" si="215">IF($D6850&lt;&gt;"","["&amp;$E6850&amp;"]"&amp;"|"&amp;$Q6850&amp;"|"&amp;$K6850&amp;"|"&amp;$G6850&amp;"|"&amp;IF($G6850="TX_CURR_SUBNAT.R","CY2022Q4",$M6850),"")</f>
        <v>[fiRkU6gEjLz]|10-14|Female|PLHIV_Residents.T2|CY2025Q3</v>
      </c>
    </row>
    <row r="6851" spans="4:18" x14ac:dyDescent="0.2">
      <c r="D6851" t="s">
        <v>134</v>
      </c>
      <c r="E6851" t="s">
        <v>135</v>
      </c>
      <c r="F6851" t="s">
        <v>136</v>
      </c>
      <c r="G6851" t="s">
        <v>170</v>
      </c>
      <c r="H6851" t="s">
        <v>171</v>
      </c>
      <c r="I6851" t="s">
        <v>37</v>
      </c>
      <c r="J6851" t="s">
        <v>38</v>
      </c>
      <c r="K6851" t="s">
        <v>29</v>
      </c>
      <c r="L6851" t="s">
        <v>30</v>
      </c>
      <c r="M6851" t="s">
        <v>172</v>
      </c>
      <c r="N6851">
        <v>678</v>
      </c>
      <c r="O6851" s="14">
        <v>0.83173181605525304</v>
      </c>
      <c r="P6851" s="14">
        <v>0.95530052832327805</v>
      </c>
      <c r="Q6851" t="str">
        <f t="shared" si="214"/>
        <v>15-24</v>
      </c>
      <c r="R6851" t="str">
        <f t="shared" si="215"/>
        <v>[fiRkU6gEjLz]|15-24|Female|PLHIV_Residents.T2|CY2025Q3</v>
      </c>
    </row>
    <row r="6852" spans="4:18" x14ac:dyDescent="0.2">
      <c r="D6852" t="s">
        <v>134</v>
      </c>
      <c r="E6852" t="s">
        <v>135</v>
      </c>
      <c r="F6852" t="s">
        <v>136</v>
      </c>
      <c r="G6852" t="s">
        <v>170</v>
      </c>
      <c r="H6852" t="s">
        <v>171</v>
      </c>
      <c r="I6852" t="s">
        <v>40</v>
      </c>
      <c r="J6852" t="s">
        <v>41</v>
      </c>
      <c r="K6852" t="s">
        <v>29</v>
      </c>
      <c r="L6852" t="s">
        <v>30</v>
      </c>
      <c r="M6852" t="s">
        <v>172</v>
      </c>
      <c r="N6852">
        <v>836</v>
      </c>
      <c r="O6852" s="14">
        <v>0.55860816501081001</v>
      </c>
      <c r="P6852" s="14">
        <v>0.95530052832327805</v>
      </c>
      <c r="Q6852" t="str">
        <f t="shared" si="214"/>
        <v>25-34</v>
      </c>
      <c r="R6852" t="str">
        <f t="shared" si="215"/>
        <v>[fiRkU6gEjLz]|25-34|Female|PLHIV_Residents.T2|CY2025Q3</v>
      </c>
    </row>
    <row r="6853" spans="4:18" x14ac:dyDescent="0.2">
      <c r="D6853" t="s">
        <v>134</v>
      </c>
      <c r="E6853" t="s">
        <v>135</v>
      </c>
      <c r="F6853" t="s">
        <v>136</v>
      </c>
      <c r="G6853" t="s">
        <v>170</v>
      </c>
      <c r="H6853" t="s">
        <v>171</v>
      </c>
      <c r="I6853" t="s">
        <v>42</v>
      </c>
      <c r="J6853" t="s">
        <v>43</v>
      </c>
      <c r="K6853" t="s">
        <v>29</v>
      </c>
      <c r="L6853" t="s">
        <v>30</v>
      </c>
      <c r="M6853" t="s">
        <v>172</v>
      </c>
      <c r="N6853">
        <v>1131</v>
      </c>
      <c r="O6853" s="14">
        <v>0.88912464445456896</v>
      </c>
      <c r="P6853" s="14">
        <v>0.95530052832327805</v>
      </c>
      <c r="Q6853" t="str">
        <f t="shared" si="214"/>
        <v>35-49</v>
      </c>
      <c r="R6853" t="str">
        <f t="shared" si="215"/>
        <v>[fiRkU6gEjLz]|35-49|Female|PLHIV_Residents.T2|CY2025Q3</v>
      </c>
    </row>
    <row r="6854" spans="4:18" x14ac:dyDescent="0.2">
      <c r="D6854" t="s">
        <v>134</v>
      </c>
      <c r="E6854" t="s">
        <v>135</v>
      </c>
      <c r="F6854" t="s">
        <v>136</v>
      </c>
      <c r="G6854" t="s">
        <v>170</v>
      </c>
      <c r="H6854" t="s">
        <v>171</v>
      </c>
      <c r="I6854" t="s">
        <v>44</v>
      </c>
      <c r="J6854" t="s">
        <v>45</v>
      </c>
      <c r="K6854" t="s">
        <v>29</v>
      </c>
      <c r="L6854" t="s">
        <v>30</v>
      </c>
      <c r="M6854" t="s">
        <v>172</v>
      </c>
      <c r="N6854">
        <v>575</v>
      </c>
      <c r="O6854" s="14">
        <v>4.7214952763169997E-2</v>
      </c>
      <c r="P6854" s="14">
        <v>0.95530052832327805</v>
      </c>
      <c r="Q6854" t="str">
        <f t="shared" si="214"/>
        <v>50+</v>
      </c>
      <c r="R6854" t="str">
        <f t="shared" si="215"/>
        <v>[fiRkU6gEjLz]|50+|Female|PLHIV_Residents.T2|CY2025Q3</v>
      </c>
    </row>
    <row r="6855" spans="4:18" x14ac:dyDescent="0.2">
      <c r="D6855" t="s">
        <v>134</v>
      </c>
      <c r="E6855" t="s">
        <v>135</v>
      </c>
      <c r="F6855" t="s">
        <v>136</v>
      </c>
      <c r="G6855" t="s">
        <v>170</v>
      </c>
      <c r="H6855" t="s">
        <v>171</v>
      </c>
      <c r="I6855" t="s">
        <v>27</v>
      </c>
      <c r="J6855" t="s">
        <v>28</v>
      </c>
      <c r="K6855" t="s">
        <v>47</v>
      </c>
      <c r="L6855" t="s">
        <v>48</v>
      </c>
      <c r="M6855" t="s">
        <v>172</v>
      </c>
      <c r="N6855">
        <v>1872</v>
      </c>
      <c r="O6855" s="14">
        <v>0.77545110741630197</v>
      </c>
      <c r="P6855" s="14">
        <v>0.95530052832327805</v>
      </c>
      <c r="Q6855" t="str">
        <f t="shared" si="214"/>
        <v>&lt;01</v>
      </c>
      <c r="R6855" t="str">
        <f t="shared" si="215"/>
        <v>[fiRkU6gEjLz]|&lt;01|Male|PLHIV_Residents.T2|CY2025Q3</v>
      </c>
    </row>
    <row r="6856" spans="4:18" x14ac:dyDescent="0.2">
      <c r="D6856" t="s">
        <v>134</v>
      </c>
      <c r="E6856" t="s">
        <v>135</v>
      </c>
      <c r="F6856" t="s">
        <v>136</v>
      </c>
      <c r="G6856" t="s">
        <v>170</v>
      </c>
      <c r="H6856" t="s">
        <v>171</v>
      </c>
      <c r="I6856" t="s">
        <v>32</v>
      </c>
      <c r="J6856" t="s">
        <v>33</v>
      </c>
      <c r="K6856" t="s">
        <v>47</v>
      </c>
      <c r="L6856" t="s">
        <v>48</v>
      </c>
      <c r="M6856" t="s">
        <v>172</v>
      </c>
      <c r="N6856">
        <v>1309</v>
      </c>
      <c r="O6856" s="14">
        <v>0.14503317838534699</v>
      </c>
      <c r="P6856" s="14">
        <v>0.95530052832327805</v>
      </c>
      <c r="Q6856" t="str">
        <f t="shared" si="214"/>
        <v>01-09</v>
      </c>
      <c r="R6856" t="str">
        <f t="shared" si="215"/>
        <v>[fiRkU6gEjLz]|01-09|Male|PLHIV_Residents.T2|CY2025Q3</v>
      </c>
    </row>
    <row r="6857" spans="4:18" x14ac:dyDescent="0.2">
      <c r="D6857" t="s">
        <v>134</v>
      </c>
      <c r="E6857" t="s">
        <v>135</v>
      </c>
      <c r="F6857" t="s">
        <v>136</v>
      </c>
      <c r="G6857" t="s">
        <v>170</v>
      </c>
      <c r="H6857" t="s">
        <v>171</v>
      </c>
      <c r="I6857" t="s">
        <v>35</v>
      </c>
      <c r="J6857" t="s">
        <v>36</v>
      </c>
      <c r="K6857" t="s">
        <v>47</v>
      </c>
      <c r="L6857" t="s">
        <v>48</v>
      </c>
      <c r="M6857" t="s">
        <v>172</v>
      </c>
      <c r="N6857">
        <v>1021</v>
      </c>
      <c r="O6857" s="14">
        <v>3.0736466869711902E-3</v>
      </c>
      <c r="P6857" s="14">
        <v>0.95530052832327805</v>
      </c>
      <c r="Q6857" t="str">
        <f t="shared" si="214"/>
        <v>10-14</v>
      </c>
      <c r="R6857" t="str">
        <f t="shared" si="215"/>
        <v>[fiRkU6gEjLz]|10-14|Male|PLHIV_Residents.T2|CY2025Q3</v>
      </c>
    </row>
    <row r="6858" spans="4:18" x14ac:dyDescent="0.2">
      <c r="D6858" t="s">
        <v>134</v>
      </c>
      <c r="E6858" t="s">
        <v>135</v>
      </c>
      <c r="F6858" t="s">
        <v>136</v>
      </c>
      <c r="G6858" t="s">
        <v>170</v>
      </c>
      <c r="H6858" t="s">
        <v>171</v>
      </c>
      <c r="I6858" t="s">
        <v>37</v>
      </c>
      <c r="J6858" t="s">
        <v>38</v>
      </c>
      <c r="K6858" t="s">
        <v>47</v>
      </c>
      <c r="L6858" t="s">
        <v>48</v>
      </c>
      <c r="M6858" t="s">
        <v>172</v>
      </c>
      <c r="N6858">
        <v>1041</v>
      </c>
      <c r="O6858" s="14">
        <v>0.332880154019222</v>
      </c>
      <c r="P6858" s="14">
        <v>0.95530052832327805</v>
      </c>
      <c r="Q6858" t="str">
        <f t="shared" si="214"/>
        <v>15-24</v>
      </c>
      <c r="R6858" t="str">
        <f t="shared" si="215"/>
        <v>[fiRkU6gEjLz]|15-24|Male|PLHIV_Residents.T2|CY2025Q3</v>
      </c>
    </row>
    <row r="6859" spans="4:18" x14ac:dyDescent="0.2">
      <c r="D6859" t="s">
        <v>134</v>
      </c>
      <c r="E6859" t="s">
        <v>135</v>
      </c>
      <c r="F6859" t="s">
        <v>136</v>
      </c>
      <c r="G6859" t="s">
        <v>170</v>
      </c>
      <c r="H6859" t="s">
        <v>171</v>
      </c>
      <c r="I6859" t="s">
        <v>40</v>
      </c>
      <c r="J6859" t="s">
        <v>41</v>
      </c>
      <c r="K6859" t="s">
        <v>47</v>
      </c>
      <c r="L6859" t="s">
        <v>48</v>
      </c>
      <c r="M6859" t="s">
        <v>172</v>
      </c>
      <c r="N6859">
        <v>979</v>
      </c>
      <c r="O6859" s="14">
        <v>0.95298710744827997</v>
      </c>
      <c r="P6859" s="14">
        <v>0.95530052832327805</v>
      </c>
      <c r="Q6859" t="str">
        <f t="shared" si="214"/>
        <v>25-34</v>
      </c>
      <c r="R6859" t="str">
        <f t="shared" si="215"/>
        <v>[fiRkU6gEjLz]|25-34|Male|PLHIV_Residents.T2|CY2025Q3</v>
      </c>
    </row>
    <row r="6860" spans="4:18" x14ac:dyDescent="0.2">
      <c r="D6860" t="s">
        <v>134</v>
      </c>
      <c r="E6860" t="s">
        <v>135</v>
      </c>
      <c r="F6860" t="s">
        <v>136</v>
      </c>
      <c r="G6860" t="s">
        <v>170</v>
      </c>
      <c r="H6860" t="s">
        <v>171</v>
      </c>
      <c r="I6860" t="s">
        <v>42</v>
      </c>
      <c r="J6860" t="s">
        <v>43</v>
      </c>
      <c r="K6860" t="s">
        <v>47</v>
      </c>
      <c r="L6860" t="s">
        <v>48</v>
      </c>
      <c r="M6860" t="s">
        <v>172</v>
      </c>
      <c r="N6860">
        <v>1449</v>
      </c>
      <c r="O6860" s="14">
        <v>0.60949240345507905</v>
      </c>
      <c r="P6860" s="14">
        <v>0.95530052832327805</v>
      </c>
      <c r="Q6860" t="str">
        <f t="shared" si="214"/>
        <v>35-49</v>
      </c>
      <c r="R6860" t="str">
        <f t="shared" si="215"/>
        <v>[fiRkU6gEjLz]|35-49|Male|PLHIV_Residents.T2|CY2025Q3</v>
      </c>
    </row>
    <row r="6861" spans="4:18" x14ac:dyDescent="0.2">
      <c r="D6861" t="s">
        <v>134</v>
      </c>
      <c r="E6861" t="s">
        <v>135</v>
      </c>
      <c r="F6861" t="s">
        <v>136</v>
      </c>
      <c r="G6861" t="s">
        <v>170</v>
      </c>
      <c r="H6861" t="s">
        <v>171</v>
      </c>
      <c r="I6861" t="s">
        <v>44</v>
      </c>
      <c r="J6861" t="s">
        <v>45</v>
      </c>
      <c r="K6861" t="s">
        <v>47</v>
      </c>
      <c r="L6861" t="s">
        <v>48</v>
      </c>
      <c r="M6861" t="s">
        <v>172</v>
      </c>
      <c r="N6861">
        <v>1358</v>
      </c>
      <c r="O6861" s="14">
        <v>0.99654772249050405</v>
      </c>
      <c r="P6861" s="14">
        <v>0.95530052832327805</v>
      </c>
      <c r="Q6861" t="str">
        <f t="shared" si="214"/>
        <v>50+</v>
      </c>
      <c r="R6861" t="str">
        <f t="shared" si="215"/>
        <v>[fiRkU6gEjLz]|50+|Male|PLHIV_Residents.T2|CY2025Q3</v>
      </c>
    </row>
    <row r="6862" spans="4:18" x14ac:dyDescent="0.2">
      <c r="D6862" t="s">
        <v>22</v>
      </c>
      <c r="E6862" t="s">
        <v>23</v>
      </c>
      <c r="F6862" t="s">
        <v>24</v>
      </c>
      <c r="G6862" t="s">
        <v>173</v>
      </c>
      <c r="H6862" t="s">
        <v>173</v>
      </c>
      <c r="I6862" t="s">
        <v>27</v>
      </c>
      <c r="J6862" t="s">
        <v>28</v>
      </c>
      <c r="K6862" t="s">
        <v>29</v>
      </c>
      <c r="L6862" t="s">
        <v>30</v>
      </c>
      <c r="M6862" t="s">
        <v>172</v>
      </c>
      <c r="N6862">
        <v>1481</v>
      </c>
      <c r="O6862" s="14">
        <v>0.748052718350664</v>
      </c>
      <c r="P6862" s="14">
        <v>0.40435861097648701</v>
      </c>
      <c r="Q6862" t="str">
        <f t="shared" si="214"/>
        <v>&lt;01</v>
      </c>
      <c r="R6862" t="str">
        <f t="shared" si="215"/>
        <v>[GkIwZrXy1h2]|&lt;01|Female|PLHIV_Attend.T2|CY2025Q3</v>
      </c>
    </row>
    <row r="6863" spans="4:18" x14ac:dyDescent="0.2">
      <c r="D6863" t="s">
        <v>22</v>
      </c>
      <c r="E6863" t="s">
        <v>23</v>
      </c>
      <c r="F6863" t="s">
        <v>24</v>
      </c>
      <c r="G6863" t="s">
        <v>173</v>
      </c>
      <c r="H6863" t="s">
        <v>173</v>
      </c>
      <c r="I6863" t="s">
        <v>32</v>
      </c>
      <c r="J6863" t="s">
        <v>33</v>
      </c>
      <c r="K6863" t="s">
        <v>29</v>
      </c>
      <c r="L6863" t="s">
        <v>30</v>
      </c>
      <c r="M6863" t="s">
        <v>172</v>
      </c>
      <c r="N6863">
        <v>560</v>
      </c>
      <c r="O6863" s="14">
        <v>0.106758311158046</v>
      </c>
      <c r="P6863" s="14">
        <v>0.40435861097648701</v>
      </c>
      <c r="Q6863" t="str">
        <f t="shared" si="214"/>
        <v>01-09</v>
      </c>
      <c r="R6863" t="str">
        <f t="shared" si="215"/>
        <v>[GkIwZrXy1h2]|01-09|Female|PLHIV_Attend.T2|CY2025Q3</v>
      </c>
    </row>
    <row r="6864" spans="4:18" x14ac:dyDescent="0.2">
      <c r="D6864" t="s">
        <v>22</v>
      </c>
      <c r="E6864" t="s">
        <v>23</v>
      </c>
      <c r="F6864" t="s">
        <v>24</v>
      </c>
      <c r="G6864" t="s">
        <v>173</v>
      </c>
      <c r="H6864" t="s">
        <v>173</v>
      </c>
      <c r="I6864" t="s">
        <v>35</v>
      </c>
      <c r="J6864" t="s">
        <v>36</v>
      </c>
      <c r="K6864" t="s">
        <v>29</v>
      </c>
      <c r="L6864" t="s">
        <v>30</v>
      </c>
      <c r="M6864" t="s">
        <v>172</v>
      </c>
      <c r="N6864">
        <v>1148</v>
      </c>
      <c r="O6864" s="14">
        <v>0.48748708376660899</v>
      </c>
      <c r="P6864" s="14">
        <v>0.40435861097648701</v>
      </c>
      <c r="Q6864" t="str">
        <f t="shared" si="214"/>
        <v>10-14</v>
      </c>
      <c r="R6864" t="str">
        <f t="shared" si="215"/>
        <v>[GkIwZrXy1h2]|10-14|Female|PLHIV_Attend.T2|CY2025Q3</v>
      </c>
    </row>
    <row r="6865" spans="4:18" x14ac:dyDescent="0.2">
      <c r="D6865" t="s">
        <v>22</v>
      </c>
      <c r="E6865" t="s">
        <v>23</v>
      </c>
      <c r="F6865" t="s">
        <v>24</v>
      </c>
      <c r="G6865" t="s">
        <v>173</v>
      </c>
      <c r="H6865" t="s">
        <v>173</v>
      </c>
      <c r="I6865" t="s">
        <v>37</v>
      </c>
      <c r="J6865" t="s">
        <v>38</v>
      </c>
      <c r="K6865" t="s">
        <v>29</v>
      </c>
      <c r="L6865" t="s">
        <v>30</v>
      </c>
      <c r="M6865" t="s">
        <v>172</v>
      </c>
      <c r="N6865">
        <v>1362</v>
      </c>
      <c r="O6865" s="14">
        <v>0.88292565848678395</v>
      </c>
      <c r="P6865" s="14">
        <v>0.40435861097648701</v>
      </c>
      <c r="Q6865" t="str">
        <f t="shared" si="214"/>
        <v>15-24</v>
      </c>
      <c r="R6865" t="str">
        <f t="shared" si="215"/>
        <v>[GkIwZrXy1h2]|15-24|Female|PLHIV_Attend.T2|CY2025Q3</v>
      </c>
    </row>
    <row r="6866" spans="4:18" x14ac:dyDescent="0.2">
      <c r="D6866" t="s">
        <v>22</v>
      </c>
      <c r="E6866" t="s">
        <v>23</v>
      </c>
      <c r="F6866" t="s">
        <v>24</v>
      </c>
      <c r="G6866" t="s">
        <v>173</v>
      </c>
      <c r="H6866" t="s">
        <v>173</v>
      </c>
      <c r="I6866" t="s">
        <v>40</v>
      </c>
      <c r="J6866" t="s">
        <v>41</v>
      </c>
      <c r="K6866" t="s">
        <v>29</v>
      </c>
      <c r="L6866" t="s">
        <v>30</v>
      </c>
      <c r="M6866" t="s">
        <v>172</v>
      </c>
      <c r="N6866">
        <v>903</v>
      </c>
      <c r="O6866" s="14">
        <v>0.110328598180786</v>
      </c>
      <c r="P6866" s="14">
        <v>0.40435861097648701</v>
      </c>
      <c r="Q6866" t="str">
        <f t="shared" si="214"/>
        <v>25-34</v>
      </c>
      <c r="R6866" t="str">
        <f t="shared" si="215"/>
        <v>[GkIwZrXy1h2]|25-34|Female|PLHIV_Attend.T2|CY2025Q3</v>
      </c>
    </row>
    <row r="6867" spans="4:18" x14ac:dyDescent="0.2">
      <c r="D6867" t="s">
        <v>22</v>
      </c>
      <c r="E6867" t="s">
        <v>23</v>
      </c>
      <c r="F6867" t="s">
        <v>24</v>
      </c>
      <c r="G6867" t="s">
        <v>173</v>
      </c>
      <c r="H6867" t="s">
        <v>173</v>
      </c>
      <c r="I6867" t="s">
        <v>42</v>
      </c>
      <c r="J6867" t="s">
        <v>43</v>
      </c>
      <c r="K6867" t="s">
        <v>29</v>
      </c>
      <c r="L6867" t="s">
        <v>30</v>
      </c>
      <c r="M6867" t="s">
        <v>172</v>
      </c>
      <c r="N6867">
        <v>1877</v>
      </c>
      <c r="O6867" s="14">
        <v>0.12960171187296499</v>
      </c>
      <c r="P6867" s="14">
        <v>0.40435861097648701</v>
      </c>
      <c r="Q6867" t="str">
        <f t="shared" si="214"/>
        <v>35-49</v>
      </c>
      <c r="R6867" t="str">
        <f t="shared" si="215"/>
        <v>[GkIwZrXy1h2]|35-49|Female|PLHIV_Attend.T2|CY2025Q3</v>
      </c>
    </row>
    <row r="6868" spans="4:18" x14ac:dyDescent="0.2">
      <c r="D6868" t="s">
        <v>22</v>
      </c>
      <c r="E6868" t="s">
        <v>23</v>
      </c>
      <c r="F6868" t="s">
        <v>24</v>
      </c>
      <c r="G6868" t="s">
        <v>173</v>
      </c>
      <c r="H6868" t="s">
        <v>173</v>
      </c>
      <c r="I6868" t="s">
        <v>44</v>
      </c>
      <c r="J6868" t="s">
        <v>45</v>
      </c>
      <c r="K6868" t="s">
        <v>29</v>
      </c>
      <c r="L6868" t="s">
        <v>30</v>
      </c>
      <c r="M6868" t="s">
        <v>172</v>
      </c>
      <c r="N6868">
        <v>1465</v>
      </c>
      <c r="O6868" s="14">
        <v>0.220720499753952</v>
      </c>
      <c r="P6868" s="14">
        <v>0.40435861097648701</v>
      </c>
      <c r="Q6868" t="str">
        <f t="shared" si="214"/>
        <v>50+</v>
      </c>
      <c r="R6868" t="str">
        <f t="shared" si="215"/>
        <v>[GkIwZrXy1h2]|50+|Female|PLHIV_Attend.T2|CY2025Q3</v>
      </c>
    </row>
    <row r="6869" spans="4:18" x14ac:dyDescent="0.2">
      <c r="D6869" t="s">
        <v>22</v>
      </c>
      <c r="E6869" t="s">
        <v>23</v>
      </c>
      <c r="F6869" t="s">
        <v>24</v>
      </c>
      <c r="G6869" t="s">
        <v>173</v>
      </c>
      <c r="H6869" t="s">
        <v>173</v>
      </c>
      <c r="I6869" t="s">
        <v>27</v>
      </c>
      <c r="J6869" t="s">
        <v>28</v>
      </c>
      <c r="K6869" t="s">
        <v>47</v>
      </c>
      <c r="L6869" t="s">
        <v>48</v>
      </c>
      <c r="M6869" t="s">
        <v>172</v>
      </c>
      <c r="N6869">
        <v>1057</v>
      </c>
      <c r="O6869" s="14">
        <v>0.71259155939333096</v>
      </c>
      <c r="P6869" s="14">
        <v>0.40435861097648701</v>
      </c>
      <c r="Q6869" t="str">
        <f t="shared" si="214"/>
        <v>&lt;01</v>
      </c>
      <c r="R6869" t="str">
        <f t="shared" si="215"/>
        <v>[GkIwZrXy1h2]|&lt;01|Male|PLHIV_Attend.T2|CY2025Q3</v>
      </c>
    </row>
    <row r="6870" spans="4:18" x14ac:dyDescent="0.2">
      <c r="D6870" t="s">
        <v>22</v>
      </c>
      <c r="E6870" t="s">
        <v>23</v>
      </c>
      <c r="F6870" t="s">
        <v>24</v>
      </c>
      <c r="G6870" t="s">
        <v>173</v>
      </c>
      <c r="H6870" t="s">
        <v>173</v>
      </c>
      <c r="I6870" t="s">
        <v>32</v>
      </c>
      <c r="J6870" t="s">
        <v>33</v>
      </c>
      <c r="K6870" t="s">
        <v>47</v>
      </c>
      <c r="L6870" t="s">
        <v>48</v>
      </c>
      <c r="M6870" t="s">
        <v>172</v>
      </c>
      <c r="N6870">
        <v>1481</v>
      </c>
      <c r="O6870" s="14">
        <v>0.93466896400786903</v>
      </c>
      <c r="P6870" s="14">
        <v>0.40435861097648701</v>
      </c>
      <c r="Q6870" t="str">
        <f t="shared" si="214"/>
        <v>01-09</v>
      </c>
      <c r="R6870" t="str">
        <f t="shared" si="215"/>
        <v>[GkIwZrXy1h2]|01-09|Male|PLHIV_Attend.T2|CY2025Q3</v>
      </c>
    </row>
    <row r="6871" spans="4:18" x14ac:dyDescent="0.2">
      <c r="D6871" t="s">
        <v>22</v>
      </c>
      <c r="E6871" t="s">
        <v>23</v>
      </c>
      <c r="F6871" t="s">
        <v>24</v>
      </c>
      <c r="G6871" t="s">
        <v>173</v>
      </c>
      <c r="H6871" t="s">
        <v>173</v>
      </c>
      <c r="I6871" t="s">
        <v>35</v>
      </c>
      <c r="J6871" t="s">
        <v>36</v>
      </c>
      <c r="K6871" t="s">
        <v>47</v>
      </c>
      <c r="L6871" t="s">
        <v>48</v>
      </c>
      <c r="M6871" t="s">
        <v>172</v>
      </c>
      <c r="N6871">
        <v>855</v>
      </c>
      <c r="O6871" s="14">
        <v>0.75706026749685396</v>
      </c>
      <c r="P6871" s="14">
        <v>0.40435861097648701</v>
      </c>
      <c r="Q6871" t="str">
        <f t="shared" si="214"/>
        <v>10-14</v>
      </c>
      <c r="R6871" t="str">
        <f t="shared" si="215"/>
        <v>[GkIwZrXy1h2]|10-14|Male|PLHIV_Attend.T2|CY2025Q3</v>
      </c>
    </row>
    <row r="6872" spans="4:18" x14ac:dyDescent="0.2">
      <c r="D6872" t="s">
        <v>22</v>
      </c>
      <c r="E6872" t="s">
        <v>23</v>
      </c>
      <c r="F6872" t="s">
        <v>24</v>
      </c>
      <c r="G6872" t="s">
        <v>173</v>
      </c>
      <c r="H6872" t="s">
        <v>173</v>
      </c>
      <c r="I6872" t="s">
        <v>37</v>
      </c>
      <c r="J6872" t="s">
        <v>38</v>
      </c>
      <c r="K6872" t="s">
        <v>47</v>
      </c>
      <c r="L6872" t="s">
        <v>48</v>
      </c>
      <c r="M6872" t="s">
        <v>172</v>
      </c>
      <c r="N6872">
        <v>1529</v>
      </c>
      <c r="O6872" s="14">
        <v>0.89982756879180703</v>
      </c>
      <c r="P6872" s="14">
        <v>0.40435861097648701</v>
      </c>
      <c r="Q6872" t="str">
        <f t="shared" si="214"/>
        <v>15-24</v>
      </c>
      <c r="R6872" t="str">
        <f t="shared" si="215"/>
        <v>[GkIwZrXy1h2]|15-24|Male|PLHIV_Attend.T2|CY2025Q3</v>
      </c>
    </row>
    <row r="6873" spans="4:18" x14ac:dyDescent="0.2">
      <c r="D6873" t="s">
        <v>22</v>
      </c>
      <c r="E6873" t="s">
        <v>23</v>
      </c>
      <c r="F6873" t="s">
        <v>24</v>
      </c>
      <c r="G6873" t="s">
        <v>173</v>
      </c>
      <c r="H6873" t="s">
        <v>173</v>
      </c>
      <c r="I6873" t="s">
        <v>40</v>
      </c>
      <c r="J6873" t="s">
        <v>41</v>
      </c>
      <c r="K6873" t="s">
        <v>47</v>
      </c>
      <c r="L6873" t="s">
        <v>48</v>
      </c>
      <c r="M6873" t="s">
        <v>172</v>
      </c>
      <c r="N6873">
        <v>1859</v>
      </c>
      <c r="O6873" s="14">
        <v>0.122975568519905</v>
      </c>
      <c r="P6873" s="14">
        <v>0.40435861097648701</v>
      </c>
      <c r="Q6873" t="str">
        <f t="shared" si="214"/>
        <v>25-34</v>
      </c>
      <c r="R6873" t="str">
        <f t="shared" si="215"/>
        <v>[GkIwZrXy1h2]|25-34|Male|PLHIV_Attend.T2|CY2025Q3</v>
      </c>
    </row>
    <row r="6874" spans="4:18" x14ac:dyDescent="0.2">
      <c r="D6874" t="s">
        <v>22</v>
      </c>
      <c r="E6874" t="s">
        <v>23</v>
      </c>
      <c r="F6874" t="s">
        <v>24</v>
      </c>
      <c r="G6874" t="s">
        <v>173</v>
      </c>
      <c r="H6874" t="s">
        <v>173</v>
      </c>
      <c r="I6874" t="s">
        <v>42</v>
      </c>
      <c r="J6874" t="s">
        <v>43</v>
      </c>
      <c r="K6874" t="s">
        <v>47</v>
      </c>
      <c r="L6874" t="s">
        <v>48</v>
      </c>
      <c r="M6874" t="s">
        <v>172</v>
      </c>
      <c r="N6874">
        <v>1486</v>
      </c>
      <c r="O6874" s="14">
        <v>0.193824126152322</v>
      </c>
      <c r="P6874" s="14">
        <v>0.40435861097648701</v>
      </c>
      <c r="Q6874" t="str">
        <f t="shared" si="214"/>
        <v>35-49</v>
      </c>
      <c r="R6874" t="str">
        <f t="shared" si="215"/>
        <v>[GkIwZrXy1h2]|35-49|Male|PLHIV_Attend.T2|CY2025Q3</v>
      </c>
    </row>
    <row r="6875" spans="4:18" x14ac:dyDescent="0.2">
      <c r="D6875" t="s">
        <v>22</v>
      </c>
      <c r="E6875" t="s">
        <v>23</v>
      </c>
      <c r="F6875" t="s">
        <v>24</v>
      </c>
      <c r="G6875" t="s">
        <v>173</v>
      </c>
      <c r="H6875" t="s">
        <v>173</v>
      </c>
      <c r="I6875" t="s">
        <v>44</v>
      </c>
      <c r="J6875" t="s">
        <v>45</v>
      </c>
      <c r="K6875" t="s">
        <v>47</v>
      </c>
      <c r="L6875" t="s">
        <v>48</v>
      </c>
      <c r="M6875" t="s">
        <v>172</v>
      </c>
      <c r="N6875">
        <v>1359</v>
      </c>
      <c r="O6875" s="14">
        <v>0.461857738671824</v>
      </c>
      <c r="P6875" s="14">
        <v>0.40435861097648701</v>
      </c>
      <c r="Q6875" t="str">
        <f t="shared" si="214"/>
        <v>50+</v>
      </c>
      <c r="R6875" t="str">
        <f t="shared" si="215"/>
        <v>[GkIwZrXy1h2]|50+|Male|PLHIV_Attend.T2|CY2025Q3</v>
      </c>
    </row>
    <row r="6876" spans="4:18" x14ac:dyDescent="0.2">
      <c r="D6876" t="s">
        <v>52</v>
      </c>
      <c r="E6876" t="s">
        <v>53</v>
      </c>
      <c r="F6876" t="s">
        <v>54</v>
      </c>
      <c r="G6876" t="s">
        <v>173</v>
      </c>
      <c r="H6876" t="s">
        <v>173</v>
      </c>
      <c r="I6876" t="s">
        <v>27</v>
      </c>
      <c r="J6876" t="s">
        <v>28</v>
      </c>
      <c r="K6876" t="s">
        <v>29</v>
      </c>
      <c r="L6876" t="s">
        <v>30</v>
      </c>
      <c r="M6876" t="s">
        <v>172</v>
      </c>
      <c r="N6876">
        <v>508</v>
      </c>
      <c r="O6876" s="14">
        <v>0.44200704805552998</v>
      </c>
      <c r="P6876" s="14">
        <v>0.61639246996492103</v>
      </c>
      <c r="Q6876" t="str">
        <f t="shared" si="214"/>
        <v>&lt;01</v>
      </c>
      <c r="R6876" t="str">
        <f t="shared" si="215"/>
        <v>[zphK9WV8JB4]|&lt;01|Female|PLHIV_Attend.T2|CY2025Q3</v>
      </c>
    </row>
    <row r="6877" spans="4:18" x14ac:dyDescent="0.2">
      <c r="D6877" t="s">
        <v>52</v>
      </c>
      <c r="E6877" t="s">
        <v>53</v>
      </c>
      <c r="F6877" t="s">
        <v>54</v>
      </c>
      <c r="G6877" t="s">
        <v>173</v>
      </c>
      <c r="H6877" t="s">
        <v>173</v>
      </c>
      <c r="I6877" t="s">
        <v>32</v>
      </c>
      <c r="J6877" t="s">
        <v>33</v>
      </c>
      <c r="K6877" t="s">
        <v>29</v>
      </c>
      <c r="L6877" t="s">
        <v>30</v>
      </c>
      <c r="M6877" t="s">
        <v>172</v>
      </c>
      <c r="N6877">
        <v>1679</v>
      </c>
      <c r="O6877" s="14">
        <v>0.61662960355170104</v>
      </c>
      <c r="P6877" s="14">
        <v>0.61639246996492103</v>
      </c>
      <c r="Q6877" t="str">
        <f t="shared" si="214"/>
        <v>01-09</v>
      </c>
      <c r="R6877" t="str">
        <f t="shared" si="215"/>
        <v>[zphK9WV8JB4]|01-09|Female|PLHIV_Attend.T2|CY2025Q3</v>
      </c>
    </row>
    <row r="6878" spans="4:18" x14ac:dyDescent="0.2">
      <c r="D6878" t="s">
        <v>52</v>
      </c>
      <c r="E6878" t="s">
        <v>53</v>
      </c>
      <c r="F6878" t="s">
        <v>54</v>
      </c>
      <c r="G6878" t="s">
        <v>173</v>
      </c>
      <c r="H6878" t="s">
        <v>173</v>
      </c>
      <c r="I6878" t="s">
        <v>35</v>
      </c>
      <c r="J6878" t="s">
        <v>36</v>
      </c>
      <c r="K6878" t="s">
        <v>29</v>
      </c>
      <c r="L6878" t="s">
        <v>30</v>
      </c>
      <c r="M6878" t="s">
        <v>172</v>
      </c>
      <c r="N6878">
        <v>987</v>
      </c>
      <c r="O6878" s="14">
        <v>0.18063587369397299</v>
      </c>
      <c r="P6878" s="14">
        <v>0.61639246996492103</v>
      </c>
      <c r="Q6878" t="str">
        <f t="shared" si="214"/>
        <v>10-14</v>
      </c>
      <c r="R6878" t="str">
        <f t="shared" si="215"/>
        <v>[zphK9WV8JB4]|10-14|Female|PLHIV_Attend.T2|CY2025Q3</v>
      </c>
    </row>
    <row r="6879" spans="4:18" x14ac:dyDescent="0.2">
      <c r="D6879" t="s">
        <v>52</v>
      </c>
      <c r="E6879" t="s">
        <v>53</v>
      </c>
      <c r="F6879" t="s">
        <v>54</v>
      </c>
      <c r="G6879" t="s">
        <v>173</v>
      </c>
      <c r="H6879" t="s">
        <v>173</v>
      </c>
      <c r="I6879" t="s">
        <v>37</v>
      </c>
      <c r="J6879" t="s">
        <v>38</v>
      </c>
      <c r="K6879" t="s">
        <v>29</v>
      </c>
      <c r="L6879" t="s">
        <v>30</v>
      </c>
      <c r="M6879" t="s">
        <v>172</v>
      </c>
      <c r="N6879">
        <v>746</v>
      </c>
      <c r="O6879" s="14">
        <v>0.39766620378941298</v>
      </c>
      <c r="P6879" s="14">
        <v>0.61639246996492103</v>
      </c>
      <c r="Q6879" t="str">
        <f t="shared" si="214"/>
        <v>15-24</v>
      </c>
      <c r="R6879" t="str">
        <f t="shared" si="215"/>
        <v>[zphK9WV8JB4]|15-24|Female|PLHIV_Attend.T2|CY2025Q3</v>
      </c>
    </row>
    <row r="6880" spans="4:18" x14ac:dyDescent="0.2">
      <c r="D6880" t="s">
        <v>52</v>
      </c>
      <c r="E6880" t="s">
        <v>53</v>
      </c>
      <c r="F6880" t="s">
        <v>54</v>
      </c>
      <c r="G6880" t="s">
        <v>173</v>
      </c>
      <c r="H6880" t="s">
        <v>173</v>
      </c>
      <c r="I6880" t="s">
        <v>40</v>
      </c>
      <c r="J6880" t="s">
        <v>41</v>
      </c>
      <c r="K6880" t="s">
        <v>29</v>
      </c>
      <c r="L6880" t="s">
        <v>30</v>
      </c>
      <c r="M6880" t="s">
        <v>172</v>
      </c>
      <c r="N6880">
        <v>1389</v>
      </c>
      <c r="O6880" s="14">
        <v>0.93309623328968905</v>
      </c>
      <c r="P6880" s="14">
        <v>0.61639246996492103</v>
      </c>
      <c r="Q6880" t="str">
        <f t="shared" si="214"/>
        <v>25-34</v>
      </c>
      <c r="R6880" t="str">
        <f t="shared" si="215"/>
        <v>[zphK9WV8JB4]|25-34|Female|PLHIV_Attend.T2|CY2025Q3</v>
      </c>
    </row>
    <row r="6881" spans="4:18" x14ac:dyDescent="0.2">
      <c r="D6881" t="s">
        <v>52</v>
      </c>
      <c r="E6881" t="s">
        <v>53</v>
      </c>
      <c r="F6881" t="s">
        <v>54</v>
      </c>
      <c r="G6881" t="s">
        <v>173</v>
      </c>
      <c r="H6881" t="s">
        <v>173</v>
      </c>
      <c r="I6881" t="s">
        <v>42</v>
      </c>
      <c r="J6881" t="s">
        <v>43</v>
      </c>
      <c r="K6881" t="s">
        <v>29</v>
      </c>
      <c r="L6881" t="s">
        <v>30</v>
      </c>
      <c r="M6881" t="s">
        <v>172</v>
      </c>
      <c r="N6881">
        <v>1916</v>
      </c>
      <c r="O6881" s="14">
        <v>0.45204831846058402</v>
      </c>
      <c r="P6881" s="14">
        <v>0.61639246996492103</v>
      </c>
      <c r="Q6881" t="str">
        <f t="shared" si="214"/>
        <v>35-49</v>
      </c>
      <c r="R6881" t="str">
        <f t="shared" si="215"/>
        <v>[zphK9WV8JB4]|35-49|Female|PLHIV_Attend.T2|CY2025Q3</v>
      </c>
    </row>
    <row r="6882" spans="4:18" x14ac:dyDescent="0.2">
      <c r="D6882" t="s">
        <v>52</v>
      </c>
      <c r="E6882" t="s">
        <v>53</v>
      </c>
      <c r="F6882" t="s">
        <v>54</v>
      </c>
      <c r="G6882" t="s">
        <v>173</v>
      </c>
      <c r="H6882" t="s">
        <v>173</v>
      </c>
      <c r="I6882" t="s">
        <v>44</v>
      </c>
      <c r="J6882" t="s">
        <v>45</v>
      </c>
      <c r="K6882" t="s">
        <v>29</v>
      </c>
      <c r="L6882" t="s">
        <v>30</v>
      </c>
      <c r="M6882" t="s">
        <v>172</v>
      </c>
      <c r="N6882">
        <v>1173</v>
      </c>
      <c r="O6882" s="14">
        <v>0.40849861945025601</v>
      </c>
      <c r="P6882" s="14">
        <v>0.61639246996492103</v>
      </c>
      <c r="Q6882" t="str">
        <f t="shared" si="214"/>
        <v>50+</v>
      </c>
      <c r="R6882" t="str">
        <f t="shared" si="215"/>
        <v>[zphK9WV8JB4]|50+|Female|PLHIV_Attend.T2|CY2025Q3</v>
      </c>
    </row>
    <row r="6883" spans="4:18" x14ac:dyDescent="0.2">
      <c r="D6883" t="s">
        <v>52</v>
      </c>
      <c r="E6883" t="s">
        <v>53</v>
      </c>
      <c r="F6883" t="s">
        <v>54</v>
      </c>
      <c r="G6883" t="s">
        <v>173</v>
      </c>
      <c r="H6883" t="s">
        <v>173</v>
      </c>
      <c r="I6883" t="s">
        <v>27</v>
      </c>
      <c r="J6883" t="s">
        <v>28</v>
      </c>
      <c r="K6883" t="s">
        <v>47</v>
      </c>
      <c r="L6883" t="s">
        <v>48</v>
      </c>
      <c r="M6883" t="s">
        <v>172</v>
      </c>
      <c r="N6883">
        <v>1827</v>
      </c>
      <c r="O6883" s="14">
        <v>0.137041247682646</v>
      </c>
      <c r="P6883" s="14">
        <v>0.61639246996492103</v>
      </c>
      <c r="Q6883" t="str">
        <f t="shared" si="214"/>
        <v>&lt;01</v>
      </c>
      <c r="R6883" t="str">
        <f t="shared" si="215"/>
        <v>[zphK9WV8JB4]|&lt;01|Male|PLHIV_Attend.T2|CY2025Q3</v>
      </c>
    </row>
    <row r="6884" spans="4:18" x14ac:dyDescent="0.2">
      <c r="D6884" t="s">
        <v>52</v>
      </c>
      <c r="E6884" t="s">
        <v>53</v>
      </c>
      <c r="F6884" t="s">
        <v>54</v>
      </c>
      <c r="G6884" t="s">
        <v>173</v>
      </c>
      <c r="H6884" t="s">
        <v>173</v>
      </c>
      <c r="I6884" t="s">
        <v>32</v>
      </c>
      <c r="J6884" t="s">
        <v>33</v>
      </c>
      <c r="K6884" t="s">
        <v>47</v>
      </c>
      <c r="L6884" t="s">
        <v>48</v>
      </c>
      <c r="M6884" t="s">
        <v>172</v>
      </c>
      <c r="N6884">
        <v>709</v>
      </c>
      <c r="O6884" s="14">
        <v>0.47147204098291701</v>
      </c>
      <c r="P6884" s="14">
        <v>0.61639246996492103</v>
      </c>
      <c r="Q6884" t="str">
        <f t="shared" si="214"/>
        <v>01-09</v>
      </c>
      <c r="R6884" t="str">
        <f t="shared" si="215"/>
        <v>[zphK9WV8JB4]|01-09|Male|PLHIV_Attend.T2|CY2025Q3</v>
      </c>
    </row>
    <row r="6885" spans="4:18" x14ac:dyDescent="0.2">
      <c r="D6885" t="s">
        <v>52</v>
      </c>
      <c r="E6885" t="s">
        <v>53</v>
      </c>
      <c r="F6885" t="s">
        <v>54</v>
      </c>
      <c r="G6885" t="s">
        <v>173</v>
      </c>
      <c r="H6885" t="s">
        <v>173</v>
      </c>
      <c r="I6885" t="s">
        <v>35</v>
      </c>
      <c r="J6885" t="s">
        <v>36</v>
      </c>
      <c r="K6885" t="s">
        <v>47</v>
      </c>
      <c r="L6885" t="s">
        <v>48</v>
      </c>
      <c r="M6885" t="s">
        <v>172</v>
      </c>
      <c r="N6885">
        <v>689</v>
      </c>
      <c r="O6885" s="14">
        <v>8.2643668400123702E-2</v>
      </c>
      <c r="P6885" s="14">
        <v>0.61639246996492103</v>
      </c>
      <c r="Q6885" t="str">
        <f t="shared" si="214"/>
        <v>10-14</v>
      </c>
      <c r="R6885" t="str">
        <f t="shared" si="215"/>
        <v>[zphK9WV8JB4]|10-14|Male|PLHIV_Attend.T2|CY2025Q3</v>
      </c>
    </row>
    <row r="6886" spans="4:18" x14ac:dyDescent="0.2">
      <c r="D6886" t="s">
        <v>52</v>
      </c>
      <c r="E6886" t="s">
        <v>53</v>
      </c>
      <c r="F6886" t="s">
        <v>54</v>
      </c>
      <c r="G6886" t="s">
        <v>173</v>
      </c>
      <c r="H6886" t="s">
        <v>173</v>
      </c>
      <c r="I6886" t="s">
        <v>37</v>
      </c>
      <c r="J6886" t="s">
        <v>38</v>
      </c>
      <c r="K6886" t="s">
        <v>47</v>
      </c>
      <c r="L6886" t="s">
        <v>48</v>
      </c>
      <c r="M6886" t="s">
        <v>172</v>
      </c>
      <c r="N6886">
        <v>1027</v>
      </c>
      <c r="O6886" s="14">
        <v>0.92361013777554002</v>
      </c>
      <c r="P6886" s="14">
        <v>0.61639246996492103</v>
      </c>
      <c r="Q6886" t="str">
        <f t="shared" si="214"/>
        <v>15-24</v>
      </c>
      <c r="R6886" t="str">
        <f t="shared" si="215"/>
        <v>[zphK9WV8JB4]|15-24|Male|PLHIV_Attend.T2|CY2025Q3</v>
      </c>
    </row>
    <row r="6887" spans="4:18" x14ac:dyDescent="0.2">
      <c r="D6887" t="s">
        <v>52</v>
      </c>
      <c r="E6887" t="s">
        <v>53</v>
      </c>
      <c r="F6887" t="s">
        <v>54</v>
      </c>
      <c r="G6887" t="s">
        <v>173</v>
      </c>
      <c r="H6887" t="s">
        <v>173</v>
      </c>
      <c r="I6887" t="s">
        <v>40</v>
      </c>
      <c r="J6887" t="s">
        <v>41</v>
      </c>
      <c r="K6887" t="s">
        <v>47</v>
      </c>
      <c r="L6887" t="s">
        <v>48</v>
      </c>
      <c r="M6887" t="s">
        <v>172</v>
      </c>
      <c r="N6887">
        <v>966</v>
      </c>
      <c r="O6887" s="14">
        <v>0.61452473606914304</v>
      </c>
      <c r="P6887" s="14">
        <v>0.61639246996492103</v>
      </c>
      <c r="Q6887" t="str">
        <f t="shared" si="214"/>
        <v>25-34</v>
      </c>
      <c r="R6887" t="str">
        <f t="shared" si="215"/>
        <v>[zphK9WV8JB4]|25-34|Male|PLHIV_Attend.T2|CY2025Q3</v>
      </c>
    </row>
    <row r="6888" spans="4:18" x14ac:dyDescent="0.2">
      <c r="D6888" t="s">
        <v>52</v>
      </c>
      <c r="E6888" t="s">
        <v>53</v>
      </c>
      <c r="F6888" t="s">
        <v>54</v>
      </c>
      <c r="G6888" t="s">
        <v>173</v>
      </c>
      <c r="H6888" t="s">
        <v>173</v>
      </c>
      <c r="I6888" t="s">
        <v>42</v>
      </c>
      <c r="J6888" t="s">
        <v>43</v>
      </c>
      <c r="K6888" t="s">
        <v>47</v>
      </c>
      <c r="L6888" t="s">
        <v>48</v>
      </c>
      <c r="M6888" t="s">
        <v>172</v>
      </c>
      <c r="N6888">
        <v>1674</v>
      </c>
      <c r="O6888" s="14">
        <v>0.70648108352907002</v>
      </c>
      <c r="P6888" s="14">
        <v>0.61639246996492103</v>
      </c>
      <c r="Q6888" t="str">
        <f t="shared" si="214"/>
        <v>35-49</v>
      </c>
      <c r="R6888" t="str">
        <f t="shared" si="215"/>
        <v>[zphK9WV8JB4]|35-49|Male|PLHIV_Attend.T2|CY2025Q3</v>
      </c>
    </row>
    <row r="6889" spans="4:18" x14ac:dyDescent="0.2">
      <c r="D6889" t="s">
        <v>52</v>
      </c>
      <c r="E6889" t="s">
        <v>53</v>
      </c>
      <c r="F6889" t="s">
        <v>54</v>
      </c>
      <c r="G6889" t="s">
        <v>173</v>
      </c>
      <c r="H6889" t="s">
        <v>173</v>
      </c>
      <c r="I6889" t="s">
        <v>44</v>
      </c>
      <c r="J6889" t="s">
        <v>45</v>
      </c>
      <c r="K6889" t="s">
        <v>47</v>
      </c>
      <c r="L6889" t="s">
        <v>48</v>
      </c>
      <c r="M6889" t="s">
        <v>172</v>
      </c>
      <c r="N6889">
        <v>1122</v>
      </c>
      <c r="O6889" s="14">
        <v>0.25356031372211901</v>
      </c>
      <c r="P6889" s="14">
        <v>0.61639246996492103</v>
      </c>
      <c r="Q6889" t="str">
        <f t="shared" si="214"/>
        <v>50+</v>
      </c>
      <c r="R6889" t="str">
        <f t="shared" si="215"/>
        <v>[zphK9WV8JB4]|50+|Male|PLHIV_Attend.T2|CY2025Q3</v>
      </c>
    </row>
    <row r="6890" spans="4:18" x14ac:dyDescent="0.2">
      <c r="D6890" t="s">
        <v>59</v>
      </c>
      <c r="E6890" t="s">
        <v>60</v>
      </c>
      <c r="F6890" t="s">
        <v>61</v>
      </c>
      <c r="G6890" t="s">
        <v>173</v>
      </c>
      <c r="H6890" t="s">
        <v>173</v>
      </c>
      <c r="I6890" t="s">
        <v>27</v>
      </c>
      <c r="J6890" t="s">
        <v>28</v>
      </c>
      <c r="K6890" t="s">
        <v>29</v>
      </c>
      <c r="L6890" t="s">
        <v>30</v>
      </c>
      <c r="M6890" t="s">
        <v>172</v>
      </c>
      <c r="N6890">
        <v>628</v>
      </c>
      <c r="O6890" s="14">
        <v>0.93723180075176105</v>
      </c>
      <c r="P6890" s="14">
        <v>2.6825056178495298E-2</v>
      </c>
      <c r="Q6890" t="str">
        <f t="shared" si="214"/>
        <v>&lt;01</v>
      </c>
      <c r="R6890" t="str">
        <f t="shared" si="215"/>
        <v>[msW2zpIN7up]|&lt;01|Female|PLHIV_Attend.T2|CY2025Q3</v>
      </c>
    </row>
    <row r="6891" spans="4:18" x14ac:dyDescent="0.2">
      <c r="D6891" t="s">
        <v>59</v>
      </c>
      <c r="E6891" t="s">
        <v>60</v>
      </c>
      <c r="F6891" t="s">
        <v>61</v>
      </c>
      <c r="G6891" t="s">
        <v>173</v>
      </c>
      <c r="H6891" t="s">
        <v>173</v>
      </c>
      <c r="I6891" t="s">
        <v>32</v>
      </c>
      <c r="J6891" t="s">
        <v>33</v>
      </c>
      <c r="K6891" t="s">
        <v>29</v>
      </c>
      <c r="L6891" t="s">
        <v>30</v>
      </c>
      <c r="M6891" t="s">
        <v>172</v>
      </c>
      <c r="N6891">
        <v>1301</v>
      </c>
      <c r="O6891" s="14">
        <v>2.1116955205798101E-2</v>
      </c>
      <c r="P6891" s="14">
        <v>2.6825056178495298E-2</v>
      </c>
      <c r="Q6891" t="str">
        <f t="shared" si="214"/>
        <v>01-09</v>
      </c>
      <c r="R6891" t="str">
        <f t="shared" si="215"/>
        <v>[msW2zpIN7up]|01-09|Female|PLHIV_Attend.T2|CY2025Q3</v>
      </c>
    </row>
    <row r="6892" spans="4:18" x14ac:dyDescent="0.2">
      <c r="D6892" t="s">
        <v>59</v>
      </c>
      <c r="E6892" t="s">
        <v>60</v>
      </c>
      <c r="F6892" t="s">
        <v>61</v>
      </c>
      <c r="G6892" t="s">
        <v>173</v>
      </c>
      <c r="H6892" t="s">
        <v>173</v>
      </c>
      <c r="I6892" t="s">
        <v>35</v>
      </c>
      <c r="J6892" t="s">
        <v>36</v>
      </c>
      <c r="K6892" t="s">
        <v>29</v>
      </c>
      <c r="L6892" t="s">
        <v>30</v>
      </c>
      <c r="M6892" t="s">
        <v>172</v>
      </c>
      <c r="N6892">
        <v>1594</v>
      </c>
      <c r="O6892" s="14">
        <v>0.80383059498854004</v>
      </c>
      <c r="P6892" s="14">
        <v>2.6825056178495298E-2</v>
      </c>
      <c r="Q6892" t="str">
        <f t="shared" si="214"/>
        <v>10-14</v>
      </c>
      <c r="R6892" t="str">
        <f t="shared" si="215"/>
        <v>[msW2zpIN7up]|10-14|Female|PLHIV_Attend.T2|CY2025Q3</v>
      </c>
    </row>
    <row r="6893" spans="4:18" x14ac:dyDescent="0.2">
      <c r="D6893" t="s">
        <v>59</v>
      </c>
      <c r="E6893" t="s">
        <v>60</v>
      </c>
      <c r="F6893" t="s">
        <v>61</v>
      </c>
      <c r="G6893" t="s">
        <v>173</v>
      </c>
      <c r="H6893" t="s">
        <v>173</v>
      </c>
      <c r="I6893" t="s">
        <v>37</v>
      </c>
      <c r="J6893" t="s">
        <v>38</v>
      </c>
      <c r="K6893" t="s">
        <v>29</v>
      </c>
      <c r="L6893" t="s">
        <v>30</v>
      </c>
      <c r="M6893" t="s">
        <v>172</v>
      </c>
      <c r="N6893">
        <v>635</v>
      </c>
      <c r="O6893" s="14">
        <v>0.13814324466511599</v>
      </c>
      <c r="P6893" s="14">
        <v>2.6825056178495298E-2</v>
      </c>
      <c r="Q6893" t="str">
        <f t="shared" si="214"/>
        <v>15-24</v>
      </c>
      <c r="R6893" t="str">
        <f t="shared" si="215"/>
        <v>[msW2zpIN7up]|15-24|Female|PLHIV_Attend.T2|CY2025Q3</v>
      </c>
    </row>
    <row r="6894" spans="4:18" x14ac:dyDescent="0.2">
      <c r="D6894" t="s">
        <v>59</v>
      </c>
      <c r="E6894" t="s">
        <v>60</v>
      </c>
      <c r="F6894" t="s">
        <v>61</v>
      </c>
      <c r="G6894" t="s">
        <v>173</v>
      </c>
      <c r="H6894" t="s">
        <v>173</v>
      </c>
      <c r="I6894" t="s">
        <v>40</v>
      </c>
      <c r="J6894" t="s">
        <v>41</v>
      </c>
      <c r="K6894" t="s">
        <v>29</v>
      </c>
      <c r="L6894" t="s">
        <v>30</v>
      </c>
      <c r="M6894" t="s">
        <v>172</v>
      </c>
      <c r="N6894">
        <v>1509</v>
      </c>
      <c r="O6894" s="14">
        <v>0.71991203469224296</v>
      </c>
      <c r="P6894" s="14">
        <v>2.6825056178495298E-2</v>
      </c>
      <c r="Q6894" t="str">
        <f t="shared" si="214"/>
        <v>25-34</v>
      </c>
      <c r="R6894" t="str">
        <f t="shared" si="215"/>
        <v>[msW2zpIN7up]|25-34|Female|PLHIV_Attend.T2|CY2025Q3</v>
      </c>
    </row>
    <row r="6895" spans="4:18" x14ac:dyDescent="0.2">
      <c r="D6895" t="s">
        <v>59</v>
      </c>
      <c r="E6895" t="s">
        <v>60</v>
      </c>
      <c r="F6895" t="s">
        <v>61</v>
      </c>
      <c r="G6895" t="s">
        <v>173</v>
      </c>
      <c r="H6895" t="s">
        <v>173</v>
      </c>
      <c r="I6895" t="s">
        <v>42</v>
      </c>
      <c r="J6895" t="s">
        <v>43</v>
      </c>
      <c r="K6895" t="s">
        <v>29</v>
      </c>
      <c r="L6895" t="s">
        <v>30</v>
      </c>
      <c r="M6895" t="s">
        <v>172</v>
      </c>
      <c r="N6895">
        <v>915</v>
      </c>
      <c r="O6895" s="14">
        <v>0.581241896143183</v>
      </c>
      <c r="P6895" s="14">
        <v>2.6825056178495298E-2</v>
      </c>
      <c r="Q6895" t="str">
        <f t="shared" si="214"/>
        <v>35-49</v>
      </c>
      <c r="R6895" t="str">
        <f t="shared" si="215"/>
        <v>[msW2zpIN7up]|35-49|Female|PLHIV_Attend.T2|CY2025Q3</v>
      </c>
    </row>
    <row r="6896" spans="4:18" x14ac:dyDescent="0.2">
      <c r="D6896" t="s">
        <v>59</v>
      </c>
      <c r="E6896" t="s">
        <v>60</v>
      </c>
      <c r="F6896" t="s">
        <v>61</v>
      </c>
      <c r="G6896" t="s">
        <v>173</v>
      </c>
      <c r="H6896" t="s">
        <v>173</v>
      </c>
      <c r="I6896" t="s">
        <v>44</v>
      </c>
      <c r="J6896" t="s">
        <v>45</v>
      </c>
      <c r="K6896" t="s">
        <v>29</v>
      </c>
      <c r="L6896" t="s">
        <v>30</v>
      </c>
      <c r="M6896" t="s">
        <v>172</v>
      </c>
      <c r="N6896">
        <v>1757</v>
      </c>
      <c r="O6896" s="14">
        <v>0.21672357199713599</v>
      </c>
      <c r="P6896" s="14">
        <v>2.6825056178495298E-2</v>
      </c>
      <c r="Q6896" t="str">
        <f t="shared" si="214"/>
        <v>50+</v>
      </c>
      <c r="R6896" t="str">
        <f t="shared" si="215"/>
        <v>[msW2zpIN7up]|50+|Female|PLHIV_Attend.T2|CY2025Q3</v>
      </c>
    </row>
    <row r="6897" spans="4:18" x14ac:dyDescent="0.2">
      <c r="D6897" t="s">
        <v>59</v>
      </c>
      <c r="E6897" t="s">
        <v>60</v>
      </c>
      <c r="F6897" t="s">
        <v>61</v>
      </c>
      <c r="G6897" t="s">
        <v>173</v>
      </c>
      <c r="H6897" t="s">
        <v>173</v>
      </c>
      <c r="I6897" t="s">
        <v>27</v>
      </c>
      <c r="J6897" t="s">
        <v>28</v>
      </c>
      <c r="K6897" t="s">
        <v>47</v>
      </c>
      <c r="L6897" t="s">
        <v>48</v>
      </c>
      <c r="M6897" t="s">
        <v>172</v>
      </c>
      <c r="N6897">
        <v>1602</v>
      </c>
      <c r="O6897" s="14">
        <v>0.214539791690186</v>
      </c>
      <c r="P6897" s="14">
        <v>2.6825056178495298E-2</v>
      </c>
      <c r="Q6897" t="str">
        <f t="shared" si="214"/>
        <v>&lt;01</v>
      </c>
      <c r="R6897" t="str">
        <f t="shared" si="215"/>
        <v>[msW2zpIN7up]|&lt;01|Male|PLHIV_Attend.T2|CY2025Q3</v>
      </c>
    </row>
    <row r="6898" spans="4:18" x14ac:dyDescent="0.2">
      <c r="D6898" t="s">
        <v>59</v>
      </c>
      <c r="E6898" t="s">
        <v>60</v>
      </c>
      <c r="F6898" t="s">
        <v>61</v>
      </c>
      <c r="G6898" t="s">
        <v>173</v>
      </c>
      <c r="H6898" t="s">
        <v>173</v>
      </c>
      <c r="I6898" t="s">
        <v>32</v>
      </c>
      <c r="J6898" t="s">
        <v>33</v>
      </c>
      <c r="K6898" t="s">
        <v>47</v>
      </c>
      <c r="L6898" t="s">
        <v>48</v>
      </c>
      <c r="M6898" t="s">
        <v>172</v>
      </c>
      <c r="N6898">
        <v>923</v>
      </c>
      <c r="O6898" s="14">
        <v>0.44094580621458601</v>
      </c>
      <c r="P6898" s="14">
        <v>2.6825056178495298E-2</v>
      </c>
      <c r="Q6898" t="str">
        <f t="shared" si="214"/>
        <v>01-09</v>
      </c>
      <c r="R6898" t="str">
        <f t="shared" si="215"/>
        <v>[msW2zpIN7up]|01-09|Male|PLHIV_Attend.T2|CY2025Q3</v>
      </c>
    </row>
    <row r="6899" spans="4:18" x14ac:dyDescent="0.2">
      <c r="D6899" t="s">
        <v>59</v>
      </c>
      <c r="E6899" t="s">
        <v>60</v>
      </c>
      <c r="F6899" t="s">
        <v>61</v>
      </c>
      <c r="G6899" t="s">
        <v>173</v>
      </c>
      <c r="H6899" t="s">
        <v>173</v>
      </c>
      <c r="I6899" t="s">
        <v>35</v>
      </c>
      <c r="J6899" t="s">
        <v>36</v>
      </c>
      <c r="K6899" t="s">
        <v>47</v>
      </c>
      <c r="L6899" t="s">
        <v>48</v>
      </c>
      <c r="M6899" t="s">
        <v>172</v>
      </c>
      <c r="N6899">
        <v>1686</v>
      </c>
      <c r="O6899" s="14">
        <v>0.44916990841738902</v>
      </c>
      <c r="P6899" s="14">
        <v>2.6825056178495298E-2</v>
      </c>
      <c r="Q6899" t="str">
        <f t="shared" si="214"/>
        <v>10-14</v>
      </c>
      <c r="R6899" t="str">
        <f t="shared" si="215"/>
        <v>[msW2zpIN7up]|10-14|Male|PLHIV_Attend.T2|CY2025Q3</v>
      </c>
    </row>
    <row r="6900" spans="4:18" x14ac:dyDescent="0.2">
      <c r="D6900" t="s">
        <v>59</v>
      </c>
      <c r="E6900" t="s">
        <v>60</v>
      </c>
      <c r="F6900" t="s">
        <v>61</v>
      </c>
      <c r="G6900" t="s">
        <v>173</v>
      </c>
      <c r="H6900" t="s">
        <v>173</v>
      </c>
      <c r="I6900" t="s">
        <v>37</v>
      </c>
      <c r="J6900" t="s">
        <v>38</v>
      </c>
      <c r="K6900" t="s">
        <v>47</v>
      </c>
      <c r="L6900" t="s">
        <v>48</v>
      </c>
      <c r="M6900" t="s">
        <v>172</v>
      </c>
      <c r="N6900">
        <v>1911</v>
      </c>
      <c r="O6900" s="14">
        <v>0.71393951168283798</v>
      </c>
      <c r="P6900" s="14">
        <v>2.6825056178495298E-2</v>
      </c>
      <c r="Q6900" t="str">
        <f t="shared" si="214"/>
        <v>15-24</v>
      </c>
      <c r="R6900" t="str">
        <f t="shared" si="215"/>
        <v>[msW2zpIN7up]|15-24|Male|PLHIV_Attend.T2|CY2025Q3</v>
      </c>
    </row>
    <row r="6901" spans="4:18" x14ac:dyDescent="0.2">
      <c r="D6901" t="s">
        <v>59</v>
      </c>
      <c r="E6901" t="s">
        <v>60</v>
      </c>
      <c r="F6901" t="s">
        <v>61</v>
      </c>
      <c r="G6901" t="s">
        <v>173</v>
      </c>
      <c r="H6901" t="s">
        <v>173</v>
      </c>
      <c r="I6901" t="s">
        <v>40</v>
      </c>
      <c r="J6901" t="s">
        <v>41</v>
      </c>
      <c r="K6901" t="s">
        <v>47</v>
      </c>
      <c r="L6901" t="s">
        <v>48</v>
      </c>
      <c r="M6901" t="s">
        <v>172</v>
      </c>
      <c r="N6901">
        <v>1325</v>
      </c>
      <c r="O6901" s="14">
        <v>0.241179590811953</v>
      </c>
      <c r="P6901" s="14">
        <v>2.6825056178495298E-2</v>
      </c>
      <c r="Q6901" t="str">
        <f t="shared" si="214"/>
        <v>25-34</v>
      </c>
      <c r="R6901" t="str">
        <f t="shared" si="215"/>
        <v>[msW2zpIN7up]|25-34|Male|PLHIV_Attend.T2|CY2025Q3</v>
      </c>
    </row>
    <row r="6902" spans="4:18" x14ac:dyDescent="0.2">
      <c r="D6902" t="s">
        <v>59</v>
      </c>
      <c r="E6902" t="s">
        <v>60</v>
      </c>
      <c r="F6902" t="s">
        <v>61</v>
      </c>
      <c r="G6902" t="s">
        <v>173</v>
      </c>
      <c r="H6902" t="s">
        <v>173</v>
      </c>
      <c r="I6902" t="s">
        <v>42</v>
      </c>
      <c r="J6902" t="s">
        <v>43</v>
      </c>
      <c r="K6902" t="s">
        <v>47</v>
      </c>
      <c r="L6902" t="s">
        <v>48</v>
      </c>
      <c r="M6902" t="s">
        <v>172</v>
      </c>
      <c r="N6902">
        <v>1955</v>
      </c>
      <c r="O6902" s="14">
        <v>0.13479543849825901</v>
      </c>
      <c r="P6902" s="14">
        <v>2.6825056178495298E-2</v>
      </c>
      <c r="Q6902" t="str">
        <f t="shared" si="214"/>
        <v>35-49</v>
      </c>
      <c r="R6902" t="str">
        <f t="shared" si="215"/>
        <v>[msW2zpIN7up]|35-49|Male|PLHIV_Attend.T2|CY2025Q3</v>
      </c>
    </row>
    <row r="6903" spans="4:18" x14ac:dyDescent="0.2">
      <c r="D6903" t="s">
        <v>59</v>
      </c>
      <c r="E6903" t="s">
        <v>60</v>
      </c>
      <c r="F6903" t="s">
        <v>61</v>
      </c>
      <c r="G6903" t="s">
        <v>173</v>
      </c>
      <c r="H6903" t="s">
        <v>173</v>
      </c>
      <c r="I6903" t="s">
        <v>44</v>
      </c>
      <c r="J6903" t="s">
        <v>45</v>
      </c>
      <c r="K6903" t="s">
        <v>47</v>
      </c>
      <c r="L6903" t="s">
        <v>48</v>
      </c>
      <c r="M6903" t="s">
        <v>172</v>
      </c>
      <c r="N6903">
        <v>1004</v>
      </c>
      <c r="O6903" s="14">
        <v>0.81819595512933996</v>
      </c>
      <c r="P6903" s="14">
        <v>2.6825056178495298E-2</v>
      </c>
      <c r="Q6903" t="str">
        <f t="shared" si="214"/>
        <v>50+</v>
      </c>
      <c r="R6903" t="str">
        <f t="shared" si="215"/>
        <v>[msW2zpIN7up]|50+|Male|PLHIV_Attend.T2|CY2025Q3</v>
      </c>
    </row>
    <row r="6904" spans="4:18" x14ac:dyDescent="0.2">
      <c r="D6904" t="s">
        <v>62</v>
      </c>
      <c r="E6904" t="s">
        <v>63</v>
      </c>
      <c r="F6904" t="s">
        <v>64</v>
      </c>
      <c r="G6904" t="s">
        <v>173</v>
      </c>
      <c r="H6904" t="s">
        <v>173</v>
      </c>
      <c r="I6904" t="s">
        <v>27</v>
      </c>
      <c r="J6904" t="s">
        <v>28</v>
      </c>
      <c r="K6904" t="s">
        <v>29</v>
      </c>
      <c r="L6904" t="s">
        <v>30</v>
      </c>
      <c r="M6904" t="s">
        <v>172</v>
      </c>
      <c r="N6904">
        <v>1702</v>
      </c>
      <c r="O6904" s="14">
        <v>0.56532153789885298</v>
      </c>
      <c r="P6904" s="14">
        <v>0.790102193132043</v>
      </c>
      <c r="Q6904" t="str">
        <f t="shared" si="214"/>
        <v>&lt;01</v>
      </c>
      <c r="R6904" t="str">
        <f t="shared" si="215"/>
        <v>[kxuuIFpOXyO]|&lt;01|Female|PLHIV_Attend.T2|CY2025Q3</v>
      </c>
    </row>
    <row r="6905" spans="4:18" x14ac:dyDescent="0.2">
      <c r="D6905" t="s">
        <v>62</v>
      </c>
      <c r="E6905" t="s">
        <v>63</v>
      </c>
      <c r="F6905" t="s">
        <v>64</v>
      </c>
      <c r="G6905" t="s">
        <v>173</v>
      </c>
      <c r="H6905" t="s">
        <v>173</v>
      </c>
      <c r="I6905" t="s">
        <v>32</v>
      </c>
      <c r="J6905" t="s">
        <v>33</v>
      </c>
      <c r="K6905" t="s">
        <v>29</v>
      </c>
      <c r="L6905" t="s">
        <v>30</v>
      </c>
      <c r="M6905" t="s">
        <v>172</v>
      </c>
      <c r="N6905">
        <v>1791</v>
      </c>
      <c r="O6905" s="14">
        <v>0.32750867563299801</v>
      </c>
      <c r="P6905" s="14">
        <v>0.790102193132043</v>
      </c>
      <c r="Q6905" t="str">
        <f t="shared" si="214"/>
        <v>01-09</v>
      </c>
      <c r="R6905" t="str">
        <f t="shared" si="215"/>
        <v>[kxuuIFpOXyO]|01-09|Female|PLHIV_Attend.T2|CY2025Q3</v>
      </c>
    </row>
    <row r="6906" spans="4:18" x14ac:dyDescent="0.2">
      <c r="D6906" t="s">
        <v>62</v>
      </c>
      <c r="E6906" t="s">
        <v>63</v>
      </c>
      <c r="F6906" t="s">
        <v>64</v>
      </c>
      <c r="G6906" t="s">
        <v>173</v>
      </c>
      <c r="H6906" t="s">
        <v>173</v>
      </c>
      <c r="I6906" t="s">
        <v>35</v>
      </c>
      <c r="J6906" t="s">
        <v>36</v>
      </c>
      <c r="K6906" t="s">
        <v>29</v>
      </c>
      <c r="L6906" t="s">
        <v>30</v>
      </c>
      <c r="M6906" t="s">
        <v>172</v>
      </c>
      <c r="N6906">
        <v>1204</v>
      </c>
      <c r="O6906" s="14">
        <v>0.27689714240841601</v>
      </c>
      <c r="P6906" s="14">
        <v>0.790102193132043</v>
      </c>
      <c r="Q6906" t="str">
        <f t="shared" si="214"/>
        <v>10-14</v>
      </c>
      <c r="R6906" t="str">
        <f t="shared" si="215"/>
        <v>[kxuuIFpOXyO]|10-14|Female|PLHIV_Attend.T2|CY2025Q3</v>
      </c>
    </row>
    <row r="6907" spans="4:18" x14ac:dyDescent="0.2">
      <c r="D6907" t="s">
        <v>62</v>
      </c>
      <c r="E6907" t="s">
        <v>63</v>
      </c>
      <c r="F6907" t="s">
        <v>64</v>
      </c>
      <c r="G6907" t="s">
        <v>173</v>
      </c>
      <c r="H6907" t="s">
        <v>173</v>
      </c>
      <c r="I6907" t="s">
        <v>37</v>
      </c>
      <c r="J6907" t="s">
        <v>38</v>
      </c>
      <c r="K6907" t="s">
        <v>29</v>
      </c>
      <c r="L6907" t="s">
        <v>30</v>
      </c>
      <c r="M6907" t="s">
        <v>172</v>
      </c>
      <c r="N6907">
        <v>1736</v>
      </c>
      <c r="O6907" s="14">
        <v>0.33043364551849702</v>
      </c>
      <c r="P6907" s="14">
        <v>0.790102193132043</v>
      </c>
      <c r="Q6907" t="str">
        <f t="shared" si="214"/>
        <v>15-24</v>
      </c>
      <c r="R6907" t="str">
        <f t="shared" si="215"/>
        <v>[kxuuIFpOXyO]|15-24|Female|PLHIV_Attend.T2|CY2025Q3</v>
      </c>
    </row>
    <row r="6908" spans="4:18" x14ac:dyDescent="0.2">
      <c r="D6908" t="s">
        <v>62</v>
      </c>
      <c r="E6908" t="s">
        <v>63</v>
      </c>
      <c r="F6908" t="s">
        <v>64</v>
      </c>
      <c r="G6908" t="s">
        <v>173</v>
      </c>
      <c r="H6908" t="s">
        <v>173</v>
      </c>
      <c r="I6908" t="s">
        <v>40</v>
      </c>
      <c r="J6908" t="s">
        <v>41</v>
      </c>
      <c r="K6908" t="s">
        <v>29</v>
      </c>
      <c r="L6908" t="s">
        <v>30</v>
      </c>
      <c r="M6908" t="s">
        <v>172</v>
      </c>
      <c r="N6908">
        <v>562</v>
      </c>
      <c r="O6908" s="14">
        <v>0.57771598384715594</v>
      </c>
      <c r="P6908" s="14">
        <v>0.790102193132043</v>
      </c>
      <c r="Q6908" t="str">
        <f t="shared" si="214"/>
        <v>25-34</v>
      </c>
      <c r="R6908" t="str">
        <f t="shared" si="215"/>
        <v>[kxuuIFpOXyO]|25-34|Female|PLHIV_Attend.T2|CY2025Q3</v>
      </c>
    </row>
    <row r="6909" spans="4:18" x14ac:dyDescent="0.2">
      <c r="D6909" t="s">
        <v>62</v>
      </c>
      <c r="E6909" t="s">
        <v>63</v>
      </c>
      <c r="F6909" t="s">
        <v>64</v>
      </c>
      <c r="G6909" t="s">
        <v>173</v>
      </c>
      <c r="H6909" t="s">
        <v>173</v>
      </c>
      <c r="I6909" t="s">
        <v>42</v>
      </c>
      <c r="J6909" t="s">
        <v>43</v>
      </c>
      <c r="K6909" t="s">
        <v>29</v>
      </c>
      <c r="L6909" t="s">
        <v>30</v>
      </c>
      <c r="M6909" t="s">
        <v>172</v>
      </c>
      <c r="N6909">
        <v>1730</v>
      </c>
      <c r="O6909" s="14">
        <v>0.68593130772933397</v>
      </c>
      <c r="P6909" s="14">
        <v>0.790102193132043</v>
      </c>
      <c r="Q6909" t="str">
        <f t="shared" si="214"/>
        <v>35-49</v>
      </c>
      <c r="R6909" t="str">
        <f t="shared" si="215"/>
        <v>[kxuuIFpOXyO]|35-49|Female|PLHIV_Attend.T2|CY2025Q3</v>
      </c>
    </row>
    <row r="6910" spans="4:18" x14ac:dyDescent="0.2">
      <c r="D6910" t="s">
        <v>62</v>
      </c>
      <c r="E6910" t="s">
        <v>63</v>
      </c>
      <c r="F6910" t="s">
        <v>64</v>
      </c>
      <c r="G6910" t="s">
        <v>173</v>
      </c>
      <c r="H6910" t="s">
        <v>173</v>
      </c>
      <c r="I6910" t="s">
        <v>44</v>
      </c>
      <c r="J6910" t="s">
        <v>45</v>
      </c>
      <c r="K6910" t="s">
        <v>29</v>
      </c>
      <c r="L6910" t="s">
        <v>30</v>
      </c>
      <c r="M6910" t="s">
        <v>172</v>
      </c>
      <c r="N6910">
        <v>1795</v>
      </c>
      <c r="O6910" s="14">
        <v>0.48565353173762599</v>
      </c>
      <c r="P6910" s="14">
        <v>0.790102193132043</v>
      </c>
      <c r="Q6910" t="str">
        <f t="shared" si="214"/>
        <v>50+</v>
      </c>
      <c r="R6910" t="str">
        <f t="shared" si="215"/>
        <v>[kxuuIFpOXyO]|50+|Female|PLHIV_Attend.T2|CY2025Q3</v>
      </c>
    </row>
    <row r="6911" spans="4:18" x14ac:dyDescent="0.2">
      <c r="D6911" t="s">
        <v>62</v>
      </c>
      <c r="E6911" t="s">
        <v>63</v>
      </c>
      <c r="F6911" t="s">
        <v>64</v>
      </c>
      <c r="G6911" t="s">
        <v>173</v>
      </c>
      <c r="H6911" t="s">
        <v>173</v>
      </c>
      <c r="I6911" t="s">
        <v>27</v>
      </c>
      <c r="J6911" t="s">
        <v>28</v>
      </c>
      <c r="K6911" t="s">
        <v>47</v>
      </c>
      <c r="L6911" t="s">
        <v>48</v>
      </c>
      <c r="M6911" t="s">
        <v>172</v>
      </c>
      <c r="N6911">
        <v>1520</v>
      </c>
      <c r="O6911" s="14">
        <v>0.60401934944093205</v>
      </c>
      <c r="P6911" s="14">
        <v>0.790102193132043</v>
      </c>
      <c r="Q6911" t="str">
        <f t="shared" si="214"/>
        <v>&lt;01</v>
      </c>
      <c r="R6911" t="str">
        <f t="shared" si="215"/>
        <v>[kxuuIFpOXyO]|&lt;01|Male|PLHIV_Attend.T2|CY2025Q3</v>
      </c>
    </row>
    <row r="6912" spans="4:18" x14ac:dyDescent="0.2">
      <c r="D6912" t="s">
        <v>62</v>
      </c>
      <c r="E6912" t="s">
        <v>63</v>
      </c>
      <c r="F6912" t="s">
        <v>64</v>
      </c>
      <c r="G6912" t="s">
        <v>173</v>
      </c>
      <c r="H6912" t="s">
        <v>173</v>
      </c>
      <c r="I6912" t="s">
        <v>32</v>
      </c>
      <c r="J6912" t="s">
        <v>33</v>
      </c>
      <c r="K6912" t="s">
        <v>47</v>
      </c>
      <c r="L6912" t="s">
        <v>48</v>
      </c>
      <c r="M6912" t="s">
        <v>172</v>
      </c>
      <c r="N6912">
        <v>1177</v>
      </c>
      <c r="O6912" s="14">
        <v>0.74426534585654702</v>
      </c>
      <c r="P6912" s="14">
        <v>0.790102193132043</v>
      </c>
      <c r="Q6912" t="str">
        <f t="shared" si="214"/>
        <v>01-09</v>
      </c>
      <c r="R6912" t="str">
        <f t="shared" si="215"/>
        <v>[kxuuIFpOXyO]|01-09|Male|PLHIV_Attend.T2|CY2025Q3</v>
      </c>
    </row>
    <row r="6913" spans="4:18" x14ac:dyDescent="0.2">
      <c r="D6913" t="s">
        <v>62</v>
      </c>
      <c r="E6913" t="s">
        <v>63</v>
      </c>
      <c r="F6913" t="s">
        <v>64</v>
      </c>
      <c r="G6913" t="s">
        <v>173</v>
      </c>
      <c r="H6913" t="s">
        <v>173</v>
      </c>
      <c r="I6913" t="s">
        <v>35</v>
      </c>
      <c r="J6913" t="s">
        <v>36</v>
      </c>
      <c r="K6913" t="s">
        <v>47</v>
      </c>
      <c r="L6913" t="s">
        <v>48</v>
      </c>
      <c r="M6913" t="s">
        <v>172</v>
      </c>
      <c r="N6913">
        <v>833</v>
      </c>
      <c r="O6913" s="14">
        <v>0.94388293847441695</v>
      </c>
      <c r="P6913" s="14">
        <v>0.790102193132043</v>
      </c>
      <c r="Q6913" t="str">
        <f t="shared" si="214"/>
        <v>10-14</v>
      </c>
      <c r="R6913" t="str">
        <f t="shared" si="215"/>
        <v>[kxuuIFpOXyO]|10-14|Male|PLHIV_Attend.T2|CY2025Q3</v>
      </c>
    </row>
    <row r="6914" spans="4:18" x14ac:dyDescent="0.2">
      <c r="D6914" t="s">
        <v>62</v>
      </c>
      <c r="E6914" t="s">
        <v>63</v>
      </c>
      <c r="F6914" t="s">
        <v>64</v>
      </c>
      <c r="G6914" t="s">
        <v>173</v>
      </c>
      <c r="H6914" t="s">
        <v>173</v>
      </c>
      <c r="I6914" t="s">
        <v>37</v>
      </c>
      <c r="J6914" t="s">
        <v>38</v>
      </c>
      <c r="K6914" t="s">
        <v>47</v>
      </c>
      <c r="L6914" t="s">
        <v>48</v>
      </c>
      <c r="M6914" t="s">
        <v>172</v>
      </c>
      <c r="N6914">
        <v>1603</v>
      </c>
      <c r="O6914" s="14">
        <v>0.242413647007197</v>
      </c>
      <c r="P6914" s="14">
        <v>0.790102193132043</v>
      </c>
      <c r="Q6914" t="str">
        <f t="shared" ref="Q6914:Q6977" si="216">SUBSTITUTE(SUBSTITUTE($I6914,CHAR(61),""),CHAR(34),"")</f>
        <v>15-24</v>
      </c>
      <c r="R6914" t="str">
        <f t="shared" ref="R6914:R6977" si="217">IF($D6914&lt;&gt;"","["&amp;$E6914&amp;"]"&amp;"|"&amp;$Q6914&amp;"|"&amp;$K6914&amp;"|"&amp;$G6914&amp;"|"&amp;IF($G6914="TX_CURR_SUBNAT.R","CY2022Q4",$M6914),"")</f>
        <v>[kxuuIFpOXyO]|15-24|Male|PLHIV_Attend.T2|CY2025Q3</v>
      </c>
    </row>
    <row r="6915" spans="4:18" x14ac:dyDescent="0.2">
      <c r="D6915" t="s">
        <v>62</v>
      </c>
      <c r="E6915" t="s">
        <v>63</v>
      </c>
      <c r="F6915" t="s">
        <v>64</v>
      </c>
      <c r="G6915" t="s">
        <v>173</v>
      </c>
      <c r="H6915" t="s">
        <v>173</v>
      </c>
      <c r="I6915" t="s">
        <v>40</v>
      </c>
      <c r="J6915" t="s">
        <v>41</v>
      </c>
      <c r="K6915" t="s">
        <v>47</v>
      </c>
      <c r="L6915" t="s">
        <v>48</v>
      </c>
      <c r="M6915" t="s">
        <v>172</v>
      </c>
      <c r="N6915">
        <v>1891</v>
      </c>
      <c r="O6915" s="14">
        <v>0.30072390730492798</v>
      </c>
      <c r="P6915" s="14">
        <v>0.790102193132043</v>
      </c>
      <c r="Q6915" t="str">
        <f t="shared" si="216"/>
        <v>25-34</v>
      </c>
      <c r="R6915" t="str">
        <f t="shared" si="217"/>
        <v>[kxuuIFpOXyO]|25-34|Male|PLHIV_Attend.T2|CY2025Q3</v>
      </c>
    </row>
    <row r="6916" spans="4:18" x14ac:dyDescent="0.2">
      <c r="D6916" t="s">
        <v>62</v>
      </c>
      <c r="E6916" t="s">
        <v>63</v>
      </c>
      <c r="F6916" t="s">
        <v>64</v>
      </c>
      <c r="G6916" t="s">
        <v>173</v>
      </c>
      <c r="H6916" t="s">
        <v>173</v>
      </c>
      <c r="I6916" t="s">
        <v>42</v>
      </c>
      <c r="J6916" t="s">
        <v>43</v>
      </c>
      <c r="K6916" t="s">
        <v>47</v>
      </c>
      <c r="L6916" t="s">
        <v>48</v>
      </c>
      <c r="M6916" t="s">
        <v>172</v>
      </c>
      <c r="N6916">
        <v>521</v>
      </c>
      <c r="O6916" s="14">
        <v>0.41436875192448502</v>
      </c>
      <c r="P6916" s="14">
        <v>0.790102193132043</v>
      </c>
      <c r="Q6916" t="str">
        <f t="shared" si="216"/>
        <v>35-49</v>
      </c>
      <c r="R6916" t="str">
        <f t="shared" si="217"/>
        <v>[kxuuIFpOXyO]|35-49|Male|PLHIV_Attend.T2|CY2025Q3</v>
      </c>
    </row>
    <row r="6917" spans="4:18" x14ac:dyDescent="0.2">
      <c r="D6917" t="s">
        <v>62</v>
      </c>
      <c r="E6917" t="s">
        <v>63</v>
      </c>
      <c r="F6917" t="s">
        <v>64</v>
      </c>
      <c r="G6917" t="s">
        <v>173</v>
      </c>
      <c r="H6917" t="s">
        <v>173</v>
      </c>
      <c r="I6917" t="s">
        <v>44</v>
      </c>
      <c r="J6917" t="s">
        <v>45</v>
      </c>
      <c r="K6917" t="s">
        <v>47</v>
      </c>
      <c r="L6917" t="s">
        <v>48</v>
      </c>
      <c r="M6917" t="s">
        <v>172</v>
      </c>
      <c r="N6917">
        <v>1411</v>
      </c>
      <c r="O6917" s="14">
        <v>0.25615260307677101</v>
      </c>
      <c r="P6917" s="14">
        <v>0.790102193132043</v>
      </c>
      <c r="Q6917" t="str">
        <f t="shared" si="216"/>
        <v>50+</v>
      </c>
      <c r="R6917" t="str">
        <f t="shared" si="217"/>
        <v>[kxuuIFpOXyO]|50+|Male|PLHIV_Attend.T2|CY2025Q3</v>
      </c>
    </row>
    <row r="6918" spans="4:18" x14ac:dyDescent="0.2">
      <c r="D6918" t="s">
        <v>65</v>
      </c>
      <c r="E6918" t="s">
        <v>66</v>
      </c>
      <c r="F6918" t="s">
        <v>67</v>
      </c>
      <c r="G6918" t="s">
        <v>173</v>
      </c>
      <c r="H6918" t="s">
        <v>173</v>
      </c>
      <c r="I6918" t="s">
        <v>27</v>
      </c>
      <c r="J6918" t="s">
        <v>28</v>
      </c>
      <c r="K6918" t="s">
        <v>29</v>
      </c>
      <c r="L6918" t="s">
        <v>30</v>
      </c>
      <c r="M6918" t="s">
        <v>172</v>
      </c>
      <c r="N6918">
        <v>613</v>
      </c>
      <c r="O6918" s="14">
        <v>7.0658619515597806E-2</v>
      </c>
      <c r="P6918" s="14">
        <v>0.16460988437756899</v>
      </c>
      <c r="Q6918" t="str">
        <f t="shared" si="216"/>
        <v>&lt;01</v>
      </c>
      <c r="R6918" t="str">
        <f t="shared" si="217"/>
        <v>[ScR9iFKAasW]|&lt;01|Female|PLHIV_Attend.T2|CY2025Q3</v>
      </c>
    </row>
    <row r="6919" spans="4:18" x14ac:dyDescent="0.2">
      <c r="D6919" t="s">
        <v>65</v>
      </c>
      <c r="E6919" t="s">
        <v>66</v>
      </c>
      <c r="F6919" t="s">
        <v>67</v>
      </c>
      <c r="G6919" t="s">
        <v>173</v>
      </c>
      <c r="H6919" t="s">
        <v>173</v>
      </c>
      <c r="I6919" t="s">
        <v>32</v>
      </c>
      <c r="J6919" t="s">
        <v>33</v>
      </c>
      <c r="K6919" t="s">
        <v>29</v>
      </c>
      <c r="L6919" t="s">
        <v>30</v>
      </c>
      <c r="M6919" t="s">
        <v>172</v>
      </c>
      <c r="N6919">
        <v>618</v>
      </c>
      <c r="O6919" s="14">
        <v>0.14073749771341701</v>
      </c>
      <c r="P6919" s="14">
        <v>0.16460988437756899</v>
      </c>
      <c r="Q6919" t="str">
        <f t="shared" si="216"/>
        <v>01-09</v>
      </c>
      <c r="R6919" t="str">
        <f t="shared" si="217"/>
        <v>[ScR9iFKAasW]|01-09|Female|PLHIV_Attend.T2|CY2025Q3</v>
      </c>
    </row>
    <row r="6920" spans="4:18" x14ac:dyDescent="0.2">
      <c r="D6920" t="s">
        <v>65</v>
      </c>
      <c r="E6920" t="s">
        <v>66</v>
      </c>
      <c r="F6920" t="s">
        <v>67</v>
      </c>
      <c r="G6920" t="s">
        <v>173</v>
      </c>
      <c r="H6920" t="s">
        <v>173</v>
      </c>
      <c r="I6920" t="s">
        <v>35</v>
      </c>
      <c r="J6920" t="s">
        <v>36</v>
      </c>
      <c r="K6920" t="s">
        <v>29</v>
      </c>
      <c r="L6920" t="s">
        <v>30</v>
      </c>
      <c r="M6920" t="s">
        <v>172</v>
      </c>
      <c r="N6920">
        <v>746</v>
      </c>
      <c r="O6920" s="14">
        <v>0.65457557700574398</v>
      </c>
      <c r="P6920" s="14">
        <v>0.16460988437756899</v>
      </c>
      <c r="Q6920" t="str">
        <f t="shared" si="216"/>
        <v>10-14</v>
      </c>
      <c r="R6920" t="str">
        <f t="shared" si="217"/>
        <v>[ScR9iFKAasW]|10-14|Female|PLHIV_Attend.T2|CY2025Q3</v>
      </c>
    </row>
    <row r="6921" spans="4:18" x14ac:dyDescent="0.2">
      <c r="D6921" t="s">
        <v>65</v>
      </c>
      <c r="E6921" t="s">
        <v>66</v>
      </c>
      <c r="F6921" t="s">
        <v>67</v>
      </c>
      <c r="G6921" t="s">
        <v>173</v>
      </c>
      <c r="H6921" t="s">
        <v>173</v>
      </c>
      <c r="I6921" t="s">
        <v>37</v>
      </c>
      <c r="J6921" t="s">
        <v>38</v>
      </c>
      <c r="K6921" t="s">
        <v>29</v>
      </c>
      <c r="L6921" t="s">
        <v>30</v>
      </c>
      <c r="M6921" t="s">
        <v>172</v>
      </c>
      <c r="N6921">
        <v>1868</v>
      </c>
      <c r="O6921" s="14">
        <v>0.76576804625801698</v>
      </c>
      <c r="P6921" s="14">
        <v>0.16460988437756899</v>
      </c>
      <c r="Q6921" t="str">
        <f t="shared" si="216"/>
        <v>15-24</v>
      </c>
      <c r="R6921" t="str">
        <f t="shared" si="217"/>
        <v>[ScR9iFKAasW]|15-24|Female|PLHIV_Attend.T2|CY2025Q3</v>
      </c>
    </row>
    <row r="6922" spans="4:18" x14ac:dyDescent="0.2">
      <c r="D6922" t="s">
        <v>65</v>
      </c>
      <c r="E6922" t="s">
        <v>66</v>
      </c>
      <c r="F6922" t="s">
        <v>67</v>
      </c>
      <c r="G6922" t="s">
        <v>173</v>
      </c>
      <c r="H6922" t="s">
        <v>173</v>
      </c>
      <c r="I6922" t="s">
        <v>40</v>
      </c>
      <c r="J6922" t="s">
        <v>41</v>
      </c>
      <c r="K6922" t="s">
        <v>29</v>
      </c>
      <c r="L6922" t="s">
        <v>30</v>
      </c>
      <c r="M6922" t="s">
        <v>172</v>
      </c>
      <c r="N6922">
        <v>963</v>
      </c>
      <c r="O6922" s="14">
        <v>0.52955102687701605</v>
      </c>
      <c r="P6922" s="14">
        <v>0.16460988437756899</v>
      </c>
      <c r="Q6922" t="str">
        <f t="shared" si="216"/>
        <v>25-34</v>
      </c>
      <c r="R6922" t="str">
        <f t="shared" si="217"/>
        <v>[ScR9iFKAasW]|25-34|Female|PLHIV_Attend.T2|CY2025Q3</v>
      </c>
    </row>
    <row r="6923" spans="4:18" x14ac:dyDescent="0.2">
      <c r="D6923" t="s">
        <v>65</v>
      </c>
      <c r="E6923" t="s">
        <v>66</v>
      </c>
      <c r="F6923" t="s">
        <v>67</v>
      </c>
      <c r="G6923" t="s">
        <v>173</v>
      </c>
      <c r="H6923" t="s">
        <v>173</v>
      </c>
      <c r="I6923" t="s">
        <v>42</v>
      </c>
      <c r="J6923" t="s">
        <v>43</v>
      </c>
      <c r="K6923" t="s">
        <v>29</v>
      </c>
      <c r="L6923" t="s">
        <v>30</v>
      </c>
      <c r="M6923" t="s">
        <v>172</v>
      </c>
      <c r="N6923">
        <v>1606</v>
      </c>
      <c r="O6923" s="14">
        <v>0.92357647605240301</v>
      </c>
      <c r="P6923" s="14">
        <v>0.16460988437756899</v>
      </c>
      <c r="Q6923" t="str">
        <f t="shared" si="216"/>
        <v>35-49</v>
      </c>
      <c r="R6923" t="str">
        <f t="shared" si="217"/>
        <v>[ScR9iFKAasW]|35-49|Female|PLHIV_Attend.T2|CY2025Q3</v>
      </c>
    </row>
    <row r="6924" spans="4:18" x14ac:dyDescent="0.2">
      <c r="D6924" t="s">
        <v>65</v>
      </c>
      <c r="E6924" t="s">
        <v>66</v>
      </c>
      <c r="F6924" t="s">
        <v>67</v>
      </c>
      <c r="G6924" t="s">
        <v>173</v>
      </c>
      <c r="H6924" t="s">
        <v>173</v>
      </c>
      <c r="I6924" t="s">
        <v>44</v>
      </c>
      <c r="J6924" t="s">
        <v>45</v>
      </c>
      <c r="K6924" t="s">
        <v>29</v>
      </c>
      <c r="L6924" t="s">
        <v>30</v>
      </c>
      <c r="M6924" t="s">
        <v>172</v>
      </c>
      <c r="N6924">
        <v>1345</v>
      </c>
      <c r="O6924" s="14">
        <v>0.190481787314638</v>
      </c>
      <c r="P6924" s="14">
        <v>0.16460988437756899</v>
      </c>
      <c r="Q6924" t="str">
        <f t="shared" si="216"/>
        <v>50+</v>
      </c>
      <c r="R6924" t="str">
        <f t="shared" si="217"/>
        <v>[ScR9iFKAasW]|50+|Female|PLHIV_Attend.T2|CY2025Q3</v>
      </c>
    </row>
    <row r="6925" spans="4:18" x14ac:dyDescent="0.2">
      <c r="D6925" t="s">
        <v>65</v>
      </c>
      <c r="E6925" t="s">
        <v>66</v>
      </c>
      <c r="F6925" t="s">
        <v>67</v>
      </c>
      <c r="G6925" t="s">
        <v>173</v>
      </c>
      <c r="H6925" t="s">
        <v>173</v>
      </c>
      <c r="I6925" t="s">
        <v>27</v>
      </c>
      <c r="J6925" t="s">
        <v>28</v>
      </c>
      <c r="K6925" t="s">
        <v>47</v>
      </c>
      <c r="L6925" t="s">
        <v>48</v>
      </c>
      <c r="M6925" t="s">
        <v>172</v>
      </c>
      <c r="N6925">
        <v>877</v>
      </c>
      <c r="O6925" s="14">
        <v>0.58695066813379504</v>
      </c>
      <c r="P6925" s="14">
        <v>0.16460988437756899</v>
      </c>
      <c r="Q6925" t="str">
        <f t="shared" si="216"/>
        <v>&lt;01</v>
      </c>
      <c r="R6925" t="str">
        <f t="shared" si="217"/>
        <v>[ScR9iFKAasW]|&lt;01|Male|PLHIV_Attend.T2|CY2025Q3</v>
      </c>
    </row>
    <row r="6926" spans="4:18" x14ac:dyDescent="0.2">
      <c r="D6926" t="s">
        <v>65</v>
      </c>
      <c r="E6926" t="s">
        <v>66</v>
      </c>
      <c r="F6926" t="s">
        <v>67</v>
      </c>
      <c r="G6926" t="s">
        <v>173</v>
      </c>
      <c r="H6926" t="s">
        <v>173</v>
      </c>
      <c r="I6926" t="s">
        <v>32</v>
      </c>
      <c r="J6926" t="s">
        <v>33</v>
      </c>
      <c r="K6926" t="s">
        <v>47</v>
      </c>
      <c r="L6926" t="s">
        <v>48</v>
      </c>
      <c r="M6926" t="s">
        <v>172</v>
      </c>
      <c r="N6926">
        <v>624</v>
      </c>
      <c r="O6926" s="14">
        <v>0.86391788488253995</v>
      </c>
      <c r="P6926" s="14">
        <v>0.16460988437756899</v>
      </c>
      <c r="Q6926" t="str">
        <f t="shared" si="216"/>
        <v>01-09</v>
      </c>
      <c r="R6926" t="str">
        <f t="shared" si="217"/>
        <v>[ScR9iFKAasW]|01-09|Male|PLHIV_Attend.T2|CY2025Q3</v>
      </c>
    </row>
    <row r="6927" spans="4:18" x14ac:dyDescent="0.2">
      <c r="D6927" t="s">
        <v>65</v>
      </c>
      <c r="E6927" t="s">
        <v>66</v>
      </c>
      <c r="F6927" t="s">
        <v>67</v>
      </c>
      <c r="G6927" t="s">
        <v>173</v>
      </c>
      <c r="H6927" t="s">
        <v>173</v>
      </c>
      <c r="I6927" t="s">
        <v>35</v>
      </c>
      <c r="J6927" t="s">
        <v>36</v>
      </c>
      <c r="K6927" t="s">
        <v>47</v>
      </c>
      <c r="L6927" t="s">
        <v>48</v>
      </c>
      <c r="M6927" t="s">
        <v>172</v>
      </c>
      <c r="N6927">
        <v>1437</v>
      </c>
      <c r="O6927" s="14">
        <v>0.360543563961983</v>
      </c>
      <c r="P6927" s="14">
        <v>0.16460988437756899</v>
      </c>
      <c r="Q6927" t="str">
        <f t="shared" si="216"/>
        <v>10-14</v>
      </c>
      <c r="R6927" t="str">
        <f t="shared" si="217"/>
        <v>[ScR9iFKAasW]|10-14|Male|PLHIV_Attend.T2|CY2025Q3</v>
      </c>
    </row>
    <row r="6928" spans="4:18" x14ac:dyDescent="0.2">
      <c r="D6928" t="s">
        <v>65</v>
      </c>
      <c r="E6928" t="s">
        <v>66</v>
      </c>
      <c r="F6928" t="s">
        <v>67</v>
      </c>
      <c r="G6928" t="s">
        <v>173</v>
      </c>
      <c r="H6928" t="s">
        <v>173</v>
      </c>
      <c r="I6928" t="s">
        <v>37</v>
      </c>
      <c r="J6928" t="s">
        <v>38</v>
      </c>
      <c r="K6928" t="s">
        <v>47</v>
      </c>
      <c r="L6928" t="s">
        <v>48</v>
      </c>
      <c r="M6928" t="s">
        <v>172</v>
      </c>
      <c r="N6928">
        <v>591</v>
      </c>
      <c r="O6928" s="14">
        <v>0.201766751939431</v>
      </c>
      <c r="P6928" s="14">
        <v>0.16460988437756899</v>
      </c>
      <c r="Q6928" t="str">
        <f t="shared" si="216"/>
        <v>15-24</v>
      </c>
      <c r="R6928" t="str">
        <f t="shared" si="217"/>
        <v>[ScR9iFKAasW]|15-24|Male|PLHIV_Attend.T2|CY2025Q3</v>
      </c>
    </row>
    <row r="6929" spans="4:18" x14ac:dyDescent="0.2">
      <c r="D6929" t="s">
        <v>65</v>
      </c>
      <c r="E6929" t="s">
        <v>66</v>
      </c>
      <c r="F6929" t="s">
        <v>67</v>
      </c>
      <c r="G6929" t="s">
        <v>173</v>
      </c>
      <c r="H6929" t="s">
        <v>173</v>
      </c>
      <c r="I6929" t="s">
        <v>40</v>
      </c>
      <c r="J6929" t="s">
        <v>41</v>
      </c>
      <c r="K6929" t="s">
        <v>47</v>
      </c>
      <c r="L6929" t="s">
        <v>48</v>
      </c>
      <c r="M6929" t="s">
        <v>172</v>
      </c>
      <c r="N6929">
        <v>1080</v>
      </c>
      <c r="O6929" s="14">
        <v>0.34749594563618302</v>
      </c>
      <c r="P6929" s="14">
        <v>0.16460988437756899</v>
      </c>
      <c r="Q6929" t="str">
        <f t="shared" si="216"/>
        <v>25-34</v>
      </c>
      <c r="R6929" t="str">
        <f t="shared" si="217"/>
        <v>[ScR9iFKAasW]|25-34|Male|PLHIV_Attend.T2|CY2025Q3</v>
      </c>
    </row>
    <row r="6930" spans="4:18" x14ac:dyDescent="0.2">
      <c r="D6930" t="s">
        <v>65</v>
      </c>
      <c r="E6930" t="s">
        <v>66</v>
      </c>
      <c r="F6930" t="s">
        <v>67</v>
      </c>
      <c r="G6930" t="s">
        <v>173</v>
      </c>
      <c r="H6930" t="s">
        <v>173</v>
      </c>
      <c r="I6930" t="s">
        <v>42</v>
      </c>
      <c r="J6930" t="s">
        <v>43</v>
      </c>
      <c r="K6930" t="s">
        <v>47</v>
      </c>
      <c r="L6930" t="s">
        <v>48</v>
      </c>
      <c r="M6930" t="s">
        <v>172</v>
      </c>
      <c r="N6930">
        <v>955</v>
      </c>
      <c r="O6930" s="14">
        <v>0.93919947952963401</v>
      </c>
      <c r="P6930" s="14">
        <v>0.16460988437756899</v>
      </c>
      <c r="Q6930" t="str">
        <f t="shared" si="216"/>
        <v>35-49</v>
      </c>
      <c r="R6930" t="str">
        <f t="shared" si="217"/>
        <v>[ScR9iFKAasW]|35-49|Male|PLHIV_Attend.T2|CY2025Q3</v>
      </c>
    </row>
    <row r="6931" spans="4:18" x14ac:dyDescent="0.2">
      <c r="D6931" t="s">
        <v>65</v>
      </c>
      <c r="E6931" t="s">
        <v>66</v>
      </c>
      <c r="F6931" t="s">
        <v>67</v>
      </c>
      <c r="G6931" t="s">
        <v>173</v>
      </c>
      <c r="H6931" t="s">
        <v>173</v>
      </c>
      <c r="I6931" t="s">
        <v>44</v>
      </c>
      <c r="J6931" t="s">
        <v>45</v>
      </c>
      <c r="K6931" t="s">
        <v>47</v>
      </c>
      <c r="L6931" t="s">
        <v>48</v>
      </c>
      <c r="M6931" t="s">
        <v>172</v>
      </c>
      <c r="N6931">
        <v>1434</v>
      </c>
      <c r="O6931" s="14">
        <v>0.46203708671964699</v>
      </c>
      <c r="P6931" s="14">
        <v>0.16460988437756899</v>
      </c>
      <c r="Q6931" t="str">
        <f t="shared" si="216"/>
        <v>50+</v>
      </c>
      <c r="R6931" t="str">
        <f t="shared" si="217"/>
        <v>[ScR9iFKAasW]|50+|Male|PLHIV_Attend.T2|CY2025Q3</v>
      </c>
    </row>
    <row r="6932" spans="4:18" x14ac:dyDescent="0.2">
      <c r="D6932" t="s">
        <v>68</v>
      </c>
      <c r="E6932" t="s">
        <v>69</v>
      </c>
      <c r="F6932" t="s">
        <v>70</v>
      </c>
      <c r="G6932" t="s">
        <v>173</v>
      </c>
      <c r="H6932" t="s">
        <v>173</v>
      </c>
      <c r="I6932" t="s">
        <v>27</v>
      </c>
      <c r="J6932" t="s">
        <v>28</v>
      </c>
      <c r="K6932" t="s">
        <v>29</v>
      </c>
      <c r="L6932" t="s">
        <v>30</v>
      </c>
      <c r="M6932" t="s">
        <v>172</v>
      </c>
      <c r="N6932">
        <v>1834</v>
      </c>
      <c r="O6932" s="14">
        <v>0.98297154298052203</v>
      </c>
      <c r="P6932" s="14">
        <v>0.19881726312451101</v>
      </c>
      <c r="Q6932" t="str">
        <f t="shared" si="216"/>
        <v>&lt;01</v>
      </c>
      <c r="R6932" t="str">
        <f t="shared" si="217"/>
        <v>[PekKUkKHAzY]|&lt;01|Female|PLHIV_Attend.T2|CY2025Q3</v>
      </c>
    </row>
    <row r="6933" spans="4:18" x14ac:dyDescent="0.2">
      <c r="D6933" t="s">
        <v>68</v>
      </c>
      <c r="E6933" t="s">
        <v>69</v>
      </c>
      <c r="F6933" t="s">
        <v>70</v>
      </c>
      <c r="G6933" t="s">
        <v>173</v>
      </c>
      <c r="H6933" t="s">
        <v>173</v>
      </c>
      <c r="I6933" t="s">
        <v>32</v>
      </c>
      <c r="J6933" t="s">
        <v>33</v>
      </c>
      <c r="K6933" t="s">
        <v>29</v>
      </c>
      <c r="L6933" t="s">
        <v>30</v>
      </c>
      <c r="M6933" t="s">
        <v>172</v>
      </c>
      <c r="N6933">
        <v>615</v>
      </c>
      <c r="O6933" s="14">
        <v>0.48870890331454597</v>
      </c>
      <c r="P6933" s="14">
        <v>0.19881726312451101</v>
      </c>
      <c r="Q6933" t="str">
        <f t="shared" si="216"/>
        <v>01-09</v>
      </c>
      <c r="R6933" t="str">
        <f t="shared" si="217"/>
        <v>[PekKUkKHAzY]|01-09|Female|PLHIV_Attend.T2|CY2025Q3</v>
      </c>
    </row>
    <row r="6934" spans="4:18" x14ac:dyDescent="0.2">
      <c r="D6934" t="s">
        <v>68</v>
      </c>
      <c r="E6934" t="s">
        <v>69</v>
      </c>
      <c r="F6934" t="s">
        <v>70</v>
      </c>
      <c r="G6934" t="s">
        <v>173</v>
      </c>
      <c r="H6934" t="s">
        <v>173</v>
      </c>
      <c r="I6934" t="s">
        <v>35</v>
      </c>
      <c r="J6934" t="s">
        <v>36</v>
      </c>
      <c r="K6934" t="s">
        <v>29</v>
      </c>
      <c r="L6934" t="s">
        <v>30</v>
      </c>
      <c r="M6934" t="s">
        <v>172</v>
      </c>
      <c r="N6934">
        <v>666</v>
      </c>
      <c r="O6934" s="14">
        <v>0.87826287094503597</v>
      </c>
      <c r="P6934" s="14">
        <v>0.19881726312451101</v>
      </c>
      <c r="Q6934" t="str">
        <f t="shared" si="216"/>
        <v>10-14</v>
      </c>
      <c r="R6934" t="str">
        <f t="shared" si="217"/>
        <v>[PekKUkKHAzY]|10-14|Female|PLHIV_Attend.T2|CY2025Q3</v>
      </c>
    </row>
    <row r="6935" spans="4:18" x14ac:dyDescent="0.2">
      <c r="D6935" t="s">
        <v>68</v>
      </c>
      <c r="E6935" t="s">
        <v>69</v>
      </c>
      <c r="F6935" t="s">
        <v>70</v>
      </c>
      <c r="G6935" t="s">
        <v>173</v>
      </c>
      <c r="H6935" t="s">
        <v>173</v>
      </c>
      <c r="I6935" t="s">
        <v>37</v>
      </c>
      <c r="J6935" t="s">
        <v>38</v>
      </c>
      <c r="K6935" t="s">
        <v>29</v>
      </c>
      <c r="L6935" t="s">
        <v>30</v>
      </c>
      <c r="M6935" t="s">
        <v>172</v>
      </c>
      <c r="N6935">
        <v>1637</v>
      </c>
      <c r="O6935" s="14">
        <v>0.92826529894955501</v>
      </c>
      <c r="P6935" s="14">
        <v>0.19881726312451101</v>
      </c>
      <c r="Q6935" t="str">
        <f t="shared" si="216"/>
        <v>15-24</v>
      </c>
      <c r="R6935" t="str">
        <f t="shared" si="217"/>
        <v>[PekKUkKHAzY]|15-24|Female|PLHIV_Attend.T2|CY2025Q3</v>
      </c>
    </row>
    <row r="6936" spans="4:18" x14ac:dyDescent="0.2">
      <c r="D6936" t="s">
        <v>68</v>
      </c>
      <c r="E6936" t="s">
        <v>69</v>
      </c>
      <c r="F6936" t="s">
        <v>70</v>
      </c>
      <c r="G6936" t="s">
        <v>173</v>
      </c>
      <c r="H6936" t="s">
        <v>173</v>
      </c>
      <c r="I6936" t="s">
        <v>40</v>
      </c>
      <c r="J6936" t="s">
        <v>41</v>
      </c>
      <c r="K6936" t="s">
        <v>29</v>
      </c>
      <c r="L6936" t="s">
        <v>30</v>
      </c>
      <c r="M6936" t="s">
        <v>172</v>
      </c>
      <c r="N6936">
        <v>674</v>
      </c>
      <c r="O6936" s="14">
        <v>0.46897127828560797</v>
      </c>
      <c r="P6936" s="14">
        <v>0.19881726312451101</v>
      </c>
      <c r="Q6936" t="str">
        <f t="shared" si="216"/>
        <v>25-34</v>
      </c>
      <c r="R6936" t="str">
        <f t="shared" si="217"/>
        <v>[PekKUkKHAzY]|25-34|Female|PLHIV_Attend.T2|CY2025Q3</v>
      </c>
    </row>
    <row r="6937" spans="4:18" x14ac:dyDescent="0.2">
      <c r="D6937" t="s">
        <v>68</v>
      </c>
      <c r="E6937" t="s">
        <v>69</v>
      </c>
      <c r="F6937" t="s">
        <v>70</v>
      </c>
      <c r="G6937" t="s">
        <v>173</v>
      </c>
      <c r="H6937" t="s">
        <v>173</v>
      </c>
      <c r="I6937" t="s">
        <v>42</v>
      </c>
      <c r="J6937" t="s">
        <v>43</v>
      </c>
      <c r="K6937" t="s">
        <v>29</v>
      </c>
      <c r="L6937" t="s">
        <v>30</v>
      </c>
      <c r="M6937" t="s">
        <v>172</v>
      </c>
      <c r="N6937">
        <v>751</v>
      </c>
      <c r="O6937" s="14">
        <v>0.77889289427548603</v>
      </c>
      <c r="P6937" s="14">
        <v>0.19881726312451101</v>
      </c>
      <c r="Q6937" t="str">
        <f t="shared" si="216"/>
        <v>35-49</v>
      </c>
      <c r="R6937" t="str">
        <f t="shared" si="217"/>
        <v>[PekKUkKHAzY]|35-49|Female|PLHIV_Attend.T2|CY2025Q3</v>
      </c>
    </row>
    <row r="6938" spans="4:18" x14ac:dyDescent="0.2">
      <c r="D6938" t="s">
        <v>68</v>
      </c>
      <c r="E6938" t="s">
        <v>69</v>
      </c>
      <c r="F6938" t="s">
        <v>70</v>
      </c>
      <c r="G6938" t="s">
        <v>173</v>
      </c>
      <c r="H6938" t="s">
        <v>173</v>
      </c>
      <c r="I6938" t="s">
        <v>44</v>
      </c>
      <c r="J6938" t="s">
        <v>45</v>
      </c>
      <c r="K6938" t="s">
        <v>29</v>
      </c>
      <c r="L6938" t="s">
        <v>30</v>
      </c>
      <c r="M6938" t="s">
        <v>172</v>
      </c>
      <c r="N6938">
        <v>676</v>
      </c>
      <c r="O6938" s="14">
        <v>0.672474375227466</v>
      </c>
      <c r="P6938" s="14">
        <v>0.19881726312451101</v>
      </c>
      <c r="Q6938" t="str">
        <f t="shared" si="216"/>
        <v>50+</v>
      </c>
      <c r="R6938" t="str">
        <f t="shared" si="217"/>
        <v>[PekKUkKHAzY]|50+|Female|PLHIV_Attend.T2|CY2025Q3</v>
      </c>
    </row>
    <row r="6939" spans="4:18" x14ac:dyDescent="0.2">
      <c r="D6939" t="s">
        <v>68</v>
      </c>
      <c r="E6939" t="s">
        <v>69</v>
      </c>
      <c r="F6939" t="s">
        <v>70</v>
      </c>
      <c r="G6939" t="s">
        <v>173</v>
      </c>
      <c r="H6939" t="s">
        <v>173</v>
      </c>
      <c r="I6939" t="s">
        <v>27</v>
      </c>
      <c r="J6939" t="s">
        <v>28</v>
      </c>
      <c r="K6939" t="s">
        <v>47</v>
      </c>
      <c r="L6939" t="s">
        <v>48</v>
      </c>
      <c r="M6939" t="s">
        <v>172</v>
      </c>
      <c r="N6939">
        <v>1763</v>
      </c>
      <c r="O6939" s="14">
        <v>0.72670090966858003</v>
      </c>
      <c r="P6939" s="14">
        <v>0.19881726312451101</v>
      </c>
      <c r="Q6939" t="str">
        <f t="shared" si="216"/>
        <v>&lt;01</v>
      </c>
      <c r="R6939" t="str">
        <f t="shared" si="217"/>
        <v>[PekKUkKHAzY]|&lt;01|Male|PLHIV_Attend.T2|CY2025Q3</v>
      </c>
    </row>
    <row r="6940" spans="4:18" x14ac:dyDescent="0.2">
      <c r="D6940" t="s">
        <v>68</v>
      </c>
      <c r="E6940" t="s">
        <v>69</v>
      </c>
      <c r="F6940" t="s">
        <v>70</v>
      </c>
      <c r="G6940" t="s">
        <v>173</v>
      </c>
      <c r="H6940" t="s">
        <v>173</v>
      </c>
      <c r="I6940" t="s">
        <v>32</v>
      </c>
      <c r="J6940" t="s">
        <v>33</v>
      </c>
      <c r="K6940" t="s">
        <v>47</v>
      </c>
      <c r="L6940" t="s">
        <v>48</v>
      </c>
      <c r="M6940" t="s">
        <v>172</v>
      </c>
      <c r="N6940">
        <v>658</v>
      </c>
      <c r="O6940" s="14">
        <v>0.63681777496822201</v>
      </c>
      <c r="P6940" s="14">
        <v>0.19881726312451101</v>
      </c>
      <c r="Q6940" t="str">
        <f t="shared" si="216"/>
        <v>01-09</v>
      </c>
      <c r="R6940" t="str">
        <f t="shared" si="217"/>
        <v>[PekKUkKHAzY]|01-09|Male|PLHIV_Attend.T2|CY2025Q3</v>
      </c>
    </row>
    <row r="6941" spans="4:18" x14ac:dyDescent="0.2">
      <c r="D6941" t="s">
        <v>68</v>
      </c>
      <c r="E6941" t="s">
        <v>69</v>
      </c>
      <c r="F6941" t="s">
        <v>70</v>
      </c>
      <c r="G6941" t="s">
        <v>173</v>
      </c>
      <c r="H6941" t="s">
        <v>173</v>
      </c>
      <c r="I6941" t="s">
        <v>35</v>
      </c>
      <c r="J6941" t="s">
        <v>36</v>
      </c>
      <c r="K6941" t="s">
        <v>47</v>
      </c>
      <c r="L6941" t="s">
        <v>48</v>
      </c>
      <c r="M6941" t="s">
        <v>172</v>
      </c>
      <c r="N6941">
        <v>1404</v>
      </c>
      <c r="O6941" s="14">
        <v>0.38842540350742599</v>
      </c>
      <c r="P6941" s="14">
        <v>0.19881726312451101</v>
      </c>
      <c r="Q6941" t="str">
        <f t="shared" si="216"/>
        <v>10-14</v>
      </c>
      <c r="R6941" t="str">
        <f t="shared" si="217"/>
        <v>[PekKUkKHAzY]|10-14|Male|PLHIV_Attend.T2|CY2025Q3</v>
      </c>
    </row>
    <row r="6942" spans="4:18" x14ac:dyDescent="0.2">
      <c r="D6942" t="s">
        <v>68</v>
      </c>
      <c r="E6942" t="s">
        <v>69</v>
      </c>
      <c r="F6942" t="s">
        <v>70</v>
      </c>
      <c r="G6942" t="s">
        <v>173</v>
      </c>
      <c r="H6942" t="s">
        <v>173</v>
      </c>
      <c r="I6942" t="s">
        <v>37</v>
      </c>
      <c r="J6942" t="s">
        <v>38</v>
      </c>
      <c r="K6942" t="s">
        <v>47</v>
      </c>
      <c r="L6942" t="s">
        <v>48</v>
      </c>
      <c r="M6942" t="s">
        <v>172</v>
      </c>
      <c r="N6942">
        <v>1832</v>
      </c>
      <c r="O6942" s="14">
        <v>0.77789250039495506</v>
      </c>
      <c r="P6942" s="14">
        <v>0.19881726312451101</v>
      </c>
      <c r="Q6942" t="str">
        <f t="shared" si="216"/>
        <v>15-24</v>
      </c>
      <c r="R6942" t="str">
        <f t="shared" si="217"/>
        <v>[PekKUkKHAzY]|15-24|Male|PLHIV_Attend.T2|CY2025Q3</v>
      </c>
    </row>
    <row r="6943" spans="4:18" x14ac:dyDescent="0.2">
      <c r="D6943" t="s">
        <v>68</v>
      </c>
      <c r="E6943" t="s">
        <v>69</v>
      </c>
      <c r="F6943" t="s">
        <v>70</v>
      </c>
      <c r="G6943" t="s">
        <v>173</v>
      </c>
      <c r="H6943" t="s">
        <v>173</v>
      </c>
      <c r="I6943" t="s">
        <v>40</v>
      </c>
      <c r="J6943" t="s">
        <v>41</v>
      </c>
      <c r="K6943" t="s">
        <v>47</v>
      </c>
      <c r="L6943" t="s">
        <v>48</v>
      </c>
      <c r="M6943" t="s">
        <v>172</v>
      </c>
      <c r="N6943">
        <v>1834</v>
      </c>
      <c r="O6943" s="14">
        <v>0.99236103985458601</v>
      </c>
      <c r="P6943" s="14">
        <v>0.19881726312451101</v>
      </c>
      <c r="Q6943" t="str">
        <f t="shared" si="216"/>
        <v>25-34</v>
      </c>
      <c r="R6943" t="str">
        <f t="shared" si="217"/>
        <v>[PekKUkKHAzY]|25-34|Male|PLHIV_Attend.T2|CY2025Q3</v>
      </c>
    </row>
    <row r="6944" spans="4:18" x14ac:dyDescent="0.2">
      <c r="D6944" t="s">
        <v>68</v>
      </c>
      <c r="E6944" t="s">
        <v>69</v>
      </c>
      <c r="F6944" t="s">
        <v>70</v>
      </c>
      <c r="G6944" t="s">
        <v>173</v>
      </c>
      <c r="H6944" t="s">
        <v>173</v>
      </c>
      <c r="I6944" t="s">
        <v>42</v>
      </c>
      <c r="J6944" t="s">
        <v>43</v>
      </c>
      <c r="K6944" t="s">
        <v>47</v>
      </c>
      <c r="L6944" t="s">
        <v>48</v>
      </c>
      <c r="M6944" t="s">
        <v>172</v>
      </c>
      <c r="N6944">
        <v>525</v>
      </c>
      <c r="O6944" s="14">
        <v>0.41942024906165898</v>
      </c>
      <c r="P6944" s="14">
        <v>0.19881726312451101</v>
      </c>
      <c r="Q6944" t="str">
        <f t="shared" si="216"/>
        <v>35-49</v>
      </c>
      <c r="R6944" t="str">
        <f t="shared" si="217"/>
        <v>[PekKUkKHAzY]|35-49|Male|PLHIV_Attend.T2|CY2025Q3</v>
      </c>
    </row>
    <row r="6945" spans="4:18" x14ac:dyDescent="0.2">
      <c r="D6945" t="s">
        <v>68</v>
      </c>
      <c r="E6945" t="s">
        <v>69</v>
      </c>
      <c r="F6945" t="s">
        <v>70</v>
      </c>
      <c r="G6945" t="s">
        <v>173</v>
      </c>
      <c r="H6945" t="s">
        <v>173</v>
      </c>
      <c r="I6945" t="s">
        <v>44</v>
      </c>
      <c r="J6945" t="s">
        <v>45</v>
      </c>
      <c r="K6945" t="s">
        <v>47</v>
      </c>
      <c r="L6945" t="s">
        <v>48</v>
      </c>
      <c r="M6945" t="s">
        <v>172</v>
      </c>
      <c r="N6945">
        <v>1835</v>
      </c>
      <c r="O6945" s="14">
        <v>0.88974827830679704</v>
      </c>
      <c r="P6945" s="14">
        <v>0.19881726312451101</v>
      </c>
      <c r="Q6945" t="str">
        <f t="shared" si="216"/>
        <v>50+</v>
      </c>
      <c r="R6945" t="str">
        <f t="shared" si="217"/>
        <v>[PekKUkKHAzY]|50+|Male|PLHIV_Attend.T2|CY2025Q3</v>
      </c>
    </row>
    <row r="6946" spans="4:18" x14ac:dyDescent="0.2">
      <c r="D6946" t="s">
        <v>71</v>
      </c>
      <c r="E6946" t="s">
        <v>72</v>
      </c>
      <c r="F6946" t="s">
        <v>73</v>
      </c>
      <c r="G6946" t="s">
        <v>173</v>
      </c>
      <c r="H6946" t="s">
        <v>173</v>
      </c>
      <c r="I6946" t="s">
        <v>27</v>
      </c>
      <c r="J6946" t="s">
        <v>28</v>
      </c>
      <c r="K6946" t="s">
        <v>29</v>
      </c>
      <c r="L6946" t="s">
        <v>30</v>
      </c>
      <c r="M6946" t="s">
        <v>172</v>
      </c>
      <c r="N6946">
        <v>1206</v>
      </c>
      <c r="O6946" s="14">
        <v>0.64567568548955001</v>
      </c>
      <c r="P6946" s="14">
        <v>0.28972870693542102</v>
      </c>
      <c r="Q6946" t="str">
        <f t="shared" si="216"/>
        <v>&lt;01</v>
      </c>
      <c r="R6946" t="str">
        <f t="shared" si="217"/>
        <v>[am530wpaGvr]|&lt;01|Female|PLHIV_Attend.T2|CY2025Q3</v>
      </c>
    </row>
    <row r="6947" spans="4:18" x14ac:dyDescent="0.2">
      <c r="D6947" t="s">
        <v>71</v>
      </c>
      <c r="E6947" t="s">
        <v>72</v>
      </c>
      <c r="F6947" t="s">
        <v>73</v>
      </c>
      <c r="G6947" t="s">
        <v>173</v>
      </c>
      <c r="H6947" t="s">
        <v>173</v>
      </c>
      <c r="I6947" t="s">
        <v>32</v>
      </c>
      <c r="J6947" t="s">
        <v>33</v>
      </c>
      <c r="K6947" t="s">
        <v>29</v>
      </c>
      <c r="L6947" t="s">
        <v>30</v>
      </c>
      <c r="M6947" t="s">
        <v>172</v>
      </c>
      <c r="N6947">
        <v>1920</v>
      </c>
      <c r="O6947" s="14">
        <v>0.394748925697058</v>
      </c>
      <c r="P6947" s="14">
        <v>0.28972870693542102</v>
      </c>
      <c r="Q6947" t="str">
        <f t="shared" si="216"/>
        <v>01-09</v>
      </c>
      <c r="R6947" t="str">
        <f t="shared" si="217"/>
        <v>[am530wpaGvr]|01-09|Female|PLHIV_Attend.T2|CY2025Q3</v>
      </c>
    </row>
    <row r="6948" spans="4:18" x14ac:dyDescent="0.2">
      <c r="D6948" t="s">
        <v>71</v>
      </c>
      <c r="E6948" t="s">
        <v>72</v>
      </c>
      <c r="F6948" t="s">
        <v>73</v>
      </c>
      <c r="G6948" t="s">
        <v>173</v>
      </c>
      <c r="H6948" t="s">
        <v>173</v>
      </c>
      <c r="I6948" t="s">
        <v>35</v>
      </c>
      <c r="J6948" t="s">
        <v>36</v>
      </c>
      <c r="K6948" t="s">
        <v>29</v>
      </c>
      <c r="L6948" t="s">
        <v>30</v>
      </c>
      <c r="M6948" t="s">
        <v>172</v>
      </c>
      <c r="N6948">
        <v>503</v>
      </c>
      <c r="O6948" s="14">
        <v>8.6507223313674303E-2</v>
      </c>
      <c r="P6948" s="14">
        <v>0.28972870693542102</v>
      </c>
      <c r="Q6948" t="str">
        <f t="shared" si="216"/>
        <v>10-14</v>
      </c>
      <c r="R6948" t="str">
        <f t="shared" si="217"/>
        <v>[am530wpaGvr]|10-14|Female|PLHIV_Attend.T2|CY2025Q3</v>
      </c>
    </row>
    <row r="6949" spans="4:18" x14ac:dyDescent="0.2">
      <c r="D6949" t="s">
        <v>71</v>
      </c>
      <c r="E6949" t="s">
        <v>72</v>
      </c>
      <c r="F6949" t="s">
        <v>73</v>
      </c>
      <c r="G6949" t="s">
        <v>173</v>
      </c>
      <c r="H6949" t="s">
        <v>173</v>
      </c>
      <c r="I6949" t="s">
        <v>37</v>
      </c>
      <c r="J6949" t="s">
        <v>38</v>
      </c>
      <c r="K6949" t="s">
        <v>29</v>
      </c>
      <c r="L6949" t="s">
        <v>30</v>
      </c>
      <c r="M6949" t="s">
        <v>172</v>
      </c>
      <c r="N6949">
        <v>1259</v>
      </c>
      <c r="O6949" s="14">
        <v>0.83955166488885902</v>
      </c>
      <c r="P6949" s="14">
        <v>0.28972870693542102</v>
      </c>
      <c r="Q6949" t="str">
        <f t="shared" si="216"/>
        <v>15-24</v>
      </c>
      <c r="R6949" t="str">
        <f t="shared" si="217"/>
        <v>[am530wpaGvr]|15-24|Female|PLHIV_Attend.T2|CY2025Q3</v>
      </c>
    </row>
    <row r="6950" spans="4:18" x14ac:dyDescent="0.2">
      <c r="D6950" t="s">
        <v>71</v>
      </c>
      <c r="E6950" t="s">
        <v>72</v>
      </c>
      <c r="F6950" t="s">
        <v>73</v>
      </c>
      <c r="G6950" t="s">
        <v>173</v>
      </c>
      <c r="H6950" t="s">
        <v>173</v>
      </c>
      <c r="I6950" t="s">
        <v>40</v>
      </c>
      <c r="J6950" t="s">
        <v>41</v>
      </c>
      <c r="K6950" t="s">
        <v>29</v>
      </c>
      <c r="L6950" t="s">
        <v>30</v>
      </c>
      <c r="M6950" t="s">
        <v>172</v>
      </c>
      <c r="N6950">
        <v>1197</v>
      </c>
      <c r="O6950" s="14">
        <v>0.30491848941892402</v>
      </c>
      <c r="P6950" s="14">
        <v>0.28972870693542102</v>
      </c>
      <c r="Q6950" t="str">
        <f t="shared" si="216"/>
        <v>25-34</v>
      </c>
      <c r="R6950" t="str">
        <f t="shared" si="217"/>
        <v>[am530wpaGvr]|25-34|Female|PLHIV_Attend.T2|CY2025Q3</v>
      </c>
    </row>
    <row r="6951" spans="4:18" x14ac:dyDescent="0.2">
      <c r="D6951" t="s">
        <v>71</v>
      </c>
      <c r="E6951" t="s">
        <v>72</v>
      </c>
      <c r="F6951" t="s">
        <v>73</v>
      </c>
      <c r="G6951" t="s">
        <v>173</v>
      </c>
      <c r="H6951" t="s">
        <v>173</v>
      </c>
      <c r="I6951" t="s">
        <v>42</v>
      </c>
      <c r="J6951" t="s">
        <v>43</v>
      </c>
      <c r="K6951" t="s">
        <v>29</v>
      </c>
      <c r="L6951" t="s">
        <v>30</v>
      </c>
      <c r="M6951" t="s">
        <v>172</v>
      </c>
      <c r="N6951">
        <v>1199</v>
      </c>
      <c r="O6951" s="14">
        <v>0.40613213530741599</v>
      </c>
      <c r="P6951" s="14">
        <v>0.28972870693542102</v>
      </c>
      <c r="Q6951" t="str">
        <f t="shared" si="216"/>
        <v>35-49</v>
      </c>
      <c r="R6951" t="str">
        <f t="shared" si="217"/>
        <v>[am530wpaGvr]|35-49|Female|PLHIV_Attend.T2|CY2025Q3</v>
      </c>
    </row>
    <row r="6952" spans="4:18" x14ac:dyDescent="0.2">
      <c r="D6952" t="s">
        <v>71</v>
      </c>
      <c r="E6952" t="s">
        <v>72</v>
      </c>
      <c r="F6952" t="s">
        <v>73</v>
      </c>
      <c r="G6952" t="s">
        <v>173</v>
      </c>
      <c r="H6952" t="s">
        <v>173</v>
      </c>
      <c r="I6952" t="s">
        <v>44</v>
      </c>
      <c r="J6952" t="s">
        <v>45</v>
      </c>
      <c r="K6952" t="s">
        <v>29</v>
      </c>
      <c r="L6952" t="s">
        <v>30</v>
      </c>
      <c r="M6952" t="s">
        <v>172</v>
      </c>
      <c r="N6952">
        <v>1810</v>
      </c>
      <c r="O6952" s="14">
        <v>0.518373022088781</v>
      </c>
      <c r="P6952" s="14">
        <v>0.28972870693542102</v>
      </c>
      <c r="Q6952" t="str">
        <f t="shared" si="216"/>
        <v>50+</v>
      </c>
      <c r="R6952" t="str">
        <f t="shared" si="217"/>
        <v>[am530wpaGvr]|50+|Female|PLHIV_Attend.T2|CY2025Q3</v>
      </c>
    </row>
    <row r="6953" spans="4:18" x14ac:dyDescent="0.2">
      <c r="D6953" t="s">
        <v>71</v>
      </c>
      <c r="E6953" t="s">
        <v>72</v>
      </c>
      <c r="F6953" t="s">
        <v>73</v>
      </c>
      <c r="G6953" t="s">
        <v>173</v>
      </c>
      <c r="H6953" t="s">
        <v>173</v>
      </c>
      <c r="I6953" t="s">
        <v>27</v>
      </c>
      <c r="J6953" t="s">
        <v>28</v>
      </c>
      <c r="K6953" t="s">
        <v>47</v>
      </c>
      <c r="L6953" t="s">
        <v>48</v>
      </c>
      <c r="M6953" t="s">
        <v>172</v>
      </c>
      <c r="N6953">
        <v>1364</v>
      </c>
      <c r="O6953" s="14">
        <v>0.31354210758581802</v>
      </c>
      <c r="P6953" s="14">
        <v>0.28972870693542102</v>
      </c>
      <c r="Q6953" t="str">
        <f t="shared" si="216"/>
        <v>&lt;01</v>
      </c>
      <c r="R6953" t="str">
        <f t="shared" si="217"/>
        <v>[am530wpaGvr]|&lt;01|Male|PLHIV_Attend.T2|CY2025Q3</v>
      </c>
    </row>
    <row r="6954" spans="4:18" x14ac:dyDescent="0.2">
      <c r="D6954" t="s">
        <v>71</v>
      </c>
      <c r="E6954" t="s">
        <v>72</v>
      </c>
      <c r="F6954" t="s">
        <v>73</v>
      </c>
      <c r="G6954" t="s">
        <v>173</v>
      </c>
      <c r="H6954" t="s">
        <v>173</v>
      </c>
      <c r="I6954" t="s">
        <v>32</v>
      </c>
      <c r="J6954" t="s">
        <v>33</v>
      </c>
      <c r="K6954" t="s">
        <v>47</v>
      </c>
      <c r="L6954" t="s">
        <v>48</v>
      </c>
      <c r="M6954" t="s">
        <v>172</v>
      </c>
      <c r="N6954">
        <v>1240</v>
      </c>
      <c r="O6954" s="14">
        <v>0.57080263062380299</v>
      </c>
      <c r="P6954" s="14">
        <v>0.28972870693542102</v>
      </c>
      <c r="Q6954" t="str">
        <f t="shared" si="216"/>
        <v>01-09</v>
      </c>
      <c r="R6954" t="str">
        <f t="shared" si="217"/>
        <v>[am530wpaGvr]|01-09|Male|PLHIV_Attend.T2|CY2025Q3</v>
      </c>
    </row>
    <row r="6955" spans="4:18" x14ac:dyDescent="0.2">
      <c r="D6955" t="s">
        <v>71</v>
      </c>
      <c r="E6955" t="s">
        <v>72</v>
      </c>
      <c r="F6955" t="s">
        <v>73</v>
      </c>
      <c r="G6955" t="s">
        <v>173</v>
      </c>
      <c r="H6955" t="s">
        <v>173</v>
      </c>
      <c r="I6955" t="s">
        <v>35</v>
      </c>
      <c r="J6955" t="s">
        <v>36</v>
      </c>
      <c r="K6955" t="s">
        <v>47</v>
      </c>
      <c r="L6955" t="s">
        <v>48</v>
      </c>
      <c r="M6955" t="s">
        <v>172</v>
      </c>
      <c r="N6955">
        <v>1340</v>
      </c>
      <c r="O6955" s="14">
        <v>0.39254816342145199</v>
      </c>
      <c r="P6955" s="14">
        <v>0.28972870693542102</v>
      </c>
      <c r="Q6955" t="str">
        <f t="shared" si="216"/>
        <v>10-14</v>
      </c>
      <c r="R6955" t="str">
        <f t="shared" si="217"/>
        <v>[am530wpaGvr]|10-14|Male|PLHIV_Attend.T2|CY2025Q3</v>
      </c>
    </row>
    <row r="6956" spans="4:18" x14ac:dyDescent="0.2">
      <c r="D6956" t="s">
        <v>71</v>
      </c>
      <c r="E6956" t="s">
        <v>72</v>
      </c>
      <c r="F6956" t="s">
        <v>73</v>
      </c>
      <c r="G6956" t="s">
        <v>173</v>
      </c>
      <c r="H6956" t="s">
        <v>173</v>
      </c>
      <c r="I6956" t="s">
        <v>37</v>
      </c>
      <c r="J6956" t="s">
        <v>38</v>
      </c>
      <c r="K6956" t="s">
        <v>47</v>
      </c>
      <c r="L6956" t="s">
        <v>48</v>
      </c>
      <c r="M6956" t="s">
        <v>172</v>
      </c>
      <c r="N6956">
        <v>1239</v>
      </c>
      <c r="O6956" s="14">
        <v>0.34207258466631202</v>
      </c>
      <c r="P6956" s="14">
        <v>0.28972870693542102</v>
      </c>
      <c r="Q6956" t="str">
        <f t="shared" si="216"/>
        <v>15-24</v>
      </c>
      <c r="R6956" t="str">
        <f t="shared" si="217"/>
        <v>[am530wpaGvr]|15-24|Male|PLHIV_Attend.T2|CY2025Q3</v>
      </c>
    </row>
    <row r="6957" spans="4:18" x14ac:dyDescent="0.2">
      <c r="D6957" t="s">
        <v>71</v>
      </c>
      <c r="E6957" t="s">
        <v>72</v>
      </c>
      <c r="F6957" t="s">
        <v>73</v>
      </c>
      <c r="G6957" t="s">
        <v>173</v>
      </c>
      <c r="H6957" t="s">
        <v>173</v>
      </c>
      <c r="I6957" t="s">
        <v>40</v>
      </c>
      <c r="J6957" t="s">
        <v>41</v>
      </c>
      <c r="K6957" t="s">
        <v>47</v>
      </c>
      <c r="L6957" t="s">
        <v>48</v>
      </c>
      <c r="M6957" t="s">
        <v>172</v>
      </c>
      <c r="N6957">
        <v>774</v>
      </c>
      <c r="O6957" s="14">
        <v>0.15356122609227901</v>
      </c>
      <c r="P6957" s="14">
        <v>0.28972870693542102</v>
      </c>
      <c r="Q6957" t="str">
        <f t="shared" si="216"/>
        <v>25-34</v>
      </c>
      <c r="R6957" t="str">
        <f t="shared" si="217"/>
        <v>[am530wpaGvr]|25-34|Male|PLHIV_Attend.T2|CY2025Q3</v>
      </c>
    </row>
    <row r="6958" spans="4:18" x14ac:dyDescent="0.2">
      <c r="D6958" t="s">
        <v>71</v>
      </c>
      <c r="E6958" t="s">
        <v>72</v>
      </c>
      <c r="F6958" t="s">
        <v>73</v>
      </c>
      <c r="G6958" t="s">
        <v>173</v>
      </c>
      <c r="H6958" t="s">
        <v>173</v>
      </c>
      <c r="I6958" t="s">
        <v>42</v>
      </c>
      <c r="J6958" t="s">
        <v>43</v>
      </c>
      <c r="K6958" t="s">
        <v>47</v>
      </c>
      <c r="L6958" t="s">
        <v>48</v>
      </c>
      <c r="M6958" t="s">
        <v>172</v>
      </c>
      <c r="N6958">
        <v>1456</v>
      </c>
      <c r="O6958" s="14">
        <v>0.44705664832144998</v>
      </c>
      <c r="P6958" s="14">
        <v>0.28972870693542102</v>
      </c>
      <c r="Q6958" t="str">
        <f t="shared" si="216"/>
        <v>35-49</v>
      </c>
      <c r="R6958" t="str">
        <f t="shared" si="217"/>
        <v>[am530wpaGvr]|35-49|Male|PLHIV_Attend.T2|CY2025Q3</v>
      </c>
    </row>
    <row r="6959" spans="4:18" x14ac:dyDescent="0.2">
      <c r="D6959" t="s">
        <v>71</v>
      </c>
      <c r="E6959" t="s">
        <v>72</v>
      </c>
      <c r="F6959" t="s">
        <v>73</v>
      </c>
      <c r="G6959" t="s">
        <v>173</v>
      </c>
      <c r="H6959" t="s">
        <v>173</v>
      </c>
      <c r="I6959" t="s">
        <v>44</v>
      </c>
      <c r="J6959" t="s">
        <v>45</v>
      </c>
      <c r="K6959" t="s">
        <v>47</v>
      </c>
      <c r="L6959" t="s">
        <v>48</v>
      </c>
      <c r="M6959" t="s">
        <v>172</v>
      </c>
      <c r="N6959">
        <v>1447</v>
      </c>
      <c r="O6959" s="14">
        <v>0.66469058021903005</v>
      </c>
      <c r="P6959" s="14">
        <v>0.28972870693542102</v>
      </c>
      <c r="Q6959" t="str">
        <f t="shared" si="216"/>
        <v>50+</v>
      </c>
      <c r="R6959" t="str">
        <f t="shared" si="217"/>
        <v>[am530wpaGvr]|50+|Male|PLHIV_Attend.T2|CY2025Q3</v>
      </c>
    </row>
    <row r="6960" spans="4:18" x14ac:dyDescent="0.2">
      <c r="D6960" t="s">
        <v>74</v>
      </c>
      <c r="E6960" t="s">
        <v>75</v>
      </c>
      <c r="F6960" t="s">
        <v>76</v>
      </c>
      <c r="G6960" t="s">
        <v>173</v>
      </c>
      <c r="H6960" t="s">
        <v>173</v>
      </c>
      <c r="I6960" t="s">
        <v>27</v>
      </c>
      <c r="J6960" t="s">
        <v>28</v>
      </c>
      <c r="K6960" t="s">
        <v>29</v>
      </c>
      <c r="L6960" t="s">
        <v>30</v>
      </c>
      <c r="M6960" t="s">
        <v>172</v>
      </c>
      <c r="N6960">
        <v>1700</v>
      </c>
      <c r="O6960" s="14">
        <v>0.90528922108933296</v>
      </c>
      <c r="P6960" s="14">
        <v>0.30305550759658201</v>
      </c>
      <c r="Q6960" t="str">
        <f t="shared" si="216"/>
        <v>&lt;01</v>
      </c>
      <c r="R6960" t="str">
        <f t="shared" si="217"/>
        <v>[lLDyBx5XyUi]|&lt;01|Female|PLHIV_Attend.T2|CY2025Q3</v>
      </c>
    </row>
    <row r="6961" spans="4:18" x14ac:dyDescent="0.2">
      <c r="D6961" t="s">
        <v>74</v>
      </c>
      <c r="E6961" t="s">
        <v>75</v>
      </c>
      <c r="F6961" t="s">
        <v>76</v>
      </c>
      <c r="G6961" t="s">
        <v>173</v>
      </c>
      <c r="H6961" t="s">
        <v>173</v>
      </c>
      <c r="I6961" t="s">
        <v>32</v>
      </c>
      <c r="J6961" t="s">
        <v>33</v>
      </c>
      <c r="K6961" t="s">
        <v>29</v>
      </c>
      <c r="L6961" t="s">
        <v>30</v>
      </c>
      <c r="M6961" t="s">
        <v>172</v>
      </c>
      <c r="N6961">
        <v>1392</v>
      </c>
      <c r="O6961" s="14">
        <v>0.37415698030963501</v>
      </c>
      <c r="P6961" s="14">
        <v>0.30305550759658201</v>
      </c>
      <c r="Q6961" t="str">
        <f t="shared" si="216"/>
        <v>01-09</v>
      </c>
      <c r="R6961" t="str">
        <f t="shared" si="217"/>
        <v>[lLDyBx5XyUi]|01-09|Female|PLHIV_Attend.T2|CY2025Q3</v>
      </c>
    </row>
    <row r="6962" spans="4:18" x14ac:dyDescent="0.2">
      <c r="D6962" t="s">
        <v>74</v>
      </c>
      <c r="E6962" t="s">
        <v>75</v>
      </c>
      <c r="F6962" t="s">
        <v>76</v>
      </c>
      <c r="G6962" t="s">
        <v>173</v>
      </c>
      <c r="H6962" t="s">
        <v>173</v>
      </c>
      <c r="I6962" t="s">
        <v>35</v>
      </c>
      <c r="J6962" t="s">
        <v>36</v>
      </c>
      <c r="K6962" t="s">
        <v>29</v>
      </c>
      <c r="L6962" t="s">
        <v>30</v>
      </c>
      <c r="M6962" t="s">
        <v>172</v>
      </c>
      <c r="N6962">
        <v>844</v>
      </c>
      <c r="O6962" s="14">
        <v>0.96047595632262495</v>
      </c>
      <c r="P6962" s="14">
        <v>0.30305550759658201</v>
      </c>
      <c r="Q6962" t="str">
        <f t="shared" si="216"/>
        <v>10-14</v>
      </c>
      <c r="R6962" t="str">
        <f t="shared" si="217"/>
        <v>[lLDyBx5XyUi]|10-14|Female|PLHIV_Attend.T2|CY2025Q3</v>
      </c>
    </row>
    <row r="6963" spans="4:18" x14ac:dyDescent="0.2">
      <c r="D6963" t="s">
        <v>74</v>
      </c>
      <c r="E6963" t="s">
        <v>75</v>
      </c>
      <c r="F6963" t="s">
        <v>76</v>
      </c>
      <c r="G6963" t="s">
        <v>173</v>
      </c>
      <c r="H6963" t="s">
        <v>173</v>
      </c>
      <c r="I6963" t="s">
        <v>37</v>
      </c>
      <c r="J6963" t="s">
        <v>38</v>
      </c>
      <c r="K6963" t="s">
        <v>29</v>
      </c>
      <c r="L6963" t="s">
        <v>30</v>
      </c>
      <c r="M6963" t="s">
        <v>172</v>
      </c>
      <c r="N6963">
        <v>1994</v>
      </c>
      <c r="O6963" s="14">
        <v>0.209609041921794</v>
      </c>
      <c r="P6963" s="14">
        <v>0.30305550759658201</v>
      </c>
      <c r="Q6963" t="str">
        <f t="shared" si="216"/>
        <v>15-24</v>
      </c>
      <c r="R6963" t="str">
        <f t="shared" si="217"/>
        <v>[lLDyBx5XyUi]|15-24|Female|PLHIV_Attend.T2|CY2025Q3</v>
      </c>
    </row>
    <row r="6964" spans="4:18" x14ac:dyDescent="0.2">
      <c r="D6964" t="s">
        <v>74</v>
      </c>
      <c r="E6964" t="s">
        <v>75</v>
      </c>
      <c r="F6964" t="s">
        <v>76</v>
      </c>
      <c r="G6964" t="s">
        <v>173</v>
      </c>
      <c r="H6964" t="s">
        <v>173</v>
      </c>
      <c r="I6964" t="s">
        <v>40</v>
      </c>
      <c r="J6964" t="s">
        <v>41</v>
      </c>
      <c r="K6964" t="s">
        <v>29</v>
      </c>
      <c r="L6964" t="s">
        <v>30</v>
      </c>
      <c r="M6964" t="s">
        <v>172</v>
      </c>
      <c r="N6964">
        <v>1931</v>
      </c>
      <c r="O6964" s="14">
        <v>0.17936537624336801</v>
      </c>
      <c r="P6964" s="14">
        <v>0.30305550759658201</v>
      </c>
      <c r="Q6964" t="str">
        <f t="shared" si="216"/>
        <v>25-34</v>
      </c>
      <c r="R6964" t="str">
        <f t="shared" si="217"/>
        <v>[lLDyBx5XyUi]|25-34|Female|PLHIV_Attend.T2|CY2025Q3</v>
      </c>
    </row>
    <row r="6965" spans="4:18" x14ac:dyDescent="0.2">
      <c r="D6965" t="s">
        <v>74</v>
      </c>
      <c r="E6965" t="s">
        <v>75</v>
      </c>
      <c r="F6965" t="s">
        <v>76</v>
      </c>
      <c r="G6965" t="s">
        <v>173</v>
      </c>
      <c r="H6965" t="s">
        <v>173</v>
      </c>
      <c r="I6965" t="s">
        <v>42</v>
      </c>
      <c r="J6965" t="s">
        <v>43</v>
      </c>
      <c r="K6965" t="s">
        <v>29</v>
      </c>
      <c r="L6965" t="s">
        <v>30</v>
      </c>
      <c r="M6965" t="s">
        <v>172</v>
      </c>
      <c r="N6965">
        <v>1611</v>
      </c>
      <c r="O6965" s="14">
        <v>0.199845541035756</v>
      </c>
      <c r="P6965" s="14">
        <v>0.30305550759658201</v>
      </c>
      <c r="Q6965" t="str">
        <f t="shared" si="216"/>
        <v>35-49</v>
      </c>
      <c r="R6965" t="str">
        <f t="shared" si="217"/>
        <v>[lLDyBx5XyUi]|35-49|Female|PLHIV_Attend.T2|CY2025Q3</v>
      </c>
    </row>
    <row r="6966" spans="4:18" x14ac:dyDescent="0.2">
      <c r="D6966" t="s">
        <v>74</v>
      </c>
      <c r="E6966" t="s">
        <v>75</v>
      </c>
      <c r="F6966" t="s">
        <v>76</v>
      </c>
      <c r="G6966" t="s">
        <v>173</v>
      </c>
      <c r="H6966" t="s">
        <v>173</v>
      </c>
      <c r="I6966" t="s">
        <v>44</v>
      </c>
      <c r="J6966" t="s">
        <v>45</v>
      </c>
      <c r="K6966" t="s">
        <v>29</v>
      </c>
      <c r="L6966" t="s">
        <v>30</v>
      </c>
      <c r="M6966" t="s">
        <v>172</v>
      </c>
      <c r="N6966">
        <v>540</v>
      </c>
      <c r="O6966" s="14">
        <v>0.85078649315983101</v>
      </c>
      <c r="P6966" s="14">
        <v>0.30305550759658201</v>
      </c>
      <c r="Q6966" t="str">
        <f t="shared" si="216"/>
        <v>50+</v>
      </c>
      <c r="R6966" t="str">
        <f t="shared" si="217"/>
        <v>[lLDyBx5XyUi]|50+|Female|PLHIV_Attend.T2|CY2025Q3</v>
      </c>
    </row>
    <row r="6967" spans="4:18" x14ac:dyDescent="0.2">
      <c r="D6967" t="s">
        <v>74</v>
      </c>
      <c r="E6967" t="s">
        <v>75</v>
      </c>
      <c r="F6967" t="s">
        <v>76</v>
      </c>
      <c r="G6967" t="s">
        <v>173</v>
      </c>
      <c r="H6967" t="s">
        <v>173</v>
      </c>
      <c r="I6967" t="s">
        <v>27</v>
      </c>
      <c r="J6967" t="s">
        <v>28</v>
      </c>
      <c r="K6967" t="s">
        <v>47</v>
      </c>
      <c r="L6967" t="s">
        <v>48</v>
      </c>
      <c r="M6967" t="s">
        <v>172</v>
      </c>
      <c r="N6967">
        <v>972</v>
      </c>
      <c r="O6967" s="14">
        <v>0.44121502549387498</v>
      </c>
      <c r="P6967" s="14">
        <v>0.30305550759658201</v>
      </c>
      <c r="Q6967" t="str">
        <f t="shared" si="216"/>
        <v>&lt;01</v>
      </c>
      <c r="R6967" t="str">
        <f t="shared" si="217"/>
        <v>[lLDyBx5XyUi]|&lt;01|Male|PLHIV_Attend.T2|CY2025Q3</v>
      </c>
    </row>
    <row r="6968" spans="4:18" x14ac:dyDescent="0.2">
      <c r="D6968" t="s">
        <v>74</v>
      </c>
      <c r="E6968" t="s">
        <v>75</v>
      </c>
      <c r="F6968" t="s">
        <v>76</v>
      </c>
      <c r="G6968" t="s">
        <v>173</v>
      </c>
      <c r="H6968" t="s">
        <v>173</v>
      </c>
      <c r="I6968" t="s">
        <v>32</v>
      </c>
      <c r="J6968" t="s">
        <v>33</v>
      </c>
      <c r="K6968" t="s">
        <v>47</v>
      </c>
      <c r="L6968" t="s">
        <v>48</v>
      </c>
      <c r="M6968" t="s">
        <v>172</v>
      </c>
      <c r="N6968">
        <v>1975</v>
      </c>
      <c r="O6968" s="14">
        <v>0.79292362998239696</v>
      </c>
      <c r="P6968" s="14">
        <v>0.30305550759658201</v>
      </c>
      <c r="Q6968" t="str">
        <f t="shared" si="216"/>
        <v>01-09</v>
      </c>
      <c r="R6968" t="str">
        <f t="shared" si="217"/>
        <v>[lLDyBx5XyUi]|01-09|Male|PLHIV_Attend.T2|CY2025Q3</v>
      </c>
    </row>
    <row r="6969" spans="4:18" x14ac:dyDescent="0.2">
      <c r="D6969" t="s">
        <v>74</v>
      </c>
      <c r="E6969" t="s">
        <v>75</v>
      </c>
      <c r="F6969" t="s">
        <v>76</v>
      </c>
      <c r="G6969" t="s">
        <v>173</v>
      </c>
      <c r="H6969" t="s">
        <v>173</v>
      </c>
      <c r="I6969" t="s">
        <v>35</v>
      </c>
      <c r="J6969" t="s">
        <v>36</v>
      </c>
      <c r="K6969" t="s">
        <v>47</v>
      </c>
      <c r="L6969" t="s">
        <v>48</v>
      </c>
      <c r="M6969" t="s">
        <v>172</v>
      </c>
      <c r="N6969">
        <v>1147</v>
      </c>
      <c r="O6969" s="14">
        <v>0.33631153334863501</v>
      </c>
      <c r="P6969" s="14">
        <v>0.30305550759658201</v>
      </c>
      <c r="Q6969" t="str">
        <f t="shared" si="216"/>
        <v>10-14</v>
      </c>
      <c r="R6969" t="str">
        <f t="shared" si="217"/>
        <v>[lLDyBx5XyUi]|10-14|Male|PLHIV_Attend.T2|CY2025Q3</v>
      </c>
    </row>
    <row r="6970" spans="4:18" x14ac:dyDescent="0.2">
      <c r="D6970" t="s">
        <v>74</v>
      </c>
      <c r="E6970" t="s">
        <v>75</v>
      </c>
      <c r="F6970" t="s">
        <v>76</v>
      </c>
      <c r="G6970" t="s">
        <v>173</v>
      </c>
      <c r="H6970" t="s">
        <v>173</v>
      </c>
      <c r="I6970" t="s">
        <v>37</v>
      </c>
      <c r="J6970" t="s">
        <v>38</v>
      </c>
      <c r="K6970" t="s">
        <v>47</v>
      </c>
      <c r="L6970" t="s">
        <v>48</v>
      </c>
      <c r="M6970" t="s">
        <v>172</v>
      </c>
      <c r="N6970">
        <v>580</v>
      </c>
      <c r="O6970" s="14">
        <v>0.15609897952526799</v>
      </c>
      <c r="P6970" s="14">
        <v>0.30305550759658201</v>
      </c>
      <c r="Q6970" t="str">
        <f t="shared" si="216"/>
        <v>15-24</v>
      </c>
      <c r="R6970" t="str">
        <f t="shared" si="217"/>
        <v>[lLDyBx5XyUi]|15-24|Male|PLHIV_Attend.T2|CY2025Q3</v>
      </c>
    </row>
    <row r="6971" spans="4:18" x14ac:dyDescent="0.2">
      <c r="D6971" t="s">
        <v>74</v>
      </c>
      <c r="E6971" t="s">
        <v>75</v>
      </c>
      <c r="F6971" t="s">
        <v>76</v>
      </c>
      <c r="G6971" t="s">
        <v>173</v>
      </c>
      <c r="H6971" t="s">
        <v>173</v>
      </c>
      <c r="I6971" t="s">
        <v>40</v>
      </c>
      <c r="J6971" t="s">
        <v>41</v>
      </c>
      <c r="K6971" t="s">
        <v>47</v>
      </c>
      <c r="L6971" t="s">
        <v>48</v>
      </c>
      <c r="M6971" t="s">
        <v>172</v>
      </c>
      <c r="N6971">
        <v>1025</v>
      </c>
      <c r="O6971" s="14">
        <v>0.32116858474910298</v>
      </c>
      <c r="P6971" s="14">
        <v>0.30305550759658201</v>
      </c>
      <c r="Q6971" t="str">
        <f t="shared" si="216"/>
        <v>25-34</v>
      </c>
      <c r="R6971" t="str">
        <f t="shared" si="217"/>
        <v>[lLDyBx5XyUi]|25-34|Male|PLHIV_Attend.T2|CY2025Q3</v>
      </c>
    </row>
    <row r="6972" spans="4:18" x14ac:dyDescent="0.2">
      <c r="D6972" t="s">
        <v>74</v>
      </c>
      <c r="E6972" t="s">
        <v>75</v>
      </c>
      <c r="F6972" t="s">
        <v>76</v>
      </c>
      <c r="G6972" t="s">
        <v>173</v>
      </c>
      <c r="H6972" t="s">
        <v>173</v>
      </c>
      <c r="I6972" t="s">
        <v>42</v>
      </c>
      <c r="J6972" t="s">
        <v>43</v>
      </c>
      <c r="K6972" t="s">
        <v>47</v>
      </c>
      <c r="L6972" t="s">
        <v>48</v>
      </c>
      <c r="M6972" t="s">
        <v>172</v>
      </c>
      <c r="N6972">
        <v>1606</v>
      </c>
      <c r="O6972" s="14">
        <v>0.68928403733298205</v>
      </c>
      <c r="P6972" s="14">
        <v>0.30305550759658201</v>
      </c>
      <c r="Q6972" t="str">
        <f t="shared" si="216"/>
        <v>35-49</v>
      </c>
      <c r="R6972" t="str">
        <f t="shared" si="217"/>
        <v>[lLDyBx5XyUi]|35-49|Male|PLHIV_Attend.T2|CY2025Q3</v>
      </c>
    </row>
    <row r="6973" spans="4:18" x14ac:dyDescent="0.2">
      <c r="D6973" t="s">
        <v>74</v>
      </c>
      <c r="E6973" t="s">
        <v>75</v>
      </c>
      <c r="F6973" t="s">
        <v>76</v>
      </c>
      <c r="G6973" t="s">
        <v>173</v>
      </c>
      <c r="H6973" t="s">
        <v>173</v>
      </c>
      <c r="I6973" t="s">
        <v>44</v>
      </c>
      <c r="J6973" t="s">
        <v>45</v>
      </c>
      <c r="K6973" t="s">
        <v>47</v>
      </c>
      <c r="L6973" t="s">
        <v>48</v>
      </c>
      <c r="M6973" t="s">
        <v>172</v>
      </c>
      <c r="N6973">
        <v>897</v>
      </c>
      <c r="O6973" s="14">
        <v>0.63095174520276498</v>
      </c>
      <c r="P6973" s="14">
        <v>0.30305550759658201</v>
      </c>
      <c r="Q6973" t="str">
        <f t="shared" si="216"/>
        <v>50+</v>
      </c>
      <c r="R6973" t="str">
        <f t="shared" si="217"/>
        <v>[lLDyBx5XyUi]|50+|Male|PLHIV_Attend.T2|CY2025Q3</v>
      </c>
    </row>
    <row r="6974" spans="4:18" x14ac:dyDescent="0.2">
      <c r="D6974" t="s">
        <v>77</v>
      </c>
      <c r="E6974" t="s">
        <v>78</v>
      </c>
      <c r="F6974" t="s">
        <v>79</v>
      </c>
      <c r="G6974" t="s">
        <v>173</v>
      </c>
      <c r="H6974" t="s">
        <v>173</v>
      </c>
      <c r="I6974" t="s">
        <v>27</v>
      </c>
      <c r="J6974" t="s">
        <v>28</v>
      </c>
      <c r="K6974" t="s">
        <v>29</v>
      </c>
      <c r="L6974" t="s">
        <v>30</v>
      </c>
      <c r="M6974" t="s">
        <v>172</v>
      </c>
      <c r="N6974">
        <v>1568</v>
      </c>
      <c r="O6974" s="14">
        <v>0.92194007546640899</v>
      </c>
      <c r="P6974" s="14">
        <v>0.83159798220731296</v>
      </c>
      <c r="Q6974" t="str">
        <f t="shared" si="216"/>
        <v>&lt;01</v>
      </c>
      <c r="R6974" t="str">
        <f t="shared" si="217"/>
        <v>[TYnMSwzko3z]|&lt;01|Female|PLHIV_Attend.T2|CY2025Q3</v>
      </c>
    </row>
    <row r="6975" spans="4:18" x14ac:dyDescent="0.2">
      <c r="D6975" t="s">
        <v>77</v>
      </c>
      <c r="E6975" t="s">
        <v>78</v>
      </c>
      <c r="F6975" t="s">
        <v>79</v>
      </c>
      <c r="G6975" t="s">
        <v>173</v>
      </c>
      <c r="H6975" t="s">
        <v>173</v>
      </c>
      <c r="I6975" t="s">
        <v>32</v>
      </c>
      <c r="J6975" t="s">
        <v>33</v>
      </c>
      <c r="K6975" t="s">
        <v>29</v>
      </c>
      <c r="L6975" t="s">
        <v>30</v>
      </c>
      <c r="M6975" t="s">
        <v>172</v>
      </c>
      <c r="N6975">
        <v>674</v>
      </c>
      <c r="O6975" s="14">
        <v>0.22346024052239999</v>
      </c>
      <c r="P6975" s="14">
        <v>0.83159798220731296</v>
      </c>
      <c r="Q6975" t="str">
        <f t="shared" si="216"/>
        <v>01-09</v>
      </c>
      <c r="R6975" t="str">
        <f t="shared" si="217"/>
        <v>[TYnMSwzko3z]|01-09|Female|PLHIV_Attend.T2|CY2025Q3</v>
      </c>
    </row>
    <row r="6976" spans="4:18" x14ac:dyDescent="0.2">
      <c r="D6976" t="s">
        <v>77</v>
      </c>
      <c r="E6976" t="s">
        <v>78</v>
      </c>
      <c r="F6976" t="s">
        <v>79</v>
      </c>
      <c r="G6976" t="s">
        <v>173</v>
      </c>
      <c r="H6976" t="s">
        <v>173</v>
      </c>
      <c r="I6976" t="s">
        <v>35</v>
      </c>
      <c r="J6976" t="s">
        <v>36</v>
      </c>
      <c r="K6976" t="s">
        <v>29</v>
      </c>
      <c r="L6976" t="s">
        <v>30</v>
      </c>
      <c r="M6976" t="s">
        <v>172</v>
      </c>
      <c r="N6976">
        <v>904</v>
      </c>
      <c r="O6976" s="14">
        <v>0.939093261025846</v>
      </c>
      <c r="P6976" s="14">
        <v>0.83159798220731296</v>
      </c>
      <c r="Q6976" t="str">
        <f t="shared" si="216"/>
        <v>10-14</v>
      </c>
      <c r="R6976" t="str">
        <f t="shared" si="217"/>
        <v>[TYnMSwzko3z]|10-14|Female|PLHIV_Attend.T2|CY2025Q3</v>
      </c>
    </row>
    <row r="6977" spans="4:18" x14ac:dyDescent="0.2">
      <c r="D6977" t="s">
        <v>77</v>
      </c>
      <c r="E6977" t="s">
        <v>78</v>
      </c>
      <c r="F6977" t="s">
        <v>79</v>
      </c>
      <c r="G6977" t="s">
        <v>173</v>
      </c>
      <c r="H6977" t="s">
        <v>173</v>
      </c>
      <c r="I6977" t="s">
        <v>37</v>
      </c>
      <c r="J6977" t="s">
        <v>38</v>
      </c>
      <c r="K6977" t="s">
        <v>29</v>
      </c>
      <c r="L6977" t="s">
        <v>30</v>
      </c>
      <c r="M6977" t="s">
        <v>172</v>
      </c>
      <c r="N6977">
        <v>1791</v>
      </c>
      <c r="O6977" s="14">
        <v>0.61384295532479904</v>
      </c>
      <c r="P6977" s="14">
        <v>0.83159798220731296</v>
      </c>
      <c r="Q6977" t="str">
        <f t="shared" si="216"/>
        <v>15-24</v>
      </c>
      <c r="R6977" t="str">
        <f t="shared" si="217"/>
        <v>[TYnMSwzko3z]|15-24|Female|PLHIV_Attend.T2|CY2025Q3</v>
      </c>
    </row>
    <row r="6978" spans="4:18" x14ac:dyDescent="0.2">
      <c r="D6978" t="s">
        <v>77</v>
      </c>
      <c r="E6978" t="s">
        <v>78</v>
      </c>
      <c r="F6978" t="s">
        <v>79</v>
      </c>
      <c r="G6978" t="s">
        <v>173</v>
      </c>
      <c r="H6978" t="s">
        <v>173</v>
      </c>
      <c r="I6978" t="s">
        <v>40</v>
      </c>
      <c r="J6978" t="s">
        <v>41</v>
      </c>
      <c r="K6978" t="s">
        <v>29</v>
      </c>
      <c r="L6978" t="s">
        <v>30</v>
      </c>
      <c r="M6978" t="s">
        <v>172</v>
      </c>
      <c r="N6978">
        <v>1057</v>
      </c>
      <c r="O6978" s="14">
        <v>5.5727544939145397E-2</v>
      </c>
      <c r="P6978" s="14">
        <v>0.83159798220731296</v>
      </c>
      <c r="Q6978" t="str">
        <f t="shared" ref="Q6978:Q7041" si="218">SUBSTITUTE(SUBSTITUTE($I6978,CHAR(61),""),CHAR(34),"")</f>
        <v>25-34</v>
      </c>
      <c r="R6978" t="str">
        <f t="shared" ref="R6978:R7041" si="219">IF($D6978&lt;&gt;"","["&amp;$E6978&amp;"]"&amp;"|"&amp;$Q6978&amp;"|"&amp;$K6978&amp;"|"&amp;$G6978&amp;"|"&amp;IF($G6978="TX_CURR_SUBNAT.R","CY2022Q4",$M6978),"")</f>
        <v>[TYnMSwzko3z]|25-34|Female|PLHIV_Attend.T2|CY2025Q3</v>
      </c>
    </row>
    <row r="6979" spans="4:18" x14ac:dyDescent="0.2">
      <c r="D6979" t="s">
        <v>77</v>
      </c>
      <c r="E6979" t="s">
        <v>78</v>
      </c>
      <c r="F6979" t="s">
        <v>79</v>
      </c>
      <c r="G6979" t="s">
        <v>173</v>
      </c>
      <c r="H6979" t="s">
        <v>173</v>
      </c>
      <c r="I6979" t="s">
        <v>42</v>
      </c>
      <c r="J6979" t="s">
        <v>43</v>
      </c>
      <c r="K6979" t="s">
        <v>29</v>
      </c>
      <c r="L6979" t="s">
        <v>30</v>
      </c>
      <c r="M6979" t="s">
        <v>172</v>
      </c>
      <c r="N6979">
        <v>1310</v>
      </c>
      <c r="O6979" s="14">
        <v>0.40268063941039101</v>
      </c>
      <c r="P6979" s="14">
        <v>0.83159798220731296</v>
      </c>
      <c r="Q6979" t="str">
        <f t="shared" si="218"/>
        <v>35-49</v>
      </c>
      <c r="R6979" t="str">
        <f t="shared" si="219"/>
        <v>[TYnMSwzko3z]|35-49|Female|PLHIV_Attend.T2|CY2025Q3</v>
      </c>
    </row>
    <row r="6980" spans="4:18" x14ac:dyDescent="0.2">
      <c r="D6980" t="s">
        <v>77</v>
      </c>
      <c r="E6980" t="s">
        <v>78</v>
      </c>
      <c r="F6980" t="s">
        <v>79</v>
      </c>
      <c r="G6980" t="s">
        <v>173</v>
      </c>
      <c r="H6980" t="s">
        <v>173</v>
      </c>
      <c r="I6980" t="s">
        <v>44</v>
      </c>
      <c r="J6980" t="s">
        <v>45</v>
      </c>
      <c r="K6980" t="s">
        <v>29</v>
      </c>
      <c r="L6980" t="s">
        <v>30</v>
      </c>
      <c r="M6980" t="s">
        <v>172</v>
      </c>
      <c r="N6980">
        <v>909</v>
      </c>
      <c r="O6980" s="14">
        <v>0.56298409285955098</v>
      </c>
      <c r="P6980" s="14">
        <v>0.83159798220731296</v>
      </c>
      <c r="Q6980" t="str">
        <f t="shared" si="218"/>
        <v>50+</v>
      </c>
      <c r="R6980" t="str">
        <f t="shared" si="219"/>
        <v>[TYnMSwzko3z]|50+|Female|PLHIV_Attend.T2|CY2025Q3</v>
      </c>
    </row>
    <row r="6981" spans="4:18" x14ac:dyDescent="0.2">
      <c r="D6981" t="s">
        <v>77</v>
      </c>
      <c r="E6981" t="s">
        <v>78</v>
      </c>
      <c r="F6981" t="s">
        <v>79</v>
      </c>
      <c r="G6981" t="s">
        <v>173</v>
      </c>
      <c r="H6981" t="s">
        <v>173</v>
      </c>
      <c r="I6981" t="s">
        <v>27</v>
      </c>
      <c r="J6981" t="s">
        <v>28</v>
      </c>
      <c r="K6981" t="s">
        <v>47</v>
      </c>
      <c r="L6981" t="s">
        <v>48</v>
      </c>
      <c r="M6981" t="s">
        <v>172</v>
      </c>
      <c r="N6981">
        <v>663</v>
      </c>
      <c r="O6981" s="14">
        <v>0.54507054714486003</v>
      </c>
      <c r="P6981" s="14">
        <v>0.83159798220731296</v>
      </c>
      <c r="Q6981" t="str">
        <f t="shared" si="218"/>
        <v>&lt;01</v>
      </c>
      <c r="R6981" t="str">
        <f t="shared" si="219"/>
        <v>[TYnMSwzko3z]|&lt;01|Male|PLHIV_Attend.T2|CY2025Q3</v>
      </c>
    </row>
    <row r="6982" spans="4:18" x14ac:dyDescent="0.2">
      <c r="D6982" t="s">
        <v>77</v>
      </c>
      <c r="E6982" t="s">
        <v>78</v>
      </c>
      <c r="F6982" t="s">
        <v>79</v>
      </c>
      <c r="G6982" t="s">
        <v>173</v>
      </c>
      <c r="H6982" t="s">
        <v>173</v>
      </c>
      <c r="I6982" t="s">
        <v>32</v>
      </c>
      <c r="J6982" t="s">
        <v>33</v>
      </c>
      <c r="K6982" t="s">
        <v>47</v>
      </c>
      <c r="L6982" t="s">
        <v>48</v>
      </c>
      <c r="M6982" t="s">
        <v>172</v>
      </c>
      <c r="N6982">
        <v>1694</v>
      </c>
      <c r="O6982" s="14">
        <v>0.43920274800621001</v>
      </c>
      <c r="P6982" s="14">
        <v>0.83159798220731296</v>
      </c>
      <c r="Q6982" t="str">
        <f t="shared" si="218"/>
        <v>01-09</v>
      </c>
      <c r="R6982" t="str">
        <f t="shared" si="219"/>
        <v>[TYnMSwzko3z]|01-09|Male|PLHIV_Attend.T2|CY2025Q3</v>
      </c>
    </row>
    <row r="6983" spans="4:18" x14ac:dyDescent="0.2">
      <c r="D6983" t="s">
        <v>77</v>
      </c>
      <c r="E6983" t="s">
        <v>78</v>
      </c>
      <c r="F6983" t="s">
        <v>79</v>
      </c>
      <c r="G6983" t="s">
        <v>173</v>
      </c>
      <c r="H6983" t="s">
        <v>173</v>
      </c>
      <c r="I6983" t="s">
        <v>35</v>
      </c>
      <c r="J6983" t="s">
        <v>36</v>
      </c>
      <c r="K6983" t="s">
        <v>47</v>
      </c>
      <c r="L6983" t="s">
        <v>48</v>
      </c>
      <c r="M6983" t="s">
        <v>172</v>
      </c>
      <c r="N6983">
        <v>1223</v>
      </c>
      <c r="O6983" s="14">
        <v>0.49295791541226203</v>
      </c>
      <c r="P6983" s="14">
        <v>0.83159798220731296</v>
      </c>
      <c r="Q6983" t="str">
        <f t="shared" si="218"/>
        <v>10-14</v>
      </c>
      <c r="R6983" t="str">
        <f t="shared" si="219"/>
        <v>[TYnMSwzko3z]|10-14|Male|PLHIV_Attend.T2|CY2025Q3</v>
      </c>
    </row>
    <row r="6984" spans="4:18" x14ac:dyDescent="0.2">
      <c r="D6984" t="s">
        <v>77</v>
      </c>
      <c r="E6984" t="s">
        <v>78</v>
      </c>
      <c r="F6984" t="s">
        <v>79</v>
      </c>
      <c r="G6984" t="s">
        <v>173</v>
      </c>
      <c r="H6984" t="s">
        <v>173</v>
      </c>
      <c r="I6984" t="s">
        <v>37</v>
      </c>
      <c r="J6984" t="s">
        <v>38</v>
      </c>
      <c r="K6984" t="s">
        <v>47</v>
      </c>
      <c r="L6984" t="s">
        <v>48</v>
      </c>
      <c r="M6984" t="s">
        <v>172</v>
      </c>
      <c r="N6984">
        <v>1324</v>
      </c>
      <c r="O6984" s="14">
        <v>0.98983379988931097</v>
      </c>
      <c r="P6984" s="14">
        <v>0.83159798220731296</v>
      </c>
      <c r="Q6984" t="str">
        <f t="shared" si="218"/>
        <v>15-24</v>
      </c>
      <c r="R6984" t="str">
        <f t="shared" si="219"/>
        <v>[TYnMSwzko3z]|15-24|Male|PLHIV_Attend.T2|CY2025Q3</v>
      </c>
    </row>
    <row r="6985" spans="4:18" x14ac:dyDescent="0.2">
      <c r="D6985" t="s">
        <v>77</v>
      </c>
      <c r="E6985" t="s">
        <v>78</v>
      </c>
      <c r="F6985" t="s">
        <v>79</v>
      </c>
      <c r="G6985" t="s">
        <v>173</v>
      </c>
      <c r="H6985" t="s">
        <v>173</v>
      </c>
      <c r="I6985" t="s">
        <v>40</v>
      </c>
      <c r="J6985" t="s">
        <v>41</v>
      </c>
      <c r="K6985" t="s">
        <v>47</v>
      </c>
      <c r="L6985" t="s">
        <v>48</v>
      </c>
      <c r="M6985" t="s">
        <v>172</v>
      </c>
      <c r="N6985">
        <v>1008</v>
      </c>
      <c r="O6985" s="14">
        <v>0.90231515606865298</v>
      </c>
      <c r="P6985" s="14">
        <v>0.83159798220731296</v>
      </c>
      <c r="Q6985" t="str">
        <f t="shared" si="218"/>
        <v>25-34</v>
      </c>
      <c r="R6985" t="str">
        <f t="shared" si="219"/>
        <v>[TYnMSwzko3z]|25-34|Male|PLHIV_Attend.T2|CY2025Q3</v>
      </c>
    </row>
    <row r="6986" spans="4:18" x14ac:dyDescent="0.2">
      <c r="D6986" t="s">
        <v>77</v>
      </c>
      <c r="E6986" t="s">
        <v>78</v>
      </c>
      <c r="F6986" t="s">
        <v>79</v>
      </c>
      <c r="G6986" t="s">
        <v>173</v>
      </c>
      <c r="H6986" t="s">
        <v>173</v>
      </c>
      <c r="I6986" t="s">
        <v>42</v>
      </c>
      <c r="J6986" t="s">
        <v>43</v>
      </c>
      <c r="K6986" t="s">
        <v>47</v>
      </c>
      <c r="L6986" t="s">
        <v>48</v>
      </c>
      <c r="M6986" t="s">
        <v>172</v>
      </c>
      <c r="N6986">
        <v>1887</v>
      </c>
      <c r="O6986" s="14">
        <v>0.33720987057313301</v>
      </c>
      <c r="P6986" s="14">
        <v>0.83159798220731296</v>
      </c>
      <c r="Q6986" t="str">
        <f t="shared" si="218"/>
        <v>35-49</v>
      </c>
      <c r="R6986" t="str">
        <f t="shared" si="219"/>
        <v>[TYnMSwzko3z]|35-49|Male|PLHIV_Attend.T2|CY2025Q3</v>
      </c>
    </row>
    <row r="6987" spans="4:18" x14ac:dyDescent="0.2">
      <c r="D6987" t="s">
        <v>77</v>
      </c>
      <c r="E6987" t="s">
        <v>78</v>
      </c>
      <c r="F6987" t="s">
        <v>79</v>
      </c>
      <c r="G6987" t="s">
        <v>173</v>
      </c>
      <c r="H6987" t="s">
        <v>173</v>
      </c>
      <c r="I6987" t="s">
        <v>44</v>
      </c>
      <c r="J6987" t="s">
        <v>45</v>
      </c>
      <c r="K6987" t="s">
        <v>47</v>
      </c>
      <c r="L6987" t="s">
        <v>48</v>
      </c>
      <c r="M6987" t="s">
        <v>172</v>
      </c>
      <c r="N6987">
        <v>1508</v>
      </c>
      <c r="O6987" s="14">
        <v>0.67723207222297799</v>
      </c>
      <c r="P6987" s="14">
        <v>0.83159798220731296</v>
      </c>
      <c r="Q6987" t="str">
        <f t="shared" si="218"/>
        <v>50+</v>
      </c>
      <c r="R6987" t="str">
        <f t="shared" si="219"/>
        <v>[TYnMSwzko3z]|50+|Male|PLHIV_Attend.T2|CY2025Q3</v>
      </c>
    </row>
    <row r="6988" spans="4:18" x14ac:dyDescent="0.2">
      <c r="D6988" t="s">
        <v>80</v>
      </c>
      <c r="E6988" t="s">
        <v>81</v>
      </c>
      <c r="F6988" t="s">
        <v>82</v>
      </c>
      <c r="G6988" t="s">
        <v>173</v>
      </c>
      <c r="H6988" t="s">
        <v>173</v>
      </c>
      <c r="I6988" t="s">
        <v>27</v>
      </c>
      <c r="J6988" t="s">
        <v>28</v>
      </c>
      <c r="K6988" t="s">
        <v>29</v>
      </c>
      <c r="L6988" t="s">
        <v>30</v>
      </c>
      <c r="M6988" t="s">
        <v>172</v>
      </c>
      <c r="N6988">
        <v>1475</v>
      </c>
      <c r="O6988" s="14">
        <v>0.75950149726122596</v>
      </c>
      <c r="P6988" s="14">
        <v>0.14333142153918699</v>
      </c>
      <c r="Q6988" t="str">
        <f t="shared" si="218"/>
        <v>&lt;01</v>
      </c>
      <c r="R6988" t="str">
        <f t="shared" si="219"/>
        <v>[ir8wuHHzoSs]|&lt;01|Female|PLHIV_Attend.T2|CY2025Q3</v>
      </c>
    </row>
    <row r="6989" spans="4:18" x14ac:dyDescent="0.2">
      <c r="D6989" t="s">
        <v>80</v>
      </c>
      <c r="E6989" t="s">
        <v>81</v>
      </c>
      <c r="F6989" t="s">
        <v>82</v>
      </c>
      <c r="G6989" t="s">
        <v>173</v>
      </c>
      <c r="H6989" t="s">
        <v>173</v>
      </c>
      <c r="I6989" t="s">
        <v>32</v>
      </c>
      <c r="J6989" t="s">
        <v>33</v>
      </c>
      <c r="K6989" t="s">
        <v>29</v>
      </c>
      <c r="L6989" t="s">
        <v>30</v>
      </c>
      <c r="M6989" t="s">
        <v>172</v>
      </c>
      <c r="N6989">
        <v>1776</v>
      </c>
      <c r="O6989" s="14">
        <v>4.30351076647639E-2</v>
      </c>
      <c r="P6989" s="14">
        <v>0.14333142153918699</v>
      </c>
      <c r="Q6989" t="str">
        <f t="shared" si="218"/>
        <v>01-09</v>
      </c>
      <c r="R6989" t="str">
        <f t="shared" si="219"/>
        <v>[ir8wuHHzoSs]|01-09|Female|PLHIV_Attend.T2|CY2025Q3</v>
      </c>
    </row>
    <row r="6990" spans="4:18" x14ac:dyDescent="0.2">
      <c r="D6990" t="s">
        <v>80</v>
      </c>
      <c r="E6990" t="s">
        <v>81</v>
      </c>
      <c r="F6990" t="s">
        <v>82</v>
      </c>
      <c r="G6990" t="s">
        <v>173</v>
      </c>
      <c r="H6990" t="s">
        <v>173</v>
      </c>
      <c r="I6990" t="s">
        <v>35</v>
      </c>
      <c r="J6990" t="s">
        <v>36</v>
      </c>
      <c r="K6990" t="s">
        <v>29</v>
      </c>
      <c r="L6990" t="s">
        <v>30</v>
      </c>
      <c r="M6990" t="s">
        <v>172</v>
      </c>
      <c r="N6990">
        <v>1981</v>
      </c>
      <c r="O6990" s="14">
        <v>0.91931427665986098</v>
      </c>
      <c r="P6990" s="14">
        <v>0.14333142153918699</v>
      </c>
      <c r="Q6990" t="str">
        <f t="shared" si="218"/>
        <v>10-14</v>
      </c>
      <c r="R6990" t="str">
        <f t="shared" si="219"/>
        <v>[ir8wuHHzoSs]|10-14|Female|PLHIV_Attend.T2|CY2025Q3</v>
      </c>
    </row>
    <row r="6991" spans="4:18" x14ac:dyDescent="0.2">
      <c r="D6991" t="s">
        <v>80</v>
      </c>
      <c r="E6991" t="s">
        <v>81</v>
      </c>
      <c r="F6991" t="s">
        <v>82</v>
      </c>
      <c r="G6991" t="s">
        <v>173</v>
      </c>
      <c r="H6991" t="s">
        <v>173</v>
      </c>
      <c r="I6991" t="s">
        <v>37</v>
      </c>
      <c r="J6991" t="s">
        <v>38</v>
      </c>
      <c r="K6991" t="s">
        <v>29</v>
      </c>
      <c r="L6991" t="s">
        <v>30</v>
      </c>
      <c r="M6991" t="s">
        <v>172</v>
      </c>
      <c r="N6991">
        <v>975</v>
      </c>
      <c r="O6991" s="14">
        <v>0.833563783904538</v>
      </c>
      <c r="P6991" s="14">
        <v>0.14333142153918699</v>
      </c>
      <c r="Q6991" t="str">
        <f t="shared" si="218"/>
        <v>15-24</v>
      </c>
      <c r="R6991" t="str">
        <f t="shared" si="219"/>
        <v>[ir8wuHHzoSs]|15-24|Female|PLHIV_Attend.T2|CY2025Q3</v>
      </c>
    </row>
    <row r="6992" spans="4:18" x14ac:dyDescent="0.2">
      <c r="D6992" t="s">
        <v>80</v>
      </c>
      <c r="E6992" t="s">
        <v>81</v>
      </c>
      <c r="F6992" t="s">
        <v>82</v>
      </c>
      <c r="G6992" t="s">
        <v>173</v>
      </c>
      <c r="H6992" t="s">
        <v>173</v>
      </c>
      <c r="I6992" t="s">
        <v>40</v>
      </c>
      <c r="J6992" t="s">
        <v>41</v>
      </c>
      <c r="K6992" t="s">
        <v>29</v>
      </c>
      <c r="L6992" t="s">
        <v>30</v>
      </c>
      <c r="M6992" t="s">
        <v>172</v>
      </c>
      <c r="N6992">
        <v>1727</v>
      </c>
      <c r="O6992" s="14">
        <v>0.581066972343251</v>
      </c>
      <c r="P6992" s="14">
        <v>0.14333142153918699</v>
      </c>
      <c r="Q6992" t="str">
        <f t="shared" si="218"/>
        <v>25-34</v>
      </c>
      <c r="R6992" t="str">
        <f t="shared" si="219"/>
        <v>[ir8wuHHzoSs]|25-34|Female|PLHIV_Attend.T2|CY2025Q3</v>
      </c>
    </row>
    <row r="6993" spans="4:18" x14ac:dyDescent="0.2">
      <c r="D6993" t="s">
        <v>80</v>
      </c>
      <c r="E6993" t="s">
        <v>81</v>
      </c>
      <c r="F6993" t="s">
        <v>82</v>
      </c>
      <c r="G6993" t="s">
        <v>173</v>
      </c>
      <c r="H6993" t="s">
        <v>173</v>
      </c>
      <c r="I6993" t="s">
        <v>42</v>
      </c>
      <c r="J6993" t="s">
        <v>43</v>
      </c>
      <c r="K6993" t="s">
        <v>29</v>
      </c>
      <c r="L6993" t="s">
        <v>30</v>
      </c>
      <c r="M6993" t="s">
        <v>172</v>
      </c>
      <c r="N6993">
        <v>1464</v>
      </c>
      <c r="O6993" s="14">
        <v>0.564765681978315</v>
      </c>
      <c r="P6993" s="14">
        <v>0.14333142153918699</v>
      </c>
      <c r="Q6993" t="str">
        <f t="shared" si="218"/>
        <v>35-49</v>
      </c>
      <c r="R6993" t="str">
        <f t="shared" si="219"/>
        <v>[ir8wuHHzoSs]|35-49|Female|PLHIV_Attend.T2|CY2025Q3</v>
      </c>
    </row>
    <row r="6994" spans="4:18" x14ac:dyDescent="0.2">
      <c r="D6994" t="s">
        <v>80</v>
      </c>
      <c r="E6994" t="s">
        <v>81</v>
      </c>
      <c r="F6994" t="s">
        <v>82</v>
      </c>
      <c r="G6994" t="s">
        <v>173</v>
      </c>
      <c r="H6994" t="s">
        <v>173</v>
      </c>
      <c r="I6994" t="s">
        <v>44</v>
      </c>
      <c r="J6994" t="s">
        <v>45</v>
      </c>
      <c r="K6994" t="s">
        <v>29</v>
      </c>
      <c r="L6994" t="s">
        <v>30</v>
      </c>
      <c r="M6994" t="s">
        <v>172</v>
      </c>
      <c r="N6994">
        <v>1474</v>
      </c>
      <c r="O6994" s="14">
        <v>0.56874044239521004</v>
      </c>
      <c r="P6994" s="14">
        <v>0.14333142153918699</v>
      </c>
      <c r="Q6994" t="str">
        <f t="shared" si="218"/>
        <v>50+</v>
      </c>
      <c r="R6994" t="str">
        <f t="shared" si="219"/>
        <v>[ir8wuHHzoSs]|50+|Female|PLHIV_Attend.T2|CY2025Q3</v>
      </c>
    </row>
    <row r="6995" spans="4:18" x14ac:dyDescent="0.2">
      <c r="D6995" t="s">
        <v>80</v>
      </c>
      <c r="E6995" t="s">
        <v>81</v>
      </c>
      <c r="F6995" t="s">
        <v>82</v>
      </c>
      <c r="G6995" t="s">
        <v>173</v>
      </c>
      <c r="H6995" t="s">
        <v>173</v>
      </c>
      <c r="I6995" t="s">
        <v>27</v>
      </c>
      <c r="J6995" t="s">
        <v>28</v>
      </c>
      <c r="K6995" t="s">
        <v>47</v>
      </c>
      <c r="L6995" t="s">
        <v>48</v>
      </c>
      <c r="M6995" t="s">
        <v>172</v>
      </c>
      <c r="N6995">
        <v>1778</v>
      </c>
      <c r="O6995" s="14">
        <v>0.41371002839878201</v>
      </c>
      <c r="P6995" s="14">
        <v>0.14333142153918699</v>
      </c>
      <c r="Q6995" t="str">
        <f t="shared" si="218"/>
        <v>&lt;01</v>
      </c>
      <c r="R6995" t="str">
        <f t="shared" si="219"/>
        <v>[ir8wuHHzoSs]|&lt;01|Male|PLHIV_Attend.T2|CY2025Q3</v>
      </c>
    </row>
    <row r="6996" spans="4:18" x14ac:dyDescent="0.2">
      <c r="D6996" t="s">
        <v>80</v>
      </c>
      <c r="E6996" t="s">
        <v>81</v>
      </c>
      <c r="F6996" t="s">
        <v>82</v>
      </c>
      <c r="G6996" t="s">
        <v>173</v>
      </c>
      <c r="H6996" t="s">
        <v>173</v>
      </c>
      <c r="I6996" t="s">
        <v>32</v>
      </c>
      <c r="J6996" t="s">
        <v>33</v>
      </c>
      <c r="K6996" t="s">
        <v>47</v>
      </c>
      <c r="L6996" t="s">
        <v>48</v>
      </c>
      <c r="M6996" t="s">
        <v>172</v>
      </c>
      <c r="N6996">
        <v>1640</v>
      </c>
      <c r="O6996" s="14">
        <v>0.73442783835344005</v>
      </c>
      <c r="P6996" s="14">
        <v>0.14333142153918699</v>
      </c>
      <c r="Q6996" t="str">
        <f t="shared" si="218"/>
        <v>01-09</v>
      </c>
      <c r="R6996" t="str">
        <f t="shared" si="219"/>
        <v>[ir8wuHHzoSs]|01-09|Male|PLHIV_Attend.T2|CY2025Q3</v>
      </c>
    </row>
    <row r="6997" spans="4:18" x14ac:dyDescent="0.2">
      <c r="D6997" t="s">
        <v>80</v>
      </c>
      <c r="E6997" t="s">
        <v>81</v>
      </c>
      <c r="F6997" t="s">
        <v>82</v>
      </c>
      <c r="G6997" t="s">
        <v>173</v>
      </c>
      <c r="H6997" t="s">
        <v>173</v>
      </c>
      <c r="I6997" t="s">
        <v>35</v>
      </c>
      <c r="J6997" t="s">
        <v>36</v>
      </c>
      <c r="K6997" t="s">
        <v>47</v>
      </c>
      <c r="L6997" t="s">
        <v>48</v>
      </c>
      <c r="M6997" t="s">
        <v>172</v>
      </c>
      <c r="N6997">
        <v>1326</v>
      </c>
      <c r="O6997" s="14">
        <v>0.71083927596919205</v>
      </c>
      <c r="P6997" s="14">
        <v>0.14333142153918699</v>
      </c>
      <c r="Q6997" t="str">
        <f t="shared" si="218"/>
        <v>10-14</v>
      </c>
      <c r="R6997" t="str">
        <f t="shared" si="219"/>
        <v>[ir8wuHHzoSs]|10-14|Male|PLHIV_Attend.T2|CY2025Q3</v>
      </c>
    </row>
    <row r="6998" spans="4:18" x14ac:dyDescent="0.2">
      <c r="D6998" t="s">
        <v>80</v>
      </c>
      <c r="E6998" t="s">
        <v>81</v>
      </c>
      <c r="F6998" t="s">
        <v>82</v>
      </c>
      <c r="G6998" t="s">
        <v>173</v>
      </c>
      <c r="H6998" t="s">
        <v>173</v>
      </c>
      <c r="I6998" t="s">
        <v>37</v>
      </c>
      <c r="J6998" t="s">
        <v>38</v>
      </c>
      <c r="K6998" t="s">
        <v>47</v>
      </c>
      <c r="L6998" t="s">
        <v>48</v>
      </c>
      <c r="M6998" t="s">
        <v>172</v>
      </c>
      <c r="N6998">
        <v>1383</v>
      </c>
      <c r="O6998" s="14">
        <v>0.93549147783778597</v>
      </c>
      <c r="P6998" s="14">
        <v>0.14333142153918699</v>
      </c>
      <c r="Q6998" t="str">
        <f t="shared" si="218"/>
        <v>15-24</v>
      </c>
      <c r="R6998" t="str">
        <f t="shared" si="219"/>
        <v>[ir8wuHHzoSs]|15-24|Male|PLHIV_Attend.T2|CY2025Q3</v>
      </c>
    </row>
    <row r="6999" spans="4:18" x14ac:dyDescent="0.2">
      <c r="D6999" t="s">
        <v>80</v>
      </c>
      <c r="E6999" t="s">
        <v>81</v>
      </c>
      <c r="F6999" t="s">
        <v>82</v>
      </c>
      <c r="G6999" t="s">
        <v>173</v>
      </c>
      <c r="H6999" t="s">
        <v>173</v>
      </c>
      <c r="I6999" t="s">
        <v>40</v>
      </c>
      <c r="J6999" t="s">
        <v>41</v>
      </c>
      <c r="K6999" t="s">
        <v>47</v>
      </c>
      <c r="L6999" t="s">
        <v>48</v>
      </c>
      <c r="M6999" t="s">
        <v>172</v>
      </c>
      <c r="N6999">
        <v>1720</v>
      </c>
      <c r="O6999" s="14">
        <v>1.58223977778107E-2</v>
      </c>
      <c r="P6999" s="14">
        <v>0.14333142153918699</v>
      </c>
      <c r="Q6999" t="str">
        <f t="shared" si="218"/>
        <v>25-34</v>
      </c>
      <c r="R6999" t="str">
        <f t="shared" si="219"/>
        <v>[ir8wuHHzoSs]|25-34|Male|PLHIV_Attend.T2|CY2025Q3</v>
      </c>
    </row>
    <row r="7000" spans="4:18" x14ac:dyDescent="0.2">
      <c r="D7000" t="s">
        <v>80</v>
      </c>
      <c r="E7000" t="s">
        <v>81</v>
      </c>
      <c r="F7000" t="s">
        <v>82</v>
      </c>
      <c r="G7000" t="s">
        <v>173</v>
      </c>
      <c r="H7000" t="s">
        <v>173</v>
      </c>
      <c r="I7000" t="s">
        <v>42</v>
      </c>
      <c r="J7000" t="s">
        <v>43</v>
      </c>
      <c r="K7000" t="s">
        <v>47</v>
      </c>
      <c r="L7000" t="s">
        <v>48</v>
      </c>
      <c r="M7000" t="s">
        <v>172</v>
      </c>
      <c r="N7000">
        <v>1931</v>
      </c>
      <c r="O7000" s="14">
        <v>0.11926120868884001</v>
      </c>
      <c r="P7000" s="14">
        <v>0.14333142153918699</v>
      </c>
      <c r="Q7000" t="str">
        <f t="shared" si="218"/>
        <v>35-49</v>
      </c>
      <c r="R7000" t="str">
        <f t="shared" si="219"/>
        <v>[ir8wuHHzoSs]|35-49|Male|PLHIV_Attend.T2|CY2025Q3</v>
      </c>
    </row>
    <row r="7001" spans="4:18" x14ac:dyDescent="0.2">
      <c r="D7001" t="s">
        <v>80</v>
      </c>
      <c r="E7001" t="s">
        <v>81</v>
      </c>
      <c r="F7001" t="s">
        <v>82</v>
      </c>
      <c r="G7001" t="s">
        <v>173</v>
      </c>
      <c r="H7001" t="s">
        <v>173</v>
      </c>
      <c r="I7001" t="s">
        <v>44</v>
      </c>
      <c r="J7001" t="s">
        <v>45</v>
      </c>
      <c r="K7001" t="s">
        <v>47</v>
      </c>
      <c r="L7001" t="s">
        <v>48</v>
      </c>
      <c r="M7001" t="s">
        <v>172</v>
      </c>
      <c r="N7001">
        <v>1852</v>
      </c>
      <c r="O7001" s="14">
        <v>0.42530694534070801</v>
      </c>
      <c r="P7001" s="14">
        <v>0.14333142153918699</v>
      </c>
      <c r="Q7001" t="str">
        <f t="shared" si="218"/>
        <v>50+</v>
      </c>
      <c r="R7001" t="str">
        <f t="shared" si="219"/>
        <v>[ir8wuHHzoSs]|50+|Male|PLHIV_Attend.T2|CY2025Q3</v>
      </c>
    </row>
    <row r="7002" spans="4:18" x14ac:dyDescent="0.2">
      <c r="D7002" t="s">
        <v>83</v>
      </c>
      <c r="E7002" t="s">
        <v>84</v>
      </c>
      <c r="F7002" t="s">
        <v>85</v>
      </c>
      <c r="G7002" t="s">
        <v>173</v>
      </c>
      <c r="H7002" t="s">
        <v>173</v>
      </c>
      <c r="I7002" t="s">
        <v>27</v>
      </c>
      <c r="J7002" t="s">
        <v>28</v>
      </c>
      <c r="K7002" t="s">
        <v>29</v>
      </c>
      <c r="L7002" t="s">
        <v>30</v>
      </c>
      <c r="M7002" t="s">
        <v>172</v>
      </c>
      <c r="N7002">
        <v>961</v>
      </c>
      <c r="O7002" s="14">
        <v>0.99866958428174302</v>
      </c>
      <c r="P7002" s="14">
        <v>2.9788714367896301E-2</v>
      </c>
      <c r="Q7002" t="str">
        <f t="shared" si="218"/>
        <v>&lt;01</v>
      </c>
      <c r="R7002" t="str">
        <f t="shared" si="219"/>
        <v>[fyEoGEPERdI]|&lt;01|Female|PLHIV_Attend.T2|CY2025Q3</v>
      </c>
    </row>
    <row r="7003" spans="4:18" x14ac:dyDescent="0.2">
      <c r="D7003" t="s">
        <v>83</v>
      </c>
      <c r="E7003" t="s">
        <v>84</v>
      </c>
      <c r="F7003" t="s">
        <v>85</v>
      </c>
      <c r="G7003" t="s">
        <v>173</v>
      </c>
      <c r="H7003" t="s">
        <v>173</v>
      </c>
      <c r="I7003" t="s">
        <v>32</v>
      </c>
      <c r="J7003" t="s">
        <v>33</v>
      </c>
      <c r="K7003" t="s">
        <v>29</v>
      </c>
      <c r="L7003" t="s">
        <v>30</v>
      </c>
      <c r="M7003" t="s">
        <v>172</v>
      </c>
      <c r="N7003">
        <v>1600</v>
      </c>
      <c r="O7003" s="14">
        <v>0.33323625009506902</v>
      </c>
      <c r="P7003" s="14">
        <v>2.9788714367896301E-2</v>
      </c>
      <c r="Q7003" t="str">
        <f t="shared" si="218"/>
        <v>01-09</v>
      </c>
      <c r="R7003" t="str">
        <f t="shared" si="219"/>
        <v>[fyEoGEPERdI]|01-09|Female|PLHIV_Attend.T2|CY2025Q3</v>
      </c>
    </row>
    <row r="7004" spans="4:18" x14ac:dyDescent="0.2">
      <c r="D7004" t="s">
        <v>83</v>
      </c>
      <c r="E7004" t="s">
        <v>84</v>
      </c>
      <c r="F7004" t="s">
        <v>85</v>
      </c>
      <c r="G7004" t="s">
        <v>173</v>
      </c>
      <c r="H7004" t="s">
        <v>173</v>
      </c>
      <c r="I7004" t="s">
        <v>35</v>
      </c>
      <c r="J7004" t="s">
        <v>36</v>
      </c>
      <c r="K7004" t="s">
        <v>29</v>
      </c>
      <c r="L7004" t="s">
        <v>30</v>
      </c>
      <c r="M7004" t="s">
        <v>172</v>
      </c>
      <c r="N7004">
        <v>1761</v>
      </c>
      <c r="O7004" s="14">
        <v>0.36422802391462</v>
      </c>
      <c r="P7004" s="14">
        <v>2.9788714367896301E-2</v>
      </c>
      <c r="Q7004" t="str">
        <f t="shared" si="218"/>
        <v>10-14</v>
      </c>
      <c r="R7004" t="str">
        <f t="shared" si="219"/>
        <v>[fyEoGEPERdI]|10-14|Female|PLHIV_Attend.T2|CY2025Q3</v>
      </c>
    </row>
    <row r="7005" spans="4:18" x14ac:dyDescent="0.2">
      <c r="D7005" t="s">
        <v>83</v>
      </c>
      <c r="E7005" t="s">
        <v>84</v>
      </c>
      <c r="F7005" t="s">
        <v>85</v>
      </c>
      <c r="G7005" t="s">
        <v>173</v>
      </c>
      <c r="H7005" t="s">
        <v>173</v>
      </c>
      <c r="I7005" t="s">
        <v>37</v>
      </c>
      <c r="J7005" t="s">
        <v>38</v>
      </c>
      <c r="K7005" t="s">
        <v>29</v>
      </c>
      <c r="L7005" t="s">
        <v>30</v>
      </c>
      <c r="M7005" t="s">
        <v>172</v>
      </c>
      <c r="N7005">
        <v>680</v>
      </c>
      <c r="O7005" s="14">
        <v>0.25428114878013702</v>
      </c>
      <c r="P7005" s="14">
        <v>2.9788714367896301E-2</v>
      </c>
      <c r="Q7005" t="str">
        <f t="shared" si="218"/>
        <v>15-24</v>
      </c>
      <c r="R7005" t="str">
        <f t="shared" si="219"/>
        <v>[fyEoGEPERdI]|15-24|Female|PLHIV_Attend.T2|CY2025Q3</v>
      </c>
    </row>
    <row r="7006" spans="4:18" x14ac:dyDescent="0.2">
      <c r="D7006" t="s">
        <v>83</v>
      </c>
      <c r="E7006" t="s">
        <v>84</v>
      </c>
      <c r="F7006" t="s">
        <v>85</v>
      </c>
      <c r="G7006" t="s">
        <v>173</v>
      </c>
      <c r="H7006" t="s">
        <v>173</v>
      </c>
      <c r="I7006" t="s">
        <v>40</v>
      </c>
      <c r="J7006" t="s">
        <v>41</v>
      </c>
      <c r="K7006" t="s">
        <v>29</v>
      </c>
      <c r="L7006" t="s">
        <v>30</v>
      </c>
      <c r="M7006" t="s">
        <v>172</v>
      </c>
      <c r="N7006">
        <v>1375</v>
      </c>
      <c r="O7006" s="14">
        <v>0.25991895981133001</v>
      </c>
      <c r="P7006" s="14">
        <v>2.9788714367896301E-2</v>
      </c>
      <c r="Q7006" t="str">
        <f t="shared" si="218"/>
        <v>25-34</v>
      </c>
      <c r="R7006" t="str">
        <f t="shared" si="219"/>
        <v>[fyEoGEPERdI]|25-34|Female|PLHIV_Attend.T2|CY2025Q3</v>
      </c>
    </row>
    <row r="7007" spans="4:18" x14ac:dyDescent="0.2">
      <c r="D7007" t="s">
        <v>83</v>
      </c>
      <c r="E7007" t="s">
        <v>84</v>
      </c>
      <c r="F7007" t="s">
        <v>85</v>
      </c>
      <c r="G7007" t="s">
        <v>173</v>
      </c>
      <c r="H7007" t="s">
        <v>173</v>
      </c>
      <c r="I7007" t="s">
        <v>42</v>
      </c>
      <c r="J7007" t="s">
        <v>43</v>
      </c>
      <c r="K7007" t="s">
        <v>29</v>
      </c>
      <c r="L7007" t="s">
        <v>30</v>
      </c>
      <c r="M7007" t="s">
        <v>172</v>
      </c>
      <c r="N7007">
        <v>955</v>
      </c>
      <c r="O7007" s="14">
        <v>1.7144895391538701E-2</v>
      </c>
      <c r="P7007" s="14">
        <v>2.9788714367896301E-2</v>
      </c>
      <c r="Q7007" t="str">
        <f t="shared" si="218"/>
        <v>35-49</v>
      </c>
      <c r="R7007" t="str">
        <f t="shared" si="219"/>
        <v>[fyEoGEPERdI]|35-49|Female|PLHIV_Attend.T2|CY2025Q3</v>
      </c>
    </row>
    <row r="7008" spans="4:18" x14ac:dyDescent="0.2">
      <c r="D7008" t="s">
        <v>83</v>
      </c>
      <c r="E7008" t="s">
        <v>84</v>
      </c>
      <c r="F7008" t="s">
        <v>85</v>
      </c>
      <c r="G7008" t="s">
        <v>173</v>
      </c>
      <c r="H7008" t="s">
        <v>173</v>
      </c>
      <c r="I7008" t="s">
        <v>44</v>
      </c>
      <c r="J7008" t="s">
        <v>45</v>
      </c>
      <c r="K7008" t="s">
        <v>29</v>
      </c>
      <c r="L7008" t="s">
        <v>30</v>
      </c>
      <c r="M7008" t="s">
        <v>172</v>
      </c>
      <c r="N7008">
        <v>995</v>
      </c>
      <c r="O7008" s="14">
        <v>0.63059705519117404</v>
      </c>
      <c r="P7008" s="14">
        <v>2.9788714367896301E-2</v>
      </c>
      <c r="Q7008" t="str">
        <f t="shared" si="218"/>
        <v>50+</v>
      </c>
      <c r="R7008" t="str">
        <f t="shared" si="219"/>
        <v>[fyEoGEPERdI]|50+|Female|PLHIV_Attend.T2|CY2025Q3</v>
      </c>
    </row>
    <row r="7009" spans="4:18" x14ac:dyDescent="0.2">
      <c r="D7009" t="s">
        <v>83</v>
      </c>
      <c r="E7009" t="s">
        <v>84</v>
      </c>
      <c r="F7009" t="s">
        <v>85</v>
      </c>
      <c r="G7009" t="s">
        <v>173</v>
      </c>
      <c r="H7009" t="s">
        <v>173</v>
      </c>
      <c r="I7009" t="s">
        <v>27</v>
      </c>
      <c r="J7009" t="s">
        <v>28</v>
      </c>
      <c r="K7009" t="s">
        <v>47</v>
      </c>
      <c r="L7009" t="s">
        <v>48</v>
      </c>
      <c r="M7009" t="s">
        <v>172</v>
      </c>
      <c r="N7009">
        <v>1127</v>
      </c>
      <c r="O7009" s="14">
        <v>0.43482759990729403</v>
      </c>
      <c r="P7009" s="14">
        <v>2.9788714367896301E-2</v>
      </c>
      <c r="Q7009" t="str">
        <f t="shared" si="218"/>
        <v>&lt;01</v>
      </c>
      <c r="R7009" t="str">
        <f t="shared" si="219"/>
        <v>[fyEoGEPERdI]|&lt;01|Male|PLHIV_Attend.T2|CY2025Q3</v>
      </c>
    </row>
    <row r="7010" spans="4:18" x14ac:dyDescent="0.2">
      <c r="D7010" t="s">
        <v>83</v>
      </c>
      <c r="E7010" t="s">
        <v>84</v>
      </c>
      <c r="F7010" t="s">
        <v>85</v>
      </c>
      <c r="G7010" t="s">
        <v>173</v>
      </c>
      <c r="H7010" t="s">
        <v>173</v>
      </c>
      <c r="I7010" t="s">
        <v>32</v>
      </c>
      <c r="J7010" t="s">
        <v>33</v>
      </c>
      <c r="K7010" t="s">
        <v>47</v>
      </c>
      <c r="L7010" t="s">
        <v>48</v>
      </c>
      <c r="M7010" t="s">
        <v>172</v>
      </c>
      <c r="N7010">
        <v>1218</v>
      </c>
      <c r="O7010" s="14">
        <v>0.48436860321089598</v>
      </c>
      <c r="P7010" s="14">
        <v>2.9788714367896301E-2</v>
      </c>
      <c r="Q7010" t="str">
        <f t="shared" si="218"/>
        <v>01-09</v>
      </c>
      <c r="R7010" t="str">
        <f t="shared" si="219"/>
        <v>[fyEoGEPERdI]|01-09|Male|PLHIV_Attend.T2|CY2025Q3</v>
      </c>
    </row>
    <row r="7011" spans="4:18" x14ac:dyDescent="0.2">
      <c r="D7011" t="s">
        <v>83</v>
      </c>
      <c r="E7011" t="s">
        <v>84</v>
      </c>
      <c r="F7011" t="s">
        <v>85</v>
      </c>
      <c r="G7011" t="s">
        <v>173</v>
      </c>
      <c r="H7011" t="s">
        <v>173</v>
      </c>
      <c r="I7011" t="s">
        <v>35</v>
      </c>
      <c r="J7011" t="s">
        <v>36</v>
      </c>
      <c r="K7011" t="s">
        <v>47</v>
      </c>
      <c r="L7011" t="s">
        <v>48</v>
      </c>
      <c r="M7011" t="s">
        <v>172</v>
      </c>
      <c r="N7011">
        <v>860</v>
      </c>
      <c r="O7011" s="14">
        <v>0.68832400906831004</v>
      </c>
      <c r="P7011" s="14">
        <v>2.9788714367896301E-2</v>
      </c>
      <c r="Q7011" t="str">
        <f t="shared" si="218"/>
        <v>10-14</v>
      </c>
      <c r="R7011" t="str">
        <f t="shared" si="219"/>
        <v>[fyEoGEPERdI]|10-14|Male|PLHIV_Attend.T2|CY2025Q3</v>
      </c>
    </row>
    <row r="7012" spans="4:18" x14ac:dyDescent="0.2">
      <c r="D7012" t="s">
        <v>83</v>
      </c>
      <c r="E7012" t="s">
        <v>84</v>
      </c>
      <c r="F7012" t="s">
        <v>85</v>
      </c>
      <c r="G7012" t="s">
        <v>173</v>
      </c>
      <c r="H7012" t="s">
        <v>173</v>
      </c>
      <c r="I7012" t="s">
        <v>37</v>
      </c>
      <c r="J7012" t="s">
        <v>38</v>
      </c>
      <c r="K7012" t="s">
        <v>47</v>
      </c>
      <c r="L7012" t="s">
        <v>48</v>
      </c>
      <c r="M7012" t="s">
        <v>172</v>
      </c>
      <c r="N7012">
        <v>1531</v>
      </c>
      <c r="O7012" s="14">
        <v>0.84360732743516598</v>
      </c>
      <c r="P7012" s="14">
        <v>2.9788714367896301E-2</v>
      </c>
      <c r="Q7012" t="str">
        <f t="shared" si="218"/>
        <v>15-24</v>
      </c>
      <c r="R7012" t="str">
        <f t="shared" si="219"/>
        <v>[fyEoGEPERdI]|15-24|Male|PLHIV_Attend.T2|CY2025Q3</v>
      </c>
    </row>
    <row r="7013" spans="4:18" x14ac:dyDescent="0.2">
      <c r="D7013" t="s">
        <v>83</v>
      </c>
      <c r="E7013" t="s">
        <v>84</v>
      </c>
      <c r="F7013" t="s">
        <v>85</v>
      </c>
      <c r="G7013" t="s">
        <v>173</v>
      </c>
      <c r="H7013" t="s">
        <v>173</v>
      </c>
      <c r="I7013" t="s">
        <v>40</v>
      </c>
      <c r="J7013" t="s">
        <v>41</v>
      </c>
      <c r="K7013" t="s">
        <v>47</v>
      </c>
      <c r="L7013" t="s">
        <v>48</v>
      </c>
      <c r="M7013" t="s">
        <v>172</v>
      </c>
      <c r="N7013">
        <v>1868</v>
      </c>
      <c r="O7013" s="14">
        <v>0.40602825419046001</v>
      </c>
      <c r="P7013" s="14">
        <v>2.9788714367896301E-2</v>
      </c>
      <c r="Q7013" t="str">
        <f t="shared" si="218"/>
        <v>25-34</v>
      </c>
      <c r="R7013" t="str">
        <f t="shared" si="219"/>
        <v>[fyEoGEPERdI]|25-34|Male|PLHIV_Attend.T2|CY2025Q3</v>
      </c>
    </row>
    <row r="7014" spans="4:18" x14ac:dyDescent="0.2">
      <c r="D7014" t="s">
        <v>83</v>
      </c>
      <c r="E7014" t="s">
        <v>84</v>
      </c>
      <c r="F7014" t="s">
        <v>85</v>
      </c>
      <c r="G7014" t="s">
        <v>173</v>
      </c>
      <c r="H7014" t="s">
        <v>173</v>
      </c>
      <c r="I7014" t="s">
        <v>42</v>
      </c>
      <c r="J7014" t="s">
        <v>43</v>
      </c>
      <c r="K7014" t="s">
        <v>47</v>
      </c>
      <c r="L7014" t="s">
        <v>48</v>
      </c>
      <c r="M7014" t="s">
        <v>172</v>
      </c>
      <c r="N7014">
        <v>1475</v>
      </c>
      <c r="O7014" s="14">
        <v>0.85237262258306101</v>
      </c>
      <c r="P7014" s="14">
        <v>2.9788714367896301E-2</v>
      </c>
      <c r="Q7014" t="str">
        <f t="shared" si="218"/>
        <v>35-49</v>
      </c>
      <c r="R7014" t="str">
        <f t="shared" si="219"/>
        <v>[fyEoGEPERdI]|35-49|Male|PLHIV_Attend.T2|CY2025Q3</v>
      </c>
    </row>
    <row r="7015" spans="4:18" x14ac:dyDescent="0.2">
      <c r="D7015" t="s">
        <v>83</v>
      </c>
      <c r="E7015" t="s">
        <v>84</v>
      </c>
      <c r="F7015" t="s">
        <v>85</v>
      </c>
      <c r="G7015" t="s">
        <v>173</v>
      </c>
      <c r="H7015" t="s">
        <v>173</v>
      </c>
      <c r="I7015" t="s">
        <v>44</v>
      </c>
      <c r="J7015" t="s">
        <v>45</v>
      </c>
      <c r="K7015" t="s">
        <v>47</v>
      </c>
      <c r="L7015" t="s">
        <v>48</v>
      </c>
      <c r="M7015" t="s">
        <v>172</v>
      </c>
      <c r="N7015">
        <v>1053</v>
      </c>
      <c r="O7015" s="14">
        <v>0.112098515499383</v>
      </c>
      <c r="P7015" s="14">
        <v>2.9788714367896301E-2</v>
      </c>
      <c r="Q7015" t="str">
        <f t="shared" si="218"/>
        <v>50+</v>
      </c>
      <c r="R7015" t="str">
        <f t="shared" si="219"/>
        <v>[fyEoGEPERdI]|50+|Male|PLHIV_Attend.T2|CY2025Q3</v>
      </c>
    </row>
    <row r="7016" spans="4:18" x14ac:dyDescent="0.2">
      <c r="D7016" t="s">
        <v>86</v>
      </c>
      <c r="E7016" t="s">
        <v>87</v>
      </c>
      <c r="F7016" t="s">
        <v>88</v>
      </c>
      <c r="G7016" t="s">
        <v>173</v>
      </c>
      <c r="H7016" t="s">
        <v>173</v>
      </c>
      <c r="I7016" t="s">
        <v>27</v>
      </c>
      <c r="J7016" t="s">
        <v>28</v>
      </c>
      <c r="K7016" t="s">
        <v>29</v>
      </c>
      <c r="L7016" t="s">
        <v>30</v>
      </c>
      <c r="M7016" t="s">
        <v>172</v>
      </c>
      <c r="N7016">
        <v>567</v>
      </c>
      <c r="O7016" s="14">
        <v>0.65636175917461503</v>
      </c>
      <c r="P7016" s="14">
        <v>0.13333638082258401</v>
      </c>
      <c r="Q7016" t="str">
        <f t="shared" si="218"/>
        <v>&lt;01</v>
      </c>
      <c r="R7016" t="str">
        <f t="shared" si="219"/>
        <v>[cPtvxaZqXIH]|&lt;01|Female|PLHIV_Attend.T2|CY2025Q3</v>
      </c>
    </row>
    <row r="7017" spans="4:18" x14ac:dyDescent="0.2">
      <c r="D7017" t="s">
        <v>86</v>
      </c>
      <c r="E7017" t="s">
        <v>87</v>
      </c>
      <c r="F7017" t="s">
        <v>88</v>
      </c>
      <c r="G7017" t="s">
        <v>173</v>
      </c>
      <c r="H7017" t="s">
        <v>173</v>
      </c>
      <c r="I7017" t="s">
        <v>32</v>
      </c>
      <c r="J7017" t="s">
        <v>33</v>
      </c>
      <c r="K7017" t="s">
        <v>29</v>
      </c>
      <c r="L7017" t="s">
        <v>30</v>
      </c>
      <c r="M7017" t="s">
        <v>172</v>
      </c>
      <c r="N7017">
        <v>1033</v>
      </c>
      <c r="O7017" s="14">
        <v>0.95214492501690995</v>
      </c>
      <c r="P7017" s="14">
        <v>0.13333638082258401</v>
      </c>
      <c r="Q7017" t="str">
        <f t="shared" si="218"/>
        <v>01-09</v>
      </c>
      <c r="R7017" t="str">
        <f t="shared" si="219"/>
        <v>[cPtvxaZqXIH]|01-09|Female|PLHIV_Attend.T2|CY2025Q3</v>
      </c>
    </row>
    <row r="7018" spans="4:18" x14ac:dyDescent="0.2">
      <c r="D7018" t="s">
        <v>86</v>
      </c>
      <c r="E7018" t="s">
        <v>87</v>
      </c>
      <c r="F7018" t="s">
        <v>88</v>
      </c>
      <c r="G7018" t="s">
        <v>173</v>
      </c>
      <c r="H7018" t="s">
        <v>173</v>
      </c>
      <c r="I7018" t="s">
        <v>35</v>
      </c>
      <c r="J7018" t="s">
        <v>36</v>
      </c>
      <c r="K7018" t="s">
        <v>29</v>
      </c>
      <c r="L7018" t="s">
        <v>30</v>
      </c>
      <c r="M7018" t="s">
        <v>172</v>
      </c>
      <c r="N7018">
        <v>1282</v>
      </c>
      <c r="O7018" s="14">
        <v>0.73912070039659705</v>
      </c>
      <c r="P7018" s="14">
        <v>0.13333638082258401</v>
      </c>
      <c r="Q7018" t="str">
        <f t="shared" si="218"/>
        <v>10-14</v>
      </c>
      <c r="R7018" t="str">
        <f t="shared" si="219"/>
        <v>[cPtvxaZqXIH]|10-14|Female|PLHIV_Attend.T2|CY2025Q3</v>
      </c>
    </row>
    <row r="7019" spans="4:18" x14ac:dyDescent="0.2">
      <c r="D7019" t="s">
        <v>86</v>
      </c>
      <c r="E7019" t="s">
        <v>87</v>
      </c>
      <c r="F7019" t="s">
        <v>88</v>
      </c>
      <c r="G7019" t="s">
        <v>173</v>
      </c>
      <c r="H7019" t="s">
        <v>173</v>
      </c>
      <c r="I7019" t="s">
        <v>37</v>
      </c>
      <c r="J7019" t="s">
        <v>38</v>
      </c>
      <c r="K7019" t="s">
        <v>29</v>
      </c>
      <c r="L7019" t="s">
        <v>30</v>
      </c>
      <c r="M7019" t="s">
        <v>172</v>
      </c>
      <c r="N7019">
        <v>1089</v>
      </c>
      <c r="O7019" s="14">
        <v>0.67651695176027704</v>
      </c>
      <c r="P7019" s="14">
        <v>0.13333638082258401</v>
      </c>
      <c r="Q7019" t="str">
        <f t="shared" si="218"/>
        <v>15-24</v>
      </c>
      <c r="R7019" t="str">
        <f t="shared" si="219"/>
        <v>[cPtvxaZqXIH]|15-24|Female|PLHIV_Attend.T2|CY2025Q3</v>
      </c>
    </row>
    <row r="7020" spans="4:18" x14ac:dyDescent="0.2">
      <c r="D7020" t="s">
        <v>86</v>
      </c>
      <c r="E7020" t="s">
        <v>87</v>
      </c>
      <c r="F7020" t="s">
        <v>88</v>
      </c>
      <c r="G7020" t="s">
        <v>173</v>
      </c>
      <c r="H7020" t="s">
        <v>173</v>
      </c>
      <c r="I7020" t="s">
        <v>40</v>
      </c>
      <c r="J7020" t="s">
        <v>41</v>
      </c>
      <c r="K7020" t="s">
        <v>29</v>
      </c>
      <c r="L7020" t="s">
        <v>30</v>
      </c>
      <c r="M7020" t="s">
        <v>172</v>
      </c>
      <c r="N7020">
        <v>1493</v>
      </c>
      <c r="O7020" s="14">
        <v>0.372023637406528</v>
      </c>
      <c r="P7020" s="14">
        <v>0.13333638082258401</v>
      </c>
      <c r="Q7020" t="str">
        <f t="shared" si="218"/>
        <v>25-34</v>
      </c>
      <c r="R7020" t="str">
        <f t="shared" si="219"/>
        <v>[cPtvxaZqXIH]|25-34|Female|PLHIV_Attend.T2|CY2025Q3</v>
      </c>
    </row>
    <row r="7021" spans="4:18" x14ac:dyDescent="0.2">
      <c r="D7021" t="s">
        <v>86</v>
      </c>
      <c r="E7021" t="s">
        <v>87</v>
      </c>
      <c r="F7021" t="s">
        <v>88</v>
      </c>
      <c r="G7021" t="s">
        <v>173</v>
      </c>
      <c r="H7021" t="s">
        <v>173</v>
      </c>
      <c r="I7021" t="s">
        <v>42</v>
      </c>
      <c r="J7021" t="s">
        <v>43</v>
      </c>
      <c r="K7021" t="s">
        <v>29</v>
      </c>
      <c r="L7021" t="s">
        <v>30</v>
      </c>
      <c r="M7021" t="s">
        <v>172</v>
      </c>
      <c r="N7021">
        <v>1454</v>
      </c>
      <c r="O7021" s="14">
        <v>0.913201044779271</v>
      </c>
      <c r="P7021" s="14">
        <v>0.13333638082258401</v>
      </c>
      <c r="Q7021" t="str">
        <f t="shared" si="218"/>
        <v>35-49</v>
      </c>
      <c r="R7021" t="str">
        <f t="shared" si="219"/>
        <v>[cPtvxaZqXIH]|35-49|Female|PLHIV_Attend.T2|CY2025Q3</v>
      </c>
    </row>
    <row r="7022" spans="4:18" x14ac:dyDescent="0.2">
      <c r="D7022" t="s">
        <v>86</v>
      </c>
      <c r="E7022" t="s">
        <v>87</v>
      </c>
      <c r="F7022" t="s">
        <v>88</v>
      </c>
      <c r="G7022" t="s">
        <v>173</v>
      </c>
      <c r="H7022" t="s">
        <v>173</v>
      </c>
      <c r="I7022" t="s">
        <v>44</v>
      </c>
      <c r="J7022" t="s">
        <v>45</v>
      </c>
      <c r="K7022" t="s">
        <v>29</v>
      </c>
      <c r="L7022" t="s">
        <v>30</v>
      </c>
      <c r="M7022" t="s">
        <v>172</v>
      </c>
      <c r="N7022">
        <v>1165</v>
      </c>
      <c r="O7022" s="14">
        <v>0.28727337229065603</v>
      </c>
      <c r="P7022" s="14">
        <v>0.13333638082258401</v>
      </c>
      <c r="Q7022" t="str">
        <f t="shared" si="218"/>
        <v>50+</v>
      </c>
      <c r="R7022" t="str">
        <f t="shared" si="219"/>
        <v>[cPtvxaZqXIH]|50+|Female|PLHIV_Attend.T2|CY2025Q3</v>
      </c>
    </row>
    <row r="7023" spans="4:18" x14ac:dyDescent="0.2">
      <c r="D7023" t="s">
        <v>86</v>
      </c>
      <c r="E7023" t="s">
        <v>87</v>
      </c>
      <c r="F7023" t="s">
        <v>88</v>
      </c>
      <c r="G7023" t="s">
        <v>173</v>
      </c>
      <c r="H7023" t="s">
        <v>173</v>
      </c>
      <c r="I7023" t="s">
        <v>27</v>
      </c>
      <c r="J7023" t="s">
        <v>28</v>
      </c>
      <c r="K7023" t="s">
        <v>47</v>
      </c>
      <c r="L7023" t="s">
        <v>48</v>
      </c>
      <c r="M7023" t="s">
        <v>172</v>
      </c>
      <c r="N7023">
        <v>1761</v>
      </c>
      <c r="O7023" s="14">
        <v>0.47472513630054902</v>
      </c>
      <c r="P7023" s="14">
        <v>0.13333638082258401</v>
      </c>
      <c r="Q7023" t="str">
        <f t="shared" si="218"/>
        <v>&lt;01</v>
      </c>
      <c r="R7023" t="str">
        <f t="shared" si="219"/>
        <v>[cPtvxaZqXIH]|&lt;01|Male|PLHIV_Attend.T2|CY2025Q3</v>
      </c>
    </row>
    <row r="7024" spans="4:18" x14ac:dyDescent="0.2">
      <c r="D7024" t="s">
        <v>86</v>
      </c>
      <c r="E7024" t="s">
        <v>87</v>
      </c>
      <c r="F7024" t="s">
        <v>88</v>
      </c>
      <c r="G7024" t="s">
        <v>173</v>
      </c>
      <c r="H7024" t="s">
        <v>173</v>
      </c>
      <c r="I7024" t="s">
        <v>32</v>
      </c>
      <c r="J7024" t="s">
        <v>33</v>
      </c>
      <c r="K7024" t="s">
        <v>47</v>
      </c>
      <c r="L7024" t="s">
        <v>48</v>
      </c>
      <c r="M7024" t="s">
        <v>172</v>
      </c>
      <c r="N7024">
        <v>1700</v>
      </c>
      <c r="O7024" s="14">
        <v>0.52752732811495695</v>
      </c>
      <c r="P7024" s="14">
        <v>0.13333638082258401</v>
      </c>
      <c r="Q7024" t="str">
        <f t="shared" si="218"/>
        <v>01-09</v>
      </c>
      <c r="R7024" t="str">
        <f t="shared" si="219"/>
        <v>[cPtvxaZqXIH]|01-09|Male|PLHIV_Attend.T2|CY2025Q3</v>
      </c>
    </row>
    <row r="7025" spans="4:18" x14ac:dyDescent="0.2">
      <c r="D7025" t="s">
        <v>86</v>
      </c>
      <c r="E7025" t="s">
        <v>87</v>
      </c>
      <c r="F7025" t="s">
        <v>88</v>
      </c>
      <c r="G7025" t="s">
        <v>173</v>
      </c>
      <c r="H7025" t="s">
        <v>173</v>
      </c>
      <c r="I7025" t="s">
        <v>35</v>
      </c>
      <c r="J7025" t="s">
        <v>36</v>
      </c>
      <c r="K7025" t="s">
        <v>47</v>
      </c>
      <c r="L7025" t="s">
        <v>48</v>
      </c>
      <c r="M7025" t="s">
        <v>172</v>
      </c>
      <c r="N7025">
        <v>922</v>
      </c>
      <c r="O7025" s="14">
        <v>0.743556960951537</v>
      </c>
      <c r="P7025" s="14">
        <v>0.13333638082258401</v>
      </c>
      <c r="Q7025" t="str">
        <f t="shared" si="218"/>
        <v>10-14</v>
      </c>
      <c r="R7025" t="str">
        <f t="shared" si="219"/>
        <v>[cPtvxaZqXIH]|10-14|Male|PLHIV_Attend.T2|CY2025Q3</v>
      </c>
    </row>
    <row r="7026" spans="4:18" x14ac:dyDescent="0.2">
      <c r="D7026" t="s">
        <v>86</v>
      </c>
      <c r="E7026" t="s">
        <v>87</v>
      </c>
      <c r="F7026" t="s">
        <v>88</v>
      </c>
      <c r="G7026" t="s">
        <v>173</v>
      </c>
      <c r="H7026" t="s">
        <v>173</v>
      </c>
      <c r="I7026" t="s">
        <v>37</v>
      </c>
      <c r="J7026" t="s">
        <v>38</v>
      </c>
      <c r="K7026" t="s">
        <v>47</v>
      </c>
      <c r="L7026" t="s">
        <v>48</v>
      </c>
      <c r="M7026" t="s">
        <v>172</v>
      </c>
      <c r="N7026">
        <v>1631</v>
      </c>
      <c r="O7026" s="14">
        <v>0.70455015776678898</v>
      </c>
      <c r="P7026" s="14">
        <v>0.13333638082258401</v>
      </c>
      <c r="Q7026" t="str">
        <f t="shared" si="218"/>
        <v>15-24</v>
      </c>
      <c r="R7026" t="str">
        <f t="shared" si="219"/>
        <v>[cPtvxaZqXIH]|15-24|Male|PLHIV_Attend.T2|CY2025Q3</v>
      </c>
    </row>
    <row r="7027" spans="4:18" x14ac:dyDescent="0.2">
      <c r="D7027" t="s">
        <v>86</v>
      </c>
      <c r="E7027" t="s">
        <v>87</v>
      </c>
      <c r="F7027" t="s">
        <v>88</v>
      </c>
      <c r="G7027" t="s">
        <v>173</v>
      </c>
      <c r="H7027" t="s">
        <v>173</v>
      </c>
      <c r="I7027" t="s">
        <v>40</v>
      </c>
      <c r="J7027" t="s">
        <v>41</v>
      </c>
      <c r="K7027" t="s">
        <v>47</v>
      </c>
      <c r="L7027" t="s">
        <v>48</v>
      </c>
      <c r="M7027" t="s">
        <v>172</v>
      </c>
      <c r="N7027">
        <v>1664</v>
      </c>
      <c r="O7027" s="14">
        <v>0.546259071445093</v>
      </c>
      <c r="P7027" s="14">
        <v>0.13333638082258401</v>
      </c>
      <c r="Q7027" t="str">
        <f t="shared" si="218"/>
        <v>25-34</v>
      </c>
      <c r="R7027" t="str">
        <f t="shared" si="219"/>
        <v>[cPtvxaZqXIH]|25-34|Male|PLHIV_Attend.T2|CY2025Q3</v>
      </c>
    </row>
    <row r="7028" spans="4:18" x14ac:dyDescent="0.2">
      <c r="D7028" t="s">
        <v>86</v>
      </c>
      <c r="E7028" t="s">
        <v>87</v>
      </c>
      <c r="F7028" t="s">
        <v>88</v>
      </c>
      <c r="G7028" t="s">
        <v>173</v>
      </c>
      <c r="H7028" t="s">
        <v>173</v>
      </c>
      <c r="I7028" t="s">
        <v>42</v>
      </c>
      <c r="J7028" t="s">
        <v>43</v>
      </c>
      <c r="K7028" t="s">
        <v>47</v>
      </c>
      <c r="L7028" t="s">
        <v>48</v>
      </c>
      <c r="M7028" t="s">
        <v>172</v>
      </c>
      <c r="N7028">
        <v>1301</v>
      </c>
      <c r="O7028" s="14">
        <v>7.6149108819663497E-2</v>
      </c>
      <c r="P7028" s="14">
        <v>0.13333638082258401</v>
      </c>
      <c r="Q7028" t="str">
        <f t="shared" si="218"/>
        <v>35-49</v>
      </c>
      <c r="R7028" t="str">
        <f t="shared" si="219"/>
        <v>[cPtvxaZqXIH]|35-49|Male|PLHIV_Attend.T2|CY2025Q3</v>
      </c>
    </row>
    <row r="7029" spans="4:18" x14ac:dyDescent="0.2">
      <c r="D7029" t="s">
        <v>86</v>
      </c>
      <c r="E7029" t="s">
        <v>87</v>
      </c>
      <c r="F7029" t="s">
        <v>88</v>
      </c>
      <c r="G7029" t="s">
        <v>173</v>
      </c>
      <c r="H7029" t="s">
        <v>173</v>
      </c>
      <c r="I7029" t="s">
        <v>44</v>
      </c>
      <c r="J7029" t="s">
        <v>45</v>
      </c>
      <c r="K7029" t="s">
        <v>47</v>
      </c>
      <c r="L7029" t="s">
        <v>48</v>
      </c>
      <c r="M7029" t="s">
        <v>172</v>
      </c>
      <c r="N7029">
        <v>1986</v>
      </c>
      <c r="O7029" s="14">
        <v>0.18692227452993401</v>
      </c>
      <c r="P7029" s="14">
        <v>0.13333638082258401</v>
      </c>
      <c r="Q7029" t="str">
        <f t="shared" si="218"/>
        <v>50+</v>
      </c>
      <c r="R7029" t="str">
        <f t="shared" si="219"/>
        <v>[cPtvxaZqXIH]|50+|Male|PLHIV_Attend.T2|CY2025Q3</v>
      </c>
    </row>
    <row r="7030" spans="4:18" x14ac:dyDescent="0.2">
      <c r="D7030" t="s">
        <v>89</v>
      </c>
      <c r="E7030" t="s">
        <v>90</v>
      </c>
      <c r="F7030" t="s">
        <v>91</v>
      </c>
      <c r="G7030" t="s">
        <v>173</v>
      </c>
      <c r="H7030" t="s">
        <v>173</v>
      </c>
      <c r="I7030" t="s">
        <v>27</v>
      </c>
      <c r="J7030" t="s">
        <v>28</v>
      </c>
      <c r="K7030" t="s">
        <v>29</v>
      </c>
      <c r="L7030" t="s">
        <v>30</v>
      </c>
      <c r="M7030" t="s">
        <v>172</v>
      </c>
      <c r="N7030">
        <v>1105</v>
      </c>
      <c r="O7030" s="14">
        <v>0.65937865409068797</v>
      </c>
      <c r="P7030" s="14">
        <v>0.71991415042430196</v>
      </c>
      <c r="Q7030" t="str">
        <f t="shared" si="218"/>
        <v>&lt;01</v>
      </c>
      <c r="R7030" t="str">
        <f t="shared" si="219"/>
        <v>[AZyWpGzhcaA]|&lt;01|Female|PLHIV_Attend.T2|CY2025Q3</v>
      </c>
    </row>
    <row r="7031" spans="4:18" x14ac:dyDescent="0.2">
      <c r="D7031" t="s">
        <v>89</v>
      </c>
      <c r="E7031" t="s">
        <v>90</v>
      </c>
      <c r="F7031" t="s">
        <v>91</v>
      </c>
      <c r="G7031" t="s">
        <v>173</v>
      </c>
      <c r="H7031" t="s">
        <v>173</v>
      </c>
      <c r="I7031" t="s">
        <v>32</v>
      </c>
      <c r="J7031" t="s">
        <v>33</v>
      </c>
      <c r="K7031" t="s">
        <v>29</v>
      </c>
      <c r="L7031" t="s">
        <v>30</v>
      </c>
      <c r="M7031" t="s">
        <v>172</v>
      </c>
      <c r="N7031">
        <v>1075</v>
      </c>
      <c r="O7031" s="14">
        <v>0.94115736894309499</v>
      </c>
      <c r="P7031" s="14">
        <v>0.71991415042430196</v>
      </c>
      <c r="Q7031" t="str">
        <f t="shared" si="218"/>
        <v>01-09</v>
      </c>
      <c r="R7031" t="str">
        <f t="shared" si="219"/>
        <v>[AZyWpGzhcaA]|01-09|Female|PLHIV_Attend.T2|CY2025Q3</v>
      </c>
    </row>
    <row r="7032" spans="4:18" x14ac:dyDescent="0.2">
      <c r="D7032" t="s">
        <v>89</v>
      </c>
      <c r="E7032" t="s">
        <v>90</v>
      </c>
      <c r="F7032" t="s">
        <v>91</v>
      </c>
      <c r="G7032" t="s">
        <v>173</v>
      </c>
      <c r="H7032" t="s">
        <v>173</v>
      </c>
      <c r="I7032" t="s">
        <v>35</v>
      </c>
      <c r="J7032" t="s">
        <v>36</v>
      </c>
      <c r="K7032" t="s">
        <v>29</v>
      </c>
      <c r="L7032" t="s">
        <v>30</v>
      </c>
      <c r="M7032" t="s">
        <v>172</v>
      </c>
      <c r="N7032">
        <v>1944</v>
      </c>
      <c r="O7032" s="14">
        <v>0.85353928175754801</v>
      </c>
      <c r="P7032" s="14">
        <v>0.71991415042430196</v>
      </c>
      <c r="Q7032" t="str">
        <f t="shared" si="218"/>
        <v>10-14</v>
      </c>
      <c r="R7032" t="str">
        <f t="shared" si="219"/>
        <v>[AZyWpGzhcaA]|10-14|Female|PLHIV_Attend.T2|CY2025Q3</v>
      </c>
    </row>
    <row r="7033" spans="4:18" x14ac:dyDescent="0.2">
      <c r="D7033" t="s">
        <v>89</v>
      </c>
      <c r="E7033" t="s">
        <v>90</v>
      </c>
      <c r="F7033" t="s">
        <v>91</v>
      </c>
      <c r="G7033" t="s">
        <v>173</v>
      </c>
      <c r="H7033" t="s">
        <v>173</v>
      </c>
      <c r="I7033" t="s">
        <v>37</v>
      </c>
      <c r="J7033" t="s">
        <v>38</v>
      </c>
      <c r="K7033" t="s">
        <v>29</v>
      </c>
      <c r="L7033" t="s">
        <v>30</v>
      </c>
      <c r="M7033" t="s">
        <v>172</v>
      </c>
      <c r="N7033">
        <v>1265</v>
      </c>
      <c r="O7033" s="14">
        <v>0.89562273724004604</v>
      </c>
      <c r="P7033" s="14">
        <v>0.71991415042430196</v>
      </c>
      <c r="Q7033" t="str">
        <f t="shared" si="218"/>
        <v>15-24</v>
      </c>
      <c r="R7033" t="str">
        <f t="shared" si="219"/>
        <v>[AZyWpGzhcaA]|15-24|Female|PLHIV_Attend.T2|CY2025Q3</v>
      </c>
    </row>
    <row r="7034" spans="4:18" x14ac:dyDescent="0.2">
      <c r="D7034" t="s">
        <v>89</v>
      </c>
      <c r="E7034" t="s">
        <v>90</v>
      </c>
      <c r="F7034" t="s">
        <v>91</v>
      </c>
      <c r="G7034" t="s">
        <v>173</v>
      </c>
      <c r="H7034" t="s">
        <v>173</v>
      </c>
      <c r="I7034" t="s">
        <v>40</v>
      </c>
      <c r="J7034" t="s">
        <v>41</v>
      </c>
      <c r="K7034" t="s">
        <v>29</v>
      </c>
      <c r="L7034" t="s">
        <v>30</v>
      </c>
      <c r="M7034" t="s">
        <v>172</v>
      </c>
      <c r="N7034">
        <v>1674</v>
      </c>
      <c r="O7034" s="14">
        <v>0.33806865499354899</v>
      </c>
      <c r="P7034" s="14">
        <v>0.71991415042430196</v>
      </c>
      <c r="Q7034" t="str">
        <f t="shared" si="218"/>
        <v>25-34</v>
      </c>
      <c r="R7034" t="str">
        <f t="shared" si="219"/>
        <v>[AZyWpGzhcaA]|25-34|Female|PLHIV_Attend.T2|CY2025Q3</v>
      </c>
    </row>
    <row r="7035" spans="4:18" x14ac:dyDescent="0.2">
      <c r="D7035" t="s">
        <v>89</v>
      </c>
      <c r="E7035" t="s">
        <v>90</v>
      </c>
      <c r="F7035" t="s">
        <v>91</v>
      </c>
      <c r="G7035" t="s">
        <v>173</v>
      </c>
      <c r="H7035" t="s">
        <v>173</v>
      </c>
      <c r="I7035" t="s">
        <v>42</v>
      </c>
      <c r="J7035" t="s">
        <v>43</v>
      </c>
      <c r="K7035" t="s">
        <v>29</v>
      </c>
      <c r="L7035" t="s">
        <v>30</v>
      </c>
      <c r="M7035" t="s">
        <v>172</v>
      </c>
      <c r="N7035">
        <v>953</v>
      </c>
      <c r="O7035" s="14">
        <v>0.143875734414905</v>
      </c>
      <c r="P7035" s="14">
        <v>0.71991415042430196</v>
      </c>
      <c r="Q7035" t="str">
        <f t="shared" si="218"/>
        <v>35-49</v>
      </c>
      <c r="R7035" t="str">
        <f t="shared" si="219"/>
        <v>[AZyWpGzhcaA]|35-49|Female|PLHIV_Attend.T2|CY2025Q3</v>
      </c>
    </row>
    <row r="7036" spans="4:18" x14ac:dyDescent="0.2">
      <c r="D7036" t="s">
        <v>89</v>
      </c>
      <c r="E7036" t="s">
        <v>90</v>
      </c>
      <c r="F7036" t="s">
        <v>91</v>
      </c>
      <c r="G7036" t="s">
        <v>173</v>
      </c>
      <c r="H7036" t="s">
        <v>173</v>
      </c>
      <c r="I7036" t="s">
        <v>44</v>
      </c>
      <c r="J7036" t="s">
        <v>45</v>
      </c>
      <c r="K7036" t="s">
        <v>29</v>
      </c>
      <c r="L7036" t="s">
        <v>30</v>
      </c>
      <c r="M7036" t="s">
        <v>172</v>
      </c>
      <c r="N7036">
        <v>559</v>
      </c>
      <c r="O7036" s="14">
        <v>0.579575393814594</v>
      </c>
      <c r="P7036" s="14">
        <v>0.71991415042430196</v>
      </c>
      <c r="Q7036" t="str">
        <f t="shared" si="218"/>
        <v>50+</v>
      </c>
      <c r="R7036" t="str">
        <f t="shared" si="219"/>
        <v>[AZyWpGzhcaA]|50+|Female|PLHIV_Attend.T2|CY2025Q3</v>
      </c>
    </row>
    <row r="7037" spans="4:18" x14ac:dyDescent="0.2">
      <c r="D7037" t="s">
        <v>89</v>
      </c>
      <c r="E7037" t="s">
        <v>90</v>
      </c>
      <c r="F7037" t="s">
        <v>91</v>
      </c>
      <c r="G7037" t="s">
        <v>173</v>
      </c>
      <c r="H7037" t="s">
        <v>173</v>
      </c>
      <c r="I7037" t="s">
        <v>27</v>
      </c>
      <c r="J7037" t="s">
        <v>28</v>
      </c>
      <c r="K7037" t="s">
        <v>47</v>
      </c>
      <c r="L7037" t="s">
        <v>48</v>
      </c>
      <c r="M7037" t="s">
        <v>172</v>
      </c>
      <c r="N7037">
        <v>1168</v>
      </c>
      <c r="O7037" s="14">
        <v>0.39138117781840298</v>
      </c>
      <c r="P7037" s="14">
        <v>0.71991415042430196</v>
      </c>
      <c r="Q7037" t="str">
        <f t="shared" si="218"/>
        <v>&lt;01</v>
      </c>
      <c r="R7037" t="str">
        <f t="shared" si="219"/>
        <v>[AZyWpGzhcaA]|&lt;01|Male|PLHIV_Attend.T2|CY2025Q3</v>
      </c>
    </row>
    <row r="7038" spans="4:18" x14ac:dyDescent="0.2">
      <c r="D7038" t="s">
        <v>89</v>
      </c>
      <c r="E7038" t="s">
        <v>90</v>
      </c>
      <c r="F7038" t="s">
        <v>91</v>
      </c>
      <c r="G7038" t="s">
        <v>173</v>
      </c>
      <c r="H7038" t="s">
        <v>173</v>
      </c>
      <c r="I7038" t="s">
        <v>32</v>
      </c>
      <c r="J7038" t="s">
        <v>33</v>
      </c>
      <c r="K7038" t="s">
        <v>47</v>
      </c>
      <c r="L7038" t="s">
        <v>48</v>
      </c>
      <c r="M7038" t="s">
        <v>172</v>
      </c>
      <c r="N7038">
        <v>1296</v>
      </c>
      <c r="O7038" s="14">
        <v>0.59055582992732503</v>
      </c>
      <c r="P7038" s="14">
        <v>0.71991415042430196</v>
      </c>
      <c r="Q7038" t="str">
        <f t="shared" si="218"/>
        <v>01-09</v>
      </c>
      <c r="R7038" t="str">
        <f t="shared" si="219"/>
        <v>[AZyWpGzhcaA]|01-09|Male|PLHIV_Attend.T2|CY2025Q3</v>
      </c>
    </row>
    <row r="7039" spans="4:18" x14ac:dyDescent="0.2">
      <c r="D7039" t="s">
        <v>89</v>
      </c>
      <c r="E7039" t="s">
        <v>90</v>
      </c>
      <c r="F7039" t="s">
        <v>91</v>
      </c>
      <c r="G7039" t="s">
        <v>173</v>
      </c>
      <c r="H7039" t="s">
        <v>173</v>
      </c>
      <c r="I7039" t="s">
        <v>35</v>
      </c>
      <c r="J7039" t="s">
        <v>36</v>
      </c>
      <c r="K7039" t="s">
        <v>47</v>
      </c>
      <c r="L7039" t="s">
        <v>48</v>
      </c>
      <c r="M7039" t="s">
        <v>172</v>
      </c>
      <c r="N7039">
        <v>558</v>
      </c>
      <c r="O7039" s="14">
        <v>0.93601191346533597</v>
      </c>
      <c r="P7039" s="14">
        <v>0.71991415042430196</v>
      </c>
      <c r="Q7039" t="str">
        <f t="shared" si="218"/>
        <v>10-14</v>
      </c>
      <c r="R7039" t="str">
        <f t="shared" si="219"/>
        <v>[AZyWpGzhcaA]|10-14|Male|PLHIV_Attend.T2|CY2025Q3</v>
      </c>
    </row>
    <row r="7040" spans="4:18" x14ac:dyDescent="0.2">
      <c r="D7040" t="s">
        <v>89</v>
      </c>
      <c r="E7040" t="s">
        <v>90</v>
      </c>
      <c r="F7040" t="s">
        <v>91</v>
      </c>
      <c r="G7040" t="s">
        <v>173</v>
      </c>
      <c r="H7040" t="s">
        <v>173</v>
      </c>
      <c r="I7040" t="s">
        <v>37</v>
      </c>
      <c r="J7040" t="s">
        <v>38</v>
      </c>
      <c r="K7040" t="s">
        <v>47</v>
      </c>
      <c r="L7040" t="s">
        <v>48</v>
      </c>
      <c r="M7040" t="s">
        <v>172</v>
      </c>
      <c r="N7040">
        <v>1562</v>
      </c>
      <c r="O7040" s="14">
        <v>7.80197288841009E-2</v>
      </c>
      <c r="P7040" s="14">
        <v>0.71991415042430196</v>
      </c>
      <c r="Q7040" t="str">
        <f t="shared" si="218"/>
        <v>15-24</v>
      </c>
      <c r="R7040" t="str">
        <f t="shared" si="219"/>
        <v>[AZyWpGzhcaA]|15-24|Male|PLHIV_Attend.T2|CY2025Q3</v>
      </c>
    </row>
    <row r="7041" spans="4:18" x14ac:dyDescent="0.2">
      <c r="D7041" t="s">
        <v>89</v>
      </c>
      <c r="E7041" t="s">
        <v>90</v>
      </c>
      <c r="F7041" t="s">
        <v>91</v>
      </c>
      <c r="G7041" t="s">
        <v>173</v>
      </c>
      <c r="H7041" t="s">
        <v>173</v>
      </c>
      <c r="I7041" t="s">
        <v>40</v>
      </c>
      <c r="J7041" t="s">
        <v>41</v>
      </c>
      <c r="K7041" t="s">
        <v>47</v>
      </c>
      <c r="L7041" t="s">
        <v>48</v>
      </c>
      <c r="M7041" t="s">
        <v>172</v>
      </c>
      <c r="N7041">
        <v>927</v>
      </c>
      <c r="O7041" s="14">
        <v>0.43372976128011898</v>
      </c>
      <c r="P7041" s="14">
        <v>0.71991415042430196</v>
      </c>
      <c r="Q7041" t="str">
        <f t="shared" si="218"/>
        <v>25-34</v>
      </c>
      <c r="R7041" t="str">
        <f t="shared" si="219"/>
        <v>[AZyWpGzhcaA]|25-34|Male|PLHIV_Attend.T2|CY2025Q3</v>
      </c>
    </row>
    <row r="7042" spans="4:18" x14ac:dyDescent="0.2">
      <c r="D7042" t="s">
        <v>89</v>
      </c>
      <c r="E7042" t="s">
        <v>90</v>
      </c>
      <c r="F7042" t="s">
        <v>91</v>
      </c>
      <c r="G7042" t="s">
        <v>173</v>
      </c>
      <c r="H7042" t="s">
        <v>173</v>
      </c>
      <c r="I7042" t="s">
        <v>42</v>
      </c>
      <c r="J7042" t="s">
        <v>43</v>
      </c>
      <c r="K7042" t="s">
        <v>47</v>
      </c>
      <c r="L7042" t="s">
        <v>48</v>
      </c>
      <c r="M7042" t="s">
        <v>172</v>
      </c>
      <c r="N7042">
        <v>582</v>
      </c>
      <c r="O7042" s="14">
        <v>0.712819902924821</v>
      </c>
      <c r="P7042" s="14">
        <v>0.71991415042430196</v>
      </c>
      <c r="Q7042" t="str">
        <f t="shared" ref="Q7042:Q7105" si="220">SUBSTITUTE(SUBSTITUTE($I7042,CHAR(61),""),CHAR(34),"")</f>
        <v>35-49</v>
      </c>
      <c r="R7042" t="str">
        <f t="shared" ref="R7042:R7105" si="221">IF($D7042&lt;&gt;"","["&amp;$E7042&amp;"]"&amp;"|"&amp;$Q7042&amp;"|"&amp;$K7042&amp;"|"&amp;$G7042&amp;"|"&amp;IF($G7042="TX_CURR_SUBNAT.R","CY2022Q4",$M7042),"")</f>
        <v>[AZyWpGzhcaA]|35-49|Male|PLHIV_Attend.T2|CY2025Q3</v>
      </c>
    </row>
    <row r="7043" spans="4:18" x14ac:dyDescent="0.2">
      <c r="D7043" t="s">
        <v>89</v>
      </c>
      <c r="E7043" t="s">
        <v>90</v>
      </c>
      <c r="F7043" t="s">
        <v>91</v>
      </c>
      <c r="G7043" t="s">
        <v>173</v>
      </c>
      <c r="H7043" t="s">
        <v>173</v>
      </c>
      <c r="I7043" t="s">
        <v>44</v>
      </c>
      <c r="J7043" t="s">
        <v>45</v>
      </c>
      <c r="K7043" t="s">
        <v>47</v>
      </c>
      <c r="L7043" t="s">
        <v>48</v>
      </c>
      <c r="M7043" t="s">
        <v>172</v>
      </c>
      <c r="N7043">
        <v>1184</v>
      </c>
      <c r="O7043" s="14">
        <v>0.36949924496002501</v>
      </c>
      <c r="P7043" s="14">
        <v>0.71991415042430196</v>
      </c>
      <c r="Q7043" t="str">
        <f t="shared" si="220"/>
        <v>50+</v>
      </c>
      <c r="R7043" t="str">
        <f t="shared" si="221"/>
        <v>[AZyWpGzhcaA]|50+|Male|PLHIV_Attend.T2|CY2025Q3</v>
      </c>
    </row>
    <row r="7044" spans="4:18" x14ac:dyDescent="0.2">
      <c r="D7044" t="s">
        <v>92</v>
      </c>
      <c r="E7044" t="s">
        <v>93</v>
      </c>
      <c r="F7044" t="s">
        <v>94</v>
      </c>
      <c r="G7044" t="s">
        <v>173</v>
      </c>
      <c r="H7044" t="s">
        <v>173</v>
      </c>
      <c r="I7044" t="s">
        <v>27</v>
      </c>
      <c r="J7044" t="s">
        <v>28</v>
      </c>
      <c r="K7044" t="s">
        <v>29</v>
      </c>
      <c r="L7044" t="s">
        <v>30</v>
      </c>
      <c r="M7044" t="s">
        <v>172</v>
      </c>
      <c r="N7044">
        <v>961</v>
      </c>
      <c r="O7044" s="14">
        <v>0.403253823518753</v>
      </c>
      <c r="P7044" s="14">
        <v>0.36227229656651599</v>
      </c>
      <c r="Q7044" t="str">
        <f t="shared" si="220"/>
        <v>&lt;01</v>
      </c>
      <c r="R7044" t="str">
        <f t="shared" si="221"/>
        <v>[umc2n1Z4wNv]|&lt;01|Female|PLHIV_Attend.T2|CY2025Q3</v>
      </c>
    </row>
    <row r="7045" spans="4:18" x14ac:dyDescent="0.2">
      <c r="D7045" t="s">
        <v>92</v>
      </c>
      <c r="E7045" t="s">
        <v>93</v>
      </c>
      <c r="F7045" t="s">
        <v>94</v>
      </c>
      <c r="G7045" t="s">
        <v>173</v>
      </c>
      <c r="H7045" t="s">
        <v>173</v>
      </c>
      <c r="I7045" t="s">
        <v>32</v>
      </c>
      <c r="J7045" t="s">
        <v>33</v>
      </c>
      <c r="K7045" t="s">
        <v>29</v>
      </c>
      <c r="L7045" t="s">
        <v>30</v>
      </c>
      <c r="M7045" t="s">
        <v>172</v>
      </c>
      <c r="N7045">
        <v>1265</v>
      </c>
      <c r="O7045" s="14">
        <v>0.70080291386693705</v>
      </c>
      <c r="P7045" s="14">
        <v>0.36227229656651599</v>
      </c>
      <c r="Q7045" t="str">
        <f t="shared" si="220"/>
        <v>01-09</v>
      </c>
      <c r="R7045" t="str">
        <f t="shared" si="221"/>
        <v>[umc2n1Z4wNv]|01-09|Female|PLHIV_Attend.T2|CY2025Q3</v>
      </c>
    </row>
    <row r="7046" spans="4:18" x14ac:dyDescent="0.2">
      <c r="D7046" t="s">
        <v>92</v>
      </c>
      <c r="E7046" t="s">
        <v>93</v>
      </c>
      <c r="F7046" t="s">
        <v>94</v>
      </c>
      <c r="G7046" t="s">
        <v>173</v>
      </c>
      <c r="H7046" t="s">
        <v>173</v>
      </c>
      <c r="I7046" t="s">
        <v>35</v>
      </c>
      <c r="J7046" t="s">
        <v>36</v>
      </c>
      <c r="K7046" t="s">
        <v>29</v>
      </c>
      <c r="L7046" t="s">
        <v>30</v>
      </c>
      <c r="M7046" t="s">
        <v>172</v>
      </c>
      <c r="N7046">
        <v>1717</v>
      </c>
      <c r="O7046" s="14">
        <v>0.83495583734475098</v>
      </c>
      <c r="P7046" s="14">
        <v>0.36227229656651599</v>
      </c>
      <c r="Q7046" t="str">
        <f t="shared" si="220"/>
        <v>10-14</v>
      </c>
      <c r="R7046" t="str">
        <f t="shared" si="221"/>
        <v>[umc2n1Z4wNv]|10-14|Female|PLHIV_Attend.T2|CY2025Q3</v>
      </c>
    </row>
    <row r="7047" spans="4:18" x14ac:dyDescent="0.2">
      <c r="D7047" t="s">
        <v>92</v>
      </c>
      <c r="E7047" t="s">
        <v>93</v>
      </c>
      <c r="F7047" t="s">
        <v>94</v>
      </c>
      <c r="G7047" t="s">
        <v>173</v>
      </c>
      <c r="H7047" t="s">
        <v>173</v>
      </c>
      <c r="I7047" t="s">
        <v>37</v>
      </c>
      <c r="J7047" t="s">
        <v>38</v>
      </c>
      <c r="K7047" t="s">
        <v>29</v>
      </c>
      <c r="L7047" t="s">
        <v>30</v>
      </c>
      <c r="M7047" t="s">
        <v>172</v>
      </c>
      <c r="N7047">
        <v>1914</v>
      </c>
      <c r="O7047" s="14">
        <v>1.56532186083496E-2</v>
      </c>
      <c r="P7047" s="14">
        <v>0.36227229656651599</v>
      </c>
      <c r="Q7047" t="str">
        <f t="shared" si="220"/>
        <v>15-24</v>
      </c>
      <c r="R7047" t="str">
        <f t="shared" si="221"/>
        <v>[umc2n1Z4wNv]|15-24|Female|PLHIV_Attend.T2|CY2025Q3</v>
      </c>
    </row>
    <row r="7048" spans="4:18" x14ac:dyDescent="0.2">
      <c r="D7048" t="s">
        <v>92</v>
      </c>
      <c r="E7048" t="s">
        <v>93</v>
      </c>
      <c r="F7048" t="s">
        <v>94</v>
      </c>
      <c r="G7048" t="s">
        <v>173</v>
      </c>
      <c r="H7048" t="s">
        <v>173</v>
      </c>
      <c r="I7048" t="s">
        <v>40</v>
      </c>
      <c r="J7048" t="s">
        <v>41</v>
      </c>
      <c r="K7048" t="s">
        <v>29</v>
      </c>
      <c r="L7048" t="s">
        <v>30</v>
      </c>
      <c r="M7048" t="s">
        <v>172</v>
      </c>
      <c r="N7048">
        <v>1158</v>
      </c>
      <c r="O7048" s="14">
        <v>0.65131612843833897</v>
      </c>
      <c r="P7048" s="14">
        <v>0.36227229656651599</v>
      </c>
      <c r="Q7048" t="str">
        <f t="shared" si="220"/>
        <v>25-34</v>
      </c>
      <c r="R7048" t="str">
        <f t="shared" si="221"/>
        <v>[umc2n1Z4wNv]|25-34|Female|PLHIV_Attend.T2|CY2025Q3</v>
      </c>
    </row>
    <row r="7049" spans="4:18" x14ac:dyDescent="0.2">
      <c r="D7049" t="s">
        <v>92</v>
      </c>
      <c r="E7049" t="s">
        <v>93</v>
      </c>
      <c r="F7049" t="s">
        <v>94</v>
      </c>
      <c r="G7049" t="s">
        <v>173</v>
      </c>
      <c r="H7049" t="s">
        <v>173</v>
      </c>
      <c r="I7049" t="s">
        <v>42</v>
      </c>
      <c r="J7049" t="s">
        <v>43</v>
      </c>
      <c r="K7049" t="s">
        <v>29</v>
      </c>
      <c r="L7049" t="s">
        <v>30</v>
      </c>
      <c r="M7049" t="s">
        <v>172</v>
      </c>
      <c r="N7049">
        <v>1198</v>
      </c>
      <c r="O7049" s="14">
        <v>9.93739305995405E-2</v>
      </c>
      <c r="P7049" s="14">
        <v>0.36227229656651599</v>
      </c>
      <c r="Q7049" t="str">
        <f t="shared" si="220"/>
        <v>35-49</v>
      </c>
      <c r="R7049" t="str">
        <f t="shared" si="221"/>
        <v>[umc2n1Z4wNv]|35-49|Female|PLHIV_Attend.T2|CY2025Q3</v>
      </c>
    </row>
    <row r="7050" spans="4:18" x14ac:dyDescent="0.2">
      <c r="D7050" t="s">
        <v>92</v>
      </c>
      <c r="E7050" t="s">
        <v>93</v>
      </c>
      <c r="F7050" t="s">
        <v>94</v>
      </c>
      <c r="G7050" t="s">
        <v>173</v>
      </c>
      <c r="H7050" t="s">
        <v>173</v>
      </c>
      <c r="I7050" t="s">
        <v>44</v>
      </c>
      <c r="J7050" t="s">
        <v>45</v>
      </c>
      <c r="K7050" t="s">
        <v>29</v>
      </c>
      <c r="L7050" t="s">
        <v>30</v>
      </c>
      <c r="M7050" t="s">
        <v>172</v>
      </c>
      <c r="N7050">
        <v>1784</v>
      </c>
      <c r="O7050" s="14">
        <v>0.69784586504101798</v>
      </c>
      <c r="P7050" s="14">
        <v>0.36227229656651599</v>
      </c>
      <c r="Q7050" t="str">
        <f t="shared" si="220"/>
        <v>50+</v>
      </c>
      <c r="R7050" t="str">
        <f t="shared" si="221"/>
        <v>[umc2n1Z4wNv]|50+|Female|PLHIV_Attend.T2|CY2025Q3</v>
      </c>
    </row>
    <row r="7051" spans="4:18" x14ac:dyDescent="0.2">
      <c r="D7051" t="s">
        <v>92</v>
      </c>
      <c r="E7051" t="s">
        <v>93</v>
      </c>
      <c r="F7051" t="s">
        <v>94</v>
      </c>
      <c r="G7051" t="s">
        <v>173</v>
      </c>
      <c r="H7051" t="s">
        <v>173</v>
      </c>
      <c r="I7051" t="s">
        <v>27</v>
      </c>
      <c r="J7051" t="s">
        <v>28</v>
      </c>
      <c r="K7051" t="s">
        <v>47</v>
      </c>
      <c r="L7051" t="s">
        <v>48</v>
      </c>
      <c r="M7051" t="s">
        <v>172</v>
      </c>
      <c r="N7051">
        <v>584</v>
      </c>
      <c r="O7051" s="14">
        <v>0.78724172920919999</v>
      </c>
      <c r="P7051" s="14">
        <v>0.36227229656651599</v>
      </c>
      <c r="Q7051" t="str">
        <f t="shared" si="220"/>
        <v>&lt;01</v>
      </c>
      <c r="R7051" t="str">
        <f t="shared" si="221"/>
        <v>[umc2n1Z4wNv]|&lt;01|Male|PLHIV_Attend.T2|CY2025Q3</v>
      </c>
    </row>
    <row r="7052" spans="4:18" x14ac:dyDescent="0.2">
      <c r="D7052" t="s">
        <v>92</v>
      </c>
      <c r="E7052" t="s">
        <v>93</v>
      </c>
      <c r="F7052" t="s">
        <v>94</v>
      </c>
      <c r="G7052" t="s">
        <v>173</v>
      </c>
      <c r="H7052" t="s">
        <v>173</v>
      </c>
      <c r="I7052" t="s">
        <v>32</v>
      </c>
      <c r="J7052" t="s">
        <v>33</v>
      </c>
      <c r="K7052" t="s">
        <v>47</v>
      </c>
      <c r="L7052" t="s">
        <v>48</v>
      </c>
      <c r="M7052" t="s">
        <v>172</v>
      </c>
      <c r="N7052">
        <v>724</v>
      </c>
      <c r="O7052" s="14">
        <v>0.95210181176662401</v>
      </c>
      <c r="P7052" s="14">
        <v>0.36227229656651599</v>
      </c>
      <c r="Q7052" t="str">
        <f t="shared" si="220"/>
        <v>01-09</v>
      </c>
      <c r="R7052" t="str">
        <f t="shared" si="221"/>
        <v>[umc2n1Z4wNv]|01-09|Male|PLHIV_Attend.T2|CY2025Q3</v>
      </c>
    </row>
    <row r="7053" spans="4:18" x14ac:dyDescent="0.2">
      <c r="D7053" t="s">
        <v>92</v>
      </c>
      <c r="E7053" t="s">
        <v>93</v>
      </c>
      <c r="F7053" t="s">
        <v>94</v>
      </c>
      <c r="G7053" t="s">
        <v>173</v>
      </c>
      <c r="H7053" t="s">
        <v>173</v>
      </c>
      <c r="I7053" t="s">
        <v>35</v>
      </c>
      <c r="J7053" t="s">
        <v>36</v>
      </c>
      <c r="K7053" t="s">
        <v>47</v>
      </c>
      <c r="L7053" t="s">
        <v>48</v>
      </c>
      <c r="M7053" t="s">
        <v>172</v>
      </c>
      <c r="N7053">
        <v>912</v>
      </c>
      <c r="O7053" s="14">
        <v>0.72366678109392502</v>
      </c>
      <c r="P7053" s="14">
        <v>0.36227229656651599</v>
      </c>
      <c r="Q7053" t="str">
        <f t="shared" si="220"/>
        <v>10-14</v>
      </c>
      <c r="R7053" t="str">
        <f t="shared" si="221"/>
        <v>[umc2n1Z4wNv]|10-14|Male|PLHIV_Attend.T2|CY2025Q3</v>
      </c>
    </row>
    <row r="7054" spans="4:18" x14ac:dyDescent="0.2">
      <c r="D7054" t="s">
        <v>92</v>
      </c>
      <c r="E7054" t="s">
        <v>93</v>
      </c>
      <c r="F7054" t="s">
        <v>94</v>
      </c>
      <c r="G7054" t="s">
        <v>173</v>
      </c>
      <c r="H7054" t="s">
        <v>173</v>
      </c>
      <c r="I7054" t="s">
        <v>37</v>
      </c>
      <c r="J7054" t="s">
        <v>38</v>
      </c>
      <c r="K7054" t="s">
        <v>47</v>
      </c>
      <c r="L7054" t="s">
        <v>48</v>
      </c>
      <c r="M7054" t="s">
        <v>172</v>
      </c>
      <c r="N7054">
        <v>1651</v>
      </c>
      <c r="O7054" s="14">
        <v>6.8977818824350806E-2</v>
      </c>
      <c r="P7054" s="14">
        <v>0.36227229656651599</v>
      </c>
      <c r="Q7054" t="str">
        <f t="shared" si="220"/>
        <v>15-24</v>
      </c>
      <c r="R7054" t="str">
        <f t="shared" si="221"/>
        <v>[umc2n1Z4wNv]|15-24|Male|PLHIV_Attend.T2|CY2025Q3</v>
      </c>
    </row>
    <row r="7055" spans="4:18" x14ac:dyDescent="0.2">
      <c r="D7055" t="s">
        <v>92</v>
      </c>
      <c r="E7055" t="s">
        <v>93</v>
      </c>
      <c r="F7055" t="s">
        <v>94</v>
      </c>
      <c r="G7055" t="s">
        <v>173</v>
      </c>
      <c r="H7055" t="s">
        <v>173</v>
      </c>
      <c r="I7055" t="s">
        <v>40</v>
      </c>
      <c r="J7055" t="s">
        <v>41</v>
      </c>
      <c r="K7055" t="s">
        <v>47</v>
      </c>
      <c r="L7055" t="s">
        <v>48</v>
      </c>
      <c r="M7055" t="s">
        <v>172</v>
      </c>
      <c r="N7055">
        <v>569</v>
      </c>
      <c r="O7055" s="14">
        <v>0.94946067989803895</v>
      </c>
      <c r="P7055" s="14">
        <v>0.36227229656651599</v>
      </c>
      <c r="Q7055" t="str">
        <f t="shared" si="220"/>
        <v>25-34</v>
      </c>
      <c r="R7055" t="str">
        <f t="shared" si="221"/>
        <v>[umc2n1Z4wNv]|25-34|Male|PLHIV_Attend.T2|CY2025Q3</v>
      </c>
    </row>
    <row r="7056" spans="4:18" x14ac:dyDescent="0.2">
      <c r="D7056" t="s">
        <v>92</v>
      </c>
      <c r="E7056" t="s">
        <v>93</v>
      </c>
      <c r="F7056" t="s">
        <v>94</v>
      </c>
      <c r="G7056" t="s">
        <v>173</v>
      </c>
      <c r="H7056" t="s">
        <v>173</v>
      </c>
      <c r="I7056" t="s">
        <v>42</v>
      </c>
      <c r="J7056" t="s">
        <v>43</v>
      </c>
      <c r="K7056" t="s">
        <v>47</v>
      </c>
      <c r="L7056" t="s">
        <v>48</v>
      </c>
      <c r="M7056" t="s">
        <v>172</v>
      </c>
      <c r="N7056">
        <v>1847</v>
      </c>
      <c r="O7056" s="14">
        <v>0.23539082054048799</v>
      </c>
      <c r="P7056" s="14">
        <v>0.36227229656651599</v>
      </c>
      <c r="Q7056" t="str">
        <f t="shared" si="220"/>
        <v>35-49</v>
      </c>
      <c r="R7056" t="str">
        <f t="shared" si="221"/>
        <v>[umc2n1Z4wNv]|35-49|Male|PLHIV_Attend.T2|CY2025Q3</v>
      </c>
    </row>
    <row r="7057" spans="4:18" x14ac:dyDescent="0.2">
      <c r="D7057" t="s">
        <v>92</v>
      </c>
      <c r="E7057" t="s">
        <v>93</v>
      </c>
      <c r="F7057" t="s">
        <v>94</v>
      </c>
      <c r="G7057" t="s">
        <v>173</v>
      </c>
      <c r="H7057" t="s">
        <v>173</v>
      </c>
      <c r="I7057" t="s">
        <v>44</v>
      </c>
      <c r="J7057" t="s">
        <v>45</v>
      </c>
      <c r="K7057" t="s">
        <v>47</v>
      </c>
      <c r="L7057" t="s">
        <v>48</v>
      </c>
      <c r="M7057" t="s">
        <v>172</v>
      </c>
      <c r="N7057">
        <v>1690</v>
      </c>
      <c r="O7057" s="14">
        <v>0.72846885118633498</v>
      </c>
      <c r="P7057" s="14">
        <v>0.36227229656651599</v>
      </c>
      <c r="Q7057" t="str">
        <f t="shared" si="220"/>
        <v>50+</v>
      </c>
      <c r="R7057" t="str">
        <f t="shared" si="221"/>
        <v>[umc2n1Z4wNv]|50+|Male|PLHIV_Attend.T2|CY2025Q3</v>
      </c>
    </row>
    <row r="7058" spans="4:18" x14ac:dyDescent="0.2">
      <c r="D7058" t="s">
        <v>95</v>
      </c>
      <c r="E7058" t="s">
        <v>96</v>
      </c>
      <c r="F7058" t="s">
        <v>97</v>
      </c>
      <c r="G7058" t="s">
        <v>173</v>
      </c>
      <c r="H7058" t="s">
        <v>173</v>
      </c>
      <c r="I7058" t="s">
        <v>27</v>
      </c>
      <c r="J7058" t="s">
        <v>28</v>
      </c>
      <c r="K7058" t="s">
        <v>29</v>
      </c>
      <c r="L7058" t="s">
        <v>30</v>
      </c>
      <c r="M7058" t="s">
        <v>172</v>
      </c>
      <c r="N7058">
        <v>996</v>
      </c>
      <c r="O7058" s="14">
        <v>0.75189688405953303</v>
      </c>
      <c r="P7058" s="14">
        <v>0.60125171788968101</v>
      </c>
      <c r="Q7058" t="str">
        <f t="shared" si="220"/>
        <v>&lt;01</v>
      </c>
      <c r="R7058" t="str">
        <f t="shared" si="221"/>
        <v>[gwVYinjBAe9]|&lt;01|Female|PLHIV_Attend.T2|CY2025Q3</v>
      </c>
    </row>
    <row r="7059" spans="4:18" x14ac:dyDescent="0.2">
      <c r="D7059" t="s">
        <v>95</v>
      </c>
      <c r="E7059" t="s">
        <v>96</v>
      </c>
      <c r="F7059" t="s">
        <v>97</v>
      </c>
      <c r="G7059" t="s">
        <v>173</v>
      </c>
      <c r="H7059" t="s">
        <v>173</v>
      </c>
      <c r="I7059" t="s">
        <v>32</v>
      </c>
      <c r="J7059" t="s">
        <v>33</v>
      </c>
      <c r="K7059" t="s">
        <v>29</v>
      </c>
      <c r="L7059" t="s">
        <v>30</v>
      </c>
      <c r="M7059" t="s">
        <v>172</v>
      </c>
      <c r="N7059">
        <v>1381</v>
      </c>
      <c r="O7059" s="14">
        <v>0.37932474142871803</v>
      </c>
      <c r="P7059" s="14">
        <v>0.60125171788968101</v>
      </c>
      <c r="Q7059" t="str">
        <f t="shared" si="220"/>
        <v>01-09</v>
      </c>
      <c r="R7059" t="str">
        <f t="shared" si="221"/>
        <v>[gwVYinjBAe9]|01-09|Female|PLHIV_Attend.T2|CY2025Q3</v>
      </c>
    </row>
    <row r="7060" spans="4:18" x14ac:dyDescent="0.2">
      <c r="D7060" t="s">
        <v>95</v>
      </c>
      <c r="E7060" t="s">
        <v>96</v>
      </c>
      <c r="F7060" t="s">
        <v>97</v>
      </c>
      <c r="G7060" t="s">
        <v>173</v>
      </c>
      <c r="H7060" t="s">
        <v>173</v>
      </c>
      <c r="I7060" t="s">
        <v>35</v>
      </c>
      <c r="J7060" t="s">
        <v>36</v>
      </c>
      <c r="K7060" t="s">
        <v>29</v>
      </c>
      <c r="L7060" t="s">
        <v>30</v>
      </c>
      <c r="M7060" t="s">
        <v>172</v>
      </c>
      <c r="N7060">
        <v>1676</v>
      </c>
      <c r="O7060" s="14">
        <v>0.60924449353478805</v>
      </c>
      <c r="P7060" s="14">
        <v>0.60125171788968101</v>
      </c>
      <c r="Q7060" t="str">
        <f t="shared" si="220"/>
        <v>10-14</v>
      </c>
      <c r="R7060" t="str">
        <f t="shared" si="221"/>
        <v>[gwVYinjBAe9]|10-14|Female|PLHIV_Attend.T2|CY2025Q3</v>
      </c>
    </row>
    <row r="7061" spans="4:18" x14ac:dyDescent="0.2">
      <c r="D7061" t="s">
        <v>95</v>
      </c>
      <c r="E7061" t="s">
        <v>96</v>
      </c>
      <c r="F7061" t="s">
        <v>97</v>
      </c>
      <c r="G7061" t="s">
        <v>173</v>
      </c>
      <c r="H7061" t="s">
        <v>173</v>
      </c>
      <c r="I7061" t="s">
        <v>37</v>
      </c>
      <c r="J7061" t="s">
        <v>38</v>
      </c>
      <c r="K7061" t="s">
        <v>29</v>
      </c>
      <c r="L7061" t="s">
        <v>30</v>
      </c>
      <c r="M7061" t="s">
        <v>172</v>
      </c>
      <c r="N7061">
        <v>1989</v>
      </c>
      <c r="O7061" s="14">
        <v>0.96747788856737305</v>
      </c>
      <c r="P7061" s="14">
        <v>0.60125171788968101</v>
      </c>
      <c r="Q7061" t="str">
        <f t="shared" si="220"/>
        <v>15-24</v>
      </c>
      <c r="R7061" t="str">
        <f t="shared" si="221"/>
        <v>[gwVYinjBAe9]|15-24|Female|PLHIV_Attend.T2|CY2025Q3</v>
      </c>
    </row>
    <row r="7062" spans="4:18" x14ac:dyDescent="0.2">
      <c r="D7062" t="s">
        <v>95</v>
      </c>
      <c r="E7062" t="s">
        <v>96</v>
      </c>
      <c r="F7062" t="s">
        <v>97</v>
      </c>
      <c r="G7062" t="s">
        <v>173</v>
      </c>
      <c r="H7062" t="s">
        <v>173</v>
      </c>
      <c r="I7062" t="s">
        <v>40</v>
      </c>
      <c r="J7062" t="s">
        <v>41</v>
      </c>
      <c r="K7062" t="s">
        <v>29</v>
      </c>
      <c r="L7062" t="s">
        <v>30</v>
      </c>
      <c r="M7062" t="s">
        <v>172</v>
      </c>
      <c r="N7062">
        <v>1482</v>
      </c>
      <c r="O7062" s="14">
        <v>0.31575752701610299</v>
      </c>
      <c r="P7062" s="14">
        <v>0.60125171788968101</v>
      </c>
      <c r="Q7062" t="str">
        <f t="shared" si="220"/>
        <v>25-34</v>
      </c>
      <c r="R7062" t="str">
        <f t="shared" si="221"/>
        <v>[gwVYinjBAe9]|25-34|Female|PLHIV_Attend.T2|CY2025Q3</v>
      </c>
    </row>
    <row r="7063" spans="4:18" x14ac:dyDescent="0.2">
      <c r="D7063" t="s">
        <v>95</v>
      </c>
      <c r="E7063" t="s">
        <v>96</v>
      </c>
      <c r="F7063" t="s">
        <v>97</v>
      </c>
      <c r="G7063" t="s">
        <v>173</v>
      </c>
      <c r="H7063" t="s">
        <v>173</v>
      </c>
      <c r="I7063" t="s">
        <v>42</v>
      </c>
      <c r="J7063" t="s">
        <v>43</v>
      </c>
      <c r="K7063" t="s">
        <v>29</v>
      </c>
      <c r="L7063" t="s">
        <v>30</v>
      </c>
      <c r="M7063" t="s">
        <v>172</v>
      </c>
      <c r="N7063">
        <v>1814</v>
      </c>
      <c r="O7063" s="14">
        <v>8.9545219670981197E-2</v>
      </c>
      <c r="P7063" s="14">
        <v>0.60125171788968101</v>
      </c>
      <c r="Q7063" t="str">
        <f t="shared" si="220"/>
        <v>35-49</v>
      </c>
      <c r="R7063" t="str">
        <f t="shared" si="221"/>
        <v>[gwVYinjBAe9]|35-49|Female|PLHIV_Attend.T2|CY2025Q3</v>
      </c>
    </row>
    <row r="7064" spans="4:18" x14ac:dyDescent="0.2">
      <c r="D7064" t="s">
        <v>95</v>
      </c>
      <c r="E7064" t="s">
        <v>96</v>
      </c>
      <c r="F7064" t="s">
        <v>97</v>
      </c>
      <c r="G7064" t="s">
        <v>173</v>
      </c>
      <c r="H7064" t="s">
        <v>173</v>
      </c>
      <c r="I7064" t="s">
        <v>44</v>
      </c>
      <c r="J7064" t="s">
        <v>45</v>
      </c>
      <c r="K7064" t="s">
        <v>29</v>
      </c>
      <c r="L7064" t="s">
        <v>30</v>
      </c>
      <c r="M7064" t="s">
        <v>172</v>
      </c>
      <c r="N7064">
        <v>1489</v>
      </c>
      <c r="O7064" s="14">
        <v>0.62669534841552399</v>
      </c>
      <c r="P7064" s="14">
        <v>0.60125171788968101</v>
      </c>
      <c r="Q7064" t="str">
        <f t="shared" si="220"/>
        <v>50+</v>
      </c>
      <c r="R7064" t="str">
        <f t="shared" si="221"/>
        <v>[gwVYinjBAe9]|50+|Female|PLHIV_Attend.T2|CY2025Q3</v>
      </c>
    </row>
    <row r="7065" spans="4:18" x14ac:dyDescent="0.2">
      <c r="D7065" t="s">
        <v>95</v>
      </c>
      <c r="E7065" t="s">
        <v>96</v>
      </c>
      <c r="F7065" t="s">
        <v>97</v>
      </c>
      <c r="G7065" t="s">
        <v>173</v>
      </c>
      <c r="H7065" t="s">
        <v>173</v>
      </c>
      <c r="I7065" t="s">
        <v>27</v>
      </c>
      <c r="J7065" t="s">
        <v>28</v>
      </c>
      <c r="K7065" t="s">
        <v>47</v>
      </c>
      <c r="L7065" t="s">
        <v>48</v>
      </c>
      <c r="M7065" t="s">
        <v>172</v>
      </c>
      <c r="N7065">
        <v>1528</v>
      </c>
      <c r="O7065" s="14">
        <v>0.27335556061007099</v>
      </c>
      <c r="P7065" s="14">
        <v>0.60125171788968101</v>
      </c>
      <c r="Q7065" t="str">
        <f t="shared" si="220"/>
        <v>&lt;01</v>
      </c>
      <c r="R7065" t="str">
        <f t="shared" si="221"/>
        <v>[gwVYinjBAe9]|&lt;01|Male|PLHIV_Attend.T2|CY2025Q3</v>
      </c>
    </row>
    <row r="7066" spans="4:18" x14ac:dyDescent="0.2">
      <c r="D7066" t="s">
        <v>95</v>
      </c>
      <c r="E7066" t="s">
        <v>96</v>
      </c>
      <c r="F7066" t="s">
        <v>97</v>
      </c>
      <c r="G7066" t="s">
        <v>173</v>
      </c>
      <c r="H7066" t="s">
        <v>173</v>
      </c>
      <c r="I7066" t="s">
        <v>32</v>
      </c>
      <c r="J7066" t="s">
        <v>33</v>
      </c>
      <c r="K7066" t="s">
        <v>47</v>
      </c>
      <c r="L7066" t="s">
        <v>48</v>
      </c>
      <c r="M7066" t="s">
        <v>172</v>
      </c>
      <c r="N7066">
        <v>1045</v>
      </c>
      <c r="O7066" s="14">
        <v>0.67068274738267097</v>
      </c>
      <c r="P7066" s="14">
        <v>0.60125171788968101</v>
      </c>
      <c r="Q7066" t="str">
        <f t="shared" si="220"/>
        <v>01-09</v>
      </c>
      <c r="R7066" t="str">
        <f t="shared" si="221"/>
        <v>[gwVYinjBAe9]|01-09|Male|PLHIV_Attend.T2|CY2025Q3</v>
      </c>
    </row>
    <row r="7067" spans="4:18" x14ac:dyDescent="0.2">
      <c r="D7067" t="s">
        <v>95</v>
      </c>
      <c r="E7067" t="s">
        <v>96</v>
      </c>
      <c r="F7067" t="s">
        <v>97</v>
      </c>
      <c r="G7067" t="s">
        <v>173</v>
      </c>
      <c r="H7067" t="s">
        <v>173</v>
      </c>
      <c r="I7067" t="s">
        <v>35</v>
      </c>
      <c r="J7067" t="s">
        <v>36</v>
      </c>
      <c r="K7067" t="s">
        <v>47</v>
      </c>
      <c r="L7067" t="s">
        <v>48</v>
      </c>
      <c r="M7067" t="s">
        <v>172</v>
      </c>
      <c r="N7067">
        <v>1486</v>
      </c>
      <c r="O7067" s="14">
        <v>0.57608127733692505</v>
      </c>
      <c r="P7067" s="14">
        <v>0.60125171788968101</v>
      </c>
      <c r="Q7067" t="str">
        <f t="shared" si="220"/>
        <v>10-14</v>
      </c>
      <c r="R7067" t="str">
        <f t="shared" si="221"/>
        <v>[gwVYinjBAe9]|10-14|Male|PLHIV_Attend.T2|CY2025Q3</v>
      </c>
    </row>
    <row r="7068" spans="4:18" x14ac:dyDescent="0.2">
      <c r="D7068" t="s">
        <v>95</v>
      </c>
      <c r="E7068" t="s">
        <v>96</v>
      </c>
      <c r="F7068" t="s">
        <v>97</v>
      </c>
      <c r="G7068" t="s">
        <v>173</v>
      </c>
      <c r="H7068" t="s">
        <v>173</v>
      </c>
      <c r="I7068" t="s">
        <v>37</v>
      </c>
      <c r="J7068" t="s">
        <v>38</v>
      </c>
      <c r="K7068" t="s">
        <v>47</v>
      </c>
      <c r="L7068" t="s">
        <v>48</v>
      </c>
      <c r="M7068" t="s">
        <v>172</v>
      </c>
      <c r="N7068">
        <v>1491</v>
      </c>
      <c r="O7068" s="14">
        <v>2.62391797732562E-2</v>
      </c>
      <c r="P7068" s="14">
        <v>0.60125171788968101</v>
      </c>
      <c r="Q7068" t="str">
        <f t="shared" si="220"/>
        <v>15-24</v>
      </c>
      <c r="R7068" t="str">
        <f t="shared" si="221"/>
        <v>[gwVYinjBAe9]|15-24|Male|PLHIV_Attend.T2|CY2025Q3</v>
      </c>
    </row>
    <row r="7069" spans="4:18" x14ac:dyDescent="0.2">
      <c r="D7069" t="s">
        <v>95</v>
      </c>
      <c r="E7069" t="s">
        <v>96</v>
      </c>
      <c r="F7069" t="s">
        <v>97</v>
      </c>
      <c r="G7069" t="s">
        <v>173</v>
      </c>
      <c r="H7069" t="s">
        <v>173</v>
      </c>
      <c r="I7069" t="s">
        <v>40</v>
      </c>
      <c r="J7069" t="s">
        <v>41</v>
      </c>
      <c r="K7069" t="s">
        <v>47</v>
      </c>
      <c r="L7069" t="s">
        <v>48</v>
      </c>
      <c r="M7069" t="s">
        <v>172</v>
      </c>
      <c r="N7069">
        <v>1411</v>
      </c>
      <c r="O7069" s="14">
        <v>0.64144120970740903</v>
      </c>
      <c r="P7069" s="14">
        <v>0.60125171788968101</v>
      </c>
      <c r="Q7069" t="str">
        <f t="shared" si="220"/>
        <v>25-34</v>
      </c>
      <c r="R7069" t="str">
        <f t="shared" si="221"/>
        <v>[gwVYinjBAe9]|25-34|Male|PLHIV_Attend.T2|CY2025Q3</v>
      </c>
    </row>
    <row r="7070" spans="4:18" x14ac:dyDescent="0.2">
      <c r="D7070" t="s">
        <v>95</v>
      </c>
      <c r="E7070" t="s">
        <v>96</v>
      </c>
      <c r="F7070" t="s">
        <v>97</v>
      </c>
      <c r="G7070" t="s">
        <v>173</v>
      </c>
      <c r="H7070" t="s">
        <v>173</v>
      </c>
      <c r="I7070" t="s">
        <v>42</v>
      </c>
      <c r="J7070" t="s">
        <v>43</v>
      </c>
      <c r="K7070" t="s">
        <v>47</v>
      </c>
      <c r="L7070" t="s">
        <v>48</v>
      </c>
      <c r="M7070" t="s">
        <v>172</v>
      </c>
      <c r="N7070">
        <v>563</v>
      </c>
      <c r="O7070" s="14">
        <v>0.61312031210400197</v>
      </c>
      <c r="P7070" s="14">
        <v>0.60125171788968101</v>
      </c>
      <c r="Q7070" t="str">
        <f t="shared" si="220"/>
        <v>35-49</v>
      </c>
      <c r="R7070" t="str">
        <f t="shared" si="221"/>
        <v>[gwVYinjBAe9]|35-49|Male|PLHIV_Attend.T2|CY2025Q3</v>
      </c>
    </row>
    <row r="7071" spans="4:18" x14ac:dyDescent="0.2">
      <c r="D7071" t="s">
        <v>95</v>
      </c>
      <c r="E7071" t="s">
        <v>96</v>
      </c>
      <c r="F7071" t="s">
        <v>97</v>
      </c>
      <c r="G7071" t="s">
        <v>173</v>
      </c>
      <c r="H7071" t="s">
        <v>173</v>
      </c>
      <c r="I7071" t="s">
        <v>44</v>
      </c>
      <c r="J7071" t="s">
        <v>45</v>
      </c>
      <c r="K7071" t="s">
        <v>47</v>
      </c>
      <c r="L7071" t="s">
        <v>48</v>
      </c>
      <c r="M7071" t="s">
        <v>172</v>
      </c>
      <c r="N7071">
        <v>1839</v>
      </c>
      <c r="O7071" s="14">
        <v>0.88080140063539103</v>
      </c>
      <c r="P7071" s="14">
        <v>0.60125171788968101</v>
      </c>
      <c r="Q7071" t="str">
        <f t="shared" si="220"/>
        <v>50+</v>
      </c>
      <c r="R7071" t="str">
        <f t="shared" si="221"/>
        <v>[gwVYinjBAe9]|50+|Male|PLHIV_Attend.T2|CY2025Q3</v>
      </c>
    </row>
    <row r="7072" spans="4:18" x14ac:dyDescent="0.2">
      <c r="D7072" t="s">
        <v>98</v>
      </c>
      <c r="E7072" t="s">
        <v>99</v>
      </c>
      <c r="F7072" t="s">
        <v>100</v>
      </c>
      <c r="G7072" t="s">
        <v>173</v>
      </c>
      <c r="H7072" t="s">
        <v>173</v>
      </c>
      <c r="I7072" t="s">
        <v>27</v>
      </c>
      <c r="J7072" t="s">
        <v>28</v>
      </c>
      <c r="K7072" t="s">
        <v>29</v>
      </c>
      <c r="L7072" t="s">
        <v>30</v>
      </c>
      <c r="M7072" t="s">
        <v>172</v>
      </c>
      <c r="N7072">
        <v>1672</v>
      </c>
      <c r="O7072" s="14">
        <v>0.90611842949874699</v>
      </c>
      <c r="P7072" s="14">
        <v>0.57728803809732199</v>
      </c>
      <c r="Q7072" t="str">
        <f t="shared" si="220"/>
        <v>&lt;01</v>
      </c>
      <c r="R7072" t="str">
        <f t="shared" si="221"/>
        <v>[mxqa3CDFmIT]|&lt;01|Female|PLHIV_Attend.T2|CY2025Q3</v>
      </c>
    </row>
    <row r="7073" spans="4:18" x14ac:dyDescent="0.2">
      <c r="D7073" t="s">
        <v>98</v>
      </c>
      <c r="E7073" t="s">
        <v>99</v>
      </c>
      <c r="F7073" t="s">
        <v>100</v>
      </c>
      <c r="G7073" t="s">
        <v>173</v>
      </c>
      <c r="H7073" t="s">
        <v>173</v>
      </c>
      <c r="I7073" t="s">
        <v>32</v>
      </c>
      <c r="J7073" t="s">
        <v>33</v>
      </c>
      <c r="K7073" t="s">
        <v>29</v>
      </c>
      <c r="L7073" t="s">
        <v>30</v>
      </c>
      <c r="M7073" t="s">
        <v>172</v>
      </c>
      <c r="N7073">
        <v>1274</v>
      </c>
      <c r="O7073" s="14">
        <v>0.16841306281276</v>
      </c>
      <c r="P7073" s="14">
        <v>0.57728803809732199</v>
      </c>
      <c r="Q7073" t="str">
        <f t="shared" si="220"/>
        <v>01-09</v>
      </c>
      <c r="R7073" t="str">
        <f t="shared" si="221"/>
        <v>[mxqa3CDFmIT]|01-09|Female|PLHIV_Attend.T2|CY2025Q3</v>
      </c>
    </row>
    <row r="7074" spans="4:18" x14ac:dyDescent="0.2">
      <c r="D7074" t="s">
        <v>98</v>
      </c>
      <c r="E7074" t="s">
        <v>99</v>
      </c>
      <c r="F7074" t="s">
        <v>100</v>
      </c>
      <c r="G7074" t="s">
        <v>173</v>
      </c>
      <c r="H7074" t="s">
        <v>173</v>
      </c>
      <c r="I7074" t="s">
        <v>35</v>
      </c>
      <c r="J7074" t="s">
        <v>36</v>
      </c>
      <c r="K7074" t="s">
        <v>29</v>
      </c>
      <c r="L7074" t="s">
        <v>30</v>
      </c>
      <c r="M7074" t="s">
        <v>172</v>
      </c>
      <c r="N7074">
        <v>1701</v>
      </c>
      <c r="O7074" s="14">
        <v>0.51923922775313303</v>
      </c>
      <c r="P7074" s="14">
        <v>0.57728803809732199</v>
      </c>
      <c r="Q7074" t="str">
        <f t="shared" si="220"/>
        <v>10-14</v>
      </c>
      <c r="R7074" t="str">
        <f t="shared" si="221"/>
        <v>[mxqa3CDFmIT]|10-14|Female|PLHIV_Attend.T2|CY2025Q3</v>
      </c>
    </row>
    <row r="7075" spans="4:18" x14ac:dyDescent="0.2">
      <c r="D7075" t="s">
        <v>98</v>
      </c>
      <c r="E7075" t="s">
        <v>99</v>
      </c>
      <c r="F7075" t="s">
        <v>100</v>
      </c>
      <c r="G7075" t="s">
        <v>173</v>
      </c>
      <c r="H7075" t="s">
        <v>173</v>
      </c>
      <c r="I7075" t="s">
        <v>37</v>
      </c>
      <c r="J7075" t="s">
        <v>38</v>
      </c>
      <c r="K7075" t="s">
        <v>29</v>
      </c>
      <c r="L7075" t="s">
        <v>30</v>
      </c>
      <c r="M7075" t="s">
        <v>172</v>
      </c>
      <c r="N7075">
        <v>841</v>
      </c>
      <c r="O7075" s="14">
        <v>0.68351652030833099</v>
      </c>
      <c r="P7075" s="14">
        <v>0.57728803809732199</v>
      </c>
      <c r="Q7075" t="str">
        <f t="shared" si="220"/>
        <v>15-24</v>
      </c>
      <c r="R7075" t="str">
        <f t="shared" si="221"/>
        <v>[mxqa3CDFmIT]|15-24|Female|PLHIV_Attend.T2|CY2025Q3</v>
      </c>
    </row>
    <row r="7076" spans="4:18" x14ac:dyDescent="0.2">
      <c r="D7076" t="s">
        <v>98</v>
      </c>
      <c r="E7076" t="s">
        <v>99</v>
      </c>
      <c r="F7076" t="s">
        <v>100</v>
      </c>
      <c r="G7076" t="s">
        <v>173</v>
      </c>
      <c r="H7076" t="s">
        <v>173</v>
      </c>
      <c r="I7076" t="s">
        <v>40</v>
      </c>
      <c r="J7076" t="s">
        <v>41</v>
      </c>
      <c r="K7076" t="s">
        <v>29</v>
      </c>
      <c r="L7076" t="s">
        <v>30</v>
      </c>
      <c r="M7076" t="s">
        <v>172</v>
      </c>
      <c r="N7076">
        <v>1931</v>
      </c>
      <c r="O7076" s="14">
        <v>0.61971497372724105</v>
      </c>
      <c r="P7076" s="14">
        <v>0.57728803809732199</v>
      </c>
      <c r="Q7076" t="str">
        <f t="shared" si="220"/>
        <v>25-34</v>
      </c>
      <c r="R7076" t="str">
        <f t="shared" si="221"/>
        <v>[mxqa3CDFmIT]|25-34|Female|PLHIV_Attend.T2|CY2025Q3</v>
      </c>
    </row>
    <row r="7077" spans="4:18" x14ac:dyDescent="0.2">
      <c r="D7077" t="s">
        <v>98</v>
      </c>
      <c r="E7077" t="s">
        <v>99</v>
      </c>
      <c r="F7077" t="s">
        <v>100</v>
      </c>
      <c r="G7077" t="s">
        <v>173</v>
      </c>
      <c r="H7077" t="s">
        <v>173</v>
      </c>
      <c r="I7077" t="s">
        <v>42</v>
      </c>
      <c r="J7077" t="s">
        <v>43</v>
      </c>
      <c r="K7077" t="s">
        <v>29</v>
      </c>
      <c r="L7077" t="s">
        <v>30</v>
      </c>
      <c r="M7077" t="s">
        <v>172</v>
      </c>
      <c r="N7077">
        <v>549</v>
      </c>
      <c r="O7077" s="14">
        <v>0.96321564866229903</v>
      </c>
      <c r="P7077" s="14">
        <v>0.57728803809732199</v>
      </c>
      <c r="Q7077" t="str">
        <f t="shared" si="220"/>
        <v>35-49</v>
      </c>
      <c r="R7077" t="str">
        <f t="shared" si="221"/>
        <v>[mxqa3CDFmIT]|35-49|Female|PLHIV_Attend.T2|CY2025Q3</v>
      </c>
    </row>
    <row r="7078" spans="4:18" x14ac:dyDescent="0.2">
      <c r="D7078" t="s">
        <v>98</v>
      </c>
      <c r="E7078" t="s">
        <v>99</v>
      </c>
      <c r="F7078" t="s">
        <v>100</v>
      </c>
      <c r="G7078" t="s">
        <v>173</v>
      </c>
      <c r="H7078" t="s">
        <v>173</v>
      </c>
      <c r="I7078" t="s">
        <v>44</v>
      </c>
      <c r="J7078" t="s">
        <v>45</v>
      </c>
      <c r="K7078" t="s">
        <v>29</v>
      </c>
      <c r="L7078" t="s">
        <v>30</v>
      </c>
      <c r="M7078" t="s">
        <v>172</v>
      </c>
      <c r="N7078">
        <v>806</v>
      </c>
      <c r="O7078" s="14">
        <v>0.46315073990263</v>
      </c>
      <c r="P7078" s="14">
        <v>0.57728803809732199</v>
      </c>
      <c r="Q7078" t="str">
        <f t="shared" si="220"/>
        <v>50+</v>
      </c>
      <c r="R7078" t="str">
        <f t="shared" si="221"/>
        <v>[mxqa3CDFmIT]|50+|Female|PLHIV_Attend.T2|CY2025Q3</v>
      </c>
    </row>
    <row r="7079" spans="4:18" x14ac:dyDescent="0.2">
      <c r="D7079" t="s">
        <v>98</v>
      </c>
      <c r="E7079" t="s">
        <v>99</v>
      </c>
      <c r="F7079" t="s">
        <v>100</v>
      </c>
      <c r="G7079" t="s">
        <v>173</v>
      </c>
      <c r="H7079" t="s">
        <v>173</v>
      </c>
      <c r="I7079" t="s">
        <v>27</v>
      </c>
      <c r="J7079" t="s">
        <v>28</v>
      </c>
      <c r="K7079" t="s">
        <v>47</v>
      </c>
      <c r="L7079" t="s">
        <v>48</v>
      </c>
      <c r="M7079" t="s">
        <v>172</v>
      </c>
      <c r="N7079">
        <v>1598</v>
      </c>
      <c r="O7079" s="14">
        <v>0.70868512219749402</v>
      </c>
      <c r="P7079" s="14">
        <v>0.57728803809732199</v>
      </c>
      <c r="Q7079" t="str">
        <f t="shared" si="220"/>
        <v>&lt;01</v>
      </c>
      <c r="R7079" t="str">
        <f t="shared" si="221"/>
        <v>[mxqa3CDFmIT]|&lt;01|Male|PLHIV_Attend.T2|CY2025Q3</v>
      </c>
    </row>
    <row r="7080" spans="4:18" x14ac:dyDescent="0.2">
      <c r="D7080" t="s">
        <v>98</v>
      </c>
      <c r="E7080" t="s">
        <v>99</v>
      </c>
      <c r="F7080" t="s">
        <v>100</v>
      </c>
      <c r="G7080" t="s">
        <v>173</v>
      </c>
      <c r="H7080" t="s">
        <v>173</v>
      </c>
      <c r="I7080" t="s">
        <v>32</v>
      </c>
      <c r="J7080" t="s">
        <v>33</v>
      </c>
      <c r="K7080" t="s">
        <v>47</v>
      </c>
      <c r="L7080" t="s">
        <v>48</v>
      </c>
      <c r="M7080" t="s">
        <v>172</v>
      </c>
      <c r="N7080">
        <v>539</v>
      </c>
      <c r="O7080" s="14">
        <v>0.968999337637797</v>
      </c>
      <c r="P7080" s="14">
        <v>0.57728803809732199</v>
      </c>
      <c r="Q7080" t="str">
        <f t="shared" si="220"/>
        <v>01-09</v>
      </c>
      <c r="R7080" t="str">
        <f t="shared" si="221"/>
        <v>[mxqa3CDFmIT]|01-09|Male|PLHIV_Attend.T2|CY2025Q3</v>
      </c>
    </row>
    <row r="7081" spans="4:18" x14ac:dyDescent="0.2">
      <c r="D7081" t="s">
        <v>98</v>
      </c>
      <c r="E7081" t="s">
        <v>99</v>
      </c>
      <c r="F7081" t="s">
        <v>100</v>
      </c>
      <c r="G7081" t="s">
        <v>173</v>
      </c>
      <c r="H7081" t="s">
        <v>173</v>
      </c>
      <c r="I7081" t="s">
        <v>35</v>
      </c>
      <c r="J7081" t="s">
        <v>36</v>
      </c>
      <c r="K7081" t="s">
        <v>47</v>
      </c>
      <c r="L7081" t="s">
        <v>48</v>
      </c>
      <c r="M7081" t="s">
        <v>172</v>
      </c>
      <c r="N7081">
        <v>801</v>
      </c>
      <c r="O7081" s="14">
        <v>0.19780419371090799</v>
      </c>
      <c r="P7081" s="14">
        <v>0.57728803809732199</v>
      </c>
      <c r="Q7081" t="str">
        <f t="shared" si="220"/>
        <v>10-14</v>
      </c>
      <c r="R7081" t="str">
        <f t="shared" si="221"/>
        <v>[mxqa3CDFmIT]|10-14|Male|PLHIV_Attend.T2|CY2025Q3</v>
      </c>
    </row>
    <row r="7082" spans="4:18" x14ac:dyDescent="0.2">
      <c r="D7082" t="s">
        <v>98</v>
      </c>
      <c r="E7082" t="s">
        <v>99</v>
      </c>
      <c r="F7082" t="s">
        <v>100</v>
      </c>
      <c r="G7082" t="s">
        <v>173</v>
      </c>
      <c r="H7082" t="s">
        <v>173</v>
      </c>
      <c r="I7082" t="s">
        <v>37</v>
      </c>
      <c r="J7082" t="s">
        <v>38</v>
      </c>
      <c r="K7082" t="s">
        <v>47</v>
      </c>
      <c r="L7082" t="s">
        <v>48</v>
      </c>
      <c r="M7082" t="s">
        <v>172</v>
      </c>
      <c r="N7082">
        <v>1209</v>
      </c>
      <c r="O7082" s="14">
        <v>0.61893428675830398</v>
      </c>
      <c r="P7082" s="14">
        <v>0.57728803809732199</v>
      </c>
      <c r="Q7082" t="str">
        <f t="shared" si="220"/>
        <v>15-24</v>
      </c>
      <c r="R7082" t="str">
        <f t="shared" si="221"/>
        <v>[mxqa3CDFmIT]|15-24|Male|PLHIV_Attend.T2|CY2025Q3</v>
      </c>
    </row>
    <row r="7083" spans="4:18" x14ac:dyDescent="0.2">
      <c r="D7083" t="s">
        <v>98</v>
      </c>
      <c r="E7083" t="s">
        <v>99</v>
      </c>
      <c r="F7083" t="s">
        <v>100</v>
      </c>
      <c r="G7083" t="s">
        <v>173</v>
      </c>
      <c r="H7083" t="s">
        <v>173</v>
      </c>
      <c r="I7083" t="s">
        <v>40</v>
      </c>
      <c r="J7083" t="s">
        <v>41</v>
      </c>
      <c r="K7083" t="s">
        <v>47</v>
      </c>
      <c r="L7083" t="s">
        <v>48</v>
      </c>
      <c r="M7083" t="s">
        <v>172</v>
      </c>
      <c r="N7083">
        <v>1438</v>
      </c>
      <c r="O7083" s="14">
        <v>0.49847106612287501</v>
      </c>
      <c r="P7083" s="14">
        <v>0.57728803809732199</v>
      </c>
      <c r="Q7083" t="str">
        <f t="shared" si="220"/>
        <v>25-34</v>
      </c>
      <c r="R7083" t="str">
        <f t="shared" si="221"/>
        <v>[mxqa3CDFmIT]|25-34|Male|PLHIV_Attend.T2|CY2025Q3</v>
      </c>
    </row>
    <row r="7084" spans="4:18" x14ac:dyDescent="0.2">
      <c r="D7084" t="s">
        <v>98</v>
      </c>
      <c r="E7084" t="s">
        <v>99</v>
      </c>
      <c r="F7084" t="s">
        <v>100</v>
      </c>
      <c r="G7084" t="s">
        <v>173</v>
      </c>
      <c r="H7084" t="s">
        <v>173</v>
      </c>
      <c r="I7084" t="s">
        <v>42</v>
      </c>
      <c r="J7084" t="s">
        <v>43</v>
      </c>
      <c r="K7084" t="s">
        <v>47</v>
      </c>
      <c r="L7084" t="s">
        <v>48</v>
      </c>
      <c r="M7084" t="s">
        <v>172</v>
      </c>
      <c r="N7084">
        <v>1557</v>
      </c>
      <c r="O7084" s="14">
        <v>0.98173279152251802</v>
      </c>
      <c r="P7084" s="14">
        <v>0.57728803809732199</v>
      </c>
      <c r="Q7084" t="str">
        <f t="shared" si="220"/>
        <v>35-49</v>
      </c>
      <c r="R7084" t="str">
        <f t="shared" si="221"/>
        <v>[mxqa3CDFmIT]|35-49|Male|PLHIV_Attend.T2|CY2025Q3</v>
      </c>
    </row>
    <row r="7085" spans="4:18" x14ac:dyDescent="0.2">
      <c r="D7085" t="s">
        <v>98</v>
      </c>
      <c r="E7085" t="s">
        <v>99</v>
      </c>
      <c r="F7085" t="s">
        <v>100</v>
      </c>
      <c r="G7085" t="s">
        <v>173</v>
      </c>
      <c r="H7085" t="s">
        <v>173</v>
      </c>
      <c r="I7085" t="s">
        <v>44</v>
      </c>
      <c r="J7085" t="s">
        <v>45</v>
      </c>
      <c r="K7085" t="s">
        <v>47</v>
      </c>
      <c r="L7085" t="s">
        <v>48</v>
      </c>
      <c r="M7085" t="s">
        <v>172</v>
      </c>
      <c r="N7085">
        <v>1030</v>
      </c>
      <c r="O7085" s="14">
        <v>0.99534477479755901</v>
      </c>
      <c r="P7085" s="14">
        <v>0.57728803809732199</v>
      </c>
      <c r="Q7085" t="str">
        <f t="shared" si="220"/>
        <v>50+</v>
      </c>
      <c r="R7085" t="str">
        <f t="shared" si="221"/>
        <v>[mxqa3CDFmIT]|50+|Male|PLHIV_Attend.T2|CY2025Q3</v>
      </c>
    </row>
    <row r="7086" spans="4:18" x14ac:dyDescent="0.2">
      <c r="D7086" t="s">
        <v>101</v>
      </c>
      <c r="E7086" t="s">
        <v>102</v>
      </c>
      <c r="F7086" t="s">
        <v>103</v>
      </c>
      <c r="G7086" t="s">
        <v>173</v>
      </c>
      <c r="H7086" t="s">
        <v>173</v>
      </c>
      <c r="I7086" t="s">
        <v>27</v>
      </c>
      <c r="J7086" t="s">
        <v>28</v>
      </c>
      <c r="K7086" t="s">
        <v>29</v>
      </c>
      <c r="L7086" t="s">
        <v>30</v>
      </c>
      <c r="M7086" t="s">
        <v>172</v>
      </c>
      <c r="N7086">
        <v>597</v>
      </c>
      <c r="O7086" s="14">
        <v>0.447616772726178</v>
      </c>
      <c r="P7086" s="14">
        <v>0.52621235931292198</v>
      </c>
      <c r="Q7086" t="str">
        <f t="shared" si="220"/>
        <v>&lt;01</v>
      </c>
      <c r="R7086" t="str">
        <f t="shared" si="221"/>
        <v>[wNqJp8oRIcF]|&lt;01|Female|PLHIV_Attend.T2|CY2025Q3</v>
      </c>
    </row>
    <row r="7087" spans="4:18" x14ac:dyDescent="0.2">
      <c r="D7087" t="s">
        <v>101</v>
      </c>
      <c r="E7087" t="s">
        <v>102</v>
      </c>
      <c r="F7087" t="s">
        <v>103</v>
      </c>
      <c r="G7087" t="s">
        <v>173</v>
      </c>
      <c r="H7087" t="s">
        <v>173</v>
      </c>
      <c r="I7087" t="s">
        <v>32</v>
      </c>
      <c r="J7087" t="s">
        <v>33</v>
      </c>
      <c r="K7087" t="s">
        <v>29</v>
      </c>
      <c r="L7087" t="s">
        <v>30</v>
      </c>
      <c r="M7087" t="s">
        <v>172</v>
      </c>
      <c r="N7087">
        <v>1847</v>
      </c>
      <c r="O7087" s="14">
        <v>0.29390356270596402</v>
      </c>
      <c r="P7087" s="14">
        <v>0.52621235931292198</v>
      </c>
      <c r="Q7087" t="str">
        <f t="shared" si="220"/>
        <v>01-09</v>
      </c>
      <c r="R7087" t="str">
        <f t="shared" si="221"/>
        <v>[wNqJp8oRIcF]|01-09|Female|PLHIV_Attend.T2|CY2025Q3</v>
      </c>
    </row>
    <row r="7088" spans="4:18" x14ac:dyDescent="0.2">
      <c r="D7088" t="s">
        <v>101</v>
      </c>
      <c r="E7088" t="s">
        <v>102</v>
      </c>
      <c r="F7088" t="s">
        <v>103</v>
      </c>
      <c r="G7088" t="s">
        <v>173</v>
      </c>
      <c r="H7088" t="s">
        <v>173</v>
      </c>
      <c r="I7088" t="s">
        <v>35</v>
      </c>
      <c r="J7088" t="s">
        <v>36</v>
      </c>
      <c r="K7088" t="s">
        <v>29</v>
      </c>
      <c r="L7088" t="s">
        <v>30</v>
      </c>
      <c r="M7088" t="s">
        <v>172</v>
      </c>
      <c r="N7088">
        <v>1699</v>
      </c>
      <c r="O7088" s="14">
        <v>0.32768509932793699</v>
      </c>
      <c r="P7088" s="14">
        <v>0.52621235931292198</v>
      </c>
      <c r="Q7088" t="str">
        <f t="shared" si="220"/>
        <v>10-14</v>
      </c>
      <c r="R7088" t="str">
        <f t="shared" si="221"/>
        <v>[wNqJp8oRIcF]|10-14|Female|PLHIV_Attend.T2|CY2025Q3</v>
      </c>
    </row>
    <row r="7089" spans="4:18" x14ac:dyDescent="0.2">
      <c r="D7089" t="s">
        <v>101</v>
      </c>
      <c r="E7089" t="s">
        <v>102</v>
      </c>
      <c r="F7089" t="s">
        <v>103</v>
      </c>
      <c r="G7089" t="s">
        <v>173</v>
      </c>
      <c r="H7089" t="s">
        <v>173</v>
      </c>
      <c r="I7089" t="s">
        <v>37</v>
      </c>
      <c r="J7089" t="s">
        <v>38</v>
      </c>
      <c r="K7089" t="s">
        <v>29</v>
      </c>
      <c r="L7089" t="s">
        <v>30</v>
      </c>
      <c r="M7089" t="s">
        <v>172</v>
      </c>
      <c r="N7089">
        <v>1104</v>
      </c>
      <c r="O7089" s="14">
        <v>0.94856167770922195</v>
      </c>
      <c r="P7089" s="14">
        <v>0.52621235931292198</v>
      </c>
      <c r="Q7089" t="str">
        <f t="shared" si="220"/>
        <v>15-24</v>
      </c>
      <c r="R7089" t="str">
        <f t="shared" si="221"/>
        <v>[wNqJp8oRIcF]|15-24|Female|PLHIV_Attend.T2|CY2025Q3</v>
      </c>
    </row>
    <row r="7090" spans="4:18" x14ac:dyDescent="0.2">
      <c r="D7090" t="s">
        <v>101</v>
      </c>
      <c r="E7090" t="s">
        <v>102</v>
      </c>
      <c r="F7090" t="s">
        <v>103</v>
      </c>
      <c r="G7090" t="s">
        <v>173</v>
      </c>
      <c r="H7090" t="s">
        <v>173</v>
      </c>
      <c r="I7090" t="s">
        <v>40</v>
      </c>
      <c r="J7090" t="s">
        <v>41</v>
      </c>
      <c r="K7090" t="s">
        <v>29</v>
      </c>
      <c r="L7090" t="s">
        <v>30</v>
      </c>
      <c r="M7090" t="s">
        <v>172</v>
      </c>
      <c r="N7090">
        <v>709</v>
      </c>
      <c r="O7090" s="14">
        <v>0.55482886638492301</v>
      </c>
      <c r="P7090" s="14">
        <v>0.52621235931292198</v>
      </c>
      <c r="Q7090" t="str">
        <f t="shared" si="220"/>
        <v>25-34</v>
      </c>
      <c r="R7090" t="str">
        <f t="shared" si="221"/>
        <v>[wNqJp8oRIcF]|25-34|Female|PLHIV_Attend.T2|CY2025Q3</v>
      </c>
    </row>
    <row r="7091" spans="4:18" x14ac:dyDescent="0.2">
      <c r="D7091" t="s">
        <v>101</v>
      </c>
      <c r="E7091" t="s">
        <v>102</v>
      </c>
      <c r="F7091" t="s">
        <v>103</v>
      </c>
      <c r="G7091" t="s">
        <v>173</v>
      </c>
      <c r="H7091" t="s">
        <v>173</v>
      </c>
      <c r="I7091" t="s">
        <v>42</v>
      </c>
      <c r="J7091" t="s">
        <v>43</v>
      </c>
      <c r="K7091" t="s">
        <v>29</v>
      </c>
      <c r="L7091" t="s">
        <v>30</v>
      </c>
      <c r="M7091" t="s">
        <v>172</v>
      </c>
      <c r="N7091">
        <v>881</v>
      </c>
      <c r="O7091" s="14">
        <v>0.52209344180300798</v>
      </c>
      <c r="P7091" s="14">
        <v>0.52621235931292198</v>
      </c>
      <c r="Q7091" t="str">
        <f t="shared" si="220"/>
        <v>35-49</v>
      </c>
      <c r="R7091" t="str">
        <f t="shared" si="221"/>
        <v>[wNqJp8oRIcF]|35-49|Female|PLHIV_Attend.T2|CY2025Q3</v>
      </c>
    </row>
    <row r="7092" spans="4:18" x14ac:dyDescent="0.2">
      <c r="D7092" t="s">
        <v>101</v>
      </c>
      <c r="E7092" t="s">
        <v>102</v>
      </c>
      <c r="F7092" t="s">
        <v>103</v>
      </c>
      <c r="G7092" t="s">
        <v>173</v>
      </c>
      <c r="H7092" t="s">
        <v>173</v>
      </c>
      <c r="I7092" t="s">
        <v>44</v>
      </c>
      <c r="J7092" t="s">
        <v>45</v>
      </c>
      <c r="K7092" t="s">
        <v>29</v>
      </c>
      <c r="L7092" t="s">
        <v>30</v>
      </c>
      <c r="M7092" t="s">
        <v>172</v>
      </c>
      <c r="N7092">
        <v>1410</v>
      </c>
      <c r="O7092" s="14">
        <v>0.83548514335416302</v>
      </c>
      <c r="P7092" s="14">
        <v>0.52621235931292198</v>
      </c>
      <c r="Q7092" t="str">
        <f t="shared" si="220"/>
        <v>50+</v>
      </c>
      <c r="R7092" t="str">
        <f t="shared" si="221"/>
        <v>[wNqJp8oRIcF]|50+|Female|PLHIV_Attend.T2|CY2025Q3</v>
      </c>
    </row>
    <row r="7093" spans="4:18" x14ac:dyDescent="0.2">
      <c r="D7093" t="s">
        <v>101</v>
      </c>
      <c r="E7093" t="s">
        <v>102</v>
      </c>
      <c r="F7093" t="s">
        <v>103</v>
      </c>
      <c r="G7093" t="s">
        <v>173</v>
      </c>
      <c r="H7093" t="s">
        <v>173</v>
      </c>
      <c r="I7093" t="s">
        <v>27</v>
      </c>
      <c r="J7093" t="s">
        <v>28</v>
      </c>
      <c r="K7093" t="s">
        <v>47</v>
      </c>
      <c r="L7093" t="s">
        <v>48</v>
      </c>
      <c r="M7093" t="s">
        <v>172</v>
      </c>
      <c r="N7093">
        <v>1751</v>
      </c>
      <c r="O7093" s="14">
        <v>0.70964217046275702</v>
      </c>
      <c r="P7093" s="14">
        <v>0.52621235931292198</v>
      </c>
      <c r="Q7093" t="str">
        <f t="shared" si="220"/>
        <v>&lt;01</v>
      </c>
      <c r="R7093" t="str">
        <f t="shared" si="221"/>
        <v>[wNqJp8oRIcF]|&lt;01|Male|PLHIV_Attend.T2|CY2025Q3</v>
      </c>
    </row>
    <row r="7094" spans="4:18" x14ac:dyDescent="0.2">
      <c r="D7094" t="s">
        <v>101</v>
      </c>
      <c r="E7094" t="s">
        <v>102</v>
      </c>
      <c r="F7094" t="s">
        <v>103</v>
      </c>
      <c r="G7094" t="s">
        <v>173</v>
      </c>
      <c r="H7094" t="s">
        <v>173</v>
      </c>
      <c r="I7094" t="s">
        <v>32</v>
      </c>
      <c r="J7094" t="s">
        <v>33</v>
      </c>
      <c r="K7094" t="s">
        <v>47</v>
      </c>
      <c r="L7094" t="s">
        <v>48</v>
      </c>
      <c r="M7094" t="s">
        <v>172</v>
      </c>
      <c r="N7094">
        <v>1780</v>
      </c>
      <c r="O7094" s="14">
        <v>0.22918244381435199</v>
      </c>
      <c r="P7094" s="14">
        <v>0.52621235931292198</v>
      </c>
      <c r="Q7094" t="str">
        <f t="shared" si="220"/>
        <v>01-09</v>
      </c>
      <c r="R7094" t="str">
        <f t="shared" si="221"/>
        <v>[wNqJp8oRIcF]|01-09|Male|PLHIV_Attend.T2|CY2025Q3</v>
      </c>
    </row>
    <row r="7095" spans="4:18" x14ac:dyDescent="0.2">
      <c r="D7095" t="s">
        <v>101</v>
      </c>
      <c r="E7095" t="s">
        <v>102</v>
      </c>
      <c r="F7095" t="s">
        <v>103</v>
      </c>
      <c r="G7095" t="s">
        <v>173</v>
      </c>
      <c r="H7095" t="s">
        <v>173</v>
      </c>
      <c r="I7095" t="s">
        <v>35</v>
      </c>
      <c r="J7095" t="s">
        <v>36</v>
      </c>
      <c r="K7095" t="s">
        <v>47</v>
      </c>
      <c r="L7095" t="s">
        <v>48</v>
      </c>
      <c r="M7095" t="s">
        <v>172</v>
      </c>
      <c r="N7095">
        <v>1577</v>
      </c>
      <c r="O7095" s="14">
        <v>0.36911002360284301</v>
      </c>
      <c r="P7095" s="14">
        <v>0.52621235931292198</v>
      </c>
      <c r="Q7095" t="str">
        <f t="shared" si="220"/>
        <v>10-14</v>
      </c>
      <c r="R7095" t="str">
        <f t="shared" si="221"/>
        <v>[wNqJp8oRIcF]|10-14|Male|PLHIV_Attend.T2|CY2025Q3</v>
      </c>
    </row>
    <row r="7096" spans="4:18" x14ac:dyDescent="0.2">
      <c r="D7096" t="s">
        <v>101</v>
      </c>
      <c r="E7096" t="s">
        <v>102</v>
      </c>
      <c r="F7096" t="s">
        <v>103</v>
      </c>
      <c r="G7096" t="s">
        <v>173</v>
      </c>
      <c r="H7096" t="s">
        <v>173</v>
      </c>
      <c r="I7096" t="s">
        <v>37</v>
      </c>
      <c r="J7096" t="s">
        <v>38</v>
      </c>
      <c r="K7096" t="s">
        <v>47</v>
      </c>
      <c r="L7096" t="s">
        <v>48</v>
      </c>
      <c r="M7096" t="s">
        <v>172</v>
      </c>
      <c r="N7096">
        <v>629</v>
      </c>
      <c r="O7096" s="14">
        <v>3.7399460561573501E-3</v>
      </c>
      <c r="P7096" s="14">
        <v>0.52621235931292198</v>
      </c>
      <c r="Q7096" t="str">
        <f t="shared" si="220"/>
        <v>15-24</v>
      </c>
      <c r="R7096" t="str">
        <f t="shared" si="221"/>
        <v>[wNqJp8oRIcF]|15-24|Male|PLHIV_Attend.T2|CY2025Q3</v>
      </c>
    </row>
    <row r="7097" spans="4:18" x14ac:dyDescent="0.2">
      <c r="D7097" t="s">
        <v>101</v>
      </c>
      <c r="E7097" t="s">
        <v>102</v>
      </c>
      <c r="F7097" t="s">
        <v>103</v>
      </c>
      <c r="G7097" t="s">
        <v>173</v>
      </c>
      <c r="H7097" t="s">
        <v>173</v>
      </c>
      <c r="I7097" t="s">
        <v>40</v>
      </c>
      <c r="J7097" t="s">
        <v>41</v>
      </c>
      <c r="K7097" t="s">
        <v>47</v>
      </c>
      <c r="L7097" t="s">
        <v>48</v>
      </c>
      <c r="M7097" t="s">
        <v>172</v>
      </c>
      <c r="N7097">
        <v>1307</v>
      </c>
      <c r="O7097" s="14">
        <v>0.34041940723545799</v>
      </c>
      <c r="P7097" s="14">
        <v>0.52621235931292198</v>
      </c>
      <c r="Q7097" t="str">
        <f t="shared" si="220"/>
        <v>25-34</v>
      </c>
      <c r="R7097" t="str">
        <f t="shared" si="221"/>
        <v>[wNqJp8oRIcF]|25-34|Male|PLHIV_Attend.T2|CY2025Q3</v>
      </c>
    </row>
    <row r="7098" spans="4:18" x14ac:dyDescent="0.2">
      <c r="D7098" t="s">
        <v>101</v>
      </c>
      <c r="E7098" t="s">
        <v>102</v>
      </c>
      <c r="F7098" t="s">
        <v>103</v>
      </c>
      <c r="G7098" t="s">
        <v>173</v>
      </c>
      <c r="H7098" t="s">
        <v>173</v>
      </c>
      <c r="I7098" t="s">
        <v>42</v>
      </c>
      <c r="J7098" t="s">
        <v>43</v>
      </c>
      <c r="K7098" t="s">
        <v>47</v>
      </c>
      <c r="L7098" t="s">
        <v>48</v>
      </c>
      <c r="M7098" t="s">
        <v>172</v>
      </c>
      <c r="N7098">
        <v>1016</v>
      </c>
      <c r="O7098" s="14">
        <v>0.582199494121596</v>
      </c>
      <c r="P7098" s="14">
        <v>0.52621235931292198</v>
      </c>
      <c r="Q7098" t="str">
        <f t="shared" si="220"/>
        <v>35-49</v>
      </c>
      <c r="R7098" t="str">
        <f t="shared" si="221"/>
        <v>[wNqJp8oRIcF]|35-49|Male|PLHIV_Attend.T2|CY2025Q3</v>
      </c>
    </row>
    <row r="7099" spans="4:18" x14ac:dyDescent="0.2">
      <c r="D7099" t="s">
        <v>101</v>
      </c>
      <c r="E7099" t="s">
        <v>102</v>
      </c>
      <c r="F7099" t="s">
        <v>103</v>
      </c>
      <c r="G7099" t="s">
        <v>173</v>
      </c>
      <c r="H7099" t="s">
        <v>173</v>
      </c>
      <c r="I7099" t="s">
        <v>44</v>
      </c>
      <c r="J7099" t="s">
        <v>45</v>
      </c>
      <c r="K7099" t="s">
        <v>47</v>
      </c>
      <c r="L7099" t="s">
        <v>48</v>
      </c>
      <c r="M7099" t="s">
        <v>172</v>
      </c>
      <c r="N7099">
        <v>1116</v>
      </c>
      <c r="O7099" s="14">
        <v>0.78319538664072796</v>
      </c>
      <c r="P7099" s="14">
        <v>0.52621235931292198</v>
      </c>
      <c r="Q7099" t="str">
        <f t="shared" si="220"/>
        <v>50+</v>
      </c>
      <c r="R7099" t="str">
        <f t="shared" si="221"/>
        <v>[wNqJp8oRIcF]|50+|Male|PLHIV_Attend.T2|CY2025Q3</v>
      </c>
    </row>
    <row r="7100" spans="4:18" x14ac:dyDescent="0.2">
      <c r="D7100" t="s">
        <v>104</v>
      </c>
      <c r="E7100" t="s">
        <v>105</v>
      </c>
      <c r="F7100" t="s">
        <v>106</v>
      </c>
      <c r="G7100" t="s">
        <v>173</v>
      </c>
      <c r="H7100" t="s">
        <v>173</v>
      </c>
      <c r="I7100" t="s">
        <v>27</v>
      </c>
      <c r="J7100" t="s">
        <v>28</v>
      </c>
      <c r="K7100" t="s">
        <v>29</v>
      </c>
      <c r="L7100" t="s">
        <v>30</v>
      </c>
      <c r="M7100" t="s">
        <v>172</v>
      </c>
      <c r="N7100">
        <v>1972</v>
      </c>
      <c r="O7100" s="14">
        <v>0.79469402250833798</v>
      </c>
      <c r="P7100" s="14">
        <v>0.21824956033378801</v>
      </c>
      <c r="Q7100" t="str">
        <f t="shared" si="220"/>
        <v>&lt;01</v>
      </c>
      <c r="R7100" t="str">
        <f t="shared" si="221"/>
        <v>[oiPR2CiVJbf]|&lt;01|Female|PLHIV_Attend.T2|CY2025Q3</v>
      </c>
    </row>
    <row r="7101" spans="4:18" x14ac:dyDescent="0.2">
      <c r="D7101" t="s">
        <v>104</v>
      </c>
      <c r="E7101" t="s">
        <v>105</v>
      </c>
      <c r="F7101" t="s">
        <v>106</v>
      </c>
      <c r="G7101" t="s">
        <v>173</v>
      </c>
      <c r="H7101" t="s">
        <v>173</v>
      </c>
      <c r="I7101" t="s">
        <v>32</v>
      </c>
      <c r="J7101" t="s">
        <v>33</v>
      </c>
      <c r="K7101" t="s">
        <v>29</v>
      </c>
      <c r="L7101" t="s">
        <v>30</v>
      </c>
      <c r="M7101" t="s">
        <v>172</v>
      </c>
      <c r="N7101">
        <v>888</v>
      </c>
      <c r="O7101" s="14">
        <v>0.28354165889322802</v>
      </c>
      <c r="P7101" s="14">
        <v>0.21824956033378801</v>
      </c>
      <c r="Q7101" t="str">
        <f t="shared" si="220"/>
        <v>01-09</v>
      </c>
      <c r="R7101" t="str">
        <f t="shared" si="221"/>
        <v>[oiPR2CiVJbf]|01-09|Female|PLHIV_Attend.T2|CY2025Q3</v>
      </c>
    </row>
    <row r="7102" spans="4:18" x14ac:dyDescent="0.2">
      <c r="D7102" t="s">
        <v>104</v>
      </c>
      <c r="E7102" t="s">
        <v>105</v>
      </c>
      <c r="F7102" t="s">
        <v>106</v>
      </c>
      <c r="G7102" t="s">
        <v>173</v>
      </c>
      <c r="H7102" t="s">
        <v>173</v>
      </c>
      <c r="I7102" t="s">
        <v>35</v>
      </c>
      <c r="J7102" t="s">
        <v>36</v>
      </c>
      <c r="K7102" t="s">
        <v>29</v>
      </c>
      <c r="L7102" t="s">
        <v>30</v>
      </c>
      <c r="M7102" t="s">
        <v>172</v>
      </c>
      <c r="N7102">
        <v>764</v>
      </c>
      <c r="O7102" s="14">
        <v>0.54186920821666695</v>
      </c>
      <c r="P7102" s="14">
        <v>0.21824956033378801</v>
      </c>
      <c r="Q7102" t="str">
        <f t="shared" si="220"/>
        <v>10-14</v>
      </c>
      <c r="R7102" t="str">
        <f t="shared" si="221"/>
        <v>[oiPR2CiVJbf]|10-14|Female|PLHIV_Attend.T2|CY2025Q3</v>
      </c>
    </row>
    <row r="7103" spans="4:18" x14ac:dyDescent="0.2">
      <c r="D7103" t="s">
        <v>104</v>
      </c>
      <c r="E7103" t="s">
        <v>105</v>
      </c>
      <c r="F7103" t="s">
        <v>106</v>
      </c>
      <c r="G7103" t="s">
        <v>173</v>
      </c>
      <c r="H7103" t="s">
        <v>173</v>
      </c>
      <c r="I7103" t="s">
        <v>37</v>
      </c>
      <c r="J7103" t="s">
        <v>38</v>
      </c>
      <c r="K7103" t="s">
        <v>29</v>
      </c>
      <c r="L7103" t="s">
        <v>30</v>
      </c>
      <c r="M7103" t="s">
        <v>172</v>
      </c>
      <c r="N7103">
        <v>1398</v>
      </c>
      <c r="O7103" s="14">
        <v>0.22674844134599001</v>
      </c>
      <c r="P7103" s="14">
        <v>0.21824956033378801</v>
      </c>
      <c r="Q7103" t="str">
        <f t="shared" si="220"/>
        <v>15-24</v>
      </c>
      <c r="R7103" t="str">
        <f t="shared" si="221"/>
        <v>[oiPR2CiVJbf]|15-24|Female|PLHIV_Attend.T2|CY2025Q3</v>
      </c>
    </row>
    <row r="7104" spans="4:18" x14ac:dyDescent="0.2">
      <c r="D7104" t="s">
        <v>104</v>
      </c>
      <c r="E7104" t="s">
        <v>105</v>
      </c>
      <c r="F7104" t="s">
        <v>106</v>
      </c>
      <c r="G7104" t="s">
        <v>173</v>
      </c>
      <c r="H7104" t="s">
        <v>173</v>
      </c>
      <c r="I7104" t="s">
        <v>40</v>
      </c>
      <c r="J7104" t="s">
        <v>41</v>
      </c>
      <c r="K7104" t="s">
        <v>29</v>
      </c>
      <c r="L7104" t="s">
        <v>30</v>
      </c>
      <c r="M7104" t="s">
        <v>172</v>
      </c>
      <c r="N7104">
        <v>1148</v>
      </c>
      <c r="O7104" s="14">
        <v>0.74221299914643202</v>
      </c>
      <c r="P7104" s="14">
        <v>0.21824956033378801</v>
      </c>
      <c r="Q7104" t="str">
        <f t="shared" si="220"/>
        <v>25-34</v>
      </c>
      <c r="R7104" t="str">
        <f t="shared" si="221"/>
        <v>[oiPR2CiVJbf]|25-34|Female|PLHIV_Attend.T2|CY2025Q3</v>
      </c>
    </row>
    <row r="7105" spans="4:18" x14ac:dyDescent="0.2">
      <c r="D7105" t="s">
        <v>104</v>
      </c>
      <c r="E7105" t="s">
        <v>105</v>
      </c>
      <c r="F7105" t="s">
        <v>106</v>
      </c>
      <c r="G7105" t="s">
        <v>173</v>
      </c>
      <c r="H7105" t="s">
        <v>173</v>
      </c>
      <c r="I7105" t="s">
        <v>42</v>
      </c>
      <c r="J7105" t="s">
        <v>43</v>
      </c>
      <c r="K7105" t="s">
        <v>29</v>
      </c>
      <c r="L7105" t="s">
        <v>30</v>
      </c>
      <c r="M7105" t="s">
        <v>172</v>
      </c>
      <c r="N7105">
        <v>1830</v>
      </c>
      <c r="O7105" s="14">
        <v>0.99839612585492399</v>
      </c>
      <c r="P7105" s="14">
        <v>0.21824956033378801</v>
      </c>
      <c r="Q7105" t="str">
        <f t="shared" si="220"/>
        <v>35-49</v>
      </c>
      <c r="R7105" t="str">
        <f t="shared" si="221"/>
        <v>[oiPR2CiVJbf]|35-49|Female|PLHIV_Attend.T2|CY2025Q3</v>
      </c>
    </row>
    <row r="7106" spans="4:18" x14ac:dyDescent="0.2">
      <c r="D7106" t="s">
        <v>104</v>
      </c>
      <c r="E7106" t="s">
        <v>105</v>
      </c>
      <c r="F7106" t="s">
        <v>106</v>
      </c>
      <c r="G7106" t="s">
        <v>173</v>
      </c>
      <c r="H7106" t="s">
        <v>173</v>
      </c>
      <c r="I7106" t="s">
        <v>44</v>
      </c>
      <c r="J7106" t="s">
        <v>45</v>
      </c>
      <c r="K7106" t="s">
        <v>29</v>
      </c>
      <c r="L7106" t="s">
        <v>30</v>
      </c>
      <c r="M7106" t="s">
        <v>172</v>
      </c>
      <c r="N7106">
        <v>888</v>
      </c>
      <c r="O7106" s="14">
        <v>0.65527780237607702</v>
      </c>
      <c r="P7106" s="14">
        <v>0.21824956033378801</v>
      </c>
      <c r="Q7106" t="str">
        <f t="shared" ref="Q7106:Q7169" si="222">SUBSTITUTE(SUBSTITUTE($I7106,CHAR(61),""),CHAR(34),"")</f>
        <v>50+</v>
      </c>
      <c r="R7106" t="str">
        <f t="shared" ref="R7106:R7169" si="223">IF($D7106&lt;&gt;"","["&amp;$E7106&amp;"]"&amp;"|"&amp;$Q7106&amp;"|"&amp;$K7106&amp;"|"&amp;$G7106&amp;"|"&amp;IF($G7106="TX_CURR_SUBNAT.R","CY2022Q4",$M7106),"")</f>
        <v>[oiPR2CiVJbf]|50+|Female|PLHIV_Attend.T2|CY2025Q3</v>
      </c>
    </row>
    <row r="7107" spans="4:18" x14ac:dyDescent="0.2">
      <c r="D7107" t="s">
        <v>104</v>
      </c>
      <c r="E7107" t="s">
        <v>105</v>
      </c>
      <c r="F7107" t="s">
        <v>106</v>
      </c>
      <c r="G7107" t="s">
        <v>173</v>
      </c>
      <c r="H7107" t="s">
        <v>173</v>
      </c>
      <c r="I7107" t="s">
        <v>27</v>
      </c>
      <c r="J7107" t="s">
        <v>28</v>
      </c>
      <c r="K7107" t="s">
        <v>47</v>
      </c>
      <c r="L7107" t="s">
        <v>48</v>
      </c>
      <c r="M7107" t="s">
        <v>172</v>
      </c>
      <c r="N7107">
        <v>1392</v>
      </c>
      <c r="O7107" s="14">
        <v>0.15195304434746501</v>
      </c>
      <c r="P7107" s="14">
        <v>0.21824956033378801</v>
      </c>
      <c r="Q7107" t="str">
        <f t="shared" si="222"/>
        <v>&lt;01</v>
      </c>
      <c r="R7107" t="str">
        <f t="shared" si="223"/>
        <v>[oiPR2CiVJbf]|&lt;01|Male|PLHIV_Attend.T2|CY2025Q3</v>
      </c>
    </row>
    <row r="7108" spans="4:18" x14ac:dyDescent="0.2">
      <c r="D7108" t="s">
        <v>104</v>
      </c>
      <c r="E7108" t="s">
        <v>105</v>
      </c>
      <c r="F7108" t="s">
        <v>106</v>
      </c>
      <c r="G7108" t="s">
        <v>173</v>
      </c>
      <c r="H7108" t="s">
        <v>173</v>
      </c>
      <c r="I7108" t="s">
        <v>32</v>
      </c>
      <c r="J7108" t="s">
        <v>33</v>
      </c>
      <c r="K7108" t="s">
        <v>47</v>
      </c>
      <c r="L7108" t="s">
        <v>48</v>
      </c>
      <c r="M7108" t="s">
        <v>172</v>
      </c>
      <c r="N7108">
        <v>1475</v>
      </c>
      <c r="O7108" s="14">
        <v>1.02587742730975E-3</v>
      </c>
      <c r="P7108" s="14">
        <v>0.21824956033378801</v>
      </c>
      <c r="Q7108" t="str">
        <f t="shared" si="222"/>
        <v>01-09</v>
      </c>
      <c r="R7108" t="str">
        <f t="shared" si="223"/>
        <v>[oiPR2CiVJbf]|01-09|Male|PLHIV_Attend.T2|CY2025Q3</v>
      </c>
    </row>
    <row r="7109" spans="4:18" x14ac:dyDescent="0.2">
      <c r="D7109" t="s">
        <v>104</v>
      </c>
      <c r="E7109" t="s">
        <v>105</v>
      </c>
      <c r="F7109" t="s">
        <v>106</v>
      </c>
      <c r="G7109" t="s">
        <v>173</v>
      </c>
      <c r="H7109" t="s">
        <v>173</v>
      </c>
      <c r="I7109" t="s">
        <v>35</v>
      </c>
      <c r="J7109" t="s">
        <v>36</v>
      </c>
      <c r="K7109" t="s">
        <v>47</v>
      </c>
      <c r="L7109" t="s">
        <v>48</v>
      </c>
      <c r="M7109" t="s">
        <v>172</v>
      </c>
      <c r="N7109">
        <v>708</v>
      </c>
      <c r="O7109" s="14">
        <v>0.377299952087924</v>
      </c>
      <c r="P7109" s="14">
        <v>0.21824956033378801</v>
      </c>
      <c r="Q7109" t="str">
        <f t="shared" si="222"/>
        <v>10-14</v>
      </c>
      <c r="R7109" t="str">
        <f t="shared" si="223"/>
        <v>[oiPR2CiVJbf]|10-14|Male|PLHIV_Attend.T2|CY2025Q3</v>
      </c>
    </row>
    <row r="7110" spans="4:18" x14ac:dyDescent="0.2">
      <c r="D7110" t="s">
        <v>104</v>
      </c>
      <c r="E7110" t="s">
        <v>105</v>
      </c>
      <c r="F7110" t="s">
        <v>106</v>
      </c>
      <c r="G7110" t="s">
        <v>173</v>
      </c>
      <c r="H7110" t="s">
        <v>173</v>
      </c>
      <c r="I7110" t="s">
        <v>37</v>
      </c>
      <c r="J7110" t="s">
        <v>38</v>
      </c>
      <c r="K7110" t="s">
        <v>47</v>
      </c>
      <c r="L7110" t="s">
        <v>48</v>
      </c>
      <c r="M7110" t="s">
        <v>172</v>
      </c>
      <c r="N7110">
        <v>1084</v>
      </c>
      <c r="O7110" s="14">
        <v>0.60711088427342497</v>
      </c>
      <c r="P7110" s="14">
        <v>0.21824956033378801</v>
      </c>
      <c r="Q7110" t="str">
        <f t="shared" si="222"/>
        <v>15-24</v>
      </c>
      <c r="R7110" t="str">
        <f t="shared" si="223"/>
        <v>[oiPR2CiVJbf]|15-24|Male|PLHIV_Attend.T2|CY2025Q3</v>
      </c>
    </row>
    <row r="7111" spans="4:18" x14ac:dyDescent="0.2">
      <c r="D7111" t="s">
        <v>104</v>
      </c>
      <c r="E7111" t="s">
        <v>105</v>
      </c>
      <c r="F7111" t="s">
        <v>106</v>
      </c>
      <c r="G7111" t="s">
        <v>173</v>
      </c>
      <c r="H7111" t="s">
        <v>173</v>
      </c>
      <c r="I7111" t="s">
        <v>40</v>
      </c>
      <c r="J7111" t="s">
        <v>41</v>
      </c>
      <c r="K7111" t="s">
        <v>47</v>
      </c>
      <c r="L7111" t="s">
        <v>48</v>
      </c>
      <c r="M7111" t="s">
        <v>172</v>
      </c>
      <c r="N7111">
        <v>1366</v>
      </c>
      <c r="O7111" s="14">
        <v>0.64117979025468197</v>
      </c>
      <c r="P7111" s="14">
        <v>0.21824956033378801</v>
      </c>
      <c r="Q7111" t="str">
        <f t="shared" si="222"/>
        <v>25-34</v>
      </c>
      <c r="R7111" t="str">
        <f t="shared" si="223"/>
        <v>[oiPR2CiVJbf]|25-34|Male|PLHIV_Attend.T2|CY2025Q3</v>
      </c>
    </row>
    <row r="7112" spans="4:18" x14ac:dyDescent="0.2">
      <c r="D7112" t="s">
        <v>104</v>
      </c>
      <c r="E7112" t="s">
        <v>105</v>
      </c>
      <c r="F7112" t="s">
        <v>106</v>
      </c>
      <c r="G7112" t="s">
        <v>173</v>
      </c>
      <c r="H7112" t="s">
        <v>173</v>
      </c>
      <c r="I7112" t="s">
        <v>42</v>
      </c>
      <c r="J7112" t="s">
        <v>43</v>
      </c>
      <c r="K7112" t="s">
        <v>47</v>
      </c>
      <c r="L7112" t="s">
        <v>48</v>
      </c>
      <c r="M7112" t="s">
        <v>172</v>
      </c>
      <c r="N7112">
        <v>718</v>
      </c>
      <c r="O7112" s="14">
        <v>0.60118250455707301</v>
      </c>
      <c r="P7112" s="14">
        <v>0.21824956033378801</v>
      </c>
      <c r="Q7112" t="str">
        <f t="shared" si="222"/>
        <v>35-49</v>
      </c>
      <c r="R7112" t="str">
        <f t="shared" si="223"/>
        <v>[oiPR2CiVJbf]|35-49|Male|PLHIV_Attend.T2|CY2025Q3</v>
      </c>
    </row>
    <row r="7113" spans="4:18" x14ac:dyDescent="0.2">
      <c r="D7113" t="s">
        <v>104</v>
      </c>
      <c r="E7113" t="s">
        <v>105</v>
      </c>
      <c r="F7113" t="s">
        <v>106</v>
      </c>
      <c r="G7113" t="s">
        <v>173</v>
      </c>
      <c r="H7113" t="s">
        <v>173</v>
      </c>
      <c r="I7113" t="s">
        <v>44</v>
      </c>
      <c r="J7113" t="s">
        <v>45</v>
      </c>
      <c r="K7113" t="s">
        <v>47</v>
      </c>
      <c r="L7113" t="s">
        <v>48</v>
      </c>
      <c r="M7113" t="s">
        <v>172</v>
      </c>
      <c r="N7113">
        <v>582</v>
      </c>
      <c r="O7113" s="14">
        <v>0.57442698208615195</v>
      </c>
      <c r="P7113" s="14">
        <v>0.21824956033378801</v>
      </c>
      <c r="Q7113" t="str">
        <f t="shared" si="222"/>
        <v>50+</v>
      </c>
      <c r="R7113" t="str">
        <f t="shared" si="223"/>
        <v>[oiPR2CiVJbf]|50+|Male|PLHIV_Attend.T2|CY2025Q3</v>
      </c>
    </row>
    <row r="7114" spans="4:18" x14ac:dyDescent="0.2">
      <c r="D7114" t="s">
        <v>107</v>
      </c>
      <c r="E7114" t="s">
        <v>108</v>
      </c>
      <c r="F7114" t="s">
        <v>109</v>
      </c>
      <c r="G7114" t="s">
        <v>173</v>
      </c>
      <c r="H7114" t="s">
        <v>173</v>
      </c>
      <c r="I7114" t="s">
        <v>27</v>
      </c>
      <c r="J7114" t="s">
        <v>28</v>
      </c>
      <c r="K7114" t="s">
        <v>29</v>
      </c>
      <c r="L7114" t="s">
        <v>30</v>
      </c>
      <c r="M7114" t="s">
        <v>172</v>
      </c>
      <c r="N7114">
        <v>1088</v>
      </c>
      <c r="O7114" s="14">
        <v>6.6641956102102995E-2</v>
      </c>
      <c r="P7114" s="14">
        <v>0.43422180437482899</v>
      </c>
      <c r="Q7114" t="str">
        <f t="shared" si="222"/>
        <v>&lt;01</v>
      </c>
      <c r="R7114" t="str">
        <f t="shared" si="223"/>
        <v>[ul0y9diGujK]|&lt;01|Female|PLHIV_Attend.T2|CY2025Q3</v>
      </c>
    </row>
    <row r="7115" spans="4:18" x14ac:dyDescent="0.2">
      <c r="D7115" t="s">
        <v>107</v>
      </c>
      <c r="E7115" t="s">
        <v>108</v>
      </c>
      <c r="F7115" t="s">
        <v>109</v>
      </c>
      <c r="G7115" t="s">
        <v>173</v>
      </c>
      <c r="H7115" t="s">
        <v>173</v>
      </c>
      <c r="I7115" t="s">
        <v>32</v>
      </c>
      <c r="J7115" t="s">
        <v>33</v>
      </c>
      <c r="K7115" t="s">
        <v>29</v>
      </c>
      <c r="L7115" t="s">
        <v>30</v>
      </c>
      <c r="M7115" t="s">
        <v>172</v>
      </c>
      <c r="N7115">
        <v>1215</v>
      </c>
      <c r="O7115" s="14">
        <v>0.38003199710510699</v>
      </c>
      <c r="P7115" s="14">
        <v>0.43422180437482899</v>
      </c>
      <c r="Q7115" t="str">
        <f t="shared" si="222"/>
        <v>01-09</v>
      </c>
      <c r="R7115" t="str">
        <f t="shared" si="223"/>
        <v>[ul0y9diGujK]|01-09|Female|PLHIV_Attend.T2|CY2025Q3</v>
      </c>
    </row>
    <row r="7116" spans="4:18" x14ac:dyDescent="0.2">
      <c r="D7116" t="s">
        <v>107</v>
      </c>
      <c r="E7116" t="s">
        <v>108</v>
      </c>
      <c r="F7116" t="s">
        <v>109</v>
      </c>
      <c r="G7116" t="s">
        <v>173</v>
      </c>
      <c r="H7116" t="s">
        <v>173</v>
      </c>
      <c r="I7116" t="s">
        <v>35</v>
      </c>
      <c r="J7116" t="s">
        <v>36</v>
      </c>
      <c r="K7116" t="s">
        <v>29</v>
      </c>
      <c r="L7116" t="s">
        <v>30</v>
      </c>
      <c r="M7116" t="s">
        <v>172</v>
      </c>
      <c r="N7116">
        <v>1827</v>
      </c>
      <c r="O7116" s="14">
        <v>0.48992885067127601</v>
      </c>
      <c r="P7116" s="14">
        <v>0.43422180437482899</v>
      </c>
      <c r="Q7116" t="str">
        <f t="shared" si="222"/>
        <v>10-14</v>
      </c>
      <c r="R7116" t="str">
        <f t="shared" si="223"/>
        <v>[ul0y9diGujK]|10-14|Female|PLHIV_Attend.T2|CY2025Q3</v>
      </c>
    </row>
    <row r="7117" spans="4:18" x14ac:dyDescent="0.2">
      <c r="D7117" t="s">
        <v>107</v>
      </c>
      <c r="E7117" t="s">
        <v>108</v>
      </c>
      <c r="F7117" t="s">
        <v>109</v>
      </c>
      <c r="G7117" t="s">
        <v>173</v>
      </c>
      <c r="H7117" t="s">
        <v>173</v>
      </c>
      <c r="I7117" t="s">
        <v>37</v>
      </c>
      <c r="J7117" t="s">
        <v>38</v>
      </c>
      <c r="K7117" t="s">
        <v>29</v>
      </c>
      <c r="L7117" t="s">
        <v>30</v>
      </c>
      <c r="M7117" t="s">
        <v>172</v>
      </c>
      <c r="N7117">
        <v>852</v>
      </c>
      <c r="O7117" s="14">
        <v>0.99131161090917896</v>
      </c>
      <c r="P7117" s="14">
        <v>0.43422180437482899</v>
      </c>
      <c r="Q7117" t="str">
        <f t="shared" si="222"/>
        <v>15-24</v>
      </c>
      <c r="R7117" t="str">
        <f t="shared" si="223"/>
        <v>[ul0y9diGujK]|15-24|Female|PLHIV_Attend.T2|CY2025Q3</v>
      </c>
    </row>
    <row r="7118" spans="4:18" x14ac:dyDescent="0.2">
      <c r="D7118" t="s">
        <v>107</v>
      </c>
      <c r="E7118" t="s">
        <v>108</v>
      </c>
      <c r="F7118" t="s">
        <v>109</v>
      </c>
      <c r="G7118" t="s">
        <v>173</v>
      </c>
      <c r="H7118" t="s">
        <v>173</v>
      </c>
      <c r="I7118" t="s">
        <v>40</v>
      </c>
      <c r="J7118" t="s">
        <v>41</v>
      </c>
      <c r="K7118" t="s">
        <v>29</v>
      </c>
      <c r="L7118" t="s">
        <v>30</v>
      </c>
      <c r="M7118" t="s">
        <v>172</v>
      </c>
      <c r="N7118">
        <v>500</v>
      </c>
      <c r="O7118" s="14">
        <v>0.66314579104073301</v>
      </c>
      <c r="P7118" s="14">
        <v>0.43422180437482899</v>
      </c>
      <c r="Q7118" t="str">
        <f t="shared" si="222"/>
        <v>25-34</v>
      </c>
      <c r="R7118" t="str">
        <f t="shared" si="223"/>
        <v>[ul0y9diGujK]|25-34|Female|PLHIV_Attend.T2|CY2025Q3</v>
      </c>
    </row>
    <row r="7119" spans="4:18" x14ac:dyDescent="0.2">
      <c r="D7119" t="s">
        <v>107</v>
      </c>
      <c r="E7119" t="s">
        <v>108</v>
      </c>
      <c r="F7119" t="s">
        <v>109</v>
      </c>
      <c r="G7119" t="s">
        <v>173</v>
      </c>
      <c r="H7119" t="s">
        <v>173</v>
      </c>
      <c r="I7119" t="s">
        <v>42</v>
      </c>
      <c r="J7119" t="s">
        <v>43</v>
      </c>
      <c r="K7119" t="s">
        <v>29</v>
      </c>
      <c r="L7119" t="s">
        <v>30</v>
      </c>
      <c r="M7119" t="s">
        <v>172</v>
      </c>
      <c r="N7119">
        <v>859</v>
      </c>
      <c r="O7119" s="14">
        <v>8.2539451774209696E-2</v>
      </c>
      <c r="P7119" s="14">
        <v>0.43422180437482899</v>
      </c>
      <c r="Q7119" t="str">
        <f t="shared" si="222"/>
        <v>35-49</v>
      </c>
      <c r="R7119" t="str">
        <f t="shared" si="223"/>
        <v>[ul0y9diGujK]|35-49|Female|PLHIV_Attend.T2|CY2025Q3</v>
      </c>
    </row>
    <row r="7120" spans="4:18" x14ac:dyDescent="0.2">
      <c r="D7120" t="s">
        <v>107</v>
      </c>
      <c r="E7120" t="s">
        <v>108</v>
      </c>
      <c r="F7120" t="s">
        <v>109</v>
      </c>
      <c r="G7120" t="s">
        <v>173</v>
      </c>
      <c r="H7120" t="s">
        <v>173</v>
      </c>
      <c r="I7120" t="s">
        <v>44</v>
      </c>
      <c r="J7120" t="s">
        <v>45</v>
      </c>
      <c r="K7120" t="s">
        <v>29</v>
      </c>
      <c r="L7120" t="s">
        <v>30</v>
      </c>
      <c r="M7120" t="s">
        <v>172</v>
      </c>
      <c r="N7120">
        <v>550</v>
      </c>
      <c r="O7120" s="14">
        <v>0.19604897918179601</v>
      </c>
      <c r="P7120" s="14">
        <v>0.43422180437482899</v>
      </c>
      <c r="Q7120" t="str">
        <f t="shared" si="222"/>
        <v>50+</v>
      </c>
      <c r="R7120" t="str">
        <f t="shared" si="223"/>
        <v>[ul0y9diGujK]|50+|Female|PLHIV_Attend.T2|CY2025Q3</v>
      </c>
    </row>
    <row r="7121" spans="4:18" x14ac:dyDescent="0.2">
      <c r="D7121" t="s">
        <v>107</v>
      </c>
      <c r="E7121" t="s">
        <v>108</v>
      </c>
      <c r="F7121" t="s">
        <v>109</v>
      </c>
      <c r="G7121" t="s">
        <v>173</v>
      </c>
      <c r="H7121" t="s">
        <v>173</v>
      </c>
      <c r="I7121" t="s">
        <v>27</v>
      </c>
      <c r="J7121" t="s">
        <v>28</v>
      </c>
      <c r="K7121" t="s">
        <v>47</v>
      </c>
      <c r="L7121" t="s">
        <v>48</v>
      </c>
      <c r="M7121" t="s">
        <v>172</v>
      </c>
      <c r="N7121">
        <v>1106</v>
      </c>
      <c r="O7121" s="14">
        <v>0.235729323932901</v>
      </c>
      <c r="P7121" s="14">
        <v>0.43422180437482899</v>
      </c>
      <c r="Q7121" t="str">
        <f t="shared" si="222"/>
        <v>&lt;01</v>
      </c>
      <c r="R7121" t="str">
        <f t="shared" si="223"/>
        <v>[ul0y9diGujK]|&lt;01|Male|PLHIV_Attend.T2|CY2025Q3</v>
      </c>
    </row>
    <row r="7122" spans="4:18" x14ac:dyDescent="0.2">
      <c r="D7122" t="s">
        <v>107</v>
      </c>
      <c r="E7122" t="s">
        <v>108</v>
      </c>
      <c r="F7122" t="s">
        <v>109</v>
      </c>
      <c r="G7122" t="s">
        <v>173</v>
      </c>
      <c r="H7122" t="s">
        <v>173</v>
      </c>
      <c r="I7122" t="s">
        <v>32</v>
      </c>
      <c r="J7122" t="s">
        <v>33</v>
      </c>
      <c r="K7122" t="s">
        <v>47</v>
      </c>
      <c r="L7122" t="s">
        <v>48</v>
      </c>
      <c r="M7122" t="s">
        <v>172</v>
      </c>
      <c r="N7122">
        <v>1097</v>
      </c>
      <c r="O7122" s="14">
        <v>0.250914905685931</v>
      </c>
      <c r="P7122" s="14">
        <v>0.43422180437482899</v>
      </c>
      <c r="Q7122" t="str">
        <f t="shared" si="222"/>
        <v>01-09</v>
      </c>
      <c r="R7122" t="str">
        <f t="shared" si="223"/>
        <v>[ul0y9diGujK]|01-09|Male|PLHIV_Attend.T2|CY2025Q3</v>
      </c>
    </row>
    <row r="7123" spans="4:18" x14ac:dyDescent="0.2">
      <c r="D7123" t="s">
        <v>107</v>
      </c>
      <c r="E7123" t="s">
        <v>108</v>
      </c>
      <c r="F7123" t="s">
        <v>109</v>
      </c>
      <c r="G7123" t="s">
        <v>173</v>
      </c>
      <c r="H7123" t="s">
        <v>173</v>
      </c>
      <c r="I7123" t="s">
        <v>35</v>
      </c>
      <c r="J7123" t="s">
        <v>36</v>
      </c>
      <c r="K7123" t="s">
        <v>47</v>
      </c>
      <c r="L7123" t="s">
        <v>48</v>
      </c>
      <c r="M7123" t="s">
        <v>172</v>
      </c>
      <c r="N7123">
        <v>1526</v>
      </c>
      <c r="O7123" s="14">
        <v>0.89739750628359605</v>
      </c>
      <c r="P7123" s="14">
        <v>0.43422180437482899</v>
      </c>
      <c r="Q7123" t="str">
        <f t="shared" si="222"/>
        <v>10-14</v>
      </c>
      <c r="R7123" t="str">
        <f t="shared" si="223"/>
        <v>[ul0y9diGujK]|10-14|Male|PLHIV_Attend.T2|CY2025Q3</v>
      </c>
    </row>
    <row r="7124" spans="4:18" x14ac:dyDescent="0.2">
      <c r="D7124" t="s">
        <v>107</v>
      </c>
      <c r="E7124" t="s">
        <v>108</v>
      </c>
      <c r="F7124" t="s">
        <v>109</v>
      </c>
      <c r="G7124" t="s">
        <v>173</v>
      </c>
      <c r="H7124" t="s">
        <v>173</v>
      </c>
      <c r="I7124" t="s">
        <v>37</v>
      </c>
      <c r="J7124" t="s">
        <v>38</v>
      </c>
      <c r="K7124" t="s">
        <v>47</v>
      </c>
      <c r="L7124" t="s">
        <v>48</v>
      </c>
      <c r="M7124" t="s">
        <v>172</v>
      </c>
      <c r="N7124">
        <v>1613</v>
      </c>
      <c r="O7124" s="14">
        <v>8.5402813740074607E-2</v>
      </c>
      <c r="P7124" s="14">
        <v>0.43422180437482899</v>
      </c>
      <c r="Q7124" t="str">
        <f t="shared" si="222"/>
        <v>15-24</v>
      </c>
      <c r="R7124" t="str">
        <f t="shared" si="223"/>
        <v>[ul0y9diGujK]|15-24|Male|PLHIV_Attend.T2|CY2025Q3</v>
      </c>
    </row>
    <row r="7125" spans="4:18" x14ac:dyDescent="0.2">
      <c r="D7125" t="s">
        <v>107</v>
      </c>
      <c r="E7125" t="s">
        <v>108</v>
      </c>
      <c r="F7125" t="s">
        <v>109</v>
      </c>
      <c r="G7125" t="s">
        <v>173</v>
      </c>
      <c r="H7125" t="s">
        <v>173</v>
      </c>
      <c r="I7125" t="s">
        <v>40</v>
      </c>
      <c r="J7125" t="s">
        <v>41</v>
      </c>
      <c r="K7125" t="s">
        <v>47</v>
      </c>
      <c r="L7125" t="s">
        <v>48</v>
      </c>
      <c r="M7125" t="s">
        <v>172</v>
      </c>
      <c r="N7125">
        <v>913</v>
      </c>
      <c r="O7125" s="14">
        <v>0.263730452163145</v>
      </c>
      <c r="P7125" s="14">
        <v>0.43422180437482899</v>
      </c>
      <c r="Q7125" t="str">
        <f t="shared" si="222"/>
        <v>25-34</v>
      </c>
      <c r="R7125" t="str">
        <f t="shared" si="223"/>
        <v>[ul0y9diGujK]|25-34|Male|PLHIV_Attend.T2|CY2025Q3</v>
      </c>
    </row>
    <row r="7126" spans="4:18" x14ac:dyDescent="0.2">
      <c r="D7126" t="s">
        <v>107</v>
      </c>
      <c r="E7126" t="s">
        <v>108</v>
      </c>
      <c r="F7126" t="s">
        <v>109</v>
      </c>
      <c r="G7126" t="s">
        <v>173</v>
      </c>
      <c r="H7126" t="s">
        <v>173</v>
      </c>
      <c r="I7126" t="s">
        <v>42</v>
      </c>
      <c r="J7126" t="s">
        <v>43</v>
      </c>
      <c r="K7126" t="s">
        <v>47</v>
      </c>
      <c r="L7126" t="s">
        <v>48</v>
      </c>
      <c r="M7126" t="s">
        <v>172</v>
      </c>
      <c r="N7126">
        <v>823</v>
      </c>
      <c r="O7126" s="14">
        <v>0.88245559134520601</v>
      </c>
      <c r="P7126" s="14">
        <v>0.43422180437482899</v>
      </c>
      <c r="Q7126" t="str">
        <f t="shared" si="222"/>
        <v>35-49</v>
      </c>
      <c r="R7126" t="str">
        <f t="shared" si="223"/>
        <v>[ul0y9diGujK]|35-49|Male|PLHIV_Attend.T2|CY2025Q3</v>
      </c>
    </row>
    <row r="7127" spans="4:18" x14ac:dyDescent="0.2">
      <c r="D7127" t="s">
        <v>107</v>
      </c>
      <c r="E7127" t="s">
        <v>108</v>
      </c>
      <c r="F7127" t="s">
        <v>109</v>
      </c>
      <c r="G7127" t="s">
        <v>173</v>
      </c>
      <c r="H7127" t="s">
        <v>173</v>
      </c>
      <c r="I7127" t="s">
        <v>44</v>
      </c>
      <c r="J7127" t="s">
        <v>45</v>
      </c>
      <c r="K7127" t="s">
        <v>47</v>
      </c>
      <c r="L7127" t="s">
        <v>48</v>
      </c>
      <c r="M7127" t="s">
        <v>172</v>
      </c>
      <c r="N7127">
        <v>1806</v>
      </c>
      <c r="O7127" s="14">
        <v>0.117158186156303</v>
      </c>
      <c r="P7127" s="14">
        <v>0.43422180437482899</v>
      </c>
      <c r="Q7127" t="str">
        <f t="shared" si="222"/>
        <v>50+</v>
      </c>
      <c r="R7127" t="str">
        <f t="shared" si="223"/>
        <v>[ul0y9diGujK]|50+|Male|PLHIV_Attend.T2|CY2025Q3</v>
      </c>
    </row>
    <row r="7128" spans="4:18" x14ac:dyDescent="0.2">
      <c r="D7128" t="s">
        <v>110</v>
      </c>
      <c r="E7128" t="s">
        <v>111</v>
      </c>
      <c r="F7128" t="s">
        <v>112</v>
      </c>
      <c r="G7128" t="s">
        <v>173</v>
      </c>
      <c r="H7128" t="s">
        <v>173</v>
      </c>
      <c r="I7128" t="s">
        <v>27</v>
      </c>
      <c r="J7128" t="s">
        <v>28</v>
      </c>
      <c r="K7128" t="s">
        <v>29</v>
      </c>
      <c r="L7128" t="s">
        <v>30</v>
      </c>
      <c r="M7128" t="s">
        <v>172</v>
      </c>
      <c r="N7128">
        <v>522</v>
      </c>
      <c r="O7128" s="14">
        <v>0.97830184432677902</v>
      </c>
      <c r="P7128" s="14">
        <v>0.33776879496872397</v>
      </c>
      <c r="Q7128" t="str">
        <f t="shared" si="222"/>
        <v>&lt;01</v>
      </c>
      <c r="R7128" t="str">
        <f t="shared" si="223"/>
        <v>[U8c0so51kT6]|&lt;01|Female|PLHIV_Attend.T2|CY2025Q3</v>
      </c>
    </row>
    <row r="7129" spans="4:18" x14ac:dyDescent="0.2">
      <c r="D7129" t="s">
        <v>110</v>
      </c>
      <c r="E7129" t="s">
        <v>111</v>
      </c>
      <c r="F7129" t="s">
        <v>112</v>
      </c>
      <c r="G7129" t="s">
        <v>173</v>
      </c>
      <c r="H7129" t="s">
        <v>173</v>
      </c>
      <c r="I7129" t="s">
        <v>32</v>
      </c>
      <c r="J7129" t="s">
        <v>33</v>
      </c>
      <c r="K7129" t="s">
        <v>29</v>
      </c>
      <c r="L7129" t="s">
        <v>30</v>
      </c>
      <c r="M7129" t="s">
        <v>172</v>
      </c>
      <c r="N7129">
        <v>939</v>
      </c>
      <c r="O7129" s="14">
        <v>0.74227050505578496</v>
      </c>
      <c r="P7129" s="14">
        <v>0.33776879496872397</v>
      </c>
      <c r="Q7129" t="str">
        <f t="shared" si="222"/>
        <v>01-09</v>
      </c>
      <c r="R7129" t="str">
        <f t="shared" si="223"/>
        <v>[U8c0so51kT6]|01-09|Female|PLHIV_Attend.T2|CY2025Q3</v>
      </c>
    </row>
    <row r="7130" spans="4:18" x14ac:dyDescent="0.2">
      <c r="D7130" t="s">
        <v>110</v>
      </c>
      <c r="E7130" t="s">
        <v>111</v>
      </c>
      <c r="F7130" t="s">
        <v>112</v>
      </c>
      <c r="G7130" t="s">
        <v>173</v>
      </c>
      <c r="H7130" t="s">
        <v>173</v>
      </c>
      <c r="I7130" t="s">
        <v>35</v>
      </c>
      <c r="J7130" t="s">
        <v>36</v>
      </c>
      <c r="K7130" t="s">
        <v>29</v>
      </c>
      <c r="L7130" t="s">
        <v>30</v>
      </c>
      <c r="M7130" t="s">
        <v>172</v>
      </c>
      <c r="N7130">
        <v>955</v>
      </c>
      <c r="O7130" s="14">
        <v>0.50592634128406599</v>
      </c>
      <c r="P7130" s="14">
        <v>0.33776879496872397</v>
      </c>
      <c r="Q7130" t="str">
        <f t="shared" si="222"/>
        <v>10-14</v>
      </c>
      <c r="R7130" t="str">
        <f t="shared" si="223"/>
        <v>[U8c0so51kT6]|10-14|Female|PLHIV_Attend.T2|CY2025Q3</v>
      </c>
    </row>
    <row r="7131" spans="4:18" x14ac:dyDescent="0.2">
      <c r="D7131" t="s">
        <v>110</v>
      </c>
      <c r="E7131" t="s">
        <v>111</v>
      </c>
      <c r="F7131" t="s">
        <v>112</v>
      </c>
      <c r="G7131" t="s">
        <v>173</v>
      </c>
      <c r="H7131" t="s">
        <v>173</v>
      </c>
      <c r="I7131" t="s">
        <v>37</v>
      </c>
      <c r="J7131" t="s">
        <v>38</v>
      </c>
      <c r="K7131" t="s">
        <v>29</v>
      </c>
      <c r="L7131" t="s">
        <v>30</v>
      </c>
      <c r="M7131" t="s">
        <v>172</v>
      </c>
      <c r="N7131">
        <v>1764</v>
      </c>
      <c r="O7131" s="14">
        <v>0.47177387843839802</v>
      </c>
      <c r="P7131" s="14">
        <v>0.33776879496872397</v>
      </c>
      <c r="Q7131" t="str">
        <f t="shared" si="222"/>
        <v>15-24</v>
      </c>
      <c r="R7131" t="str">
        <f t="shared" si="223"/>
        <v>[U8c0so51kT6]|15-24|Female|PLHIV_Attend.T2|CY2025Q3</v>
      </c>
    </row>
    <row r="7132" spans="4:18" x14ac:dyDescent="0.2">
      <c r="D7132" t="s">
        <v>110</v>
      </c>
      <c r="E7132" t="s">
        <v>111</v>
      </c>
      <c r="F7132" t="s">
        <v>112</v>
      </c>
      <c r="G7132" t="s">
        <v>173</v>
      </c>
      <c r="H7132" t="s">
        <v>173</v>
      </c>
      <c r="I7132" t="s">
        <v>40</v>
      </c>
      <c r="J7132" t="s">
        <v>41</v>
      </c>
      <c r="K7132" t="s">
        <v>29</v>
      </c>
      <c r="L7132" t="s">
        <v>30</v>
      </c>
      <c r="M7132" t="s">
        <v>172</v>
      </c>
      <c r="N7132">
        <v>1058</v>
      </c>
      <c r="O7132" s="14">
        <v>6.6394101362675401E-2</v>
      </c>
      <c r="P7132" s="14">
        <v>0.33776879496872397</v>
      </c>
      <c r="Q7132" t="str">
        <f t="shared" si="222"/>
        <v>25-34</v>
      </c>
      <c r="R7132" t="str">
        <f t="shared" si="223"/>
        <v>[U8c0so51kT6]|25-34|Female|PLHIV_Attend.T2|CY2025Q3</v>
      </c>
    </row>
    <row r="7133" spans="4:18" x14ac:dyDescent="0.2">
      <c r="D7133" t="s">
        <v>110</v>
      </c>
      <c r="E7133" t="s">
        <v>111</v>
      </c>
      <c r="F7133" t="s">
        <v>112</v>
      </c>
      <c r="G7133" t="s">
        <v>173</v>
      </c>
      <c r="H7133" t="s">
        <v>173</v>
      </c>
      <c r="I7133" t="s">
        <v>42</v>
      </c>
      <c r="J7133" t="s">
        <v>43</v>
      </c>
      <c r="K7133" t="s">
        <v>29</v>
      </c>
      <c r="L7133" t="s">
        <v>30</v>
      </c>
      <c r="M7133" t="s">
        <v>172</v>
      </c>
      <c r="N7133">
        <v>1804</v>
      </c>
      <c r="O7133" s="14">
        <v>0.77901163650676597</v>
      </c>
      <c r="P7133" s="14">
        <v>0.33776879496872397</v>
      </c>
      <c r="Q7133" t="str">
        <f t="shared" si="222"/>
        <v>35-49</v>
      </c>
      <c r="R7133" t="str">
        <f t="shared" si="223"/>
        <v>[U8c0so51kT6]|35-49|Female|PLHIV_Attend.T2|CY2025Q3</v>
      </c>
    </row>
    <row r="7134" spans="4:18" x14ac:dyDescent="0.2">
      <c r="D7134" t="s">
        <v>110</v>
      </c>
      <c r="E7134" t="s">
        <v>111</v>
      </c>
      <c r="F7134" t="s">
        <v>112</v>
      </c>
      <c r="G7134" t="s">
        <v>173</v>
      </c>
      <c r="H7134" t="s">
        <v>173</v>
      </c>
      <c r="I7134" t="s">
        <v>44</v>
      </c>
      <c r="J7134" t="s">
        <v>45</v>
      </c>
      <c r="K7134" t="s">
        <v>29</v>
      </c>
      <c r="L7134" t="s">
        <v>30</v>
      </c>
      <c r="M7134" t="s">
        <v>172</v>
      </c>
      <c r="N7134">
        <v>1350</v>
      </c>
      <c r="O7134" s="14">
        <v>0.11920959665439999</v>
      </c>
      <c r="P7134" s="14">
        <v>0.33776879496872397</v>
      </c>
      <c r="Q7134" t="str">
        <f t="shared" si="222"/>
        <v>50+</v>
      </c>
      <c r="R7134" t="str">
        <f t="shared" si="223"/>
        <v>[U8c0so51kT6]|50+|Female|PLHIV_Attend.T2|CY2025Q3</v>
      </c>
    </row>
    <row r="7135" spans="4:18" x14ac:dyDescent="0.2">
      <c r="D7135" t="s">
        <v>110</v>
      </c>
      <c r="E7135" t="s">
        <v>111</v>
      </c>
      <c r="F7135" t="s">
        <v>112</v>
      </c>
      <c r="G7135" t="s">
        <v>173</v>
      </c>
      <c r="H7135" t="s">
        <v>173</v>
      </c>
      <c r="I7135" t="s">
        <v>27</v>
      </c>
      <c r="J7135" t="s">
        <v>28</v>
      </c>
      <c r="K7135" t="s">
        <v>47</v>
      </c>
      <c r="L7135" t="s">
        <v>48</v>
      </c>
      <c r="M7135" t="s">
        <v>172</v>
      </c>
      <c r="N7135">
        <v>845</v>
      </c>
      <c r="O7135" s="14">
        <v>0.88193487795069803</v>
      </c>
      <c r="P7135" s="14">
        <v>0.33776879496872397</v>
      </c>
      <c r="Q7135" t="str">
        <f t="shared" si="222"/>
        <v>&lt;01</v>
      </c>
      <c r="R7135" t="str">
        <f t="shared" si="223"/>
        <v>[U8c0so51kT6]|&lt;01|Male|PLHIV_Attend.T2|CY2025Q3</v>
      </c>
    </row>
    <row r="7136" spans="4:18" x14ac:dyDescent="0.2">
      <c r="D7136" t="s">
        <v>110</v>
      </c>
      <c r="E7136" t="s">
        <v>111</v>
      </c>
      <c r="F7136" t="s">
        <v>112</v>
      </c>
      <c r="G7136" t="s">
        <v>173</v>
      </c>
      <c r="H7136" t="s">
        <v>173</v>
      </c>
      <c r="I7136" t="s">
        <v>32</v>
      </c>
      <c r="J7136" t="s">
        <v>33</v>
      </c>
      <c r="K7136" t="s">
        <v>47</v>
      </c>
      <c r="L7136" t="s">
        <v>48</v>
      </c>
      <c r="M7136" t="s">
        <v>172</v>
      </c>
      <c r="N7136">
        <v>1691</v>
      </c>
      <c r="O7136" s="14">
        <v>4.3620662298053503E-2</v>
      </c>
      <c r="P7136" s="14">
        <v>0.33776879496872397</v>
      </c>
      <c r="Q7136" t="str">
        <f t="shared" si="222"/>
        <v>01-09</v>
      </c>
      <c r="R7136" t="str">
        <f t="shared" si="223"/>
        <v>[U8c0so51kT6]|01-09|Male|PLHIV_Attend.T2|CY2025Q3</v>
      </c>
    </row>
    <row r="7137" spans="4:18" x14ac:dyDescent="0.2">
      <c r="D7137" t="s">
        <v>110</v>
      </c>
      <c r="E7137" t="s">
        <v>111</v>
      </c>
      <c r="F7137" t="s">
        <v>112</v>
      </c>
      <c r="G7137" t="s">
        <v>173</v>
      </c>
      <c r="H7137" t="s">
        <v>173</v>
      </c>
      <c r="I7137" t="s">
        <v>35</v>
      </c>
      <c r="J7137" t="s">
        <v>36</v>
      </c>
      <c r="K7137" t="s">
        <v>47</v>
      </c>
      <c r="L7137" t="s">
        <v>48</v>
      </c>
      <c r="M7137" t="s">
        <v>172</v>
      </c>
      <c r="N7137">
        <v>1030</v>
      </c>
      <c r="O7137" s="14">
        <v>0.132702873554081</v>
      </c>
      <c r="P7137" s="14">
        <v>0.33776879496872397</v>
      </c>
      <c r="Q7137" t="str">
        <f t="shared" si="222"/>
        <v>10-14</v>
      </c>
      <c r="R7137" t="str">
        <f t="shared" si="223"/>
        <v>[U8c0so51kT6]|10-14|Male|PLHIV_Attend.T2|CY2025Q3</v>
      </c>
    </row>
    <row r="7138" spans="4:18" x14ac:dyDescent="0.2">
      <c r="D7138" t="s">
        <v>110</v>
      </c>
      <c r="E7138" t="s">
        <v>111</v>
      </c>
      <c r="F7138" t="s">
        <v>112</v>
      </c>
      <c r="G7138" t="s">
        <v>173</v>
      </c>
      <c r="H7138" t="s">
        <v>173</v>
      </c>
      <c r="I7138" t="s">
        <v>37</v>
      </c>
      <c r="J7138" t="s">
        <v>38</v>
      </c>
      <c r="K7138" t="s">
        <v>47</v>
      </c>
      <c r="L7138" t="s">
        <v>48</v>
      </c>
      <c r="M7138" t="s">
        <v>172</v>
      </c>
      <c r="N7138">
        <v>1178</v>
      </c>
      <c r="O7138" s="14">
        <v>0.74951515905559096</v>
      </c>
      <c r="P7138" s="14">
        <v>0.33776879496872397</v>
      </c>
      <c r="Q7138" t="str">
        <f t="shared" si="222"/>
        <v>15-24</v>
      </c>
      <c r="R7138" t="str">
        <f t="shared" si="223"/>
        <v>[U8c0so51kT6]|15-24|Male|PLHIV_Attend.T2|CY2025Q3</v>
      </c>
    </row>
    <row r="7139" spans="4:18" x14ac:dyDescent="0.2">
      <c r="D7139" t="s">
        <v>110</v>
      </c>
      <c r="E7139" t="s">
        <v>111</v>
      </c>
      <c r="F7139" t="s">
        <v>112</v>
      </c>
      <c r="G7139" t="s">
        <v>173</v>
      </c>
      <c r="H7139" t="s">
        <v>173</v>
      </c>
      <c r="I7139" t="s">
        <v>40</v>
      </c>
      <c r="J7139" t="s">
        <v>41</v>
      </c>
      <c r="K7139" t="s">
        <v>47</v>
      </c>
      <c r="L7139" t="s">
        <v>48</v>
      </c>
      <c r="M7139" t="s">
        <v>172</v>
      </c>
      <c r="N7139">
        <v>984</v>
      </c>
      <c r="O7139" s="14">
        <v>0.53962703817524005</v>
      </c>
      <c r="P7139" s="14">
        <v>0.33776879496872397</v>
      </c>
      <c r="Q7139" t="str">
        <f t="shared" si="222"/>
        <v>25-34</v>
      </c>
      <c r="R7139" t="str">
        <f t="shared" si="223"/>
        <v>[U8c0so51kT6]|25-34|Male|PLHIV_Attend.T2|CY2025Q3</v>
      </c>
    </row>
    <row r="7140" spans="4:18" x14ac:dyDescent="0.2">
      <c r="D7140" t="s">
        <v>110</v>
      </c>
      <c r="E7140" t="s">
        <v>111</v>
      </c>
      <c r="F7140" t="s">
        <v>112</v>
      </c>
      <c r="G7140" t="s">
        <v>173</v>
      </c>
      <c r="H7140" t="s">
        <v>173</v>
      </c>
      <c r="I7140" t="s">
        <v>42</v>
      </c>
      <c r="J7140" t="s">
        <v>43</v>
      </c>
      <c r="K7140" t="s">
        <v>47</v>
      </c>
      <c r="L7140" t="s">
        <v>48</v>
      </c>
      <c r="M7140" t="s">
        <v>172</v>
      </c>
      <c r="N7140">
        <v>1340</v>
      </c>
      <c r="O7140" s="14">
        <v>0.97993034566752601</v>
      </c>
      <c r="P7140" s="14">
        <v>0.33776879496872397</v>
      </c>
      <c r="Q7140" t="str">
        <f t="shared" si="222"/>
        <v>35-49</v>
      </c>
      <c r="R7140" t="str">
        <f t="shared" si="223"/>
        <v>[U8c0so51kT6]|35-49|Male|PLHIV_Attend.T2|CY2025Q3</v>
      </c>
    </row>
    <row r="7141" spans="4:18" x14ac:dyDescent="0.2">
      <c r="D7141" t="s">
        <v>110</v>
      </c>
      <c r="E7141" t="s">
        <v>111</v>
      </c>
      <c r="F7141" t="s">
        <v>112</v>
      </c>
      <c r="G7141" t="s">
        <v>173</v>
      </c>
      <c r="H7141" t="s">
        <v>173</v>
      </c>
      <c r="I7141" t="s">
        <v>44</v>
      </c>
      <c r="J7141" t="s">
        <v>45</v>
      </c>
      <c r="K7141" t="s">
        <v>47</v>
      </c>
      <c r="L7141" t="s">
        <v>48</v>
      </c>
      <c r="M7141" t="s">
        <v>172</v>
      </c>
      <c r="N7141">
        <v>1385</v>
      </c>
      <c r="O7141" s="14">
        <v>0.146669859997928</v>
      </c>
      <c r="P7141" s="14">
        <v>0.33776879496872397</v>
      </c>
      <c r="Q7141" t="str">
        <f t="shared" si="222"/>
        <v>50+</v>
      </c>
      <c r="R7141" t="str">
        <f t="shared" si="223"/>
        <v>[U8c0so51kT6]|50+|Male|PLHIV_Attend.T2|CY2025Q3</v>
      </c>
    </row>
    <row r="7142" spans="4:18" x14ac:dyDescent="0.2">
      <c r="D7142" t="s">
        <v>113</v>
      </c>
      <c r="E7142" t="s">
        <v>114</v>
      </c>
      <c r="F7142" t="s">
        <v>115</v>
      </c>
      <c r="G7142" t="s">
        <v>173</v>
      </c>
      <c r="H7142" t="s">
        <v>173</v>
      </c>
      <c r="I7142" t="s">
        <v>27</v>
      </c>
      <c r="J7142" t="s">
        <v>28</v>
      </c>
      <c r="K7142" t="s">
        <v>29</v>
      </c>
      <c r="L7142" t="s">
        <v>30</v>
      </c>
      <c r="M7142" t="s">
        <v>172</v>
      </c>
      <c r="N7142">
        <v>760</v>
      </c>
      <c r="O7142" s="14">
        <v>0.45662143593653998</v>
      </c>
      <c r="P7142" s="14">
        <v>0.29855980910360802</v>
      </c>
      <c r="Q7142" t="str">
        <f t="shared" si="222"/>
        <v>&lt;01</v>
      </c>
      <c r="R7142" t="str">
        <f t="shared" si="223"/>
        <v>[rpw540fmNUz]|&lt;01|Female|PLHIV_Attend.T2|CY2025Q3</v>
      </c>
    </row>
    <row r="7143" spans="4:18" x14ac:dyDescent="0.2">
      <c r="D7143" t="s">
        <v>113</v>
      </c>
      <c r="E7143" t="s">
        <v>114</v>
      </c>
      <c r="F7143" t="s">
        <v>115</v>
      </c>
      <c r="G7143" t="s">
        <v>173</v>
      </c>
      <c r="H7143" t="s">
        <v>173</v>
      </c>
      <c r="I7143" t="s">
        <v>32</v>
      </c>
      <c r="J7143" t="s">
        <v>33</v>
      </c>
      <c r="K7143" t="s">
        <v>29</v>
      </c>
      <c r="L7143" t="s">
        <v>30</v>
      </c>
      <c r="M7143" t="s">
        <v>172</v>
      </c>
      <c r="N7143">
        <v>1304</v>
      </c>
      <c r="O7143" s="14">
        <v>0.87287785741500601</v>
      </c>
      <c r="P7143" s="14">
        <v>0.29855980910360802</v>
      </c>
      <c r="Q7143" t="str">
        <f t="shared" si="222"/>
        <v>01-09</v>
      </c>
      <c r="R7143" t="str">
        <f t="shared" si="223"/>
        <v>[rpw540fmNUz]|01-09|Female|PLHIV_Attend.T2|CY2025Q3</v>
      </c>
    </row>
    <row r="7144" spans="4:18" x14ac:dyDescent="0.2">
      <c r="D7144" t="s">
        <v>113</v>
      </c>
      <c r="E7144" t="s">
        <v>114</v>
      </c>
      <c r="F7144" t="s">
        <v>115</v>
      </c>
      <c r="G7144" t="s">
        <v>173</v>
      </c>
      <c r="H7144" t="s">
        <v>173</v>
      </c>
      <c r="I7144" t="s">
        <v>35</v>
      </c>
      <c r="J7144" t="s">
        <v>36</v>
      </c>
      <c r="K7144" t="s">
        <v>29</v>
      </c>
      <c r="L7144" t="s">
        <v>30</v>
      </c>
      <c r="M7144" t="s">
        <v>172</v>
      </c>
      <c r="N7144">
        <v>1969</v>
      </c>
      <c r="O7144" s="14">
        <v>0.38425492309033898</v>
      </c>
      <c r="P7144" s="14">
        <v>0.29855980910360802</v>
      </c>
      <c r="Q7144" t="str">
        <f t="shared" si="222"/>
        <v>10-14</v>
      </c>
      <c r="R7144" t="str">
        <f t="shared" si="223"/>
        <v>[rpw540fmNUz]|10-14|Female|PLHIV_Attend.T2|CY2025Q3</v>
      </c>
    </row>
    <row r="7145" spans="4:18" x14ac:dyDescent="0.2">
      <c r="D7145" t="s">
        <v>113</v>
      </c>
      <c r="E7145" t="s">
        <v>114</v>
      </c>
      <c r="F7145" t="s">
        <v>115</v>
      </c>
      <c r="G7145" t="s">
        <v>173</v>
      </c>
      <c r="H7145" t="s">
        <v>173</v>
      </c>
      <c r="I7145" t="s">
        <v>37</v>
      </c>
      <c r="J7145" t="s">
        <v>38</v>
      </c>
      <c r="K7145" t="s">
        <v>29</v>
      </c>
      <c r="L7145" t="s">
        <v>30</v>
      </c>
      <c r="M7145" t="s">
        <v>172</v>
      </c>
      <c r="N7145">
        <v>1022</v>
      </c>
      <c r="O7145" s="14">
        <v>0.15528822829946901</v>
      </c>
      <c r="P7145" s="14">
        <v>0.29855980910360802</v>
      </c>
      <c r="Q7145" t="str">
        <f t="shared" si="222"/>
        <v>15-24</v>
      </c>
      <c r="R7145" t="str">
        <f t="shared" si="223"/>
        <v>[rpw540fmNUz]|15-24|Female|PLHIV_Attend.T2|CY2025Q3</v>
      </c>
    </row>
    <row r="7146" spans="4:18" x14ac:dyDescent="0.2">
      <c r="D7146" t="s">
        <v>113</v>
      </c>
      <c r="E7146" t="s">
        <v>114</v>
      </c>
      <c r="F7146" t="s">
        <v>115</v>
      </c>
      <c r="G7146" t="s">
        <v>173</v>
      </c>
      <c r="H7146" t="s">
        <v>173</v>
      </c>
      <c r="I7146" t="s">
        <v>40</v>
      </c>
      <c r="J7146" t="s">
        <v>41</v>
      </c>
      <c r="K7146" t="s">
        <v>29</v>
      </c>
      <c r="L7146" t="s">
        <v>30</v>
      </c>
      <c r="M7146" t="s">
        <v>172</v>
      </c>
      <c r="N7146">
        <v>1294</v>
      </c>
      <c r="O7146" s="14">
        <v>0.14562187413684999</v>
      </c>
      <c r="P7146" s="14">
        <v>0.29855980910360802</v>
      </c>
      <c r="Q7146" t="str">
        <f t="shared" si="222"/>
        <v>25-34</v>
      </c>
      <c r="R7146" t="str">
        <f t="shared" si="223"/>
        <v>[rpw540fmNUz]|25-34|Female|PLHIV_Attend.T2|CY2025Q3</v>
      </c>
    </row>
    <row r="7147" spans="4:18" x14ac:dyDescent="0.2">
      <c r="D7147" t="s">
        <v>113</v>
      </c>
      <c r="E7147" t="s">
        <v>114</v>
      </c>
      <c r="F7147" t="s">
        <v>115</v>
      </c>
      <c r="G7147" t="s">
        <v>173</v>
      </c>
      <c r="H7147" t="s">
        <v>173</v>
      </c>
      <c r="I7147" t="s">
        <v>42</v>
      </c>
      <c r="J7147" t="s">
        <v>43</v>
      </c>
      <c r="K7147" t="s">
        <v>29</v>
      </c>
      <c r="L7147" t="s">
        <v>30</v>
      </c>
      <c r="M7147" t="s">
        <v>172</v>
      </c>
      <c r="N7147">
        <v>1895</v>
      </c>
      <c r="O7147" s="14">
        <v>0.70117851183749702</v>
      </c>
      <c r="P7147" s="14">
        <v>0.29855980910360802</v>
      </c>
      <c r="Q7147" t="str">
        <f t="shared" si="222"/>
        <v>35-49</v>
      </c>
      <c r="R7147" t="str">
        <f t="shared" si="223"/>
        <v>[rpw540fmNUz]|35-49|Female|PLHIV_Attend.T2|CY2025Q3</v>
      </c>
    </row>
    <row r="7148" spans="4:18" x14ac:dyDescent="0.2">
      <c r="D7148" t="s">
        <v>113</v>
      </c>
      <c r="E7148" t="s">
        <v>114</v>
      </c>
      <c r="F7148" t="s">
        <v>115</v>
      </c>
      <c r="G7148" t="s">
        <v>173</v>
      </c>
      <c r="H7148" t="s">
        <v>173</v>
      </c>
      <c r="I7148" t="s">
        <v>44</v>
      </c>
      <c r="J7148" t="s">
        <v>45</v>
      </c>
      <c r="K7148" t="s">
        <v>29</v>
      </c>
      <c r="L7148" t="s">
        <v>30</v>
      </c>
      <c r="M7148" t="s">
        <v>172</v>
      </c>
      <c r="N7148">
        <v>1890</v>
      </c>
      <c r="O7148" s="14">
        <v>0.47938925237394903</v>
      </c>
      <c r="P7148" s="14">
        <v>0.29855980910360802</v>
      </c>
      <c r="Q7148" t="str">
        <f t="shared" si="222"/>
        <v>50+</v>
      </c>
      <c r="R7148" t="str">
        <f t="shared" si="223"/>
        <v>[rpw540fmNUz]|50+|Female|PLHIV_Attend.T2|CY2025Q3</v>
      </c>
    </row>
    <row r="7149" spans="4:18" x14ac:dyDescent="0.2">
      <c r="D7149" t="s">
        <v>113</v>
      </c>
      <c r="E7149" t="s">
        <v>114</v>
      </c>
      <c r="F7149" t="s">
        <v>115</v>
      </c>
      <c r="G7149" t="s">
        <v>173</v>
      </c>
      <c r="H7149" t="s">
        <v>173</v>
      </c>
      <c r="I7149" t="s">
        <v>27</v>
      </c>
      <c r="J7149" t="s">
        <v>28</v>
      </c>
      <c r="K7149" t="s">
        <v>47</v>
      </c>
      <c r="L7149" t="s">
        <v>48</v>
      </c>
      <c r="M7149" t="s">
        <v>172</v>
      </c>
      <c r="N7149">
        <v>1110</v>
      </c>
      <c r="O7149" s="14">
        <v>0.94640122936107196</v>
      </c>
      <c r="P7149" s="14">
        <v>0.29855980910360802</v>
      </c>
      <c r="Q7149" t="str">
        <f t="shared" si="222"/>
        <v>&lt;01</v>
      </c>
      <c r="R7149" t="str">
        <f t="shared" si="223"/>
        <v>[rpw540fmNUz]|&lt;01|Male|PLHIV_Attend.T2|CY2025Q3</v>
      </c>
    </row>
    <row r="7150" spans="4:18" x14ac:dyDescent="0.2">
      <c r="D7150" t="s">
        <v>113</v>
      </c>
      <c r="E7150" t="s">
        <v>114</v>
      </c>
      <c r="F7150" t="s">
        <v>115</v>
      </c>
      <c r="G7150" t="s">
        <v>173</v>
      </c>
      <c r="H7150" t="s">
        <v>173</v>
      </c>
      <c r="I7150" t="s">
        <v>32</v>
      </c>
      <c r="J7150" t="s">
        <v>33</v>
      </c>
      <c r="K7150" t="s">
        <v>47</v>
      </c>
      <c r="L7150" t="s">
        <v>48</v>
      </c>
      <c r="M7150" t="s">
        <v>172</v>
      </c>
      <c r="N7150">
        <v>752</v>
      </c>
      <c r="O7150" s="14">
        <v>0.150570307159796</v>
      </c>
      <c r="P7150" s="14">
        <v>0.29855980910360802</v>
      </c>
      <c r="Q7150" t="str">
        <f t="shared" si="222"/>
        <v>01-09</v>
      </c>
      <c r="R7150" t="str">
        <f t="shared" si="223"/>
        <v>[rpw540fmNUz]|01-09|Male|PLHIV_Attend.T2|CY2025Q3</v>
      </c>
    </row>
    <row r="7151" spans="4:18" x14ac:dyDescent="0.2">
      <c r="D7151" t="s">
        <v>113</v>
      </c>
      <c r="E7151" t="s">
        <v>114</v>
      </c>
      <c r="F7151" t="s">
        <v>115</v>
      </c>
      <c r="G7151" t="s">
        <v>173</v>
      </c>
      <c r="H7151" t="s">
        <v>173</v>
      </c>
      <c r="I7151" t="s">
        <v>35</v>
      </c>
      <c r="J7151" t="s">
        <v>36</v>
      </c>
      <c r="K7151" t="s">
        <v>47</v>
      </c>
      <c r="L7151" t="s">
        <v>48</v>
      </c>
      <c r="M7151" t="s">
        <v>172</v>
      </c>
      <c r="N7151">
        <v>1860</v>
      </c>
      <c r="O7151" s="14">
        <v>0.217020141659304</v>
      </c>
      <c r="P7151" s="14">
        <v>0.29855980910360802</v>
      </c>
      <c r="Q7151" t="str">
        <f t="shared" si="222"/>
        <v>10-14</v>
      </c>
      <c r="R7151" t="str">
        <f t="shared" si="223"/>
        <v>[rpw540fmNUz]|10-14|Male|PLHIV_Attend.T2|CY2025Q3</v>
      </c>
    </row>
    <row r="7152" spans="4:18" x14ac:dyDescent="0.2">
      <c r="D7152" t="s">
        <v>113</v>
      </c>
      <c r="E7152" t="s">
        <v>114</v>
      </c>
      <c r="F7152" t="s">
        <v>115</v>
      </c>
      <c r="G7152" t="s">
        <v>173</v>
      </c>
      <c r="H7152" t="s">
        <v>173</v>
      </c>
      <c r="I7152" t="s">
        <v>37</v>
      </c>
      <c r="J7152" t="s">
        <v>38</v>
      </c>
      <c r="K7152" t="s">
        <v>47</v>
      </c>
      <c r="L7152" t="s">
        <v>48</v>
      </c>
      <c r="M7152" t="s">
        <v>172</v>
      </c>
      <c r="N7152">
        <v>1116</v>
      </c>
      <c r="O7152" s="14">
        <v>0.69998109783045903</v>
      </c>
      <c r="P7152" s="14">
        <v>0.29855980910360802</v>
      </c>
      <c r="Q7152" t="str">
        <f t="shared" si="222"/>
        <v>15-24</v>
      </c>
      <c r="R7152" t="str">
        <f t="shared" si="223"/>
        <v>[rpw540fmNUz]|15-24|Male|PLHIV_Attend.T2|CY2025Q3</v>
      </c>
    </row>
    <row r="7153" spans="4:18" x14ac:dyDescent="0.2">
      <c r="D7153" t="s">
        <v>113</v>
      </c>
      <c r="E7153" t="s">
        <v>114</v>
      </c>
      <c r="F7153" t="s">
        <v>115</v>
      </c>
      <c r="G7153" t="s">
        <v>173</v>
      </c>
      <c r="H7153" t="s">
        <v>173</v>
      </c>
      <c r="I7153" t="s">
        <v>40</v>
      </c>
      <c r="J7153" t="s">
        <v>41</v>
      </c>
      <c r="K7153" t="s">
        <v>47</v>
      </c>
      <c r="L7153" t="s">
        <v>48</v>
      </c>
      <c r="M7153" t="s">
        <v>172</v>
      </c>
      <c r="N7153">
        <v>951</v>
      </c>
      <c r="O7153" s="14">
        <v>0.35289367404766397</v>
      </c>
      <c r="P7153" s="14">
        <v>0.29855980910360802</v>
      </c>
      <c r="Q7153" t="str">
        <f t="shared" si="222"/>
        <v>25-34</v>
      </c>
      <c r="R7153" t="str">
        <f t="shared" si="223"/>
        <v>[rpw540fmNUz]|25-34|Male|PLHIV_Attend.T2|CY2025Q3</v>
      </c>
    </row>
    <row r="7154" spans="4:18" x14ac:dyDescent="0.2">
      <c r="D7154" t="s">
        <v>113</v>
      </c>
      <c r="E7154" t="s">
        <v>114</v>
      </c>
      <c r="F7154" t="s">
        <v>115</v>
      </c>
      <c r="G7154" t="s">
        <v>173</v>
      </c>
      <c r="H7154" t="s">
        <v>173</v>
      </c>
      <c r="I7154" t="s">
        <v>42</v>
      </c>
      <c r="J7154" t="s">
        <v>43</v>
      </c>
      <c r="K7154" t="s">
        <v>47</v>
      </c>
      <c r="L7154" t="s">
        <v>48</v>
      </c>
      <c r="M7154" t="s">
        <v>172</v>
      </c>
      <c r="N7154">
        <v>1917</v>
      </c>
      <c r="O7154" s="14">
        <v>3.2491097226738902E-2</v>
      </c>
      <c r="P7154" s="14">
        <v>0.29855980910360802</v>
      </c>
      <c r="Q7154" t="str">
        <f t="shared" si="222"/>
        <v>35-49</v>
      </c>
      <c r="R7154" t="str">
        <f t="shared" si="223"/>
        <v>[rpw540fmNUz]|35-49|Male|PLHIV_Attend.T2|CY2025Q3</v>
      </c>
    </row>
    <row r="7155" spans="4:18" x14ac:dyDescent="0.2">
      <c r="D7155" t="s">
        <v>113</v>
      </c>
      <c r="E7155" t="s">
        <v>114</v>
      </c>
      <c r="F7155" t="s">
        <v>115</v>
      </c>
      <c r="G7155" t="s">
        <v>173</v>
      </c>
      <c r="H7155" t="s">
        <v>173</v>
      </c>
      <c r="I7155" t="s">
        <v>44</v>
      </c>
      <c r="J7155" t="s">
        <v>45</v>
      </c>
      <c r="K7155" t="s">
        <v>47</v>
      </c>
      <c r="L7155" t="s">
        <v>48</v>
      </c>
      <c r="M7155" t="s">
        <v>172</v>
      </c>
      <c r="N7155">
        <v>538</v>
      </c>
      <c r="O7155" s="14">
        <v>0.74788949452340603</v>
      </c>
      <c r="P7155" s="14">
        <v>0.29855980910360802</v>
      </c>
      <c r="Q7155" t="str">
        <f t="shared" si="222"/>
        <v>50+</v>
      </c>
      <c r="R7155" t="str">
        <f t="shared" si="223"/>
        <v>[rpw540fmNUz]|50+|Male|PLHIV_Attend.T2|CY2025Q3</v>
      </c>
    </row>
    <row r="7156" spans="4:18" x14ac:dyDescent="0.2">
      <c r="D7156" t="s">
        <v>116</v>
      </c>
      <c r="E7156" t="s">
        <v>117</v>
      </c>
      <c r="F7156" t="s">
        <v>118</v>
      </c>
      <c r="G7156" t="s">
        <v>173</v>
      </c>
      <c r="H7156" t="s">
        <v>173</v>
      </c>
      <c r="I7156" t="s">
        <v>27</v>
      </c>
      <c r="J7156" t="s">
        <v>28</v>
      </c>
      <c r="K7156" t="s">
        <v>29</v>
      </c>
      <c r="L7156" t="s">
        <v>30</v>
      </c>
      <c r="M7156" t="s">
        <v>172</v>
      </c>
      <c r="N7156">
        <v>1995</v>
      </c>
      <c r="O7156" s="14">
        <v>0.76380426553077996</v>
      </c>
      <c r="P7156" s="14">
        <v>0.206259709550068</v>
      </c>
      <c r="Q7156" t="str">
        <f t="shared" si="222"/>
        <v>&lt;01</v>
      </c>
      <c r="R7156" t="str">
        <f t="shared" si="223"/>
        <v>[lPTyjLi4w3d]|&lt;01|Female|PLHIV_Attend.T2|CY2025Q3</v>
      </c>
    </row>
    <row r="7157" spans="4:18" x14ac:dyDescent="0.2">
      <c r="D7157" t="s">
        <v>116</v>
      </c>
      <c r="E7157" t="s">
        <v>117</v>
      </c>
      <c r="F7157" t="s">
        <v>118</v>
      </c>
      <c r="G7157" t="s">
        <v>173</v>
      </c>
      <c r="H7157" t="s">
        <v>173</v>
      </c>
      <c r="I7157" t="s">
        <v>32</v>
      </c>
      <c r="J7157" t="s">
        <v>33</v>
      </c>
      <c r="K7157" t="s">
        <v>29</v>
      </c>
      <c r="L7157" t="s">
        <v>30</v>
      </c>
      <c r="M7157" t="s">
        <v>172</v>
      </c>
      <c r="N7157">
        <v>1550</v>
      </c>
      <c r="O7157" s="14">
        <v>0.21496988204307901</v>
      </c>
      <c r="P7157" s="14">
        <v>0.206259709550068</v>
      </c>
      <c r="Q7157" t="str">
        <f t="shared" si="222"/>
        <v>01-09</v>
      </c>
      <c r="R7157" t="str">
        <f t="shared" si="223"/>
        <v>[lPTyjLi4w3d]|01-09|Female|PLHIV_Attend.T2|CY2025Q3</v>
      </c>
    </row>
    <row r="7158" spans="4:18" x14ac:dyDescent="0.2">
      <c r="D7158" t="s">
        <v>116</v>
      </c>
      <c r="E7158" t="s">
        <v>117</v>
      </c>
      <c r="F7158" t="s">
        <v>118</v>
      </c>
      <c r="G7158" t="s">
        <v>173</v>
      </c>
      <c r="H7158" t="s">
        <v>173</v>
      </c>
      <c r="I7158" t="s">
        <v>35</v>
      </c>
      <c r="J7158" t="s">
        <v>36</v>
      </c>
      <c r="K7158" t="s">
        <v>29</v>
      </c>
      <c r="L7158" t="s">
        <v>30</v>
      </c>
      <c r="M7158" t="s">
        <v>172</v>
      </c>
      <c r="N7158">
        <v>1970</v>
      </c>
      <c r="O7158" s="14">
        <v>0.74241967080160998</v>
      </c>
      <c r="P7158" s="14">
        <v>0.206259709550068</v>
      </c>
      <c r="Q7158" t="str">
        <f t="shared" si="222"/>
        <v>10-14</v>
      </c>
      <c r="R7158" t="str">
        <f t="shared" si="223"/>
        <v>[lPTyjLi4w3d]|10-14|Female|PLHIV_Attend.T2|CY2025Q3</v>
      </c>
    </row>
    <row r="7159" spans="4:18" x14ac:dyDescent="0.2">
      <c r="D7159" t="s">
        <v>116</v>
      </c>
      <c r="E7159" t="s">
        <v>117</v>
      </c>
      <c r="F7159" t="s">
        <v>118</v>
      </c>
      <c r="G7159" t="s">
        <v>173</v>
      </c>
      <c r="H7159" t="s">
        <v>173</v>
      </c>
      <c r="I7159" t="s">
        <v>37</v>
      </c>
      <c r="J7159" t="s">
        <v>38</v>
      </c>
      <c r="K7159" t="s">
        <v>29</v>
      </c>
      <c r="L7159" t="s">
        <v>30</v>
      </c>
      <c r="M7159" t="s">
        <v>172</v>
      </c>
      <c r="N7159">
        <v>912</v>
      </c>
      <c r="O7159" s="14">
        <v>6.1473874840885401E-2</v>
      </c>
      <c r="P7159" s="14">
        <v>0.206259709550068</v>
      </c>
      <c r="Q7159" t="str">
        <f t="shared" si="222"/>
        <v>15-24</v>
      </c>
      <c r="R7159" t="str">
        <f t="shared" si="223"/>
        <v>[lPTyjLi4w3d]|15-24|Female|PLHIV_Attend.T2|CY2025Q3</v>
      </c>
    </row>
    <row r="7160" spans="4:18" x14ac:dyDescent="0.2">
      <c r="D7160" t="s">
        <v>116</v>
      </c>
      <c r="E7160" t="s">
        <v>117</v>
      </c>
      <c r="F7160" t="s">
        <v>118</v>
      </c>
      <c r="G7160" t="s">
        <v>173</v>
      </c>
      <c r="H7160" t="s">
        <v>173</v>
      </c>
      <c r="I7160" t="s">
        <v>40</v>
      </c>
      <c r="J7160" t="s">
        <v>41</v>
      </c>
      <c r="K7160" t="s">
        <v>29</v>
      </c>
      <c r="L7160" t="s">
        <v>30</v>
      </c>
      <c r="M7160" t="s">
        <v>172</v>
      </c>
      <c r="N7160">
        <v>1059</v>
      </c>
      <c r="O7160" s="14">
        <v>0.35061667906120397</v>
      </c>
      <c r="P7160" s="14">
        <v>0.206259709550068</v>
      </c>
      <c r="Q7160" t="str">
        <f t="shared" si="222"/>
        <v>25-34</v>
      </c>
      <c r="R7160" t="str">
        <f t="shared" si="223"/>
        <v>[lPTyjLi4w3d]|25-34|Female|PLHIV_Attend.T2|CY2025Q3</v>
      </c>
    </row>
    <row r="7161" spans="4:18" x14ac:dyDescent="0.2">
      <c r="D7161" t="s">
        <v>116</v>
      </c>
      <c r="E7161" t="s">
        <v>117</v>
      </c>
      <c r="F7161" t="s">
        <v>118</v>
      </c>
      <c r="G7161" t="s">
        <v>173</v>
      </c>
      <c r="H7161" t="s">
        <v>173</v>
      </c>
      <c r="I7161" t="s">
        <v>42</v>
      </c>
      <c r="J7161" t="s">
        <v>43</v>
      </c>
      <c r="K7161" t="s">
        <v>29</v>
      </c>
      <c r="L7161" t="s">
        <v>30</v>
      </c>
      <c r="M7161" t="s">
        <v>172</v>
      </c>
      <c r="N7161">
        <v>1448</v>
      </c>
      <c r="O7161" s="14">
        <v>0.97789128078147802</v>
      </c>
      <c r="P7161" s="14">
        <v>0.206259709550068</v>
      </c>
      <c r="Q7161" t="str">
        <f t="shared" si="222"/>
        <v>35-49</v>
      </c>
      <c r="R7161" t="str">
        <f t="shared" si="223"/>
        <v>[lPTyjLi4w3d]|35-49|Female|PLHIV_Attend.T2|CY2025Q3</v>
      </c>
    </row>
    <row r="7162" spans="4:18" x14ac:dyDescent="0.2">
      <c r="D7162" t="s">
        <v>116</v>
      </c>
      <c r="E7162" t="s">
        <v>117</v>
      </c>
      <c r="F7162" t="s">
        <v>118</v>
      </c>
      <c r="G7162" t="s">
        <v>173</v>
      </c>
      <c r="H7162" t="s">
        <v>173</v>
      </c>
      <c r="I7162" t="s">
        <v>44</v>
      </c>
      <c r="J7162" t="s">
        <v>45</v>
      </c>
      <c r="K7162" t="s">
        <v>29</v>
      </c>
      <c r="L7162" t="s">
        <v>30</v>
      </c>
      <c r="M7162" t="s">
        <v>172</v>
      </c>
      <c r="N7162">
        <v>1275</v>
      </c>
      <c r="O7162" s="14">
        <v>0.31858086702413901</v>
      </c>
      <c r="P7162" s="14">
        <v>0.206259709550068</v>
      </c>
      <c r="Q7162" t="str">
        <f t="shared" si="222"/>
        <v>50+</v>
      </c>
      <c r="R7162" t="str">
        <f t="shared" si="223"/>
        <v>[lPTyjLi4w3d]|50+|Female|PLHIV_Attend.T2|CY2025Q3</v>
      </c>
    </row>
    <row r="7163" spans="4:18" x14ac:dyDescent="0.2">
      <c r="D7163" t="s">
        <v>116</v>
      </c>
      <c r="E7163" t="s">
        <v>117</v>
      </c>
      <c r="F7163" t="s">
        <v>118</v>
      </c>
      <c r="G7163" t="s">
        <v>173</v>
      </c>
      <c r="H7163" t="s">
        <v>173</v>
      </c>
      <c r="I7163" t="s">
        <v>27</v>
      </c>
      <c r="J7163" t="s">
        <v>28</v>
      </c>
      <c r="K7163" t="s">
        <v>47</v>
      </c>
      <c r="L7163" t="s">
        <v>48</v>
      </c>
      <c r="M7163" t="s">
        <v>172</v>
      </c>
      <c r="N7163">
        <v>1758</v>
      </c>
      <c r="O7163" s="14">
        <v>0.89639754081144896</v>
      </c>
      <c r="P7163" s="14">
        <v>0.206259709550068</v>
      </c>
      <c r="Q7163" t="str">
        <f t="shared" si="222"/>
        <v>&lt;01</v>
      </c>
      <c r="R7163" t="str">
        <f t="shared" si="223"/>
        <v>[lPTyjLi4w3d]|&lt;01|Male|PLHIV_Attend.T2|CY2025Q3</v>
      </c>
    </row>
    <row r="7164" spans="4:18" x14ac:dyDescent="0.2">
      <c r="D7164" t="s">
        <v>116</v>
      </c>
      <c r="E7164" t="s">
        <v>117</v>
      </c>
      <c r="F7164" t="s">
        <v>118</v>
      </c>
      <c r="G7164" t="s">
        <v>173</v>
      </c>
      <c r="H7164" t="s">
        <v>173</v>
      </c>
      <c r="I7164" t="s">
        <v>32</v>
      </c>
      <c r="J7164" t="s">
        <v>33</v>
      </c>
      <c r="K7164" t="s">
        <v>47</v>
      </c>
      <c r="L7164" t="s">
        <v>48</v>
      </c>
      <c r="M7164" t="s">
        <v>172</v>
      </c>
      <c r="N7164">
        <v>1355</v>
      </c>
      <c r="O7164" s="14">
        <v>0.85299946926534198</v>
      </c>
      <c r="P7164" s="14">
        <v>0.206259709550068</v>
      </c>
      <c r="Q7164" t="str">
        <f t="shared" si="222"/>
        <v>01-09</v>
      </c>
      <c r="R7164" t="str">
        <f t="shared" si="223"/>
        <v>[lPTyjLi4w3d]|01-09|Male|PLHIV_Attend.T2|CY2025Q3</v>
      </c>
    </row>
    <row r="7165" spans="4:18" x14ac:dyDescent="0.2">
      <c r="D7165" t="s">
        <v>116</v>
      </c>
      <c r="E7165" t="s">
        <v>117</v>
      </c>
      <c r="F7165" t="s">
        <v>118</v>
      </c>
      <c r="G7165" t="s">
        <v>173</v>
      </c>
      <c r="H7165" t="s">
        <v>173</v>
      </c>
      <c r="I7165" t="s">
        <v>35</v>
      </c>
      <c r="J7165" t="s">
        <v>36</v>
      </c>
      <c r="K7165" t="s">
        <v>47</v>
      </c>
      <c r="L7165" t="s">
        <v>48</v>
      </c>
      <c r="M7165" t="s">
        <v>172</v>
      </c>
      <c r="N7165">
        <v>1183</v>
      </c>
      <c r="O7165" s="14">
        <v>0.19849198637530199</v>
      </c>
      <c r="P7165" s="14">
        <v>0.206259709550068</v>
      </c>
      <c r="Q7165" t="str">
        <f t="shared" si="222"/>
        <v>10-14</v>
      </c>
      <c r="R7165" t="str">
        <f t="shared" si="223"/>
        <v>[lPTyjLi4w3d]|10-14|Male|PLHIV_Attend.T2|CY2025Q3</v>
      </c>
    </row>
    <row r="7166" spans="4:18" x14ac:dyDescent="0.2">
      <c r="D7166" t="s">
        <v>116</v>
      </c>
      <c r="E7166" t="s">
        <v>117</v>
      </c>
      <c r="F7166" t="s">
        <v>118</v>
      </c>
      <c r="G7166" t="s">
        <v>173</v>
      </c>
      <c r="H7166" t="s">
        <v>173</v>
      </c>
      <c r="I7166" t="s">
        <v>37</v>
      </c>
      <c r="J7166" t="s">
        <v>38</v>
      </c>
      <c r="K7166" t="s">
        <v>47</v>
      </c>
      <c r="L7166" t="s">
        <v>48</v>
      </c>
      <c r="M7166" t="s">
        <v>172</v>
      </c>
      <c r="N7166">
        <v>997</v>
      </c>
      <c r="O7166" s="14">
        <v>0.634626814862713</v>
      </c>
      <c r="P7166" s="14">
        <v>0.206259709550068</v>
      </c>
      <c r="Q7166" t="str">
        <f t="shared" si="222"/>
        <v>15-24</v>
      </c>
      <c r="R7166" t="str">
        <f t="shared" si="223"/>
        <v>[lPTyjLi4w3d]|15-24|Male|PLHIV_Attend.T2|CY2025Q3</v>
      </c>
    </row>
    <row r="7167" spans="4:18" x14ac:dyDescent="0.2">
      <c r="D7167" t="s">
        <v>116</v>
      </c>
      <c r="E7167" t="s">
        <v>117</v>
      </c>
      <c r="F7167" t="s">
        <v>118</v>
      </c>
      <c r="G7167" t="s">
        <v>173</v>
      </c>
      <c r="H7167" t="s">
        <v>173</v>
      </c>
      <c r="I7167" t="s">
        <v>40</v>
      </c>
      <c r="J7167" t="s">
        <v>41</v>
      </c>
      <c r="K7167" t="s">
        <v>47</v>
      </c>
      <c r="L7167" t="s">
        <v>48</v>
      </c>
      <c r="M7167" t="s">
        <v>172</v>
      </c>
      <c r="N7167">
        <v>660</v>
      </c>
      <c r="O7167" s="14">
        <v>0.22518240427598399</v>
      </c>
      <c r="P7167" s="14">
        <v>0.206259709550068</v>
      </c>
      <c r="Q7167" t="str">
        <f t="shared" si="222"/>
        <v>25-34</v>
      </c>
      <c r="R7167" t="str">
        <f t="shared" si="223"/>
        <v>[lPTyjLi4w3d]|25-34|Male|PLHIV_Attend.T2|CY2025Q3</v>
      </c>
    </row>
    <row r="7168" spans="4:18" x14ac:dyDescent="0.2">
      <c r="D7168" t="s">
        <v>116</v>
      </c>
      <c r="E7168" t="s">
        <v>117</v>
      </c>
      <c r="F7168" t="s">
        <v>118</v>
      </c>
      <c r="G7168" t="s">
        <v>173</v>
      </c>
      <c r="H7168" t="s">
        <v>173</v>
      </c>
      <c r="I7168" t="s">
        <v>42</v>
      </c>
      <c r="J7168" t="s">
        <v>43</v>
      </c>
      <c r="K7168" t="s">
        <v>47</v>
      </c>
      <c r="L7168" t="s">
        <v>48</v>
      </c>
      <c r="M7168" t="s">
        <v>172</v>
      </c>
      <c r="N7168">
        <v>1949</v>
      </c>
      <c r="O7168" s="14">
        <v>5.08048580959439E-2</v>
      </c>
      <c r="P7168" s="14">
        <v>0.206259709550068</v>
      </c>
      <c r="Q7168" t="str">
        <f t="shared" si="222"/>
        <v>35-49</v>
      </c>
      <c r="R7168" t="str">
        <f t="shared" si="223"/>
        <v>[lPTyjLi4w3d]|35-49|Male|PLHIV_Attend.T2|CY2025Q3</v>
      </c>
    </row>
    <row r="7169" spans="4:18" x14ac:dyDescent="0.2">
      <c r="D7169" t="s">
        <v>116</v>
      </c>
      <c r="E7169" t="s">
        <v>117</v>
      </c>
      <c r="F7169" t="s">
        <v>118</v>
      </c>
      <c r="G7169" t="s">
        <v>173</v>
      </c>
      <c r="H7169" t="s">
        <v>173</v>
      </c>
      <c r="I7169" t="s">
        <v>44</v>
      </c>
      <c r="J7169" t="s">
        <v>45</v>
      </c>
      <c r="K7169" t="s">
        <v>47</v>
      </c>
      <c r="L7169" t="s">
        <v>48</v>
      </c>
      <c r="M7169" t="s">
        <v>172</v>
      </c>
      <c r="N7169">
        <v>971</v>
      </c>
      <c r="O7169" s="14">
        <v>0.52249019383452799</v>
      </c>
      <c r="P7169" s="14">
        <v>0.206259709550068</v>
      </c>
      <c r="Q7169" t="str">
        <f t="shared" si="222"/>
        <v>50+</v>
      </c>
      <c r="R7169" t="str">
        <f t="shared" si="223"/>
        <v>[lPTyjLi4w3d]|50+|Male|PLHIV_Attend.T2|CY2025Q3</v>
      </c>
    </row>
    <row r="7170" spans="4:18" x14ac:dyDescent="0.2">
      <c r="D7170" t="s">
        <v>119</v>
      </c>
      <c r="E7170" t="s">
        <v>120</v>
      </c>
      <c r="F7170" t="s">
        <v>121</v>
      </c>
      <c r="G7170" t="s">
        <v>173</v>
      </c>
      <c r="H7170" t="s">
        <v>173</v>
      </c>
      <c r="I7170" t="s">
        <v>27</v>
      </c>
      <c r="J7170" t="s">
        <v>28</v>
      </c>
      <c r="K7170" t="s">
        <v>29</v>
      </c>
      <c r="L7170" t="s">
        <v>30</v>
      </c>
      <c r="M7170" t="s">
        <v>172</v>
      </c>
      <c r="N7170">
        <v>813</v>
      </c>
      <c r="O7170" s="14">
        <v>0.35546848014928401</v>
      </c>
      <c r="P7170" s="14">
        <v>0.43010397930629601</v>
      </c>
      <c r="Q7170" t="str">
        <f t="shared" ref="Q7170:Q7233" si="224">SUBSTITUTE(SUBSTITUTE($I7170,CHAR(61),""),CHAR(34),"")</f>
        <v>&lt;01</v>
      </c>
      <c r="R7170" t="str">
        <f t="shared" ref="R7170:R7233" si="225">IF($D7170&lt;&gt;"","["&amp;$E7170&amp;"]"&amp;"|"&amp;$Q7170&amp;"|"&amp;$K7170&amp;"|"&amp;$G7170&amp;"|"&amp;IF($G7170="TX_CURR_SUBNAT.R","CY2022Q4",$M7170),"")</f>
        <v>[vA4NcHxfMBq]|&lt;01|Female|PLHIV_Attend.T2|CY2025Q3</v>
      </c>
    </row>
    <row r="7171" spans="4:18" x14ac:dyDescent="0.2">
      <c r="D7171" t="s">
        <v>119</v>
      </c>
      <c r="E7171" t="s">
        <v>120</v>
      </c>
      <c r="F7171" t="s">
        <v>121</v>
      </c>
      <c r="G7171" t="s">
        <v>173</v>
      </c>
      <c r="H7171" t="s">
        <v>173</v>
      </c>
      <c r="I7171" t="s">
        <v>32</v>
      </c>
      <c r="J7171" t="s">
        <v>33</v>
      </c>
      <c r="K7171" t="s">
        <v>29</v>
      </c>
      <c r="L7171" t="s">
        <v>30</v>
      </c>
      <c r="M7171" t="s">
        <v>172</v>
      </c>
      <c r="N7171">
        <v>1787</v>
      </c>
      <c r="O7171" s="14">
        <v>0.17127707810141099</v>
      </c>
      <c r="P7171" s="14">
        <v>0.43010397930629601</v>
      </c>
      <c r="Q7171" t="str">
        <f t="shared" si="224"/>
        <v>01-09</v>
      </c>
      <c r="R7171" t="str">
        <f t="shared" si="225"/>
        <v>[vA4NcHxfMBq]|01-09|Female|PLHIV_Attend.T2|CY2025Q3</v>
      </c>
    </row>
    <row r="7172" spans="4:18" x14ac:dyDescent="0.2">
      <c r="D7172" t="s">
        <v>119</v>
      </c>
      <c r="E7172" t="s">
        <v>120</v>
      </c>
      <c r="F7172" t="s">
        <v>121</v>
      </c>
      <c r="G7172" t="s">
        <v>173</v>
      </c>
      <c r="H7172" t="s">
        <v>173</v>
      </c>
      <c r="I7172" t="s">
        <v>35</v>
      </c>
      <c r="J7172" t="s">
        <v>36</v>
      </c>
      <c r="K7172" t="s">
        <v>29</v>
      </c>
      <c r="L7172" t="s">
        <v>30</v>
      </c>
      <c r="M7172" t="s">
        <v>172</v>
      </c>
      <c r="N7172">
        <v>1319</v>
      </c>
      <c r="O7172" s="14">
        <v>0.89803015394136299</v>
      </c>
      <c r="P7172" s="14">
        <v>0.43010397930629601</v>
      </c>
      <c r="Q7172" t="str">
        <f t="shared" si="224"/>
        <v>10-14</v>
      </c>
      <c r="R7172" t="str">
        <f t="shared" si="225"/>
        <v>[vA4NcHxfMBq]|10-14|Female|PLHIV_Attend.T2|CY2025Q3</v>
      </c>
    </row>
    <row r="7173" spans="4:18" x14ac:dyDescent="0.2">
      <c r="D7173" t="s">
        <v>119</v>
      </c>
      <c r="E7173" t="s">
        <v>120</v>
      </c>
      <c r="F7173" t="s">
        <v>121</v>
      </c>
      <c r="G7173" t="s">
        <v>173</v>
      </c>
      <c r="H7173" t="s">
        <v>173</v>
      </c>
      <c r="I7173" t="s">
        <v>37</v>
      </c>
      <c r="J7173" t="s">
        <v>38</v>
      </c>
      <c r="K7173" t="s">
        <v>29</v>
      </c>
      <c r="L7173" t="s">
        <v>30</v>
      </c>
      <c r="M7173" t="s">
        <v>172</v>
      </c>
      <c r="N7173">
        <v>584</v>
      </c>
      <c r="O7173" s="14">
        <v>0.52325071906670895</v>
      </c>
      <c r="P7173" s="14">
        <v>0.43010397930629601</v>
      </c>
      <c r="Q7173" t="str">
        <f t="shared" si="224"/>
        <v>15-24</v>
      </c>
      <c r="R7173" t="str">
        <f t="shared" si="225"/>
        <v>[vA4NcHxfMBq]|15-24|Female|PLHIV_Attend.T2|CY2025Q3</v>
      </c>
    </row>
    <row r="7174" spans="4:18" x14ac:dyDescent="0.2">
      <c r="D7174" t="s">
        <v>119</v>
      </c>
      <c r="E7174" t="s">
        <v>120</v>
      </c>
      <c r="F7174" t="s">
        <v>121</v>
      </c>
      <c r="G7174" t="s">
        <v>173</v>
      </c>
      <c r="H7174" t="s">
        <v>173</v>
      </c>
      <c r="I7174" t="s">
        <v>40</v>
      </c>
      <c r="J7174" t="s">
        <v>41</v>
      </c>
      <c r="K7174" t="s">
        <v>29</v>
      </c>
      <c r="L7174" t="s">
        <v>30</v>
      </c>
      <c r="M7174" t="s">
        <v>172</v>
      </c>
      <c r="N7174">
        <v>568</v>
      </c>
      <c r="O7174" s="14">
        <v>0.13145600957796</v>
      </c>
      <c r="P7174" s="14">
        <v>0.43010397930629601</v>
      </c>
      <c r="Q7174" t="str">
        <f t="shared" si="224"/>
        <v>25-34</v>
      </c>
      <c r="R7174" t="str">
        <f t="shared" si="225"/>
        <v>[vA4NcHxfMBq]|25-34|Female|PLHIV_Attend.T2|CY2025Q3</v>
      </c>
    </row>
    <row r="7175" spans="4:18" x14ac:dyDescent="0.2">
      <c r="D7175" t="s">
        <v>119</v>
      </c>
      <c r="E7175" t="s">
        <v>120</v>
      </c>
      <c r="F7175" t="s">
        <v>121</v>
      </c>
      <c r="G7175" t="s">
        <v>173</v>
      </c>
      <c r="H7175" t="s">
        <v>173</v>
      </c>
      <c r="I7175" t="s">
        <v>42</v>
      </c>
      <c r="J7175" t="s">
        <v>43</v>
      </c>
      <c r="K7175" t="s">
        <v>29</v>
      </c>
      <c r="L7175" t="s">
        <v>30</v>
      </c>
      <c r="M7175" t="s">
        <v>172</v>
      </c>
      <c r="N7175">
        <v>870</v>
      </c>
      <c r="O7175" s="14">
        <v>0.39671152667142501</v>
      </c>
      <c r="P7175" s="14">
        <v>0.43010397930629601</v>
      </c>
      <c r="Q7175" t="str">
        <f t="shared" si="224"/>
        <v>35-49</v>
      </c>
      <c r="R7175" t="str">
        <f t="shared" si="225"/>
        <v>[vA4NcHxfMBq]|35-49|Female|PLHIV_Attend.T2|CY2025Q3</v>
      </c>
    </row>
    <row r="7176" spans="4:18" x14ac:dyDescent="0.2">
      <c r="D7176" t="s">
        <v>119</v>
      </c>
      <c r="E7176" t="s">
        <v>120</v>
      </c>
      <c r="F7176" t="s">
        <v>121</v>
      </c>
      <c r="G7176" t="s">
        <v>173</v>
      </c>
      <c r="H7176" t="s">
        <v>173</v>
      </c>
      <c r="I7176" t="s">
        <v>44</v>
      </c>
      <c r="J7176" t="s">
        <v>45</v>
      </c>
      <c r="K7176" t="s">
        <v>29</v>
      </c>
      <c r="L7176" t="s">
        <v>30</v>
      </c>
      <c r="M7176" t="s">
        <v>172</v>
      </c>
      <c r="N7176">
        <v>1288</v>
      </c>
      <c r="O7176" s="14">
        <v>0.267314169323072</v>
      </c>
      <c r="P7176" s="14">
        <v>0.43010397930629601</v>
      </c>
      <c r="Q7176" t="str">
        <f t="shared" si="224"/>
        <v>50+</v>
      </c>
      <c r="R7176" t="str">
        <f t="shared" si="225"/>
        <v>[vA4NcHxfMBq]|50+|Female|PLHIV_Attend.T2|CY2025Q3</v>
      </c>
    </row>
    <row r="7177" spans="4:18" x14ac:dyDescent="0.2">
      <c r="D7177" t="s">
        <v>119</v>
      </c>
      <c r="E7177" t="s">
        <v>120</v>
      </c>
      <c r="F7177" t="s">
        <v>121</v>
      </c>
      <c r="G7177" t="s">
        <v>173</v>
      </c>
      <c r="H7177" t="s">
        <v>173</v>
      </c>
      <c r="I7177" t="s">
        <v>27</v>
      </c>
      <c r="J7177" t="s">
        <v>28</v>
      </c>
      <c r="K7177" t="s">
        <v>47</v>
      </c>
      <c r="L7177" t="s">
        <v>48</v>
      </c>
      <c r="M7177" t="s">
        <v>172</v>
      </c>
      <c r="N7177">
        <v>1374</v>
      </c>
      <c r="O7177" s="14">
        <v>0.83430171292275201</v>
      </c>
      <c r="P7177" s="14">
        <v>0.43010397930629601</v>
      </c>
      <c r="Q7177" t="str">
        <f t="shared" si="224"/>
        <v>&lt;01</v>
      </c>
      <c r="R7177" t="str">
        <f t="shared" si="225"/>
        <v>[vA4NcHxfMBq]|&lt;01|Male|PLHIV_Attend.T2|CY2025Q3</v>
      </c>
    </row>
    <row r="7178" spans="4:18" x14ac:dyDescent="0.2">
      <c r="D7178" t="s">
        <v>119</v>
      </c>
      <c r="E7178" t="s">
        <v>120</v>
      </c>
      <c r="F7178" t="s">
        <v>121</v>
      </c>
      <c r="G7178" t="s">
        <v>173</v>
      </c>
      <c r="H7178" t="s">
        <v>173</v>
      </c>
      <c r="I7178" t="s">
        <v>32</v>
      </c>
      <c r="J7178" t="s">
        <v>33</v>
      </c>
      <c r="K7178" t="s">
        <v>47</v>
      </c>
      <c r="L7178" t="s">
        <v>48</v>
      </c>
      <c r="M7178" t="s">
        <v>172</v>
      </c>
      <c r="N7178">
        <v>970</v>
      </c>
      <c r="O7178" s="14">
        <v>0.95717244874686003</v>
      </c>
      <c r="P7178" s="14">
        <v>0.43010397930629601</v>
      </c>
      <c r="Q7178" t="str">
        <f t="shared" si="224"/>
        <v>01-09</v>
      </c>
      <c r="R7178" t="str">
        <f t="shared" si="225"/>
        <v>[vA4NcHxfMBq]|01-09|Male|PLHIV_Attend.T2|CY2025Q3</v>
      </c>
    </row>
    <row r="7179" spans="4:18" x14ac:dyDescent="0.2">
      <c r="D7179" t="s">
        <v>119</v>
      </c>
      <c r="E7179" t="s">
        <v>120</v>
      </c>
      <c r="F7179" t="s">
        <v>121</v>
      </c>
      <c r="G7179" t="s">
        <v>173</v>
      </c>
      <c r="H7179" t="s">
        <v>173</v>
      </c>
      <c r="I7179" t="s">
        <v>35</v>
      </c>
      <c r="J7179" t="s">
        <v>36</v>
      </c>
      <c r="K7179" t="s">
        <v>47</v>
      </c>
      <c r="L7179" t="s">
        <v>48</v>
      </c>
      <c r="M7179" t="s">
        <v>172</v>
      </c>
      <c r="N7179">
        <v>1695</v>
      </c>
      <c r="O7179" s="14">
        <v>0.54462766041979205</v>
      </c>
      <c r="P7179" s="14">
        <v>0.43010397930629601</v>
      </c>
      <c r="Q7179" t="str">
        <f t="shared" si="224"/>
        <v>10-14</v>
      </c>
      <c r="R7179" t="str">
        <f t="shared" si="225"/>
        <v>[vA4NcHxfMBq]|10-14|Male|PLHIV_Attend.T2|CY2025Q3</v>
      </c>
    </row>
    <row r="7180" spans="4:18" x14ac:dyDescent="0.2">
      <c r="D7180" t="s">
        <v>119</v>
      </c>
      <c r="E7180" t="s">
        <v>120</v>
      </c>
      <c r="F7180" t="s">
        <v>121</v>
      </c>
      <c r="G7180" t="s">
        <v>173</v>
      </c>
      <c r="H7180" t="s">
        <v>173</v>
      </c>
      <c r="I7180" t="s">
        <v>37</v>
      </c>
      <c r="J7180" t="s">
        <v>38</v>
      </c>
      <c r="K7180" t="s">
        <v>47</v>
      </c>
      <c r="L7180" t="s">
        <v>48</v>
      </c>
      <c r="M7180" t="s">
        <v>172</v>
      </c>
      <c r="N7180">
        <v>1598</v>
      </c>
      <c r="O7180" s="14">
        <v>4.0524892974644899E-2</v>
      </c>
      <c r="P7180" s="14">
        <v>0.43010397930629601</v>
      </c>
      <c r="Q7180" t="str">
        <f t="shared" si="224"/>
        <v>15-24</v>
      </c>
      <c r="R7180" t="str">
        <f t="shared" si="225"/>
        <v>[vA4NcHxfMBq]|15-24|Male|PLHIV_Attend.T2|CY2025Q3</v>
      </c>
    </row>
    <row r="7181" spans="4:18" x14ac:dyDescent="0.2">
      <c r="D7181" t="s">
        <v>119</v>
      </c>
      <c r="E7181" t="s">
        <v>120</v>
      </c>
      <c r="F7181" t="s">
        <v>121</v>
      </c>
      <c r="G7181" t="s">
        <v>173</v>
      </c>
      <c r="H7181" t="s">
        <v>173</v>
      </c>
      <c r="I7181" t="s">
        <v>40</v>
      </c>
      <c r="J7181" t="s">
        <v>41</v>
      </c>
      <c r="K7181" t="s">
        <v>47</v>
      </c>
      <c r="L7181" t="s">
        <v>48</v>
      </c>
      <c r="M7181" t="s">
        <v>172</v>
      </c>
      <c r="N7181">
        <v>1943</v>
      </c>
      <c r="O7181" s="14">
        <v>0.467739933636039</v>
      </c>
      <c r="P7181" s="14">
        <v>0.43010397930629601</v>
      </c>
      <c r="Q7181" t="str">
        <f t="shared" si="224"/>
        <v>25-34</v>
      </c>
      <c r="R7181" t="str">
        <f t="shared" si="225"/>
        <v>[vA4NcHxfMBq]|25-34|Male|PLHIV_Attend.T2|CY2025Q3</v>
      </c>
    </row>
    <row r="7182" spans="4:18" x14ac:dyDescent="0.2">
      <c r="D7182" t="s">
        <v>119</v>
      </c>
      <c r="E7182" t="s">
        <v>120</v>
      </c>
      <c r="F7182" t="s">
        <v>121</v>
      </c>
      <c r="G7182" t="s">
        <v>173</v>
      </c>
      <c r="H7182" t="s">
        <v>173</v>
      </c>
      <c r="I7182" t="s">
        <v>42</v>
      </c>
      <c r="J7182" t="s">
        <v>43</v>
      </c>
      <c r="K7182" t="s">
        <v>47</v>
      </c>
      <c r="L7182" t="s">
        <v>48</v>
      </c>
      <c r="M7182" t="s">
        <v>172</v>
      </c>
      <c r="N7182">
        <v>955</v>
      </c>
      <c r="O7182" s="14">
        <v>0.99469215888530005</v>
      </c>
      <c r="P7182" s="14">
        <v>0.43010397930629601</v>
      </c>
      <c r="Q7182" t="str">
        <f t="shared" si="224"/>
        <v>35-49</v>
      </c>
      <c r="R7182" t="str">
        <f t="shared" si="225"/>
        <v>[vA4NcHxfMBq]|35-49|Male|PLHIV_Attend.T2|CY2025Q3</v>
      </c>
    </row>
    <row r="7183" spans="4:18" x14ac:dyDescent="0.2">
      <c r="D7183" t="s">
        <v>119</v>
      </c>
      <c r="E7183" t="s">
        <v>120</v>
      </c>
      <c r="F7183" t="s">
        <v>121</v>
      </c>
      <c r="G7183" t="s">
        <v>173</v>
      </c>
      <c r="H7183" t="s">
        <v>173</v>
      </c>
      <c r="I7183" t="s">
        <v>44</v>
      </c>
      <c r="J7183" t="s">
        <v>45</v>
      </c>
      <c r="K7183" t="s">
        <v>47</v>
      </c>
      <c r="L7183" t="s">
        <v>48</v>
      </c>
      <c r="M7183" t="s">
        <v>172</v>
      </c>
      <c r="N7183">
        <v>649</v>
      </c>
      <c r="O7183" s="14">
        <v>0.752905733883381</v>
      </c>
      <c r="P7183" s="14">
        <v>0.43010397930629601</v>
      </c>
      <c r="Q7183" t="str">
        <f t="shared" si="224"/>
        <v>50+</v>
      </c>
      <c r="R7183" t="str">
        <f t="shared" si="225"/>
        <v>[vA4NcHxfMBq]|50+|Male|PLHIV_Attend.T2|CY2025Q3</v>
      </c>
    </row>
    <row r="7184" spans="4:18" x14ac:dyDescent="0.2">
      <c r="D7184" t="s">
        <v>122</v>
      </c>
      <c r="E7184" t="s">
        <v>123</v>
      </c>
      <c r="F7184" t="s">
        <v>124</v>
      </c>
      <c r="G7184" t="s">
        <v>173</v>
      </c>
      <c r="H7184" t="s">
        <v>173</v>
      </c>
      <c r="I7184" t="s">
        <v>27</v>
      </c>
      <c r="J7184" t="s">
        <v>28</v>
      </c>
      <c r="K7184" t="s">
        <v>29</v>
      </c>
      <c r="L7184" t="s">
        <v>30</v>
      </c>
      <c r="M7184" t="s">
        <v>172</v>
      </c>
      <c r="N7184">
        <v>1954</v>
      </c>
      <c r="O7184" s="14">
        <v>0.28211833653040203</v>
      </c>
      <c r="P7184" s="14">
        <v>0.41950060334056599</v>
      </c>
      <c r="Q7184" t="str">
        <f t="shared" si="224"/>
        <v>&lt;01</v>
      </c>
      <c r="R7184" t="str">
        <f t="shared" si="225"/>
        <v>[E7zpfyBt7Tw]|&lt;01|Female|PLHIV_Attend.T2|CY2025Q3</v>
      </c>
    </row>
    <row r="7185" spans="4:18" x14ac:dyDescent="0.2">
      <c r="D7185" t="s">
        <v>122</v>
      </c>
      <c r="E7185" t="s">
        <v>123</v>
      </c>
      <c r="F7185" t="s">
        <v>124</v>
      </c>
      <c r="G7185" t="s">
        <v>173</v>
      </c>
      <c r="H7185" t="s">
        <v>173</v>
      </c>
      <c r="I7185" t="s">
        <v>32</v>
      </c>
      <c r="J7185" t="s">
        <v>33</v>
      </c>
      <c r="K7185" t="s">
        <v>29</v>
      </c>
      <c r="L7185" t="s">
        <v>30</v>
      </c>
      <c r="M7185" t="s">
        <v>172</v>
      </c>
      <c r="N7185">
        <v>1000</v>
      </c>
      <c r="O7185" s="14">
        <v>9.8965538199991002E-2</v>
      </c>
      <c r="P7185" s="14">
        <v>0.41950060334056599</v>
      </c>
      <c r="Q7185" t="str">
        <f t="shared" si="224"/>
        <v>01-09</v>
      </c>
      <c r="R7185" t="str">
        <f t="shared" si="225"/>
        <v>[E7zpfyBt7Tw]|01-09|Female|PLHIV_Attend.T2|CY2025Q3</v>
      </c>
    </row>
    <row r="7186" spans="4:18" x14ac:dyDescent="0.2">
      <c r="D7186" t="s">
        <v>122</v>
      </c>
      <c r="E7186" t="s">
        <v>123</v>
      </c>
      <c r="F7186" t="s">
        <v>124</v>
      </c>
      <c r="G7186" t="s">
        <v>173</v>
      </c>
      <c r="H7186" t="s">
        <v>173</v>
      </c>
      <c r="I7186" t="s">
        <v>35</v>
      </c>
      <c r="J7186" t="s">
        <v>36</v>
      </c>
      <c r="K7186" t="s">
        <v>29</v>
      </c>
      <c r="L7186" t="s">
        <v>30</v>
      </c>
      <c r="M7186" t="s">
        <v>172</v>
      </c>
      <c r="N7186">
        <v>1974</v>
      </c>
      <c r="O7186" s="14">
        <v>2.01301747001708E-2</v>
      </c>
      <c r="P7186" s="14">
        <v>0.41950060334056599</v>
      </c>
      <c r="Q7186" t="str">
        <f t="shared" si="224"/>
        <v>10-14</v>
      </c>
      <c r="R7186" t="str">
        <f t="shared" si="225"/>
        <v>[E7zpfyBt7Tw]|10-14|Female|PLHIV_Attend.T2|CY2025Q3</v>
      </c>
    </row>
    <row r="7187" spans="4:18" x14ac:dyDescent="0.2">
      <c r="D7187" t="s">
        <v>122</v>
      </c>
      <c r="E7187" t="s">
        <v>123</v>
      </c>
      <c r="F7187" t="s">
        <v>124</v>
      </c>
      <c r="G7187" t="s">
        <v>173</v>
      </c>
      <c r="H7187" t="s">
        <v>173</v>
      </c>
      <c r="I7187" t="s">
        <v>37</v>
      </c>
      <c r="J7187" t="s">
        <v>38</v>
      </c>
      <c r="K7187" t="s">
        <v>29</v>
      </c>
      <c r="L7187" t="s">
        <v>30</v>
      </c>
      <c r="M7187" t="s">
        <v>172</v>
      </c>
      <c r="N7187">
        <v>1675</v>
      </c>
      <c r="O7187" s="14">
        <v>0.16755120572634</v>
      </c>
      <c r="P7187" s="14">
        <v>0.41950060334056599</v>
      </c>
      <c r="Q7187" t="str">
        <f t="shared" si="224"/>
        <v>15-24</v>
      </c>
      <c r="R7187" t="str">
        <f t="shared" si="225"/>
        <v>[E7zpfyBt7Tw]|15-24|Female|PLHIV_Attend.T2|CY2025Q3</v>
      </c>
    </row>
    <row r="7188" spans="4:18" x14ac:dyDescent="0.2">
      <c r="D7188" t="s">
        <v>122</v>
      </c>
      <c r="E7188" t="s">
        <v>123</v>
      </c>
      <c r="F7188" t="s">
        <v>124</v>
      </c>
      <c r="G7188" t="s">
        <v>173</v>
      </c>
      <c r="H7188" t="s">
        <v>173</v>
      </c>
      <c r="I7188" t="s">
        <v>40</v>
      </c>
      <c r="J7188" t="s">
        <v>41</v>
      </c>
      <c r="K7188" t="s">
        <v>29</v>
      </c>
      <c r="L7188" t="s">
        <v>30</v>
      </c>
      <c r="M7188" t="s">
        <v>172</v>
      </c>
      <c r="N7188">
        <v>1400</v>
      </c>
      <c r="O7188" s="14">
        <v>0.183669733349234</v>
      </c>
      <c r="P7188" s="14">
        <v>0.41950060334056599</v>
      </c>
      <c r="Q7188" t="str">
        <f t="shared" si="224"/>
        <v>25-34</v>
      </c>
      <c r="R7188" t="str">
        <f t="shared" si="225"/>
        <v>[E7zpfyBt7Tw]|25-34|Female|PLHIV_Attend.T2|CY2025Q3</v>
      </c>
    </row>
    <row r="7189" spans="4:18" x14ac:dyDescent="0.2">
      <c r="D7189" t="s">
        <v>122</v>
      </c>
      <c r="E7189" t="s">
        <v>123</v>
      </c>
      <c r="F7189" t="s">
        <v>124</v>
      </c>
      <c r="G7189" t="s">
        <v>173</v>
      </c>
      <c r="H7189" t="s">
        <v>173</v>
      </c>
      <c r="I7189" t="s">
        <v>42</v>
      </c>
      <c r="J7189" t="s">
        <v>43</v>
      </c>
      <c r="K7189" t="s">
        <v>29</v>
      </c>
      <c r="L7189" t="s">
        <v>30</v>
      </c>
      <c r="M7189" t="s">
        <v>172</v>
      </c>
      <c r="N7189">
        <v>1199</v>
      </c>
      <c r="O7189" s="14">
        <v>0.67309083067812003</v>
      </c>
      <c r="P7189" s="14">
        <v>0.41950060334056599</v>
      </c>
      <c r="Q7189" t="str">
        <f t="shared" si="224"/>
        <v>35-49</v>
      </c>
      <c r="R7189" t="str">
        <f t="shared" si="225"/>
        <v>[E7zpfyBt7Tw]|35-49|Female|PLHIV_Attend.T2|CY2025Q3</v>
      </c>
    </row>
    <row r="7190" spans="4:18" x14ac:dyDescent="0.2">
      <c r="D7190" t="s">
        <v>122</v>
      </c>
      <c r="E7190" t="s">
        <v>123</v>
      </c>
      <c r="F7190" t="s">
        <v>124</v>
      </c>
      <c r="G7190" t="s">
        <v>173</v>
      </c>
      <c r="H7190" t="s">
        <v>173</v>
      </c>
      <c r="I7190" t="s">
        <v>44</v>
      </c>
      <c r="J7190" t="s">
        <v>45</v>
      </c>
      <c r="K7190" t="s">
        <v>29</v>
      </c>
      <c r="L7190" t="s">
        <v>30</v>
      </c>
      <c r="M7190" t="s">
        <v>172</v>
      </c>
      <c r="N7190">
        <v>617</v>
      </c>
      <c r="O7190" s="14">
        <v>0.41408720472827598</v>
      </c>
      <c r="P7190" s="14">
        <v>0.41950060334056599</v>
      </c>
      <c r="Q7190" t="str">
        <f t="shared" si="224"/>
        <v>50+</v>
      </c>
      <c r="R7190" t="str">
        <f t="shared" si="225"/>
        <v>[E7zpfyBt7Tw]|50+|Female|PLHIV_Attend.T2|CY2025Q3</v>
      </c>
    </row>
    <row r="7191" spans="4:18" x14ac:dyDescent="0.2">
      <c r="D7191" t="s">
        <v>122</v>
      </c>
      <c r="E7191" t="s">
        <v>123</v>
      </c>
      <c r="F7191" t="s">
        <v>124</v>
      </c>
      <c r="G7191" t="s">
        <v>173</v>
      </c>
      <c r="H7191" t="s">
        <v>173</v>
      </c>
      <c r="I7191" t="s">
        <v>27</v>
      </c>
      <c r="J7191" t="s">
        <v>28</v>
      </c>
      <c r="K7191" t="s">
        <v>47</v>
      </c>
      <c r="L7191" t="s">
        <v>48</v>
      </c>
      <c r="M7191" t="s">
        <v>172</v>
      </c>
      <c r="N7191">
        <v>532</v>
      </c>
      <c r="O7191" s="14">
        <v>0.18340424168854999</v>
      </c>
      <c r="P7191" s="14">
        <v>0.41950060334056599</v>
      </c>
      <c r="Q7191" t="str">
        <f t="shared" si="224"/>
        <v>&lt;01</v>
      </c>
      <c r="R7191" t="str">
        <f t="shared" si="225"/>
        <v>[E7zpfyBt7Tw]|&lt;01|Male|PLHIV_Attend.T2|CY2025Q3</v>
      </c>
    </row>
    <row r="7192" spans="4:18" x14ac:dyDescent="0.2">
      <c r="D7192" t="s">
        <v>122</v>
      </c>
      <c r="E7192" t="s">
        <v>123</v>
      </c>
      <c r="F7192" t="s">
        <v>124</v>
      </c>
      <c r="G7192" t="s">
        <v>173</v>
      </c>
      <c r="H7192" t="s">
        <v>173</v>
      </c>
      <c r="I7192" t="s">
        <v>32</v>
      </c>
      <c r="J7192" t="s">
        <v>33</v>
      </c>
      <c r="K7192" t="s">
        <v>47</v>
      </c>
      <c r="L7192" t="s">
        <v>48</v>
      </c>
      <c r="M7192" t="s">
        <v>172</v>
      </c>
      <c r="N7192">
        <v>1158</v>
      </c>
      <c r="O7192" s="14">
        <v>0.98474910855293296</v>
      </c>
      <c r="P7192" s="14">
        <v>0.41950060334056599</v>
      </c>
      <c r="Q7192" t="str">
        <f t="shared" si="224"/>
        <v>01-09</v>
      </c>
      <c r="R7192" t="str">
        <f t="shared" si="225"/>
        <v>[E7zpfyBt7Tw]|01-09|Male|PLHIV_Attend.T2|CY2025Q3</v>
      </c>
    </row>
    <row r="7193" spans="4:18" x14ac:dyDescent="0.2">
      <c r="D7193" t="s">
        <v>122</v>
      </c>
      <c r="E7193" t="s">
        <v>123</v>
      </c>
      <c r="F7193" t="s">
        <v>124</v>
      </c>
      <c r="G7193" t="s">
        <v>173</v>
      </c>
      <c r="H7193" t="s">
        <v>173</v>
      </c>
      <c r="I7193" t="s">
        <v>35</v>
      </c>
      <c r="J7193" t="s">
        <v>36</v>
      </c>
      <c r="K7193" t="s">
        <v>47</v>
      </c>
      <c r="L7193" t="s">
        <v>48</v>
      </c>
      <c r="M7193" t="s">
        <v>172</v>
      </c>
      <c r="N7193">
        <v>1484</v>
      </c>
      <c r="O7193" s="14">
        <v>0.23332021129317601</v>
      </c>
      <c r="P7193" s="14">
        <v>0.41950060334056599</v>
      </c>
      <c r="Q7193" t="str">
        <f t="shared" si="224"/>
        <v>10-14</v>
      </c>
      <c r="R7193" t="str">
        <f t="shared" si="225"/>
        <v>[E7zpfyBt7Tw]|10-14|Male|PLHIV_Attend.T2|CY2025Q3</v>
      </c>
    </row>
    <row r="7194" spans="4:18" x14ac:dyDescent="0.2">
      <c r="D7194" t="s">
        <v>122</v>
      </c>
      <c r="E7194" t="s">
        <v>123</v>
      </c>
      <c r="F7194" t="s">
        <v>124</v>
      </c>
      <c r="G7194" t="s">
        <v>173</v>
      </c>
      <c r="H7194" t="s">
        <v>173</v>
      </c>
      <c r="I7194" t="s">
        <v>37</v>
      </c>
      <c r="J7194" t="s">
        <v>38</v>
      </c>
      <c r="K7194" t="s">
        <v>47</v>
      </c>
      <c r="L7194" t="s">
        <v>48</v>
      </c>
      <c r="M7194" t="s">
        <v>172</v>
      </c>
      <c r="N7194">
        <v>700</v>
      </c>
      <c r="O7194" s="14">
        <v>0.41688643954694299</v>
      </c>
      <c r="P7194" s="14">
        <v>0.41950060334056599</v>
      </c>
      <c r="Q7194" t="str">
        <f t="shared" si="224"/>
        <v>15-24</v>
      </c>
      <c r="R7194" t="str">
        <f t="shared" si="225"/>
        <v>[E7zpfyBt7Tw]|15-24|Male|PLHIV_Attend.T2|CY2025Q3</v>
      </c>
    </row>
    <row r="7195" spans="4:18" x14ac:dyDescent="0.2">
      <c r="D7195" t="s">
        <v>122</v>
      </c>
      <c r="E7195" t="s">
        <v>123</v>
      </c>
      <c r="F7195" t="s">
        <v>124</v>
      </c>
      <c r="G7195" t="s">
        <v>173</v>
      </c>
      <c r="H7195" t="s">
        <v>173</v>
      </c>
      <c r="I7195" t="s">
        <v>40</v>
      </c>
      <c r="J7195" t="s">
        <v>41</v>
      </c>
      <c r="K7195" t="s">
        <v>47</v>
      </c>
      <c r="L7195" t="s">
        <v>48</v>
      </c>
      <c r="M7195" t="s">
        <v>172</v>
      </c>
      <c r="N7195">
        <v>1075</v>
      </c>
      <c r="O7195" s="14">
        <v>0.42158094514161298</v>
      </c>
      <c r="P7195" s="14">
        <v>0.41950060334056599</v>
      </c>
      <c r="Q7195" t="str">
        <f t="shared" si="224"/>
        <v>25-34</v>
      </c>
      <c r="R7195" t="str">
        <f t="shared" si="225"/>
        <v>[E7zpfyBt7Tw]|25-34|Male|PLHIV_Attend.T2|CY2025Q3</v>
      </c>
    </row>
    <row r="7196" spans="4:18" x14ac:dyDescent="0.2">
      <c r="D7196" t="s">
        <v>122</v>
      </c>
      <c r="E7196" t="s">
        <v>123</v>
      </c>
      <c r="F7196" t="s">
        <v>124</v>
      </c>
      <c r="G7196" t="s">
        <v>173</v>
      </c>
      <c r="H7196" t="s">
        <v>173</v>
      </c>
      <c r="I7196" t="s">
        <v>42</v>
      </c>
      <c r="J7196" t="s">
        <v>43</v>
      </c>
      <c r="K7196" t="s">
        <v>47</v>
      </c>
      <c r="L7196" t="s">
        <v>48</v>
      </c>
      <c r="M7196" t="s">
        <v>172</v>
      </c>
      <c r="N7196">
        <v>860</v>
      </c>
      <c r="O7196" s="14">
        <v>1.9854372367262799E-2</v>
      </c>
      <c r="P7196" s="14">
        <v>0.41950060334056599</v>
      </c>
      <c r="Q7196" t="str">
        <f t="shared" si="224"/>
        <v>35-49</v>
      </c>
      <c r="R7196" t="str">
        <f t="shared" si="225"/>
        <v>[E7zpfyBt7Tw]|35-49|Male|PLHIV_Attend.T2|CY2025Q3</v>
      </c>
    </row>
    <row r="7197" spans="4:18" x14ac:dyDescent="0.2">
      <c r="D7197" t="s">
        <v>122</v>
      </c>
      <c r="E7197" t="s">
        <v>123</v>
      </c>
      <c r="F7197" t="s">
        <v>124</v>
      </c>
      <c r="G7197" t="s">
        <v>173</v>
      </c>
      <c r="H7197" t="s">
        <v>173</v>
      </c>
      <c r="I7197" t="s">
        <v>44</v>
      </c>
      <c r="J7197" t="s">
        <v>45</v>
      </c>
      <c r="K7197" t="s">
        <v>47</v>
      </c>
      <c r="L7197" t="s">
        <v>48</v>
      </c>
      <c r="M7197" t="s">
        <v>172</v>
      </c>
      <c r="N7197">
        <v>609</v>
      </c>
      <c r="O7197" s="14">
        <v>0.60782750509679295</v>
      </c>
      <c r="P7197" s="14">
        <v>0.41950060334056599</v>
      </c>
      <c r="Q7197" t="str">
        <f t="shared" si="224"/>
        <v>50+</v>
      </c>
      <c r="R7197" t="str">
        <f t="shared" si="225"/>
        <v>[E7zpfyBt7Tw]|50+|Male|PLHIV_Attend.T2|CY2025Q3</v>
      </c>
    </row>
    <row r="7198" spans="4:18" x14ac:dyDescent="0.2">
      <c r="D7198" t="s">
        <v>125</v>
      </c>
      <c r="E7198" t="s">
        <v>126</v>
      </c>
      <c r="F7198" t="s">
        <v>127</v>
      </c>
      <c r="G7198" t="s">
        <v>173</v>
      </c>
      <c r="H7198" t="s">
        <v>173</v>
      </c>
      <c r="I7198" t="s">
        <v>27</v>
      </c>
      <c r="J7198" t="s">
        <v>28</v>
      </c>
      <c r="K7198" t="s">
        <v>29</v>
      </c>
      <c r="L7198" t="s">
        <v>30</v>
      </c>
      <c r="M7198" t="s">
        <v>172</v>
      </c>
      <c r="N7198">
        <v>649</v>
      </c>
      <c r="O7198" s="14">
        <v>0.74379532085731603</v>
      </c>
      <c r="P7198" s="14">
        <v>0.25270639033988102</v>
      </c>
      <c r="Q7198" t="str">
        <f t="shared" si="224"/>
        <v>&lt;01</v>
      </c>
      <c r="R7198" t="str">
        <f t="shared" si="225"/>
        <v>[ZCjuwgaMB9u]|&lt;01|Female|PLHIV_Attend.T2|CY2025Q3</v>
      </c>
    </row>
    <row r="7199" spans="4:18" x14ac:dyDescent="0.2">
      <c r="D7199" t="s">
        <v>125</v>
      </c>
      <c r="E7199" t="s">
        <v>126</v>
      </c>
      <c r="F7199" t="s">
        <v>127</v>
      </c>
      <c r="G7199" t="s">
        <v>173</v>
      </c>
      <c r="H7199" t="s">
        <v>173</v>
      </c>
      <c r="I7199" t="s">
        <v>32</v>
      </c>
      <c r="J7199" t="s">
        <v>33</v>
      </c>
      <c r="K7199" t="s">
        <v>29</v>
      </c>
      <c r="L7199" t="s">
        <v>30</v>
      </c>
      <c r="M7199" t="s">
        <v>172</v>
      </c>
      <c r="N7199">
        <v>1328</v>
      </c>
      <c r="O7199" s="14">
        <v>0.45060048648156198</v>
      </c>
      <c r="P7199" s="14">
        <v>0.25270639033988102</v>
      </c>
      <c r="Q7199" t="str">
        <f t="shared" si="224"/>
        <v>01-09</v>
      </c>
      <c r="R7199" t="str">
        <f t="shared" si="225"/>
        <v>[ZCjuwgaMB9u]|01-09|Female|PLHIV_Attend.T2|CY2025Q3</v>
      </c>
    </row>
    <row r="7200" spans="4:18" x14ac:dyDescent="0.2">
      <c r="D7200" t="s">
        <v>125</v>
      </c>
      <c r="E7200" t="s">
        <v>126</v>
      </c>
      <c r="F7200" t="s">
        <v>127</v>
      </c>
      <c r="G7200" t="s">
        <v>173</v>
      </c>
      <c r="H7200" t="s">
        <v>173</v>
      </c>
      <c r="I7200" t="s">
        <v>35</v>
      </c>
      <c r="J7200" t="s">
        <v>36</v>
      </c>
      <c r="K7200" t="s">
        <v>29</v>
      </c>
      <c r="L7200" t="s">
        <v>30</v>
      </c>
      <c r="M7200" t="s">
        <v>172</v>
      </c>
      <c r="N7200">
        <v>1232</v>
      </c>
      <c r="O7200" s="14">
        <v>0.379986208863556</v>
      </c>
      <c r="P7200" s="14">
        <v>0.25270639033988102</v>
      </c>
      <c r="Q7200" t="str">
        <f t="shared" si="224"/>
        <v>10-14</v>
      </c>
      <c r="R7200" t="str">
        <f t="shared" si="225"/>
        <v>[ZCjuwgaMB9u]|10-14|Female|PLHIV_Attend.T2|CY2025Q3</v>
      </c>
    </row>
    <row r="7201" spans="4:18" x14ac:dyDescent="0.2">
      <c r="D7201" t="s">
        <v>125</v>
      </c>
      <c r="E7201" t="s">
        <v>126</v>
      </c>
      <c r="F7201" t="s">
        <v>127</v>
      </c>
      <c r="G7201" t="s">
        <v>173</v>
      </c>
      <c r="H7201" t="s">
        <v>173</v>
      </c>
      <c r="I7201" t="s">
        <v>37</v>
      </c>
      <c r="J7201" t="s">
        <v>38</v>
      </c>
      <c r="K7201" t="s">
        <v>29</v>
      </c>
      <c r="L7201" t="s">
        <v>30</v>
      </c>
      <c r="M7201" t="s">
        <v>172</v>
      </c>
      <c r="N7201">
        <v>750</v>
      </c>
      <c r="O7201" s="14">
        <v>0.99076541303656995</v>
      </c>
      <c r="P7201" s="14">
        <v>0.25270639033988102</v>
      </c>
      <c r="Q7201" t="str">
        <f t="shared" si="224"/>
        <v>15-24</v>
      </c>
      <c r="R7201" t="str">
        <f t="shared" si="225"/>
        <v>[ZCjuwgaMB9u]|15-24|Female|PLHIV_Attend.T2|CY2025Q3</v>
      </c>
    </row>
    <row r="7202" spans="4:18" x14ac:dyDescent="0.2">
      <c r="D7202" t="s">
        <v>125</v>
      </c>
      <c r="E7202" t="s">
        <v>126</v>
      </c>
      <c r="F7202" t="s">
        <v>127</v>
      </c>
      <c r="G7202" t="s">
        <v>173</v>
      </c>
      <c r="H7202" t="s">
        <v>173</v>
      </c>
      <c r="I7202" t="s">
        <v>40</v>
      </c>
      <c r="J7202" t="s">
        <v>41</v>
      </c>
      <c r="K7202" t="s">
        <v>29</v>
      </c>
      <c r="L7202" t="s">
        <v>30</v>
      </c>
      <c r="M7202" t="s">
        <v>172</v>
      </c>
      <c r="N7202">
        <v>1134</v>
      </c>
      <c r="O7202" s="14">
        <v>0.446581542026252</v>
      </c>
      <c r="P7202" s="14">
        <v>0.25270639033988102</v>
      </c>
      <c r="Q7202" t="str">
        <f t="shared" si="224"/>
        <v>25-34</v>
      </c>
      <c r="R7202" t="str">
        <f t="shared" si="225"/>
        <v>[ZCjuwgaMB9u]|25-34|Female|PLHIV_Attend.T2|CY2025Q3</v>
      </c>
    </row>
    <row r="7203" spans="4:18" x14ac:dyDescent="0.2">
      <c r="D7203" t="s">
        <v>125</v>
      </c>
      <c r="E7203" t="s">
        <v>126</v>
      </c>
      <c r="F7203" t="s">
        <v>127</v>
      </c>
      <c r="G7203" t="s">
        <v>173</v>
      </c>
      <c r="H7203" t="s">
        <v>173</v>
      </c>
      <c r="I7203" t="s">
        <v>42</v>
      </c>
      <c r="J7203" t="s">
        <v>43</v>
      </c>
      <c r="K7203" t="s">
        <v>29</v>
      </c>
      <c r="L7203" t="s">
        <v>30</v>
      </c>
      <c r="M7203" t="s">
        <v>172</v>
      </c>
      <c r="N7203">
        <v>1276</v>
      </c>
      <c r="O7203" s="14">
        <v>0.572630062000826</v>
      </c>
      <c r="P7203" s="14">
        <v>0.25270639033988102</v>
      </c>
      <c r="Q7203" t="str">
        <f t="shared" si="224"/>
        <v>35-49</v>
      </c>
      <c r="R7203" t="str">
        <f t="shared" si="225"/>
        <v>[ZCjuwgaMB9u]|35-49|Female|PLHIV_Attend.T2|CY2025Q3</v>
      </c>
    </row>
    <row r="7204" spans="4:18" x14ac:dyDescent="0.2">
      <c r="D7204" t="s">
        <v>125</v>
      </c>
      <c r="E7204" t="s">
        <v>126</v>
      </c>
      <c r="F7204" t="s">
        <v>127</v>
      </c>
      <c r="G7204" t="s">
        <v>173</v>
      </c>
      <c r="H7204" t="s">
        <v>173</v>
      </c>
      <c r="I7204" t="s">
        <v>44</v>
      </c>
      <c r="J7204" t="s">
        <v>45</v>
      </c>
      <c r="K7204" t="s">
        <v>29</v>
      </c>
      <c r="L7204" t="s">
        <v>30</v>
      </c>
      <c r="M7204" t="s">
        <v>172</v>
      </c>
      <c r="N7204">
        <v>597</v>
      </c>
      <c r="O7204" s="14">
        <v>0.48473478714004198</v>
      </c>
      <c r="P7204" s="14">
        <v>0.25270639033988102</v>
      </c>
      <c r="Q7204" t="str">
        <f t="shared" si="224"/>
        <v>50+</v>
      </c>
      <c r="R7204" t="str">
        <f t="shared" si="225"/>
        <v>[ZCjuwgaMB9u]|50+|Female|PLHIV_Attend.T2|CY2025Q3</v>
      </c>
    </row>
    <row r="7205" spans="4:18" x14ac:dyDescent="0.2">
      <c r="D7205" t="s">
        <v>125</v>
      </c>
      <c r="E7205" t="s">
        <v>126</v>
      </c>
      <c r="F7205" t="s">
        <v>127</v>
      </c>
      <c r="G7205" t="s">
        <v>173</v>
      </c>
      <c r="H7205" t="s">
        <v>173</v>
      </c>
      <c r="I7205" t="s">
        <v>27</v>
      </c>
      <c r="J7205" t="s">
        <v>28</v>
      </c>
      <c r="K7205" t="s">
        <v>47</v>
      </c>
      <c r="L7205" t="s">
        <v>48</v>
      </c>
      <c r="M7205" t="s">
        <v>172</v>
      </c>
      <c r="N7205">
        <v>1530</v>
      </c>
      <c r="O7205" s="14">
        <v>0.45240600942634002</v>
      </c>
      <c r="P7205" s="14">
        <v>0.25270639033988102</v>
      </c>
      <c r="Q7205" t="str">
        <f t="shared" si="224"/>
        <v>&lt;01</v>
      </c>
      <c r="R7205" t="str">
        <f t="shared" si="225"/>
        <v>[ZCjuwgaMB9u]|&lt;01|Male|PLHIV_Attend.T2|CY2025Q3</v>
      </c>
    </row>
    <row r="7206" spans="4:18" x14ac:dyDescent="0.2">
      <c r="D7206" t="s">
        <v>125</v>
      </c>
      <c r="E7206" t="s">
        <v>126</v>
      </c>
      <c r="F7206" t="s">
        <v>127</v>
      </c>
      <c r="G7206" t="s">
        <v>173</v>
      </c>
      <c r="H7206" t="s">
        <v>173</v>
      </c>
      <c r="I7206" t="s">
        <v>32</v>
      </c>
      <c r="J7206" t="s">
        <v>33</v>
      </c>
      <c r="K7206" t="s">
        <v>47</v>
      </c>
      <c r="L7206" t="s">
        <v>48</v>
      </c>
      <c r="M7206" t="s">
        <v>172</v>
      </c>
      <c r="N7206">
        <v>1337</v>
      </c>
      <c r="O7206" s="14">
        <v>0.35230729822069401</v>
      </c>
      <c r="P7206" s="14">
        <v>0.25270639033988102</v>
      </c>
      <c r="Q7206" t="str">
        <f t="shared" si="224"/>
        <v>01-09</v>
      </c>
      <c r="R7206" t="str">
        <f t="shared" si="225"/>
        <v>[ZCjuwgaMB9u]|01-09|Male|PLHIV_Attend.T2|CY2025Q3</v>
      </c>
    </row>
    <row r="7207" spans="4:18" x14ac:dyDescent="0.2">
      <c r="D7207" t="s">
        <v>125</v>
      </c>
      <c r="E7207" t="s">
        <v>126</v>
      </c>
      <c r="F7207" t="s">
        <v>127</v>
      </c>
      <c r="G7207" t="s">
        <v>173</v>
      </c>
      <c r="H7207" t="s">
        <v>173</v>
      </c>
      <c r="I7207" t="s">
        <v>35</v>
      </c>
      <c r="J7207" t="s">
        <v>36</v>
      </c>
      <c r="K7207" t="s">
        <v>47</v>
      </c>
      <c r="L7207" t="s">
        <v>48</v>
      </c>
      <c r="M7207" t="s">
        <v>172</v>
      </c>
      <c r="N7207">
        <v>1962</v>
      </c>
      <c r="O7207" s="14">
        <v>0.34431480965577099</v>
      </c>
      <c r="P7207" s="14">
        <v>0.25270639033988102</v>
      </c>
      <c r="Q7207" t="str">
        <f t="shared" si="224"/>
        <v>10-14</v>
      </c>
      <c r="R7207" t="str">
        <f t="shared" si="225"/>
        <v>[ZCjuwgaMB9u]|10-14|Male|PLHIV_Attend.T2|CY2025Q3</v>
      </c>
    </row>
    <row r="7208" spans="4:18" x14ac:dyDescent="0.2">
      <c r="D7208" t="s">
        <v>125</v>
      </c>
      <c r="E7208" t="s">
        <v>126</v>
      </c>
      <c r="F7208" t="s">
        <v>127</v>
      </c>
      <c r="G7208" t="s">
        <v>173</v>
      </c>
      <c r="H7208" t="s">
        <v>173</v>
      </c>
      <c r="I7208" t="s">
        <v>37</v>
      </c>
      <c r="J7208" t="s">
        <v>38</v>
      </c>
      <c r="K7208" t="s">
        <v>47</v>
      </c>
      <c r="L7208" t="s">
        <v>48</v>
      </c>
      <c r="M7208" t="s">
        <v>172</v>
      </c>
      <c r="N7208">
        <v>1629</v>
      </c>
      <c r="O7208" s="14">
        <v>0.56356137292459596</v>
      </c>
      <c r="P7208" s="14">
        <v>0.25270639033988102</v>
      </c>
      <c r="Q7208" t="str">
        <f t="shared" si="224"/>
        <v>15-24</v>
      </c>
      <c r="R7208" t="str">
        <f t="shared" si="225"/>
        <v>[ZCjuwgaMB9u]|15-24|Male|PLHIV_Attend.T2|CY2025Q3</v>
      </c>
    </row>
    <row r="7209" spans="4:18" x14ac:dyDescent="0.2">
      <c r="D7209" t="s">
        <v>125</v>
      </c>
      <c r="E7209" t="s">
        <v>126</v>
      </c>
      <c r="F7209" t="s">
        <v>127</v>
      </c>
      <c r="G7209" t="s">
        <v>173</v>
      </c>
      <c r="H7209" t="s">
        <v>173</v>
      </c>
      <c r="I7209" t="s">
        <v>40</v>
      </c>
      <c r="J7209" t="s">
        <v>41</v>
      </c>
      <c r="K7209" t="s">
        <v>47</v>
      </c>
      <c r="L7209" t="s">
        <v>48</v>
      </c>
      <c r="M7209" t="s">
        <v>172</v>
      </c>
      <c r="N7209">
        <v>1341</v>
      </c>
      <c r="O7209" s="14">
        <v>0.965873298700899</v>
      </c>
      <c r="P7209" s="14">
        <v>0.25270639033988102</v>
      </c>
      <c r="Q7209" t="str">
        <f t="shared" si="224"/>
        <v>25-34</v>
      </c>
      <c r="R7209" t="str">
        <f t="shared" si="225"/>
        <v>[ZCjuwgaMB9u]|25-34|Male|PLHIV_Attend.T2|CY2025Q3</v>
      </c>
    </row>
    <row r="7210" spans="4:18" x14ac:dyDescent="0.2">
      <c r="D7210" t="s">
        <v>125</v>
      </c>
      <c r="E7210" t="s">
        <v>126</v>
      </c>
      <c r="F7210" t="s">
        <v>127</v>
      </c>
      <c r="G7210" t="s">
        <v>173</v>
      </c>
      <c r="H7210" t="s">
        <v>173</v>
      </c>
      <c r="I7210" t="s">
        <v>42</v>
      </c>
      <c r="J7210" t="s">
        <v>43</v>
      </c>
      <c r="K7210" t="s">
        <v>47</v>
      </c>
      <c r="L7210" t="s">
        <v>48</v>
      </c>
      <c r="M7210" t="s">
        <v>172</v>
      </c>
      <c r="N7210">
        <v>1123</v>
      </c>
      <c r="O7210" s="14">
        <v>0.77875100239179995</v>
      </c>
      <c r="P7210" s="14">
        <v>0.25270639033988102</v>
      </c>
      <c r="Q7210" t="str">
        <f t="shared" si="224"/>
        <v>35-49</v>
      </c>
      <c r="R7210" t="str">
        <f t="shared" si="225"/>
        <v>[ZCjuwgaMB9u]|35-49|Male|PLHIV_Attend.T2|CY2025Q3</v>
      </c>
    </row>
    <row r="7211" spans="4:18" x14ac:dyDescent="0.2">
      <c r="D7211" t="s">
        <v>125</v>
      </c>
      <c r="E7211" t="s">
        <v>126</v>
      </c>
      <c r="F7211" t="s">
        <v>127</v>
      </c>
      <c r="G7211" t="s">
        <v>173</v>
      </c>
      <c r="H7211" t="s">
        <v>173</v>
      </c>
      <c r="I7211" t="s">
        <v>44</v>
      </c>
      <c r="J7211" t="s">
        <v>45</v>
      </c>
      <c r="K7211" t="s">
        <v>47</v>
      </c>
      <c r="L7211" t="s">
        <v>48</v>
      </c>
      <c r="M7211" t="s">
        <v>172</v>
      </c>
      <c r="N7211">
        <v>1820</v>
      </c>
      <c r="O7211" s="14">
        <v>0.73380987625569105</v>
      </c>
      <c r="P7211" s="14">
        <v>0.25270639033988102</v>
      </c>
      <c r="Q7211" t="str">
        <f t="shared" si="224"/>
        <v>50+</v>
      </c>
      <c r="R7211" t="str">
        <f t="shared" si="225"/>
        <v>[ZCjuwgaMB9u]|50+|Male|PLHIV_Attend.T2|CY2025Q3</v>
      </c>
    </row>
    <row r="7212" spans="4:18" x14ac:dyDescent="0.2">
      <c r="D7212" t="s">
        <v>128</v>
      </c>
      <c r="E7212" t="s">
        <v>129</v>
      </c>
      <c r="F7212" t="s">
        <v>130</v>
      </c>
      <c r="G7212" t="s">
        <v>173</v>
      </c>
      <c r="H7212" t="s">
        <v>173</v>
      </c>
      <c r="I7212" t="s">
        <v>27</v>
      </c>
      <c r="J7212" t="s">
        <v>28</v>
      </c>
      <c r="K7212" t="s">
        <v>29</v>
      </c>
      <c r="L7212" t="s">
        <v>30</v>
      </c>
      <c r="M7212" t="s">
        <v>172</v>
      </c>
      <c r="N7212">
        <v>1817</v>
      </c>
      <c r="O7212" s="14">
        <v>0.71274449047632504</v>
      </c>
      <c r="P7212" s="14">
        <v>0.55690808477811504</v>
      </c>
      <c r="Q7212" t="str">
        <f t="shared" si="224"/>
        <v>&lt;01</v>
      </c>
      <c r="R7212" t="str">
        <f t="shared" si="225"/>
        <v>[YCKiBAp8QAg]|&lt;01|Female|PLHIV_Attend.T2|CY2025Q3</v>
      </c>
    </row>
    <row r="7213" spans="4:18" x14ac:dyDescent="0.2">
      <c r="D7213" t="s">
        <v>128</v>
      </c>
      <c r="E7213" t="s">
        <v>129</v>
      </c>
      <c r="F7213" t="s">
        <v>130</v>
      </c>
      <c r="G7213" t="s">
        <v>173</v>
      </c>
      <c r="H7213" t="s">
        <v>173</v>
      </c>
      <c r="I7213" t="s">
        <v>32</v>
      </c>
      <c r="J7213" t="s">
        <v>33</v>
      </c>
      <c r="K7213" t="s">
        <v>29</v>
      </c>
      <c r="L7213" t="s">
        <v>30</v>
      </c>
      <c r="M7213" t="s">
        <v>172</v>
      </c>
      <c r="N7213">
        <v>606</v>
      </c>
      <c r="O7213" s="14">
        <v>0.80356596712954298</v>
      </c>
      <c r="P7213" s="14">
        <v>0.55690808477811504</v>
      </c>
      <c r="Q7213" t="str">
        <f t="shared" si="224"/>
        <v>01-09</v>
      </c>
      <c r="R7213" t="str">
        <f t="shared" si="225"/>
        <v>[YCKiBAp8QAg]|01-09|Female|PLHIV_Attend.T2|CY2025Q3</v>
      </c>
    </row>
    <row r="7214" spans="4:18" x14ac:dyDescent="0.2">
      <c r="D7214" t="s">
        <v>128</v>
      </c>
      <c r="E7214" t="s">
        <v>129</v>
      </c>
      <c r="F7214" t="s">
        <v>130</v>
      </c>
      <c r="G7214" t="s">
        <v>173</v>
      </c>
      <c r="H7214" t="s">
        <v>173</v>
      </c>
      <c r="I7214" t="s">
        <v>35</v>
      </c>
      <c r="J7214" t="s">
        <v>36</v>
      </c>
      <c r="K7214" t="s">
        <v>29</v>
      </c>
      <c r="L7214" t="s">
        <v>30</v>
      </c>
      <c r="M7214" t="s">
        <v>172</v>
      </c>
      <c r="N7214">
        <v>918</v>
      </c>
      <c r="O7214" s="14">
        <v>0.63695277506485604</v>
      </c>
      <c r="P7214" s="14">
        <v>0.55690808477811504</v>
      </c>
      <c r="Q7214" t="str">
        <f t="shared" si="224"/>
        <v>10-14</v>
      </c>
      <c r="R7214" t="str">
        <f t="shared" si="225"/>
        <v>[YCKiBAp8QAg]|10-14|Female|PLHIV_Attend.T2|CY2025Q3</v>
      </c>
    </row>
    <row r="7215" spans="4:18" x14ac:dyDescent="0.2">
      <c r="D7215" t="s">
        <v>128</v>
      </c>
      <c r="E7215" t="s">
        <v>129</v>
      </c>
      <c r="F7215" t="s">
        <v>130</v>
      </c>
      <c r="G7215" t="s">
        <v>173</v>
      </c>
      <c r="H7215" t="s">
        <v>173</v>
      </c>
      <c r="I7215" t="s">
        <v>37</v>
      </c>
      <c r="J7215" t="s">
        <v>38</v>
      </c>
      <c r="K7215" t="s">
        <v>29</v>
      </c>
      <c r="L7215" t="s">
        <v>30</v>
      </c>
      <c r="M7215" t="s">
        <v>172</v>
      </c>
      <c r="N7215">
        <v>1268</v>
      </c>
      <c r="O7215" s="14">
        <v>0.593821616843343</v>
      </c>
      <c r="P7215" s="14">
        <v>0.55690808477811504</v>
      </c>
      <c r="Q7215" t="str">
        <f t="shared" si="224"/>
        <v>15-24</v>
      </c>
      <c r="R7215" t="str">
        <f t="shared" si="225"/>
        <v>[YCKiBAp8QAg]|15-24|Female|PLHIV_Attend.T2|CY2025Q3</v>
      </c>
    </row>
    <row r="7216" spans="4:18" x14ac:dyDescent="0.2">
      <c r="D7216" t="s">
        <v>128</v>
      </c>
      <c r="E7216" t="s">
        <v>129</v>
      </c>
      <c r="F7216" t="s">
        <v>130</v>
      </c>
      <c r="G7216" t="s">
        <v>173</v>
      </c>
      <c r="H7216" t="s">
        <v>173</v>
      </c>
      <c r="I7216" t="s">
        <v>40</v>
      </c>
      <c r="J7216" t="s">
        <v>41</v>
      </c>
      <c r="K7216" t="s">
        <v>29</v>
      </c>
      <c r="L7216" t="s">
        <v>30</v>
      </c>
      <c r="M7216" t="s">
        <v>172</v>
      </c>
      <c r="N7216">
        <v>1051</v>
      </c>
      <c r="O7216" s="14">
        <v>0.92830577399581704</v>
      </c>
      <c r="P7216" s="14">
        <v>0.55690808477811504</v>
      </c>
      <c r="Q7216" t="str">
        <f t="shared" si="224"/>
        <v>25-34</v>
      </c>
      <c r="R7216" t="str">
        <f t="shared" si="225"/>
        <v>[YCKiBAp8QAg]|25-34|Female|PLHIV_Attend.T2|CY2025Q3</v>
      </c>
    </row>
    <row r="7217" spans="4:18" x14ac:dyDescent="0.2">
      <c r="D7217" t="s">
        <v>128</v>
      </c>
      <c r="E7217" t="s">
        <v>129</v>
      </c>
      <c r="F7217" t="s">
        <v>130</v>
      </c>
      <c r="G7217" t="s">
        <v>173</v>
      </c>
      <c r="H7217" t="s">
        <v>173</v>
      </c>
      <c r="I7217" t="s">
        <v>42</v>
      </c>
      <c r="J7217" t="s">
        <v>43</v>
      </c>
      <c r="K7217" t="s">
        <v>29</v>
      </c>
      <c r="L7217" t="s">
        <v>30</v>
      </c>
      <c r="M7217" t="s">
        <v>172</v>
      </c>
      <c r="N7217">
        <v>1077</v>
      </c>
      <c r="O7217" s="14">
        <v>0.63844811776652899</v>
      </c>
      <c r="P7217" s="14">
        <v>0.55690808477811504</v>
      </c>
      <c r="Q7217" t="str">
        <f t="shared" si="224"/>
        <v>35-49</v>
      </c>
      <c r="R7217" t="str">
        <f t="shared" si="225"/>
        <v>[YCKiBAp8QAg]|35-49|Female|PLHIV_Attend.T2|CY2025Q3</v>
      </c>
    </row>
    <row r="7218" spans="4:18" x14ac:dyDescent="0.2">
      <c r="D7218" t="s">
        <v>128</v>
      </c>
      <c r="E7218" t="s">
        <v>129</v>
      </c>
      <c r="F7218" t="s">
        <v>130</v>
      </c>
      <c r="G7218" t="s">
        <v>173</v>
      </c>
      <c r="H7218" t="s">
        <v>173</v>
      </c>
      <c r="I7218" t="s">
        <v>44</v>
      </c>
      <c r="J7218" t="s">
        <v>45</v>
      </c>
      <c r="K7218" t="s">
        <v>29</v>
      </c>
      <c r="L7218" t="s">
        <v>30</v>
      </c>
      <c r="M7218" t="s">
        <v>172</v>
      </c>
      <c r="N7218">
        <v>1543</v>
      </c>
      <c r="O7218" s="14">
        <v>0.41280475445091702</v>
      </c>
      <c r="P7218" s="14">
        <v>0.55690808477811504</v>
      </c>
      <c r="Q7218" t="str">
        <f t="shared" si="224"/>
        <v>50+</v>
      </c>
      <c r="R7218" t="str">
        <f t="shared" si="225"/>
        <v>[YCKiBAp8QAg]|50+|Female|PLHIV_Attend.T2|CY2025Q3</v>
      </c>
    </row>
    <row r="7219" spans="4:18" x14ac:dyDescent="0.2">
      <c r="D7219" t="s">
        <v>128</v>
      </c>
      <c r="E7219" t="s">
        <v>129</v>
      </c>
      <c r="F7219" t="s">
        <v>130</v>
      </c>
      <c r="G7219" t="s">
        <v>173</v>
      </c>
      <c r="H7219" t="s">
        <v>173</v>
      </c>
      <c r="I7219" t="s">
        <v>27</v>
      </c>
      <c r="J7219" t="s">
        <v>28</v>
      </c>
      <c r="K7219" t="s">
        <v>47</v>
      </c>
      <c r="L7219" t="s">
        <v>48</v>
      </c>
      <c r="M7219" t="s">
        <v>172</v>
      </c>
      <c r="N7219">
        <v>1085</v>
      </c>
      <c r="O7219" s="14">
        <v>0.73696525371633503</v>
      </c>
      <c r="P7219" s="14">
        <v>0.55690808477811504</v>
      </c>
      <c r="Q7219" t="str">
        <f t="shared" si="224"/>
        <v>&lt;01</v>
      </c>
      <c r="R7219" t="str">
        <f t="shared" si="225"/>
        <v>[YCKiBAp8QAg]|&lt;01|Male|PLHIV_Attend.T2|CY2025Q3</v>
      </c>
    </row>
    <row r="7220" spans="4:18" x14ac:dyDescent="0.2">
      <c r="D7220" t="s">
        <v>128</v>
      </c>
      <c r="E7220" t="s">
        <v>129</v>
      </c>
      <c r="F7220" t="s">
        <v>130</v>
      </c>
      <c r="G7220" t="s">
        <v>173</v>
      </c>
      <c r="H7220" t="s">
        <v>173</v>
      </c>
      <c r="I7220" t="s">
        <v>32</v>
      </c>
      <c r="J7220" t="s">
        <v>33</v>
      </c>
      <c r="K7220" t="s">
        <v>47</v>
      </c>
      <c r="L7220" t="s">
        <v>48</v>
      </c>
      <c r="M7220" t="s">
        <v>172</v>
      </c>
      <c r="N7220">
        <v>1578</v>
      </c>
      <c r="O7220" s="14">
        <v>0.26444663642905702</v>
      </c>
      <c r="P7220" s="14">
        <v>0.55690808477811504</v>
      </c>
      <c r="Q7220" t="str">
        <f t="shared" si="224"/>
        <v>01-09</v>
      </c>
      <c r="R7220" t="str">
        <f t="shared" si="225"/>
        <v>[YCKiBAp8QAg]|01-09|Male|PLHIV_Attend.T2|CY2025Q3</v>
      </c>
    </row>
    <row r="7221" spans="4:18" x14ac:dyDescent="0.2">
      <c r="D7221" t="s">
        <v>128</v>
      </c>
      <c r="E7221" t="s">
        <v>129</v>
      </c>
      <c r="F7221" t="s">
        <v>130</v>
      </c>
      <c r="G7221" t="s">
        <v>173</v>
      </c>
      <c r="H7221" t="s">
        <v>173</v>
      </c>
      <c r="I7221" t="s">
        <v>35</v>
      </c>
      <c r="J7221" t="s">
        <v>36</v>
      </c>
      <c r="K7221" t="s">
        <v>47</v>
      </c>
      <c r="L7221" t="s">
        <v>48</v>
      </c>
      <c r="M7221" t="s">
        <v>172</v>
      </c>
      <c r="N7221">
        <v>1815</v>
      </c>
      <c r="O7221" s="14">
        <v>0.94880646630190302</v>
      </c>
      <c r="P7221" s="14">
        <v>0.55690808477811504</v>
      </c>
      <c r="Q7221" t="str">
        <f t="shared" si="224"/>
        <v>10-14</v>
      </c>
      <c r="R7221" t="str">
        <f t="shared" si="225"/>
        <v>[YCKiBAp8QAg]|10-14|Male|PLHIV_Attend.T2|CY2025Q3</v>
      </c>
    </row>
    <row r="7222" spans="4:18" x14ac:dyDescent="0.2">
      <c r="D7222" t="s">
        <v>128</v>
      </c>
      <c r="E7222" t="s">
        <v>129</v>
      </c>
      <c r="F7222" t="s">
        <v>130</v>
      </c>
      <c r="G7222" t="s">
        <v>173</v>
      </c>
      <c r="H7222" t="s">
        <v>173</v>
      </c>
      <c r="I7222" t="s">
        <v>37</v>
      </c>
      <c r="J7222" t="s">
        <v>38</v>
      </c>
      <c r="K7222" t="s">
        <v>47</v>
      </c>
      <c r="L7222" t="s">
        <v>48</v>
      </c>
      <c r="M7222" t="s">
        <v>172</v>
      </c>
      <c r="N7222">
        <v>1607</v>
      </c>
      <c r="O7222" s="14">
        <v>0.59107490163296506</v>
      </c>
      <c r="P7222" s="14">
        <v>0.55690808477811504</v>
      </c>
      <c r="Q7222" t="str">
        <f t="shared" si="224"/>
        <v>15-24</v>
      </c>
      <c r="R7222" t="str">
        <f t="shared" si="225"/>
        <v>[YCKiBAp8QAg]|15-24|Male|PLHIV_Attend.T2|CY2025Q3</v>
      </c>
    </row>
    <row r="7223" spans="4:18" x14ac:dyDescent="0.2">
      <c r="D7223" t="s">
        <v>128</v>
      </c>
      <c r="E7223" t="s">
        <v>129</v>
      </c>
      <c r="F7223" t="s">
        <v>130</v>
      </c>
      <c r="G7223" t="s">
        <v>173</v>
      </c>
      <c r="H7223" t="s">
        <v>173</v>
      </c>
      <c r="I7223" t="s">
        <v>40</v>
      </c>
      <c r="J7223" t="s">
        <v>41</v>
      </c>
      <c r="K7223" t="s">
        <v>47</v>
      </c>
      <c r="L7223" t="s">
        <v>48</v>
      </c>
      <c r="M7223" t="s">
        <v>172</v>
      </c>
      <c r="N7223">
        <v>1107</v>
      </c>
      <c r="O7223" s="14">
        <v>0.13970793294720399</v>
      </c>
      <c r="P7223" s="14">
        <v>0.55690808477811504</v>
      </c>
      <c r="Q7223" t="str">
        <f t="shared" si="224"/>
        <v>25-34</v>
      </c>
      <c r="R7223" t="str">
        <f t="shared" si="225"/>
        <v>[YCKiBAp8QAg]|25-34|Male|PLHIV_Attend.T2|CY2025Q3</v>
      </c>
    </row>
    <row r="7224" spans="4:18" x14ac:dyDescent="0.2">
      <c r="D7224" t="s">
        <v>128</v>
      </c>
      <c r="E7224" t="s">
        <v>129</v>
      </c>
      <c r="F7224" t="s">
        <v>130</v>
      </c>
      <c r="G7224" t="s">
        <v>173</v>
      </c>
      <c r="H7224" t="s">
        <v>173</v>
      </c>
      <c r="I7224" t="s">
        <v>42</v>
      </c>
      <c r="J7224" t="s">
        <v>43</v>
      </c>
      <c r="K7224" t="s">
        <v>47</v>
      </c>
      <c r="L7224" t="s">
        <v>48</v>
      </c>
      <c r="M7224" t="s">
        <v>172</v>
      </c>
      <c r="N7224">
        <v>1318</v>
      </c>
      <c r="O7224" s="14">
        <v>0.272820577723905</v>
      </c>
      <c r="P7224" s="14">
        <v>0.55690808477811504</v>
      </c>
      <c r="Q7224" t="str">
        <f t="shared" si="224"/>
        <v>35-49</v>
      </c>
      <c r="R7224" t="str">
        <f t="shared" si="225"/>
        <v>[YCKiBAp8QAg]|35-49|Male|PLHIV_Attend.T2|CY2025Q3</v>
      </c>
    </row>
    <row r="7225" spans="4:18" x14ac:dyDescent="0.2">
      <c r="D7225" t="s">
        <v>128</v>
      </c>
      <c r="E7225" t="s">
        <v>129</v>
      </c>
      <c r="F7225" t="s">
        <v>130</v>
      </c>
      <c r="G7225" t="s">
        <v>173</v>
      </c>
      <c r="H7225" t="s">
        <v>173</v>
      </c>
      <c r="I7225" t="s">
        <v>44</v>
      </c>
      <c r="J7225" t="s">
        <v>45</v>
      </c>
      <c r="K7225" t="s">
        <v>47</v>
      </c>
      <c r="L7225" t="s">
        <v>48</v>
      </c>
      <c r="M7225" t="s">
        <v>172</v>
      </c>
      <c r="N7225">
        <v>1264</v>
      </c>
      <c r="O7225" s="14">
        <v>0.95271446672268201</v>
      </c>
      <c r="P7225" s="14">
        <v>0.55690808477811504</v>
      </c>
      <c r="Q7225" t="str">
        <f t="shared" si="224"/>
        <v>50+</v>
      </c>
      <c r="R7225" t="str">
        <f t="shared" si="225"/>
        <v>[YCKiBAp8QAg]|50+|Male|PLHIV_Attend.T2|CY2025Q3</v>
      </c>
    </row>
    <row r="7226" spans="4:18" x14ac:dyDescent="0.2">
      <c r="D7226" t="s">
        <v>131</v>
      </c>
      <c r="E7226" t="s">
        <v>132</v>
      </c>
      <c r="F7226" t="s">
        <v>133</v>
      </c>
      <c r="G7226" t="s">
        <v>173</v>
      </c>
      <c r="H7226" t="s">
        <v>173</v>
      </c>
      <c r="I7226" t="s">
        <v>27</v>
      </c>
      <c r="J7226" t="s">
        <v>28</v>
      </c>
      <c r="K7226" t="s">
        <v>29</v>
      </c>
      <c r="L7226" t="s">
        <v>30</v>
      </c>
      <c r="M7226" t="s">
        <v>172</v>
      </c>
      <c r="N7226">
        <v>1585</v>
      </c>
      <c r="O7226" s="14">
        <v>0.68350774678401605</v>
      </c>
      <c r="P7226" s="14">
        <v>0.16286319401115201</v>
      </c>
      <c r="Q7226" t="str">
        <f t="shared" si="224"/>
        <v>&lt;01</v>
      </c>
      <c r="R7226" t="str">
        <f t="shared" si="225"/>
        <v>[JQKLKuVuY61]|&lt;01|Female|PLHIV_Attend.T2|CY2025Q3</v>
      </c>
    </row>
    <row r="7227" spans="4:18" x14ac:dyDescent="0.2">
      <c r="D7227" t="s">
        <v>131</v>
      </c>
      <c r="E7227" t="s">
        <v>132</v>
      </c>
      <c r="F7227" t="s">
        <v>133</v>
      </c>
      <c r="G7227" t="s">
        <v>173</v>
      </c>
      <c r="H7227" t="s">
        <v>173</v>
      </c>
      <c r="I7227" t="s">
        <v>32</v>
      </c>
      <c r="J7227" t="s">
        <v>33</v>
      </c>
      <c r="K7227" t="s">
        <v>29</v>
      </c>
      <c r="L7227" t="s">
        <v>30</v>
      </c>
      <c r="M7227" t="s">
        <v>172</v>
      </c>
      <c r="N7227">
        <v>985</v>
      </c>
      <c r="O7227" s="14">
        <v>0.44693592633120699</v>
      </c>
      <c r="P7227" s="14">
        <v>0.16286319401115201</v>
      </c>
      <c r="Q7227" t="str">
        <f t="shared" si="224"/>
        <v>01-09</v>
      </c>
      <c r="R7227" t="str">
        <f t="shared" si="225"/>
        <v>[JQKLKuVuY61]|01-09|Female|PLHIV_Attend.T2|CY2025Q3</v>
      </c>
    </row>
    <row r="7228" spans="4:18" x14ac:dyDescent="0.2">
      <c r="D7228" t="s">
        <v>131</v>
      </c>
      <c r="E7228" t="s">
        <v>132</v>
      </c>
      <c r="F7228" t="s">
        <v>133</v>
      </c>
      <c r="G7228" t="s">
        <v>173</v>
      </c>
      <c r="H7228" t="s">
        <v>173</v>
      </c>
      <c r="I7228" t="s">
        <v>35</v>
      </c>
      <c r="J7228" t="s">
        <v>36</v>
      </c>
      <c r="K7228" t="s">
        <v>29</v>
      </c>
      <c r="L7228" t="s">
        <v>30</v>
      </c>
      <c r="M7228" t="s">
        <v>172</v>
      </c>
      <c r="N7228">
        <v>1063</v>
      </c>
      <c r="O7228" s="14">
        <v>0.47566750459372997</v>
      </c>
      <c r="P7228" s="14">
        <v>0.16286319401115201</v>
      </c>
      <c r="Q7228" t="str">
        <f t="shared" si="224"/>
        <v>10-14</v>
      </c>
      <c r="R7228" t="str">
        <f t="shared" si="225"/>
        <v>[JQKLKuVuY61]|10-14|Female|PLHIV_Attend.T2|CY2025Q3</v>
      </c>
    </row>
    <row r="7229" spans="4:18" x14ac:dyDescent="0.2">
      <c r="D7229" t="s">
        <v>131</v>
      </c>
      <c r="E7229" t="s">
        <v>132</v>
      </c>
      <c r="F7229" t="s">
        <v>133</v>
      </c>
      <c r="G7229" t="s">
        <v>173</v>
      </c>
      <c r="H7229" t="s">
        <v>173</v>
      </c>
      <c r="I7229" t="s">
        <v>37</v>
      </c>
      <c r="J7229" t="s">
        <v>38</v>
      </c>
      <c r="K7229" t="s">
        <v>29</v>
      </c>
      <c r="L7229" t="s">
        <v>30</v>
      </c>
      <c r="M7229" t="s">
        <v>172</v>
      </c>
      <c r="N7229">
        <v>1922</v>
      </c>
      <c r="O7229" s="14">
        <v>2.12898694444448E-2</v>
      </c>
      <c r="P7229" s="14">
        <v>0.16286319401115201</v>
      </c>
      <c r="Q7229" t="str">
        <f t="shared" si="224"/>
        <v>15-24</v>
      </c>
      <c r="R7229" t="str">
        <f t="shared" si="225"/>
        <v>[JQKLKuVuY61]|15-24|Female|PLHIV_Attend.T2|CY2025Q3</v>
      </c>
    </row>
    <row r="7230" spans="4:18" x14ac:dyDescent="0.2">
      <c r="D7230" t="s">
        <v>131</v>
      </c>
      <c r="E7230" t="s">
        <v>132</v>
      </c>
      <c r="F7230" t="s">
        <v>133</v>
      </c>
      <c r="G7230" t="s">
        <v>173</v>
      </c>
      <c r="H7230" t="s">
        <v>173</v>
      </c>
      <c r="I7230" t="s">
        <v>40</v>
      </c>
      <c r="J7230" t="s">
        <v>41</v>
      </c>
      <c r="K7230" t="s">
        <v>29</v>
      </c>
      <c r="L7230" t="s">
        <v>30</v>
      </c>
      <c r="M7230" t="s">
        <v>172</v>
      </c>
      <c r="N7230">
        <v>1117</v>
      </c>
      <c r="O7230" s="14">
        <v>0.96556816715747096</v>
      </c>
      <c r="P7230" s="14">
        <v>0.16286319401115201</v>
      </c>
      <c r="Q7230" t="str">
        <f t="shared" si="224"/>
        <v>25-34</v>
      </c>
      <c r="R7230" t="str">
        <f t="shared" si="225"/>
        <v>[JQKLKuVuY61]|25-34|Female|PLHIV_Attend.T2|CY2025Q3</v>
      </c>
    </row>
    <row r="7231" spans="4:18" x14ac:dyDescent="0.2">
      <c r="D7231" t="s">
        <v>131</v>
      </c>
      <c r="E7231" t="s">
        <v>132</v>
      </c>
      <c r="F7231" t="s">
        <v>133</v>
      </c>
      <c r="G7231" t="s">
        <v>173</v>
      </c>
      <c r="H7231" t="s">
        <v>173</v>
      </c>
      <c r="I7231" t="s">
        <v>42</v>
      </c>
      <c r="J7231" t="s">
        <v>43</v>
      </c>
      <c r="K7231" t="s">
        <v>29</v>
      </c>
      <c r="L7231" t="s">
        <v>30</v>
      </c>
      <c r="M7231" t="s">
        <v>172</v>
      </c>
      <c r="N7231">
        <v>845</v>
      </c>
      <c r="O7231" s="14">
        <v>0.53873982699587897</v>
      </c>
      <c r="P7231" s="14">
        <v>0.16286319401115201</v>
      </c>
      <c r="Q7231" t="str">
        <f t="shared" si="224"/>
        <v>35-49</v>
      </c>
      <c r="R7231" t="str">
        <f t="shared" si="225"/>
        <v>[JQKLKuVuY61]|35-49|Female|PLHIV_Attend.T2|CY2025Q3</v>
      </c>
    </row>
    <row r="7232" spans="4:18" x14ac:dyDescent="0.2">
      <c r="D7232" t="s">
        <v>131</v>
      </c>
      <c r="E7232" t="s">
        <v>132</v>
      </c>
      <c r="F7232" t="s">
        <v>133</v>
      </c>
      <c r="G7232" t="s">
        <v>173</v>
      </c>
      <c r="H7232" t="s">
        <v>173</v>
      </c>
      <c r="I7232" t="s">
        <v>44</v>
      </c>
      <c r="J7232" t="s">
        <v>45</v>
      </c>
      <c r="K7232" t="s">
        <v>29</v>
      </c>
      <c r="L7232" t="s">
        <v>30</v>
      </c>
      <c r="M7232" t="s">
        <v>172</v>
      </c>
      <c r="N7232">
        <v>1826</v>
      </c>
      <c r="O7232" s="14">
        <v>5.7044385932385901E-2</v>
      </c>
      <c r="P7232" s="14">
        <v>0.16286319401115201</v>
      </c>
      <c r="Q7232" t="str">
        <f t="shared" si="224"/>
        <v>50+</v>
      </c>
      <c r="R7232" t="str">
        <f t="shared" si="225"/>
        <v>[JQKLKuVuY61]|50+|Female|PLHIV_Attend.T2|CY2025Q3</v>
      </c>
    </row>
    <row r="7233" spans="4:18" x14ac:dyDescent="0.2">
      <c r="D7233" t="s">
        <v>131</v>
      </c>
      <c r="E7233" t="s">
        <v>132</v>
      </c>
      <c r="F7233" t="s">
        <v>133</v>
      </c>
      <c r="G7233" t="s">
        <v>173</v>
      </c>
      <c r="H7233" t="s">
        <v>173</v>
      </c>
      <c r="I7233" t="s">
        <v>27</v>
      </c>
      <c r="J7233" t="s">
        <v>28</v>
      </c>
      <c r="K7233" t="s">
        <v>47</v>
      </c>
      <c r="L7233" t="s">
        <v>48</v>
      </c>
      <c r="M7233" t="s">
        <v>172</v>
      </c>
      <c r="N7233">
        <v>1486</v>
      </c>
      <c r="O7233" s="14">
        <v>0.63538533379323803</v>
      </c>
      <c r="P7233" s="14">
        <v>0.16286319401115201</v>
      </c>
      <c r="Q7233" t="str">
        <f t="shared" si="224"/>
        <v>&lt;01</v>
      </c>
      <c r="R7233" t="str">
        <f t="shared" si="225"/>
        <v>[JQKLKuVuY61]|&lt;01|Male|PLHIV_Attend.T2|CY2025Q3</v>
      </c>
    </row>
    <row r="7234" spans="4:18" x14ac:dyDescent="0.2">
      <c r="D7234" t="s">
        <v>131</v>
      </c>
      <c r="E7234" t="s">
        <v>132</v>
      </c>
      <c r="F7234" t="s">
        <v>133</v>
      </c>
      <c r="G7234" t="s">
        <v>173</v>
      </c>
      <c r="H7234" t="s">
        <v>173</v>
      </c>
      <c r="I7234" t="s">
        <v>32</v>
      </c>
      <c r="J7234" t="s">
        <v>33</v>
      </c>
      <c r="K7234" t="s">
        <v>47</v>
      </c>
      <c r="L7234" t="s">
        <v>48</v>
      </c>
      <c r="M7234" t="s">
        <v>172</v>
      </c>
      <c r="N7234">
        <v>1891</v>
      </c>
      <c r="O7234" s="14">
        <v>0.71822993503883503</v>
      </c>
      <c r="P7234" s="14">
        <v>0.16286319401115201</v>
      </c>
      <c r="Q7234" t="str">
        <f t="shared" ref="Q7234:Q7297" si="226">SUBSTITUTE(SUBSTITUTE($I7234,CHAR(61),""),CHAR(34),"")</f>
        <v>01-09</v>
      </c>
      <c r="R7234" t="str">
        <f t="shared" ref="R7234:R7297" si="227">IF($D7234&lt;&gt;"","["&amp;$E7234&amp;"]"&amp;"|"&amp;$Q7234&amp;"|"&amp;$K7234&amp;"|"&amp;$G7234&amp;"|"&amp;IF($G7234="TX_CURR_SUBNAT.R","CY2022Q4",$M7234),"")</f>
        <v>[JQKLKuVuY61]|01-09|Male|PLHIV_Attend.T2|CY2025Q3</v>
      </c>
    </row>
    <row r="7235" spans="4:18" x14ac:dyDescent="0.2">
      <c r="D7235" t="s">
        <v>131</v>
      </c>
      <c r="E7235" t="s">
        <v>132</v>
      </c>
      <c r="F7235" t="s">
        <v>133</v>
      </c>
      <c r="G7235" t="s">
        <v>173</v>
      </c>
      <c r="H7235" t="s">
        <v>173</v>
      </c>
      <c r="I7235" t="s">
        <v>35</v>
      </c>
      <c r="J7235" t="s">
        <v>36</v>
      </c>
      <c r="K7235" t="s">
        <v>47</v>
      </c>
      <c r="L7235" t="s">
        <v>48</v>
      </c>
      <c r="M7235" t="s">
        <v>172</v>
      </c>
      <c r="N7235">
        <v>1173</v>
      </c>
      <c r="O7235" s="14">
        <v>0.70498126745223999</v>
      </c>
      <c r="P7235" s="14">
        <v>0.16286319401115201</v>
      </c>
      <c r="Q7235" t="str">
        <f t="shared" si="226"/>
        <v>10-14</v>
      </c>
      <c r="R7235" t="str">
        <f t="shared" si="227"/>
        <v>[JQKLKuVuY61]|10-14|Male|PLHIV_Attend.T2|CY2025Q3</v>
      </c>
    </row>
    <row r="7236" spans="4:18" x14ac:dyDescent="0.2">
      <c r="D7236" t="s">
        <v>131</v>
      </c>
      <c r="E7236" t="s">
        <v>132</v>
      </c>
      <c r="F7236" t="s">
        <v>133</v>
      </c>
      <c r="G7236" t="s">
        <v>173</v>
      </c>
      <c r="H7236" t="s">
        <v>173</v>
      </c>
      <c r="I7236" t="s">
        <v>37</v>
      </c>
      <c r="J7236" t="s">
        <v>38</v>
      </c>
      <c r="K7236" t="s">
        <v>47</v>
      </c>
      <c r="L7236" t="s">
        <v>48</v>
      </c>
      <c r="M7236" t="s">
        <v>172</v>
      </c>
      <c r="N7236">
        <v>1476</v>
      </c>
      <c r="O7236" s="14">
        <v>0.35003582783974702</v>
      </c>
      <c r="P7236" s="14">
        <v>0.16286319401115201</v>
      </c>
      <c r="Q7236" t="str">
        <f t="shared" si="226"/>
        <v>15-24</v>
      </c>
      <c r="R7236" t="str">
        <f t="shared" si="227"/>
        <v>[JQKLKuVuY61]|15-24|Male|PLHIV_Attend.T2|CY2025Q3</v>
      </c>
    </row>
    <row r="7237" spans="4:18" x14ac:dyDescent="0.2">
      <c r="D7237" t="s">
        <v>131</v>
      </c>
      <c r="E7237" t="s">
        <v>132</v>
      </c>
      <c r="F7237" t="s">
        <v>133</v>
      </c>
      <c r="G7237" t="s">
        <v>173</v>
      </c>
      <c r="H7237" t="s">
        <v>173</v>
      </c>
      <c r="I7237" t="s">
        <v>40</v>
      </c>
      <c r="J7237" t="s">
        <v>41</v>
      </c>
      <c r="K7237" t="s">
        <v>47</v>
      </c>
      <c r="L7237" t="s">
        <v>48</v>
      </c>
      <c r="M7237" t="s">
        <v>172</v>
      </c>
      <c r="N7237">
        <v>1282</v>
      </c>
      <c r="O7237" s="14">
        <v>0.47997092036530398</v>
      </c>
      <c r="P7237" s="14">
        <v>0.16286319401115201</v>
      </c>
      <c r="Q7237" t="str">
        <f t="shared" si="226"/>
        <v>25-34</v>
      </c>
      <c r="R7237" t="str">
        <f t="shared" si="227"/>
        <v>[JQKLKuVuY61]|25-34|Male|PLHIV_Attend.T2|CY2025Q3</v>
      </c>
    </row>
    <row r="7238" spans="4:18" x14ac:dyDescent="0.2">
      <c r="D7238" t="s">
        <v>131</v>
      </c>
      <c r="E7238" t="s">
        <v>132</v>
      </c>
      <c r="F7238" t="s">
        <v>133</v>
      </c>
      <c r="G7238" t="s">
        <v>173</v>
      </c>
      <c r="H7238" t="s">
        <v>173</v>
      </c>
      <c r="I7238" t="s">
        <v>42</v>
      </c>
      <c r="J7238" t="s">
        <v>43</v>
      </c>
      <c r="K7238" t="s">
        <v>47</v>
      </c>
      <c r="L7238" t="s">
        <v>48</v>
      </c>
      <c r="M7238" t="s">
        <v>172</v>
      </c>
      <c r="N7238">
        <v>742</v>
      </c>
      <c r="O7238" s="14">
        <v>0.77121149445883896</v>
      </c>
      <c r="P7238" s="14">
        <v>0.16286319401115201</v>
      </c>
      <c r="Q7238" t="str">
        <f t="shared" si="226"/>
        <v>35-49</v>
      </c>
      <c r="R7238" t="str">
        <f t="shared" si="227"/>
        <v>[JQKLKuVuY61]|35-49|Male|PLHIV_Attend.T2|CY2025Q3</v>
      </c>
    </row>
    <row r="7239" spans="4:18" x14ac:dyDescent="0.2">
      <c r="D7239" t="s">
        <v>131</v>
      </c>
      <c r="E7239" t="s">
        <v>132</v>
      </c>
      <c r="F7239" t="s">
        <v>133</v>
      </c>
      <c r="G7239" t="s">
        <v>173</v>
      </c>
      <c r="H7239" t="s">
        <v>173</v>
      </c>
      <c r="I7239" t="s">
        <v>44</v>
      </c>
      <c r="J7239" t="s">
        <v>45</v>
      </c>
      <c r="K7239" t="s">
        <v>47</v>
      </c>
      <c r="L7239" t="s">
        <v>48</v>
      </c>
      <c r="M7239" t="s">
        <v>172</v>
      </c>
      <c r="N7239">
        <v>1578</v>
      </c>
      <c r="O7239" s="14">
        <v>0.18181787757203</v>
      </c>
      <c r="P7239" s="14">
        <v>0.16286319401115201</v>
      </c>
      <c r="Q7239" t="str">
        <f t="shared" si="226"/>
        <v>50+</v>
      </c>
      <c r="R7239" t="str">
        <f t="shared" si="227"/>
        <v>[JQKLKuVuY61]|50+|Male|PLHIV_Attend.T2|CY2025Q3</v>
      </c>
    </row>
    <row r="7240" spans="4:18" x14ac:dyDescent="0.2">
      <c r="D7240" t="s">
        <v>134</v>
      </c>
      <c r="E7240" t="s">
        <v>135</v>
      </c>
      <c r="F7240" t="s">
        <v>136</v>
      </c>
      <c r="G7240" t="s">
        <v>173</v>
      </c>
      <c r="H7240" t="s">
        <v>173</v>
      </c>
      <c r="I7240" t="s">
        <v>27</v>
      </c>
      <c r="J7240" t="s">
        <v>28</v>
      </c>
      <c r="K7240" t="s">
        <v>29</v>
      </c>
      <c r="L7240" t="s">
        <v>30</v>
      </c>
      <c r="M7240" t="s">
        <v>172</v>
      </c>
      <c r="N7240">
        <v>1492</v>
      </c>
      <c r="O7240" s="14">
        <v>4.0906166424974799E-2</v>
      </c>
      <c r="P7240" s="14">
        <v>0.95530052832327805</v>
      </c>
      <c r="Q7240" t="str">
        <f t="shared" si="226"/>
        <v>&lt;01</v>
      </c>
      <c r="R7240" t="str">
        <f t="shared" si="227"/>
        <v>[fiRkU6gEjLz]|&lt;01|Female|PLHIV_Attend.T2|CY2025Q3</v>
      </c>
    </row>
    <row r="7241" spans="4:18" x14ac:dyDescent="0.2">
      <c r="D7241" t="s">
        <v>134</v>
      </c>
      <c r="E7241" t="s">
        <v>135</v>
      </c>
      <c r="F7241" t="s">
        <v>136</v>
      </c>
      <c r="G7241" t="s">
        <v>173</v>
      </c>
      <c r="H7241" t="s">
        <v>173</v>
      </c>
      <c r="I7241" t="s">
        <v>32</v>
      </c>
      <c r="J7241" t="s">
        <v>33</v>
      </c>
      <c r="K7241" t="s">
        <v>29</v>
      </c>
      <c r="L7241" t="s">
        <v>30</v>
      </c>
      <c r="M7241" t="s">
        <v>172</v>
      </c>
      <c r="N7241">
        <v>1056</v>
      </c>
      <c r="O7241" s="14">
        <v>0.94665144127793599</v>
      </c>
      <c r="P7241" s="14">
        <v>0.95530052832327805</v>
      </c>
      <c r="Q7241" t="str">
        <f t="shared" si="226"/>
        <v>01-09</v>
      </c>
      <c r="R7241" t="str">
        <f t="shared" si="227"/>
        <v>[fiRkU6gEjLz]|01-09|Female|PLHIV_Attend.T2|CY2025Q3</v>
      </c>
    </row>
    <row r="7242" spans="4:18" x14ac:dyDescent="0.2">
      <c r="D7242" t="s">
        <v>134</v>
      </c>
      <c r="E7242" t="s">
        <v>135</v>
      </c>
      <c r="F7242" t="s">
        <v>136</v>
      </c>
      <c r="G7242" t="s">
        <v>173</v>
      </c>
      <c r="H7242" t="s">
        <v>173</v>
      </c>
      <c r="I7242" t="s">
        <v>35</v>
      </c>
      <c r="J7242" t="s">
        <v>36</v>
      </c>
      <c r="K7242" t="s">
        <v>29</v>
      </c>
      <c r="L7242" t="s">
        <v>30</v>
      </c>
      <c r="M7242" t="s">
        <v>172</v>
      </c>
      <c r="N7242">
        <v>1831</v>
      </c>
      <c r="O7242" s="14">
        <v>0.74425812554545701</v>
      </c>
      <c r="P7242" s="14">
        <v>0.95530052832327805</v>
      </c>
      <c r="Q7242" t="str">
        <f t="shared" si="226"/>
        <v>10-14</v>
      </c>
      <c r="R7242" t="str">
        <f t="shared" si="227"/>
        <v>[fiRkU6gEjLz]|10-14|Female|PLHIV_Attend.T2|CY2025Q3</v>
      </c>
    </row>
    <row r="7243" spans="4:18" x14ac:dyDescent="0.2">
      <c r="D7243" t="s">
        <v>134</v>
      </c>
      <c r="E7243" t="s">
        <v>135</v>
      </c>
      <c r="F7243" t="s">
        <v>136</v>
      </c>
      <c r="G7243" t="s">
        <v>173</v>
      </c>
      <c r="H7243" t="s">
        <v>173</v>
      </c>
      <c r="I7243" t="s">
        <v>37</v>
      </c>
      <c r="J7243" t="s">
        <v>38</v>
      </c>
      <c r="K7243" t="s">
        <v>29</v>
      </c>
      <c r="L7243" t="s">
        <v>30</v>
      </c>
      <c r="M7243" t="s">
        <v>172</v>
      </c>
      <c r="N7243">
        <v>1303</v>
      </c>
      <c r="O7243" s="14">
        <v>0.29458496347069701</v>
      </c>
      <c r="P7243" s="14">
        <v>0.95530052832327805</v>
      </c>
      <c r="Q7243" t="str">
        <f t="shared" si="226"/>
        <v>15-24</v>
      </c>
      <c r="R7243" t="str">
        <f t="shared" si="227"/>
        <v>[fiRkU6gEjLz]|15-24|Female|PLHIV_Attend.T2|CY2025Q3</v>
      </c>
    </row>
    <row r="7244" spans="4:18" x14ac:dyDescent="0.2">
      <c r="D7244" t="s">
        <v>134</v>
      </c>
      <c r="E7244" t="s">
        <v>135</v>
      </c>
      <c r="F7244" t="s">
        <v>136</v>
      </c>
      <c r="G7244" t="s">
        <v>173</v>
      </c>
      <c r="H7244" t="s">
        <v>173</v>
      </c>
      <c r="I7244" t="s">
        <v>40</v>
      </c>
      <c r="J7244" t="s">
        <v>41</v>
      </c>
      <c r="K7244" t="s">
        <v>29</v>
      </c>
      <c r="L7244" t="s">
        <v>30</v>
      </c>
      <c r="M7244" t="s">
        <v>172</v>
      </c>
      <c r="N7244">
        <v>812</v>
      </c>
      <c r="O7244" s="14">
        <v>0.53609864390455197</v>
      </c>
      <c r="P7244" s="14">
        <v>0.95530052832327805</v>
      </c>
      <c r="Q7244" t="str">
        <f t="shared" si="226"/>
        <v>25-34</v>
      </c>
      <c r="R7244" t="str">
        <f t="shared" si="227"/>
        <v>[fiRkU6gEjLz]|25-34|Female|PLHIV_Attend.T2|CY2025Q3</v>
      </c>
    </row>
    <row r="7245" spans="4:18" x14ac:dyDescent="0.2">
      <c r="D7245" t="s">
        <v>134</v>
      </c>
      <c r="E7245" t="s">
        <v>135</v>
      </c>
      <c r="F7245" t="s">
        <v>136</v>
      </c>
      <c r="G7245" t="s">
        <v>173</v>
      </c>
      <c r="H7245" t="s">
        <v>173</v>
      </c>
      <c r="I7245" t="s">
        <v>42</v>
      </c>
      <c r="J7245" t="s">
        <v>43</v>
      </c>
      <c r="K7245" t="s">
        <v>29</v>
      </c>
      <c r="L7245" t="s">
        <v>30</v>
      </c>
      <c r="M7245" t="s">
        <v>172</v>
      </c>
      <c r="N7245">
        <v>823</v>
      </c>
      <c r="O7245" s="14">
        <v>8.1653364934027195E-2</v>
      </c>
      <c r="P7245" s="14">
        <v>0.95530052832327805</v>
      </c>
      <c r="Q7245" t="str">
        <f t="shared" si="226"/>
        <v>35-49</v>
      </c>
      <c r="R7245" t="str">
        <f t="shared" si="227"/>
        <v>[fiRkU6gEjLz]|35-49|Female|PLHIV_Attend.T2|CY2025Q3</v>
      </c>
    </row>
    <row r="7246" spans="4:18" x14ac:dyDescent="0.2">
      <c r="D7246" t="s">
        <v>134</v>
      </c>
      <c r="E7246" t="s">
        <v>135</v>
      </c>
      <c r="F7246" t="s">
        <v>136</v>
      </c>
      <c r="G7246" t="s">
        <v>173</v>
      </c>
      <c r="H7246" t="s">
        <v>173</v>
      </c>
      <c r="I7246" t="s">
        <v>44</v>
      </c>
      <c r="J7246" t="s">
        <v>45</v>
      </c>
      <c r="K7246" t="s">
        <v>29</v>
      </c>
      <c r="L7246" t="s">
        <v>30</v>
      </c>
      <c r="M7246" t="s">
        <v>172</v>
      </c>
      <c r="N7246">
        <v>994</v>
      </c>
      <c r="O7246" s="14">
        <v>2.9668791918084001E-2</v>
      </c>
      <c r="P7246" s="14">
        <v>0.95530052832327805</v>
      </c>
      <c r="Q7246" t="str">
        <f t="shared" si="226"/>
        <v>50+</v>
      </c>
      <c r="R7246" t="str">
        <f t="shared" si="227"/>
        <v>[fiRkU6gEjLz]|50+|Female|PLHIV_Attend.T2|CY2025Q3</v>
      </c>
    </row>
    <row r="7247" spans="4:18" x14ac:dyDescent="0.2">
      <c r="D7247" t="s">
        <v>134</v>
      </c>
      <c r="E7247" t="s">
        <v>135</v>
      </c>
      <c r="F7247" t="s">
        <v>136</v>
      </c>
      <c r="G7247" t="s">
        <v>173</v>
      </c>
      <c r="H7247" t="s">
        <v>173</v>
      </c>
      <c r="I7247" t="s">
        <v>27</v>
      </c>
      <c r="J7247" t="s">
        <v>28</v>
      </c>
      <c r="K7247" t="s">
        <v>47</v>
      </c>
      <c r="L7247" t="s">
        <v>48</v>
      </c>
      <c r="M7247" t="s">
        <v>172</v>
      </c>
      <c r="N7247">
        <v>1374</v>
      </c>
      <c r="O7247" s="14">
        <v>0.22574155521579101</v>
      </c>
      <c r="P7247" s="14">
        <v>0.95530052832327805</v>
      </c>
      <c r="Q7247" t="str">
        <f t="shared" si="226"/>
        <v>&lt;01</v>
      </c>
      <c r="R7247" t="str">
        <f t="shared" si="227"/>
        <v>[fiRkU6gEjLz]|&lt;01|Male|PLHIV_Attend.T2|CY2025Q3</v>
      </c>
    </row>
    <row r="7248" spans="4:18" x14ac:dyDescent="0.2">
      <c r="D7248" t="s">
        <v>134</v>
      </c>
      <c r="E7248" t="s">
        <v>135</v>
      </c>
      <c r="F7248" t="s">
        <v>136</v>
      </c>
      <c r="G7248" t="s">
        <v>173</v>
      </c>
      <c r="H7248" t="s">
        <v>173</v>
      </c>
      <c r="I7248" t="s">
        <v>32</v>
      </c>
      <c r="J7248" t="s">
        <v>33</v>
      </c>
      <c r="K7248" t="s">
        <v>47</v>
      </c>
      <c r="L7248" t="s">
        <v>48</v>
      </c>
      <c r="M7248" t="s">
        <v>172</v>
      </c>
      <c r="N7248">
        <v>765</v>
      </c>
      <c r="O7248" s="14">
        <v>0.94886933034285903</v>
      </c>
      <c r="P7248" s="14">
        <v>0.95530052832327805</v>
      </c>
      <c r="Q7248" t="str">
        <f t="shared" si="226"/>
        <v>01-09</v>
      </c>
      <c r="R7248" t="str">
        <f t="shared" si="227"/>
        <v>[fiRkU6gEjLz]|01-09|Male|PLHIV_Attend.T2|CY2025Q3</v>
      </c>
    </row>
    <row r="7249" spans="4:18" x14ac:dyDescent="0.2">
      <c r="D7249" t="s">
        <v>134</v>
      </c>
      <c r="E7249" t="s">
        <v>135</v>
      </c>
      <c r="F7249" t="s">
        <v>136</v>
      </c>
      <c r="G7249" t="s">
        <v>173</v>
      </c>
      <c r="H7249" t="s">
        <v>173</v>
      </c>
      <c r="I7249" t="s">
        <v>35</v>
      </c>
      <c r="J7249" t="s">
        <v>36</v>
      </c>
      <c r="K7249" t="s">
        <v>47</v>
      </c>
      <c r="L7249" t="s">
        <v>48</v>
      </c>
      <c r="M7249" t="s">
        <v>172</v>
      </c>
      <c r="N7249">
        <v>1267</v>
      </c>
      <c r="O7249" s="14">
        <v>0.32872845232486703</v>
      </c>
      <c r="P7249" s="14">
        <v>0.95530052832327805</v>
      </c>
      <c r="Q7249" t="str">
        <f t="shared" si="226"/>
        <v>10-14</v>
      </c>
      <c r="R7249" t="str">
        <f t="shared" si="227"/>
        <v>[fiRkU6gEjLz]|10-14|Male|PLHIV_Attend.T2|CY2025Q3</v>
      </c>
    </row>
    <row r="7250" spans="4:18" x14ac:dyDescent="0.2">
      <c r="D7250" t="s">
        <v>134</v>
      </c>
      <c r="E7250" t="s">
        <v>135</v>
      </c>
      <c r="F7250" t="s">
        <v>136</v>
      </c>
      <c r="G7250" t="s">
        <v>173</v>
      </c>
      <c r="H7250" t="s">
        <v>173</v>
      </c>
      <c r="I7250" t="s">
        <v>37</v>
      </c>
      <c r="J7250" t="s">
        <v>38</v>
      </c>
      <c r="K7250" t="s">
        <v>47</v>
      </c>
      <c r="L7250" t="s">
        <v>48</v>
      </c>
      <c r="M7250" t="s">
        <v>172</v>
      </c>
      <c r="N7250">
        <v>1482</v>
      </c>
      <c r="O7250" s="14">
        <v>0.34493862697854599</v>
      </c>
      <c r="P7250" s="14">
        <v>0.95530052832327805</v>
      </c>
      <c r="Q7250" t="str">
        <f t="shared" si="226"/>
        <v>15-24</v>
      </c>
      <c r="R7250" t="str">
        <f t="shared" si="227"/>
        <v>[fiRkU6gEjLz]|15-24|Male|PLHIV_Attend.T2|CY2025Q3</v>
      </c>
    </row>
    <row r="7251" spans="4:18" x14ac:dyDescent="0.2">
      <c r="D7251" t="s">
        <v>134</v>
      </c>
      <c r="E7251" t="s">
        <v>135</v>
      </c>
      <c r="F7251" t="s">
        <v>136</v>
      </c>
      <c r="G7251" t="s">
        <v>173</v>
      </c>
      <c r="H7251" t="s">
        <v>173</v>
      </c>
      <c r="I7251" t="s">
        <v>40</v>
      </c>
      <c r="J7251" t="s">
        <v>41</v>
      </c>
      <c r="K7251" t="s">
        <v>47</v>
      </c>
      <c r="L7251" t="s">
        <v>48</v>
      </c>
      <c r="M7251" t="s">
        <v>172</v>
      </c>
      <c r="N7251">
        <v>1990</v>
      </c>
      <c r="O7251" s="14">
        <v>0.98885779175907396</v>
      </c>
      <c r="P7251" s="14">
        <v>0.95530052832327805</v>
      </c>
      <c r="Q7251" t="str">
        <f t="shared" si="226"/>
        <v>25-34</v>
      </c>
      <c r="R7251" t="str">
        <f t="shared" si="227"/>
        <v>[fiRkU6gEjLz]|25-34|Male|PLHIV_Attend.T2|CY2025Q3</v>
      </c>
    </row>
    <row r="7252" spans="4:18" x14ac:dyDescent="0.2">
      <c r="D7252" t="s">
        <v>134</v>
      </c>
      <c r="E7252" t="s">
        <v>135</v>
      </c>
      <c r="F7252" t="s">
        <v>136</v>
      </c>
      <c r="G7252" t="s">
        <v>173</v>
      </c>
      <c r="H7252" t="s">
        <v>173</v>
      </c>
      <c r="I7252" t="s">
        <v>42</v>
      </c>
      <c r="J7252" t="s">
        <v>43</v>
      </c>
      <c r="K7252" t="s">
        <v>47</v>
      </c>
      <c r="L7252" t="s">
        <v>48</v>
      </c>
      <c r="M7252" t="s">
        <v>172</v>
      </c>
      <c r="N7252">
        <v>565</v>
      </c>
      <c r="O7252" s="14">
        <v>0.55691578099504102</v>
      </c>
      <c r="P7252" s="14">
        <v>0.95530052832327805</v>
      </c>
      <c r="Q7252" t="str">
        <f t="shared" si="226"/>
        <v>35-49</v>
      </c>
      <c r="R7252" t="str">
        <f t="shared" si="227"/>
        <v>[fiRkU6gEjLz]|35-49|Male|PLHIV_Attend.T2|CY2025Q3</v>
      </c>
    </row>
    <row r="7253" spans="4:18" x14ac:dyDescent="0.2">
      <c r="D7253" t="s">
        <v>134</v>
      </c>
      <c r="E7253" t="s">
        <v>135</v>
      </c>
      <c r="F7253" t="s">
        <v>136</v>
      </c>
      <c r="G7253" t="s">
        <v>173</v>
      </c>
      <c r="H7253" t="s">
        <v>173</v>
      </c>
      <c r="I7253" t="s">
        <v>44</v>
      </c>
      <c r="J7253" t="s">
        <v>45</v>
      </c>
      <c r="K7253" t="s">
        <v>47</v>
      </c>
      <c r="L7253" t="s">
        <v>48</v>
      </c>
      <c r="M7253" t="s">
        <v>172</v>
      </c>
      <c r="N7253">
        <v>607</v>
      </c>
      <c r="O7253" s="14">
        <v>0.41144619253463999</v>
      </c>
      <c r="P7253" s="14">
        <v>0.95530052832327805</v>
      </c>
      <c r="Q7253" t="str">
        <f t="shared" si="226"/>
        <v>50+</v>
      </c>
      <c r="R7253" t="str">
        <f t="shared" si="227"/>
        <v>[fiRkU6gEjLz]|50+|Male|PLHIV_Attend.T2|CY2025Q3</v>
      </c>
    </row>
    <row r="7254" spans="4:18" x14ac:dyDescent="0.2">
      <c r="D7254" t="s">
        <v>22</v>
      </c>
      <c r="E7254" t="s">
        <v>23</v>
      </c>
      <c r="F7254" t="s">
        <v>24</v>
      </c>
      <c r="G7254" t="s">
        <v>174</v>
      </c>
      <c r="H7254" t="s">
        <v>174</v>
      </c>
      <c r="I7254" t="s">
        <v>27</v>
      </c>
      <c r="J7254" t="s">
        <v>28</v>
      </c>
      <c r="K7254" t="s">
        <v>29</v>
      </c>
      <c r="L7254" t="s">
        <v>30</v>
      </c>
      <c r="M7254" t="s">
        <v>172</v>
      </c>
      <c r="N7254">
        <v>735</v>
      </c>
      <c r="O7254" s="14">
        <v>0.79775524209253501</v>
      </c>
      <c r="P7254" s="14">
        <v>0.40435861097648701</v>
      </c>
      <c r="Q7254" t="str">
        <f t="shared" si="226"/>
        <v>&lt;01</v>
      </c>
      <c r="R7254" t="str">
        <f t="shared" si="227"/>
        <v>[GkIwZrXy1h2]|&lt;01|Female|NEW_INFECTIONS_SUBNAT.T2|CY2025Q3</v>
      </c>
    </row>
    <row r="7255" spans="4:18" x14ac:dyDescent="0.2">
      <c r="D7255" t="s">
        <v>22</v>
      </c>
      <c r="E7255" t="s">
        <v>23</v>
      </c>
      <c r="F7255" t="s">
        <v>24</v>
      </c>
      <c r="G7255" t="s">
        <v>174</v>
      </c>
      <c r="H7255" t="s">
        <v>174</v>
      </c>
      <c r="I7255" t="s">
        <v>32</v>
      </c>
      <c r="J7255" t="s">
        <v>33</v>
      </c>
      <c r="K7255" t="s">
        <v>29</v>
      </c>
      <c r="L7255" t="s">
        <v>30</v>
      </c>
      <c r="M7255" t="s">
        <v>172</v>
      </c>
      <c r="N7255">
        <v>1107</v>
      </c>
      <c r="O7255" s="14">
        <v>0.433806044282392</v>
      </c>
      <c r="P7255" s="14">
        <v>0.40435861097648701</v>
      </c>
      <c r="Q7255" t="str">
        <f t="shared" si="226"/>
        <v>01-09</v>
      </c>
      <c r="R7255" t="str">
        <f t="shared" si="227"/>
        <v>[GkIwZrXy1h2]|01-09|Female|NEW_INFECTIONS_SUBNAT.T2|CY2025Q3</v>
      </c>
    </row>
    <row r="7256" spans="4:18" x14ac:dyDescent="0.2">
      <c r="D7256" t="s">
        <v>22</v>
      </c>
      <c r="E7256" t="s">
        <v>23</v>
      </c>
      <c r="F7256" t="s">
        <v>24</v>
      </c>
      <c r="G7256" t="s">
        <v>174</v>
      </c>
      <c r="H7256" t="s">
        <v>174</v>
      </c>
      <c r="I7256" t="s">
        <v>35</v>
      </c>
      <c r="J7256" t="s">
        <v>36</v>
      </c>
      <c r="K7256" t="s">
        <v>29</v>
      </c>
      <c r="L7256" t="s">
        <v>30</v>
      </c>
      <c r="M7256" t="s">
        <v>172</v>
      </c>
      <c r="N7256">
        <v>1359</v>
      </c>
      <c r="O7256" s="14">
        <v>0.71376320836134299</v>
      </c>
      <c r="P7256" s="14">
        <v>0.40435861097648701</v>
      </c>
      <c r="Q7256" t="str">
        <f t="shared" si="226"/>
        <v>10-14</v>
      </c>
      <c r="R7256" t="str">
        <f t="shared" si="227"/>
        <v>[GkIwZrXy1h2]|10-14|Female|NEW_INFECTIONS_SUBNAT.T2|CY2025Q3</v>
      </c>
    </row>
    <row r="7257" spans="4:18" x14ac:dyDescent="0.2">
      <c r="D7257" t="s">
        <v>22</v>
      </c>
      <c r="E7257" t="s">
        <v>23</v>
      </c>
      <c r="F7257" t="s">
        <v>24</v>
      </c>
      <c r="G7257" t="s">
        <v>174</v>
      </c>
      <c r="H7257" t="s">
        <v>174</v>
      </c>
      <c r="I7257" t="s">
        <v>37</v>
      </c>
      <c r="J7257" t="s">
        <v>38</v>
      </c>
      <c r="K7257" t="s">
        <v>29</v>
      </c>
      <c r="L7257" t="s">
        <v>30</v>
      </c>
      <c r="M7257" t="s">
        <v>172</v>
      </c>
      <c r="N7257">
        <v>501</v>
      </c>
      <c r="O7257" s="14">
        <v>3.13509437255561E-2</v>
      </c>
      <c r="P7257" s="14">
        <v>0.40435861097648701</v>
      </c>
      <c r="Q7257" t="str">
        <f t="shared" si="226"/>
        <v>15-24</v>
      </c>
      <c r="R7257" t="str">
        <f t="shared" si="227"/>
        <v>[GkIwZrXy1h2]|15-24|Female|NEW_INFECTIONS_SUBNAT.T2|CY2025Q3</v>
      </c>
    </row>
    <row r="7258" spans="4:18" x14ac:dyDescent="0.2">
      <c r="D7258" t="s">
        <v>22</v>
      </c>
      <c r="E7258" t="s">
        <v>23</v>
      </c>
      <c r="F7258" t="s">
        <v>24</v>
      </c>
      <c r="G7258" t="s">
        <v>174</v>
      </c>
      <c r="H7258" t="s">
        <v>174</v>
      </c>
      <c r="I7258" t="s">
        <v>40</v>
      </c>
      <c r="J7258" t="s">
        <v>41</v>
      </c>
      <c r="K7258" t="s">
        <v>29</v>
      </c>
      <c r="L7258" t="s">
        <v>30</v>
      </c>
      <c r="M7258" t="s">
        <v>172</v>
      </c>
      <c r="N7258">
        <v>1416</v>
      </c>
      <c r="O7258" s="14">
        <v>0.88942235452122997</v>
      </c>
      <c r="P7258" s="14">
        <v>0.40435861097648701</v>
      </c>
      <c r="Q7258" t="str">
        <f t="shared" si="226"/>
        <v>25-34</v>
      </c>
      <c r="R7258" t="str">
        <f t="shared" si="227"/>
        <v>[GkIwZrXy1h2]|25-34|Female|NEW_INFECTIONS_SUBNAT.T2|CY2025Q3</v>
      </c>
    </row>
    <row r="7259" spans="4:18" x14ac:dyDescent="0.2">
      <c r="D7259" t="s">
        <v>22</v>
      </c>
      <c r="E7259" t="s">
        <v>23</v>
      </c>
      <c r="F7259" t="s">
        <v>24</v>
      </c>
      <c r="G7259" t="s">
        <v>174</v>
      </c>
      <c r="H7259" t="s">
        <v>174</v>
      </c>
      <c r="I7259" t="s">
        <v>42</v>
      </c>
      <c r="J7259" t="s">
        <v>43</v>
      </c>
      <c r="K7259" t="s">
        <v>29</v>
      </c>
      <c r="L7259" t="s">
        <v>30</v>
      </c>
      <c r="M7259" t="s">
        <v>172</v>
      </c>
      <c r="N7259">
        <v>889</v>
      </c>
      <c r="O7259" s="14">
        <v>0.69829650362953499</v>
      </c>
      <c r="P7259" s="14">
        <v>0.40435861097648701</v>
      </c>
      <c r="Q7259" t="str">
        <f t="shared" si="226"/>
        <v>35-49</v>
      </c>
      <c r="R7259" t="str">
        <f t="shared" si="227"/>
        <v>[GkIwZrXy1h2]|35-49|Female|NEW_INFECTIONS_SUBNAT.T2|CY2025Q3</v>
      </c>
    </row>
    <row r="7260" spans="4:18" x14ac:dyDescent="0.2">
      <c r="D7260" t="s">
        <v>22</v>
      </c>
      <c r="E7260" t="s">
        <v>23</v>
      </c>
      <c r="F7260" t="s">
        <v>24</v>
      </c>
      <c r="G7260" t="s">
        <v>174</v>
      </c>
      <c r="H7260" t="s">
        <v>174</v>
      </c>
      <c r="I7260" t="s">
        <v>44</v>
      </c>
      <c r="J7260" t="s">
        <v>45</v>
      </c>
      <c r="K7260" t="s">
        <v>29</v>
      </c>
      <c r="L7260" t="s">
        <v>30</v>
      </c>
      <c r="M7260" t="s">
        <v>172</v>
      </c>
      <c r="N7260">
        <v>936</v>
      </c>
      <c r="O7260" s="14">
        <v>0.74450074625201501</v>
      </c>
      <c r="P7260" s="14">
        <v>0.40435861097648701</v>
      </c>
      <c r="Q7260" t="str">
        <f t="shared" si="226"/>
        <v>50+</v>
      </c>
      <c r="R7260" t="str">
        <f t="shared" si="227"/>
        <v>[GkIwZrXy1h2]|50+|Female|NEW_INFECTIONS_SUBNAT.T2|CY2025Q3</v>
      </c>
    </row>
    <row r="7261" spans="4:18" x14ac:dyDescent="0.2">
      <c r="D7261" t="s">
        <v>22</v>
      </c>
      <c r="E7261" t="s">
        <v>23</v>
      </c>
      <c r="F7261" t="s">
        <v>24</v>
      </c>
      <c r="G7261" t="s">
        <v>174</v>
      </c>
      <c r="H7261" t="s">
        <v>174</v>
      </c>
      <c r="I7261" t="s">
        <v>27</v>
      </c>
      <c r="J7261" t="s">
        <v>28</v>
      </c>
      <c r="K7261" t="s">
        <v>47</v>
      </c>
      <c r="L7261" t="s">
        <v>48</v>
      </c>
      <c r="M7261" t="s">
        <v>172</v>
      </c>
      <c r="N7261">
        <v>1040</v>
      </c>
      <c r="O7261" s="14">
        <v>0.192475544521585</v>
      </c>
      <c r="P7261" s="14">
        <v>0.40435861097648701</v>
      </c>
      <c r="Q7261" t="str">
        <f t="shared" si="226"/>
        <v>&lt;01</v>
      </c>
      <c r="R7261" t="str">
        <f t="shared" si="227"/>
        <v>[GkIwZrXy1h2]|&lt;01|Male|NEW_INFECTIONS_SUBNAT.T2|CY2025Q3</v>
      </c>
    </row>
    <row r="7262" spans="4:18" x14ac:dyDescent="0.2">
      <c r="D7262" t="s">
        <v>22</v>
      </c>
      <c r="E7262" t="s">
        <v>23</v>
      </c>
      <c r="F7262" t="s">
        <v>24</v>
      </c>
      <c r="G7262" t="s">
        <v>174</v>
      </c>
      <c r="H7262" t="s">
        <v>174</v>
      </c>
      <c r="I7262" t="s">
        <v>32</v>
      </c>
      <c r="J7262" t="s">
        <v>33</v>
      </c>
      <c r="K7262" t="s">
        <v>47</v>
      </c>
      <c r="L7262" t="s">
        <v>48</v>
      </c>
      <c r="M7262" t="s">
        <v>172</v>
      </c>
      <c r="N7262">
        <v>879</v>
      </c>
      <c r="O7262" s="14">
        <v>0.77981813275255296</v>
      </c>
      <c r="P7262" s="14">
        <v>0.40435861097648701</v>
      </c>
      <c r="Q7262" t="str">
        <f t="shared" si="226"/>
        <v>01-09</v>
      </c>
      <c r="R7262" t="str">
        <f t="shared" si="227"/>
        <v>[GkIwZrXy1h2]|01-09|Male|NEW_INFECTIONS_SUBNAT.T2|CY2025Q3</v>
      </c>
    </row>
    <row r="7263" spans="4:18" x14ac:dyDescent="0.2">
      <c r="D7263" t="s">
        <v>22</v>
      </c>
      <c r="E7263" t="s">
        <v>23</v>
      </c>
      <c r="F7263" t="s">
        <v>24</v>
      </c>
      <c r="G7263" t="s">
        <v>174</v>
      </c>
      <c r="H7263" t="s">
        <v>174</v>
      </c>
      <c r="I7263" t="s">
        <v>35</v>
      </c>
      <c r="J7263" t="s">
        <v>36</v>
      </c>
      <c r="K7263" t="s">
        <v>47</v>
      </c>
      <c r="L7263" t="s">
        <v>48</v>
      </c>
      <c r="M7263" t="s">
        <v>172</v>
      </c>
      <c r="N7263">
        <v>617</v>
      </c>
      <c r="O7263" s="14">
        <v>0.75234571797773198</v>
      </c>
      <c r="P7263" s="14">
        <v>0.40435861097648701</v>
      </c>
      <c r="Q7263" t="str">
        <f t="shared" si="226"/>
        <v>10-14</v>
      </c>
      <c r="R7263" t="str">
        <f t="shared" si="227"/>
        <v>[GkIwZrXy1h2]|10-14|Male|NEW_INFECTIONS_SUBNAT.T2|CY2025Q3</v>
      </c>
    </row>
    <row r="7264" spans="4:18" x14ac:dyDescent="0.2">
      <c r="D7264" t="s">
        <v>22</v>
      </c>
      <c r="E7264" t="s">
        <v>23</v>
      </c>
      <c r="F7264" t="s">
        <v>24</v>
      </c>
      <c r="G7264" t="s">
        <v>174</v>
      </c>
      <c r="H7264" t="s">
        <v>174</v>
      </c>
      <c r="I7264" t="s">
        <v>37</v>
      </c>
      <c r="J7264" t="s">
        <v>38</v>
      </c>
      <c r="K7264" t="s">
        <v>47</v>
      </c>
      <c r="L7264" t="s">
        <v>48</v>
      </c>
      <c r="M7264" t="s">
        <v>172</v>
      </c>
      <c r="N7264">
        <v>1624</v>
      </c>
      <c r="O7264" s="14">
        <v>0.113364004530013</v>
      </c>
      <c r="P7264" s="14">
        <v>0.40435861097648701</v>
      </c>
      <c r="Q7264" t="str">
        <f t="shared" si="226"/>
        <v>15-24</v>
      </c>
      <c r="R7264" t="str">
        <f t="shared" si="227"/>
        <v>[GkIwZrXy1h2]|15-24|Male|NEW_INFECTIONS_SUBNAT.T2|CY2025Q3</v>
      </c>
    </row>
    <row r="7265" spans="4:18" x14ac:dyDescent="0.2">
      <c r="D7265" t="s">
        <v>22</v>
      </c>
      <c r="E7265" t="s">
        <v>23</v>
      </c>
      <c r="F7265" t="s">
        <v>24</v>
      </c>
      <c r="G7265" t="s">
        <v>174</v>
      </c>
      <c r="H7265" t="s">
        <v>174</v>
      </c>
      <c r="I7265" t="s">
        <v>40</v>
      </c>
      <c r="J7265" t="s">
        <v>41</v>
      </c>
      <c r="K7265" t="s">
        <v>47</v>
      </c>
      <c r="L7265" t="s">
        <v>48</v>
      </c>
      <c r="M7265" t="s">
        <v>172</v>
      </c>
      <c r="N7265">
        <v>1333</v>
      </c>
      <c r="O7265" s="14">
        <v>0.92016026307828702</v>
      </c>
      <c r="P7265" s="14">
        <v>0.40435861097648701</v>
      </c>
      <c r="Q7265" t="str">
        <f t="shared" si="226"/>
        <v>25-34</v>
      </c>
      <c r="R7265" t="str">
        <f t="shared" si="227"/>
        <v>[GkIwZrXy1h2]|25-34|Male|NEW_INFECTIONS_SUBNAT.T2|CY2025Q3</v>
      </c>
    </row>
    <row r="7266" spans="4:18" x14ac:dyDescent="0.2">
      <c r="D7266" t="s">
        <v>22</v>
      </c>
      <c r="E7266" t="s">
        <v>23</v>
      </c>
      <c r="F7266" t="s">
        <v>24</v>
      </c>
      <c r="G7266" t="s">
        <v>174</v>
      </c>
      <c r="H7266" t="s">
        <v>174</v>
      </c>
      <c r="I7266" t="s">
        <v>42</v>
      </c>
      <c r="J7266" t="s">
        <v>43</v>
      </c>
      <c r="K7266" t="s">
        <v>47</v>
      </c>
      <c r="L7266" t="s">
        <v>48</v>
      </c>
      <c r="M7266" t="s">
        <v>172</v>
      </c>
      <c r="N7266">
        <v>938</v>
      </c>
      <c r="O7266" s="14">
        <v>0.135540616000071</v>
      </c>
      <c r="P7266" s="14">
        <v>0.40435861097648701</v>
      </c>
      <c r="Q7266" t="str">
        <f t="shared" si="226"/>
        <v>35-49</v>
      </c>
      <c r="R7266" t="str">
        <f t="shared" si="227"/>
        <v>[GkIwZrXy1h2]|35-49|Male|NEW_INFECTIONS_SUBNAT.T2|CY2025Q3</v>
      </c>
    </row>
    <row r="7267" spans="4:18" x14ac:dyDescent="0.2">
      <c r="D7267" t="s">
        <v>22</v>
      </c>
      <c r="E7267" t="s">
        <v>23</v>
      </c>
      <c r="F7267" t="s">
        <v>24</v>
      </c>
      <c r="G7267" t="s">
        <v>174</v>
      </c>
      <c r="H7267" t="s">
        <v>174</v>
      </c>
      <c r="I7267" t="s">
        <v>44</v>
      </c>
      <c r="J7267" t="s">
        <v>45</v>
      </c>
      <c r="K7267" t="s">
        <v>47</v>
      </c>
      <c r="L7267" t="s">
        <v>48</v>
      </c>
      <c r="M7267" t="s">
        <v>172</v>
      </c>
      <c r="N7267">
        <v>1911</v>
      </c>
      <c r="O7267" s="14">
        <v>0.52842996036633805</v>
      </c>
      <c r="P7267" s="14">
        <v>0.40435861097648701</v>
      </c>
      <c r="Q7267" t="str">
        <f t="shared" si="226"/>
        <v>50+</v>
      </c>
      <c r="R7267" t="str">
        <f t="shared" si="227"/>
        <v>[GkIwZrXy1h2]|50+|Male|NEW_INFECTIONS_SUBNAT.T2|CY2025Q3</v>
      </c>
    </row>
    <row r="7268" spans="4:18" x14ac:dyDescent="0.2">
      <c r="D7268" t="s">
        <v>52</v>
      </c>
      <c r="E7268" t="s">
        <v>53</v>
      </c>
      <c r="F7268" t="s">
        <v>54</v>
      </c>
      <c r="G7268" t="s">
        <v>174</v>
      </c>
      <c r="H7268" t="s">
        <v>174</v>
      </c>
      <c r="I7268" t="s">
        <v>27</v>
      </c>
      <c r="J7268" t="s">
        <v>28</v>
      </c>
      <c r="K7268" t="s">
        <v>29</v>
      </c>
      <c r="L7268" t="s">
        <v>30</v>
      </c>
      <c r="M7268" t="s">
        <v>172</v>
      </c>
      <c r="N7268">
        <v>1700</v>
      </c>
      <c r="O7268" s="14">
        <v>0.42054890561848901</v>
      </c>
      <c r="P7268" s="14">
        <v>0.61639246996492103</v>
      </c>
      <c r="Q7268" t="str">
        <f t="shared" si="226"/>
        <v>&lt;01</v>
      </c>
      <c r="R7268" t="str">
        <f t="shared" si="227"/>
        <v>[zphK9WV8JB4]|&lt;01|Female|NEW_INFECTIONS_SUBNAT.T2|CY2025Q3</v>
      </c>
    </row>
    <row r="7269" spans="4:18" x14ac:dyDescent="0.2">
      <c r="D7269" t="s">
        <v>52</v>
      </c>
      <c r="E7269" t="s">
        <v>53</v>
      </c>
      <c r="F7269" t="s">
        <v>54</v>
      </c>
      <c r="G7269" t="s">
        <v>174</v>
      </c>
      <c r="H7269" t="s">
        <v>174</v>
      </c>
      <c r="I7269" t="s">
        <v>32</v>
      </c>
      <c r="J7269" t="s">
        <v>33</v>
      </c>
      <c r="K7269" t="s">
        <v>29</v>
      </c>
      <c r="L7269" t="s">
        <v>30</v>
      </c>
      <c r="M7269" t="s">
        <v>172</v>
      </c>
      <c r="N7269">
        <v>609</v>
      </c>
      <c r="O7269" s="14">
        <v>0.57184957317076601</v>
      </c>
      <c r="P7269" s="14">
        <v>0.61639246996492103</v>
      </c>
      <c r="Q7269" t="str">
        <f t="shared" si="226"/>
        <v>01-09</v>
      </c>
      <c r="R7269" t="str">
        <f t="shared" si="227"/>
        <v>[zphK9WV8JB4]|01-09|Female|NEW_INFECTIONS_SUBNAT.T2|CY2025Q3</v>
      </c>
    </row>
    <row r="7270" spans="4:18" x14ac:dyDescent="0.2">
      <c r="D7270" t="s">
        <v>52</v>
      </c>
      <c r="E7270" t="s">
        <v>53</v>
      </c>
      <c r="F7270" t="s">
        <v>54</v>
      </c>
      <c r="G7270" t="s">
        <v>174</v>
      </c>
      <c r="H7270" t="s">
        <v>174</v>
      </c>
      <c r="I7270" t="s">
        <v>35</v>
      </c>
      <c r="J7270" t="s">
        <v>36</v>
      </c>
      <c r="K7270" t="s">
        <v>29</v>
      </c>
      <c r="L7270" t="s">
        <v>30</v>
      </c>
      <c r="M7270" t="s">
        <v>172</v>
      </c>
      <c r="N7270">
        <v>572</v>
      </c>
      <c r="O7270" s="14">
        <v>0.88420948339626204</v>
      </c>
      <c r="P7270" s="14">
        <v>0.61639246996492103</v>
      </c>
      <c r="Q7270" t="str">
        <f t="shared" si="226"/>
        <v>10-14</v>
      </c>
      <c r="R7270" t="str">
        <f t="shared" si="227"/>
        <v>[zphK9WV8JB4]|10-14|Female|NEW_INFECTIONS_SUBNAT.T2|CY2025Q3</v>
      </c>
    </row>
    <row r="7271" spans="4:18" x14ac:dyDescent="0.2">
      <c r="D7271" t="s">
        <v>52</v>
      </c>
      <c r="E7271" t="s">
        <v>53</v>
      </c>
      <c r="F7271" t="s">
        <v>54</v>
      </c>
      <c r="G7271" t="s">
        <v>174</v>
      </c>
      <c r="H7271" t="s">
        <v>174</v>
      </c>
      <c r="I7271" t="s">
        <v>37</v>
      </c>
      <c r="J7271" t="s">
        <v>38</v>
      </c>
      <c r="K7271" t="s">
        <v>29</v>
      </c>
      <c r="L7271" t="s">
        <v>30</v>
      </c>
      <c r="M7271" t="s">
        <v>172</v>
      </c>
      <c r="N7271">
        <v>1190</v>
      </c>
      <c r="O7271" s="14">
        <v>0.58134976332075905</v>
      </c>
      <c r="P7271" s="14">
        <v>0.61639246996492103</v>
      </c>
      <c r="Q7271" t="str">
        <f t="shared" si="226"/>
        <v>15-24</v>
      </c>
      <c r="R7271" t="str">
        <f t="shared" si="227"/>
        <v>[zphK9WV8JB4]|15-24|Female|NEW_INFECTIONS_SUBNAT.T2|CY2025Q3</v>
      </c>
    </row>
    <row r="7272" spans="4:18" x14ac:dyDescent="0.2">
      <c r="D7272" t="s">
        <v>52</v>
      </c>
      <c r="E7272" t="s">
        <v>53</v>
      </c>
      <c r="F7272" t="s">
        <v>54</v>
      </c>
      <c r="G7272" t="s">
        <v>174</v>
      </c>
      <c r="H7272" t="s">
        <v>174</v>
      </c>
      <c r="I7272" t="s">
        <v>40</v>
      </c>
      <c r="J7272" t="s">
        <v>41</v>
      </c>
      <c r="K7272" t="s">
        <v>29</v>
      </c>
      <c r="L7272" t="s">
        <v>30</v>
      </c>
      <c r="M7272" t="s">
        <v>172</v>
      </c>
      <c r="N7272">
        <v>1732</v>
      </c>
      <c r="O7272" s="14">
        <v>0.77216925751417897</v>
      </c>
      <c r="P7272" s="14">
        <v>0.61639246996492103</v>
      </c>
      <c r="Q7272" t="str">
        <f t="shared" si="226"/>
        <v>25-34</v>
      </c>
      <c r="R7272" t="str">
        <f t="shared" si="227"/>
        <v>[zphK9WV8JB4]|25-34|Female|NEW_INFECTIONS_SUBNAT.T2|CY2025Q3</v>
      </c>
    </row>
    <row r="7273" spans="4:18" x14ac:dyDescent="0.2">
      <c r="D7273" t="s">
        <v>52</v>
      </c>
      <c r="E7273" t="s">
        <v>53</v>
      </c>
      <c r="F7273" t="s">
        <v>54</v>
      </c>
      <c r="G7273" t="s">
        <v>174</v>
      </c>
      <c r="H7273" t="s">
        <v>174</v>
      </c>
      <c r="I7273" t="s">
        <v>42</v>
      </c>
      <c r="J7273" t="s">
        <v>43</v>
      </c>
      <c r="K7273" t="s">
        <v>29</v>
      </c>
      <c r="L7273" t="s">
        <v>30</v>
      </c>
      <c r="M7273" t="s">
        <v>172</v>
      </c>
      <c r="N7273">
        <v>956</v>
      </c>
      <c r="O7273" s="14">
        <v>0.78106551244854905</v>
      </c>
      <c r="P7273" s="14">
        <v>0.61639246996492103</v>
      </c>
      <c r="Q7273" t="str">
        <f t="shared" si="226"/>
        <v>35-49</v>
      </c>
      <c r="R7273" t="str">
        <f t="shared" si="227"/>
        <v>[zphK9WV8JB4]|35-49|Female|NEW_INFECTIONS_SUBNAT.T2|CY2025Q3</v>
      </c>
    </row>
    <row r="7274" spans="4:18" x14ac:dyDescent="0.2">
      <c r="D7274" t="s">
        <v>52</v>
      </c>
      <c r="E7274" t="s">
        <v>53</v>
      </c>
      <c r="F7274" t="s">
        <v>54</v>
      </c>
      <c r="G7274" t="s">
        <v>174</v>
      </c>
      <c r="H7274" t="s">
        <v>174</v>
      </c>
      <c r="I7274" t="s">
        <v>44</v>
      </c>
      <c r="J7274" t="s">
        <v>45</v>
      </c>
      <c r="K7274" t="s">
        <v>29</v>
      </c>
      <c r="L7274" t="s">
        <v>30</v>
      </c>
      <c r="M7274" t="s">
        <v>172</v>
      </c>
      <c r="N7274">
        <v>749</v>
      </c>
      <c r="O7274" s="14">
        <v>0.21155510586686399</v>
      </c>
      <c r="P7274" s="14">
        <v>0.61639246996492103</v>
      </c>
      <c r="Q7274" t="str">
        <f t="shared" si="226"/>
        <v>50+</v>
      </c>
      <c r="R7274" t="str">
        <f t="shared" si="227"/>
        <v>[zphK9WV8JB4]|50+|Female|NEW_INFECTIONS_SUBNAT.T2|CY2025Q3</v>
      </c>
    </row>
    <row r="7275" spans="4:18" x14ac:dyDescent="0.2">
      <c r="D7275" t="s">
        <v>52</v>
      </c>
      <c r="E7275" t="s">
        <v>53</v>
      </c>
      <c r="F7275" t="s">
        <v>54</v>
      </c>
      <c r="G7275" t="s">
        <v>174</v>
      </c>
      <c r="H7275" t="s">
        <v>174</v>
      </c>
      <c r="I7275" t="s">
        <v>27</v>
      </c>
      <c r="J7275" t="s">
        <v>28</v>
      </c>
      <c r="K7275" t="s">
        <v>47</v>
      </c>
      <c r="L7275" t="s">
        <v>48</v>
      </c>
      <c r="M7275" t="s">
        <v>172</v>
      </c>
      <c r="N7275">
        <v>1054</v>
      </c>
      <c r="O7275" s="14">
        <v>0.64706618920899905</v>
      </c>
      <c r="P7275" s="14">
        <v>0.61639246996492103</v>
      </c>
      <c r="Q7275" t="str">
        <f t="shared" si="226"/>
        <v>&lt;01</v>
      </c>
      <c r="R7275" t="str">
        <f t="shared" si="227"/>
        <v>[zphK9WV8JB4]|&lt;01|Male|NEW_INFECTIONS_SUBNAT.T2|CY2025Q3</v>
      </c>
    </row>
    <row r="7276" spans="4:18" x14ac:dyDescent="0.2">
      <c r="D7276" t="s">
        <v>52</v>
      </c>
      <c r="E7276" t="s">
        <v>53</v>
      </c>
      <c r="F7276" t="s">
        <v>54</v>
      </c>
      <c r="G7276" t="s">
        <v>174</v>
      </c>
      <c r="H7276" t="s">
        <v>174</v>
      </c>
      <c r="I7276" t="s">
        <v>32</v>
      </c>
      <c r="J7276" t="s">
        <v>33</v>
      </c>
      <c r="K7276" t="s">
        <v>47</v>
      </c>
      <c r="L7276" t="s">
        <v>48</v>
      </c>
      <c r="M7276" t="s">
        <v>172</v>
      </c>
      <c r="N7276">
        <v>1167</v>
      </c>
      <c r="O7276" s="14">
        <v>0.70729122986085702</v>
      </c>
      <c r="P7276" s="14">
        <v>0.61639246996492103</v>
      </c>
      <c r="Q7276" t="str">
        <f t="shared" si="226"/>
        <v>01-09</v>
      </c>
      <c r="R7276" t="str">
        <f t="shared" si="227"/>
        <v>[zphK9WV8JB4]|01-09|Male|NEW_INFECTIONS_SUBNAT.T2|CY2025Q3</v>
      </c>
    </row>
    <row r="7277" spans="4:18" x14ac:dyDescent="0.2">
      <c r="D7277" t="s">
        <v>52</v>
      </c>
      <c r="E7277" t="s">
        <v>53</v>
      </c>
      <c r="F7277" t="s">
        <v>54</v>
      </c>
      <c r="G7277" t="s">
        <v>174</v>
      </c>
      <c r="H7277" t="s">
        <v>174</v>
      </c>
      <c r="I7277" t="s">
        <v>35</v>
      </c>
      <c r="J7277" t="s">
        <v>36</v>
      </c>
      <c r="K7277" t="s">
        <v>47</v>
      </c>
      <c r="L7277" t="s">
        <v>48</v>
      </c>
      <c r="M7277" t="s">
        <v>172</v>
      </c>
      <c r="N7277">
        <v>610</v>
      </c>
      <c r="O7277" s="14">
        <v>0.50448645651340496</v>
      </c>
      <c r="P7277" s="14">
        <v>0.61639246996492103</v>
      </c>
      <c r="Q7277" t="str">
        <f t="shared" si="226"/>
        <v>10-14</v>
      </c>
      <c r="R7277" t="str">
        <f t="shared" si="227"/>
        <v>[zphK9WV8JB4]|10-14|Male|NEW_INFECTIONS_SUBNAT.T2|CY2025Q3</v>
      </c>
    </row>
    <row r="7278" spans="4:18" x14ac:dyDescent="0.2">
      <c r="D7278" t="s">
        <v>52</v>
      </c>
      <c r="E7278" t="s">
        <v>53</v>
      </c>
      <c r="F7278" t="s">
        <v>54</v>
      </c>
      <c r="G7278" t="s">
        <v>174</v>
      </c>
      <c r="H7278" t="s">
        <v>174</v>
      </c>
      <c r="I7278" t="s">
        <v>37</v>
      </c>
      <c r="J7278" t="s">
        <v>38</v>
      </c>
      <c r="K7278" t="s">
        <v>47</v>
      </c>
      <c r="L7278" t="s">
        <v>48</v>
      </c>
      <c r="M7278" t="s">
        <v>172</v>
      </c>
      <c r="N7278">
        <v>1226</v>
      </c>
      <c r="O7278" s="14">
        <v>0.19384976499713999</v>
      </c>
      <c r="P7278" s="14">
        <v>0.61639246996492103</v>
      </c>
      <c r="Q7278" t="str">
        <f t="shared" si="226"/>
        <v>15-24</v>
      </c>
      <c r="R7278" t="str">
        <f t="shared" si="227"/>
        <v>[zphK9WV8JB4]|15-24|Male|NEW_INFECTIONS_SUBNAT.T2|CY2025Q3</v>
      </c>
    </row>
    <row r="7279" spans="4:18" x14ac:dyDescent="0.2">
      <c r="D7279" t="s">
        <v>52</v>
      </c>
      <c r="E7279" t="s">
        <v>53</v>
      </c>
      <c r="F7279" t="s">
        <v>54</v>
      </c>
      <c r="G7279" t="s">
        <v>174</v>
      </c>
      <c r="H7279" t="s">
        <v>174</v>
      </c>
      <c r="I7279" t="s">
        <v>40</v>
      </c>
      <c r="J7279" t="s">
        <v>41</v>
      </c>
      <c r="K7279" t="s">
        <v>47</v>
      </c>
      <c r="L7279" t="s">
        <v>48</v>
      </c>
      <c r="M7279" t="s">
        <v>172</v>
      </c>
      <c r="N7279">
        <v>1593</v>
      </c>
      <c r="O7279" s="14">
        <v>0.31352755147963801</v>
      </c>
      <c r="P7279" s="14">
        <v>0.61639246996492103</v>
      </c>
      <c r="Q7279" t="str">
        <f t="shared" si="226"/>
        <v>25-34</v>
      </c>
      <c r="R7279" t="str">
        <f t="shared" si="227"/>
        <v>[zphK9WV8JB4]|25-34|Male|NEW_INFECTIONS_SUBNAT.T2|CY2025Q3</v>
      </c>
    </row>
    <row r="7280" spans="4:18" x14ac:dyDescent="0.2">
      <c r="D7280" t="s">
        <v>52</v>
      </c>
      <c r="E7280" t="s">
        <v>53</v>
      </c>
      <c r="F7280" t="s">
        <v>54</v>
      </c>
      <c r="G7280" t="s">
        <v>174</v>
      </c>
      <c r="H7280" t="s">
        <v>174</v>
      </c>
      <c r="I7280" t="s">
        <v>42</v>
      </c>
      <c r="J7280" t="s">
        <v>43</v>
      </c>
      <c r="K7280" t="s">
        <v>47</v>
      </c>
      <c r="L7280" t="s">
        <v>48</v>
      </c>
      <c r="M7280" t="s">
        <v>172</v>
      </c>
      <c r="N7280">
        <v>1911</v>
      </c>
      <c r="O7280" s="14">
        <v>0.185673318337649</v>
      </c>
      <c r="P7280" s="14">
        <v>0.61639246996492103</v>
      </c>
      <c r="Q7280" t="str">
        <f t="shared" si="226"/>
        <v>35-49</v>
      </c>
      <c r="R7280" t="str">
        <f t="shared" si="227"/>
        <v>[zphK9WV8JB4]|35-49|Male|NEW_INFECTIONS_SUBNAT.T2|CY2025Q3</v>
      </c>
    </row>
    <row r="7281" spans="4:18" x14ac:dyDescent="0.2">
      <c r="D7281" t="s">
        <v>52</v>
      </c>
      <c r="E7281" t="s">
        <v>53</v>
      </c>
      <c r="F7281" t="s">
        <v>54</v>
      </c>
      <c r="G7281" t="s">
        <v>174</v>
      </c>
      <c r="H7281" t="s">
        <v>174</v>
      </c>
      <c r="I7281" t="s">
        <v>44</v>
      </c>
      <c r="J7281" t="s">
        <v>45</v>
      </c>
      <c r="K7281" t="s">
        <v>47</v>
      </c>
      <c r="L7281" t="s">
        <v>48</v>
      </c>
      <c r="M7281" t="s">
        <v>172</v>
      </c>
      <c r="N7281">
        <v>675</v>
      </c>
      <c r="O7281" s="14">
        <v>0.250252798898146</v>
      </c>
      <c r="P7281" s="14">
        <v>0.61639246996492103</v>
      </c>
      <c r="Q7281" t="str">
        <f t="shared" si="226"/>
        <v>50+</v>
      </c>
      <c r="R7281" t="str">
        <f t="shared" si="227"/>
        <v>[zphK9WV8JB4]|50+|Male|NEW_INFECTIONS_SUBNAT.T2|CY2025Q3</v>
      </c>
    </row>
    <row r="7282" spans="4:18" x14ac:dyDescent="0.2">
      <c r="D7282" t="s">
        <v>59</v>
      </c>
      <c r="E7282" t="s">
        <v>60</v>
      </c>
      <c r="F7282" t="s">
        <v>61</v>
      </c>
      <c r="G7282" t="s">
        <v>174</v>
      </c>
      <c r="H7282" t="s">
        <v>174</v>
      </c>
      <c r="I7282" t="s">
        <v>27</v>
      </c>
      <c r="J7282" t="s">
        <v>28</v>
      </c>
      <c r="K7282" t="s">
        <v>29</v>
      </c>
      <c r="L7282" t="s">
        <v>30</v>
      </c>
      <c r="M7282" t="s">
        <v>172</v>
      </c>
      <c r="N7282">
        <v>1574</v>
      </c>
      <c r="O7282" s="14">
        <v>0.117098946124315</v>
      </c>
      <c r="P7282" s="14">
        <v>2.6825056178495298E-2</v>
      </c>
      <c r="Q7282" t="str">
        <f t="shared" si="226"/>
        <v>&lt;01</v>
      </c>
      <c r="R7282" t="str">
        <f t="shared" si="227"/>
        <v>[msW2zpIN7up]|&lt;01|Female|NEW_INFECTIONS_SUBNAT.T2|CY2025Q3</v>
      </c>
    </row>
    <row r="7283" spans="4:18" x14ac:dyDescent="0.2">
      <c r="D7283" t="s">
        <v>59</v>
      </c>
      <c r="E7283" t="s">
        <v>60</v>
      </c>
      <c r="F7283" t="s">
        <v>61</v>
      </c>
      <c r="G7283" t="s">
        <v>174</v>
      </c>
      <c r="H7283" t="s">
        <v>174</v>
      </c>
      <c r="I7283" t="s">
        <v>32</v>
      </c>
      <c r="J7283" t="s">
        <v>33</v>
      </c>
      <c r="K7283" t="s">
        <v>29</v>
      </c>
      <c r="L7283" t="s">
        <v>30</v>
      </c>
      <c r="M7283" t="s">
        <v>172</v>
      </c>
      <c r="N7283">
        <v>1361</v>
      </c>
      <c r="O7283" s="14">
        <v>8.8692465564236003E-2</v>
      </c>
      <c r="P7283" s="14">
        <v>2.6825056178495298E-2</v>
      </c>
      <c r="Q7283" t="str">
        <f t="shared" si="226"/>
        <v>01-09</v>
      </c>
      <c r="R7283" t="str">
        <f t="shared" si="227"/>
        <v>[msW2zpIN7up]|01-09|Female|NEW_INFECTIONS_SUBNAT.T2|CY2025Q3</v>
      </c>
    </row>
    <row r="7284" spans="4:18" x14ac:dyDescent="0.2">
      <c r="D7284" t="s">
        <v>59</v>
      </c>
      <c r="E7284" t="s">
        <v>60</v>
      </c>
      <c r="F7284" t="s">
        <v>61</v>
      </c>
      <c r="G7284" t="s">
        <v>174</v>
      </c>
      <c r="H7284" t="s">
        <v>174</v>
      </c>
      <c r="I7284" t="s">
        <v>35</v>
      </c>
      <c r="J7284" t="s">
        <v>36</v>
      </c>
      <c r="K7284" t="s">
        <v>29</v>
      </c>
      <c r="L7284" t="s">
        <v>30</v>
      </c>
      <c r="M7284" t="s">
        <v>172</v>
      </c>
      <c r="N7284">
        <v>1497</v>
      </c>
      <c r="O7284" s="14">
        <v>0.67230572621338103</v>
      </c>
      <c r="P7284" s="14">
        <v>2.6825056178495298E-2</v>
      </c>
      <c r="Q7284" t="str">
        <f t="shared" si="226"/>
        <v>10-14</v>
      </c>
      <c r="R7284" t="str">
        <f t="shared" si="227"/>
        <v>[msW2zpIN7up]|10-14|Female|NEW_INFECTIONS_SUBNAT.T2|CY2025Q3</v>
      </c>
    </row>
    <row r="7285" spans="4:18" x14ac:dyDescent="0.2">
      <c r="D7285" t="s">
        <v>59</v>
      </c>
      <c r="E7285" t="s">
        <v>60</v>
      </c>
      <c r="F7285" t="s">
        <v>61</v>
      </c>
      <c r="G7285" t="s">
        <v>174</v>
      </c>
      <c r="H7285" t="s">
        <v>174</v>
      </c>
      <c r="I7285" t="s">
        <v>37</v>
      </c>
      <c r="J7285" t="s">
        <v>38</v>
      </c>
      <c r="K7285" t="s">
        <v>29</v>
      </c>
      <c r="L7285" t="s">
        <v>30</v>
      </c>
      <c r="M7285" t="s">
        <v>172</v>
      </c>
      <c r="N7285">
        <v>534</v>
      </c>
      <c r="O7285" s="14">
        <v>0.94998296350240696</v>
      </c>
      <c r="P7285" s="14">
        <v>2.6825056178495298E-2</v>
      </c>
      <c r="Q7285" t="str">
        <f t="shared" si="226"/>
        <v>15-24</v>
      </c>
      <c r="R7285" t="str">
        <f t="shared" si="227"/>
        <v>[msW2zpIN7up]|15-24|Female|NEW_INFECTIONS_SUBNAT.T2|CY2025Q3</v>
      </c>
    </row>
    <row r="7286" spans="4:18" x14ac:dyDescent="0.2">
      <c r="D7286" t="s">
        <v>59</v>
      </c>
      <c r="E7286" t="s">
        <v>60</v>
      </c>
      <c r="F7286" t="s">
        <v>61</v>
      </c>
      <c r="G7286" t="s">
        <v>174</v>
      </c>
      <c r="H7286" t="s">
        <v>174</v>
      </c>
      <c r="I7286" t="s">
        <v>40</v>
      </c>
      <c r="J7286" t="s">
        <v>41</v>
      </c>
      <c r="K7286" t="s">
        <v>29</v>
      </c>
      <c r="L7286" t="s">
        <v>30</v>
      </c>
      <c r="M7286" t="s">
        <v>172</v>
      </c>
      <c r="N7286">
        <v>1177</v>
      </c>
      <c r="O7286" s="14">
        <v>0.84461653628386602</v>
      </c>
      <c r="P7286" s="14">
        <v>2.6825056178495298E-2</v>
      </c>
      <c r="Q7286" t="str">
        <f t="shared" si="226"/>
        <v>25-34</v>
      </c>
      <c r="R7286" t="str">
        <f t="shared" si="227"/>
        <v>[msW2zpIN7up]|25-34|Female|NEW_INFECTIONS_SUBNAT.T2|CY2025Q3</v>
      </c>
    </row>
    <row r="7287" spans="4:18" x14ac:dyDescent="0.2">
      <c r="D7287" t="s">
        <v>59</v>
      </c>
      <c r="E7287" t="s">
        <v>60</v>
      </c>
      <c r="F7287" t="s">
        <v>61</v>
      </c>
      <c r="G7287" t="s">
        <v>174</v>
      </c>
      <c r="H7287" t="s">
        <v>174</v>
      </c>
      <c r="I7287" t="s">
        <v>42</v>
      </c>
      <c r="J7287" t="s">
        <v>43</v>
      </c>
      <c r="K7287" t="s">
        <v>29</v>
      </c>
      <c r="L7287" t="s">
        <v>30</v>
      </c>
      <c r="M7287" t="s">
        <v>172</v>
      </c>
      <c r="N7287">
        <v>1855</v>
      </c>
      <c r="O7287" s="14">
        <v>0.309251180849969</v>
      </c>
      <c r="P7287" s="14">
        <v>2.6825056178495298E-2</v>
      </c>
      <c r="Q7287" t="str">
        <f t="shared" si="226"/>
        <v>35-49</v>
      </c>
      <c r="R7287" t="str">
        <f t="shared" si="227"/>
        <v>[msW2zpIN7up]|35-49|Female|NEW_INFECTIONS_SUBNAT.T2|CY2025Q3</v>
      </c>
    </row>
    <row r="7288" spans="4:18" x14ac:dyDescent="0.2">
      <c r="D7288" t="s">
        <v>59</v>
      </c>
      <c r="E7288" t="s">
        <v>60</v>
      </c>
      <c r="F7288" t="s">
        <v>61</v>
      </c>
      <c r="G7288" t="s">
        <v>174</v>
      </c>
      <c r="H7288" t="s">
        <v>174</v>
      </c>
      <c r="I7288" t="s">
        <v>44</v>
      </c>
      <c r="J7288" t="s">
        <v>45</v>
      </c>
      <c r="K7288" t="s">
        <v>29</v>
      </c>
      <c r="L7288" t="s">
        <v>30</v>
      </c>
      <c r="M7288" t="s">
        <v>172</v>
      </c>
      <c r="N7288">
        <v>659</v>
      </c>
      <c r="O7288" s="14">
        <v>0.197784448275343</v>
      </c>
      <c r="P7288" s="14">
        <v>2.6825056178495298E-2</v>
      </c>
      <c r="Q7288" t="str">
        <f t="shared" si="226"/>
        <v>50+</v>
      </c>
      <c r="R7288" t="str">
        <f t="shared" si="227"/>
        <v>[msW2zpIN7up]|50+|Female|NEW_INFECTIONS_SUBNAT.T2|CY2025Q3</v>
      </c>
    </row>
    <row r="7289" spans="4:18" x14ac:dyDescent="0.2">
      <c r="D7289" t="s">
        <v>59</v>
      </c>
      <c r="E7289" t="s">
        <v>60</v>
      </c>
      <c r="F7289" t="s">
        <v>61</v>
      </c>
      <c r="G7289" t="s">
        <v>174</v>
      </c>
      <c r="H7289" t="s">
        <v>174</v>
      </c>
      <c r="I7289" t="s">
        <v>27</v>
      </c>
      <c r="J7289" t="s">
        <v>28</v>
      </c>
      <c r="K7289" t="s">
        <v>47</v>
      </c>
      <c r="L7289" t="s">
        <v>48</v>
      </c>
      <c r="M7289" t="s">
        <v>172</v>
      </c>
      <c r="N7289">
        <v>610</v>
      </c>
      <c r="O7289" s="14">
        <v>0.34647710830904499</v>
      </c>
      <c r="P7289" s="14">
        <v>2.6825056178495298E-2</v>
      </c>
      <c r="Q7289" t="str">
        <f t="shared" si="226"/>
        <v>&lt;01</v>
      </c>
      <c r="R7289" t="str">
        <f t="shared" si="227"/>
        <v>[msW2zpIN7up]|&lt;01|Male|NEW_INFECTIONS_SUBNAT.T2|CY2025Q3</v>
      </c>
    </row>
    <row r="7290" spans="4:18" x14ac:dyDescent="0.2">
      <c r="D7290" t="s">
        <v>59</v>
      </c>
      <c r="E7290" t="s">
        <v>60</v>
      </c>
      <c r="F7290" t="s">
        <v>61</v>
      </c>
      <c r="G7290" t="s">
        <v>174</v>
      </c>
      <c r="H7290" t="s">
        <v>174</v>
      </c>
      <c r="I7290" t="s">
        <v>32</v>
      </c>
      <c r="J7290" t="s">
        <v>33</v>
      </c>
      <c r="K7290" t="s">
        <v>47</v>
      </c>
      <c r="L7290" t="s">
        <v>48</v>
      </c>
      <c r="M7290" t="s">
        <v>172</v>
      </c>
      <c r="N7290">
        <v>938</v>
      </c>
      <c r="O7290" s="14">
        <v>3.7984264781698598E-2</v>
      </c>
      <c r="P7290" s="14">
        <v>2.6825056178495298E-2</v>
      </c>
      <c r="Q7290" t="str">
        <f t="shared" si="226"/>
        <v>01-09</v>
      </c>
      <c r="R7290" t="str">
        <f t="shared" si="227"/>
        <v>[msW2zpIN7up]|01-09|Male|NEW_INFECTIONS_SUBNAT.T2|CY2025Q3</v>
      </c>
    </row>
    <row r="7291" spans="4:18" x14ac:dyDescent="0.2">
      <c r="D7291" t="s">
        <v>59</v>
      </c>
      <c r="E7291" t="s">
        <v>60</v>
      </c>
      <c r="F7291" t="s">
        <v>61</v>
      </c>
      <c r="G7291" t="s">
        <v>174</v>
      </c>
      <c r="H7291" t="s">
        <v>174</v>
      </c>
      <c r="I7291" t="s">
        <v>35</v>
      </c>
      <c r="J7291" t="s">
        <v>36</v>
      </c>
      <c r="K7291" t="s">
        <v>47</v>
      </c>
      <c r="L7291" t="s">
        <v>48</v>
      </c>
      <c r="M7291" t="s">
        <v>172</v>
      </c>
      <c r="N7291">
        <v>1375</v>
      </c>
      <c r="O7291" s="14">
        <v>0.647254133597016</v>
      </c>
      <c r="P7291" s="14">
        <v>2.6825056178495298E-2</v>
      </c>
      <c r="Q7291" t="str">
        <f t="shared" si="226"/>
        <v>10-14</v>
      </c>
      <c r="R7291" t="str">
        <f t="shared" si="227"/>
        <v>[msW2zpIN7up]|10-14|Male|NEW_INFECTIONS_SUBNAT.T2|CY2025Q3</v>
      </c>
    </row>
    <row r="7292" spans="4:18" x14ac:dyDescent="0.2">
      <c r="D7292" t="s">
        <v>59</v>
      </c>
      <c r="E7292" t="s">
        <v>60</v>
      </c>
      <c r="F7292" t="s">
        <v>61</v>
      </c>
      <c r="G7292" t="s">
        <v>174</v>
      </c>
      <c r="H7292" t="s">
        <v>174</v>
      </c>
      <c r="I7292" t="s">
        <v>37</v>
      </c>
      <c r="J7292" t="s">
        <v>38</v>
      </c>
      <c r="K7292" t="s">
        <v>47</v>
      </c>
      <c r="L7292" t="s">
        <v>48</v>
      </c>
      <c r="M7292" t="s">
        <v>172</v>
      </c>
      <c r="N7292">
        <v>982</v>
      </c>
      <c r="O7292" s="14">
        <v>4.0014040423557197E-2</v>
      </c>
      <c r="P7292" s="14">
        <v>2.6825056178495298E-2</v>
      </c>
      <c r="Q7292" t="str">
        <f t="shared" si="226"/>
        <v>15-24</v>
      </c>
      <c r="R7292" t="str">
        <f t="shared" si="227"/>
        <v>[msW2zpIN7up]|15-24|Male|NEW_INFECTIONS_SUBNAT.T2|CY2025Q3</v>
      </c>
    </row>
    <row r="7293" spans="4:18" x14ac:dyDescent="0.2">
      <c r="D7293" t="s">
        <v>59</v>
      </c>
      <c r="E7293" t="s">
        <v>60</v>
      </c>
      <c r="F7293" t="s">
        <v>61</v>
      </c>
      <c r="G7293" t="s">
        <v>174</v>
      </c>
      <c r="H7293" t="s">
        <v>174</v>
      </c>
      <c r="I7293" t="s">
        <v>40</v>
      </c>
      <c r="J7293" t="s">
        <v>41</v>
      </c>
      <c r="K7293" t="s">
        <v>47</v>
      </c>
      <c r="L7293" t="s">
        <v>48</v>
      </c>
      <c r="M7293" t="s">
        <v>172</v>
      </c>
      <c r="N7293">
        <v>1042</v>
      </c>
      <c r="O7293" s="14">
        <v>4.5351001201197498E-2</v>
      </c>
      <c r="P7293" s="14">
        <v>2.6825056178495298E-2</v>
      </c>
      <c r="Q7293" t="str">
        <f t="shared" si="226"/>
        <v>25-34</v>
      </c>
      <c r="R7293" t="str">
        <f t="shared" si="227"/>
        <v>[msW2zpIN7up]|25-34|Male|NEW_INFECTIONS_SUBNAT.T2|CY2025Q3</v>
      </c>
    </row>
    <row r="7294" spans="4:18" x14ac:dyDescent="0.2">
      <c r="D7294" t="s">
        <v>59</v>
      </c>
      <c r="E7294" t="s">
        <v>60</v>
      </c>
      <c r="F7294" t="s">
        <v>61</v>
      </c>
      <c r="G7294" t="s">
        <v>174</v>
      </c>
      <c r="H7294" t="s">
        <v>174</v>
      </c>
      <c r="I7294" t="s">
        <v>42</v>
      </c>
      <c r="J7294" t="s">
        <v>43</v>
      </c>
      <c r="K7294" t="s">
        <v>47</v>
      </c>
      <c r="L7294" t="s">
        <v>48</v>
      </c>
      <c r="M7294" t="s">
        <v>172</v>
      </c>
      <c r="N7294">
        <v>1552</v>
      </c>
      <c r="O7294" s="14">
        <v>0.86336799967102695</v>
      </c>
      <c r="P7294" s="14">
        <v>2.6825056178495298E-2</v>
      </c>
      <c r="Q7294" t="str">
        <f t="shared" si="226"/>
        <v>35-49</v>
      </c>
      <c r="R7294" t="str">
        <f t="shared" si="227"/>
        <v>[msW2zpIN7up]|35-49|Male|NEW_INFECTIONS_SUBNAT.T2|CY2025Q3</v>
      </c>
    </row>
    <row r="7295" spans="4:18" x14ac:dyDescent="0.2">
      <c r="D7295" t="s">
        <v>59</v>
      </c>
      <c r="E7295" t="s">
        <v>60</v>
      </c>
      <c r="F7295" t="s">
        <v>61</v>
      </c>
      <c r="G7295" t="s">
        <v>174</v>
      </c>
      <c r="H7295" t="s">
        <v>174</v>
      </c>
      <c r="I7295" t="s">
        <v>44</v>
      </c>
      <c r="J7295" t="s">
        <v>45</v>
      </c>
      <c r="K7295" t="s">
        <v>47</v>
      </c>
      <c r="L7295" t="s">
        <v>48</v>
      </c>
      <c r="M7295" t="s">
        <v>172</v>
      </c>
      <c r="N7295">
        <v>1534</v>
      </c>
      <c r="O7295" s="14">
        <v>0.26296568755060401</v>
      </c>
      <c r="P7295" s="14">
        <v>2.6825056178495298E-2</v>
      </c>
      <c r="Q7295" t="str">
        <f t="shared" si="226"/>
        <v>50+</v>
      </c>
      <c r="R7295" t="str">
        <f t="shared" si="227"/>
        <v>[msW2zpIN7up]|50+|Male|NEW_INFECTIONS_SUBNAT.T2|CY2025Q3</v>
      </c>
    </row>
    <row r="7296" spans="4:18" x14ac:dyDescent="0.2">
      <c r="D7296" t="s">
        <v>62</v>
      </c>
      <c r="E7296" t="s">
        <v>63</v>
      </c>
      <c r="F7296" t="s">
        <v>64</v>
      </c>
      <c r="G7296" t="s">
        <v>174</v>
      </c>
      <c r="H7296" t="s">
        <v>174</v>
      </c>
      <c r="I7296" t="s">
        <v>27</v>
      </c>
      <c r="J7296" t="s">
        <v>28</v>
      </c>
      <c r="K7296" t="s">
        <v>29</v>
      </c>
      <c r="L7296" t="s">
        <v>30</v>
      </c>
      <c r="M7296" t="s">
        <v>172</v>
      </c>
      <c r="N7296">
        <v>1832</v>
      </c>
      <c r="O7296" s="14">
        <v>0.85853131674230099</v>
      </c>
      <c r="P7296" s="14">
        <v>0.790102193132043</v>
      </c>
      <c r="Q7296" t="str">
        <f t="shared" si="226"/>
        <v>&lt;01</v>
      </c>
      <c r="R7296" t="str">
        <f t="shared" si="227"/>
        <v>[kxuuIFpOXyO]|&lt;01|Female|NEW_INFECTIONS_SUBNAT.T2|CY2025Q3</v>
      </c>
    </row>
    <row r="7297" spans="4:18" x14ac:dyDescent="0.2">
      <c r="D7297" t="s">
        <v>62</v>
      </c>
      <c r="E7297" t="s">
        <v>63</v>
      </c>
      <c r="F7297" t="s">
        <v>64</v>
      </c>
      <c r="G7297" t="s">
        <v>174</v>
      </c>
      <c r="H7297" t="s">
        <v>174</v>
      </c>
      <c r="I7297" t="s">
        <v>32</v>
      </c>
      <c r="J7297" t="s">
        <v>33</v>
      </c>
      <c r="K7297" t="s">
        <v>29</v>
      </c>
      <c r="L7297" t="s">
        <v>30</v>
      </c>
      <c r="M7297" t="s">
        <v>172</v>
      </c>
      <c r="N7297">
        <v>889</v>
      </c>
      <c r="O7297" s="14">
        <v>0.77310889959335305</v>
      </c>
      <c r="P7297" s="14">
        <v>0.790102193132043</v>
      </c>
      <c r="Q7297" t="str">
        <f t="shared" si="226"/>
        <v>01-09</v>
      </c>
      <c r="R7297" t="str">
        <f t="shared" si="227"/>
        <v>[kxuuIFpOXyO]|01-09|Female|NEW_INFECTIONS_SUBNAT.T2|CY2025Q3</v>
      </c>
    </row>
    <row r="7298" spans="4:18" x14ac:dyDescent="0.2">
      <c r="D7298" t="s">
        <v>62</v>
      </c>
      <c r="E7298" t="s">
        <v>63</v>
      </c>
      <c r="F7298" t="s">
        <v>64</v>
      </c>
      <c r="G7298" t="s">
        <v>174</v>
      </c>
      <c r="H7298" t="s">
        <v>174</v>
      </c>
      <c r="I7298" t="s">
        <v>35</v>
      </c>
      <c r="J7298" t="s">
        <v>36</v>
      </c>
      <c r="K7298" t="s">
        <v>29</v>
      </c>
      <c r="L7298" t="s">
        <v>30</v>
      </c>
      <c r="M7298" t="s">
        <v>172</v>
      </c>
      <c r="N7298">
        <v>1733</v>
      </c>
      <c r="O7298" s="14">
        <v>0.70706887124106299</v>
      </c>
      <c r="P7298" s="14">
        <v>0.790102193132043</v>
      </c>
      <c r="Q7298" t="str">
        <f t="shared" ref="Q7298:Q7361" si="228">SUBSTITUTE(SUBSTITUTE($I7298,CHAR(61),""),CHAR(34),"")</f>
        <v>10-14</v>
      </c>
      <c r="R7298" t="str">
        <f t="shared" ref="R7298:R7361" si="229">IF($D7298&lt;&gt;"","["&amp;$E7298&amp;"]"&amp;"|"&amp;$Q7298&amp;"|"&amp;$K7298&amp;"|"&amp;$G7298&amp;"|"&amp;IF($G7298="TX_CURR_SUBNAT.R","CY2022Q4",$M7298),"")</f>
        <v>[kxuuIFpOXyO]|10-14|Female|NEW_INFECTIONS_SUBNAT.T2|CY2025Q3</v>
      </c>
    </row>
    <row r="7299" spans="4:18" x14ac:dyDescent="0.2">
      <c r="D7299" t="s">
        <v>62</v>
      </c>
      <c r="E7299" t="s">
        <v>63</v>
      </c>
      <c r="F7299" t="s">
        <v>64</v>
      </c>
      <c r="G7299" t="s">
        <v>174</v>
      </c>
      <c r="H7299" t="s">
        <v>174</v>
      </c>
      <c r="I7299" t="s">
        <v>37</v>
      </c>
      <c r="J7299" t="s">
        <v>38</v>
      </c>
      <c r="K7299" t="s">
        <v>29</v>
      </c>
      <c r="L7299" t="s">
        <v>30</v>
      </c>
      <c r="M7299" t="s">
        <v>172</v>
      </c>
      <c r="N7299">
        <v>1055</v>
      </c>
      <c r="O7299" s="14">
        <v>0.91770155052654401</v>
      </c>
      <c r="P7299" s="14">
        <v>0.790102193132043</v>
      </c>
      <c r="Q7299" t="str">
        <f t="shared" si="228"/>
        <v>15-24</v>
      </c>
      <c r="R7299" t="str">
        <f t="shared" si="229"/>
        <v>[kxuuIFpOXyO]|15-24|Female|NEW_INFECTIONS_SUBNAT.T2|CY2025Q3</v>
      </c>
    </row>
    <row r="7300" spans="4:18" x14ac:dyDescent="0.2">
      <c r="D7300" t="s">
        <v>62</v>
      </c>
      <c r="E7300" t="s">
        <v>63</v>
      </c>
      <c r="F7300" t="s">
        <v>64</v>
      </c>
      <c r="G7300" t="s">
        <v>174</v>
      </c>
      <c r="H7300" t="s">
        <v>174</v>
      </c>
      <c r="I7300" t="s">
        <v>40</v>
      </c>
      <c r="J7300" t="s">
        <v>41</v>
      </c>
      <c r="K7300" t="s">
        <v>29</v>
      </c>
      <c r="L7300" t="s">
        <v>30</v>
      </c>
      <c r="M7300" t="s">
        <v>172</v>
      </c>
      <c r="N7300">
        <v>1117</v>
      </c>
      <c r="O7300" s="14">
        <v>0.20896907011047</v>
      </c>
      <c r="P7300" s="14">
        <v>0.790102193132043</v>
      </c>
      <c r="Q7300" t="str">
        <f t="shared" si="228"/>
        <v>25-34</v>
      </c>
      <c r="R7300" t="str">
        <f t="shared" si="229"/>
        <v>[kxuuIFpOXyO]|25-34|Female|NEW_INFECTIONS_SUBNAT.T2|CY2025Q3</v>
      </c>
    </row>
    <row r="7301" spans="4:18" x14ac:dyDescent="0.2">
      <c r="D7301" t="s">
        <v>62</v>
      </c>
      <c r="E7301" t="s">
        <v>63</v>
      </c>
      <c r="F7301" t="s">
        <v>64</v>
      </c>
      <c r="G7301" t="s">
        <v>174</v>
      </c>
      <c r="H7301" t="s">
        <v>174</v>
      </c>
      <c r="I7301" t="s">
        <v>42</v>
      </c>
      <c r="J7301" t="s">
        <v>43</v>
      </c>
      <c r="K7301" t="s">
        <v>29</v>
      </c>
      <c r="L7301" t="s">
        <v>30</v>
      </c>
      <c r="M7301" t="s">
        <v>172</v>
      </c>
      <c r="N7301">
        <v>608</v>
      </c>
      <c r="O7301" s="14">
        <v>0.413747876184061</v>
      </c>
      <c r="P7301" s="14">
        <v>0.790102193132043</v>
      </c>
      <c r="Q7301" t="str">
        <f t="shared" si="228"/>
        <v>35-49</v>
      </c>
      <c r="R7301" t="str">
        <f t="shared" si="229"/>
        <v>[kxuuIFpOXyO]|35-49|Female|NEW_INFECTIONS_SUBNAT.T2|CY2025Q3</v>
      </c>
    </row>
    <row r="7302" spans="4:18" x14ac:dyDescent="0.2">
      <c r="D7302" t="s">
        <v>62</v>
      </c>
      <c r="E7302" t="s">
        <v>63</v>
      </c>
      <c r="F7302" t="s">
        <v>64</v>
      </c>
      <c r="G7302" t="s">
        <v>174</v>
      </c>
      <c r="H7302" t="s">
        <v>174</v>
      </c>
      <c r="I7302" t="s">
        <v>44</v>
      </c>
      <c r="J7302" t="s">
        <v>45</v>
      </c>
      <c r="K7302" t="s">
        <v>29</v>
      </c>
      <c r="L7302" t="s">
        <v>30</v>
      </c>
      <c r="M7302" t="s">
        <v>172</v>
      </c>
      <c r="N7302">
        <v>1357</v>
      </c>
      <c r="O7302" s="14">
        <v>0.59351939894258998</v>
      </c>
      <c r="P7302" s="14">
        <v>0.790102193132043</v>
      </c>
      <c r="Q7302" t="str">
        <f t="shared" si="228"/>
        <v>50+</v>
      </c>
      <c r="R7302" t="str">
        <f t="shared" si="229"/>
        <v>[kxuuIFpOXyO]|50+|Female|NEW_INFECTIONS_SUBNAT.T2|CY2025Q3</v>
      </c>
    </row>
    <row r="7303" spans="4:18" x14ac:dyDescent="0.2">
      <c r="D7303" t="s">
        <v>62</v>
      </c>
      <c r="E7303" t="s">
        <v>63</v>
      </c>
      <c r="F7303" t="s">
        <v>64</v>
      </c>
      <c r="G7303" t="s">
        <v>174</v>
      </c>
      <c r="H7303" t="s">
        <v>174</v>
      </c>
      <c r="I7303" t="s">
        <v>27</v>
      </c>
      <c r="J7303" t="s">
        <v>28</v>
      </c>
      <c r="K7303" t="s">
        <v>47</v>
      </c>
      <c r="L7303" t="s">
        <v>48</v>
      </c>
      <c r="M7303" t="s">
        <v>172</v>
      </c>
      <c r="N7303">
        <v>1249</v>
      </c>
      <c r="O7303" s="14">
        <v>0.70947995176538803</v>
      </c>
      <c r="P7303" s="14">
        <v>0.790102193132043</v>
      </c>
      <c r="Q7303" t="str">
        <f t="shared" si="228"/>
        <v>&lt;01</v>
      </c>
      <c r="R7303" t="str">
        <f t="shared" si="229"/>
        <v>[kxuuIFpOXyO]|&lt;01|Male|NEW_INFECTIONS_SUBNAT.T2|CY2025Q3</v>
      </c>
    </row>
    <row r="7304" spans="4:18" x14ac:dyDescent="0.2">
      <c r="D7304" t="s">
        <v>62</v>
      </c>
      <c r="E7304" t="s">
        <v>63</v>
      </c>
      <c r="F7304" t="s">
        <v>64</v>
      </c>
      <c r="G7304" t="s">
        <v>174</v>
      </c>
      <c r="H7304" t="s">
        <v>174</v>
      </c>
      <c r="I7304" t="s">
        <v>32</v>
      </c>
      <c r="J7304" t="s">
        <v>33</v>
      </c>
      <c r="K7304" t="s">
        <v>47</v>
      </c>
      <c r="L7304" t="s">
        <v>48</v>
      </c>
      <c r="M7304" t="s">
        <v>172</v>
      </c>
      <c r="N7304">
        <v>1740</v>
      </c>
      <c r="O7304" s="14">
        <v>0.52314625261351499</v>
      </c>
      <c r="P7304" s="14">
        <v>0.790102193132043</v>
      </c>
      <c r="Q7304" t="str">
        <f t="shared" si="228"/>
        <v>01-09</v>
      </c>
      <c r="R7304" t="str">
        <f t="shared" si="229"/>
        <v>[kxuuIFpOXyO]|01-09|Male|NEW_INFECTIONS_SUBNAT.T2|CY2025Q3</v>
      </c>
    </row>
    <row r="7305" spans="4:18" x14ac:dyDescent="0.2">
      <c r="D7305" t="s">
        <v>62</v>
      </c>
      <c r="E7305" t="s">
        <v>63</v>
      </c>
      <c r="F7305" t="s">
        <v>64</v>
      </c>
      <c r="G7305" t="s">
        <v>174</v>
      </c>
      <c r="H7305" t="s">
        <v>174</v>
      </c>
      <c r="I7305" t="s">
        <v>35</v>
      </c>
      <c r="J7305" t="s">
        <v>36</v>
      </c>
      <c r="K7305" t="s">
        <v>47</v>
      </c>
      <c r="L7305" t="s">
        <v>48</v>
      </c>
      <c r="M7305" t="s">
        <v>172</v>
      </c>
      <c r="N7305">
        <v>1996</v>
      </c>
      <c r="O7305" s="14">
        <v>0.158876416040584</v>
      </c>
      <c r="P7305" s="14">
        <v>0.790102193132043</v>
      </c>
      <c r="Q7305" t="str">
        <f t="shared" si="228"/>
        <v>10-14</v>
      </c>
      <c r="R7305" t="str">
        <f t="shared" si="229"/>
        <v>[kxuuIFpOXyO]|10-14|Male|NEW_INFECTIONS_SUBNAT.T2|CY2025Q3</v>
      </c>
    </row>
    <row r="7306" spans="4:18" x14ac:dyDescent="0.2">
      <c r="D7306" t="s">
        <v>62</v>
      </c>
      <c r="E7306" t="s">
        <v>63</v>
      </c>
      <c r="F7306" t="s">
        <v>64</v>
      </c>
      <c r="G7306" t="s">
        <v>174</v>
      </c>
      <c r="H7306" t="s">
        <v>174</v>
      </c>
      <c r="I7306" t="s">
        <v>37</v>
      </c>
      <c r="J7306" t="s">
        <v>38</v>
      </c>
      <c r="K7306" t="s">
        <v>47</v>
      </c>
      <c r="L7306" t="s">
        <v>48</v>
      </c>
      <c r="M7306" t="s">
        <v>172</v>
      </c>
      <c r="N7306">
        <v>674</v>
      </c>
      <c r="O7306" s="14">
        <v>0.43924484588205798</v>
      </c>
      <c r="P7306" s="14">
        <v>0.790102193132043</v>
      </c>
      <c r="Q7306" t="str">
        <f t="shared" si="228"/>
        <v>15-24</v>
      </c>
      <c r="R7306" t="str">
        <f t="shared" si="229"/>
        <v>[kxuuIFpOXyO]|15-24|Male|NEW_INFECTIONS_SUBNAT.T2|CY2025Q3</v>
      </c>
    </row>
    <row r="7307" spans="4:18" x14ac:dyDescent="0.2">
      <c r="D7307" t="s">
        <v>62</v>
      </c>
      <c r="E7307" t="s">
        <v>63</v>
      </c>
      <c r="F7307" t="s">
        <v>64</v>
      </c>
      <c r="G7307" t="s">
        <v>174</v>
      </c>
      <c r="H7307" t="s">
        <v>174</v>
      </c>
      <c r="I7307" t="s">
        <v>40</v>
      </c>
      <c r="J7307" t="s">
        <v>41</v>
      </c>
      <c r="K7307" t="s">
        <v>47</v>
      </c>
      <c r="L7307" t="s">
        <v>48</v>
      </c>
      <c r="M7307" t="s">
        <v>172</v>
      </c>
      <c r="N7307">
        <v>1434</v>
      </c>
      <c r="O7307" s="14">
        <v>0.31024888926185701</v>
      </c>
      <c r="P7307" s="14">
        <v>0.790102193132043</v>
      </c>
      <c r="Q7307" t="str">
        <f t="shared" si="228"/>
        <v>25-34</v>
      </c>
      <c r="R7307" t="str">
        <f t="shared" si="229"/>
        <v>[kxuuIFpOXyO]|25-34|Male|NEW_INFECTIONS_SUBNAT.T2|CY2025Q3</v>
      </c>
    </row>
    <row r="7308" spans="4:18" x14ac:dyDescent="0.2">
      <c r="D7308" t="s">
        <v>62</v>
      </c>
      <c r="E7308" t="s">
        <v>63</v>
      </c>
      <c r="F7308" t="s">
        <v>64</v>
      </c>
      <c r="G7308" t="s">
        <v>174</v>
      </c>
      <c r="H7308" t="s">
        <v>174</v>
      </c>
      <c r="I7308" t="s">
        <v>42</v>
      </c>
      <c r="J7308" t="s">
        <v>43</v>
      </c>
      <c r="K7308" t="s">
        <v>47</v>
      </c>
      <c r="L7308" t="s">
        <v>48</v>
      </c>
      <c r="M7308" t="s">
        <v>172</v>
      </c>
      <c r="N7308">
        <v>572</v>
      </c>
      <c r="O7308" s="14">
        <v>0.11541056935675401</v>
      </c>
      <c r="P7308" s="14">
        <v>0.790102193132043</v>
      </c>
      <c r="Q7308" t="str">
        <f t="shared" si="228"/>
        <v>35-49</v>
      </c>
      <c r="R7308" t="str">
        <f t="shared" si="229"/>
        <v>[kxuuIFpOXyO]|35-49|Male|NEW_INFECTIONS_SUBNAT.T2|CY2025Q3</v>
      </c>
    </row>
    <row r="7309" spans="4:18" x14ac:dyDescent="0.2">
      <c r="D7309" t="s">
        <v>62</v>
      </c>
      <c r="E7309" t="s">
        <v>63</v>
      </c>
      <c r="F7309" t="s">
        <v>64</v>
      </c>
      <c r="G7309" t="s">
        <v>174</v>
      </c>
      <c r="H7309" t="s">
        <v>174</v>
      </c>
      <c r="I7309" t="s">
        <v>44</v>
      </c>
      <c r="J7309" t="s">
        <v>45</v>
      </c>
      <c r="K7309" t="s">
        <v>47</v>
      </c>
      <c r="L7309" t="s">
        <v>48</v>
      </c>
      <c r="M7309" t="s">
        <v>172</v>
      </c>
      <c r="N7309">
        <v>845</v>
      </c>
      <c r="O7309" s="14">
        <v>0.28188164695166101</v>
      </c>
      <c r="P7309" s="14">
        <v>0.790102193132043</v>
      </c>
      <c r="Q7309" t="str">
        <f t="shared" si="228"/>
        <v>50+</v>
      </c>
      <c r="R7309" t="str">
        <f t="shared" si="229"/>
        <v>[kxuuIFpOXyO]|50+|Male|NEW_INFECTIONS_SUBNAT.T2|CY2025Q3</v>
      </c>
    </row>
    <row r="7310" spans="4:18" x14ac:dyDescent="0.2">
      <c r="D7310" t="s">
        <v>65</v>
      </c>
      <c r="E7310" t="s">
        <v>66</v>
      </c>
      <c r="F7310" t="s">
        <v>67</v>
      </c>
      <c r="G7310" t="s">
        <v>174</v>
      </c>
      <c r="H7310" t="s">
        <v>174</v>
      </c>
      <c r="I7310" t="s">
        <v>27</v>
      </c>
      <c r="J7310" t="s">
        <v>28</v>
      </c>
      <c r="K7310" t="s">
        <v>29</v>
      </c>
      <c r="L7310" t="s">
        <v>30</v>
      </c>
      <c r="M7310" t="s">
        <v>172</v>
      </c>
      <c r="N7310">
        <v>1193</v>
      </c>
      <c r="O7310" s="14">
        <v>0.42265106784179801</v>
      </c>
      <c r="P7310" s="14">
        <v>0.16460988437756899</v>
      </c>
      <c r="Q7310" t="str">
        <f t="shared" si="228"/>
        <v>&lt;01</v>
      </c>
      <c r="R7310" t="str">
        <f t="shared" si="229"/>
        <v>[ScR9iFKAasW]|&lt;01|Female|NEW_INFECTIONS_SUBNAT.T2|CY2025Q3</v>
      </c>
    </row>
    <row r="7311" spans="4:18" x14ac:dyDescent="0.2">
      <c r="D7311" t="s">
        <v>65</v>
      </c>
      <c r="E7311" t="s">
        <v>66</v>
      </c>
      <c r="F7311" t="s">
        <v>67</v>
      </c>
      <c r="G7311" t="s">
        <v>174</v>
      </c>
      <c r="H7311" t="s">
        <v>174</v>
      </c>
      <c r="I7311" t="s">
        <v>32</v>
      </c>
      <c r="J7311" t="s">
        <v>33</v>
      </c>
      <c r="K7311" t="s">
        <v>29</v>
      </c>
      <c r="L7311" t="s">
        <v>30</v>
      </c>
      <c r="M7311" t="s">
        <v>172</v>
      </c>
      <c r="N7311">
        <v>1667</v>
      </c>
      <c r="O7311" s="14">
        <v>0.84530302952043701</v>
      </c>
      <c r="P7311" s="14">
        <v>0.16460988437756899</v>
      </c>
      <c r="Q7311" t="str">
        <f t="shared" si="228"/>
        <v>01-09</v>
      </c>
      <c r="R7311" t="str">
        <f t="shared" si="229"/>
        <v>[ScR9iFKAasW]|01-09|Female|NEW_INFECTIONS_SUBNAT.T2|CY2025Q3</v>
      </c>
    </row>
    <row r="7312" spans="4:18" x14ac:dyDescent="0.2">
      <c r="D7312" t="s">
        <v>65</v>
      </c>
      <c r="E7312" t="s">
        <v>66</v>
      </c>
      <c r="F7312" t="s">
        <v>67</v>
      </c>
      <c r="G7312" t="s">
        <v>174</v>
      </c>
      <c r="H7312" t="s">
        <v>174</v>
      </c>
      <c r="I7312" t="s">
        <v>35</v>
      </c>
      <c r="J7312" t="s">
        <v>36</v>
      </c>
      <c r="K7312" t="s">
        <v>29</v>
      </c>
      <c r="L7312" t="s">
        <v>30</v>
      </c>
      <c r="M7312" t="s">
        <v>172</v>
      </c>
      <c r="N7312">
        <v>1592</v>
      </c>
      <c r="O7312" s="14">
        <v>0.99621618096716702</v>
      </c>
      <c r="P7312" s="14">
        <v>0.16460988437756899</v>
      </c>
      <c r="Q7312" t="str">
        <f t="shared" si="228"/>
        <v>10-14</v>
      </c>
      <c r="R7312" t="str">
        <f t="shared" si="229"/>
        <v>[ScR9iFKAasW]|10-14|Female|NEW_INFECTIONS_SUBNAT.T2|CY2025Q3</v>
      </c>
    </row>
    <row r="7313" spans="4:18" x14ac:dyDescent="0.2">
      <c r="D7313" t="s">
        <v>65</v>
      </c>
      <c r="E7313" t="s">
        <v>66</v>
      </c>
      <c r="F7313" t="s">
        <v>67</v>
      </c>
      <c r="G7313" t="s">
        <v>174</v>
      </c>
      <c r="H7313" t="s">
        <v>174</v>
      </c>
      <c r="I7313" t="s">
        <v>37</v>
      </c>
      <c r="J7313" t="s">
        <v>38</v>
      </c>
      <c r="K7313" t="s">
        <v>29</v>
      </c>
      <c r="L7313" t="s">
        <v>30</v>
      </c>
      <c r="M7313" t="s">
        <v>172</v>
      </c>
      <c r="N7313">
        <v>1163</v>
      </c>
      <c r="O7313" s="14">
        <v>9.4393467297777506E-2</v>
      </c>
      <c r="P7313" s="14">
        <v>0.16460988437756899</v>
      </c>
      <c r="Q7313" t="str">
        <f t="shared" si="228"/>
        <v>15-24</v>
      </c>
      <c r="R7313" t="str">
        <f t="shared" si="229"/>
        <v>[ScR9iFKAasW]|15-24|Female|NEW_INFECTIONS_SUBNAT.T2|CY2025Q3</v>
      </c>
    </row>
    <row r="7314" spans="4:18" x14ac:dyDescent="0.2">
      <c r="D7314" t="s">
        <v>65</v>
      </c>
      <c r="E7314" t="s">
        <v>66</v>
      </c>
      <c r="F7314" t="s">
        <v>67</v>
      </c>
      <c r="G7314" t="s">
        <v>174</v>
      </c>
      <c r="H7314" t="s">
        <v>174</v>
      </c>
      <c r="I7314" t="s">
        <v>40</v>
      </c>
      <c r="J7314" t="s">
        <v>41</v>
      </c>
      <c r="K7314" t="s">
        <v>29</v>
      </c>
      <c r="L7314" t="s">
        <v>30</v>
      </c>
      <c r="M7314" t="s">
        <v>172</v>
      </c>
      <c r="N7314">
        <v>878</v>
      </c>
      <c r="O7314" s="14">
        <v>0.25934773148037499</v>
      </c>
      <c r="P7314" s="14">
        <v>0.16460988437756899</v>
      </c>
      <c r="Q7314" t="str">
        <f t="shared" si="228"/>
        <v>25-34</v>
      </c>
      <c r="R7314" t="str">
        <f t="shared" si="229"/>
        <v>[ScR9iFKAasW]|25-34|Female|NEW_INFECTIONS_SUBNAT.T2|CY2025Q3</v>
      </c>
    </row>
    <row r="7315" spans="4:18" x14ac:dyDescent="0.2">
      <c r="D7315" t="s">
        <v>65</v>
      </c>
      <c r="E7315" t="s">
        <v>66</v>
      </c>
      <c r="F7315" t="s">
        <v>67</v>
      </c>
      <c r="G7315" t="s">
        <v>174</v>
      </c>
      <c r="H7315" t="s">
        <v>174</v>
      </c>
      <c r="I7315" t="s">
        <v>42</v>
      </c>
      <c r="J7315" t="s">
        <v>43</v>
      </c>
      <c r="K7315" t="s">
        <v>29</v>
      </c>
      <c r="L7315" t="s">
        <v>30</v>
      </c>
      <c r="M7315" t="s">
        <v>172</v>
      </c>
      <c r="N7315">
        <v>1241</v>
      </c>
      <c r="O7315" s="14">
        <v>0.86050664843060098</v>
      </c>
      <c r="P7315" s="14">
        <v>0.16460988437756899</v>
      </c>
      <c r="Q7315" t="str">
        <f t="shared" si="228"/>
        <v>35-49</v>
      </c>
      <c r="R7315" t="str">
        <f t="shared" si="229"/>
        <v>[ScR9iFKAasW]|35-49|Female|NEW_INFECTIONS_SUBNAT.T2|CY2025Q3</v>
      </c>
    </row>
    <row r="7316" spans="4:18" x14ac:dyDescent="0.2">
      <c r="D7316" t="s">
        <v>65</v>
      </c>
      <c r="E7316" t="s">
        <v>66</v>
      </c>
      <c r="F7316" t="s">
        <v>67</v>
      </c>
      <c r="G7316" t="s">
        <v>174</v>
      </c>
      <c r="H7316" t="s">
        <v>174</v>
      </c>
      <c r="I7316" t="s">
        <v>44</v>
      </c>
      <c r="J7316" t="s">
        <v>45</v>
      </c>
      <c r="K7316" t="s">
        <v>29</v>
      </c>
      <c r="L7316" t="s">
        <v>30</v>
      </c>
      <c r="M7316" t="s">
        <v>172</v>
      </c>
      <c r="N7316">
        <v>1190</v>
      </c>
      <c r="O7316" s="14">
        <v>0.81215617829002396</v>
      </c>
      <c r="P7316" s="14">
        <v>0.16460988437756899</v>
      </c>
      <c r="Q7316" t="str">
        <f t="shared" si="228"/>
        <v>50+</v>
      </c>
      <c r="R7316" t="str">
        <f t="shared" si="229"/>
        <v>[ScR9iFKAasW]|50+|Female|NEW_INFECTIONS_SUBNAT.T2|CY2025Q3</v>
      </c>
    </row>
    <row r="7317" spans="4:18" x14ac:dyDescent="0.2">
      <c r="D7317" t="s">
        <v>65</v>
      </c>
      <c r="E7317" t="s">
        <v>66</v>
      </c>
      <c r="F7317" t="s">
        <v>67</v>
      </c>
      <c r="G7317" t="s">
        <v>174</v>
      </c>
      <c r="H7317" t="s">
        <v>174</v>
      </c>
      <c r="I7317" t="s">
        <v>27</v>
      </c>
      <c r="J7317" t="s">
        <v>28</v>
      </c>
      <c r="K7317" t="s">
        <v>47</v>
      </c>
      <c r="L7317" t="s">
        <v>48</v>
      </c>
      <c r="M7317" t="s">
        <v>172</v>
      </c>
      <c r="N7317">
        <v>965</v>
      </c>
      <c r="O7317" s="14">
        <v>0.41769387549720699</v>
      </c>
      <c r="P7317" s="14">
        <v>0.16460988437756899</v>
      </c>
      <c r="Q7317" t="str">
        <f t="shared" si="228"/>
        <v>&lt;01</v>
      </c>
      <c r="R7317" t="str">
        <f t="shared" si="229"/>
        <v>[ScR9iFKAasW]|&lt;01|Male|NEW_INFECTIONS_SUBNAT.T2|CY2025Q3</v>
      </c>
    </row>
    <row r="7318" spans="4:18" x14ac:dyDescent="0.2">
      <c r="D7318" t="s">
        <v>65</v>
      </c>
      <c r="E7318" t="s">
        <v>66</v>
      </c>
      <c r="F7318" t="s">
        <v>67</v>
      </c>
      <c r="G7318" t="s">
        <v>174</v>
      </c>
      <c r="H7318" t="s">
        <v>174</v>
      </c>
      <c r="I7318" t="s">
        <v>32</v>
      </c>
      <c r="J7318" t="s">
        <v>33</v>
      </c>
      <c r="K7318" t="s">
        <v>47</v>
      </c>
      <c r="L7318" t="s">
        <v>48</v>
      </c>
      <c r="M7318" t="s">
        <v>172</v>
      </c>
      <c r="N7318">
        <v>1171</v>
      </c>
      <c r="O7318" s="14">
        <v>0.23136537452228401</v>
      </c>
      <c r="P7318" s="14">
        <v>0.16460988437756899</v>
      </c>
      <c r="Q7318" t="str">
        <f t="shared" si="228"/>
        <v>01-09</v>
      </c>
      <c r="R7318" t="str">
        <f t="shared" si="229"/>
        <v>[ScR9iFKAasW]|01-09|Male|NEW_INFECTIONS_SUBNAT.T2|CY2025Q3</v>
      </c>
    </row>
    <row r="7319" spans="4:18" x14ac:dyDescent="0.2">
      <c r="D7319" t="s">
        <v>65</v>
      </c>
      <c r="E7319" t="s">
        <v>66</v>
      </c>
      <c r="F7319" t="s">
        <v>67</v>
      </c>
      <c r="G7319" t="s">
        <v>174</v>
      </c>
      <c r="H7319" t="s">
        <v>174</v>
      </c>
      <c r="I7319" t="s">
        <v>35</v>
      </c>
      <c r="J7319" t="s">
        <v>36</v>
      </c>
      <c r="K7319" t="s">
        <v>47</v>
      </c>
      <c r="L7319" t="s">
        <v>48</v>
      </c>
      <c r="M7319" t="s">
        <v>172</v>
      </c>
      <c r="N7319">
        <v>828</v>
      </c>
      <c r="O7319" s="14">
        <v>0.76386369764804796</v>
      </c>
      <c r="P7319" s="14">
        <v>0.16460988437756899</v>
      </c>
      <c r="Q7319" t="str">
        <f t="shared" si="228"/>
        <v>10-14</v>
      </c>
      <c r="R7319" t="str">
        <f t="shared" si="229"/>
        <v>[ScR9iFKAasW]|10-14|Male|NEW_INFECTIONS_SUBNAT.T2|CY2025Q3</v>
      </c>
    </row>
    <row r="7320" spans="4:18" x14ac:dyDescent="0.2">
      <c r="D7320" t="s">
        <v>65</v>
      </c>
      <c r="E7320" t="s">
        <v>66</v>
      </c>
      <c r="F7320" t="s">
        <v>67</v>
      </c>
      <c r="G7320" t="s">
        <v>174</v>
      </c>
      <c r="H7320" t="s">
        <v>174</v>
      </c>
      <c r="I7320" t="s">
        <v>37</v>
      </c>
      <c r="J7320" t="s">
        <v>38</v>
      </c>
      <c r="K7320" t="s">
        <v>47</v>
      </c>
      <c r="L7320" t="s">
        <v>48</v>
      </c>
      <c r="M7320" t="s">
        <v>172</v>
      </c>
      <c r="N7320">
        <v>2000</v>
      </c>
      <c r="O7320" s="14">
        <v>0.74950981838628605</v>
      </c>
      <c r="P7320" s="14">
        <v>0.16460988437756899</v>
      </c>
      <c r="Q7320" t="str">
        <f t="shared" si="228"/>
        <v>15-24</v>
      </c>
      <c r="R7320" t="str">
        <f t="shared" si="229"/>
        <v>[ScR9iFKAasW]|15-24|Male|NEW_INFECTIONS_SUBNAT.T2|CY2025Q3</v>
      </c>
    </row>
    <row r="7321" spans="4:18" x14ac:dyDescent="0.2">
      <c r="D7321" t="s">
        <v>65</v>
      </c>
      <c r="E7321" t="s">
        <v>66</v>
      </c>
      <c r="F7321" t="s">
        <v>67</v>
      </c>
      <c r="G7321" t="s">
        <v>174</v>
      </c>
      <c r="H7321" t="s">
        <v>174</v>
      </c>
      <c r="I7321" t="s">
        <v>40</v>
      </c>
      <c r="J7321" t="s">
        <v>41</v>
      </c>
      <c r="K7321" t="s">
        <v>47</v>
      </c>
      <c r="L7321" t="s">
        <v>48</v>
      </c>
      <c r="M7321" t="s">
        <v>172</v>
      </c>
      <c r="N7321">
        <v>1816</v>
      </c>
      <c r="O7321" s="14">
        <v>0.79375758580863498</v>
      </c>
      <c r="P7321" s="14">
        <v>0.16460988437756899</v>
      </c>
      <c r="Q7321" t="str">
        <f t="shared" si="228"/>
        <v>25-34</v>
      </c>
      <c r="R7321" t="str">
        <f t="shared" si="229"/>
        <v>[ScR9iFKAasW]|25-34|Male|NEW_INFECTIONS_SUBNAT.T2|CY2025Q3</v>
      </c>
    </row>
    <row r="7322" spans="4:18" x14ac:dyDescent="0.2">
      <c r="D7322" t="s">
        <v>65</v>
      </c>
      <c r="E7322" t="s">
        <v>66</v>
      </c>
      <c r="F7322" t="s">
        <v>67</v>
      </c>
      <c r="G7322" t="s">
        <v>174</v>
      </c>
      <c r="H7322" t="s">
        <v>174</v>
      </c>
      <c r="I7322" t="s">
        <v>42</v>
      </c>
      <c r="J7322" t="s">
        <v>43</v>
      </c>
      <c r="K7322" t="s">
        <v>47</v>
      </c>
      <c r="L7322" t="s">
        <v>48</v>
      </c>
      <c r="M7322" t="s">
        <v>172</v>
      </c>
      <c r="N7322">
        <v>1799</v>
      </c>
      <c r="O7322" s="14">
        <v>0.368631495628506</v>
      </c>
      <c r="P7322" s="14">
        <v>0.16460988437756899</v>
      </c>
      <c r="Q7322" t="str">
        <f t="shared" si="228"/>
        <v>35-49</v>
      </c>
      <c r="R7322" t="str">
        <f t="shared" si="229"/>
        <v>[ScR9iFKAasW]|35-49|Male|NEW_INFECTIONS_SUBNAT.T2|CY2025Q3</v>
      </c>
    </row>
    <row r="7323" spans="4:18" x14ac:dyDescent="0.2">
      <c r="D7323" t="s">
        <v>65</v>
      </c>
      <c r="E7323" t="s">
        <v>66</v>
      </c>
      <c r="F7323" t="s">
        <v>67</v>
      </c>
      <c r="G7323" t="s">
        <v>174</v>
      </c>
      <c r="H7323" t="s">
        <v>174</v>
      </c>
      <c r="I7323" t="s">
        <v>44</v>
      </c>
      <c r="J7323" t="s">
        <v>45</v>
      </c>
      <c r="K7323" t="s">
        <v>47</v>
      </c>
      <c r="L7323" t="s">
        <v>48</v>
      </c>
      <c r="M7323" t="s">
        <v>172</v>
      </c>
      <c r="N7323">
        <v>1125</v>
      </c>
      <c r="O7323" s="14">
        <v>0.91561460006050799</v>
      </c>
      <c r="P7323" s="14">
        <v>0.16460988437756899</v>
      </c>
      <c r="Q7323" t="str">
        <f t="shared" si="228"/>
        <v>50+</v>
      </c>
      <c r="R7323" t="str">
        <f t="shared" si="229"/>
        <v>[ScR9iFKAasW]|50+|Male|NEW_INFECTIONS_SUBNAT.T2|CY2025Q3</v>
      </c>
    </row>
    <row r="7324" spans="4:18" x14ac:dyDescent="0.2">
      <c r="D7324" t="s">
        <v>68</v>
      </c>
      <c r="E7324" t="s">
        <v>69</v>
      </c>
      <c r="F7324" t="s">
        <v>70</v>
      </c>
      <c r="G7324" t="s">
        <v>174</v>
      </c>
      <c r="H7324" t="s">
        <v>174</v>
      </c>
      <c r="I7324" t="s">
        <v>27</v>
      </c>
      <c r="J7324" t="s">
        <v>28</v>
      </c>
      <c r="K7324" t="s">
        <v>29</v>
      </c>
      <c r="L7324" t="s">
        <v>30</v>
      </c>
      <c r="M7324" t="s">
        <v>172</v>
      </c>
      <c r="N7324">
        <v>1646</v>
      </c>
      <c r="O7324" s="14">
        <v>0.81392858875915397</v>
      </c>
      <c r="P7324" s="14">
        <v>0.19881726312451101</v>
      </c>
      <c r="Q7324" t="str">
        <f t="shared" si="228"/>
        <v>&lt;01</v>
      </c>
      <c r="R7324" t="str">
        <f t="shared" si="229"/>
        <v>[PekKUkKHAzY]|&lt;01|Female|NEW_INFECTIONS_SUBNAT.T2|CY2025Q3</v>
      </c>
    </row>
    <row r="7325" spans="4:18" x14ac:dyDescent="0.2">
      <c r="D7325" t="s">
        <v>68</v>
      </c>
      <c r="E7325" t="s">
        <v>69</v>
      </c>
      <c r="F7325" t="s">
        <v>70</v>
      </c>
      <c r="G7325" t="s">
        <v>174</v>
      </c>
      <c r="H7325" t="s">
        <v>174</v>
      </c>
      <c r="I7325" t="s">
        <v>32</v>
      </c>
      <c r="J7325" t="s">
        <v>33</v>
      </c>
      <c r="K7325" t="s">
        <v>29</v>
      </c>
      <c r="L7325" t="s">
        <v>30</v>
      </c>
      <c r="M7325" t="s">
        <v>172</v>
      </c>
      <c r="N7325">
        <v>1077</v>
      </c>
      <c r="O7325" s="14">
        <v>0.34435080247931199</v>
      </c>
      <c r="P7325" s="14">
        <v>0.19881726312451101</v>
      </c>
      <c r="Q7325" t="str">
        <f t="shared" si="228"/>
        <v>01-09</v>
      </c>
      <c r="R7325" t="str">
        <f t="shared" si="229"/>
        <v>[PekKUkKHAzY]|01-09|Female|NEW_INFECTIONS_SUBNAT.T2|CY2025Q3</v>
      </c>
    </row>
    <row r="7326" spans="4:18" x14ac:dyDescent="0.2">
      <c r="D7326" t="s">
        <v>68</v>
      </c>
      <c r="E7326" t="s">
        <v>69</v>
      </c>
      <c r="F7326" t="s">
        <v>70</v>
      </c>
      <c r="G7326" t="s">
        <v>174</v>
      </c>
      <c r="H7326" t="s">
        <v>174</v>
      </c>
      <c r="I7326" t="s">
        <v>35</v>
      </c>
      <c r="J7326" t="s">
        <v>36</v>
      </c>
      <c r="K7326" t="s">
        <v>29</v>
      </c>
      <c r="L7326" t="s">
        <v>30</v>
      </c>
      <c r="M7326" t="s">
        <v>172</v>
      </c>
      <c r="N7326">
        <v>1003</v>
      </c>
      <c r="O7326" s="14">
        <v>8.6053004022687701E-2</v>
      </c>
      <c r="P7326" s="14">
        <v>0.19881726312451101</v>
      </c>
      <c r="Q7326" t="str">
        <f t="shared" si="228"/>
        <v>10-14</v>
      </c>
      <c r="R7326" t="str">
        <f t="shared" si="229"/>
        <v>[PekKUkKHAzY]|10-14|Female|NEW_INFECTIONS_SUBNAT.T2|CY2025Q3</v>
      </c>
    </row>
    <row r="7327" spans="4:18" x14ac:dyDescent="0.2">
      <c r="D7327" t="s">
        <v>68</v>
      </c>
      <c r="E7327" t="s">
        <v>69</v>
      </c>
      <c r="F7327" t="s">
        <v>70</v>
      </c>
      <c r="G7327" t="s">
        <v>174</v>
      </c>
      <c r="H7327" t="s">
        <v>174</v>
      </c>
      <c r="I7327" t="s">
        <v>37</v>
      </c>
      <c r="J7327" t="s">
        <v>38</v>
      </c>
      <c r="K7327" t="s">
        <v>29</v>
      </c>
      <c r="L7327" t="s">
        <v>30</v>
      </c>
      <c r="M7327" t="s">
        <v>172</v>
      </c>
      <c r="N7327">
        <v>1260</v>
      </c>
      <c r="O7327" s="14">
        <v>0.18401742540299901</v>
      </c>
      <c r="P7327" s="14">
        <v>0.19881726312451101</v>
      </c>
      <c r="Q7327" t="str">
        <f t="shared" si="228"/>
        <v>15-24</v>
      </c>
      <c r="R7327" t="str">
        <f t="shared" si="229"/>
        <v>[PekKUkKHAzY]|15-24|Female|NEW_INFECTIONS_SUBNAT.T2|CY2025Q3</v>
      </c>
    </row>
    <row r="7328" spans="4:18" x14ac:dyDescent="0.2">
      <c r="D7328" t="s">
        <v>68</v>
      </c>
      <c r="E7328" t="s">
        <v>69</v>
      </c>
      <c r="F7328" t="s">
        <v>70</v>
      </c>
      <c r="G7328" t="s">
        <v>174</v>
      </c>
      <c r="H7328" t="s">
        <v>174</v>
      </c>
      <c r="I7328" t="s">
        <v>40</v>
      </c>
      <c r="J7328" t="s">
        <v>41</v>
      </c>
      <c r="K7328" t="s">
        <v>29</v>
      </c>
      <c r="L7328" t="s">
        <v>30</v>
      </c>
      <c r="M7328" t="s">
        <v>172</v>
      </c>
      <c r="N7328">
        <v>1647</v>
      </c>
      <c r="O7328" s="14">
        <v>0.82915325649082705</v>
      </c>
      <c r="P7328" s="14">
        <v>0.19881726312451101</v>
      </c>
      <c r="Q7328" t="str">
        <f t="shared" si="228"/>
        <v>25-34</v>
      </c>
      <c r="R7328" t="str">
        <f t="shared" si="229"/>
        <v>[PekKUkKHAzY]|25-34|Female|NEW_INFECTIONS_SUBNAT.T2|CY2025Q3</v>
      </c>
    </row>
    <row r="7329" spans="4:18" x14ac:dyDescent="0.2">
      <c r="D7329" t="s">
        <v>68</v>
      </c>
      <c r="E7329" t="s">
        <v>69</v>
      </c>
      <c r="F7329" t="s">
        <v>70</v>
      </c>
      <c r="G7329" t="s">
        <v>174</v>
      </c>
      <c r="H7329" t="s">
        <v>174</v>
      </c>
      <c r="I7329" t="s">
        <v>42</v>
      </c>
      <c r="J7329" t="s">
        <v>43</v>
      </c>
      <c r="K7329" t="s">
        <v>29</v>
      </c>
      <c r="L7329" t="s">
        <v>30</v>
      </c>
      <c r="M7329" t="s">
        <v>172</v>
      </c>
      <c r="N7329">
        <v>1127</v>
      </c>
      <c r="O7329" s="14">
        <v>0.88650161819532503</v>
      </c>
      <c r="P7329" s="14">
        <v>0.19881726312451101</v>
      </c>
      <c r="Q7329" t="str">
        <f t="shared" si="228"/>
        <v>35-49</v>
      </c>
      <c r="R7329" t="str">
        <f t="shared" si="229"/>
        <v>[PekKUkKHAzY]|35-49|Female|NEW_INFECTIONS_SUBNAT.T2|CY2025Q3</v>
      </c>
    </row>
    <row r="7330" spans="4:18" x14ac:dyDescent="0.2">
      <c r="D7330" t="s">
        <v>68</v>
      </c>
      <c r="E7330" t="s">
        <v>69</v>
      </c>
      <c r="F7330" t="s">
        <v>70</v>
      </c>
      <c r="G7330" t="s">
        <v>174</v>
      </c>
      <c r="H7330" t="s">
        <v>174</v>
      </c>
      <c r="I7330" t="s">
        <v>44</v>
      </c>
      <c r="J7330" t="s">
        <v>45</v>
      </c>
      <c r="K7330" t="s">
        <v>29</v>
      </c>
      <c r="L7330" t="s">
        <v>30</v>
      </c>
      <c r="M7330" t="s">
        <v>172</v>
      </c>
      <c r="N7330">
        <v>1822</v>
      </c>
      <c r="O7330" s="14">
        <v>0.492645996622741</v>
      </c>
      <c r="P7330" s="14">
        <v>0.19881726312451101</v>
      </c>
      <c r="Q7330" t="str">
        <f t="shared" si="228"/>
        <v>50+</v>
      </c>
      <c r="R7330" t="str">
        <f t="shared" si="229"/>
        <v>[PekKUkKHAzY]|50+|Female|NEW_INFECTIONS_SUBNAT.T2|CY2025Q3</v>
      </c>
    </row>
    <row r="7331" spans="4:18" x14ac:dyDescent="0.2">
      <c r="D7331" t="s">
        <v>68</v>
      </c>
      <c r="E7331" t="s">
        <v>69</v>
      </c>
      <c r="F7331" t="s">
        <v>70</v>
      </c>
      <c r="G7331" t="s">
        <v>174</v>
      </c>
      <c r="H7331" t="s">
        <v>174</v>
      </c>
      <c r="I7331" t="s">
        <v>27</v>
      </c>
      <c r="J7331" t="s">
        <v>28</v>
      </c>
      <c r="K7331" t="s">
        <v>47</v>
      </c>
      <c r="L7331" t="s">
        <v>48</v>
      </c>
      <c r="M7331" t="s">
        <v>172</v>
      </c>
      <c r="N7331">
        <v>1922</v>
      </c>
      <c r="O7331" s="14">
        <v>0.153429306810722</v>
      </c>
      <c r="P7331" s="14">
        <v>0.19881726312451101</v>
      </c>
      <c r="Q7331" t="str">
        <f t="shared" si="228"/>
        <v>&lt;01</v>
      </c>
      <c r="R7331" t="str">
        <f t="shared" si="229"/>
        <v>[PekKUkKHAzY]|&lt;01|Male|NEW_INFECTIONS_SUBNAT.T2|CY2025Q3</v>
      </c>
    </row>
    <row r="7332" spans="4:18" x14ac:dyDescent="0.2">
      <c r="D7332" t="s">
        <v>68</v>
      </c>
      <c r="E7332" t="s">
        <v>69</v>
      </c>
      <c r="F7332" t="s">
        <v>70</v>
      </c>
      <c r="G7332" t="s">
        <v>174</v>
      </c>
      <c r="H7332" t="s">
        <v>174</v>
      </c>
      <c r="I7332" t="s">
        <v>32</v>
      </c>
      <c r="J7332" t="s">
        <v>33</v>
      </c>
      <c r="K7332" t="s">
        <v>47</v>
      </c>
      <c r="L7332" t="s">
        <v>48</v>
      </c>
      <c r="M7332" t="s">
        <v>172</v>
      </c>
      <c r="N7332">
        <v>1086</v>
      </c>
      <c r="O7332" s="14">
        <v>0.59480001148767803</v>
      </c>
      <c r="P7332" s="14">
        <v>0.19881726312451101</v>
      </c>
      <c r="Q7332" t="str">
        <f t="shared" si="228"/>
        <v>01-09</v>
      </c>
      <c r="R7332" t="str">
        <f t="shared" si="229"/>
        <v>[PekKUkKHAzY]|01-09|Male|NEW_INFECTIONS_SUBNAT.T2|CY2025Q3</v>
      </c>
    </row>
    <row r="7333" spans="4:18" x14ac:dyDescent="0.2">
      <c r="D7333" t="s">
        <v>68</v>
      </c>
      <c r="E7333" t="s">
        <v>69</v>
      </c>
      <c r="F7333" t="s">
        <v>70</v>
      </c>
      <c r="G7333" t="s">
        <v>174</v>
      </c>
      <c r="H7333" t="s">
        <v>174</v>
      </c>
      <c r="I7333" t="s">
        <v>35</v>
      </c>
      <c r="J7333" t="s">
        <v>36</v>
      </c>
      <c r="K7333" t="s">
        <v>47</v>
      </c>
      <c r="L7333" t="s">
        <v>48</v>
      </c>
      <c r="M7333" t="s">
        <v>172</v>
      </c>
      <c r="N7333">
        <v>1238</v>
      </c>
      <c r="O7333" s="14">
        <v>1.12493725027889E-2</v>
      </c>
      <c r="P7333" s="14">
        <v>0.19881726312451101</v>
      </c>
      <c r="Q7333" t="str">
        <f t="shared" si="228"/>
        <v>10-14</v>
      </c>
      <c r="R7333" t="str">
        <f t="shared" si="229"/>
        <v>[PekKUkKHAzY]|10-14|Male|NEW_INFECTIONS_SUBNAT.T2|CY2025Q3</v>
      </c>
    </row>
    <row r="7334" spans="4:18" x14ac:dyDescent="0.2">
      <c r="D7334" t="s">
        <v>68</v>
      </c>
      <c r="E7334" t="s">
        <v>69</v>
      </c>
      <c r="F7334" t="s">
        <v>70</v>
      </c>
      <c r="G7334" t="s">
        <v>174</v>
      </c>
      <c r="H7334" t="s">
        <v>174</v>
      </c>
      <c r="I7334" t="s">
        <v>37</v>
      </c>
      <c r="J7334" t="s">
        <v>38</v>
      </c>
      <c r="K7334" t="s">
        <v>47</v>
      </c>
      <c r="L7334" t="s">
        <v>48</v>
      </c>
      <c r="M7334" t="s">
        <v>172</v>
      </c>
      <c r="N7334">
        <v>666</v>
      </c>
      <c r="O7334" s="14">
        <v>0.114818738540635</v>
      </c>
      <c r="P7334" s="14">
        <v>0.19881726312451101</v>
      </c>
      <c r="Q7334" t="str">
        <f t="shared" si="228"/>
        <v>15-24</v>
      </c>
      <c r="R7334" t="str">
        <f t="shared" si="229"/>
        <v>[PekKUkKHAzY]|15-24|Male|NEW_INFECTIONS_SUBNAT.T2|CY2025Q3</v>
      </c>
    </row>
    <row r="7335" spans="4:18" x14ac:dyDescent="0.2">
      <c r="D7335" t="s">
        <v>68</v>
      </c>
      <c r="E7335" t="s">
        <v>69</v>
      </c>
      <c r="F7335" t="s">
        <v>70</v>
      </c>
      <c r="G7335" t="s">
        <v>174</v>
      </c>
      <c r="H7335" t="s">
        <v>174</v>
      </c>
      <c r="I7335" t="s">
        <v>40</v>
      </c>
      <c r="J7335" t="s">
        <v>41</v>
      </c>
      <c r="K7335" t="s">
        <v>47</v>
      </c>
      <c r="L7335" t="s">
        <v>48</v>
      </c>
      <c r="M7335" t="s">
        <v>172</v>
      </c>
      <c r="N7335">
        <v>1442</v>
      </c>
      <c r="O7335" s="14">
        <v>1.1334330542013001E-2</v>
      </c>
      <c r="P7335" s="14">
        <v>0.19881726312451101</v>
      </c>
      <c r="Q7335" t="str">
        <f t="shared" si="228"/>
        <v>25-34</v>
      </c>
      <c r="R7335" t="str">
        <f t="shared" si="229"/>
        <v>[PekKUkKHAzY]|25-34|Male|NEW_INFECTIONS_SUBNAT.T2|CY2025Q3</v>
      </c>
    </row>
    <row r="7336" spans="4:18" x14ac:dyDescent="0.2">
      <c r="D7336" t="s">
        <v>68</v>
      </c>
      <c r="E7336" t="s">
        <v>69</v>
      </c>
      <c r="F7336" t="s">
        <v>70</v>
      </c>
      <c r="G7336" t="s">
        <v>174</v>
      </c>
      <c r="H7336" t="s">
        <v>174</v>
      </c>
      <c r="I7336" t="s">
        <v>42</v>
      </c>
      <c r="J7336" t="s">
        <v>43</v>
      </c>
      <c r="K7336" t="s">
        <v>47</v>
      </c>
      <c r="L7336" t="s">
        <v>48</v>
      </c>
      <c r="M7336" t="s">
        <v>172</v>
      </c>
      <c r="N7336">
        <v>1046</v>
      </c>
      <c r="O7336" s="14">
        <v>0.419831007951871</v>
      </c>
      <c r="P7336" s="14">
        <v>0.19881726312451101</v>
      </c>
      <c r="Q7336" t="str">
        <f t="shared" si="228"/>
        <v>35-49</v>
      </c>
      <c r="R7336" t="str">
        <f t="shared" si="229"/>
        <v>[PekKUkKHAzY]|35-49|Male|NEW_INFECTIONS_SUBNAT.T2|CY2025Q3</v>
      </c>
    </row>
    <row r="7337" spans="4:18" x14ac:dyDescent="0.2">
      <c r="D7337" t="s">
        <v>68</v>
      </c>
      <c r="E7337" t="s">
        <v>69</v>
      </c>
      <c r="F7337" t="s">
        <v>70</v>
      </c>
      <c r="G7337" t="s">
        <v>174</v>
      </c>
      <c r="H7337" t="s">
        <v>174</v>
      </c>
      <c r="I7337" t="s">
        <v>44</v>
      </c>
      <c r="J7337" t="s">
        <v>45</v>
      </c>
      <c r="K7337" t="s">
        <v>47</v>
      </c>
      <c r="L7337" t="s">
        <v>48</v>
      </c>
      <c r="M7337" t="s">
        <v>172</v>
      </c>
      <c r="N7337">
        <v>1105</v>
      </c>
      <c r="O7337" s="14">
        <v>0.11497631552629201</v>
      </c>
      <c r="P7337" s="14">
        <v>0.19881726312451101</v>
      </c>
      <c r="Q7337" t="str">
        <f t="shared" si="228"/>
        <v>50+</v>
      </c>
      <c r="R7337" t="str">
        <f t="shared" si="229"/>
        <v>[PekKUkKHAzY]|50+|Male|NEW_INFECTIONS_SUBNAT.T2|CY2025Q3</v>
      </c>
    </row>
    <row r="7338" spans="4:18" x14ac:dyDescent="0.2">
      <c r="D7338" t="s">
        <v>71</v>
      </c>
      <c r="E7338" t="s">
        <v>72</v>
      </c>
      <c r="F7338" t="s">
        <v>73</v>
      </c>
      <c r="G7338" t="s">
        <v>174</v>
      </c>
      <c r="H7338" t="s">
        <v>174</v>
      </c>
      <c r="I7338" t="s">
        <v>27</v>
      </c>
      <c r="J7338" t="s">
        <v>28</v>
      </c>
      <c r="K7338" t="s">
        <v>29</v>
      </c>
      <c r="L7338" t="s">
        <v>30</v>
      </c>
      <c r="M7338" t="s">
        <v>172</v>
      </c>
      <c r="N7338">
        <v>1769</v>
      </c>
      <c r="O7338" s="14">
        <v>0.14509731344878701</v>
      </c>
      <c r="P7338" s="14">
        <v>0.28972870693542102</v>
      </c>
      <c r="Q7338" t="str">
        <f t="shared" si="228"/>
        <v>&lt;01</v>
      </c>
      <c r="R7338" t="str">
        <f t="shared" si="229"/>
        <v>[am530wpaGvr]|&lt;01|Female|NEW_INFECTIONS_SUBNAT.T2|CY2025Q3</v>
      </c>
    </row>
    <row r="7339" spans="4:18" x14ac:dyDescent="0.2">
      <c r="D7339" t="s">
        <v>71</v>
      </c>
      <c r="E7339" t="s">
        <v>72</v>
      </c>
      <c r="F7339" t="s">
        <v>73</v>
      </c>
      <c r="G7339" t="s">
        <v>174</v>
      </c>
      <c r="H7339" t="s">
        <v>174</v>
      </c>
      <c r="I7339" t="s">
        <v>32</v>
      </c>
      <c r="J7339" t="s">
        <v>33</v>
      </c>
      <c r="K7339" t="s">
        <v>29</v>
      </c>
      <c r="L7339" t="s">
        <v>30</v>
      </c>
      <c r="M7339" t="s">
        <v>172</v>
      </c>
      <c r="N7339">
        <v>1022</v>
      </c>
      <c r="O7339" s="14">
        <v>0.77858724701218296</v>
      </c>
      <c r="P7339" s="14">
        <v>0.28972870693542102</v>
      </c>
      <c r="Q7339" t="str">
        <f t="shared" si="228"/>
        <v>01-09</v>
      </c>
      <c r="R7339" t="str">
        <f t="shared" si="229"/>
        <v>[am530wpaGvr]|01-09|Female|NEW_INFECTIONS_SUBNAT.T2|CY2025Q3</v>
      </c>
    </row>
    <row r="7340" spans="4:18" x14ac:dyDescent="0.2">
      <c r="D7340" t="s">
        <v>71</v>
      </c>
      <c r="E7340" t="s">
        <v>72</v>
      </c>
      <c r="F7340" t="s">
        <v>73</v>
      </c>
      <c r="G7340" t="s">
        <v>174</v>
      </c>
      <c r="H7340" t="s">
        <v>174</v>
      </c>
      <c r="I7340" t="s">
        <v>35</v>
      </c>
      <c r="J7340" t="s">
        <v>36</v>
      </c>
      <c r="K7340" t="s">
        <v>29</v>
      </c>
      <c r="L7340" t="s">
        <v>30</v>
      </c>
      <c r="M7340" t="s">
        <v>172</v>
      </c>
      <c r="N7340">
        <v>710</v>
      </c>
      <c r="O7340" s="14">
        <v>0.49686742108315202</v>
      </c>
      <c r="P7340" s="14">
        <v>0.28972870693542102</v>
      </c>
      <c r="Q7340" t="str">
        <f t="shared" si="228"/>
        <v>10-14</v>
      </c>
      <c r="R7340" t="str">
        <f t="shared" si="229"/>
        <v>[am530wpaGvr]|10-14|Female|NEW_INFECTIONS_SUBNAT.T2|CY2025Q3</v>
      </c>
    </row>
    <row r="7341" spans="4:18" x14ac:dyDescent="0.2">
      <c r="D7341" t="s">
        <v>71</v>
      </c>
      <c r="E7341" t="s">
        <v>72</v>
      </c>
      <c r="F7341" t="s">
        <v>73</v>
      </c>
      <c r="G7341" t="s">
        <v>174</v>
      </c>
      <c r="H7341" t="s">
        <v>174</v>
      </c>
      <c r="I7341" t="s">
        <v>37</v>
      </c>
      <c r="J7341" t="s">
        <v>38</v>
      </c>
      <c r="K7341" t="s">
        <v>29</v>
      </c>
      <c r="L7341" t="s">
        <v>30</v>
      </c>
      <c r="M7341" t="s">
        <v>172</v>
      </c>
      <c r="N7341">
        <v>1603</v>
      </c>
      <c r="O7341" s="14">
        <v>0.44963712408207401</v>
      </c>
      <c r="P7341" s="14">
        <v>0.28972870693542102</v>
      </c>
      <c r="Q7341" t="str">
        <f t="shared" si="228"/>
        <v>15-24</v>
      </c>
      <c r="R7341" t="str">
        <f t="shared" si="229"/>
        <v>[am530wpaGvr]|15-24|Female|NEW_INFECTIONS_SUBNAT.T2|CY2025Q3</v>
      </c>
    </row>
    <row r="7342" spans="4:18" x14ac:dyDescent="0.2">
      <c r="D7342" t="s">
        <v>71</v>
      </c>
      <c r="E7342" t="s">
        <v>72</v>
      </c>
      <c r="F7342" t="s">
        <v>73</v>
      </c>
      <c r="G7342" t="s">
        <v>174</v>
      </c>
      <c r="H7342" t="s">
        <v>174</v>
      </c>
      <c r="I7342" t="s">
        <v>40</v>
      </c>
      <c r="J7342" t="s">
        <v>41</v>
      </c>
      <c r="K7342" t="s">
        <v>29</v>
      </c>
      <c r="L7342" t="s">
        <v>30</v>
      </c>
      <c r="M7342" t="s">
        <v>172</v>
      </c>
      <c r="N7342">
        <v>1526</v>
      </c>
      <c r="O7342" s="14">
        <v>0.70302317873574804</v>
      </c>
      <c r="P7342" s="14">
        <v>0.28972870693542102</v>
      </c>
      <c r="Q7342" t="str">
        <f t="shared" si="228"/>
        <v>25-34</v>
      </c>
      <c r="R7342" t="str">
        <f t="shared" si="229"/>
        <v>[am530wpaGvr]|25-34|Female|NEW_INFECTIONS_SUBNAT.T2|CY2025Q3</v>
      </c>
    </row>
    <row r="7343" spans="4:18" x14ac:dyDescent="0.2">
      <c r="D7343" t="s">
        <v>71</v>
      </c>
      <c r="E7343" t="s">
        <v>72</v>
      </c>
      <c r="F7343" t="s">
        <v>73</v>
      </c>
      <c r="G7343" t="s">
        <v>174</v>
      </c>
      <c r="H7343" t="s">
        <v>174</v>
      </c>
      <c r="I7343" t="s">
        <v>42</v>
      </c>
      <c r="J7343" t="s">
        <v>43</v>
      </c>
      <c r="K7343" t="s">
        <v>29</v>
      </c>
      <c r="L7343" t="s">
        <v>30</v>
      </c>
      <c r="M7343" t="s">
        <v>172</v>
      </c>
      <c r="N7343">
        <v>1710</v>
      </c>
      <c r="O7343" s="14">
        <v>0.34238421823829401</v>
      </c>
      <c r="P7343" s="14">
        <v>0.28972870693542102</v>
      </c>
      <c r="Q7343" t="str">
        <f t="shared" si="228"/>
        <v>35-49</v>
      </c>
      <c r="R7343" t="str">
        <f t="shared" si="229"/>
        <v>[am530wpaGvr]|35-49|Female|NEW_INFECTIONS_SUBNAT.T2|CY2025Q3</v>
      </c>
    </row>
    <row r="7344" spans="4:18" x14ac:dyDescent="0.2">
      <c r="D7344" t="s">
        <v>71</v>
      </c>
      <c r="E7344" t="s">
        <v>72</v>
      </c>
      <c r="F7344" t="s">
        <v>73</v>
      </c>
      <c r="G7344" t="s">
        <v>174</v>
      </c>
      <c r="H7344" t="s">
        <v>174</v>
      </c>
      <c r="I7344" t="s">
        <v>44</v>
      </c>
      <c r="J7344" t="s">
        <v>45</v>
      </c>
      <c r="K7344" t="s">
        <v>29</v>
      </c>
      <c r="L7344" t="s">
        <v>30</v>
      </c>
      <c r="M7344" t="s">
        <v>172</v>
      </c>
      <c r="N7344">
        <v>1466</v>
      </c>
      <c r="O7344" s="14">
        <v>0.190470660338178</v>
      </c>
      <c r="P7344" s="14">
        <v>0.28972870693542102</v>
      </c>
      <c r="Q7344" t="str">
        <f t="shared" si="228"/>
        <v>50+</v>
      </c>
      <c r="R7344" t="str">
        <f t="shared" si="229"/>
        <v>[am530wpaGvr]|50+|Female|NEW_INFECTIONS_SUBNAT.T2|CY2025Q3</v>
      </c>
    </row>
    <row r="7345" spans="4:18" x14ac:dyDescent="0.2">
      <c r="D7345" t="s">
        <v>71</v>
      </c>
      <c r="E7345" t="s">
        <v>72</v>
      </c>
      <c r="F7345" t="s">
        <v>73</v>
      </c>
      <c r="G7345" t="s">
        <v>174</v>
      </c>
      <c r="H7345" t="s">
        <v>174</v>
      </c>
      <c r="I7345" t="s">
        <v>27</v>
      </c>
      <c r="J7345" t="s">
        <v>28</v>
      </c>
      <c r="K7345" t="s">
        <v>47</v>
      </c>
      <c r="L7345" t="s">
        <v>48</v>
      </c>
      <c r="M7345" t="s">
        <v>172</v>
      </c>
      <c r="N7345">
        <v>721</v>
      </c>
      <c r="O7345" s="14">
        <v>0.14451174926944099</v>
      </c>
      <c r="P7345" s="14">
        <v>0.28972870693542102</v>
      </c>
      <c r="Q7345" t="str">
        <f t="shared" si="228"/>
        <v>&lt;01</v>
      </c>
      <c r="R7345" t="str">
        <f t="shared" si="229"/>
        <v>[am530wpaGvr]|&lt;01|Male|NEW_INFECTIONS_SUBNAT.T2|CY2025Q3</v>
      </c>
    </row>
    <row r="7346" spans="4:18" x14ac:dyDescent="0.2">
      <c r="D7346" t="s">
        <v>71</v>
      </c>
      <c r="E7346" t="s">
        <v>72</v>
      </c>
      <c r="F7346" t="s">
        <v>73</v>
      </c>
      <c r="G7346" t="s">
        <v>174</v>
      </c>
      <c r="H7346" t="s">
        <v>174</v>
      </c>
      <c r="I7346" t="s">
        <v>32</v>
      </c>
      <c r="J7346" t="s">
        <v>33</v>
      </c>
      <c r="K7346" t="s">
        <v>47</v>
      </c>
      <c r="L7346" t="s">
        <v>48</v>
      </c>
      <c r="M7346" t="s">
        <v>172</v>
      </c>
      <c r="N7346">
        <v>1633</v>
      </c>
      <c r="O7346" s="14">
        <v>0.148963879561052</v>
      </c>
      <c r="P7346" s="14">
        <v>0.28972870693542102</v>
      </c>
      <c r="Q7346" t="str">
        <f t="shared" si="228"/>
        <v>01-09</v>
      </c>
      <c r="R7346" t="str">
        <f t="shared" si="229"/>
        <v>[am530wpaGvr]|01-09|Male|NEW_INFECTIONS_SUBNAT.T2|CY2025Q3</v>
      </c>
    </row>
    <row r="7347" spans="4:18" x14ac:dyDescent="0.2">
      <c r="D7347" t="s">
        <v>71</v>
      </c>
      <c r="E7347" t="s">
        <v>72</v>
      </c>
      <c r="F7347" t="s">
        <v>73</v>
      </c>
      <c r="G7347" t="s">
        <v>174</v>
      </c>
      <c r="H7347" t="s">
        <v>174</v>
      </c>
      <c r="I7347" t="s">
        <v>35</v>
      </c>
      <c r="J7347" t="s">
        <v>36</v>
      </c>
      <c r="K7347" t="s">
        <v>47</v>
      </c>
      <c r="L7347" t="s">
        <v>48</v>
      </c>
      <c r="M7347" t="s">
        <v>172</v>
      </c>
      <c r="N7347">
        <v>1587</v>
      </c>
      <c r="O7347" s="14">
        <v>0.56919237738475204</v>
      </c>
      <c r="P7347" s="14">
        <v>0.28972870693542102</v>
      </c>
      <c r="Q7347" t="str">
        <f t="shared" si="228"/>
        <v>10-14</v>
      </c>
      <c r="R7347" t="str">
        <f t="shared" si="229"/>
        <v>[am530wpaGvr]|10-14|Male|NEW_INFECTIONS_SUBNAT.T2|CY2025Q3</v>
      </c>
    </row>
    <row r="7348" spans="4:18" x14ac:dyDescent="0.2">
      <c r="D7348" t="s">
        <v>71</v>
      </c>
      <c r="E7348" t="s">
        <v>72</v>
      </c>
      <c r="F7348" t="s">
        <v>73</v>
      </c>
      <c r="G7348" t="s">
        <v>174</v>
      </c>
      <c r="H7348" t="s">
        <v>174</v>
      </c>
      <c r="I7348" t="s">
        <v>37</v>
      </c>
      <c r="J7348" t="s">
        <v>38</v>
      </c>
      <c r="K7348" t="s">
        <v>47</v>
      </c>
      <c r="L7348" t="s">
        <v>48</v>
      </c>
      <c r="M7348" t="s">
        <v>172</v>
      </c>
      <c r="N7348">
        <v>1254</v>
      </c>
      <c r="O7348" s="14">
        <v>9.1922405641525998E-2</v>
      </c>
      <c r="P7348" s="14">
        <v>0.28972870693542102</v>
      </c>
      <c r="Q7348" t="str">
        <f t="shared" si="228"/>
        <v>15-24</v>
      </c>
      <c r="R7348" t="str">
        <f t="shared" si="229"/>
        <v>[am530wpaGvr]|15-24|Male|NEW_INFECTIONS_SUBNAT.T2|CY2025Q3</v>
      </c>
    </row>
    <row r="7349" spans="4:18" x14ac:dyDescent="0.2">
      <c r="D7349" t="s">
        <v>71</v>
      </c>
      <c r="E7349" t="s">
        <v>72</v>
      </c>
      <c r="F7349" t="s">
        <v>73</v>
      </c>
      <c r="G7349" t="s">
        <v>174</v>
      </c>
      <c r="H7349" t="s">
        <v>174</v>
      </c>
      <c r="I7349" t="s">
        <v>40</v>
      </c>
      <c r="J7349" t="s">
        <v>41</v>
      </c>
      <c r="K7349" t="s">
        <v>47</v>
      </c>
      <c r="L7349" t="s">
        <v>48</v>
      </c>
      <c r="M7349" t="s">
        <v>172</v>
      </c>
      <c r="N7349">
        <v>1195</v>
      </c>
      <c r="O7349" s="14">
        <v>0.84992918442003396</v>
      </c>
      <c r="P7349" s="14">
        <v>0.28972870693542102</v>
      </c>
      <c r="Q7349" t="str">
        <f t="shared" si="228"/>
        <v>25-34</v>
      </c>
      <c r="R7349" t="str">
        <f t="shared" si="229"/>
        <v>[am530wpaGvr]|25-34|Male|NEW_INFECTIONS_SUBNAT.T2|CY2025Q3</v>
      </c>
    </row>
    <row r="7350" spans="4:18" x14ac:dyDescent="0.2">
      <c r="D7350" t="s">
        <v>71</v>
      </c>
      <c r="E7350" t="s">
        <v>72</v>
      </c>
      <c r="F7350" t="s">
        <v>73</v>
      </c>
      <c r="G7350" t="s">
        <v>174</v>
      </c>
      <c r="H7350" t="s">
        <v>174</v>
      </c>
      <c r="I7350" t="s">
        <v>42</v>
      </c>
      <c r="J7350" t="s">
        <v>43</v>
      </c>
      <c r="K7350" t="s">
        <v>47</v>
      </c>
      <c r="L7350" t="s">
        <v>48</v>
      </c>
      <c r="M7350" t="s">
        <v>172</v>
      </c>
      <c r="N7350">
        <v>647</v>
      </c>
      <c r="O7350" s="14">
        <v>0.64912956766784202</v>
      </c>
      <c r="P7350" s="14">
        <v>0.28972870693542102</v>
      </c>
      <c r="Q7350" t="str">
        <f t="shared" si="228"/>
        <v>35-49</v>
      </c>
      <c r="R7350" t="str">
        <f t="shared" si="229"/>
        <v>[am530wpaGvr]|35-49|Male|NEW_INFECTIONS_SUBNAT.T2|CY2025Q3</v>
      </c>
    </row>
    <row r="7351" spans="4:18" x14ac:dyDescent="0.2">
      <c r="D7351" t="s">
        <v>71</v>
      </c>
      <c r="E7351" t="s">
        <v>72</v>
      </c>
      <c r="F7351" t="s">
        <v>73</v>
      </c>
      <c r="G7351" t="s">
        <v>174</v>
      </c>
      <c r="H7351" t="s">
        <v>174</v>
      </c>
      <c r="I7351" t="s">
        <v>44</v>
      </c>
      <c r="J7351" t="s">
        <v>45</v>
      </c>
      <c r="K7351" t="s">
        <v>47</v>
      </c>
      <c r="L7351" t="s">
        <v>48</v>
      </c>
      <c r="M7351" t="s">
        <v>172</v>
      </c>
      <c r="N7351">
        <v>1295</v>
      </c>
      <c r="O7351" s="14">
        <v>2.1311901742592499E-2</v>
      </c>
      <c r="P7351" s="14">
        <v>0.28972870693542102</v>
      </c>
      <c r="Q7351" t="str">
        <f t="shared" si="228"/>
        <v>50+</v>
      </c>
      <c r="R7351" t="str">
        <f t="shared" si="229"/>
        <v>[am530wpaGvr]|50+|Male|NEW_INFECTIONS_SUBNAT.T2|CY2025Q3</v>
      </c>
    </row>
    <row r="7352" spans="4:18" x14ac:dyDescent="0.2">
      <c r="D7352" t="s">
        <v>74</v>
      </c>
      <c r="E7352" t="s">
        <v>75</v>
      </c>
      <c r="F7352" t="s">
        <v>76</v>
      </c>
      <c r="G7352" t="s">
        <v>174</v>
      </c>
      <c r="H7352" t="s">
        <v>174</v>
      </c>
      <c r="I7352" t="s">
        <v>27</v>
      </c>
      <c r="J7352" t="s">
        <v>28</v>
      </c>
      <c r="K7352" t="s">
        <v>29</v>
      </c>
      <c r="L7352" t="s">
        <v>30</v>
      </c>
      <c r="M7352" t="s">
        <v>172</v>
      </c>
      <c r="N7352">
        <v>686</v>
      </c>
      <c r="O7352" s="14">
        <v>0.94621448917314399</v>
      </c>
      <c r="P7352" s="14">
        <v>0.30305550759658201</v>
      </c>
      <c r="Q7352" t="str">
        <f t="shared" si="228"/>
        <v>&lt;01</v>
      </c>
      <c r="R7352" t="str">
        <f t="shared" si="229"/>
        <v>[lLDyBx5XyUi]|&lt;01|Female|NEW_INFECTIONS_SUBNAT.T2|CY2025Q3</v>
      </c>
    </row>
    <row r="7353" spans="4:18" x14ac:dyDescent="0.2">
      <c r="D7353" t="s">
        <v>74</v>
      </c>
      <c r="E7353" t="s">
        <v>75</v>
      </c>
      <c r="F7353" t="s">
        <v>76</v>
      </c>
      <c r="G7353" t="s">
        <v>174</v>
      </c>
      <c r="H7353" t="s">
        <v>174</v>
      </c>
      <c r="I7353" t="s">
        <v>32</v>
      </c>
      <c r="J7353" t="s">
        <v>33</v>
      </c>
      <c r="K7353" t="s">
        <v>29</v>
      </c>
      <c r="L7353" t="s">
        <v>30</v>
      </c>
      <c r="M7353" t="s">
        <v>172</v>
      </c>
      <c r="N7353">
        <v>1155</v>
      </c>
      <c r="O7353" s="14">
        <v>0.92954409169033203</v>
      </c>
      <c r="P7353" s="14">
        <v>0.30305550759658201</v>
      </c>
      <c r="Q7353" t="str">
        <f t="shared" si="228"/>
        <v>01-09</v>
      </c>
      <c r="R7353" t="str">
        <f t="shared" si="229"/>
        <v>[lLDyBx5XyUi]|01-09|Female|NEW_INFECTIONS_SUBNAT.T2|CY2025Q3</v>
      </c>
    </row>
    <row r="7354" spans="4:18" x14ac:dyDescent="0.2">
      <c r="D7354" t="s">
        <v>74</v>
      </c>
      <c r="E7354" t="s">
        <v>75</v>
      </c>
      <c r="F7354" t="s">
        <v>76</v>
      </c>
      <c r="G7354" t="s">
        <v>174</v>
      </c>
      <c r="H7354" t="s">
        <v>174</v>
      </c>
      <c r="I7354" t="s">
        <v>35</v>
      </c>
      <c r="J7354" t="s">
        <v>36</v>
      </c>
      <c r="K7354" t="s">
        <v>29</v>
      </c>
      <c r="L7354" t="s">
        <v>30</v>
      </c>
      <c r="M7354" t="s">
        <v>172</v>
      </c>
      <c r="N7354">
        <v>1803</v>
      </c>
      <c r="O7354" s="14">
        <v>0.47087878128513699</v>
      </c>
      <c r="P7354" s="14">
        <v>0.30305550759658201</v>
      </c>
      <c r="Q7354" t="str">
        <f t="shared" si="228"/>
        <v>10-14</v>
      </c>
      <c r="R7354" t="str">
        <f t="shared" si="229"/>
        <v>[lLDyBx5XyUi]|10-14|Female|NEW_INFECTIONS_SUBNAT.T2|CY2025Q3</v>
      </c>
    </row>
    <row r="7355" spans="4:18" x14ac:dyDescent="0.2">
      <c r="D7355" t="s">
        <v>74</v>
      </c>
      <c r="E7355" t="s">
        <v>75</v>
      </c>
      <c r="F7355" t="s">
        <v>76</v>
      </c>
      <c r="G7355" t="s">
        <v>174</v>
      </c>
      <c r="H7355" t="s">
        <v>174</v>
      </c>
      <c r="I7355" t="s">
        <v>37</v>
      </c>
      <c r="J7355" t="s">
        <v>38</v>
      </c>
      <c r="K7355" t="s">
        <v>29</v>
      </c>
      <c r="L7355" t="s">
        <v>30</v>
      </c>
      <c r="M7355" t="s">
        <v>172</v>
      </c>
      <c r="N7355">
        <v>1811</v>
      </c>
      <c r="O7355" s="14">
        <v>0.67840503924526296</v>
      </c>
      <c r="P7355" s="14">
        <v>0.30305550759658201</v>
      </c>
      <c r="Q7355" t="str">
        <f t="shared" si="228"/>
        <v>15-24</v>
      </c>
      <c r="R7355" t="str">
        <f t="shared" si="229"/>
        <v>[lLDyBx5XyUi]|15-24|Female|NEW_INFECTIONS_SUBNAT.T2|CY2025Q3</v>
      </c>
    </row>
    <row r="7356" spans="4:18" x14ac:dyDescent="0.2">
      <c r="D7356" t="s">
        <v>74</v>
      </c>
      <c r="E7356" t="s">
        <v>75</v>
      </c>
      <c r="F7356" t="s">
        <v>76</v>
      </c>
      <c r="G7356" t="s">
        <v>174</v>
      </c>
      <c r="H7356" t="s">
        <v>174</v>
      </c>
      <c r="I7356" t="s">
        <v>40</v>
      </c>
      <c r="J7356" t="s">
        <v>41</v>
      </c>
      <c r="K7356" t="s">
        <v>29</v>
      </c>
      <c r="L7356" t="s">
        <v>30</v>
      </c>
      <c r="M7356" t="s">
        <v>172</v>
      </c>
      <c r="N7356">
        <v>1147</v>
      </c>
      <c r="O7356" s="14">
        <v>0.17250852659344701</v>
      </c>
      <c r="P7356" s="14">
        <v>0.30305550759658201</v>
      </c>
      <c r="Q7356" t="str">
        <f t="shared" si="228"/>
        <v>25-34</v>
      </c>
      <c r="R7356" t="str">
        <f t="shared" si="229"/>
        <v>[lLDyBx5XyUi]|25-34|Female|NEW_INFECTIONS_SUBNAT.T2|CY2025Q3</v>
      </c>
    </row>
    <row r="7357" spans="4:18" x14ac:dyDescent="0.2">
      <c r="D7357" t="s">
        <v>74</v>
      </c>
      <c r="E7357" t="s">
        <v>75</v>
      </c>
      <c r="F7357" t="s">
        <v>76</v>
      </c>
      <c r="G7357" t="s">
        <v>174</v>
      </c>
      <c r="H7357" t="s">
        <v>174</v>
      </c>
      <c r="I7357" t="s">
        <v>42</v>
      </c>
      <c r="J7357" t="s">
        <v>43</v>
      </c>
      <c r="K7357" t="s">
        <v>29</v>
      </c>
      <c r="L7357" t="s">
        <v>30</v>
      </c>
      <c r="M7357" t="s">
        <v>172</v>
      </c>
      <c r="N7357">
        <v>1441</v>
      </c>
      <c r="O7357" s="14">
        <v>0.18724257242865899</v>
      </c>
      <c r="P7357" s="14">
        <v>0.30305550759658201</v>
      </c>
      <c r="Q7357" t="str">
        <f t="shared" si="228"/>
        <v>35-49</v>
      </c>
      <c r="R7357" t="str">
        <f t="shared" si="229"/>
        <v>[lLDyBx5XyUi]|35-49|Female|NEW_INFECTIONS_SUBNAT.T2|CY2025Q3</v>
      </c>
    </row>
    <row r="7358" spans="4:18" x14ac:dyDescent="0.2">
      <c r="D7358" t="s">
        <v>74</v>
      </c>
      <c r="E7358" t="s">
        <v>75</v>
      </c>
      <c r="F7358" t="s">
        <v>76</v>
      </c>
      <c r="G7358" t="s">
        <v>174</v>
      </c>
      <c r="H7358" t="s">
        <v>174</v>
      </c>
      <c r="I7358" t="s">
        <v>44</v>
      </c>
      <c r="J7358" t="s">
        <v>45</v>
      </c>
      <c r="K7358" t="s">
        <v>29</v>
      </c>
      <c r="L7358" t="s">
        <v>30</v>
      </c>
      <c r="M7358" t="s">
        <v>172</v>
      </c>
      <c r="N7358">
        <v>1116</v>
      </c>
      <c r="O7358" s="14">
        <v>0.67912583309225705</v>
      </c>
      <c r="P7358" s="14">
        <v>0.30305550759658201</v>
      </c>
      <c r="Q7358" t="str">
        <f t="shared" si="228"/>
        <v>50+</v>
      </c>
      <c r="R7358" t="str">
        <f t="shared" si="229"/>
        <v>[lLDyBx5XyUi]|50+|Female|NEW_INFECTIONS_SUBNAT.T2|CY2025Q3</v>
      </c>
    </row>
    <row r="7359" spans="4:18" x14ac:dyDescent="0.2">
      <c r="D7359" t="s">
        <v>74</v>
      </c>
      <c r="E7359" t="s">
        <v>75</v>
      </c>
      <c r="F7359" t="s">
        <v>76</v>
      </c>
      <c r="G7359" t="s">
        <v>174</v>
      </c>
      <c r="H7359" t="s">
        <v>174</v>
      </c>
      <c r="I7359" t="s">
        <v>27</v>
      </c>
      <c r="J7359" t="s">
        <v>28</v>
      </c>
      <c r="K7359" t="s">
        <v>47</v>
      </c>
      <c r="L7359" t="s">
        <v>48</v>
      </c>
      <c r="M7359" t="s">
        <v>172</v>
      </c>
      <c r="N7359">
        <v>1083</v>
      </c>
      <c r="O7359" s="14">
        <v>0.30429860437288903</v>
      </c>
      <c r="P7359" s="14">
        <v>0.30305550759658201</v>
      </c>
      <c r="Q7359" t="str">
        <f t="shared" si="228"/>
        <v>&lt;01</v>
      </c>
      <c r="R7359" t="str">
        <f t="shared" si="229"/>
        <v>[lLDyBx5XyUi]|&lt;01|Male|NEW_INFECTIONS_SUBNAT.T2|CY2025Q3</v>
      </c>
    </row>
    <row r="7360" spans="4:18" x14ac:dyDescent="0.2">
      <c r="D7360" t="s">
        <v>74</v>
      </c>
      <c r="E7360" t="s">
        <v>75</v>
      </c>
      <c r="F7360" t="s">
        <v>76</v>
      </c>
      <c r="G7360" t="s">
        <v>174</v>
      </c>
      <c r="H7360" t="s">
        <v>174</v>
      </c>
      <c r="I7360" t="s">
        <v>32</v>
      </c>
      <c r="J7360" t="s">
        <v>33</v>
      </c>
      <c r="K7360" t="s">
        <v>47</v>
      </c>
      <c r="L7360" t="s">
        <v>48</v>
      </c>
      <c r="M7360" t="s">
        <v>172</v>
      </c>
      <c r="N7360">
        <v>599</v>
      </c>
      <c r="O7360" s="14">
        <v>0.76853511552326403</v>
      </c>
      <c r="P7360" s="14">
        <v>0.30305550759658201</v>
      </c>
      <c r="Q7360" t="str">
        <f t="shared" si="228"/>
        <v>01-09</v>
      </c>
      <c r="R7360" t="str">
        <f t="shared" si="229"/>
        <v>[lLDyBx5XyUi]|01-09|Male|NEW_INFECTIONS_SUBNAT.T2|CY2025Q3</v>
      </c>
    </row>
    <row r="7361" spans="4:18" x14ac:dyDescent="0.2">
      <c r="D7361" t="s">
        <v>74</v>
      </c>
      <c r="E7361" t="s">
        <v>75</v>
      </c>
      <c r="F7361" t="s">
        <v>76</v>
      </c>
      <c r="G7361" t="s">
        <v>174</v>
      </c>
      <c r="H7361" t="s">
        <v>174</v>
      </c>
      <c r="I7361" t="s">
        <v>35</v>
      </c>
      <c r="J7361" t="s">
        <v>36</v>
      </c>
      <c r="K7361" t="s">
        <v>47</v>
      </c>
      <c r="L7361" t="s">
        <v>48</v>
      </c>
      <c r="M7361" t="s">
        <v>172</v>
      </c>
      <c r="N7361">
        <v>599</v>
      </c>
      <c r="O7361" s="14">
        <v>0.242095592897385</v>
      </c>
      <c r="P7361" s="14">
        <v>0.30305550759658201</v>
      </c>
      <c r="Q7361" t="str">
        <f t="shared" si="228"/>
        <v>10-14</v>
      </c>
      <c r="R7361" t="str">
        <f t="shared" si="229"/>
        <v>[lLDyBx5XyUi]|10-14|Male|NEW_INFECTIONS_SUBNAT.T2|CY2025Q3</v>
      </c>
    </row>
    <row r="7362" spans="4:18" x14ac:dyDescent="0.2">
      <c r="D7362" t="s">
        <v>74</v>
      </c>
      <c r="E7362" t="s">
        <v>75</v>
      </c>
      <c r="F7362" t="s">
        <v>76</v>
      </c>
      <c r="G7362" t="s">
        <v>174</v>
      </c>
      <c r="H7362" t="s">
        <v>174</v>
      </c>
      <c r="I7362" t="s">
        <v>37</v>
      </c>
      <c r="J7362" t="s">
        <v>38</v>
      </c>
      <c r="K7362" t="s">
        <v>47</v>
      </c>
      <c r="L7362" t="s">
        <v>48</v>
      </c>
      <c r="M7362" t="s">
        <v>172</v>
      </c>
      <c r="N7362">
        <v>1783</v>
      </c>
      <c r="O7362" s="14">
        <v>0.11897228122688799</v>
      </c>
      <c r="P7362" s="14">
        <v>0.30305550759658201</v>
      </c>
      <c r="Q7362" t="str">
        <f t="shared" ref="Q7362:Q7425" si="230">SUBSTITUTE(SUBSTITUTE($I7362,CHAR(61),""),CHAR(34),"")</f>
        <v>15-24</v>
      </c>
      <c r="R7362" t="str">
        <f t="shared" ref="R7362:R7425" si="231">IF($D7362&lt;&gt;"","["&amp;$E7362&amp;"]"&amp;"|"&amp;$Q7362&amp;"|"&amp;$K7362&amp;"|"&amp;$G7362&amp;"|"&amp;IF($G7362="TX_CURR_SUBNAT.R","CY2022Q4",$M7362),"")</f>
        <v>[lLDyBx5XyUi]|15-24|Male|NEW_INFECTIONS_SUBNAT.T2|CY2025Q3</v>
      </c>
    </row>
    <row r="7363" spans="4:18" x14ac:dyDescent="0.2">
      <c r="D7363" t="s">
        <v>74</v>
      </c>
      <c r="E7363" t="s">
        <v>75</v>
      </c>
      <c r="F7363" t="s">
        <v>76</v>
      </c>
      <c r="G7363" t="s">
        <v>174</v>
      </c>
      <c r="H7363" t="s">
        <v>174</v>
      </c>
      <c r="I7363" t="s">
        <v>40</v>
      </c>
      <c r="J7363" t="s">
        <v>41</v>
      </c>
      <c r="K7363" t="s">
        <v>47</v>
      </c>
      <c r="L7363" t="s">
        <v>48</v>
      </c>
      <c r="M7363" t="s">
        <v>172</v>
      </c>
      <c r="N7363">
        <v>963</v>
      </c>
      <c r="O7363" s="14">
        <v>0.19630249543115499</v>
      </c>
      <c r="P7363" s="14">
        <v>0.30305550759658201</v>
      </c>
      <c r="Q7363" t="str">
        <f t="shared" si="230"/>
        <v>25-34</v>
      </c>
      <c r="R7363" t="str">
        <f t="shared" si="231"/>
        <v>[lLDyBx5XyUi]|25-34|Male|NEW_INFECTIONS_SUBNAT.T2|CY2025Q3</v>
      </c>
    </row>
    <row r="7364" spans="4:18" x14ac:dyDescent="0.2">
      <c r="D7364" t="s">
        <v>74</v>
      </c>
      <c r="E7364" t="s">
        <v>75</v>
      </c>
      <c r="F7364" t="s">
        <v>76</v>
      </c>
      <c r="G7364" t="s">
        <v>174</v>
      </c>
      <c r="H7364" t="s">
        <v>174</v>
      </c>
      <c r="I7364" t="s">
        <v>42</v>
      </c>
      <c r="J7364" t="s">
        <v>43</v>
      </c>
      <c r="K7364" t="s">
        <v>47</v>
      </c>
      <c r="L7364" t="s">
        <v>48</v>
      </c>
      <c r="M7364" t="s">
        <v>172</v>
      </c>
      <c r="N7364">
        <v>941</v>
      </c>
      <c r="O7364" s="14">
        <v>0.59873737883754097</v>
      </c>
      <c r="P7364" s="14">
        <v>0.30305550759658201</v>
      </c>
      <c r="Q7364" t="str">
        <f t="shared" si="230"/>
        <v>35-49</v>
      </c>
      <c r="R7364" t="str">
        <f t="shared" si="231"/>
        <v>[lLDyBx5XyUi]|35-49|Male|NEW_INFECTIONS_SUBNAT.T2|CY2025Q3</v>
      </c>
    </row>
    <row r="7365" spans="4:18" x14ac:dyDescent="0.2">
      <c r="D7365" t="s">
        <v>74</v>
      </c>
      <c r="E7365" t="s">
        <v>75</v>
      </c>
      <c r="F7365" t="s">
        <v>76</v>
      </c>
      <c r="G7365" t="s">
        <v>174</v>
      </c>
      <c r="H7365" t="s">
        <v>174</v>
      </c>
      <c r="I7365" t="s">
        <v>44</v>
      </c>
      <c r="J7365" t="s">
        <v>45</v>
      </c>
      <c r="K7365" t="s">
        <v>47</v>
      </c>
      <c r="L7365" t="s">
        <v>48</v>
      </c>
      <c r="M7365" t="s">
        <v>172</v>
      </c>
      <c r="N7365">
        <v>1494</v>
      </c>
      <c r="O7365" s="14">
        <v>0.39564573485404297</v>
      </c>
      <c r="P7365" s="14">
        <v>0.30305550759658201</v>
      </c>
      <c r="Q7365" t="str">
        <f t="shared" si="230"/>
        <v>50+</v>
      </c>
      <c r="R7365" t="str">
        <f t="shared" si="231"/>
        <v>[lLDyBx5XyUi]|50+|Male|NEW_INFECTIONS_SUBNAT.T2|CY2025Q3</v>
      </c>
    </row>
    <row r="7366" spans="4:18" x14ac:dyDescent="0.2">
      <c r="D7366" t="s">
        <v>77</v>
      </c>
      <c r="E7366" t="s">
        <v>78</v>
      </c>
      <c r="F7366" t="s">
        <v>79</v>
      </c>
      <c r="G7366" t="s">
        <v>174</v>
      </c>
      <c r="H7366" t="s">
        <v>174</v>
      </c>
      <c r="I7366" t="s">
        <v>27</v>
      </c>
      <c r="J7366" t="s">
        <v>28</v>
      </c>
      <c r="K7366" t="s">
        <v>29</v>
      </c>
      <c r="L7366" t="s">
        <v>30</v>
      </c>
      <c r="M7366" t="s">
        <v>172</v>
      </c>
      <c r="N7366">
        <v>1703</v>
      </c>
      <c r="O7366" s="14">
        <v>0.307586253387854</v>
      </c>
      <c r="P7366" s="14">
        <v>0.83159798220731296</v>
      </c>
      <c r="Q7366" t="str">
        <f t="shared" si="230"/>
        <v>&lt;01</v>
      </c>
      <c r="R7366" t="str">
        <f t="shared" si="231"/>
        <v>[TYnMSwzko3z]|&lt;01|Female|NEW_INFECTIONS_SUBNAT.T2|CY2025Q3</v>
      </c>
    </row>
    <row r="7367" spans="4:18" x14ac:dyDescent="0.2">
      <c r="D7367" t="s">
        <v>77</v>
      </c>
      <c r="E7367" t="s">
        <v>78</v>
      </c>
      <c r="F7367" t="s">
        <v>79</v>
      </c>
      <c r="G7367" t="s">
        <v>174</v>
      </c>
      <c r="H7367" t="s">
        <v>174</v>
      </c>
      <c r="I7367" t="s">
        <v>32</v>
      </c>
      <c r="J7367" t="s">
        <v>33</v>
      </c>
      <c r="K7367" t="s">
        <v>29</v>
      </c>
      <c r="L7367" t="s">
        <v>30</v>
      </c>
      <c r="M7367" t="s">
        <v>172</v>
      </c>
      <c r="N7367">
        <v>1983</v>
      </c>
      <c r="O7367" s="14">
        <v>0.974652086384594</v>
      </c>
      <c r="P7367" s="14">
        <v>0.83159798220731296</v>
      </c>
      <c r="Q7367" t="str">
        <f t="shared" si="230"/>
        <v>01-09</v>
      </c>
      <c r="R7367" t="str">
        <f t="shared" si="231"/>
        <v>[TYnMSwzko3z]|01-09|Female|NEW_INFECTIONS_SUBNAT.T2|CY2025Q3</v>
      </c>
    </row>
    <row r="7368" spans="4:18" x14ac:dyDescent="0.2">
      <c r="D7368" t="s">
        <v>77</v>
      </c>
      <c r="E7368" t="s">
        <v>78</v>
      </c>
      <c r="F7368" t="s">
        <v>79</v>
      </c>
      <c r="G7368" t="s">
        <v>174</v>
      </c>
      <c r="H7368" t="s">
        <v>174</v>
      </c>
      <c r="I7368" t="s">
        <v>35</v>
      </c>
      <c r="J7368" t="s">
        <v>36</v>
      </c>
      <c r="K7368" t="s">
        <v>29</v>
      </c>
      <c r="L7368" t="s">
        <v>30</v>
      </c>
      <c r="M7368" t="s">
        <v>172</v>
      </c>
      <c r="N7368">
        <v>1048</v>
      </c>
      <c r="O7368" s="14">
        <v>0.81163938133977398</v>
      </c>
      <c r="P7368" s="14">
        <v>0.83159798220731296</v>
      </c>
      <c r="Q7368" t="str">
        <f t="shared" si="230"/>
        <v>10-14</v>
      </c>
      <c r="R7368" t="str">
        <f t="shared" si="231"/>
        <v>[TYnMSwzko3z]|10-14|Female|NEW_INFECTIONS_SUBNAT.T2|CY2025Q3</v>
      </c>
    </row>
    <row r="7369" spans="4:18" x14ac:dyDescent="0.2">
      <c r="D7369" t="s">
        <v>77</v>
      </c>
      <c r="E7369" t="s">
        <v>78</v>
      </c>
      <c r="F7369" t="s">
        <v>79</v>
      </c>
      <c r="G7369" t="s">
        <v>174</v>
      </c>
      <c r="H7369" t="s">
        <v>174</v>
      </c>
      <c r="I7369" t="s">
        <v>37</v>
      </c>
      <c r="J7369" t="s">
        <v>38</v>
      </c>
      <c r="K7369" t="s">
        <v>29</v>
      </c>
      <c r="L7369" t="s">
        <v>30</v>
      </c>
      <c r="M7369" t="s">
        <v>172</v>
      </c>
      <c r="N7369">
        <v>538</v>
      </c>
      <c r="O7369" s="14">
        <v>0.91138335363939404</v>
      </c>
      <c r="P7369" s="14">
        <v>0.83159798220731296</v>
      </c>
      <c r="Q7369" t="str">
        <f t="shared" si="230"/>
        <v>15-24</v>
      </c>
      <c r="R7369" t="str">
        <f t="shared" si="231"/>
        <v>[TYnMSwzko3z]|15-24|Female|NEW_INFECTIONS_SUBNAT.T2|CY2025Q3</v>
      </c>
    </row>
    <row r="7370" spans="4:18" x14ac:dyDescent="0.2">
      <c r="D7370" t="s">
        <v>77</v>
      </c>
      <c r="E7370" t="s">
        <v>78</v>
      </c>
      <c r="F7370" t="s">
        <v>79</v>
      </c>
      <c r="G7370" t="s">
        <v>174</v>
      </c>
      <c r="H7370" t="s">
        <v>174</v>
      </c>
      <c r="I7370" t="s">
        <v>40</v>
      </c>
      <c r="J7370" t="s">
        <v>41</v>
      </c>
      <c r="K7370" t="s">
        <v>29</v>
      </c>
      <c r="L7370" t="s">
        <v>30</v>
      </c>
      <c r="M7370" t="s">
        <v>172</v>
      </c>
      <c r="N7370">
        <v>1846</v>
      </c>
      <c r="O7370" s="14">
        <v>1.5042636310681701E-2</v>
      </c>
      <c r="P7370" s="14">
        <v>0.83159798220731296</v>
      </c>
      <c r="Q7370" t="str">
        <f t="shared" si="230"/>
        <v>25-34</v>
      </c>
      <c r="R7370" t="str">
        <f t="shared" si="231"/>
        <v>[TYnMSwzko3z]|25-34|Female|NEW_INFECTIONS_SUBNAT.T2|CY2025Q3</v>
      </c>
    </row>
    <row r="7371" spans="4:18" x14ac:dyDescent="0.2">
      <c r="D7371" t="s">
        <v>77</v>
      </c>
      <c r="E7371" t="s">
        <v>78</v>
      </c>
      <c r="F7371" t="s">
        <v>79</v>
      </c>
      <c r="G7371" t="s">
        <v>174</v>
      </c>
      <c r="H7371" t="s">
        <v>174</v>
      </c>
      <c r="I7371" t="s">
        <v>42</v>
      </c>
      <c r="J7371" t="s">
        <v>43</v>
      </c>
      <c r="K7371" t="s">
        <v>29</v>
      </c>
      <c r="L7371" t="s">
        <v>30</v>
      </c>
      <c r="M7371" t="s">
        <v>172</v>
      </c>
      <c r="N7371">
        <v>533</v>
      </c>
      <c r="O7371" s="14">
        <v>0.74475284549407705</v>
      </c>
      <c r="P7371" s="14">
        <v>0.83159798220731296</v>
      </c>
      <c r="Q7371" t="str">
        <f t="shared" si="230"/>
        <v>35-49</v>
      </c>
      <c r="R7371" t="str">
        <f t="shared" si="231"/>
        <v>[TYnMSwzko3z]|35-49|Female|NEW_INFECTIONS_SUBNAT.T2|CY2025Q3</v>
      </c>
    </row>
    <row r="7372" spans="4:18" x14ac:dyDescent="0.2">
      <c r="D7372" t="s">
        <v>77</v>
      </c>
      <c r="E7372" t="s">
        <v>78</v>
      </c>
      <c r="F7372" t="s">
        <v>79</v>
      </c>
      <c r="G7372" t="s">
        <v>174</v>
      </c>
      <c r="H7372" t="s">
        <v>174</v>
      </c>
      <c r="I7372" t="s">
        <v>44</v>
      </c>
      <c r="J7372" t="s">
        <v>45</v>
      </c>
      <c r="K7372" t="s">
        <v>29</v>
      </c>
      <c r="L7372" t="s">
        <v>30</v>
      </c>
      <c r="M7372" t="s">
        <v>172</v>
      </c>
      <c r="N7372">
        <v>1144</v>
      </c>
      <c r="O7372" s="14">
        <v>0.65862878132611502</v>
      </c>
      <c r="P7372" s="14">
        <v>0.83159798220731296</v>
      </c>
      <c r="Q7372" t="str">
        <f t="shared" si="230"/>
        <v>50+</v>
      </c>
      <c r="R7372" t="str">
        <f t="shared" si="231"/>
        <v>[TYnMSwzko3z]|50+|Female|NEW_INFECTIONS_SUBNAT.T2|CY2025Q3</v>
      </c>
    </row>
    <row r="7373" spans="4:18" x14ac:dyDescent="0.2">
      <c r="D7373" t="s">
        <v>77</v>
      </c>
      <c r="E7373" t="s">
        <v>78</v>
      </c>
      <c r="F7373" t="s">
        <v>79</v>
      </c>
      <c r="G7373" t="s">
        <v>174</v>
      </c>
      <c r="H7373" t="s">
        <v>174</v>
      </c>
      <c r="I7373" t="s">
        <v>27</v>
      </c>
      <c r="J7373" t="s">
        <v>28</v>
      </c>
      <c r="K7373" t="s">
        <v>47</v>
      </c>
      <c r="L7373" t="s">
        <v>48</v>
      </c>
      <c r="M7373" t="s">
        <v>172</v>
      </c>
      <c r="N7373">
        <v>1320</v>
      </c>
      <c r="O7373" s="14">
        <v>0.77543179690837905</v>
      </c>
      <c r="P7373" s="14">
        <v>0.83159798220731296</v>
      </c>
      <c r="Q7373" t="str">
        <f t="shared" si="230"/>
        <v>&lt;01</v>
      </c>
      <c r="R7373" t="str">
        <f t="shared" si="231"/>
        <v>[TYnMSwzko3z]|&lt;01|Male|NEW_INFECTIONS_SUBNAT.T2|CY2025Q3</v>
      </c>
    </row>
    <row r="7374" spans="4:18" x14ac:dyDescent="0.2">
      <c r="D7374" t="s">
        <v>77</v>
      </c>
      <c r="E7374" t="s">
        <v>78</v>
      </c>
      <c r="F7374" t="s">
        <v>79</v>
      </c>
      <c r="G7374" t="s">
        <v>174</v>
      </c>
      <c r="H7374" t="s">
        <v>174</v>
      </c>
      <c r="I7374" t="s">
        <v>32</v>
      </c>
      <c r="J7374" t="s">
        <v>33</v>
      </c>
      <c r="K7374" t="s">
        <v>47</v>
      </c>
      <c r="L7374" t="s">
        <v>48</v>
      </c>
      <c r="M7374" t="s">
        <v>172</v>
      </c>
      <c r="N7374">
        <v>1924</v>
      </c>
      <c r="O7374" s="14">
        <v>0.88493378763087105</v>
      </c>
      <c r="P7374" s="14">
        <v>0.83159798220731296</v>
      </c>
      <c r="Q7374" t="str">
        <f t="shared" si="230"/>
        <v>01-09</v>
      </c>
      <c r="R7374" t="str">
        <f t="shared" si="231"/>
        <v>[TYnMSwzko3z]|01-09|Male|NEW_INFECTIONS_SUBNAT.T2|CY2025Q3</v>
      </c>
    </row>
    <row r="7375" spans="4:18" x14ac:dyDescent="0.2">
      <c r="D7375" t="s">
        <v>77</v>
      </c>
      <c r="E7375" t="s">
        <v>78</v>
      </c>
      <c r="F7375" t="s">
        <v>79</v>
      </c>
      <c r="G7375" t="s">
        <v>174</v>
      </c>
      <c r="H7375" t="s">
        <v>174</v>
      </c>
      <c r="I7375" t="s">
        <v>35</v>
      </c>
      <c r="J7375" t="s">
        <v>36</v>
      </c>
      <c r="K7375" t="s">
        <v>47</v>
      </c>
      <c r="L7375" t="s">
        <v>48</v>
      </c>
      <c r="M7375" t="s">
        <v>172</v>
      </c>
      <c r="N7375">
        <v>1514</v>
      </c>
      <c r="O7375" s="14">
        <v>0.366801181808114</v>
      </c>
      <c r="P7375" s="14">
        <v>0.83159798220731296</v>
      </c>
      <c r="Q7375" t="str">
        <f t="shared" si="230"/>
        <v>10-14</v>
      </c>
      <c r="R7375" t="str">
        <f t="shared" si="231"/>
        <v>[TYnMSwzko3z]|10-14|Male|NEW_INFECTIONS_SUBNAT.T2|CY2025Q3</v>
      </c>
    </row>
    <row r="7376" spans="4:18" x14ac:dyDescent="0.2">
      <c r="D7376" t="s">
        <v>77</v>
      </c>
      <c r="E7376" t="s">
        <v>78</v>
      </c>
      <c r="F7376" t="s">
        <v>79</v>
      </c>
      <c r="G7376" t="s">
        <v>174</v>
      </c>
      <c r="H7376" t="s">
        <v>174</v>
      </c>
      <c r="I7376" t="s">
        <v>37</v>
      </c>
      <c r="J7376" t="s">
        <v>38</v>
      </c>
      <c r="K7376" t="s">
        <v>47</v>
      </c>
      <c r="L7376" t="s">
        <v>48</v>
      </c>
      <c r="M7376" t="s">
        <v>172</v>
      </c>
      <c r="N7376">
        <v>1748</v>
      </c>
      <c r="O7376" s="14">
        <v>0.14892299496568701</v>
      </c>
      <c r="P7376" s="14">
        <v>0.83159798220731296</v>
      </c>
      <c r="Q7376" t="str">
        <f t="shared" si="230"/>
        <v>15-24</v>
      </c>
      <c r="R7376" t="str">
        <f t="shared" si="231"/>
        <v>[TYnMSwzko3z]|15-24|Male|NEW_INFECTIONS_SUBNAT.T2|CY2025Q3</v>
      </c>
    </row>
    <row r="7377" spans="4:18" x14ac:dyDescent="0.2">
      <c r="D7377" t="s">
        <v>77</v>
      </c>
      <c r="E7377" t="s">
        <v>78</v>
      </c>
      <c r="F7377" t="s">
        <v>79</v>
      </c>
      <c r="G7377" t="s">
        <v>174</v>
      </c>
      <c r="H7377" t="s">
        <v>174</v>
      </c>
      <c r="I7377" t="s">
        <v>40</v>
      </c>
      <c r="J7377" t="s">
        <v>41</v>
      </c>
      <c r="K7377" t="s">
        <v>47</v>
      </c>
      <c r="L7377" t="s">
        <v>48</v>
      </c>
      <c r="M7377" t="s">
        <v>172</v>
      </c>
      <c r="N7377">
        <v>1841</v>
      </c>
      <c r="O7377" s="14">
        <v>1.28057363908738E-2</v>
      </c>
      <c r="P7377" s="14">
        <v>0.83159798220731296</v>
      </c>
      <c r="Q7377" t="str">
        <f t="shared" si="230"/>
        <v>25-34</v>
      </c>
      <c r="R7377" t="str">
        <f t="shared" si="231"/>
        <v>[TYnMSwzko3z]|25-34|Male|NEW_INFECTIONS_SUBNAT.T2|CY2025Q3</v>
      </c>
    </row>
    <row r="7378" spans="4:18" x14ac:dyDescent="0.2">
      <c r="D7378" t="s">
        <v>77</v>
      </c>
      <c r="E7378" t="s">
        <v>78</v>
      </c>
      <c r="F7378" t="s">
        <v>79</v>
      </c>
      <c r="G7378" t="s">
        <v>174</v>
      </c>
      <c r="H7378" t="s">
        <v>174</v>
      </c>
      <c r="I7378" t="s">
        <v>42</v>
      </c>
      <c r="J7378" t="s">
        <v>43</v>
      </c>
      <c r="K7378" t="s">
        <v>47</v>
      </c>
      <c r="L7378" t="s">
        <v>48</v>
      </c>
      <c r="M7378" t="s">
        <v>172</v>
      </c>
      <c r="N7378">
        <v>1018</v>
      </c>
      <c r="O7378" s="14">
        <v>0.59131363732740305</v>
      </c>
      <c r="P7378" s="14">
        <v>0.83159798220731296</v>
      </c>
      <c r="Q7378" t="str">
        <f t="shared" si="230"/>
        <v>35-49</v>
      </c>
      <c r="R7378" t="str">
        <f t="shared" si="231"/>
        <v>[TYnMSwzko3z]|35-49|Male|NEW_INFECTIONS_SUBNAT.T2|CY2025Q3</v>
      </c>
    </row>
    <row r="7379" spans="4:18" x14ac:dyDescent="0.2">
      <c r="D7379" t="s">
        <v>77</v>
      </c>
      <c r="E7379" t="s">
        <v>78</v>
      </c>
      <c r="F7379" t="s">
        <v>79</v>
      </c>
      <c r="G7379" t="s">
        <v>174</v>
      </c>
      <c r="H7379" t="s">
        <v>174</v>
      </c>
      <c r="I7379" t="s">
        <v>44</v>
      </c>
      <c r="J7379" t="s">
        <v>45</v>
      </c>
      <c r="K7379" t="s">
        <v>47</v>
      </c>
      <c r="L7379" t="s">
        <v>48</v>
      </c>
      <c r="M7379" t="s">
        <v>172</v>
      </c>
      <c r="N7379">
        <v>1445</v>
      </c>
      <c r="O7379" s="14">
        <v>0.242244586581364</v>
      </c>
      <c r="P7379" s="14">
        <v>0.83159798220731296</v>
      </c>
      <c r="Q7379" t="str">
        <f t="shared" si="230"/>
        <v>50+</v>
      </c>
      <c r="R7379" t="str">
        <f t="shared" si="231"/>
        <v>[TYnMSwzko3z]|50+|Male|NEW_INFECTIONS_SUBNAT.T2|CY2025Q3</v>
      </c>
    </row>
    <row r="7380" spans="4:18" x14ac:dyDescent="0.2">
      <c r="D7380" t="s">
        <v>80</v>
      </c>
      <c r="E7380" t="s">
        <v>81</v>
      </c>
      <c r="F7380" t="s">
        <v>82</v>
      </c>
      <c r="G7380" t="s">
        <v>174</v>
      </c>
      <c r="H7380" t="s">
        <v>174</v>
      </c>
      <c r="I7380" t="s">
        <v>27</v>
      </c>
      <c r="J7380" t="s">
        <v>28</v>
      </c>
      <c r="K7380" t="s">
        <v>29</v>
      </c>
      <c r="L7380" t="s">
        <v>30</v>
      </c>
      <c r="M7380" t="s">
        <v>172</v>
      </c>
      <c r="N7380">
        <v>603</v>
      </c>
      <c r="O7380" s="14">
        <v>0.55969579401425995</v>
      </c>
      <c r="P7380" s="14">
        <v>0.14333142153918699</v>
      </c>
      <c r="Q7380" t="str">
        <f t="shared" si="230"/>
        <v>&lt;01</v>
      </c>
      <c r="R7380" t="str">
        <f t="shared" si="231"/>
        <v>[ir8wuHHzoSs]|&lt;01|Female|NEW_INFECTIONS_SUBNAT.T2|CY2025Q3</v>
      </c>
    </row>
    <row r="7381" spans="4:18" x14ac:dyDescent="0.2">
      <c r="D7381" t="s">
        <v>80</v>
      </c>
      <c r="E7381" t="s">
        <v>81</v>
      </c>
      <c r="F7381" t="s">
        <v>82</v>
      </c>
      <c r="G7381" t="s">
        <v>174</v>
      </c>
      <c r="H7381" t="s">
        <v>174</v>
      </c>
      <c r="I7381" t="s">
        <v>32</v>
      </c>
      <c r="J7381" t="s">
        <v>33</v>
      </c>
      <c r="K7381" t="s">
        <v>29</v>
      </c>
      <c r="L7381" t="s">
        <v>30</v>
      </c>
      <c r="M7381" t="s">
        <v>172</v>
      </c>
      <c r="N7381">
        <v>639</v>
      </c>
      <c r="O7381" s="14">
        <v>0.33339785947464401</v>
      </c>
      <c r="P7381" s="14">
        <v>0.14333142153918699</v>
      </c>
      <c r="Q7381" t="str">
        <f t="shared" si="230"/>
        <v>01-09</v>
      </c>
      <c r="R7381" t="str">
        <f t="shared" si="231"/>
        <v>[ir8wuHHzoSs]|01-09|Female|NEW_INFECTIONS_SUBNAT.T2|CY2025Q3</v>
      </c>
    </row>
    <row r="7382" spans="4:18" x14ac:dyDescent="0.2">
      <c r="D7382" t="s">
        <v>80</v>
      </c>
      <c r="E7382" t="s">
        <v>81</v>
      </c>
      <c r="F7382" t="s">
        <v>82</v>
      </c>
      <c r="G7382" t="s">
        <v>174</v>
      </c>
      <c r="H7382" t="s">
        <v>174</v>
      </c>
      <c r="I7382" t="s">
        <v>35</v>
      </c>
      <c r="J7382" t="s">
        <v>36</v>
      </c>
      <c r="K7382" t="s">
        <v>29</v>
      </c>
      <c r="L7382" t="s">
        <v>30</v>
      </c>
      <c r="M7382" t="s">
        <v>172</v>
      </c>
      <c r="N7382">
        <v>654</v>
      </c>
      <c r="O7382" s="14">
        <v>0.85844326997175802</v>
      </c>
      <c r="P7382" s="14">
        <v>0.14333142153918699</v>
      </c>
      <c r="Q7382" t="str">
        <f t="shared" si="230"/>
        <v>10-14</v>
      </c>
      <c r="R7382" t="str">
        <f t="shared" si="231"/>
        <v>[ir8wuHHzoSs]|10-14|Female|NEW_INFECTIONS_SUBNAT.T2|CY2025Q3</v>
      </c>
    </row>
    <row r="7383" spans="4:18" x14ac:dyDescent="0.2">
      <c r="D7383" t="s">
        <v>80</v>
      </c>
      <c r="E7383" t="s">
        <v>81</v>
      </c>
      <c r="F7383" t="s">
        <v>82</v>
      </c>
      <c r="G7383" t="s">
        <v>174</v>
      </c>
      <c r="H7383" t="s">
        <v>174</v>
      </c>
      <c r="I7383" t="s">
        <v>37</v>
      </c>
      <c r="J7383" t="s">
        <v>38</v>
      </c>
      <c r="K7383" t="s">
        <v>29</v>
      </c>
      <c r="L7383" t="s">
        <v>30</v>
      </c>
      <c r="M7383" t="s">
        <v>172</v>
      </c>
      <c r="N7383">
        <v>858</v>
      </c>
      <c r="O7383" s="14">
        <v>0.43156273127533501</v>
      </c>
      <c r="P7383" s="14">
        <v>0.14333142153918699</v>
      </c>
      <c r="Q7383" t="str">
        <f t="shared" si="230"/>
        <v>15-24</v>
      </c>
      <c r="R7383" t="str">
        <f t="shared" si="231"/>
        <v>[ir8wuHHzoSs]|15-24|Female|NEW_INFECTIONS_SUBNAT.T2|CY2025Q3</v>
      </c>
    </row>
    <row r="7384" spans="4:18" x14ac:dyDescent="0.2">
      <c r="D7384" t="s">
        <v>80</v>
      </c>
      <c r="E7384" t="s">
        <v>81</v>
      </c>
      <c r="F7384" t="s">
        <v>82</v>
      </c>
      <c r="G7384" t="s">
        <v>174</v>
      </c>
      <c r="H7384" t="s">
        <v>174</v>
      </c>
      <c r="I7384" t="s">
        <v>40</v>
      </c>
      <c r="J7384" t="s">
        <v>41</v>
      </c>
      <c r="K7384" t="s">
        <v>29</v>
      </c>
      <c r="L7384" t="s">
        <v>30</v>
      </c>
      <c r="M7384" t="s">
        <v>172</v>
      </c>
      <c r="N7384">
        <v>1568</v>
      </c>
      <c r="O7384" s="14">
        <v>0.70716749248094901</v>
      </c>
      <c r="P7384" s="14">
        <v>0.14333142153918699</v>
      </c>
      <c r="Q7384" t="str">
        <f t="shared" si="230"/>
        <v>25-34</v>
      </c>
      <c r="R7384" t="str">
        <f t="shared" si="231"/>
        <v>[ir8wuHHzoSs]|25-34|Female|NEW_INFECTIONS_SUBNAT.T2|CY2025Q3</v>
      </c>
    </row>
    <row r="7385" spans="4:18" x14ac:dyDescent="0.2">
      <c r="D7385" t="s">
        <v>80</v>
      </c>
      <c r="E7385" t="s">
        <v>81</v>
      </c>
      <c r="F7385" t="s">
        <v>82</v>
      </c>
      <c r="G7385" t="s">
        <v>174</v>
      </c>
      <c r="H7385" t="s">
        <v>174</v>
      </c>
      <c r="I7385" t="s">
        <v>42</v>
      </c>
      <c r="J7385" t="s">
        <v>43</v>
      </c>
      <c r="K7385" t="s">
        <v>29</v>
      </c>
      <c r="L7385" t="s">
        <v>30</v>
      </c>
      <c r="M7385" t="s">
        <v>172</v>
      </c>
      <c r="N7385">
        <v>1607</v>
      </c>
      <c r="O7385" s="14">
        <v>7.0663914084434498E-4</v>
      </c>
      <c r="P7385" s="14">
        <v>0.14333142153918699</v>
      </c>
      <c r="Q7385" t="str">
        <f t="shared" si="230"/>
        <v>35-49</v>
      </c>
      <c r="R7385" t="str">
        <f t="shared" si="231"/>
        <v>[ir8wuHHzoSs]|35-49|Female|NEW_INFECTIONS_SUBNAT.T2|CY2025Q3</v>
      </c>
    </row>
    <row r="7386" spans="4:18" x14ac:dyDescent="0.2">
      <c r="D7386" t="s">
        <v>80</v>
      </c>
      <c r="E7386" t="s">
        <v>81</v>
      </c>
      <c r="F7386" t="s">
        <v>82</v>
      </c>
      <c r="G7386" t="s">
        <v>174</v>
      </c>
      <c r="H7386" t="s">
        <v>174</v>
      </c>
      <c r="I7386" t="s">
        <v>44</v>
      </c>
      <c r="J7386" t="s">
        <v>45</v>
      </c>
      <c r="K7386" t="s">
        <v>29</v>
      </c>
      <c r="L7386" t="s">
        <v>30</v>
      </c>
      <c r="M7386" t="s">
        <v>172</v>
      </c>
      <c r="N7386">
        <v>1574</v>
      </c>
      <c r="O7386" s="14">
        <v>0.79083096282556697</v>
      </c>
      <c r="P7386" s="14">
        <v>0.14333142153918699</v>
      </c>
      <c r="Q7386" t="str">
        <f t="shared" si="230"/>
        <v>50+</v>
      </c>
      <c r="R7386" t="str">
        <f t="shared" si="231"/>
        <v>[ir8wuHHzoSs]|50+|Female|NEW_INFECTIONS_SUBNAT.T2|CY2025Q3</v>
      </c>
    </row>
    <row r="7387" spans="4:18" x14ac:dyDescent="0.2">
      <c r="D7387" t="s">
        <v>80</v>
      </c>
      <c r="E7387" t="s">
        <v>81</v>
      </c>
      <c r="F7387" t="s">
        <v>82</v>
      </c>
      <c r="G7387" t="s">
        <v>174</v>
      </c>
      <c r="H7387" t="s">
        <v>174</v>
      </c>
      <c r="I7387" t="s">
        <v>27</v>
      </c>
      <c r="J7387" t="s">
        <v>28</v>
      </c>
      <c r="K7387" t="s">
        <v>47</v>
      </c>
      <c r="L7387" t="s">
        <v>48</v>
      </c>
      <c r="M7387" t="s">
        <v>172</v>
      </c>
      <c r="N7387">
        <v>1305</v>
      </c>
      <c r="O7387" s="14">
        <v>0.92717835935764004</v>
      </c>
      <c r="P7387" s="14">
        <v>0.14333142153918699</v>
      </c>
      <c r="Q7387" t="str">
        <f t="shared" si="230"/>
        <v>&lt;01</v>
      </c>
      <c r="R7387" t="str">
        <f t="shared" si="231"/>
        <v>[ir8wuHHzoSs]|&lt;01|Male|NEW_INFECTIONS_SUBNAT.T2|CY2025Q3</v>
      </c>
    </row>
    <row r="7388" spans="4:18" x14ac:dyDescent="0.2">
      <c r="D7388" t="s">
        <v>80</v>
      </c>
      <c r="E7388" t="s">
        <v>81</v>
      </c>
      <c r="F7388" t="s">
        <v>82</v>
      </c>
      <c r="G7388" t="s">
        <v>174</v>
      </c>
      <c r="H7388" t="s">
        <v>174</v>
      </c>
      <c r="I7388" t="s">
        <v>32</v>
      </c>
      <c r="J7388" t="s">
        <v>33</v>
      </c>
      <c r="K7388" t="s">
        <v>47</v>
      </c>
      <c r="L7388" t="s">
        <v>48</v>
      </c>
      <c r="M7388" t="s">
        <v>172</v>
      </c>
      <c r="N7388">
        <v>1991</v>
      </c>
      <c r="O7388" s="14">
        <v>0.56879188260063496</v>
      </c>
      <c r="P7388" s="14">
        <v>0.14333142153918699</v>
      </c>
      <c r="Q7388" t="str">
        <f t="shared" si="230"/>
        <v>01-09</v>
      </c>
      <c r="R7388" t="str">
        <f t="shared" si="231"/>
        <v>[ir8wuHHzoSs]|01-09|Male|NEW_INFECTIONS_SUBNAT.T2|CY2025Q3</v>
      </c>
    </row>
    <row r="7389" spans="4:18" x14ac:dyDescent="0.2">
      <c r="D7389" t="s">
        <v>80</v>
      </c>
      <c r="E7389" t="s">
        <v>81</v>
      </c>
      <c r="F7389" t="s">
        <v>82</v>
      </c>
      <c r="G7389" t="s">
        <v>174</v>
      </c>
      <c r="H7389" t="s">
        <v>174</v>
      </c>
      <c r="I7389" t="s">
        <v>35</v>
      </c>
      <c r="J7389" t="s">
        <v>36</v>
      </c>
      <c r="K7389" t="s">
        <v>47</v>
      </c>
      <c r="L7389" t="s">
        <v>48</v>
      </c>
      <c r="M7389" t="s">
        <v>172</v>
      </c>
      <c r="N7389">
        <v>769</v>
      </c>
      <c r="O7389" s="14">
        <v>0.10346560832113</v>
      </c>
      <c r="P7389" s="14">
        <v>0.14333142153918699</v>
      </c>
      <c r="Q7389" t="str">
        <f t="shared" si="230"/>
        <v>10-14</v>
      </c>
      <c r="R7389" t="str">
        <f t="shared" si="231"/>
        <v>[ir8wuHHzoSs]|10-14|Male|NEW_INFECTIONS_SUBNAT.T2|CY2025Q3</v>
      </c>
    </row>
    <row r="7390" spans="4:18" x14ac:dyDescent="0.2">
      <c r="D7390" t="s">
        <v>80</v>
      </c>
      <c r="E7390" t="s">
        <v>81</v>
      </c>
      <c r="F7390" t="s">
        <v>82</v>
      </c>
      <c r="G7390" t="s">
        <v>174</v>
      </c>
      <c r="H7390" t="s">
        <v>174</v>
      </c>
      <c r="I7390" t="s">
        <v>37</v>
      </c>
      <c r="J7390" t="s">
        <v>38</v>
      </c>
      <c r="K7390" t="s">
        <v>47</v>
      </c>
      <c r="L7390" t="s">
        <v>48</v>
      </c>
      <c r="M7390" t="s">
        <v>172</v>
      </c>
      <c r="N7390">
        <v>704</v>
      </c>
      <c r="O7390" s="14">
        <v>0.417480304604396</v>
      </c>
      <c r="P7390" s="14">
        <v>0.14333142153918699</v>
      </c>
      <c r="Q7390" t="str">
        <f t="shared" si="230"/>
        <v>15-24</v>
      </c>
      <c r="R7390" t="str">
        <f t="shared" si="231"/>
        <v>[ir8wuHHzoSs]|15-24|Male|NEW_INFECTIONS_SUBNAT.T2|CY2025Q3</v>
      </c>
    </row>
    <row r="7391" spans="4:18" x14ac:dyDescent="0.2">
      <c r="D7391" t="s">
        <v>80</v>
      </c>
      <c r="E7391" t="s">
        <v>81</v>
      </c>
      <c r="F7391" t="s">
        <v>82</v>
      </c>
      <c r="G7391" t="s">
        <v>174</v>
      </c>
      <c r="H7391" t="s">
        <v>174</v>
      </c>
      <c r="I7391" t="s">
        <v>40</v>
      </c>
      <c r="J7391" t="s">
        <v>41</v>
      </c>
      <c r="K7391" t="s">
        <v>47</v>
      </c>
      <c r="L7391" t="s">
        <v>48</v>
      </c>
      <c r="M7391" t="s">
        <v>172</v>
      </c>
      <c r="N7391">
        <v>1035</v>
      </c>
      <c r="O7391" s="14">
        <v>3.08526845183223E-2</v>
      </c>
      <c r="P7391" s="14">
        <v>0.14333142153918699</v>
      </c>
      <c r="Q7391" t="str">
        <f t="shared" si="230"/>
        <v>25-34</v>
      </c>
      <c r="R7391" t="str">
        <f t="shared" si="231"/>
        <v>[ir8wuHHzoSs]|25-34|Male|NEW_INFECTIONS_SUBNAT.T2|CY2025Q3</v>
      </c>
    </row>
    <row r="7392" spans="4:18" x14ac:dyDescent="0.2">
      <c r="D7392" t="s">
        <v>80</v>
      </c>
      <c r="E7392" t="s">
        <v>81</v>
      </c>
      <c r="F7392" t="s">
        <v>82</v>
      </c>
      <c r="G7392" t="s">
        <v>174</v>
      </c>
      <c r="H7392" t="s">
        <v>174</v>
      </c>
      <c r="I7392" t="s">
        <v>42</v>
      </c>
      <c r="J7392" t="s">
        <v>43</v>
      </c>
      <c r="K7392" t="s">
        <v>47</v>
      </c>
      <c r="L7392" t="s">
        <v>48</v>
      </c>
      <c r="M7392" t="s">
        <v>172</v>
      </c>
      <c r="N7392">
        <v>802</v>
      </c>
      <c r="O7392" s="14">
        <v>4.5319283381104504E-3</v>
      </c>
      <c r="P7392" s="14">
        <v>0.14333142153918699</v>
      </c>
      <c r="Q7392" t="str">
        <f t="shared" si="230"/>
        <v>35-49</v>
      </c>
      <c r="R7392" t="str">
        <f t="shared" si="231"/>
        <v>[ir8wuHHzoSs]|35-49|Male|NEW_INFECTIONS_SUBNAT.T2|CY2025Q3</v>
      </c>
    </row>
    <row r="7393" spans="4:18" x14ac:dyDescent="0.2">
      <c r="D7393" t="s">
        <v>80</v>
      </c>
      <c r="E7393" t="s">
        <v>81</v>
      </c>
      <c r="F7393" t="s">
        <v>82</v>
      </c>
      <c r="G7393" t="s">
        <v>174</v>
      </c>
      <c r="H7393" t="s">
        <v>174</v>
      </c>
      <c r="I7393" t="s">
        <v>44</v>
      </c>
      <c r="J7393" t="s">
        <v>45</v>
      </c>
      <c r="K7393" t="s">
        <v>47</v>
      </c>
      <c r="L7393" t="s">
        <v>48</v>
      </c>
      <c r="M7393" t="s">
        <v>172</v>
      </c>
      <c r="N7393">
        <v>951</v>
      </c>
      <c r="O7393" s="14">
        <v>0.69621172710321799</v>
      </c>
      <c r="P7393" s="14">
        <v>0.14333142153918699</v>
      </c>
      <c r="Q7393" t="str">
        <f t="shared" si="230"/>
        <v>50+</v>
      </c>
      <c r="R7393" t="str">
        <f t="shared" si="231"/>
        <v>[ir8wuHHzoSs]|50+|Male|NEW_INFECTIONS_SUBNAT.T2|CY2025Q3</v>
      </c>
    </row>
    <row r="7394" spans="4:18" x14ac:dyDescent="0.2">
      <c r="D7394" t="s">
        <v>83</v>
      </c>
      <c r="E7394" t="s">
        <v>84</v>
      </c>
      <c r="F7394" t="s">
        <v>85</v>
      </c>
      <c r="G7394" t="s">
        <v>174</v>
      </c>
      <c r="H7394" t="s">
        <v>174</v>
      </c>
      <c r="I7394" t="s">
        <v>27</v>
      </c>
      <c r="J7394" t="s">
        <v>28</v>
      </c>
      <c r="K7394" t="s">
        <v>29</v>
      </c>
      <c r="L7394" t="s">
        <v>30</v>
      </c>
      <c r="M7394" t="s">
        <v>172</v>
      </c>
      <c r="N7394">
        <v>1966</v>
      </c>
      <c r="O7394" s="14">
        <v>0.63347239932045296</v>
      </c>
      <c r="P7394" s="14">
        <v>2.9788714367896301E-2</v>
      </c>
      <c r="Q7394" t="str">
        <f t="shared" si="230"/>
        <v>&lt;01</v>
      </c>
      <c r="R7394" t="str">
        <f t="shared" si="231"/>
        <v>[fyEoGEPERdI]|&lt;01|Female|NEW_INFECTIONS_SUBNAT.T2|CY2025Q3</v>
      </c>
    </row>
    <row r="7395" spans="4:18" x14ac:dyDescent="0.2">
      <c r="D7395" t="s">
        <v>83</v>
      </c>
      <c r="E7395" t="s">
        <v>84</v>
      </c>
      <c r="F7395" t="s">
        <v>85</v>
      </c>
      <c r="G7395" t="s">
        <v>174</v>
      </c>
      <c r="H7395" t="s">
        <v>174</v>
      </c>
      <c r="I7395" t="s">
        <v>32</v>
      </c>
      <c r="J7395" t="s">
        <v>33</v>
      </c>
      <c r="K7395" t="s">
        <v>29</v>
      </c>
      <c r="L7395" t="s">
        <v>30</v>
      </c>
      <c r="M7395" t="s">
        <v>172</v>
      </c>
      <c r="N7395">
        <v>1737</v>
      </c>
      <c r="O7395" s="14">
        <v>0.98154816334135797</v>
      </c>
      <c r="P7395" s="14">
        <v>2.9788714367896301E-2</v>
      </c>
      <c r="Q7395" t="str">
        <f t="shared" si="230"/>
        <v>01-09</v>
      </c>
      <c r="R7395" t="str">
        <f t="shared" si="231"/>
        <v>[fyEoGEPERdI]|01-09|Female|NEW_INFECTIONS_SUBNAT.T2|CY2025Q3</v>
      </c>
    </row>
    <row r="7396" spans="4:18" x14ac:dyDescent="0.2">
      <c r="D7396" t="s">
        <v>83</v>
      </c>
      <c r="E7396" t="s">
        <v>84</v>
      </c>
      <c r="F7396" t="s">
        <v>85</v>
      </c>
      <c r="G7396" t="s">
        <v>174</v>
      </c>
      <c r="H7396" t="s">
        <v>174</v>
      </c>
      <c r="I7396" t="s">
        <v>35</v>
      </c>
      <c r="J7396" t="s">
        <v>36</v>
      </c>
      <c r="K7396" t="s">
        <v>29</v>
      </c>
      <c r="L7396" t="s">
        <v>30</v>
      </c>
      <c r="M7396" t="s">
        <v>172</v>
      </c>
      <c r="N7396">
        <v>1054</v>
      </c>
      <c r="O7396" s="14">
        <v>7.6224757824093103E-2</v>
      </c>
      <c r="P7396" s="14">
        <v>2.9788714367896301E-2</v>
      </c>
      <c r="Q7396" t="str">
        <f t="shared" si="230"/>
        <v>10-14</v>
      </c>
      <c r="R7396" t="str">
        <f t="shared" si="231"/>
        <v>[fyEoGEPERdI]|10-14|Female|NEW_INFECTIONS_SUBNAT.T2|CY2025Q3</v>
      </c>
    </row>
    <row r="7397" spans="4:18" x14ac:dyDescent="0.2">
      <c r="D7397" t="s">
        <v>83</v>
      </c>
      <c r="E7397" t="s">
        <v>84</v>
      </c>
      <c r="F7397" t="s">
        <v>85</v>
      </c>
      <c r="G7397" t="s">
        <v>174</v>
      </c>
      <c r="H7397" t="s">
        <v>174</v>
      </c>
      <c r="I7397" t="s">
        <v>37</v>
      </c>
      <c r="J7397" t="s">
        <v>38</v>
      </c>
      <c r="K7397" t="s">
        <v>29</v>
      </c>
      <c r="L7397" t="s">
        <v>30</v>
      </c>
      <c r="M7397" t="s">
        <v>172</v>
      </c>
      <c r="N7397">
        <v>810</v>
      </c>
      <c r="O7397" s="14">
        <v>0.93913053115829803</v>
      </c>
      <c r="P7397" s="14">
        <v>2.9788714367896301E-2</v>
      </c>
      <c r="Q7397" t="str">
        <f t="shared" si="230"/>
        <v>15-24</v>
      </c>
      <c r="R7397" t="str">
        <f t="shared" si="231"/>
        <v>[fyEoGEPERdI]|15-24|Female|NEW_INFECTIONS_SUBNAT.T2|CY2025Q3</v>
      </c>
    </row>
    <row r="7398" spans="4:18" x14ac:dyDescent="0.2">
      <c r="D7398" t="s">
        <v>83</v>
      </c>
      <c r="E7398" t="s">
        <v>84</v>
      </c>
      <c r="F7398" t="s">
        <v>85</v>
      </c>
      <c r="G7398" t="s">
        <v>174</v>
      </c>
      <c r="H7398" t="s">
        <v>174</v>
      </c>
      <c r="I7398" t="s">
        <v>40</v>
      </c>
      <c r="J7398" t="s">
        <v>41</v>
      </c>
      <c r="K7398" t="s">
        <v>29</v>
      </c>
      <c r="L7398" t="s">
        <v>30</v>
      </c>
      <c r="M7398" t="s">
        <v>172</v>
      </c>
      <c r="N7398">
        <v>1382</v>
      </c>
      <c r="O7398" s="14">
        <v>0.57586236321367301</v>
      </c>
      <c r="P7398" s="14">
        <v>2.9788714367896301E-2</v>
      </c>
      <c r="Q7398" t="str">
        <f t="shared" si="230"/>
        <v>25-34</v>
      </c>
      <c r="R7398" t="str">
        <f t="shared" si="231"/>
        <v>[fyEoGEPERdI]|25-34|Female|NEW_INFECTIONS_SUBNAT.T2|CY2025Q3</v>
      </c>
    </row>
    <row r="7399" spans="4:18" x14ac:dyDescent="0.2">
      <c r="D7399" t="s">
        <v>83</v>
      </c>
      <c r="E7399" t="s">
        <v>84</v>
      </c>
      <c r="F7399" t="s">
        <v>85</v>
      </c>
      <c r="G7399" t="s">
        <v>174</v>
      </c>
      <c r="H7399" t="s">
        <v>174</v>
      </c>
      <c r="I7399" t="s">
        <v>42</v>
      </c>
      <c r="J7399" t="s">
        <v>43</v>
      </c>
      <c r="K7399" t="s">
        <v>29</v>
      </c>
      <c r="L7399" t="s">
        <v>30</v>
      </c>
      <c r="M7399" t="s">
        <v>172</v>
      </c>
      <c r="N7399">
        <v>996</v>
      </c>
      <c r="O7399" s="14">
        <v>0.68224026774987601</v>
      </c>
      <c r="P7399" s="14">
        <v>2.9788714367896301E-2</v>
      </c>
      <c r="Q7399" t="str">
        <f t="shared" si="230"/>
        <v>35-49</v>
      </c>
      <c r="R7399" t="str">
        <f t="shared" si="231"/>
        <v>[fyEoGEPERdI]|35-49|Female|NEW_INFECTIONS_SUBNAT.T2|CY2025Q3</v>
      </c>
    </row>
    <row r="7400" spans="4:18" x14ac:dyDescent="0.2">
      <c r="D7400" t="s">
        <v>83</v>
      </c>
      <c r="E7400" t="s">
        <v>84</v>
      </c>
      <c r="F7400" t="s">
        <v>85</v>
      </c>
      <c r="G7400" t="s">
        <v>174</v>
      </c>
      <c r="H7400" t="s">
        <v>174</v>
      </c>
      <c r="I7400" t="s">
        <v>44</v>
      </c>
      <c r="J7400" t="s">
        <v>45</v>
      </c>
      <c r="K7400" t="s">
        <v>29</v>
      </c>
      <c r="L7400" t="s">
        <v>30</v>
      </c>
      <c r="M7400" t="s">
        <v>172</v>
      </c>
      <c r="N7400">
        <v>1667</v>
      </c>
      <c r="O7400" s="14">
        <v>0.14217672240920401</v>
      </c>
      <c r="P7400" s="14">
        <v>2.9788714367896301E-2</v>
      </c>
      <c r="Q7400" t="str">
        <f t="shared" si="230"/>
        <v>50+</v>
      </c>
      <c r="R7400" t="str">
        <f t="shared" si="231"/>
        <v>[fyEoGEPERdI]|50+|Female|NEW_INFECTIONS_SUBNAT.T2|CY2025Q3</v>
      </c>
    </row>
    <row r="7401" spans="4:18" x14ac:dyDescent="0.2">
      <c r="D7401" t="s">
        <v>83</v>
      </c>
      <c r="E7401" t="s">
        <v>84</v>
      </c>
      <c r="F7401" t="s">
        <v>85</v>
      </c>
      <c r="G7401" t="s">
        <v>174</v>
      </c>
      <c r="H7401" t="s">
        <v>174</v>
      </c>
      <c r="I7401" t="s">
        <v>27</v>
      </c>
      <c r="J7401" t="s">
        <v>28</v>
      </c>
      <c r="K7401" t="s">
        <v>47</v>
      </c>
      <c r="L7401" t="s">
        <v>48</v>
      </c>
      <c r="M7401" t="s">
        <v>172</v>
      </c>
      <c r="N7401">
        <v>1982</v>
      </c>
      <c r="O7401" s="14">
        <v>4.6485365368425798E-2</v>
      </c>
      <c r="P7401" s="14">
        <v>2.9788714367896301E-2</v>
      </c>
      <c r="Q7401" t="str">
        <f t="shared" si="230"/>
        <v>&lt;01</v>
      </c>
      <c r="R7401" t="str">
        <f t="shared" si="231"/>
        <v>[fyEoGEPERdI]|&lt;01|Male|NEW_INFECTIONS_SUBNAT.T2|CY2025Q3</v>
      </c>
    </row>
    <row r="7402" spans="4:18" x14ac:dyDescent="0.2">
      <c r="D7402" t="s">
        <v>83</v>
      </c>
      <c r="E7402" t="s">
        <v>84</v>
      </c>
      <c r="F7402" t="s">
        <v>85</v>
      </c>
      <c r="G7402" t="s">
        <v>174</v>
      </c>
      <c r="H7402" t="s">
        <v>174</v>
      </c>
      <c r="I7402" t="s">
        <v>32</v>
      </c>
      <c r="J7402" t="s">
        <v>33</v>
      </c>
      <c r="K7402" t="s">
        <v>47</v>
      </c>
      <c r="L7402" t="s">
        <v>48</v>
      </c>
      <c r="M7402" t="s">
        <v>172</v>
      </c>
      <c r="N7402">
        <v>1623</v>
      </c>
      <c r="O7402" s="14">
        <v>0.819022193318233</v>
      </c>
      <c r="P7402" s="14">
        <v>2.9788714367896301E-2</v>
      </c>
      <c r="Q7402" t="str">
        <f t="shared" si="230"/>
        <v>01-09</v>
      </c>
      <c r="R7402" t="str">
        <f t="shared" si="231"/>
        <v>[fyEoGEPERdI]|01-09|Male|NEW_INFECTIONS_SUBNAT.T2|CY2025Q3</v>
      </c>
    </row>
    <row r="7403" spans="4:18" x14ac:dyDescent="0.2">
      <c r="D7403" t="s">
        <v>83</v>
      </c>
      <c r="E7403" t="s">
        <v>84</v>
      </c>
      <c r="F7403" t="s">
        <v>85</v>
      </c>
      <c r="G7403" t="s">
        <v>174</v>
      </c>
      <c r="H7403" t="s">
        <v>174</v>
      </c>
      <c r="I7403" t="s">
        <v>35</v>
      </c>
      <c r="J7403" t="s">
        <v>36</v>
      </c>
      <c r="K7403" t="s">
        <v>47</v>
      </c>
      <c r="L7403" t="s">
        <v>48</v>
      </c>
      <c r="M7403" t="s">
        <v>172</v>
      </c>
      <c r="N7403">
        <v>617</v>
      </c>
      <c r="O7403" s="14">
        <v>0.323045158758759</v>
      </c>
      <c r="P7403" s="14">
        <v>2.9788714367896301E-2</v>
      </c>
      <c r="Q7403" t="str">
        <f t="shared" si="230"/>
        <v>10-14</v>
      </c>
      <c r="R7403" t="str">
        <f t="shared" si="231"/>
        <v>[fyEoGEPERdI]|10-14|Male|NEW_INFECTIONS_SUBNAT.T2|CY2025Q3</v>
      </c>
    </row>
    <row r="7404" spans="4:18" x14ac:dyDescent="0.2">
      <c r="D7404" t="s">
        <v>83</v>
      </c>
      <c r="E7404" t="s">
        <v>84</v>
      </c>
      <c r="F7404" t="s">
        <v>85</v>
      </c>
      <c r="G7404" t="s">
        <v>174</v>
      </c>
      <c r="H7404" t="s">
        <v>174</v>
      </c>
      <c r="I7404" t="s">
        <v>37</v>
      </c>
      <c r="J7404" t="s">
        <v>38</v>
      </c>
      <c r="K7404" t="s">
        <v>47</v>
      </c>
      <c r="L7404" t="s">
        <v>48</v>
      </c>
      <c r="M7404" t="s">
        <v>172</v>
      </c>
      <c r="N7404">
        <v>1087</v>
      </c>
      <c r="O7404" s="14">
        <v>0.150123093742877</v>
      </c>
      <c r="P7404" s="14">
        <v>2.9788714367896301E-2</v>
      </c>
      <c r="Q7404" t="str">
        <f t="shared" si="230"/>
        <v>15-24</v>
      </c>
      <c r="R7404" t="str">
        <f t="shared" si="231"/>
        <v>[fyEoGEPERdI]|15-24|Male|NEW_INFECTIONS_SUBNAT.T2|CY2025Q3</v>
      </c>
    </row>
    <row r="7405" spans="4:18" x14ac:dyDescent="0.2">
      <c r="D7405" t="s">
        <v>83</v>
      </c>
      <c r="E7405" t="s">
        <v>84</v>
      </c>
      <c r="F7405" t="s">
        <v>85</v>
      </c>
      <c r="G7405" t="s">
        <v>174</v>
      </c>
      <c r="H7405" t="s">
        <v>174</v>
      </c>
      <c r="I7405" t="s">
        <v>40</v>
      </c>
      <c r="J7405" t="s">
        <v>41</v>
      </c>
      <c r="K7405" t="s">
        <v>47</v>
      </c>
      <c r="L7405" t="s">
        <v>48</v>
      </c>
      <c r="M7405" t="s">
        <v>172</v>
      </c>
      <c r="N7405">
        <v>1611</v>
      </c>
      <c r="O7405" s="14">
        <v>0.60923719778657004</v>
      </c>
      <c r="P7405" s="14">
        <v>2.9788714367896301E-2</v>
      </c>
      <c r="Q7405" t="str">
        <f t="shared" si="230"/>
        <v>25-34</v>
      </c>
      <c r="R7405" t="str">
        <f t="shared" si="231"/>
        <v>[fyEoGEPERdI]|25-34|Male|NEW_INFECTIONS_SUBNAT.T2|CY2025Q3</v>
      </c>
    </row>
    <row r="7406" spans="4:18" x14ac:dyDescent="0.2">
      <c r="D7406" t="s">
        <v>83</v>
      </c>
      <c r="E7406" t="s">
        <v>84</v>
      </c>
      <c r="F7406" t="s">
        <v>85</v>
      </c>
      <c r="G7406" t="s">
        <v>174</v>
      </c>
      <c r="H7406" t="s">
        <v>174</v>
      </c>
      <c r="I7406" t="s">
        <v>42</v>
      </c>
      <c r="J7406" t="s">
        <v>43</v>
      </c>
      <c r="K7406" t="s">
        <v>47</v>
      </c>
      <c r="L7406" t="s">
        <v>48</v>
      </c>
      <c r="M7406" t="s">
        <v>172</v>
      </c>
      <c r="N7406">
        <v>906</v>
      </c>
      <c r="O7406" s="14">
        <v>8.7981043616309804E-2</v>
      </c>
      <c r="P7406" s="14">
        <v>2.9788714367896301E-2</v>
      </c>
      <c r="Q7406" t="str">
        <f t="shared" si="230"/>
        <v>35-49</v>
      </c>
      <c r="R7406" t="str">
        <f t="shared" si="231"/>
        <v>[fyEoGEPERdI]|35-49|Male|NEW_INFECTIONS_SUBNAT.T2|CY2025Q3</v>
      </c>
    </row>
    <row r="7407" spans="4:18" x14ac:dyDescent="0.2">
      <c r="D7407" t="s">
        <v>83</v>
      </c>
      <c r="E7407" t="s">
        <v>84</v>
      </c>
      <c r="F7407" t="s">
        <v>85</v>
      </c>
      <c r="G7407" t="s">
        <v>174</v>
      </c>
      <c r="H7407" t="s">
        <v>174</v>
      </c>
      <c r="I7407" t="s">
        <v>44</v>
      </c>
      <c r="J7407" t="s">
        <v>45</v>
      </c>
      <c r="K7407" t="s">
        <v>47</v>
      </c>
      <c r="L7407" t="s">
        <v>48</v>
      </c>
      <c r="M7407" t="s">
        <v>172</v>
      </c>
      <c r="N7407">
        <v>807</v>
      </c>
      <c r="O7407" s="14">
        <v>0.344290491193533</v>
      </c>
      <c r="P7407" s="14">
        <v>2.9788714367896301E-2</v>
      </c>
      <c r="Q7407" t="str">
        <f t="shared" si="230"/>
        <v>50+</v>
      </c>
      <c r="R7407" t="str">
        <f t="shared" si="231"/>
        <v>[fyEoGEPERdI]|50+|Male|NEW_INFECTIONS_SUBNAT.T2|CY2025Q3</v>
      </c>
    </row>
    <row r="7408" spans="4:18" x14ac:dyDescent="0.2">
      <c r="D7408" t="s">
        <v>86</v>
      </c>
      <c r="E7408" t="s">
        <v>87</v>
      </c>
      <c r="F7408" t="s">
        <v>88</v>
      </c>
      <c r="G7408" t="s">
        <v>174</v>
      </c>
      <c r="H7408" t="s">
        <v>174</v>
      </c>
      <c r="I7408" t="s">
        <v>27</v>
      </c>
      <c r="J7408" t="s">
        <v>28</v>
      </c>
      <c r="K7408" t="s">
        <v>29</v>
      </c>
      <c r="L7408" t="s">
        <v>30</v>
      </c>
      <c r="M7408" t="s">
        <v>172</v>
      </c>
      <c r="N7408">
        <v>1746</v>
      </c>
      <c r="O7408" s="14">
        <v>0.55232945899479102</v>
      </c>
      <c r="P7408" s="14">
        <v>0.13333638082258401</v>
      </c>
      <c r="Q7408" t="str">
        <f t="shared" si="230"/>
        <v>&lt;01</v>
      </c>
      <c r="R7408" t="str">
        <f t="shared" si="231"/>
        <v>[cPtvxaZqXIH]|&lt;01|Female|NEW_INFECTIONS_SUBNAT.T2|CY2025Q3</v>
      </c>
    </row>
    <row r="7409" spans="4:18" x14ac:dyDescent="0.2">
      <c r="D7409" t="s">
        <v>86</v>
      </c>
      <c r="E7409" t="s">
        <v>87</v>
      </c>
      <c r="F7409" t="s">
        <v>88</v>
      </c>
      <c r="G7409" t="s">
        <v>174</v>
      </c>
      <c r="H7409" t="s">
        <v>174</v>
      </c>
      <c r="I7409" t="s">
        <v>32</v>
      </c>
      <c r="J7409" t="s">
        <v>33</v>
      </c>
      <c r="K7409" t="s">
        <v>29</v>
      </c>
      <c r="L7409" t="s">
        <v>30</v>
      </c>
      <c r="M7409" t="s">
        <v>172</v>
      </c>
      <c r="N7409">
        <v>1425</v>
      </c>
      <c r="O7409" s="14">
        <v>0.99676239141263101</v>
      </c>
      <c r="P7409" s="14">
        <v>0.13333638082258401</v>
      </c>
      <c r="Q7409" t="str">
        <f t="shared" si="230"/>
        <v>01-09</v>
      </c>
      <c r="R7409" t="str">
        <f t="shared" si="231"/>
        <v>[cPtvxaZqXIH]|01-09|Female|NEW_INFECTIONS_SUBNAT.T2|CY2025Q3</v>
      </c>
    </row>
    <row r="7410" spans="4:18" x14ac:dyDescent="0.2">
      <c r="D7410" t="s">
        <v>86</v>
      </c>
      <c r="E7410" t="s">
        <v>87</v>
      </c>
      <c r="F7410" t="s">
        <v>88</v>
      </c>
      <c r="G7410" t="s">
        <v>174</v>
      </c>
      <c r="H7410" t="s">
        <v>174</v>
      </c>
      <c r="I7410" t="s">
        <v>35</v>
      </c>
      <c r="J7410" t="s">
        <v>36</v>
      </c>
      <c r="K7410" t="s">
        <v>29</v>
      </c>
      <c r="L7410" t="s">
        <v>30</v>
      </c>
      <c r="M7410" t="s">
        <v>172</v>
      </c>
      <c r="N7410">
        <v>1281</v>
      </c>
      <c r="O7410" s="14">
        <v>0.79729314590804301</v>
      </c>
      <c r="P7410" s="14">
        <v>0.13333638082258401</v>
      </c>
      <c r="Q7410" t="str">
        <f t="shared" si="230"/>
        <v>10-14</v>
      </c>
      <c r="R7410" t="str">
        <f t="shared" si="231"/>
        <v>[cPtvxaZqXIH]|10-14|Female|NEW_INFECTIONS_SUBNAT.T2|CY2025Q3</v>
      </c>
    </row>
    <row r="7411" spans="4:18" x14ac:dyDescent="0.2">
      <c r="D7411" t="s">
        <v>86</v>
      </c>
      <c r="E7411" t="s">
        <v>87</v>
      </c>
      <c r="F7411" t="s">
        <v>88</v>
      </c>
      <c r="G7411" t="s">
        <v>174</v>
      </c>
      <c r="H7411" t="s">
        <v>174</v>
      </c>
      <c r="I7411" t="s">
        <v>37</v>
      </c>
      <c r="J7411" t="s">
        <v>38</v>
      </c>
      <c r="K7411" t="s">
        <v>29</v>
      </c>
      <c r="L7411" t="s">
        <v>30</v>
      </c>
      <c r="M7411" t="s">
        <v>172</v>
      </c>
      <c r="N7411">
        <v>1271</v>
      </c>
      <c r="O7411" s="14">
        <v>0.83620580821298096</v>
      </c>
      <c r="P7411" s="14">
        <v>0.13333638082258401</v>
      </c>
      <c r="Q7411" t="str">
        <f t="shared" si="230"/>
        <v>15-24</v>
      </c>
      <c r="R7411" t="str">
        <f t="shared" si="231"/>
        <v>[cPtvxaZqXIH]|15-24|Female|NEW_INFECTIONS_SUBNAT.T2|CY2025Q3</v>
      </c>
    </row>
    <row r="7412" spans="4:18" x14ac:dyDescent="0.2">
      <c r="D7412" t="s">
        <v>86</v>
      </c>
      <c r="E7412" t="s">
        <v>87</v>
      </c>
      <c r="F7412" t="s">
        <v>88</v>
      </c>
      <c r="G7412" t="s">
        <v>174</v>
      </c>
      <c r="H7412" t="s">
        <v>174</v>
      </c>
      <c r="I7412" t="s">
        <v>40</v>
      </c>
      <c r="J7412" t="s">
        <v>41</v>
      </c>
      <c r="K7412" t="s">
        <v>29</v>
      </c>
      <c r="L7412" t="s">
        <v>30</v>
      </c>
      <c r="M7412" t="s">
        <v>172</v>
      </c>
      <c r="N7412">
        <v>1394</v>
      </c>
      <c r="O7412" s="14">
        <v>0.34834793885238502</v>
      </c>
      <c r="P7412" s="14">
        <v>0.13333638082258401</v>
      </c>
      <c r="Q7412" t="str">
        <f t="shared" si="230"/>
        <v>25-34</v>
      </c>
      <c r="R7412" t="str">
        <f t="shared" si="231"/>
        <v>[cPtvxaZqXIH]|25-34|Female|NEW_INFECTIONS_SUBNAT.T2|CY2025Q3</v>
      </c>
    </row>
    <row r="7413" spans="4:18" x14ac:dyDescent="0.2">
      <c r="D7413" t="s">
        <v>86</v>
      </c>
      <c r="E7413" t="s">
        <v>87</v>
      </c>
      <c r="F7413" t="s">
        <v>88</v>
      </c>
      <c r="G7413" t="s">
        <v>174</v>
      </c>
      <c r="H7413" t="s">
        <v>174</v>
      </c>
      <c r="I7413" t="s">
        <v>42</v>
      </c>
      <c r="J7413" t="s">
        <v>43</v>
      </c>
      <c r="K7413" t="s">
        <v>29</v>
      </c>
      <c r="L7413" t="s">
        <v>30</v>
      </c>
      <c r="M7413" t="s">
        <v>172</v>
      </c>
      <c r="N7413">
        <v>1880</v>
      </c>
      <c r="O7413" s="14">
        <v>0.65081752953119598</v>
      </c>
      <c r="P7413" s="14">
        <v>0.13333638082258401</v>
      </c>
      <c r="Q7413" t="str">
        <f t="shared" si="230"/>
        <v>35-49</v>
      </c>
      <c r="R7413" t="str">
        <f t="shared" si="231"/>
        <v>[cPtvxaZqXIH]|35-49|Female|NEW_INFECTIONS_SUBNAT.T2|CY2025Q3</v>
      </c>
    </row>
    <row r="7414" spans="4:18" x14ac:dyDescent="0.2">
      <c r="D7414" t="s">
        <v>86</v>
      </c>
      <c r="E7414" t="s">
        <v>87</v>
      </c>
      <c r="F7414" t="s">
        <v>88</v>
      </c>
      <c r="G7414" t="s">
        <v>174</v>
      </c>
      <c r="H7414" t="s">
        <v>174</v>
      </c>
      <c r="I7414" t="s">
        <v>44</v>
      </c>
      <c r="J7414" t="s">
        <v>45</v>
      </c>
      <c r="K7414" t="s">
        <v>29</v>
      </c>
      <c r="L7414" t="s">
        <v>30</v>
      </c>
      <c r="M7414" t="s">
        <v>172</v>
      </c>
      <c r="N7414">
        <v>684</v>
      </c>
      <c r="O7414" s="14">
        <v>0.78414425277151201</v>
      </c>
      <c r="P7414" s="14">
        <v>0.13333638082258401</v>
      </c>
      <c r="Q7414" t="str">
        <f t="shared" si="230"/>
        <v>50+</v>
      </c>
      <c r="R7414" t="str">
        <f t="shared" si="231"/>
        <v>[cPtvxaZqXIH]|50+|Female|NEW_INFECTIONS_SUBNAT.T2|CY2025Q3</v>
      </c>
    </row>
    <row r="7415" spans="4:18" x14ac:dyDescent="0.2">
      <c r="D7415" t="s">
        <v>86</v>
      </c>
      <c r="E7415" t="s">
        <v>87</v>
      </c>
      <c r="F7415" t="s">
        <v>88</v>
      </c>
      <c r="G7415" t="s">
        <v>174</v>
      </c>
      <c r="H7415" t="s">
        <v>174</v>
      </c>
      <c r="I7415" t="s">
        <v>27</v>
      </c>
      <c r="J7415" t="s">
        <v>28</v>
      </c>
      <c r="K7415" t="s">
        <v>47</v>
      </c>
      <c r="L7415" t="s">
        <v>48</v>
      </c>
      <c r="M7415" t="s">
        <v>172</v>
      </c>
      <c r="N7415">
        <v>848</v>
      </c>
      <c r="O7415" s="14">
        <v>0.37859507952816801</v>
      </c>
      <c r="P7415" s="14">
        <v>0.13333638082258401</v>
      </c>
      <c r="Q7415" t="str">
        <f t="shared" si="230"/>
        <v>&lt;01</v>
      </c>
      <c r="R7415" t="str">
        <f t="shared" si="231"/>
        <v>[cPtvxaZqXIH]|&lt;01|Male|NEW_INFECTIONS_SUBNAT.T2|CY2025Q3</v>
      </c>
    </row>
    <row r="7416" spans="4:18" x14ac:dyDescent="0.2">
      <c r="D7416" t="s">
        <v>86</v>
      </c>
      <c r="E7416" t="s">
        <v>87</v>
      </c>
      <c r="F7416" t="s">
        <v>88</v>
      </c>
      <c r="G7416" t="s">
        <v>174</v>
      </c>
      <c r="H7416" t="s">
        <v>174</v>
      </c>
      <c r="I7416" t="s">
        <v>32</v>
      </c>
      <c r="J7416" t="s">
        <v>33</v>
      </c>
      <c r="K7416" t="s">
        <v>47</v>
      </c>
      <c r="L7416" t="s">
        <v>48</v>
      </c>
      <c r="M7416" t="s">
        <v>172</v>
      </c>
      <c r="N7416">
        <v>615</v>
      </c>
      <c r="O7416" s="14">
        <v>1.8474404001608501E-2</v>
      </c>
      <c r="P7416" s="14">
        <v>0.13333638082258401</v>
      </c>
      <c r="Q7416" t="str">
        <f t="shared" si="230"/>
        <v>01-09</v>
      </c>
      <c r="R7416" t="str">
        <f t="shared" si="231"/>
        <v>[cPtvxaZqXIH]|01-09|Male|NEW_INFECTIONS_SUBNAT.T2|CY2025Q3</v>
      </c>
    </row>
    <row r="7417" spans="4:18" x14ac:dyDescent="0.2">
      <c r="D7417" t="s">
        <v>86</v>
      </c>
      <c r="E7417" t="s">
        <v>87</v>
      </c>
      <c r="F7417" t="s">
        <v>88</v>
      </c>
      <c r="G7417" t="s">
        <v>174</v>
      </c>
      <c r="H7417" t="s">
        <v>174</v>
      </c>
      <c r="I7417" t="s">
        <v>35</v>
      </c>
      <c r="J7417" t="s">
        <v>36</v>
      </c>
      <c r="K7417" t="s">
        <v>47</v>
      </c>
      <c r="L7417" t="s">
        <v>48</v>
      </c>
      <c r="M7417" t="s">
        <v>172</v>
      </c>
      <c r="N7417">
        <v>1302</v>
      </c>
      <c r="O7417" s="14">
        <v>0.56885291193611898</v>
      </c>
      <c r="P7417" s="14">
        <v>0.13333638082258401</v>
      </c>
      <c r="Q7417" t="str">
        <f t="shared" si="230"/>
        <v>10-14</v>
      </c>
      <c r="R7417" t="str">
        <f t="shared" si="231"/>
        <v>[cPtvxaZqXIH]|10-14|Male|NEW_INFECTIONS_SUBNAT.T2|CY2025Q3</v>
      </c>
    </row>
    <row r="7418" spans="4:18" x14ac:dyDescent="0.2">
      <c r="D7418" t="s">
        <v>86</v>
      </c>
      <c r="E7418" t="s">
        <v>87</v>
      </c>
      <c r="F7418" t="s">
        <v>88</v>
      </c>
      <c r="G7418" t="s">
        <v>174</v>
      </c>
      <c r="H7418" t="s">
        <v>174</v>
      </c>
      <c r="I7418" t="s">
        <v>37</v>
      </c>
      <c r="J7418" t="s">
        <v>38</v>
      </c>
      <c r="K7418" t="s">
        <v>47</v>
      </c>
      <c r="L7418" t="s">
        <v>48</v>
      </c>
      <c r="M7418" t="s">
        <v>172</v>
      </c>
      <c r="N7418">
        <v>1935</v>
      </c>
      <c r="O7418" s="14">
        <v>0.30966938519850401</v>
      </c>
      <c r="P7418" s="14">
        <v>0.13333638082258401</v>
      </c>
      <c r="Q7418" t="str">
        <f t="shared" si="230"/>
        <v>15-24</v>
      </c>
      <c r="R7418" t="str">
        <f t="shared" si="231"/>
        <v>[cPtvxaZqXIH]|15-24|Male|NEW_INFECTIONS_SUBNAT.T2|CY2025Q3</v>
      </c>
    </row>
    <row r="7419" spans="4:18" x14ac:dyDescent="0.2">
      <c r="D7419" t="s">
        <v>86</v>
      </c>
      <c r="E7419" t="s">
        <v>87</v>
      </c>
      <c r="F7419" t="s">
        <v>88</v>
      </c>
      <c r="G7419" t="s">
        <v>174</v>
      </c>
      <c r="H7419" t="s">
        <v>174</v>
      </c>
      <c r="I7419" t="s">
        <v>40</v>
      </c>
      <c r="J7419" t="s">
        <v>41</v>
      </c>
      <c r="K7419" t="s">
        <v>47</v>
      </c>
      <c r="L7419" t="s">
        <v>48</v>
      </c>
      <c r="M7419" t="s">
        <v>172</v>
      </c>
      <c r="N7419">
        <v>1087</v>
      </c>
      <c r="O7419" s="14">
        <v>0.91079868748784099</v>
      </c>
      <c r="P7419" s="14">
        <v>0.13333638082258401</v>
      </c>
      <c r="Q7419" t="str">
        <f t="shared" si="230"/>
        <v>25-34</v>
      </c>
      <c r="R7419" t="str">
        <f t="shared" si="231"/>
        <v>[cPtvxaZqXIH]|25-34|Male|NEW_INFECTIONS_SUBNAT.T2|CY2025Q3</v>
      </c>
    </row>
    <row r="7420" spans="4:18" x14ac:dyDescent="0.2">
      <c r="D7420" t="s">
        <v>86</v>
      </c>
      <c r="E7420" t="s">
        <v>87</v>
      </c>
      <c r="F7420" t="s">
        <v>88</v>
      </c>
      <c r="G7420" t="s">
        <v>174</v>
      </c>
      <c r="H7420" t="s">
        <v>174</v>
      </c>
      <c r="I7420" t="s">
        <v>42</v>
      </c>
      <c r="J7420" t="s">
        <v>43</v>
      </c>
      <c r="K7420" t="s">
        <v>47</v>
      </c>
      <c r="L7420" t="s">
        <v>48</v>
      </c>
      <c r="M7420" t="s">
        <v>172</v>
      </c>
      <c r="N7420">
        <v>662</v>
      </c>
      <c r="O7420" s="14">
        <v>0.62858196115121201</v>
      </c>
      <c r="P7420" s="14">
        <v>0.13333638082258401</v>
      </c>
      <c r="Q7420" t="str">
        <f t="shared" si="230"/>
        <v>35-49</v>
      </c>
      <c r="R7420" t="str">
        <f t="shared" si="231"/>
        <v>[cPtvxaZqXIH]|35-49|Male|NEW_INFECTIONS_SUBNAT.T2|CY2025Q3</v>
      </c>
    </row>
    <row r="7421" spans="4:18" x14ac:dyDescent="0.2">
      <c r="D7421" t="s">
        <v>86</v>
      </c>
      <c r="E7421" t="s">
        <v>87</v>
      </c>
      <c r="F7421" t="s">
        <v>88</v>
      </c>
      <c r="G7421" t="s">
        <v>174</v>
      </c>
      <c r="H7421" t="s">
        <v>174</v>
      </c>
      <c r="I7421" t="s">
        <v>44</v>
      </c>
      <c r="J7421" t="s">
        <v>45</v>
      </c>
      <c r="K7421" t="s">
        <v>47</v>
      </c>
      <c r="L7421" t="s">
        <v>48</v>
      </c>
      <c r="M7421" t="s">
        <v>172</v>
      </c>
      <c r="N7421">
        <v>1229</v>
      </c>
      <c r="O7421" s="14">
        <v>0.26336167287081502</v>
      </c>
      <c r="P7421" s="14">
        <v>0.13333638082258401</v>
      </c>
      <c r="Q7421" t="str">
        <f t="shared" si="230"/>
        <v>50+</v>
      </c>
      <c r="R7421" t="str">
        <f t="shared" si="231"/>
        <v>[cPtvxaZqXIH]|50+|Male|NEW_INFECTIONS_SUBNAT.T2|CY2025Q3</v>
      </c>
    </row>
    <row r="7422" spans="4:18" x14ac:dyDescent="0.2">
      <c r="D7422" t="s">
        <v>89</v>
      </c>
      <c r="E7422" t="s">
        <v>90</v>
      </c>
      <c r="F7422" t="s">
        <v>91</v>
      </c>
      <c r="G7422" t="s">
        <v>174</v>
      </c>
      <c r="H7422" t="s">
        <v>174</v>
      </c>
      <c r="I7422" t="s">
        <v>27</v>
      </c>
      <c r="J7422" t="s">
        <v>28</v>
      </c>
      <c r="K7422" t="s">
        <v>29</v>
      </c>
      <c r="L7422" t="s">
        <v>30</v>
      </c>
      <c r="M7422" t="s">
        <v>172</v>
      </c>
      <c r="N7422">
        <v>1274</v>
      </c>
      <c r="O7422" s="14">
        <v>0.24847017368301699</v>
      </c>
      <c r="P7422" s="14">
        <v>0.71991415042430196</v>
      </c>
      <c r="Q7422" t="str">
        <f t="shared" si="230"/>
        <v>&lt;01</v>
      </c>
      <c r="R7422" t="str">
        <f t="shared" si="231"/>
        <v>[AZyWpGzhcaA]|&lt;01|Female|NEW_INFECTIONS_SUBNAT.T2|CY2025Q3</v>
      </c>
    </row>
    <row r="7423" spans="4:18" x14ac:dyDescent="0.2">
      <c r="D7423" t="s">
        <v>89</v>
      </c>
      <c r="E7423" t="s">
        <v>90</v>
      </c>
      <c r="F7423" t="s">
        <v>91</v>
      </c>
      <c r="G7423" t="s">
        <v>174</v>
      </c>
      <c r="H7423" t="s">
        <v>174</v>
      </c>
      <c r="I7423" t="s">
        <v>32</v>
      </c>
      <c r="J7423" t="s">
        <v>33</v>
      </c>
      <c r="K7423" t="s">
        <v>29</v>
      </c>
      <c r="L7423" t="s">
        <v>30</v>
      </c>
      <c r="M7423" t="s">
        <v>172</v>
      </c>
      <c r="N7423">
        <v>1283</v>
      </c>
      <c r="O7423" s="14">
        <v>0.82761362032033503</v>
      </c>
      <c r="P7423" s="14">
        <v>0.71991415042430196</v>
      </c>
      <c r="Q7423" t="str">
        <f t="shared" si="230"/>
        <v>01-09</v>
      </c>
      <c r="R7423" t="str">
        <f t="shared" si="231"/>
        <v>[AZyWpGzhcaA]|01-09|Female|NEW_INFECTIONS_SUBNAT.T2|CY2025Q3</v>
      </c>
    </row>
    <row r="7424" spans="4:18" x14ac:dyDescent="0.2">
      <c r="D7424" t="s">
        <v>89</v>
      </c>
      <c r="E7424" t="s">
        <v>90</v>
      </c>
      <c r="F7424" t="s">
        <v>91</v>
      </c>
      <c r="G7424" t="s">
        <v>174</v>
      </c>
      <c r="H7424" t="s">
        <v>174</v>
      </c>
      <c r="I7424" t="s">
        <v>35</v>
      </c>
      <c r="J7424" t="s">
        <v>36</v>
      </c>
      <c r="K7424" t="s">
        <v>29</v>
      </c>
      <c r="L7424" t="s">
        <v>30</v>
      </c>
      <c r="M7424" t="s">
        <v>172</v>
      </c>
      <c r="N7424">
        <v>1920</v>
      </c>
      <c r="O7424" s="14">
        <v>0.45137863256968602</v>
      </c>
      <c r="P7424" s="14">
        <v>0.71991415042430196</v>
      </c>
      <c r="Q7424" t="str">
        <f t="shared" si="230"/>
        <v>10-14</v>
      </c>
      <c r="R7424" t="str">
        <f t="shared" si="231"/>
        <v>[AZyWpGzhcaA]|10-14|Female|NEW_INFECTIONS_SUBNAT.T2|CY2025Q3</v>
      </c>
    </row>
    <row r="7425" spans="4:18" x14ac:dyDescent="0.2">
      <c r="D7425" t="s">
        <v>89</v>
      </c>
      <c r="E7425" t="s">
        <v>90</v>
      </c>
      <c r="F7425" t="s">
        <v>91</v>
      </c>
      <c r="G7425" t="s">
        <v>174</v>
      </c>
      <c r="H7425" t="s">
        <v>174</v>
      </c>
      <c r="I7425" t="s">
        <v>37</v>
      </c>
      <c r="J7425" t="s">
        <v>38</v>
      </c>
      <c r="K7425" t="s">
        <v>29</v>
      </c>
      <c r="L7425" t="s">
        <v>30</v>
      </c>
      <c r="M7425" t="s">
        <v>172</v>
      </c>
      <c r="N7425">
        <v>912</v>
      </c>
      <c r="O7425" s="14">
        <v>0.67346952483057998</v>
      </c>
      <c r="P7425" s="14">
        <v>0.71991415042430196</v>
      </c>
      <c r="Q7425" t="str">
        <f t="shared" si="230"/>
        <v>15-24</v>
      </c>
      <c r="R7425" t="str">
        <f t="shared" si="231"/>
        <v>[AZyWpGzhcaA]|15-24|Female|NEW_INFECTIONS_SUBNAT.T2|CY2025Q3</v>
      </c>
    </row>
    <row r="7426" spans="4:18" x14ac:dyDescent="0.2">
      <c r="D7426" t="s">
        <v>89</v>
      </c>
      <c r="E7426" t="s">
        <v>90</v>
      </c>
      <c r="F7426" t="s">
        <v>91</v>
      </c>
      <c r="G7426" t="s">
        <v>174</v>
      </c>
      <c r="H7426" t="s">
        <v>174</v>
      </c>
      <c r="I7426" t="s">
        <v>40</v>
      </c>
      <c r="J7426" t="s">
        <v>41</v>
      </c>
      <c r="K7426" t="s">
        <v>29</v>
      </c>
      <c r="L7426" t="s">
        <v>30</v>
      </c>
      <c r="M7426" t="s">
        <v>172</v>
      </c>
      <c r="N7426">
        <v>974</v>
      </c>
      <c r="O7426" s="14">
        <v>0.56158630340360105</v>
      </c>
      <c r="P7426" s="14">
        <v>0.71991415042430196</v>
      </c>
      <c r="Q7426" t="str">
        <f t="shared" ref="Q7426:Q7489" si="232">SUBSTITUTE(SUBSTITUTE($I7426,CHAR(61),""),CHAR(34),"")</f>
        <v>25-34</v>
      </c>
      <c r="R7426" t="str">
        <f t="shared" ref="R7426:R7489" si="233">IF($D7426&lt;&gt;"","["&amp;$E7426&amp;"]"&amp;"|"&amp;$Q7426&amp;"|"&amp;$K7426&amp;"|"&amp;$G7426&amp;"|"&amp;IF($G7426="TX_CURR_SUBNAT.R","CY2022Q4",$M7426),"")</f>
        <v>[AZyWpGzhcaA]|25-34|Female|NEW_INFECTIONS_SUBNAT.T2|CY2025Q3</v>
      </c>
    </row>
    <row r="7427" spans="4:18" x14ac:dyDescent="0.2">
      <c r="D7427" t="s">
        <v>89</v>
      </c>
      <c r="E7427" t="s">
        <v>90</v>
      </c>
      <c r="F7427" t="s">
        <v>91</v>
      </c>
      <c r="G7427" t="s">
        <v>174</v>
      </c>
      <c r="H7427" t="s">
        <v>174</v>
      </c>
      <c r="I7427" t="s">
        <v>42</v>
      </c>
      <c r="J7427" t="s">
        <v>43</v>
      </c>
      <c r="K7427" t="s">
        <v>29</v>
      </c>
      <c r="L7427" t="s">
        <v>30</v>
      </c>
      <c r="M7427" t="s">
        <v>172</v>
      </c>
      <c r="N7427">
        <v>1125</v>
      </c>
      <c r="O7427" s="14">
        <v>0.97919842298142601</v>
      </c>
      <c r="P7427" s="14">
        <v>0.71991415042430196</v>
      </c>
      <c r="Q7427" t="str">
        <f t="shared" si="232"/>
        <v>35-49</v>
      </c>
      <c r="R7427" t="str">
        <f t="shared" si="233"/>
        <v>[AZyWpGzhcaA]|35-49|Female|NEW_INFECTIONS_SUBNAT.T2|CY2025Q3</v>
      </c>
    </row>
    <row r="7428" spans="4:18" x14ac:dyDescent="0.2">
      <c r="D7428" t="s">
        <v>89</v>
      </c>
      <c r="E7428" t="s">
        <v>90</v>
      </c>
      <c r="F7428" t="s">
        <v>91</v>
      </c>
      <c r="G7428" t="s">
        <v>174</v>
      </c>
      <c r="H7428" t="s">
        <v>174</v>
      </c>
      <c r="I7428" t="s">
        <v>44</v>
      </c>
      <c r="J7428" t="s">
        <v>45</v>
      </c>
      <c r="K7428" t="s">
        <v>29</v>
      </c>
      <c r="L7428" t="s">
        <v>30</v>
      </c>
      <c r="M7428" t="s">
        <v>172</v>
      </c>
      <c r="N7428">
        <v>682</v>
      </c>
      <c r="O7428" s="14">
        <v>0.963850774802268</v>
      </c>
      <c r="P7428" s="14">
        <v>0.71991415042430196</v>
      </c>
      <c r="Q7428" t="str">
        <f t="shared" si="232"/>
        <v>50+</v>
      </c>
      <c r="R7428" t="str">
        <f t="shared" si="233"/>
        <v>[AZyWpGzhcaA]|50+|Female|NEW_INFECTIONS_SUBNAT.T2|CY2025Q3</v>
      </c>
    </row>
    <row r="7429" spans="4:18" x14ac:dyDescent="0.2">
      <c r="D7429" t="s">
        <v>89</v>
      </c>
      <c r="E7429" t="s">
        <v>90</v>
      </c>
      <c r="F7429" t="s">
        <v>91</v>
      </c>
      <c r="G7429" t="s">
        <v>174</v>
      </c>
      <c r="H7429" t="s">
        <v>174</v>
      </c>
      <c r="I7429" t="s">
        <v>27</v>
      </c>
      <c r="J7429" t="s">
        <v>28</v>
      </c>
      <c r="K7429" t="s">
        <v>47</v>
      </c>
      <c r="L7429" t="s">
        <v>48</v>
      </c>
      <c r="M7429" t="s">
        <v>172</v>
      </c>
      <c r="N7429">
        <v>971</v>
      </c>
      <c r="O7429" s="14">
        <v>0.38353695580735803</v>
      </c>
      <c r="P7429" s="14">
        <v>0.71991415042430196</v>
      </c>
      <c r="Q7429" t="str">
        <f t="shared" si="232"/>
        <v>&lt;01</v>
      </c>
      <c r="R7429" t="str">
        <f t="shared" si="233"/>
        <v>[AZyWpGzhcaA]|&lt;01|Male|NEW_INFECTIONS_SUBNAT.T2|CY2025Q3</v>
      </c>
    </row>
    <row r="7430" spans="4:18" x14ac:dyDescent="0.2">
      <c r="D7430" t="s">
        <v>89</v>
      </c>
      <c r="E7430" t="s">
        <v>90</v>
      </c>
      <c r="F7430" t="s">
        <v>91</v>
      </c>
      <c r="G7430" t="s">
        <v>174</v>
      </c>
      <c r="H7430" t="s">
        <v>174</v>
      </c>
      <c r="I7430" t="s">
        <v>32</v>
      </c>
      <c r="J7430" t="s">
        <v>33</v>
      </c>
      <c r="K7430" t="s">
        <v>47</v>
      </c>
      <c r="L7430" t="s">
        <v>48</v>
      </c>
      <c r="M7430" t="s">
        <v>172</v>
      </c>
      <c r="N7430">
        <v>1374</v>
      </c>
      <c r="O7430" s="14">
        <v>0.25343944365158699</v>
      </c>
      <c r="P7430" s="14">
        <v>0.71991415042430196</v>
      </c>
      <c r="Q7430" t="str">
        <f t="shared" si="232"/>
        <v>01-09</v>
      </c>
      <c r="R7430" t="str">
        <f t="shared" si="233"/>
        <v>[AZyWpGzhcaA]|01-09|Male|NEW_INFECTIONS_SUBNAT.T2|CY2025Q3</v>
      </c>
    </row>
    <row r="7431" spans="4:18" x14ac:dyDescent="0.2">
      <c r="D7431" t="s">
        <v>89</v>
      </c>
      <c r="E7431" t="s">
        <v>90</v>
      </c>
      <c r="F7431" t="s">
        <v>91</v>
      </c>
      <c r="G7431" t="s">
        <v>174</v>
      </c>
      <c r="H7431" t="s">
        <v>174</v>
      </c>
      <c r="I7431" t="s">
        <v>35</v>
      </c>
      <c r="J7431" t="s">
        <v>36</v>
      </c>
      <c r="K7431" t="s">
        <v>47</v>
      </c>
      <c r="L7431" t="s">
        <v>48</v>
      </c>
      <c r="M7431" t="s">
        <v>172</v>
      </c>
      <c r="N7431">
        <v>998</v>
      </c>
      <c r="O7431" s="14">
        <v>0.97370385448448404</v>
      </c>
      <c r="P7431" s="14">
        <v>0.71991415042430196</v>
      </c>
      <c r="Q7431" t="str">
        <f t="shared" si="232"/>
        <v>10-14</v>
      </c>
      <c r="R7431" t="str">
        <f t="shared" si="233"/>
        <v>[AZyWpGzhcaA]|10-14|Male|NEW_INFECTIONS_SUBNAT.T2|CY2025Q3</v>
      </c>
    </row>
    <row r="7432" spans="4:18" x14ac:dyDescent="0.2">
      <c r="D7432" t="s">
        <v>89</v>
      </c>
      <c r="E7432" t="s">
        <v>90</v>
      </c>
      <c r="F7432" t="s">
        <v>91</v>
      </c>
      <c r="G7432" t="s">
        <v>174</v>
      </c>
      <c r="H7432" t="s">
        <v>174</v>
      </c>
      <c r="I7432" t="s">
        <v>37</v>
      </c>
      <c r="J7432" t="s">
        <v>38</v>
      </c>
      <c r="K7432" t="s">
        <v>47</v>
      </c>
      <c r="L7432" t="s">
        <v>48</v>
      </c>
      <c r="M7432" t="s">
        <v>172</v>
      </c>
      <c r="N7432">
        <v>1378</v>
      </c>
      <c r="O7432" s="14">
        <v>0.98078193562105298</v>
      </c>
      <c r="P7432" s="14">
        <v>0.71991415042430196</v>
      </c>
      <c r="Q7432" t="str">
        <f t="shared" si="232"/>
        <v>15-24</v>
      </c>
      <c r="R7432" t="str">
        <f t="shared" si="233"/>
        <v>[AZyWpGzhcaA]|15-24|Male|NEW_INFECTIONS_SUBNAT.T2|CY2025Q3</v>
      </c>
    </row>
    <row r="7433" spans="4:18" x14ac:dyDescent="0.2">
      <c r="D7433" t="s">
        <v>89</v>
      </c>
      <c r="E7433" t="s">
        <v>90</v>
      </c>
      <c r="F7433" t="s">
        <v>91</v>
      </c>
      <c r="G7433" t="s">
        <v>174</v>
      </c>
      <c r="H7433" t="s">
        <v>174</v>
      </c>
      <c r="I7433" t="s">
        <v>40</v>
      </c>
      <c r="J7433" t="s">
        <v>41</v>
      </c>
      <c r="K7433" t="s">
        <v>47</v>
      </c>
      <c r="L7433" t="s">
        <v>48</v>
      </c>
      <c r="M7433" t="s">
        <v>172</v>
      </c>
      <c r="N7433">
        <v>1755</v>
      </c>
      <c r="O7433" s="14">
        <v>0.524063649354503</v>
      </c>
      <c r="P7433" s="14">
        <v>0.71991415042430196</v>
      </c>
      <c r="Q7433" t="str">
        <f t="shared" si="232"/>
        <v>25-34</v>
      </c>
      <c r="R7433" t="str">
        <f t="shared" si="233"/>
        <v>[AZyWpGzhcaA]|25-34|Male|NEW_INFECTIONS_SUBNAT.T2|CY2025Q3</v>
      </c>
    </row>
    <row r="7434" spans="4:18" x14ac:dyDescent="0.2">
      <c r="D7434" t="s">
        <v>89</v>
      </c>
      <c r="E7434" t="s">
        <v>90</v>
      </c>
      <c r="F7434" t="s">
        <v>91</v>
      </c>
      <c r="G7434" t="s">
        <v>174</v>
      </c>
      <c r="H7434" t="s">
        <v>174</v>
      </c>
      <c r="I7434" t="s">
        <v>42</v>
      </c>
      <c r="J7434" t="s">
        <v>43</v>
      </c>
      <c r="K7434" t="s">
        <v>47</v>
      </c>
      <c r="L7434" t="s">
        <v>48</v>
      </c>
      <c r="M7434" t="s">
        <v>172</v>
      </c>
      <c r="N7434">
        <v>1855</v>
      </c>
      <c r="O7434" s="14">
        <v>5.28997085057199E-2</v>
      </c>
      <c r="P7434" s="14">
        <v>0.71991415042430196</v>
      </c>
      <c r="Q7434" t="str">
        <f t="shared" si="232"/>
        <v>35-49</v>
      </c>
      <c r="R7434" t="str">
        <f t="shared" si="233"/>
        <v>[AZyWpGzhcaA]|35-49|Male|NEW_INFECTIONS_SUBNAT.T2|CY2025Q3</v>
      </c>
    </row>
    <row r="7435" spans="4:18" x14ac:dyDescent="0.2">
      <c r="D7435" t="s">
        <v>89</v>
      </c>
      <c r="E7435" t="s">
        <v>90</v>
      </c>
      <c r="F7435" t="s">
        <v>91</v>
      </c>
      <c r="G7435" t="s">
        <v>174</v>
      </c>
      <c r="H7435" t="s">
        <v>174</v>
      </c>
      <c r="I7435" t="s">
        <v>44</v>
      </c>
      <c r="J7435" t="s">
        <v>45</v>
      </c>
      <c r="K7435" t="s">
        <v>47</v>
      </c>
      <c r="L7435" t="s">
        <v>48</v>
      </c>
      <c r="M7435" t="s">
        <v>172</v>
      </c>
      <c r="N7435">
        <v>1882</v>
      </c>
      <c r="O7435" s="14">
        <v>0.904542600736022</v>
      </c>
      <c r="P7435" s="14">
        <v>0.71991415042430196</v>
      </c>
      <c r="Q7435" t="str">
        <f t="shared" si="232"/>
        <v>50+</v>
      </c>
      <c r="R7435" t="str">
        <f t="shared" si="233"/>
        <v>[AZyWpGzhcaA]|50+|Male|NEW_INFECTIONS_SUBNAT.T2|CY2025Q3</v>
      </c>
    </row>
    <row r="7436" spans="4:18" x14ac:dyDescent="0.2">
      <c r="D7436" t="s">
        <v>92</v>
      </c>
      <c r="E7436" t="s">
        <v>93</v>
      </c>
      <c r="F7436" t="s">
        <v>94</v>
      </c>
      <c r="G7436" t="s">
        <v>174</v>
      </c>
      <c r="H7436" t="s">
        <v>174</v>
      </c>
      <c r="I7436" t="s">
        <v>27</v>
      </c>
      <c r="J7436" t="s">
        <v>28</v>
      </c>
      <c r="K7436" t="s">
        <v>29</v>
      </c>
      <c r="L7436" t="s">
        <v>30</v>
      </c>
      <c r="M7436" t="s">
        <v>172</v>
      </c>
      <c r="N7436">
        <v>1744</v>
      </c>
      <c r="O7436" s="14">
        <v>2.9617800377309302E-2</v>
      </c>
      <c r="P7436" s="14">
        <v>0.36227229656651599</v>
      </c>
      <c r="Q7436" t="str">
        <f t="shared" si="232"/>
        <v>&lt;01</v>
      </c>
      <c r="R7436" t="str">
        <f t="shared" si="233"/>
        <v>[umc2n1Z4wNv]|&lt;01|Female|NEW_INFECTIONS_SUBNAT.T2|CY2025Q3</v>
      </c>
    </row>
    <row r="7437" spans="4:18" x14ac:dyDescent="0.2">
      <c r="D7437" t="s">
        <v>92</v>
      </c>
      <c r="E7437" t="s">
        <v>93</v>
      </c>
      <c r="F7437" t="s">
        <v>94</v>
      </c>
      <c r="G7437" t="s">
        <v>174</v>
      </c>
      <c r="H7437" t="s">
        <v>174</v>
      </c>
      <c r="I7437" t="s">
        <v>32</v>
      </c>
      <c r="J7437" t="s">
        <v>33</v>
      </c>
      <c r="K7437" t="s">
        <v>29</v>
      </c>
      <c r="L7437" t="s">
        <v>30</v>
      </c>
      <c r="M7437" t="s">
        <v>172</v>
      </c>
      <c r="N7437">
        <v>599</v>
      </c>
      <c r="O7437" s="14">
        <v>0.347652164287865</v>
      </c>
      <c r="P7437" s="14">
        <v>0.36227229656651599</v>
      </c>
      <c r="Q7437" t="str">
        <f t="shared" si="232"/>
        <v>01-09</v>
      </c>
      <c r="R7437" t="str">
        <f t="shared" si="233"/>
        <v>[umc2n1Z4wNv]|01-09|Female|NEW_INFECTIONS_SUBNAT.T2|CY2025Q3</v>
      </c>
    </row>
    <row r="7438" spans="4:18" x14ac:dyDescent="0.2">
      <c r="D7438" t="s">
        <v>92</v>
      </c>
      <c r="E7438" t="s">
        <v>93</v>
      </c>
      <c r="F7438" t="s">
        <v>94</v>
      </c>
      <c r="G7438" t="s">
        <v>174</v>
      </c>
      <c r="H7438" t="s">
        <v>174</v>
      </c>
      <c r="I7438" t="s">
        <v>35</v>
      </c>
      <c r="J7438" t="s">
        <v>36</v>
      </c>
      <c r="K7438" t="s">
        <v>29</v>
      </c>
      <c r="L7438" t="s">
        <v>30</v>
      </c>
      <c r="M7438" t="s">
        <v>172</v>
      </c>
      <c r="N7438">
        <v>1978</v>
      </c>
      <c r="O7438" s="14">
        <v>0.56967314612120401</v>
      </c>
      <c r="P7438" s="14">
        <v>0.36227229656651599</v>
      </c>
      <c r="Q7438" t="str">
        <f t="shared" si="232"/>
        <v>10-14</v>
      </c>
      <c r="R7438" t="str">
        <f t="shared" si="233"/>
        <v>[umc2n1Z4wNv]|10-14|Female|NEW_INFECTIONS_SUBNAT.T2|CY2025Q3</v>
      </c>
    </row>
    <row r="7439" spans="4:18" x14ac:dyDescent="0.2">
      <c r="D7439" t="s">
        <v>92</v>
      </c>
      <c r="E7439" t="s">
        <v>93</v>
      </c>
      <c r="F7439" t="s">
        <v>94</v>
      </c>
      <c r="G7439" t="s">
        <v>174</v>
      </c>
      <c r="H7439" t="s">
        <v>174</v>
      </c>
      <c r="I7439" t="s">
        <v>37</v>
      </c>
      <c r="J7439" t="s">
        <v>38</v>
      </c>
      <c r="K7439" t="s">
        <v>29</v>
      </c>
      <c r="L7439" t="s">
        <v>30</v>
      </c>
      <c r="M7439" t="s">
        <v>172</v>
      </c>
      <c r="N7439">
        <v>1920</v>
      </c>
      <c r="O7439" s="14">
        <v>0.62010784959420595</v>
      </c>
      <c r="P7439" s="14">
        <v>0.36227229656651599</v>
      </c>
      <c r="Q7439" t="str">
        <f t="shared" si="232"/>
        <v>15-24</v>
      </c>
      <c r="R7439" t="str">
        <f t="shared" si="233"/>
        <v>[umc2n1Z4wNv]|15-24|Female|NEW_INFECTIONS_SUBNAT.T2|CY2025Q3</v>
      </c>
    </row>
    <row r="7440" spans="4:18" x14ac:dyDescent="0.2">
      <c r="D7440" t="s">
        <v>92</v>
      </c>
      <c r="E7440" t="s">
        <v>93</v>
      </c>
      <c r="F7440" t="s">
        <v>94</v>
      </c>
      <c r="G7440" t="s">
        <v>174</v>
      </c>
      <c r="H7440" t="s">
        <v>174</v>
      </c>
      <c r="I7440" t="s">
        <v>40</v>
      </c>
      <c r="J7440" t="s">
        <v>41</v>
      </c>
      <c r="K7440" t="s">
        <v>29</v>
      </c>
      <c r="L7440" t="s">
        <v>30</v>
      </c>
      <c r="M7440" t="s">
        <v>172</v>
      </c>
      <c r="N7440">
        <v>684</v>
      </c>
      <c r="O7440" s="14">
        <v>0.97906019003130496</v>
      </c>
      <c r="P7440" s="14">
        <v>0.36227229656651599</v>
      </c>
      <c r="Q7440" t="str">
        <f t="shared" si="232"/>
        <v>25-34</v>
      </c>
      <c r="R7440" t="str">
        <f t="shared" si="233"/>
        <v>[umc2n1Z4wNv]|25-34|Female|NEW_INFECTIONS_SUBNAT.T2|CY2025Q3</v>
      </c>
    </row>
    <row r="7441" spans="4:18" x14ac:dyDescent="0.2">
      <c r="D7441" t="s">
        <v>92</v>
      </c>
      <c r="E7441" t="s">
        <v>93</v>
      </c>
      <c r="F7441" t="s">
        <v>94</v>
      </c>
      <c r="G7441" t="s">
        <v>174</v>
      </c>
      <c r="H7441" t="s">
        <v>174</v>
      </c>
      <c r="I7441" t="s">
        <v>42</v>
      </c>
      <c r="J7441" t="s">
        <v>43</v>
      </c>
      <c r="K7441" t="s">
        <v>29</v>
      </c>
      <c r="L7441" t="s">
        <v>30</v>
      </c>
      <c r="M7441" t="s">
        <v>172</v>
      </c>
      <c r="N7441">
        <v>1502</v>
      </c>
      <c r="O7441" s="14">
        <v>0.54254065593704603</v>
      </c>
      <c r="P7441" s="14">
        <v>0.36227229656651599</v>
      </c>
      <c r="Q7441" t="str">
        <f t="shared" si="232"/>
        <v>35-49</v>
      </c>
      <c r="R7441" t="str">
        <f t="shared" si="233"/>
        <v>[umc2n1Z4wNv]|35-49|Female|NEW_INFECTIONS_SUBNAT.T2|CY2025Q3</v>
      </c>
    </row>
    <row r="7442" spans="4:18" x14ac:dyDescent="0.2">
      <c r="D7442" t="s">
        <v>92</v>
      </c>
      <c r="E7442" t="s">
        <v>93</v>
      </c>
      <c r="F7442" t="s">
        <v>94</v>
      </c>
      <c r="G7442" t="s">
        <v>174</v>
      </c>
      <c r="H7442" t="s">
        <v>174</v>
      </c>
      <c r="I7442" t="s">
        <v>44</v>
      </c>
      <c r="J7442" t="s">
        <v>45</v>
      </c>
      <c r="K7442" t="s">
        <v>29</v>
      </c>
      <c r="L7442" t="s">
        <v>30</v>
      </c>
      <c r="M7442" t="s">
        <v>172</v>
      </c>
      <c r="N7442">
        <v>1264</v>
      </c>
      <c r="O7442" s="14">
        <v>0.56202458287589296</v>
      </c>
      <c r="P7442" s="14">
        <v>0.36227229656651599</v>
      </c>
      <c r="Q7442" t="str">
        <f t="shared" si="232"/>
        <v>50+</v>
      </c>
      <c r="R7442" t="str">
        <f t="shared" si="233"/>
        <v>[umc2n1Z4wNv]|50+|Female|NEW_INFECTIONS_SUBNAT.T2|CY2025Q3</v>
      </c>
    </row>
    <row r="7443" spans="4:18" x14ac:dyDescent="0.2">
      <c r="D7443" t="s">
        <v>92</v>
      </c>
      <c r="E7443" t="s">
        <v>93</v>
      </c>
      <c r="F7443" t="s">
        <v>94</v>
      </c>
      <c r="G7443" t="s">
        <v>174</v>
      </c>
      <c r="H7443" t="s">
        <v>174</v>
      </c>
      <c r="I7443" t="s">
        <v>27</v>
      </c>
      <c r="J7443" t="s">
        <v>28</v>
      </c>
      <c r="K7443" t="s">
        <v>47</v>
      </c>
      <c r="L7443" t="s">
        <v>48</v>
      </c>
      <c r="M7443" t="s">
        <v>172</v>
      </c>
      <c r="N7443">
        <v>568</v>
      </c>
      <c r="O7443" s="14">
        <v>0.79469739389605798</v>
      </c>
      <c r="P7443" s="14">
        <v>0.36227229656651599</v>
      </c>
      <c r="Q7443" t="str">
        <f t="shared" si="232"/>
        <v>&lt;01</v>
      </c>
      <c r="R7443" t="str">
        <f t="shared" si="233"/>
        <v>[umc2n1Z4wNv]|&lt;01|Male|NEW_INFECTIONS_SUBNAT.T2|CY2025Q3</v>
      </c>
    </row>
    <row r="7444" spans="4:18" x14ac:dyDescent="0.2">
      <c r="D7444" t="s">
        <v>92</v>
      </c>
      <c r="E7444" t="s">
        <v>93</v>
      </c>
      <c r="F7444" t="s">
        <v>94</v>
      </c>
      <c r="G7444" t="s">
        <v>174</v>
      </c>
      <c r="H7444" t="s">
        <v>174</v>
      </c>
      <c r="I7444" t="s">
        <v>32</v>
      </c>
      <c r="J7444" t="s">
        <v>33</v>
      </c>
      <c r="K7444" t="s">
        <v>47</v>
      </c>
      <c r="L7444" t="s">
        <v>48</v>
      </c>
      <c r="M7444" t="s">
        <v>172</v>
      </c>
      <c r="N7444">
        <v>1105</v>
      </c>
      <c r="O7444" s="14">
        <v>0.47425524774007499</v>
      </c>
      <c r="P7444" s="14">
        <v>0.36227229656651599</v>
      </c>
      <c r="Q7444" t="str">
        <f t="shared" si="232"/>
        <v>01-09</v>
      </c>
      <c r="R7444" t="str">
        <f t="shared" si="233"/>
        <v>[umc2n1Z4wNv]|01-09|Male|NEW_INFECTIONS_SUBNAT.T2|CY2025Q3</v>
      </c>
    </row>
    <row r="7445" spans="4:18" x14ac:dyDescent="0.2">
      <c r="D7445" t="s">
        <v>92</v>
      </c>
      <c r="E7445" t="s">
        <v>93</v>
      </c>
      <c r="F7445" t="s">
        <v>94</v>
      </c>
      <c r="G7445" t="s">
        <v>174</v>
      </c>
      <c r="H7445" t="s">
        <v>174</v>
      </c>
      <c r="I7445" t="s">
        <v>35</v>
      </c>
      <c r="J7445" t="s">
        <v>36</v>
      </c>
      <c r="K7445" t="s">
        <v>47</v>
      </c>
      <c r="L7445" t="s">
        <v>48</v>
      </c>
      <c r="M7445" t="s">
        <v>172</v>
      </c>
      <c r="N7445">
        <v>639</v>
      </c>
      <c r="O7445" s="14">
        <v>0.971996446605772</v>
      </c>
      <c r="P7445" s="14">
        <v>0.36227229656651599</v>
      </c>
      <c r="Q7445" t="str">
        <f t="shared" si="232"/>
        <v>10-14</v>
      </c>
      <c r="R7445" t="str">
        <f t="shared" si="233"/>
        <v>[umc2n1Z4wNv]|10-14|Male|NEW_INFECTIONS_SUBNAT.T2|CY2025Q3</v>
      </c>
    </row>
    <row r="7446" spans="4:18" x14ac:dyDescent="0.2">
      <c r="D7446" t="s">
        <v>92</v>
      </c>
      <c r="E7446" t="s">
        <v>93</v>
      </c>
      <c r="F7446" t="s">
        <v>94</v>
      </c>
      <c r="G7446" t="s">
        <v>174</v>
      </c>
      <c r="H7446" t="s">
        <v>174</v>
      </c>
      <c r="I7446" t="s">
        <v>37</v>
      </c>
      <c r="J7446" t="s">
        <v>38</v>
      </c>
      <c r="K7446" t="s">
        <v>47</v>
      </c>
      <c r="L7446" t="s">
        <v>48</v>
      </c>
      <c r="M7446" t="s">
        <v>172</v>
      </c>
      <c r="N7446">
        <v>1924</v>
      </c>
      <c r="O7446" s="14">
        <v>0.65465196361765299</v>
      </c>
      <c r="P7446" s="14">
        <v>0.36227229656651599</v>
      </c>
      <c r="Q7446" t="str">
        <f t="shared" si="232"/>
        <v>15-24</v>
      </c>
      <c r="R7446" t="str">
        <f t="shared" si="233"/>
        <v>[umc2n1Z4wNv]|15-24|Male|NEW_INFECTIONS_SUBNAT.T2|CY2025Q3</v>
      </c>
    </row>
    <row r="7447" spans="4:18" x14ac:dyDescent="0.2">
      <c r="D7447" t="s">
        <v>92</v>
      </c>
      <c r="E7447" t="s">
        <v>93</v>
      </c>
      <c r="F7447" t="s">
        <v>94</v>
      </c>
      <c r="G7447" t="s">
        <v>174</v>
      </c>
      <c r="H7447" t="s">
        <v>174</v>
      </c>
      <c r="I7447" t="s">
        <v>40</v>
      </c>
      <c r="J7447" t="s">
        <v>41</v>
      </c>
      <c r="K7447" t="s">
        <v>47</v>
      </c>
      <c r="L7447" t="s">
        <v>48</v>
      </c>
      <c r="M7447" t="s">
        <v>172</v>
      </c>
      <c r="N7447">
        <v>1300</v>
      </c>
      <c r="O7447" s="14">
        <v>0.38849627785384699</v>
      </c>
      <c r="P7447" s="14">
        <v>0.36227229656651599</v>
      </c>
      <c r="Q7447" t="str">
        <f t="shared" si="232"/>
        <v>25-34</v>
      </c>
      <c r="R7447" t="str">
        <f t="shared" si="233"/>
        <v>[umc2n1Z4wNv]|25-34|Male|NEW_INFECTIONS_SUBNAT.T2|CY2025Q3</v>
      </c>
    </row>
    <row r="7448" spans="4:18" x14ac:dyDescent="0.2">
      <c r="D7448" t="s">
        <v>92</v>
      </c>
      <c r="E7448" t="s">
        <v>93</v>
      </c>
      <c r="F7448" t="s">
        <v>94</v>
      </c>
      <c r="G7448" t="s">
        <v>174</v>
      </c>
      <c r="H7448" t="s">
        <v>174</v>
      </c>
      <c r="I7448" t="s">
        <v>42</v>
      </c>
      <c r="J7448" t="s">
        <v>43</v>
      </c>
      <c r="K7448" t="s">
        <v>47</v>
      </c>
      <c r="L7448" t="s">
        <v>48</v>
      </c>
      <c r="M7448" t="s">
        <v>172</v>
      </c>
      <c r="N7448">
        <v>661</v>
      </c>
      <c r="O7448" s="14">
        <v>0.43847625865600998</v>
      </c>
      <c r="P7448" s="14">
        <v>0.36227229656651599</v>
      </c>
      <c r="Q7448" t="str">
        <f t="shared" si="232"/>
        <v>35-49</v>
      </c>
      <c r="R7448" t="str">
        <f t="shared" si="233"/>
        <v>[umc2n1Z4wNv]|35-49|Male|NEW_INFECTIONS_SUBNAT.T2|CY2025Q3</v>
      </c>
    </row>
    <row r="7449" spans="4:18" x14ac:dyDescent="0.2">
      <c r="D7449" t="s">
        <v>92</v>
      </c>
      <c r="E7449" t="s">
        <v>93</v>
      </c>
      <c r="F7449" t="s">
        <v>94</v>
      </c>
      <c r="G7449" t="s">
        <v>174</v>
      </c>
      <c r="H7449" t="s">
        <v>174</v>
      </c>
      <c r="I7449" t="s">
        <v>44</v>
      </c>
      <c r="J7449" t="s">
        <v>45</v>
      </c>
      <c r="K7449" t="s">
        <v>47</v>
      </c>
      <c r="L7449" t="s">
        <v>48</v>
      </c>
      <c r="M7449" t="s">
        <v>172</v>
      </c>
      <c r="N7449">
        <v>1751</v>
      </c>
      <c r="O7449" s="14">
        <v>0.37637062557041601</v>
      </c>
      <c r="P7449" s="14">
        <v>0.36227229656651599</v>
      </c>
      <c r="Q7449" t="str">
        <f t="shared" si="232"/>
        <v>50+</v>
      </c>
      <c r="R7449" t="str">
        <f t="shared" si="233"/>
        <v>[umc2n1Z4wNv]|50+|Male|NEW_INFECTIONS_SUBNAT.T2|CY2025Q3</v>
      </c>
    </row>
    <row r="7450" spans="4:18" x14ac:dyDescent="0.2">
      <c r="D7450" t="s">
        <v>95</v>
      </c>
      <c r="E7450" t="s">
        <v>96</v>
      </c>
      <c r="F7450" t="s">
        <v>97</v>
      </c>
      <c r="G7450" t="s">
        <v>174</v>
      </c>
      <c r="H7450" t="s">
        <v>174</v>
      </c>
      <c r="I7450" t="s">
        <v>27</v>
      </c>
      <c r="J7450" t="s">
        <v>28</v>
      </c>
      <c r="K7450" t="s">
        <v>29</v>
      </c>
      <c r="L7450" t="s">
        <v>30</v>
      </c>
      <c r="M7450" t="s">
        <v>172</v>
      </c>
      <c r="N7450">
        <v>1161</v>
      </c>
      <c r="O7450" s="14">
        <v>0.22474770224653201</v>
      </c>
      <c r="P7450" s="14">
        <v>0.60125171788968101</v>
      </c>
      <c r="Q7450" t="str">
        <f t="shared" si="232"/>
        <v>&lt;01</v>
      </c>
      <c r="R7450" t="str">
        <f t="shared" si="233"/>
        <v>[gwVYinjBAe9]|&lt;01|Female|NEW_INFECTIONS_SUBNAT.T2|CY2025Q3</v>
      </c>
    </row>
    <row r="7451" spans="4:18" x14ac:dyDescent="0.2">
      <c r="D7451" t="s">
        <v>95</v>
      </c>
      <c r="E7451" t="s">
        <v>96</v>
      </c>
      <c r="F7451" t="s">
        <v>97</v>
      </c>
      <c r="G7451" t="s">
        <v>174</v>
      </c>
      <c r="H7451" t="s">
        <v>174</v>
      </c>
      <c r="I7451" t="s">
        <v>32</v>
      </c>
      <c r="J7451" t="s">
        <v>33</v>
      </c>
      <c r="K7451" t="s">
        <v>29</v>
      </c>
      <c r="L7451" t="s">
        <v>30</v>
      </c>
      <c r="M7451" t="s">
        <v>172</v>
      </c>
      <c r="N7451">
        <v>925</v>
      </c>
      <c r="O7451" s="14">
        <v>8.4161306498572203E-2</v>
      </c>
      <c r="P7451" s="14">
        <v>0.60125171788968101</v>
      </c>
      <c r="Q7451" t="str">
        <f t="shared" si="232"/>
        <v>01-09</v>
      </c>
      <c r="R7451" t="str">
        <f t="shared" si="233"/>
        <v>[gwVYinjBAe9]|01-09|Female|NEW_INFECTIONS_SUBNAT.T2|CY2025Q3</v>
      </c>
    </row>
    <row r="7452" spans="4:18" x14ac:dyDescent="0.2">
      <c r="D7452" t="s">
        <v>95</v>
      </c>
      <c r="E7452" t="s">
        <v>96</v>
      </c>
      <c r="F7452" t="s">
        <v>97</v>
      </c>
      <c r="G7452" t="s">
        <v>174</v>
      </c>
      <c r="H7452" t="s">
        <v>174</v>
      </c>
      <c r="I7452" t="s">
        <v>35</v>
      </c>
      <c r="J7452" t="s">
        <v>36</v>
      </c>
      <c r="K7452" t="s">
        <v>29</v>
      </c>
      <c r="L7452" t="s">
        <v>30</v>
      </c>
      <c r="M7452" t="s">
        <v>172</v>
      </c>
      <c r="N7452">
        <v>1225</v>
      </c>
      <c r="O7452" s="14">
        <v>0.84747330471873294</v>
      </c>
      <c r="P7452" s="14">
        <v>0.60125171788968101</v>
      </c>
      <c r="Q7452" t="str">
        <f t="shared" si="232"/>
        <v>10-14</v>
      </c>
      <c r="R7452" t="str">
        <f t="shared" si="233"/>
        <v>[gwVYinjBAe9]|10-14|Female|NEW_INFECTIONS_SUBNAT.T2|CY2025Q3</v>
      </c>
    </row>
    <row r="7453" spans="4:18" x14ac:dyDescent="0.2">
      <c r="D7453" t="s">
        <v>95</v>
      </c>
      <c r="E7453" t="s">
        <v>96</v>
      </c>
      <c r="F7453" t="s">
        <v>97</v>
      </c>
      <c r="G7453" t="s">
        <v>174</v>
      </c>
      <c r="H7453" t="s">
        <v>174</v>
      </c>
      <c r="I7453" t="s">
        <v>37</v>
      </c>
      <c r="J7453" t="s">
        <v>38</v>
      </c>
      <c r="K7453" t="s">
        <v>29</v>
      </c>
      <c r="L7453" t="s">
        <v>30</v>
      </c>
      <c r="M7453" t="s">
        <v>172</v>
      </c>
      <c r="N7453">
        <v>821</v>
      </c>
      <c r="O7453" s="14">
        <v>1.8694934202358099E-2</v>
      </c>
      <c r="P7453" s="14">
        <v>0.60125171788968101</v>
      </c>
      <c r="Q7453" t="str">
        <f t="shared" si="232"/>
        <v>15-24</v>
      </c>
      <c r="R7453" t="str">
        <f t="shared" si="233"/>
        <v>[gwVYinjBAe9]|15-24|Female|NEW_INFECTIONS_SUBNAT.T2|CY2025Q3</v>
      </c>
    </row>
    <row r="7454" spans="4:18" x14ac:dyDescent="0.2">
      <c r="D7454" t="s">
        <v>95</v>
      </c>
      <c r="E7454" t="s">
        <v>96</v>
      </c>
      <c r="F7454" t="s">
        <v>97</v>
      </c>
      <c r="G7454" t="s">
        <v>174</v>
      </c>
      <c r="H7454" t="s">
        <v>174</v>
      </c>
      <c r="I7454" t="s">
        <v>40</v>
      </c>
      <c r="J7454" t="s">
        <v>41</v>
      </c>
      <c r="K7454" t="s">
        <v>29</v>
      </c>
      <c r="L7454" t="s">
        <v>30</v>
      </c>
      <c r="M7454" t="s">
        <v>172</v>
      </c>
      <c r="N7454">
        <v>1580</v>
      </c>
      <c r="O7454" s="14">
        <v>0.20765720657073</v>
      </c>
      <c r="P7454" s="14">
        <v>0.60125171788968101</v>
      </c>
      <c r="Q7454" t="str">
        <f t="shared" si="232"/>
        <v>25-34</v>
      </c>
      <c r="R7454" t="str">
        <f t="shared" si="233"/>
        <v>[gwVYinjBAe9]|25-34|Female|NEW_INFECTIONS_SUBNAT.T2|CY2025Q3</v>
      </c>
    </row>
    <row r="7455" spans="4:18" x14ac:dyDescent="0.2">
      <c r="D7455" t="s">
        <v>95</v>
      </c>
      <c r="E7455" t="s">
        <v>96</v>
      </c>
      <c r="F7455" t="s">
        <v>97</v>
      </c>
      <c r="G7455" t="s">
        <v>174</v>
      </c>
      <c r="H7455" t="s">
        <v>174</v>
      </c>
      <c r="I7455" t="s">
        <v>42</v>
      </c>
      <c r="J7455" t="s">
        <v>43</v>
      </c>
      <c r="K7455" t="s">
        <v>29</v>
      </c>
      <c r="L7455" t="s">
        <v>30</v>
      </c>
      <c r="M7455" t="s">
        <v>172</v>
      </c>
      <c r="N7455">
        <v>1101</v>
      </c>
      <c r="O7455" s="14">
        <v>0.66268482804298401</v>
      </c>
      <c r="P7455" s="14">
        <v>0.60125171788968101</v>
      </c>
      <c r="Q7455" t="str">
        <f t="shared" si="232"/>
        <v>35-49</v>
      </c>
      <c r="R7455" t="str">
        <f t="shared" si="233"/>
        <v>[gwVYinjBAe9]|35-49|Female|NEW_INFECTIONS_SUBNAT.T2|CY2025Q3</v>
      </c>
    </row>
    <row r="7456" spans="4:18" x14ac:dyDescent="0.2">
      <c r="D7456" t="s">
        <v>95</v>
      </c>
      <c r="E7456" t="s">
        <v>96</v>
      </c>
      <c r="F7456" t="s">
        <v>97</v>
      </c>
      <c r="G7456" t="s">
        <v>174</v>
      </c>
      <c r="H7456" t="s">
        <v>174</v>
      </c>
      <c r="I7456" t="s">
        <v>44</v>
      </c>
      <c r="J7456" t="s">
        <v>45</v>
      </c>
      <c r="K7456" t="s">
        <v>29</v>
      </c>
      <c r="L7456" t="s">
        <v>30</v>
      </c>
      <c r="M7456" t="s">
        <v>172</v>
      </c>
      <c r="N7456">
        <v>1469</v>
      </c>
      <c r="O7456" s="14">
        <v>0.97692524408921599</v>
      </c>
      <c r="P7456" s="14">
        <v>0.60125171788968101</v>
      </c>
      <c r="Q7456" t="str">
        <f t="shared" si="232"/>
        <v>50+</v>
      </c>
      <c r="R7456" t="str">
        <f t="shared" si="233"/>
        <v>[gwVYinjBAe9]|50+|Female|NEW_INFECTIONS_SUBNAT.T2|CY2025Q3</v>
      </c>
    </row>
    <row r="7457" spans="4:18" x14ac:dyDescent="0.2">
      <c r="D7457" t="s">
        <v>95</v>
      </c>
      <c r="E7457" t="s">
        <v>96</v>
      </c>
      <c r="F7457" t="s">
        <v>97</v>
      </c>
      <c r="G7457" t="s">
        <v>174</v>
      </c>
      <c r="H7457" t="s">
        <v>174</v>
      </c>
      <c r="I7457" t="s">
        <v>27</v>
      </c>
      <c r="J7457" t="s">
        <v>28</v>
      </c>
      <c r="K7457" t="s">
        <v>47</v>
      </c>
      <c r="L7457" t="s">
        <v>48</v>
      </c>
      <c r="M7457" t="s">
        <v>172</v>
      </c>
      <c r="N7457">
        <v>945</v>
      </c>
      <c r="O7457" s="14">
        <v>0.85205807629972696</v>
      </c>
      <c r="P7457" s="14">
        <v>0.60125171788968101</v>
      </c>
      <c r="Q7457" t="str">
        <f t="shared" si="232"/>
        <v>&lt;01</v>
      </c>
      <c r="R7457" t="str">
        <f t="shared" si="233"/>
        <v>[gwVYinjBAe9]|&lt;01|Male|NEW_INFECTIONS_SUBNAT.T2|CY2025Q3</v>
      </c>
    </row>
    <row r="7458" spans="4:18" x14ac:dyDescent="0.2">
      <c r="D7458" t="s">
        <v>95</v>
      </c>
      <c r="E7458" t="s">
        <v>96</v>
      </c>
      <c r="F7458" t="s">
        <v>97</v>
      </c>
      <c r="G7458" t="s">
        <v>174</v>
      </c>
      <c r="H7458" t="s">
        <v>174</v>
      </c>
      <c r="I7458" t="s">
        <v>32</v>
      </c>
      <c r="J7458" t="s">
        <v>33</v>
      </c>
      <c r="K7458" t="s">
        <v>47</v>
      </c>
      <c r="L7458" t="s">
        <v>48</v>
      </c>
      <c r="M7458" t="s">
        <v>172</v>
      </c>
      <c r="N7458">
        <v>506</v>
      </c>
      <c r="O7458" s="14">
        <v>0.91615865565836396</v>
      </c>
      <c r="P7458" s="14">
        <v>0.60125171788968101</v>
      </c>
      <c r="Q7458" t="str">
        <f t="shared" si="232"/>
        <v>01-09</v>
      </c>
      <c r="R7458" t="str">
        <f t="shared" si="233"/>
        <v>[gwVYinjBAe9]|01-09|Male|NEW_INFECTIONS_SUBNAT.T2|CY2025Q3</v>
      </c>
    </row>
    <row r="7459" spans="4:18" x14ac:dyDescent="0.2">
      <c r="D7459" t="s">
        <v>95</v>
      </c>
      <c r="E7459" t="s">
        <v>96</v>
      </c>
      <c r="F7459" t="s">
        <v>97</v>
      </c>
      <c r="G7459" t="s">
        <v>174</v>
      </c>
      <c r="H7459" t="s">
        <v>174</v>
      </c>
      <c r="I7459" t="s">
        <v>35</v>
      </c>
      <c r="J7459" t="s">
        <v>36</v>
      </c>
      <c r="K7459" t="s">
        <v>47</v>
      </c>
      <c r="L7459" t="s">
        <v>48</v>
      </c>
      <c r="M7459" t="s">
        <v>172</v>
      </c>
      <c r="N7459">
        <v>1227</v>
      </c>
      <c r="O7459" s="14">
        <v>0.69874461623840001</v>
      </c>
      <c r="P7459" s="14">
        <v>0.60125171788968101</v>
      </c>
      <c r="Q7459" t="str">
        <f t="shared" si="232"/>
        <v>10-14</v>
      </c>
      <c r="R7459" t="str">
        <f t="shared" si="233"/>
        <v>[gwVYinjBAe9]|10-14|Male|NEW_INFECTIONS_SUBNAT.T2|CY2025Q3</v>
      </c>
    </row>
    <row r="7460" spans="4:18" x14ac:dyDescent="0.2">
      <c r="D7460" t="s">
        <v>95</v>
      </c>
      <c r="E7460" t="s">
        <v>96</v>
      </c>
      <c r="F7460" t="s">
        <v>97</v>
      </c>
      <c r="G7460" t="s">
        <v>174</v>
      </c>
      <c r="H7460" t="s">
        <v>174</v>
      </c>
      <c r="I7460" t="s">
        <v>37</v>
      </c>
      <c r="J7460" t="s">
        <v>38</v>
      </c>
      <c r="K7460" t="s">
        <v>47</v>
      </c>
      <c r="L7460" t="s">
        <v>48</v>
      </c>
      <c r="M7460" t="s">
        <v>172</v>
      </c>
      <c r="N7460">
        <v>1696</v>
      </c>
      <c r="O7460" s="14">
        <v>0.93204000522382602</v>
      </c>
      <c r="P7460" s="14">
        <v>0.60125171788968101</v>
      </c>
      <c r="Q7460" t="str">
        <f t="shared" si="232"/>
        <v>15-24</v>
      </c>
      <c r="R7460" t="str">
        <f t="shared" si="233"/>
        <v>[gwVYinjBAe9]|15-24|Male|NEW_INFECTIONS_SUBNAT.T2|CY2025Q3</v>
      </c>
    </row>
    <row r="7461" spans="4:18" x14ac:dyDescent="0.2">
      <c r="D7461" t="s">
        <v>95</v>
      </c>
      <c r="E7461" t="s">
        <v>96</v>
      </c>
      <c r="F7461" t="s">
        <v>97</v>
      </c>
      <c r="G7461" t="s">
        <v>174</v>
      </c>
      <c r="H7461" t="s">
        <v>174</v>
      </c>
      <c r="I7461" t="s">
        <v>40</v>
      </c>
      <c r="J7461" t="s">
        <v>41</v>
      </c>
      <c r="K7461" t="s">
        <v>47</v>
      </c>
      <c r="L7461" t="s">
        <v>48</v>
      </c>
      <c r="M7461" t="s">
        <v>172</v>
      </c>
      <c r="N7461">
        <v>1906</v>
      </c>
      <c r="O7461" s="14">
        <v>0.20510832127183701</v>
      </c>
      <c r="P7461" s="14">
        <v>0.60125171788968101</v>
      </c>
      <c r="Q7461" t="str">
        <f t="shared" si="232"/>
        <v>25-34</v>
      </c>
      <c r="R7461" t="str">
        <f t="shared" si="233"/>
        <v>[gwVYinjBAe9]|25-34|Male|NEW_INFECTIONS_SUBNAT.T2|CY2025Q3</v>
      </c>
    </row>
    <row r="7462" spans="4:18" x14ac:dyDescent="0.2">
      <c r="D7462" t="s">
        <v>95</v>
      </c>
      <c r="E7462" t="s">
        <v>96</v>
      </c>
      <c r="F7462" t="s">
        <v>97</v>
      </c>
      <c r="G7462" t="s">
        <v>174</v>
      </c>
      <c r="H7462" t="s">
        <v>174</v>
      </c>
      <c r="I7462" t="s">
        <v>42</v>
      </c>
      <c r="J7462" t="s">
        <v>43</v>
      </c>
      <c r="K7462" t="s">
        <v>47</v>
      </c>
      <c r="L7462" t="s">
        <v>48</v>
      </c>
      <c r="M7462" t="s">
        <v>172</v>
      </c>
      <c r="N7462">
        <v>1363</v>
      </c>
      <c r="O7462" s="14">
        <v>0.18028352339751999</v>
      </c>
      <c r="P7462" s="14">
        <v>0.60125171788968101</v>
      </c>
      <c r="Q7462" t="str">
        <f t="shared" si="232"/>
        <v>35-49</v>
      </c>
      <c r="R7462" t="str">
        <f t="shared" si="233"/>
        <v>[gwVYinjBAe9]|35-49|Male|NEW_INFECTIONS_SUBNAT.T2|CY2025Q3</v>
      </c>
    </row>
    <row r="7463" spans="4:18" x14ac:dyDescent="0.2">
      <c r="D7463" t="s">
        <v>95</v>
      </c>
      <c r="E7463" t="s">
        <v>96</v>
      </c>
      <c r="F7463" t="s">
        <v>97</v>
      </c>
      <c r="G7463" t="s">
        <v>174</v>
      </c>
      <c r="H7463" t="s">
        <v>174</v>
      </c>
      <c r="I7463" t="s">
        <v>44</v>
      </c>
      <c r="J7463" t="s">
        <v>45</v>
      </c>
      <c r="K7463" t="s">
        <v>47</v>
      </c>
      <c r="L7463" t="s">
        <v>48</v>
      </c>
      <c r="M7463" t="s">
        <v>172</v>
      </c>
      <c r="N7463">
        <v>1620</v>
      </c>
      <c r="O7463" s="14">
        <v>0.19170361105352601</v>
      </c>
      <c r="P7463" s="14">
        <v>0.60125171788968101</v>
      </c>
      <c r="Q7463" t="str">
        <f t="shared" si="232"/>
        <v>50+</v>
      </c>
      <c r="R7463" t="str">
        <f t="shared" si="233"/>
        <v>[gwVYinjBAe9]|50+|Male|NEW_INFECTIONS_SUBNAT.T2|CY2025Q3</v>
      </c>
    </row>
    <row r="7464" spans="4:18" x14ac:dyDescent="0.2">
      <c r="D7464" t="s">
        <v>98</v>
      </c>
      <c r="E7464" t="s">
        <v>99</v>
      </c>
      <c r="F7464" t="s">
        <v>100</v>
      </c>
      <c r="G7464" t="s">
        <v>174</v>
      </c>
      <c r="H7464" t="s">
        <v>174</v>
      </c>
      <c r="I7464" t="s">
        <v>27</v>
      </c>
      <c r="J7464" t="s">
        <v>28</v>
      </c>
      <c r="K7464" t="s">
        <v>29</v>
      </c>
      <c r="L7464" t="s">
        <v>30</v>
      </c>
      <c r="M7464" t="s">
        <v>172</v>
      </c>
      <c r="N7464">
        <v>1326</v>
      </c>
      <c r="O7464" s="14">
        <v>0.74922393029555701</v>
      </c>
      <c r="P7464" s="14">
        <v>0.57728803809732199</v>
      </c>
      <c r="Q7464" t="str">
        <f t="shared" si="232"/>
        <v>&lt;01</v>
      </c>
      <c r="R7464" t="str">
        <f t="shared" si="233"/>
        <v>[mxqa3CDFmIT]|&lt;01|Female|NEW_INFECTIONS_SUBNAT.T2|CY2025Q3</v>
      </c>
    </row>
    <row r="7465" spans="4:18" x14ac:dyDescent="0.2">
      <c r="D7465" t="s">
        <v>98</v>
      </c>
      <c r="E7465" t="s">
        <v>99</v>
      </c>
      <c r="F7465" t="s">
        <v>100</v>
      </c>
      <c r="G7465" t="s">
        <v>174</v>
      </c>
      <c r="H7465" t="s">
        <v>174</v>
      </c>
      <c r="I7465" t="s">
        <v>32</v>
      </c>
      <c r="J7465" t="s">
        <v>33</v>
      </c>
      <c r="K7465" t="s">
        <v>29</v>
      </c>
      <c r="L7465" t="s">
        <v>30</v>
      </c>
      <c r="M7465" t="s">
        <v>172</v>
      </c>
      <c r="N7465">
        <v>1971</v>
      </c>
      <c r="O7465" s="14">
        <v>0.72418157733045496</v>
      </c>
      <c r="P7465" s="14">
        <v>0.57728803809732199</v>
      </c>
      <c r="Q7465" t="str">
        <f t="shared" si="232"/>
        <v>01-09</v>
      </c>
      <c r="R7465" t="str">
        <f t="shared" si="233"/>
        <v>[mxqa3CDFmIT]|01-09|Female|NEW_INFECTIONS_SUBNAT.T2|CY2025Q3</v>
      </c>
    </row>
    <row r="7466" spans="4:18" x14ac:dyDescent="0.2">
      <c r="D7466" t="s">
        <v>98</v>
      </c>
      <c r="E7466" t="s">
        <v>99</v>
      </c>
      <c r="F7466" t="s">
        <v>100</v>
      </c>
      <c r="G7466" t="s">
        <v>174</v>
      </c>
      <c r="H7466" t="s">
        <v>174</v>
      </c>
      <c r="I7466" t="s">
        <v>35</v>
      </c>
      <c r="J7466" t="s">
        <v>36</v>
      </c>
      <c r="K7466" t="s">
        <v>29</v>
      </c>
      <c r="L7466" t="s">
        <v>30</v>
      </c>
      <c r="M7466" t="s">
        <v>172</v>
      </c>
      <c r="N7466">
        <v>1222</v>
      </c>
      <c r="O7466" s="14">
        <v>0.83156977500766505</v>
      </c>
      <c r="P7466" s="14">
        <v>0.57728803809732199</v>
      </c>
      <c r="Q7466" t="str">
        <f t="shared" si="232"/>
        <v>10-14</v>
      </c>
      <c r="R7466" t="str">
        <f t="shared" si="233"/>
        <v>[mxqa3CDFmIT]|10-14|Female|NEW_INFECTIONS_SUBNAT.T2|CY2025Q3</v>
      </c>
    </row>
    <row r="7467" spans="4:18" x14ac:dyDescent="0.2">
      <c r="D7467" t="s">
        <v>98</v>
      </c>
      <c r="E7467" t="s">
        <v>99</v>
      </c>
      <c r="F7467" t="s">
        <v>100</v>
      </c>
      <c r="G7467" t="s">
        <v>174</v>
      </c>
      <c r="H7467" t="s">
        <v>174</v>
      </c>
      <c r="I7467" t="s">
        <v>37</v>
      </c>
      <c r="J7467" t="s">
        <v>38</v>
      </c>
      <c r="K7467" t="s">
        <v>29</v>
      </c>
      <c r="L7467" t="s">
        <v>30</v>
      </c>
      <c r="M7467" t="s">
        <v>172</v>
      </c>
      <c r="N7467">
        <v>1933</v>
      </c>
      <c r="O7467" s="14">
        <v>0.33772537508048101</v>
      </c>
      <c r="P7467" s="14">
        <v>0.57728803809732199</v>
      </c>
      <c r="Q7467" t="str">
        <f t="shared" si="232"/>
        <v>15-24</v>
      </c>
      <c r="R7467" t="str">
        <f t="shared" si="233"/>
        <v>[mxqa3CDFmIT]|15-24|Female|NEW_INFECTIONS_SUBNAT.T2|CY2025Q3</v>
      </c>
    </row>
    <row r="7468" spans="4:18" x14ac:dyDescent="0.2">
      <c r="D7468" t="s">
        <v>98</v>
      </c>
      <c r="E7468" t="s">
        <v>99</v>
      </c>
      <c r="F7468" t="s">
        <v>100</v>
      </c>
      <c r="G7468" t="s">
        <v>174</v>
      </c>
      <c r="H7468" t="s">
        <v>174</v>
      </c>
      <c r="I7468" t="s">
        <v>40</v>
      </c>
      <c r="J7468" t="s">
        <v>41</v>
      </c>
      <c r="K7468" t="s">
        <v>29</v>
      </c>
      <c r="L7468" t="s">
        <v>30</v>
      </c>
      <c r="M7468" t="s">
        <v>172</v>
      </c>
      <c r="N7468">
        <v>1003</v>
      </c>
      <c r="O7468" s="14">
        <v>6.0494045726954902E-2</v>
      </c>
      <c r="P7468" s="14">
        <v>0.57728803809732199</v>
      </c>
      <c r="Q7468" t="str">
        <f t="shared" si="232"/>
        <v>25-34</v>
      </c>
      <c r="R7468" t="str">
        <f t="shared" si="233"/>
        <v>[mxqa3CDFmIT]|25-34|Female|NEW_INFECTIONS_SUBNAT.T2|CY2025Q3</v>
      </c>
    </row>
    <row r="7469" spans="4:18" x14ac:dyDescent="0.2">
      <c r="D7469" t="s">
        <v>98</v>
      </c>
      <c r="E7469" t="s">
        <v>99</v>
      </c>
      <c r="F7469" t="s">
        <v>100</v>
      </c>
      <c r="G7469" t="s">
        <v>174</v>
      </c>
      <c r="H7469" t="s">
        <v>174</v>
      </c>
      <c r="I7469" t="s">
        <v>42</v>
      </c>
      <c r="J7469" t="s">
        <v>43</v>
      </c>
      <c r="K7469" t="s">
        <v>29</v>
      </c>
      <c r="L7469" t="s">
        <v>30</v>
      </c>
      <c r="M7469" t="s">
        <v>172</v>
      </c>
      <c r="N7469">
        <v>689</v>
      </c>
      <c r="O7469" s="14">
        <v>0.98294128733687103</v>
      </c>
      <c r="P7469" s="14">
        <v>0.57728803809732199</v>
      </c>
      <c r="Q7469" t="str">
        <f t="shared" si="232"/>
        <v>35-49</v>
      </c>
      <c r="R7469" t="str">
        <f t="shared" si="233"/>
        <v>[mxqa3CDFmIT]|35-49|Female|NEW_INFECTIONS_SUBNAT.T2|CY2025Q3</v>
      </c>
    </row>
    <row r="7470" spans="4:18" x14ac:dyDescent="0.2">
      <c r="D7470" t="s">
        <v>98</v>
      </c>
      <c r="E7470" t="s">
        <v>99</v>
      </c>
      <c r="F7470" t="s">
        <v>100</v>
      </c>
      <c r="G7470" t="s">
        <v>174</v>
      </c>
      <c r="H7470" t="s">
        <v>174</v>
      </c>
      <c r="I7470" t="s">
        <v>44</v>
      </c>
      <c r="J7470" t="s">
        <v>45</v>
      </c>
      <c r="K7470" t="s">
        <v>29</v>
      </c>
      <c r="L7470" t="s">
        <v>30</v>
      </c>
      <c r="M7470" t="s">
        <v>172</v>
      </c>
      <c r="N7470">
        <v>934</v>
      </c>
      <c r="O7470" s="14">
        <v>0.56647963705472604</v>
      </c>
      <c r="P7470" s="14">
        <v>0.57728803809732199</v>
      </c>
      <c r="Q7470" t="str">
        <f t="shared" si="232"/>
        <v>50+</v>
      </c>
      <c r="R7470" t="str">
        <f t="shared" si="233"/>
        <v>[mxqa3CDFmIT]|50+|Female|NEW_INFECTIONS_SUBNAT.T2|CY2025Q3</v>
      </c>
    </row>
    <row r="7471" spans="4:18" x14ac:dyDescent="0.2">
      <c r="D7471" t="s">
        <v>98</v>
      </c>
      <c r="E7471" t="s">
        <v>99</v>
      </c>
      <c r="F7471" t="s">
        <v>100</v>
      </c>
      <c r="G7471" t="s">
        <v>174</v>
      </c>
      <c r="H7471" t="s">
        <v>174</v>
      </c>
      <c r="I7471" t="s">
        <v>27</v>
      </c>
      <c r="J7471" t="s">
        <v>28</v>
      </c>
      <c r="K7471" t="s">
        <v>47</v>
      </c>
      <c r="L7471" t="s">
        <v>48</v>
      </c>
      <c r="M7471" t="s">
        <v>172</v>
      </c>
      <c r="N7471">
        <v>1945</v>
      </c>
      <c r="O7471" s="14">
        <v>0.68569094873964798</v>
      </c>
      <c r="P7471" s="14">
        <v>0.57728803809732199</v>
      </c>
      <c r="Q7471" t="str">
        <f t="shared" si="232"/>
        <v>&lt;01</v>
      </c>
      <c r="R7471" t="str">
        <f t="shared" si="233"/>
        <v>[mxqa3CDFmIT]|&lt;01|Male|NEW_INFECTIONS_SUBNAT.T2|CY2025Q3</v>
      </c>
    </row>
    <row r="7472" spans="4:18" x14ac:dyDescent="0.2">
      <c r="D7472" t="s">
        <v>98</v>
      </c>
      <c r="E7472" t="s">
        <v>99</v>
      </c>
      <c r="F7472" t="s">
        <v>100</v>
      </c>
      <c r="G7472" t="s">
        <v>174</v>
      </c>
      <c r="H7472" t="s">
        <v>174</v>
      </c>
      <c r="I7472" t="s">
        <v>32</v>
      </c>
      <c r="J7472" t="s">
        <v>33</v>
      </c>
      <c r="K7472" t="s">
        <v>47</v>
      </c>
      <c r="L7472" t="s">
        <v>48</v>
      </c>
      <c r="M7472" t="s">
        <v>172</v>
      </c>
      <c r="N7472">
        <v>690</v>
      </c>
      <c r="O7472" s="14">
        <v>0.78046144451945998</v>
      </c>
      <c r="P7472" s="14">
        <v>0.57728803809732199</v>
      </c>
      <c r="Q7472" t="str">
        <f t="shared" si="232"/>
        <v>01-09</v>
      </c>
      <c r="R7472" t="str">
        <f t="shared" si="233"/>
        <v>[mxqa3CDFmIT]|01-09|Male|NEW_INFECTIONS_SUBNAT.T2|CY2025Q3</v>
      </c>
    </row>
    <row r="7473" spans="4:18" x14ac:dyDescent="0.2">
      <c r="D7473" t="s">
        <v>98</v>
      </c>
      <c r="E7473" t="s">
        <v>99</v>
      </c>
      <c r="F7473" t="s">
        <v>100</v>
      </c>
      <c r="G7473" t="s">
        <v>174</v>
      </c>
      <c r="H7473" t="s">
        <v>174</v>
      </c>
      <c r="I7473" t="s">
        <v>35</v>
      </c>
      <c r="J7473" t="s">
        <v>36</v>
      </c>
      <c r="K7473" t="s">
        <v>47</v>
      </c>
      <c r="L7473" t="s">
        <v>48</v>
      </c>
      <c r="M7473" t="s">
        <v>172</v>
      </c>
      <c r="N7473">
        <v>988</v>
      </c>
      <c r="O7473" s="14">
        <v>0.316786959767342</v>
      </c>
      <c r="P7473" s="14">
        <v>0.57728803809732199</v>
      </c>
      <c r="Q7473" t="str">
        <f t="shared" si="232"/>
        <v>10-14</v>
      </c>
      <c r="R7473" t="str">
        <f t="shared" si="233"/>
        <v>[mxqa3CDFmIT]|10-14|Male|NEW_INFECTIONS_SUBNAT.T2|CY2025Q3</v>
      </c>
    </row>
    <row r="7474" spans="4:18" x14ac:dyDescent="0.2">
      <c r="D7474" t="s">
        <v>98</v>
      </c>
      <c r="E7474" t="s">
        <v>99</v>
      </c>
      <c r="F7474" t="s">
        <v>100</v>
      </c>
      <c r="G7474" t="s">
        <v>174</v>
      </c>
      <c r="H7474" t="s">
        <v>174</v>
      </c>
      <c r="I7474" t="s">
        <v>37</v>
      </c>
      <c r="J7474" t="s">
        <v>38</v>
      </c>
      <c r="K7474" t="s">
        <v>47</v>
      </c>
      <c r="L7474" t="s">
        <v>48</v>
      </c>
      <c r="M7474" t="s">
        <v>172</v>
      </c>
      <c r="N7474">
        <v>1623</v>
      </c>
      <c r="O7474" s="14">
        <v>0.76283826678991296</v>
      </c>
      <c r="P7474" s="14">
        <v>0.57728803809732199</v>
      </c>
      <c r="Q7474" t="str">
        <f t="shared" si="232"/>
        <v>15-24</v>
      </c>
      <c r="R7474" t="str">
        <f t="shared" si="233"/>
        <v>[mxqa3CDFmIT]|15-24|Male|NEW_INFECTIONS_SUBNAT.T2|CY2025Q3</v>
      </c>
    </row>
    <row r="7475" spans="4:18" x14ac:dyDescent="0.2">
      <c r="D7475" t="s">
        <v>98</v>
      </c>
      <c r="E7475" t="s">
        <v>99</v>
      </c>
      <c r="F7475" t="s">
        <v>100</v>
      </c>
      <c r="G7475" t="s">
        <v>174</v>
      </c>
      <c r="H7475" t="s">
        <v>174</v>
      </c>
      <c r="I7475" t="s">
        <v>40</v>
      </c>
      <c r="J7475" t="s">
        <v>41</v>
      </c>
      <c r="K7475" t="s">
        <v>47</v>
      </c>
      <c r="L7475" t="s">
        <v>48</v>
      </c>
      <c r="M7475" t="s">
        <v>172</v>
      </c>
      <c r="N7475">
        <v>945</v>
      </c>
      <c r="O7475" s="14">
        <v>0.93409139243885897</v>
      </c>
      <c r="P7475" s="14">
        <v>0.57728803809732199</v>
      </c>
      <c r="Q7475" t="str">
        <f t="shared" si="232"/>
        <v>25-34</v>
      </c>
      <c r="R7475" t="str">
        <f t="shared" si="233"/>
        <v>[mxqa3CDFmIT]|25-34|Male|NEW_INFECTIONS_SUBNAT.T2|CY2025Q3</v>
      </c>
    </row>
    <row r="7476" spans="4:18" x14ac:dyDescent="0.2">
      <c r="D7476" t="s">
        <v>98</v>
      </c>
      <c r="E7476" t="s">
        <v>99</v>
      </c>
      <c r="F7476" t="s">
        <v>100</v>
      </c>
      <c r="G7476" t="s">
        <v>174</v>
      </c>
      <c r="H7476" t="s">
        <v>174</v>
      </c>
      <c r="I7476" t="s">
        <v>42</v>
      </c>
      <c r="J7476" t="s">
        <v>43</v>
      </c>
      <c r="K7476" t="s">
        <v>47</v>
      </c>
      <c r="L7476" t="s">
        <v>48</v>
      </c>
      <c r="M7476" t="s">
        <v>172</v>
      </c>
      <c r="N7476">
        <v>1469</v>
      </c>
      <c r="O7476" s="14">
        <v>0.81859295349568095</v>
      </c>
      <c r="P7476" s="14">
        <v>0.57728803809732199</v>
      </c>
      <c r="Q7476" t="str">
        <f t="shared" si="232"/>
        <v>35-49</v>
      </c>
      <c r="R7476" t="str">
        <f t="shared" si="233"/>
        <v>[mxqa3CDFmIT]|35-49|Male|NEW_INFECTIONS_SUBNAT.T2|CY2025Q3</v>
      </c>
    </row>
    <row r="7477" spans="4:18" x14ac:dyDescent="0.2">
      <c r="D7477" t="s">
        <v>98</v>
      </c>
      <c r="E7477" t="s">
        <v>99</v>
      </c>
      <c r="F7477" t="s">
        <v>100</v>
      </c>
      <c r="G7477" t="s">
        <v>174</v>
      </c>
      <c r="H7477" t="s">
        <v>174</v>
      </c>
      <c r="I7477" t="s">
        <v>44</v>
      </c>
      <c r="J7477" t="s">
        <v>45</v>
      </c>
      <c r="K7477" t="s">
        <v>47</v>
      </c>
      <c r="L7477" t="s">
        <v>48</v>
      </c>
      <c r="M7477" t="s">
        <v>172</v>
      </c>
      <c r="N7477">
        <v>642</v>
      </c>
      <c r="O7477" s="14">
        <v>0.98579703154973697</v>
      </c>
      <c r="P7477" s="14">
        <v>0.57728803809732199</v>
      </c>
      <c r="Q7477" t="str">
        <f t="shared" si="232"/>
        <v>50+</v>
      </c>
      <c r="R7477" t="str">
        <f t="shared" si="233"/>
        <v>[mxqa3CDFmIT]|50+|Male|NEW_INFECTIONS_SUBNAT.T2|CY2025Q3</v>
      </c>
    </row>
    <row r="7478" spans="4:18" x14ac:dyDescent="0.2">
      <c r="D7478" t="s">
        <v>101</v>
      </c>
      <c r="E7478" t="s">
        <v>102</v>
      </c>
      <c r="F7478" t="s">
        <v>103</v>
      </c>
      <c r="G7478" t="s">
        <v>174</v>
      </c>
      <c r="H7478" t="s">
        <v>174</v>
      </c>
      <c r="I7478" t="s">
        <v>27</v>
      </c>
      <c r="J7478" t="s">
        <v>28</v>
      </c>
      <c r="K7478" t="s">
        <v>29</v>
      </c>
      <c r="L7478" t="s">
        <v>30</v>
      </c>
      <c r="M7478" t="s">
        <v>172</v>
      </c>
      <c r="N7478">
        <v>618</v>
      </c>
      <c r="O7478" s="14">
        <v>0.181801979895681</v>
      </c>
      <c r="P7478" s="14">
        <v>0.52621235931292198</v>
      </c>
      <c r="Q7478" t="str">
        <f t="shared" si="232"/>
        <v>&lt;01</v>
      </c>
      <c r="R7478" t="str">
        <f t="shared" si="233"/>
        <v>[wNqJp8oRIcF]|&lt;01|Female|NEW_INFECTIONS_SUBNAT.T2|CY2025Q3</v>
      </c>
    </row>
    <row r="7479" spans="4:18" x14ac:dyDescent="0.2">
      <c r="D7479" t="s">
        <v>101</v>
      </c>
      <c r="E7479" t="s">
        <v>102</v>
      </c>
      <c r="F7479" t="s">
        <v>103</v>
      </c>
      <c r="G7479" t="s">
        <v>174</v>
      </c>
      <c r="H7479" t="s">
        <v>174</v>
      </c>
      <c r="I7479" t="s">
        <v>32</v>
      </c>
      <c r="J7479" t="s">
        <v>33</v>
      </c>
      <c r="K7479" t="s">
        <v>29</v>
      </c>
      <c r="L7479" t="s">
        <v>30</v>
      </c>
      <c r="M7479" t="s">
        <v>172</v>
      </c>
      <c r="N7479">
        <v>1599</v>
      </c>
      <c r="O7479" s="14">
        <v>0.95062022563070103</v>
      </c>
      <c r="P7479" s="14">
        <v>0.52621235931292198</v>
      </c>
      <c r="Q7479" t="str">
        <f t="shared" si="232"/>
        <v>01-09</v>
      </c>
      <c r="R7479" t="str">
        <f t="shared" si="233"/>
        <v>[wNqJp8oRIcF]|01-09|Female|NEW_INFECTIONS_SUBNAT.T2|CY2025Q3</v>
      </c>
    </row>
    <row r="7480" spans="4:18" x14ac:dyDescent="0.2">
      <c r="D7480" t="s">
        <v>101</v>
      </c>
      <c r="E7480" t="s">
        <v>102</v>
      </c>
      <c r="F7480" t="s">
        <v>103</v>
      </c>
      <c r="G7480" t="s">
        <v>174</v>
      </c>
      <c r="H7480" t="s">
        <v>174</v>
      </c>
      <c r="I7480" t="s">
        <v>35</v>
      </c>
      <c r="J7480" t="s">
        <v>36</v>
      </c>
      <c r="K7480" t="s">
        <v>29</v>
      </c>
      <c r="L7480" t="s">
        <v>30</v>
      </c>
      <c r="M7480" t="s">
        <v>172</v>
      </c>
      <c r="N7480">
        <v>1580</v>
      </c>
      <c r="O7480" s="14">
        <v>7.9503345768898698E-2</v>
      </c>
      <c r="P7480" s="14">
        <v>0.52621235931292198</v>
      </c>
      <c r="Q7480" t="str">
        <f t="shared" si="232"/>
        <v>10-14</v>
      </c>
      <c r="R7480" t="str">
        <f t="shared" si="233"/>
        <v>[wNqJp8oRIcF]|10-14|Female|NEW_INFECTIONS_SUBNAT.T2|CY2025Q3</v>
      </c>
    </row>
    <row r="7481" spans="4:18" x14ac:dyDescent="0.2">
      <c r="D7481" t="s">
        <v>101</v>
      </c>
      <c r="E7481" t="s">
        <v>102</v>
      </c>
      <c r="F7481" t="s">
        <v>103</v>
      </c>
      <c r="G7481" t="s">
        <v>174</v>
      </c>
      <c r="H7481" t="s">
        <v>174</v>
      </c>
      <c r="I7481" t="s">
        <v>37</v>
      </c>
      <c r="J7481" t="s">
        <v>38</v>
      </c>
      <c r="K7481" t="s">
        <v>29</v>
      </c>
      <c r="L7481" t="s">
        <v>30</v>
      </c>
      <c r="M7481" t="s">
        <v>172</v>
      </c>
      <c r="N7481">
        <v>1123</v>
      </c>
      <c r="O7481" s="14">
        <v>0.30237329797819301</v>
      </c>
      <c r="P7481" s="14">
        <v>0.52621235931292198</v>
      </c>
      <c r="Q7481" t="str">
        <f t="shared" si="232"/>
        <v>15-24</v>
      </c>
      <c r="R7481" t="str">
        <f t="shared" si="233"/>
        <v>[wNqJp8oRIcF]|15-24|Female|NEW_INFECTIONS_SUBNAT.T2|CY2025Q3</v>
      </c>
    </row>
    <row r="7482" spans="4:18" x14ac:dyDescent="0.2">
      <c r="D7482" t="s">
        <v>101</v>
      </c>
      <c r="E7482" t="s">
        <v>102</v>
      </c>
      <c r="F7482" t="s">
        <v>103</v>
      </c>
      <c r="G7482" t="s">
        <v>174</v>
      </c>
      <c r="H7482" t="s">
        <v>174</v>
      </c>
      <c r="I7482" t="s">
        <v>40</v>
      </c>
      <c r="J7482" t="s">
        <v>41</v>
      </c>
      <c r="K7482" t="s">
        <v>29</v>
      </c>
      <c r="L7482" t="s">
        <v>30</v>
      </c>
      <c r="M7482" t="s">
        <v>172</v>
      </c>
      <c r="N7482">
        <v>1348</v>
      </c>
      <c r="O7482" s="14">
        <v>0.35525862360373101</v>
      </c>
      <c r="P7482" s="14">
        <v>0.52621235931292198</v>
      </c>
      <c r="Q7482" t="str">
        <f t="shared" si="232"/>
        <v>25-34</v>
      </c>
      <c r="R7482" t="str">
        <f t="shared" si="233"/>
        <v>[wNqJp8oRIcF]|25-34|Female|NEW_INFECTIONS_SUBNAT.T2|CY2025Q3</v>
      </c>
    </row>
    <row r="7483" spans="4:18" x14ac:dyDescent="0.2">
      <c r="D7483" t="s">
        <v>101</v>
      </c>
      <c r="E7483" t="s">
        <v>102</v>
      </c>
      <c r="F7483" t="s">
        <v>103</v>
      </c>
      <c r="G7483" t="s">
        <v>174</v>
      </c>
      <c r="H7483" t="s">
        <v>174</v>
      </c>
      <c r="I7483" t="s">
        <v>42</v>
      </c>
      <c r="J7483" t="s">
        <v>43</v>
      </c>
      <c r="K7483" t="s">
        <v>29</v>
      </c>
      <c r="L7483" t="s">
        <v>30</v>
      </c>
      <c r="M7483" t="s">
        <v>172</v>
      </c>
      <c r="N7483">
        <v>1831</v>
      </c>
      <c r="O7483" s="14">
        <v>0.87815789505839303</v>
      </c>
      <c r="P7483" s="14">
        <v>0.52621235931292198</v>
      </c>
      <c r="Q7483" t="str">
        <f t="shared" si="232"/>
        <v>35-49</v>
      </c>
      <c r="R7483" t="str">
        <f t="shared" si="233"/>
        <v>[wNqJp8oRIcF]|35-49|Female|NEW_INFECTIONS_SUBNAT.T2|CY2025Q3</v>
      </c>
    </row>
    <row r="7484" spans="4:18" x14ac:dyDescent="0.2">
      <c r="D7484" t="s">
        <v>101</v>
      </c>
      <c r="E7484" t="s">
        <v>102</v>
      </c>
      <c r="F7484" t="s">
        <v>103</v>
      </c>
      <c r="G7484" t="s">
        <v>174</v>
      </c>
      <c r="H7484" t="s">
        <v>174</v>
      </c>
      <c r="I7484" t="s">
        <v>44</v>
      </c>
      <c r="J7484" t="s">
        <v>45</v>
      </c>
      <c r="K7484" t="s">
        <v>29</v>
      </c>
      <c r="L7484" t="s">
        <v>30</v>
      </c>
      <c r="M7484" t="s">
        <v>172</v>
      </c>
      <c r="N7484">
        <v>1046</v>
      </c>
      <c r="O7484" s="14">
        <v>0.16081763268448401</v>
      </c>
      <c r="P7484" s="14">
        <v>0.52621235931292198</v>
      </c>
      <c r="Q7484" t="str">
        <f t="shared" si="232"/>
        <v>50+</v>
      </c>
      <c r="R7484" t="str">
        <f t="shared" si="233"/>
        <v>[wNqJp8oRIcF]|50+|Female|NEW_INFECTIONS_SUBNAT.T2|CY2025Q3</v>
      </c>
    </row>
    <row r="7485" spans="4:18" x14ac:dyDescent="0.2">
      <c r="D7485" t="s">
        <v>101</v>
      </c>
      <c r="E7485" t="s">
        <v>102</v>
      </c>
      <c r="F7485" t="s">
        <v>103</v>
      </c>
      <c r="G7485" t="s">
        <v>174</v>
      </c>
      <c r="H7485" t="s">
        <v>174</v>
      </c>
      <c r="I7485" t="s">
        <v>27</v>
      </c>
      <c r="J7485" t="s">
        <v>28</v>
      </c>
      <c r="K7485" t="s">
        <v>47</v>
      </c>
      <c r="L7485" t="s">
        <v>48</v>
      </c>
      <c r="M7485" t="s">
        <v>172</v>
      </c>
      <c r="N7485">
        <v>1944</v>
      </c>
      <c r="O7485" s="14">
        <v>0.13781504472717601</v>
      </c>
      <c r="P7485" s="14">
        <v>0.52621235931292198</v>
      </c>
      <c r="Q7485" t="str">
        <f t="shared" si="232"/>
        <v>&lt;01</v>
      </c>
      <c r="R7485" t="str">
        <f t="shared" si="233"/>
        <v>[wNqJp8oRIcF]|&lt;01|Male|NEW_INFECTIONS_SUBNAT.T2|CY2025Q3</v>
      </c>
    </row>
    <row r="7486" spans="4:18" x14ac:dyDescent="0.2">
      <c r="D7486" t="s">
        <v>101</v>
      </c>
      <c r="E7486" t="s">
        <v>102</v>
      </c>
      <c r="F7486" t="s">
        <v>103</v>
      </c>
      <c r="G7486" t="s">
        <v>174</v>
      </c>
      <c r="H7486" t="s">
        <v>174</v>
      </c>
      <c r="I7486" t="s">
        <v>32</v>
      </c>
      <c r="J7486" t="s">
        <v>33</v>
      </c>
      <c r="K7486" t="s">
        <v>47</v>
      </c>
      <c r="L7486" t="s">
        <v>48</v>
      </c>
      <c r="M7486" t="s">
        <v>172</v>
      </c>
      <c r="N7486">
        <v>1743</v>
      </c>
      <c r="O7486" s="14">
        <v>0.50961757637560401</v>
      </c>
      <c r="P7486" s="14">
        <v>0.52621235931292198</v>
      </c>
      <c r="Q7486" t="str">
        <f t="shared" si="232"/>
        <v>01-09</v>
      </c>
      <c r="R7486" t="str">
        <f t="shared" si="233"/>
        <v>[wNqJp8oRIcF]|01-09|Male|NEW_INFECTIONS_SUBNAT.T2|CY2025Q3</v>
      </c>
    </row>
    <row r="7487" spans="4:18" x14ac:dyDescent="0.2">
      <c r="D7487" t="s">
        <v>101</v>
      </c>
      <c r="E7487" t="s">
        <v>102</v>
      </c>
      <c r="F7487" t="s">
        <v>103</v>
      </c>
      <c r="G7487" t="s">
        <v>174</v>
      </c>
      <c r="H7487" t="s">
        <v>174</v>
      </c>
      <c r="I7487" t="s">
        <v>35</v>
      </c>
      <c r="J7487" t="s">
        <v>36</v>
      </c>
      <c r="K7487" t="s">
        <v>47</v>
      </c>
      <c r="L7487" t="s">
        <v>48</v>
      </c>
      <c r="M7487" t="s">
        <v>172</v>
      </c>
      <c r="N7487">
        <v>946</v>
      </c>
      <c r="O7487" s="14">
        <v>0.77217868925072297</v>
      </c>
      <c r="P7487" s="14">
        <v>0.52621235931292198</v>
      </c>
      <c r="Q7487" t="str">
        <f t="shared" si="232"/>
        <v>10-14</v>
      </c>
      <c r="R7487" t="str">
        <f t="shared" si="233"/>
        <v>[wNqJp8oRIcF]|10-14|Male|NEW_INFECTIONS_SUBNAT.T2|CY2025Q3</v>
      </c>
    </row>
    <row r="7488" spans="4:18" x14ac:dyDescent="0.2">
      <c r="D7488" t="s">
        <v>101</v>
      </c>
      <c r="E7488" t="s">
        <v>102</v>
      </c>
      <c r="F7488" t="s">
        <v>103</v>
      </c>
      <c r="G7488" t="s">
        <v>174</v>
      </c>
      <c r="H7488" t="s">
        <v>174</v>
      </c>
      <c r="I7488" t="s">
        <v>37</v>
      </c>
      <c r="J7488" t="s">
        <v>38</v>
      </c>
      <c r="K7488" t="s">
        <v>47</v>
      </c>
      <c r="L7488" t="s">
        <v>48</v>
      </c>
      <c r="M7488" t="s">
        <v>172</v>
      </c>
      <c r="N7488">
        <v>988</v>
      </c>
      <c r="O7488" s="14">
        <v>0.48985326848924199</v>
      </c>
      <c r="P7488" s="14">
        <v>0.52621235931292198</v>
      </c>
      <c r="Q7488" t="str">
        <f t="shared" si="232"/>
        <v>15-24</v>
      </c>
      <c r="R7488" t="str">
        <f t="shared" si="233"/>
        <v>[wNqJp8oRIcF]|15-24|Male|NEW_INFECTIONS_SUBNAT.T2|CY2025Q3</v>
      </c>
    </row>
    <row r="7489" spans="4:18" x14ac:dyDescent="0.2">
      <c r="D7489" t="s">
        <v>101</v>
      </c>
      <c r="E7489" t="s">
        <v>102</v>
      </c>
      <c r="F7489" t="s">
        <v>103</v>
      </c>
      <c r="G7489" t="s">
        <v>174</v>
      </c>
      <c r="H7489" t="s">
        <v>174</v>
      </c>
      <c r="I7489" t="s">
        <v>40</v>
      </c>
      <c r="J7489" t="s">
        <v>41</v>
      </c>
      <c r="K7489" t="s">
        <v>47</v>
      </c>
      <c r="L7489" t="s">
        <v>48</v>
      </c>
      <c r="M7489" t="s">
        <v>172</v>
      </c>
      <c r="N7489">
        <v>1213</v>
      </c>
      <c r="O7489" s="14">
        <v>0.83995629893615797</v>
      </c>
      <c r="P7489" s="14">
        <v>0.52621235931292198</v>
      </c>
      <c r="Q7489" t="str">
        <f t="shared" si="232"/>
        <v>25-34</v>
      </c>
      <c r="R7489" t="str">
        <f t="shared" si="233"/>
        <v>[wNqJp8oRIcF]|25-34|Male|NEW_INFECTIONS_SUBNAT.T2|CY2025Q3</v>
      </c>
    </row>
    <row r="7490" spans="4:18" x14ac:dyDescent="0.2">
      <c r="D7490" t="s">
        <v>101</v>
      </c>
      <c r="E7490" t="s">
        <v>102</v>
      </c>
      <c r="F7490" t="s">
        <v>103</v>
      </c>
      <c r="G7490" t="s">
        <v>174</v>
      </c>
      <c r="H7490" t="s">
        <v>174</v>
      </c>
      <c r="I7490" t="s">
        <v>42</v>
      </c>
      <c r="J7490" t="s">
        <v>43</v>
      </c>
      <c r="K7490" t="s">
        <v>47</v>
      </c>
      <c r="L7490" t="s">
        <v>48</v>
      </c>
      <c r="M7490" t="s">
        <v>172</v>
      </c>
      <c r="N7490">
        <v>1946</v>
      </c>
      <c r="O7490" s="14">
        <v>0.324599968502298</v>
      </c>
      <c r="P7490" s="14">
        <v>0.52621235931292198</v>
      </c>
      <c r="Q7490" t="str">
        <f t="shared" ref="Q7490:Q7553" si="234">SUBSTITUTE(SUBSTITUTE($I7490,CHAR(61),""),CHAR(34),"")</f>
        <v>35-49</v>
      </c>
      <c r="R7490" t="str">
        <f t="shared" ref="R7490:R7553" si="235">IF($D7490&lt;&gt;"","["&amp;$E7490&amp;"]"&amp;"|"&amp;$Q7490&amp;"|"&amp;$K7490&amp;"|"&amp;$G7490&amp;"|"&amp;IF($G7490="TX_CURR_SUBNAT.R","CY2022Q4",$M7490),"")</f>
        <v>[wNqJp8oRIcF]|35-49|Male|NEW_INFECTIONS_SUBNAT.T2|CY2025Q3</v>
      </c>
    </row>
    <row r="7491" spans="4:18" x14ac:dyDescent="0.2">
      <c r="D7491" t="s">
        <v>101</v>
      </c>
      <c r="E7491" t="s">
        <v>102</v>
      </c>
      <c r="F7491" t="s">
        <v>103</v>
      </c>
      <c r="G7491" t="s">
        <v>174</v>
      </c>
      <c r="H7491" t="s">
        <v>174</v>
      </c>
      <c r="I7491" t="s">
        <v>44</v>
      </c>
      <c r="J7491" t="s">
        <v>45</v>
      </c>
      <c r="K7491" t="s">
        <v>47</v>
      </c>
      <c r="L7491" t="s">
        <v>48</v>
      </c>
      <c r="M7491" t="s">
        <v>172</v>
      </c>
      <c r="N7491">
        <v>1658</v>
      </c>
      <c r="O7491" s="14">
        <v>0.86466357833705798</v>
      </c>
      <c r="P7491" s="14">
        <v>0.52621235931292198</v>
      </c>
      <c r="Q7491" t="str">
        <f t="shared" si="234"/>
        <v>50+</v>
      </c>
      <c r="R7491" t="str">
        <f t="shared" si="235"/>
        <v>[wNqJp8oRIcF]|50+|Male|NEW_INFECTIONS_SUBNAT.T2|CY2025Q3</v>
      </c>
    </row>
    <row r="7492" spans="4:18" x14ac:dyDescent="0.2">
      <c r="D7492" t="s">
        <v>104</v>
      </c>
      <c r="E7492" t="s">
        <v>105</v>
      </c>
      <c r="F7492" t="s">
        <v>106</v>
      </c>
      <c r="G7492" t="s">
        <v>174</v>
      </c>
      <c r="H7492" t="s">
        <v>174</v>
      </c>
      <c r="I7492" t="s">
        <v>27</v>
      </c>
      <c r="J7492" t="s">
        <v>28</v>
      </c>
      <c r="K7492" t="s">
        <v>29</v>
      </c>
      <c r="L7492" t="s">
        <v>30</v>
      </c>
      <c r="M7492" t="s">
        <v>172</v>
      </c>
      <c r="N7492">
        <v>1502</v>
      </c>
      <c r="O7492" s="14">
        <v>6.3537919661030201E-2</v>
      </c>
      <c r="P7492" s="14">
        <v>0.21824956033378801</v>
      </c>
      <c r="Q7492" t="str">
        <f t="shared" si="234"/>
        <v>&lt;01</v>
      </c>
      <c r="R7492" t="str">
        <f t="shared" si="235"/>
        <v>[oiPR2CiVJbf]|&lt;01|Female|NEW_INFECTIONS_SUBNAT.T2|CY2025Q3</v>
      </c>
    </row>
    <row r="7493" spans="4:18" x14ac:dyDescent="0.2">
      <c r="D7493" t="s">
        <v>104</v>
      </c>
      <c r="E7493" t="s">
        <v>105</v>
      </c>
      <c r="F7493" t="s">
        <v>106</v>
      </c>
      <c r="G7493" t="s">
        <v>174</v>
      </c>
      <c r="H7493" t="s">
        <v>174</v>
      </c>
      <c r="I7493" t="s">
        <v>32</v>
      </c>
      <c r="J7493" t="s">
        <v>33</v>
      </c>
      <c r="K7493" t="s">
        <v>29</v>
      </c>
      <c r="L7493" t="s">
        <v>30</v>
      </c>
      <c r="M7493" t="s">
        <v>172</v>
      </c>
      <c r="N7493">
        <v>651</v>
      </c>
      <c r="O7493" s="14">
        <v>0.710634791757911</v>
      </c>
      <c r="P7493" s="14">
        <v>0.21824956033378801</v>
      </c>
      <c r="Q7493" t="str">
        <f t="shared" si="234"/>
        <v>01-09</v>
      </c>
      <c r="R7493" t="str">
        <f t="shared" si="235"/>
        <v>[oiPR2CiVJbf]|01-09|Female|NEW_INFECTIONS_SUBNAT.T2|CY2025Q3</v>
      </c>
    </row>
    <row r="7494" spans="4:18" x14ac:dyDescent="0.2">
      <c r="D7494" t="s">
        <v>104</v>
      </c>
      <c r="E7494" t="s">
        <v>105</v>
      </c>
      <c r="F7494" t="s">
        <v>106</v>
      </c>
      <c r="G7494" t="s">
        <v>174</v>
      </c>
      <c r="H7494" t="s">
        <v>174</v>
      </c>
      <c r="I7494" t="s">
        <v>35</v>
      </c>
      <c r="J7494" t="s">
        <v>36</v>
      </c>
      <c r="K7494" t="s">
        <v>29</v>
      </c>
      <c r="L7494" t="s">
        <v>30</v>
      </c>
      <c r="M7494" t="s">
        <v>172</v>
      </c>
      <c r="N7494">
        <v>1249</v>
      </c>
      <c r="O7494" s="14">
        <v>1.40766613185406E-4</v>
      </c>
      <c r="P7494" s="14">
        <v>0.21824956033378801</v>
      </c>
      <c r="Q7494" t="str">
        <f t="shared" si="234"/>
        <v>10-14</v>
      </c>
      <c r="R7494" t="str">
        <f t="shared" si="235"/>
        <v>[oiPR2CiVJbf]|10-14|Female|NEW_INFECTIONS_SUBNAT.T2|CY2025Q3</v>
      </c>
    </row>
    <row r="7495" spans="4:18" x14ac:dyDescent="0.2">
      <c r="D7495" t="s">
        <v>104</v>
      </c>
      <c r="E7495" t="s">
        <v>105</v>
      </c>
      <c r="F7495" t="s">
        <v>106</v>
      </c>
      <c r="G7495" t="s">
        <v>174</v>
      </c>
      <c r="H7495" t="s">
        <v>174</v>
      </c>
      <c r="I7495" t="s">
        <v>37</v>
      </c>
      <c r="J7495" t="s">
        <v>38</v>
      </c>
      <c r="K7495" t="s">
        <v>29</v>
      </c>
      <c r="L7495" t="s">
        <v>30</v>
      </c>
      <c r="M7495" t="s">
        <v>172</v>
      </c>
      <c r="N7495">
        <v>1344</v>
      </c>
      <c r="O7495" s="14">
        <v>0.54538748227059797</v>
      </c>
      <c r="P7495" s="14">
        <v>0.21824956033378801</v>
      </c>
      <c r="Q7495" t="str">
        <f t="shared" si="234"/>
        <v>15-24</v>
      </c>
      <c r="R7495" t="str">
        <f t="shared" si="235"/>
        <v>[oiPR2CiVJbf]|15-24|Female|NEW_INFECTIONS_SUBNAT.T2|CY2025Q3</v>
      </c>
    </row>
    <row r="7496" spans="4:18" x14ac:dyDescent="0.2">
      <c r="D7496" t="s">
        <v>104</v>
      </c>
      <c r="E7496" t="s">
        <v>105</v>
      </c>
      <c r="F7496" t="s">
        <v>106</v>
      </c>
      <c r="G7496" t="s">
        <v>174</v>
      </c>
      <c r="H7496" t="s">
        <v>174</v>
      </c>
      <c r="I7496" t="s">
        <v>40</v>
      </c>
      <c r="J7496" t="s">
        <v>41</v>
      </c>
      <c r="K7496" t="s">
        <v>29</v>
      </c>
      <c r="L7496" t="s">
        <v>30</v>
      </c>
      <c r="M7496" t="s">
        <v>172</v>
      </c>
      <c r="N7496">
        <v>1321</v>
      </c>
      <c r="O7496" s="14">
        <v>0.106352318776771</v>
      </c>
      <c r="P7496" s="14">
        <v>0.21824956033378801</v>
      </c>
      <c r="Q7496" t="str">
        <f t="shared" si="234"/>
        <v>25-34</v>
      </c>
      <c r="R7496" t="str">
        <f t="shared" si="235"/>
        <v>[oiPR2CiVJbf]|25-34|Female|NEW_INFECTIONS_SUBNAT.T2|CY2025Q3</v>
      </c>
    </row>
    <row r="7497" spans="4:18" x14ac:dyDescent="0.2">
      <c r="D7497" t="s">
        <v>104</v>
      </c>
      <c r="E7497" t="s">
        <v>105</v>
      </c>
      <c r="F7497" t="s">
        <v>106</v>
      </c>
      <c r="G7497" t="s">
        <v>174</v>
      </c>
      <c r="H7497" t="s">
        <v>174</v>
      </c>
      <c r="I7497" t="s">
        <v>42</v>
      </c>
      <c r="J7497" t="s">
        <v>43</v>
      </c>
      <c r="K7497" t="s">
        <v>29</v>
      </c>
      <c r="L7497" t="s">
        <v>30</v>
      </c>
      <c r="M7497" t="s">
        <v>172</v>
      </c>
      <c r="N7497">
        <v>1419</v>
      </c>
      <c r="O7497" s="14">
        <v>0.94319195789285004</v>
      </c>
      <c r="P7497" s="14">
        <v>0.21824956033378801</v>
      </c>
      <c r="Q7497" t="str">
        <f t="shared" si="234"/>
        <v>35-49</v>
      </c>
      <c r="R7497" t="str">
        <f t="shared" si="235"/>
        <v>[oiPR2CiVJbf]|35-49|Female|NEW_INFECTIONS_SUBNAT.T2|CY2025Q3</v>
      </c>
    </row>
    <row r="7498" spans="4:18" x14ac:dyDescent="0.2">
      <c r="D7498" t="s">
        <v>104</v>
      </c>
      <c r="E7498" t="s">
        <v>105</v>
      </c>
      <c r="F7498" t="s">
        <v>106</v>
      </c>
      <c r="G7498" t="s">
        <v>174</v>
      </c>
      <c r="H7498" t="s">
        <v>174</v>
      </c>
      <c r="I7498" t="s">
        <v>44</v>
      </c>
      <c r="J7498" t="s">
        <v>45</v>
      </c>
      <c r="K7498" t="s">
        <v>29</v>
      </c>
      <c r="L7498" t="s">
        <v>30</v>
      </c>
      <c r="M7498" t="s">
        <v>172</v>
      </c>
      <c r="N7498">
        <v>1038</v>
      </c>
      <c r="O7498" s="14">
        <v>7.5792568968609003E-2</v>
      </c>
      <c r="P7498" s="14">
        <v>0.21824956033378801</v>
      </c>
      <c r="Q7498" t="str">
        <f t="shared" si="234"/>
        <v>50+</v>
      </c>
      <c r="R7498" t="str">
        <f t="shared" si="235"/>
        <v>[oiPR2CiVJbf]|50+|Female|NEW_INFECTIONS_SUBNAT.T2|CY2025Q3</v>
      </c>
    </row>
    <row r="7499" spans="4:18" x14ac:dyDescent="0.2">
      <c r="D7499" t="s">
        <v>104</v>
      </c>
      <c r="E7499" t="s">
        <v>105</v>
      </c>
      <c r="F7499" t="s">
        <v>106</v>
      </c>
      <c r="G7499" t="s">
        <v>174</v>
      </c>
      <c r="H7499" t="s">
        <v>174</v>
      </c>
      <c r="I7499" t="s">
        <v>27</v>
      </c>
      <c r="J7499" t="s">
        <v>28</v>
      </c>
      <c r="K7499" t="s">
        <v>47</v>
      </c>
      <c r="L7499" t="s">
        <v>48</v>
      </c>
      <c r="M7499" t="s">
        <v>172</v>
      </c>
      <c r="N7499">
        <v>828</v>
      </c>
      <c r="O7499" s="14">
        <v>0.113108806312084</v>
      </c>
      <c r="P7499" s="14">
        <v>0.21824956033378801</v>
      </c>
      <c r="Q7499" t="str">
        <f t="shared" si="234"/>
        <v>&lt;01</v>
      </c>
      <c r="R7499" t="str">
        <f t="shared" si="235"/>
        <v>[oiPR2CiVJbf]|&lt;01|Male|NEW_INFECTIONS_SUBNAT.T2|CY2025Q3</v>
      </c>
    </row>
    <row r="7500" spans="4:18" x14ac:dyDescent="0.2">
      <c r="D7500" t="s">
        <v>104</v>
      </c>
      <c r="E7500" t="s">
        <v>105</v>
      </c>
      <c r="F7500" t="s">
        <v>106</v>
      </c>
      <c r="G7500" t="s">
        <v>174</v>
      </c>
      <c r="H7500" t="s">
        <v>174</v>
      </c>
      <c r="I7500" t="s">
        <v>32</v>
      </c>
      <c r="J7500" t="s">
        <v>33</v>
      </c>
      <c r="K7500" t="s">
        <v>47</v>
      </c>
      <c r="L7500" t="s">
        <v>48</v>
      </c>
      <c r="M7500" t="s">
        <v>172</v>
      </c>
      <c r="N7500">
        <v>500</v>
      </c>
      <c r="O7500" s="14">
        <v>0.33984790113754598</v>
      </c>
      <c r="P7500" s="14">
        <v>0.21824956033378801</v>
      </c>
      <c r="Q7500" t="str">
        <f t="shared" si="234"/>
        <v>01-09</v>
      </c>
      <c r="R7500" t="str">
        <f t="shared" si="235"/>
        <v>[oiPR2CiVJbf]|01-09|Male|NEW_INFECTIONS_SUBNAT.T2|CY2025Q3</v>
      </c>
    </row>
    <row r="7501" spans="4:18" x14ac:dyDescent="0.2">
      <c r="D7501" t="s">
        <v>104</v>
      </c>
      <c r="E7501" t="s">
        <v>105</v>
      </c>
      <c r="F7501" t="s">
        <v>106</v>
      </c>
      <c r="G7501" t="s">
        <v>174</v>
      </c>
      <c r="H7501" t="s">
        <v>174</v>
      </c>
      <c r="I7501" t="s">
        <v>35</v>
      </c>
      <c r="J7501" t="s">
        <v>36</v>
      </c>
      <c r="K7501" t="s">
        <v>47</v>
      </c>
      <c r="L7501" t="s">
        <v>48</v>
      </c>
      <c r="M7501" t="s">
        <v>172</v>
      </c>
      <c r="N7501">
        <v>1950</v>
      </c>
      <c r="O7501" s="14">
        <v>0.78887353441677999</v>
      </c>
      <c r="P7501" s="14">
        <v>0.21824956033378801</v>
      </c>
      <c r="Q7501" t="str">
        <f t="shared" si="234"/>
        <v>10-14</v>
      </c>
      <c r="R7501" t="str">
        <f t="shared" si="235"/>
        <v>[oiPR2CiVJbf]|10-14|Male|NEW_INFECTIONS_SUBNAT.T2|CY2025Q3</v>
      </c>
    </row>
    <row r="7502" spans="4:18" x14ac:dyDescent="0.2">
      <c r="D7502" t="s">
        <v>104</v>
      </c>
      <c r="E7502" t="s">
        <v>105</v>
      </c>
      <c r="F7502" t="s">
        <v>106</v>
      </c>
      <c r="G7502" t="s">
        <v>174</v>
      </c>
      <c r="H7502" t="s">
        <v>174</v>
      </c>
      <c r="I7502" t="s">
        <v>37</v>
      </c>
      <c r="J7502" t="s">
        <v>38</v>
      </c>
      <c r="K7502" t="s">
        <v>47</v>
      </c>
      <c r="L7502" t="s">
        <v>48</v>
      </c>
      <c r="M7502" t="s">
        <v>172</v>
      </c>
      <c r="N7502">
        <v>562</v>
      </c>
      <c r="O7502" s="14">
        <v>0.61644768738187805</v>
      </c>
      <c r="P7502" s="14">
        <v>0.21824956033378801</v>
      </c>
      <c r="Q7502" t="str">
        <f t="shared" si="234"/>
        <v>15-24</v>
      </c>
      <c r="R7502" t="str">
        <f t="shared" si="235"/>
        <v>[oiPR2CiVJbf]|15-24|Male|NEW_INFECTIONS_SUBNAT.T2|CY2025Q3</v>
      </c>
    </row>
    <row r="7503" spans="4:18" x14ac:dyDescent="0.2">
      <c r="D7503" t="s">
        <v>104</v>
      </c>
      <c r="E7503" t="s">
        <v>105</v>
      </c>
      <c r="F7503" t="s">
        <v>106</v>
      </c>
      <c r="G7503" t="s">
        <v>174</v>
      </c>
      <c r="H7503" t="s">
        <v>174</v>
      </c>
      <c r="I7503" t="s">
        <v>40</v>
      </c>
      <c r="J7503" t="s">
        <v>41</v>
      </c>
      <c r="K7503" t="s">
        <v>47</v>
      </c>
      <c r="L7503" t="s">
        <v>48</v>
      </c>
      <c r="M7503" t="s">
        <v>172</v>
      </c>
      <c r="N7503">
        <v>1628</v>
      </c>
      <c r="O7503" s="14">
        <v>0.24295984092168499</v>
      </c>
      <c r="P7503" s="14">
        <v>0.21824956033378801</v>
      </c>
      <c r="Q7503" t="str">
        <f t="shared" si="234"/>
        <v>25-34</v>
      </c>
      <c r="R7503" t="str">
        <f t="shared" si="235"/>
        <v>[oiPR2CiVJbf]|25-34|Male|NEW_INFECTIONS_SUBNAT.T2|CY2025Q3</v>
      </c>
    </row>
    <row r="7504" spans="4:18" x14ac:dyDescent="0.2">
      <c r="D7504" t="s">
        <v>104</v>
      </c>
      <c r="E7504" t="s">
        <v>105</v>
      </c>
      <c r="F7504" t="s">
        <v>106</v>
      </c>
      <c r="G7504" t="s">
        <v>174</v>
      </c>
      <c r="H7504" t="s">
        <v>174</v>
      </c>
      <c r="I7504" t="s">
        <v>42</v>
      </c>
      <c r="J7504" t="s">
        <v>43</v>
      </c>
      <c r="K7504" t="s">
        <v>47</v>
      </c>
      <c r="L7504" t="s">
        <v>48</v>
      </c>
      <c r="M7504" t="s">
        <v>172</v>
      </c>
      <c r="N7504">
        <v>1910</v>
      </c>
      <c r="O7504" s="14">
        <v>0.35905428649857601</v>
      </c>
      <c r="P7504" s="14">
        <v>0.21824956033378801</v>
      </c>
      <c r="Q7504" t="str">
        <f t="shared" si="234"/>
        <v>35-49</v>
      </c>
      <c r="R7504" t="str">
        <f t="shared" si="235"/>
        <v>[oiPR2CiVJbf]|35-49|Male|NEW_INFECTIONS_SUBNAT.T2|CY2025Q3</v>
      </c>
    </row>
    <row r="7505" spans="4:18" x14ac:dyDescent="0.2">
      <c r="D7505" t="s">
        <v>104</v>
      </c>
      <c r="E7505" t="s">
        <v>105</v>
      </c>
      <c r="F7505" t="s">
        <v>106</v>
      </c>
      <c r="G7505" t="s">
        <v>174</v>
      </c>
      <c r="H7505" t="s">
        <v>174</v>
      </c>
      <c r="I7505" t="s">
        <v>44</v>
      </c>
      <c r="J7505" t="s">
        <v>45</v>
      </c>
      <c r="K7505" t="s">
        <v>47</v>
      </c>
      <c r="L7505" t="s">
        <v>48</v>
      </c>
      <c r="M7505" t="s">
        <v>172</v>
      </c>
      <c r="N7505">
        <v>1231</v>
      </c>
      <c r="O7505" s="14">
        <v>0.74022650276310697</v>
      </c>
      <c r="P7505" s="14">
        <v>0.21824956033378801</v>
      </c>
      <c r="Q7505" t="str">
        <f t="shared" si="234"/>
        <v>50+</v>
      </c>
      <c r="R7505" t="str">
        <f t="shared" si="235"/>
        <v>[oiPR2CiVJbf]|50+|Male|NEW_INFECTIONS_SUBNAT.T2|CY2025Q3</v>
      </c>
    </row>
    <row r="7506" spans="4:18" x14ac:dyDescent="0.2">
      <c r="D7506" t="s">
        <v>107</v>
      </c>
      <c r="E7506" t="s">
        <v>108</v>
      </c>
      <c r="F7506" t="s">
        <v>109</v>
      </c>
      <c r="G7506" t="s">
        <v>174</v>
      </c>
      <c r="H7506" t="s">
        <v>174</v>
      </c>
      <c r="I7506" t="s">
        <v>27</v>
      </c>
      <c r="J7506" t="s">
        <v>28</v>
      </c>
      <c r="K7506" t="s">
        <v>29</v>
      </c>
      <c r="L7506" t="s">
        <v>30</v>
      </c>
      <c r="M7506" t="s">
        <v>172</v>
      </c>
      <c r="N7506">
        <v>1232</v>
      </c>
      <c r="O7506" s="14">
        <v>0.31119346339255599</v>
      </c>
      <c r="P7506" s="14">
        <v>0.43422180437482899</v>
      </c>
      <c r="Q7506" t="str">
        <f t="shared" si="234"/>
        <v>&lt;01</v>
      </c>
      <c r="R7506" t="str">
        <f t="shared" si="235"/>
        <v>[ul0y9diGujK]|&lt;01|Female|NEW_INFECTIONS_SUBNAT.T2|CY2025Q3</v>
      </c>
    </row>
    <row r="7507" spans="4:18" x14ac:dyDescent="0.2">
      <c r="D7507" t="s">
        <v>107</v>
      </c>
      <c r="E7507" t="s">
        <v>108</v>
      </c>
      <c r="F7507" t="s">
        <v>109</v>
      </c>
      <c r="G7507" t="s">
        <v>174</v>
      </c>
      <c r="H7507" t="s">
        <v>174</v>
      </c>
      <c r="I7507" t="s">
        <v>32</v>
      </c>
      <c r="J7507" t="s">
        <v>33</v>
      </c>
      <c r="K7507" t="s">
        <v>29</v>
      </c>
      <c r="L7507" t="s">
        <v>30</v>
      </c>
      <c r="M7507" t="s">
        <v>172</v>
      </c>
      <c r="N7507">
        <v>1997</v>
      </c>
      <c r="O7507" s="14">
        <v>0.84669890441000495</v>
      </c>
      <c r="P7507" s="14">
        <v>0.43422180437482899</v>
      </c>
      <c r="Q7507" t="str">
        <f t="shared" si="234"/>
        <v>01-09</v>
      </c>
      <c r="R7507" t="str">
        <f t="shared" si="235"/>
        <v>[ul0y9diGujK]|01-09|Female|NEW_INFECTIONS_SUBNAT.T2|CY2025Q3</v>
      </c>
    </row>
    <row r="7508" spans="4:18" x14ac:dyDescent="0.2">
      <c r="D7508" t="s">
        <v>107</v>
      </c>
      <c r="E7508" t="s">
        <v>108</v>
      </c>
      <c r="F7508" t="s">
        <v>109</v>
      </c>
      <c r="G7508" t="s">
        <v>174</v>
      </c>
      <c r="H7508" t="s">
        <v>174</v>
      </c>
      <c r="I7508" t="s">
        <v>35</v>
      </c>
      <c r="J7508" t="s">
        <v>36</v>
      </c>
      <c r="K7508" t="s">
        <v>29</v>
      </c>
      <c r="L7508" t="s">
        <v>30</v>
      </c>
      <c r="M7508" t="s">
        <v>172</v>
      </c>
      <c r="N7508">
        <v>1996</v>
      </c>
      <c r="O7508" s="14">
        <v>0.285090178018436</v>
      </c>
      <c r="P7508" s="14">
        <v>0.43422180437482899</v>
      </c>
      <c r="Q7508" t="str">
        <f t="shared" si="234"/>
        <v>10-14</v>
      </c>
      <c r="R7508" t="str">
        <f t="shared" si="235"/>
        <v>[ul0y9diGujK]|10-14|Female|NEW_INFECTIONS_SUBNAT.T2|CY2025Q3</v>
      </c>
    </row>
    <row r="7509" spans="4:18" x14ac:dyDescent="0.2">
      <c r="D7509" t="s">
        <v>107</v>
      </c>
      <c r="E7509" t="s">
        <v>108</v>
      </c>
      <c r="F7509" t="s">
        <v>109</v>
      </c>
      <c r="G7509" t="s">
        <v>174</v>
      </c>
      <c r="H7509" t="s">
        <v>174</v>
      </c>
      <c r="I7509" t="s">
        <v>37</v>
      </c>
      <c r="J7509" t="s">
        <v>38</v>
      </c>
      <c r="K7509" t="s">
        <v>29</v>
      </c>
      <c r="L7509" t="s">
        <v>30</v>
      </c>
      <c r="M7509" t="s">
        <v>172</v>
      </c>
      <c r="N7509">
        <v>818</v>
      </c>
      <c r="O7509" s="14">
        <v>0.14220700506120901</v>
      </c>
      <c r="P7509" s="14">
        <v>0.43422180437482899</v>
      </c>
      <c r="Q7509" t="str">
        <f t="shared" si="234"/>
        <v>15-24</v>
      </c>
      <c r="R7509" t="str">
        <f t="shared" si="235"/>
        <v>[ul0y9diGujK]|15-24|Female|NEW_INFECTIONS_SUBNAT.T2|CY2025Q3</v>
      </c>
    </row>
    <row r="7510" spans="4:18" x14ac:dyDescent="0.2">
      <c r="D7510" t="s">
        <v>107</v>
      </c>
      <c r="E7510" t="s">
        <v>108</v>
      </c>
      <c r="F7510" t="s">
        <v>109</v>
      </c>
      <c r="G7510" t="s">
        <v>174</v>
      </c>
      <c r="H7510" t="s">
        <v>174</v>
      </c>
      <c r="I7510" t="s">
        <v>40</v>
      </c>
      <c r="J7510" t="s">
        <v>41</v>
      </c>
      <c r="K7510" t="s">
        <v>29</v>
      </c>
      <c r="L7510" t="s">
        <v>30</v>
      </c>
      <c r="M7510" t="s">
        <v>172</v>
      </c>
      <c r="N7510">
        <v>723</v>
      </c>
      <c r="O7510" s="14">
        <v>6.1204775003716301E-2</v>
      </c>
      <c r="P7510" s="14">
        <v>0.43422180437482899</v>
      </c>
      <c r="Q7510" t="str">
        <f t="shared" si="234"/>
        <v>25-34</v>
      </c>
      <c r="R7510" t="str">
        <f t="shared" si="235"/>
        <v>[ul0y9diGujK]|25-34|Female|NEW_INFECTIONS_SUBNAT.T2|CY2025Q3</v>
      </c>
    </row>
    <row r="7511" spans="4:18" x14ac:dyDescent="0.2">
      <c r="D7511" t="s">
        <v>107</v>
      </c>
      <c r="E7511" t="s">
        <v>108</v>
      </c>
      <c r="F7511" t="s">
        <v>109</v>
      </c>
      <c r="G7511" t="s">
        <v>174</v>
      </c>
      <c r="H7511" t="s">
        <v>174</v>
      </c>
      <c r="I7511" t="s">
        <v>42</v>
      </c>
      <c r="J7511" t="s">
        <v>43</v>
      </c>
      <c r="K7511" t="s">
        <v>29</v>
      </c>
      <c r="L7511" t="s">
        <v>30</v>
      </c>
      <c r="M7511" t="s">
        <v>172</v>
      </c>
      <c r="N7511">
        <v>882</v>
      </c>
      <c r="O7511" s="14">
        <v>0.64331213990226399</v>
      </c>
      <c r="P7511" s="14">
        <v>0.43422180437482899</v>
      </c>
      <c r="Q7511" t="str">
        <f t="shared" si="234"/>
        <v>35-49</v>
      </c>
      <c r="R7511" t="str">
        <f t="shared" si="235"/>
        <v>[ul0y9diGujK]|35-49|Female|NEW_INFECTIONS_SUBNAT.T2|CY2025Q3</v>
      </c>
    </row>
    <row r="7512" spans="4:18" x14ac:dyDescent="0.2">
      <c r="D7512" t="s">
        <v>107</v>
      </c>
      <c r="E7512" t="s">
        <v>108</v>
      </c>
      <c r="F7512" t="s">
        <v>109</v>
      </c>
      <c r="G7512" t="s">
        <v>174</v>
      </c>
      <c r="H7512" t="s">
        <v>174</v>
      </c>
      <c r="I7512" t="s">
        <v>44</v>
      </c>
      <c r="J7512" t="s">
        <v>45</v>
      </c>
      <c r="K7512" t="s">
        <v>29</v>
      </c>
      <c r="L7512" t="s">
        <v>30</v>
      </c>
      <c r="M7512" t="s">
        <v>172</v>
      </c>
      <c r="N7512">
        <v>1766</v>
      </c>
      <c r="O7512" s="14">
        <v>0.20399369415827101</v>
      </c>
      <c r="P7512" s="14">
        <v>0.43422180437482899</v>
      </c>
      <c r="Q7512" t="str">
        <f t="shared" si="234"/>
        <v>50+</v>
      </c>
      <c r="R7512" t="str">
        <f t="shared" si="235"/>
        <v>[ul0y9diGujK]|50+|Female|NEW_INFECTIONS_SUBNAT.T2|CY2025Q3</v>
      </c>
    </row>
    <row r="7513" spans="4:18" x14ac:dyDescent="0.2">
      <c r="D7513" t="s">
        <v>107</v>
      </c>
      <c r="E7513" t="s">
        <v>108</v>
      </c>
      <c r="F7513" t="s">
        <v>109</v>
      </c>
      <c r="G7513" t="s">
        <v>174</v>
      </c>
      <c r="H7513" t="s">
        <v>174</v>
      </c>
      <c r="I7513" t="s">
        <v>27</v>
      </c>
      <c r="J7513" t="s">
        <v>28</v>
      </c>
      <c r="K7513" t="s">
        <v>47</v>
      </c>
      <c r="L7513" t="s">
        <v>48</v>
      </c>
      <c r="M7513" t="s">
        <v>172</v>
      </c>
      <c r="N7513">
        <v>1241</v>
      </c>
      <c r="O7513" s="14">
        <v>0.85544642107561197</v>
      </c>
      <c r="P7513" s="14">
        <v>0.43422180437482899</v>
      </c>
      <c r="Q7513" t="str">
        <f t="shared" si="234"/>
        <v>&lt;01</v>
      </c>
      <c r="R7513" t="str">
        <f t="shared" si="235"/>
        <v>[ul0y9diGujK]|&lt;01|Male|NEW_INFECTIONS_SUBNAT.T2|CY2025Q3</v>
      </c>
    </row>
    <row r="7514" spans="4:18" x14ac:dyDescent="0.2">
      <c r="D7514" t="s">
        <v>107</v>
      </c>
      <c r="E7514" t="s">
        <v>108</v>
      </c>
      <c r="F7514" t="s">
        <v>109</v>
      </c>
      <c r="G7514" t="s">
        <v>174</v>
      </c>
      <c r="H7514" t="s">
        <v>174</v>
      </c>
      <c r="I7514" t="s">
        <v>32</v>
      </c>
      <c r="J7514" t="s">
        <v>33</v>
      </c>
      <c r="K7514" t="s">
        <v>47</v>
      </c>
      <c r="L7514" t="s">
        <v>48</v>
      </c>
      <c r="M7514" t="s">
        <v>172</v>
      </c>
      <c r="N7514">
        <v>1371</v>
      </c>
      <c r="O7514" s="14">
        <v>0.71616699034348097</v>
      </c>
      <c r="P7514" s="14">
        <v>0.43422180437482899</v>
      </c>
      <c r="Q7514" t="str">
        <f t="shared" si="234"/>
        <v>01-09</v>
      </c>
      <c r="R7514" t="str">
        <f t="shared" si="235"/>
        <v>[ul0y9diGujK]|01-09|Male|NEW_INFECTIONS_SUBNAT.T2|CY2025Q3</v>
      </c>
    </row>
    <row r="7515" spans="4:18" x14ac:dyDescent="0.2">
      <c r="D7515" t="s">
        <v>107</v>
      </c>
      <c r="E7515" t="s">
        <v>108</v>
      </c>
      <c r="F7515" t="s">
        <v>109</v>
      </c>
      <c r="G7515" t="s">
        <v>174</v>
      </c>
      <c r="H7515" t="s">
        <v>174</v>
      </c>
      <c r="I7515" t="s">
        <v>35</v>
      </c>
      <c r="J7515" t="s">
        <v>36</v>
      </c>
      <c r="K7515" t="s">
        <v>47</v>
      </c>
      <c r="L7515" t="s">
        <v>48</v>
      </c>
      <c r="M7515" t="s">
        <v>172</v>
      </c>
      <c r="N7515">
        <v>1428</v>
      </c>
      <c r="O7515" s="14">
        <v>0.90227937698364302</v>
      </c>
      <c r="P7515" s="14">
        <v>0.43422180437482899</v>
      </c>
      <c r="Q7515" t="str">
        <f t="shared" si="234"/>
        <v>10-14</v>
      </c>
      <c r="R7515" t="str">
        <f t="shared" si="235"/>
        <v>[ul0y9diGujK]|10-14|Male|NEW_INFECTIONS_SUBNAT.T2|CY2025Q3</v>
      </c>
    </row>
    <row r="7516" spans="4:18" x14ac:dyDescent="0.2">
      <c r="D7516" t="s">
        <v>107</v>
      </c>
      <c r="E7516" t="s">
        <v>108</v>
      </c>
      <c r="F7516" t="s">
        <v>109</v>
      </c>
      <c r="G7516" t="s">
        <v>174</v>
      </c>
      <c r="H7516" t="s">
        <v>174</v>
      </c>
      <c r="I7516" t="s">
        <v>37</v>
      </c>
      <c r="J7516" t="s">
        <v>38</v>
      </c>
      <c r="K7516" t="s">
        <v>47</v>
      </c>
      <c r="L7516" t="s">
        <v>48</v>
      </c>
      <c r="M7516" t="s">
        <v>172</v>
      </c>
      <c r="N7516">
        <v>1306</v>
      </c>
      <c r="O7516" s="14">
        <v>0.34025827189907398</v>
      </c>
      <c r="P7516" s="14">
        <v>0.43422180437482899</v>
      </c>
      <c r="Q7516" t="str">
        <f t="shared" si="234"/>
        <v>15-24</v>
      </c>
      <c r="R7516" t="str">
        <f t="shared" si="235"/>
        <v>[ul0y9diGujK]|15-24|Male|NEW_INFECTIONS_SUBNAT.T2|CY2025Q3</v>
      </c>
    </row>
    <row r="7517" spans="4:18" x14ac:dyDescent="0.2">
      <c r="D7517" t="s">
        <v>107</v>
      </c>
      <c r="E7517" t="s">
        <v>108</v>
      </c>
      <c r="F7517" t="s">
        <v>109</v>
      </c>
      <c r="G7517" t="s">
        <v>174</v>
      </c>
      <c r="H7517" t="s">
        <v>174</v>
      </c>
      <c r="I7517" t="s">
        <v>40</v>
      </c>
      <c r="J7517" t="s">
        <v>41</v>
      </c>
      <c r="K7517" t="s">
        <v>47</v>
      </c>
      <c r="L7517" t="s">
        <v>48</v>
      </c>
      <c r="M7517" t="s">
        <v>172</v>
      </c>
      <c r="N7517">
        <v>567</v>
      </c>
      <c r="O7517" s="14">
        <v>0.27606118028052201</v>
      </c>
      <c r="P7517" s="14">
        <v>0.43422180437482899</v>
      </c>
      <c r="Q7517" t="str">
        <f t="shared" si="234"/>
        <v>25-34</v>
      </c>
      <c r="R7517" t="str">
        <f t="shared" si="235"/>
        <v>[ul0y9diGujK]|25-34|Male|NEW_INFECTIONS_SUBNAT.T2|CY2025Q3</v>
      </c>
    </row>
    <row r="7518" spans="4:18" x14ac:dyDescent="0.2">
      <c r="D7518" t="s">
        <v>107</v>
      </c>
      <c r="E7518" t="s">
        <v>108</v>
      </c>
      <c r="F7518" t="s">
        <v>109</v>
      </c>
      <c r="G7518" t="s">
        <v>174</v>
      </c>
      <c r="H7518" t="s">
        <v>174</v>
      </c>
      <c r="I7518" t="s">
        <v>42</v>
      </c>
      <c r="J7518" t="s">
        <v>43</v>
      </c>
      <c r="K7518" t="s">
        <v>47</v>
      </c>
      <c r="L7518" t="s">
        <v>48</v>
      </c>
      <c r="M7518" t="s">
        <v>172</v>
      </c>
      <c r="N7518">
        <v>839</v>
      </c>
      <c r="O7518" s="14">
        <v>1.35762474965304E-2</v>
      </c>
      <c r="P7518" s="14">
        <v>0.43422180437482899</v>
      </c>
      <c r="Q7518" t="str">
        <f t="shared" si="234"/>
        <v>35-49</v>
      </c>
      <c r="R7518" t="str">
        <f t="shared" si="235"/>
        <v>[ul0y9diGujK]|35-49|Male|NEW_INFECTIONS_SUBNAT.T2|CY2025Q3</v>
      </c>
    </row>
    <row r="7519" spans="4:18" x14ac:dyDescent="0.2">
      <c r="D7519" t="s">
        <v>107</v>
      </c>
      <c r="E7519" t="s">
        <v>108</v>
      </c>
      <c r="F7519" t="s">
        <v>109</v>
      </c>
      <c r="G7519" t="s">
        <v>174</v>
      </c>
      <c r="H7519" t="s">
        <v>174</v>
      </c>
      <c r="I7519" t="s">
        <v>44</v>
      </c>
      <c r="J7519" t="s">
        <v>45</v>
      </c>
      <c r="K7519" t="s">
        <v>47</v>
      </c>
      <c r="L7519" t="s">
        <v>48</v>
      </c>
      <c r="M7519" t="s">
        <v>172</v>
      </c>
      <c r="N7519">
        <v>1214</v>
      </c>
      <c r="O7519" s="14">
        <v>0.47951160371303603</v>
      </c>
      <c r="P7519" s="14">
        <v>0.43422180437482899</v>
      </c>
      <c r="Q7519" t="str">
        <f t="shared" si="234"/>
        <v>50+</v>
      </c>
      <c r="R7519" t="str">
        <f t="shared" si="235"/>
        <v>[ul0y9diGujK]|50+|Male|NEW_INFECTIONS_SUBNAT.T2|CY2025Q3</v>
      </c>
    </row>
    <row r="7520" spans="4:18" x14ac:dyDescent="0.2">
      <c r="D7520" t="s">
        <v>110</v>
      </c>
      <c r="E7520" t="s">
        <v>111</v>
      </c>
      <c r="F7520" t="s">
        <v>112</v>
      </c>
      <c r="G7520" t="s">
        <v>174</v>
      </c>
      <c r="H7520" t="s">
        <v>174</v>
      </c>
      <c r="I7520" t="s">
        <v>27</v>
      </c>
      <c r="J7520" t="s">
        <v>28</v>
      </c>
      <c r="K7520" t="s">
        <v>29</v>
      </c>
      <c r="L7520" t="s">
        <v>30</v>
      </c>
      <c r="M7520" t="s">
        <v>172</v>
      </c>
      <c r="N7520">
        <v>1523</v>
      </c>
      <c r="O7520" s="14">
        <v>0.793356774142012</v>
      </c>
      <c r="P7520" s="14">
        <v>0.33776879496872397</v>
      </c>
      <c r="Q7520" t="str">
        <f t="shared" si="234"/>
        <v>&lt;01</v>
      </c>
      <c r="R7520" t="str">
        <f t="shared" si="235"/>
        <v>[U8c0so51kT6]|&lt;01|Female|NEW_INFECTIONS_SUBNAT.T2|CY2025Q3</v>
      </c>
    </row>
    <row r="7521" spans="4:18" x14ac:dyDescent="0.2">
      <c r="D7521" t="s">
        <v>110</v>
      </c>
      <c r="E7521" t="s">
        <v>111</v>
      </c>
      <c r="F7521" t="s">
        <v>112</v>
      </c>
      <c r="G7521" t="s">
        <v>174</v>
      </c>
      <c r="H7521" t="s">
        <v>174</v>
      </c>
      <c r="I7521" t="s">
        <v>32</v>
      </c>
      <c r="J7521" t="s">
        <v>33</v>
      </c>
      <c r="K7521" t="s">
        <v>29</v>
      </c>
      <c r="L7521" t="s">
        <v>30</v>
      </c>
      <c r="M7521" t="s">
        <v>172</v>
      </c>
      <c r="N7521">
        <v>1830</v>
      </c>
      <c r="O7521" s="14">
        <v>0.19908695085905501</v>
      </c>
      <c r="P7521" s="14">
        <v>0.33776879496872397</v>
      </c>
      <c r="Q7521" t="str">
        <f t="shared" si="234"/>
        <v>01-09</v>
      </c>
      <c r="R7521" t="str">
        <f t="shared" si="235"/>
        <v>[U8c0so51kT6]|01-09|Female|NEW_INFECTIONS_SUBNAT.T2|CY2025Q3</v>
      </c>
    </row>
    <row r="7522" spans="4:18" x14ac:dyDescent="0.2">
      <c r="D7522" t="s">
        <v>110</v>
      </c>
      <c r="E7522" t="s">
        <v>111</v>
      </c>
      <c r="F7522" t="s">
        <v>112</v>
      </c>
      <c r="G7522" t="s">
        <v>174</v>
      </c>
      <c r="H7522" t="s">
        <v>174</v>
      </c>
      <c r="I7522" t="s">
        <v>35</v>
      </c>
      <c r="J7522" t="s">
        <v>36</v>
      </c>
      <c r="K7522" t="s">
        <v>29</v>
      </c>
      <c r="L7522" t="s">
        <v>30</v>
      </c>
      <c r="M7522" t="s">
        <v>172</v>
      </c>
      <c r="N7522">
        <v>808</v>
      </c>
      <c r="O7522" s="14">
        <v>0.341803037095815</v>
      </c>
      <c r="P7522" s="14">
        <v>0.33776879496872397</v>
      </c>
      <c r="Q7522" t="str">
        <f t="shared" si="234"/>
        <v>10-14</v>
      </c>
      <c r="R7522" t="str">
        <f t="shared" si="235"/>
        <v>[U8c0so51kT6]|10-14|Female|NEW_INFECTIONS_SUBNAT.T2|CY2025Q3</v>
      </c>
    </row>
    <row r="7523" spans="4:18" x14ac:dyDescent="0.2">
      <c r="D7523" t="s">
        <v>110</v>
      </c>
      <c r="E7523" t="s">
        <v>111</v>
      </c>
      <c r="F7523" t="s">
        <v>112</v>
      </c>
      <c r="G7523" t="s">
        <v>174</v>
      </c>
      <c r="H7523" t="s">
        <v>174</v>
      </c>
      <c r="I7523" t="s">
        <v>37</v>
      </c>
      <c r="J7523" t="s">
        <v>38</v>
      </c>
      <c r="K7523" t="s">
        <v>29</v>
      </c>
      <c r="L7523" t="s">
        <v>30</v>
      </c>
      <c r="M7523" t="s">
        <v>172</v>
      </c>
      <c r="N7523">
        <v>1427</v>
      </c>
      <c r="O7523" s="14">
        <v>0.150306160096079</v>
      </c>
      <c r="P7523" s="14">
        <v>0.33776879496872397</v>
      </c>
      <c r="Q7523" t="str">
        <f t="shared" si="234"/>
        <v>15-24</v>
      </c>
      <c r="R7523" t="str">
        <f t="shared" si="235"/>
        <v>[U8c0so51kT6]|15-24|Female|NEW_INFECTIONS_SUBNAT.T2|CY2025Q3</v>
      </c>
    </row>
    <row r="7524" spans="4:18" x14ac:dyDescent="0.2">
      <c r="D7524" t="s">
        <v>110</v>
      </c>
      <c r="E7524" t="s">
        <v>111</v>
      </c>
      <c r="F7524" t="s">
        <v>112</v>
      </c>
      <c r="G7524" t="s">
        <v>174</v>
      </c>
      <c r="H7524" t="s">
        <v>174</v>
      </c>
      <c r="I7524" t="s">
        <v>40</v>
      </c>
      <c r="J7524" t="s">
        <v>41</v>
      </c>
      <c r="K7524" t="s">
        <v>29</v>
      </c>
      <c r="L7524" t="s">
        <v>30</v>
      </c>
      <c r="M7524" t="s">
        <v>172</v>
      </c>
      <c r="N7524">
        <v>501</v>
      </c>
      <c r="O7524" s="14">
        <v>0.31681332993321099</v>
      </c>
      <c r="P7524" s="14">
        <v>0.33776879496872397</v>
      </c>
      <c r="Q7524" t="str">
        <f t="shared" si="234"/>
        <v>25-34</v>
      </c>
      <c r="R7524" t="str">
        <f t="shared" si="235"/>
        <v>[U8c0so51kT6]|25-34|Female|NEW_INFECTIONS_SUBNAT.T2|CY2025Q3</v>
      </c>
    </row>
    <row r="7525" spans="4:18" x14ac:dyDescent="0.2">
      <c r="D7525" t="s">
        <v>110</v>
      </c>
      <c r="E7525" t="s">
        <v>111</v>
      </c>
      <c r="F7525" t="s">
        <v>112</v>
      </c>
      <c r="G7525" t="s">
        <v>174</v>
      </c>
      <c r="H7525" t="s">
        <v>174</v>
      </c>
      <c r="I7525" t="s">
        <v>42</v>
      </c>
      <c r="J7525" t="s">
        <v>43</v>
      </c>
      <c r="K7525" t="s">
        <v>29</v>
      </c>
      <c r="L7525" t="s">
        <v>30</v>
      </c>
      <c r="M7525" t="s">
        <v>172</v>
      </c>
      <c r="N7525">
        <v>1890</v>
      </c>
      <c r="O7525" s="14">
        <v>6.9454324198886794E-2</v>
      </c>
      <c r="P7525" s="14">
        <v>0.33776879496872397</v>
      </c>
      <c r="Q7525" t="str">
        <f t="shared" si="234"/>
        <v>35-49</v>
      </c>
      <c r="R7525" t="str">
        <f t="shared" si="235"/>
        <v>[U8c0so51kT6]|35-49|Female|NEW_INFECTIONS_SUBNAT.T2|CY2025Q3</v>
      </c>
    </row>
    <row r="7526" spans="4:18" x14ac:dyDescent="0.2">
      <c r="D7526" t="s">
        <v>110</v>
      </c>
      <c r="E7526" t="s">
        <v>111</v>
      </c>
      <c r="F7526" t="s">
        <v>112</v>
      </c>
      <c r="G7526" t="s">
        <v>174</v>
      </c>
      <c r="H7526" t="s">
        <v>174</v>
      </c>
      <c r="I7526" t="s">
        <v>44</v>
      </c>
      <c r="J7526" t="s">
        <v>45</v>
      </c>
      <c r="K7526" t="s">
        <v>29</v>
      </c>
      <c r="L7526" t="s">
        <v>30</v>
      </c>
      <c r="M7526" t="s">
        <v>172</v>
      </c>
      <c r="N7526">
        <v>1340</v>
      </c>
      <c r="O7526" s="14">
        <v>0.201113698538393</v>
      </c>
      <c r="P7526" s="14">
        <v>0.33776879496872397</v>
      </c>
      <c r="Q7526" t="str">
        <f t="shared" si="234"/>
        <v>50+</v>
      </c>
      <c r="R7526" t="str">
        <f t="shared" si="235"/>
        <v>[U8c0so51kT6]|50+|Female|NEW_INFECTIONS_SUBNAT.T2|CY2025Q3</v>
      </c>
    </row>
    <row r="7527" spans="4:18" x14ac:dyDescent="0.2">
      <c r="D7527" t="s">
        <v>110</v>
      </c>
      <c r="E7527" t="s">
        <v>111</v>
      </c>
      <c r="F7527" t="s">
        <v>112</v>
      </c>
      <c r="G7527" t="s">
        <v>174</v>
      </c>
      <c r="H7527" t="s">
        <v>174</v>
      </c>
      <c r="I7527" t="s">
        <v>27</v>
      </c>
      <c r="J7527" t="s">
        <v>28</v>
      </c>
      <c r="K7527" t="s">
        <v>47</v>
      </c>
      <c r="L7527" t="s">
        <v>48</v>
      </c>
      <c r="M7527" t="s">
        <v>172</v>
      </c>
      <c r="N7527">
        <v>1059</v>
      </c>
      <c r="O7527" s="14">
        <v>0.66521471180021796</v>
      </c>
      <c r="P7527" s="14">
        <v>0.33776879496872397</v>
      </c>
      <c r="Q7527" t="str">
        <f t="shared" si="234"/>
        <v>&lt;01</v>
      </c>
      <c r="R7527" t="str">
        <f t="shared" si="235"/>
        <v>[U8c0so51kT6]|&lt;01|Male|NEW_INFECTIONS_SUBNAT.T2|CY2025Q3</v>
      </c>
    </row>
    <row r="7528" spans="4:18" x14ac:dyDescent="0.2">
      <c r="D7528" t="s">
        <v>110</v>
      </c>
      <c r="E7528" t="s">
        <v>111</v>
      </c>
      <c r="F7528" t="s">
        <v>112</v>
      </c>
      <c r="G7528" t="s">
        <v>174</v>
      </c>
      <c r="H7528" t="s">
        <v>174</v>
      </c>
      <c r="I7528" t="s">
        <v>32</v>
      </c>
      <c r="J7528" t="s">
        <v>33</v>
      </c>
      <c r="K7528" t="s">
        <v>47</v>
      </c>
      <c r="L7528" t="s">
        <v>48</v>
      </c>
      <c r="M7528" t="s">
        <v>172</v>
      </c>
      <c r="N7528">
        <v>1923</v>
      </c>
      <c r="O7528" s="14">
        <v>0.69434658857062503</v>
      </c>
      <c r="P7528" s="14">
        <v>0.33776879496872397</v>
      </c>
      <c r="Q7528" t="str">
        <f t="shared" si="234"/>
        <v>01-09</v>
      </c>
      <c r="R7528" t="str">
        <f t="shared" si="235"/>
        <v>[U8c0so51kT6]|01-09|Male|NEW_INFECTIONS_SUBNAT.T2|CY2025Q3</v>
      </c>
    </row>
    <row r="7529" spans="4:18" x14ac:dyDescent="0.2">
      <c r="D7529" t="s">
        <v>110</v>
      </c>
      <c r="E7529" t="s">
        <v>111</v>
      </c>
      <c r="F7529" t="s">
        <v>112</v>
      </c>
      <c r="G7529" t="s">
        <v>174</v>
      </c>
      <c r="H7529" t="s">
        <v>174</v>
      </c>
      <c r="I7529" t="s">
        <v>35</v>
      </c>
      <c r="J7529" t="s">
        <v>36</v>
      </c>
      <c r="K7529" t="s">
        <v>47</v>
      </c>
      <c r="L7529" t="s">
        <v>48</v>
      </c>
      <c r="M7529" t="s">
        <v>172</v>
      </c>
      <c r="N7529">
        <v>742</v>
      </c>
      <c r="O7529" s="14">
        <v>0.34494921937584899</v>
      </c>
      <c r="P7529" s="14">
        <v>0.33776879496872397</v>
      </c>
      <c r="Q7529" t="str">
        <f t="shared" si="234"/>
        <v>10-14</v>
      </c>
      <c r="R7529" t="str">
        <f t="shared" si="235"/>
        <v>[U8c0so51kT6]|10-14|Male|NEW_INFECTIONS_SUBNAT.T2|CY2025Q3</v>
      </c>
    </row>
    <row r="7530" spans="4:18" x14ac:dyDescent="0.2">
      <c r="D7530" t="s">
        <v>110</v>
      </c>
      <c r="E7530" t="s">
        <v>111</v>
      </c>
      <c r="F7530" t="s">
        <v>112</v>
      </c>
      <c r="G7530" t="s">
        <v>174</v>
      </c>
      <c r="H7530" t="s">
        <v>174</v>
      </c>
      <c r="I7530" t="s">
        <v>37</v>
      </c>
      <c r="J7530" t="s">
        <v>38</v>
      </c>
      <c r="K7530" t="s">
        <v>47</v>
      </c>
      <c r="L7530" t="s">
        <v>48</v>
      </c>
      <c r="M7530" t="s">
        <v>172</v>
      </c>
      <c r="N7530">
        <v>1804</v>
      </c>
      <c r="O7530" s="14">
        <v>0.56425585807301104</v>
      </c>
      <c r="P7530" s="14">
        <v>0.33776879496872397</v>
      </c>
      <c r="Q7530" t="str">
        <f t="shared" si="234"/>
        <v>15-24</v>
      </c>
      <c r="R7530" t="str">
        <f t="shared" si="235"/>
        <v>[U8c0so51kT6]|15-24|Male|NEW_INFECTIONS_SUBNAT.T2|CY2025Q3</v>
      </c>
    </row>
    <row r="7531" spans="4:18" x14ac:dyDescent="0.2">
      <c r="D7531" t="s">
        <v>110</v>
      </c>
      <c r="E7531" t="s">
        <v>111</v>
      </c>
      <c r="F7531" t="s">
        <v>112</v>
      </c>
      <c r="G7531" t="s">
        <v>174</v>
      </c>
      <c r="H7531" t="s">
        <v>174</v>
      </c>
      <c r="I7531" t="s">
        <v>40</v>
      </c>
      <c r="J7531" t="s">
        <v>41</v>
      </c>
      <c r="K7531" t="s">
        <v>47</v>
      </c>
      <c r="L7531" t="s">
        <v>48</v>
      </c>
      <c r="M7531" t="s">
        <v>172</v>
      </c>
      <c r="N7531">
        <v>1481</v>
      </c>
      <c r="O7531" s="14">
        <v>0.75706390244886301</v>
      </c>
      <c r="P7531" s="14">
        <v>0.33776879496872397</v>
      </c>
      <c r="Q7531" t="str">
        <f t="shared" si="234"/>
        <v>25-34</v>
      </c>
      <c r="R7531" t="str">
        <f t="shared" si="235"/>
        <v>[U8c0so51kT6]|25-34|Male|NEW_INFECTIONS_SUBNAT.T2|CY2025Q3</v>
      </c>
    </row>
    <row r="7532" spans="4:18" x14ac:dyDescent="0.2">
      <c r="D7532" t="s">
        <v>110</v>
      </c>
      <c r="E7532" t="s">
        <v>111</v>
      </c>
      <c r="F7532" t="s">
        <v>112</v>
      </c>
      <c r="G7532" t="s">
        <v>174</v>
      </c>
      <c r="H7532" t="s">
        <v>174</v>
      </c>
      <c r="I7532" t="s">
        <v>42</v>
      </c>
      <c r="J7532" t="s">
        <v>43</v>
      </c>
      <c r="K7532" t="s">
        <v>47</v>
      </c>
      <c r="L7532" t="s">
        <v>48</v>
      </c>
      <c r="M7532" t="s">
        <v>172</v>
      </c>
      <c r="N7532">
        <v>569</v>
      </c>
      <c r="O7532" s="14">
        <v>0.29234723094850801</v>
      </c>
      <c r="P7532" s="14">
        <v>0.33776879496872397</v>
      </c>
      <c r="Q7532" t="str">
        <f t="shared" si="234"/>
        <v>35-49</v>
      </c>
      <c r="R7532" t="str">
        <f t="shared" si="235"/>
        <v>[U8c0so51kT6]|35-49|Male|NEW_INFECTIONS_SUBNAT.T2|CY2025Q3</v>
      </c>
    </row>
    <row r="7533" spans="4:18" x14ac:dyDescent="0.2">
      <c r="D7533" t="s">
        <v>110</v>
      </c>
      <c r="E7533" t="s">
        <v>111</v>
      </c>
      <c r="F7533" t="s">
        <v>112</v>
      </c>
      <c r="G7533" t="s">
        <v>174</v>
      </c>
      <c r="H7533" t="s">
        <v>174</v>
      </c>
      <c r="I7533" t="s">
        <v>44</v>
      </c>
      <c r="J7533" t="s">
        <v>45</v>
      </c>
      <c r="K7533" t="s">
        <v>47</v>
      </c>
      <c r="L7533" t="s">
        <v>48</v>
      </c>
      <c r="M7533" t="s">
        <v>172</v>
      </c>
      <c r="N7533">
        <v>1929</v>
      </c>
      <c r="O7533" s="14">
        <v>0.196500579128042</v>
      </c>
      <c r="P7533" s="14">
        <v>0.33776879496872397</v>
      </c>
      <c r="Q7533" t="str">
        <f t="shared" si="234"/>
        <v>50+</v>
      </c>
      <c r="R7533" t="str">
        <f t="shared" si="235"/>
        <v>[U8c0so51kT6]|50+|Male|NEW_INFECTIONS_SUBNAT.T2|CY2025Q3</v>
      </c>
    </row>
    <row r="7534" spans="4:18" x14ac:dyDescent="0.2">
      <c r="D7534" t="s">
        <v>113</v>
      </c>
      <c r="E7534" t="s">
        <v>114</v>
      </c>
      <c r="F7534" t="s">
        <v>115</v>
      </c>
      <c r="G7534" t="s">
        <v>174</v>
      </c>
      <c r="H7534" t="s">
        <v>174</v>
      </c>
      <c r="I7534" t="s">
        <v>27</v>
      </c>
      <c r="J7534" t="s">
        <v>28</v>
      </c>
      <c r="K7534" t="s">
        <v>29</v>
      </c>
      <c r="L7534" t="s">
        <v>30</v>
      </c>
      <c r="M7534" t="s">
        <v>172</v>
      </c>
      <c r="N7534">
        <v>1333</v>
      </c>
      <c r="O7534" s="14">
        <v>0.92932469886727598</v>
      </c>
      <c r="P7534" s="14">
        <v>0.29855980910360802</v>
      </c>
      <c r="Q7534" t="str">
        <f t="shared" si="234"/>
        <v>&lt;01</v>
      </c>
      <c r="R7534" t="str">
        <f t="shared" si="235"/>
        <v>[rpw540fmNUz]|&lt;01|Female|NEW_INFECTIONS_SUBNAT.T2|CY2025Q3</v>
      </c>
    </row>
    <row r="7535" spans="4:18" x14ac:dyDescent="0.2">
      <c r="D7535" t="s">
        <v>113</v>
      </c>
      <c r="E7535" t="s">
        <v>114</v>
      </c>
      <c r="F7535" t="s">
        <v>115</v>
      </c>
      <c r="G7535" t="s">
        <v>174</v>
      </c>
      <c r="H7535" t="s">
        <v>174</v>
      </c>
      <c r="I7535" t="s">
        <v>32</v>
      </c>
      <c r="J7535" t="s">
        <v>33</v>
      </c>
      <c r="K7535" t="s">
        <v>29</v>
      </c>
      <c r="L7535" t="s">
        <v>30</v>
      </c>
      <c r="M7535" t="s">
        <v>172</v>
      </c>
      <c r="N7535">
        <v>1928</v>
      </c>
      <c r="O7535" s="14">
        <v>0.68163430178537998</v>
      </c>
      <c r="P7535" s="14">
        <v>0.29855980910360802</v>
      </c>
      <c r="Q7535" t="str">
        <f t="shared" si="234"/>
        <v>01-09</v>
      </c>
      <c r="R7535" t="str">
        <f t="shared" si="235"/>
        <v>[rpw540fmNUz]|01-09|Female|NEW_INFECTIONS_SUBNAT.T2|CY2025Q3</v>
      </c>
    </row>
    <row r="7536" spans="4:18" x14ac:dyDescent="0.2">
      <c r="D7536" t="s">
        <v>113</v>
      </c>
      <c r="E7536" t="s">
        <v>114</v>
      </c>
      <c r="F7536" t="s">
        <v>115</v>
      </c>
      <c r="G7536" t="s">
        <v>174</v>
      </c>
      <c r="H7536" t="s">
        <v>174</v>
      </c>
      <c r="I7536" t="s">
        <v>35</v>
      </c>
      <c r="J7536" t="s">
        <v>36</v>
      </c>
      <c r="K7536" t="s">
        <v>29</v>
      </c>
      <c r="L7536" t="s">
        <v>30</v>
      </c>
      <c r="M7536" t="s">
        <v>172</v>
      </c>
      <c r="N7536">
        <v>1264</v>
      </c>
      <c r="O7536" s="14">
        <v>0.82098530814982995</v>
      </c>
      <c r="P7536" s="14">
        <v>0.29855980910360802</v>
      </c>
      <c r="Q7536" t="str">
        <f t="shared" si="234"/>
        <v>10-14</v>
      </c>
      <c r="R7536" t="str">
        <f t="shared" si="235"/>
        <v>[rpw540fmNUz]|10-14|Female|NEW_INFECTIONS_SUBNAT.T2|CY2025Q3</v>
      </c>
    </row>
    <row r="7537" spans="4:18" x14ac:dyDescent="0.2">
      <c r="D7537" t="s">
        <v>113</v>
      </c>
      <c r="E7537" t="s">
        <v>114</v>
      </c>
      <c r="F7537" t="s">
        <v>115</v>
      </c>
      <c r="G7537" t="s">
        <v>174</v>
      </c>
      <c r="H7537" t="s">
        <v>174</v>
      </c>
      <c r="I7537" t="s">
        <v>37</v>
      </c>
      <c r="J7537" t="s">
        <v>38</v>
      </c>
      <c r="K7537" t="s">
        <v>29</v>
      </c>
      <c r="L7537" t="s">
        <v>30</v>
      </c>
      <c r="M7537" t="s">
        <v>172</v>
      </c>
      <c r="N7537">
        <v>1014</v>
      </c>
      <c r="O7537" s="14">
        <v>0.112395045580342</v>
      </c>
      <c r="P7537" s="14">
        <v>0.29855980910360802</v>
      </c>
      <c r="Q7537" t="str">
        <f t="shared" si="234"/>
        <v>15-24</v>
      </c>
      <c r="R7537" t="str">
        <f t="shared" si="235"/>
        <v>[rpw540fmNUz]|15-24|Female|NEW_INFECTIONS_SUBNAT.T2|CY2025Q3</v>
      </c>
    </row>
    <row r="7538" spans="4:18" x14ac:dyDescent="0.2">
      <c r="D7538" t="s">
        <v>113</v>
      </c>
      <c r="E7538" t="s">
        <v>114</v>
      </c>
      <c r="F7538" t="s">
        <v>115</v>
      </c>
      <c r="G7538" t="s">
        <v>174</v>
      </c>
      <c r="H7538" t="s">
        <v>174</v>
      </c>
      <c r="I7538" t="s">
        <v>40</v>
      </c>
      <c r="J7538" t="s">
        <v>41</v>
      </c>
      <c r="K7538" t="s">
        <v>29</v>
      </c>
      <c r="L7538" t="s">
        <v>30</v>
      </c>
      <c r="M7538" t="s">
        <v>172</v>
      </c>
      <c r="N7538">
        <v>1596</v>
      </c>
      <c r="O7538" s="14">
        <v>0.195361407473683</v>
      </c>
      <c r="P7538" s="14">
        <v>0.29855980910360802</v>
      </c>
      <c r="Q7538" t="str">
        <f t="shared" si="234"/>
        <v>25-34</v>
      </c>
      <c r="R7538" t="str">
        <f t="shared" si="235"/>
        <v>[rpw540fmNUz]|25-34|Female|NEW_INFECTIONS_SUBNAT.T2|CY2025Q3</v>
      </c>
    </row>
    <row r="7539" spans="4:18" x14ac:dyDescent="0.2">
      <c r="D7539" t="s">
        <v>113</v>
      </c>
      <c r="E7539" t="s">
        <v>114</v>
      </c>
      <c r="F7539" t="s">
        <v>115</v>
      </c>
      <c r="G7539" t="s">
        <v>174</v>
      </c>
      <c r="H7539" t="s">
        <v>174</v>
      </c>
      <c r="I7539" t="s">
        <v>42</v>
      </c>
      <c r="J7539" t="s">
        <v>43</v>
      </c>
      <c r="K7539" t="s">
        <v>29</v>
      </c>
      <c r="L7539" t="s">
        <v>30</v>
      </c>
      <c r="M7539" t="s">
        <v>172</v>
      </c>
      <c r="N7539">
        <v>663</v>
      </c>
      <c r="O7539" s="14">
        <v>0.66599070467054799</v>
      </c>
      <c r="P7539" s="14">
        <v>0.29855980910360802</v>
      </c>
      <c r="Q7539" t="str">
        <f t="shared" si="234"/>
        <v>35-49</v>
      </c>
      <c r="R7539" t="str">
        <f t="shared" si="235"/>
        <v>[rpw540fmNUz]|35-49|Female|NEW_INFECTIONS_SUBNAT.T2|CY2025Q3</v>
      </c>
    </row>
    <row r="7540" spans="4:18" x14ac:dyDescent="0.2">
      <c r="D7540" t="s">
        <v>113</v>
      </c>
      <c r="E7540" t="s">
        <v>114</v>
      </c>
      <c r="F7540" t="s">
        <v>115</v>
      </c>
      <c r="G7540" t="s">
        <v>174</v>
      </c>
      <c r="H7540" t="s">
        <v>174</v>
      </c>
      <c r="I7540" t="s">
        <v>44</v>
      </c>
      <c r="J7540" t="s">
        <v>45</v>
      </c>
      <c r="K7540" t="s">
        <v>29</v>
      </c>
      <c r="L7540" t="s">
        <v>30</v>
      </c>
      <c r="M7540" t="s">
        <v>172</v>
      </c>
      <c r="N7540">
        <v>913</v>
      </c>
      <c r="O7540" s="14">
        <v>0.38382220710627701</v>
      </c>
      <c r="P7540" s="14">
        <v>0.29855980910360802</v>
      </c>
      <c r="Q7540" t="str">
        <f t="shared" si="234"/>
        <v>50+</v>
      </c>
      <c r="R7540" t="str">
        <f t="shared" si="235"/>
        <v>[rpw540fmNUz]|50+|Female|NEW_INFECTIONS_SUBNAT.T2|CY2025Q3</v>
      </c>
    </row>
    <row r="7541" spans="4:18" x14ac:dyDescent="0.2">
      <c r="D7541" t="s">
        <v>113</v>
      </c>
      <c r="E7541" t="s">
        <v>114</v>
      </c>
      <c r="F7541" t="s">
        <v>115</v>
      </c>
      <c r="G7541" t="s">
        <v>174</v>
      </c>
      <c r="H7541" t="s">
        <v>174</v>
      </c>
      <c r="I7541" t="s">
        <v>27</v>
      </c>
      <c r="J7541" t="s">
        <v>28</v>
      </c>
      <c r="K7541" t="s">
        <v>47</v>
      </c>
      <c r="L7541" t="s">
        <v>48</v>
      </c>
      <c r="M7541" t="s">
        <v>172</v>
      </c>
      <c r="N7541">
        <v>740</v>
      </c>
      <c r="O7541" s="14">
        <v>0.42332500335760398</v>
      </c>
      <c r="P7541" s="14">
        <v>0.29855980910360802</v>
      </c>
      <c r="Q7541" t="str">
        <f t="shared" si="234"/>
        <v>&lt;01</v>
      </c>
      <c r="R7541" t="str">
        <f t="shared" si="235"/>
        <v>[rpw540fmNUz]|&lt;01|Male|NEW_INFECTIONS_SUBNAT.T2|CY2025Q3</v>
      </c>
    </row>
    <row r="7542" spans="4:18" x14ac:dyDescent="0.2">
      <c r="D7542" t="s">
        <v>113</v>
      </c>
      <c r="E7542" t="s">
        <v>114</v>
      </c>
      <c r="F7542" t="s">
        <v>115</v>
      </c>
      <c r="G7542" t="s">
        <v>174</v>
      </c>
      <c r="H7542" t="s">
        <v>174</v>
      </c>
      <c r="I7542" t="s">
        <v>32</v>
      </c>
      <c r="J7542" t="s">
        <v>33</v>
      </c>
      <c r="K7542" t="s">
        <v>47</v>
      </c>
      <c r="L7542" t="s">
        <v>48</v>
      </c>
      <c r="M7542" t="s">
        <v>172</v>
      </c>
      <c r="N7542">
        <v>1525</v>
      </c>
      <c r="O7542" s="14">
        <v>0.240498722996563</v>
      </c>
      <c r="P7542" s="14">
        <v>0.29855980910360802</v>
      </c>
      <c r="Q7542" t="str">
        <f t="shared" si="234"/>
        <v>01-09</v>
      </c>
      <c r="R7542" t="str">
        <f t="shared" si="235"/>
        <v>[rpw540fmNUz]|01-09|Male|NEW_INFECTIONS_SUBNAT.T2|CY2025Q3</v>
      </c>
    </row>
    <row r="7543" spans="4:18" x14ac:dyDescent="0.2">
      <c r="D7543" t="s">
        <v>113</v>
      </c>
      <c r="E7543" t="s">
        <v>114</v>
      </c>
      <c r="F7543" t="s">
        <v>115</v>
      </c>
      <c r="G7543" t="s">
        <v>174</v>
      </c>
      <c r="H7543" t="s">
        <v>174</v>
      </c>
      <c r="I7543" t="s">
        <v>35</v>
      </c>
      <c r="J7543" t="s">
        <v>36</v>
      </c>
      <c r="K7543" t="s">
        <v>47</v>
      </c>
      <c r="L7543" t="s">
        <v>48</v>
      </c>
      <c r="M7543" t="s">
        <v>172</v>
      </c>
      <c r="N7543">
        <v>860</v>
      </c>
      <c r="O7543" s="14">
        <v>0.58388965297490403</v>
      </c>
      <c r="P7543" s="14">
        <v>0.29855980910360802</v>
      </c>
      <c r="Q7543" t="str">
        <f t="shared" si="234"/>
        <v>10-14</v>
      </c>
      <c r="R7543" t="str">
        <f t="shared" si="235"/>
        <v>[rpw540fmNUz]|10-14|Male|NEW_INFECTIONS_SUBNAT.T2|CY2025Q3</v>
      </c>
    </row>
    <row r="7544" spans="4:18" x14ac:dyDescent="0.2">
      <c r="D7544" t="s">
        <v>113</v>
      </c>
      <c r="E7544" t="s">
        <v>114</v>
      </c>
      <c r="F7544" t="s">
        <v>115</v>
      </c>
      <c r="G7544" t="s">
        <v>174</v>
      </c>
      <c r="H7544" t="s">
        <v>174</v>
      </c>
      <c r="I7544" t="s">
        <v>37</v>
      </c>
      <c r="J7544" t="s">
        <v>38</v>
      </c>
      <c r="K7544" t="s">
        <v>47</v>
      </c>
      <c r="L7544" t="s">
        <v>48</v>
      </c>
      <c r="M7544" t="s">
        <v>172</v>
      </c>
      <c r="N7544">
        <v>1701</v>
      </c>
      <c r="O7544" s="14">
        <v>0.804666274692863</v>
      </c>
      <c r="P7544" s="14">
        <v>0.29855980910360802</v>
      </c>
      <c r="Q7544" t="str">
        <f t="shared" si="234"/>
        <v>15-24</v>
      </c>
      <c r="R7544" t="str">
        <f t="shared" si="235"/>
        <v>[rpw540fmNUz]|15-24|Male|NEW_INFECTIONS_SUBNAT.T2|CY2025Q3</v>
      </c>
    </row>
    <row r="7545" spans="4:18" x14ac:dyDescent="0.2">
      <c r="D7545" t="s">
        <v>113</v>
      </c>
      <c r="E7545" t="s">
        <v>114</v>
      </c>
      <c r="F7545" t="s">
        <v>115</v>
      </c>
      <c r="G7545" t="s">
        <v>174</v>
      </c>
      <c r="H7545" t="s">
        <v>174</v>
      </c>
      <c r="I7545" t="s">
        <v>40</v>
      </c>
      <c r="J7545" t="s">
        <v>41</v>
      </c>
      <c r="K7545" t="s">
        <v>47</v>
      </c>
      <c r="L7545" t="s">
        <v>48</v>
      </c>
      <c r="M7545" t="s">
        <v>172</v>
      </c>
      <c r="N7545">
        <v>727</v>
      </c>
      <c r="O7545" s="14">
        <v>0.27174273133277899</v>
      </c>
      <c r="P7545" s="14">
        <v>0.29855980910360802</v>
      </c>
      <c r="Q7545" t="str">
        <f t="shared" si="234"/>
        <v>25-34</v>
      </c>
      <c r="R7545" t="str">
        <f t="shared" si="235"/>
        <v>[rpw540fmNUz]|25-34|Male|NEW_INFECTIONS_SUBNAT.T2|CY2025Q3</v>
      </c>
    </row>
    <row r="7546" spans="4:18" x14ac:dyDescent="0.2">
      <c r="D7546" t="s">
        <v>113</v>
      </c>
      <c r="E7546" t="s">
        <v>114</v>
      </c>
      <c r="F7546" t="s">
        <v>115</v>
      </c>
      <c r="G7546" t="s">
        <v>174</v>
      </c>
      <c r="H7546" t="s">
        <v>174</v>
      </c>
      <c r="I7546" t="s">
        <v>42</v>
      </c>
      <c r="J7546" t="s">
        <v>43</v>
      </c>
      <c r="K7546" t="s">
        <v>47</v>
      </c>
      <c r="L7546" t="s">
        <v>48</v>
      </c>
      <c r="M7546" t="s">
        <v>172</v>
      </c>
      <c r="N7546">
        <v>1282</v>
      </c>
      <c r="O7546" s="14">
        <v>0.50147107406519398</v>
      </c>
      <c r="P7546" s="14">
        <v>0.29855980910360802</v>
      </c>
      <c r="Q7546" t="str">
        <f t="shared" si="234"/>
        <v>35-49</v>
      </c>
      <c r="R7546" t="str">
        <f t="shared" si="235"/>
        <v>[rpw540fmNUz]|35-49|Male|NEW_INFECTIONS_SUBNAT.T2|CY2025Q3</v>
      </c>
    </row>
    <row r="7547" spans="4:18" x14ac:dyDescent="0.2">
      <c r="D7547" t="s">
        <v>113</v>
      </c>
      <c r="E7547" t="s">
        <v>114</v>
      </c>
      <c r="F7547" t="s">
        <v>115</v>
      </c>
      <c r="G7547" t="s">
        <v>174</v>
      </c>
      <c r="H7547" t="s">
        <v>174</v>
      </c>
      <c r="I7547" t="s">
        <v>44</v>
      </c>
      <c r="J7547" t="s">
        <v>45</v>
      </c>
      <c r="K7547" t="s">
        <v>47</v>
      </c>
      <c r="L7547" t="s">
        <v>48</v>
      </c>
      <c r="M7547" t="s">
        <v>172</v>
      </c>
      <c r="N7547">
        <v>676</v>
      </c>
      <c r="O7547" s="14">
        <v>0.72403226466849402</v>
      </c>
      <c r="P7547" s="14">
        <v>0.29855980910360802</v>
      </c>
      <c r="Q7547" t="str">
        <f t="shared" si="234"/>
        <v>50+</v>
      </c>
      <c r="R7547" t="str">
        <f t="shared" si="235"/>
        <v>[rpw540fmNUz]|50+|Male|NEW_INFECTIONS_SUBNAT.T2|CY2025Q3</v>
      </c>
    </row>
    <row r="7548" spans="4:18" x14ac:dyDescent="0.2">
      <c r="D7548" t="s">
        <v>116</v>
      </c>
      <c r="E7548" t="s">
        <v>117</v>
      </c>
      <c r="F7548" t="s">
        <v>118</v>
      </c>
      <c r="G7548" t="s">
        <v>174</v>
      </c>
      <c r="H7548" t="s">
        <v>174</v>
      </c>
      <c r="I7548" t="s">
        <v>27</v>
      </c>
      <c r="J7548" t="s">
        <v>28</v>
      </c>
      <c r="K7548" t="s">
        <v>29</v>
      </c>
      <c r="L7548" t="s">
        <v>30</v>
      </c>
      <c r="M7548" t="s">
        <v>172</v>
      </c>
      <c r="N7548">
        <v>556</v>
      </c>
      <c r="O7548" s="14">
        <v>0.12325858860276601</v>
      </c>
      <c r="P7548" s="14">
        <v>0.206259709550068</v>
      </c>
      <c r="Q7548" t="str">
        <f t="shared" si="234"/>
        <v>&lt;01</v>
      </c>
      <c r="R7548" t="str">
        <f t="shared" si="235"/>
        <v>[lPTyjLi4w3d]|&lt;01|Female|NEW_INFECTIONS_SUBNAT.T2|CY2025Q3</v>
      </c>
    </row>
    <row r="7549" spans="4:18" x14ac:dyDescent="0.2">
      <c r="D7549" t="s">
        <v>116</v>
      </c>
      <c r="E7549" t="s">
        <v>117</v>
      </c>
      <c r="F7549" t="s">
        <v>118</v>
      </c>
      <c r="G7549" t="s">
        <v>174</v>
      </c>
      <c r="H7549" t="s">
        <v>174</v>
      </c>
      <c r="I7549" t="s">
        <v>32</v>
      </c>
      <c r="J7549" t="s">
        <v>33</v>
      </c>
      <c r="K7549" t="s">
        <v>29</v>
      </c>
      <c r="L7549" t="s">
        <v>30</v>
      </c>
      <c r="M7549" t="s">
        <v>172</v>
      </c>
      <c r="N7549">
        <v>655</v>
      </c>
      <c r="O7549" s="14">
        <v>0.13877483084797901</v>
      </c>
      <c r="P7549" s="14">
        <v>0.206259709550068</v>
      </c>
      <c r="Q7549" t="str">
        <f t="shared" si="234"/>
        <v>01-09</v>
      </c>
      <c r="R7549" t="str">
        <f t="shared" si="235"/>
        <v>[lPTyjLi4w3d]|01-09|Female|NEW_INFECTIONS_SUBNAT.T2|CY2025Q3</v>
      </c>
    </row>
    <row r="7550" spans="4:18" x14ac:dyDescent="0.2">
      <c r="D7550" t="s">
        <v>116</v>
      </c>
      <c r="E7550" t="s">
        <v>117</v>
      </c>
      <c r="F7550" t="s">
        <v>118</v>
      </c>
      <c r="G7550" t="s">
        <v>174</v>
      </c>
      <c r="H7550" t="s">
        <v>174</v>
      </c>
      <c r="I7550" t="s">
        <v>35</v>
      </c>
      <c r="J7550" t="s">
        <v>36</v>
      </c>
      <c r="K7550" t="s">
        <v>29</v>
      </c>
      <c r="L7550" t="s">
        <v>30</v>
      </c>
      <c r="M7550" t="s">
        <v>172</v>
      </c>
      <c r="N7550">
        <v>927</v>
      </c>
      <c r="O7550" s="14">
        <v>0.41021507536061103</v>
      </c>
      <c r="P7550" s="14">
        <v>0.206259709550068</v>
      </c>
      <c r="Q7550" t="str">
        <f t="shared" si="234"/>
        <v>10-14</v>
      </c>
      <c r="R7550" t="str">
        <f t="shared" si="235"/>
        <v>[lPTyjLi4w3d]|10-14|Female|NEW_INFECTIONS_SUBNAT.T2|CY2025Q3</v>
      </c>
    </row>
    <row r="7551" spans="4:18" x14ac:dyDescent="0.2">
      <c r="D7551" t="s">
        <v>116</v>
      </c>
      <c r="E7551" t="s">
        <v>117</v>
      </c>
      <c r="F7551" t="s">
        <v>118</v>
      </c>
      <c r="G7551" t="s">
        <v>174</v>
      </c>
      <c r="H7551" t="s">
        <v>174</v>
      </c>
      <c r="I7551" t="s">
        <v>37</v>
      </c>
      <c r="J7551" t="s">
        <v>38</v>
      </c>
      <c r="K7551" t="s">
        <v>29</v>
      </c>
      <c r="L7551" t="s">
        <v>30</v>
      </c>
      <c r="M7551" t="s">
        <v>172</v>
      </c>
      <c r="N7551">
        <v>1447</v>
      </c>
      <c r="O7551" s="14">
        <v>0.32632870925590401</v>
      </c>
      <c r="P7551" s="14">
        <v>0.206259709550068</v>
      </c>
      <c r="Q7551" t="str">
        <f t="shared" si="234"/>
        <v>15-24</v>
      </c>
      <c r="R7551" t="str">
        <f t="shared" si="235"/>
        <v>[lPTyjLi4w3d]|15-24|Female|NEW_INFECTIONS_SUBNAT.T2|CY2025Q3</v>
      </c>
    </row>
    <row r="7552" spans="4:18" x14ac:dyDescent="0.2">
      <c r="D7552" t="s">
        <v>116</v>
      </c>
      <c r="E7552" t="s">
        <v>117</v>
      </c>
      <c r="F7552" t="s">
        <v>118</v>
      </c>
      <c r="G7552" t="s">
        <v>174</v>
      </c>
      <c r="H7552" t="s">
        <v>174</v>
      </c>
      <c r="I7552" t="s">
        <v>40</v>
      </c>
      <c r="J7552" t="s">
        <v>41</v>
      </c>
      <c r="K7552" t="s">
        <v>29</v>
      </c>
      <c r="L7552" t="s">
        <v>30</v>
      </c>
      <c r="M7552" t="s">
        <v>172</v>
      </c>
      <c r="N7552">
        <v>1356</v>
      </c>
      <c r="O7552" s="14">
        <v>0.32964397454634298</v>
      </c>
      <c r="P7552" s="14">
        <v>0.206259709550068</v>
      </c>
      <c r="Q7552" t="str">
        <f t="shared" si="234"/>
        <v>25-34</v>
      </c>
      <c r="R7552" t="str">
        <f t="shared" si="235"/>
        <v>[lPTyjLi4w3d]|25-34|Female|NEW_INFECTIONS_SUBNAT.T2|CY2025Q3</v>
      </c>
    </row>
    <row r="7553" spans="4:18" x14ac:dyDescent="0.2">
      <c r="D7553" t="s">
        <v>116</v>
      </c>
      <c r="E7553" t="s">
        <v>117</v>
      </c>
      <c r="F7553" t="s">
        <v>118</v>
      </c>
      <c r="G7553" t="s">
        <v>174</v>
      </c>
      <c r="H7553" t="s">
        <v>174</v>
      </c>
      <c r="I7553" t="s">
        <v>42</v>
      </c>
      <c r="J7553" t="s">
        <v>43</v>
      </c>
      <c r="K7553" t="s">
        <v>29</v>
      </c>
      <c r="L7553" t="s">
        <v>30</v>
      </c>
      <c r="M7553" t="s">
        <v>172</v>
      </c>
      <c r="N7553">
        <v>688</v>
      </c>
      <c r="O7553" s="14">
        <v>0.95649367547594</v>
      </c>
      <c r="P7553" s="14">
        <v>0.206259709550068</v>
      </c>
      <c r="Q7553" t="str">
        <f t="shared" si="234"/>
        <v>35-49</v>
      </c>
      <c r="R7553" t="str">
        <f t="shared" si="235"/>
        <v>[lPTyjLi4w3d]|35-49|Female|NEW_INFECTIONS_SUBNAT.T2|CY2025Q3</v>
      </c>
    </row>
    <row r="7554" spans="4:18" x14ac:dyDescent="0.2">
      <c r="D7554" t="s">
        <v>116</v>
      </c>
      <c r="E7554" t="s">
        <v>117</v>
      </c>
      <c r="F7554" t="s">
        <v>118</v>
      </c>
      <c r="G7554" t="s">
        <v>174</v>
      </c>
      <c r="H7554" t="s">
        <v>174</v>
      </c>
      <c r="I7554" t="s">
        <v>44</v>
      </c>
      <c r="J7554" t="s">
        <v>45</v>
      </c>
      <c r="K7554" t="s">
        <v>29</v>
      </c>
      <c r="L7554" t="s">
        <v>30</v>
      </c>
      <c r="M7554" t="s">
        <v>172</v>
      </c>
      <c r="N7554">
        <v>674</v>
      </c>
      <c r="O7554" s="14">
        <v>0.104286412941292</v>
      </c>
      <c r="P7554" s="14">
        <v>0.206259709550068</v>
      </c>
      <c r="Q7554" t="str">
        <f t="shared" ref="Q7554:Q7617" si="236">SUBSTITUTE(SUBSTITUTE($I7554,CHAR(61),""),CHAR(34),"")</f>
        <v>50+</v>
      </c>
      <c r="R7554" t="str">
        <f t="shared" ref="R7554:R7617" si="237">IF($D7554&lt;&gt;"","["&amp;$E7554&amp;"]"&amp;"|"&amp;$Q7554&amp;"|"&amp;$K7554&amp;"|"&amp;$G7554&amp;"|"&amp;IF($G7554="TX_CURR_SUBNAT.R","CY2022Q4",$M7554),"")</f>
        <v>[lPTyjLi4w3d]|50+|Female|NEW_INFECTIONS_SUBNAT.T2|CY2025Q3</v>
      </c>
    </row>
    <row r="7555" spans="4:18" x14ac:dyDescent="0.2">
      <c r="D7555" t="s">
        <v>116</v>
      </c>
      <c r="E7555" t="s">
        <v>117</v>
      </c>
      <c r="F7555" t="s">
        <v>118</v>
      </c>
      <c r="G7555" t="s">
        <v>174</v>
      </c>
      <c r="H7555" t="s">
        <v>174</v>
      </c>
      <c r="I7555" t="s">
        <v>27</v>
      </c>
      <c r="J7555" t="s">
        <v>28</v>
      </c>
      <c r="K7555" t="s">
        <v>47</v>
      </c>
      <c r="L7555" t="s">
        <v>48</v>
      </c>
      <c r="M7555" t="s">
        <v>172</v>
      </c>
      <c r="N7555">
        <v>1486</v>
      </c>
      <c r="O7555" s="14">
        <v>0.58825506526045501</v>
      </c>
      <c r="P7555" s="14">
        <v>0.206259709550068</v>
      </c>
      <c r="Q7555" t="str">
        <f t="shared" si="236"/>
        <v>&lt;01</v>
      </c>
      <c r="R7555" t="str">
        <f t="shared" si="237"/>
        <v>[lPTyjLi4w3d]|&lt;01|Male|NEW_INFECTIONS_SUBNAT.T2|CY2025Q3</v>
      </c>
    </row>
    <row r="7556" spans="4:18" x14ac:dyDescent="0.2">
      <c r="D7556" t="s">
        <v>116</v>
      </c>
      <c r="E7556" t="s">
        <v>117</v>
      </c>
      <c r="F7556" t="s">
        <v>118</v>
      </c>
      <c r="G7556" t="s">
        <v>174</v>
      </c>
      <c r="H7556" t="s">
        <v>174</v>
      </c>
      <c r="I7556" t="s">
        <v>32</v>
      </c>
      <c r="J7556" t="s">
        <v>33</v>
      </c>
      <c r="K7556" t="s">
        <v>47</v>
      </c>
      <c r="L7556" t="s">
        <v>48</v>
      </c>
      <c r="M7556" t="s">
        <v>172</v>
      </c>
      <c r="N7556">
        <v>934</v>
      </c>
      <c r="O7556" s="14">
        <v>0.54884825460612796</v>
      </c>
      <c r="P7556" s="14">
        <v>0.206259709550068</v>
      </c>
      <c r="Q7556" t="str">
        <f t="shared" si="236"/>
        <v>01-09</v>
      </c>
      <c r="R7556" t="str">
        <f t="shared" si="237"/>
        <v>[lPTyjLi4w3d]|01-09|Male|NEW_INFECTIONS_SUBNAT.T2|CY2025Q3</v>
      </c>
    </row>
    <row r="7557" spans="4:18" x14ac:dyDescent="0.2">
      <c r="D7557" t="s">
        <v>116</v>
      </c>
      <c r="E7557" t="s">
        <v>117</v>
      </c>
      <c r="F7557" t="s">
        <v>118</v>
      </c>
      <c r="G7557" t="s">
        <v>174</v>
      </c>
      <c r="H7557" t="s">
        <v>174</v>
      </c>
      <c r="I7557" t="s">
        <v>35</v>
      </c>
      <c r="J7557" t="s">
        <v>36</v>
      </c>
      <c r="K7557" t="s">
        <v>47</v>
      </c>
      <c r="L7557" t="s">
        <v>48</v>
      </c>
      <c r="M7557" t="s">
        <v>172</v>
      </c>
      <c r="N7557">
        <v>1994</v>
      </c>
      <c r="O7557" s="14">
        <v>0.44582773931324499</v>
      </c>
      <c r="P7557" s="14">
        <v>0.206259709550068</v>
      </c>
      <c r="Q7557" t="str">
        <f t="shared" si="236"/>
        <v>10-14</v>
      </c>
      <c r="R7557" t="str">
        <f t="shared" si="237"/>
        <v>[lPTyjLi4w3d]|10-14|Male|NEW_INFECTIONS_SUBNAT.T2|CY2025Q3</v>
      </c>
    </row>
    <row r="7558" spans="4:18" x14ac:dyDescent="0.2">
      <c r="D7558" t="s">
        <v>116</v>
      </c>
      <c r="E7558" t="s">
        <v>117</v>
      </c>
      <c r="F7558" t="s">
        <v>118</v>
      </c>
      <c r="G7558" t="s">
        <v>174</v>
      </c>
      <c r="H7558" t="s">
        <v>174</v>
      </c>
      <c r="I7558" t="s">
        <v>37</v>
      </c>
      <c r="J7558" t="s">
        <v>38</v>
      </c>
      <c r="K7558" t="s">
        <v>47</v>
      </c>
      <c r="L7558" t="s">
        <v>48</v>
      </c>
      <c r="M7558" t="s">
        <v>172</v>
      </c>
      <c r="N7558">
        <v>1430</v>
      </c>
      <c r="O7558" s="14">
        <v>0.87247502058744397</v>
      </c>
      <c r="P7558" s="14">
        <v>0.206259709550068</v>
      </c>
      <c r="Q7558" t="str">
        <f t="shared" si="236"/>
        <v>15-24</v>
      </c>
      <c r="R7558" t="str">
        <f t="shared" si="237"/>
        <v>[lPTyjLi4w3d]|15-24|Male|NEW_INFECTIONS_SUBNAT.T2|CY2025Q3</v>
      </c>
    </row>
    <row r="7559" spans="4:18" x14ac:dyDescent="0.2">
      <c r="D7559" t="s">
        <v>116</v>
      </c>
      <c r="E7559" t="s">
        <v>117</v>
      </c>
      <c r="F7559" t="s">
        <v>118</v>
      </c>
      <c r="G7559" t="s">
        <v>174</v>
      </c>
      <c r="H7559" t="s">
        <v>174</v>
      </c>
      <c r="I7559" t="s">
        <v>40</v>
      </c>
      <c r="J7559" t="s">
        <v>41</v>
      </c>
      <c r="K7559" t="s">
        <v>47</v>
      </c>
      <c r="L7559" t="s">
        <v>48</v>
      </c>
      <c r="M7559" t="s">
        <v>172</v>
      </c>
      <c r="N7559">
        <v>665</v>
      </c>
      <c r="O7559" s="14">
        <v>0.99938921979628503</v>
      </c>
      <c r="P7559" s="14">
        <v>0.206259709550068</v>
      </c>
      <c r="Q7559" t="str">
        <f t="shared" si="236"/>
        <v>25-34</v>
      </c>
      <c r="R7559" t="str">
        <f t="shared" si="237"/>
        <v>[lPTyjLi4w3d]|25-34|Male|NEW_INFECTIONS_SUBNAT.T2|CY2025Q3</v>
      </c>
    </row>
    <row r="7560" spans="4:18" x14ac:dyDescent="0.2">
      <c r="D7560" t="s">
        <v>116</v>
      </c>
      <c r="E7560" t="s">
        <v>117</v>
      </c>
      <c r="F7560" t="s">
        <v>118</v>
      </c>
      <c r="G7560" t="s">
        <v>174</v>
      </c>
      <c r="H7560" t="s">
        <v>174</v>
      </c>
      <c r="I7560" t="s">
        <v>42</v>
      </c>
      <c r="J7560" t="s">
        <v>43</v>
      </c>
      <c r="K7560" t="s">
        <v>47</v>
      </c>
      <c r="L7560" t="s">
        <v>48</v>
      </c>
      <c r="M7560" t="s">
        <v>172</v>
      </c>
      <c r="N7560">
        <v>1448</v>
      </c>
      <c r="O7560" s="14">
        <v>0.68147270171903096</v>
      </c>
      <c r="P7560" s="14">
        <v>0.206259709550068</v>
      </c>
      <c r="Q7560" t="str">
        <f t="shared" si="236"/>
        <v>35-49</v>
      </c>
      <c r="R7560" t="str">
        <f t="shared" si="237"/>
        <v>[lPTyjLi4w3d]|35-49|Male|NEW_INFECTIONS_SUBNAT.T2|CY2025Q3</v>
      </c>
    </row>
    <row r="7561" spans="4:18" x14ac:dyDescent="0.2">
      <c r="D7561" t="s">
        <v>116</v>
      </c>
      <c r="E7561" t="s">
        <v>117</v>
      </c>
      <c r="F7561" t="s">
        <v>118</v>
      </c>
      <c r="G7561" t="s">
        <v>174</v>
      </c>
      <c r="H7561" t="s">
        <v>174</v>
      </c>
      <c r="I7561" t="s">
        <v>44</v>
      </c>
      <c r="J7561" t="s">
        <v>45</v>
      </c>
      <c r="K7561" t="s">
        <v>47</v>
      </c>
      <c r="L7561" t="s">
        <v>48</v>
      </c>
      <c r="M7561" t="s">
        <v>172</v>
      </c>
      <c r="N7561">
        <v>1815</v>
      </c>
      <c r="O7561" s="14">
        <v>0.289100196445361</v>
      </c>
      <c r="P7561" s="14">
        <v>0.206259709550068</v>
      </c>
      <c r="Q7561" t="str">
        <f t="shared" si="236"/>
        <v>50+</v>
      </c>
      <c r="R7561" t="str">
        <f t="shared" si="237"/>
        <v>[lPTyjLi4w3d]|50+|Male|NEW_INFECTIONS_SUBNAT.T2|CY2025Q3</v>
      </c>
    </row>
    <row r="7562" spans="4:18" x14ac:dyDescent="0.2">
      <c r="D7562" t="s">
        <v>119</v>
      </c>
      <c r="E7562" t="s">
        <v>120</v>
      </c>
      <c r="F7562" t="s">
        <v>121</v>
      </c>
      <c r="G7562" t="s">
        <v>174</v>
      </c>
      <c r="H7562" t="s">
        <v>174</v>
      </c>
      <c r="I7562" t="s">
        <v>27</v>
      </c>
      <c r="J7562" t="s">
        <v>28</v>
      </c>
      <c r="K7562" t="s">
        <v>29</v>
      </c>
      <c r="L7562" t="s">
        <v>30</v>
      </c>
      <c r="M7562" t="s">
        <v>172</v>
      </c>
      <c r="N7562">
        <v>1611</v>
      </c>
      <c r="O7562" s="14">
        <v>0.84584437659941603</v>
      </c>
      <c r="P7562" s="14">
        <v>0.43010397930629601</v>
      </c>
      <c r="Q7562" t="str">
        <f t="shared" si="236"/>
        <v>&lt;01</v>
      </c>
      <c r="R7562" t="str">
        <f t="shared" si="237"/>
        <v>[vA4NcHxfMBq]|&lt;01|Female|NEW_INFECTIONS_SUBNAT.T2|CY2025Q3</v>
      </c>
    </row>
    <row r="7563" spans="4:18" x14ac:dyDescent="0.2">
      <c r="D7563" t="s">
        <v>119</v>
      </c>
      <c r="E7563" t="s">
        <v>120</v>
      </c>
      <c r="F7563" t="s">
        <v>121</v>
      </c>
      <c r="G7563" t="s">
        <v>174</v>
      </c>
      <c r="H7563" t="s">
        <v>174</v>
      </c>
      <c r="I7563" t="s">
        <v>32</v>
      </c>
      <c r="J7563" t="s">
        <v>33</v>
      </c>
      <c r="K7563" t="s">
        <v>29</v>
      </c>
      <c r="L7563" t="s">
        <v>30</v>
      </c>
      <c r="M7563" t="s">
        <v>172</v>
      </c>
      <c r="N7563">
        <v>1669</v>
      </c>
      <c r="O7563" s="14">
        <v>0.84512962377630196</v>
      </c>
      <c r="P7563" s="14">
        <v>0.43010397930629601</v>
      </c>
      <c r="Q7563" t="str">
        <f t="shared" si="236"/>
        <v>01-09</v>
      </c>
      <c r="R7563" t="str">
        <f t="shared" si="237"/>
        <v>[vA4NcHxfMBq]|01-09|Female|NEW_INFECTIONS_SUBNAT.T2|CY2025Q3</v>
      </c>
    </row>
    <row r="7564" spans="4:18" x14ac:dyDescent="0.2">
      <c r="D7564" t="s">
        <v>119</v>
      </c>
      <c r="E7564" t="s">
        <v>120</v>
      </c>
      <c r="F7564" t="s">
        <v>121</v>
      </c>
      <c r="G7564" t="s">
        <v>174</v>
      </c>
      <c r="H7564" t="s">
        <v>174</v>
      </c>
      <c r="I7564" t="s">
        <v>35</v>
      </c>
      <c r="J7564" t="s">
        <v>36</v>
      </c>
      <c r="K7564" t="s">
        <v>29</v>
      </c>
      <c r="L7564" t="s">
        <v>30</v>
      </c>
      <c r="M7564" t="s">
        <v>172</v>
      </c>
      <c r="N7564">
        <v>611</v>
      </c>
      <c r="O7564" s="14">
        <v>0.373113518580794</v>
      </c>
      <c r="P7564" s="14">
        <v>0.43010397930629601</v>
      </c>
      <c r="Q7564" t="str">
        <f t="shared" si="236"/>
        <v>10-14</v>
      </c>
      <c r="R7564" t="str">
        <f t="shared" si="237"/>
        <v>[vA4NcHxfMBq]|10-14|Female|NEW_INFECTIONS_SUBNAT.T2|CY2025Q3</v>
      </c>
    </row>
    <row r="7565" spans="4:18" x14ac:dyDescent="0.2">
      <c r="D7565" t="s">
        <v>119</v>
      </c>
      <c r="E7565" t="s">
        <v>120</v>
      </c>
      <c r="F7565" t="s">
        <v>121</v>
      </c>
      <c r="G7565" t="s">
        <v>174</v>
      </c>
      <c r="H7565" t="s">
        <v>174</v>
      </c>
      <c r="I7565" t="s">
        <v>37</v>
      </c>
      <c r="J7565" t="s">
        <v>38</v>
      </c>
      <c r="K7565" t="s">
        <v>29</v>
      </c>
      <c r="L7565" t="s">
        <v>30</v>
      </c>
      <c r="M7565" t="s">
        <v>172</v>
      </c>
      <c r="N7565">
        <v>1682</v>
      </c>
      <c r="O7565" s="14">
        <v>0.60023066634312305</v>
      </c>
      <c r="P7565" s="14">
        <v>0.43010397930629601</v>
      </c>
      <c r="Q7565" t="str">
        <f t="shared" si="236"/>
        <v>15-24</v>
      </c>
      <c r="R7565" t="str">
        <f t="shared" si="237"/>
        <v>[vA4NcHxfMBq]|15-24|Female|NEW_INFECTIONS_SUBNAT.T2|CY2025Q3</v>
      </c>
    </row>
    <row r="7566" spans="4:18" x14ac:dyDescent="0.2">
      <c r="D7566" t="s">
        <v>119</v>
      </c>
      <c r="E7566" t="s">
        <v>120</v>
      </c>
      <c r="F7566" t="s">
        <v>121</v>
      </c>
      <c r="G7566" t="s">
        <v>174</v>
      </c>
      <c r="H7566" t="s">
        <v>174</v>
      </c>
      <c r="I7566" t="s">
        <v>40</v>
      </c>
      <c r="J7566" t="s">
        <v>41</v>
      </c>
      <c r="K7566" t="s">
        <v>29</v>
      </c>
      <c r="L7566" t="s">
        <v>30</v>
      </c>
      <c r="M7566" t="s">
        <v>172</v>
      </c>
      <c r="N7566">
        <v>1186</v>
      </c>
      <c r="O7566" s="14">
        <v>0.34702184679918002</v>
      </c>
      <c r="P7566" s="14">
        <v>0.43010397930629601</v>
      </c>
      <c r="Q7566" t="str">
        <f t="shared" si="236"/>
        <v>25-34</v>
      </c>
      <c r="R7566" t="str">
        <f t="shared" si="237"/>
        <v>[vA4NcHxfMBq]|25-34|Female|NEW_INFECTIONS_SUBNAT.T2|CY2025Q3</v>
      </c>
    </row>
    <row r="7567" spans="4:18" x14ac:dyDescent="0.2">
      <c r="D7567" t="s">
        <v>119</v>
      </c>
      <c r="E7567" t="s">
        <v>120</v>
      </c>
      <c r="F7567" t="s">
        <v>121</v>
      </c>
      <c r="G7567" t="s">
        <v>174</v>
      </c>
      <c r="H7567" t="s">
        <v>174</v>
      </c>
      <c r="I7567" t="s">
        <v>42</v>
      </c>
      <c r="J7567" t="s">
        <v>43</v>
      </c>
      <c r="K7567" t="s">
        <v>29</v>
      </c>
      <c r="L7567" t="s">
        <v>30</v>
      </c>
      <c r="M7567" t="s">
        <v>172</v>
      </c>
      <c r="N7567">
        <v>971</v>
      </c>
      <c r="O7567" s="14">
        <v>0.78155011427588805</v>
      </c>
      <c r="P7567" s="14">
        <v>0.43010397930629601</v>
      </c>
      <c r="Q7567" t="str">
        <f t="shared" si="236"/>
        <v>35-49</v>
      </c>
      <c r="R7567" t="str">
        <f t="shared" si="237"/>
        <v>[vA4NcHxfMBq]|35-49|Female|NEW_INFECTIONS_SUBNAT.T2|CY2025Q3</v>
      </c>
    </row>
    <row r="7568" spans="4:18" x14ac:dyDescent="0.2">
      <c r="D7568" t="s">
        <v>119</v>
      </c>
      <c r="E7568" t="s">
        <v>120</v>
      </c>
      <c r="F7568" t="s">
        <v>121</v>
      </c>
      <c r="G7568" t="s">
        <v>174</v>
      </c>
      <c r="H7568" t="s">
        <v>174</v>
      </c>
      <c r="I7568" t="s">
        <v>44</v>
      </c>
      <c r="J7568" t="s">
        <v>45</v>
      </c>
      <c r="K7568" t="s">
        <v>29</v>
      </c>
      <c r="L7568" t="s">
        <v>30</v>
      </c>
      <c r="M7568" t="s">
        <v>172</v>
      </c>
      <c r="N7568">
        <v>945</v>
      </c>
      <c r="O7568" s="14">
        <v>7.6892814133316306E-2</v>
      </c>
      <c r="P7568" s="14">
        <v>0.43010397930629601</v>
      </c>
      <c r="Q7568" t="str">
        <f t="shared" si="236"/>
        <v>50+</v>
      </c>
      <c r="R7568" t="str">
        <f t="shared" si="237"/>
        <v>[vA4NcHxfMBq]|50+|Female|NEW_INFECTIONS_SUBNAT.T2|CY2025Q3</v>
      </c>
    </row>
    <row r="7569" spans="4:18" x14ac:dyDescent="0.2">
      <c r="D7569" t="s">
        <v>119</v>
      </c>
      <c r="E7569" t="s">
        <v>120</v>
      </c>
      <c r="F7569" t="s">
        <v>121</v>
      </c>
      <c r="G7569" t="s">
        <v>174</v>
      </c>
      <c r="H7569" t="s">
        <v>174</v>
      </c>
      <c r="I7569" t="s">
        <v>27</v>
      </c>
      <c r="J7569" t="s">
        <v>28</v>
      </c>
      <c r="K7569" t="s">
        <v>47</v>
      </c>
      <c r="L7569" t="s">
        <v>48</v>
      </c>
      <c r="M7569" t="s">
        <v>172</v>
      </c>
      <c r="N7569">
        <v>992</v>
      </c>
      <c r="O7569" s="14">
        <v>0.79234622605145</v>
      </c>
      <c r="P7569" s="14">
        <v>0.43010397930629601</v>
      </c>
      <c r="Q7569" t="str">
        <f t="shared" si="236"/>
        <v>&lt;01</v>
      </c>
      <c r="R7569" t="str">
        <f t="shared" si="237"/>
        <v>[vA4NcHxfMBq]|&lt;01|Male|NEW_INFECTIONS_SUBNAT.T2|CY2025Q3</v>
      </c>
    </row>
    <row r="7570" spans="4:18" x14ac:dyDescent="0.2">
      <c r="D7570" t="s">
        <v>119</v>
      </c>
      <c r="E7570" t="s">
        <v>120</v>
      </c>
      <c r="F7570" t="s">
        <v>121</v>
      </c>
      <c r="G7570" t="s">
        <v>174</v>
      </c>
      <c r="H7570" t="s">
        <v>174</v>
      </c>
      <c r="I7570" t="s">
        <v>32</v>
      </c>
      <c r="J7570" t="s">
        <v>33</v>
      </c>
      <c r="K7570" t="s">
        <v>47</v>
      </c>
      <c r="L7570" t="s">
        <v>48</v>
      </c>
      <c r="M7570" t="s">
        <v>172</v>
      </c>
      <c r="N7570">
        <v>1944</v>
      </c>
      <c r="O7570" s="14">
        <v>0.97264043800532796</v>
      </c>
      <c r="P7570" s="14">
        <v>0.43010397930629601</v>
      </c>
      <c r="Q7570" t="str">
        <f t="shared" si="236"/>
        <v>01-09</v>
      </c>
      <c r="R7570" t="str">
        <f t="shared" si="237"/>
        <v>[vA4NcHxfMBq]|01-09|Male|NEW_INFECTIONS_SUBNAT.T2|CY2025Q3</v>
      </c>
    </row>
    <row r="7571" spans="4:18" x14ac:dyDescent="0.2">
      <c r="D7571" t="s">
        <v>119</v>
      </c>
      <c r="E7571" t="s">
        <v>120</v>
      </c>
      <c r="F7571" t="s">
        <v>121</v>
      </c>
      <c r="G7571" t="s">
        <v>174</v>
      </c>
      <c r="H7571" t="s">
        <v>174</v>
      </c>
      <c r="I7571" t="s">
        <v>35</v>
      </c>
      <c r="J7571" t="s">
        <v>36</v>
      </c>
      <c r="K7571" t="s">
        <v>47</v>
      </c>
      <c r="L7571" t="s">
        <v>48</v>
      </c>
      <c r="M7571" t="s">
        <v>172</v>
      </c>
      <c r="N7571">
        <v>1360</v>
      </c>
      <c r="O7571" s="14">
        <v>0.32927380711771498</v>
      </c>
      <c r="P7571" s="14">
        <v>0.43010397930629601</v>
      </c>
      <c r="Q7571" t="str">
        <f t="shared" si="236"/>
        <v>10-14</v>
      </c>
      <c r="R7571" t="str">
        <f t="shared" si="237"/>
        <v>[vA4NcHxfMBq]|10-14|Male|NEW_INFECTIONS_SUBNAT.T2|CY2025Q3</v>
      </c>
    </row>
    <row r="7572" spans="4:18" x14ac:dyDescent="0.2">
      <c r="D7572" t="s">
        <v>119</v>
      </c>
      <c r="E7572" t="s">
        <v>120</v>
      </c>
      <c r="F7572" t="s">
        <v>121</v>
      </c>
      <c r="G7572" t="s">
        <v>174</v>
      </c>
      <c r="H7572" t="s">
        <v>174</v>
      </c>
      <c r="I7572" t="s">
        <v>37</v>
      </c>
      <c r="J7572" t="s">
        <v>38</v>
      </c>
      <c r="K7572" t="s">
        <v>47</v>
      </c>
      <c r="L7572" t="s">
        <v>48</v>
      </c>
      <c r="M7572" t="s">
        <v>172</v>
      </c>
      <c r="N7572">
        <v>1704</v>
      </c>
      <c r="O7572" s="14">
        <v>0.75585496472194802</v>
      </c>
      <c r="P7572" s="14">
        <v>0.43010397930629601</v>
      </c>
      <c r="Q7572" t="str">
        <f t="shared" si="236"/>
        <v>15-24</v>
      </c>
      <c r="R7572" t="str">
        <f t="shared" si="237"/>
        <v>[vA4NcHxfMBq]|15-24|Male|NEW_INFECTIONS_SUBNAT.T2|CY2025Q3</v>
      </c>
    </row>
    <row r="7573" spans="4:18" x14ac:dyDescent="0.2">
      <c r="D7573" t="s">
        <v>119</v>
      </c>
      <c r="E7573" t="s">
        <v>120</v>
      </c>
      <c r="F7573" t="s">
        <v>121</v>
      </c>
      <c r="G7573" t="s">
        <v>174</v>
      </c>
      <c r="H7573" t="s">
        <v>174</v>
      </c>
      <c r="I7573" t="s">
        <v>40</v>
      </c>
      <c r="J7573" t="s">
        <v>41</v>
      </c>
      <c r="K7573" t="s">
        <v>47</v>
      </c>
      <c r="L7573" t="s">
        <v>48</v>
      </c>
      <c r="M7573" t="s">
        <v>172</v>
      </c>
      <c r="N7573">
        <v>1441</v>
      </c>
      <c r="O7573" s="14">
        <v>0.96712577412836298</v>
      </c>
      <c r="P7573" s="14">
        <v>0.43010397930629601</v>
      </c>
      <c r="Q7573" t="str">
        <f t="shared" si="236"/>
        <v>25-34</v>
      </c>
      <c r="R7573" t="str">
        <f t="shared" si="237"/>
        <v>[vA4NcHxfMBq]|25-34|Male|NEW_INFECTIONS_SUBNAT.T2|CY2025Q3</v>
      </c>
    </row>
    <row r="7574" spans="4:18" x14ac:dyDescent="0.2">
      <c r="D7574" t="s">
        <v>119</v>
      </c>
      <c r="E7574" t="s">
        <v>120</v>
      </c>
      <c r="F7574" t="s">
        <v>121</v>
      </c>
      <c r="G7574" t="s">
        <v>174</v>
      </c>
      <c r="H7574" t="s">
        <v>174</v>
      </c>
      <c r="I7574" t="s">
        <v>42</v>
      </c>
      <c r="J7574" t="s">
        <v>43</v>
      </c>
      <c r="K7574" t="s">
        <v>47</v>
      </c>
      <c r="L7574" t="s">
        <v>48</v>
      </c>
      <c r="M7574" t="s">
        <v>172</v>
      </c>
      <c r="N7574">
        <v>1454</v>
      </c>
      <c r="O7574" s="14">
        <v>0.31142870569601699</v>
      </c>
      <c r="P7574" s="14">
        <v>0.43010397930629601</v>
      </c>
      <c r="Q7574" t="str">
        <f t="shared" si="236"/>
        <v>35-49</v>
      </c>
      <c r="R7574" t="str">
        <f t="shared" si="237"/>
        <v>[vA4NcHxfMBq]|35-49|Male|NEW_INFECTIONS_SUBNAT.T2|CY2025Q3</v>
      </c>
    </row>
    <row r="7575" spans="4:18" x14ac:dyDescent="0.2">
      <c r="D7575" t="s">
        <v>119</v>
      </c>
      <c r="E7575" t="s">
        <v>120</v>
      </c>
      <c r="F7575" t="s">
        <v>121</v>
      </c>
      <c r="G7575" t="s">
        <v>174</v>
      </c>
      <c r="H7575" t="s">
        <v>174</v>
      </c>
      <c r="I7575" t="s">
        <v>44</v>
      </c>
      <c r="J7575" t="s">
        <v>45</v>
      </c>
      <c r="K7575" t="s">
        <v>47</v>
      </c>
      <c r="L7575" t="s">
        <v>48</v>
      </c>
      <c r="M7575" t="s">
        <v>172</v>
      </c>
      <c r="N7575">
        <v>625</v>
      </c>
      <c r="O7575" s="14">
        <v>0.83721026615239702</v>
      </c>
      <c r="P7575" s="14">
        <v>0.43010397930629601</v>
      </c>
      <c r="Q7575" t="str">
        <f t="shared" si="236"/>
        <v>50+</v>
      </c>
      <c r="R7575" t="str">
        <f t="shared" si="237"/>
        <v>[vA4NcHxfMBq]|50+|Male|NEW_INFECTIONS_SUBNAT.T2|CY2025Q3</v>
      </c>
    </row>
    <row r="7576" spans="4:18" x14ac:dyDescent="0.2">
      <c r="D7576" t="s">
        <v>122</v>
      </c>
      <c r="E7576" t="s">
        <v>123</v>
      </c>
      <c r="F7576" t="s">
        <v>124</v>
      </c>
      <c r="G7576" t="s">
        <v>174</v>
      </c>
      <c r="H7576" t="s">
        <v>174</v>
      </c>
      <c r="I7576" t="s">
        <v>27</v>
      </c>
      <c r="J7576" t="s">
        <v>28</v>
      </c>
      <c r="K7576" t="s">
        <v>29</v>
      </c>
      <c r="L7576" t="s">
        <v>30</v>
      </c>
      <c r="M7576" t="s">
        <v>172</v>
      </c>
      <c r="N7576">
        <v>1528</v>
      </c>
      <c r="O7576" s="14">
        <v>0.40434320317581302</v>
      </c>
      <c r="P7576" s="14">
        <v>0.41950060334056599</v>
      </c>
      <c r="Q7576" t="str">
        <f t="shared" si="236"/>
        <v>&lt;01</v>
      </c>
      <c r="R7576" t="str">
        <f t="shared" si="237"/>
        <v>[E7zpfyBt7Tw]|&lt;01|Female|NEW_INFECTIONS_SUBNAT.T2|CY2025Q3</v>
      </c>
    </row>
    <row r="7577" spans="4:18" x14ac:dyDescent="0.2">
      <c r="D7577" t="s">
        <v>122</v>
      </c>
      <c r="E7577" t="s">
        <v>123</v>
      </c>
      <c r="F7577" t="s">
        <v>124</v>
      </c>
      <c r="G7577" t="s">
        <v>174</v>
      </c>
      <c r="H7577" t="s">
        <v>174</v>
      </c>
      <c r="I7577" t="s">
        <v>32</v>
      </c>
      <c r="J7577" t="s">
        <v>33</v>
      </c>
      <c r="K7577" t="s">
        <v>29</v>
      </c>
      <c r="L7577" t="s">
        <v>30</v>
      </c>
      <c r="M7577" t="s">
        <v>172</v>
      </c>
      <c r="N7577">
        <v>1465</v>
      </c>
      <c r="O7577" s="14">
        <v>0.44526309450156998</v>
      </c>
      <c r="P7577" s="14">
        <v>0.41950060334056599</v>
      </c>
      <c r="Q7577" t="str">
        <f t="shared" si="236"/>
        <v>01-09</v>
      </c>
      <c r="R7577" t="str">
        <f t="shared" si="237"/>
        <v>[E7zpfyBt7Tw]|01-09|Female|NEW_INFECTIONS_SUBNAT.T2|CY2025Q3</v>
      </c>
    </row>
    <row r="7578" spans="4:18" x14ac:dyDescent="0.2">
      <c r="D7578" t="s">
        <v>122</v>
      </c>
      <c r="E7578" t="s">
        <v>123</v>
      </c>
      <c r="F7578" t="s">
        <v>124</v>
      </c>
      <c r="G7578" t="s">
        <v>174</v>
      </c>
      <c r="H7578" t="s">
        <v>174</v>
      </c>
      <c r="I7578" t="s">
        <v>35</v>
      </c>
      <c r="J7578" t="s">
        <v>36</v>
      </c>
      <c r="K7578" t="s">
        <v>29</v>
      </c>
      <c r="L7578" t="s">
        <v>30</v>
      </c>
      <c r="M7578" t="s">
        <v>172</v>
      </c>
      <c r="N7578">
        <v>1446</v>
      </c>
      <c r="O7578" s="14">
        <v>0.73608299647457898</v>
      </c>
      <c r="P7578" s="14">
        <v>0.41950060334056599</v>
      </c>
      <c r="Q7578" t="str">
        <f t="shared" si="236"/>
        <v>10-14</v>
      </c>
      <c r="R7578" t="str">
        <f t="shared" si="237"/>
        <v>[E7zpfyBt7Tw]|10-14|Female|NEW_INFECTIONS_SUBNAT.T2|CY2025Q3</v>
      </c>
    </row>
    <row r="7579" spans="4:18" x14ac:dyDescent="0.2">
      <c r="D7579" t="s">
        <v>122</v>
      </c>
      <c r="E7579" t="s">
        <v>123</v>
      </c>
      <c r="F7579" t="s">
        <v>124</v>
      </c>
      <c r="G7579" t="s">
        <v>174</v>
      </c>
      <c r="H7579" t="s">
        <v>174</v>
      </c>
      <c r="I7579" t="s">
        <v>37</v>
      </c>
      <c r="J7579" t="s">
        <v>38</v>
      </c>
      <c r="K7579" t="s">
        <v>29</v>
      </c>
      <c r="L7579" t="s">
        <v>30</v>
      </c>
      <c r="M7579" t="s">
        <v>172</v>
      </c>
      <c r="N7579">
        <v>728</v>
      </c>
      <c r="O7579" s="14">
        <v>9.9029222270473796E-2</v>
      </c>
      <c r="P7579" s="14">
        <v>0.41950060334056599</v>
      </c>
      <c r="Q7579" t="str">
        <f t="shared" si="236"/>
        <v>15-24</v>
      </c>
      <c r="R7579" t="str">
        <f t="shared" si="237"/>
        <v>[E7zpfyBt7Tw]|15-24|Female|NEW_INFECTIONS_SUBNAT.T2|CY2025Q3</v>
      </c>
    </row>
    <row r="7580" spans="4:18" x14ac:dyDescent="0.2">
      <c r="D7580" t="s">
        <v>122</v>
      </c>
      <c r="E7580" t="s">
        <v>123</v>
      </c>
      <c r="F7580" t="s">
        <v>124</v>
      </c>
      <c r="G7580" t="s">
        <v>174</v>
      </c>
      <c r="H7580" t="s">
        <v>174</v>
      </c>
      <c r="I7580" t="s">
        <v>40</v>
      </c>
      <c r="J7580" t="s">
        <v>41</v>
      </c>
      <c r="K7580" t="s">
        <v>29</v>
      </c>
      <c r="L7580" t="s">
        <v>30</v>
      </c>
      <c r="M7580" t="s">
        <v>172</v>
      </c>
      <c r="N7580">
        <v>596</v>
      </c>
      <c r="O7580" s="14">
        <v>0.91142933792434599</v>
      </c>
      <c r="P7580" s="14">
        <v>0.41950060334056599</v>
      </c>
      <c r="Q7580" t="str">
        <f t="shared" si="236"/>
        <v>25-34</v>
      </c>
      <c r="R7580" t="str">
        <f t="shared" si="237"/>
        <v>[E7zpfyBt7Tw]|25-34|Female|NEW_INFECTIONS_SUBNAT.T2|CY2025Q3</v>
      </c>
    </row>
    <row r="7581" spans="4:18" x14ac:dyDescent="0.2">
      <c r="D7581" t="s">
        <v>122</v>
      </c>
      <c r="E7581" t="s">
        <v>123</v>
      </c>
      <c r="F7581" t="s">
        <v>124</v>
      </c>
      <c r="G7581" t="s">
        <v>174</v>
      </c>
      <c r="H7581" t="s">
        <v>174</v>
      </c>
      <c r="I7581" t="s">
        <v>42</v>
      </c>
      <c r="J7581" t="s">
        <v>43</v>
      </c>
      <c r="K7581" t="s">
        <v>29</v>
      </c>
      <c r="L7581" t="s">
        <v>30</v>
      </c>
      <c r="M7581" t="s">
        <v>172</v>
      </c>
      <c r="N7581">
        <v>1647</v>
      </c>
      <c r="O7581" s="14">
        <v>0.46397753804922098</v>
      </c>
      <c r="P7581" s="14">
        <v>0.41950060334056599</v>
      </c>
      <c r="Q7581" t="str">
        <f t="shared" si="236"/>
        <v>35-49</v>
      </c>
      <c r="R7581" t="str">
        <f t="shared" si="237"/>
        <v>[E7zpfyBt7Tw]|35-49|Female|NEW_INFECTIONS_SUBNAT.T2|CY2025Q3</v>
      </c>
    </row>
    <row r="7582" spans="4:18" x14ac:dyDescent="0.2">
      <c r="D7582" t="s">
        <v>122</v>
      </c>
      <c r="E7582" t="s">
        <v>123</v>
      </c>
      <c r="F7582" t="s">
        <v>124</v>
      </c>
      <c r="G7582" t="s">
        <v>174</v>
      </c>
      <c r="H7582" t="s">
        <v>174</v>
      </c>
      <c r="I7582" t="s">
        <v>44</v>
      </c>
      <c r="J7582" t="s">
        <v>45</v>
      </c>
      <c r="K7582" t="s">
        <v>29</v>
      </c>
      <c r="L7582" t="s">
        <v>30</v>
      </c>
      <c r="M7582" t="s">
        <v>172</v>
      </c>
      <c r="N7582">
        <v>1348</v>
      </c>
      <c r="O7582" s="14">
        <v>0.98734207567758903</v>
      </c>
      <c r="P7582" s="14">
        <v>0.41950060334056599</v>
      </c>
      <c r="Q7582" t="str">
        <f t="shared" si="236"/>
        <v>50+</v>
      </c>
      <c r="R7582" t="str">
        <f t="shared" si="237"/>
        <v>[E7zpfyBt7Tw]|50+|Female|NEW_INFECTIONS_SUBNAT.T2|CY2025Q3</v>
      </c>
    </row>
    <row r="7583" spans="4:18" x14ac:dyDescent="0.2">
      <c r="D7583" t="s">
        <v>122</v>
      </c>
      <c r="E7583" t="s">
        <v>123</v>
      </c>
      <c r="F7583" t="s">
        <v>124</v>
      </c>
      <c r="G7583" t="s">
        <v>174</v>
      </c>
      <c r="H7583" t="s">
        <v>174</v>
      </c>
      <c r="I7583" t="s">
        <v>27</v>
      </c>
      <c r="J7583" t="s">
        <v>28</v>
      </c>
      <c r="K7583" t="s">
        <v>47</v>
      </c>
      <c r="L7583" t="s">
        <v>48</v>
      </c>
      <c r="M7583" t="s">
        <v>172</v>
      </c>
      <c r="N7583">
        <v>993</v>
      </c>
      <c r="O7583" s="14">
        <v>0.14093506173230699</v>
      </c>
      <c r="P7583" s="14">
        <v>0.41950060334056599</v>
      </c>
      <c r="Q7583" t="str">
        <f t="shared" si="236"/>
        <v>&lt;01</v>
      </c>
      <c r="R7583" t="str">
        <f t="shared" si="237"/>
        <v>[E7zpfyBt7Tw]|&lt;01|Male|NEW_INFECTIONS_SUBNAT.T2|CY2025Q3</v>
      </c>
    </row>
    <row r="7584" spans="4:18" x14ac:dyDescent="0.2">
      <c r="D7584" t="s">
        <v>122</v>
      </c>
      <c r="E7584" t="s">
        <v>123</v>
      </c>
      <c r="F7584" t="s">
        <v>124</v>
      </c>
      <c r="G7584" t="s">
        <v>174</v>
      </c>
      <c r="H7584" t="s">
        <v>174</v>
      </c>
      <c r="I7584" t="s">
        <v>32</v>
      </c>
      <c r="J7584" t="s">
        <v>33</v>
      </c>
      <c r="K7584" t="s">
        <v>47</v>
      </c>
      <c r="L7584" t="s">
        <v>48</v>
      </c>
      <c r="M7584" t="s">
        <v>172</v>
      </c>
      <c r="N7584">
        <v>1889</v>
      </c>
      <c r="O7584" s="14">
        <v>0.61220042430795696</v>
      </c>
      <c r="P7584" s="14">
        <v>0.41950060334056599</v>
      </c>
      <c r="Q7584" t="str">
        <f t="shared" si="236"/>
        <v>01-09</v>
      </c>
      <c r="R7584" t="str">
        <f t="shared" si="237"/>
        <v>[E7zpfyBt7Tw]|01-09|Male|NEW_INFECTIONS_SUBNAT.T2|CY2025Q3</v>
      </c>
    </row>
    <row r="7585" spans="4:18" x14ac:dyDescent="0.2">
      <c r="D7585" t="s">
        <v>122</v>
      </c>
      <c r="E7585" t="s">
        <v>123</v>
      </c>
      <c r="F7585" t="s">
        <v>124</v>
      </c>
      <c r="G7585" t="s">
        <v>174</v>
      </c>
      <c r="H7585" t="s">
        <v>174</v>
      </c>
      <c r="I7585" t="s">
        <v>35</v>
      </c>
      <c r="J7585" t="s">
        <v>36</v>
      </c>
      <c r="K7585" t="s">
        <v>47</v>
      </c>
      <c r="L7585" t="s">
        <v>48</v>
      </c>
      <c r="M7585" t="s">
        <v>172</v>
      </c>
      <c r="N7585">
        <v>1277</v>
      </c>
      <c r="O7585" s="14">
        <v>0.52640236844308697</v>
      </c>
      <c r="P7585" s="14">
        <v>0.41950060334056599</v>
      </c>
      <c r="Q7585" t="str">
        <f t="shared" si="236"/>
        <v>10-14</v>
      </c>
      <c r="R7585" t="str">
        <f t="shared" si="237"/>
        <v>[E7zpfyBt7Tw]|10-14|Male|NEW_INFECTIONS_SUBNAT.T2|CY2025Q3</v>
      </c>
    </row>
    <row r="7586" spans="4:18" x14ac:dyDescent="0.2">
      <c r="D7586" t="s">
        <v>122</v>
      </c>
      <c r="E7586" t="s">
        <v>123</v>
      </c>
      <c r="F7586" t="s">
        <v>124</v>
      </c>
      <c r="G7586" t="s">
        <v>174</v>
      </c>
      <c r="H7586" t="s">
        <v>174</v>
      </c>
      <c r="I7586" t="s">
        <v>37</v>
      </c>
      <c r="J7586" t="s">
        <v>38</v>
      </c>
      <c r="K7586" t="s">
        <v>47</v>
      </c>
      <c r="L7586" t="s">
        <v>48</v>
      </c>
      <c r="M7586" t="s">
        <v>172</v>
      </c>
      <c r="N7586">
        <v>553</v>
      </c>
      <c r="O7586" s="14">
        <v>0.31224413868039802</v>
      </c>
      <c r="P7586" s="14">
        <v>0.41950060334056599</v>
      </c>
      <c r="Q7586" t="str">
        <f t="shared" si="236"/>
        <v>15-24</v>
      </c>
      <c r="R7586" t="str">
        <f t="shared" si="237"/>
        <v>[E7zpfyBt7Tw]|15-24|Male|NEW_INFECTIONS_SUBNAT.T2|CY2025Q3</v>
      </c>
    </row>
    <row r="7587" spans="4:18" x14ac:dyDescent="0.2">
      <c r="D7587" t="s">
        <v>122</v>
      </c>
      <c r="E7587" t="s">
        <v>123</v>
      </c>
      <c r="F7587" t="s">
        <v>124</v>
      </c>
      <c r="G7587" t="s">
        <v>174</v>
      </c>
      <c r="H7587" t="s">
        <v>174</v>
      </c>
      <c r="I7587" t="s">
        <v>40</v>
      </c>
      <c r="J7587" t="s">
        <v>41</v>
      </c>
      <c r="K7587" t="s">
        <v>47</v>
      </c>
      <c r="L7587" t="s">
        <v>48</v>
      </c>
      <c r="M7587" t="s">
        <v>172</v>
      </c>
      <c r="N7587">
        <v>1889</v>
      </c>
      <c r="O7587" s="14">
        <v>0.91421530395746198</v>
      </c>
      <c r="P7587" s="14">
        <v>0.41950060334056599</v>
      </c>
      <c r="Q7587" t="str">
        <f t="shared" si="236"/>
        <v>25-34</v>
      </c>
      <c r="R7587" t="str">
        <f t="shared" si="237"/>
        <v>[E7zpfyBt7Tw]|25-34|Male|NEW_INFECTIONS_SUBNAT.T2|CY2025Q3</v>
      </c>
    </row>
    <row r="7588" spans="4:18" x14ac:dyDescent="0.2">
      <c r="D7588" t="s">
        <v>122</v>
      </c>
      <c r="E7588" t="s">
        <v>123</v>
      </c>
      <c r="F7588" t="s">
        <v>124</v>
      </c>
      <c r="G7588" t="s">
        <v>174</v>
      </c>
      <c r="H7588" t="s">
        <v>174</v>
      </c>
      <c r="I7588" t="s">
        <v>42</v>
      </c>
      <c r="J7588" t="s">
        <v>43</v>
      </c>
      <c r="K7588" t="s">
        <v>47</v>
      </c>
      <c r="L7588" t="s">
        <v>48</v>
      </c>
      <c r="M7588" t="s">
        <v>172</v>
      </c>
      <c r="N7588">
        <v>1437</v>
      </c>
      <c r="O7588" s="14">
        <v>0.45677890325896398</v>
      </c>
      <c r="P7588" s="14">
        <v>0.41950060334056599</v>
      </c>
      <c r="Q7588" t="str">
        <f t="shared" si="236"/>
        <v>35-49</v>
      </c>
      <c r="R7588" t="str">
        <f t="shared" si="237"/>
        <v>[E7zpfyBt7Tw]|35-49|Male|NEW_INFECTIONS_SUBNAT.T2|CY2025Q3</v>
      </c>
    </row>
    <row r="7589" spans="4:18" x14ac:dyDescent="0.2">
      <c r="D7589" t="s">
        <v>122</v>
      </c>
      <c r="E7589" t="s">
        <v>123</v>
      </c>
      <c r="F7589" t="s">
        <v>124</v>
      </c>
      <c r="G7589" t="s">
        <v>174</v>
      </c>
      <c r="H7589" t="s">
        <v>174</v>
      </c>
      <c r="I7589" t="s">
        <v>44</v>
      </c>
      <c r="J7589" t="s">
        <v>45</v>
      </c>
      <c r="K7589" t="s">
        <v>47</v>
      </c>
      <c r="L7589" t="s">
        <v>48</v>
      </c>
      <c r="M7589" t="s">
        <v>172</v>
      </c>
      <c r="N7589">
        <v>1596</v>
      </c>
      <c r="O7589" s="14">
        <v>0.64939530892297603</v>
      </c>
      <c r="P7589" s="14">
        <v>0.41950060334056599</v>
      </c>
      <c r="Q7589" t="str">
        <f t="shared" si="236"/>
        <v>50+</v>
      </c>
      <c r="R7589" t="str">
        <f t="shared" si="237"/>
        <v>[E7zpfyBt7Tw]|50+|Male|NEW_INFECTIONS_SUBNAT.T2|CY2025Q3</v>
      </c>
    </row>
    <row r="7590" spans="4:18" x14ac:dyDescent="0.2">
      <c r="D7590" t="s">
        <v>125</v>
      </c>
      <c r="E7590" t="s">
        <v>126</v>
      </c>
      <c r="F7590" t="s">
        <v>127</v>
      </c>
      <c r="G7590" t="s">
        <v>174</v>
      </c>
      <c r="H7590" t="s">
        <v>174</v>
      </c>
      <c r="I7590" t="s">
        <v>27</v>
      </c>
      <c r="J7590" t="s">
        <v>28</v>
      </c>
      <c r="K7590" t="s">
        <v>29</v>
      </c>
      <c r="L7590" t="s">
        <v>30</v>
      </c>
      <c r="M7590" t="s">
        <v>172</v>
      </c>
      <c r="N7590">
        <v>1607</v>
      </c>
      <c r="O7590" s="14">
        <v>0.99593819398433003</v>
      </c>
      <c r="P7590" s="14">
        <v>0.25270639033988102</v>
      </c>
      <c r="Q7590" t="str">
        <f t="shared" si="236"/>
        <v>&lt;01</v>
      </c>
      <c r="R7590" t="str">
        <f t="shared" si="237"/>
        <v>[ZCjuwgaMB9u]|&lt;01|Female|NEW_INFECTIONS_SUBNAT.T2|CY2025Q3</v>
      </c>
    </row>
    <row r="7591" spans="4:18" x14ac:dyDescent="0.2">
      <c r="D7591" t="s">
        <v>125</v>
      </c>
      <c r="E7591" t="s">
        <v>126</v>
      </c>
      <c r="F7591" t="s">
        <v>127</v>
      </c>
      <c r="G7591" t="s">
        <v>174</v>
      </c>
      <c r="H7591" t="s">
        <v>174</v>
      </c>
      <c r="I7591" t="s">
        <v>32</v>
      </c>
      <c r="J7591" t="s">
        <v>33</v>
      </c>
      <c r="K7591" t="s">
        <v>29</v>
      </c>
      <c r="L7591" t="s">
        <v>30</v>
      </c>
      <c r="M7591" t="s">
        <v>172</v>
      </c>
      <c r="N7591">
        <v>1152</v>
      </c>
      <c r="O7591" s="14">
        <v>0.70551240560598705</v>
      </c>
      <c r="P7591" s="14">
        <v>0.25270639033988102</v>
      </c>
      <c r="Q7591" t="str">
        <f t="shared" si="236"/>
        <v>01-09</v>
      </c>
      <c r="R7591" t="str">
        <f t="shared" si="237"/>
        <v>[ZCjuwgaMB9u]|01-09|Female|NEW_INFECTIONS_SUBNAT.T2|CY2025Q3</v>
      </c>
    </row>
    <row r="7592" spans="4:18" x14ac:dyDescent="0.2">
      <c r="D7592" t="s">
        <v>125</v>
      </c>
      <c r="E7592" t="s">
        <v>126</v>
      </c>
      <c r="F7592" t="s">
        <v>127</v>
      </c>
      <c r="G7592" t="s">
        <v>174</v>
      </c>
      <c r="H7592" t="s">
        <v>174</v>
      </c>
      <c r="I7592" t="s">
        <v>35</v>
      </c>
      <c r="J7592" t="s">
        <v>36</v>
      </c>
      <c r="K7592" t="s">
        <v>29</v>
      </c>
      <c r="L7592" t="s">
        <v>30</v>
      </c>
      <c r="M7592" t="s">
        <v>172</v>
      </c>
      <c r="N7592">
        <v>1345</v>
      </c>
      <c r="O7592" s="14">
        <v>0.14428794756531699</v>
      </c>
      <c r="P7592" s="14">
        <v>0.25270639033988102</v>
      </c>
      <c r="Q7592" t="str">
        <f t="shared" si="236"/>
        <v>10-14</v>
      </c>
      <c r="R7592" t="str">
        <f t="shared" si="237"/>
        <v>[ZCjuwgaMB9u]|10-14|Female|NEW_INFECTIONS_SUBNAT.T2|CY2025Q3</v>
      </c>
    </row>
    <row r="7593" spans="4:18" x14ac:dyDescent="0.2">
      <c r="D7593" t="s">
        <v>125</v>
      </c>
      <c r="E7593" t="s">
        <v>126</v>
      </c>
      <c r="F7593" t="s">
        <v>127</v>
      </c>
      <c r="G7593" t="s">
        <v>174</v>
      </c>
      <c r="H7593" t="s">
        <v>174</v>
      </c>
      <c r="I7593" t="s">
        <v>37</v>
      </c>
      <c r="J7593" t="s">
        <v>38</v>
      </c>
      <c r="K7593" t="s">
        <v>29</v>
      </c>
      <c r="L7593" t="s">
        <v>30</v>
      </c>
      <c r="M7593" t="s">
        <v>172</v>
      </c>
      <c r="N7593">
        <v>1227</v>
      </c>
      <c r="O7593" s="14">
        <v>3.5123481648042798E-2</v>
      </c>
      <c r="P7593" s="14">
        <v>0.25270639033988102</v>
      </c>
      <c r="Q7593" t="str">
        <f t="shared" si="236"/>
        <v>15-24</v>
      </c>
      <c r="R7593" t="str">
        <f t="shared" si="237"/>
        <v>[ZCjuwgaMB9u]|15-24|Female|NEW_INFECTIONS_SUBNAT.T2|CY2025Q3</v>
      </c>
    </row>
    <row r="7594" spans="4:18" x14ac:dyDescent="0.2">
      <c r="D7594" t="s">
        <v>125</v>
      </c>
      <c r="E7594" t="s">
        <v>126</v>
      </c>
      <c r="F7594" t="s">
        <v>127</v>
      </c>
      <c r="G7594" t="s">
        <v>174</v>
      </c>
      <c r="H7594" t="s">
        <v>174</v>
      </c>
      <c r="I7594" t="s">
        <v>40</v>
      </c>
      <c r="J7594" t="s">
        <v>41</v>
      </c>
      <c r="K7594" t="s">
        <v>29</v>
      </c>
      <c r="L7594" t="s">
        <v>30</v>
      </c>
      <c r="M7594" t="s">
        <v>172</v>
      </c>
      <c r="N7594">
        <v>1233</v>
      </c>
      <c r="O7594" s="14">
        <v>0.442429932765663</v>
      </c>
      <c r="P7594" s="14">
        <v>0.25270639033988102</v>
      </c>
      <c r="Q7594" t="str">
        <f t="shared" si="236"/>
        <v>25-34</v>
      </c>
      <c r="R7594" t="str">
        <f t="shared" si="237"/>
        <v>[ZCjuwgaMB9u]|25-34|Female|NEW_INFECTIONS_SUBNAT.T2|CY2025Q3</v>
      </c>
    </row>
    <row r="7595" spans="4:18" x14ac:dyDescent="0.2">
      <c r="D7595" t="s">
        <v>125</v>
      </c>
      <c r="E7595" t="s">
        <v>126</v>
      </c>
      <c r="F7595" t="s">
        <v>127</v>
      </c>
      <c r="G7595" t="s">
        <v>174</v>
      </c>
      <c r="H7595" t="s">
        <v>174</v>
      </c>
      <c r="I7595" t="s">
        <v>42</v>
      </c>
      <c r="J7595" t="s">
        <v>43</v>
      </c>
      <c r="K7595" t="s">
        <v>29</v>
      </c>
      <c r="L7595" t="s">
        <v>30</v>
      </c>
      <c r="M7595" t="s">
        <v>172</v>
      </c>
      <c r="N7595">
        <v>1423</v>
      </c>
      <c r="O7595" s="14">
        <v>0.33541617449373001</v>
      </c>
      <c r="P7595" s="14">
        <v>0.25270639033988102</v>
      </c>
      <c r="Q7595" t="str">
        <f t="shared" si="236"/>
        <v>35-49</v>
      </c>
      <c r="R7595" t="str">
        <f t="shared" si="237"/>
        <v>[ZCjuwgaMB9u]|35-49|Female|NEW_INFECTIONS_SUBNAT.T2|CY2025Q3</v>
      </c>
    </row>
    <row r="7596" spans="4:18" x14ac:dyDescent="0.2">
      <c r="D7596" t="s">
        <v>125</v>
      </c>
      <c r="E7596" t="s">
        <v>126</v>
      </c>
      <c r="F7596" t="s">
        <v>127</v>
      </c>
      <c r="G7596" t="s">
        <v>174</v>
      </c>
      <c r="H7596" t="s">
        <v>174</v>
      </c>
      <c r="I7596" t="s">
        <v>44</v>
      </c>
      <c r="J7596" t="s">
        <v>45</v>
      </c>
      <c r="K7596" t="s">
        <v>29</v>
      </c>
      <c r="L7596" t="s">
        <v>30</v>
      </c>
      <c r="M7596" t="s">
        <v>172</v>
      </c>
      <c r="N7596">
        <v>996</v>
      </c>
      <c r="O7596" s="14">
        <v>0.40981050254777102</v>
      </c>
      <c r="P7596" s="14">
        <v>0.25270639033988102</v>
      </c>
      <c r="Q7596" t="str">
        <f t="shared" si="236"/>
        <v>50+</v>
      </c>
      <c r="R7596" t="str">
        <f t="shared" si="237"/>
        <v>[ZCjuwgaMB9u]|50+|Female|NEW_INFECTIONS_SUBNAT.T2|CY2025Q3</v>
      </c>
    </row>
    <row r="7597" spans="4:18" x14ac:dyDescent="0.2">
      <c r="D7597" t="s">
        <v>125</v>
      </c>
      <c r="E7597" t="s">
        <v>126</v>
      </c>
      <c r="F7597" t="s">
        <v>127</v>
      </c>
      <c r="G7597" t="s">
        <v>174</v>
      </c>
      <c r="H7597" t="s">
        <v>174</v>
      </c>
      <c r="I7597" t="s">
        <v>27</v>
      </c>
      <c r="J7597" t="s">
        <v>28</v>
      </c>
      <c r="K7597" t="s">
        <v>47</v>
      </c>
      <c r="L7597" t="s">
        <v>48</v>
      </c>
      <c r="M7597" t="s">
        <v>172</v>
      </c>
      <c r="N7597">
        <v>1810</v>
      </c>
      <c r="O7597" s="14">
        <v>1.8235909286886499E-2</v>
      </c>
      <c r="P7597" s="14">
        <v>0.25270639033988102</v>
      </c>
      <c r="Q7597" t="str">
        <f t="shared" si="236"/>
        <v>&lt;01</v>
      </c>
      <c r="R7597" t="str">
        <f t="shared" si="237"/>
        <v>[ZCjuwgaMB9u]|&lt;01|Male|NEW_INFECTIONS_SUBNAT.T2|CY2025Q3</v>
      </c>
    </row>
    <row r="7598" spans="4:18" x14ac:dyDescent="0.2">
      <c r="D7598" t="s">
        <v>125</v>
      </c>
      <c r="E7598" t="s">
        <v>126</v>
      </c>
      <c r="F7598" t="s">
        <v>127</v>
      </c>
      <c r="G7598" t="s">
        <v>174</v>
      </c>
      <c r="H7598" t="s">
        <v>174</v>
      </c>
      <c r="I7598" t="s">
        <v>32</v>
      </c>
      <c r="J7598" t="s">
        <v>33</v>
      </c>
      <c r="K7598" t="s">
        <v>47</v>
      </c>
      <c r="L7598" t="s">
        <v>48</v>
      </c>
      <c r="M7598" t="s">
        <v>172</v>
      </c>
      <c r="N7598">
        <v>745</v>
      </c>
      <c r="O7598" s="14">
        <v>0.94068713858723596</v>
      </c>
      <c r="P7598" s="14">
        <v>0.25270639033988102</v>
      </c>
      <c r="Q7598" t="str">
        <f t="shared" si="236"/>
        <v>01-09</v>
      </c>
      <c r="R7598" t="str">
        <f t="shared" si="237"/>
        <v>[ZCjuwgaMB9u]|01-09|Male|NEW_INFECTIONS_SUBNAT.T2|CY2025Q3</v>
      </c>
    </row>
    <row r="7599" spans="4:18" x14ac:dyDescent="0.2">
      <c r="D7599" t="s">
        <v>125</v>
      </c>
      <c r="E7599" t="s">
        <v>126</v>
      </c>
      <c r="F7599" t="s">
        <v>127</v>
      </c>
      <c r="G7599" t="s">
        <v>174</v>
      </c>
      <c r="H7599" t="s">
        <v>174</v>
      </c>
      <c r="I7599" t="s">
        <v>35</v>
      </c>
      <c r="J7599" t="s">
        <v>36</v>
      </c>
      <c r="K7599" t="s">
        <v>47</v>
      </c>
      <c r="L7599" t="s">
        <v>48</v>
      </c>
      <c r="M7599" t="s">
        <v>172</v>
      </c>
      <c r="N7599">
        <v>1844</v>
      </c>
      <c r="O7599" s="14">
        <v>0.78925999626517296</v>
      </c>
      <c r="P7599" s="14">
        <v>0.25270639033988102</v>
      </c>
      <c r="Q7599" t="str">
        <f t="shared" si="236"/>
        <v>10-14</v>
      </c>
      <c r="R7599" t="str">
        <f t="shared" si="237"/>
        <v>[ZCjuwgaMB9u]|10-14|Male|NEW_INFECTIONS_SUBNAT.T2|CY2025Q3</v>
      </c>
    </row>
    <row r="7600" spans="4:18" x14ac:dyDescent="0.2">
      <c r="D7600" t="s">
        <v>125</v>
      </c>
      <c r="E7600" t="s">
        <v>126</v>
      </c>
      <c r="F7600" t="s">
        <v>127</v>
      </c>
      <c r="G7600" t="s">
        <v>174</v>
      </c>
      <c r="H7600" t="s">
        <v>174</v>
      </c>
      <c r="I7600" t="s">
        <v>37</v>
      </c>
      <c r="J7600" t="s">
        <v>38</v>
      </c>
      <c r="K7600" t="s">
        <v>47</v>
      </c>
      <c r="L7600" t="s">
        <v>48</v>
      </c>
      <c r="M7600" t="s">
        <v>172</v>
      </c>
      <c r="N7600">
        <v>1444</v>
      </c>
      <c r="O7600" s="14">
        <v>0.82627472653985001</v>
      </c>
      <c r="P7600" s="14">
        <v>0.25270639033988102</v>
      </c>
      <c r="Q7600" t="str">
        <f t="shared" si="236"/>
        <v>15-24</v>
      </c>
      <c r="R7600" t="str">
        <f t="shared" si="237"/>
        <v>[ZCjuwgaMB9u]|15-24|Male|NEW_INFECTIONS_SUBNAT.T2|CY2025Q3</v>
      </c>
    </row>
    <row r="7601" spans="4:18" x14ac:dyDescent="0.2">
      <c r="D7601" t="s">
        <v>125</v>
      </c>
      <c r="E7601" t="s">
        <v>126</v>
      </c>
      <c r="F7601" t="s">
        <v>127</v>
      </c>
      <c r="G7601" t="s">
        <v>174</v>
      </c>
      <c r="H7601" t="s">
        <v>174</v>
      </c>
      <c r="I7601" t="s">
        <v>40</v>
      </c>
      <c r="J7601" t="s">
        <v>41</v>
      </c>
      <c r="K7601" t="s">
        <v>47</v>
      </c>
      <c r="L7601" t="s">
        <v>48</v>
      </c>
      <c r="M7601" t="s">
        <v>172</v>
      </c>
      <c r="N7601">
        <v>1264</v>
      </c>
      <c r="O7601" s="14">
        <v>0.72859340580180298</v>
      </c>
      <c r="P7601" s="14">
        <v>0.25270639033988102</v>
      </c>
      <c r="Q7601" t="str">
        <f t="shared" si="236"/>
        <v>25-34</v>
      </c>
      <c r="R7601" t="str">
        <f t="shared" si="237"/>
        <v>[ZCjuwgaMB9u]|25-34|Male|NEW_INFECTIONS_SUBNAT.T2|CY2025Q3</v>
      </c>
    </row>
    <row r="7602" spans="4:18" x14ac:dyDescent="0.2">
      <c r="D7602" t="s">
        <v>125</v>
      </c>
      <c r="E7602" t="s">
        <v>126</v>
      </c>
      <c r="F7602" t="s">
        <v>127</v>
      </c>
      <c r="G7602" t="s">
        <v>174</v>
      </c>
      <c r="H7602" t="s">
        <v>174</v>
      </c>
      <c r="I7602" t="s">
        <v>42</v>
      </c>
      <c r="J7602" t="s">
        <v>43</v>
      </c>
      <c r="K7602" t="s">
        <v>47</v>
      </c>
      <c r="L7602" t="s">
        <v>48</v>
      </c>
      <c r="M7602" t="s">
        <v>172</v>
      </c>
      <c r="N7602">
        <v>1181</v>
      </c>
      <c r="O7602" s="14">
        <v>0.42908191471360602</v>
      </c>
      <c r="P7602" s="14">
        <v>0.25270639033988102</v>
      </c>
      <c r="Q7602" t="str">
        <f t="shared" si="236"/>
        <v>35-49</v>
      </c>
      <c r="R7602" t="str">
        <f t="shared" si="237"/>
        <v>[ZCjuwgaMB9u]|35-49|Male|NEW_INFECTIONS_SUBNAT.T2|CY2025Q3</v>
      </c>
    </row>
    <row r="7603" spans="4:18" x14ac:dyDescent="0.2">
      <c r="D7603" t="s">
        <v>125</v>
      </c>
      <c r="E7603" t="s">
        <v>126</v>
      </c>
      <c r="F7603" t="s">
        <v>127</v>
      </c>
      <c r="G7603" t="s">
        <v>174</v>
      </c>
      <c r="H7603" t="s">
        <v>174</v>
      </c>
      <c r="I7603" t="s">
        <v>44</v>
      </c>
      <c r="J7603" t="s">
        <v>45</v>
      </c>
      <c r="K7603" t="s">
        <v>47</v>
      </c>
      <c r="L7603" t="s">
        <v>48</v>
      </c>
      <c r="M7603" t="s">
        <v>172</v>
      </c>
      <c r="N7603">
        <v>1232</v>
      </c>
      <c r="O7603" s="14">
        <v>0.464070978108793</v>
      </c>
      <c r="P7603" s="14">
        <v>0.25270639033988102</v>
      </c>
      <c r="Q7603" t="str">
        <f t="shared" si="236"/>
        <v>50+</v>
      </c>
      <c r="R7603" t="str">
        <f t="shared" si="237"/>
        <v>[ZCjuwgaMB9u]|50+|Male|NEW_INFECTIONS_SUBNAT.T2|CY2025Q3</v>
      </c>
    </row>
    <row r="7604" spans="4:18" x14ac:dyDescent="0.2">
      <c r="D7604" t="s">
        <v>128</v>
      </c>
      <c r="E7604" t="s">
        <v>129</v>
      </c>
      <c r="F7604" t="s">
        <v>130</v>
      </c>
      <c r="G7604" t="s">
        <v>174</v>
      </c>
      <c r="H7604" t="s">
        <v>174</v>
      </c>
      <c r="I7604" t="s">
        <v>27</v>
      </c>
      <c r="J7604" t="s">
        <v>28</v>
      </c>
      <c r="K7604" t="s">
        <v>29</v>
      </c>
      <c r="L7604" t="s">
        <v>30</v>
      </c>
      <c r="M7604" t="s">
        <v>172</v>
      </c>
      <c r="N7604">
        <v>1642</v>
      </c>
      <c r="O7604" s="14">
        <v>0.91236350662075005</v>
      </c>
      <c r="P7604" s="14">
        <v>0.55690808477811504</v>
      </c>
      <c r="Q7604" t="str">
        <f t="shared" si="236"/>
        <v>&lt;01</v>
      </c>
      <c r="R7604" t="str">
        <f t="shared" si="237"/>
        <v>[YCKiBAp8QAg]|&lt;01|Female|NEW_INFECTIONS_SUBNAT.T2|CY2025Q3</v>
      </c>
    </row>
    <row r="7605" spans="4:18" x14ac:dyDescent="0.2">
      <c r="D7605" t="s">
        <v>128</v>
      </c>
      <c r="E7605" t="s">
        <v>129</v>
      </c>
      <c r="F7605" t="s">
        <v>130</v>
      </c>
      <c r="G7605" t="s">
        <v>174</v>
      </c>
      <c r="H7605" t="s">
        <v>174</v>
      </c>
      <c r="I7605" t="s">
        <v>32</v>
      </c>
      <c r="J7605" t="s">
        <v>33</v>
      </c>
      <c r="K7605" t="s">
        <v>29</v>
      </c>
      <c r="L7605" t="s">
        <v>30</v>
      </c>
      <c r="M7605" t="s">
        <v>172</v>
      </c>
      <c r="N7605">
        <v>1294</v>
      </c>
      <c r="O7605" s="14">
        <v>0.98639964452013396</v>
      </c>
      <c r="P7605" s="14">
        <v>0.55690808477811504</v>
      </c>
      <c r="Q7605" t="str">
        <f t="shared" si="236"/>
        <v>01-09</v>
      </c>
      <c r="R7605" t="str">
        <f t="shared" si="237"/>
        <v>[YCKiBAp8QAg]|01-09|Female|NEW_INFECTIONS_SUBNAT.T2|CY2025Q3</v>
      </c>
    </row>
    <row r="7606" spans="4:18" x14ac:dyDescent="0.2">
      <c r="D7606" t="s">
        <v>128</v>
      </c>
      <c r="E7606" t="s">
        <v>129</v>
      </c>
      <c r="F7606" t="s">
        <v>130</v>
      </c>
      <c r="G7606" t="s">
        <v>174</v>
      </c>
      <c r="H7606" t="s">
        <v>174</v>
      </c>
      <c r="I7606" t="s">
        <v>35</v>
      </c>
      <c r="J7606" t="s">
        <v>36</v>
      </c>
      <c r="K7606" t="s">
        <v>29</v>
      </c>
      <c r="L7606" t="s">
        <v>30</v>
      </c>
      <c r="M7606" t="s">
        <v>172</v>
      </c>
      <c r="N7606">
        <v>1157</v>
      </c>
      <c r="O7606" s="14">
        <v>0.58257638802751899</v>
      </c>
      <c r="P7606" s="14">
        <v>0.55690808477811504</v>
      </c>
      <c r="Q7606" t="str">
        <f t="shared" si="236"/>
        <v>10-14</v>
      </c>
      <c r="R7606" t="str">
        <f t="shared" si="237"/>
        <v>[YCKiBAp8QAg]|10-14|Female|NEW_INFECTIONS_SUBNAT.T2|CY2025Q3</v>
      </c>
    </row>
    <row r="7607" spans="4:18" x14ac:dyDescent="0.2">
      <c r="D7607" t="s">
        <v>128</v>
      </c>
      <c r="E7607" t="s">
        <v>129</v>
      </c>
      <c r="F7607" t="s">
        <v>130</v>
      </c>
      <c r="G7607" t="s">
        <v>174</v>
      </c>
      <c r="H7607" t="s">
        <v>174</v>
      </c>
      <c r="I7607" t="s">
        <v>37</v>
      </c>
      <c r="J7607" t="s">
        <v>38</v>
      </c>
      <c r="K7607" t="s">
        <v>29</v>
      </c>
      <c r="L7607" t="s">
        <v>30</v>
      </c>
      <c r="M7607" t="s">
        <v>172</v>
      </c>
      <c r="N7607">
        <v>1651</v>
      </c>
      <c r="O7607" s="14">
        <v>0.62461760477162898</v>
      </c>
      <c r="P7607" s="14">
        <v>0.55690808477811504</v>
      </c>
      <c r="Q7607" t="str">
        <f t="shared" si="236"/>
        <v>15-24</v>
      </c>
      <c r="R7607" t="str">
        <f t="shared" si="237"/>
        <v>[YCKiBAp8QAg]|15-24|Female|NEW_INFECTIONS_SUBNAT.T2|CY2025Q3</v>
      </c>
    </row>
    <row r="7608" spans="4:18" x14ac:dyDescent="0.2">
      <c r="D7608" t="s">
        <v>128</v>
      </c>
      <c r="E7608" t="s">
        <v>129</v>
      </c>
      <c r="F7608" t="s">
        <v>130</v>
      </c>
      <c r="G7608" t="s">
        <v>174</v>
      </c>
      <c r="H7608" t="s">
        <v>174</v>
      </c>
      <c r="I7608" t="s">
        <v>40</v>
      </c>
      <c r="J7608" t="s">
        <v>41</v>
      </c>
      <c r="K7608" t="s">
        <v>29</v>
      </c>
      <c r="L7608" t="s">
        <v>30</v>
      </c>
      <c r="M7608" t="s">
        <v>172</v>
      </c>
      <c r="N7608">
        <v>699</v>
      </c>
      <c r="O7608" s="14">
        <v>0.77251385478302803</v>
      </c>
      <c r="P7608" s="14">
        <v>0.55690808477811504</v>
      </c>
      <c r="Q7608" t="str">
        <f t="shared" si="236"/>
        <v>25-34</v>
      </c>
      <c r="R7608" t="str">
        <f t="shared" si="237"/>
        <v>[YCKiBAp8QAg]|25-34|Female|NEW_INFECTIONS_SUBNAT.T2|CY2025Q3</v>
      </c>
    </row>
    <row r="7609" spans="4:18" x14ac:dyDescent="0.2">
      <c r="D7609" t="s">
        <v>128</v>
      </c>
      <c r="E7609" t="s">
        <v>129</v>
      </c>
      <c r="F7609" t="s">
        <v>130</v>
      </c>
      <c r="G7609" t="s">
        <v>174</v>
      </c>
      <c r="H7609" t="s">
        <v>174</v>
      </c>
      <c r="I7609" t="s">
        <v>42</v>
      </c>
      <c r="J7609" t="s">
        <v>43</v>
      </c>
      <c r="K7609" t="s">
        <v>29</v>
      </c>
      <c r="L7609" t="s">
        <v>30</v>
      </c>
      <c r="M7609" t="s">
        <v>172</v>
      </c>
      <c r="N7609">
        <v>1568</v>
      </c>
      <c r="O7609" s="14">
        <v>0.693650376284495</v>
      </c>
      <c r="P7609" s="14">
        <v>0.55690808477811504</v>
      </c>
      <c r="Q7609" t="str">
        <f t="shared" si="236"/>
        <v>35-49</v>
      </c>
      <c r="R7609" t="str">
        <f t="shared" si="237"/>
        <v>[YCKiBAp8QAg]|35-49|Female|NEW_INFECTIONS_SUBNAT.T2|CY2025Q3</v>
      </c>
    </row>
    <row r="7610" spans="4:18" x14ac:dyDescent="0.2">
      <c r="D7610" t="s">
        <v>128</v>
      </c>
      <c r="E7610" t="s">
        <v>129</v>
      </c>
      <c r="F7610" t="s">
        <v>130</v>
      </c>
      <c r="G7610" t="s">
        <v>174</v>
      </c>
      <c r="H7610" t="s">
        <v>174</v>
      </c>
      <c r="I7610" t="s">
        <v>44</v>
      </c>
      <c r="J7610" t="s">
        <v>45</v>
      </c>
      <c r="K7610" t="s">
        <v>29</v>
      </c>
      <c r="L7610" t="s">
        <v>30</v>
      </c>
      <c r="M7610" t="s">
        <v>172</v>
      </c>
      <c r="N7610">
        <v>517</v>
      </c>
      <c r="O7610" s="14">
        <v>0.30906159128062399</v>
      </c>
      <c r="P7610" s="14">
        <v>0.55690808477811504</v>
      </c>
      <c r="Q7610" t="str">
        <f t="shared" si="236"/>
        <v>50+</v>
      </c>
      <c r="R7610" t="str">
        <f t="shared" si="237"/>
        <v>[YCKiBAp8QAg]|50+|Female|NEW_INFECTIONS_SUBNAT.T2|CY2025Q3</v>
      </c>
    </row>
    <row r="7611" spans="4:18" x14ac:dyDescent="0.2">
      <c r="D7611" t="s">
        <v>128</v>
      </c>
      <c r="E7611" t="s">
        <v>129</v>
      </c>
      <c r="F7611" t="s">
        <v>130</v>
      </c>
      <c r="G7611" t="s">
        <v>174</v>
      </c>
      <c r="H7611" t="s">
        <v>174</v>
      </c>
      <c r="I7611" t="s">
        <v>27</v>
      </c>
      <c r="J7611" t="s">
        <v>28</v>
      </c>
      <c r="K7611" t="s">
        <v>47</v>
      </c>
      <c r="L7611" t="s">
        <v>48</v>
      </c>
      <c r="M7611" t="s">
        <v>172</v>
      </c>
      <c r="N7611">
        <v>1303</v>
      </c>
      <c r="O7611" s="14">
        <v>5.3927384782582501E-2</v>
      </c>
      <c r="P7611" s="14">
        <v>0.55690808477811504</v>
      </c>
      <c r="Q7611" t="str">
        <f t="shared" si="236"/>
        <v>&lt;01</v>
      </c>
      <c r="R7611" t="str">
        <f t="shared" si="237"/>
        <v>[YCKiBAp8QAg]|&lt;01|Male|NEW_INFECTIONS_SUBNAT.T2|CY2025Q3</v>
      </c>
    </row>
    <row r="7612" spans="4:18" x14ac:dyDescent="0.2">
      <c r="D7612" t="s">
        <v>128</v>
      </c>
      <c r="E7612" t="s">
        <v>129</v>
      </c>
      <c r="F7612" t="s">
        <v>130</v>
      </c>
      <c r="G7612" t="s">
        <v>174</v>
      </c>
      <c r="H7612" t="s">
        <v>174</v>
      </c>
      <c r="I7612" t="s">
        <v>32</v>
      </c>
      <c r="J7612" t="s">
        <v>33</v>
      </c>
      <c r="K7612" t="s">
        <v>47</v>
      </c>
      <c r="L7612" t="s">
        <v>48</v>
      </c>
      <c r="M7612" t="s">
        <v>172</v>
      </c>
      <c r="N7612">
        <v>1127</v>
      </c>
      <c r="O7612" s="14">
        <v>0.95806674729101404</v>
      </c>
      <c r="P7612" s="14">
        <v>0.55690808477811504</v>
      </c>
      <c r="Q7612" t="str">
        <f t="shared" si="236"/>
        <v>01-09</v>
      </c>
      <c r="R7612" t="str">
        <f t="shared" si="237"/>
        <v>[YCKiBAp8QAg]|01-09|Male|NEW_INFECTIONS_SUBNAT.T2|CY2025Q3</v>
      </c>
    </row>
    <row r="7613" spans="4:18" x14ac:dyDescent="0.2">
      <c r="D7613" t="s">
        <v>128</v>
      </c>
      <c r="E7613" t="s">
        <v>129</v>
      </c>
      <c r="F7613" t="s">
        <v>130</v>
      </c>
      <c r="G7613" t="s">
        <v>174</v>
      </c>
      <c r="H7613" t="s">
        <v>174</v>
      </c>
      <c r="I7613" t="s">
        <v>35</v>
      </c>
      <c r="J7613" t="s">
        <v>36</v>
      </c>
      <c r="K7613" t="s">
        <v>47</v>
      </c>
      <c r="L7613" t="s">
        <v>48</v>
      </c>
      <c r="M7613" t="s">
        <v>172</v>
      </c>
      <c r="N7613">
        <v>1156</v>
      </c>
      <c r="O7613" s="14">
        <v>0.961291275452822</v>
      </c>
      <c r="P7613" s="14">
        <v>0.55690808477811504</v>
      </c>
      <c r="Q7613" t="str">
        <f t="shared" si="236"/>
        <v>10-14</v>
      </c>
      <c r="R7613" t="str">
        <f t="shared" si="237"/>
        <v>[YCKiBAp8QAg]|10-14|Male|NEW_INFECTIONS_SUBNAT.T2|CY2025Q3</v>
      </c>
    </row>
    <row r="7614" spans="4:18" x14ac:dyDescent="0.2">
      <c r="D7614" t="s">
        <v>128</v>
      </c>
      <c r="E7614" t="s">
        <v>129</v>
      </c>
      <c r="F7614" t="s">
        <v>130</v>
      </c>
      <c r="G7614" t="s">
        <v>174</v>
      </c>
      <c r="H7614" t="s">
        <v>174</v>
      </c>
      <c r="I7614" t="s">
        <v>37</v>
      </c>
      <c r="J7614" t="s">
        <v>38</v>
      </c>
      <c r="K7614" t="s">
        <v>47</v>
      </c>
      <c r="L7614" t="s">
        <v>48</v>
      </c>
      <c r="M7614" t="s">
        <v>172</v>
      </c>
      <c r="N7614">
        <v>1308</v>
      </c>
      <c r="O7614" s="14">
        <v>0.96324446983635403</v>
      </c>
      <c r="P7614" s="14">
        <v>0.55690808477811504</v>
      </c>
      <c r="Q7614" t="str">
        <f t="shared" si="236"/>
        <v>15-24</v>
      </c>
      <c r="R7614" t="str">
        <f t="shared" si="237"/>
        <v>[YCKiBAp8QAg]|15-24|Male|NEW_INFECTIONS_SUBNAT.T2|CY2025Q3</v>
      </c>
    </row>
    <row r="7615" spans="4:18" x14ac:dyDescent="0.2">
      <c r="D7615" t="s">
        <v>128</v>
      </c>
      <c r="E7615" t="s">
        <v>129</v>
      </c>
      <c r="F7615" t="s">
        <v>130</v>
      </c>
      <c r="G7615" t="s">
        <v>174</v>
      </c>
      <c r="H7615" t="s">
        <v>174</v>
      </c>
      <c r="I7615" t="s">
        <v>40</v>
      </c>
      <c r="J7615" t="s">
        <v>41</v>
      </c>
      <c r="K7615" t="s">
        <v>47</v>
      </c>
      <c r="L7615" t="s">
        <v>48</v>
      </c>
      <c r="M7615" t="s">
        <v>172</v>
      </c>
      <c r="N7615">
        <v>1532</v>
      </c>
      <c r="O7615" s="14">
        <v>0.28697894280776398</v>
      </c>
      <c r="P7615" s="14">
        <v>0.55690808477811504</v>
      </c>
      <c r="Q7615" t="str">
        <f t="shared" si="236"/>
        <v>25-34</v>
      </c>
      <c r="R7615" t="str">
        <f t="shared" si="237"/>
        <v>[YCKiBAp8QAg]|25-34|Male|NEW_INFECTIONS_SUBNAT.T2|CY2025Q3</v>
      </c>
    </row>
    <row r="7616" spans="4:18" x14ac:dyDescent="0.2">
      <c r="D7616" t="s">
        <v>128</v>
      </c>
      <c r="E7616" t="s">
        <v>129</v>
      </c>
      <c r="F7616" t="s">
        <v>130</v>
      </c>
      <c r="G7616" t="s">
        <v>174</v>
      </c>
      <c r="H7616" t="s">
        <v>174</v>
      </c>
      <c r="I7616" t="s">
        <v>42</v>
      </c>
      <c r="J7616" t="s">
        <v>43</v>
      </c>
      <c r="K7616" t="s">
        <v>47</v>
      </c>
      <c r="L7616" t="s">
        <v>48</v>
      </c>
      <c r="M7616" t="s">
        <v>172</v>
      </c>
      <c r="N7616">
        <v>1337</v>
      </c>
      <c r="O7616" s="14">
        <v>0.84691762039437901</v>
      </c>
      <c r="P7616" s="14">
        <v>0.55690808477811504</v>
      </c>
      <c r="Q7616" t="str">
        <f t="shared" si="236"/>
        <v>35-49</v>
      </c>
      <c r="R7616" t="str">
        <f t="shared" si="237"/>
        <v>[YCKiBAp8QAg]|35-49|Male|NEW_INFECTIONS_SUBNAT.T2|CY2025Q3</v>
      </c>
    </row>
    <row r="7617" spans="4:18" x14ac:dyDescent="0.2">
      <c r="D7617" t="s">
        <v>128</v>
      </c>
      <c r="E7617" t="s">
        <v>129</v>
      </c>
      <c r="F7617" t="s">
        <v>130</v>
      </c>
      <c r="G7617" t="s">
        <v>174</v>
      </c>
      <c r="H7617" t="s">
        <v>174</v>
      </c>
      <c r="I7617" t="s">
        <v>44</v>
      </c>
      <c r="J7617" t="s">
        <v>45</v>
      </c>
      <c r="K7617" t="s">
        <v>47</v>
      </c>
      <c r="L7617" t="s">
        <v>48</v>
      </c>
      <c r="M7617" t="s">
        <v>172</v>
      </c>
      <c r="N7617">
        <v>1429</v>
      </c>
      <c r="O7617" s="14">
        <v>0.43415163434110599</v>
      </c>
      <c r="P7617" s="14">
        <v>0.55690808477811504</v>
      </c>
      <c r="Q7617" t="str">
        <f t="shared" si="236"/>
        <v>50+</v>
      </c>
      <c r="R7617" t="str">
        <f t="shared" si="237"/>
        <v>[YCKiBAp8QAg]|50+|Male|NEW_INFECTIONS_SUBNAT.T2|CY2025Q3</v>
      </c>
    </row>
    <row r="7618" spans="4:18" x14ac:dyDescent="0.2">
      <c r="D7618" t="s">
        <v>131</v>
      </c>
      <c r="E7618" t="s">
        <v>132</v>
      </c>
      <c r="F7618" t="s">
        <v>133</v>
      </c>
      <c r="G7618" t="s">
        <v>174</v>
      </c>
      <c r="H7618" t="s">
        <v>174</v>
      </c>
      <c r="I7618" t="s">
        <v>27</v>
      </c>
      <c r="J7618" t="s">
        <v>28</v>
      </c>
      <c r="K7618" t="s">
        <v>29</v>
      </c>
      <c r="L7618" t="s">
        <v>30</v>
      </c>
      <c r="M7618" t="s">
        <v>172</v>
      </c>
      <c r="N7618">
        <v>1821</v>
      </c>
      <c r="O7618" s="14">
        <v>0.99278058065101504</v>
      </c>
      <c r="P7618" s="14">
        <v>0.16286319401115201</v>
      </c>
      <c r="Q7618" t="str">
        <f t="shared" ref="Q7618:Q7645" si="238">SUBSTITUTE(SUBSTITUTE($I7618,CHAR(61),""),CHAR(34),"")</f>
        <v>&lt;01</v>
      </c>
      <c r="R7618" t="str">
        <f t="shared" ref="R7618:R7645" si="239">IF($D7618&lt;&gt;"","["&amp;$E7618&amp;"]"&amp;"|"&amp;$Q7618&amp;"|"&amp;$K7618&amp;"|"&amp;$G7618&amp;"|"&amp;IF($G7618="TX_CURR_SUBNAT.R","CY2022Q4",$M7618),"")</f>
        <v>[JQKLKuVuY61]|&lt;01|Female|NEW_INFECTIONS_SUBNAT.T2|CY2025Q3</v>
      </c>
    </row>
    <row r="7619" spans="4:18" x14ac:dyDescent="0.2">
      <c r="D7619" t="s">
        <v>131</v>
      </c>
      <c r="E7619" t="s">
        <v>132</v>
      </c>
      <c r="F7619" t="s">
        <v>133</v>
      </c>
      <c r="G7619" t="s">
        <v>174</v>
      </c>
      <c r="H7619" t="s">
        <v>174</v>
      </c>
      <c r="I7619" t="s">
        <v>32</v>
      </c>
      <c r="J7619" t="s">
        <v>33</v>
      </c>
      <c r="K7619" t="s">
        <v>29</v>
      </c>
      <c r="L7619" t="s">
        <v>30</v>
      </c>
      <c r="M7619" t="s">
        <v>172</v>
      </c>
      <c r="N7619">
        <v>813</v>
      </c>
      <c r="O7619" s="14">
        <v>0.417258117115125</v>
      </c>
      <c r="P7619" s="14">
        <v>0.16286319401115201</v>
      </c>
      <c r="Q7619" t="str">
        <f t="shared" si="238"/>
        <v>01-09</v>
      </c>
      <c r="R7619" t="str">
        <f t="shared" si="239"/>
        <v>[JQKLKuVuY61]|01-09|Female|NEW_INFECTIONS_SUBNAT.T2|CY2025Q3</v>
      </c>
    </row>
    <row r="7620" spans="4:18" x14ac:dyDescent="0.2">
      <c r="D7620" t="s">
        <v>131</v>
      </c>
      <c r="E7620" t="s">
        <v>132</v>
      </c>
      <c r="F7620" t="s">
        <v>133</v>
      </c>
      <c r="G7620" t="s">
        <v>174</v>
      </c>
      <c r="H7620" t="s">
        <v>174</v>
      </c>
      <c r="I7620" t="s">
        <v>35</v>
      </c>
      <c r="J7620" t="s">
        <v>36</v>
      </c>
      <c r="K7620" t="s">
        <v>29</v>
      </c>
      <c r="L7620" t="s">
        <v>30</v>
      </c>
      <c r="M7620" t="s">
        <v>172</v>
      </c>
      <c r="N7620">
        <v>1259</v>
      </c>
      <c r="O7620" s="14">
        <v>0.99118769727647305</v>
      </c>
      <c r="P7620" s="14">
        <v>0.16286319401115201</v>
      </c>
      <c r="Q7620" t="str">
        <f t="shared" si="238"/>
        <v>10-14</v>
      </c>
      <c r="R7620" t="str">
        <f t="shared" si="239"/>
        <v>[JQKLKuVuY61]|10-14|Female|NEW_INFECTIONS_SUBNAT.T2|CY2025Q3</v>
      </c>
    </row>
    <row r="7621" spans="4:18" x14ac:dyDescent="0.2">
      <c r="D7621" t="s">
        <v>131</v>
      </c>
      <c r="E7621" t="s">
        <v>132</v>
      </c>
      <c r="F7621" t="s">
        <v>133</v>
      </c>
      <c r="G7621" t="s">
        <v>174</v>
      </c>
      <c r="H7621" t="s">
        <v>174</v>
      </c>
      <c r="I7621" t="s">
        <v>37</v>
      </c>
      <c r="J7621" t="s">
        <v>38</v>
      </c>
      <c r="K7621" t="s">
        <v>29</v>
      </c>
      <c r="L7621" t="s">
        <v>30</v>
      </c>
      <c r="M7621" t="s">
        <v>172</v>
      </c>
      <c r="N7621">
        <v>1924</v>
      </c>
      <c r="O7621" s="14">
        <v>0.73858830332755998</v>
      </c>
      <c r="P7621" s="14">
        <v>0.16286319401115201</v>
      </c>
      <c r="Q7621" t="str">
        <f t="shared" si="238"/>
        <v>15-24</v>
      </c>
      <c r="R7621" t="str">
        <f t="shared" si="239"/>
        <v>[JQKLKuVuY61]|15-24|Female|NEW_INFECTIONS_SUBNAT.T2|CY2025Q3</v>
      </c>
    </row>
    <row r="7622" spans="4:18" x14ac:dyDescent="0.2">
      <c r="D7622" t="s">
        <v>131</v>
      </c>
      <c r="E7622" t="s">
        <v>132</v>
      </c>
      <c r="F7622" t="s">
        <v>133</v>
      </c>
      <c r="G7622" t="s">
        <v>174</v>
      </c>
      <c r="H7622" t="s">
        <v>174</v>
      </c>
      <c r="I7622" t="s">
        <v>40</v>
      </c>
      <c r="J7622" t="s">
        <v>41</v>
      </c>
      <c r="K7622" t="s">
        <v>29</v>
      </c>
      <c r="L7622" t="s">
        <v>30</v>
      </c>
      <c r="M7622" t="s">
        <v>172</v>
      </c>
      <c r="N7622">
        <v>1762</v>
      </c>
      <c r="O7622" s="14">
        <v>0.43230862659402203</v>
      </c>
      <c r="P7622" s="14">
        <v>0.16286319401115201</v>
      </c>
      <c r="Q7622" t="str">
        <f t="shared" si="238"/>
        <v>25-34</v>
      </c>
      <c r="R7622" t="str">
        <f t="shared" si="239"/>
        <v>[JQKLKuVuY61]|25-34|Female|NEW_INFECTIONS_SUBNAT.T2|CY2025Q3</v>
      </c>
    </row>
    <row r="7623" spans="4:18" x14ac:dyDescent="0.2">
      <c r="D7623" t="s">
        <v>131</v>
      </c>
      <c r="E7623" t="s">
        <v>132</v>
      </c>
      <c r="F7623" t="s">
        <v>133</v>
      </c>
      <c r="G7623" t="s">
        <v>174</v>
      </c>
      <c r="H7623" t="s">
        <v>174</v>
      </c>
      <c r="I7623" t="s">
        <v>42</v>
      </c>
      <c r="J7623" t="s">
        <v>43</v>
      </c>
      <c r="K7623" t="s">
        <v>29</v>
      </c>
      <c r="L7623" t="s">
        <v>30</v>
      </c>
      <c r="M7623" t="s">
        <v>172</v>
      </c>
      <c r="N7623">
        <v>1892</v>
      </c>
      <c r="O7623" s="14">
        <v>0.254236582200974</v>
      </c>
      <c r="P7623" s="14">
        <v>0.16286319401115201</v>
      </c>
      <c r="Q7623" t="str">
        <f t="shared" si="238"/>
        <v>35-49</v>
      </c>
      <c r="R7623" t="str">
        <f t="shared" si="239"/>
        <v>[JQKLKuVuY61]|35-49|Female|NEW_INFECTIONS_SUBNAT.T2|CY2025Q3</v>
      </c>
    </row>
    <row r="7624" spans="4:18" x14ac:dyDescent="0.2">
      <c r="D7624" t="s">
        <v>131</v>
      </c>
      <c r="E7624" t="s">
        <v>132</v>
      </c>
      <c r="F7624" t="s">
        <v>133</v>
      </c>
      <c r="G7624" t="s">
        <v>174</v>
      </c>
      <c r="H7624" t="s">
        <v>174</v>
      </c>
      <c r="I7624" t="s">
        <v>44</v>
      </c>
      <c r="J7624" t="s">
        <v>45</v>
      </c>
      <c r="K7624" t="s">
        <v>29</v>
      </c>
      <c r="L7624" t="s">
        <v>30</v>
      </c>
      <c r="M7624" t="s">
        <v>172</v>
      </c>
      <c r="N7624">
        <v>1846</v>
      </c>
      <c r="O7624" s="14">
        <v>0.48390350141562499</v>
      </c>
      <c r="P7624" s="14">
        <v>0.16286319401115201</v>
      </c>
      <c r="Q7624" t="str">
        <f t="shared" si="238"/>
        <v>50+</v>
      </c>
      <c r="R7624" t="str">
        <f t="shared" si="239"/>
        <v>[JQKLKuVuY61]|50+|Female|NEW_INFECTIONS_SUBNAT.T2|CY2025Q3</v>
      </c>
    </row>
    <row r="7625" spans="4:18" x14ac:dyDescent="0.2">
      <c r="D7625" t="s">
        <v>131</v>
      </c>
      <c r="E7625" t="s">
        <v>132</v>
      </c>
      <c r="F7625" t="s">
        <v>133</v>
      </c>
      <c r="G7625" t="s">
        <v>174</v>
      </c>
      <c r="H7625" t="s">
        <v>174</v>
      </c>
      <c r="I7625" t="s">
        <v>27</v>
      </c>
      <c r="J7625" t="s">
        <v>28</v>
      </c>
      <c r="K7625" t="s">
        <v>47</v>
      </c>
      <c r="L7625" t="s">
        <v>48</v>
      </c>
      <c r="M7625" t="s">
        <v>172</v>
      </c>
      <c r="N7625">
        <v>1697</v>
      </c>
      <c r="O7625" s="14">
        <v>0.39232109650038199</v>
      </c>
      <c r="P7625" s="14">
        <v>0.16286319401115201</v>
      </c>
      <c r="Q7625" t="str">
        <f t="shared" si="238"/>
        <v>&lt;01</v>
      </c>
      <c r="R7625" t="str">
        <f t="shared" si="239"/>
        <v>[JQKLKuVuY61]|&lt;01|Male|NEW_INFECTIONS_SUBNAT.T2|CY2025Q3</v>
      </c>
    </row>
    <row r="7626" spans="4:18" x14ac:dyDescent="0.2">
      <c r="D7626" t="s">
        <v>131</v>
      </c>
      <c r="E7626" t="s">
        <v>132</v>
      </c>
      <c r="F7626" t="s">
        <v>133</v>
      </c>
      <c r="G7626" t="s">
        <v>174</v>
      </c>
      <c r="H7626" t="s">
        <v>174</v>
      </c>
      <c r="I7626" t="s">
        <v>32</v>
      </c>
      <c r="J7626" t="s">
        <v>33</v>
      </c>
      <c r="K7626" t="s">
        <v>47</v>
      </c>
      <c r="L7626" t="s">
        <v>48</v>
      </c>
      <c r="M7626" t="s">
        <v>172</v>
      </c>
      <c r="N7626">
        <v>1487</v>
      </c>
      <c r="O7626" s="14">
        <v>0.24235449871048301</v>
      </c>
      <c r="P7626" s="14">
        <v>0.16286319401115201</v>
      </c>
      <c r="Q7626" t="str">
        <f t="shared" si="238"/>
        <v>01-09</v>
      </c>
      <c r="R7626" t="str">
        <f t="shared" si="239"/>
        <v>[JQKLKuVuY61]|01-09|Male|NEW_INFECTIONS_SUBNAT.T2|CY2025Q3</v>
      </c>
    </row>
    <row r="7627" spans="4:18" x14ac:dyDescent="0.2">
      <c r="D7627" t="s">
        <v>131</v>
      </c>
      <c r="E7627" t="s">
        <v>132</v>
      </c>
      <c r="F7627" t="s">
        <v>133</v>
      </c>
      <c r="G7627" t="s">
        <v>174</v>
      </c>
      <c r="H7627" t="s">
        <v>174</v>
      </c>
      <c r="I7627" t="s">
        <v>35</v>
      </c>
      <c r="J7627" t="s">
        <v>36</v>
      </c>
      <c r="K7627" t="s">
        <v>47</v>
      </c>
      <c r="L7627" t="s">
        <v>48</v>
      </c>
      <c r="M7627" t="s">
        <v>172</v>
      </c>
      <c r="N7627">
        <v>698</v>
      </c>
      <c r="O7627" s="14">
        <v>0.13218960189260501</v>
      </c>
      <c r="P7627" s="14">
        <v>0.16286319401115201</v>
      </c>
      <c r="Q7627" t="str">
        <f t="shared" si="238"/>
        <v>10-14</v>
      </c>
      <c r="R7627" t="str">
        <f t="shared" si="239"/>
        <v>[JQKLKuVuY61]|10-14|Male|NEW_INFECTIONS_SUBNAT.T2|CY2025Q3</v>
      </c>
    </row>
    <row r="7628" spans="4:18" x14ac:dyDescent="0.2">
      <c r="D7628" t="s">
        <v>131</v>
      </c>
      <c r="E7628" t="s">
        <v>132</v>
      </c>
      <c r="F7628" t="s">
        <v>133</v>
      </c>
      <c r="G7628" t="s">
        <v>174</v>
      </c>
      <c r="H7628" t="s">
        <v>174</v>
      </c>
      <c r="I7628" t="s">
        <v>37</v>
      </c>
      <c r="J7628" t="s">
        <v>38</v>
      </c>
      <c r="K7628" t="s">
        <v>47</v>
      </c>
      <c r="L7628" t="s">
        <v>48</v>
      </c>
      <c r="M7628" t="s">
        <v>172</v>
      </c>
      <c r="N7628">
        <v>1615</v>
      </c>
      <c r="O7628" s="14">
        <v>0.13870681100525001</v>
      </c>
      <c r="P7628" s="14">
        <v>0.16286319401115201</v>
      </c>
      <c r="Q7628" t="str">
        <f t="shared" si="238"/>
        <v>15-24</v>
      </c>
      <c r="R7628" t="str">
        <f t="shared" si="239"/>
        <v>[JQKLKuVuY61]|15-24|Male|NEW_INFECTIONS_SUBNAT.T2|CY2025Q3</v>
      </c>
    </row>
    <row r="7629" spans="4:18" x14ac:dyDescent="0.2">
      <c r="D7629" t="s">
        <v>131</v>
      </c>
      <c r="E7629" t="s">
        <v>132</v>
      </c>
      <c r="F7629" t="s">
        <v>133</v>
      </c>
      <c r="G7629" t="s">
        <v>174</v>
      </c>
      <c r="H7629" t="s">
        <v>174</v>
      </c>
      <c r="I7629" t="s">
        <v>40</v>
      </c>
      <c r="J7629" t="s">
        <v>41</v>
      </c>
      <c r="K7629" t="s">
        <v>47</v>
      </c>
      <c r="L7629" t="s">
        <v>48</v>
      </c>
      <c r="M7629" t="s">
        <v>172</v>
      </c>
      <c r="N7629">
        <v>599</v>
      </c>
      <c r="O7629" s="14">
        <v>0.28612329624593302</v>
      </c>
      <c r="P7629" s="14">
        <v>0.16286319401115201</v>
      </c>
      <c r="Q7629" t="str">
        <f t="shared" si="238"/>
        <v>25-34</v>
      </c>
      <c r="R7629" t="str">
        <f t="shared" si="239"/>
        <v>[JQKLKuVuY61]|25-34|Male|NEW_INFECTIONS_SUBNAT.T2|CY2025Q3</v>
      </c>
    </row>
    <row r="7630" spans="4:18" x14ac:dyDescent="0.2">
      <c r="D7630" t="s">
        <v>131</v>
      </c>
      <c r="E7630" t="s">
        <v>132</v>
      </c>
      <c r="F7630" t="s">
        <v>133</v>
      </c>
      <c r="G7630" t="s">
        <v>174</v>
      </c>
      <c r="H7630" t="s">
        <v>174</v>
      </c>
      <c r="I7630" t="s">
        <v>42</v>
      </c>
      <c r="J7630" t="s">
        <v>43</v>
      </c>
      <c r="K7630" t="s">
        <v>47</v>
      </c>
      <c r="L7630" t="s">
        <v>48</v>
      </c>
      <c r="M7630" t="s">
        <v>172</v>
      </c>
      <c r="N7630">
        <v>1070</v>
      </c>
      <c r="O7630" s="14">
        <v>0.99143143161199998</v>
      </c>
      <c r="P7630" s="14">
        <v>0.16286319401115201</v>
      </c>
      <c r="Q7630" t="str">
        <f t="shared" si="238"/>
        <v>35-49</v>
      </c>
      <c r="R7630" t="str">
        <f t="shared" si="239"/>
        <v>[JQKLKuVuY61]|35-49|Male|NEW_INFECTIONS_SUBNAT.T2|CY2025Q3</v>
      </c>
    </row>
    <row r="7631" spans="4:18" x14ac:dyDescent="0.2">
      <c r="D7631" t="s">
        <v>131</v>
      </c>
      <c r="E7631" t="s">
        <v>132</v>
      </c>
      <c r="F7631" t="s">
        <v>133</v>
      </c>
      <c r="G7631" t="s">
        <v>174</v>
      </c>
      <c r="H7631" t="s">
        <v>174</v>
      </c>
      <c r="I7631" t="s">
        <v>44</v>
      </c>
      <c r="J7631" t="s">
        <v>45</v>
      </c>
      <c r="K7631" t="s">
        <v>47</v>
      </c>
      <c r="L7631" t="s">
        <v>48</v>
      </c>
      <c r="M7631" t="s">
        <v>172</v>
      </c>
      <c r="N7631">
        <v>1136</v>
      </c>
      <c r="O7631" s="14">
        <v>0.45878626802004902</v>
      </c>
      <c r="P7631" s="14">
        <v>0.16286319401115201</v>
      </c>
      <c r="Q7631" t="str">
        <f t="shared" si="238"/>
        <v>50+</v>
      </c>
      <c r="R7631" t="str">
        <f t="shared" si="239"/>
        <v>[JQKLKuVuY61]|50+|Male|NEW_INFECTIONS_SUBNAT.T2|CY2025Q3</v>
      </c>
    </row>
    <row r="7632" spans="4:18" x14ac:dyDescent="0.2">
      <c r="D7632" t="s">
        <v>134</v>
      </c>
      <c r="E7632" t="s">
        <v>135</v>
      </c>
      <c r="F7632" t="s">
        <v>136</v>
      </c>
      <c r="G7632" t="s">
        <v>174</v>
      </c>
      <c r="H7632" t="s">
        <v>174</v>
      </c>
      <c r="I7632" t="s">
        <v>27</v>
      </c>
      <c r="J7632" t="s">
        <v>28</v>
      </c>
      <c r="K7632" t="s">
        <v>29</v>
      </c>
      <c r="L7632" t="s">
        <v>30</v>
      </c>
      <c r="M7632" t="s">
        <v>172</v>
      </c>
      <c r="N7632">
        <v>1535</v>
      </c>
      <c r="O7632" s="14">
        <v>0.97704867855645705</v>
      </c>
      <c r="P7632" s="14">
        <v>0.95530052832327805</v>
      </c>
      <c r="Q7632" t="str">
        <f t="shared" si="238"/>
        <v>&lt;01</v>
      </c>
      <c r="R7632" t="str">
        <f t="shared" si="239"/>
        <v>[fiRkU6gEjLz]|&lt;01|Female|NEW_INFECTIONS_SUBNAT.T2|CY2025Q3</v>
      </c>
    </row>
    <row r="7633" spans="4:18" x14ac:dyDescent="0.2">
      <c r="D7633" t="s">
        <v>134</v>
      </c>
      <c r="E7633" t="s">
        <v>135</v>
      </c>
      <c r="F7633" t="s">
        <v>136</v>
      </c>
      <c r="G7633" t="s">
        <v>174</v>
      </c>
      <c r="H7633" t="s">
        <v>174</v>
      </c>
      <c r="I7633" t="s">
        <v>32</v>
      </c>
      <c r="J7633" t="s">
        <v>33</v>
      </c>
      <c r="K7633" t="s">
        <v>29</v>
      </c>
      <c r="L7633" t="s">
        <v>30</v>
      </c>
      <c r="M7633" t="s">
        <v>172</v>
      </c>
      <c r="N7633">
        <v>621</v>
      </c>
      <c r="O7633" s="14">
        <v>0.30037922156043401</v>
      </c>
      <c r="P7633" s="14">
        <v>0.95530052832327805</v>
      </c>
      <c r="Q7633" t="str">
        <f t="shared" si="238"/>
        <v>01-09</v>
      </c>
      <c r="R7633" t="str">
        <f t="shared" si="239"/>
        <v>[fiRkU6gEjLz]|01-09|Female|NEW_INFECTIONS_SUBNAT.T2|CY2025Q3</v>
      </c>
    </row>
    <row r="7634" spans="4:18" x14ac:dyDescent="0.2">
      <c r="D7634" t="s">
        <v>134</v>
      </c>
      <c r="E7634" t="s">
        <v>135</v>
      </c>
      <c r="F7634" t="s">
        <v>136</v>
      </c>
      <c r="G7634" t="s">
        <v>174</v>
      </c>
      <c r="H7634" t="s">
        <v>174</v>
      </c>
      <c r="I7634" t="s">
        <v>35</v>
      </c>
      <c r="J7634" t="s">
        <v>36</v>
      </c>
      <c r="K7634" t="s">
        <v>29</v>
      </c>
      <c r="L7634" t="s">
        <v>30</v>
      </c>
      <c r="M7634" t="s">
        <v>172</v>
      </c>
      <c r="N7634">
        <v>1026</v>
      </c>
      <c r="O7634" s="14">
        <v>0.62420013127848495</v>
      </c>
      <c r="P7634" s="14">
        <v>0.95530052832327805</v>
      </c>
      <c r="Q7634" t="str">
        <f t="shared" si="238"/>
        <v>10-14</v>
      </c>
      <c r="R7634" t="str">
        <f t="shared" si="239"/>
        <v>[fiRkU6gEjLz]|10-14|Female|NEW_INFECTIONS_SUBNAT.T2|CY2025Q3</v>
      </c>
    </row>
    <row r="7635" spans="4:18" x14ac:dyDescent="0.2">
      <c r="D7635" t="s">
        <v>134</v>
      </c>
      <c r="E7635" t="s">
        <v>135</v>
      </c>
      <c r="F7635" t="s">
        <v>136</v>
      </c>
      <c r="G7635" t="s">
        <v>174</v>
      </c>
      <c r="H7635" t="s">
        <v>174</v>
      </c>
      <c r="I7635" t="s">
        <v>37</v>
      </c>
      <c r="J7635" t="s">
        <v>38</v>
      </c>
      <c r="K7635" t="s">
        <v>29</v>
      </c>
      <c r="L7635" t="s">
        <v>30</v>
      </c>
      <c r="M7635" t="s">
        <v>172</v>
      </c>
      <c r="N7635">
        <v>947</v>
      </c>
      <c r="O7635" s="14">
        <v>0.40175197203643598</v>
      </c>
      <c r="P7635" s="14">
        <v>0.95530052832327805</v>
      </c>
      <c r="Q7635" t="str">
        <f t="shared" si="238"/>
        <v>15-24</v>
      </c>
      <c r="R7635" t="str">
        <f t="shared" si="239"/>
        <v>[fiRkU6gEjLz]|15-24|Female|NEW_INFECTIONS_SUBNAT.T2|CY2025Q3</v>
      </c>
    </row>
    <row r="7636" spans="4:18" x14ac:dyDescent="0.2">
      <c r="D7636" t="s">
        <v>134</v>
      </c>
      <c r="E7636" t="s">
        <v>135</v>
      </c>
      <c r="F7636" t="s">
        <v>136</v>
      </c>
      <c r="G7636" t="s">
        <v>174</v>
      </c>
      <c r="H7636" t="s">
        <v>174</v>
      </c>
      <c r="I7636" t="s">
        <v>40</v>
      </c>
      <c r="J7636" t="s">
        <v>41</v>
      </c>
      <c r="K7636" t="s">
        <v>29</v>
      </c>
      <c r="L7636" t="s">
        <v>30</v>
      </c>
      <c r="M7636" t="s">
        <v>172</v>
      </c>
      <c r="N7636">
        <v>1548</v>
      </c>
      <c r="O7636" s="14">
        <v>0.455439057433978</v>
      </c>
      <c r="P7636" s="14">
        <v>0.95530052832327805</v>
      </c>
      <c r="Q7636" t="str">
        <f t="shared" si="238"/>
        <v>25-34</v>
      </c>
      <c r="R7636" t="str">
        <f t="shared" si="239"/>
        <v>[fiRkU6gEjLz]|25-34|Female|NEW_INFECTIONS_SUBNAT.T2|CY2025Q3</v>
      </c>
    </row>
    <row r="7637" spans="4:18" x14ac:dyDescent="0.2">
      <c r="D7637" t="s">
        <v>134</v>
      </c>
      <c r="E7637" t="s">
        <v>135</v>
      </c>
      <c r="F7637" t="s">
        <v>136</v>
      </c>
      <c r="G7637" t="s">
        <v>174</v>
      </c>
      <c r="H7637" t="s">
        <v>174</v>
      </c>
      <c r="I7637" t="s">
        <v>42</v>
      </c>
      <c r="J7637" t="s">
        <v>43</v>
      </c>
      <c r="K7637" t="s">
        <v>29</v>
      </c>
      <c r="L7637" t="s">
        <v>30</v>
      </c>
      <c r="M7637" t="s">
        <v>172</v>
      </c>
      <c r="N7637">
        <v>1271</v>
      </c>
      <c r="O7637" s="14">
        <v>0.26911179278977199</v>
      </c>
      <c r="P7637" s="14">
        <v>0.95530052832327805</v>
      </c>
      <c r="Q7637" t="str">
        <f t="shared" si="238"/>
        <v>35-49</v>
      </c>
      <c r="R7637" t="str">
        <f t="shared" si="239"/>
        <v>[fiRkU6gEjLz]|35-49|Female|NEW_INFECTIONS_SUBNAT.T2|CY2025Q3</v>
      </c>
    </row>
    <row r="7638" spans="4:18" x14ac:dyDescent="0.2">
      <c r="D7638" t="s">
        <v>134</v>
      </c>
      <c r="E7638" t="s">
        <v>135</v>
      </c>
      <c r="F7638" t="s">
        <v>136</v>
      </c>
      <c r="G7638" t="s">
        <v>174</v>
      </c>
      <c r="H7638" t="s">
        <v>174</v>
      </c>
      <c r="I7638" t="s">
        <v>44</v>
      </c>
      <c r="J7638" t="s">
        <v>45</v>
      </c>
      <c r="K7638" t="s">
        <v>29</v>
      </c>
      <c r="L7638" t="s">
        <v>30</v>
      </c>
      <c r="M7638" t="s">
        <v>172</v>
      </c>
      <c r="N7638">
        <v>1012</v>
      </c>
      <c r="O7638" s="14">
        <v>0.51569770323112596</v>
      </c>
      <c r="P7638" s="14">
        <v>0.95530052832327805</v>
      </c>
      <c r="Q7638" t="str">
        <f t="shared" si="238"/>
        <v>50+</v>
      </c>
      <c r="R7638" t="str">
        <f t="shared" si="239"/>
        <v>[fiRkU6gEjLz]|50+|Female|NEW_INFECTIONS_SUBNAT.T2|CY2025Q3</v>
      </c>
    </row>
    <row r="7639" spans="4:18" x14ac:dyDescent="0.2">
      <c r="D7639" t="s">
        <v>134</v>
      </c>
      <c r="E7639" t="s">
        <v>135</v>
      </c>
      <c r="F7639" t="s">
        <v>136</v>
      </c>
      <c r="G7639" t="s">
        <v>174</v>
      </c>
      <c r="H7639" t="s">
        <v>174</v>
      </c>
      <c r="I7639" t="s">
        <v>27</v>
      </c>
      <c r="J7639" t="s">
        <v>28</v>
      </c>
      <c r="K7639" t="s">
        <v>47</v>
      </c>
      <c r="L7639" t="s">
        <v>48</v>
      </c>
      <c r="M7639" t="s">
        <v>172</v>
      </c>
      <c r="N7639">
        <v>1402</v>
      </c>
      <c r="O7639" s="14">
        <v>0.53382607339881405</v>
      </c>
      <c r="P7639" s="14">
        <v>0.95530052832327805</v>
      </c>
      <c r="Q7639" t="str">
        <f t="shared" si="238"/>
        <v>&lt;01</v>
      </c>
      <c r="R7639" t="str">
        <f t="shared" si="239"/>
        <v>[fiRkU6gEjLz]|&lt;01|Male|NEW_INFECTIONS_SUBNAT.T2|CY2025Q3</v>
      </c>
    </row>
    <row r="7640" spans="4:18" x14ac:dyDescent="0.2">
      <c r="D7640" t="s">
        <v>134</v>
      </c>
      <c r="E7640" t="s">
        <v>135</v>
      </c>
      <c r="F7640" t="s">
        <v>136</v>
      </c>
      <c r="G7640" t="s">
        <v>174</v>
      </c>
      <c r="H7640" t="s">
        <v>174</v>
      </c>
      <c r="I7640" t="s">
        <v>32</v>
      </c>
      <c r="J7640" t="s">
        <v>33</v>
      </c>
      <c r="K7640" t="s">
        <v>47</v>
      </c>
      <c r="L7640" t="s">
        <v>48</v>
      </c>
      <c r="M7640" t="s">
        <v>172</v>
      </c>
      <c r="N7640">
        <v>1295</v>
      </c>
      <c r="O7640" s="14">
        <v>0.64412744762375995</v>
      </c>
      <c r="P7640" s="14">
        <v>0.95530052832327805</v>
      </c>
      <c r="Q7640" t="str">
        <f t="shared" si="238"/>
        <v>01-09</v>
      </c>
      <c r="R7640" t="str">
        <f t="shared" si="239"/>
        <v>[fiRkU6gEjLz]|01-09|Male|NEW_INFECTIONS_SUBNAT.T2|CY2025Q3</v>
      </c>
    </row>
    <row r="7641" spans="4:18" x14ac:dyDescent="0.2">
      <c r="D7641" t="s">
        <v>134</v>
      </c>
      <c r="E7641" t="s">
        <v>135</v>
      </c>
      <c r="F7641" t="s">
        <v>136</v>
      </c>
      <c r="G7641" t="s">
        <v>174</v>
      </c>
      <c r="H7641" t="s">
        <v>174</v>
      </c>
      <c r="I7641" t="s">
        <v>35</v>
      </c>
      <c r="J7641" t="s">
        <v>36</v>
      </c>
      <c r="K7641" t="s">
        <v>47</v>
      </c>
      <c r="L7641" t="s">
        <v>48</v>
      </c>
      <c r="M7641" t="s">
        <v>172</v>
      </c>
      <c r="N7641">
        <v>1471</v>
      </c>
      <c r="O7641" s="14">
        <v>0.91897943569347296</v>
      </c>
      <c r="P7641" s="14">
        <v>0.95530052832327805</v>
      </c>
      <c r="Q7641" t="str">
        <f t="shared" si="238"/>
        <v>10-14</v>
      </c>
      <c r="R7641" t="str">
        <f t="shared" si="239"/>
        <v>[fiRkU6gEjLz]|10-14|Male|NEW_INFECTIONS_SUBNAT.T2|CY2025Q3</v>
      </c>
    </row>
    <row r="7642" spans="4:18" x14ac:dyDescent="0.2">
      <c r="D7642" t="s">
        <v>134</v>
      </c>
      <c r="E7642" t="s">
        <v>135</v>
      </c>
      <c r="F7642" t="s">
        <v>136</v>
      </c>
      <c r="G7642" t="s">
        <v>174</v>
      </c>
      <c r="H7642" t="s">
        <v>174</v>
      </c>
      <c r="I7642" t="s">
        <v>37</v>
      </c>
      <c r="J7642" t="s">
        <v>38</v>
      </c>
      <c r="K7642" t="s">
        <v>47</v>
      </c>
      <c r="L7642" t="s">
        <v>48</v>
      </c>
      <c r="M7642" t="s">
        <v>172</v>
      </c>
      <c r="N7642">
        <v>820</v>
      </c>
      <c r="O7642" s="14">
        <v>0.97881573694758095</v>
      </c>
      <c r="P7642" s="14">
        <v>0.95530052832327805</v>
      </c>
      <c r="Q7642" t="str">
        <f t="shared" si="238"/>
        <v>15-24</v>
      </c>
      <c r="R7642" t="str">
        <f t="shared" si="239"/>
        <v>[fiRkU6gEjLz]|15-24|Male|NEW_INFECTIONS_SUBNAT.T2|CY2025Q3</v>
      </c>
    </row>
    <row r="7643" spans="4:18" x14ac:dyDescent="0.2">
      <c r="D7643" t="s">
        <v>134</v>
      </c>
      <c r="E7643" t="s">
        <v>135</v>
      </c>
      <c r="F7643" t="s">
        <v>136</v>
      </c>
      <c r="G7643" t="s">
        <v>174</v>
      </c>
      <c r="H7643" t="s">
        <v>174</v>
      </c>
      <c r="I7643" t="s">
        <v>40</v>
      </c>
      <c r="J7643" t="s">
        <v>41</v>
      </c>
      <c r="K7643" t="s">
        <v>47</v>
      </c>
      <c r="L7643" t="s">
        <v>48</v>
      </c>
      <c r="M7643" t="s">
        <v>172</v>
      </c>
      <c r="N7643">
        <v>1492</v>
      </c>
      <c r="O7643" s="14">
        <v>0.26464275666512499</v>
      </c>
      <c r="P7643" s="14">
        <v>0.95530052832327805</v>
      </c>
      <c r="Q7643" t="str">
        <f t="shared" si="238"/>
        <v>25-34</v>
      </c>
      <c r="R7643" t="str">
        <f t="shared" si="239"/>
        <v>[fiRkU6gEjLz]|25-34|Male|NEW_INFECTIONS_SUBNAT.T2|CY2025Q3</v>
      </c>
    </row>
    <row r="7644" spans="4:18" x14ac:dyDescent="0.2">
      <c r="D7644" t="s">
        <v>134</v>
      </c>
      <c r="E7644" t="s">
        <v>135</v>
      </c>
      <c r="F7644" t="s">
        <v>136</v>
      </c>
      <c r="G7644" t="s">
        <v>174</v>
      </c>
      <c r="H7644" t="s">
        <v>174</v>
      </c>
      <c r="I7644" t="s">
        <v>42</v>
      </c>
      <c r="J7644" t="s">
        <v>43</v>
      </c>
      <c r="K7644" t="s">
        <v>47</v>
      </c>
      <c r="L7644" t="s">
        <v>48</v>
      </c>
      <c r="M7644" t="s">
        <v>172</v>
      </c>
      <c r="N7644">
        <v>1591</v>
      </c>
      <c r="O7644" s="14">
        <v>0.60897822468541596</v>
      </c>
      <c r="P7644" s="14">
        <v>0.95530052832327805</v>
      </c>
      <c r="Q7644" t="str">
        <f t="shared" si="238"/>
        <v>35-49</v>
      </c>
      <c r="R7644" t="str">
        <f t="shared" si="239"/>
        <v>[fiRkU6gEjLz]|35-49|Male|NEW_INFECTIONS_SUBNAT.T2|CY2025Q3</v>
      </c>
    </row>
    <row r="7645" spans="4:18" x14ac:dyDescent="0.2">
      <c r="D7645" t="s">
        <v>134</v>
      </c>
      <c r="E7645" t="s">
        <v>135</v>
      </c>
      <c r="F7645" t="s">
        <v>136</v>
      </c>
      <c r="G7645" t="s">
        <v>174</v>
      </c>
      <c r="H7645" t="s">
        <v>174</v>
      </c>
      <c r="I7645" t="s">
        <v>44</v>
      </c>
      <c r="J7645" t="s">
        <v>45</v>
      </c>
      <c r="K7645" t="s">
        <v>47</v>
      </c>
      <c r="L7645" t="s">
        <v>48</v>
      </c>
      <c r="M7645" t="s">
        <v>172</v>
      </c>
      <c r="N7645">
        <v>1681</v>
      </c>
      <c r="O7645" s="14">
        <v>0.52214980754069995</v>
      </c>
      <c r="P7645" s="14">
        <v>0.95530052832327805</v>
      </c>
      <c r="Q7645" t="str">
        <f t="shared" si="238"/>
        <v>50+</v>
      </c>
      <c r="R7645" t="str">
        <f t="shared" si="239"/>
        <v>[fiRkU6gEjLz]|50+|Male|NEW_INFECTIONS_SUBNAT.T2|CY2025Q3</v>
      </c>
    </row>
  </sheetData>
  <mergeCells count="5">
    <mergeCell ref="B6:B7"/>
    <mergeCell ref="B11:B12"/>
    <mergeCell ref="B16:B17"/>
    <mergeCell ref="B19:B20"/>
    <mergeCell ref="B26:B27"/>
  </mergeCells>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3"/>
  <sheetViews>
    <sheetView zoomScaleNormal="100" workbookViewId="0">
      <pane xSplit="1" ySplit="14" topLeftCell="B18" activePane="bottomRight" state="frozen"/>
      <selection pane="topRight" activeCell="B1" sqref="B1"/>
      <selection pane="bottomLeft" activeCell="A18" sqref="A18"/>
      <selection pane="bottomRight" activeCell="B18" sqref="B18"/>
    </sheetView>
  </sheetViews>
  <sheetFormatPr baseColWidth="10" defaultColWidth="10.5" defaultRowHeight="16" x14ac:dyDescent="0.2"/>
  <cols>
    <col min="1" max="1" width="62.33203125" customWidth="1"/>
    <col min="2" max="3" width="13.1640625" customWidth="1"/>
    <col min="4" max="4" width="28" customWidth="1"/>
  </cols>
  <sheetData>
    <row r="1" spans="1:4" ht="30.75" customHeight="1" x14ac:dyDescent="0.2">
      <c r="A1" s="18" t="s">
        <v>175</v>
      </c>
      <c r="B1" s="19" t="s">
        <v>175</v>
      </c>
      <c r="C1" s="20"/>
      <c r="D1" s="21"/>
    </row>
    <row r="2" spans="1:4" ht="18.75" customHeight="1" x14ac:dyDescent="0.25">
      <c r="A2" s="22"/>
      <c r="B2" s="23"/>
      <c r="C2" s="24" t="s">
        <v>176</v>
      </c>
      <c r="D2" s="25"/>
    </row>
    <row r="3" spans="1:4" ht="117" customHeight="1" x14ac:dyDescent="0.2">
      <c r="A3" s="26"/>
      <c r="B3" s="27" t="s">
        <v>177</v>
      </c>
      <c r="C3" s="28" t="s">
        <v>178</v>
      </c>
      <c r="D3" s="29" t="s">
        <v>179</v>
      </c>
    </row>
    <row r="4" spans="1:4" x14ac:dyDescent="0.2">
      <c r="A4" s="30"/>
      <c r="B4" s="31"/>
      <c r="C4" s="32"/>
      <c r="D4" s="33" t="str">
        <f>IF(COUNTIF(C$15:INDEX($C:$C,COUNTA($A:$A)+14-COUNTA($A$1:$A$14)),"")&gt;0,"BLANK PRIORITIZATIONS","")</f>
        <v>BLANK PRIORITIZATIONS</v>
      </c>
    </row>
    <row r="5" spans="1:4" x14ac:dyDescent="0.2">
      <c r="A5" s="13" t="s">
        <v>180</v>
      </c>
      <c r="B5" s="31" t="s">
        <v>181</v>
      </c>
      <c r="C5" s="32" t="s">
        <v>181</v>
      </c>
      <c r="D5" t="s">
        <v>180</v>
      </c>
    </row>
    <row r="6" spans="1:4" x14ac:dyDescent="0.2">
      <c r="A6" s="13" t="s">
        <v>182</v>
      </c>
      <c r="B6" s="31" t="s">
        <v>183</v>
      </c>
      <c r="C6" s="32" t="s">
        <v>184</v>
      </c>
      <c r="D6" t="s">
        <v>185</v>
      </c>
    </row>
    <row r="7" spans="1:4" x14ac:dyDescent="0.2">
      <c r="A7" s="13" t="s">
        <v>186</v>
      </c>
      <c r="B7" s="31" t="s">
        <v>187</v>
      </c>
      <c r="C7" s="32" t="s">
        <v>187</v>
      </c>
      <c r="D7" t="s">
        <v>186</v>
      </c>
    </row>
    <row r="8" spans="1:4" x14ac:dyDescent="0.2">
      <c r="B8" s="34" t="s">
        <v>188</v>
      </c>
      <c r="C8" s="35" t="s">
        <v>188</v>
      </c>
    </row>
    <row r="9" spans="1:4" x14ac:dyDescent="0.2">
      <c r="B9" s="34"/>
      <c r="C9" s="35"/>
    </row>
    <row r="10" spans="1:4" x14ac:dyDescent="0.2">
      <c r="B10" s="34"/>
      <c r="C10" s="35"/>
    </row>
    <row r="11" spans="1:4" x14ac:dyDescent="0.2">
      <c r="B11" s="31"/>
      <c r="C11" s="32"/>
    </row>
    <row r="12" spans="1:4" x14ac:dyDescent="0.2">
      <c r="B12" s="31"/>
      <c r="C12" s="32"/>
    </row>
    <row r="13" spans="1:4" x14ac:dyDescent="0.2">
      <c r="B13" s="31"/>
      <c r="C13" s="32"/>
    </row>
    <row r="14" spans="1:4" x14ac:dyDescent="0.2">
      <c r="A14" s="36" t="s">
        <v>189</v>
      </c>
      <c r="B14" s="37" t="s">
        <v>190</v>
      </c>
      <c r="C14" s="38" t="s">
        <v>191</v>
      </c>
      <c r="D14" s="39" t="s">
        <v>192</v>
      </c>
    </row>
    <row r="15" spans="1:4" x14ac:dyDescent="0.2">
      <c r="A15" t="s">
        <v>193</v>
      </c>
      <c r="B15" s="14"/>
      <c r="C15" s="40" t="str">
        <f t="shared" ref="C15:C43" si="0">IF(LEFT($A15,4)="_Mil","M",IF(SUM($B15)=0,"",$B15))</f>
        <v>M</v>
      </c>
      <c r="D15" s="41" t="str">
        <f t="shared" ref="D15:D43" si="1">IF($C15=1,"1 - Scale-up: Saturation",IF($C15=2,"2 - Scale-up: Aggressive",IF($C15=4,"4 - Sustained",IF($C15=5,"5 - Centrally Supported",IF($C15=6,"6 - Sustained:Commodities",IF($C15=7,"7 - Attained",IF($C15=8,"8 - Not PEPFAR Supported",IF($C15="M","Military",IF($C15="NA","Not a PSNU","INVALID")))))))))</f>
        <v>Military</v>
      </c>
    </row>
    <row r="16" spans="1:4" x14ac:dyDescent="0.2">
      <c r="A16" t="s">
        <v>194</v>
      </c>
      <c r="B16" s="14">
        <v>1</v>
      </c>
      <c r="C16" s="42">
        <f t="shared" si="0"/>
        <v>1</v>
      </c>
      <c r="D16" s="41" t="str">
        <f t="shared" si="1"/>
        <v>1 - Scale-up: Saturation</v>
      </c>
    </row>
    <row r="17" spans="1:4" x14ac:dyDescent="0.2">
      <c r="A17" t="s">
        <v>195</v>
      </c>
      <c r="B17" s="14">
        <v>1</v>
      </c>
      <c r="C17" s="42">
        <f t="shared" si="0"/>
        <v>1</v>
      </c>
      <c r="D17" s="41" t="str">
        <f t="shared" si="1"/>
        <v>1 - Scale-up: Saturation</v>
      </c>
    </row>
    <row r="18" spans="1:4" x14ac:dyDescent="0.2">
      <c r="A18" s="43" t="s">
        <v>196</v>
      </c>
      <c r="B18" s="14">
        <v>0</v>
      </c>
      <c r="C18" s="42" t="str">
        <f t="shared" si="0"/>
        <v/>
      </c>
      <c r="D18" s="41" t="str">
        <f t="shared" si="1"/>
        <v>INVALID</v>
      </c>
    </row>
    <row r="19" spans="1:4" x14ac:dyDescent="0.2">
      <c r="A19" t="s">
        <v>197</v>
      </c>
      <c r="B19" s="14">
        <v>1</v>
      </c>
      <c r="C19" s="42">
        <f t="shared" si="0"/>
        <v>1</v>
      </c>
      <c r="D19" t="str">
        <f t="shared" si="1"/>
        <v>1 - Scale-up: Saturation</v>
      </c>
    </row>
    <row r="20" spans="1:4" x14ac:dyDescent="0.2">
      <c r="A20" t="s">
        <v>198</v>
      </c>
      <c r="B20" s="14">
        <v>1</v>
      </c>
      <c r="C20" s="42">
        <f t="shared" si="0"/>
        <v>1</v>
      </c>
      <c r="D20" t="str">
        <f t="shared" si="1"/>
        <v>1 - Scale-up: Saturation</v>
      </c>
    </row>
    <row r="21" spans="1:4" x14ac:dyDescent="0.2">
      <c r="A21" t="s">
        <v>199</v>
      </c>
      <c r="B21" s="14">
        <v>1</v>
      </c>
      <c r="C21" s="42">
        <f t="shared" si="0"/>
        <v>1</v>
      </c>
      <c r="D21" t="str">
        <f t="shared" si="1"/>
        <v>1 - Scale-up: Saturation</v>
      </c>
    </row>
    <row r="22" spans="1:4" x14ac:dyDescent="0.2">
      <c r="A22" t="s">
        <v>200</v>
      </c>
      <c r="B22" s="14">
        <v>0</v>
      </c>
      <c r="C22" s="42" t="str">
        <f t="shared" si="0"/>
        <v/>
      </c>
      <c r="D22" t="str">
        <f t="shared" si="1"/>
        <v>INVALID</v>
      </c>
    </row>
    <row r="23" spans="1:4" x14ac:dyDescent="0.2">
      <c r="A23" t="s">
        <v>201</v>
      </c>
      <c r="B23" s="14">
        <v>0</v>
      </c>
      <c r="C23" s="42" t="str">
        <f t="shared" si="0"/>
        <v/>
      </c>
      <c r="D23" t="str">
        <f t="shared" si="1"/>
        <v>INVALID</v>
      </c>
    </row>
    <row r="24" spans="1:4" x14ac:dyDescent="0.2">
      <c r="A24" t="s">
        <v>202</v>
      </c>
      <c r="B24" s="14">
        <v>0</v>
      </c>
      <c r="C24" s="42" t="str">
        <f t="shared" si="0"/>
        <v/>
      </c>
      <c r="D24" t="str">
        <f t="shared" si="1"/>
        <v>INVALID</v>
      </c>
    </row>
    <row r="25" spans="1:4" x14ac:dyDescent="0.2">
      <c r="A25" t="s">
        <v>203</v>
      </c>
      <c r="B25" s="14">
        <v>1</v>
      </c>
      <c r="C25" s="42">
        <f t="shared" si="0"/>
        <v>1</v>
      </c>
      <c r="D25" t="str">
        <f t="shared" si="1"/>
        <v>1 - Scale-up: Saturation</v>
      </c>
    </row>
    <row r="26" spans="1:4" x14ac:dyDescent="0.2">
      <c r="A26" t="s">
        <v>204</v>
      </c>
      <c r="B26" s="14">
        <v>0</v>
      </c>
      <c r="C26" s="42" t="str">
        <f t="shared" si="0"/>
        <v/>
      </c>
      <c r="D26" t="str">
        <f t="shared" si="1"/>
        <v>INVALID</v>
      </c>
    </row>
    <row r="27" spans="1:4" x14ac:dyDescent="0.2">
      <c r="A27" t="s">
        <v>205</v>
      </c>
      <c r="B27" s="14">
        <v>0</v>
      </c>
      <c r="C27" s="42" t="str">
        <f t="shared" si="0"/>
        <v/>
      </c>
      <c r="D27" t="str">
        <f t="shared" si="1"/>
        <v>INVALID</v>
      </c>
    </row>
    <row r="28" spans="1:4" x14ac:dyDescent="0.2">
      <c r="A28" t="s">
        <v>206</v>
      </c>
      <c r="B28" s="14">
        <v>1</v>
      </c>
      <c r="C28" s="42">
        <f t="shared" si="0"/>
        <v>1</v>
      </c>
      <c r="D28" t="str">
        <f t="shared" si="1"/>
        <v>1 - Scale-up: Saturation</v>
      </c>
    </row>
    <row r="29" spans="1:4" x14ac:dyDescent="0.2">
      <c r="A29" t="s">
        <v>207</v>
      </c>
      <c r="B29" s="14">
        <v>0</v>
      </c>
      <c r="C29" s="42" t="str">
        <f t="shared" si="0"/>
        <v/>
      </c>
      <c r="D29" t="str">
        <f t="shared" si="1"/>
        <v>INVALID</v>
      </c>
    </row>
    <row r="30" spans="1:4" x14ac:dyDescent="0.2">
      <c r="A30" t="s">
        <v>208</v>
      </c>
      <c r="B30" s="14">
        <v>0</v>
      </c>
      <c r="C30" s="42" t="str">
        <f t="shared" si="0"/>
        <v/>
      </c>
      <c r="D30" t="str">
        <f t="shared" si="1"/>
        <v>INVALID</v>
      </c>
    </row>
    <row r="31" spans="1:4" x14ac:dyDescent="0.2">
      <c r="A31" t="s">
        <v>209</v>
      </c>
      <c r="B31" s="14">
        <v>1</v>
      </c>
      <c r="C31" s="42">
        <f t="shared" si="0"/>
        <v>1</v>
      </c>
      <c r="D31" t="str">
        <f t="shared" si="1"/>
        <v>1 - Scale-up: Saturation</v>
      </c>
    </row>
    <row r="32" spans="1:4" x14ac:dyDescent="0.2">
      <c r="A32" t="s">
        <v>210</v>
      </c>
      <c r="B32" s="14">
        <v>1</v>
      </c>
      <c r="C32" s="42">
        <f t="shared" si="0"/>
        <v>1</v>
      </c>
      <c r="D32" t="str">
        <f t="shared" si="1"/>
        <v>1 - Scale-up: Saturation</v>
      </c>
    </row>
    <row r="33" spans="1:4" x14ac:dyDescent="0.2">
      <c r="A33" t="s">
        <v>211</v>
      </c>
      <c r="B33" s="14">
        <v>1</v>
      </c>
      <c r="C33" s="42">
        <f t="shared" si="0"/>
        <v>1</v>
      </c>
      <c r="D33" t="str">
        <f t="shared" si="1"/>
        <v>1 - Scale-up: Saturation</v>
      </c>
    </row>
    <row r="34" spans="1:4" x14ac:dyDescent="0.2">
      <c r="A34" t="s">
        <v>212</v>
      </c>
      <c r="B34" s="14">
        <v>1</v>
      </c>
      <c r="C34" s="42">
        <f t="shared" si="0"/>
        <v>1</v>
      </c>
      <c r="D34" t="str">
        <f t="shared" si="1"/>
        <v>1 - Scale-up: Saturation</v>
      </c>
    </row>
    <row r="35" spans="1:4" x14ac:dyDescent="0.2">
      <c r="A35" t="s">
        <v>213</v>
      </c>
      <c r="B35" s="14">
        <v>1</v>
      </c>
      <c r="C35" s="42">
        <f t="shared" si="0"/>
        <v>1</v>
      </c>
      <c r="D35" t="str">
        <f t="shared" si="1"/>
        <v>1 - Scale-up: Saturation</v>
      </c>
    </row>
    <row r="36" spans="1:4" x14ac:dyDescent="0.2">
      <c r="A36" t="s">
        <v>214</v>
      </c>
      <c r="B36" s="14">
        <v>0</v>
      </c>
      <c r="C36" s="42" t="str">
        <f t="shared" si="0"/>
        <v/>
      </c>
      <c r="D36" t="str">
        <f t="shared" si="1"/>
        <v>INVALID</v>
      </c>
    </row>
    <row r="37" spans="1:4" x14ac:dyDescent="0.2">
      <c r="A37" t="s">
        <v>215</v>
      </c>
      <c r="B37" s="14">
        <v>0</v>
      </c>
      <c r="C37" s="42" t="str">
        <f t="shared" si="0"/>
        <v/>
      </c>
      <c r="D37" t="str">
        <f t="shared" si="1"/>
        <v>INVALID</v>
      </c>
    </row>
    <row r="38" spans="1:4" x14ac:dyDescent="0.2">
      <c r="A38" t="s">
        <v>216</v>
      </c>
      <c r="B38" s="14">
        <v>0</v>
      </c>
      <c r="C38" s="42" t="str">
        <f t="shared" si="0"/>
        <v/>
      </c>
      <c r="D38" t="str">
        <f t="shared" si="1"/>
        <v>INVALID</v>
      </c>
    </row>
    <row r="39" spans="1:4" x14ac:dyDescent="0.2">
      <c r="A39" t="s">
        <v>217</v>
      </c>
      <c r="B39" s="14">
        <v>0</v>
      </c>
      <c r="C39" s="42" t="str">
        <f t="shared" si="0"/>
        <v/>
      </c>
      <c r="D39" t="str">
        <f t="shared" si="1"/>
        <v>INVALID</v>
      </c>
    </row>
    <row r="40" spans="1:4" x14ac:dyDescent="0.2">
      <c r="A40" t="s">
        <v>218</v>
      </c>
      <c r="B40" s="14">
        <v>0</v>
      </c>
      <c r="C40" s="42" t="str">
        <f t="shared" si="0"/>
        <v/>
      </c>
      <c r="D40" t="str">
        <f t="shared" si="1"/>
        <v>INVALID</v>
      </c>
    </row>
    <row r="41" spans="1:4" x14ac:dyDescent="0.2">
      <c r="A41" t="s">
        <v>219</v>
      </c>
      <c r="B41" s="14">
        <v>0</v>
      </c>
      <c r="C41" s="42" t="str">
        <f t="shared" si="0"/>
        <v/>
      </c>
      <c r="D41" t="str">
        <f t="shared" si="1"/>
        <v>INVALID</v>
      </c>
    </row>
    <row r="42" spans="1:4" x14ac:dyDescent="0.2">
      <c r="A42" t="s">
        <v>220</v>
      </c>
      <c r="B42" s="14">
        <v>1</v>
      </c>
      <c r="C42" s="42">
        <f t="shared" si="0"/>
        <v>1</v>
      </c>
      <c r="D42" t="str">
        <f t="shared" si="1"/>
        <v>1 - Scale-up: Saturation</v>
      </c>
    </row>
    <row r="43" spans="1:4" x14ac:dyDescent="0.2">
      <c r="A43" t="s">
        <v>221</v>
      </c>
      <c r="B43" s="14">
        <v>1</v>
      </c>
      <c r="C43" s="42">
        <f t="shared" si="0"/>
        <v>1</v>
      </c>
      <c r="D43" t="str">
        <f t="shared" si="1"/>
        <v>1 - Scale-up: Saturation</v>
      </c>
    </row>
  </sheetData>
  <conditionalFormatting sqref="D4">
    <cfRule type="containsText" dxfId="149" priority="2" operator="containsText" text="BLANK PRIORITIZATIONS">
      <formula>NOT(ISERROR(SEARCH("BLANK PRIORITIZATIONS",D4)))</formula>
    </cfRule>
  </conditionalFormatting>
  <conditionalFormatting sqref="B1:C1048576">
    <cfRule type="expression" dxfId="148" priority="3">
      <formula>AND(ROW(B1)&gt;14,LEFT($A1,4)&lt;&gt;"_Mil",$A1&lt;&gt;"",B1&lt;&gt;1,B1&lt;&gt;2,B1&lt;&gt;4,B1&lt;&gt;5,B1&lt;&gt;6,B1&lt;&gt;7,B1&lt;&gt;8,B1&lt;&gt;"M",B1&lt;&gt;"NA")</formula>
    </cfRule>
  </conditionalFormatting>
  <conditionalFormatting sqref="C1:C1048576">
    <cfRule type="expression" dxfId="147" priority="4">
      <formula>AND(LEFT($A1,4)&lt;&gt;"_Mil",ROW($C1)&gt;14,$C1&lt;&gt;$B1,$A1&lt;&gt;"")</formula>
    </cfRule>
  </conditionalFormatting>
  <pageMargins left="0.7" right="0.7" top="0.75" bottom="0.7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1420"/>
  <sheetViews>
    <sheetView zoomScaleNormal="100" workbookViewId="0">
      <pane xSplit="5" ySplit="14" topLeftCell="J15" activePane="bottomRight" state="frozen"/>
      <selection pane="topRight" activeCell="J1" sqref="J1"/>
      <selection pane="bottomLeft" activeCell="A15" sqref="A15"/>
      <selection pane="bottomRight" activeCell="AK15" sqref="AK15"/>
    </sheetView>
  </sheetViews>
  <sheetFormatPr baseColWidth="10" defaultColWidth="10.5" defaultRowHeight="16" x14ac:dyDescent="0.2"/>
  <cols>
    <col min="1" max="1" width="13.6640625" customWidth="1"/>
    <col min="2" max="2" width="30.83203125" customWidth="1"/>
    <col min="3" max="3" width="10.83203125" customWidth="1"/>
    <col min="4" max="4" width="7.83203125" customWidth="1"/>
    <col min="5" max="5" width="20.33203125" hidden="1" customWidth="1"/>
    <col min="6" max="6" width="22.1640625" customWidth="1"/>
    <col min="7" max="60" width="13.1640625" customWidth="1"/>
  </cols>
  <sheetData>
    <row r="1" spans="1:60" ht="30.75" customHeight="1" x14ac:dyDescent="0.2">
      <c r="A1" s="44" t="s">
        <v>222</v>
      </c>
      <c r="B1" s="18"/>
      <c r="C1" s="18"/>
      <c r="D1" s="18"/>
      <c r="E1" s="44"/>
      <c r="F1" s="45" t="s">
        <v>223</v>
      </c>
      <c r="G1" s="45" t="s">
        <v>224</v>
      </c>
      <c r="H1" s="21"/>
      <c r="I1" s="46"/>
      <c r="J1" s="21"/>
      <c r="K1" s="46"/>
      <c r="L1" s="45" t="s">
        <v>225</v>
      </c>
      <c r="M1" s="21"/>
      <c r="N1" s="21"/>
      <c r="O1" s="46"/>
      <c r="P1" s="21"/>
      <c r="Q1" s="46"/>
      <c r="R1" s="46"/>
      <c r="S1" s="45" t="s">
        <v>226</v>
      </c>
      <c r="T1" s="46"/>
      <c r="U1" s="46"/>
      <c r="V1" s="46"/>
      <c r="W1" s="47"/>
      <c r="X1" s="46"/>
      <c r="Y1" s="48"/>
      <c r="Z1" s="46"/>
      <c r="AA1" s="48"/>
      <c r="AB1" s="48"/>
      <c r="AC1" s="49"/>
      <c r="AD1" s="50"/>
      <c r="AE1" s="48"/>
      <c r="AF1" s="46"/>
      <c r="AG1" s="48"/>
      <c r="AH1" s="47"/>
      <c r="AI1" s="46"/>
      <c r="AJ1" s="21"/>
      <c r="AK1" s="21"/>
      <c r="AL1" s="51" t="s">
        <v>227</v>
      </c>
      <c r="AM1" s="21"/>
      <c r="AN1" s="21"/>
      <c r="AO1" s="21"/>
      <c r="AP1" s="45" t="s">
        <v>228</v>
      </c>
      <c r="AQ1" s="46"/>
      <c r="AR1" s="48"/>
      <c r="AS1" s="51" t="s">
        <v>229</v>
      </c>
      <c r="AT1" s="48"/>
      <c r="AU1" s="21"/>
      <c r="AV1" s="21"/>
      <c r="AW1" s="50"/>
      <c r="AX1" s="46"/>
      <c r="AY1" s="51" t="s">
        <v>230</v>
      </c>
      <c r="AZ1" s="21"/>
      <c r="BA1" s="48"/>
      <c r="BB1" s="46"/>
      <c r="BC1" s="21"/>
      <c r="BD1" s="51" t="s">
        <v>231</v>
      </c>
      <c r="BE1" s="46"/>
      <c r="BF1" s="46"/>
      <c r="BG1" s="51" t="s">
        <v>232</v>
      </c>
      <c r="BH1" s="46"/>
    </row>
    <row r="2" spans="1:60" ht="18.75" customHeight="1" x14ac:dyDescent="0.25">
      <c r="A2" s="3" t="s">
        <v>233</v>
      </c>
      <c r="B2" s="3"/>
      <c r="C2" s="22"/>
      <c r="D2" s="22"/>
      <c r="E2" s="25"/>
      <c r="F2" s="52"/>
      <c r="G2" s="52"/>
      <c r="H2" s="25"/>
      <c r="I2" s="25"/>
      <c r="J2" s="25"/>
      <c r="K2" s="25"/>
      <c r="L2" s="52"/>
      <c r="M2" s="25"/>
      <c r="N2" s="25"/>
      <c r="O2" s="25"/>
      <c r="P2" s="25"/>
      <c r="Q2" s="25"/>
      <c r="R2" s="25"/>
      <c r="S2" s="52" t="s">
        <v>234</v>
      </c>
      <c r="T2" s="25" t="s">
        <v>235</v>
      </c>
      <c r="U2" s="25"/>
      <c r="V2" s="25"/>
      <c r="W2" s="53"/>
      <c r="X2" s="25"/>
      <c r="Y2" s="54"/>
      <c r="Z2" s="25"/>
      <c r="AA2" s="54"/>
      <c r="AB2" s="54"/>
      <c r="AC2" s="55"/>
      <c r="AD2" s="54"/>
      <c r="AE2" s="54"/>
      <c r="AF2" s="25"/>
      <c r="AG2" s="54"/>
      <c r="AH2" s="53" t="s">
        <v>236</v>
      </c>
      <c r="AI2" s="25"/>
      <c r="AJ2" s="25"/>
      <c r="AK2" s="25"/>
      <c r="AL2" s="56" t="s">
        <v>237</v>
      </c>
      <c r="AM2" s="25"/>
      <c r="AN2" s="25"/>
      <c r="AO2" s="25"/>
      <c r="AP2" s="57" t="s">
        <v>176</v>
      </c>
      <c r="AQ2" s="24" t="s">
        <v>176</v>
      </c>
      <c r="AR2" s="54"/>
      <c r="AS2" s="56"/>
      <c r="AT2" s="54"/>
      <c r="AU2" s="25"/>
      <c r="AV2" s="25"/>
      <c r="AW2" s="54"/>
      <c r="AX2" s="24" t="s">
        <v>176</v>
      </c>
      <c r="AY2" s="58"/>
      <c r="AZ2" s="59"/>
      <c r="BA2" s="60"/>
      <c r="BB2" s="24" t="s">
        <v>176</v>
      </c>
      <c r="BC2" s="59"/>
      <c r="BD2" s="56"/>
      <c r="BE2" s="24" t="s">
        <v>176</v>
      </c>
      <c r="BF2" s="24" t="s">
        <v>176</v>
      </c>
      <c r="BG2" s="56"/>
      <c r="BH2" s="24" t="s">
        <v>176</v>
      </c>
    </row>
    <row r="3" spans="1:60" ht="133.5" customHeight="1" x14ac:dyDescent="0.2">
      <c r="A3" s="3"/>
      <c r="B3" s="3"/>
      <c r="C3" s="26"/>
      <c r="D3" s="26"/>
      <c r="E3" s="61"/>
      <c r="F3" s="62" t="s">
        <v>238</v>
      </c>
      <c r="G3" s="63" t="s">
        <v>239</v>
      </c>
      <c r="H3" s="29" t="s">
        <v>240</v>
      </c>
      <c r="I3" s="29" t="s">
        <v>241</v>
      </c>
      <c r="J3" s="29" t="s">
        <v>242</v>
      </c>
      <c r="K3" s="29" t="s">
        <v>243</v>
      </c>
      <c r="L3" s="63" t="s">
        <v>239</v>
      </c>
      <c r="M3" s="29" t="s">
        <v>240</v>
      </c>
      <c r="N3" s="29" t="s">
        <v>241</v>
      </c>
      <c r="O3" s="64" t="s">
        <v>244</v>
      </c>
      <c r="P3" s="29" t="s">
        <v>242</v>
      </c>
      <c r="Q3" s="29" t="s">
        <v>243</v>
      </c>
      <c r="R3" s="29" t="s">
        <v>245</v>
      </c>
      <c r="S3" s="65" t="s">
        <v>246</v>
      </c>
      <c r="T3" s="64" t="s">
        <v>247</v>
      </c>
      <c r="U3" s="64" t="s">
        <v>248</v>
      </c>
      <c r="V3" s="64" t="s">
        <v>249</v>
      </c>
      <c r="W3" s="66" t="s">
        <v>250</v>
      </c>
      <c r="X3" s="64" t="s">
        <v>251</v>
      </c>
      <c r="Y3" s="67" t="s">
        <v>252</v>
      </c>
      <c r="Z3" s="64" t="s">
        <v>253</v>
      </c>
      <c r="AA3" s="67" t="s">
        <v>254</v>
      </c>
      <c r="AB3" s="67" t="s">
        <v>255</v>
      </c>
      <c r="AC3" s="68" t="s">
        <v>256</v>
      </c>
      <c r="AD3" s="67" t="s">
        <v>257</v>
      </c>
      <c r="AE3" s="67" t="s">
        <v>258</v>
      </c>
      <c r="AF3" s="64" t="s">
        <v>259</v>
      </c>
      <c r="AG3" s="67" t="s">
        <v>260</v>
      </c>
      <c r="AH3" s="66" t="s">
        <v>261</v>
      </c>
      <c r="AI3" s="64" t="s">
        <v>262</v>
      </c>
      <c r="AJ3" s="69" t="s">
        <v>263</v>
      </c>
      <c r="AK3" s="69" t="s">
        <v>264</v>
      </c>
      <c r="AL3" s="70" t="s">
        <v>265</v>
      </c>
      <c r="AM3" s="29" t="s">
        <v>266</v>
      </c>
      <c r="AN3" s="71" t="s">
        <v>267</v>
      </c>
      <c r="AO3" s="64" t="s">
        <v>268</v>
      </c>
      <c r="AP3" s="72" t="s">
        <v>223</v>
      </c>
      <c r="AQ3" s="28" t="s">
        <v>269</v>
      </c>
      <c r="AR3" s="73" t="s">
        <v>270</v>
      </c>
      <c r="AS3" s="70" t="s">
        <v>271</v>
      </c>
      <c r="AT3" s="67" t="s">
        <v>272</v>
      </c>
      <c r="AU3" s="29" t="s">
        <v>273</v>
      </c>
      <c r="AV3" s="29" t="s">
        <v>274</v>
      </c>
      <c r="AW3" s="67" t="s">
        <v>275</v>
      </c>
      <c r="AX3" s="74" t="s">
        <v>276</v>
      </c>
      <c r="AY3" s="70" t="s">
        <v>277</v>
      </c>
      <c r="AZ3" s="29" t="s">
        <v>278</v>
      </c>
      <c r="BA3" s="67" t="s">
        <v>279</v>
      </c>
      <c r="BB3" s="74" t="s">
        <v>280</v>
      </c>
      <c r="BC3" s="64" t="s">
        <v>281</v>
      </c>
      <c r="BD3" s="70" t="s">
        <v>282</v>
      </c>
      <c r="BE3" s="74" t="s">
        <v>283</v>
      </c>
      <c r="BF3" s="28" t="s">
        <v>284</v>
      </c>
      <c r="BG3" s="70" t="s">
        <v>285</v>
      </c>
      <c r="BH3" s="74" t="s">
        <v>286</v>
      </c>
    </row>
    <row r="4" spans="1:60" x14ac:dyDescent="0.2">
      <c r="A4" s="75"/>
      <c r="B4" s="30"/>
      <c r="C4" s="30"/>
      <c r="D4" s="30" t="s">
        <v>287</v>
      </c>
      <c r="E4" s="75"/>
      <c r="F4" s="76"/>
      <c r="G4" s="76">
        <f>SUBTOTAL(109,G$15:INDEX(G:G,COUNTA($B:$B)+14-COUNTA($B$1:$B$14)))</f>
        <v>1638</v>
      </c>
      <c r="H4" s="77">
        <f>SUBTOTAL(109,H$15:INDEX(H:H,COUNTA($B:$B)+14-COUNTA($B$1:$B$14)))</f>
        <v>457</v>
      </c>
      <c r="I4" s="77">
        <f>SUBTOTAL(109,I$15:INDEX(I:I,COUNTA($B:$B)+14-COUNTA($B$1:$B$14)))</f>
        <v>3424</v>
      </c>
      <c r="J4" s="75">
        <f>SUBTOTAL(109,J$15:INDEX(J:J,COUNTA($B:$B)+14-COUNTA($B$1:$B$14)))</f>
        <v>4096.5339193425607</v>
      </c>
      <c r="K4" s="75">
        <f>SUBTOTAL(109,K$15:INDEX(K:K,COUNTA($B:$B)+14-COUNTA($B$1:$B$14)))</f>
        <v>3084.3006630190648</v>
      </c>
      <c r="L4" s="76">
        <f>SUBTOTAL(109,L$15:INDEX(L:L,COUNTA($B:$B)+14-COUNTA($B$1:$B$14)))</f>
        <v>619</v>
      </c>
      <c r="M4" s="77">
        <f>SUBTOTAL(109,M$15:INDEX(M:M,COUNTA($B:$B)+14-COUNTA($B$1:$B$14)))</f>
        <v>869</v>
      </c>
      <c r="N4" s="77">
        <f>SUBTOTAL(109,N$15:INDEX(N:N,COUNTA($B:$B)+14-COUNTA($B$1:$B$14)))</f>
        <v>5483</v>
      </c>
      <c r="O4" s="77">
        <f>SUBTOTAL(109,O$15:INDEX(O:O,COUNTA($B:$B)+14-COUNTA($B$1:$B$14)))</f>
        <v>6236</v>
      </c>
      <c r="P4" s="75">
        <f>SUBTOTAL(109,P$15:INDEX(P:P,COUNTA($B:$B)+14-COUNTA($B$1:$B$14)))</f>
        <v>6260</v>
      </c>
      <c r="Q4" s="75">
        <f>SUBTOTAL(109,Q$15:INDEX(Q:Q,COUNTA($B:$B)+14-COUNTA($B$1:$B$14)))</f>
        <v>5060</v>
      </c>
      <c r="R4" s="75">
        <f>SUBTOTAL(109,R$15:INDEX(R:R,COUNTA($B:$B)+14-COUNTA($B$1:$B$14)))</f>
        <v>2812</v>
      </c>
      <c r="S4" s="78">
        <f>SUBTOTAL(109,S$15:INDEX(S:S,COUNTA($B:$B)+14-COUNTA($B$1:$B$14)))</f>
        <v>487564</v>
      </c>
      <c r="T4" s="77">
        <f>SUBTOTAL(109,T$15:INDEX(T:T,COUNTA($B:$B)+14-COUNTA($B$1:$B$14)))</f>
        <v>491197</v>
      </c>
      <c r="U4" s="77">
        <f>SUBTOTAL(109,U$15:INDEX(U:U,COUNTA($B:$B)+14-COUNTA($B$1:$B$14)))</f>
        <v>0</v>
      </c>
      <c r="V4" s="77">
        <f>SUBTOTAL(109,V$15:INDEX(V:V,COUNTA($B:$B)+14-COUNTA($B$1:$B$14)))</f>
        <v>499934</v>
      </c>
      <c r="W4" s="79">
        <f>IF(SUM($T4)=0,"",SUM($U4)/$T4)</f>
        <v>0</v>
      </c>
      <c r="X4" s="77">
        <f>SUBTOTAL(109,X$15:INDEX(X:X,COUNTA($B:$B)+14-COUNTA($B$1:$B$14)))</f>
        <v>492548</v>
      </c>
      <c r="Y4" s="80" t="str">
        <f>IF(SUM($U4)=0,"",SUM($X4)/$U4)</f>
        <v/>
      </c>
      <c r="Z4" s="77">
        <f>SUBTOTAL(109,Z$15:INDEX(Z:Z,COUNTA($B:$B)+14-COUNTA($B$1:$B$14)))</f>
        <v>503620</v>
      </c>
      <c r="AA4" s="80" t="str">
        <f>IF(SUM($U4)=0,"",SUM($Z4)/$U4)</f>
        <v/>
      </c>
      <c r="AB4" s="80">
        <f>IF(SUM($X4)=0,"",SUM($Z4)/$X4)</f>
        <v>1.0224790274247384</v>
      </c>
      <c r="AC4" s="81">
        <f>SUBTOTAL(109,AC$15:INDEX(AC:AC,COUNTA($B:$B)+14-COUNTA($B$1:$B$14)))</f>
        <v>490090</v>
      </c>
      <c r="AD4" s="80">
        <f>SUBTOTAL(109,AD$15:INDEX(AD:AD,COUNTA($B:$B)+14-COUNTA($B$1:$B$14)))</f>
        <v>0</v>
      </c>
      <c r="AE4" s="80">
        <f>IF(SUM($Z4)=0,"",SUM($AD4)/$Z4)</f>
        <v>0</v>
      </c>
      <c r="AF4" s="77">
        <f>SUBTOTAL(109,AF$15:INDEX(AF:AF,COUNTA($B:$B)+14-COUNTA($B$1:$B$14)))</f>
        <v>0</v>
      </c>
      <c r="AG4" s="80" t="str">
        <f>IF(SUM($AD4)=0,"",SUM($AF4)/$AD4)</f>
        <v/>
      </c>
      <c r="AH4" s="79">
        <f>IF(SUM($T4)=0,"",SUM($AI4)/$T4)</f>
        <v>0</v>
      </c>
      <c r="AI4" s="77">
        <f>SUBTOTAL(109,AI$15:INDEX(AI:AI,COUNTA($B:$B)+14-COUNTA($B$1:$B$14)))</f>
        <v>0</v>
      </c>
      <c r="AJ4" s="77">
        <f>SUBTOTAL(109,AJ$15:INDEX(AJ:AJ,COUNTA($B:$B)+14-COUNTA($B$1:$B$14)))</f>
        <v>0</v>
      </c>
      <c r="AK4" s="77">
        <v>0</v>
      </c>
      <c r="AL4" s="82" t="str">
        <f>IF(SUM($AJ4)=0,"",SUM($AM4)/$AJ4)</f>
        <v/>
      </c>
      <c r="AM4" s="77">
        <f>SUBTOTAL(109,AM$15:INDEX(AM:AM,COUNTA($B:$B)+14-COUNTA($B$1:$B$14)))</f>
        <v>0</v>
      </c>
      <c r="AN4" s="77">
        <f>SUBTOTAL(109,AN$15:INDEX(AN:AN,COUNTA($B:$B)+14-COUNTA($B$1:$B$14)))</f>
        <v>34</v>
      </c>
      <c r="AO4" s="77">
        <f>SUBTOTAL(109,AO$15:INDEX(AO:AO,COUNTA($B:$B)+14-COUNTA($B$1:$B$14)))</f>
        <v>34</v>
      </c>
      <c r="AP4" s="83">
        <f>SUBTOTAL(109,AP$15:INDEX(AP:AP,COUNTA($B:$B)+14-COUNTA($B$1:$B$14)))</f>
        <v>34</v>
      </c>
      <c r="AQ4" s="9">
        <f>SUBTOTAL(109,AQ$15:INDEX(AQ:AQ,COUNTA($B:$B)+14-COUNTA($B$1:$B$14)))</f>
        <v>499169.45714285714</v>
      </c>
      <c r="AR4" s="80" t="str">
        <f>IF(SUM($AJ4)=0,"",SUM($AQ4)/$AJ4)</f>
        <v/>
      </c>
      <c r="AS4" s="82"/>
      <c r="AT4" s="80"/>
      <c r="AU4" s="77">
        <f>SUBTOTAL(109,AU$15:INDEX(AU:AU,COUNTA($B:$B)+14-COUNTA($B$1:$B$14)))</f>
        <v>-6085</v>
      </c>
      <c r="AV4" s="77">
        <f>SUBTOTAL(109,AV$15:INDEX(AV:AV,COUNTA($B:$B)+14-COUNTA($B$1:$B$14)))</f>
        <v>-6051</v>
      </c>
      <c r="AW4" s="80">
        <f>IF(SUM($AV4)=0,"",SUM($AX4)/$AV4)</f>
        <v>1</v>
      </c>
      <c r="AX4" s="84">
        <f>SUBTOTAL(109,AX$15:INDEX(AX:AX,COUNTA($B:$B)+14-COUNTA($B$1:$B$14)))</f>
        <v>-6051</v>
      </c>
      <c r="AY4" s="85">
        <f>IF(SUM($AV4)=0,"",(SUM($AZ4)-SUM($O4))/$AV4)</f>
        <v>0.72417782184762847</v>
      </c>
      <c r="AZ4" s="77">
        <f>SUBTOTAL(109,AZ$15:INDEX(AZ:AZ,COUNTA($B:$B)+14-COUNTA($B$1:$B$14)))</f>
        <v>1854</v>
      </c>
      <c r="BA4" s="86">
        <f>IF(SUM($AZ4)=0,"",SUM($BB4)/$AZ4)</f>
        <v>0.95469255663430419</v>
      </c>
      <c r="BB4" s="84">
        <f>SUBTOTAL(109,BB$15:INDEX(BB:BB,COUNTA($B:$B)+14-COUNTA($B$1:$B$14)))</f>
        <v>1770</v>
      </c>
      <c r="BC4" s="77">
        <f>SUBTOTAL(109,BC$15:INDEX(BC:BC,COUNTA($B:$B)+14-COUNTA($B$1:$B$14)))</f>
        <v>16266</v>
      </c>
      <c r="BD4" s="85">
        <f>IF(SUM($BB4)=0,"",SUM($BE4)/$BB4)</f>
        <v>0.95480225988700562</v>
      </c>
      <c r="BE4" s="84">
        <f>SUBTOTAL(109,BE$15:INDEX(BE:BE,COUNTA($B:$B)+14-COUNTA($B$1:$B$14)))</f>
        <v>1690</v>
      </c>
      <c r="BF4" s="84">
        <f>SUBTOTAL(109,BF$15:INDEX(BF:BF,COUNTA($B:$B)+14-COUNTA($B$1:$B$14)))</f>
        <v>16188</v>
      </c>
      <c r="BG4" s="82">
        <f>IF(SUM($BH4)=0,"",SUM($AX4)/$BH4)</f>
        <v>0.94962335216572502</v>
      </c>
      <c r="BH4" s="84">
        <f>SUBTOTAL(109,BH$15:INDEX(BH:BH,COUNTA($B:$B)+14-COUNTA($B$1:$B$14)))</f>
        <v>-6372</v>
      </c>
    </row>
    <row r="5" spans="1:60" x14ac:dyDescent="0.2">
      <c r="A5" t="s">
        <v>180</v>
      </c>
      <c r="B5" s="13" t="s">
        <v>180</v>
      </c>
      <c r="C5" s="13" t="s">
        <v>180</v>
      </c>
      <c r="D5" s="13" t="s">
        <v>180</v>
      </c>
      <c r="E5" t="s">
        <v>180</v>
      </c>
      <c r="F5" s="87" t="s">
        <v>180</v>
      </c>
      <c r="G5" s="87" t="s">
        <v>180</v>
      </c>
      <c r="H5" s="14" t="s">
        <v>288</v>
      </c>
      <c r="I5" s="14" t="s">
        <v>288</v>
      </c>
      <c r="J5" s="14" t="s">
        <v>288</v>
      </c>
      <c r="K5" s="14" t="s">
        <v>288</v>
      </c>
      <c r="L5" s="87" t="s">
        <v>180</v>
      </c>
      <c r="M5" s="14" t="s">
        <v>288</v>
      </c>
      <c r="N5" s="14" t="s">
        <v>288</v>
      </c>
      <c r="O5" s="14" t="s">
        <v>180</v>
      </c>
      <c r="P5" s="14" t="s">
        <v>288</v>
      </c>
      <c r="Q5" s="14" t="s">
        <v>288</v>
      </c>
      <c r="R5" s="14" t="s">
        <v>180</v>
      </c>
      <c r="S5" s="87" t="s">
        <v>289</v>
      </c>
      <c r="T5" s="14" t="s">
        <v>181</v>
      </c>
      <c r="U5" s="14" t="s">
        <v>181</v>
      </c>
      <c r="V5" s="14" t="s">
        <v>180</v>
      </c>
      <c r="W5" s="88" t="s">
        <v>181</v>
      </c>
      <c r="X5" s="14" t="s">
        <v>289</v>
      </c>
      <c r="Y5" s="89" t="s">
        <v>180</v>
      </c>
      <c r="Z5" s="14" t="s">
        <v>289</v>
      </c>
      <c r="AA5" s="90" t="s">
        <v>180</v>
      </c>
      <c r="AB5" s="89" t="s">
        <v>180</v>
      </c>
      <c r="AC5" s="91" t="s">
        <v>180</v>
      </c>
      <c r="AD5" s="90" t="s">
        <v>180</v>
      </c>
      <c r="AE5" s="89" t="s">
        <v>180</v>
      </c>
      <c r="AF5" s="14" t="s">
        <v>289</v>
      </c>
      <c r="AG5" s="89" t="s">
        <v>180</v>
      </c>
      <c r="AH5" s="92" t="s">
        <v>180</v>
      </c>
      <c r="AI5" s="93" t="s">
        <v>180</v>
      </c>
      <c r="AJ5" s="14" t="s">
        <v>181</v>
      </c>
      <c r="AK5" s="14" t="s">
        <v>180</v>
      </c>
      <c r="AL5" s="94" t="s">
        <v>180</v>
      </c>
      <c r="AM5" s="14" t="s">
        <v>180</v>
      </c>
      <c r="AN5" s="14" t="s">
        <v>180</v>
      </c>
      <c r="AO5" s="14" t="s">
        <v>180</v>
      </c>
      <c r="AP5" s="83" t="s">
        <v>288</v>
      </c>
      <c r="AQ5" s="9" t="s">
        <v>289</v>
      </c>
      <c r="AR5" s="90" t="s">
        <v>180</v>
      </c>
      <c r="AS5" s="94" t="s">
        <v>180</v>
      </c>
      <c r="AT5" s="90" t="s">
        <v>180</v>
      </c>
      <c r="AU5" s="14" t="s">
        <v>180</v>
      </c>
      <c r="AV5" s="14" t="s">
        <v>180</v>
      </c>
      <c r="AW5" s="89" t="s">
        <v>180</v>
      </c>
      <c r="AX5" s="9" t="s">
        <v>288</v>
      </c>
      <c r="AY5" s="94" t="s">
        <v>180</v>
      </c>
      <c r="AZ5" s="93" t="s">
        <v>180</v>
      </c>
      <c r="BA5" s="90" t="s">
        <v>180</v>
      </c>
      <c r="BB5" s="9" t="s">
        <v>288</v>
      </c>
      <c r="BC5" s="93" t="s">
        <v>180</v>
      </c>
      <c r="BD5" s="94" t="s">
        <v>180</v>
      </c>
      <c r="BE5" s="9" t="s">
        <v>288</v>
      </c>
      <c r="BF5" s="9" t="s">
        <v>289</v>
      </c>
      <c r="BG5" s="94" t="s">
        <v>180</v>
      </c>
      <c r="BH5" s="9" t="s">
        <v>180</v>
      </c>
    </row>
    <row r="6" spans="1:60" x14ac:dyDescent="0.2">
      <c r="A6" t="s">
        <v>182</v>
      </c>
      <c r="B6" s="13" t="s">
        <v>182</v>
      </c>
      <c r="C6" s="13" t="s">
        <v>182</v>
      </c>
      <c r="D6" s="13" t="s">
        <v>182</v>
      </c>
      <c r="E6" t="s">
        <v>182</v>
      </c>
      <c r="F6" s="87" t="s">
        <v>290</v>
      </c>
      <c r="G6" s="87" t="s">
        <v>291</v>
      </c>
      <c r="H6" s="14" t="s">
        <v>183</v>
      </c>
      <c r="I6" s="14" t="s">
        <v>183</v>
      </c>
      <c r="J6" s="14" t="s">
        <v>183</v>
      </c>
      <c r="K6" s="14" t="s">
        <v>183</v>
      </c>
      <c r="L6" s="87" t="s">
        <v>291</v>
      </c>
      <c r="M6" s="14" t="s">
        <v>183</v>
      </c>
      <c r="N6" s="14" t="s">
        <v>183</v>
      </c>
      <c r="O6" s="14" t="s">
        <v>290</v>
      </c>
      <c r="P6" s="14" t="s">
        <v>183</v>
      </c>
      <c r="Q6" s="14" t="s">
        <v>183</v>
      </c>
      <c r="R6" s="14" t="s">
        <v>185</v>
      </c>
      <c r="S6" s="87" t="s">
        <v>292</v>
      </c>
      <c r="T6" s="14" t="s">
        <v>184</v>
      </c>
      <c r="U6" s="14" t="s">
        <v>184</v>
      </c>
      <c r="V6" s="14" t="s">
        <v>290</v>
      </c>
      <c r="W6" s="88" t="s">
        <v>184</v>
      </c>
      <c r="X6" s="14" t="s">
        <v>184</v>
      </c>
      <c r="Y6" s="89" t="s">
        <v>185</v>
      </c>
      <c r="Z6" s="14" t="s">
        <v>184</v>
      </c>
      <c r="AA6" s="90" t="s">
        <v>185</v>
      </c>
      <c r="AB6" s="89" t="s">
        <v>185</v>
      </c>
      <c r="AC6" s="91" t="s">
        <v>290</v>
      </c>
      <c r="AD6" s="90" t="s">
        <v>185</v>
      </c>
      <c r="AE6" s="89" t="s">
        <v>185</v>
      </c>
      <c r="AF6" s="14" t="s">
        <v>184</v>
      </c>
      <c r="AG6" s="89" t="s">
        <v>185</v>
      </c>
      <c r="AH6" s="92" t="s">
        <v>185</v>
      </c>
      <c r="AI6" s="93" t="s">
        <v>185</v>
      </c>
      <c r="AJ6" s="14" t="s">
        <v>184</v>
      </c>
      <c r="AK6" s="14" t="s">
        <v>290</v>
      </c>
      <c r="AL6" s="94" t="s">
        <v>290</v>
      </c>
      <c r="AM6" s="14" t="s">
        <v>185</v>
      </c>
      <c r="AN6" s="14" t="s">
        <v>185</v>
      </c>
      <c r="AO6" s="14" t="s">
        <v>290</v>
      </c>
      <c r="AP6" s="83" t="s">
        <v>184</v>
      </c>
      <c r="AQ6" s="9" t="s">
        <v>184</v>
      </c>
      <c r="AR6" s="90" t="s">
        <v>185</v>
      </c>
      <c r="AS6" s="94" t="s">
        <v>290</v>
      </c>
      <c r="AT6" s="90" t="s">
        <v>290</v>
      </c>
      <c r="AU6" s="14" t="s">
        <v>185</v>
      </c>
      <c r="AV6" s="14" t="s">
        <v>185</v>
      </c>
      <c r="AW6" s="89" t="s">
        <v>290</v>
      </c>
      <c r="AX6" s="9" t="s">
        <v>184</v>
      </c>
      <c r="AY6" s="94" t="s">
        <v>290</v>
      </c>
      <c r="AZ6" s="93" t="s">
        <v>185</v>
      </c>
      <c r="BA6" s="90" t="s">
        <v>290</v>
      </c>
      <c r="BB6" s="9" t="s">
        <v>184</v>
      </c>
      <c r="BC6" s="93" t="s">
        <v>290</v>
      </c>
      <c r="BD6" s="94" t="s">
        <v>290</v>
      </c>
      <c r="BE6" s="9" t="s">
        <v>184</v>
      </c>
      <c r="BF6" s="9" t="s">
        <v>184</v>
      </c>
      <c r="BG6" s="94" t="s">
        <v>290</v>
      </c>
      <c r="BH6" s="9" t="s">
        <v>185</v>
      </c>
    </row>
    <row r="7" spans="1:60" x14ac:dyDescent="0.2">
      <c r="A7" t="s">
        <v>186</v>
      </c>
      <c r="B7" s="13" t="s">
        <v>186</v>
      </c>
      <c r="C7" s="13" t="s">
        <v>186</v>
      </c>
      <c r="D7" s="13" t="s">
        <v>186</v>
      </c>
      <c r="E7" t="s">
        <v>186</v>
      </c>
      <c r="F7" s="87" t="s">
        <v>187</v>
      </c>
      <c r="G7" s="87" t="s">
        <v>187</v>
      </c>
      <c r="H7" s="14" t="s">
        <v>187</v>
      </c>
      <c r="I7" s="14" t="s">
        <v>187</v>
      </c>
      <c r="J7" s="14" t="s">
        <v>187</v>
      </c>
      <c r="K7" s="14" t="s">
        <v>187</v>
      </c>
      <c r="L7" s="87" t="s">
        <v>187</v>
      </c>
      <c r="M7" s="14" t="s">
        <v>187</v>
      </c>
      <c r="N7" s="14" t="s">
        <v>187</v>
      </c>
      <c r="O7" s="14" t="s">
        <v>187</v>
      </c>
      <c r="P7" s="14" t="s">
        <v>187</v>
      </c>
      <c r="Q7" s="14" t="s">
        <v>187</v>
      </c>
      <c r="R7" s="14" t="s">
        <v>187</v>
      </c>
      <c r="S7" s="87" t="s">
        <v>187</v>
      </c>
      <c r="T7" s="14" t="s">
        <v>187</v>
      </c>
      <c r="U7" s="14" t="s">
        <v>187</v>
      </c>
      <c r="V7" s="14" t="s">
        <v>187</v>
      </c>
      <c r="W7" s="88" t="s">
        <v>293</v>
      </c>
      <c r="X7" s="14" t="s">
        <v>187</v>
      </c>
      <c r="Y7" s="89" t="s">
        <v>293</v>
      </c>
      <c r="Z7" s="14" t="s">
        <v>187</v>
      </c>
      <c r="AA7" s="90" t="s">
        <v>293</v>
      </c>
      <c r="AB7" s="89" t="s">
        <v>293</v>
      </c>
      <c r="AC7" s="91" t="s">
        <v>187</v>
      </c>
      <c r="AD7" s="90" t="s">
        <v>187</v>
      </c>
      <c r="AE7" s="89" t="s">
        <v>293</v>
      </c>
      <c r="AF7" s="14" t="s">
        <v>187</v>
      </c>
      <c r="AG7" s="89" t="s">
        <v>293</v>
      </c>
      <c r="AH7" s="92" t="s">
        <v>293</v>
      </c>
      <c r="AI7" s="93" t="s">
        <v>187</v>
      </c>
      <c r="AJ7" s="14" t="s">
        <v>187</v>
      </c>
      <c r="AK7" s="14" t="s">
        <v>187</v>
      </c>
      <c r="AL7" s="94" t="s">
        <v>293</v>
      </c>
      <c r="AM7" s="14" t="s">
        <v>187</v>
      </c>
      <c r="AN7" s="14" t="s">
        <v>187</v>
      </c>
      <c r="AO7" s="14" t="s">
        <v>187</v>
      </c>
      <c r="AP7" s="83" t="s">
        <v>187</v>
      </c>
      <c r="AQ7" s="9" t="s">
        <v>187</v>
      </c>
      <c r="AR7" s="90" t="s">
        <v>293</v>
      </c>
      <c r="AS7" s="94" t="s">
        <v>293</v>
      </c>
      <c r="AT7" s="90" t="s">
        <v>293</v>
      </c>
      <c r="AU7" s="14" t="s">
        <v>187</v>
      </c>
      <c r="AV7" s="14" t="s">
        <v>187</v>
      </c>
      <c r="AW7" s="89" t="s">
        <v>293</v>
      </c>
      <c r="AX7" s="9" t="s">
        <v>187</v>
      </c>
      <c r="AY7" s="94" t="s">
        <v>293</v>
      </c>
      <c r="AZ7" s="93" t="s">
        <v>187</v>
      </c>
      <c r="BA7" s="90" t="s">
        <v>293</v>
      </c>
      <c r="BB7" s="9" t="s">
        <v>187</v>
      </c>
      <c r="BC7" s="93" t="s">
        <v>187</v>
      </c>
      <c r="BD7" s="94" t="s">
        <v>293</v>
      </c>
      <c r="BE7" s="9" t="s">
        <v>187</v>
      </c>
      <c r="BF7" s="9" t="s">
        <v>187</v>
      </c>
      <c r="BG7" s="94" t="s">
        <v>293</v>
      </c>
      <c r="BH7" s="9" t="s">
        <v>187</v>
      </c>
    </row>
    <row r="8" spans="1:60" x14ac:dyDescent="0.2">
      <c r="B8" s="13"/>
      <c r="D8" s="14"/>
      <c r="G8" s="95"/>
      <c r="H8" s="96" t="s">
        <v>294</v>
      </c>
      <c r="I8" s="96" t="s">
        <v>295</v>
      </c>
      <c r="J8" s="96" t="s">
        <v>296</v>
      </c>
      <c r="K8" s="96" t="s">
        <v>297</v>
      </c>
      <c r="L8" s="95"/>
      <c r="M8" s="96" t="s">
        <v>298</v>
      </c>
      <c r="N8" s="96" t="s">
        <v>299</v>
      </c>
      <c r="P8" s="96" t="s">
        <v>300</v>
      </c>
      <c r="Q8" s="96" t="s">
        <v>301</v>
      </c>
      <c r="S8" s="95" t="s">
        <v>26</v>
      </c>
      <c r="T8" s="96" t="s">
        <v>138</v>
      </c>
      <c r="U8" s="96" t="s">
        <v>143</v>
      </c>
      <c r="V8" s="96"/>
      <c r="W8" s="97" t="s">
        <v>141</v>
      </c>
      <c r="X8" s="96" t="s">
        <v>148</v>
      </c>
      <c r="Y8" s="89"/>
      <c r="Z8" s="96" t="s">
        <v>146</v>
      </c>
      <c r="AB8" s="89"/>
      <c r="AC8" s="91"/>
      <c r="AF8" s="96" t="s">
        <v>302</v>
      </c>
      <c r="AH8" s="92"/>
      <c r="AI8" s="93"/>
      <c r="AJ8" s="96" t="s">
        <v>143</v>
      </c>
      <c r="AK8" s="96"/>
      <c r="AP8" s="98" t="s">
        <v>299</v>
      </c>
      <c r="AQ8" s="99" t="s">
        <v>146</v>
      </c>
      <c r="AW8" s="89"/>
      <c r="AX8" s="99" t="s">
        <v>298</v>
      </c>
      <c r="BB8" s="99" t="s">
        <v>300</v>
      </c>
      <c r="BE8" s="99" t="s">
        <v>301</v>
      </c>
      <c r="BF8" s="99" t="s">
        <v>302</v>
      </c>
    </row>
    <row r="9" spans="1:60" x14ac:dyDescent="0.2">
      <c r="B9" s="13"/>
      <c r="D9" s="14"/>
      <c r="G9" s="95"/>
      <c r="H9" s="96" t="s">
        <v>303</v>
      </c>
      <c r="I9" s="96" t="s">
        <v>304</v>
      </c>
      <c r="J9" s="96" t="s">
        <v>305</v>
      </c>
      <c r="K9" s="96" t="s">
        <v>306</v>
      </c>
      <c r="L9" s="95"/>
      <c r="M9" s="96" t="s">
        <v>307</v>
      </c>
      <c r="N9" s="96" t="s">
        <v>308</v>
      </c>
      <c r="P9" s="96" t="s">
        <v>309</v>
      </c>
      <c r="Q9" s="96" t="s">
        <v>310</v>
      </c>
      <c r="S9" s="95"/>
      <c r="T9" s="96"/>
      <c r="U9" s="96"/>
      <c r="V9" s="96"/>
      <c r="W9" s="97"/>
      <c r="X9" s="96"/>
      <c r="Y9" s="89"/>
      <c r="Z9" s="96"/>
      <c r="AB9" s="89"/>
      <c r="AC9" s="91"/>
      <c r="AF9" s="96"/>
      <c r="AH9" s="92"/>
      <c r="AI9" s="93"/>
      <c r="AJ9" s="96"/>
      <c r="AK9" s="96"/>
      <c r="AP9" s="98" t="s">
        <v>308</v>
      </c>
      <c r="AQ9" s="99"/>
      <c r="AW9" s="89"/>
      <c r="AX9" s="99" t="s">
        <v>307</v>
      </c>
      <c r="BB9" s="99" t="s">
        <v>309</v>
      </c>
      <c r="BE9" s="99" t="s">
        <v>310</v>
      </c>
      <c r="BF9" s="99"/>
    </row>
    <row r="10" spans="1:60" x14ac:dyDescent="0.2">
      <c r="B10" s="13"/>
      <c r="D10" s="14"/>
      <c r="G10" s="95"/>
      <c r="H10" s="96" t="s">
        <v>311</v>
      </c>
      <c r="I10" s="96" t="s">
        <v>311</v>
      </c>
      <c r="J10" s="96" t="s">
        <v>312</v>
      </c>
      <c r="K10" s="96" t="s">
        <v>312</v>
      </c>
      <c r="L10" s="95"/>
      <c r="M10" s="96" t="s">
        <v>311</v>
      </c>
      <c r="N10" s="96" t="s">
        <v>311</v>
      </c>
      <c r="P10" s="96" t="s">
        <v>312</v>
      </c>
      <c r="Q10" s="96" t="s">
        <v>312</v>
      </c>
      <c r="R10" s="14"/>
      <c r="S10" s="95" t="s">
        <v>311</v>
      </c>
      <c r="T10" s="96"/>
      <c r="U10" s="96" t="s">
        <v>311</v>
      </c>
      <c r="V10" s="96"/>
      <c r="W10" s="97"/>
      <c r="X10" s="96" t="s">
        <v>311</v>
      </c>
      <c r="Y10" s="89"/>
      <c r="Z10" s="96" t="s">
        <v>311</v>
      </c>
      <c r="AB10" s="89"/>
      <c r="AC10" s="91"/>
      <c r="AF10" s="96" t="s">
        <v>311</v>
      </c>
      <c r="AH10" s="92"/>
      <c r="AI10" s="93"/>
      <c r="AJ10" s="96" t="s">
        <v>311</v>
      </c>
      <c r="AK10" s="96"/>
      <c r="AP10" s="98" t="s">
        <v>311</v>
      </c>
      <c r="AQ10" s="99" t="s">
        <v>311</v>
      </c>
      <c r="AW10" s="89"/>
      <c r="AX10" s="99" t="s">
        <v>311</v>
      </c>
      <c r="BB10" s="99" t="s">
        <v>312</v>
      </c>
      <c r="BE10" s="99" t="s">
        <v>312</v>
      </c>
      <c r="BF10" s="99" t="s">
        <v>311</v>
      </c>
    </row>
    <row r="11" spans="1:60" x14ac:dyDescent="0.2">
      <c r="B11" s="13"/>
      <c r="D11" s="14"/>
      <c r="F11" s="87" t="s">
        <v>313</v>
      </c>
      <c r="G11" s="87" t="s">
        <v>314</v>
      </c>
      <c r="H11" s="14" t="s">
        <v>314</v>
      </c>
      <c r="I11" s="14" t="s">
        <v>314</v>
      </c>
      <c r="J11" s="14" t="s">
        <v>314</v>
      </c>
      <c r="K11" s="14" t="s">
        <v>314</v>
      </c>
      <c r="L11" s="87" t="s">
        <v>314</v>
      </c>
      <c r="M11" s="14" t="s">
        <v>314</v>
      </c>
      <c r="N11" s="14" t="s">
        <v>314</v>
      </c>
      <c r="O11" s="14" t="s">
        <v>314</v>
      </c>
      <c r="P11" s="14" t="s">
        <v>314</v>
      </c>
      <c r="Q11" s="14" t="s">
        <v>314</v>
      </c>
      <c r="R11" s="14" t="s">
        <v>314</v>
      </c>
      <c r="S11" s="87" t="s">
        <v>314</v>
      </c>
      <c r="T11" s="14" t="s">
        <v>314</v>
      </c>
      <c r="U11" s="14" t="s">
        <v>314</v>
      </c>
      <c r="V11" s="14" t="s">
        <v>314</v>
      </c>
      <c r="W11" s="88" t="s">
        <v>314</v>
      </c>
      <c r="X11" s="14" t="s">
        <v>314</v>
      </c>
      <c r="Y11" s="89" t="s">
        <v>314</v>
      </c>
      <c r="Z11" s="14" t="s">
        <v>314</v>
      </c>
      <c r="AA11" s="90" t="s">
        <v>314</v>
      </c>
      <c r="AB11" s="89" t="s">
        <v>314</v>
      </c>
      <c r="AC11" s="91" t="s">
        <v>314</v>
      </c>
      <c r="AD11" s="90" t="s">
        <v>314</v>
      </c>
      <c r="AE11" s="89" t="s">
        <v>314</v>
      </c>
      <c r="AF11" s="14" t="s">
        <v>314</v>
      </c>
      <c r="AG11" s="89" t="s">
        <v>314</v>
      </c>
      <c r="AH11" s="92" t="s">
        <v>314</v>
      </c>
      <c r="AI11" s="93" t="s">
        <v>314</v>
      </c>
      <c r="AJ11" s="14" t="s">
        <v>314</v>
      </c>
      <c r="AK11" s="14" t="s">
        <v>314</v>
      </c>
      <c r="AL11" s="94" t="s">
        <v>313</v>
      </c>
      <c r="AM11" s="14" t="s">
        <v>313</v>
      </c>
      <c r="AN11" s="14" t="s">
        <v>315</v>
      </c>
      <c r="AO11" s="14" t="s">
        <v>314</v>
      </c>
      <c r="AP11" s="83" t="s">
        <v>314</v>
      </c>
      <c r="AQ11" s="9" t="s">
        <v>314</v>
      </c>
      <c r="AR11" s="90" t="s">
        <v>314</v>
      </c>
      <c r="AS11" s="94" t="s">
        <v>313</v>
      </c>
      <c r="AT11" s="90" t="s">
        <v>313</v>
      </c>
      <c r="AU11" s="14" t="s">
        <v>314</v>
      </c>
      <c r="AV11" s="14" t="s">
        <v>314</v>
      </c>
      <c r="AW11" s="89" t="s">
        <v>313</v>
      </c>
      <c r="AX11" s="9" t="s">
        <v>314</v>
      </c>
      <c r="AY11" s="94" t="s">
        <v>313</v>
      </c>
      <c r="AZ11" s="93" t="s">
        <v>314</v>
      </c>
      <c r="BA11" s="90" t="s">
        <v>313</v>
      </c>
      <c r="BB11" s="9" t="s">
        <v>314</v>
      </c>
      <c r="BC11" s="93" t="s">
        <v>314</v>
      </c>
      <c r="BD11" s="94" t="s">
        <v>313</v>
      </c>
      <c r="BE11" s="9" t="s">
        <v>314</v>
      </c>
      <c r="BF11" s="9" t="s">
        <v>314</v>
      </c>
      <c r="BG11" s="94" t="s">
        <v>313</v>
      </c>
      <c r="BH11" s="9" t="s">
        <v>314</v>
      </c>
    </row>
    <row r="12" spans="1:60" x14ac:dyDescent="0.2">
      <c r="B12" s="13"/>
      <c r="D12" s="14"/>
      <c r="F12" s="87" t="s">
        <v>316</v>
      </c>
      <c r="G12" s="87" t="s">
        <v>316</v>
      </c>
      <c r="H12" s="14" t="s">
        <v>316</v>
      </c>
      <c r="I12" s="14" t="s">
        <v>316</v>
      </c>
      <c r="J12" s="14" t="s">
        <v>316</v>
      </c>
      <c r="K12" s="14" t="s">
        <v>316</v>
      </c>
      <c r="L12" s="87" t="s">
        <v>316</v>
      </c>
      <c r="M12" s="14" t="s">
        <v>316</v>
      </c>
      <c r="N12" s="14" t="s">
        <v>316</v>
      </c>
      <c r="O12" s="14" t="s">
        <v>316</v>
      </c>
      <c r="P12" s="14" t="s">
        <v>316</v>
      </c>
      <c r="Q12" s="14" t="s">
        <v>316</v>
      </c>
      <c r="R12" s="14" t="s">
        <v>316</v>
      </c>
      <c r="S12" s="87" t="s">
        <v>316</v>
      </c>
      <c r="T12" s="14" t="s">
        <v>316</v>
      </c>
      <c r="U12" s="14" t="s">
        <v>316</v>
      </c>
      <c r="V12" s="14" t="s">
        <v>316</v>
      </c>
      <c r="W12" s="88" t="s">
        <v>316</v>
      </c>
      <c r="X12" s="14" t="s">
        <v>316</v>
      </c>
      <c r="Y12" s="89" t="s">
        <v>316</v>
      </c>
      <c r="Z12" s="14" t="s">
        <v>316</v>
      </c>
      <c r="AA12" s="90" t="s">
        <v>316</v>
      </c>
      <c r="AB12" s="89" t="s">
        <v>316</v>
      </c>
      <c r="AC12" s="91" t="s">
        <v>316</v>
      </c>
      <c r="AD12" s="90" t="s">
        <v>316</v>
      </c>
      <c r="AE12" s="89" t="s">
        <v>316</v>
      </c>
      <c r="AF12" s="14" t="s">
        <v>316</v>
      </c>
      <c r="AG12" s="89" t="s">
        <v>316</v>
      </c>
      <c r="AH12" s="92" t="s">
        <v>316</v>
      </c>
      <c r="AI12" s="93" t="s">
        <v>316</v>
      </c>
      <c r="AJ12" s="14" t="s">
        <v>316</v>
      </c>
      <c r="AK12" s="14" t="s">
        <v>316</v>
      </c>
      <c r="AL12" s="94" t="s">
        <v>316</v>
      </c>
      <c r="AM12" s="14" t="s">
        <v>316</v>
      </c>
      <c r="AN12" s="14" t="s">
        <v>316</v>
      </c>
      <c r="AO12" s="14" t="s">
        <v>316</v>
      </c>
      <c r="AP12" s="83" t="s">
        <v>316</v>
      </c>
      <c r="AQ12" s="9" t="s">
        <v>316</v>
      </c>
      <c r="AR12" s="90" t="s">
        <v>316</v>
      </c>
      <c r="AS12" s="94" t="s">
        <v>316</v>
      </c>
      <c r="AT12" s="90" t="s">
        <v>316</v>
      </c>
      <c r="AU12" s="14" t="s">
        <v>316</v>
      </c>
      <c r="AV12" s="14" t="s">
        <v>316</v>
      </c>
      <c r="AW12" s="89" t="s">
        <v>316</v>
      </c>
      <c r="AX12" s="9" t="s">
        <v>316</v>
      </c>
      <c r="AY12" s="94" t="s">
        <v>316</v>
      </c>
      <c r="AZ12" s="93" t="s">
        <v>316</v>
      </c>
      <c r="BA12" s="90" t="s">
        <v>316</v>
      </c>
      <c r="BB12" s="9" t="s">
        <v>316</v>
      </c>
      <c r="BC12" s="93" t="s">
        <v>316</v>
      </c>
      <c r="BD12" s="94" t="s">
        <v>316</v>
      </c>
      <c r="BE12" s="9" t="s">
        <v>316</v>
      </c>
      <c r="BF12" s="9" t="s">
        <v>316</v>
      </c>
      <c r="BG12" s="94" t="s">
        <v>316</v>
      </c>
      <c r="BH12" s="9" t="s">
        <v>316</v>
      </c>
    </row>
    <row r="13" spans="1:60" x14ac:dyDescent="0.2">
      <c r="B13" s="13"/>
      <c r="D13" s="14"/>
      <c r="H13" s="14"/>
      <c r="I13" s="14"/>
      <c r="M13" s="14"/>
      <c r="N13" s="14"/>
      <c r="Y13" s="89"/>
      <c r="AB13" s="89"/>
      <c r="AC13" s="91"/>
      <c r="AH13" s="92"/>
      <c r="AI13" s="93"/>
      <c r="AW13" s="89"/>
      <c r="AX13" s="9"/>
      <c r="BE13" s="9"/>
    </row>
    <row r="14" spans="1:60" x14ac:dyDescent="0.2">
      <c r="A14" s="100" t="s">
        <v>175</v>
      </c>
      <c r="B14" s="101" t="s">
        <v>189</v>
      </c>
      <c r="C14" s="36" t="s">
        <v>317</v>
      </c>
      <c r="D14" s="36" t="s">
        <v>318</v>
      </c>
      <c r="E14" s="102" t="s">
        <v>19</v>
      </c>
      <c r="F14" s="103" t="s">
        <v>319</v>
      </c>
      <c r="G14" s="103" t="s">
        <v>320</v>
      </c>
      <c r="H14" s="38" t="s">
        <v>321</v>
      </c>
      <c r="I14" s="38" t="s">
        <v>322</v>
      </c>
      <c r="J14" s="39" t="s">
        <v>323</v>
      </c>
      <c r="K14" s="38" t="s">
        <v>324</v>
      </c>
      <c r="L14" s="103" t="s">
        <v>325</v>
      </c>
      <c r="M14" s="38" t="s">
        <v>326</v>
      </c>
      <c r="N14" s="38" t="s">
        <v>327</v>
      </c>
      <c r="O14" s="39" t="s">
        <v>328</v>
      </c>
      <c r="P14" s="39" t="s">
        <v>329</v>
      </c>
      <c r="Q14" s="38" t="s">
        <v>330</v>
      </c>
      <c r="R14" s="38" t="s">
        <v>331</v>
      </c>
      <c r="S14" s="103" t="s">
        <v>25</v>
      </c>
      <c r="T14" s="39" t="s">
        <v>137</v>
      </c>
      <c r="U14" s="39" t="s">
        <v>332</v>
      </c>
      <c r="V14" s="39" t="s">
        <v>149</v>
      </c>
      <c r="W14" s="104" t="s">
        <v>140</v>
      </c>
      <c r="X14" s="39" t="s">
        <v>147</v>
      </c>
      <c r="Y14" s="105" t="s">
        <v>333</v>
      </c>
      <c r="Z14" s="39" t="s">
        <v>145</v>
      </c>
      <c r="AA14" s="105" t="s">
        <v>144</v>
      </c>
      <c r="AB14" s="105" t="s">
        <v>334</v>
      </c>
      <c r="AC14" s="106" t="s">
        <v>150</v>
      </c>
      <c r="AD14" s="105" t="s">
        <v>335</v>
      </c>
      <c r="AE14" s="105" t="s">
        <v>336</v>
      </c>
      <c r="AF14" s="39" t="s">
        <v>337</v>
      </c>
      <c r="AG14" s="105" t="s">
        <v>338</v>
      </c>
      <c r="AH14" s="104" t="s">
        <v>168</v>
      </c>
      <c r="AI14" s="39" t="s">
        <v>169</v>
      </c>
      <c r="AJ14" s="39" t="s">
        <v>165</v>
      </c>
      <c r="AK14" s="39" t="s">
        <v>167</v>
      </c>
      <c r="AL14" s="107" t="s">
        <v>339</v>
      </c>
      <c r="AM14" s="39" t="s">
        <v>340</v>
      </c>
      <c r="AN14" s="39" t="s">
        <v>341</v>
      </c>
      <c r="AO14" s="39" t="s">
        <v>342</v>
      </c>
      <c r="AP14" s="108" t="s">
        <v>343</v>
      </c>
      <c r="AQ14" s="109" t="s">
        <v>344</v>
      </c>
      <c r="AR14" s="105" t="s">
        <v>345</v>
      </c>
      <c r="AS14" s="107" t="s">
        <v>346</v>
      </c>
      <c r="AT14" s="105" t="s">
        <v>347</v>
      </c>
      <c r="AU14" s="39" t="s">
        <v>348</v>
      </c>
      <c r="AV14" s="39" t="s">
        <v>349</v>
      </c>
      <c r="AW14" s="110" t="s">
        <v>350</v>
      </c>
      <c r="AX14" s="38" t="s">
        <v>351</v>
      </c>
      <c r="AY14" s="111" t="s">
        <v>352</v>
      </c>
      <c r="AZ14" s="112" t="s">
        <v>353</v>
      </c>
      <c r="BA14" s="110" t="s">
        <v>354</v>
      </c>
      <c r="BB14" s="38" t="s">
        <v>355</v>
      </c>
      <c r="BC14" s="112" t="s">
        <v>356</v>
      </c>
      <c r="BD14" s="113" t="s">
        <v>357</v>
      </c>
      <c r="BE14" s="38" t="s">
        <v>358</v>
      </c>
      <c r="BF14" s="38" t="s">
        <v>359</v>
      </c>
      <c r="BG14" s="113" t="s">
        <v>360</v>
      </c>
      <c r="BH14" s="38" t="s">
        <v>361</v>
      </c>
    </row>
    <row r="15" spans="1:60" x14ac:dyDescent="0.2">
      <c r="A15" t="str">
        <f>INDEX(Prioritization!$D:$D,MATCH($B15,Prioritization!$A:$A,0))</f>
        <v>Military</v>
      </c>
      <c r="B15" s="13" t="s">
        <v>193</v>
      </c>
      <c r="C15" t="s">
        <v>315</v>
      </c>
      <c r="D15" s="13" t="s">
        <v>29</v>
      </c>
      <c r="E15" t="str">
        <f t="shared" ref="E15:E78" si="0">$B15&amp;"|"&amp;$C15&amp;"|"&amp;$D15</f>
        <v>_Military Malawi [PQZgU9dagaH]|&lt;01|Female</v>
      </c>
      <c r="F15" s="87"/>
      <c r="G15" s="87">
        <v>1</v>
      </c>
      <c r="H15" s="93">
        <v>1</v>
      </c>
      <c r="I15" s="93">
        <v>0</v>
      </c>
      <c r="J15" s="14">
        <v>0.53391934256069395</v>
      </c>
      <c r="K15" s="93">
        <v>1.0090656811371401E-2</v>
      </c>
      <c r="L15" s="87"/>
      <c r="M15" s="93">
        <v>1</v>
      </c>
      <c r="N15" s="93">
        <v>1</v>
      </c>
      <c r="O15" s="93">
        <f t="shared" ref="O15:O78" si="1">IFERROR(1/(1/MAX($I15,$N15)),"")</f>
        <v>1</v>
      </c>
      <c r="P15" s="14">
        <v>0</v>
      </c>
      <c r="Q15" s="93">
        <v>0</v>
      </c>
      <c r="R15" s="93">
        <f t="shared" ref="R15:R78" si="2">IF(AND(SUM($I15)=0,SUM($O15)=0),"",SUM($O15)-$I15)</f>
        <v>1</v>
      </c>
      <c r="S15" s="114" t="str">
        <f>IF(LEFT($B15,4)="_Mil","",_xlfn.IFNA(ROUND(INDEX(Spectrum!$N:$N,MATCH(RIGHT($B15,13)&amp;"|"&amp;$C15&amp;"|"&amp;$D15&amp;"|"&amp;S$14&amp;"|"&amp;"CY2022Q4",Spectrum!$R:$R,0)),0),""))</f>
        <v/>
      </c>
      <c r="T15" s="9" t="str">
        <f>IF(LEFT($B15,4)="_Mil","",_xlfn.IFNA(ROUND(INDEX(Spectrum!$N:$N,MATCH(RIGHT($B15,13)&amp;"|"&amp;$C15&amp;"|"&amp;$D15&amp;"|"&amp;T$14&amp;"|"&amp;"CY2023Q3",Spectrum!$R:$R,0)),0),""))</f>
        <v/>
      </c>
      <c r="U15" s="9" t="str">
        <f>IF(LEFT($B15,4)="_Mil","",_xlfn.IFNA(ROUND(INDEX(Spectrum!$N:$N,MATCH(RIGHT($B15,13)&amp;"|"&amp;$C15&amp;"|"&amp;$D15&amp;"|"&amp;U$14&amp;"|"&amp;"CY2023Q3",Spectrum!$R:$R,0)),0),""))</f>
        <v/>
      </c>
      <c r="V15" s="93" t="str">
        <f>IF(LEFT($B15,4)="_Mil","",_xlfn.IFNA(ROUND(INDEX(Spectrum!$N:$N,MATCH(RIGHT($B15,13)&amp;"|"&amp;$C15&amp;"|"&amp;$D15&amp;"|"&amp;V$14&amp;"|"&amp;"CY2023Q3",Spectrum!$R:$R,0)),0),""))</f>
        <v/>
      </c>
      <c r="W15" s="115" t="str">
        <f>IF(LEFT($B15,4)="_Mil","",_xlfn.IFNA(INDEX(Spectrum!$N:$N,MATCH(RIGHT($B15,13)&amp;"|"&amp;$C15&amp;"|"&amp;$D15&amp;"|"&amp;W$14&amp;"|"&amp;"CY2023Q3",Spectrum!$R:$R,0)),""))</f>
        <v/>
      </c>
      <c r="X15" s="9" t="str">
        <f>IF(LEFT($B15,4)="_Mil","",_xlfn.IFNA(ROUND(INDEX(Spectrum!$N:$N,MATCH(RIGHT($B15,13)&amp;"|"&amp;$C15&amp;"|"&amp;$D15&amp;"|"&amp;X$14&amp;"|"&amp;"CY2023Q3",Spectrum!$R:$R,0)),0),""))</f>
        <v/>
      </c>
      <c r="Y15" s="89" t="str">
        <f t="shared" ref="Y15:Y78" si="3">IF(OR(SUM($U15)=0,LEFT($B15,4)="_Mil"),"",SUM($X15)/$U15)</f>
        <v/>
      </c>
      <c r="Z15" s="42" t="str">
        <f>IF(LEFT($B15,4)="_Mil","",_xlfn.IFNA(ROUND(INDEX(Spectrum!$N:$N,MATCH(RIGHT($B15,13)&amp;"|"&amp;$C15&amp;"|"&amp;$D15&amp;"|"&amp;Z$14&amp;"|"&amp;"CY2023Q3",Spectrum!$R:$R,0)),0),""))</f>
        <v/>
      </c>
      <c r="AA15" s="89" t="str">
        <f>IF(LEFT($B15,4)="_Mil","",IFERROR(1/(1/INDEX(Spectrum!$N:$N,MATCH(RIGHT($B15,13)&amp;"|"&amp;$C15&amp;"|"&amp;$D15&amp;"|"&amp;AA$14&amp;"|"&amp;"CY2023Q3",Spectrum!$R:$R,0))),IF(SUM($U15)=0,"",SUM($Z15)/$U15)))</f>
        <v/>
      </c>
      <c r="AB15" s="89" t="str">
        <f t="shared" ref="AB15:AB78" si="4">IF(OR(LEFT($B15,4)="_Mil",SUM($X15)=0),"",SUM($Z15)/$X15)</f>
        <v/>
      </c>
      <c r="AC15" s="93" t="str">
        <f>IF(LEFT($B15,4)="_Mil","",_xlfn.IFNA(ROUND(INDEX(Spectrum!$N:$N,MATCH(RIGHT($B15,13)&amp;"|"&amp;$C15&amp;"|"&amp;$D15&amp;"|"&amp;AC$14&amp;"|"&amp;"CY2023Q3",Spectrum!$R:$R,0)),0),""))</f>
        <v/>
      </c>
      <c r="AD15" s="93" t="str">
        <f>IF(LEFT($B15,4)="_Mil","",_xlfn.IFNA(ROUND(INDEX(Spectrum!$N:$N,MATCH(RIGHT($B15,13)&amp;"|"&amp;$C15&amp;"|"&amp;$D15&amp;"|"&amp;AD$14&amp;"|"&amp;"CY2023Q3",Spectrum!$R:$R,0)),0),""))</f>
        <v/>
      </c>
      <c r="AE15" s="89" t="str">
        <f t="shared" ref="AE15:AE78" si="5">IF(OR(LEFT($B15,4)="_Mil",SUM($Z15)=0),"",SUM($AD15)/$Z15)</f>
        <v/>
      </c>
      <c r="AF15" s="9" t="str">
        <f>IF(LEFT($B15,4)="_Mil","",_xlfn.IFNA(ROUND(INDEX(Spectrum!$N:$N,MATCH(RIGHT($B15,13)&amp;"|"&amp;$C15&amp;"|"&amp;$D15&amp;"|"&amp;AF$14&amp;"|"&amp;"CY2023Q3",Spectrum!$R:$R,0)),0),""))</f>
        <v/>
      </c>
      <c r="AG15" s="89" t="str">
        <f t="shared" ref="AG15:AG78" si="6">IF(OR(LEFT($B15,4)="_Mil",SUM($AD15)=0),"",SUM($AF15)/$AD15)</f>
        <v/>
      </c>
      <c r="AH15" s="92" t="str">
        <f>IF(LEFT($B15,4)="_Mil","",_xlfn.IFNA(INDEX(Spectrum!$N:$N,MATCH(RIGHT($B15,13)&amp;"|"&amp;$C15&amp;"|"&amp;$D15&amp;"|"&amp;AH$14&amp;"|"&amp;"CY2023Q3",Spectrum!$R:$R,0)),""))</f>
        <v/>
      </c>
      <c r="AI15" s="93" t="str">
        <f>IF(LEFT($B15,4)="_Mil","",_xlfn.IFNA(ROUND(INDEX(Spectrum!$N:$N,MATCH(RIGHT($B15,13)&amp;"|"&amp;$C15&amp;"|"&amp;$D15&amp;"|"&amp;AI$14&amp;"|"&amp;"CY2023Q3",Spectrum!$R:$R,0)),0),""))</f>
        <v/>
      </c>
      <c r="AJ15" s="9" t="str">
        <f>IF(LEFT($B15,4)="_Mil","",_xlfn.IFNA(ROUND(INDEX(Spectrum!$N:$N,MATCH(RIGHT($B15,13)&amp;"|"&amp;$C15&amp;"|"&amp;$D15&amp;"|"&amp;AI$14&amp;"|"&amp;"CY2023Q3",Spectrum!$R:$R,0)),0),SUM($U15)+SUM($AI15)))</f>
        <v/>
      </c>
      <c r="AK15" s="93" t="str">
        <f>IF(LEFT($B15,4)="_Mil","",_xlfn.IFNA(ROUND(INDEX(Spectrum!$N:$N,MATCH(RIGHT($B15,13)&amp;"|"&amp;$C15&amp;"|"&amp;$D15&amp;"|"&amp;AK$14&amp;"|"&amp;"CY2023Q3",Spectrum!$R:$R,0)),0),""))</f>
        <v/>
      </c>
      <c r="AL15" s="116" t="str">
        <f t="shared" ref="AL15:AL78" si="7">IF(OR(LEFT($B15,4)="_Mil",$C15="&lt;01"),"",MAX(SUM($AA15),90%))</f>
        <v/>
      </c>
      <c r="AM15" s="93" t="str">
        <f t="shared" ref="AM15:AM78" si="8">IF(OR(LEFT($B15,4)="_Mil",$C15="&lt;01"),"",ROUND(SUM($AJ15)*SUM($AL15),0))</f>
        <v/>
      </c>
      <c r="AN15" s="93">
        <f>IF($C15="&lt;01",ROUND(INDEX(EID!$P:$P,MATCH($B15,EID!$B:$B,0))/2,0),"")</f>
        <v>0</v>
      </c>
      <c r="AO15" s="93">
        <f t="shared" ref="AO15:AO78" si="9">IF($C15="&lt;01",SUM($AN15),ROUND(SUM($AM15)*SUM($O15)/IF(SUM($Z15)=0,1,$Z15),0))</f>
        <v>0</v>
      </c>
      <c r="AP15" s="83">
        <f t="shared" ref="AP15:AP78" si="10">IF(OR($F15="",$C15="&lt;01"),$AO15,$F15)</f>
        <v>0</v>
      </c>
      <c r="AQ15" s="9" t="str">
        <f t="shared" ref="AQ15:AQ78" si="11">IF(LEFT($B15,4)="_Mil","",IF(SUM($AP15)=0,SUM($Z15),IF(OR(SUM($Z15)=0,SUM($O15)=0),MAX($AP15,$Z15),$AP15*$Z15/$O15)))</f>
        <v/>
      </c>
      <c r="AR15" s="89" t="str">
        <f t="shared" ref="AR15:AR78" si="12">IF(OR(LEFT($B15,4)="_Mil",SUM($AJ15)=0),"",SUM($AQ15)/$AJ15)</f>
        <v/>
      </c>
      <c r="AS15" s="116" t="str">
        <f t="shared" ref="AS15:AT34" si="13">IF($C15="&lt;01","",98%)</f>
        <v/>
      </c>
      <c r="AT15" s="89" t="str">
        <f t="shared" si="13"/>
        <v/>
      </c>
      <c r="AU15" s="93" t="str">
        <f t="shared" ref="AU15:AU78" si="14">IF($C15="&lt;01","",SUM($AP15)-SUM($O15))</f>
        <v/>
      </c>
      <c r="AV15" s="93">
        <f>IF($C15="&lt;01",ROUND(INDEX(EID!$N:$N,MATCH($B15,EID!$B:$B,0))/2,0),IF(SUM($AT15)=0,"",ROUND((SUM($AP15)-(SUM($O15)*SUM($AS15)))/$AT15,0)))</f>
        <v>0</v>
      </c>
      <c r="AW15" s="89" t="str">
        <f t="shared" ref="AW15:AW78" si="15">IF($C15="&lt;01","",100%)</f>
        <v/>
      </c>
      <c r="AX15" s="9">
        <f t="shared" ref="AX15:AX78" si="16">IF($C15="&lt;01",SUM($AV15),ROUND(SUM($AV15)*SUM($AW15),0))</f>
        <v>0</v>
      </c>
      <c r="AY15" s="116" t="str">
        <f t="shared" ref="AY15:AY78" si="17">IF($C15="&lt;01","",70%)</f>
        <v/>
      </c>
      <c r="AZ15" s="93">
        <f>IF($C15="&lt;01",ROUND(INDEX(EID!$R:$R,MATCH($B15,EID!$B:$B,0))/2,0),ROUND(SUM($O15)+(SUM($AV15)*$AY15),0))</f>
        <v>0</v>
      </c>
      <c r="BA15" s="89" t="str">
        <f t="shared" ref="BA15:BA78" si="18">IF($C15="&lt;01","",95%)</f>
        <v/>
      </c>
      <c r="BB15" s="9">
        <f>IF($C15="&lt;01",ROUND(INDEX(EID!$T:$T,MATCH($B15,EID!$B:$B,0))/2,0),ROUND($AZ15*$BA15,0))</f>
        <v>0</v>
      </c>
      <c r="BC15" s="93" t="str">
        <f t="shared" ref="BC15:BC78" si="19">IF(LEFT($B15,4)="_Mil","",IF(SUM($BB15)=0,SUM($AD15),IF(OR(SUM($AP15)=0,SUM($AQ15)=0),MAX($BB15,$AD15),ROUND($BB15*$AQ15/$AP15,0))))</f>
        <v/>
      </c>
      <c r="BD15" s="116" t="str">
        <f t="shared" ref="BD15:BD78" si="20">IF($C15="&lt;01","",95%)</f>
        <v/>
      </c>
      <c r="BE15" s="9">
        <f>IF($C15="&lt;01",ROUND(INDEX(EID!$V:$V,MATCH($B15,EID!$B:$B,0))/2,0),ROUND($BD15*$BB15,0))</f>
        <v>0</v>
      </c>
      <c r="BF15" s="9" t="str">
        <f t="shared" ref="BF15:BF78" si="21">IF(LEFT($B15,4)="_Mil","",IF(SUM($BE15)=0,SUM($AF15),IF(OR(SUM($AP15)=0,SUM($AQ15)=0),MAX($BE15,$AF15),ROUND($BE15*$AQ15/$AP15,0))))</f>
        <v/>
      </c>
      <c r="BG15" s="116" t="str">
        <f t="shared" ref="BG15:BG78" si="22">IF($C15="&lt;01","",95%)</f>
        <v/>
      </c>
      <c r="BH15" s="9">
        <f>IF($C15="&lt;01",ROUND(INDEX(EID!$L:$L,MATCH($B15,EID!$B:$B,0)),0)/2,IF(SUM($BG15)=0,"",ROUND($AX15/$BG15,0)))</f>
        <v>0</v>
      </c>
    </row>
    <row r="16" spans="1:60" x14ac:dyDescent="0.2">
      <c r="A16" t="str">
        <f>INDEX(Prioritization!$D:$D,MATCH($B16,Prioritization!$A:$A,0))</f>
        <v>Military</v>
      </c>
      <c r="B16" t="s">
        <v>193</v>
      </c>
      <c r="C16" t="s">
        <v>315</v>
      </c>
      <c r="D16" t="s">
        <v>47</v>
      </c>
      <c r="E16" t="str">
        <f t="shared" si="0"/>
        <v>_Military Malawi [PQZgU9dagaH]|&lt;01|Male</v>
      </c>
      <c r="F16" s="14"/>
      <c r="G16" s="14">
        <v>1</v>
      </c>
      <c r="H16" s="14">
        <v>1</v>
      </c>
      <c r="I16" s="14">
        <v>0</v>
      </c>
      <c r="J16" s="14">
        <v>1</v>
      </c>
      <c r="K16" s="14">
        <v>1</v>
      </c>
      <c r="L16" s="14"/>
      <c r="M16" s="14">
        <v>0</v>
      </c>
      <c r="N16" s="14">
        <v>0</v>
      </c>
      <c r="O16" s="93" t="str">
        <f t="shared" si="1"/>
        <v/>
      </c>
      <c r="P16" s="14">
        <v>1</v>
      </c>
      <c r="Q16" s="14">
        <v>0</v>
      </c>
      <c r="R16" s="93" t="str">
        <f t="shared" si="2"/>
        <v/>
      </c>
      <c r="S16" s="14" t="str">
        <f>IF(LEFT($B16,4)="_Mil","",_xlfn.IFNA(ROUND(INDEX(Spectrum!$N:$N,MATCH(RIGHT($B16,13)&amp;"|"&amp;$C16&amp;"|"&amp;$D16&amp;"|"&amp;S$14&amp;"|"&amp;"CY2022Q4",Spectrum!$R:$R,0)),0),""))</f>
        <v/>
      </c>
      <c r="T16" s="42" t="str">
        <f>IF(LEFT($B16,4)="_Mil","",_xlfn.IFNA(ROUND(INDEX(Spectrum!$N:$N,MATCH(RIGHT($B16,13)&amp;"|"&amp;$C16&amp;"|"&amp;$D16&amp;"|"&amp;T$14&amp;"|"&amp;"CY2023Q3",Spectrum!$R:$R,0)),0),""))</f>
        <v/>
      </c>
      <c r="U16" s="42" t="str">
        <f>IF(LEFT($B16,4)="_Mil","",_xlfn.IFNA(ROUND(INDEX(Spectrum!$N:$N,MATCH(RIGHT($B16,13)&amp;"|"&amp;$C16&amp;"|"&amp;$D16&amp;"|"&amp;U$14&amp;"|"&amp;"CY2023Q3",Spectrum!$R:$R,0)),0),""))</f>
        <v/>
      </c>
      <c r="V16" s="14" t="str">
        <f>IF(LEFT($B16,4)="_Mil","",_xlfn.IFNA(ROUND(INDEX(Spectrum!$N:$N,MATCH(RIGHT($B16,13)&amp;"|"&amp;$C16&amp;"|"&amp;$D16&amp;"|"&amp;V$14&amp;"|"&amp;"CY2023Q3",Spectrum!$R:$R,0)),0),""))</f>
        <v/>
      </c>
      <c r="W16" s="115" t="str">
        <f>IF(LEFT($B16,4)="_Mil","",_xlfn.IFNA(INDEX(Spectrum!$N:$N,MATCH(RIGHT($B16,13)&amp;"|"&amp;$C16&amp;"|"&amp;$D16&amp;"|"&amp;W$14&amp;"|"&amp;"CY2023Q3",Spectrum!$R:$R,0)),""))</f>
        <v/>
      </c>
      <c r="X16" s="42" t="str">
        <f>IF(LEFT($B16,4)="_Mil","",_xlfn.IFNA(ROUND(INDEX(Spectrum!$N:$N,MATCH(RIGHT($B16,13)&amp;"|"&amp;$C16&amp;"|"&amp;$D16&amp;"|"&amp;X$14&amp;"|"&amp;"CY2023Q3",Spectrum!$R:$R,0)),0),""))</f>
        <v/>
      </c>
      <c r="Y16" s="89" t="str">
        <f t="shared" si="3"/>
        <v/>
      </c>
      <c r="Z16" s="42" t="str">
        <f>IF(LEFT($B16,4)="_Mil","",_xlfn.IFNA(ROUND(INDEX(Spectrum!$N:$N,MATCH(RIGHT($B16,13)&amp;"|"&amp;$C16&amp;"|"&amp;$D16&amp;"|"&amp;Z$14&amp;"|"&amp;"CY2023Q3",Spectrum!$R:$R,0)),0),""))</f>
        <v/>
      </c>
      <c r="AA16" s="90" t="str">
        <f>IF(LEFT($B16,4)="_Mil","",IFERROR(1/(1/INDEX(Spectrum!$N:$N,MATCH(RIGHT($B16,13)&amp;"|"&amp;$C16&amp;"|"&amp;$D16&amp;"|"&amp;AA$14&amp;"|"&amp;"CY2023Q3",Spectrum!$R:$R,0))),IF(SUM($U16)=0,"",SUM($Z16)/$U16)))</f>
        <v/>
      </c>
      <c r="AB16" s="89" t="str">
        <f t="shared" si="4"/>
        <v/>
      </c>
      <c r="AC16" s="93" t="str">
        <f>IF(LEFT($B16,4)="_Mil","",_xlfn.IFNA(ROUND(INDEX(Spectrum!$N:$N,MATCH(RIGHT($B16,13)&amp;"|"&amp;$C16&amp;"|"&amp;$D16&amp;"|"&amp;AC$14&amp;"|"&amp;"CY2023Q3",Spectrum!$R:$R,0)),0),""))</f>
        <v/>
      </c>
      <c r="AD16" s="14" t="str">
        <f>IF(LEFT($B16,4)="_Mil","",_xlfn.IFNA(ROUND(INDEX(Spectrum!$N:$N,MATCH(RIGHT($B16,13)&amp;"|"&amp;$C16&amp;"|"&amp;$D16&amp;"|"&amp;AD$14&amp;"|"&amp;"CY2023Q3",Spectrum!$R:$R,0)),0),""))</f>
        <v/>
      </c>
      <c r="AE16" s="89" t="str">
        <f t="shared" si="5"/>
        <v/>
      </c>
      <c r="AF16" s="42" t="str">
        <f>IF(LEFT($B16,4)="_Mil","",_xlfn.IFNA(ROUND(INDEX(Spectrum!$N:$N,MATCH(RIGHT($B16,13)&amp;"|"&amp;$C16&amp;"|"&amp;$D16&amp;"|"&amp;AF$14&amp;"|"&amp;"CY2023Q3",Spectrum!$R:$R,0)),0),""))</f>
        <v/>
      </c>
      <c r="AG16" s="89" t="str">
        <f t="shared" si="6"/>
        <v/>
      </c>
      <c r="AH16" s="88" t="str">
        <f>IF(LEFT($B16,4)="_Mil","",_xlfn.IFNA(INDEX(Spectrum!$N:$N,MATCH(RIGHT($B16,13)&amp;"|"&amp;$C16&amp;"|"&amp;$D16&amp;"|"&amp;AH$14&amp;"|"&amp;"CY2023Q3",Spectrum!$R:$R,0)),""))</f>
        <v/>
      </c>
      <c r="AI16" s="14" t="str">
        <f>IF(LEFT($B16,4)="_Mil","",_xlfn.IFNA(ROUND(INDEX(Spectrum!$N:$N,MATCH(RIGHT($B16,13)&amp;"|"&amp;$C16&amp;"|"&amp;$D16&amp;"|"&amp;AI$14&amp;"|"&amp;"CY2023Q3",Spectrum!$R:$R,0)),0),""))</f>
        <v/>
      </c>
      <c r="AJ16" s="9" t="str">
        <f>IF(LEFT($B16,4)="_Mil","",_xlfn.IFNA(ROUND(INDEX(Spectrum!$N:$N,MATCH(RIGHT($B16,13)&amp;"|"&amp;$C16&amp;"|"&amp;$D16&amp;"|"&amp;AI$14&amp;"|"&amp;"CY2023Q3",Spectrum!$R:$R,0)),0),SUM($U16)+SUM($AI16)))</f>
        <v/>
      </c>
      <c r="AK16" s="93" t="str">
        <f>IF(LEFT($B16,4)="_Mil","",_xlfn.IFNA(ROUND(INDEX(Spectrum!$N:$N,MATCH(RIGHT($B16,13)&amp;"|"&amp;$C16&amp;"|"&amp;$D16&amp;"|"&amp;AK$14&amp;"|"&amp;"CY2023Q3",Spectrum!$R:$R,0)),0),""))</f>
        <v/>
      </c>
      <c r="AL16" s="116" t="str">
        <f t="shared" si="7"/>
        <v/>
      </c>
      <c r="AM16" s="93" t="str">
        <f t="shared" si="8"/>
        <v/>
      </c>
      <c r="AN16" s="93">
        <f>IF($C16="&lt;01",ROUND(INDEX(EID!$P:$P,MATCH($B16,EID!$B:$B,0))/2,0),"")</f>
        <v>0</v>
      </c>
      <c r="AO16" s="93">
        <f t="shared" si="9"/>
        <v>0</v>
      </c>
      <c r="AP16" s="83">
        <f t="shared" si="10"/>
        <v>0</v>
      </c>
      <c r="AQ16" s="9" t="str">
        <f t="shared" si="11"/>
        <v/>
      </c>
      <c r="AR16" s="89" t="str">
        <f t="shared" si="12"/>
        <v/>
      </c>
      <c r="AS16" s="116" t="str">
        <f t="shared" si="13"/>
        <v/>
      </c>
      <c r="AT16" s="89" t="str">
        <f t="shared" si="13"/>
        <v/>
      </c>
      <c r="AU16" s="93" t="str">
        <f t="shared" si="14"/>
        <v/>
      </c>
      <c r="AV16" s="93">
        <f>IF($C16="&lt;01",ROUND(INDEX(EID!$N:$N,MATCH($B16,EID!$B:$B,0))/2,0),IF(SUM($AT16)=0,"",ROUND((SUM($AP16)-(SUM($O16)*SUM($AS16)))/$AT16,0)))</f>
        <v>0</v>
      </c>
      <c r="AW16" s="89" t="str">
        <f t="shared" si="15"/>
        <v/>
      </c>
      <c r="AX16" s="9">
        <f t="shared" si="16"/>
        <v>0</v>
      </c>
      <c r="AY16" s="116" t="str">
        <f t="shared" si="17"/>
        <v/>
      </c>
      <c r="AZ16" s="93">
        <f>IF($C16="&lt;01",ROUND(INDEX(EID!$R:$R,MATCH($B16,EID!$B:$B,0))/2,0),ROUND(SUM($O16)+(SUM($AV16)*$AY16),0))</f>
        <v>0</v>
      </c>
      <c r="BA16" s="89" t="str">
        <f t="shared" si="18"/>
        <v/>
      </c>
      <c r="BB16" s="9">
        <f>IF($C16="&lt;01",ROUND(INDEX(EID!$T:$T,MATCH($B16,EID!$B:$B,0))/2,0),ROUND($AZ16*$BA16,0))</f>
        <v>0</v>
      </c>
      <c r="BC16" s="93" t="str">
        <f t="shared" si="19"/>
        <v/>
      </c>
      <c r="BD16" s="90" t="str">
        <f t="shared" si="20"/>
        <v/>
      </c>
      <c r="BE16" s="9">
        <f>IF($C16="&lt;01",ROUND(INDEX(EID!$V:$V,MATCH($B16,EID!$B:$B,0))/2,0),ROUND($BD16*$BB16,0))</f>
        <v>0</v>
      </c>
      <c r="BF16" s="9" t="str">
        <f t="shared" si="21"/>
        <v/>
      </c>
      <c r="BG16" s="116" t="str">
        <f t="shared" si="22"/>
        <v/>
      </c>
      <c r="BH16" s="9">
        <f>IF($C16="&lt;01",ROUND(INDEX(EID!$L:$L,MATCH($B16,EID!$B:$B,0)),0)/2,IF(SUM($BG16)=0,"",ROUND($AX16/$BG16,0)))</f>
        <v>0</v>
      </c>
    </row>
    <row r="17" spans="1:60" x14ac:dyDescent="0.2">
      <c r="A17" t="str">
        <f>INDEX(Prioritization!$D:$D,MATCH($B17,Prioritization!$A:$A,0))</f>
        <v>Military</v>
      </c>
      <c r="B17" t="s">
        <v>193</v>
      </c>
      <c r="C17" t="s">
        <v>362</v>
      </c>
      <c r="D17" t="s">
        <v>29</v>
      </c>
      <c r="E17" t="str">
        <f t="shared" si="0"/>
        <v>_Military Malawi [PQZgU9dagaH]|01-09|Female</v>
      </c>
      <c r="F17" s="14"/>
      <c r="G17" s="14"/>
      <c r="H17" s="14"/>
      <c r="I17" s="14"/>
      <c r="J17" s="14"/>
      <c r="K17" s="14"/>
      <c r="L17" s="14"/>
      <c r="M17" s="14"/>
      <c r="N17" s="14"/>
      <c r="O17" s="14" t="str">
        <f t="shared" si="1"/>
        <v/>
      </c>
      <c r="P17" s="14"/>
      <c r="Q17" s="14"/>
      <c r="R17" s="14" t="str">
        <f t="shared" si="2"/>
        <v/>
      </c>
      <c r="S17" s="14" t="str">
        <f>IF(LEFT($B17,4)="_Mil","",_xlfn.IFNA(ROUND(INDEX(Spectrum!$N:$N,MATCH(RIGHT($B17,13)&amp;"|"&amp;$C17&amp;"|"&amp;$D17&amp;"|"&amp;S$14&amp;"|"&amp;"CY2022Q4",Spectrum!$R:$R,0)),0),""))</f>
        <v/>
      </c>
      <c r="T17" s="42" t="str">
        <f>IF(LEFT($B17,4)="_Mil","",_xlfn.IFNA(ROUND(INDEX(Spectrum!$N:$N,MATCH(RIGHT($B17,13)&amp;"|"&amp;$C17&amp;"|"&amp;$D17&amp;"|"&amp;T$14&amp;"|"&amp;"CY2023Q3",Spectrum!$R:$R,0)),0),""))</f>
        <v/>
      </c>
      <c r="U17" s="42" t="str">
        <f>IF(LEFT($B17,4)="_Mil","",_xlfn.IFNA(ROUND(INDEX(Spectrum!$N:$N,MATCH(RIGHT($B17,13)&amp;"|"&amp;$C17&amp;"|"&amp;$D17&amp;"|"&amp;U$14&amp;"|"&amp;"CY2023Q3",Spectrum!$R:$R,0)),0),""))</f>
        <v/>
      </c>
      <c r="V17" s="14" t="str">
        <f>IF(LEFT($B17,4)="_Mil","",_xlfn.IFNA(ROUND(INDEX(Spectrum!$N:$N,MATCH(RIGHT($B17,13)&amp;"|"&amp;$C17&amp;"|"&amp;$D17&amp;"|"&amp;V$14&amp;"|"&amp;"CY2023Q3",Spectrum!$R:$R,0)),0),""))</f>
        <v/>
      </c>
      <c r="W17" s="115" t="str">
        <f>IF(LEFT($B17,4)="_Mil","",_xlfn.IFNA(INDEX(Spectrum!$N:$N,MATCH(RIGHT($B17,13)&amp;"|"&amp;$C17&amp;"|"&amp;$D17&amp;"|"&amp;W$14&amp;"|"&amp;"CY2023Q3",Spectrum!$R:$R,0)),""))</f>
        <v/>
      </c>
      <c r="X17" s="42" t="str">
        <f>IF(LEFT($B17,4)="_Mil","",_xlfn.IFNA(ROUND(INDEX(Spectrum!$N:$N,MATCH(RIGHT($B17,13)&amp;"|"&amp;$C17&amp;"|"&amp;$D17&amp;"|"&amp;X$14&amp;"|"&amp;"CY2023Q3",Spectrum!$R:$R,0)),0),""))</f>
        <v/>
      </c>
      <c r="Y17" s="90" t="str">
        <f t="shared" si="3"/>
        <v/>
      </c>
      <c r="Z17" s="42" t="str">
        <f>IF(LEFT($B17,4)="_Mil","",_xlfn.IFNA(ROUND(INDEX(Spectrum!$N:$N,MATCH(RIGHT($B17,13)&amp;"|"&amp;$C17&amp;"|"&amp;$D17&amp;"|"&amp;Z$14&amp;"|"&amp;"CY2023Q3",Spectrum!$R:$R,0)),0),""))</f>
        <v/>
      </c>
      <c r="AA17" s="90" t="str">
        <f>IF(LEFT($B17,4)="_Mil","",IFERROR(1/(1/INDEX(Spectrum!$N:$N,MATCH(RIGHT($B17,13)&amp;"|"&amp;$C17&amp;"|"&amp;$D17&amp;"|"&amp;AA$14&amp;"|"&amp;"CY2023Q3",Spectrum!$R:$R,0))),IF(SUM($U17)=0,"",SUM($Z17)/$U17)))</f>
        <v/>
      </c>
      <c r="AB17" s="90" t="str">
        <f t="shared" si="4"/>
        <v/>
      </c>
      <c r="AC17" s="14" t="str">
        <f>IF(LEFT($B17,4)="_Mil","",_xlfn.IFNA(ROUND(INDEX(Spectrum!$N:$N,MATCH(RIGHT($B17,13)&amp;"|"&amp;$C17&amp;"|"&amp;$D17&amp;"|"&amp;AC$14&amp;"|"&amp;"CY2023Q3",Spectrum!$R:$R,0)),0),""))</f>
        <v/>
      </c>
      <c r="AD17" s="14" t="str">
        <f>IF(LEFT($B17,4)="_Mil","",_xlfn.IFNA(ROUND(INDEX(Spectrum!$N:$N,MATCH(RIGHT($B17,13)&amp;"|"&amp;$C17&amp;"|"&amp;$D17&amp;"|"&amp;AD$14&amp;"|"&amp;"CY2023Q3",Spectrum!$R:$R,0)),0),""))</f>
        <v/>
      </c>
      <c r="AE17" s="90" t="str">
        <f t="shared" si="5"/>
        <v/>
      </c>
      <c r="AF17" s="42" t="str">
        <f>IF(LEFT($B17,4)="_Mil","",_xlfn.IFNA(ROUND(INDEX(Spectrum!$N:$N,MATCH(RIGHT($B17,13)&amp;"|"&amp;$C17&amp;"|"&amp;$D17&amp;"|"&amp;AF$14&amp;"|"&amp;"CY2023Q3",Spectrum!$R:$R,0)),0),""))</f>
        <v/>
      </c>
      <c r="AG17" s="90" t="str">
        <f t="shared" si="6"/>
        <v/>
      </c>
      <c r="AH17" s="88" t="str">
        <f>IF(LEFT($B17,4)="_Mil","",_xlfn.IFNA(INDEX(Spectrum!$N:$N,MATCH(RIGHT($B17,13)&amp;"|"&amp;$C17&amp;"|"&amp;$D17&amp;"|"&amp;AH$14&amp;"|"&amp;"CY2023Q3",Spectrum!$R:$R,0)),""))</f>
        <v/>
      </c>
      <c r="AI17" s="14" t="str">
        <f>IF(LEFT($B17,4)="_Mil","",_xlfn.IFNA(ROUND(INDEX(Spectrum!$N:$N,MATCH(RIGHT($B17,13)&amp;"|"&amp;$C17&amp;"|"&amp;$D17&amp;"|"&amp;AI$14&amp;"|"&amp;"CY2023Q3",Spectrum!$R:$R,0)),0),""))</f>
        <v/>
      </c>
      <c r="AJ17" s="42" t="str">
        <f>IF(LEFT($B17,4)="_Mil","",_xlfn.IFNA(ROUND(INDEX(Spectrum!$N:$N,MATCH(RIGHT($B17,13)&amp;"|"&amp;$C17&amp;"|"&amp;$D17&amp;"|"&amp;AI$14&amp;"|"&amp;"CY2023Q3",Spectrum!$R:$R,0)),0),SUM($U17)+SUM($AI17)))</f>
        <v/>
      </c>
      <c r="AK17" s="14" t="str">
        <f>IF(LEFT($B17,4)="_Mil","",_xlfn.IFNA(ROUND(INDEX(Spectrum!$N:$N,MATCH(RIGHT($B17,13)&amp;"|"&amp;$C17&amp;"|"&amp;$D17&amp;"|"&amp;AK$14&amp;"|"&amp;"CY2023Q3",Spectrum!$R:$R,0)),0),""))</f>
        <v/>
      </c>
      <c r="AL17" s="90" t="str">
        <f t="shared" si="7"/>
        <v/>
      </c>
      <c r="AM17" s="14" t="str">
        <f t="shared" si="8"/>
        <v/>
      </c>
      <c r="AN17" s="14" t="str">
        <f>IF($C17="&lt;01",ROUND(INDEX(EID!$P:$P,MATCH($B17,EID!$B:$B,0))/2,0),"")</f>
        <v/>
      </c>
      <c r="AO17" s="14">
        <f t="shared" si="9"/>
        <v>0</v>
      </c>
      <c r="AP17" s="42">
        <f t="shared" si="10"/>
        <v>0</v>
      </c>
      <c r="AQ17" s="42" t="str">
        <f t="shared" si="11"/>
        <v/>
      </c>
      <c r="AR17" s="90" t="str">
        <f t="shared" si="12"/>
        <v/>
      </c>
      <c r="AS17" s="90">
        <f t="shared" si="13"/>
        <v>0.98</v>
      </c>
      <c r="AT17" s="90">
        <f t="shared" si="13"/>
        <v>0.98</v>
      </c>
      <c r="AU17" s="14">
        <f t="shared" si="14"/>
        <v>0</v>
      </c>
      <c r="AV17" s="14">
        <f>IF($C17="&lt;01",ROUND(INDEX(EID!$N:$N,MATCH($B17,EID!$B:$B,0))/2,0),IF(SUM($AT17)=0,"",ROUND((SUM($AP17)-(SUM($O17)*SUM($AS17)))/$AT17,0)))</f>
        <v>0</v>
      </c>
      <c r="AW17" s="90">
        <f t="shared" si="15"/>
        <v>1</v>
      </c>
      <c r="AX17" s="42">
        <f t="shared" si="16"/>
        <v>0</v>
      </c>
      <c r="AY17" s="116">
        <f t="shared" si="17"/>
        <v>0.7</v>
      </c>
      <c r="AZ17" s="93">
        <f>IF($C17="&lt;01",ROUND(INDEX(EID!$R:$R,MATCH($B17,EID!$B:$B,0))/2,0),ROUND(SUM($O17)+(SUM($AV17)*$AY17),0))</f>
        <v>0</v>
      </c>
      <c r="BA17" s="89">
        <f t="shared" si="18"/>
        <v>0.95</v>
      </c>
      <c r="BB17" s="9">
        <f>IF($C17="&lt;01",ROUND(INDEX(EID!$T:$T,MATCH($B17,EID!$B:$B,0))/2,0),ROUND($AZ17*$BA17,0))</f>
        <v>0</v>
      </c>
      <c r="BC17" s="93" t="str">
        <f t="shared" si="19"/>
        <v/>
      </c>
      <c r="BD17" s="90">
        <f t="shared" si="20"/>
        <v>0.95</v>
      </c>
      <c r="BE17" s="42">
        <f>IF($C17="&lt;01",ROUND(INDEX(EID!$V:$V,MATCH($B17,EID!$B:$B,0))/2,0),ROUND($BD17*$BB17,0))</f>
        <v>0</v>
      </c>
      <c r="BF17" s="42" t="str">
        <f t="shared" si="21"/>
        <v/>
      </c>
      <c r="BG17" s="116">
        <f t="shared" si="22"/>
        <v>0.95</v>
      </c>
      <c r="BH17" s="9">
        <f>IF($C17="&lt;01",ROUND(INDEX(EID!$L:$L,MATCH($B17,EID!$B:$B,0)),0)/2,IF(SUM($BG17)=0,"",ROUND($AX17/$BG17,0)))</f>
        <v>0</v>
      </c>
    </row>
    <row r="18" spans="1:60" x14ac:dyDescent="0.2">
      <c r="A18" t="str">
        <f>INDEX(Prioritization!$D:$D,MATCH($B18,Prioritization!$A:$A,0))</f>
        <v>Military</v>
      </c>
      <c r="B18" t="s">
        <v>193</v>
      </c>
      <c r="C18" t="s">
        <v>362</v>
      </c>
      <c r="D18" t="s">
        <v>47</v>
      </c>
      <c r="E18" t="str">
        <f t="shared" si="0"/>
        <v>_Military Malawi [PQZgU9dagaH]|01-09|Male</v>
      </c>
      <c r="F18" s="14"/>
      <c r="G18" s="14"/>
      <c r="H18" s="14"/>
      <c r="I18" s="14"/>
      <c r="J18" s="14"/>
      <c r="K18" s="14"/>
      <c r="L18" s="14"/>
      <c r="M18" s="14"/>
      <c r="N18" s="14"/>
      <c r="O18" s="14" t="str">
        <f t="shared" si="1"/>
        <v/>
      </c>
      <c r="P18" s="14"/>
      <c r="Q18" s="14"/>
      <c r="R18" s="14" t="str">
        <f t="shared" si="2"/>
        <v/>
      </c>
      <c r="S18" s="14" t="str">
        <f>IF(LEFT($B18,4)="_Mil","",_xlfn.IFNA(ROUND(INDEX(Spectrum!$N:$N,MATCH(RIGHT($B18,13)&amp;"|"&amp;$C18&amp;"|"&amp;$D18&amp;"|"&amp;S$14&amp;"|"&amp;"CY2022Q4",Spectrum!$R:$R,0)),0),""))</f>
        <v/>
      </c>
      <c r="T18" s="42" t="str">
        <f>IF(LEFT($B18,4)="_Mil","",_xlfn.IFNA(ROUND(INDEX(Spectrum!$N:$N,MATCH(RIGHT($B18,13)&amp;"|"&amp;$C18&amp;"|"&amp;$D18&amp;"|"&amp;T$14&amp;"|"&amp;"CY2023Q3",Spectrum!$R:$R,0)),0),""))</f>
        <v/>
      </c>
      <c r="U18" s="42" t="str">
        <f>IF(LEFT($B18,4)="_Mil","",_xlfn.IFNA(ROUND(INDEX(Spectrum!$N:$N,MATCH(RIGHT($B18,13)&amp;"|"&amp;$C18&amp;"|"&amp;$D18&amp;"|"&amp;U$14&amp;"|"&amp;"CY2023Q3",Spectrum!$R:$R,0)),0),""))</f>
        <v/>
      </c>
      <c r="V18" s="14" t="str">
        <f>IF(LEFT($B18,4)="_Mil","",_xlfn.IFNA(ROUND(INDEX(Spectrum!$N:$N,MATCH(RIGHT($B18,13)&amp;"|"&amp;$C18&amp;"|"&amp;$D18&amp;"|"&amp;V$14&amp;"|"&amp;"CY2023Q3",Spectrum!$R:$R,0)),0),""))</f>
        <v/>
      </c>
      <c r="W18" s="115" t="str">
        <f>IF(LEFT($B18,4)="_Mil","",_xlfn.IFNA(INDEX(Spectrum!$N:$N,MATCH(RIGHT($B18,13)&amp;"|"&amp;$C18&amp;"|"&amp;$D18&amp;"|"&amp;W$14&amp;"|"&amp;"CY2023Q3",Spectrum!$R:$R,0)),""))</f>
        <v/>
      </c>
      <c r="X18" s="42" t="str">
        <f>IF(LEFT($B18,4)="_Mil","",_xlfn.IFNA(ROUND(INDEX(Spectrum!$N:$N,MATCH(RIGHT($B18,13)&amp;"|"&amp;$C18&amp;"|"&amp;$D18&amp;"|"&amp;X$14&amp;"|"&amp;"CY2023Q3",Spectrum!$R:$R,0)),0),""))</f>
        <v/>
      </c>
      <c r="Y18" s="90" t="str">
        <f t="shared" si="3"/>
        <v/>
      </c>
      <c r="Z18" s="42" t="str">
        <f>IF(LEFT($B18,4)="_Mil","",_xlfn.IFNA(ROUND(INDEX(Spectrum!$N:$N,MATCH(RIGHT($B18,13)&amp;"|"&amp;$C18&amp;"|"&amp;$D18&amp;"|"&amp;Z$14&amp;"|"&amp;"CY2023Q3",Spectrum!$R:$R,0)),0),""))</f>
        <v/>
      </c>
      <c r="AA18" s="90" t="str">
        <f>IF(LEFT($B18,4)="_Mil","",IFERROR(1/(1/INDEX(Spectrum!$N:$N,MATCH(RIGHT($B18,13)&amp;"|"&amp;$C18&amp;"|"&amp;$D18&amp;"|"&amp;AA$14&amp;"|"&amp;"CY2023Q3",Spectrum!$R:$R,0))),IF(SUM($U18)=0,"",SUM($Z18)/$U18)))</f>
        <v/>
      </c>
      <c r="AB18" s="90" t="str">
        <f t="shared" si="4"/>
        <v/>
      </c>
      <c r="AC18" s="14" t="str">
        <f>IF(LEFT($B18,4)="_Mil","",_xlfn.IFNA(ROUND(INDEX(Spectrum!$N:$N,MATCH(RIGHT($B18,13)&amp;"|"&amp;$C18&amp;"|"&amp;$D18&amp;"|"&amp;AC$14&amp;"|"&amp;"CY2023Q3",Spectrum!$R:$R,0)),0),""))</f>
        <v/>
      </c>
      <c r="AD18" s="14" t="str">
        <f>IF(LEFT($B18,4)="_Mil","",_xlfn.IFNA(ROUND(INDEX(Spectrum!$N:$N,MATCH(RIGHT($B18,13)&amp;"|"&amp;$C18&amp;"|"&amp;$D18&amp;"|"&amp;AD$14&amp;"|"&amp;"CY2023Q3",Spectrum!$R:$R,0)),0),""))</f>
        <v/>
      </c>
      <c r="AE18" s="90" t="str">
        <f t="shared" si="5"/>
        <v/>
      </c>
      <c r="AF18" s="42" t="str">
        <f>IF(LEFT($B18,4)="_Mil","",_xlfn.IFNA(ROUND(INDEX(Spectrum!$N:$N,MATCH(RIGHT($B18,13)&amp;"|"&amp;$C18&amp;"|"&amp;$D18&amp;"|"&amp;AF$14&amp;"|"&amp;"CY2023Q3",Spectrum!$R:$R,0)),0),""))</f>
        <v/>
      </c>
      <c r="AG18" s="90" t="str">
        <f t="shared" si="6"/>
        <v/>
      </c>
      <c r="AH18" s="88" t="str">
        <f>IF(LEFT($B18,4)="_Mil","",_xlfn.IFNA(INDEX(Spectrum!$N:$N,MATCH(RIGHT($B18,13)&amp;"|"&amp;$C18&amp;"|"&amp;$D18&amp;"|"&amp;AH$14&amp;"|"&amp;"CY2023Q3",Spectrum!$R:$R,0)),""))</f>
        <v/>
      </c>
      <c r="AI18" s="14" t="str">
        <f>IF(LEFT($B18,4)="_Mil","",_xlfn.IFNA(ROUND(INDEX(Spectrum!$N:$N,MATCH(RIGHT($B18,13)&amp;"|"&amp;$C18&amp;"|"&amp;$D18&amp;"|"&amp;AI$14&amp;"|"&amp;"CY2023Q3",Spectrum!$R:$R,0)),0),""))</f>
        <v/>
      </c>
      <c r="AJ18" s="42" t="str">
        <f>IF(LEFT($B18,4)="_Mil","",_xlfn.IFNA(ROUND(INDEX(Spectrum!$N:$N,MATCH(RIGHT($B18,13)&amp;"|"&amp;$C18&amp;"|"&amp;$D18&amp;"|"&amp;AI$14&amp;"|"&amp;"CY2023Q3",Spectrum!$R:$R,0)),0),SUM($U18)+SUM($AI18)))</f>
        <v/>
      </c>
      <c r="AK18" s="14" t="str">
        <f>IF(LEFT($B18,4)="_Mil","",_xlfn.IFNA(ROUND(INDEX(Spectrum!$N:$N,MATCH(RIGHT($B18,13)&amp;"|"&amp;$C18&amp;"|"&amp;$D18&amp;"|"&amp;AK$14&amp;"|"&amp;"CY2023Q3",Spectrum!$R:$R,0)),0),""))</f>
        <v/>
      </c>
      <c r="AL18" s="90" t="str">
        <f t="shared" si="7"/>
        <v/>
      </c>
      <c r="AM18" s="14" t="str">
        <f t="shared" si="8"/>
        <v/>
      </c>
      <c r="AN18" s="14" t="str">
        <f>IF($C18="&lt;01",ROUND(INDEX(EID!$P:$P,MATCH($B18,EID!$B:$B,0))/2,0),"")</f>
        <v/>
      </c>
      <c r="AO18" s="14">
        <f t="shared" si="9"/>
        <v>0</v>
      </c>
      <c r="AP18" s="42">
        <f t="shared" si="10"/>
        <v>0</v>
      </c>
      <c r="AQ18" s="42" t="str">
        <f t="shared" si="11"/>
        <v/>
      </c>
      <c r="AR18" s="90" t="str">
        <f t="shared" si="12"/>
        <v/>
      </c>
      <c r="AS18" s="90">
        <f t="shared" si="13"/>
        <v>0.98</v>
      </c>
      <c r="AT18" s="90">
        <f t="shared" si="13"/>
        <v>0.98</v>
      </c>
      <c r="AU18" s="14">
        <f t="shared" si="14"/>
        <v>0</v>
      </c>
      <c r="AV18" s="14">
        <f>IF($C18="&lt;01",ROUND(INDEX(EID!$N:$N,MATCH($B18,EID!$B:$B,0))/2,0),IF(SUM($AT18)=0,"",ROUND((SUM($AP18)-(SUM($O18)*SUM($AS18)))/$AT18,0)))</f>
        <v>0</v>
      </c>
      <c r="AW18" s="90">
        <f t="shared" si="15"/>
        <v>1</v>
      </c>
      <c r="AX18" s="42">
        <f t="shared" si="16"/>
        <v>0</v>
      </c>
      <c r="AY18" s="116">
        <f t="shared" si="17"/>
        <v>0.7</v>
      </c>
      <c r="AZ18" s="93">
        <f>IF($C18="&lt;01",ROUND(INDEX(EID!$R:$R,MATCH($B18,EID!$B:$B,0))/2,0),ROUND(SUM($O18)+(SUM($AV18)*$AY18),0))</f>
        <v>0</v>
      </c>
      <c r="BA18" s="89">
        <f t="shared" si="18"/>
        <v>0.95</v>
      </c>
      <c r="BB18" s="9">
        <f>IF($C18="&lt;01",ROUND(INDEX(EID!$T:$T,MATCH($B18,EID!$B:$B,0))/2,0),ROUND($AZ18*$BA18,0))</f>
        <v>0</v>
      </c>
      <c r="BC18" s="93" t="str">
        <f t="shared" si="19"/>
        <v/>
      </c>
      <c r="BD18" s="90">
        <f t="shared" si="20"/>
        <v>0.95</v>
      </c>
      <c r="BE18" s="42">
        <f>IF($C18="&lt;01",ROUND(INDEX(EID!$V:$V,MATCH($B18,EID!$B:$B,0))/2,0),ROUND($BD18*$BB18,0))</f>
        <v>0</v>
      </c>
      <c r="BF18" s="42" t="str">
        <f t="shared" si="21"/>
        <v/>
      </c>
      <c r="BG18" s="116">
        <f t="shared" si="22"/>
        <v>0.95</v>
      </c>
      <c r="BH18" s="9">
        <f>IF($C18="&lt;01",ROUND(INDEX(EID!$L:$L,MATCH($B18,EID!$B:$B,0)),0)/2,IF(SUM($BG18)=0,"",ROUND($AX18/$BG18,0)))</f>
        <v>0</v>
      </c>
    </row>
    <row r="19" spans="1:60" x14ac:dyDescent="0.2">
      <c r="A19" t="str">
        <f>INDEX(Prioritization!$D:$D,MATCH($B19,Prioritization!$A:$A,0))</f>
        <v>Military</v>
      </c>
      <c r="B19" t="s">
        <v>193</v>
      </c>
      <c r="C19" t="s">
        <v>363</v>
      </c>
      <c r="D19" t="s">
        <v>29</v>
      </c>
      <c r="E19" t="str">
        <f t="shared" si="0"/>
        <v>_Military Malawi [PQZgU9dagaH]|10-14|Female</v>
      </c>
      <c r="F19" s="14"/>
      <c r="G19" s="14">
        <v>7</v>
      </c>
      <c r="H19" s="14">
        <v>3</v>
      </c>
      <c r="I19" s="14">
        <v>6</v>
      </c>
      <c r="J19" s="14">
        <v>8</v>
      </c>
      <c r="K19" s="14">
        <v>9</v>
      </c>
      <c r="L19" s="14">
        <v>2</v>
      </c>
      <c r="M19" s="14">
        <v>9</v>
      </c>
      <c r="N19" s="14">
        <v>45</v>
      </c>
      <c r="O19" s="14">
        <f t="shared" si="1"/>
        <v>45</v>
      </c>
      <c r="P19" s="14">
        <v>24</v>
      </c>
      <c r="Q19" s="14">
        <v>45</v>
      </c>
      <c r="R19" s="14">
        <f t="shared" si="2"/>
        <v>39</v>
      </c>
      <c r="S19" s="14" t="str">
        <f>IF(LEFT($B19,4)="_Mil","",_xlfn.IFNA(ROUND(INDEX(Spectrum!$N:$N,MATCH(RIGHT($B19,13)&amp;"|"&amp;$C19&amp;"|"&amp;$D19&amp;"|"&amp;S$14&amp;"|"&amp;"CY2022Q4",Spectrum!$R:$R,0)),0),""))</f>
        <v/>
      </c>
      <c r="T19" s="42" t="str">
        <f>IF(LEFT($B19,4)="_Mil","",_xlfn.IFNA(ROUND(INDEX(Spectrum!$N:$N,MATCH(RIGHT($B19,13)&amp;"|"&amp;$C19&amp;"|"&amp;$D19&amp;"|"&amp;T$14&amp;"|"&amp;"CY2023Q3",Spectrum!$R:$R,0)),0),""))</f>
        <v/>
      </c>
      <c r="U19" s="42" t="str">
        <f>IF(LEFT($B19,4)="_Mil","",_xlfn.IFNA(ROUND(INDEX(Spectrum!$N:$N,MATCH(RIGHT($B19,13)&amp;"|"&amp;$C19&amp;"|"&amp;$D19&amp;"|"&amp;U$14&amp;"|"&amp;"CY2023Q3",Spectrum!$R:$R,0)),0),""))</f>
        <v/>
      </c>
      <c r="V19" s="14" t="str">
        <f>IF(LEFT($B19,4)="_Mil","",_xlfn.IFNA(ROUND(INDEX(Spectrum!$N:$N,MATCH(RIGHT($B19,13)&amp;"|"&amp;$C19&amp;"|"&amp;$D19&amp;"|"&amp;V$14&amp;"|"&amp;"CY2023Q3",Spectrum!$R:$R,0)),0),""))</f>
        <v/>
      </c>
      <c r="W19" s="115" t="str">
        <f>IF(LEFT($B19,4)="_Mil","",_xlfn.IFNA(INDEX(Spectrum!$N:$N,MATCH(RIGHT($B19,13)&amp;"|"&amp;$C19&amp;"|"&amp;$D19&amp;"|"&amp;W$14&amp;"|"&amp;"CY2023Q3",Spectrum!$R:$R,0)),""))</f>
        <v/>
      </c>
      <c r="X19" s="42" t="str">
        <f>IF(LEFT($B19,4)="_Mil","",_xlfn.IFNA(ROUND(INDEX(Spectrum!$N:$N,MATCH(RIGHT($B19,13)&amp;"|"&amp;$C19&amp;"|"&amp;$D19&amp;"|"&amp;X$14&amp;"|"&amp;"CY2023Q3",Spectrum!$R:$R,0)),0),""))</f>
        <v/>
      </c>
      <c r="Y19" s="90" t="str">
        <f t="shared" si="3"/>
        <v/>
      </c>
      <c r="Z19" s="42" t="str">
        <f>IF(LEFT($B19,4)="_Mil","",_xlfn.IFNA(ROUND(INDEX(Spectrum!$N:$N,MATCH(RIGHT($B19,13)&amp;"|"&amp;$C19&amp;"|"&amp;$D19&amp;"|"&amp;Z$14&amp;"|"&amp;"CY2023Q3",Spectrum!$R:$R,0)),0),""))</f>
        <v/>
      </c>
      <c r="AA19" s="90" t="str">
        <f>IF(LEFT($B19,4)="_Mil","",IFERROR(1/(1/INDEX(Spectrum!$N:$N,MATCH(RIGHT($B19,13)&amp;"|"&amp;$C19&amp;"|"&amp;$D19&amp;"|"&amp;AA$14&amp;"|"&amp;"CY2023Q3",Spectrum!$R:$R,0))),IF(SUM($U19)=0,"",SUM($Z19)/$U19)))</f>
        <v/>
      </c>
      <c r="AB19" s="90" t="str">
        <f t="shared" si="4"/>
        <v/>
      </c>
      <c r="AC19" s="14" t="str">
        <f>IF(LEFT($B19,4)="_Mil","",_xlfn.IFNA(ROUND(INDEX(Spectrum!$N:$N,MATCH(RIGHT($B19,13)&amp;"|"&amp;$C19&amp;"|"&amp;$D19&amp;"|"&amp;AC$14&amp;"|"&amp;"CY2023Q3",Spectrum!$R:$R,0)),0),""))</f>
        <v/>
      </c>
      <c r="AD19" s="14" t="str">
        <f>IF(LEFT($B19,4)="_Mil","",_xlfn.IFNA(ROUND(INDEX(Spectrum!$N:$N,MATCH(RIGHT($B19,13)&amp;"|"&amp;$C19&amp;"|"&amp;$D19&amp;"|"&amp;AD$14&amp;"|"&amp;"CY2023Q3",Spectrum!$R:$R,0)),0),""))</f>
        <v/>
      </c>
      <c r="AE19" s="90" t="str">
        <f t="shared" si="5"/>
        <v/>
      </c>
      <c r="AF19" s="42" t="str">
        <f>IF(LEFT($B19,4)="_Mil","",_xlfn.IFNA(ROUND(INDEX(Spectrum!$N:$N,MATCH(RIGHT($B19,13)&amp;"|"&amp;$C19&amp;"|"&amp;$D19&amp;"|"&amp;AF$14&amp;"|"&amp;"CY2023Q3",Spectrum!$R:$R,0)),0),""))</f>
        <v/>
      </c>
      <c r="AG19" s="90" t="str">
        <f t="shared" si="6"/>
        <v/>
      </c>
      <c r="AH19" s="88" t="str">
        <f>IF(LEFT($B19,4)="_Mil","",_xlfn.IFNA(INDEX(Spectrum!$N:$N,MATCH(RIGHT($B19,13)&amp;"|"&amp;$C19&amp;"|"&amp;$D19&amp;"|"&amp;AH$14&amp;"|"&amp;"CY2023Q3",Spectrum!$R:$R,0)),""))</f>
        <v/>
      </c>
      <c r="AI19" s="14" t="str">
        <f>IF(LEFT($B19,4)="_Mil","",_xlfn.IFNA(ROUND(INDEX(Spectrum!$N:$N,MATCH(RIGHT($B19,13)&amp;"|"&amp;$C19&amp;"|"&amp;$D19&amp;"|"&amp;AI$14&amp;"|"&amp;"CY2023Q3",Spectrum!$R:$R,0)),0),""))</f>
        <v/>
      </c>
      <c r="AJ19" s="42" t="str">
        <f>IF(LEFT($B19,4)="_Mil","",_xlfn.IFNA(ROUND(INDEX(Spectrum!$N:$N,MATCH(RIGHT($B19,13)&amp;"|"&amp;$C19&amp;"|"&amp;$D19&amp;"|"&amp;AI$14&amp;"|"&amp;"CY2023Q3",Spectrum!$R:$R,0)),0),SUM($U19)+SUM($AI19)))</f>
        <v/>
      </c>
      <c r="AK19" s="14" t="str">
        <f>IF(LEFT($B19,4)="_Mil","",_xlfn.IFNA(ROUND(INDEX(Spectrum!$N:$N,MATCH(RIGHT($B19,13)&amp;"|"&amp;$C19&amp;"|"&amp;$D19&amp;"|"&amp;AK$14&amp;"|"&amp;"CY2023Q3",Spectrum!$R:$R,0)),0),""))</f>
        <v/>
      </c>
      <c r="AL19" s="90" t="str">
        <f t="shared" si="7"/>
        <v/>
      </c>
      <c r="AM19" s="14" t="str">
        <f t="shared" si="8"/>
        <v/>
      </c>
      <c r="AN19" s="14" t="str">
        <f>IF($C19="&lt;01",ROUND(INDEX(EID!$P:$P,MATCH($B19,EID!$B:$B,0))/2,0),"")</f>
        <v/>
      </c>
      <c r="AO19" s="14">
        <f t="shared" si="9"/>
        <v>0</v>
      </c>
      <c r="AP19" s="42">
        <f t="shared" si="10"/>
        <v>0</v>
      </c>
      <c r="AQ19" s="42" t="str">
        <f t="shared" si="11"/>
        <v/>
      </c>
      <c r="AR19" s="90" t="str">
        <f t="shared" si="12"/>
        <v/>
      </c>
      <c r="AS19" s="90">
        <f t="shared" si="13"/>
        <v>0.98</v>
      </c>
      <c r="AT19" s="90">
        <f t="shared" si="13"/>
        <v>0.98</v>
      </c>
      <c r="AU19" s="14">
        <f t="shared" si="14"/>
        <v>-45</v>
      </c>
      <c r="AV19" s="14">
        <f>IF($C19="&lt;01",ROUND(INDEX(EID!$N:$N,MATCH($B19,EID!$B:$B,0))/2,0),IF(SUM($AT19)=0,"",ROUND((SUM($AP19)-(SUM($O19)*SUM($AS19)))/$AT19,0)))</f>
        <v>-45</v>
      </c>
      <c r="AW19" s="90">
        <f t="shared" si="15"/>
        <v>1</v>
      </c>
      <c r="AX19" s="42">
        <f t="shared" si="16"/>
        <v>-45</v>
      </c>
      <c r="AY19" s="116">
        <f t="shared" si="17"/>
        <v>0.7</v>
      </c>
      <c r="AZ19" s="93">
        <f>IF($C19="&lt;01",ROUND(INDEX(EID!$R:$R,MATCH($B19,EID!$B:$B,0))/2,0),ROUND(SUM($O19)+(SUM($AV19)*$AY19),0))</f>
        <v>14</v>
      </c>
      <c r="BA19" s="89">
        <f t="shared" si="18"/>
        <v>0.95</v>
      </c>
      <c r="BB19" s="9">
        <f>IF($C19="&lt;01",ROUND(INDEX(EID!$T:$T,MATCH($B19,EID!$B:$B,0))/2,0),ROUND($AZ19*$BA19,0))</f>
        <v>13</v>
      </c>
      <c r="BC19" s="93" t="str">
        <f t="shared" si="19"/>
        <v/>
      </c>
      <c r="BD19" s="90">
        <f t="shared" si="20"/>
        <v>0.95</v>
      </c>
      <c r="BE19" s="42">
        <f>IF($C19="&lt;01",ROUND(INDEX(EID!$V:$V,MATCH($B19,EID!$B:$B,0))/2,0),ROUND($BD19*$BB19,0))</f>
        <v>12</v>
      </c>
      <c r="BF19" s="42" t="str">
        <f t="shared" si="21"/>
        <v/>
      </c>
      <c r="BG19" s="116">
        <f t="shared" si="22"/>
        <v>0.95</v>
      </c>
      <c r="BH19" s="9">
        <f>IF($C19="&lt;01",ROUND(INDEX(EID!$L:$L,MATCH($B19,EID!$B:$B,0)),0)/2,IF(SUM($BG19)=0,"",ROUND($AX19/$BG19,0)))</f>
        <v>-47</v>
      </c>
    </row>
    <row r="20" spans="1:60" x14ac:dyDescent="0.2">
      <c r="A20" t="str">
        <f>INDEX(Prioritization!$D:$D,MATCH($B20,Prioritization!$A:$A,0))</f>
        <v>Military</v>
      </c>
      <c r="B20" t="s">
        <v>193</v>
      </c>
      <c r="C20" t="s">
        <v>363</v>
      </c>
      <c r="D20" t="s">
        <v>47</v>
      </c>
      <c r="E20" t="str">
        <f t="shared" si="0"/>
        <v>_Military Malawi [PQZgU9dagaH]|10-14|Male</v>
      </c>
      <c r="F20" s="14"/>
      <c r="G20" s="14">
        <v>3</v>
      </c>
      <c r="H20" s="14">
        <v>0</v>
      </c>
      <c r="I20" s="14">
        <v>3</v>
      </c>
      <c r="J20" s="14">
        <v>9</v>
      </c>
      <c r="K20" s="14">
        <v>2</v>
      </c>
      <c r="L20" s="14">
        <v>6</v>
      </c>
      <c r="M20" s="14">
        <v>3</v>
      </c>
      <c r="N20" s="14">
        <v>76</v>
      </c>
      <c r="O20" s="14">
        <f t="shared" si="1"/>
        <v>76</v>
      </c>
      <c r="P20" s="14">
        <v>55</v>
      </c>
      <c r="Q20" s="14">
        <v>8</v>
      </c>
      <c r="R20" s="14">
        <f t="shared" si="2"/>
        <v>73</v>
      </c>
      <c r="S20" s="14" t="str">
        <f>IF(LEFT($B20,4)="_Mil","",_xlfn.IFNA(ROUND(INDEX(Spectrum!$N:$N,MATCH(RIGHT($B20,13)&amp;"|"&amp;$C20&amp;"|"&amp;$D20&amp;"|"&amp;S$14&amp;"|"&amp;"CY2022Q4",Spectrum!$R:$R,0)),0),""))</f>
        <v/>
      </c>
      <c r="T20" s="42" t="str">
        <f>IF(LEFT($B20,4)="_Mil","",_xlfn.IFNA(ROUND(INDEX(Spectrum!$N:$N,MATCH(RIGHT($B20,13)&amp;"|"&amp;$C20&amp;"|"&amp;$D20&amp;"|"&amp;T$14&amp;"|"&amp;"CY2023Q3",Spectrum!$R:$R,0)),0),""))</f>
        <v/>
      </c>
      <c r="U20" s="42" t="str">
        <f>IF(LEFT($B20,4)="_Mil","",_xlfn.IFNA(ROUND(INDEX(Spectrum!$N:$N,MATCH(RIGHT($B20,13)&amp;"|"&amp;$C20&amp;"|"&amp;$D20&amp;"|"&amp;U$14&amp;"|"&amp;"CY2023Q3",Spectrum!$R:$R,0)),0),""))</f>
        <v/>
      </c>
      <c r="V20" s="14" t="str">
        <f>IF(LEFT($B20,4)="_Mil","",_xlfn.IFNA(ROUND(INDEX(Spectrum!$N:$N,MATCH(RIGHT($B20,13)&amp;"|"&amp;$C20&amp;"|"&amp;$D20&amp;"|"&amp;V$14&amp;"|"&amp;"CY2023Q3",Spectrum!$R:$R,0)),0),""))</f>
        <v/>
      </c>
      <c r="W20" s="115" t="str">
        <f>IF(LEFT($B20,4)="_Mil","",_xlfn.IFNA(INDEX(Spectrum!$N:$N,MATCH(RIGHT($B20,13)&amp;"|"&amp;$C20&amp;"|"&amp;$D20&amp;"|"&amp;W$14&amp;"|"&amp;"CY2023Q3",Spectrum!$R:$R,0)),""))</f>
        <v/>
      </c>
      <c r="X20" s="42" t="str">
        <f>IF(LEFT($B20,4)="_Mil","",_xlfn.IFNA(ROUND(INDEX(Spectrum!$N:$N,MATCH(RIGHT($B20,13)&amp;"|"&amp;$C20&amp;"|"&amp;$D20&amp;"|"&amp;X$14&amp;"|"&amp;"CY2023Q3",Spectrum!$R:$R,0)),0),""))</f>
        <v/>
      </c>
      <c r="Y20" s="90" t="str">
        <f t="shared" si="3"/>
        <v/>
      </c>
      <c r="Z20" s="42" t="str">
        <f>IF(LEFT($B20,4)="_Mil","",_xlfn.IFNA(ROUND(INDEX(Spectrum!$N:$N,MATCH(RIGHT($B20,13)&amp;"|"&amp;$C20&amp;"|"&amp;$D20&amp;"|"&amp;Z$14&amp;"|"&amp;"CY2023Q3",Spectrum!$R:$R,0)),0),""))</f>
        <v/>
      </c>
      <c r="AA20" s="90" t="str">
        <f>IF(LEFT($B20,4)="_Mil","",IFERROR(1/(1/INDEX(Spectrum!$N:$N,MATCH(RIGHT($B20,13)&amp;"|"&amp;$C20&amp;"|"&amp;$D20&amp;"|"&amp;AA$14&amp;"|"&amp;"CY2023Q3",Spectrum!$R:$R,0))),IF(SUM($U20)=0,"",SUM($Z20)/$U20)))</f>
        <v/>
      </c>
      <c r="AB20" s="90" t="str">
        <f t="shared" si="4"/>
        <v/>
      </c>
      <c r="AC20" s="14" t="str">
        <f>IF(LEFT($B20,4)="_Mil","",_xlfn.IFNA(ROUND(INDEX(Spectrum!$N:$N,MATCH(RIGHT($B20,13)&amp;"|"&amp;$C20&amp;"|"&amp;$D20&amp;"|"&amp;AC$14&amp;"|"&amp;"CY2023Q3",Spectrum!$R:$R,0)),0),""))</f>
        <v/>
      </c>
      <c r="AD20" s="14" t="str">
        <f>IF(LEFT($B20,4)="_Mil","",_xlfn.IFNA(ROUND(INDEX(Spectrum!$N:$N,MATCH(RIGHT($B20,13)&amp;"|"&amp;$C20&amp;"|"&amp;$D20&amp;"|"&amp;AD$14&amp;"|"&amp;"CY2023Q3",Spectrum!$R:$R,0)),0),""))</f>
        <v/>
      </c>
      <c r="AE20" s="90" t="str">
        <f t="shared" si="5"/>
        <v/>
      </c>
      <c r="AF20" s="42" t="str">
        <f>IF(LEFT($B20,4)="_Mil","",_xlfn.IFNA(ROUND(INDEX(Spectrum!$N:$N,MATCH(RIGHT($B20,13)&amp;"|"&amp;$C20&amp;"|"&amp;$D20&amp;"|"&amp;AF$14&amp;"|"&amp;"CY2023Q3",Spectrum!$R:$R,0)),0),""))</f>
        <v/>
      </c>
      <c r="AG20" s="90" t="str">
        <f t="shared" si="6"/>
        <v/>
      </c>
      <c r="AH20" s="88" t="str">
        <f>IF(LEFT($B20,4)="_Mil","",_xlfn.IFNA(INDEX(Spectrum!$N:$N,MATCH(RIGHT($B20,13)&amp;"|"&amp;$C20&amp;"|"&amp;$D20&amp;"|"&amp;AH$14&amp;"|"&amp;"CY2023Q3",Spectrum!$R:$R,0)),""))</f>
        <v/>
      </c>
      <c r="AI20" s="14" t="str">
        <f>IF(LEFT($B20,4)="_Mil","",_xlfn.IFNA(ROUND(INDEX(Spectrum!$N:$N,MATCH(RIGHT($B20,13)&amp;"|"&amp;$C20&amp;"|"&amp;$D20&amp;"|"&amp;AI$14&amp;"|"&amp;"CY2023Q3",Spectrum!$R:$R,0)),0),""))</f>
        <v/>
      </c>
      <c r="AJ20" s="42" t="str">
        <f>IF(LEFT($B20,4)="_Mil","",_xlfn.IFNA(ROUND(INDEX(Spectrum!$N:$N,MATCH(RIGHT($B20,13)&amp;"|"&amp;$C20&amp;"|"&amp;$D20&amp;"|"&amp;AI$14&amp;"|"&amp;"CY2023Q3",Spectrum!$R:$R,0)),0),SUM($U20)+SUM($AI20)))</f>
        <v/>
      </c>
      <c r="AK20" s="14" t="str">
        <f>IF(LEFT($B20,4)="_Mil","",_xlfn.IFNA(ROUND(INDEX(Spectrum!$N:$N,MATCH(RIGHT($B20,13)&amp;"|"&amp;$C20&amp;"|"&amp;$D20&amp;"|"&amp;AK$14&amp;"|"&amp;"CY2023Q3",Spectrum!$R:$R,0)),0),""))</f>
        <v/>
      </c>
      <c r="AL20" s="90" t="str">
        <f t="shared" si="7"/>
        <v/>
      </c>
      <c r="AM20" s="14" t="str">
        <f t="shared" si="8"/>
        <v/>
      </c>
      <c r="AN20" s="14" t="str">
        <f>IF($C20="&lt;01",ROUND(INDEX(EID!$P:$P,MATCH($B20,EID!$B:$B,0))/2,0),"")</f>
        <v/>
      </c>
      <c r="AO20" s="14">
        <f t="shared" si="9"/>
        <v>0</v>
      </c>
      <c r="AP20" s="42">
        <f t="shared" si="10"/>
        <v>0</v>
      </c>
      <c r="AQ20" s="42" t="str">
        <f t="shared" si="11"/>
        <v/>
      </c>
      <c r="AR20" s="90" t="str">
        <f t="shared" si="12"/>
        <v/>
      </c>
      <c r="AS20" s="90">
        <f t="shared" si="13"/>
        <v>0.98</v>
      </c>
      <c r="AT20" s="90">
        <f t="shared" si="13"/>
        <v>0.98</v>
      </c>
      <c r="AU20" s="14">
        <f t="shared" si="14"/>
        <v>-76</v>
      </c>
      <c r="AV20" s="14">
        <f>IF($C20="&lt;01",ROUND(INDEX(EID!$N:$N,MATCH($B20,EID!$B:$B,0))/2,0),IF(SUM($AT20)=0,"",ROUND((SUM($AP20)-(SUM($O20)*SUM($AS20)))/$AT20,0)))</f>
        <v>-76</v>
      </c>
      <c r="AW20" s="90">
        <f t="shared" si="15"/>
        <v>1</v>
      </c>
      <c r="AX20" s="42">
        <f t="shared" si="16"/>
        <v>-76</v>
      </c>
      <c r="AY20" s="116">
        <f t="shared" si="17"/>
        <v>0.7</v>
      </c>
      <c r="AZ20" s="93">
        <f>IF($C20="&lt;01",ROUND(INDEX(EID!$R:$R,MATCH($B20,EID!$B:$B,0))/2,0),ROUND(SUM($O20)+(SUM($AV20)*$AY20),0))</f>
        <v>23</v>
      </c>
      <c r="BA20" s="89">
        <f t="shared" si="18"/>
        <v>0.95</v>
      </c>
      <c r="BB20" s="9">
        <f>IF($C20="&lt;01",ROUND(INDEX(EID!$T:$T,MATCH($B20,EID!$B:$B,0))/2,0),ROUND($AZ20*$BA20,0))</f>
        <v>22</v>
      </c>
      <c r="BC20" s="93" t="str">
        <f t="shared" si="19"/>
        <v/>
      </c>
      <c r="BD20" s="90">
        <f t="shared" si="20"/>
        <v>0.95</v>
      </c>
      <c r="BE20" s="42">
        <f>IF($C20="&lt;01",ROUND(INDEX(EID!$V:$V,MATCH($B20,EID!$B:$B,0))/2,0),ROUND($BD20*$BB20,0))</f>
        <v>21</v>
      </c>
      <c r="BF20" s="42" t="str">
        <f t="shared" si="21"/>
        <v/>
      </c>
      <c r="BG20" s="116">
        <f t="shared" si="22"/>
        <v>0.95</v>
      </c>
      <c r="BH20" s="9">
        <f>IF($C20="&lt;01",ROUND(INDEX(EID!$L:$L,MATCH($B20,EID!$B:$B,0)),0)/2,IF(SUM($BG20)=0,"",ROUND($AX20/$BG20,0)))</f>
        <v>-80</v>
      </c>
    </row>
    <row r="21" spans="1:60" x14ac:dyDescent="0.2">
      <c r="A21" t="str">
        <f>INDEX(Prioritization!$D:$D,MATCH($B21,Prioritization!$A:$A,0))</f>
        <v>Military</v>
      </c>
      <c r="B21" t="s">
        <v>193</v>
      </c>
      <c r="C21" t="s">
        <v>364</v>
      </c>
      <c r="D21" t="s">
        <v>29</v>
      </c>
      <c r="E21" t="str">
        <f t="shared" si="0"/>
        <v>_Military Malawi [PQZgU9dagaH]|15-24|Female</v>
      </c>
      <c r="F21" s="14"/>
      <c r="G21" s="14"/>
      <c r="H21" s="14"/>
      <c r="I21" s="14"/>
      <c r="J21" s="14"/>
      <c r="K21" s="14"/>
      <c r="L21" s="14"/>
      <c r="M21" s="14"/>
      <c r="N21" s="14"/>
      <c r="O21" s="14" t="str">
        <f t="shared" si="1"/>
        <v/>
      </c>
      <c r="P21" s="14"/>
      <c r="Q21" s="14"/>
      <c r="R21" s="14" t="str">
        <f t="shared" si="2"/>
        <v/>
      </c>
      <c r="S21" s="14" t="str">
        <f>IF(LEFT($B21,4)="_Mil","",_xlfn.IFNA(ROUND(INDEX(Spectrum!$N:$N,MATCH(RIGHT($B21,13)&amp;"|"&amp;$C21&amp;"|"&amp;$D21&amp;"|"&amp;S$14&amp;"|"&amp;"CY2022Q4",Spectrum!$R:$R,0)),0),""))</f>
        <v/>
      </c>
      <c r="T21" s="42" t="str">
        <f>IF(LEFT($B21,4)="_Mil","",_xlfn.IFNA(ROUND(INDEX(Spectrum!$N:$N,MATCH(RIGHT($B21,13)&amp;"|"&amp;$C21&amp;"|"&amp;$D21&amp;"|"&amp;T$14&amp;"|"&amp;"CY2023Q3",Spectrum!$R:$R,0)),0),""))</f>
        <v/>
      </c>
      <c r="U21" s="42" t="str">
        <f>IF(LEFT($B21,4)="_Mil","",_xlfn.IFNA(ROUND(INDEX(Spectrum!$N:$N,MATCH(RIGHT($B21,13)&amp;"|"&amp;$C21&amp;"|"&amp;$D21&amp;"|"&amp;U$14&amp;"|"&amp;"CY2023Q3",Spectrum!$R:$R,0)),0),""))</f>
        <v/>
      </c>
      <c r="V21" s="14" t="str">
        <f>IF(LEFT($B21,4)="_Mil","",_xlfn.IFNA(ROUND(INDEX(Spectrum!$N:$N,MATCH(RIGHT($B21,13)&amp;"|"&amp;$C21&amp;"|"&amp;$D21&amp;"|"&amp;V$14&amp;"|"&amp;"CY2023Q3",Spectrum!$R:$R,0)),0),""))</f>
        <v/>
      </c>
      <c r="W21" s="115" t="str">
        <f>IF(LEFT($B21,4)="_Mil","",_xlfn.IFNA(INDEX(Spectrum!$N:$N,MATCH(RIGHT($B21,13)&amp;"|"&amp;$C21&amp;"|"&amp;$D21&amp;"|"&amp;W$14&amp;"|"&amp;"CY2023Q3",Spectrum!$R:$R,0)),""))</f>
        <v/>
      </c>
      <c r="X21" s="42" t="str">
        <f>IF(LEFT($B21,4)="_Mil","",_xlfn.IFNA(ROUND(INDEX(Spectrum!$N:$N,MATCH(RIGHT($B21,13)&amp;"|"&amp;$C21&amp;"|"&amp;$D21&amp;"|"&amp;X$14&amp;"|"&amp;"CY2023Q3",Spectrum!$R:$R,0)),0),""))</f>
        <v/>
      </c>
      <c r="Y21" s="90" t="str">
        <f t="shared" si="3"/>
        <v/>
      </c>
      <c r="Z21" s="42" t="str">
        <f>IF(LEFT($B21,4)="_Mil","",_xlfn.IFNA(ROUND(INDEX(Spectrum!$N:$N,MATCH(RIGHT($B21,13)&amp;"|"&amp;$C21&amp;"|"&amp;$D21&amp;"|"&amp;Z$14&amp;"|"&amp;"CY2023Q3",Spectrum!$R:$R,0)),0),""))</f>
        <v/>
      </c>
      <c r="AA21" s="90" t="str">
        <f>IF(LEFT($B21,4)="_Mil","",IFERROR(1/(1/INDEX(Spectrum!$N:$N,MATCH(RIGHT($B21,13)&amp;"|"&amp;$C21&amp;"|"&amp;$D21&amp;"|"&amp;AA$14&amp;"|"&amp;"CY2023Q3",Spectrum!$R:$R,0))),IF(SUM($U21)=0,"",SUM($Z21)/$U21)))</f>
        <v/>
      </c>
      <c r="AB21" s="90" t="str">
        <f t="shared" si="4"/>
        <v/>
      </c>
      <c r="AC21" s="14" t="str">
        <f>IF(LEFT($B21,4)="_Mil","",_xlfn.IFNA(ROUND(INDEX(Spectrum!$N:$N,MATCH(RIGHT($B21,13)&amp;"|"&amp;$C21&amp;"|"&amp;$D21&amp;"|"&amp;AC$14&amp;"|"&amp;"CY2023Q3",Spectrum!$R:$R,0)),0),""))</f>
        <v/>
      </c>
      <c r="AD21" s="14" t="str">
        <f>IF(LEFT($B21,4)="_Mil","",_xlfn.IFNA(ROUND(INDEX(Spectrum!$N:$N,MATCH(RIGHT($B21,13)&amp;"|"&amp;$C21&amp;"|"&amp;$D21&amp;"|"&amp;AD$14&amp;"|"&amp;"CY2023Q3",Spectrum!$R:$R,0)),0),""))</f>
        <v/>
      </c>
      <c r="AE21" s="90" t="str">
        <f t="shared" si="5"/>
        <v/>
      </c>
      <c r="AF21" s="42" t="str">
        <f>IF(LEFT($B21,4)="_Mil","",_xlfn.IFNA(ROUND(INDEX(Spectrum!$N:$N,MATCH(RIGHT($B21,13)&amp;"|"&amp;$C21&amp;"|"&amp;$D21&amp;"|"&amp;AF$14&amp;"|"&amp;"CY2023Q3",Spectrum!$R:$R,0)),0),""))</f>
        <v/>
      </c>
      <c r="AG21" s="90" t="str">
        <f t="shared" si="6"/>
        <v/>
      </c>
      <c r="AH21" s="88" t="str">
        <f>IF(LEFT($B21,4)="_Mil","",_xlfn.IFNA(INDEX(Spectrum!$N:$N,MATCH(RIGHT($B21,13)&amp;"|"&amp;$C21&amp;"|"&amp;$D21&amp;"|"&amp;AH$14&amp;"|"&amp;"CY2023Q3",Spectrum!$R:$R,0)),""))</f>
        <v/>
      </c>
      <c r="AI21" s="14" t="str">
        <f>IF(LEFT($B21,4)="_Mil","",_xlfn.IFNA(ROUND(INDEX(Spectrum!$N:$N,MATCH(RIGHT($B21,13)&amp;"|"&amp;$C21&amp;"|"&amp;$D21&amp;"|"&amp;AI$14&amp;"|"&amp;"CY2023Q3",Spectrum!$R:$R,0)),0),""))</f>
        <v/>
      </c>
      <c r="AJ21" s="42" t="str">
        <f>IF(LEFT($B21,4)="_Mil","",_xlfn.IFNA(ROUND(INDEX(Spectrum!$N:$N,MATCH(RIGHT($B21,13)&amp;"|"&amp;$C21&amp;"|"&amp;$D21&amp;"|"&amp;AI$14&amp;"|"&amp;"CY2023Q3",Spectrum!$R:$R,0)),0),SUM($U21)+SUM($AI21)))</f>
        <v/>
      </c>
      <c r="AK21" s="14" t="str">
        <f>IF(LEFT($B21,4)="_Mil","",_xlfn.IFNA(ROUND(INDEX(Spectrum!$N:$N,MATCH(RIGHT($B21,13)&amp;"|"&amp;$C21&amp;"|"&amp;$D21&amp;"|"&amp;AK$14&amp;"|"&amp;"CY2023Q3",Spectrum!$R:$R,0)),0),""))</f>
        <v/>
      </c>
      <c r="AL21" s="90" t="str">
        <f t="shared" si="7"/>
        <v/>
      </c>
      <c r="AM21" s="14" t="str">
        <f t="shared" si="8"/>
        <v/>
      </c>
      <c r="AN21" s="14" t="str">
        <f>IF($C21="&lt;01",ROUND(INDEX(EID!$P:$P,MATCH($B21,EID!$B:$B,0))/2,0),"")</f>
        <v/>
      </c>
      <c r="AO21" s="14">
        <f t="shared" si="9"/>
        <v>0</v>
      </c>
      <c r="AP21" s="42">
        <f t="shared" si="10"/>
        <v>0</v>
      </c>
      <c r="AQ21" s="42" t="str">
        <f t="shared" si="11"/>
        <v/>
      </c>
      <c r="AR21" s="90" t="str">
        <f t="shared" si="12"/>
        <v/>
      </c>
      <c r="AS21" s="90">
        <f t="shared" si="13"/>
        <v>0.98</v>
      </c>
      <c r="AT21" s="90">
        <f t="shared" si="13"/>
        <v>0.98</v>
      </c>
      <c r="AU21" s="14">
        <f t="shared" si="14"/>
        <v>0</v>
      </c>
      <c r="AV21" s="14">
        <f>IF($C21="&lt;01",ROUND(INDEX(EID!$N:$N,MATCH($B21,EID!$B:$B,0))/2,0),IF(SUM($AT21)=0,"",ROUND((SUM($AP21)-(SUM($O21)*SUM($AS21)))/$AT21,0)))</f>
        <v>0</v>
      </c>
      <c r="AW21" s="90">
        <f t="shared" si="15"/>
        <v>1</v>
      </c>
      <c r="AX21" s="42">
        <f t="shared" si="16"/>
        <v>0</v>
      </c>
      <c r="AY21" s="116">
        <f t="shared" si="17"/>
        <v>0.7</v>
      </c>
      <c r="AZ21" s="93">
        <f>IF($C21="&lt;01",ROUND(INDEX(EID!$R:$R,MATCH($B21,EID!$B:$B,0))/2,0),ROUND(SUM($O21)+(SUM($AV21)*$AY21),0))</f>
        <v>0</v>
      </c>
      <c r="BA21" s="89">
        <f t="shared" si="18"/>
        <v>0.95</v>
      </c>
      <c r="BB21" s="9">
        <f>IF($C21="&lt;01",ROUND(INDEX(EID!$T:$T,MATCH($B21,EID!$B:$B,0))/2,0),ROUND($AZ21*$BA21,0))</f>
        <v>0</v>
      </c>
      <c r="BC21" s="93" t="str">
        <f t="shared" si="19"/>
        <v/>
      </c>
      <c r="BD21" s="90">
        <f t="shared" si="20"/>
        <v>0.95</v>
      </c>
      <c r="BE21" s="42">
        <f>IF($C21="&lt;01",ROUND(INDEX(EID!$V:$V,MATCH($B21,EID!$B:$B,0))/2,0),ROUND($BD21*$BB21,0))</f>
        <v>0</v>
      </c>
      <c r="BF21" s="42" t="str">
        <f t="shared" si="21"/>
        <v/>
      </c>
      <c r="BG21" s="116">
        <f t="shared" si="22"/>
        <v>0.95</v>
      </c>
      <c r="BH21" s="9">
        <f>IF($C21="&lt;01",ROUND(INDEX(EID!$L:$L,MATCH($B21,EID!$B:$B,0)),0)/2,IF(SUM($BG21)=0,"",ROUND($AX21/$BG21,0)))</f>
        <v>0</v>
      </c>
    </row>
    <row r="22" spans="1:60" x14ac:dyDescent="0.2">
      <c r="A22" t="str">
        <f>INDEX(Prioritization!$D:$D,MATCH($B22,Prioritization!$A:$A,0))</f>
        <v>Military</v>
      </c>
      <c r="B22" t="s">
        <v>193</v>
      </c>
      <c r="C22" t="s">
        <v>364</v>
      </c>
      <c r="D22" t="s">
        <v>47</v>
      </c>
      <c r="E22" t="str">
        <f t="shared" si="0"/>
        <v>_Military Malawi [PQZgU9dagaH]|15-24|Male</v>
      </c>
      <c r="F22" s="14"/>
      <c r="G22" s="14"/>
      <c r="H22" s="14"/>
      <c r="I22" s="14"/>
      <c r="J22" s="14"/>
      <c r="K22" s="14"/>
      <c r="L22" s="14"/>
      <c r="M22" s="14"/>
      <c r="N22" s="14"/>
      <c r="O22" s="14" t="str">
        <f t="shared" si="1"/>
        <v/>
      </c>
      <c r="P22" s="14"/>
      <c r="Q22" s="14"/>
      <c r="R22" s="14" t="str">
        <f t="shared" si="2"/>
        <v/>
      </c>
      <c r="S22" s="14" t="str">
        <f>IF(LEFT($B22,4)="_Mil","",_xlfn.IFNA(ROUND(INDEX(Spectrum!$N:$N,MATCH(RIGHT($B22,13)&amp;"|"&amp;$C22&amp;"|"&amp;$D22&amp;"|"&amp;S$14&amp;"|"&amp;"CY2022Q4",Spectrum!$R:$R,0)),0),""))</f>
        <v/>
      </c>
      <c r="T22" s="42" t="str">
        <f>IF(LEFT($B22,4)="_Mil","",_xlfn.IFNA(ROUND(INDEX(Spectrum!$N:$N,MATCH(RIGHT($B22,13)&amp;"|"&amp;$C22&amp;"|"&amp;$D22&amp;"|"&amp;T$14&amp;"|"&amp;"CY2023Q3",Spectrum!$R:$R,0)),0),""))</f>
        <v/>
      </c>
      <c r="U22" s="42" t="str">
        <f>IF(LEFT($B22,4)="_Mil","",_xlfn.IFNA(ROUND(INDEX(Spectrum!$N:$N,MATCH(RIGHT($B22,13)&amp;"|"&amp;$C22&amp;"|"&amp;$D22&amp;"|"&amp;U$14&amp;"|"&amp;"CY2023Q3",Spectrum!$R:$R,0)),0),""))</f>
        <v/>
      </c>
      <c r="V22" s="14" t="str">
        <f>IF(LEFT($B22,4)="_Mil","",_xlfn.IFNA(ROUND(INDEX(Spectrum!$N:$N,MATCH(RIGHT($B22,13)&amp;"|"&amp;$C22&amp;"|"&amp;$D22&amp;"|"&amp;V$14&amp;"|"&amp;"CY2023Q3",Spectrum!$R:$R,0)),0),""))</f>
        <v/>
      </c>
      <c r="W22" s="115" t="str">
        <f>IF(LEFT($B22,4)="_Mil","",_xlfn.IFNA(INDEX(Spectrum!$N:$N,MATCH(RIGHT($B22,13)&amp;"|"&amp;$C22&amp;"|"&amp;$D22&amp;"|"&amp;W$14&amp;"|"&amp;"CY2023Q3",Spectrum!$R:$R,0)),""))</f>
        <v/>
      </c>
      <c r="X22" s="42" t="str">
        <f>IF(LEFT($B22,4)="_Mil","",_xlfn.IFNA(ROUND(INDEX(Spectrum!$N:$N,MATCH(RIGHT($B22,13)&amp;"|"&amp;$C22&amp;"|"&amp;$D22&amp;"|"&amp;X$14&amp;"|"&amp;"CY2023Q3",Spectrum!$R:$R,0)),0),""))</f>
        <v/>
      </c>
      <c r="Y22" s="90" t="str">
        <f t="shared" si="3"/>
        <v/>
      </c>
      <c r="Z22" s="42" t="str">
        <f>IF(LEFT($B22,4)="_Mil","",_xlfn.IFNA(ROUND(INDEX(Spectrum!$N:$N,MATCH(RIGHT($B22,13)&amp;"|"&amp;$C22&amp;"|"&amp;$D22&amp;"|"&amp;Z$14&amp;"|"&amp;"CY2023Q3",Spectrum!$R:$R,0)),0),""))</f>
        <v/>
      </c>
      <c r="AA22" s="90" t="str">
        <f>IF(LEFT($B22,4)="_Mil","",IFERROR(1/(1/INDEX(Spectrum!$N:$N,MATCH(RIGHT($B22,13)&amp;"|"&amp;$C22&amp;"|"&amp;$D22&amp;"|"&amp;AA$14&amp;"|"&amp;"CY2023Q3",Spectrum!$R:$R,0))),IF(SUM($U22)=0,"",SUM($Z22)/$U22)))</f>
        <v/>
      </c>
      <c r="AB22" s="90" t="str">
        <f t="shared" si="4"/>
        <v/>
      </c>
      <c r="AC22" s="14" t="str">
        <f>IF(LEFT($B22,4)="_Mil","",_xlfn.IFNA(ROUND(INDEX(Spectrum!$N:$N,MATCH(RIGHT($B22,13)&amp;"|"&amp;$C22&amp;"|"&amp;$D22&amp;"|"&amp;AC$14&amp;"|"&amp;"CY2023Q3",Spectrum!$R:$R,0)),0),""))</f>
        <v/>
      </c>
      <c r="AD22" s="14" t="str">
        <f>IF(LEFT($B22,4)="_Mil","",_xlfn.IFNA(ROUND(INDEX(Spectrum!$N:$N,MATCH(RIGHT($B22,13)&amp;"|"&amp;$C22&amp;"|"&amp;$D22&amp;"|"&amp;AD$14&amp;"|"&amp;"CY2023Q3",Spectrum!$R:$R,0)),0),""))</f>
        <v/>
      </c>
      <c r="AE22" s="90" t="str">
        <f t="shared" si="5"/>
        <v/>
      </c>
      <c r="AF22" s="42" t="str">
        <f>IF(LEFT($B22,4)="_Mil","",_xlfn.IFNA(ROUND(INDEX(Spectrum!$N:$N,MATCH(RIGHT($B22,13)&amp;"|"&amp;$C22&amp;"|"&amp;$D22&amp;"|"&amp;AF$14&amp;"|"&amp;"CY2023Q3",Spectrum!$R:$R,0)),0),""))</f>
        <v/>
      </c>
      <c r="AG22" s="90" t="str">
        <f t="shared" si="6"/>
        <v/>
      </c>
      <c r="AH22" s="88" t="str">
        <f>IF(LEFT($B22,4)="_Mil","",_xlfn.IFNA(INDEX(Spectrum!$N:$N,MATCH(RIGHT($B22,13)&amp;"|"&amp;$C22&amp;"|"&amp;$D22&amp;"|"&amp;AH$14&amp;"|"&amp;"CY2023Q3",Spectrum!$R:$R,0)),""))</f>
        <v/>
      </c>
      <c r="AI22" s="14" t="str">
        <f>IF(LEFT($B22,4)="_Mil","",_xlfn.IFNA(ROUND(INDEX(Spectrum!$N:$N,MATCH(RIGHT($B22,13)&amp;"|"&amp;$C22&amp;"|"&amp;$D22&amp;"|"&amp;AI$14&amp;"|"&amp;"CY2023Q3",Spectrum!$R:$R,0)),0),""))</f>
        <v/>
      </c>
      <c r="AJ22" s="42" t="str">
        <f>IF(LEFT($B22,4)="_Mil","",_xlfn.IFNA(ROUND(INDEX(Spectrum!$N:$N,MATCH(RIGHT($B22,13)&amp;"|"&amp;$C22&amp;"|"&amp;$D22&amp;"|"&amp;AI$14&amp;"|"&amp;"CY2023Q3",Spectrum!$R:$R,0)),0),SUM($U22)+SUM($AI22)))</f>
        <v/>
      </c>
      <c r="AK22" s="14" t="str">
        <f>IF(LEFT($B22,4)="_Mil","",_xlfn.IFNA(ROUND(INDEX(Spectrum!$N:$N,MATCH(RIGHT($B22,13)&amp;"|"&amp;$C22&amp;"|"&amp;$D22&amp;"|"&amp;AK$14&amp;"|"&amp;"CY2023Q3",Spectrum!$R:$R,0)),0),""))</f>
        <v/>
      </c>
      <c r="AL22" s="90" t="str">
        <f t="shared" si="7"/>
        <v/>
      </c>
      <c r="AM22" s="14" t="str">
        <f t="shared" si="8"/>
        <v/>
      </c>
      <c r="AN22" s="14" t="str">
        <f>IF($C22="&lt;01",ROUND(INDEX(EID!$P:$P,MATCH($B22,EID!$B:$B,0))/2,0),"")</f>
        <v/>
      </c>
      <c r="AO22" s="14">
        <f t="shared" si="9"/>
        <v>0</v>
      </c>
      <c r="AP22" s="42">
        <f t="shared" si="10"/>
        <v>0</v>
      </c>
      <c r="AQ22" s="42" t="str">
        <f t="shared" si="11"/>
        <v/>
      </c>
      <c r="AR22" s="90" t="str">
        <f t="shared" si="12"/>
        <v/>
      </c>
      <c r="AS22" s="90">
        <f t="shared" si="13"/>
        <v>0.98</v>
      </c>
      <c r="AT22" s="90">
        <f t="shared" si="13"/>
        <v>0.98</v>
      </c>
      <c r="AU22" s="14">
        <f t="shared" si="14"/>
        <v>0</v>
      </c>
      <c r="AV22" s="14">
        <f>IF($C22="&lt;01",ROUND(INDEX(EID!$N:$N,MATCH($B22,EID!$B:$B,0))/2,0),IF(SUM($AT22)=0,"",ROUND((SUM($AP22)-(SUM($O22)*SUM($AS22)))/$AT22,0)))</f>
        <v>0</v>
      </c>
      <c r="AW22" s="90">
        <f t="shared" si="15"/>
        <v>1</v>
      </c>
      <c r="AX22" s="42">
        <f t="shared" si="16"/>
        <v>0</v>
      </c>
      <c r="AY22" s="116">
        <f t="shared" si="17"/>
        <v>0.7</v>
      </c>
      <c r="AZ22" s="93">
        <f>IF($C22="&lt;01",ROUND(INDEX(EID!$R:$R,MATCH($B22,EID!$B:$B,0))/2,0),ROUND(SUM($O22)+(SUM($AV22)*$AY22),0))</f>
        <v>0</v>
      </c>
      <c r="BA22" s="89">
        <f t="shared" si="18"/>
        <v>0.95</v>
      </c>
      <c r="BB22" s="9">
        <f>IF($C22="&lt;01",ROUND(INDEX(EID!$T:$T,MATCH($B22,EID!$B:$B,0))/2,0),ROUND($AZ22*$BA22,0))</f>
        <v>0</v>
      </c>
      <c r="BC22" s="93" t="str">
        <f t="shared" si="19"/>
        <v/>
      </c>
      <c r="BD22" s="90">
        <f t="shared" si="20"/>
        <v>0.95</v>
      </c>
      <c r="BE22" s="42">
        <f>IF($C22="&lt;01",ROUND(INDEX(EID!$V:$V,MATCH($B22,EID!$B:$B,0))/2,0),ROUND($BD22*$BB22,0))</f>
        <v>0</v>
      </c>
      <c r="BF22" s="42" t="str">
        <f t="shared" si="21"/>
        <v/>
      </c>
      <c r="BG22" s="116">
        <f t="shared" si="22"/>
        <v>0.95</v>
      </c>
      <c r="BH22" s="9">
        <f>IF($C22="&lt;01",ROUND(INDEX(EID!$L:$L,MATCH($B22,EID!$B:$B,0)),0)/2,IF(SUM($BG22)=0,"",ROUND($AX22/$BG22,0)))</f>
        <v>0</v>
      </c>
    </row>
    <row r="23" spans="1:60" x14ac:dyDescent="0.2">
      <c r="A23" t="str">
        <f>INDEX(Prioritization!$D:$D,MATCH($B23,Prioritization!$A:$A,0))</f>
        <v>Military</v>
      </c>
      <c r="B23" t="s">
        <v>193</v>
      </c>
      <c r="C23" t="s">
        <v>365</v>
      </c>
      <c r="D23" t="s">
        <v>29</v>
      </c>
      <c r="E23" t="str">
        <f t="shared" si="0"/>
        <v>_Military Malawi [PQZgU9dagaH]|25-34|Female</v>
      </c>
      <c r="F23" s="14"/>
      <c r="G23" s="14"/>
      <c r="H23" s="14"/>
      <c r="I23" s="14"/>
      <c r="J23" s="14"/>
      <c r="K23" s="14"/>
      <c r="L23" s="14"/>
      <c r="M23" s="14"/>
      <c r="N23" s="14"/>
      <c r="O23" s="14" t="str">
        <f t="shared" si="1"/>
        <v/>
      </c>
      <c r="P23" s="14"/>
      <c r="Q23" s="14"/>
      <c r="R23" s="14" t="str">
        <f t="shared" si="2"/>
        <v/>
      </c>
      <c r="S23" s="14" t="str">
        <f>IF(LEFT($B23,4)="_Mil","",_xlfn.IFNA(ROUND(INDEX(Spectrum!$N:$N,MATCH(RIGHT($B23,13)&amp;"|"&amp;$C23&amp;"|"&amp;$D23&amp;"|"&amp;S$14&amp;"|"&amp;"CY2022Q4",Spectrum!$R:$R,0)),0),""))</f>
        <v/>
      </c>
      <c r="T23" s="42" t="str">
        <f>IF(LEFT($B23,4)="_Mil","",_xlfn.IFNA(ROUND(INDEX(Spectrum!$N:$N,MATCH(RIGHT($B23,13)&amp;"|"&amp;$C23&amp;"|"&amp;$D23&amp;"|"&amp;T$14&amp;"|"&amp;"CY2023Q3",Spectrum!$R:$R,0)),0),""))</f>
        <v/>
      </c>
      <c r="U23" s="42" t="str">
        <f>IF(LEFT($B23,4)="_Mil","",_xlfn.IFNA(ROUND(INDEX(Spectrum!$N:$N,MATCH(RIGHT($B23,13)&amp;"|"&amp;$C23&amp;"|"&amp;$D23&amp;"|"&amp;U$14&amp;"|"&amp;"CY2023Q3",Spectrum!$R:$R,0)),0),""))</f>
        <v/>
      </c>
      <c r="V23" s="14" t="str">
        <f>IF(LEFT($B23,4)="_Mil","",_xlfn.IFNA(ROUND(INDEX(Spectrum!$N:$N,MATCH(RIGHT($B23,13)&amp;"|"&amp;$C23&amp;"|"&amp;$D23&amp;"|"&amp;V$14&amp;"|"&amp;"CY2023Q3",Spectrum!$R:$R,0)),0),""))</f>
        <v/>
      </c>
      <c r="W23" s="115" t="str">
        <f>IF(LEFT($B23,4)="_Mil","",_xlfn.IFNA(INDEX(Spectrum!$N:$N,MATCH(RIGHT($B23,13)&amp;"|"&amp;$C23&amp;"|"&amp;$D23&amp;"|"&amp;W$14&amp;"|"&amp;"CY2023Q3",Spectrum!$R:$R,0)),""))</f>
        <v/>
      </c>
      <c r="X23" s="42" t="str">
        <f>IF(LEFT($B23,4)="_Mil","",_xlfn.IFNA(ROUND(INDEX(Spectrum!$N:$N,MATCH(RIGHT($B23,13)&amp;"|"&amp;$C23&amp;"|"&amp;$D23&amp;"|"&amp;X$14&amp;"|"&amp;"CY2023Q3",Spectrum!$R:$R,0)),0),""))</f>
        <v/>
      </c>
      <c r="Y23" s="90" t="str">
        <f t="shared" si="3"/>
        <v/>
      </c>
      <c r="Z23" s="42" t="str">
        <f>IF(LEFT($B23,4)="_Mil","",_xlfn.IFNA(ROUND(INDEX(Spectrum!$N:$N,MATCH(RIGHT($B23,13)&amp;"|"&amp;$C23&amp;"|"&amp;$D23&amp;"|"&amp;Z$14&amp;"|"&amp;"CY2023Q3",Spectrum!$R:$R,0)),0),""))</f>
        <v/>
      </c>
      <c r="AA23" s="90" t="str">
        <f>IF(LEFT($B23,4)="_Mil","",IFERROR(1/(1/INDEX(Spectrum!$N:$N,MATCH(RIGHT($B23,13)&amp;"|"&amp;$C23&amp;"|"&amp;$D23&amp;"|"&amp;AA$14&amp;"|"&amp;"CY2023Q3",Spectrum!$R:$R,0))),IF(SUM($U23)=0,"",SUM($Z23)/$U23)))</f>
        <v/>
      </c>
      <c r="AB23" s="90" t="str">
        <f t="shared" si="4"/>
        <v/>
      </c>
      <c r="AC23" s="14" t="str">
        <f>IF(LEFT($B23,4)="_Mil","",_xlfn.IFNA(ROUND(INDEX(Spectrum!$N:$N,MATCH(RIGHT($B23,13)&amp;"|"&amp;$C23&amp;"|"&amp;$D23&amp;"|"&amp;AC$14&amp;"|"&amp;"CY2023Q3",Spectrum!$R:$R,0)),0),""))</f>
        <v/>
      </c>
      <c r="AD23" s="14" t="str">
        <f>IF(LEFT($B23,4)="_Mil","",_xlfn.IFNA(ROUND(INDEX(Spectrum!$N:$N,MATCH(RIGHT($B23,13)&amp;"|"&amp;$C23&amp;"|"&amp;$D23&amp;"|"&amp;AD$14&amp;"|"&amp;"CY2023Q3",Spectrum!$R:$R,0)),0),""))</f>
        <v/>
      </c>
      <c r="AE23" s="90" t="str">
        <f t="shared" si="5"/>
        <v/>
      </c>
      <c r="AF23" s="42" t="str">
        <f>IF(LEFT($B23,4)="_Mil","",_xlfn.IFNA(ROUND(INDEX(Spectrum!$N:$N,MATCH(RIGHT($B23,13)&amp;"|"&amp;$C23&amp;"|"&amp;$D23&amp;"|"&amp;AF$14&amp;"|"&amp;"CY2023Q3",Spectrum!$R:$R,0)),0),""))</f>
        <v/>
      </c>
      <c r="AG23" s="90" t="str">
        <f t="shared" si="6"/>
        <v/>
      </c>
      <c r="AH23" s="88" t="str">
        <f>IF(LEFT($B23,4)="_Mil","",_xlfn.IFNA(INDEX(Spectrum!$N:$N,MATCH(RIGHT($B23,13)&amp;"|"&amp;$C23&amp;"|"&amp;$D23&amp;"|"&amp;AH$14&amp;"|"&amp;"CY2023Q3",Spectrum!$R:$R,0)),""))</f>
        <v/>
      </c>
      <c r="AI23" s="14" t="str">
        <f>IF(LEFT($B23,4)="_Mil","",_xlfn.IFNA(ROUND(INDEX(Spectrum!$N:$N,MATCH(RIGHT($B23,13)&amp;"|"&amp;$C23&amp;"|"&amp;$D23&amp;"|"&amp;AI$14&amp;"|"&amp;"CY2023Q3",Spectrum!$R:$R,0)),0),""))</f>
        <v/>
      </c>
      <c r="AJ23" s="42" t="str">
        <f>IF(LEFT($B23,4)="_Mil","",_xlfn.IFNA(ROUND(INDEX(Spectrum!$N:$N,MATCH(RIGHT($B23,13)&amp;"|"&amp;$C23&amp;"|"&amp;$D23&amp;"|"&amp;AI$14&amp;"|"&amp;"CY2023Q3",Spectrum!$R:$R,0)),0),SUM($U23)+SUM($AI23)))</f>
        <v/>
      </c>
      <c r="AK23" s="14" t="str">
        <f>IF(LEFT($B23,4)="_Mil","",_xlfn.IFNA(ROUND(INDEX(Spectrum!$N:$N,MATCH(RIGHT($B23,13)&amp;"|"&amp;$C23&amp;"|"&amp;$D23&amp;"|"&amp;AK$14&amp;"|"&amp;"CY2023Q3",Spectrum!$R:$R,0)),0),""))</f>
        <v/>
      </c>
      <c r="AL23" s="90" t="str">
        <f t="shared" si="7"/>
        <v/>
      </c>
      <c r="AM23" s="14" t="str">
        <f t="shared" si="8"/>
        <v/>
      </c>
      <c r="AN23" s="14" t="str">
        <f>IF($C23="&lt;01",ROUND(INDEX(EID!$P:$P,MATCH($B23,EID!$B:$B,0))/2,0),"")</f>
        <v/>
      </c>
      <c r="AO23" s="14">
        <f t="shared" si="9"/>
        <v>0</v>
      </c>
      <c r="AP23" s="42">
        <f t="shared" si="10"/>
        <v>0</v>
      </c>
      <c r="AQ23" s="42" t="str">
        <f t="shared" si="11"/>
        <v/>
      </c>
      <c r="AR23" s="90" t="str">
        <f t="shared" si="12"/>
        <v/>
      </c>
      <c r="AS23" s="90">
        <f t="shared" si="13"/>
        <v>0.98</v>
      </c>
      <c r="AT23" s="90">
        <f t="shared" si="13"/>
        <v>0.98</v>
      </c>
      <c r="AU23" s="14">
        <f t="shared" si="14"/>
        <v>0</v>
      </c>
      <c r="AV23" s="14">
        <f>IF($C23="&lt;01",ROUND(INDEX(EID!$N:$N,MATCH($B23,EID!$B:$B,0))/2,0),IF(SUM($AT23)=0,"",ROUND((SUM($AP23)-(SUM($O23)*SUM($AS23)))/$AT23,0)))</f>
        <v>0</v>
      </c>
      <c r="AW23" s="90">
        <f t="shared" si="15"/>
        <v>1</v>
      </c>
      <c r="AX23" s="42">
        <f t="shared" si="16"/>
        <v>0</v>
      </c>
      <c r="AY23" s="116">
        <f t="shared" si="17"/>
        <v>0.7</v>
      </c>
      <c r="AZ23" s="93">
        <f>IF($C23="&lt;01",ROUND(INDEX(EID!$R:$R,MATCH($B23,EID!$B:$B,0))/2,0),ROUND(SUM($O23)+(SUM($AV23)*$AY23),0))</f>
        <v>0</v>
      </c>
      <c r="BA23" s="89">
        <f t="shared" si="18"/>
        <v>0.95</v>
      </c>
      <c r="BB23" s="9">
        <f>IF($C23="&lt;01",ROUND(INDEX(EID!$T:$T,MATCH($B23,EID!$B:$B,0))/2,0),ROUND($AZ23*$BA23,0))</f>
        <v>0</v>
      </c>
      <c r="BC23" s="93" t="str">
        <f t="shared" si="19"/>
        <v/>
      </c>
      <c r="BD23" s="90">
        <f t="shared" si="20"/>
        <v>0.95</v>
      </c>
      <c r="BE23" s="42">
        <f>IF($C23="&lt;01",ROUND(INDEX(EID!$V:$V,MATCH($B23,EID!$B:$B,0))/2,0),ROUND($BD23*$BB23,0))</f>
        <v>0</v>
      </c>
      <c r="BF23" s="42" t="str">
        <f t="shared" si="21"/>
        <v/>
      </c>
      <c r="BG23" s="116">
        <f t="shared" si="22"/>
        <v>0.95</v>
      </c>
      <c r="BH23" s="9">
        <f>IF($C23="&lt;01",ROUND(INDEX(EID!$L:$L,MATCH($B23,EID!$B:$B,0)),0)/2,IF(SUM($BG23)=0,"",ROUND($AX23/$BG23,0)))</f>
        <v>0</v>
      </c>
    </row>
    <row r="24" spans="1:60" x14ac:dyDescent="0.2">
      <c r="A24" t="str">
        <f>INDEX(Prioritization!$D:$D,MATCH($B24,Prioritization!$A:$A,0))</f>
        <v>Military</v>
      </c>
      <c r="B24" t="s">
        <v>193</v>
      </c>
      <c r="C24" t="s">
        <v>365</v>
      </c>
      <c r="D24" t="s">
        <v>47</v>
      </c>
      <c r="E24" t="str">
        <f t="shared" si="0"/>
        <v>_Military Malawi [PQZgU9dagaH]|25-34|Male</v>
      </c>
      <c r="F24" s="14"/>
      <c r="G24" s="14"/>
      <c r="H24" s="14"/>
      <c r="I24" s="14"/>
      <c r="J24" s="14"/>
      <c r="K24" s="14"/>
      <c r="L24" s="14"/>
      <c r="M24" s="14"/>
      <c r="N24" s="14"/>
      <c r="O24" s="14" t="str">
        <f t="shared" si="1"/>
        <v/>
      </c>
      <c r="P24" s="14"/>
      <c r="Q24" s="14"/>
      <c r="R24" s="14" t="str">
        <f t="shared" si="2"/>
        <v/>
      </c>
      <c r="S24" s="14" t="str">
        <f>IF(LEFT($B24,4)="_Mil","",_xlfn.IFNA(ROUND(INDEX(Spectrum!$N:$N,MATCH(RIGHT($B24,13)&amp;"|"&amp;$C24&amp;"|"&amp;$D24&amp;"|"&amp;S$14&amp;"|"&amp;"CY2022Q4",Spectrum!$R:$R,0)),0),""))</f>
        <v/>
      </c>
      <c r="T24" s="42" t="str">
        <f>IF(LEFT($B24,4)="_Mil","",_xlfn.IFNA(ROUND(INDEX(Spectrum!$N:$N,MATCH(RIGHT($B24,13)&amp;"|"&amp;$C24&amp;"|"&amp;$D24&amp;"|"&amp;T$14&amp;"|"&amp;"CY2023Q3",Spectrum!$R:$R,0)),0),""))</f>
        <v/>
      </c>
      <c r="U24" s="42" t="str">
        <f>IF(LEFT($B24,4)="_Mil","",_xlfn.IFNA(ROUND(INDEX(Spectrum!$N:$N,MATCH(RIGHT($B24,13)&amp;"|"&amp;$C24&amp;"|"&amp;$D24&amp;"|"&amp;U$14&amp;"|"&amp;"CY2023Q3",Spectrum!$R:$R,0)),0),""))</f>
        <v/>
      </c>
      <c r="V24" s="14" t="str">
        <f>IF(LEFT($B24,4)="_Mil","",_xlfn.IFNA(ROUND(INDEX(Spectrum!$N:$N,MATCH(RIGHT($B24,13)&amp;"|"&amp;$C24&amp;"|"&amp;$D24&amp;"|"&amp;V$14&amp;"|"&amp;"CY2023Q3",Spectrum!$R:$R,0)),0),""))</f>
        <v/>
      </c>
      <c r="W24" s="115" t="str">
        <f>IF(LEFT($B24,4)="_Mil","",_xlfn.IFNA(INDEX(Spectrum!$N:$N,MATCH(RIGHT($B24,13)&amp;"|"&amp;$C24&amp;"|"&amp;$D24&amp;"|"&amp;W$14&amp;"|"&amp;"CY2023Q3",Spectrum!$R:$R,0)),""))</f>
        <v/>
      </c>
      <c r="X24" s="42" t="str">
        <f>IF(LEFT($B24,4)="_Mil","",_xlfn.IFNA(ROUND(INDEX(Spectrum!$N:$N,MATCH(RIGHT($B24,13)&amp;"|"&amp;$C24&amp;"|"&amp;$D24&amp;"|"&amp;X$14&amp;"|"&amp;"CY2023Q3",Spectrum!$R:$R,0)),0),""))</f>
        <v/>
      </c>
      <c r="Y24" s="90" t="str">
        <f t="shared" si="3"/>
        <v/>
      </c>
      <c r="Z24" s="42" t="str">
        <f>IF(LEFT($B24,4)="_Mil","",_xlfn.IFNA(ROUND(INDEX(Spectrum!$N:$N,MATCH(RIGHT($B24,13)&amp;"|"&amp;$C24&amp;"|"&amp;$D24&amp;"|"&amp;Z$14&amp;"|"&amp;"CY2023Q3",Spectrum!$R:$R,0)),0),""))</f>
        <v/>
      </c>
      <c r="AA24" s="90" t="str">
        <f>IF(LEFT($B24,4)="_Mil","",IFERROR(1/(1/INDEX(Spectrum!$N:$N,MATCH(RIGHT($B24,13)&amp;"|"&amp;$C24&amp;"|"&amp;$D24&amp;"|"&amp;AA$14&amp;"|"&amp;"CY2023Q3",Spectrum!$R:$R,0))),IF(SUM($U24)=0,"",SUM($Z24)/$U24)))</f>
        <v/>
      </c>
      <c r="AB24" s="90" t="str">
        <f t="shared" si="4"/>
        <v/>
      </c>
      <c r="AC24" s="14" t="str">
        <f>IF(LEFT($B24,4)="_Mil","",_xlfn.IFNA(ROUND(INDEX(Spectrum!$N:$N,MATCH(RIGHT($B24,13)&amp;"|"&amp;$C24&amp;"|"&amp;$D24&amp;"|"&amp;AC$14&amp;"|"&amp;"CY2023Q3",Spectrum!$R:$R,0)),0),""))</f>
        <v/>
      </c>
      <c r="AD24" s="14" t="str">
        <f>IF(LEFT($B24,4)="_Mil","",_xlfn.IFNA(ROUND(INDEX(Spectrum!$N:$N,MATCH(RIGHT($B24,13)&amp;"|"&amp;$C24&amp;"|"&amp;$D24&amp;"|"&amp;AD$14&amp;"|"&amp;"CY2023Q3",Spectrum!$R:$R,0)),0),""))</f>
        <v/>
      </c>
      <c r="AE24" s="90" t="str">
        <f t="shared" si="5"/>
        <v/>
      </c>
      <c r="AF24" s="42" t="str">
        <f>IF(LEFT($B24,4)="_Mil","",_xlfn.IFNA(ROUND(INDEX(Spectrum!$N:$N,MATCH(RIGHT($B24,13)&amp;"|"&amp;$C24&amp;"|"&amp;$D24&amp;"|"&amp;AF$14&amp;"|"&amp;"CY2023Q3",Spectrum!$R:$R,0)),0),""))</f>
        <v/>
      </c>
      <c r="AG24" s="90" t="str">
        <f t="shared" si="6"/>
        <v/>
      </c>
      <c r="AH24" s="88" t="str">
        <f>IF(LEFT($B24,4)="_Mil","",_xlfn.IFNA(INDEX(Spectrum!$N:$N,MATCH(RIGHT($B24,13)&amp;"|"&amp;$C24&amp;"|"&amp;$D24&amp;"|"&amp;AH$14&amp;"|"&amp;"CY2023Q3",Spectrum!$R:$R,0)),""))</f>
        <v/>
      </c>
      <c r="AI24" s="14" t="str">
        <f>IF(LEFT($B24,4)="_Mil","",_xlfn.IFNA(ROUND(INDEX(Spectrum!$N:$N,MATCH(RIGHT($B24,13)&amp;"|"&amp;$C24&amp;"|"&amp;$D24&amp;"|"&amp;AI$14&amp;"|"&amp;"CY2023Q3",Spectrum!$R:$R,0)),0),""))</f>
        <v/>
      </c>
      <c r="AJ24" s="42" t="str">
        <f>IF(LEFT($B24,4)="_Mil","",_xlfn.IFNA(ROUND(INDEX(Spectrum!$N:$N,MATCH(RIGHT($B24,13)&amp;"|"&amp;$C24&amp;"|"&amp;$D24&amp;"|"&amp;AI$14&amp;"|"&amp;"CY2023Q3",Spectrum!$R:$R,0)),0),SUM($U24)+SUM($AI24)))</f>
        <v/>
      </c>
      <c r="AK24" s="14" t="str">
        <f>IF(LEFT($B24,4)="_Mil","",_xlfn.IFNA(ROUND(INDEX(Spectrum!$N:$N,MATCH(RIGHT($B24,13)&amp;"|"&amp;$C24&amp;"|"&amp;$D24&amp;"|"&amp;AK$14&amp;"|"&amp;"CY2023Q3",Spectrum!$R:$R,0)),0),""))</f>
        <v/>
      </c>
      <c r="AL24" s="90" t="str">
        <f t="shared" si="7"/>
        <v/>
      </c>
      <c r="AM24" s="14" t="str">
        <f t="shared" si="8"/>
        <v/>
      </c>
      <c r="AN24" s="14" t="str">
        <f>IF($C24="&lt;01",ROUND(INDEX(EID!$P:$P,MATCH($B24,EID!$B:$B,0))/2,0),"")</f>
        <v/>
      </c>
      <c r="AO24" s="14">
        <f t="shared" si="9"/>
        <v>0</v>
      </c>
      <c r="AP24" s="42">
        <f t="shared" si="10"/>
        <v>0</v>
      </c>
      <c r="AQ24" s="42" t="str">
        <f t="shared" si="11"/>
        <v/>
      </c>
      <c r="AR24" s="90" t="str">
        <f t="shared" si="12"/>
        <v/>
      </c>
      <c r="AS24" s="90">
        <f t="shared" si="13"/>
        <v>0.98</v>
      </c>
      <c r="AT24" s="90">
        <f t="shared" si="13"/>
        <v>0.98</v>
      </c>
      <c r="AU24" s="14">
        <f t="shared" si="14"/>
        <v>0</v>
      </c>
      <c r="AV24" s="14">
        <f>IF($C24="&lt;01",ROUND(INDEX(EID!$N:$N,MATCH($B24,EID!$B:$B,0))/2,0),IF(SUM($AT24)=0,"",ROUND((SUM($AP24)-(SUM($O24)*SUM($AS24)))/$AT24,0)))</f>
        <v>0</v>
      </c>
      <c r="AW24" s="90">
        <f t="shared" si="15"/>
        <v>1</v>
      </c>
      <c r="AX24" s="42">
        <f t="shared" si="16"/>
        <v>0</v>
      </c>
      <c r="AY24" s="116">
        <f t="shared" si="17"/>
        <v>0.7</v>
      </c>
      <c r="AZ24" s="93">
        <f>IF($C24="&lt;01",ROUND(INDEX(EID!$R:$R,MATCH($B24,EID!$B:$B,0))/2,0),ROUND(SUM($O24)+(SUM($AV24)*$AY24),0))</f>
        <v>0</v>
      </c>
      <c r="BA24" s="89">
        <f t="shared" si="18"/>
        <v>0.95</v>
      </c>
      <c r="BB24" s="9">
        <f>IF($C24="&lt;01",ROUND(INDEX(EID!$T:$T,MATCH($B24,EID!$B:$B,0))/2,0),ROUND($AZ24*$BA24,0))</f>
        <v>0</v>
      </c>
      <c r="BC24" s="93" t="str">
        <f t="shared" si="19"/>
        <v/>
      </c>
      <c r="BD24" s="90">
        <f t="shared" si="20"/>
        <v>0.95</v>
      </c>
      <c r="BE24" s="42">
        <f>IF($C24="&lt;01",ROUND(INDEX(EID!$V:$V,MATCH($B24,EID!$B:$B,0))/2,0),ROUND($BD24*$BB24,0))</f>
        <v>0</v>
      </c>
      <c r="BF24" s="42" t="str">
        <f t="shared" si="21"/>
        <v/>
      </c>
      <c r="BG24" s="116">
        <f t="shared" si="22"/>
        <v>0.95</v>
      </c>
      <c r="BH24" s="9">
        <f>IF($C24="&lt;01",ROUND(INDEX(EID!$L:$L,MATCH($B24,EID!$B:$B,0)),0)/2,IF(SUM($BG24)=0,"",ROUND($AX24/$BG24,0)))</f>
        <v>0</v>
      </c>
    </row>
    <row r="25" spans="1:60" x14ac:dyDescent="0.2">
      <c r="A25" t="str">
        <f>INDEX(Prioritization!$D:$D,MATCH($B25,Prioritization!$A:$A,0))</f>
        <v>Military</v>
      </c>
      <c r="B25" t="s">
        <v>193</v>
      </c>
      <c r="C25" t="s">
        <v>366</v>
      </c>
      <c r="D25" t="s">
        <v>29</v>
      </c>
      <c r="E25" t="str">
        <f t="shared" si="0"/>
        <v>_Military Malawi [PQZgU9dagaH]|35-49|Female</v>
      </c>
      <c r="F25" s="14"/>
      <c r="G25" s="14"/>
      <c r="H25" s="14"/>
      <c r="I25" s="14"/>
      <c r="J25" s="14"/>
      <c r="K25" s="14"/>
      <c r="L25" s="14"/>
      <c r="M25" s="14"/>
      <c r="N25" s="14"/>
      <c r="O25" s="14" t="str">
        <f t="shared" si="1"/>
        <v/>
      </c>
      <c r="P25" s="14"/>
      <c r="Q25" s="14"/>
      <c r="R25" s="14" t="str">
        <f t="shared" si="2"/>
        <v/>
      </c>
      <c r="S25" s="14" t="str">
        <f>IF(LEFT($B25,4)="_Mil","",_xlfn.IFNA(ROUND(INDEX(Spectrum!$N:$N,MATCH(RIGHT($B25,13)&amp;"|"&amp;$C25&amp;"|"&amp;$D25&amp;"|"&amp;S$14&amp;"|"&amp;"CY2022Q4",Spectrum!$R:$R,0)),0),""))</f>
        <v/>
      </c>
      <c r="T25" s="42" t="str">
        <f>IF(LEFT($B25,4)="_Mil","",_xlfn.IFNA(ROUND(INDEX(Spectrum!$N:$N,MATCH(RIGHT($B25,13)&amp;"|"&amp;$C25&amp;"|"&amp;$D25&amp;"|"&amp;T$14&amp;"|"&amp;"CY2023Q3",Spectrum!$R:$R,0)),0),""))</f>
        <v/>
      </c>
      <c r="U25" s="42" t="str">
        <f>IF(LEFT($B25,4)="_Mil","",_xlfn.IFNA(ROUND(INDEX(Spectrum!$N:$N,MATCH(RIGHT($B25,13)&amp;"|"&amp;$C25&amp;"|"&amp;$D25&amp;"|"&amp;U$14&amp;"|"&amp;"CY2023Q3",Spectrum!$R:$R,0)),0),""))</f>
        <v/>
      </c>
      <c r="V25" s="14" t="str">
        <f>IF(LEFT($B25,4)="_Mil","",_xlfn.IFNA(ROUND(INDEX(Spectrum!$N:$N,MATCH(RIGHT($B25,13)&amp;"|"&amp;$C25&amp;"|"&amp;$D25&amp;"|"&amp;V$14&amp;"|"&amp;"CY2023Q3",Spectrum!$R:$R,0)),0),""))</f>
        <v/>
      </c>
      <c r="W25" s="115" t="str">
        <f>IF(LEFT($B25,4)="_Mil","",_xlfn.IFNA(INDEX(Spectrum!$N:$N,MATCH(RIGHT($B25,13)&amp;"|"&amp;$C25&amp;"|"&amp;$D25&amp;"|"&amp;W$14&amp;"|"&amp;"CY2023Q3",Spectrum!$R:$R,0)),""))</f>
        <v/>
      </c>
      <c r="X25" s="42" t="str">
        <f>IF(LEFT($B25,4)="_Mil","",_xlfn.IFNA(ROUND(INDEX(Spectrum!$N:$N,MATCH(RIGHT($B25,13)&amp;"|"&amp;$C25&amp;"|"&amp;$D25&amp;"|"&amp;X$14&amp;"|"&amp;"CY2023Q3",Spectrum!$R:$R,0)),0),""))</f>
        <v/>
      </c>
      <c r="Y25" s="90" t="str">
        <f t="shared" si="3"/>
        <v/>
      </c>
      <c r="Z25" s="42" t="str">
        <f>IF(LEFT($B25,4)="_Mil","",_xlfn.IFNA(ROUND(INDEX(Spectrum!$N:$N,MATCH(RIGHT($B25,13)&amp;"|"&amp;$C25&amp;"|"&amp;$D25&amp;"|"&amp;Z$14&amp;"|"&amp;"CY2023Q3",Spectrum!$R:$R,0)),0),""))</f>
        <v/>
      </c>
      <c r="AA25" s="90" t="str">
        <f>IF(LEFT($B25,4)="_Mil","",IFERROR(1/(1/INDEX(Spectrum!$N:$N,MATCH(RIGHT($B25,13)&amp;"|"&amp;$C25&amp;"|"&amp;$D25&amp;"|"&amp;AA$14&amp;"|"&amp;"CY2023Q3",Spectrum!$R:$R,0))),IF(SUM($U25)=0,"",SUM($Z25)/$U25)))</f>
        <v/>
      </c>
      <c r="AB25" s="90" t="str">
        <f t="shared" si="4"/>
        <v/>
      </c>
      <c r="AC25" s="14" t="str">
        <f>IF(LEFT($B25,4)="_Mil","",_xlfn.IFNA(ROUND(INDEX(Spectrum!$N:$N,MATCH(RIGHT($B25,13)&amp;"|"&amp;$C25&amp;"|"&amp;$D25&amp;"|"&amp;AC$14&amp;"|"&amp;"CY2023Q3",Spectrum!$R:$R,0)),0),""))</f>
        <v/>
      </c>
      <c r="AD25" s="14" t="str">
        <f>IF(LEFT($B25,4)="_Mil","",_xlfn.IFNA(ROUND(INDEX(Spectrum!$N:$N,MATCH(RIGHT($B25,13)&amp;"|"&amp;$C25&amp;"|"&amp;$D25&amp;"|"&amp;AD$14&amp;"|"&amp;"CY2023Q3",Spectrum!$R:$R,0)),0),""))</f>
        <v/>
      </c>
      <c r="AE25" s="90" t="str">
        <f t="shared" si="5"/>
        <v/>
      </c>
      <c r="AF25" s="42" t="str">
        <f>IF(LEFT($B25,4)="_Mil","",_xlfn.IFNA(ROUND(INDEX(Spectrum!$N:$N,MATCH(RIGHT($B25,13)&amp;"|"&amp;$C25&amp;"|"&amp;$D25&amp;"|"&amp;AF$14&amp;"|"&amp;"CY2023Q3",Spectrum!$R:$R,0)),0),""))</f>
        <v/>
      </c>
      <c r="AG25" s="90" t="str">
        <f t="shared" si="6"/>
        <v/>
      </c>
      <c r="AH25" s="88" t="str">
        <f>IF(LEFT($B25,4)="_Mil","",_xlfn.IFNA(INDEX(Spectrum!$N:$N,MATCH(RIGHT($B25,13)&amp;"|"&amp;$C25&amp;"|"&amp;$D25&amp;"|"&amp;AH$14&amp;"|"&amp;"CY2023Q3",Spectrum!$R:$R,0)),""))</f>
        <v/>
      </c>
      <c r="AI25" s="14" t="str">
        <f>IF(LEFT($B25,4)="_Mil","",_xlfn.IFNA(ROUND(INDEX(Spectrum!$N:$N,MATCH(RIGHT($B25,13)&amp;"|"&amp;$C25&amp;"|"&amp;$D25&amp;"|"&amp;AI$14&amp;"|"&amp;"CY2023Q3",Spectrum!$R:$R,0)),0),""))</f>
        <v/>
      </c>
      <c r="AJ25" s="42" t="str">
        <f>IF(LEFT($B25,4)="_Mil","",_xlfn.IFNA(ROUND(INDEX(Spectrum!$N:$N,MATCH(RIGHT($B25,13)&amp;"|"&amp;$C25&amp;"|"&amp;$D25&amp;"|"&amp;AI$14&amp;"|"&amp;"CY2023Q3",Spectrum!$R:$R,0)),0),SUM($U25)+SUM($AI25)))</f>
        <v/>
      </c>
      <c r="AK25" s="14" t="str">
        <f>IF(LEFT($B25,4)="_Mil","",_xlfn.IFNA(ROUND(INDEX(Spectrum!$N:$N,MATCH(RIGHT($B25,13)&amp;"|"&amp;$C25&amp;"|"&amp;$D25&amp;"|"&amp;AK$14&amp;"|"&amp;"CY2023Q3",Spectrum!$R:$R,0)),0),""))</f>
        <v/>
      </c>
      <c r="AL25" s="90" t="str">
        <f t="shared" si="7"/>
        <v/>
      </c>
      <c r="AM25" s="14" t="str">
        <f t="shared" si="8"/>
        <v/>
      </c>
      <c r="AN25" s="14" t="str">
        <f>IF($C25="&lt;01",ROUND(INDEX(EID!$P:$P,MATCH($B25,EID!$B:$B,0))/2,0),"")</f>
        <v/>
      </c>
      <c r="AO25" s="14">
        <f t="shared" si="9"/>
        <v>0</v>
      </c>
      <c r="AP25" s="42">
        <f t="shared" si="10"/>
        <v>0</v>
      </c>
      <c r="AQ25" s="42" t="str">
        <f t="shared" si="11"/>
        <v/>
      </c>
      <c r="AR25" s="90" t="str">
        <f t="shared" si="12"/>
        <v/>
      </c>
      <c r="AS25" s="90">
        <f t="shared" si="13"/>
        <v>0.98</v>
      </c>
      <c r="AT25" s="90">
        <f t="shared" si="13"/>
        <v>0.98</v>
      </c>
      <c r="AU25" s="14">
        <f t="shared" si="14"/>
        <v>0</v>
      </c>
      <c r="AV25" s="14">
        <f>IF($C25="&lt;01",ROUND(INDEX(EID!$N:$N,MATCH($B25,EID!$B:$B,0))/2,0),IF(SUM($AT25)=0,"",ROUND((SUM($AP25)-(SUM($O25)*SUM($AS25)))/$AT25,0)))</f>
        <v>0</v>
      </c>
      <c r="AW25" s="90">
        <f t="shared" si="15"/>
        <v>1</v>
      </c>
      <c r="AX25" s="42">
        <f t="shared" si="16"/>
        <v>0</v>
      </c>
      <c r="AY25" s="116">
        <f t="shared" si="17"/>
        <v>0.7</v>
      </c>
      <c r="AZ25" s="93">
        <f>IF($C25="&lt;01",ROUND(INDEX(EID!$R:$R,MATCH($B25,EID!$B:$B,0))/2,0),ROUND(SUM($O25)+(SUM($AV25)*$AY25),0))</f>
        <v>0</v>
      </c>
      <c r="BA25" s="89">
        <f t="shared" si="18"/>
        <v>0.95</v>
      </c>
      <c r="BB25" s="9">
        <f>IF($C25="&lt;01",ROUND(INDEX(EID!$T:$T,MATCH($B25,EID!$B:$B,0))/2,0),ROUND($AZ25*$BA25,0))</f>
        <v>0</v>
      </c>
      <c r="BC25" s="93" t="str">
        <f t="shared" si="19"/>
        <v/>
      </c>
      <c r="BD25" s="90">
        <f t="shared" si="20"/>
        <v>0.95</v>
      </c>
      <c r="BE25" s="42">
        <f>IF($C25="&lt;01",ROUND(INDEX(EID!$V:$V,MATCH($B25,EID!$B:$B,0))/2,0),ROUND($BD25*$BB25,0))</f>
        <v>0</v>
      </c>
      <c r="BF25" s="42" t="str">
        <f t="shared" si="21"/>
        <v/>
      </c>
      <c r="BG25" s="116">
        <f t="shared" si="22"/>
        <v>0.95</v>
      </c>
      <c r="BH25" s="9">
        <f>IF($C25="&lt;01",ROUND(INDEX(EID!$L:$L,MATCH($B25,EID!$B:$B,0)),0)/2,IF(SUM($BG25)=0,"",ROUND($AX25/$BG25,0)))</f>
        <v>0</v>
      </c>
    </row>
    <row r="26" spans="1:60" x14ac:dyDescent="0.2">
      <c r="A26" t="str">
        <f>INDEX(Prioritization!$D:$D,MATCH($B26,Prioritization!$A:$A,0))</f>
        <v>Military</v>
      </c>
      <c r="B26" t="s">
        <v>193</v>
      </c>
      <c r="C26" t="s">
        <v>366</v>
      </c>
      <c r="D26" t="s">
        <v>47</v>
      </c>
      <c r="E26" t="str">
        <f t="shared" si="0"/>
        <v>_Military Malawi [PQZgU9dagaH]|35-49|Male</v>
      </c>
      <c r="F26" s="14"/>
      <c r="G26" s="14"/>
      <c r="H26" s="14"/>
      <c r="I26" s="14"/>
      <c r="J26" s="14"/>
      <c r="K26" s="14"/>
      <c r="L26" s="14"/>
      <c r="M26" s="14"/>
      <c r="N26" s="14"/>
      <c r="O26" s="14" t="str">
        <f t="shared" si="1"/>
        <v/>
      </c>
      <c r="P26" s="14"/>
      <c r="Q26" s="14"/>
      <c r="R26" s="14" t="str">
        <f t="shared" si="2"/>
        <v/>
      </c>
      <c r="S26" s="14" t="str">
        <f>IF(LEFT($B26,4)="_Mil","",_xlfn.IFNA(ROUND(INDEX(Spectrum!$N:$N,MATCH(RIGHT($B26,13)&amp;"|"&amp;$C26&amp;"|"&amp;$D26&amp;"|"&amp;S$14&amp;"|"&amp;"CY2022Q4",Spectrum!$R:$R,0)),0),""))</f>
        <v/>
      </c>
      <c r="T26" s="42" t="str">
        <f>IF(LEFT($B26,4)="_Mil","",_xlfn.IFNA(ROUND(INDEX(Spectrum!$N:$N,MATCH(RIGHT($B26,13)&amp;"|"&amp;$C26&amp;"|"&amp;$D26&amp;"|"&amp;T$14&amp;"|"&amp;"CY2023Q3",Spectrum!$R:$R,0)),0),""))</f>
        <v/>
      </c>
      <c r="U26" s="42" t="str">
        <f>IF(LEFT($B26,4)="_Mil","",_xlfn.IFNA(ROUND(INDEX(Spectrum!$N:$N,MATCH(RIGHT($B26,13)&amp;"|"&amp;$C26&amp;"|"&amp;$D26&amp;"|"&amp;U$14&amp;"|"&amp;"CY2023Q3",Spectrum!$R:$R,0)),0),""))</f>
        <v/>
      </c>
      <c r="V26" s="14" t="str">
        <f>IF(LEFT($B26,4)="_Mil","",_xlfn.IFNA(ROUND(INDEX(Spectrum!$N:$N,MATCH(RIGHT($B26,13)&amp;"|"&amp;$C26&amp;"|"&amp;$D26&amp;"|"&amp;V$14&amp;"|"&amp;"CY2023Q3",Spectrum!$R:$R,0)),0),""))</f>
        <v/>
      </c>
      <c r="W26" s="115" t="str">
        <f>IF(LEFT($B26,4)="_Mil","",_xlfn.IFNA(INDEX(Spectrum!$N:$N,MATCH(RIGHT($B26,13)&amp;"|"&amp;$C26&amp;"|"&amp;$D26&amp;"|"&amp;W$14&amp;"|"&amp;"CY2023Q3",Spectrum!$R:$R,0)),""))</f>
        <v/>
      </c>
      <c r="X26" s="42" t="str">
        <f>IF(LEFT($B26,4)="_Mil","",_xlfn.IFNA(ROUND(INDEX(Spectrum!$N:$N,MATCH(RIGHT($B26,13)&amp;"|"&amp;$C26&amp;"|"&amp;$D26&amp;"|"&amp;X$14&amp;"|"&amp;"CY2023Q3",Spectrum!$R:$R,0)),0),""))</f>
        <v/>
      </c>
      <c r="Y26" s="90" t="str">
        <f t="shared" si="3"/>
        <v/>
      </c>
      <c r="Z26" s="42" t="str">
        <f>IF(LEFT($B26,4)="_Mil","",_xlfn.IFNA(ROUND(INDEX(Spectrum!$N:$N,MATCH(RIGHT($B26,13)&amp;"|"&amp;$C26&amp;"|"&amp;$D26&amp;"|"&amp;Z$14&amp;"|"&amp;"CY2023Q3",Spectrum!$R:$R,0)),0),""))</f>
        <v/>
      </c>
      <c r="AA26" s="90" t="str">
        <f>IF(LEFT($B26,4)="_Mil","",IFERROR(1/(1/INDEX(Spectrum!$N:$N,MATCH(RIGHT($B26,13)&amp;"|"&amp;$C26&amp;"|"&amp;$D26&amp;"|"&amp;AA$14&amp;"|"&amp;"CY2023Q3",Spectrum!$R:$R,0))),IF(SUM($U26)=0,"",SUM($Z26)/$U26)))</f>
        <v/>
      </c>
      <c r="AB26" s="90" t="str">
        <f t="shared" si="4"/>
        <v/>
      </c>
      <c r="AC26" s="14" t="str">
        <f>IF(LEFT($B26,4)="_Mil","",_xlfn.IFNA(ROUND(INDEX(Spectrum!$N:$N,MATCH(RIGHT($B26,13)&amp;"|"&amp;$C26&amp;"|"&amp;$D26&amp;"|"&amp;AC$14&amp;"|"&amp;"CY2023Q3",Spectrum!$R:$R,0)),0),""))</f>
        <v/>
      </c>
      <c r="AD26" s="14" t="str">
        <f>IF(LEFT($B26,4)="_Mil","",_xlfn.IFNA(ROUND(INDEX(Spectrum!$N:$N,MATCH(RIGHT($B26,13)&amp;"|"&amp;$C26&amp;"|"&amp;$D26&amp;"|"&amp;AD$14&amp;"|"&amp;"CY2023Q3",Spectrum!$R:$R,0)),0),""))</f>
        <v/>
      </c>
      <c r="AE26" s="90" t="str">
        <f t="shared" si="5"/>
        <v/>
      </c>
      <c r="AF26" s="42" t="str">
        <f>IF(LEFT($B26,4)="_Mil","",_xlfn.IFNA(ROUND(INDEX(Spectrum!$N:$N,MATCH(RIGHT($B26,13)&amp;"|"&amp;$C26&amp;"|"&amp;$D26&amp;"|"&amp;AF$14&amp;"|"&amp;"CY2023Q3",Spectrum!$R:$R,0)),0),""))</f>
        <v/>
      </c>
      <c r="AG26" s="90" t="str">
        <f t="shared" si="6"/>
        <v/>
      </c>
      <c r="AH26" s="88" t="str">
        <f>IF(LEFT($B26,4)="_Mil","",_xlfn.IFNA(INDEX(Spectrum!$N:$N,MATCH(RIGHT($B26,13)&amp;"|"&amp;$C26&amp;"|"&amp;$D26&amp;"|"&amp;AH$14&amp;"|"&amp;"CY2023Q3",Spectrum!$R:$R,0)),""))</f>
        <v/>
      </c>
      <c r="AI26" s="14" t="str">
        <f>IF(LEFT($B26,4)="_Mil","",_xlfn.IFNA(ROUND(INDEX(Spectrum!$N:$N,MATCH(RIGHT($B26,13)&amp;"|"&amp;$C26&amp;"|"&amp;$D26&amp;"|"&amp;AI$14&amp;"|"&amp;"CY2023Q3",Spectrum!$R:$R,0)),0),""))</f>
        <v/>
      </c>
      <c r="AJ26" s="42" t="str">
        <f>IF(LEFT($B26,4)="_Mil","",_xlfn.IFNA(ROUND(INDEX(Spectrum!$N:$N,MATCH(RIGHT($B26,13)&amp;"|"&amp;$C26&amp;"|"&amp;$D26&amp;"|"&amp;AI$14&amp;"|"&amp;"CY2023Q3",Spectrum!$R:$R,0)),0),SUM($U26)+SUM($AI26)))</f>
        <v/>
      </c>
      <c r="AK26" s="14" t="str">
        <f>IF(LEFT($B26,4)="_Mil","",_xlfn.IFNA(ROUND(INDEX(Spectrum!$N:$N,MATCH(RIGHT($B26,13)&amp;"|"&amp;$C26&amp;"|"&amp;$D26&amp;"|"&amp;AK$14&amp;"|"&amp;"CY2023Q3",Spectrum!$R:$R,0)),0),""))</f>
        <v/>
      </c>
      <c r="AL26" s="90" t="str">
        <f t="shared" si="7"/>
        <v/>
      </c>
      <c r="AM26" s="14" t="str">
        <f t="shared" si="8"/>
        <v/>
      </c>
      <c r="AN26" s="14" t="str">
        <f>IF($C26="&lt;01",ROUND(INDEX(EID!$P:$P,MATCH($B26,EID!$B:$B,0))/2,0),"")</f>
        <v/>
      </c>
      <c r="AO26" s="14">
        <f t="shared" si="9"/>
        <v>0</v>
      </c>
      <c r="AP26" s="42">
        <f t="shared" si="10"/>
        <v>0</v>
      </c>
      <c r="AQ26" s="42" t="str">
        <f t="shared" si="11"/>
        <v/>
      </c>
      <c r="AR26" s="90" t="str">
        <f t="shared" si="12"/>
        <v/>
      </c>
      <c r="AS26" s="90">
        <f t="shared" si="13"/>
        <v>0.98</v>
      </c>
      <c r="AT26" s="90">
        <f t="shared" si="13"/>
        <v>0.98</v>
      </c>
      <c r="AU26" s="14">
        <f t="shared" si="14"/>
        <v>0</v>
      </c>
      <c r="AV26" s="14">
        <f>IF($C26="&lt;01",ROUND(INDEX(EID!$N:$N,MATCH($B26,EID!$B:$B,0))/2,0),IF(SUM($AT26)=0,"",ROUND((SUM($AP26)-(SUM($O26)*SUM($AS26)))/$AT26,0)))</f>
        <v>0</v>
      </c>
      <c r="AW26" s="90">
        <f t="shared" si="15"/>
        <v>1</v>
      </c>
      <c r="AX26" s="42">
        <f t="shared" si="16"/>
        <v>0</v>
      </c>
      <c r="AY26" s="116">
        <f t="shared" si="17"/>
        <v>0.7</v>
      </c>
      <c r="AZ26" s="93">
        <f>IF($C26="&lt;01",ROUND(INDEX(EID!$R:$R,MATCH($B26,EID!$B:$B,0))/2,0),ROUND(SUM($O26)+(SUM($AV26)*$AY26),0))</f>
        <v>0</v>
      </c>
      <c r="BA26" s="89">
        <f t="shared" si="18"/>
        <v>0.95</v>
      </c>
      <c r="BB26" s="9">
        <f>IF($C26="&lt;01",ROUND(INDEX(EID!$T:$T,MATCH($B26,EID!$B:$B,0))/2,0),ROUND($AZ26*$BA26,0))</f>
        <v>0</v>
      </c>
      <c r="BC26" s="93" t="str">
        <f t="shared" si="19"/>
        <v/>
      </c>
      <c r="BD26" s="90">
        <f t="shared" si="20"/>
        <v>0.95</v>
      </c>
      <c r="BE26" s="42">
        <f>IF($C26="&lt;01",ROUND(INDEX(EID!$V:$V,MATCH($B26,EID!$B:$B,0))/2,0),ROUND($BD26*$BB26,0))</f>
        <v>0</v>
      </c>
      <c r="BF26" s="42" t="str">
        <f t="shared" si="21"/>
        <v/>
      </c>
      <c r="BG26" s="116">
        <f t="shared" si="22"/>
        <v>0.95</v>
      </c>
      <c r="BH26" s="9">
        <f>IF($C26="&lt;01",ROUND(INDEX(EID!$L:$L,MATCH($B26,EID!$B:$B,0)),0)/2,IF(SUM($BG26)=0,"",ROUND($AX26/$BG26,0)))</f>
        <v>0</v>
      </c>
    </row>
    <row r="27" spans="1:60" x14ac:dyDescent="0.2">
      <c r="A27" t="str">
        <f>INDEX(Prioritization!$D:$D,MATCH($B27,Prioritization!$A:$A,0))</f>
        <v>Military</v>
      </c>
      <c r="B27" t="s">
        <v>193</v>
      </c>
      <c r="C27" t="s">
        <v>367</v>
      </c>
      <c r="D27" t="s">
        <v>29</v>
      </c>
      <c r="E27" t="str">
        <f t="shared" si="0"/>
        <v>_Military Malawi [PQZgU9dagaH]|50+|Female</v>
      </c>
      <c r="F27" s="14"/>
      <c r="G27" s="14"/>
      <c r="H27" s="14"/>
      <c r="I27" s="14"/>
      <c r="J27" s="14"/>
      <c r="K27" s="14"/>
      <c r="L27" s="14"/>
      <c r="M27" s="14"/>
      <c r="N27" s="14"/>
      <c r="O27" s="14" t="str">
        <f t="shared" si="1"/>
        <v/>
      </c>
      <c r="P27" s="14"/>
      <c r="Q27" s="14"/>
      <c r="R27" s="14" t="str">
        <f t="shared" si="2"/>
        <v/>
      </c>
      <c r="S27" s="14" t="str">
        <f>IF(LEFT($B27,4)="_Mil","",_xlfn.IFNA(ROUND(INDEX(Spectrum!$N:$N,MATCH(RIGHT($B27,13)&amp;"|"&amp;$C27&amp;"|"&amp;$D27&amp;"|"&amp;S$14&amp;"|"&amp;"CY2022Q4",Spectrum!$R:$R,0)),0),""))</f>
        <v/>
      </c>
      <c r="T27" s="42" t="str">
        <f>IF(LEFT($B27,4)="_Mil","",_xlfn.IFNA(ROUND(INDEX(Spectrum!$N:$N,MATCH(RIGHT($B27,13)&amp;"|"&amp;$C27&amp;"|"&amp;$D27&amp;"|"&amp;T$14&amp;"|"&amp;"CY2023Q3",Spectrum!$R:$R,0)),0),""))</f>
        <v/>
      </c>
      <c r="U27" s="42" t="str">
        <f>IF(LEFT($B27,4)="_Mil","",_xlfn.IFNA(ROUND(INDEX(Spectrum!$N:$N,MATCH(RIGHT($B27,13)&amp;"|"&amp;$C27&amp;"|"&amp;$D27&amp;"|"&amp;U$14&amp;"|"&amp;"CY2023Q3",Spectrum!$R:$R,0)),0),""))</f>
        <v/>
      </c>
      <c r="V27" s="14" t="str">
        <f>IF(LEFT($B27,4)="_Mil","",_xlfn.IFNA(ROUND(INDEX(Spectrum!$N:$N,MATCH(RIGHT($B27,13)&amp;"|"&amp;$C27&amp;"|"&amp;$D27&amp;"|"&amp;V$14&amp;"|"&amp;"CY2023Q3",Spectrum!$R:$R,0)),0),""))</f>
        <v/>
      </c>
      <c r="W27" s="115" t="str">
        <f>IF(LEFT($B27,4)="_Mil","",_xlfn.IFNA(INDEX(Spectrum!$N:$N,MATCH(RIGHT($B27,13)&amp;"|"&amp;$C27&amp;"|"&amp;$D27&amp;"|"&amp;W$14&amp;"|"&amp;"CY2023Q3",Spectrum!$R:$R,0)),""))</f>
        <v/>
      </c>
      <c r="X27" s="42" t="str">
        <f>IF(LEFT($B27,4)="_Mil","",_xlfn.IFNA(ROUND(INDEX(Spectrum!$N:$N,MATCH(RIGHT($B27,13)&amp;"|"&amp;$C27&amp;"|"&amp;$D27&amp;"|"&amp;X$14&amp;"|"&amp;"CY2023Q3",Spectrum!$R:$R,0)),0),""))</f>
        <v/>
      </c>
      <c r="Y27" s="90" t="str">
        <f t="shared" si="3"/>
        <v/>
      </c>
      <c r="Z27" s="42" t="str">
        <f>IF(LEFT($B27,4)="_Mil","",_xlfn.IFNA(ROUND(INDEX(Spectrum!$N:$N,MATCH(RIGHT($B27,13)&amp;"|"&amp;$C27&amp;"|"&amp;$D27&amp;"|"&amp;Z$14&amp;"|"&amp;"CY2023Q3",Spectrum!$R:$R,0)),0),""))</f>
        <v/>
      </c>
      <c r="AA27" s="90" t="str">
        <f>IF(LEFT($B27,4)="_Mil","",IFERROR(1/(1/INDEX(Spectrum!$N:$N,MATCH(RIGHT($B27,13)&amp;"|"&amp;$C27&amp;"|"&amp;$D27&amp;"|"&amp;AA$14&amp;"|"&amp;"CY2023Q3",Spectrum!$R:$R,0))),IF(SUM($U27)=0,"",SUM($Z27)/$U27)))</f>
        <v/>
      </c>
      <c r="AB27" s="90" t="str">
        <f t="shared" si="4"/>
        <v/>
      </c>
      <c r="AC27" s="14" t="str">
        <f>IF(LEFT($B27,4)="_Mil","",_xlfn.IFNA(ROUND(INDEX(Spectrum!$N:$N,MATCH(RIGHT($B27,13)&amp;"|"&amp;$C27&amp;"|"&amp;$D27&amp;"|"&amp;AC$14&amp;"|"&amp;"CY2023Q3",Spectrum!$R:$R,0)),0),""))</f>
        <v/>
      </c>
      <c r="AD27" s="14" t="str">
        <f>IF(LEFT($B27,4)="_Mil","",_xlfn.IFNA(ROUND(INDEX(Spectrum!$N:$N,MATCH(RIGHT($B27,13)&amp;"|"&amp;$C27&amp;"|"&amp;$D27&amp;"|"&amp;AD$14&amp;"|"&amp;"CY2023Q3",Spectrum!$R:$R,0)),0),""))</f>
        <v/>
      </c>
      <c r="AE27" s="90" t="str">
        <f t="shared" si="5"/>
        <v/>
      </c>
      <c r="AF27" s="42" t="str">
        <f>IF(LEFT($B27,4)="_Mil","",_xlfn.IFNA(ROUND(INDEX(Spectrum!$N:$N,MATCH(RIGHT($B27,13)&amp;"|"&amp;$C27&amp;"|"&amp;$D27&amp;"|"&amp;AF$14&amp;"|"&amp;"CY2023Q3",Spectrum!$R:$R,0)),0),""))</f>
        <v/>
      </c>
      <c r="AG27" s="90" t="str">
        <f t="shared" si="6"/>
        <v/>
      </c>
      <c r="AH27" s="88" t="str">
        <f>IF(LEFT($B27,4)="_Mil","",_xlfn.IFNA(INDEX(Spectrum!$N:$N,MATCH(RIGHT($B27,13)&amp;"|"&amp;$C27&amp;"|"&amp;$D27&amp;"|"&amp;AH$14&amp;"|"&amp;"CY2023Q3",Spectrum!$R:$R,0)),""))</f>
        <v/>
      </c>
      <c r="AI27" s="14" t="str">
        <f>IF(LEFT($B27,4)="_Mil","",_xlfn.IFNA(ROUND(INDEX(Spectrum!$N:$N,MATCH(RIGHT($B27,13)&amp;"|"&amp;$C27&amp;"|"&amp;$D27&amp;"|"&amp;AI$14&amp;"|"&amp;"CY2023Q3",Spectrum!$R:$R,0)),0),""))</f>
        <v/>
      </c>
      <c r="AJ27" s="42" t="str">
        <f>IF(LEFT($B27,4)="_Mil","",_xlfn.IFNA(ROUND(INDEX(Spectrum!$N:$N,MATCH(RIGHT($B27,13)&amp;"|"&amp;$C27&amp;"|"&amp;$D27&amp;"|"&amp;AI$14&amp;"|"&amp;"CY2023Q3",Spectrum!$R:$R,0)),0),SUM($U27)+SUM($AI27)))</f>
        <v/>
      </c>
      <c r="AK27" s="14" t="str">
        <f>IF(LEFT($B27,4)="_Mil","",_xlfn.IFNA(ROUND(INDEX(Spectrum!$N:$N,MATCH(RIGHT($B27,13)&amp;"|"&amp;$C27&amp;"|"&amp;$D27&amp;"|"&amp;AK$14&amp;"|"&amp;"CY2023Q3",Spectrum!$R:$R,0)),0),""))</f>
        <v/>
      </c>
      <c r="AL27" s="90" t="str">
        <f t="shared" si="7"/>
        <v/>
      </c>
      <c r="AM27" s="14" t="str">
        <f t="shared" si="8"/>
        <v/>
      </c>
      <c r="AN27" s="14" t="str">
        <f>IF($C27="&lt;01",ROUND(INDEX(EID!$P:$P,MATCH($B27,EID!$B:$B,0))/2,0),"")</f>
        <v/>
      </c>
      <c r="AO27" s="14">
        <f t="shared" si="9"/>
        <v>0</v>
      </c>
      <c r="AP27" s="42">
        <f t="shared" si="10"/>
        <v>0</v>
      </c>
      <c r="AQ27" s="42" t="str">
        <f t="shared" si="11"/>
        <v/>
      </c>
      <c r="AR27" s="90" t="str">
        <f t="shared" si="12"/>
        <v/>
      </c>
      <c r="AS27" s="90">
        <f t="shared" si="13"/>
        <v>0.98</v>
      </c>
      <c r="AT27" s="90">
        <f t="shared" si="13"/>
        <v>0.98</v>
      </c>
      <c r="AU27" s="14">
        <f t="shared" si="14"/>
        <v>0</v>
      </c>
      <c r="AV27" s="14">
        <f>IF($C27="&lt;01",ROUND(INDEX(EID!$N:$N,MATCH($B27,EID!$B:$B,0))/2,0),IF(SUM($AT27)=0,"",ROUND((SUM($AP27)-(SUM($O27)*SUM($AS27)))/$AT27,0)))</f>
        <v>0</v>
      </c>
      <c r="AW27" s="90">
        <f t="shared" si="15"/>
        <v>1</v>
      </c>
      <c r="AX27" s="42">
        <f t="shared" si="16"/>
        <v>0</v>
      </c>
      <c r="AY27" s="116">
        <f t="shared" si="17"/>
        <v>0.7</v>
      </c>
      <c r="AZ27" s="93">
        <f>IF($C27="&lt;01",ROUND(INDEX(EID!$R:$R,MATCH($B27,EID!$B:$B,0))/2,0),ROUND(SUM($O27)+(SUM($AV27)*$AY27),0))</f>
        <v>0</v>
      </c>
      <c r="BA27" s="89">
        <f t="shared" si="18"/>
        <v>0.95</v>
      </c>
      <c r="BB27" s="9">
        <f>IF($C27="&lt;01",ROUND(INDEX(EID!$T:$T,MATCH($B27,EID!$B:$B,0))/2,0),ROUND($AZ27*$BA27,0))</f>
        <v>0</v>
      </c>
      <c r="BC27" s="93" t="str">
        <f t="shared" si="19"/>
        <v/>
      </c>
      <c r="BD27" s="90">
        <f t="shared" si="20"/>
        <v>0.95</v>
      </c>
      <c r="BE27" s="42">
        <f>IF($C27="&lt;01",ROUND(INDEX(EID!$V:$V,MATCH($B27,EID!$B:$B,0))/2,0),ROUND($BD27*$BB27,0))</f>
        <v>0</v>
      </c>
      <c r="BF27" s="42" t="str">
        <f t="shared" si="21"/>
        <v/>
      </c>
      <c r="BG27" s="116">
        <f t="shared" si="22"/>
        <v>0.95</v>
      </c>
      <c r="BH27" s="9">
        <f>IF($C27="&lt;01",ROUND(INDEX(EID!$L:$L,MATCH($B27,EID!$B:$B,0)),0)/2,IF(SUM($BG27)=0,"",ROUND($AX27/$BG27,0)))</f>
        <v>0</v>
      </c>
    </row>
    <row r="28" spans="1:60" x14ac:dyDescent="0.2">
      <c r="A28" t="str">
        <f>INDEX(Prioritization!$D:$D,MATCH($B28,Prioritization!$A:$A,0))</f>
        <v>Military</v>
      </c>
      <c r="B28" t="s">
        <v>193</v>
      </c>
      <c r="C28" t="s">
        <v>367</v>
      </c>
      <c r="D28" t="s">
        <v>47</v>
      </c>
      <c r="E28" t="str">
        <f t="shared" si="0"/>
        <v>_Military Malawi [PQZgU9dagaH]|50+|Male</v>
      </c>
      <c r="F28" s="14"/>
      <c r="G28" s="14"/>
      <c r="H28" s="14"/>
      <c r="I28" s="14"/>
      <c r="J28" s="14"/>
      <c r="K28" s="14"/>
      <c r="L28" s="14"/>
      <c r="M28" s="14"/>
      <c r="N28" s="14"/>
      <c r="O28" s="14" t="str">
        <f t="shared" si="1"/>
        <v/>
      </c>
      <c r="P28" s="14"/>
      <c r="Q28" s="14"/>
      <c r="R28" s="14" t="str">
        <f t="shared" si="2"/>
        <v/>
      </c>
      <c r="S28" s="14" t="str">
        <f>IF(LEFT($B28,4)="_Mil","",_xlfn.IFNA(ROUND(INDEX(Spectrum!$N:$N,MATCH(RIGHT($B28,13)&amp;"|"&amp;$C28&amp;"|"&amp;$D28&amp;"|"&amp;S$14&amp;"|"&amp;"CY2022Q4",Spectrum!$R:$R,0)),0),""))</f>
        <v/>
      </c>
      <c r="T28" s="42" t="str">
        <f>IF(LEFT($B28,4)="_Mil","",_xlfn.IFNA(ROUND(INDEX(Spectrum!$N:$N,MATCH(RIGHT($B28,13)&amp;"|"&amp;$C28&amp;"|"&amp;$D28&amp;"|"&amp;T$14&amp;"|"&amp;"CY2023Q3",Spectrum!$R:$R,0)),0),""))</f>
        <v/>
      </c>
      <c r="U28" s="42" t="str">
        <f>IF(LEFT($B28,4)="_Mil","",_xlfn.IFNA(ROUND(INDEX(Spectrum!$N:$N,MATCH(RIGHT($B28,13)&amp;"|"&amp;$C28&amp;"|"&amp;$D28&amp;"|"&amp;U$14&amp;"|"&amp;"CY2023Q3",Spectrum!$R:$R,0)),0),""))</f>
        <v/>
      </c>
      <c r="V28" s="14" t="str">
        <f>IF(LEFT($B28,4)="_Mil","",_xlfn.IFNA(ROUND(INDEX(Spectrum!$N:$N,MATCH(RIGHT($B28,13)&amp;"|"&amp;$C28&amp;"|"&amp;$D28&amp;"|"&amp;V$14&amp;"|"&amp;"CY2023Q3",Spectrum!$R:$R,0)),0),""))</f>
        <v/>
      </c>
      <c r="W28" s="115" t="str">
        <f>IF(LEFT($B28,4)="_Mil","",_xlfn.IFNA(INDEX(Spectrum!$N:$N,MATCH(RIGHT($B28,13)&amp;"|"&amp;$C28&amp;"|"&amp;$D28&amp;"|"&amp;W$14&amp;"|"&amp;"CY2023Q3",Spectrum!$R:$R,0)),""))</f>
        <v/>
      </c>
      <c r="X28" s="42" t="str">
        <f>IF(LEFT($B28,4)="_Mil","",_xlfn.IFNA(ROUND(INDEX(Spectrum!$N:$N,MATCH(RIGHT($B28,13)&amp;"|"&amp;$C28&amp;"|"&amp;$D28&amp;"|"&amp;X$14&amp;"|"&amp;"CY2023Q3",Spectrum!$R:$R,0)),0),""))</f>
        <v/>
      </c>
      <c r="Y28" s="90" t="str">
        <f t="shared" si="3"/>
        <v/>
      </c>
      <c r="Z28" s="42" t="str">
        <f>IF(LEFT($B28,4)="_Mil","",_xlfn.IFNA(ROUND(INDEX(Spectrum!$N:$N,MATCH(RIGHT($B28,13)&amp;"|"&amp;$C28&amp;"|"&amp;$D28&amp;"|"&amp;Z$14&amp;"|"&amp;"CY2023Q3",Spectrum!$R:$R,0)),0),""))</f>
        <v/>
      </c>
      <c r="AA28" s="90" t="str">
        <f>IF(LEFT($B28,4)="_Mil","",IFERROR(1/(1/INDEX(Spectrum!$N:$N,MATCH(RIGHT($B28,13)&amp;"|"&amp;$C28&amp;"|"&amp;$D28&amp;"|"&amp;AA$14&amp;"|"&amp;"CY2023Q3",Spectrum!$R:$R,0))),IF(SUM($U28)=0,"",SUM($Z28)/$U28)))</f>
        <v/>
      </c>
      <c r="AB28" s="90" t="str">
        <f t="shared" si="4"/>
        <v/>
      </c>
      <c r="AC28" s="14" t="str">
        <f>IF(LEFT($B28,4)="_Mil","",_xlfn.IFNA(ROUND(INDEX(Spectrum!$N:$N,MATCH(RIGHT($B28,13)&amp;"|"&amp;$C28&amp;"|"&amp;$D28&amp;"|"&amp;AC$14&amp;"|"&amp;"CY2023Q3",Spectrum!$R:$R,0)),0),""))</f>
        <v/>
      </c>
      <c r="AD28" s="14" t="str">
        <f>IF(LEFT($B28,4)="_Mil","",_xlfn.IFNA(ROUND(INDEX(Spectrum!$N:$N,MATCH(RIGHT($B28,13)&amp;"|"&amp;$C28&amp;"|"&amp;$D28&amp;"|"&amp;AD$14&amp;"|"&amp;"CY2023Q3",Spectrum!$R:$R,0)),0),""))</f>
        <v/>
      </c>
      <c r="AE28" s="90" t="str">
        <f t="shared" si="5"/>
        <v/>
      </c>
      <c r="AF28" s="42" t="str">
        <f>IF(LEFT($B28,4)="_Mil","",_xlfn.IFNA(ROUND(INDEX(Spectrum!$N:$N,MATCH(RIGHT($B28,13)&amp;"|"&amp;$C28&amp;"|"&amp;$D28&amp;"|"&amp;AF$14&amp;"|"&amp;"CY2023Q3",Spectrum!$R:$R,0)),0),""))</f>
        <v/>
      </c>
      <c r="AG28" s="90" t="str">
        <f t="shared" si="6"/>
        <v/>
      </c>
      <c r="AH28" s="88" t="str">
        <f>IF(LEFT($B28,4)="_Mil","",_xlfn.IFNA(INDEX(Spectrum!$N:$N,MATCH(RIGHT($B28,13)&amp;"|"&amp;$C28&amp;"|"&amp;$D28&amp;"|"&amp;AH$14&amp;"|"&amp;"CY2023Q3",Spectrum!$R:$R,0)),""))</f>
        <v/>
      </c>
      <c r="AI28" s="14" t="str">
        <f>IF(LEFT($B28,4)="_Mil","",_xlfn.IFNA(ROUND(INDEX(Spectrum!$N:$N,MATCH(RIGHT($B28,13)&amp;"|"&amp;$C28&amp;"|"&amp;$D28&amp;"|"&amp;AI$14&amp;"|"&amp;"CY2023Q3",Spectrum!$R:$R,0)),0),""))</f>
        <v/>
      </c>
      <c r="AJ28" s="42" t="str">
        <f>IF(LEFT($B28,4)="_Mil","",_xlfn.IFNA(ROUND(INDEX(Spectrum!$N:$N,MATCH(RIGHT($B28,13)&amp;"|"&amp;$C28&amp;"|"&amp;$D28&amp;"|"&amp;AI$14&amp;"|"&amp;"CY2023Q3",Spectrum!$R:$R,0)),0),SUM($U28)+SUM($AI28)))</f>
        <v/>
      </c>
      <c r="AK28" s="14" t="str">
        <f>IF(LEFT($B28,4)="_Mil","",_xlfn.IFNA(ROUND(INDEX(Spectrum!$N:$N,MATCH(RIGHT($B28,13)&amp;"|"&amp;$C28&amp;"|"&amp;$D28&amp;"|"&amp;AK$14&amp;"|"&amp;"CY2023Q3",Spectrum!$R:$R,0)),0),""))</f>
        <v/>
      </c>
      <c r="AL28" s="90" t="str">
        <f t="shared" si="7"/>
        <v/>
      </c>
      <c r="AM28" s="14" t="str">
        <f t="shared" si="8"/>
        <v/>
      </c>
      <c r="AN28" s="14" t="str">
        <f>IF($C28="&lt;01",ROUND(INDEX(EID!$P:$P,MATCH($B28,EID!$B:$B,0))/2,0),"")</f>
        <v/>
      </c>
      <c r="AO28" s="14">
        <f t="shared" si="9"/>
        <v>0</v>
      </c>
      <c r="AP28" s="42">
        <f t="shared" si="10"/>
        <v>0</v>
      </c>
      <c r="AQ28" s="42" t="str">
        <f t="shared" si="11"/>
        <v/>
      </c>
      <c r="AR28" s="90" t="str">
        <f t="shared" si="12"/>
        <v/>
      </c>
      <c r="AS28" s="90">
        <f t="shared" si="13"/>
        <v>0.98</v>
      </c>
      <c r="AT28" s="90">
        <f t="shared" si="13"/>
        <v>0.98</v>
      </c>
      <c r="AU28" s="14">
        <f t="shared" si="14"/>
        <v>0</v>
      </c>
      <c r="AV28" s="14">
        <f>IF($C28="&lt;01",ROUND(INDEX(EID!$N:$N,MATCH($B28,EID!$B:$B,0))/2,0),IF(SUM($AT28)=0,"",ROUND((SUM($AP28)-(SUM($O28)*SUM($AS28)))/$AT28,0)))</f>
        <v>0</v>
      </c>
      <c r="AW28" s="90">
        <f t="shared" si="15"/>
        <v>1</v>
      </c>
      <c r="AX28" s="42">
        <f t="shared" si="16"/>
        <v>0</v>
      </c>
      <c r="AY28" s="116">
        <f t="shared" si="17"/>
        <v>0.7</v>
      </c>
      <c r="AZ28" s="93">
        <f>IF($C28="&lt;01",ROUND(INDEX(EID!$R:$R,MATCH($B28,EID!$B:$B,0))/2,0),ROUND(SUM($O28)+(SUM($AV28)*$AY28),0))</f>
        <v>0</v>
      </c>
      <c r="BA28" s="89">
        <f t="shared" si="18"/>
        <v>0.95</v>
      </c>
      <c r="BB28" s="9">
        <f>IF($C28="&lt;01",ROUND(INDEX(EID!$T:$T,MATCH($B28,EID!$B:$B,0))/2,0),ROUND($AZ28*$BA28,0))</f>
        <v>0</v>
      </c>
      <c r="BC28" s="93" t="str">
        <f t="shared" si="19"/>
        <v/>
      </c>
      <c r="BD28" s="90">
        <f t="shared" si="20"/>
        <v>0.95</v>
      </c>
      <c r="BE28" s="42">
        <f>IF($C28="&lt;01",ROUND(INDEX(EID!$V:$V,MATCH($B28,EID!$B:$B,0))/2,0),ROUND($BD28*$BB28,0))</f>
        <v>0</v>
      </c>
      <c r="BF28" s="42" t="str">
        <f t="shared" si="21"/>
        <v/>
      </c>
      <c r="BG28" s="116">
        <f t="shared" si="22"/>
        <v>0.95</v>
      </c>
      <c r="BH28" s="9">
        <f>IF($C28="&lt;01",ROUND(INDEX(EID!$L:$L,MATCH($B28,EID!$B:$B,0)),0)/2,IF(SUM($BG28)=0,"",ROUND($AX28/$BG28,0)))</f>
        <v>0</v>
      </c>
    </row>
    <row r="29" spans="1:60" x14ac:dyDescent="0.2">
      <c r="A29" t="str">
        <f>INDEX(Prioritization!$D:$D,MATCH($B29,Prioritization!$A:$A,0))</f>
        <v>1 - Scale-up: Saturation</v>
      </c>
      <c r="B29" t="s">
        <v>194</v>
      </c>
      <c r="C29" t="s">
        <v>315</v>
      </c>
      <c r="D29" t="s">
        <v>29</v>
      </c>
      <c r="E29" t="str">
        <f t="shared" si="0"/>
        <v>Dedza District [PekKUkKHAzY]|&lt;01|Female</v>
      </c>
      <c r="F29" s="14"/>
      <c r="G29" s="14">
        <v>8</v>
      </c>
      <c r="H29" s="14">
        <v>3</v>
      </c>
      <c r="I29" s="14">
        <v>0</v>
      </c>
      <c r="J29" s="14">
        <v>8</v>
      </c>
      <c r="K29" s="14">
        <v>9</v>
      </c>
      <c r="L29" s="14"/>
      <c r="M29" s="14">
        <v>0</v>
      </c>
      <c r="N29" s="14">
        <v>1</v>
      </c>
      <c r="O29" s="14">
        <f t="shared" si="1"/>
        <v>1</v>
      </c>
      <c r="P29" s="14">
        <v>1</v>
      </c>
      <c r="Q29" s="14">
        <v>1</v>
      </c>
      <c r="R29" s="14">
        <f t="shared" si="2"/>
        <v>1</v>
      </c>
      <c r="S29" s="14">
        <f>IF(LEFT($B29,4)="_Mil","",_xlfn.IFNA(ROUND(INDEX(Spectrum!$N:$N,MATCH(RIGHT($B29,13)&amp;"|"&amp;$C29&amp;"|"&amp;$D29&amp;"|"&amp;S$14&amp;"|"&amp;"CY2022Q4",Spectrum!$R:$R,0)),0),""))</f>
        <v>769</v>
      </c>
      <c r="T29" s="42">
        <f>IF(LEFT($B29,4)="_Mil","",_xlfn.IFNA(ROUND(INDEX(Spectrum!$N:$N,MATCH(RIGHT($B29,13)&amp;"|"&amp;$C29&amp;"|"&amp;$D29&amp;"|"&amp;T$14&amp;"|"&amp;"CY2023Q3",Spectrum!$R:$R,0)),0),""))</f>
        <v>994</v>
      </c>
      <c r="U29" s="42" t="str">
        <f>IF(LEFT($B29,4)="_Mil","",_xlfn.IFNA(ROUND(INDEX(Spectrum!$N:$N,MATCH(RIGHT($B29,13)&amp;"|"&amp;$C29&amp;"|"&amp;$D29&amp;"|"&amp;U$14&amp;"|"&amp;"CY2023Q3",Spectrum!$R:$R,0)),0),""))</f>
        <v/>
      </c>
      <c r="V29" s="14">
        <f>IF(LEFT($B29,4)="_Mil","",_xlfn.IFNA(ROUND(INDEX(Spectrum!$N:$N,MATCH(RIGHT($B29,13)&amp;"|"&amp;$C29&amp;"|"&amp;$D29&amp;"|"&amp;V$14&amp;"|"&amp;"CY2023Q3",Spectrum!$R:$R,0)),0),""))</f>
        <v>554</v>
      </c>
      <c r="W29" s="115">
        <f>IF(LEFT($B29,4)="_Mil","",_xlfn.IFNA(INDEX(Spectrum!$N:$N,MATCH(RIGHT($B29,13)&amp;"|"&amp;$C29&amp;"|"&amp;$D29&amp;"|"&amp;W$14&amp;"|"&amp;"CY2023Q3",Spectrum!$R:$R,0)),""))</f>
        <v>1236</v>
      </c>
      <c r="X29" s="42">
        <f>IF(LEFT($B29,4)="_Mil","",_xlfn.IFNA(ROUND(INDEX(Spectrum!$N:$N,MATCH(RIGHT($B29,13)&amp;"|"&amp;$C29&amp;"|"&amp;$D29&amp;"|"&amp;X$14&amp;"|"&amp;"CY2023Q3",Spectrum!$R:$R,0)),0),""))</f>
        <v>1375</v>
      </c>
      <c r="Y29" s="90" t="str">
        <f t="shared" si="3"/>
        <v/>
      </c>
      <c r="Z29" s="42">
        <f>IF(LEFT($B29,4)="_Mil","",_xlfn.IFNA(ROUND(INDEX(Spectrum!$N:$N,MATCH(RIGHT($B29,13)&amp;"|"&amp;$C29&amp;"|"&amp;$D29&amp;"|"&amp;Z$14&amp;"|"&amp;"CY2023Q3",Spectrum!$R:$R,0)),0),""))</f>
        <v>1173</v>
      </c>
      <c r="AA29" s="90">
        <f>IF(LEFT($B29,4)="_Mil","",IFERROR(1/(1/INDEX(Spectrum!$N:$N,MATCH(RIGHT($B29,13)&amp;"|"&amp;$C29&amp;"|"&amp;$D29&amp;"|"&amp;AA$14&amp;"|"&amp;"CY2023Q3",Spectrum!$R:$R,0))),IF(SUM($U29)=0,"",SUM($Z29)/$U29)))</f>
        <v>1725</v>
      </c>
      <c r="AB29" s="90">
        <f t="shared" si="4"/>
        <v>0.85309090909090912</v>
      </c>
      <c r="AC29" s="14">
        <f>IF(LEFT($B29,4)="_Mil","",_xlfn.IFNA(ROUND(INDEX(Spectrum!$N:$N,MATCH(RIGHT($B29,13)&amp;"|"&amp;$C29&amp;"|"&amp;$D29&amp;"|"&amp;AC$14&amp;"|"&amp;"CY2023Q3",Spectrum!$R:$R,0)),0),""))</f>
        <v>587</v>
      </c>
      <c r="AD29" s="14" t="str">
        <f>IF(LEFT($B29,4)="_Mil","",_xlfn.IFNA(ROUND(INDEX(Spectrum!$N:$N,MATCH(RIGHT($B29,13)&amp;"|"&amp;$C29&amp;"|"&amp;$D29&amp;"|"&amp;AD$14&amp;"|"&amp;"CY2023Q3",Spectrum!$R:$R,0)),0),""))</f>
        <v/>
      </c>
      <c r="AE29" s="90">
        <f t="shared" si="5"/>
        <v>0</v>
      </c>
      <c r="AF29" s="42" t="str">
        <f>IF(LEFT($B29,4)="_Mil","",_xlfn.IFNA(ROUND(INDEX(Spectrum!$N:$N,MATCH(RIGHT($B29,13)&amp;"|"&amp;$C29&amp;"|"&amp;$D29&amp;"|"&amp;AF$14&amp;"|"&amp;"CY2023Q3",Spectrum!$R:$R,0)),0),""))</f>
        <v/>
      </c>
      <c r="AG29" s="90" t="str">
        <f t="shared" si="6"/>
        <v/>
      </c>
      <c r="AH29" s="88" t="str">
        <f>IF(LEFT($B29,4)="_Mil","",_xlfn.IFNA(INDEX(Spectrum!$N:$N,MATCH(RIGHT($B29,13)&amp;"|"&amp;$C29&amp;"|"&amp;$D29&amp;"|"&amp;AH$14&amp;"|"&amp;"CY2023Q3",Spectrum!$R:$R,0)),""))</f>
        <v/>
      </c>
      <c r="AI29" s="14" t="str">
        <f>IF(LEFT($B29,4)="_Mil","",_xlfn.IFNA(ROUND(INDEX(Spectrum!$N:$N,MATCH(RIGHT($B29,13)&amp;"|"&amp;$C29&amp;"|"&amp;$D29&amp;"|"&amp;AI$14&amp;"|"&amp;"CY2023Q3",Spectrum!$R:$R,0)),0),""))</f>
        <v/>
      </c>
      <c r="AJ29" s="42">
        <f>IF(LEFT($B29,4)="_Mil","",_xlfn.IFNA(ROUND(INDEX(Spectrum!$N:$N,MATCH(RIGHT($B29,13)&amp;"|"&amp;$C29&amp;"|"&amp;$D29&amp;"|"&amp;AI$14&amp;"|"&amp;"CY2023Q3",Spectrum!$R:$R,0)),0),SUM($U29)+SUM($AI29)))</f>
        <v>0</v>
      </c>
      <c r="AK29" s="14" t="str">
        <f>IF(LEFT($B29,4)="_Mil","",_xlfn.IFNA(ROUND(INDEX(Spectrum!$N:$N,MATCH(RIGHT($B29,13)&amp;"|"&amp;$C29&amp;"|"&amp;$D29&amp;"|"&amp;AK$14&amp;"|"&amp;"CY2023Q3",Spectrum!$R:$R,0)),0),""))</f>
        <v/>
      </c>
      <c r="AL29" s="90" t="str">
        <f t="shared" si="7"/>
        <v/>
      </c>
      <c r="AM29" s="14" t="str">
        <f t="shared" si="8"/>
        <v/>
      </c>
      <c r="AN29" s="14">
        <f>IF($C29="&lt;01",ROUND(INDEX(EID!$P:$P,MATCH($B29,EID!$B:$B,0))/2,0),"")</f>
        <v>0</v>
      </c>
      <c r="AO29" s="14">
        <f t="shared" si="9"/>
        <v>0</v>
      </c>
      <c r="AP29" s="42">
        <f t="shared" si="10"/>
        <v>0</v>
      </c>
      <c r="AQ29" s="42">
        <f t="shared" si="11"/>
        <v>1173</v>
      </c>
      <c r="AR29" s="90" t="str">
        <f t="shared" si="12"/>
        <v/>
      </c>
      <c r="AS29" s="90" t="str">
        <f t="shared" si="13"/>
        <v/>
      </c>
      <c r="AT29" s="90" t="str">
        <f t="shared" si="13"/>
        <v/>
      </c>
      <c r="AU29" s="14" t="str">
        <f t="shared" si="14"/>
        <v/>
      </c>
      <c r="AV29" s="14">
        <f>IF($C29="&lt;01",ROUND(INDEX(EID!$N:$N,MATCH($B29,EID!$B:$B,0))/2,0),IF(SUM($AT29)=0,"",ROUND((SUM($AP29)-(SUM($O29)*SUM($AS29)))/$AT29,0)))</f>
        <v>0</v>
      </c>
      <c r="AW29" s="90" t="str">
        <f t="shared" si="15"/>
        <v/>
      </c>
      <c r="AX29" s="42">
        <f t="shared" si="16"/>
        <v>0</v>
      </c>
      <c r="AY29" s="116" t="str">
        <f t="shared" si="17"/>
        <v/>
      </c>
      <c r="AZ29" s="93">
        <f>IF($C29="&lt;01",ROUND(INDEX(EID!$R:$R,MATCH($B29,EID!$B:$B,0))/2,0),ROUND(SUM($O29)+(SUM($AV29)*$AY29),0))</f>
        <v>0</v>
      </c>
      <c r="BA29" s="89" t="str">
        <f t="shared" si="18"/>
        <v/>
      </c>
      <c r="BB29" s="9">
        <f>IF($C29="&lt;01",ROUND(INDEX(EID!$T:$T,MATCH($B29,EID!$B:$B,0))/2,0),ROUND($AZ29*$BA29,0))</f>
        <v>0</v>
      </c>
      <c r="BC29" s="93">
        <f t="shared" si="19"/>
        <v>0</v>
      </c>
      <c r="BD29" s="90" t="str">
        <f t="shared" si="20"/>
        <v/>
      </c>
      <c r="BE29" s="42">
        <f>IF($C29="&lt;01",ROUND(INDEX(EID!$V:$V,MATCH($B29,EID!$B:$B,0))/2,0),ROUND($BD29*$BB29,0))</f>
        <v>0</v>
      </c>
      <c r="BF29" s="42">
        <f t="shared" si="21"/>
        <v>0</v>
      </c>
      <c r="BG29" s="116" t="str">
        <f t="shared" si="22"/>
        <v/>
      </c>
      <c r="BH29" s="9">
        <f>IF($C29="&lt;01",ROUND(INDEX(EID!$L:$L,MATCH($B29,EID!$B:$B,0)),0)/2,IF(SUM($BG29)=0,"",ROUND($AX29/$BG29,0)))</f>
        <v>0</v>
      </c>
    </row>
    <row r="30" spans="1:60" x14ac:dyDescent="0.2">
      <c r="A30" t="str">
        <f>INDEX(Prioritization!$D:$D,MATCH($B30,Prioritization!$A:$A,0))</f>
        <v>1 - Scale-up: Saturation</v>
      </c>
      <c r="B30" t="s">
        <v>194</v>
      </c>
      <c r="C30" t="s">
        <v>315</v>
      </c>
      <c r="D30" t="s">
        <v>47</v>
      </c>
      <c r="E30" t="str">
        <f t="shared" si="0"/>
        <v>Dedza District [PekKUkKHAzY]|&lt;01|Male</v>
      </c>
      <c r="F30" s="14"/>
      <c r="G30" s="14">
        <v>4</v>
      </c>
      <c r="H30" s="14">
        <v>8</v>
      </c>
      <c r="I30" s="14">
        <v>1</v>
      </c>
      <c r="J30" s="14">
        <v>5</v>
      </c>
      <c r="K30" s="14">
        <v>8</v>
      </c>
      <c r="L30" s="14"/>
      <c r="M30" s="14">
        <v>1</v>
      </c>
      <c r="N30" s="14">
        <v>1</v>
      </c>
      <c r="O30" s="14">
        <f t="shared" si="1"/>
        <v>1</v>
      </c>
      <c r="P30" s="14">
        <v>1</v>
      </c>
      <c r="Q30" s="14">
        <v>0</v>
      </c>
      <c r="R30" s="14">
        <f t="shared" si="2"/>
        <v>0</v>
      </c>
      <c r="S30" s="14">
        <f>IF(LEFT($B30,4)="_Mil","",_xlfn.IFNA(ROUND(INDEX(Spectrum!$N:$N,MATCH(RIGHT($B30,13)&amp;"|"&amp;$C30&amp;"|"&amp;$D30&amp;"|"&amp;S$14&amp;"|"&amp;"CY2022Q4",Spectrum!$R:$R,0)),0),""))</f>
        <v>553</v>
      </c>
      <c r="T30" s="42">
        <f>IF(LEFT($B30,4)="_Mil","",_xlfn.IFNA(ROUND(INDEX(Spectrum!$N:$N,MATCH(RIGHT($B30,13)&amp;"|"&amp;$C30&amp;"|"&amp;$D30&amp;"|"&amp;T$14&amp;"|"&amp;"CY2023Q3",Spectrum!$R:$R,0)),0),""))</f>
        <v>1032</v>
      </c>
      <c r="U30" s="42" t="str">
        <f>IF(LEFT($B30,4)="_Mil","",_xlfn.IFNA(ROUND(INDEX(Spectrum!$N:$N,MATCH(RIGHT($B30,13)&amp;"|"&amp;$C30&amp;"|"&amp;$D30&amp;"|"&amp;U$14&amp;"|"&amp;"CY2023Q3",Spectrum!$R:$R,0)),0),""))</f>
        <v/>
      </c>
      <c r="V30" s="14">
        <f>IF(LEFT($B30,4)="_Mil","",_xlfn.IFNA(ROUND(INDEX(Spectrum!$N:$N,MATCH(RIGHT($B30,13)&amp;"|"&amp;$C30&amp;"|"&amp;$D30&amp;"|"&amp;V$14&amp;"|"&amp;"CY2023Q3",Spectrum!$R:$R,0)),0),""))</f>
        <v>1655</v>
      </c>
      <c r="W30" s="115">
        <f>IF(LEFT($B30,4)="_Mil","",_xlfn.IFNA(INDEX(Spectrum!$N:$N,MATCH(RIGHT($B30,13)&amp;"|"&amp;$C30&amp;"|"&amp;$D30&amp;"|"&amp;W$14&amp;"|"&amp;"CY2023Q3",Spectrum!$R:$R,0)),""))</f>
        <v>1036</v>
      </c>
      <c r="X30" s="42">
        <f>IF(LEFT($B30,4)="_Mil","",_xlfn.IFNA(ROUND(INDEX(Spectrum!$N:$N,MATCH(RIGHT($B30,13)&amp;"|"&amp;$C30&amp;"|"&amp;$D30&amp;"|"&amp;X$14&amp;"|"&amp;"CY2023Q3",Spectrum!$R:$R,0)),0),""))</f>
        <v>1575</v>
      </c>
      <c r="Y30" s="90" t="str">
        <f t="shared" si="3"/>
        <v/>
      </c>
      <c r="Z30" s="42">
        <f>IF(LEFT($B30,4)="_Mil","",_xlfn.IFNA(ROUND(INDEX(Spectrum!$N:$N,MATCH(RIGHT($B30,13)&amp;"|"&amp;$C30&amp;"|"&amp;$D30&amp;"|"&amp;Z$14&amp;"|"&amp;"CY2023Q3",Spectrum!$R:$R,0)),0),""))</f>
        <v>590</v>
      </c>
      <c r="AA30" s="90">
        <f>IF(LEFT($B30,4)="_Mil","",IFERROR(1/(1/INDEX(Spectrum!$N:$N,MATCH(RIGHT($B30,13)&amp;"|"&amp;$C30&amp;"|"&amp;$D30&amp;"|"&amp;AA$14&amp;"|"&amp;"CY2023Q3",Spectrum!$R:$R,0))),IF(SUM($U30)=0,"",SUM($Z30)/$U30)))</f>
        <v>1935.0000000000002</v>
      </c>
      <c r="AB30" s="90">
        <f t="shared" si="4"/>
        <v>0.3746031746031746</v>
      </c>
      <c r="AC30" s="14">
        <f>IF(LEFT($B30,4)="_Mil","",_xlfn.IFNA(ROUND(INDEX(Spectrum!$N:$N,MATCH(RIGHT($B30,13)&amp;"|"&amp;$C30&amp;"|"&amp;$D30&amp;"|"&amp;AC$14&amp;"|"&amp;"CY2023Q3",Spectrum!$R:$R,0)),0),""))</f>
        <v>1653</v>
      </c>
      <c r="AD30" s="14" t="str">
        <f>IF(LEFT($B30,4)="_Mil","",_xlfn.IFNA(ROUND(INDEX(Spectrum!$N:$N,MATCH(RIGHT($B30,13)&amp;"|"&amp;$C30&amp;"|"&amp;$D30&amp;"|"&amp;AD$14&amp;"|"&amp;"CY2023Q3",Spectrum!$R:$R,0)),0),""))</f>
        <v/>
      </c>
      <c r="AE30" s="90">
        <f t="shared" si="5"/>
        <v>0</v>
      </c>
      <c r="AF30" s="42" t="str">
        <f>IF(LEFT($B30,4)="_Mil","",_xlfn.IFNA(ROUND(INDEX(Spectrum!$N:$N,MATCH(RIGHT($B30,13)&amp;"|"&amp;$C30&amp;"|"&amp;$D30&amp;"|"&amp;AF$14&amp;"|"&amp;"CY2023Q3",Spectrum!$R:$R,0)),0),""))</f>
        <v/>
      </c>
      <c r="AG30" s="90" t="str">
        <f t="shared" si="6"/>
        <v/>
      </c>
      <c r="AH30" s="88" t="str">
        <f>IF(LEFT($B30,4)="_Mil","",_xlfn.IFNA(INDEX(Spectrum!$N:$N,MATCH(RIGHT($B30,13)&amp;"|"&amp;$C30&amp;"|"&amp;$D30&amp;"|"&amp;AH$14&amp;"|"&amp;"CY2023Q3",Spectrum!$R:$R,0)),""))</f>
        <v/>
      </c>
      <c r="AI30" s="14" t="str">
        <f>IF(LEFT($B30,4)="_Mil","",_xlfn.IFNA(ROUND(INDEX(Spectrum!$N:$N,MATCH(RIGHT($B30,13)&amp;"|"&amp;$C30&amp;"|"&amp;$D30&amp;"|"&amp;AI$14&amp;"|"&amp;"CY2023Q3",Spectrum!$R:$R,0)),0),""))</f>
        <v/>
      </c>
      <c r="AJ30" s="42">
        <f>IF(LEFT($B30,4)="_Mil","",_xlfn.IFNA(ROUND(INDEX(Spectrum!$N:$N,MATCH(RIGHT($B30,13)&amp;"|"&amp;$C30&amp;"|"&amp;$D30&amp;"|"&amp;AI$14&amp;"|"&amp;"CY2023Q3",Spectrum!$R:$R,0)),0),SUM($U30)+SUM($AI30)))</f>
        <v>0</v>
      </c>
      <c r="AK30" s="14" t="str">
        <f>IF(LEFT($B30,4)="_Mil","",_xlfn.IFNA(ROUND(INDEX(Spectrum!$N:$N,MATCH(RIGHT($B30,13)&amp;"|"&amp;$C30&amp;"|"&amp;$D30&amp;"|"&amp;AK$14&amp;"|"&amp;"CY2023Q3",Spectrum!$R:$R,0)),0),""))</f>
        <v/>
      </c>
      <c r="AL30" s="90" t="str">
        <f t="shared" si="7"/>
        <v/>
      </c>
      <c r="AM30" s="14" t="str">
        <f t="shared" si="8"/>
        <v/>
      </c>
      <c r="AN30" s="14">
        <f>IF($C30="&lt;01",ROUND(INDEX(EID!$P:$P,MATCH($B30,EID!$B:$B,0))/2,0),"")</f>
        <v>0</v>
      </c>
      <c r="AO30" s="14">
        <f t="shared" si="9"/>
        <v>0</v>
      </c>
      <c r="AP30" s="42">
        <f t="shared" si="10"/>
        <v>0</v>
      </c>
      <c r="AQ30" s="42">
        <f t="shared" si="11"/>
        <v>590</v>
      </c>
      <c r="AR30" s="90" t="str">
        <f t="shared" si="12"/>
        <v/>
      </c>
      <c r="AS30" s="90" t="str">
        <f t="shared" si="13"/>
        <v/>
      </c>
      <c r="AT30" s="90" t="str">
        <f t="shared" si="13"/>
        <v/>
      </c>
      <c r="AU30" s="14" t="str">
        <f t="shared" si="14"/>
        <v/>
      </c>
      <c r="AV30" s="14">
        <f>IF($C30="&lt;01",ROUND(INDEX(EID!$N:$N,MATCH($B30,EID!$B:$B,0))/2,0),IF(SUM($AT30)=0,"",ROUND((SUM($AP30)-(SUM($O30)*SUM($AS30)))/$AT30,0)))</f>
        <v>0</v>
      </c>
      <c r="AW30" s="90" t="str">
        <f t="shared" si="15"/>
        <v/>
      </c>
      <c r="AX30" s="42">
        <f t="shared" si="16"/>
        <v>0</v>
      </c>
      <c r="AY30" s="116" t="str">
        <f t="shared" si="17"/>
        <v/>
      </c>
      <c r="AZ30" s="93">
        <f>IF($C30="&lt;01",ROUND(INDEX(EID!$R:$R,MATCH($B30,EID!$B:$B,0))/2,0),ROUND(SUM($O30)+(SUM($AV30)*$AY30),0))</f>
        <v>0</v>
      </c>
      <c r="BA30" s="89" t="str">
        <f t="shared" si="18"/>
        <v/>
      </c>
      <c r="BB30" s="9">
        <f>IF($C30="&lt;01",ROUND(INDEX(EID!$T:$T,MATCH($B30,EID!$B:$B,0))/2,0),ROUND($AZ30*$BA30,0))</f>
        <v>0</v>
      </c>
      <c r="BC30" s="93">
        <f t="shared" si="19"/>
        <v>0</v>
      </c>
      <c r="BD30" s="90" t="str">
        <f t="shared" si="20"/>
        <v/>
      </c>
      <c r="BE30" s="42">
        <f>IF($C30="&lt;01",ROUND(INDEX(EID!$V:$V,MATCH($B30,EID!$B:$B,0))/2,0),ROUND($BD30*$BB30,0))</f>
        <v>0</v>
      </c>
      <c r="BF30" s="42">
        <f t="shared" si="21"/>
        <v>0</v>
      </c>
      <c r="BG30" s="116" t="str">
        <f t="shared" si="22"/>
        <v/>
      </c>
      <c r="BH30" s="9">
        <f>IF($C30="&lt;01",ROUND(INDEX(EID!$L:$L,MATCH($B30,EID!$B:$B,0)),0)/2,IF(SUM($BG30)=0,"",ROUND($AX30/$BG30,0)))</f>
        <v>0</v>
      </c>
    </row>
    <row r="31" spans="1:60" x14ac:dyDescent="0.2">
      <c r="A31" t="str">
        <f>INDEX(Prioritization!$D:$D,MATCH($B31,Prioritization!$A:$A,0))</f>
        <v>1 - Scale-up: Saturation</v>
      </c>
      <c r="B31" t="s">
        <v>194</v>
      </c>
      <c r="C31" t="s">
        <v>362</v>
      </c>
      <c r="D31" t="s">
        <v>29</v>
      </c>
      <c r="E31" t="str">
        <f t="shared" si="0"/>
        <v>Dedza District [PekKUkKHAzY]|01-09|Female</v>
      </c>
      <c r="F31" s="14"/>
      <c r="G31" s="14"/>
      <c r="H31" s="14"/>
      <c r="I31" s="14"/>
      <c r="J31" s="14"/>
      <c r="K31" s="14"/>
      <c r="L31" s="14"/>
      <c r="M31" s="14"/>
      <c r="N31" s="14"/>
      <c r="O31" s="14" t="str">
        <f t="shared" si="1"/>
        <v/>
      </c>
      <c r="P31" s="14"/>
      <c r="Q31" s="14"/>
      <c r="R31" s="14" t="str">
        <f t="shared" si="2"/>
        <v/>
      </c>
      <c r="S31" s="14">
        <f>IF(LEFT($B31,4)="_Mil","",_xlfn.IFNA(ROUND(INDEX(Spectrum!$N:$N,MATCH(RIGHT($B31,13)&amp;"|"&amp;$C31&amp;"|"&amp;$D31&amp;"|"&amp;S$14&amp;"|"&amp;"CY2022Q4",Spectrum!$R:$R,0)),0),""))</f>
        <v>1452</v>
      </c>
      <c r="T31" s="42">
        <f>IF(LEFT($B31,4)="_Mil","",_xlfn.IFNA(ROUND(INDEX(Spectrum!$N:$N,MATCH(RIGHT($B31,13)&amp;"|"&amp;$C31&amp;"|"&amp;$D31&amp;"|"&amp;T$14&amp;"|"&amp;"CY2023Q3",Spectrum!$R:$R,0)),0),""))</f>
        <v>1043</v>
      </c>
      <c r="U31" s="42" t="str">
        <f>IF(LEFT($B31,4)="_Mil","",_xlfn.IFNA(ROUND(INDEX(Spectrum!$N:$N,MATCH(RIGHT($B31,13)&amp;"|"&amp;$C31&amp;"|"&amp;$D31&amp;"|"&amp;U$14&amp;"|"&amp;"CY2023Q3",Spectrum!$R:$R,0)),0),""))</f>
        <v/>
      </c>
      <c r="V31" s="14">
        <f>IF(LEFT($B31,4)="_Mil","",_xlfn.IFNA(ROUND(INDEX(Spectrum!$N:$N,MATCH(RIGHT($B31,13)&amp;"|"&amp;$C31&amp;"|"&amp;$D31&amp;"|"&amp;V$14&amp;"|"&amp;"CY2023Q3",Spectrum!$R:$R,0)),0),""))</f>
        <v>512</v>
      </c>
      <c r="W31" s="115">
        <f>IF(LEFT($B31,4)="_Mil","",_xlfn.IFNA(INDEX(Spectrum!$N:$N,MATCH(RIGHT($B31,13)&amp;"|"&amp;$C31&amp;"|"&amp;$D31&amp;"|"&amp;W$14&amp;"|"&amp;"CY2023Q3",Spectrum!$R:$R,0)),""))</f>
        <v>1903</v>
      </c>
      <c r="X31" s="42">
        <f>IF(LEFT($B31,4)="_Mil","",_xlfn.IFNA(ROUND(INDEX(Spectrum!$N:$N,MATCH(RIGHT($B31,13)&amp;"|"&amp;$C31&amp;"|"&amp;$D31&amp;"|"&amp;X$14&amp;"|"&amp;"CY2023Q3",Spectrum!$R:$R,0)),0),""))</f>
        <v>1222</v>
      </c>
      <c r="Y31" s="90" t="str">
        <f t="shared" si="3"/>
        <v/>
      </c>
      <c r="Z31" s="42">
        <f>IF(LEFT($B31,4)="_Mil","",_xlfn.IFNA(ROUND(INDEX(Spectrum!$N:$N,MATCH(RIGHT($B31,13)&amp;"|"&amp;$C31&amp;"|"&amp;$D31&amp;"|"&amp;Z$14&amp;"|"&amp;"CY2023Q3",Spectrum!$R:$R,0)),0),""))</f>
        <v>1571</v>
      </c>
      <c r="AA31" s="90">
        <f>IF(LEFT($B31,4)="_Mil","",IFERROR(1/(1/INDEX(Spectrum!$N:$N,MATCH(RIGHT($B31,13)&amp;"|"&amp;$C31&amp;"|"&amp;$D31&amp;"|"&amp;AA$14&amp;"|"&amp;"CY2023Q3",Spectrum!$R:$R,0))),IF(SUM($U31)=0,"",SUM($Z31)/$U31)))</f>
        <v>1993.0000000000002</v>
      </c>
      <c r="AB31" s="90">
        <f t="shared" si="4"/>
        <v>1.2855973813420623</v>
      </c>
      <c r="AC31" s="14">
        <f>IF(LEFT($B31,4)="_Mil","",_xlfn.IFNA(ROUND(INDEX(Spectrum!$N:$N,MATCH(RIGHT($B31,13)&amp;"|"&amp;$C31&amp;"|"&amp;$D31&amp;"|"&amp;AC$14&amp;"|"&amp;"CY2023Q3",Spectrum!$R:$R,0)),0),""))</f>
        <v>955</v>
      </c>
      <c r="AD31" s="14" t="str">
        <f>IF(LEFT($B31,4)="_Mil","",_xlfn.IFNA(ROUND(INDEX(Spectrum!$N:$N,MATCH(RIGHT($B31,13)&amp;"|"&amp;$C31&amp;"|"&amp;$D31&amp;"|"&amp;AD$14&amp;"|"&amp;"CY2023Q3",Spectrum!$R:$R,0)),0),""))</f>
        <v/>
      </c>
      <c r="AE31" s="90">
        <f t="shared" si="5"/>
        <v>0</v>
      </c>
      <c r="AF31" s="42" t="str">
        <f>IF(LEFT($B31,4)="_Mil","",_xlfn.IFNA(ROUND(INDEX(Spectrum!$N:$N,MATCH(RIGHT($B31,13)&amp;"|"&amp;$C31&amp;"|"&amp;$D31&amp;"|"&amp;AF$14&amp;"|"&amp;"CY2023Q3",Spectrum!$R:$R,0)),0),""))</f>
        <v/>
      </c>
      <c r="AG31" s="90" t="str">
        <f t="shared" si="6"/>
        <v/>
      </c>
      <c r="AH31" s="88" t="str">
        <f>IF(LEFT($B31,4)="_Mil","",_xlfn.IFNA(INDEX(Spectrum!$N:$N,MATCH(RIGHT($B31,13)&amp;"|"&amp;$C31&amp;"|"&amp;$D31&amp;"|"&amp;AH$14&amp;"|"&amp;"CY2023Q3",Spectrum!$R:$R,0)),""))</f>
        <v/>
      </c>
      <c r="AI31" s="14" t="str">
        <f>IF(LEFT($B31,4)="_Mil","",_xlfn.IFNA(ROUND(INDEX(Spectrum!$N:$N,MATCH(RIGHT($B31,13)&amp;"|"&amp;$C31&amp;"|"&amp;$D31&amp;"|"&amp;AI$14&amp;"|"&amp;"CY2023Q3",Spectrum!$R:$R,0)),0),""))</f>
        <v/>
      </c>
      <c r="AJ31" s="42">
        <f>IF(LEFT($B31,4)="_Mil","",_xlfn.IFNA(ROUND(INDEX(Spectrum!$N:$N,MATCH(RIGHT($B31,13)&amp;"|"&amp;$C31&amp;"|"&amp;$D31&amp;"|"&amp;AI$14&amp;"|"&amp;"CY2023Q3",Spectrum!$R:$R,0)),0),SUM($U31)+SUM($AI31)))</f>
        <v>0</v>
      </c>
      <c r="AK31" s="14" t="str">
        <f>IF(LEFT($B31,4)="_Mil","",_xlfn.IFNA(ROUND(INDEX(Spectrum!$N:$N,MATCH(RIGHT($B31,13)&amp;"|"&amp;$C31&amp;"|"&amp;$D31&amp;"|"&amp;AK$14&amp;"|"&amp;"CY2023Q3",Spectrum!$R:$R,0)),0),""))</f>
        <v/>
      </c>
      <c r="AL31" s="90">
        <f t="shared" si="7"/>
        <v>1993.0000000000002</v>
      </c>
      <c r="AM31" s="14">
        <f t="shared" si="8"/>
        <v>0</v>
      </c>
      <c r="AN31" s="14" t="str">
        <f>IF($C31="&lt;01",ROUND(INDEX(EID!$P:$P,MATCH($B31,EID!$B:$B,0))/2,0),"")</f>
        <v/>
      </c>
      <c r="AO31" s="14">
        <f t="shared" si="9"/>
        <v>0</v>
      </c>
      <c r="AP31" s="42">
        <f t="shared" si="10"/>
        <v>0</v>
      </c>
      <c r="AQ31" s="42">
        <f t="shared" si="11"/>
        <v>1571</v>
      </c>
      <c r="AR31" s="90" t="str">
        <f t="shared" si="12"/>
        <v/>
      </c>
      <c r="AS31" s="90">
        <f t="shared" si="13"/>
        <v>0.98</v>
      </c>
      <c r="AT31" s="90">
        <f t="shared" si="13"/>
        <v>0.98</v>
      </c>
      <c r="AU31" s="14">
        <f t="shared" si="14"/>
        <v>0</v>
      </c>
      <c r="AV31" s="14">
        <f>IF($C31="&lt;01",ROUND(INDEX(EID!$N:$N,MATCH($B31,EID!$B:$B,0))/2,0),IF(SUM($AT31)=0,"",ROUND((SUM($AP31)-(SUM($O31)*SUM($AS31)))/$AT31,0)))</f>
        <v>0</v>
      </c>
      <c r="AW31" s="90">
        <f t="shared" si="15"/>
        <v>1</v>
      </c>
      <c r="AX31" s="42">
        <f t="shared" si="16"/>
        <v>0</v>
      </c>
      <c r="AY31" s="116">
        <f t="shared" si="17"/>
        <v>0.7</v>
      </c>
      <c r="AZ31" s="93">
        <f>IF($C31="&lt;01",ROUND(INDEX(EID!$R:$R,MATCH($B31,EID!$B:$B,0))/2,0),ROUND(SUM($O31)+(SUM($AV31)*$AY31),0))</f>
        <v>0</v>
      </c>
      <c r="BA31" s="89">
        <f t="shared" si="18"/>
        <v>0.95</v>
      </c>
      <c r="BB31" s="9">
        <f>IF($C31="&lt;01",ROUND(INDEX(EID!$T:$T,MATCH($B31,EID!$B:$B,0))/2,0),ROUND($AZ31*$BA31,0))</f>
        <v>0</v>
      </c>
      <c r="BC31" s="93">
        <f t="shared" si="19"/>
        <v>0</v>
      </c>
      <c r="BD31" s="90">
        <f t="shared" si="20"/>
        <v>0.95</v>
      </c>
      <c r="BE31" s="42">
        <f>IF($C31="&lt;01",ROUND(INDEX(EID!$V:$V,MATCH($B31,EID!$B:$B,0))/2,0),ROUND($BD31*$BB31,0))</f>
        <v>0</v>
      </c>
      <c r="BF31" s="42">
        <f t="shared" si="21"/>
        <v>0</v>
      </c>
      <c r="BG31" s="116">
        <f t="shared" si="22"/>
        <v>0.95</v>
      </c>
      <c r="BH31" s="9">
        <f>IF($C31="&lt;01",ROUND(INDEX(EID!$L:$L,MATCH($B31,EID!$B:$B,0)),0)/2,IF(SUM($BG31)=0,"",ROUND($AX31/$BG31,0)))</f>
        <v>0</v>
      </c>
    </row>
    <row r="32" spans="1:60" x14ac:dyDescent="0.2">
      <c r="A32" t="str">
        <f>INDEX(Prioritization!$D:$D,MATCH($B32,Prioritization!$A:$A,0))</f>
        <v>1 - Scale-up: Saturation</v>
      </c>
      <c r="B32" t="s">
        <v>194</v>
      </c>
      <c r="C32" t="s">
        <v>362</v>
      </c>
      <c r="D32" t="s">
        <v>47</v>
      </c>
      <c r="E32" t="str">
        <f t="shared" si="0"/>
        <v>Dedza District [PekKUkKHAzY]|01-09|Male</v>
      </c>
      <c r="F32" s="14"/>
      <c r="G32" s="14"/>
      <c r="H32" s="14"/>
      <c r="I32" s="14"/>
      <c r="J32" s="14"/>
      <c r="K32" s="14"/>
      <c r="L32" s="14"/>
      <c r="M32" s="14"/>
      <c r="N32" s="14"/>
      <c r="O32" s="14" t="str">
        <f t="shared" si="1"/>
        <v/>
      </c>
      <c r="P32" s="14"/>
      <c r="Q32" s="14"/>
      <c r="R32" s="14" t="str">
        <f t="shared" si="2"/>
        <v/>
      </c>
      <c r="S32" s="14">
        <f>IF(LEFT($B32,4)="_Mil","",_xlfn.IFNA(ROUND(INDEX(Spectrum!$N:$N,MATCH(RIGHT($B32,13)&amp;"|"&amp;$C32&amp;"|"&amp;$D32&amp;"|"&amp;S$14&amp;"|"&amp;"CY2022Q4",Spectrum!$R:$R,0)),0),""))</f>
        <v>1645</v>
      </c>
      <c r="T32" s="42">
        <f>IF(LEFT($B32,4)="_Mil","",_xlfn.IFNA(ROUND(INDEX(Spectrum!$N:$N,MATCH(RIGHT($B32,13)&amp;"|"&amp;$C32&amp;"|"&amp;$D32&amp;"|"&amp;T$14&amp;"|"&amp;"CY2023Q3",Spectrum!$R:$R,0)),0),""))</f>
        <v>1536</v>
      </c>
      <c r="U32" s="42" t="str">
        <f>IF(LEFT($B32,4)="_Mil","",_xlfn.IFNA(ROUND(INDEX(Spectrum!$N:$N,MATCH(RIGHT($B32,13)&amp;"|"&amp;$C32&amp;"|"&amp;$D32&amp;"|"&amp;U$14&amp;"|"&amp;"CY2023Q3",Spectrum!$R:$R,0)),0),""))</f>
        <v/>
      </c>
      <c r="V32" s="14">
        <f>IF(LEFT($B32,4)="_Mil","",_xlfn.IFNA(ROUND(INDEX(Spectrum!$N:$N,MATCH(RIGHT($B32,13)&amp;"|"&amp;$C32&amp;"|"&amp;$D32&amp;"|"&amp;V$14&amp;"|"&amp;"CY2023Q3",Spectrum!$R:$R,0)),0),""))</f>
        <v>966</v>
      </c>
      <c r="W32" s="115">
        <f>IF(LEFT($B32,4)="_Mil","",_xlfn.IFNA(INDEX(Spectrum!$N:$N,MATCH(RIGHT($B32,13)&amp;"|"&amp;$C32&amp;"|"&amp;$D32&amp;"|"&amp;W$14&amp;"|"&amp;"CY2023Q3",Spectrum!$R:$R,0)),""))</f>
        <v>570</v>
      </c>
      <c r="X32" s="42">
        <f>IF(LEFT($B32,4)="_Mil","",_xlfn.IFNA(ROUND(INDEX(Spectrum!$N:$N,MATCH(RIGHT($B32,13)&amp;"|"&amp;$C32&amp;"|"&amp;$D32&amp;"|"&amp;X$14&amp;"|"&amp;"CY2023Q3",Spectrum!$R:$R,0)),0),""))</f>
        <v>683</v>
      </c>
      <c r="Y32" s="90" t="str">
        <f t="shared" si="3"/>
        <v/>
      </c>
      <c r="Z32" s="42">
        <f>IF(LEFT($B32,4)="_Mil","",_xlfn.IFNA(ROUND(INDEX(Spectrum!$N:$N,MATCH(RIGHT($B32,13)&amp;"|"&amp;$C32&amp;"|"&amp;$D32&amp;"|"&amp;Z$14&amp;"|"&amp;"CY2023Q3",Spectrum!$R:$R,0)),0),""))</f>
        <v>1542</v>
      </c>
      <c r="AA32" s="90">
        <f>IF(LEFT($B32,4)="_Mil","",IFERROR(1/(1/INDEX(Spectrum!$N:$N,MATCH(RIGHT($B32,13)&amp;"|"&amp;$C32&amp;"|"&amp;$D32&amp;"|"&amp;AA$14&amp;"|"&amp;"CY2023Q3",Spectrum!$R:$R,0))),IF(SUM($U32)=0,"",SUM($Z32)/$U32)))</f>
        <v>1004</v>
      </c>
      <c r="AB32" s="90">
        <f t="shared" si="4"/>
        <v>2.2576866764275256</v>
      </c>
      <c r="AC32" s="14">
        <f>IF(LEFT($B32,4)="_Mil","",_xlfn.IFNA(ROUND(INDEX(Spectrum!$N:$N,MATCH(RIGHT($B32,13)&amp;"|"&amp;$C32&amp;"|"&amp;$D32&amp;"|"&amp;AC$14&amp;"|"&amp;"CY2023Q3",Spectrum!$R:$R,0)),0),""))</f>
        <v>737</v>
      </c>
      <c r="AD32" s="14" t="str">
        <f>IF(LEFT($B32,4)="_Mil","",_xlfn.IFNA(ROUND(INDEX(Spectrum!$N:$N,MATCH(RIGHT($B32,13)&amp;"|"&amp;$C32&amp;"|"&amp;$D32&amp;"|"&amp;AD$14&amp;"|"&amp;"CY2023Q3",Spectrum!$R:$R,0)),0),""))</f>
        <v/>
      </c>
      <c r="AE32" s="90">
        <f t="shared" si="5"/>
        <v>0</v>
      </c>
      <c r="AF32" s="42" t="str">
        <f>IF(LEFT($B32,4)="_Mil","",_xlfn.IFNA(ROUND(INDEX(Spectrum!$N:$N,MATCH(RIGHT($B32,13)&amp;"|"&amp;$C32&amp;"|"&amp;$D32&amp;"|"&amp;AF$14&amp;"|"&amp;"CY2023Q3",Spectrum!$R:$R,0)),0),""))</f>
        <v/>
      </c>
      <c r="AG32" s="90" t="str">
        <f t="shared" si="6"/>
        <v/>
      </c>
      <c r="AH32" s="88" t="str">
        <f>IF(LEFT($B32,4)="_Mil","",_xlfn.IFNA(INDEX(Spectrum!$N:$N,MATCH(RIGHT($B32,13)&amp;"|"&amp;$C32&amp;"|"&amp;$D32&amp;"|"&amp;AH$14&amp;"|"&amp;"CY2023Q3",Spectrum!$R:$R,0)),""))</f>
        <v/>
      </c>
      <c r="AI32" s="14" t="str">
        <f>IF(LEFT($B32,4)="_Mil","",_xlfn.IFNA(ROUND(INDEX(Spectrum!$N:$N,MATCH(RIGHT($B32,13)&amp;"|"&amp;$C32&amp;"|"&amp;$D32&amp;"|"&amp;AI$14&amp;"|"&amp;"CY2023Q3",Spectrum!$R:$R,0)),0),""))</f>
        <v/>
      </c>
      <c r="AJ32" s="42">
        <f>IF(LEFT($B32,4)="_Mil","",_xlfn.IFNA(ROUND(INDEX(Spectrum!$N:$N,MATCH(RIGHT($B32,13)&amp;"|"&amp;$C32&amp;"|"&amp;$D32&amp;"|"&amp;AI$14&amp;"|"&amp;"CY2023Q3",Spectrum!$R:$R,0)),0),SUM($U32)+SUM($AI32)))</f>
        <v>0</v>
      </c>
      <c r="AK32" s="14" t="str">
        <f>IF(LEFT($B32,4)="_Mil","",_xlfn.IFNA(ROUND(INDEX(Spectrum!$N:$N,MATCH(RIGHT($B32,13)&amp;"|"&amp;$C32&amp;"|"&amp;$D32&amp;"|"&amp;AK$14&amp;"|"&amp;"CY2023Q3",Spectrum!$R:$R,0)),0),""))</f>
        <v/>
      </c>
      <c r="AL32" s="90">
        <f t="shared" si="7"/>
        <v>1004</v>
      </c>
      <c r="AM32" s="14">
        <f t="shared" si="8"/>
        <v>0</v>
      </c>
      <c r="AN32" s="14" t="str">
        <f>IF($C32="&lt;01",ROUND(INDEX(EID!$P:$P,MATCH($B32,EID!$B:$B,0))/2,0),"")</f>
        <v/>
      </c>
      <c r="AO32" s="14">
        <f t="shared" si="9"/>
        <v>0</v>
      </c>
      <c r="AP32" s="42">
        <f t="shared" si="10"/>
        <v>0</v>
      </c>
      <c r="AQ32" s="42">
        <f t="shared" si="11"/>
        <v>1542</v>
      </c>
      <c r="AR32" s="90" t="str">
        <f t="shared" si="12"/>
        <v/>
      </c>
      <c r="AS32" s="90">
        <f t="shared" si="13"/>
        <v>0.98</v>
      </c>
      <c r="AT32" s="90">
        <f t="shared" si="13"/>
        <v>0.98</v>
      </c>
      <c r="AU32" s="14">
        <f t="shared" si="14"/>
        <v>0</v>
      </c>
      <c r="AV32" s="14">
        <f>IF($C32="&lt;01",ROUND(INDEX(EID!$N:$N,MATCH($B32,EID!$B:$B,0))/2,0),IF(SUM($AT32)=0,"",ROUND((SUM($AP32)-(SUM($O32)*SUM($AS32)))/$AT32,0)))</f>
        <v>0</v>
      </c>
      <c r="AW32" s="90">
        <f t="shared" si="15"/>
        <v>1</v>
      </c>
      <c r="AX32" s="42">
        <f t="shared" si="16"/>
        <v>0</v>
      </c>
      <c r="AY32" s="116">
        <f t="shared" si="17"/>
        <v>0.7</v>
      </c>
      <c r="AZ32" s="93">
        <f>IF($C32="&lt;01",ROUND(INDEX(EID!$R:$R,MATCH($B32,EID!$B:$B,0))/2,0),ROUND(SUM($O32)+(SUM($AV32)*$AY32),0))</f>
        <v>0</v>
      </c>
      <c r="BA32" s="89">
        <f t="shared" si="18"/>
        <v>0.95</v>
      </c>
      <c r="BB32" s="9">
        <f>IF($C32="&lt;01",ROUND(INDEX(EID!$T:$T,MATCH($B32,EID!$B:$B,0))/2,0),ROUND($AZ32*$BA32,0))</f>
        <v>0</v>
      </c>
      <c r="BC32" s="93">
        <f t="shared" si="19"/>
        <v>0</v>
      </c>
      <c r="BD32" s="90">
        <f t="shared" si="20"/>
        <v>0.95</v>
      </c>
      <c r="BE32" s="42">
        <f>IF($C32="&lt;01",ROUND(INDEX(EID!$V:$V,MATCH($B32,EID!$B:$B,0))/2,0),ROUND($BD32*$BB32,0))</f>
        <v>0</v>
      </c>
      <c r="BF32" s="42">
        <f t="shared" si="21"/>
        <v>0</v>
      </c>
      <c r="BG32" s="116">
        <f t="shared" si="22"/>
        <v>0.95</v>
      </c>
      <c r="BH32" s="9">
        <f>IF($C32="&lt;01",ROUND(INDEX(EID!$L:$L,MATCH($B32,EID!$B:$B,0)),0)/2,IF(SUM($BG32)=0,"",ROUND($AX32/$BG32,0)))</f>
        <v>0</v>
      </c>
    </row>
    <row r="33" spans="1:60" x14ac:dyDescent="0.2">
      <c r="A33" t="str">
        <f>INDEX(Prioritization!$D:$D,MATCH($B33,Prioritization!$A:$A,0))</f>
        <v>1 - Scale-up: Saturation</v>
      </c>
      <c r="B33" t="s">
        <v>194</v>
      </c>
      <c r="C33" t="s">
        <v>363</v>
      </c>
      <c r="D33" t="s">
        <v>29</v>
      </c>
      <c r="E33" t="str">
        <f t="shared" si="0"/>
        <v>Dedza District [PekKUkKHAzY]|10-14|Female</v>
      </c>
      <c r="F33" s="14"/>
      <c r="G33" s="14">
        <v>7</v>
      </c>
      <c r="H33" s="14">
        <v>4</v>
      </c>
      <c r="I33" s="14">
        <v>72</v>
      </c>
      <c r="J33" s="14">
        <v>88</v>
      </c>
      <c r="K33" s="14">
        <v>78</v>
      </c>
      <c r="L33" s="14">
        <v>8</v>
      </c>
      <c r="M33" s="14">
        <v>3</v>
      </c>
      <c r="N33" s="14">
        <v>71</v>
      </c>
      <c r="O33" s="14">
        <f t="shared" si="1"/>
        <v>72</v>
      </c>
      <c r="P33" s="14">
        <v>92</v>
      </c>
      <c r="Q33" s="14">
        <v>98</v>
      </c>
      <c r="R33" s="14">
        <f t="shared" si="2"/>
        <v>0</v>
      </c>
      <c r="S33" s="14">
        <f>IF(LEFT($B33,4)="_Mil","",_xlfn.IFNA(ROUND(INDEX(Spectrum!$N:$N,MATCH(RIGHT($B33,13)&amp;"|"&amp;$C33&amp;"|"&amp;$D33&amp;"|"&amp;S$14&amp;"|"&amp;"CY2022Q4",Spectrum!$R:$R,0)),0),""))</f>
        <v>1462</v>
      </c>
      <c r="T33" s="42">
        <f>IF(LEFT($B33,4)="_Mil","",_xlfn.IFNA(ROUND(INDEX(Spectrum!$N:$N,MATCH(RIGHT($B33,13)&amp;"|"&amp;$C33&amp;"|"&amp;$D33&amp;"|"&amp;T$14&amp;"|"&amp;"CY2023Q3",Spectrum!$R:$R,0)),0),""))</f>
        <v>1272</v>
      </c>
      <c r="U33" s="42" t="str">
        <f>IF(LEFT($B33,4)="_Mil","",_xlfn.IFNA(ROUND(INDEX(Spectrum!$N:$N,MATCH(RIGHT($B33,13)&amp;"|"&amp;$C33&amp;"|"&amp;$D33&amp;"|"&amp;U$14&amp;"|"&amp;"CY2023Q3",Spectrum!$R:$R,0)),0),""))</f>
        <v/>
      </c>
      <c r="V33" s="14">
        <f>IF(LEFT($B33,4)="_Mil","",_xlfn.IFNA(ROUND(INDEX(Spectrum!$N:$N,MATCH(RIGHT($B33,13)&amp;"|"&amp;$C33&amp;"|"&amp;$D33&amp;"|"&amp;V$14&amp;"|"&amp;"CY2023Q3",Spectrum!$R:$R,0)),0),""))</f>
        <v>1869</v>
      </c>
      <c r="W33" s="115">
        <f>IF(LEFT($B33,4)="_Mil","",_xlfn.IFNA(INDEX(Spectrum!$N:$N,MATCH(RIGHT($B33,13)&amp;"|"&amp;$C33&amp;"|"&amp;$D33&amp;"|"&amp;W$14&amp;"|"&amp;"CY2023Q3",Spectrum!$R:$R,0)),""))</f>
        <v>945</v>
      </c>
      <c r="X33" s="42">
        <f>IF(LEFT($B33,4)="_Mil","",_xlfn.IFNA(ROUND(INDEX(Spectrum!$N:$N,MATCH(RIGHT($B33,13)&amp;"|"&amp;$C33&amp;"|"&amp;$D33&amp;"|"&amp;X$14&amp;"|"&amp;"CY2023Q3",Spectrum!$R:$R,0)),0),""))</f>
        <v>1053</v>
      </c>
      <c r="Y33" s="90" t="str">
        <f t="shared" si="3"/>
        <v/>
      </c>
      <c r="Z33" s="42">
        <f>IF(LEFT($B33,4)="_Mil","",_xlfn.IFNA(ROUND(INDEX(Spectrum!$N:$N,MATCH(RIGHT($B33,13)&amp;"|"&amp;$C33&amp;"|"&amp;$D33&amp;"|"&amp;Z$14&amp;"|"&amp;"CY2023Q3",Spectrum!$R:$R,0)),0),""))</f>
        <v>1555</v>
      </c>
      <c r="AA33" s="90">
        <f>IF(LEFT($B33,4)="_Mil","",IFERROR(1/(1/INDEX(Spectrum!$N:$N,MATCH(RIGHT($B33,13)&amp;"|"&amp;$C33&amp;"|"&amp;$D33&amp;"|"&amp;AA$14&amp;"|"&amp;"CY2023Q3",Spectrum!$R:$R,0))),IF(SUM($U33)=0,"",SUM($Z33)/$U33)))</f>
        <v>1044</v>
      </c>
      <c r="AB33" s="90">
        <f t="shared" si="4"/>
        <v>1.4767331433998101</v>
      </c>
      <c r="AC33" s="14">
        <f>IF(LEFT($B33,4)="_Mil","",_xlfn.IFNA(ROUND(INDEX(Spectrum!$N:$N,MATCH(RIGHT($B33,13)&amp;"|"&amp;$C33&amp;"|"&amp;$D33&amp;"|"&amp;AC$14&amp;"|"&amp;"CY2023Q3",Spectrum!$R:$R,0)),0),""))</f>
        <v>1464</v>
      </c>
      <c r="AD33" s="14" t="str">
        <f>IF(LEFT($B33,4)="_Mil","",_xlfn.IFNA(ROUND(INDEX(Spectrum!$N:$N,MATCH(RIGHT($B33,13)&amp;"|"&amp;$C33&amp;"|"&amp;$D33&amp;"|"&amp;AD$14&amp;"|"&amp;"CY2023Q3",Spectrum!$R:$R,0)),0),""))</f>
        <v/>
      </c>
      <c r="AE33" s="90">
        <f t="shared" si="5"/>
        <v>0</v>
      </c>
      <c r="AF33" s="42" t="str">
        <f>IF(LEFT($B33,4)="_Mil","",_xlfn.IFNA(ROUND(INDEX(Spectrum!$N:$N,MATCH(RIGHT($B33,13)&amp;"|"&amp;$C33&amp;"|"&amp;$D33&amp;"|"&amp;AF$14&amp;"|"&amp;"CY2023Q3",Spectrum!$R:$R,0)),0),""))</f>
        <v/>
      </c>
      <c r="AG33" s="90" t="str">
        <f t="shared" si="6"/>
        <v/>
      </c>
      <c r="AH33" s="88" t="str">
        <f>IF(LEFT($B33,4)="_Mil","",_xlfn.IFNA(INDEX(Spectrum!$N:$N,MATCH(RIGHT($B33,13)&amp;"|"&amp;$C33&amp;"|"&amp;$D33&amp;"|"&amp;AH$14&amp;"|"&amp;"CY2023Q3",Spectrum!$R:$R,0)),""))</f>
        <v/>
      </c>
      <c r="AI33" s="14" t="str">
        <f>IF(LEFT($B33,4)="_Mil","",_xlfn.IFNA(ROUND(INDEX(Spectrum!$N:$N,MATCH(RIGHT($B33,13)&amp;"|"&amp;$C33&amp;"|"&amp;$D33&amp;"|"&amp;AI$14&amp;"|"&amp;"CY2023Q3",Spectrum!$R:$R,0)),0),""))</f>
        <v/>
      </c>
      <c r="AJ33" s="42">
        <f>IF(LEFT($B33,4)="_Mil","",_xlfn.IFNA(ROUND(INDEX(Spectrum!$N:$N,MATCH(RIGHT($B33,13)&amp;"|"&amp;$C33&amp;"|"&amp;$D33&amp;"|"&amp;AI$14&amp;"|"&amp;"CY2023Q3",Spectrum!$R:$R,0)),0),SUM($U33)+SUM($AI33)))</f>
        <v>0</v>
      </c>
      <c r="AK33" s="14" t="str">
        <f>IF(LEFT($B33,4)="_Mil","",_xlfn.IFNA(ROUND(INDEX(Spectrum!$N:$N,MATCH(RIGHT($B33,13)&amp;"|"&amp;$C33&amp;"|"&amp;$D33&amp;"|"&amp;AK$14&amp;"|"&amp;"CY2023Q3",Spectrum!$R:$R,0)),0),""))</f>
        <v/>
      </c>
      <c r="AL33" s="90">
        <f t="shared" si="7"/>
        <v>1044</v>
      </c>
      <c r="AM33" s="14">
        <f t="shared" si="8"/>
        <v>0</v>
      </c>
      <c r="AN33" s="14" t="str">
        <f>IF($C33="&lt;01",ROUND(INDEX(EID!$P:$P,MATCH($B33,EID!$B:$B,0))/2,0),"")</f>
        <v/>
      </c>
      <c r="AO33" s="14">
        <f t="shared" si="9"/>
        <v>0</v>
      </c>
      <c r="AP33" s="42">
        <f t="shared" si="10"/>
        <v>0</v>
      </c>
      <c r="AQ33" s="42">
        <f t="shared" si="11"/>
        <v>1555</v>
      </c>
      <c r="AR33" s="90" t="str">
        <f t="shared" si="12"/>
        <v/>
      </c>
      <c r="AS33" s="90">
        <f t="shared" si="13"/>
        <v>0.98</v>
      </c>
      <c r="AT33" s="90">
        <f t="shared" si="13"/>
        <v>0.98</v>
      </c>
      <c r="AU33" s="14">
        <f t="shared" si="14"/>
        <v>-72</v>
      </c>
      <c r="AV33" s="14">
        <f>IF($C33="&lt;01",ROUND(INDEX(EID!$N:$N,MATCH($B33,EID!$B:$B,0))/2,0),IF(SUM($AT33)=0,"",ROUND((SUM($AP33)-(SUM($O33)*SUM($AS33)))/$AT33,0)))</f>
        <v>-72</v>
      </c>
      <c r="AW33" s="90">
        <f t="shared" si="15"/>
        <v>1</v>
      </c>
      <c r="AX33" s="42">
        <f t="shared" si="16"/>
        <v>-72</v>
      </c>
      <c r="AY33" s="116">
        <f t="shared" si="17"/>
        <v>0.7</v>
      </c>
      <c r="AZ33" s="93">
        <f>IF($C33="&lt;01",ROUND(INDEX(EID!$R:$R,MATCH($B33,EID!$B:$B,0))/2,0),ROUND(SUM($O33)+(SUM($AV33)*$AY33),0))</f>
        <v>22</v>
      </c>
      <c r="BA33" s="89">
        <f t="shared" si="18"/>
        <v>0.95</v>
      </c>
      <c r="BB33" s="9">
        <f>IF($C33="&lt;01",ROUND(INDEX(EID!$T:$T,MATCH($B33,EID!$B:$B,0))/2,0),ROUND($AZ33*$BA33,0))</f>
        <v>21</v>
      </c>
      <c r="BC33" s="93">
        <f t="shared" si="19"/>
        <v>21</v>
      </c>
      <c r="BD33" s="90">
        <f t="shared" si="20"/>
        <v>0.95</v>
      </c>
      <c r="BE33" s="42">
        <f>IF($C33="&lt;01",ROUND(INDEX(EID!$V:$V,MATCH($B33,EID!$B:$B,0))/2,0),ROUND($BD33*$BB33,0))</f>
        <v>20</v>
      </c>
      <c r="BF33" s="42">
        <f t="shared" si="21"/>
        <v>20</v>
      </c>
      <c r="BG33" s="116">
        <f t="shared" si="22"/>
        <v>0.95</v>
      </c>
      <c r="BH33" s="9">
        <f>IF($C33="&lt;01",ROUND(INDEX(EID!$L:$L,MATCH($B33,EID!$B:$B,0)),0)/2,IF(SUM($BG33)=0,"",ROUND($AX33/$BG33,0)))</f>
        <v>-76</v>
      </c>
    </row>
    <row r="34" spans="1:60" x14ac:dyDescent="0.2">
      <c r="A34" t="str">
        <f>INDEX(Prioritization!$D:$D,MATCH($B34,Prioritization!$A:$A,0))</f>
        <v>1 - Scale-up: Saturation</v>
      </c>
      <c r="B34" t="s">
        <v>194</v>
      </c>
      <c r="C34" t="s">
        <v>363</v>
      </c>
      <c r="D34" t="s">
        <v>47</v>
      </c>
      <c r="E34" t="str">
        <f t="shared" si="0"/>
        <v>Dedza District [PekKUkKHAzY]|10-14|Male</v>
      </c>
      <c r="F34" s="14"/>
      <c r="G34" s="14">
        <v>3</v>
      </c>
      <c r="H34" s="14">
        <v>7</v>
      </c>
      <c r="I34" s="14">
        <v>35</v>
      </c>
      <c r="J34" s="14">
        <v>64</v>
      </c>
      <c r="K34" s="14">
        <v>48</v>
      </c>
      <c r="L34" s="14">
        <v>5</v>
      </c>
      <c r="M34" s="14">
        <v>3</v>
      </c>
      <c r="N34" s="14">
        <v>86</v>
      </c>
      <c r="O34" s="14">
        <f t="shared" si="1"/>
        <v>86</v>
      </c>
      <c r="P34" s="14">
        <v>34</v>
      </c>
      <c r="Q34" s="14">
        <v>61</v>
      </c>
      <c r="R34" s="14">
        <f t="shared" si="2"/>
        <v>51</v>
      </c>
      <c r="S34" s="14">
        <f>IF(LEFT($B34,4)="_Mil","",_xlfn.IFNA(ROUND(INDEX(Spectrum!$N:$N,MATCH(RIGHT($B34,13)&amp;"|"&amp;$C34&amp;"|"&amp;$D34&amp;"|"&amp;S$14&amp;"|"&amp;"CY2022Q4",Spectrum!$R:$R,0)),0),""))</f>
        <v>1031</v>
      </c>
      <c r="T34" s="42">
        <f>IF(LEFT($B34,4)="_Mil","",_xlfn.IFNA(ROUND(INDEX(Spectrum!$N:$N,MATCH(RIGHT($B34,13)&amp;"|"&amp;$C34&amp;"|"&amp;$D34&amp;"|"&amp;T$14&amp;"|"&amp;"CY2023Q3",Spectrum!$R:$R,0)),0),""))</f>
        <v>1407</v>
      </c>
      <c r="U34" s="42" t="str">
        <f>IF(LEFT($B34,4)="_Mil","",_xlfn.IFNA(ROUND(INDEX(Spectrum!$N:$N,MATCH(RIGHT($B34,13)&amp;"|"&amp;$C34&amp;"|"&amp;$D34&amp;"|"&amp;U$14&amp;"|"&amp;"CY2023Q3",Spectrum!$R:$R,0)),0),""))</f>
        <v/>
      </c>
      <c r="V34" s="14">
        <f>IF(LEFT($B34,4)="_Mil","",_xlfn.IFNA(ROUND(INDEX(Spectrum!$N:$N,MATCH(RIGHT($B34,13)&amp;"|"&amp;$C34&amp;"|"&amp;$D34&amp;"|"&amp;V$14&amp;"|"&amp;"CY2023Q3",Spectrum!$R:$R,0)),0),""))</f>
        <v>1947</v>
      </c>
      <c r="W34" s="115">
        <f>IF(LEFT($B34,4)="_Mil","",_xlfn.IFNA(INDEX(Spectrum!$N:$N,MATCH(RIGHT($B34,13)&amp;"|"&amp;$C34&amp;"|"&amp;$D34&amp;"|"&amp;W$14&amp;"|"&amp;"CY2023Q3",Spectrum!$R:$R,0)),""))</f>
        <v>1871</v>
      </c>
      <c r="X34" s="42">
        <f>IF(LEFT($B34,4)="_Mil","",_xlfn.IFNA(ROUND(INDEX(Spectrum!$N:$N,MATCH(RIGHT($B34,13)&amp;"|"&amp;$C34&amp;"|"&amp;$D34&amp;"|"&amp;X$14&amp;"|"&amp;"CY2023Q3",Spectrum!$R:$R,0)),0),""))</f>
        <v>634</v>
      </c>
      <c r="Y34" s="90" t="str">
        <f t="shared" si="3"/>
        <v/>
      </c>
      <c r="Z34" s="42">
        <f>IF(LEFT($B34,4)="_Mil","",_xlfn.IFNA(ROUND(INDEX(Spectrum!$N:$N,MATCH(RIGHT($B34,13)&amp;"|"&amp;$C34&amp;"|"&amp;$D34&amp;"|"&amp;Z$14&amp;"|"&amp;"CY2023Q3",Spectrum!$R:$R,0)),0),""))</f>
        <v>1876</v>
      </c>
      <c r="AA34" s="90">
        <f>IF(LEFT($B34,4)="_Mil","",IFERROR(1/(1/INDEX(Spectrum!$N:$N,MATCH(RIGHT($B34,13)&amp;"|"&amp;$C34&amp;"|"&amp;$D34&amp;"|"&amp;AA$14&amp;"|"&amp;"CY2023Q3",Spectrum!$R:$R,0))),IF(SUM($U34)=0,"",SUM($Z34)/$U34)))</f>
        <v>1312</v>
      </c>
      <c r="AB34" s="90">
        <f t="shared" si="4"/>
        <v>2.9589905362776023</v>
      </c>
      <c r="AC34" s="14">
        <f>IF(LEFT($B34,4)="_Mil","",_xlfn.IFNA(ROUND(INDEX(Spectrum!$N:$N,MATCH(RIGHT($B34,13)&amp;"|"&amp;$C34&amp;"|"&amp;$D34&amp;"|"&amp;AC$14&amp;"|"&amp;"CY2023Q3",Spectrum!$R:$R,0)),0),""))</f>
        <v>502</v>
      </c>
      <c r="AD34" s="14" t="str">
        <f>IF(LEFT($B34,4)="_Mil","",_xlfn.IFNA(ROUND(INDEX(Spectrum!$N:$N,MATCH(RIGHT($B34,13)&amp;"|"&amp;$C34&amp;"|"&amp;$D34&amp;"|"&amp;AD$14&amp;"|"&amp;"CY2023Q3",Spectrum!$R:$R,0)),0),""))</f>
        <v/>
      </c>
      <c r="AE34" s="90">
        <f t="shared" si="5"/>
        <v>0</v>
      </c>
      <c r="AF34" s="42" t="str">
        <f>IF(LEFT($B34,4)="_Mil","",_xlfn.IFNA(ROUND(INDEX(Spectrum!$N:$N,MATCH(RIGHT($B34,13)&amp;"|"&amp;$C34&amp;"|"&amp;$D34&amp;"|"&amp;AF$14&amp;"|"&amp;"CY2023Q3",Spectrum!$R:$R,0)),0),""))</f>
        <v/>
      </c>
      <c r="AG34" s="90" t="str">
        <f t="shared" si="6"/>
        <v/>
      </c>
      <c r="AH34" s="88" t="str">
        <f>IF(LEFT($B34,4)="_Mil","",_xlfn.IFNA(INDEX(Spectrum!$N:$N,MATCH(RIGHT($B34,13)&amp;"|"&amp;$C34&amp;"|"&amp;$D34&amp;"|"&amp;AH$14&amp;"|"&amp;"CY2023Q3",Spectrum!$R:$R,0)),""))</f>
        <v/>
      </c>
      <c r="AI34" s="14" t="str">
        <f>IF(LEFT($B34,4)="_Mil","",_xlfn.IFNA(ROUND(INDEX(Spectrum!$N:$N,MATCH(RIGHT($B34,13)&amp;"|"&amp;$C34&amp;"|"&amp;$D34&amp;"|"&amp;AI$14&amp;"|"&amp;"CY2023Q3",Spectrum!$R:$R,0)),0),""))</f>
        <v/>
      </c>
      <c r="AJ34" s="42">
        <f>IF(LEFT($B34,4)="_Mil","",_xlfn.IFNA(ROUND(INDEX(Spectrum!$N:$N,MATCH(RIGHT($B34,13)&amp;"|"&amp;$C34&amp;"|"&amp;$D34&amp;"|"&amp;AI$14&amp;"|"&amp;"CY2023Q3",Spectrum!$R:$R,0)),0),SUM($U34)+SUM($AI34)))</f>
        <v>0</v>
      </c>
      <c r="AK34" s="14" t="str">
        <f>IF(LEFT($B34,4)="_Mil","",_xlfn.IFNA(ROUND(INDEX(Spectrum!$N:$N,MATCH(RIGHT($B34,13)&amp;"|"&amp;$C34&amp;"|"&amp;$D34&amp;"|"&amp;AK$14&amp;"|"&amp;"CY2023Q3",Spectrum!$R:$R,0)),0),""))</f>
        <v/>
      </c>
      <c r="AL34" s="90">
        <f t="shared" si="7"/>
        <v>1312</v>
      </c>
      <c r="AM34" s="14">
        <f t="shared" si="8"/>
        <v>0</v>
      </c>
      <c r="AN34" s="14" t="str">
        <f>IF($C34="&lt;01",ROUND(INDEX(EID!$P:$P,MATCH($B34,EID!$B:$B,0))/2,0),"")</f>
        <v/>
      </c>
      <c r="AO34" s="14">
        <f t="shared" si="9"/>
        <v>0</v>
      </c>
      <c r="AP34" s="42">
        <f t="shared" si="10"/>
        <v>0</v>
      </c>
      <c r="AQ34" s="42">
        <f t="shared" si="11"/>
        <v>1876</v>
      </c>
      <c r="AR34" s="90" t="str">
        <f t="shared" si="12"/>
        <v/>
      </c>
      <c r="AS34" s="90">
        <f t="shared" si="13"/>
        <v>0.98</v>
      </c>
      <c r="AT34" s="90">
        <f t="shared" si="13"/>
        <v>0.98</v>
      </c>
      <c r="AU34" s="14">
        <f t="shared" si="14"/>
        <v>-86</v>
      </c>
      <c r="AV34" s="14">
        <f>IF($C34="&lt;01",ROUND(INDEX(EID!$N:$N,MATCH($B34,EID!$B:$B,0))/2,0),IF(SUM($AT34)=0,"",ROUND((SUM($AP34)-(SUM($O34)*SUM($AS34)))/$AT34,0)))</f>
        <v>-86</v>
      </c>
      <c r="AW34" s="90">
        <f t="shared" si="15"/>
        <v>1</v>
      </c>
      <c r="AX34" s="42">
        <f t="shared" si="16"/>
        <v>-86</v>
      </c>
      <c r="AY34" s="116">
        <f t="shared" si="17"/>
        <v>0.7</v>
      </c>
      <c r="AZ34" s="93">
        <f>IF($C34="&lt;01",ROUND(INDEX(EID!$R:$R,MATCH($B34,EID!$B:$B,0))/2,0),ROUND(SUM($O34)+(SUM($AV34)*$AY34),0))</f>
        <v>26</v>
      </c>
      <c r="BA34" s="89">
        <f t="shared" si="18"/>
        <v>0.95</v>
      </c>
      <c r="BB34" s="9">
        <f>IF($C34="&lt;01",ROUND(INDEX(EID!$T:$T,MATCH($B34,EID!$B:$B,0))/2,0),ROUND($AZ34*$BA34,0))</f>
        <v>25</v>
      </c>
      <c r="BC34" s="93">
        <f t="shared" si="19"/>
        <v>25</v>
      </c>
      <c r="BD34" s="90">
        <f t="shared" si="20"/>
        <v>0.95</v>
      </c>
      <c r="BE34" s="42">
        <f>IF($C34="&lt;01",ROUND(INDEX(EID!$V:$V,MATCH($B34,EID!$B:$B,0))/2,0),ROUND($BD34*$BB34,0))</f>
        <v>24</v>
      </c>
      <c r="BF34" s="42">
        <f t="shared" si="21"/>
        <v>24</v>
      </c>
      <c r="BG34" s="116">
        <f t="shared" si="22"/>
        <v>0.95</v>
      </c>
      <c r="BH34" s="9">
        <f>IF($C34="&lt;01",ROUND(INDEX(EID!$L:$L,MATCH($B34,EID!$B:$B,0)),0)/2,IF(SUM($BG34)=0,"",ROUND($AX34/$BG34,0)))</f>
        <v>-91</v>
      </c>
    </row>
    <row r="35" spans="1:60" x14ac:dyDescent="0.2">
      <c r="A35" t="str">
        <f>INDEX(Prioritization!$D:$D,MATCH($B35,Prioritization!$A:$A,0))</f>
        <v>1 - Scale-up: Saturation</v>
      </c>
      <c r="B35" t="s">
        <v>194</v>
      </c>
      <c r="C35" t="s">
        <v>364</v>
      </c>
      <c r="D35" t="s">
        <v>29</v>
      </c>
      <c r="E35" t="str">
        <f t="shared" si="0"/>
        <v>Dedza District [PekKUkKHAzY]|15-24|Female</v>
      </c>
      <c r="F35" s="14"/>
      <c r="G35" s="14"/>
      <c r="H35" s="14"/>
      <c r="I35" s="14"/>
      <c r="J35" s="14"/>
      <c r="K35" s="14"/>
      <c r="L35" s="14"/>
      <c r="M35" s="14"/>
      <c r="N35" s="14"/>
      <c r="O35" s="14" t="str">
        <f t="shared" si="1"/>
        <v/>
      </c>
      <c r="P35" s="14"/>
      <c r="Q35" s="14"/>
      <c r="R35" s="14" t="str">
        <f t="shared" si="2"/>
        <v/>
      </c>
      <c r="S35" s="14">
        <f>IF(LEFT($B35,4)="_Mil","",_xlfn.IFNA(ROUND(INDEX(Spectrum!$N:$N,MATCH(RIGHT($B35,13)&amp;"|"&amp;$C35&amp;"|"&amp;$D35&amp;"|"&amp;S$14&amp;"|"&amp;"CY2022Q4",Spectrum!$R:$R,0)),0),""))</f>
        <v>584</v>
      </c>
      <c r="T35" s="42">
        <f>IF(LEFT($B35,4)="_Mil","",_xlfn.IFNA(ROUND(INDEX(Spectrum!$N:$N,MATCH(RIGHT($B35,13)&amp;"|"&amp;$C35&amp;"|"&amp;$D35&amp;"|"&amp;T$14&amp;"|"&amp;"CY2023Q3",Spectrum!$R:$R,0)),0),""))</f>
        <v>1410</v>
      </c>
      <c r="U35" s="42" t="str">
        <f>IF(LEFT($B35,4)="_Mil","",_xlfn.IFNA(ROUND(INDEX(Spectrum!$N:$N,MATCH(RIGHT($B35,13)&amp;"|"&amp;$C35&amp;"|"&amp;$D35&amp;"|"&amp;U$14&amp;"|"&amp;"CY2023Q3",Spectrum!$R:$R,0)),0),""))</f>
        <v/>
      </c>
      <c r="V35" s="14">
        <f>IF(LEFT($B35,4)="_Mil","",_xlfn.IFNA(ROUND(INDEX(Spectrum!$N:$N,MATCH(RIGHT($B35,13)&amp;"|"&amp;$C35&amp;"|"&amp;$D35&amp;"|"&amp;V$14&amp;"|"&amp;"CY2023Q3",Spectrum!$R:$R,0)),0),""))</f>
        <v>775</v>
      </c>
      <c r="W35" s="115">
        <f>IF(LEFT($B35,4)="_Mil","",_xlfn.IFNA(INDEX(Spectrum!$N:$N,MATCH(RIGHT($B35,13)&amp;"|"&amp;$C35&amp;"|"&amp;$D35&amp;"|"&amp;W$14&amp;"|"&amp;"CY2023Q3",Spectrum!$R:$R,0)),""))</f>
        <v>939</v>
      </c>
      <c r="X35" s="42">
        <f>IF(LEFT($B35,4)="_Mil","",_xlfn.IFNA(ROUND(INDEX(Spectrum!$N:$N,MATCH(RIGHT($B35,13)&amp;"|"&amp;$C35&amp;"|"&amp;$D35&amp;"|"&amp;X$14&amp;"|"&amp;"CY2023Q3",Spectrum!$R:$R,0)),0),""))</f>
        <v>1128</v>
      </c>
      <c r="Y35" s="90" t="str">
        <f t="shared" si="3"/>
        <v/>
      </c>
      <c r="Z35" s="42">
        <f>IF(LEFT($B35,4)="_Mil","",_xlfn.IFNA(ROUND(INDEX(Spectrum!$N:$N,MATCH(RIGHT($B35,13)&amp;"|"&amp;$C35&amp;"|"&amp;$D35&amp;"|"&amp;Z$14&amp;"|"&amp;"CY2023Q3",Spectrum!$R:$R,0)),0),""))</f>
        <v>1869</v>
      </c>
      <c r="AA35" s="90">
        <f>IF(LEFT($B35,4)="_Mil","",IFERROR(1/(1/INDEX(Spectrum!$N:$N,MATCH(RIGHT($B35,13)&amp;"|"&amp;$C35&amp;"|"&amp;$D35&amp;"|"&amp;AA$14&amp;"|"&amp;"CY2023Q3",Spectrum!$R:$R,0))),IF(SUM($U35)=0,"",SUM($Z35)/$U35)))</f>
        <v>1089</v>
      </c>
      <c r="AB35" s="90">
        <f t="shared" si="4"/>
        <v>1.6569148936170213</v>
      </c>
      <c r="AC35" s="14">
        <f>IF(LEFT($B35,4)="_Mil","",_xlfn.IFNA(ROUND(INDEX(Spectrum!$N:$N,MATCH(RIGHT($B35,13)&amp;"|"&amp;$C35&amp;"|"&amp;$D35&amp;"|"&amp;AC$14&amp;"|"&amp;"CY2023Q3",Spectrum!$R:$R,0)),0),""))</f>
        <v>526</v>
      </c>
      <c r="AD35" s="14" t="str">
        <f>IF(LEFT($B35,4)="_Mil","",_xlfn.IFNA(ROUND(INDEX(Spectrum!$N:$N,MATCH(RIGHT($B35,13)&amp;"|"&amp;$C35&amp;"|"&amp;$D35&amp;"|"&amp;AD$14&amp;"|"&amp;"CY2023Q3",Spectrum!$R:$R,0)),0),""))</f>
        <v/>
      </c>
      <c r="AE35" s="90">
        <f t="shared" si="5"/>
        <v>0</v>
      </c>
      <c r="AF35" s="42" t="str">
        <f>IF(LEFT($B35,4)="_Mil","",_xlfn.IFNA(ROUND(INDEX(Spectrum!$N:$N,MATCH(RIGHT($B35,13)&amp;"|"&amp;$C35&amp;"|"&amp;$D35&amp;"|"&amp;AF$14&amp;"|"&amp;"CY2023Q3",Spectrum!$R:$R,0)),0),""))</f>
        <v/>
      </c>
      <c r="AG35" s="90" t="str">
        <f t="shared" si="6"/>
        <v/>
      </c>
      <c r="AH35" s="88" t="str">
        <f>IF(LEFT($B35,4)="_Mil","",_xlfn.IFNA(INDEX(Spectrum!$N:$N,MATCH(RIGHT($B35,13)&amp;"|"&amp;$C35&amp;"|"&amp;$D35&amp;"|"&amp;AH$14&amp;"|"&amp;"CY2023Q3",Spectrum!$R:$R,0)),""))</f>
        <v/>
      </c>
      <c r="AI35" s="14" t="str">
        <f>IF(LEFT($B35,4)="_Mil","",_xlfn.IFNA(ROUND(INDEX(Spectrum!$N:$N,MATCH(RIGHT($B35,13)&amp;"|"&amp;$C35&amp;"|"&amp;$D35&amp;"|"&amp;AI$14&amp;"|"&amp;"CY2023Q3",Spectrum!$R:$R,0)),0),""))</f>
        <v/>
      </c>
      <c r="AJ35" s="42">
        <f>IF(LEFT($B35,4)="_Mil","",_xlfn.IFNA(ROUND(INDEX(Spectrum!$N:$N,MATCH(RIGHT($B35,13)&amp;"|"&amp;$C35&amp;"|"&amp;$D35&amp;"|"&amp;AI$14&amp;"|"&amp;"CY2023Q3",Spectrum!$R:$R,0)),0),SUM($U35)+SUM($AI35)))</f>
        <v>0</v>
      </c>
      <c r="AK35" s="14" t="str">
        <f>IF(LEFT($B35,4)="_Mil","",_xlfn.IFNA(ROUND(INDEX(Spectrum!$N:$N,MATCH(RIGHT($B35,13)&amp;"|"&amp;$C35&amp;"|"&amp;$D35&amp;"|"&amp;AK$14&amp;"|"&amp;"CY2023Q3",Spectrum!$R:$R,0)),0),""))</f>
        <v/>
      </c>
      <c r="AL35" s="90">
        <f t="shared" si="7"/>
        <v>1089</v>
      </c>
      <c r="AM35" s="14">
        <f t="shared" si="8"/>
        <v>0</v>
      </c>
      <c r="AN35" s="14" t="str">
        <f>IF($C35="&lt;01",ROUND(INDEX(EID!$P:$P,MATCH($B35,EID!$B:$B,0))/2,0),"")</f>
        <v/>
      </c>
      <c r="AO35" s="14">
        <f t="shared" si="9"/>
        <v>0</v>
      </c>
      <c r="AP35" s="42">
        <f t="shared" si="10"/>
        <v>0</v>
      </c>
      <c r="AQ35" s="42">
        <f t="shared" si="11"/>
        <v>1869</v>
      </c>
      <c r="AR35" s="90" t="str">
        <f t="shared" si="12"/>
        <v/>
      </c>
      <c r="AS35" s="90">
        <f t="shared" ref="AS35:AT54" si="23">IF($C35="&lt;01","",98%)</f>
        <v>0.98</v>
      </c>
      <c r="AT35" s="90">
        <f t="shared" si="23"/>
        <v>0.98</v>
      </c>
      <c r="AU35" s="14">
        <f t="shared" si="14"/>
        <v>0</v>
      </c>
      <c r="AV35" s="14">
        <f>IF($C35="&lt;01",ROUND(INDEX(EID!$N:$N,MATCH($B35,EID!$B:$B,0))/2,0),IF(SUM($AT35)=0,"",ROUND((SUM($AP35)-(SUM($O35)*SUM($AS35)))/$AT35,0)))</f>
        <v>0</v>
      </c>
      <c r="AW35" s="90">
        <f t="shared" si="15"/>
        <v>1</v>
      </c>
      <c r="AX35" s="42">
        <f t="shared" si="16"/>
        <v>0</v>
      </c>
      <c r="AY35" s="116">
        <f t="shared" si="17"/>
        <v>0.7</v>
      </c>
      <c r="AZ35" s="93">
        <f>IF($C35="&lt;01",ROUND(INDEX(EID!$R:$R,MATCH($B35,EID!$B:$B,0))/2,0),ROUND(SUM($O35)+(SUM($AV35)*$AY35),0))</f>
        <v>0</v>
      </c>
      <c r="BA35" s="89">
        <f t="shared" si="18"/>
        <v>0.95</v>
      </c>
      <c r="BB35" s="9">
        <f>IF($C35="&lt;01",ROUND(INDEX(EID!$T:$T,MATCH($B35,EID!$B:$B,0))/2,0),ROUND($AZ35*$BA35,0))</f>
        <v>0</v>
      </c>
      <c r="BC35" s="93">
        <f t="shared" si="19"/>
        <v>0</v>
      </c>
      <c r="BD35" s="90">
        <f t="shared" si="20"/>
        <v>0.95</v>
      </c>
      <c r="BE35" s="42">
        <f>IF($C35="&lt;01",ROUND(INDEX(EID!$V:$V,MATCH($B35,EID!$B:$B,0))/2,0),ROUND($BD35*$BB35,0))</f>
        <v>0</v>
      </c>
      <c r="BF35" s="42">
        <f t="shared" si="21"/>
        <v>0</v>
      </c>
      <c r="BG35" s="116">
        <f t="shared" si="22"/>
        <v>0.95</v>
      </c>
      <c r="BH35" s="9">
        <f>IF($C35="&lt;01",ROUND(INDEX(EID!$L:$L,MATCH($B35,EID!$B:$B,0)),0)/2,IF(SUM($BG35)=0,"",ROUND($AX35/$BG35,0)))</f>
        <v>0</v>
      </c>
    </row>
    <row r="36" spans="1:60" x14ac:dyDescent="0.2">
      <c r="A36" t="str">
        <f>INDEX(Prioritization!$D:$D,MATCH($B36,Prioritization!$A:$A,0))</f>
        <v>1 - Scale-up: Saturation</v>
      </c>
      <c r="B36" t="s">
        <v>194</v>
      </c>
      <c r="C36" t="s">
        <v>364</v>
      </c>
      <c r="D36" t="s">
        <v>47</v>
      </c>
      <c r="E36" t="str">
        <f t="shared" si="0"/>
        <v>Dedza District [PekKUkKHAzY]|15-24|Male</v>
      </c>
      <c r="F36" s="14"/>
      <c r="G36" s="14"/>
      <c r="H36" s="14"/>
      <c r="I36" s="14"/>
      <c r="J36" s="14"/>
      <c r="K36" s="14"/>
      <c r="L36" s="14"/>
      <c r="M36" s="14"/>
      <c r="N36" s="14"/>
      <c r="O36" s="14" t="str">
        <f t="shared" si="1"/>
        <v/>
      </c>
      <c r="P36" s="14"/>
      <c r="Q36" s="14"/>
      <c r="R36" s="14" t="str">
        <f t="shared" si="2"/>
        <v/>
      </c>
      <c r="S36" s="14">
        <f>IF(LEFT($B36,4)="_Mil","",_xlfn.IFNA(ROUND(INDEX(Spectrum!$N:$N,MATCH(RIGHT($B36,13)&amp;"|"&amp;$C36&amp;"|"&amp;$D36&amp;"|"&amp;S$14&amp;"|"&amp;"CY2022Q4",Spectrum!$R:$R,0)),0),""))</f>
        <v>1397</v>
      </c>
      <c r="T36" s="42">
        <f>IF(LEFT($B36,4)="_Mil","",_xlfn.IFNA(ROUND(INDEX(Spectrum!$N:$N,MATCH(RIGHT($B36,13)&amp;"|"&amp;$C36&amp;"|"&amp;$D36&amp;"|"&amp;T$14&amp;"|"&amp;"CY2023Q3",Spectrum!$R:$R,0)),0),""))</f>
        <v>1052</v>
      </c>
      <c r="U36" s="42" t="str">
        <f>IF(LEFT($B36,4)="_Mil","",_xlfn.IFNA(ROUND(INDEX(Spectrum!$N:$N,MATCH(RIGHT($B36,13)&amp;"|"&amp;$C36&amp;"|"&amp;$D36&amp;"|"&amp;U$14&amp;"|"&amp;"CY2023Q3",Spectrum!$R:$R,0)),0),""))</f>
        <v/>
      </c>
      <c r="V36" s="14">
        <f>IF(LEFT($B36,4)="_Mil","",_xlfn.IFNA(ROUND(INDEX(Spectrum!$N:$N,MATCH(RIGHT($B36,13)&amp;"|"&amp;$C36&amp;"|"&amp;$D36&amp;"|"&amp;V$14&amp;"|"&amp;"CY2023Q3",Spectrum!$R:$R,0)),0),""))</f>
        <v>1333</v>
      </c>
      <c r="W36" s="115">
        <f>IF(LEFT($B36,4)="_Mil","",_xlfn.IFNA(INDEX(Spectrum!$N:$N,MATCH(RIGHT($B36,13)&amp;"|"&amp;$C36&amp;"|"&amp;$D36&amp;"|"&amp;W$14&amp;"|"&amp;"CY2023Q3",Spectrum!$R:$R,0)),""))</f>
        <v>1526</v>
      </c>
      <c r="X36" s="42">
        <f>IF(LEFT($B36,4)="_Mil","",_xlfn.IFNA(ROUND(INDEX(Spectrum!$N:$N,MATCH(RIGHT($B36,13)&amp;"|"&amp;$C36&amp;"|"&amp;$D36&amp;"|"&amp;X$14&amp;"|"&amp;"CY2023Q3",Spectrum!$R:$R,0)),0),""))</f>
        <v>620</v>
      </c>
      <c r="Y36" s="90" t="str">
        <f t="shared" si="3"/>
        <v/>
      </c>
      <c r="Z36" s="42">
        <f>IF(LEFT($B36,4)="_Mil","",_xlfn.IFNA(ROUND(INDEX(Spectrum!$N:$N,MATCH(RIGHT($B36,13)&amp;"|"&amp;$C36&amp;"|"&amp;$D36&amp;"|"&amp;Z$14&amp;"|"&amp;"CY2023Q3",Spectrum!$R:$R,0)),0),""))</f>
        <v>1120</v>
      </c>
      <c r="AA36" s="90">
        <f>IF(LEFT($B36,4)="_Mil","",IFERROR(1/(1/INDEX(Spectrum!$N:$N,MATCH(RIGHT($B36,13)&amp;"|"&amp;$C36&amp;"|"&amp;$D36&amp;"|"&amp;AA$14&amp;"|"&amp;"CY2023Q3",Spectrum!$R:$R,0))),IF(SUM($U36)=0,"",SUM($Z36)/$U36)))</f>
        <v>911</v>
      </c>
      <c r="AB36" s="90">
        <f t="shared" si="4"/>
        <v>1.8064516129032258</v>
      </c>
      <c r="AC36" s="14">
        <f>IF(LEFT($B36,4)="_Mil","",_xlfn.IFNA(ROUND(INDEX(Spectrum!$N:$N,MATCH(RIGHT($B36,13)&amp;"|"&amp;$C36&amp;"|"&amp;$D36&amp;"|"&amp;AC$14&amp;"|"&amp;"CY2023Q3",Spectrum!$R:$R,0)),0),""))</f>
        <v>586</v>
      </c>
      <c r="AD36" s="14" t="str">
        <f>IF(LEFT($B36,4)="_Mil","",_xlfn.IFNA(ROUND(INDEX(Spectrum!$N:$N,MATCH(RIGHT($B36,13)&amp;"|"&amp;$C36&amp;"|"&amp;$D36&amp;"|"&amp;AD$14&amp;"|"&amp;"CY2023Q3",Spectrum!$R:$R,0)),0),""))</f>
        <v/>
      </c>
      <c r="AE36" s="90">
        <f t="shared" si="5"/>
        <v>0</v>
      </c>
      <c r="AF36" s="42" t="str">
        <f>IF(LEFT($B36,4)="_Mil","",_xlfn.IFNA(ROUND(INDEX(Spectrum!$N:$N,MATCH(RIGHT($B36,13)&amp;"|"&amp;$C36&amp;"|"&amp;$D36&amp;"|"&amp;AF$14&amp;"|"&amp;"CY2023Q3",Spectrum!$R:$R,0)),0),""))</f>
        <v/>
      </c>
      <c r="AG36" s="90" t="str">
        <f t="shared" si="6"/>
        <v/>
      </c>
      <c r="AH36" s="88" t="str">
        <f>IF(LEFT($B36,4)="_Mil","",_xlfn.IFNA(INDEX(Spectrum!$N:$N,MATCH(RIGHT($B36,13)&amp;"|"&amp;$C36&amp;"|"&amp;$D36&amp;"|"&amp;AH$14&amp;"|"&amp;"CY2023Q3",Spectrum!$R:$R,0)),""))</f>
        <v/>
      </c>
      <c r="AI36" s="14" t="str">
        <f>IF(LEFT($B36,4)="_Mil","",_xlfn.IFNA(ROUND(INDEX(Spectrum!$N:$N,MATCH(RIGHT($B36,13)&amp;"|"&amp;$C36&amp;"|"&amp;$D36&amp;"|"&amp;AI$14&amp;"|"&amp;"CY2023Q3",Spectrum!$R:$R,0)),0),""))</f>
        <v/>
      </c>
      <c r="AJ36" s="42">
        <f>IF(LEFT($B36,4)="_Mil","",_xlfn.IFNA(ROUND(INDEX(Spectrum!$N:$N,MATCH(RIGHT($B36,13)&amp;"|"&amp;$C36&amp;"|"&amp;$D36&amp;"|"&amp;AI$14&amp;"|"&amp;"CY2023Q3",Spectrum!$R:$R,0)),0),SUM($U36)+SUM($AI36)))</f>
        <v>0</v>
      </c>
      <c r="AK36" s="14" t="str">
        <f>IF(LEFT($B36,4)="_Mil","",_xlfn.IFNA(ROUND(INDEX(Spectrum!$N:$N,MATCH(RIGHT($B36,13)&amp;"|"&amp;$C36&amp;"|"&amp;$D36&amp;"|"&amp;AK$14&amp;"|"&amp;"CY2023Q3",Spectrum!$R:$R,0)),0),""))</f>
        <v/>
      </c>
      <c r="AL36" s="90">
        <f t="shared" si="7"/>
        <v>911</v>
      </c>
      <c r="AM36" s="14">
        <f t="shared" si="8"/>
        <v>0</v>
      </c>
      <c r="AN36" s="14" t="str">
        <f>IF($C36="&lt;01",ROUND(INDEX(EID!$P:$P,MATCH($B36,EID!$B:$B,0))/2,0),"")</f>
        <v/>
      </c>
      <c r="AO36" s="14">
        <f t="shared" si="9"/>
        <v>0</v>
      </c>
      <c r="AP36" s="42">
        <f t="shared" si="10"/>
        <v>0</v>
      </c>
      <c r="AQ36" s="42">
        <f t="shared" si="11"/>
        <v>1120</v>
      </c>
      <c r="AR36" s="90" t="str">
        <f t="shared" si="12"/>
        <v/>
      </c>
      <c r="AS36" s="90">
        <f t="shared" si="23"/>
        <v>0.98</v>
      </c>
      <c r="AT36" s="90">
        <f t="shared" si="23"/>
        <v>0.98</v>
      </c>
      <c r="AU36" s="14">
        <f t="shared" si="14"/>
        <v>0</v>
      </c>
      <c r="AV36" s="14">
        <f>IF($C36="&lt;01",ROUND(INDEX(EID!$N:$N,MATCH($B36,EID!$B:$B,0))/2,0),IF(SUM($AT36)=0,"",ROUND((SUM($AP36)-(SUM($O36)*SUM($AS36)))/$AT36,0)))</f>
        <v>0</v>
      </c>
      <c r="AW36" s="90">
        <f t="shared" si="15"/>
        <v>1</v>
      </c>
      <c r="AX36" s="42">
        <f t="shared" si="16"/>
        <v>0</v>
      </c>
      <c r="AY36" s="116">
        <f t="shared" si="17"/>
        <v>0.7</v>
      </c>
      <c r="AZ36" s="93">
        <f>IF($C36="&lt;01",ROUND(INDEX(EID!$R:$R,MATCH($B36,EID!$B:$B,0))/2,0),ROUND(SUM($O36)+(SUM($AV36)*$AY36),0))</f>
        <v>0</v>
      </c>
      <c r="BA36" s="89">
        <f t="shared" si="18"/>
        <v>0.95</v>
      </c>
      <c r="BB36" s="9">
        <f>IF($C36="&lt;01",ROUND(INDEX(EID!$T:$T,MATCH($B36,EID!$B:$B,0))/2,0),ROUND($AZ36*$BA36,0))</f>
        <v>0</v>
      </c>
      <c r="BC36" s="93">
        <f t="shared" si="19"/>
        <v>0</v>
      </c>
      <c r="BD36" s="90">
        <f t="shared" si="20"/>
        <v>0.95</v>
      </c>
      <c r="BE36" s="42">
        <f>IF($C36="&lt;01",ROUND(INDEX(EID!$V:$V,MATCH($B36,EID!$B:$B,0))/2,0),ROUND($BD36*$BB36,0))</f>
        <v>0</v>
      </c>
      <c r="BF36" s="42">
        <f t="shared" si="21"/>
        <v>0</v>
      </c>
      <c r="BG36" s="116">
        <f t="shared" si="22"/>
        <v>0.95</v>
      </c>
      <c r="BH36" s="9">
        <f>IF($C36="&lt;01",ROUND(INDEX(EID!$L:$L,MATCH($B36,EID!$B:$B,0)),0)/2,IF(SUM($BG36)=0,"",ROUND($AX36/$BG36,0)))</f>
        <v>0</v>
      </c>
    </row>
    <row r="37" spans="1:60" x14ac:dyDescent="0.2">
      <c r="A37" t="str">
        <f>INDEX(Prioritization!$D:$D,MATCH($B37,Prioritization!$A:$A,0))</f>
        <v>1 - Scale-up: Saturation</v>
      </c>
      <c r="B37" t="s">
        <v>194</v>
      </c>
      <c r="C37" t="s">
        <v>365</v>
      </c>
      <c r="D37" t="s">
        <v>29</v>
      </c>
      <c r="E37" t="str">
        <f t="shared" si="0"/>
        <v>Dedza District [PekKUkKHAzY]|25-34|Female</v>
      </c>
      <c r="F37" s="14"/>
      <c r="G37" s="14"/>
      <c r="H37" s="14"/>
      <c r="I37" s="14"/>
      <c r="J37" s="14"/>
      <c r="K37" s="14"/>
      <c r="L37" s="14"/>
      <c r="M37" s="14"/>
      <c r="N37" s="14"/>
      <c r="O37" s="14" t="str">
        <f t="shared" si="1"/>
        <v/>
      </c>
      <c r="P37" s="14"/>
      <c r="Q37" s="14"/>
      <c r="R37" s="14" t="str">
        <f t="shared" si="2"/>
        <v/>
      </c>
      <c r="S37" s="14">
        <f>IF(LEFT($B37,4)="_Mil","",_xlfn.IFNA(ROUND(INDEX(Spectrum!$N:$N,MATCH(RIGHT($B37,13)&amp;"|"&amp;$C37&amp;"|"&amp;$D37&amp;"|"&amp;S$14&amp;"|"&amp;"CY2022Q4",Spectrum!$R:$R,0)),0),""))</f>
        <v>1420</v>
      </c>
      <c r="T37" s="42">
        <f>IF(LEFT($B37,4)="_Mil","",_xlfn.IFNA(ROUND(INDEX(Spectrum!$N:$N,MATCH(RIGHT($B37,13)&amp;"|"&amp;$C37&amp;"|"&amp;$D37&amp;"|"&amp;T$14&amp;"|"&amp;"CY2023Q3",Spectrum!$R:$R,0)),0),""))</f>
        <v>1954</v>
      </c>
      <c r="U37" s="42" t="str">
        <f>IF(LEFT($B37,4)="_Mil","",_xlfn.IFNA(ROUND(INDEX(Spectrum!$N:$N,MATCH(RIGHT($B37,13)&amp;"|"&amp;$C37&amp;"|"&amp;$D37&amp;"|"&amp;U$14&amp;"|"&amp;"CY2023Q3",Spectrum!$R:$R,0)),0),""))</f>
        <v/>
      </c>
      <c r="V37" s="14">
        <f>IF(LEFT($B37,4)="_Mil","",_xlfn.IFNA(ROUND(INDEX(Spectrum!$N:$N,MATCH(RIGHT($B37,13)&amp;"|"&amp;$C37&amp;"|"&amp;$D37&amp;"|"&amp;V$14&amp;"|"&amp;"CY2023Q3",Spectrum!$R:$R,0)),0),""))</f>
        <v>689</v>
      </c>
      <c r="W37" s="115">
        <f>IF(LEFT($B37,4)="_Mil","",_xlfn.IFNA(INDEX(Spectrum!$N:$N,MATCH(RIGHT($B37,13)&amp;"|"&amp;$C37&amp;"|"&amp;$D37&amp;"|"&amp;W$14&amp;"|"&amp;"CY2023Q3",Spectrum!$R:$R,0)),""))</f>
        <v>909</v>
      </c>
      <c r="X37" s="42">
        <f>IF(LEFT($B37,4)="_Mil","",_xlfn.IFNA(ROUND(INDEX(Spectrum!$N:$N,MATCH(RIGHT($B37,13)&amp;"|"&amp;$C37&amp;"|"&amp;$D37&amp;"|"&amp;X$14&amp;"|"&amp;"CY2023Q3",Spectrum!$R:$R,0)),0),""))</f>
        <v>867</v>
      </c>
      <c r="Y37" s="90" t="str">
        <f t="shared" si="3"/>
        <v/>
      </c>
      <c r="Z37" s="42">
        <f>IF(LEFT($B37,4)="_Mil","",_xlfn.IFNA(ROUND(INDEX(Spectrum!$N:$N,MATCH(RIGHT($B37,13)&amp;"|"&amp;$C37&amp;"|"&amp;$D37&amp;"|"&amp;Z$14&amp;"|"&amp;"CY2023Q3",Spectrum!$R:$R,0)),0),""))</f>
        <v>1045</v>
      </c>
      <c r="AA37" s="90">
        <f>IF(LEFT($B37,4)="_Mil","",IFERROR(1/(1/INDEX(Spectrum!$N:$N,MATCH(RIGHT($B37,13)&amp;"|"&amp;$C37&amp;"|"&amp;$D37&amp;"|"&amp;AA$14&amp;"|"&amp;"CY2023Q3",Spectrum!$R:$R,0))),IF(SUM($U37)=0,"",SUM($Z37)/$U37)))</f>
        <v>835</v>
      </c>
      <c r="AB37" s="90">
        <f t="shared" si="4"/>
        <v>1.2053056516724336</v>
      </c>
      <c r="AC37" s="14">
        <f>IF(LEFT($B37,4)="_Mil","",_xlfn.IFNA(ROUND(INDEX(Spectrum!$N:$N,MATCH(RIGHT($B37,13)&amp;"|"&amp;$C37&amp;"|"&amp;$D37&amp;"|"&amp;AC$14&amp;"|"&amp;"CY2023Q3",Spectrum!$R:$R,0)),0),""))</f>
        <v>1544</v>
      </c>
      <c r="AD37" s="14" t="str">
        <f>IF(LEFT($B37,4)="_Mil","",_xlfn.IFNA(ROUND(INDEX(Spectrum!$N:$N,MATCH(RIGHT($B37,13)&amp;"|"&amp;$C37&amp;"|"&amp;$D37&amp;"|"&amp;AD$14&amp;"|"&amp;"CY2023Q3",Spectrum!$R:$R,0)),0),""))</f>
        <v/>
      </c>
      <c r="AE37" s="90">
        <f t="shared" si="5"/>
        <v>0</v>
      </c>
      <c r="AF37" s="42" t="str">
        <f>IF(LEFT($B37,4)="_Mil","",_xlfn.IFNA(ROUND(INDEX(Spectrum!$N:$N,MATCH(RIGHT($B37,13)&amp;"|"&amp;$C37&amp;"|"&amp;$D37&amp;"|"&amp;AF$14&amp;"|"&amp;"CY2023Q3",Spectrum!$R:$R,0)),0),""))</f>
        <v/>
      </c>
      <c r="AG37" s="90" t="str">
        <f t="shared" si="6"/>
        <v/>
      </c>
      <c r="AH37" s="88" t="str">
        <f>IF(LEFT($B37,4)="_Mil","",_xlfn.IFNA(INDEX(Spectrum!$N:$N,MATCH(RIGHT($B37,13)&amp;"|"&amp;$C37&amp;"|"&amp;$D37&amp;"|"&amp;AH$14&amp;"|"&amp;"CY2023Q3",Spectrum!$R:$R,0)),""))</f>
        <v/>
      </c>
      <c r="AI37" s="14" t="str">
        <f>IF(LEFT($B37,4)="_Mil","",_xlfn.IFNA(ROUND(INDEX(Spectrum!$N:$N,MATCH(RIGHT($B37,13)&amp;"|"&amp;$C37&amp;"|"&amp;$D37&amp;"|"&amp;AI$14&amp;"|"&amp;"CY2023Q3",Spectrum!$R:$R,0)),0),""))</f>
        <v/>
      </c>
      <c r="AJ37" s="42">
        <f>IF(LEFT($B37,4)="_Mil","",_xlfn.IFNA(ROUND(INDEX(Spectrum!$N:$N,MATCH(RIGHT($B37,13)&amp;"|"&amp;$C37&amp;"|"&amp;$D37&amp;"|"&amp;AI$14&amp;"|"&amp;"CY2023Q3",Spectrum!$R:$R,0)),0),SUM($U37)+SUM($AI37)))</f>
        <v>0</v>
      </c>
      <c r="AK37" s="14" t="str">
        <f>IF(LEFT($B37,4)="_Mil","",_xlfn.IFNA(ROUND(INDEX(Spectrum!$N:$N,MATCH(RIGHT($B37,13)&amp;"|"&amp;$C37&amp;"|"&amp;$D37&amp;"|"&amp;AK$14&amp;"|"&amp;"CY2023Q3",Spectrum!$R:$R,0)),0),""))</f>
        <v/>
      </c>
      <c r="AL37" s="90">
        <f t="shared" si="7"/>
        <v>835</v>
      </c>
      <c r="AM37" s="14">
        <f t="shared" si="8"/>
        <v>0</v>
      </c>
      <c r="AN37" s="14" t="str">
        <f>IF($C37="&lt;01",ROUND(INDEX(EID!$P:$P,MATCH($B37,EID!$B:$B,0))/2,0),"")</f>
        <v/>
      </c>
      <c r="AO37" s="14">
        <f t="shared" si="9"/>
        <v>0</v>
      </c>
      <c r="AP37" s="42">
        <f t="shared" si="10"/>
        <v>0</v>
      </c>
      <c r="AQ37" s="42">
        <f t="shared" si="11"/>
        <v>1045</v>
      </c>
      <c r="AR37" s="90" t="str">
        <f t="shared" si="12"/>
        <v/>
      </c>
      <c r="AS37" s="90">
        <f t="shared" si="23"/>
        <v>0.98</v>
      </c>
      <c r="AT37" s="90">
        <f t="shared" si="23"/>
        <v>0.98</v>
      </c>
      <c r="AU37" s="14">
        <f t="shared" si="14"/>
        <v>0</v>
      </c>
      <c r="AV37" s="14">
        <f>IF($C37="&lt;01",ROUND(INDEX(EID!$N:$N,MATCH($B37,EID!$B:$B,0))/2,0),IF(SUM($AT37)=0,"",ROUND((SUM($AP37)-(SUM($O37)*SUM($AS37)))/$AT37,0)))</f>
        <v>0</v>
      </c>
      <c r="AW37" s="90">
        <f t="shared" si="15"/>
        <v>1</v>
      </c>
      <c r="AX37" s="42">
        <f t="shared" si="16"/>
        <v>0</v>
      </c>
      <c r="AY37" s="116">
        <f t="shared" si="17"/>
        <v>0.7</v>
      </c>
      <c r="AZ37" s="93">
        <f>IF($C37="&lt;01",ROUND(INDEX(EID!$R:$R,MATCH($B37,EID!$B:$B,0))/2,0),ROUND(SUM($O37)+(SUM($AV37)*$AY37),0))</f>
        <v>0</v>
      </c>
      <c r="BA37" s="89">
        <f t="shared" si="18"/>
        <v>0.95</v>
      </c>
      <c r="BB37" s="9">
        <f>IF($C37="&lt;01",ROUND(INDEX(EID!$T:$T,MATCH($B37,EID!$B:$B,0))/2,0),ROUND($AZ37*$BA37,0))</f>
        <v>0</v>
      </c>
      <c r="BC37" s="93">
        <f t="shared" si="19"/>
        <v>0</v>
      </c>
      <c r="BD37" s="90">
        <f t="shared" si="20"/>
        <v>0.95</v>
      </c>
      <c r="BE37" s="42">
        <f>IF($C37="&lt;01",ROUND(INDEX(EID!$V:$V,MATCH($B37,EID!$B:$B,0))/2,0),ROUND($BD37*$BB37,0))</f>
        <v>0</v>
      </c>
      <c r="BF37" s="42">
        <f t="shared" si="21"/>
        <v>0</v>
      </c>
      <c r="BG37" s="116">
        <f t="shared" si="22"/>
        <v>0.95</v>
      </c>
      <c r="BH37" s="9">
        <f>IF($C37="&lt;01",ROUND(INDEX(EID!$L:$L,MATCH($B37,EID!$B:$B,0)),0)/2,IF(SUM($BG37)=0,"",ROUND($AX37/$BG37,0)))</f>
        <v>0</v>
      </c>
    </row>
    <row r="38" spans="1:60" x14ac:dyDescent="0.2">
      <c r="A38" t="str">
        <f>INDEX(Prioritization!$D:$D,MATCH($B38,Prioritization!$A:$A,0))</f>
        <v>1 - Scale-up: Saturation</v>
      </c>
      <c r="B38" t="s">
        <v>194</v>
      </c>
      <c r="C38" t="s">
        <v>365</v>
      </c>
      <c r="D38" t="s">
        <v>47</v>
      </c>
      <c r="E38" t="str">
        <f t="shared" si="0"/>
        <v>Dedza District [PekKUkKHAzY]|25-34|Male</v>
      </c>
      <c r="F38" s="14"/>
      <c r="G38" s="14"/>
      <c r="H38" s="14"/>
      <c r="I38" s="14"/>
      <c r="J38" s="14"/>
      <c r="K38" s="14"/>
      <c r="L38" s="14"/>
      <c r="M38" s="14"/>
      <c r="N38" s="14"/>
      <c r="O38" s="14" t="str">
        <f t="shared" si="1"/>
        <v/>
      </c>
      <c r="P38" s="14"/>
      <c r="Q38" s="14"/>
      <c r="R38" s="14" t="str">
        <f t="shared" si="2"/>
        <v/>
      </c>
      <c r="S38" s="14">
        <f>IF(LEFT($B38,4)="_Mil","",_xlfn.IFNA(ROUND(INDEX(Spectrum!$N:$N,MATCH(RIGHT($B38,13)&amp;"|"&amp;$C38&amp;"|"&amp;$D38&amp;"|"&amp;S$14&amp;"|"&amp;"CY2022Q4",Spectrum!$R:$R,0)),0),""))</f>
        <v>1561</v>
      </c>
      <c r="T38" s="42">
        <f>IF(LEFT($B38,4)="_Mil","",_xlfn.IFNA(ROUND(INDEX(Spectrum!$N:$N,MATCH(RIGHT($B38,13)&amp;"|"&amp;$C38&amp;"|"&amp;$D38&amp;"|"&amp;T$14&amp;"|"&amp;"CY2023Q3",Spectrum!$R:$R,0)),0),""))</f>
        <v>996</v>
      </c>
      <c r="U38" s="42" t="str">
        <f>IF(LEFT($B38,4)="_Mil","",_xlfn.IFNA(ROUND(INDEX(Spectrum!$N:$N,MATCH(RIGHT($B38,13)&amp;"|"&amp;$C38&amp;"|"&amp;$D38&amp;"|"&amp;U$14&amp;"|"&amp;"CY2023Q3",Spectrum!$R:$R,0)),0),""))</f>
        <v/>
      </c>
      <c r="V38" s="14">
        <f>IF(LEFT($B38,4)="_Mil","",_xlfn.IFNA(ROUND(INDEX(Spectrum!$N:$N,MATCH(RIGHT($B38,13)&amp;"|"&amp;$C38&amp;"|"&amp;$D38&amp;"|"&amp;V$14&amp;"|"&amp;"CY2023Q3",Spectrum!$R:$R,0)),0),""))</f>
        <v>1138</v>
      </c>
      <c r="W38" s="115">
        <f>IF(LEFT($B38,4)="_Mil","",_xlfn.IFNA(INDEX(Spectrum!$N:$N,MATCH(RIGHT($B38,13)&amp;"|"&amp;$C38&amp;"|"&amp;$D38&amp;"|"&amp;W$14&amp;"|"&amp;"CY2023Q3",Spectrum!$R:$R,0)),""))</f>
        <v>1934</v>
      </c>
      <c r="X38" s="42">
        <f>IF(LEFT($B38,4)="_Mil","",_xlfn.IFNA(ROUND(INDEX(Spectrum!$N:$N,MATCH(RIGHT($B38,13)&amp;"|"&amp;$C38&amp;"|"&amp;$D38&amp;"|"&amp;X$14&amp;"|"&amp;"CY2023Q3",Spectrum!$R:$R,0)),0),""))</f>
        <v>1128</v>
      </c>
      <c r="Y38" s="90" t="str">
        <f t="shared" si="3"/>
        <v/>
      </c>
      <c r="Z38" s="42">
        <f>IF(LEFT($B38,4)="_Mil","",_xlfn.IFNA(ROUND(INDEX(Spectrum!$N:$N,MATCH(RIGHT($B38,13)&amp;"|"&amp;$C38&amp;"|"&amp;$D38&amp;"|"&amp;Z$14&amp;"|"&amp;"CY2023Q3",Spectrum!$R:$R,0)),0),""))</f>
        <v>1762</v>
      </c>
      <c r="AA38" s="90">
        <f>IF(LEFT($B38,4)="_Mil","",IFERROR(1/(1/INDEX(Spectrum!$N:$N,MATCH(RIGHT($B38,13)&amp;"|"&amp;$C38&amp;"|"&amp;$D38&amp;"|"&amp;AA$14&amp;"|"&amp;"CY2023Q3",Spectrum!$R:$R,0))),IF(SUM($U38)=0,"",SUM($Z38)/$U38)))</f>
        <v>707</v>
      </c>
      <c r="AB38" s="90">
        <f t="shared" si="4"/>
        <v>1.5620567375886525</v>
      </c>
      <c r="AC38" s="14">
        <f>IF(LEFT($B38,4)="_Mil","",_xlfn.IFNA(ROUND(INDEX(Spectrum!$N:$N,MATCH(RIGHT($B38,13)&amp;"|"&amp;$C38&amp;"|"&amp;$D38&amp;"|"&amp;AC$14&amp;"|"&amp;"CY2023Q3",Spectrum!$R:$R,0)),0),""))</f>
        <v>1388</v>
      </c>
      <c r="AD38" s="14" t="str">
        <f>IF(LEFT($B38,4)="_Mil","",_xlfn.IFNA(ROUND(INDEX(Spectrum!$N:$N,MATCH(RIGHT($B38,13)&amp;"|"&amp;$C38&amp;"|"&amp;$D38&amp;"|"&amp;AD$14&amp;"|"&amp;"CY2023Q3",Spectrum!$R:$R,0)),0),""))</f>
        <v/>
      </c>
      <c r="AE38" s="90">
        <f t="shared" si="5"/>
        <v>0</v>
      </c>
      <c r="AF38" s="42" t="str">
        <f>IF(LEFT($B38,4)="_Mil","",_xlfn.IFNA(ROUND(INDEX(Spectrum!$N:$N,MATCH(RIGHT($B38,13)&amp;"|"&amp;$C38&amp;"|"&amp;$D38&amp;"|"&amp;AF$14&amp;"|"&amp;"CY2023Q3",Spectrum!$R:$R,0)),0),""))</f>
        <v/>
      </c>
      <c r="AG38" s="90" t="str">
        <f t="shared" si="6"/>
        <v/>
      </c>
      <c r="AH38" s="88" t="str">
        <f>IF(LEFT($B38,4)="_Mil","",_xlfn.IFNA(INDEX(Spectrum!$N:$N,MATCH(RIGHT($B38,13)&amp;"|"&amp;$C38&amp;"|"&amp;$D38&amp;"|"&amp;AH$14&amp;"|"&amp;"CY2023Q3",Spectrum!$R:$R,0)),""))</f>
        <v/>
      </c>
      <c r="AI38" s="14" t="str">
        <f>IF(LEFT($B38,4)="_Mil","",_xlfn.IFNA(ROUND(INDEX(Spectrum!$N:$N,MATCH(RIGHT($B38,13)&amp;"|"&amp;$C38&amp;"|"&amp;$D38&amp;"|"&amp;AI$14&amp;"|"&amp;"CY2023Q3",Spectrum!$R:$R,0)),0),""))</f>
        <v/>
      </c>
      <c r="AJ38" s="42">
        <f>IF(LEFT($B38,4)="_Mil","",_xlfn.IFNA(ROUND(INDEX(Spectrum!$N:$N,MATCH(RIGHT($B38,13)&amp;"|"&amp;$C38&amp;"|"&amp;$D38&amp;"|"&amp;AI$14&amp;"|"&amp;"CY2023Q3",Spectrum!$R:$R,0)),0),SUM($U38)+SUM($AI38)))</f>
        <v>0</v>
      </c>
      <c r="AK38" s="14" t="str">
        <f>IF(LEFT($B38,4)="_Mil","",_xlfn.IFNA(ROUND(INDEX(Spectrum!$N:$N,MATCH(RIGHT($B38,13)&amp;"|"&amp;$C38&amp;"|"&amp;$D38&amp;"|"&amp;AK$14&amp;"|"&amp;"CY2023Q3",Spectrum!$R:$R,0)),0),""))</f>
        <v/>
      </c>
      <c r="AL38" s="90">
        <f t="shared" si="7"/>
        <v>707</v>
      </c>
      <c r="AM38" s="14">
        <f t="shared" si="8"/>
        <v>0</v>
      </c>
      <c r="AN38" s="14" t="str">
        <f>IF($C38="&lt;01",ROUND(INDEX(EID!$P:$P,MATCH($B38,EID!$B:$B,0))/2,0),"")</f>
        <v/>
      </c>
      <c r="AO38" s="14">
        <f t="shared" si="9"/>
        <v>0</v>
      </c>
      <c r="AP38" s="42">
        <f t="shared" si="10"/>
        <v>0</v>
      </c>
      <c r="AQ38" s="42">
        <f t="shared" si="11"/>
        <v>1762</v>
      </c>
      <c r="AR38" s="90" t="str">
        <f t="shared" si="12"/>
        <v/>
      </c>
      <c r="AS38" s="90">
        <f t="shared" si="23"/>
        <v>0.98</v>
      </c>
      <c r="AT38" s="90">
        <f t="shared" si="23"/>
        <v>0.98</v>
      </c>
      <c r="AU38" s="14">
        <f t="shared" si="14"/>
        <v>0</v>
      </c>
      <c r="AV38" s="14">
        <f>IF($C38="&lt;01",ROUND(INDEX(EID!$N:$N,MATCH($B38,EID!$B:$B,0))/2,0),IF(SUM($AT38)=0,"",ROUND((SUM($AP38)-(SUM($O38)*SUM($AS38)))/$AT38,0)))</f>
        <v>0</v>
      </c>
      <c r="AW38" s="90">
        <f t="shared" si="15"/>
        <v>1</v>
      </c>
      <c r="AX38" s="42">
        <f t="shared" si="16"/>
        <v>0</v>
      </c>
      <c r="AY38" s="116">
        <f t="shared" si="17"/>
        <v>0.7</v>
      </c>
      <c r="AZ38" s="93">
        <f>IF($C38="&lt;01",ROUND(INDEX(EID!$R:$R,MATCH($B38,EID!$B:$B,0))/2,0),ROUND(SUM($O38)+(SUM($AV38)*$AY38),0))</f>
        <v>0</v>
      </c>
      <c r="BA38" s="89">
        <f t="shared" si="18"/>
        <v>0.95</v>
      </c>
      <c r="BB38" s="9">
        <f>IF($C38="&lt;01",ROUND(INDEX(EID!$T:$T,MATCH($B38,EID!$B:$B,0))/2,0),ROUND($AZ38*$BA38,0))</f>
        <v>0</v>
      </c>
      <c r="BC38" s="93">
        <f t="shared" si="19"/>
        <v>0</v>
      </c>
      <c r="BD38" s="90">
        <f t="shared" si="20"/>
        <v>0.95</v>
      </c>
      <c r="BE38" s="42">
        <f>IF($C38="&lt;01",ROUND(INDEX(EID!$V:$V,MATCH($B38,EID!$B:$B,0))/2,0),ROUND($BD38*$BB38,0))</f>
        <v>0</v>
      </c>
      <c r="BF38" s="42">
        <f t="shared" si="21"/>
        <v>0</v>
      </c>
      <c r="BG38" s="116">
        <f t="shared" si="22"/>
        <v>0.95</v>
      </c>
      <c r="BH38" s="9">
        <f>IF($C38="&lt;01",ROUND(INDEX(EID!$L:$L,MATCH($B38,EID!$B:$B,0)),0)/2,IF(SUM($BG38)=0,"",ROUND($AX38/$BG38,0)))</f>
        <v>0</v>
      </c>
    </row>
    <row r="39" spans="1:60" x14ac:dyDescent="0.2">
      <c r="A39" t="str">
        <f>INDEX(Prioritization!$D:$D,MATCH($B39,Prioritization!$A:$A,0))</f>
        <v>1 - Scale-up: Saturation</v>
      </c>
      <c r="B39" t="s">
        <v>194</v>
      </c>
      <c r="C39" t="s">
        <v>366</v>
      </c>
      <c r="D39" t="s">
        <v>29</v>
      </c>
      <c r="E39" t="str">
        <f t="shared" si="0"/>
        <v>Dedza District [PekKUkKHAzY]|35-49|Female</v>
      </c>
      <c r="F39" s="14"/>
      <c r="G39" s="14"/>
      <c r="H39" s="14"/>
      <c r="I39" s="14"/>
      <c r="J39" s="14"/>
      <c r="K39" s="14"/>
      <c r="L39" s="14"/>
      <c r="M39" s="14"/>
      <c r="N39" s="14"/>
      <c r="O39" s="14" t="str">
        <f t="shared" si="1"/>
        <v/>
      </c>
      <c r="P39" s="14"/>
      <c r="Q39" s="14"/>
      <c r="R39" s="14" t="str">
        <f t="shared" si="2"/>
        <v/>
      </c>
      <c r="S39" s="14">
        <f>IF(LEFT($B39,4)="_Mil","",_xlfn.IFNA(ROUND(INDEX(Spectrum!$N:$N,MATCH(RIGHT($B39,13)&amp;"|"&amp;$C39&amp;"|"&amp;$D39&amp;"|"&amp;S$14&amp;"|"&amp;"CY2022Q4",Spectrum!$R:$R,0)),0),""))</f>
        <v>1596</v>
      </c>
      <c r="T39" s="42">
        <f>IF(LEFT($B39,4)="_Mil","",_xlfn.IFNA(ROUND(INDEX(Spectrum!$N:$N,MATCH(RIGHT($B39,13)&amp;"|"&amp;$C39&amp;"|"&amp;$D39&amp;"|"&amp;T$14&amp;"|"&amp;"CY2023Q3",Spectrum!$R:$R,0)),0),""))</f>
        <v>1065</v>
      </c>
      <c r="U39" s="42" t="str">
        <f>IF(LEFT($B39,4)="_Mil","",_xlfn.IFNA(ROUND(INDEX(Spectrum!$N:$N,MATCH(RIGHT($B39,13)&amp;"|"&amp;$C39&amp;"|"&amp;$D39&amp;"|"&amp;U$14&amp;"|"&amp;"CY2023Q3",Spectrum!$R:$R,0)),0),""))</f>
        <v/>
      </c>
      <c r="V39" s="14">
        <f>IF(LEFT($B39,4)="_Mil","",_xlfn.IFNA(ROUND(INDEX(Spectrum!$N:$N,MATCH(RIGHT($B39,13)&amp;"|"&amp;$C39&amp;"|"&amp;$D39&amp;"|"&amp;V$14&amp;"|"&amp;"CY2023Q3",Spectrum!$R:$R,0)),0),""))</f>
        <v>1288</v>
      </c>
      <c r="W39" s="115">
        <f>IF(LEFT($B39,4)="_Mil","",_xlfn.IFNA(INDEX(Spectrum!$N:$N,MATCH(RIGHT($B39,13)&amp;"|"&amp;$C39&amp;"|"&amp;$D39&amp;"|"&amp;W$14&amp;"|"&amp;"CY2023Q3",Spectrum!$R:$R,0)),""))</f>
        <v>1692</v>
      </c>
      <c r="X39" s="42">
        <f>IF(LEFT($B39,4)="_Mil","",_xlfn.IFNA(ROUND(INDEX(Spectrum!$N:$N,MATCH(RIGHT($B39,13)&amp;"|"&amp;$C39&amp;"|"&amp;$D39&amp;"|"&amp;X$14&amp;"|"&amp;"CY2023Q3",Spectrum!$R:$R,0)),0),""))</f>
        <v>1307</v>
      </c>
      <c r="Y39" s="90" t="str">
        <f t="shared" si="3"/>
        <v/>
      </c>
      <c r="Z39" s="42">
        <f>IF(LEFT($B39,4)="_Mil","",_xlfn.IFNA(ROUND(INDEX(Spectrum!$N:$N,MATCH(RIGHT($B39,13)&amp;"|"&amp;$C39&amp;"|"&amp;$D39&amp;"|"&amp;Z$14&amp;"|"&amp;"CY2023Q3",Spectrum!$R:$R,0)),0),""))</f>
        <v>1435</v>
      </c>
      <c r="AA39" s="90">
        <f>IF(LEFT($B39,4)="_Mil","",IFERROR(1/(1/INDEX(Spectrum!$N:$N,MATCH(RIGHT($B39,13)&amp;"|"&amp;$C39&amp;"|"&amp;$D39&amp;"|"&amp;AA$14&amp;"|"&amp;"CY2023Q3",Spectrum!$R:$R,0))),IF(SUM($U39)=0,"",SUM($Z39)/$U39)))</f>
        <v>1942</v>
      </c>
      <c r="AB39" s="90">
        <f t="shared" si="4"/>
        <v>1.0979342004590666</v>
      </c>
      <c r="AC39" s="14">
        <f>IF(LEFT($B39,4)="_Mil","",_xlfn.IFNA(ROUND(INDEX(Spectrum!$N:$N,MATCH(RIGHT($B39,13)&amp;"|"&amp;$C39&amp;"|"&amp;$D39&amp;"|"&amp;AC$14&amp;"|"&amp;"CY2023Q3",Spectrum!$R:$R,0)),0),""))</f>
        <v>810</v>
      </c>
      <c r="AD39" s="14" t="str">
        <f>IF(LEFT($B39,4)="_Mil","",_xlfn.IFNA(ROUND(INDEX(Spectrum!$N:$N,MATCH(RIGHT($B39,13)&amp;"|"&amp;$C39&amp;"|"&amp;$D39&amp;"|"&amp;AD$14&amp;"|"&amp;"CY2023Q3",Spectrum!$R:$R,0)),0),""))</f>
        <v/>
      </c>
      <c r="AE39" s="90">
        <f t="shared" si="5"/>
        <v>0</v>
      </c>
      <c r="AF39" s="42" t="str">
        <f>IF(LEFT($B39,4)="_Mil","",_xlfn.IFNA(ROUND(INDEX(Spectrum!$N:$N,MATCH(RIGHT($B39,13)&amp;"|"&amp;$C39&amp;"|"&amp;$D39&amp;"|"&amp;AF$14&amp;"|"&amp;"CY2023Q3",Spectrum!$R:$R,0)),0),""))</f>
        <v/>
      </c>
      <c r="AG39" s="90" t="str">
        <f t="shared" si="6"/>
        <v/>
      </c>
      <c r="AH39" s="88" t="str">
        <f>IF(LEFT($B39,4)="_Mil","",_xlfn.IFNA(INDEX(Spectrum!$N:$N,MATCH(RIGHT($B39,13)&amp;"|"&amp;$C39&amp;"|"&amp;$D39&amp;"|"&amp;AH$14&amp;"|"&amp;"CY2023Q3",Spectrum!$R:$R,0)),""))</f>
        <v/>
      </c>
      <c r="AI39" s="14" t="str">
        <f>IF(LEFT($B39,4)="_Mil","",_xlfn.IFNA(ROUND(INDEX(Spectrum!$N:$N,MATCH(RIGHT($B39,13)&amp;"|"&amp;$C39&amp;"|"&amp;$D39&amp;"|"&amp;AI$14&amp;"|"&amp;"CY2023Q3",Spectrum!$R:$R,0)),0),""))</f>
        <v/>
      </c>
      <c r="AJ39" s="42">
        <f>IF(LEFT($B39,4)="_Mil","",_xlfn.IFNA(ROUND(INDEX(Spectrum!$N:$N,MATCH(RIGHT($B39,13)&amp;"|"&amp;$C39&amp;"|"&amp;$D39&amp;"|"&amp;AI$14&amp;"|"&amp;"CY2023Q3",Spectrum!$R:$R,0)),0),SUM($U39)+SUM($AI39)))</f>
        <v>0</v>
      </c>
      <c r="AK39" s="14" t="str">
        <f>IF(LEFT($B39,4)="_Mil","",_xlfn.IFNA(ROUND(INDEX(Spectrum!$N:$N,MATCH(RIGHT($B39,13)&amp;"|"&amp;$C39&amp;"|"&amp;$D39&amp;"|"&amp;AK$14&amp;"|"&amp;"CY2023Q3",Spectrum!$R:$R,0)),0),""))</f>
        <v/>
      </c>
      <c r="AL39" s="90">
        <f t="shared" si="7"/>
        <v>1942</v>
      </c>
      <c r="AM39" s="14">
        <f t="shared" si="8"/>
        <v>0</v>
      </c>
      <c r="AN39" s="14" t="str">
        <f>IF($C39="&lt;01",ROUND(INDEX(EID!$P:$P,MATCH($B39,EID!$B:$B,0))/2,0),"")</f>
        <v/>
      </c>
      <c r="AO39" s="14">
        <f t="shared" si="9"/>
        <v>0</v>
      </c>
      <c r="AP39" s="42">
        <f t="shared" si="10"/>
        <v>0</v>
      </c>
      <c r="AQ39" s="42">
        <f t="shared" si="11"/>
        <v>1435</v>
      </c>
      <c r="AR39" s="90" t="str">
        <f t="shared" si="12"/>
        <v/>
      </c>
      <c r="AS39" s="90">
        <f t="shared" si="23"/>
        <v>0.98</v>
      </c>
      <c r="AT39" s="90">
        <f t="shared" si="23"/>
        <v>0.98</v>
      </c>
      <c r="AU39" s="14">
        <f t="shared" si="14"/>
        <v>0</v>
      </c>
      <c r="AV39" s="14">
        <f>IF($C39="&lt;01",ROUND(INDEX(EID!$N:$N,MATCH($B39,EID!$B:$B,0))/2,0),IF(SUM($AT39)=0,"",ROUND((SUM($AP39)-(SUM($O39)*SUM($AS39)))/$AT39,0)))</f>
        <v>0</v>
      </c>
      <c r="AW39" s="90">
        <f t="shared" si="15"/>
        <v>1</v>
      </c>
      <c r="AX39" s="42">
        <f t="shared" si="16"/>
        <v>0</v>
      </c>
      <c r="AY39" s="116">
        <f t="shared" si="17"/>
        <v>0.7</v>
      </c>
      <c r="AZ39" s="93">
        <f>IF($C39="&lt;01",ROUND(INDEX(EID!$R:$R,MATCH($B39,EID!$B:$B,0))/2,0),ROUND(SUM($O39)+(SUM($AV39)*$AY39),0))</f>
        <v>0</v>
      </c>
      <c r="BA39" s="89">
        <f t="shared" si="18"/>
        <v>0.95</v>
      </c>
      <c r="BB39" s="9">
        <f>IF($C39="&lt;01",ROUND(INDEX(EID!$T:$T,MATCH($B39,EID!$B:$B,0))/2,0),ROUND($AZ39*$BA39,0))</f>
        <v>0</v>
      </c>
      <c r="BC39" s="93">
        <f t="shared" si="19"/>
        <v>0</v>
      </c>
      <c r="BD39" s="90">
        <f t="shared" si="20"/>
        <v>0.95</v>
      </c>
      <c r="BE39" s="42">
        <f>IF($C39="&lt;01",ROUND(INDEX(EID!$V:$V,MATCH($B39,EID!$B:$B,0))/2,0),ROUND($BD39*$BB39,0))</f>
        <v>0</v>
      </c>
      <c r="BF39" s="42">
        <f t="shared" si="21"/>
        <v>0</v>
      </c>
      <c r="BG39" s="116">
        <f t="shared" si="22"/>
        <v>0.95</v>
      </c>
      <c r="BH39" s="9">
        <f>IF($C39="&lt;01",ROUND(INDEX(EID!$L:$L,MATCH($B39,EID!$B:$B,0)),0)/2,IF(SUM($BG39)=0,"",ROUND($AX39/$BG39,0)))</f>
        <v>0</v>
      </c>
    </row>
    <row r="40" spans="1:60" x14ac:dyDescent="0.2">
      <c r="A40" t="str">
        <f>INDEX(Prioritization!$D:$D,MATCH($B40,Prioritization!$A:$A,0))</f>
        <v>1 - Scale-up: Saturation</v>
      </c>
      <c r="B40" t="s">
        <v>194</v>
      </c>
      <c r="C40" t="s">
        <v>366</v>
      </c>
      <c r="D40" t="s">
        <v>47</v>
      </c>
      <c r="E40" t="str">
        <f t="shared" si="0"/>
        <v>Dedza District [PekKUkKHAzY]|35-49|Male</v>
      </c>
      <c r="F40" s="14"/>
      <c r="G40" s="14"/>
      <c r="H40" s="14"/>
      <c r="I40" s="14"/>
      <c r="J40" s="14"/>
      <c r="K40" s="14"/>
      <c r="L40" s="14"/>
      <c r="M40" s="14"/>
      <c r="N40" s="14"/>
      <c r="O40" s="14" t="str">
        <f t="shared" si="1"/>
        <v/>
      </c>
      <c r="P40" s="14"/>
      <c r="Q40" s="14"/>
      <c r="R40" s="14" t="str">
        <f t="shared" si="2"/>
        <v/>
      </c>
      <c r="S40" s="14">
        <f>IF(LEFT($B40,4)="_Mil","",_xlfn.IFNA(ROUND(INDEX(Spectrum!$N:$N,MATCH(RIGHT($B40,13)&amp;"|"&amp;$C40&amp;"|"&amp;$D40&amp;"|"&amp;S$14&amp;"|"&amp;"CY2022Q4",Spectrum!$R:$R,0)),0),""))</f>
        <v>672</v>
      </c>
      <c r="T40" s="42">
        <f>IF(LEFT($B40,4)="_Mil","",_xlfn.IFNA(ROUND(INDEX(Spectrum!$N:$N,MATCH(RIGHT($B40,13)&amp;"|"&amp;$C40&amp;"|"&amp;$D40&amp;"|"&amp;T$14&amp;"|"&amp;"CY2023Q3",Spectrum!$R:$R,0)),0),""))</f>
        <v>609</v>
      </c>
      <c r="U40" s="42" t="str">
        <f>IF(LEFT($B40,4)="_Mil","",_xlfn.IFNA(ROUND(INDEX(Spectrum!$N:$N,MATCH(RIGHT($B40,13)&amp;"|"&amp;$C40&amp;"|"&amp;$D40&amp;"|"&amp;U$14&amp;"|"&amp;"CY2023Q3",Spectrum!$R:$R,0)),0),""))</f>
        <v/>
      </c>
      <c r="V40" s="14">
        <f>IF(LEFT($B40,4)="_Mil","",_xlfn.IFNA(ROUND(INDEX(Spectrum!$N:$N,MATCH(RIGHT($B40,13)&amp;"|"&amp;$C40&amp;"|"&amp;$D40&amp;"|"&amp;V$14&amp;"|"&amp;"CY2023Q3",Spectrum!$R:$R,0)),0),""))</f>
        <v>572</v>
      </c>
      <c r="W40" s="115">
        <f>IF(LEFT($B40,4)="_Mil","",_xlfn.IFNA(INDEX(Spectrum!$N:$N,MATCH(RIGHT($B40,13)&amp;"|"&amp;$C40&amp;"|"&amp;$D40&amp;"|"&amp;W$14&amp;"|"&amp;"CY2023Q3",Spectrum!$R:$R,0)),""))</f>
        <v>1076</v>
      </c>
      <c r="X40" s="42">
        <f>IF(LEFT($B40,4)="_Mil","",_xlfn.IFNA(ROUND(INDEX(Spectrum!$N:$N,MATCH(RIGHT($B40,13)&amp;"|"&amp;$C40&amp;"|"&amp;$D40&amp;"|"&amp;X$14&amp;"|"&amp;"CY2023Q3",Spectrum!$R:$R,0)),0),""))</f>
        <v>1771</v>
      </c>
      <c r="Y40" s="90" t="str">
        <f t="shared" si="3"/>
        <v/>
      </c>
      <c r="Z40" s="42">
        <f>IF(LEFT($B40,4)="_Mil","",_xlfn.IFNA(ROUND(INDEX(Spectrum!$N:$N,MATCH(RIGHT($B40,13)&amp;"|"&amp;$C40&amp;"|"&amp;$D40&amp;"|"&amp;Z$14&amp;"|"&amp;"CY2023Q3",Spectrum!$R:$R,0)),0),""))</f>
        <v>1855</v>
      </c>
      <c r="AA40" s="90">
        <f>IF(LEFT($B40,4)="_Mil","",IFERROR(1/(1/INDEX(Spectrum!$N:$N,MATCH(RIGHT($B40,13)&amp;"|"&amp;$C40&amp;"|"&amp;$D40&amp;"|"&amp;AA$14&amp;"|"&amp;"CY2023Q3",Spectrum!$R:$R,0))),IF(SUM($U40)=0,"",SUM($Z40)/$U40)))</f>
        <v>1114</v>
      </c>
      <c r="AB40" s="90">
        <f t="shared" si="4"/>
        <v>1.0474308300395256</v>
      </c>
      <c r="AC40" s="14">
        <f>IF(LEFT($B40,4)="_Mil","",_xlfn.IFNA(ROUND(INDEX(Spectrum!$N:$N,MATCH(RIGHT($B40,13)&amp;"|"&amp;$C40&amp;"|"&amp;$D40&amp;"|"&amp;AC$14&amp;"|"&amp;"CY2023Q3",Spectrum!$R:$R,0)),0),""))</f>
        <v>1797</v>
      </c>
      <c r="AD40" s="14" t="str">
        <f>IF(LEFT($B40,4)="_Mil","",_xlfn.IFNA(ROUND(INDEX(Spectrum!$N:$N,MATCH(RIGHT($B40,13)&amp;"|"&amp;$C40&amp;"|"&amp;$D40&amp;"|"&amp;AD$14&amp;"|"&amp;"CY2023Q3",Spectrum!$R:$R,0)),0),""))</f>
        <v/>
      </c>
      <c r="AE40" s="90">
        <f t="shared" si="5"/>
        <v>0</v>
      </c>
      <c r="AF40" s="42" t="str">
        <f>IF(LEFT($B40,4)="_Mil","",_xlfn.IFNA(ROUND(INDEX(Spectrum!$N:$N,MATCH(RIGHT($B40,13)&amp;"|"&amp;$C40&amp;"|"&amp;$D40&amp;"|"&amp;AF$14&amp;"|"&amp;"CY2023Q3",Spectrum!$R:$R,0)),0),""))</f>
        <v/>
      </c>
      <c r="AG40" s="90" t="str">
        <f t="shared" si="6"/>
        <v/>
      </c>
      <c r="AH40" s="88" t="str">
        <f>IF(LEFT($B40,4)="_Mil","",_xlfn.IFNA(INDEX(Spectrum!$N:$N,MATCH(RIGHT($B40,13)&amp;"|"&amp;$C40&amp;"|"&amp;$D40&amp;"|"&amp;AH$14&amp;"|"&amp;"CY2023Q3",Spectrum!$R:$R,0)),""))</f>
        <v/>
      </c>
      <c r="AI40" s="14" t="str">
        <f>IF(LEFT($B40,4)="_Mil","",_xlfn.IFNA(ROUND(INDEX(Spectrum!$N:$N,MATCH(RIGHT($B40,13)&amp;"|"&amp;$C40&amp;"|"&amp;$D40&amp;"|"&amp;AI$14&amp;"|"&amp;"CY2023Q3",Spectrum!$R:$R,0)),0),""))</f>
        <v/>
      </c>
      <c r="AJ40" s="42">
        <f>IF(LEFT($B40,4)="_Mil","",_xlfn.IFNA(ROUND(INDEX(Spectrum!$N:$N,MATCH(RIGHT($B40,13)&amp;"|"&amp;$C40&amp;"|"&amp;$D40&amp;"|"&amp;AI$14&amp;"|"&amp;"CY2023Q3",Spectrum!$R:$R,0)),0),SUM($U40)+SUM($AI40)))</f>
        <v>0</v>
      </c>
      <c r="AK40" s="14" t="str">
        <f>IF(LEFT($B40,4)="_Mil","",_xlfn.IFNA(ROUND(INDEX(Spectrum!$N:$N,MATCH(RIGHT($B40,13)&amp;"|"&amp;$C40&amp;"|"&amp;$D40&amp;"|"&amp;AK$14&amp;"|"&amp;"CY2023Q3",Spectrum!$R:$R,0)),0),""))</f>
        <v/>
      </c>
      <c r="AL40" s="90">
        <f t="shared" si="7"/>
        <v>1114</v>
      </c>
      <c r="AM40" s="14">
        <f t="shared" si="8"/>
        <v>0</v>
      </c>
      <c r="AN40" s="14" t="str">
        <f>IF($C40="&lt;01",ROUND(INDEX(EID!$P:$P,MATCH($B40,EID!$B:$B,0))/2,0),"")</f>
        <v/>
      </c>
      <c r="AO40" s="14">
        <f t="shared" si="9"/>
        <v>0</v>
      </c>
      <c r="AP40" s="42">
        <f t="shared" si="10"/>
        <v>0</v>
      </c>
      <c r="AQ40" s="42">
        <f t="shared" si="11"/>
        <v>1855</v>
      </c>
      <c r="AR40" s="90" t="str">
        <f t="shared" si="12"/>
        <v/>
      </c>
      <c r="AS40" s="90">
        <f t="shared" si="23"/>
        <v>0.98</v>
      </c>
      <c r="AT40" s="90">
        <f t="shared" si="23"/>
        <v>0.98</v>
      </c>
      <c r="AU40" s="14">
        <f t="shared" si="14"/>
        <v>0</v>
      </c>
      <c r="AV40" s="14">
        <f>IF($C40="&lt;01",ROUND(INDEX(EID!$N:$N,MATCH($B40,EID!$B:$B,0))/2,0),IF(SUM($AT40)=0,"",ROUND((SUM($AP40)-(SUM($O40)*SUM($AS40)))/$AT40,0)))</f>
        <v>0</v>
      </c>
      <c r="AW40" s="90">
        <f t="shared" si="15"/>
        <v>1</v>
      </c>
      <c r="AX40" s="42">
        <f t="shared" si="16"/>
        <v>0</v>
      </c>
      <c r="AY40" s="116">
        <f t="shared" si="17"/>
        <v>0.7</v>
      </c>
      <c r="AZ40" s="93">
        <f>IF($C40="&lt;01",ROUND(INDEX(EID!$R:$R,MATCH($B40,EID!$B:$B,0))/2,0),ROUND(SUM($O40)+(SUM($AV40)*$AY40),0))</f>
        <v>0</v>
      </c>
      <c r="BA40" s="89">
        <f t="shared" si="18"/>
        <v>0.95</v>
      </c>
      <c r="BB40" s="9">
        <f>IF($C40="&lt;01",ROUND(INDEX(EID!$T:$T,MATCH($B40,EID!$B:$B,0))/2,0),ROUND($AZ40*$BA40,0))</f>
        <v>0</v>
      </c>
      <c r="BC40" s="93">
        <f t="shared" si="19"/>
        <v>0</v>
      </c>
      <c r="BD40" s="90">
        <f t="shared" si="20"/>
        <v>0.95</v>
      </c>
      <c r="BE40" s="42">
        <f>IF($C40="&lt;01",ROUND(INDEX(EID!$V:$V,MATCH($B40,EID!$B:$B,0))/2,0),ROUND($BD40*$BB40,0))</f>
        <v>0</v>
      </c>
      <c r="BF40" s="42">
        <f t="shared" si="21"/>
        <v>0</v>
      </c>
      <c r="BG40" s="116">
        <f t="shared" si="22"/>
        <v>0.95</v>
      </c>
      <c r="BH40" s="9">
        <f>IF($C40="&lt;01",ROUND(INDEX(EID!$L:$L,MATCH($B40,EID!$B:$B,0)),0)/2,IF(SUM($BG40)=0,"",ROUND($AX40/$BG40,0)))</f>
        <v>0</v>
      </c>
    </row>
    <row r="41" spans="1:60" x14ac:dyDescent="0.2">
      <c r="A41" t="str">
        <f>INDEX(Prioritization!$D:$D,MATCH($B41,Prioritization!$A:$A,0))</f>
        <v>1 - Scale-up: Saturation</v>
      </c>
      <c r="B41" t="s">
        <v>194</v>
      </c>
      <c r="C41" t="s">
        <v>367</v>
      </c>
      <c r="D41" t="s">
        <v>29</v>
      </c>
      <c r="E41" t="str">
        <f t="shared" si="0"/>
        <v>Dedza District [PekKUkKHAzY]|50+|Female</v>
      </c>
      <c r="F41" s="14"/>
      <c r="G41" s="14"/>
      <c r="H41" s="14"/>
      <c r="I41" s="14"/>
      <c r="J41" s="14"/>
      <c r="K41" s="14"/>
      <c r="L41" s="14"/>
      <c r="M41" s="14"/>
      <c r="N41" s="14"/>
      <c r="O41" s="14" t="str">
        <f t="shared" si="1"/>
        <v/>
      </c>
      <c r="P41" s="14"/>
      <c r="Q41" s="14"/>
      <c r="R41" s="14" t="str">
        <f t="shared" si="2"/>
        <v/>
      </c>
      <c r="S41" s="14">
        <f>IF(LEFT($B41,4)="_Mil","",_xlfn.IFNA(ROUND(INDEX(Spectrum!$N:$N,MATCH(RIGHT($B41,13)&amp;"|"&amp;$C41&amp;"|"&amp;$D41&amp;"|"&amp;S$14&amp;"|"&amp;"CY2022Q4",Spectrum!$R:$R,0)),0),""))</f>
        <v>1170</v>
      </c>
      <c r="T41" s="42">
        <f>IF(LEFT($B41,4)="_Mil","",_xlfn.IFNA(ROUND(INDEX(Spectrum!$N:$N,MATCH(RIGHT($B41,13)&amp;"|"&amp;$C41&amp;"|"&amp;$D41&amp;"|"&amp;T$14&amp;"|"&amp;"CY2023Q3",Spectrum!$R:$R,0)),0),""))</f>
        <v>1004</v>
      </c>
      <c r="U41" s="42" t="str">
        <f>IF(LEFT($B41,4)="_Mil","",_xlfn.IFNA(ROUND(INDEX(Spectrum!$N:$N,MATCH(RIGHT($B41,13)&amp;"|"&amp;$C41&amp;"|"&amp;$D41&amp;"|"&amp;U$14&amp;"|"&amp;"CY2023Q3",Spectrum!$R:$R,0)),0),""))</f>
        <v/>
      </c>
      <c r="V41" s="14">
        <f>IF(LEFT($B41,4)="_Mil","",_xlfn.IFNA(ROUND(INDEX(Spectrum!$N:$N,MATCH(RIGHT($B41,13)&amp;"|"&amp;$C41&amp;"|"&amp;$D41&amp;"|"&amp;V$14&amp;"|"&amp;"CY2023Q3",Spectrum!$R:$R,0)),0),""))</f>
        <v>930</v>
      </c>
      <c r="W41" s="115">
        <f>IF(LEFT($B41,4)="_Mil","",_xlfn.IFNA(INDEX(Spectrum!$N:$N,MATCH(RIGHT($B41,13)&amp;"|"&amp;$C41&amp;"|"&amp;$D41&amp;"|"&amp;W$14&amp;"|"&amp;"CY2023Q3",Spectrum!$R:$R,0)),""))</f>
        <v>1642</v>
      </c>
      <c r="X41" s="42">
        <f>IF(LEFT($B41,4)="_Mil","",_xlfn.IFNA(ROUND(INDEX(Spectrum!$N:$N,MATCH(RIGHT($B41,13)&amp;"|"&amp;$C41&amp;"|"&amp;$D41&amp;"|"&amp;X$14&amp;"|"&amp;"CY2023Q3",Spectrum!$R:$R,0)),0),""))</f>
        <v>1211</v>
      </c>
      <c r="Y41" s="90" t="str">
        <f t="shared" si="3"/>
        <v/>
      </c>
      <c r="Z41" s="42">
        <f>IF(LEFT($B41,4)="_Mil","",_xlfn.IFNA(ROUND(INDEX(Spectrum!$N:$N,MATCH(RIGHT($B41,13)&amp;"|"&amp;$C41&amp;"|"&amp;$D41&amp;"|"&amp;Z$14&amp;"|"&amp;"CY2023Q3",Spectrum!$R:$R,0)),0),""))</f>
        <v>1587</v>
      </c>
      <c r="AA41" s="90">
        <f>IF(LEFT($B41,4)="_Mil","",IFERROR(1/(1/INDEX(Spectrum!$N:$N,MATCH(RIGHT($B41,13)&amp;"|"&amp;$C41&amp;"|"&amp;$D41&amp;"|"&amp;AA$14&amp;"|"&amp;"CY2023Q3",Spectrum!$R:$R,0))),IF(SUM($U41)=0,"",SUM($Z41)/$U41)))</f>
        <v>873</v>
      </c>
      <c r="AB41" s="90">
        <f t="shared" si="4"/>
        <v>1.310487200660611</v>
      </c>
      <c r="AC41" s="14">
        <f>IF(LEFT($B41,4)="_Mil","",_xlfn.IFNA(ROUND(INDEX(Spectrum!$N:$N,MATCH(RIGHT($B41,13)&amp;"|"&amp;$C41&amp;"|"&amp;$D41&amp;"|"&amp;AC$14&amp;"|"&amp;"CY2023Q3",Spectrum!$R:$R,0)),0),""))</f>
        <v>1397</v>
      </c>
      <c r="AD41" s="14" t="str">
        <f>IF(LEFT($B41,4)="_Mil","",_xlfn.IFNA(ROUND(INDEX(Spectrum!$N:$N,MATCH(RIGHT($B41,13)&amp;"|"&amp;$C41&amp;"|"&amp;$D41&amp;"|"&amp;AD$14&amp;"|"&amp;"CY2023Q3",Spectrum!$R:$R,0)),0),""))</f>
        <v/>
      </c>
      <c r="AE41" s="90">
        <f t="shared" si="5"/>
        <v>0</v>
      </c>
      <c r="AF41" s="42" t="str">
        <f>IF(LEFT($B41,4)="_Mil","",_xlfn.IFNA(ROUND(INDEX(Spectrum!$N:$N,MATCH(RIGHT($B41,13)&amp;"|"&amp;$C41&amp;"|"&amp;$D41&amp;"|"&amp;AF$14&amp;"|"&amp;"CY2023Q3",Spectrum!$R:$R,0)),0),""))</f>
        <v/>
      </c>
      <c r="AG41" s="90" t="str">
        <f t="shared" si="6"/>
        <v/>
      </c>
      <c r="AH41" s="88" t="str">
        <f>IF(LEFT($B41,4)="_Mil","",_xlfn.IFNA(INDEX(Spectrum!$N:$N,MATCH(RIGHT($B41,13)&amp;"|"&amp;$C41&amp;"|"&amp;$D41&amp;"|"&amp;AH$14&amp;"|"&amp;"CY2023Q3",Spectrum!$R:$R,0)),""))</f>
        <v/>
      </c>
      <c r="AI41" s="14" t="str">
        <f>IF(LEFT($B41,4)="_Mil","",_xlfn.IFNA(ROUND(INDEX(Spectrum!$N:$N,MATCH(RIGHT($B41,13)&amp;"|"&amp;$C41&amp;"|"&amp;$D41&amp;"|"&amp;AI$14&amp;"|"&amp;"CY2023Q3",Spectrum!$R:$R,0)),0),""))</f>
        <v/>
      </c>
      <c r="AJ41" s="42">
        <f>IF(LEFT($B41,4)="_Mil","",_xlfn.IFNA(ROUND(INDEX(Spectrum!$N:$N,MATCH(RIGHT($B41,13)&amp;"|"&amp;$C41&amp;"|"&amp;$D41&amp;"|"&amp;AI$14&amp;"|"&amp;"CY2023Q3",Spectrum!$R:$R,0)),0),SUM($U41)+SUM($AI41)))</f>
        <v>0</v>
      </c>
      <c r="AK41" s="14" t="str">
        <f>IF(LEFT($B41,4)="_Mil","",_xlfn.IFNA(ROUND(INDEX(Spectrum!$N:$N,MATCH(RIGHT($B41,13)&amp;"|"&amp;$C41&amp;"|"&amp;$D41&amp;"|"&amp;AK$14&amp;"|"&amp;"CY2023Q3",Spectrum!$R:$R,0)),0),""))</f>
        <v/>
      </c>
      <c r="AL41" s="90">
        <f t="shared" si="7"/>
        <v>873</v>
      </c>
      <c r="AM41" s="14">
        <f t="shared" si="8"/>
        <v>0</v>
      </c>
      <c r="AN41" s="14" t="str">
        <f>IF($C41="&lt;01",ROUND(INDEX(EID!$P:$P,MATCH($B41,EID!$B:$B,0))/2,0),"")</f>
        <v/>
      </c>
      <c r="AO41" s="14">
        <f t="shared" si="9"/>
        <v>0</v>
      </c>
      <c r="AP41" s="42">
        <f t="shared" si="10"/>
        <v>0</v>
      </c>
      <c r="AQ41" s="42">
        <f t="shared" si="11"/>
        <v>1587</v>
      </c>
      <c r="AR41" s="90" t="str">
        <f t="shared" si="12"/>
        <v/>
      </c>
      <c r="AS41" s="90">
        <f t="shared" si="23"/>
        <v>0.98</v>
      </c>
      <c r="AT41" s="90">
        <f t="shared" si="23"/>
        <v>0.98</v>
      </c>
      <c r="AU41" s="14">
        <f t="shared" si="14"/>
        <v>0</v>
      </c>
      <c r="AV41" s="14">
        <f>IF($C41="&lt;01",ROUND(INDEX(EID!$N:$N,MATCH($B41,EID!$B:$B,0))/2,0),IF(SUM($AT41)=0,"",ROUND((SUM($AP41)-(SUM($O41)*SUM($AS41)))/$AT41,0)))</f>
        <v>0</v>
      </c>
      <c r="AW41" s="90">
        <f t="shared" si="15"/>
        <v>1</v>
      </c>
      <c r="AX41" s="42">
        <f t="shared" si="16"/>
        <v>0</v>
      </c>
      <c r="AY41" s="116">
        <f t="shared" si="17"/>
        <v>0.7</v>
      </c>
      <c r="AZ41" s="93">
        <f>IF($C41="&lt;01",ROUND(INDEX(EID!$R:$R,MATCH($B41,EID!$B:$B,0))/2,0),ROUND(SUM($O41)+(SUM($AV41)*$AY41),0))</f>
        <v>0</v>
      </c>
      <c r="BA41" s="89">
        <f t="shared" si="18"/>
        <v>0.95</v>
      </c>
      <c r="BB41" s="9">
        <f>IF($C41="&lt;01",ROUND(INDEX(EID!$T:$T,MATCH($B41,EID!$B:$B,0))/2,0),ROUND($AZ41*$BA41,0))</f>
        <v>0</v>
      </c>
      <c r="BC41" s="93">
        <f t="shared" si="19"/>
        <v>0</v>
      </c>
      <c r="BD41" s="90">
        <f t="shared" si="20"/>
        <v>0.95</v>
      </c>
      <c r="BE41" s="42">
        <f>IF($C41="&lt;01",ROUND(INDEX(EID!$V:$V,MATCH($B41,EID!$B:$B,0))/2,0),ROUND($BD41*$BB41,0))</f>
        <v>0</v>
      </c>
      <c r="BF41" s="42">
        <f t="shared" si="21"/>
        <v>0</v>
      </c>
      <c r="BG41" s="116">
        <f t="shared" si="22"/>
        <v>0.95</v>
      </c>
      <c r="BH41" s="9">
        <f>IF($C41="&lt;01",ROUND(INDEX(EID!$L:$L,MATCH($B41,EID!$B:$B,0)),0)/2,IF(SUM($BG41)=0,"",ROUND($AX41/$BG41,0)))</f>
        <v>0</v>
      </c>
    </row>
    <row r="42" spans="1:60" x14ac:dyDescent="0.2">
      <c r="A42" t="str">
        <f>INDEX(Prioritization!$D:$D,MATCH($B42,Prioritization!$A:$A,0))</f>
        <v>1 - Scale-up: Saturation</v>
      </c>
      <c r="B42" t="s">
        <v>194</v>
      </c>
      <c r="C42" t="s">
        <v>367</v>
      </c>
      <c r="D42" t="s">
        <v>47</v>
      </c>
      <c r="E42" t="str">
        <f t="shared" si="0"/>
        <v>Dedza District [PekKUkKHAzY]|50+|Male</v>
      </c>
      <c r="F42" s="14"/>
      <c r="G42" s="14"/>
      <c r="H42" s="14"/>
      <c r="I42" s="14"/>
      <c r="J42" s="14"/>
      <c r="K42" s="14"/>
      <c r="L42" s="14"/>
      <c r="M42" s="14"/>
      <c r="N42" s="14"/>
      <c r="O42" s="14" t="str">
        <f t="shared" si="1"/>
        <v/>
      </c>
      <c r="P42" s="14"/>
      <c r="Q42" s="14"/>
      <c r="R42" s="14" t="str">
        <f t="shared" si="2"/>
        <v/>
      </c>
      <c r="S42" s="14">
        <f>IF(LEFT($B42,4)="_Mil","",_xlfn.IFNA(ROUND(INDEX(Spectrum!$N:$N,MATCH(RIGHT($B42,13)&amp;"|"&amp;$C42&amp;"|"&amp;$D42&amp;"|"&amp;S$14&amp;"|"&amp;"CY2022Q4",Spectrum!$R:$R,0)),0),""))</f>
        <v>540</v>
      </c>
      <c r="T42" s="42">
        <f>IF(LEFT($B42,4)="_Mil","",_xlfn.IFNA(ROUND(INDEX(Spectrum!$N:$N,MATCH(RIGHT($B42,13)&amp;"|"&amp;$C42&amp;"|"&amp;$D42&amp;"|"&amp;T$14&amp;"|"&amp;"CY2023Q3",Spectrum!$R:$R,0)),0),""))</f>
        <v>845</v>
      </c>
      <c r="U42" s="42" t="str">
        <f>IF(LEFT($B42,4)="_Mil","",_xlfn.IFNA(ROUND(INDEX(Spectrum!$N:$N,MATCH(RIGHT($B42,13)&amp;"|"&amp;$C42&amp;"|"&amp;$D42&amp;"|"&amp;U$14&amp;"|"&amp;"CY2023Q3",Spectrum!$R:$R,0)),0),""))</f>
        <v/>
      </c>
      <c r="V42" s="14">
        <f>IF(LEFT($B42,4)="_Mil","",_xlfn.IFNA(ROUND(INDEX(Spectrum!$N:$N,MATCH(RIGHT($B42,13)&amp;"|"&amp;$C42&amp;"|"&amp;$D42&amp;"|"&amp;V$14&amp;"|"&amp;"CY2023Q3",Spectrum!$R:$R,0)),0),""))</f>
        <v>1416</v>
      </c>
      <c r="W42" s="115">
        <f>IF(LEFT($B42,4)="_Mil","",_xlfn.IFNA(INDEX(Spectrum!$N:$N,MATCH(RIGHT($B42,13)&amp;"|"&amp;$C42&amp;"|"&amp;$D42&amp;"|"&amp;W$14&amp;"|"&amp;"CY2023Q3",Spectrum!$R:$R,0)),""))</f>
        <v>1688</v>
      </c>
      <c r="X42" s="42">
        <f>IF(LEFT($B42,4)="_Mil","",_xlfn.IFNA(ROUND(INDEX(Spectrum!$N:$N,MATCH(RIGHT($B42,13)&amp;"|"&amp;$C42&amp;"|"&amp;$D42&amp;"|"&amp;X$14&amp;"|"&amp;"CY2023Q3",Spectrum!$R:$R,0)),0),""))</f>
        <v>1781</v>
      </c>
      <c r="Y42" s="90" t="str">
        <f t="shared" si="3"/>
        <v/>
      </c>
      <c r="Z42" s="42">
        <f>IF(LEFT($B42,4)="_Mil","",_xlfn.IFNA(ROUND(INDEX(Spectrum!$N:$N,MATCH(RIGHT($B42,13)&amp;"|"&amp;$C42&amp;"|"&amp;$D42&amp;"|"&amp;Z$14&amp;"|"&amp;"CY2023Q3",Spectrum!$R:$R,0)),0),""))</f>
        <v>1805</v>
      </c>
      <c r="AA42" s="90">
        <f>IF(LEFT($B42,4)="_Mil","",IFERROR(1/(1/INDEX(Spectrum!$N:$N,MATCH(RIGHT($B42,13)&amp;"|"&amp;$C42&amp;"|"&amp;$D42&amp;"|"&amp;AA$14&amp;"|"&amp;"CY2023Q3",Spectrum!$R:$R,0))),IF(SUM($U42)=0,"",SUM($Z42)/$U42)))</f>
        <v>1973.9999999999998</v>
      </c>
      <c r="AB42" s="90">
        <f t="shared" si="4"/>
        <v>1.0134755755193712</v>
      </c>
      <c r="AC42" s="14">
        <f>IF(LEFT($B42,4)="_Mil","",_xlfn.IFNA(ROUND(INDEX(Spectrum!$N:$N,MATCH(RIGHT($B42,13)&amp;"|"&amp;$C42&amp;"|"&amp;$D42&amp;"|"&amp;AC$14&amp;"|"&amp;"CY2023Q3",Spectrum!$R:$R,0)),0),""))</f>
        <v>1962</v>
      </c>
      <c r="AD42" s="14" t="str">
        <f>IF(LEFT($B42,4)="_Mil","",_xlfn.IFNA(ROUND(INDEX(Spectrum!$N:$N,MATCH(RIGHT($B42,13)&amp;"|"&amp;$C42&amp;"|"&amp;$D42&amp;"|"&amp;AD$14&amp;"|"&amp;"CY2023Q3",Spectrum!$R:$R,0)),0),""))</f>
        <v/>
      </c>
      <c r="AE42" s="90">
        <f t="shared" si="5"/>
        <v>0</v>
      </c>
      <c r="AF42" s="42" t="str">
        <f>IF(LEFT($B42,4)="_Mil","",_xlfn.IFNA(ROUND(INDEX(Spectrum!$N:$N,MATCH(RIGHT($B42,13)&amp;"|"&amp;$C42&amp;"|"&amp;$D42&amp;"|"&amp;AF$14&amp;"|"&amp;"CY2023Q3",Spectrum!$R:$R,0)),0),""))</f>
        <v/>
      </c>
      <c r="AG42" s="90" t="str">
        <f t="shared" si="6"/>
        <v/>
      </c>
      <c r="AH42" s="88" t="str">
        <f>IF(LEFT($B42,4)="_Mil","",_xlfn.IFNA(INDEX(Spectrum!$N:$N,MATCH(RIGHT($B42,13)&amp;"|"&amp;$C42&amp;"|"&amp;$D42&amp;"|"&amp;AH$14&amp;"|"&amp;"CY2023Q3",Spectrum!$R:$R,0)),""))</f>
        <v/>
      </c>
      <c r="AI42" s="14" t="str">
        <f>IF(LEFT($B42,4)="_Mil","",_xlfn.IFNA(ROUND(INDEX(Spectrum!$N:$N,MATCH(RIGHT($B42,13)&amp;"|"&amp;$C42&amp;"|"&amp;$D42&amp;"|"&amp;AI$14&amp;"|"&amp;"CY2023Q3",Spectrum!$R:$R,0)),0),""))</f>
        <v/>
      </c>
      <c r="AJ42" s="42">
        <f>IF(LEFT($B42,4)="_Mil","",_xlfn.IFNA(ROUND(INDEX(Spectrum!$N:$N,MATCH(RIGHT($B42,13)&amp;"|"&amp;$C42&amp;"|"&amp;$D42&amp;"|"&amp;AI$14&amp;"|"&amp;"CY2023Q3",Spectrum!$R:$R,0)),0),SUM($U42)+SUM($AI42)))</f>
        <v>0</v>
      </c>
      <c r="AK42" s="14" t="str">
        <f>IF(LEFT($B42,4)="_Mil","",_xlfn.IFNA(ROUND(INDEX(Spectrum!$N:$N,MATCH(RIGHT($B42,13)&amp;"|"&amp;$C42&amp;"|"&amp;$D42&amp;"|"&amp;AK$14&amp;"|"&amp;"CY2023Q3",Spectrum!$R:$R,0)),0),""))</f>
        <v/>
      </c>
      <c r="AL42" s="90">
        <f t="shared" si="7"/>
        <v>1973.9999999999998</v>
      </c>
      <c r="AM42" s="14">
        <f t="shared" si="8"/>
        <v>0</v>
      </c>
      <c r="AN42" s="14" t="str">
        <f>IF($C42="&lt;01",ROUND(INDEX(EID!$P:$P,MATCH($B42,EID!$B:$B,0))/2,0),"")</f>
        <v/>
      </c>
      <c r="AO42" s="14">
        <f t="shared" si="9"/>
        <v>0</v>
      </c>
      <c r="AP42" s="42">
        <f t="shared" si="10"/>
        <v>0</v>
      </c>
      <c r="AQ42" s="42">
        <f t="shared" si="11"/>
        <v>1805</v>
      </c>
      <c r="AR42" s="90" t="str">
        <f t="shared" si="12"/>
        <v/>
      </c>
      <c r="AS42" s="90">
        <f t="shared" si="23"/>
        <v>0.98</v>
      </c>
      <c r="AT42" s="90">
        <f t="shared" si="23"/>
        <v>0.98</v>
      </c>
      <c r="AU42" s="14">
        <f t="shared" si="14"/>
        <v>0</v>
      </c>
      <c r="AV42" s="14">
        <f>IF($C42="&lt;01",ROUND(INDEX(EID!$N:$N,MATCH($B42,EID!$B:$B,0))/2,0),IF(SUM($AT42)=0,"",ROUND((SUM($AP42)-(SUM($O42)*SUM($AS42)))/$AT42,0)))</f>
        <v>0</v>
      </c>
      <c r="AW42" s="90">
        <f t="shared" si="15"/>
        <v>1</v>
      </c>
      <c r="AX42" s="42">
        <f t="shared" si="16"/>
        <v>0</v>
      </c>
      <c r="AY42" s="116">
        <f t="shared" si="17"/>
        <v>0.7</v>
      </c>
      <c r="AZ42" s="93">
        <f>IF($C42="&lt;01",ROUND(INDEX(EID!$R:$R,MATCH($B42,EID!$B:$B,0))/2,0),ROUND(SUM($O42)+(SUM($AV42)*$AY42),0))</f>
        <v>0</v>
      </c>
      <c r="BA42" s="89">
        <f t="shared" si="18"/>
        <v>0.95</v>
      </c>
      <c r="BB42" s="9">
        <f>IF($C42="&lt;01",ROUND(INDEX(EID!$T:$T,MATCH($B42,EID!$B:$B,0))/2,0),ROUND($AZ42*$BA42,0))</f>
        <v>0</v>
      </c>
      <c r="BC42" s="93">
        <f t="shared" si="19"/>
        <v>0</v>
      </c>
      <c r="BD42" s="90">
        <f t="shared" si="20"/>
        <v>0.95</v>
      </c>
      <c r="BE42" s="42">
        <f>IF($C42="&lt;01",ROUND(INDEX(EID!$V:$V,MATCH($B42,EID!$B:$B,0))/2,0),ROUND($BD42*$BB42,0))</f>
        <v>0</v>
      </c>
      <c r="BF42" s="42">
        <f t="shared" si="21"/>
        <v>0</v>
      </c>
      <c r="BG42" s="116">
        <f t="shared" si="22"/>
        <v>0.95</v>
      </c>
      <c r="BH42" s="9">
        <f>IF($C42="&lt;01",ROUND(INDEX(EID!$L:$L,MATCH($B42,EID!$B:$B,0)),0)/2,IF(SUM($BG42)=0,"",ROUND($AX42/$BG42,0)))</f>
        <v>0</v>
      </c>
    </row>
    <row r="43" spans="1:60" x14ac:dyDescent="0.2">
      <c r="A43" t="str">
        <f>INDEX(Prioritization!$D:$D,MATCH($B43,Prioritization!$A:$A,0))</f>
        <v>1 - Scale-up: Saturation</v>
      </c>
      <c r="B43" t="s">
        <v>195</v>
      </c>
      <c r="C43" t="s">
        <v>315</v>
      </c>
      <c r="D43" t="s">
        <v>29</v>
      </c>
      <c r="E43" t="str">
        <f t="shared" si="0"/>
        <v>Dowa District [zphK9WV8JB4]|&lt;01|Female</v>
      </c>
      <c r="F43" s="14"/>
      <c r="G43" s="14">
        <v>8</v>
      </c>
      <c r="H43" s="14">
        <v>1</v>
      </c>
      <c r="I43" s="14">
        <v>0</v>
      </c>
      <c r="J43" s="14">
        <v>2</v>
      </c>
      <c r="K43" s="14">
        <v>6</v>
      </c>
      <c r="L43" s="14"/>
      <c r="M43" s="14">
        <v>1</v>
      </c>
      <c r="N43" s="14">
        <v>0</v>
      </c>
      <c r="O43" s="14" t="str">
        <f t="shared" si="1"/>
        <v/>
      </c>
      <c r="P43" s="14">
        <v>1</v>
      </c>
      <c r="Q43" s="14">
        <v>0</v>
      </c>
      <c r="R43" s="14" t="str">
        <f t="shared" si="2"/>
        <v/>
      </c>
      <c r="S43" s="14">
        <f>IF(LEFT($B43,4)="_Mil","",_xlfn.IFNA(ROUND(INDEX(Spectrum!$N:$N,MATCH(RIGHT($B43,13)&amp;"|"&amp;$C43&amp;"|"&amp;$D43&amp;"|"&amp;S$14&amp;"|"&amp;"CY2022Q4",Spectrum!$R:$R,0)),0),""))</f>
        <v>518</v>
      </c>
      <c r="T43" s="42">
        <f>IF(LEFT($B43,4)="_Mil","",_xlfn.IFNA(ROUND(INDEX(Spectrum!$N:$N,MATCH(RIGHT($B43,13)&amp;"|"&amp;$C43&amp;"|"&amp;$D43&amp;"|"&amp;T$14&amp;"|"&amp;"CY2023Q3",Spectrum!$R:$R,0)),0),""))</f>
        <v>1295</v>
      </c>
      <c r="U43" s="42" t="str">
        <f>IF(LEFT($B43,4)="_Mil","",_xlfn.IFNA(ROUND(INDEX(Spectrum!$N:$N,MATCH(RIGHT($B43,13)&amp;"|"&amp;$C43&amp;"|"&amp;$D43&amp;"|"&amp;U$14&amp;"|"&amp;"CY2023Q3",Spectrum!$R:$R,0)),0),""))</f>
        <v/>
      </c>
      <c r="V43" s="14">
        <f>IF(LEFT($B43,4)="_Mil","",_xlfn.IFNA(ROUND(INDEX(Spectrum!$N:$N,MATCH(RIGHT($B43,13)&amp;"|"&amp;$C43&amp;"|"&amp;$D43&amp;"|"&amp;V$14&amp;"|"&amp;"CY2023Q3",Spectrum!$R:$R,0)),0),""))</f>
        <v>840</v>
      </c>
      <c r="W43" s="115">
        <f>IF(LEFT($B43,4)="_Mil","",_xlfn.IFNA(INDEX(Spectrum!$N:$N,MATCH(RIGHT($B43,13)&amp;"|"&amp;$C43&amp;"|"&amp;$D43&amp;"|"&amp;W$14&amp;"|"&amp;"CY2023Q3",Spectrum!$R:$R,0)),""))</f>
        <v>1657</v>
      </c>
      <c r="X43" s="42">
        <f>IF(LEFT($B43,4)="_Mil","",_xlfn.IFNA(ROUND(INDEX(Spectrum!$N:$N,MATCH(RIGHT($B43,13)&amp;"|"&amp;$C43&amp;"|"&amp;$D43&amp;"|"&amp;X$14&amp;"|"&amp;"CY2023Q3",Spectrum!$R:$R,0)),0),""))</f>
        <v>1121</v>
      </c>
      <c r="Y43" s="90" t="str">
        <f t="shared" si="3"/>
        <v/>
      </c>
      <c r="Z43" s="42">
        <f>IF(LEFT($B43,4)="_Mil","",_xlfn.IFNA(ROUND(INDEX(Spectrum!$N:$N,MATCH(RIGHT($B43,13)&amp;"|"&amp;$C43&amp;"|"&amp;$D43&amp;"|"&amp;Z$14&amp;"|"&amp;"CY2023Q3",Spectrum!$R:$R,0)),0),""))</f>
        <v>1798</v>
      </c>
      <c r="AA43" s="90">
        <f>IF(LEFT($B43,4)="_Mil","",IFERROR(1/(1/INDEX(Spectrum!$N:$N,MATCH(RIGHT($B43,13)&amp;"|"&amp;$C43&amp;"|"&amp;$D43&amp;"|"&amp;AA$14&amp;"|"&amp;"CY2023Q3",Spectrum!$R:$R,0))),IF(SUM($U43)=0,"",SUM($Z43)/$U43)))</f>
        <v>1798</v>
      </c>
      <c r="AB43" s="90">
        <f t="shared" si="4"/>
        <v>1.6039250669045495</v>
      </c>
      <c r="AC43" s="14">
        <f>IF(LEFT($B43,4)="_Mil","",_xlfn.IFNA(ROUND(INDEX(Spectrum!$N:$N,MATCH(RIGHT($B43,13)&amp;"|"&amp;$C43&amp;"|"&amp;$D43&amp;"|"&amp;AC$14&amp;"|"&amp;"CY2023Q3",Spectrum!$R:$R,0)),0),""))</f>
        <v>590</v>
      </c>
      <c r="AD43" s="14" t="str">
        <f>IF(LEFT($B43,4)="_Mil","",_xlfn.IFNA(ROUND(INDEX(Spectrum!$N:$N,MATCH(RIGHT($B43,13)&amp;"|"&amp;$C43&amp;"|"&amp;$D43&amp;"|"&amp;AD$14&amp;"|"&amp;"CY2023Q3",Spectrum!$R:$R,0)),0),""))</f>
        <v/>
      </c>
      <c r="AE43" s="90">
        <f t="shared" si="5"/>
        <v>0</v>
      </c>
      <c r="AF43" s="42" t="str">
        <f>IF(LEFT($B43,4)="_Mil","",_xlfn.IFNA(ROUND(INDEX(Spectrum!$N:$N,MATCH(RIGHT($B43,13)&amp;"|"&amp;$C43&amp;"|"&amp;$D43&amp;"|"&amp;AF$14&amp;"|"&amp;"CY2023Q3",Spectrum!$R:$R,0)),0),""))</f>
        <v/>
      </c>
      <c r="AG43" s="90" t="str">
        <f t="shared" si="6"/>
        <v/>
      </c>
      <c r="AH43" s="88" t="str">
        <f>IF(LEFT($B43,4)="_Mil","",_xlfn.IFNA(INDEX(Spectrum!$N:$N,MATCH(RIGHT($B43,13)&amp;"|"&amp;$C43&amp;"|"&amp;$D43&amp;"|"&amp;AH$14&amp;"|"&amp;"CY2023Q3",Spectrum!$R:$R,0)),""))</f>
        <v/>
      </c>
      <c r="AI43" s="14" t="str">
        <f>IF(LEFT($B43,4)="_Mil","",_xlfn.IFNA(ROUND(INDEX(Spectrum!$N:$N,MATCH(RIGHT($B43,13)&amp;"|"&amp;$C43&amp;"|"&amp;$D43&amp;"|"&amp;AI$14&amp;"|"&amp;"CY2023Q3",Spectrum!$R:$R,0)),0),""))</f>
        <v/>
      </c>
      <c r="AJ43" s="42">
        <f>IF(LEFT($B43,4)="_Mil","",_xlfn.IFNA(ROUND(INDEX(Spectrum!$N:$N,MATCH(RIGHT($B43,13)&amp;"|"&amp;$C43&amp;"|"&amp;$D43&amp;"|"&amp;AI$14&amp;"|"&amp;"CY2023Q3",Spectrum!$R:$R,0)),0),SUM($U43)+SUM($AI43)))</f>
        <v>0</v>
      </c>
      <c r="AK43" s="14" t="str">
        <f>IF(LEFT($B43,4)="_Mil","",_xlfn.IFNA(ROUND(INDEX(Spectrum!$N:$N,MATCH(RIGHT($B43,13)&amp;"|"&amp;$C43&amp;"|"&amp;$D43&amp;"|"&amp;AK$14&amp;"|"&amp;"CY2023Q3",Spectrum!$R:$R,0)),0),""))</f>
        <v/>
      </c>
      <c r="AL43" s="90" t="str">
        <f t="shared" si="7"/>
        <v/>
      </c>
      <c r="AM43" s="14" t="str">
        <f t="shared" si="8"/>
        <v/>
      </c>
      <c r="AN43" s="14">
        <f>IF($C43="&lt;01",ROUND(INDEX(EID!$P:$P,MATCH($B43,EID!$B:$B,0))/2,0),"")</f>
        <v>0</v>
      </c>
      <c r="AO43" s="14">
        <f t="shared" si="9"/>
        <v>0</v>
      </c>
      <c r="AP43" s="42">
        <f t="shared" si="10"/>
        <v>0</v>
      </c>
      <c r="AQ43" s="42">
        <f t="shared" si="11"/>
        <v>1798</v>
      </c>
      <c r="AR43" s="90" t="str">
        <f t="shared" si="12"/>
        <v/>
      </c>
      <c r="AS43" s="90" t="str">
        <f t="shared" si="23"/>
        <v/>
      </c>
      <c r="AT43" s="90" t="str">
        <f t="shared" si="23"/>
        <v/>
      </c>
      <c r="AU43" s="14" t="str">
        <f t="shared" si="14"/>
        <v/>
      </c>
      <c r="AV43" s="14">
        <f>IF($C43="&lt;01",ROUND(INDEX(EID!$N:$N,MATCH($B43,EID!$B:$B,0))/2,0),IF(SUM($AT43)=0,"",ROUND((SUM($AP43)-(SUM($O43)*SUM($AS43)))/$AT43,0)))</f>
        <v>0</v>
      </c>
      <c r="AW43" s="90" t="str">
        <f t="shared" si="15"/>
        <v/>
      </c>
      <c r="AX43" s="42">
        <f t="shared" si="16"/>
        <v>0</v>
      </c>
      <c r="AY43" s="116" t="str">
        <f t="shared" si="17"/>
        <v/>
      </c>
      <c r="AZ43" s="93">
        <f>IF($C43="&lt;01",ROUND(INDEX(EID!$R:$R,MATCH($B43,EID!$B:$B,0))/2,0),ROUND(SUM($O43)+(SUM($AV43)*$AY43),0))</f>
        <v>0</v>
      </c>
      <c r="BA43" s="89" t="str">
        <f t="shared" si="18"/>
        <v/>
      </c>
      <c r="BB43" s="9">
        <f>IF($C43="&lt;01",ROUND(INDEX(EID!$T:$T,MATCH($B43,EID!$B:$B,0))/2,0),ROUND($AZ43*$BA43,0))</f>
        <v>0</v>
      </c>
      <c r="BC43" s="93">
        <f t="shared" si="19"/>
        <v>0</v>
      </c>
      <c r="BD43" s="90" t="str">
        <f t="shared" si="20"/>
        <v/>
      </c>
      <c r="BE43" s="42">
        <f>IF($C43="&lt;01",ROUND(INDEX(EID!$V:$V,MATCH($B43,EID!$B:$B,0))/2,0),ROUND($BD43*$BB43,0))</f>
        <v>0</v>
      </c>
      <c r="BF43" s="42">
        <f t="shared" si="21"/>
        <v>0</v>
      </c>
      <c r="BG43" s="116" t="str">
        <f t="shared" si="22"/>
        <v/>
      </c>
      <c r="BH43" s="9">
        <f>IF($C43="&lt;01",ROUND(INDEX(EID!$L:$L,MATCH($B43,EID!$B:$B,0)),0)/2,IF(SUM($BG43)=0,"",ROUND($AX43/$BG43,0)))</f>
        <v>0</v>
      </c>
    </row>
    <row r="44" spans="1:60" x14ac:dyDescent="0.2">
      <c r="A44" t="str">
        <f>INDEX(Prioritization!$D:$D,MATCH($B44,Prioritization!$A:$A,0))</f>
        <v>1 - Scale-up: Saturation</v>
      </c>
      <c r="B44" t="s">
        <v>195</v>
      </c>
      <c r="C44" t="s">
        <v>315</v>
      </c>
      <c r="D44" t="s">
        <v>47</v>
      </c>
      <c r="E44" t="str">
        <f t="shared" si="0"/>
        <v>Dowa District [zphK9WV8JB4]|&lt;01|Male</v>
      </c>
      <c r="F44" s="14"/>
      <c r="G44" s="14">
        <v>2</v>
      </c>
      <c r="H44" s="14">
        <v>0</v>
      </c>
      <c r="I44" s="14">
        <v>0</v>
      </c>
      <c r="J44" s="14">
        <v>9</v>
      </c>
      <c r="K44" s="14">
        <v>8</v>
      </c>
      <c r="L44" s="14"/>
      <c r="M44" s="14">
        <v>1</v>
      </c>
      <c r="N44" s="14">
        <v>1</v>
      </c>
      <c r="O44" s="14">
        <f t="shared" si="1"/>
        <v>1</v>
      </c>
      <c r="P44" s="14">
        <v>1</v>
      </c>
      <c r="Q44" s="14">
        <v>1</v>
      </c>
      <c r="R44" s="14">
        <f t="shared" si="2"/>
        <v>1</v>
      </c>
      <c r="S44" s="14">
        <f>IF(LEFT($B44,4)="_Mil","",_xlfn.IFNA(ROUND(INDEX(Spectrum!$N:$N,MATCH(RIGHT($B44,13)&amp;"|"&amp;$C44&amp;"|"&amp;$D44&amp;"|"&amp;S$14&amp;"|"&amp;"CY2022Q4",Spectrum!$R:$R,0)),0),""))</f>
        <v>1979</v>
      </c>
      <c r="T44" s="42">
        <f>IF(LEFT($B44,4)="_Mil","",_xlfn.IFNA(ROUND(INDEX(Spectrum!$N:$N,MATCH(RIGHT($B44,13)&amp;"|"&amp;$C44&amp;"|"&amp;$D44&amp;"|"&amp;T$14&amp;"|"&amp;"CY2023Q3",Spectrum!$R:$R,0)),0),""))</f>
        <v>1937</v>
      </c>
      <c r="U44" s="42" t="str">
        <f>IF(LEFT($B44,4)="_Mil","",_xlfn.IFNA(ROUND(INDEX(Spectrum!$N:$N,MATCH(RIGHT($B44,13)&amp;"|"&amp;$C44&amp;"|"&amp;$D44&amp;"|"&amp;U$14&amp;"|"&amp;"CY2023Q3",Spectrum!$R:$R,0)),0),""))</f>
        <v/>
      </c>
      <c r="V44" s="14">
        <f>IF(LEFT($B44,4)="_Mil","",_xlfn.IFNA(ROUND(INDEX(Spectrum!$N:$N,MATCH(RIGHT($B44,13)&amp;"|"&amp;$C44&amp;"|"&amp;$D44&amp;"|"&amp;V$14&amp;"|"&amp;"CY2023Q3",Spectrum!$R:$R,0)),0),""))</f>
        <v>616</v>
      </c>
      <c r="W44" s="115">
        <f>IF(LEFT($B44,4)="_Mil","",_xlfn.IFNA(INDEX(Spectrum!$N:$N,MATCH(RIGHT($B44,13)&amp;"|"&amp;$C44&amp;"|"&amp;$D44&amp;"|"&amp;W$14&amp;"|"&amp;"CY2023Q3",Spectrum!$R:$R,0)),""))</f>
        <v>1982</v>
      </c>
      <c r="X44" s="42">
        <f>IF(LEFT($B44,4)="_Mil","",_xlfn.IFNA(ROUND(INDEX(Spectrum!$N:$N,MATCH(RIGHT($B44,13)&amp;"|"&amp;$C44&amp;"|"&amp;$D44&amp;"|"&amp;X$14&amp;"|"&amp;"CY2023Q3",Spectrum!$R:$R,0)),0),""))</f>
        <v>1295</v>
      </c>
      <c r="Y44" s="90" t="str">
        <f t="shared" si="3"/>
        <v/>
      </c>
      <c r="Z44" s="42">
        <f>IF(LEFT($B44,4)="_Mil","",_xlfn.IFNA(ROUND(INDEX(Spectrum!$N:$N,MATCH(RIGHT($B44,13)&amp;"|"&amp;$C44&amp;"|"&amp;$D44&amp;"|"&amp;Z$14&amp;"|"&amp;"CY2023Q3",Spectrum!$R:$R,0)),0),""))</f>
        <v>1290</v>
      </c>
      <c r="AA44" s="90">
        <f>IF(LEFT($B44,4)="_Mil","",IFERROR(1/(1/INDEX(Spectrum!$N:$N,MATCH(RIGHT($B44,13)&amp;"|"&amp;$C44&amp;"|"&amp;$D44&amp;"|"&amp;AA$14&amp;"|"&amp;"CY2023Q3",Spectrum!$R:$R,0))),IF(SUM($U44)=0,"",SUM($Z44)/$U44)))</f>
        <v>1907</v>
      </c>
      <c r="AB44" s="90">
        <f t="shared" si="4"/>
        <v>0.99613899613899615</v>
      </c>
      <c r="AC44" s="14">
        <f>IF(LEFT($B44,4)="_Mil","",_xlfn.IFNA(ROUND(INDEX(Spectrum!$N:$N,MATCH(RIGHT($B44,13)&amp;"|"&amp;$C44&amp;"|"&amp;$D44&amp;"|"&amp;AC$14&amp;"|"&amp;"CY2023Q3",Spectrum!$R:$R,0)),0),""))</f>
        <v>1852</v>
      </c>
      <c r="AD44" s="14" t="str">
        <f>IF(LEFT($B44,4)="_Mil","",_xlfn.IFNA(ROUND(INDEX(Spectrum!$N:$N,MATCH(RIGHT($B44,13)&amp;"|"&amp;$C44&amp;"|"&amp;$D44&amp;"|"&amp;AD$14&amp;"|"&amp;"CY2023Q3",Spectrum!$R:$R,0)),0),""))</f>
        <v/>
      </c>
      <c r="AE44" s="90">
        <f t="shared" si="5"/>
        <v>0</v>
      </c>
      <c r="AF44" s="42" t="str">
        <f>IF(LEFT($B44,4)="_Mil","",_xlfn.IFNA(ROUND(INDEX(Spectrum!$N:$N,MATCH(RIGHT($B44,13)&amp;"|"&amp;$C44&amp;"|"&amp;$D44&amp;"|"&amp;AF$14&amp;"|"&amp;"CY2023Q3",Spectrum!$R:$R,0)),0),""))</f>
        <v/>
      </c>
      <c r="AG44" s="90" t="str">
        <f t="shared" si="6"/>
        <v/>
      </c>
      <c r="AH44" s="88" t="str">
        <f>IF(LEFT($B44,4)="_Mil","",_xlfn.IFNA(INDEX(Spectrum!$N:$N,MATCH(RIGHT($B44,13)&amp;"|"&amp;$C44&amp;"|"&amp;$D44&amp;"|"&amp;AH$14&amp;"|"&amp;"CY2023Q3",Spectrum!$R:$R,0)),""))</f>
        <v/>
      </c>
      <c r="AI44" s="14" t="str">
        <f>IF(LEFT($B44,4)="_Mil","",_xlfn.IFNA(ROUND(INDEX(Spectrum!$N:$N,MATCH(RIGHT($B44,13)&amp;"|"&amp;$C44&amp;"|"&amp;$D44&amp;"|"&amp;AI$14&amp;"|"&amp;"CY2023Q3",Spectrum!$R:$R,0)),0),""))</f>
        <v/>
      </c>
      <c r="AJ44" s="42">
        <f>IF(LEFT($B44,4)="_Mil","",_xlfn.IFNA(ROUND(INDEX(Spectrum!$N:$N,MATCH(RIGHT($B44,13)&amp;"|"&amp;$C44&amp;"|"&amp;$D44&amp;"|"&amp;AI$14&amp;"|"&amp;"CY2023Q3",Spectrum!$R:$R,0)),0),SUM($U44)+SUM($AI44)))</f>
        <v>0</v>
      </c>
      <c r="AK44" s="14" t="str">
        <f>IF(LEFT($B44,4)="_Mil","",_xlfn.IFNA(ROUND(INDEX(Spectrum!$N:$N,MATCH(RIGHT($B44,13)&amp;"|"&amp;$C44&amp;"|"&amp;$D44&amp;"|"&amp;AK$14&amp;"|"&amp;"CY2023Q3",Spectrum!$R:$R,0)),0),""))</f>
        <v/>
      </c>
      <c r="AL44" s="90" t="str">
        <f t="shared" si="7"/>
        <v/>
      </c>
      <c r="AM44" s="14" t="str">
        <f t="shared" si="8"/>
        <v/>
      </c>
      <c r="AN44" s="14">
        <f>IF($C44="&lt;01",ROUND(INDEX(EID!$P:$P,MATCH($B44,EID!$B:$B,0))/2,0),"")</f>
        <v>0</v>
      </c>
      <c r="AO44" s="14">
        <f t="shared" si="9"/>
        <v>0</v>
      </c>
      <c r="AP44" s="42">
        <f t="shared" si="10"/>
        <v>0</v>
      </c>
      <c r="AQ44" s="42">
        <f t="shared" si="11"/>
        <v>1290</v>
      </c>
      <c r="AR44" s="90" t="str">
        <f t="shared" si="12"/>
        <v/>
      </c>
      <c r="AS44" s="90" t="str">
        <f t="shared" si="23"/>
        <v/>
      </c>
      <c r="AT44" s="90" t="str">
        <f t="shared" si="23"/>
        <v/>
      </c>
      <c r="AU44" s="14" t="str">
        <f t="shared" si="14"/>
        <v/>
      </c>
      <c r="AV44" s="14">
        <f>IF($C44="&lt;01",ROUND(INDEX(EID!$N:$N,MATCH($B44,EID!$B:$B,0))/2,0),IF(SUM($AT44)=0,"",ROUND((SUM($AP44)-(SUM($O44)*SUM($AS44)))/$AT44,0)))</f>
        <v>0</v>
      </c>
      <c r="AW44" s="90" t="str">
        <f t="shared" si="15"/>
        <v/>
      </c>
      <c r="AX44" s="42">
        <f t="shared" si="16"/>
        <v>0</v>
      </c>
      <c r="AY44" s="116" t="str">
        <f t="shared" si="17"/>
        <v/>
      </c>
      <c r="AZ44" s="93">
        <f>IF($C44="&lt;01",ROUND(INDEX(EID!$R:$R,MATCH($B44,EID!$B:$B,0))/2,0),ROUND(SUM($O44)+(SUM($AV44)*$AY44),0))</f>
        <v>0</v>
      </c>
      <c r="BA44" s="89" t="str">
        <f t="shared" si="18"/>
        <v/>
      </c>
      <c r="BB44" s="9">
        <f>IF($C44="&lt;01",ROUND(INDEX(EID!$T:$T,MATCH($B44,EID!$B:$B,0))/2,0),ROUND($AZ44*$BA44,0))</f>
        <v>0</v>
      </c>
      <c r="BC44" s="93">
        <f t="shared" si="19"/>
        <v>0</v>
      </c>
      <c r="BD44" s="90" t="str">
        <f t="shared" si="20"/>
        <v/>
      </c>
      <c r="BE44" s="42">
        <f>IF($C44="&lt;01",ROUND(INDEX(EID!$V:$V,MATCH($B44,EID!$B:$B,0))/2,0),ROUND($BD44*$BB44,0))</f>
        <v>0</v>
      </c>
      <c r="BF44" s="42">
        <f t="shared" si="21"/>
        <v>0</v>
      </c>
      <c r="BG44" s="116" t="str">
        <f t="shared" si="22"/>
        <v/>
      </c>
      <c r="BH44" s="9">
        <f>IF($C44="&lt;01",ROUND(INDEX(EID!$L:$L,MATCH($B44,EID!$B:$B,0)),0)/2,IF(SUM($BG44)=0,"",ROUND($AX44/$BG44,0)))</f>
        <v>0</v>
      </c>
    </row>
    <row r="45" spans="1:60" x14ac:dyDescent="0.2">
      <c r="A45" t="str">
        <f>INDEX(Prioritization!$D:$D,MATCH($B45,Prioritization!$A:$A,0))</f>
        <v>1 - Scale-up: Saturation</v>
      </c>
      <c r="B45" t="s">
        <v>195</v>
      </c>
      <c r="C45" t="s">
        <v>362</v>
      </c>
      <c r="D45" t="s">
        <v>29</v>
      </c>
      <c r="E45" t="str">
        <f t="shared" si="0"/>
        <v>Dowa District [zphK9WV8JB4]|01-09|Female</v>
      </c>
      <c r="F45" s="14"/>
      <c r="G45" s="14"/>
      <c r="H45" s="14"/>
      <c r="I45" s="14"/>
      <c r="J45" s="14"/>
      <c r="K45" s="14"/>
      <c r="L45" s="14"/>
      <c r="M45" s="14"/>
      <c r="N45" s="14"/>
      <c r="O45" s="14" t="str">
        <f t="shared" si="1"/>
        <v/>
      </c>
      <c r="P45" s="14"/>
      <c r="Q45" s="14"/>
      <c r="R45" s="14" t="str">
        <f t="shared" si="2"/>
        <v/>
      </c>
      <c r="S45" s="14">
        <f>IF(LEFT($B45,4)="_Mil","",_xlfn.IFNA(ROUND(INDEX(Spectrum!$N:$N,MATCH(RIGHT($B45,13)&amp;"|"&amp;$C45&amp;"|"&amp;$D45&amp;"|"&amp;S$14&amp;"|"&amp;"CY2022Q4",Spectrum!$R:$R,0)),0),""))</f>
        <v>1062</v>
      </c>
      <c r="T45" s="42">
        <f>IF(LEFT($B45,4)="_Mil","",_xlfn.IFNA(ROUND(INDEX(Spectrum!$N:$N,MATCH(RIGHT($B45,13)&amp;"|"&amp;$C45&amp;"|"&amp;$D45&amp;"|"&amp;T$14&amp;"|"&amp;"CY2023Q3",Spectrum!$R:$R,0)),0),""))</f>
        <v>908</v>
      </c>
      <c r="U45" s="42" t="str">
        <f>IF(LEFT($B45,4)="_Mil","",_xlfn.IFNA(ROUND(INDEX(Spectrum!$N:$N,MATCH(RIGHT($B45,13)&amp;"|"&amp;$C45&amp;"|"&amp;$D45&amp;"|"&amp;U$14&amp;"|"&amp;"CY2023Q3",Spectrum!$R:$R,0)),0),""))</f>
        <v/>
      </c>
      <c r="V45" s="14">
        <f>IF(LEFT($B45,4)="_Mil","",_xlfn.IFNA(ROUND(INDEX(Spectrum!$N:$N,MATCH(RIGHT($B45,13)&amp;"|"&amp;$C45&amp;"|"&amp;$D45&amp;"|"&amp;V$14&amp;"|"&amp;"CY2023Q3",Spectrum!$R:$R,0)),0),""))</f>
        <v>1760</v>
      </c>
      <c r="W45" s="115">
        <f>IF(LEFT($B45,4)="_Mil","",_xlfn.IFNA(INDEX(Spectrum!$N:$N,MATCH(RIGHT($B45,13)&amp;"|"&amp;$C45&amp;"|"&amp;$D45&amp;"|"&amp;W$14&amp;"|"&amp;"CY2023Q3",Spectrum!$R:$R,0)),""))</f>
        <v>1967</v>
      </c>
      <c r="X45" s="42">
        <f>IF(LEFT($B45,4)="_Mil","",_xlfn.IFNA(ROUND(INDEX(Spectrum!$N:$N,MATCH(RIGHT($B45,13)&amp;"|"&amp;$C45&amp;"|"&amp;$D45&amp;"|"&amp;X$14&amp;"|"&amp;"CY2023Q3",Spectrum!$R:$R,0)),0),""))</f>
        <v>583</v>
      </c>
      <c r="Y45" s="90" t="str">
        <f t="shared" si="3"/>
        <v/>
      </c>
      <c r="Z45" s="42">
        <f>IF(LEFT($B45,4)="_Mil","",_xlfn.IFNA(ROUND(INDEX(Spectrum!$N:$N,MATCH(RIGHT($B45,13)&amp;"|"&amp;$C45&amp;"|"&amp;$D45&amp;"|"&amp;Z$14&amp;"|"&amp;"CY2023Q3",Spectrum!$R:$R,0)),0),""))</f>
        <v>1031</v>
      </c>
      <c r="AA45" s="90">
        <f>IF(LEFT($B45,4)="_Mil","",IFERROR(1/(1/INDEX(Spectrum!$N:$N,MATCH(RIGHT($B45,13)&amp;"|"&amp;$C45&amp;"|"&amp;$D45&amp;"|"&amp;AA$14&amp;"|"&amp;"CY2023Q3",Spectrum!$R:$R,0))),IF(SUM($U45)=0,"",SUM($Z45)/$U45)))</f>
        <v>1089</v>
      </c>
      <c r="AB45" s="90">
        <f t="shared" si="4"/>
        <v>1.7684391080617496</v>
      </c>
      <c r="AC45" s="14">
        <f>IF(LEFT($B45,4)="_Mil","",_xlfn.IFNA(ROUND(INDEX(Spectrum!$N:$N,MATCH(RIGHT($B45,13)&amp;"|"&amp;$C45&amp;"|"&amp;$D45&amp;"|"&amp;AC$14&amp;"|"&amp;"CY2023Q3",Spectrum!$R:$R,0)),0),""))</f>
        <v>1541</v>
      </c>
      <c r="AD45" s="14" t="str">
        <f>IF(LEFT($B45,4)="_Mil","",_xlfn.IFNA(ROUND(INDEX(Spectrum!$N:$N,MATCH(RIGHT($B45,13)&amp;"|"&amp;$C45&amp;"|"&amp;$D45&amp;"|"&amp;AD$14&amp;"|"&amp;"CY2023Q3",Spectrum!$R:$R,0)),0),""))</f>
        <v/>
      </c>
      <c r="AE45" s="90">
        <f t="shared" si="5"/>
        <v>0</v>
      </c>
      <c r="AF45" s="42" t="str">
        <f>IF(LEFT($B45,4)="_Mil","",_xlfn.IFNA(ROUND(INDEX(Spectrum!$N:$N,MATCH(RIGHT($B45,13)&amp;"|"&amp;$C45&amp;"|"&amp;$D45&amp;"|"&amp;AF$14&amp;"|"&amp;"CY2023Q3",Spectrum!$R:$R,0)),0),""))</f>
        <v/>
      </c>
      <c r="AG45" s="90" t="str">
        <f t="shared" si="6"/>
        <v/>
      </c>
      <c r="AH45" s="88" t="str">
        <f>IF(LEFT($B45,4)="_Mil","",_xlfn.IFNA(INDEX(Spectrum!$N:$N,MATCH(RIGHT($B45,13)&amp;"|"&amp;$C45&amp;"|"&amp;$D45&amp;"|"&amp;AH$14&amp;"|"&amp;"CY2023Q3",Spectrum!$R:$R,0)),""))</f>
        <v/>
      </c>
      <c r="AI45" s="14" t="str">
        <f>IF(LEFT($B45,4)="_Mil","",_xlfn.IFNA(ROUND(INDEX(Spectrum!$N:$N,MATCH(RIGHT($B45,13)&amp;"|"&amp;$C45&amp;"|"&amp;$D45&amp;"|"&amp;AI$14&amp;"|"&amp;"CY2023Q3",Spectrum!$R:$R,0)),0),""))</f>
        <v/>
      </c>
      <c r="AJ45" s="42">
        <f>IF(LEFT($B45,4)="_Mil","",_xlfn.IFNA(ROUND(INDEX(Spectrum!$N:$N,MATCH(RIGHT($B45,13)&amp;"|"&amp;$C45&amp;"|"&amp;$D45&amp;"|"&amp;AI$14&amp;"|"&amp;"CY2023Q3",Spectrum!$R:$R,0)),0),SUM($U45)+SUM($AI45)))</f>
        <v>0</v>
      </c>
      <c r="AK45" s="14" t="str">
        <f>IF(LEFT($B45,4)="_Mil","",_xlfn.IFNA(ROUND(INDEX(Spectrum!$N:$N,MATCH(RIGHT($B45,13)&amp;"|"&amp;$C45&amp;"|"&amp;$D45&amp;"|"&amp;AK$14&amp;"|"&amp;"CY2023Q3",Spectrum!$R:$R,0)),0),""))</f>
        <v/>
      </c>
      <c r="AL45" s="90">
        <f t="shared" si="7"/>
        <v>1089</v>
      </c>
      <c r="AM45" s="14">
        <f t="shared" si="8"/>
        <v>0</v>
      </c>
      <c r="AN45" s="14" t="str">
        <f>IF($C45="&lt;01",ROUND(INDEX(EID!$P:$P,MATCH($B45,EID!$B:$B,0))/2,0),"")</f>
        <v/>
      </c>
      <c r="AO45" s="14">
        <f t="shared" si="9"/>
        <v>0</v>
      </c>
      <c r="AP45" s="42">
        <f t="shared" si="10"/>
        <v>0</v>
      </c>
      <c r="AQ45" s="42">
        <f t="shared" si="11"/>
        <v>1031</v>
      </c>
      <c r="AR45" s="90" t="str">
        <f t="shared" si="12"/>
        <v/>
      </c>
      <c r="AS45" s="90">
        <f t="shared" si="23"/>
        <v>0.98</v>
      </c>
      <c r="AT45" s="90">
        <f t="shared" si="23"/>
        <v>0.98</v>
      </c>
      <c r="AU45" s="14">
        <f t="shared" si="14"/>
        <v>0</v>
      </c>
      <c r="AV45" s="14">
        <f>IF($C45="&lt;01",ROUND(INDEX(EID!$N:$N,MATCH($B45,EID!$B:$B,0))/2,0),IF(SUM($AT45)=0,"",ROUND((SUM($AP45)-(SUM($O45)*SUM($AS45)))/$AT45,0)))</f>
        <v>0</v>
      </c>
      <c r="AW45" s="90">
        <f t="shared" si="15"/>
        <v>1</v>
      </c>
      <c r="AX45" s="42">
        <f t="shared" si="16"/>
        <v>0</v>
      </c>
      <c r="AY45" s="116">
        <f t="shared" si="17"/>
        <v>0.7</v>
      </c>
      <c r="AZ45" s="93">
        <f>IF($C45="&lt;01",ROUND(INDEX(EID!$R:$R,MATCH($B45,EID!$B:$B,0))/2,0),ROUND(SUM($O45)+(SUM($AV45)*$AY45),0))</f>
        <v>0</v>
      </c>
      <c r="BA45" s="89">
        <f t="shared" si="18"/>
        <v>0.95</v>
      </c>
      <c r="BB45" s="9">
        <f>IF($C45="&lt;01",ROUND(INDEX(EID!$T:$T,MATCH($B45,EID!$B:$B,0))/2,0),ROUND($AZ45*$BA45,0))</f>
        <v>0</v>
      </c>
      <c r="BC45" s="93">
        <f t="shared" si="19"/>
        <v>0</v>
      </c>
      <c r="BD45" s="90">
        <f t="shared" si="20"/>
        <v>0.95</v>
      </c>
      <c r="BE45" s="42">
        <f>IF($C45="&lt;01",ROUND(INDEX(EID!$V:$V,MATCH($B45,EID!$B:$B,0))/2,0),ROUND($BD45*$BB45,0))</f>
        <v>0</v>
      </c>
      <c r="BF45" s="42">
        <f t="shared" si="21"/>
        <v>0</v>
      </c>
      <c r="BG45" s="116">
        <f t="shared" si="22"/>
        <v>0.95</v>
      </c>
      <c r="BH45" s="9">
        <f>IF($C45="&lt;01",ROUND(INDEX(EID!$L:$L,MATCH($B45,EID!$B:$B,0)),0)/2,IF(SUM($BG45)=0,"",ROUND($AX45/$BG45,0)))</f>
        <v>0</v>
      </c>
    </row>
    <row r="46" spans="1:60" x14ac:dyDescent="0.2">
      <c r="A46" t="str">
        <f>INDEX(Prioritization!$D:$D,MATCH($B46,Prioritization!$A:$A,0))</f>
        <v>1 - Scale-up: Saturation</v>
      </c>
      <c r="B46" t="s">
        <v>195</v>
      </c>
      <c r="C46" t="s">
        <v>362</v>
      </c>
      <c r="D46" t="s">
        <v>47</v>
      </c>
      <c r="E46" t="str">
        <f t="shared" si="0"/>
        <v>Dowa District [zphK9WV8JB4]|01-09|Male</v>
      </c>
      <c r="F46" s="14"/>
      <c r="G46" s="14"/>
      <c r="H46" s="14"/>
      <c r="I46" s="14"/>
      <c r="J46" s="14"/>
      <c r="K46" s="14"/>
      <c r="L46" s="14"/>
      <c r="M46" s="14"/>
      <c r="N46" s="14"/>
      <c r="O46" s="14" t="str">
        <f t="shared" si="1"/>
        <v/>
      </c>
      <c r="P46" s="14"/>
      <c r="Q46" s="14"/>
      <c r="R46" s="14" t="str">
        <f t="shared" si="2"/>
        <v/>
      </c>
      <c r="S46" s="14">
        <f>IF(LEFT($B46,4)="_Mil","",_xlfn.IFNA(ROUND(INDEX(Spectrum!$N:$N,MATCH(RIGHT($B46,13)&amp;"|"&amp;$C46&amp;"|"&amp;$D46&amp;"|"&amp;S$14&amp;"|"&amp;"CY2022Q4",Spectrum!$R:$R,0)),0),""))</f>
        <v>680</v>
      </c>
      <c r="T46" s="42">
        <f>IF(LEFT($B46,4)="_Mil","",_xlfn.IFNA(ROUND(INDEX(Spectrum!$N:$N,MATCH(RIGHT($B46,13)&amp;"|"&amp;$C46&amp;"|"&amp;$D46&amp;"|"&amp;T$14&amp;"|"&amp;"CY2023Q3",Spectrum!$R:$R,0)),0),""))</f>
        <v>1687</v>
      </c>
      <c r="U46" s="42" t="str">
        <f>IF(LEFT($B46,4)="_Mil","",_xlfn.IFNA(ROUND(INDEX(Spectrum!$N:$N,MATCH(RIGHT($B46,13)&amp;"|"&amp;$C46&amp;"|"&amp;$D46&amp;"|"&amp;U$14&amp;"|"&amp;"CY2023Q3",Spectrum!$R:$R,0)),0),""))</f>
        <v/>
      </c>
      <c r="V46" s="14">
        <f>IF(LEFT($B46,4)="_Mil","",_xlfn.IFNA(ROUND(INDEX(Spectrum!$N:$N,MATCH(RIGHT($B46,13)&amp;"|"&amp;$C46&amp;"|"&amp;$D46&amp;"|"&amp;V$14&amp;"|"&amp;"CY2023Q3",Spectrum!$R:$R,0)),0),""))</f>
        <v>685</v>
      </c>
      <c r="W46" s="115">
        <f>IF(LEFT($B46,4)="_Mil","",_xlfn.IFNA(INDEX(Spectrum!$N:$N,MATCH(RIGHT($B46,13)&amp;"|"&amp;$C46&amp;"|"&amp;$D46&amp;"|"&amp;W$14&amp;"|"&amp;"CY2023Q3",Spectrum!$R:$R,0)),""))</f>
        <v>813</v>
      </c>
      <c r="X46" s="42">
        <f>IF(LEFT($B46,4)="_Mil","",_xlfn.IFNA(ROUND(INDEX(Spectrum!$N:$N,MATCH(RIGHT($B46,13)&amp;"|"&amp;$C46&amp;"|"&amp;$D46&amp;"|"&amp;X$14&amp;"|"&amp;"CY2023Q3",Spectrum!$R:$R,0)),0),""))</f>
        <v>1930</v>
      </c>
      <c r="Y46" s="90" t="str">
        <f t="shared" si="3"/>
        <v/>
      </c>
      <c r="Z46" s="42">
        <f>IF(LEFT($B46,4)="_Mil","",_xlfn.IFNA(ROUND(INDEX(Spectrum!$N:$N,MATCH(RIGHT($B46,13)&amp;"|"&amp;$C46&amp;"|"&amp;$D46&amp;"|"&amp;Z$14&amp;"|"&amp;"CY2023Q3",Spectrum!$R:$R,0)),0),""))</f>
        <v>1275</v>
      </c>
      <c r="AA46" s="90">
        <f>IF(LEFT($B46,4)="_Mil","",IFERROR(1/(1/INDEX(Spectrum!$N:$N,MATCH(RIGHT($B46,13)&amp;"|"&amp;$C46&amp;"|"&amp;$D46&amp;"|"&amp;AA$14&amp;"|"&amp;"CY2023Q3",Spectrum!$R:$R,0))),IF(SUM($U46)=0,"",SUM($Z46)/$U46)))</f>
        <v>960.99999999999989</v>
      </c>
      <c r="AB46" s="90">
        <f t="shared" si="4"/>
        <v>0.6606217616580311</v>
      </c>
      <c r="AC46" s="14">
        <f>IF(LEFT($B46,4)="_Mil","",_xlfn.IFNA(ROUND(INDEX(Spectrum!$N:$N,MATCH(RIGHT($B46,13)&amp;"|"&amp;$C46&amp;"|"&amp;$D46&amp;"|"&amp;AC$14&amp;"|"&amp;"CY2023Q3",Spectrum!$R:$R,0)),0),""))</f>
        <v>513</v>
      </c>
      <c r="AD46" s="14" t="str">
        <f>IF(LEFT($B46,4)="_Mil","",_xlfn.IFNA(ROUND(INDEX(Spectrum!$N:$N,MATCH(RIGHT($B46,13)&amp;"|"&amp;$C46&amp;"|"&amp;$D46&amp;"|"&amp;AD$14&amp;"|"&amp;"CY2023Q3",Spectrum!$R:$R,0)),0),""))</f>
        <v/>
      </c>
      <c r="AE46" s="90">
        <f t="shared" si="5"/>
        <v>0</v>
      </c>
      <c r="AF46" s="42" t="str">
        <f>IF(LEFT($B46,4)="_Mil","",_xlfn.IFNA(ROUND(INDEX(Spectrum!$N:$N,MATCH(RIGHT($B46,13)&amp;"|"&amp;$C46&amp;"|"&amp;$D46&amp;"|"&amp;AF$14&amp;"|"&amp;"CY2023Q3",Spectrum!$R:$R,0)),0),""))</f>
        <v/>
      </c>
      <c r="AG46" s="90" t="str">
        <f t="shared" si="6"/>
        <v/>
      </c>
      <c r="AH46" s="88" t="str">
        <f>IF(LEFT($B46,4)="_Mil","",_xlfn.IFNA(INDEX(Spectrum!$N:$N,MATCH(RIGHT($B46,13)&amp;"|"&amp;$C46&amp;"|"&amp;$D46&amp;"|"&amp;AH$14&amp;"|"&amp;"CY2023Q3",Spectrum!$R:$R,0)),""))</f>
        <v/>
      </c>
      <c r="AI46" s="14" t="str">
        <f>IF(LEFT($B46,4)="_Mil","",_xlfn.IFNA(ROUND(INDEX(Spectrum!$N:$N,MATCH(RIGHT($B46,13)&amp;"|"&amp;$C46&amp;"|"&amp;$D46&amp;"|"&amp;AI$14&amp;"|"&amp;"CY2023Q3",Spectrum!$R:$R,0)),0),""))</f>
        <v/>
      </c>
      <c r="AJ46" s="42">
        <f>IF(LEFT($B46,4)="_Mil","",_xlfn.IFNA(ROUND(INDEX(Spectrum!$N:$N,MATCH(RIGHT($B46,13)&amp;"|"&amp;$C46&amp;"|"&amp;$D46&amp;"|"&amp;AI$14&amp;"|"&amp;"CY2023Q3",Spectrum!$R:$R,0)),0),SUM($U46)+SUM($AI46)))</f>
        <v>0</v>
      </c>
      <c r="AK46" s="14" t="str">
        <f>IF(LEFT($B46,4)="_Mil","",_xlfn.IFNA(ROUND(INDEX(Spectrum!$N:$N,MATCH(RIGHT($B46,13)&amp;"|"&amp;$C46&amp;"|"&amp;$D46&amp;"|"&amp;AK$14&amp;"|"&amp;"CY2023Q3",Spectrum!$R:$R,0)),0),""))</f>
        <v/>
      </c>
      <c r="AL46" s="90">
        <f t="shared" si="7"/>
        <v>960.99999999999989</v>
      </c>
      <c r="AM46" s="14">
        <f t="shared" si="8"/>
        <v>0</v>
      </c>
      <c r="AN46" s="14" t="str">
        <f>IF($C46="&lt;01",ROUND(INDEX(EID!$P:$P,MATCH($B46,EID!$B:$B,0))/2,0),"")</f>
        <v/>
      </c>
      <c r="AO46" s="14">
        <f t="shared" si="9"/>
        <v>0</v>
      </c>
      <c r="AP46" s="42">
        <f t="shared" si="10"/>
        <v>0</v>
      </c>
      <c r="AQ46" s="42">
        <f t="shared" si="11"/>
        <v>1275</v>
      </c>
      <c r="AR46" s="90" t="str">
        <f t="shared" si="12"/>
        <v/>
      </c>
      <c r="AS46" s="90">
        <f t="shared" si="23"/>
        <v>0.98</v>
      </c>
      <c r="AT46" s="90">
        <f t="shared" si="23"/>
        <v>0.98</v>
      </c>
      <c r="AU46" s="14">
        <f t="shared" si="14"/>
        <v>0</v>
      </c>
      <c r="AV46" s="14">
        <f>IF($C46="&lt;01",ROUND(INDEX(EID!$N:$N,MATCH($B46,EID!$B:$B,0))/2,0),IF(SUM($AT46)=0,"",ROUND((SUM($AP46)-(SUM($O46)*SUM($AS46)))/$AT46,0)))</f>
        <v>0</v>
      </c>
      <c r="AW46" s="90">
        <f t="shared" si="15"/>
        <v>1</v>
      </c>
      <c r="AX46" s="42">
        <f t="shared" si="16"/>
        <v>0</v>
      </c>
      <c r="AY46" s="116">
        <f t="shared" si="17"/>
        <v>0.7</v>
      </c>
      <c r="AZ46" s="93">
        <f>IF($C46="&lt;01",ROUND(INDEX(EID!$R:$R,MATCH($B46,EID!$B:$B,0))/2,0),ROUND(SUM($O46)+(SUM($AV46)*$AY46),0))</f>
        <v>0</v>
      </c>
      <c r="BA46" s="89">
        <f t="shared" si="18"/>
        <v>0.95</v>
      </c>
      <c r="BB46" s="9">
        <f>IF($C46="&lt;01",ROUND(INDEX(EID!$T:$T,MATCH($B46,EID!$B:$B,0))/2,0),ROUND($AZ46*$BA46,0))</f>
        <v>0</v>
      </c>
      <c r="BC46" s="93">
        <f t="shared" si="19"/>
        <v>0</v>
      </c>
      <c r="BD46" s="90">
        <f t="shared" si="20"/>
        <v>0.95</v>
      </c>
      <c r="BE46" s="42">
        <f>IF($C46="&lt;01",ROUND(INDEX(EID!$V:$V,MATCH($B46,EID!$B:$B,0))/2,0),ROUND($BD46*$BB46,0))</f>
        <v>0</v>
      </c>
      <c r="BF46" s="42">
        <f t="shared" si="21"/>
        <v>0</v>
      </c>
      <c r="BG46" s="116">
        <f t="shared" si="22"/>
        <v>0.95</v>
      </c>
      <c r="BH46" s="9">
        <f>IF($C46="&lt;01",ROUND(INDEX(EID!$L:$L,MATCH($B46,EID!$B:$B,0)),0)/2,IF(SUM($BG46)=0,"",ROUND($AX46/$BG46,0)))</f>
        <v>0</v>
      </c>
    </row>
    <row r="47" spans="1:60" x14ac:dyDescent="0.2">
      <c r="A47" t="str">
        <f>INDEX(Prioritization!$D:$D,MATCH($B47,Prioritization!$A:$A,0))</f>
        <v>1 - Scale-up: Saturation</v>
      </c>
      <c r="B47" t="s">
        <v>195</v>
      </c>
      <c r="C47" t="s">
        <v>363</v>
      </c>
      <c r="D47" t="s">
        <v>29</v>
      </c>
      <c r="E47" t="str">
        <f t="shared" si="0"/>
        <v>Dowa District [zphK9WV8JB4]|10-14|Female</v>
      </c>
      <c r="F47" s="14"/>
      <c r="G47" s="14">
        <v>8</v>
      </c>
      <c r="H47" s="14">
        <v>1</v>
      </c>
      <c r="I47" s="14">
        <v>18</v>
      </c>
      <c r="J47" s="14">
        <v>82</v>
      </c>
      <c r="K47" s="14">
        <v>49</v>
      </c>
      <c r="L47" s="14">
        <v>10</v>
      </c>
      <c r="M47" s="14">
        <v>2</v>
      </c>
      <c r="N47" s="14">
        <v>81</v>
      </c>
      <c r="O47" s="14">
        <f t="shared" si="1"/>
        <v>81</v>
      </c>
      <c r="P47" s="14">
        <v>27</v>
      </c>
      <c r="Q47" s="14">
        <v>99</v>
      </c>
      <c r="R47" s="14">
        <f t="shared" si="2"/>
        <v>63</v>
      </c>
      <c r="S47" s="14">
        <f>IF(LEFT($B47,4)="_Mil","",_xlfn.IFNA(ROUND(INDEX(Spectrum!$N:$N,MATCH(RIGHT($B47,13)&amp;"|"&amp;$C47&amp;"|"&amp;$D47&amp;"|"&amp;S$14&amp;"|"&amp;"CY2022Q4",Spectrum!$R:$R,0)),0),""))</f>
        <v>908</v>
      </c>
      <c r="T47" s="42">
        <f>IF(LEFT($B47,4)="_Mil","",_xlfn.IFNA(ROUND(INDEX(Spectrum!$N:$N,MATCH(RIGHT($B47,13)&amp;"|"&amp;$C47&amp;"|"&amp;$D47&amp;"|"&amp;T$14&amp;"|"&amp;"CY2023Q3",Spectrum!$R:$R,0)),0),""))</f>
        <v>884</v>
      </c>
      <c r="U47" s="42" t="str">
        <f>IF(LEFT($B47,4)="_Mil","",_xlfn.IFNA(ROUND(INDEX(Spectrum!$N:$N,MATCH(RIGHT($B47,13)&amp;"|"&amp;$C47&amp;"|"&amp;$D47&amp;"|"&amp;U$14&amp;"|"&amp;"CY2023Q3",Spectrum!$R:$R,0)),0),""))</f>
        <v/>
      </c>
      <c r="V47" s="14">
        <f>IF(LEFT($B47,4)="_Mil","",_xlfn.IFNA(ROUND(INDEX(Spectrum!$N:$N,MATCH(RIGHT($B47,13)&amp;"|"&amp;$C47&amp;"|"&amp;$D47&amp;"|"&amp;V$14&amp;"|"&amp;"CY2023Q3",Spectrum!$R:$R,0)),0),""))</f>
        <v>1407</v>
      </c>
      <c r="W47" s="115">
        <f>IF(LEFT($B47,4)="_Mil","",_xlfn.IFNA(INDEX(Spectrum!$N:$N,MATCH(RIGHT($B47,13)&amp;"|"&amp;$C47&amp;"|"&amp;$D47&amp;"|"&amp;W$14&amp;"|"&amp;"CY2023Q3",Spectrum!$R:$R,0)),""))</f>
        <v>1550</v>
      </c>
      <c r="X47" s="42">
        <f>IF(LEFT($B47,4)="_Mil","",_xlfn.IFNA(ROUND(INDEX(Spectrum!$N:$N,MATCH(RIGHT($B47,13)&amp;"|"&amp;$C47&amp;"|"&amp;$D47&amp;"|"&amp;X$14&amp;"|"&amp;"CY2023Q3",Spectrum!$R:$R,0)),0),""))</f>
        <v>1364</v>
      </c>
      <c r="Y47" s="90" t="str">
        <f t="shared" si="3"/>
        <v/>
      </c>
      <c r="Z47" s="42">
        <f>IF(LEFT($B47,4)="_Mil","",_xlfn.IFNA(ROUND(INDEX(Spectrum!$N:$N,MATCH(RIGHT($B47,13)&amp;"|"&amp;$C47&amp;"|"&amp;$D47&amp;"|"&amp;Z$14&amp;"|"&amp;"CY2023Q3",Spectrum!$R:$R,0)),0),""))</f>
        <v>820</v>
      </c>
      <c r="AA47" s="90">
        <f>IF(LEFT($B47,4)="_Mil","",IFERROR(1/(1/INDEX(Spectrum!$N:$N,MATCH(RIGHT($B47,13)&amp;"|"&amp;$C47&amp;"|"&amp;$D47&amp;"|"&amp;AA$14&amp;"|"&amp;"CY2023Q3",Spectrum!$R:$R,0))),IF(SUM($U47)=0,"",SUM($Z47)/$U47)))</f>
        <v>1756</v>
      </c>
      <c r="AB47" s="90">
        <f t="shared" si="4"/>
        <v>0.60117302052785926</v>
      </c>
      <c r="AC47" s="14">
        <f>IF(LEFT($B47,4)="_Mil","",_xlfn.IFNA(ROUND(INDEX(Spectrum!$N:$N,MATCH(RIGHT($B47,13)&amp;"|"&amp;$C47&amp;"|"&amp;$D47&amp;"|"&amp;AC$14&amp;"|"&amp;"CY2023Q3",Spectrum!$R:$R,0)),0),""))</f>
        <v>1171</v>
      </c>
      <c r="AD47" s="14" t="str">
        <f>IF(LEFT($B47,4)="_Mil","",_xlfn.IFNA(ROUND(INDEX(Spectrum!$N:$N,MATCH(RIGHT($B47,13)&amp;"|"&amp;$C47&amp;"|"&amp;$D47&amp;"|"&amp;AD$14&amp;"|"&amp;"CY2023Q3",Spectrum!$R:$R,0)),0),""))</f>
        <v/>
      </c>
      <c r="AE47" s="90">
        <f t="shared" si="5"/>
        <v>0</v>
      </c>
      <c r="AF47" s="42" t="str">
        <f>IF(LEFT($B47,4)="_Mil","",_xlfn.IFNA(ROUND(INDEX(Spectrum!$N:$N,MATCH(RIGHT($B47,13)&amp;"|"&amp;$C47&amp;"|"&amp;$D47&amp;"|"&amp;AF$14&amp;"|"&amp;"CY2023Q3",Spectrum!$R:$R,0)),0),""))</f>
        <v/>
      </c>
      <c r="AG47" s="90" t="str">
        <f t="shared" si="6"/>
        <v/>
      </c>
      <c r="AH47" s="88" t="str">
        <f>IF(LEFT($B47,4)="_Mil","",_xlfn.IFNA(INDEX(Spectrum!$N:$N,MATCH(RIGHT($B47,13)&amp;"|"&amp;$C47&amp;"|"&amp;$D47&amp;"|"&amp;AH$14&amp;"|"&amp;"CY2023Q3",Spectrum!$R:$R,0)),""))</f>
        <v/>
      </c>
      <c r="AI47" s="14" t="str">
        <f>IF(LEFT($B47,4)="_Mil","",_xlfn.IFNA(ROUND(INDEX(Spectrum!$N:$N,MATCH(RIGHT($B47,13)&amp;"|"&amp;$C47&amp;"|"&amp;$D47&amp;"|"&amp;AI$14&amp;"|"&amp;"CY2023Q3",Spectrum!$R:$R,0)),0),""))</f>
        <v/>
      </c>
      <c r="AJ47" s="42">
        <f>IF(LEFT($B47,4)="_Mil","",_xlfn.IFNA(ROUND(INDEX(Spectrum!$N:$N,MATCH(RIGHT($B47,13)&amp;"|"&amp;$C47&amp;"|"&amp;$D47&amp;"|"&amp;AI$14&amp;"|"&amp;"CY2023Q3",Spectrum!$R:$R,0)),0),SUM($U47)+SUM($AI47)))</f>
        <v>0</v>
      </c>
      <c r="AK47" s="14" t="str">
        <f>IF(LEFT($B47,4)="_Mil","",_xlfn.IFNA(ROUND(INDEX(Spectrum!$N:$N,MATCH(RIGHT($B47,13)&amp;"|"&amp;$C47&amp;"|"&amp;$D47&amp;"|"&amp;AK$14&amp;"|"&amp;"CY2023Q3",Spectrum!$R:$R,0)),0),""))</f>
        <v/>
      </c>
      <c r="AL47" s="90">
        <f t="shared" si="7"/>
        <v>1756</v>
      </c>
      <c r="AM47" s="14">
        <f t="shared" si="8"/>
        <v>0</v>
      </c>
      <c r="AN47" s="14" t="str">
        <f>IF($C47="&lt;01",ROUND(INDEX(EID!$P:$P,MATCH($B47,EID!$B:$B,0))/2,0),"")</f>
        <v/>
      </c>
      <c r="AO47" s="14">
        <f t="shared" si="9"/>
        <v>0</v>
      </c>
      <c r="AP47" s="42">
        <f t="shared" si="10"/>
        <v>0</v>
      </c>
      <c r="AQ47" s="42">
        <f t="shared" si="11"/>
        <v>820</v>
      </c>
      <c r="AR47" s="90" t="str">
        <f t="shared" si="12"/>
        <v/>
      </c>
      <c r="AS47" s="90">
        <f t="shared" si="23"/>
        <v>0.98</v>
      </c>
      <c r="AT47" s="90">
        <f t="shared" si="23"/>
        <v>0.98</v>
      </c>
      <c r="AU47" s="14">
        <f t="shared" si="14"/>
        <v>-81</v>
      </c>
      <c r="AV47" s="14">
        <f>IF($C47="&lt;01",ROUND(INDEX(EID!$N:$N,MATCH($B47,EID!$B:$B,0))/2,0),IF(SUM($AT47)=0,"",ROUND((SUM($AP47)-(SUM($O47)*SUM($AS47)))/$AT47,0)))</f>
        <v>-81</v>
      </c>
      <c r="AW47" s="90">
        <f t="shared" si="15"/>
        <v>1</v>
      </c>
      <c r="AX47" s="42">
        <f t="shared" si="16"/>
        <v>-81</v>
      </c>
      <c r="AY47" s="116">
        <f t="shared" si="17"/>
        <v>0.7</v>
      </c>
      <c r="AZ47" s="93">
        <f>IF($C47="&lt;01",ROUND(INDEX(EID!$R:$R,MATCH($B47,EID!$B:$B,0))/2,0),ROUND(SUM($O47)+(SUM($AV47)*$AY47),0))</f>
        <v>24</v>
      </c>
      <c r="BA47" s="89">
        <f t="shared" si="18"/>
        <v>0.95</v>
      </c>
      <c r="BB47" s="9">
        <f>IF($C47="&lt;01",ROUND(INDEX(EID!$T:$T,MATCH($B47,EID!$B:$B,0))/2,0),ROUND($AZ47*$BA47,0))</f>
        <v>23</v>
      </c>
      <c r="BC47" s="93">
        <f t="shared" si="19"/>
        <v>23</v>
      </c>
      <c r="BD47" s="90">
        <f t="shared" si="20"/>
        <v>0.95</v>
      </c>
      <c r="BE47" s="42">
        <f>IF($C47="&lt;01",ROUND(INDEX(EID!$V:$V,MATCH($B47,EID!$B:$B,0))/2,0),ROUND($BD47*$BB47,0))</f>
        <v>22</v>
      </c>
      <c r="BF47" s="42">
        <f t="shared" si="21"/>
        <v>22</v>
      </c>
      <c r="BG47" s="116">
        <f t="shared" si="22"/>
        <v>0.95</v>
      </c>
      <c r="BH47" s="9">
        <f>IF($C47="&lt;01",ROUND(INDEX(EID!$L:$L,MATCH($B47,EID!$B:$B,0)),0)/2,IF(SUM($BG47)=0,"",ROUND($AX47/$BG47,0)))</f>
        <v>-85</v>
      </c>
    </row>
    <row r="48" spans="1:60" x14ac:dyDescent="0.2">
      <c r="A48" t="str">
        <f>INDEX(Prioritization!$D:$D,MATCH($B48,Prioritization!$A:$A,0))</f>
        <v>1 - Scale-up: Saturation</v>
      </c>
      <c r="B48" t="s">
        <v>195</v>
      </c>
      <c r="C48" t="s">
        <v>363</v>
      </c>
      <c r="D48" t="s">
        <v>47</v>
      </c>
      <c r="E48" t="str">
        <f t="shared" si="0"/>
        <v>Dowa District [zphK9WV8JB4]|10-14|Male</v>
      </c>
      <c r="F48" s="14"/>
      <c r="G48" s="14">
        <v>1</v>
      </c>
      <c r="H48" s="14">
        <v>1</v>
      </c>
      <c r="I48" s="14">
        <v>46</v>
      </c>
      <c r="J48" s="14">
        <v>24</v>
      </c>
      <c r="K48" s="14">
        <v>8</v>
      </c>
      <c r="L48" s="14">
        <v>3</v>
      </c>
      <c r="M48" s="14">
        <v>5</v>
      </c>
      <c r="N48" s="14">
        <v>70</v>
      </c>
      <c r="O48" s="14">
        <f t="shared" si="1"/>
        <v>70</v>
      </c>
      <c r="P48" s="14">
        <v>80</v>
      </c>
      <c r="Q48" s="14">
        <v>44</v>
      </c>
      <c r="R48" s="14">
        <f t="shared" si="2"/>
        <v>24</v>
      </c>
      <c r="S48" s="14">
        <f>IF(LEFT($B48,4)="_Mil","",_xlfn.IFNA(ROUND(INDEX(Spectrum!$N:$N,MATCH(RIGHT($B48,13)&amp;"|"&amp;$C48&amp;"|"&amp;$D48&amp;"|"&amp;S$14&amp;"|"&amp;"CY2022Q4",Spectrum!$R:$R,0)),0),""))</f>
        <v>1398</v>
      </c>
      <c r="T48" s="42">
        <f>IF(LEFT($B48,4)="_Mil","",_xlfn.IFNA(ROUND(INDEX(Spectrum!$N:$N,MATCH(RIGHT($B48,13)&amp;"|"&amp;$C48&amp;"|"&amp;$D48&amp;"|"&amp;T$14&amp;"|"&amp;"CY2023Q3",Spectrum!$R:$R,0)),0),""))</f>
        <v>1837</v>
      </c>
      <c r="U48" s="42" t="str">
        <f>IF(LEFT($B48,4)="_Mil","",_xlfn.IFNA(ROUND(INDEX(Spectrum!$N:$N,MATCH(RIGHT($B48,13)&amp;"|"&amp;$C48&amp;"|"&amp;$D48&amp;"|"&amp;U$14&amp;"|"&amp;"CY2023Q3",Spectrum!$R:$R,0)),0),""))</f>
        <v/>
      </c>
      <c r="V48" s="14">
        <f>IF(LEFT($B48,4)="_Mil","",_xlfn.IFNA(ROUND(INDEX(Spectrum!$N:$N,MATCH(RIGHT($B48,13)&amp;"|"&amp;$C48&amp;"|"&amp;$D48&amp;"|"&amp;V$14&amp;"|"&amp;"CY2023Q3",Spectrum!$R:$R,0)),0),""))</f>
        <v>908</v>
      </c>
      <c r="W48" s="115">
        <f>IF(LEFT($B48,4)="_Mil","",_xlfn.IFNA(INDEX(Spectrum!$N:$N,MATCH(RIGHT($B48,13)&amp;"|"&amp;$C48&amp;"|"&amp;$D48&amp;"|"&amp;W$14&amp;"|"&amp;"CY2023Q3",Spectrum!$R:$R,0)),""))</f>
        <v>1402</v>
      </c>
      <c r="X48" s="42">
        <f>IF(LEFT($B48,4)="_Mil","",_xlfn.IFNA(ROUND(INDEX(Spectrum!$N:$N,MATCH(RIGHT($B48,13)&amp;"|"&amp;$C48&amp;"|"&amp;$D48&amp;"|"&amp;X$14&amp;"|"&amp;"CY2023Q3",Spectrum!$R:$R,0)),0),""))</f>
        <v>1085</v>
      </c>
      <c r="Y48" s="90" t="str">
        <f t="shared" si="3"/>
        <v/>
      </c>
      <c r="Z48" s="42">
        <f>IF(LEFT($B48,4)="_Mil","",_xlfn.IFNA(ROUND(INDEX(Spectrum!$N:$N,MATCH(RIGHT($B48,13)&amp;"|"&amp;$C48&amp;"|"&amp;$D48&amp;"|"&amp;Z$14&amp;"|"&amp;"CY2023Q3",Spectrum!$R:$R,0)),0),""))</f>
        <v>637</v>
      </c>
      <c r="AA48" s="90">
        <f>IF(LEFT($B48,4)="_Mil","",IFERROR(1/(1/INDEX(Spectrum!$N:$N,MATCH(RIGHT($B48,13)&amp;"|"&amp;$C48&amp;"|"&amp;$D48&amp;"|"&amp;AA$14&amp;"|"&amp;"CY2023Q3",Spectrum!$R:$R,0))),IF(SUM($U48)=0,"",SUM($Z48)/$U48)))</f>
        <v>617</v>
      </c>
      <c r="AB48" s="90">
        <f t="shared" si="4"/>
        <v>0.58709677419354833</v>
      </c>
      <c r="AC48" s="14">
        <f>IF(LEFT($B48,4)="_Mil","",_xlfn.IFNA(ROUND(INDEX(Spectrum!$N:$N,MATCH(RIGHT($B48,13)&amp;"|"&amp;$C48&amp;"|"&amp;$D48&amp;"|"&amp;AC$14&amp;"|"&amp;"CY2023Q3",Spectrum!$R:$R,0)),0),""))</f>
        <v>666</v>
      </c>
      <c r="AD48" s="14" t="str">
        <f>IF(LEFT($B48,4)="_Mil","",_xlfn.IFNA(ROUND(INDEX(Spectrum!$N:$N,MATCH(RIGHT($B48,13)&amp;"|"&amp;$C48&amp;"|"&amp;$D48&amp;"|"&amp;AD$14&amp;"|"&amp;"CY2023Q3",Spectrum!$R:$R,0)),0),""))</f>
        <v/>
      </c>
      <c r="AE48" s="90">
        <f t="shared" si="5"/>
        <v>0</v>
      </c>
      <c r="AF48" s="42" t="str">
        <f>IF(LEFT($B48,4)="_Mil","",_xlfn.IFNA(ROUND(INDEX(Spectrum!$N:$N,MATCH(RIGHT($B48,13)&amp;"|"&amp;$C48&amp;"|"&amp;$D48&amp;"|"&amp;AF$14&amp;"|"&amp;"CY2023Q3",Spectrum!$R:$R,0)),0),""))</f>
        <v/>
      </c>
      <c r="AG48" s="90" t="str">
        <f t="shared" si="6"/>
        <v/>
      </c>
      <c r="AH48" s="88" t="str">
        <f>IF(LEFT($B48,4)="_Mil","",_xlfn.IFNA(INDEX(Spectrum!$N:$N,MATCH(RIGHT($B48,13)&amp;"|"&amp;$C48&amp;"|"&amp;$D48&amp;"|"&amp;AH$14&amp;"|"&amp;"CY2023Q3",Spectrum!$R:$R,0)),""))</f>
        <v/>
      </c>
      <c r="AI48" s="14" t="str">
        <f>IF(LEFT($B48,4)="_Mil","",_xlfn.IFNA(ROUND(INDEX(Spectrum!$N:$N,MATCH(RIGHT($B48,13)&amp;"|"&amp;$C48&amp;"|"&amp;$D48&amp;"|"&amp;AI$14&amp;"|"&amp;"CY2023Q3",Spectrum!$R:$R,0)),0),""))</f>
        <v/>
      </c>
      <c r="AJ48" s="42">
        <f>IF(LEFT($B48,4)="_Mil","",_xlfn.IFNA(ROUND(INDEX(Spectrum!$N:$N,MATCH(RIGHT($B48,13)&amp;"|"&amp;$C48&amp;"|"&amp;$D48&amp;"|"&amp;AI$14&amp;"|"&amp;"CY2023Q3",Spectrum!$R:$R,0)),0),SUM($U48)+SUM($AI48)))</f>
        <v>0</v>
      </c>
      <c r="AK48" s="14" t="str">
        <f>IF(LEFT($B48,4)="_Mil","",_xlfn.IFNA(ROUND(INDEX(Spectrum!$N:$N,MATCH(RIGHT($B48,13)&amp;"|"&amp;$C48&amp;"|"&amp;$D48&amp;"|"&amp;AK$14&amp;"|"&amp;"CY2023Q3",Spectrum!$R:$R,0)),0),""))</f>
        <v/>
      </c>
      <c r="AL48" s="90">
        <f t="shared" si="7"/>
        <v>617</v>
      </c>
      <c r="AM48" s="14">
        <f t="shared" si="8"/>
        <v>0</v>
      </c>
      <c r="AN48" s="14" t="str">
        <f>IF($C48="&lt;01",ROUND(INDEX(EID!$P:$P,MATCH($B48,EID!$B:$B,0))/2,0),"")</f>
        <v/>
      </c>
      <c r="AO48" s="14">
        <f t="shared" si="9"/>
        <v>0</v>
      </c>
      <c r="AP48" s="42">
        <f t="shared" si="10"/>
        <v>0</v>
      </c>
      <c r="AQ48" s="42">
        <f t="shared" si="11"/>
        <v>637</v>
      </c>
      <c r="AR48" s="90" t="str">
        <f t="shared" si="12"/>
        <v/>
      </c>
      <c r="AS48" s="90">
        <f t="shared" si="23"/>
        <v>0.98</v>
      </c>
      <c r="AT48" s="90">
        <f t="shared" si="23"/>
        <v>0.98</v>
      </c>
      <c r="AU48" s="14">
        <f t="shared" si="14"/>
        <v>-70</v>
      </c>
      <c r="AV48" s="14">
        <f>IF($C48="&lt;01",ROUND(INDEX(EID!$N:$N,MATCH($B48,EID!$B:$B,0))/2,0),IF(SUM($AT48)=0,"",ROUND((SUM($AP48)-(SUM($O48)*SUM($AS48)))/$AT48,0)))</f>
        <v>-70</v>
      </c>
      <c r="AW48" s="90">
        <f t="shared" si="15"/>
        <v>1</v>
      </c>
      <c r="AX48" s="42">
        <f t="shared" si="16"/>
        <v>-70</v>
      </c>
      <c r="AY48" s="116">
        <f t="shared" si="17"/>
        <v>0.7</v>
      </c>
      <c r="AZ48" s="93">
        <f>IF($C48="&lt;01",ROUND(INDEX(EID!$R:$R,MATCH($B48,EID!$B:$B,0))/2,0),ROUND(SUM($O48)+(SUM($AV48)*$AY48),0))</f>
        <v>21</v>
      </c>
      <c r="BA48" s="89">
        <f t="shared" si="18"/>
        <v>0.95</v>
      </c>
      <c r="BB48" s="9">
        <f>IF($C48="&lt;01",ROUND(INDEX(EID!$T:$T,MATCH($B48,EID!$B:$B,0))/2,0),ROUND($AZ48*$BA48,0))</f>
        <v>20</v>
      </c>
      <c r="BC48" s="93">
        <f t="shared" si="19"/>
        <v>20</v>
      </c>
      <c r="BD48" s="90">
        <f t="shared" si="20"/>
        <v>0.95</v>
      </c>
      <c r="BE48" s="42">
        <f>IF($C48="&lt;01",ROUND(INDEX(EID!$V:$V,MATCH($B48,EID!$B:$B,0))/2,0),ROUND($BD48*$BB48,0))</f>
        <v>19</v>
      </c>
      <c r="BF48" s="42">
        <f t="shared" si="21"/>
        <v>19</v>
      </c>
      <c r="BG48" s="116">
        <f t="shared" si="22"/>
        <v>0.95</v>
      </c>
      <c r="BH48" s="9">
        <f>IF($C48="&lt;01",ROUND(INDEX(EID!$L:$L,MATCH($B48,EID!$B:$B,0)),0)/2,IF(SUM($BG48)=0,"",ROUND($AX48/$BG48,0)))</f>
        <v>-74</v>
      </c>
    </row>
    <row r="49" spans="1:60" x14ac:dyDescent="0.2">
      <c r="A49" t="str">
        <f>INDEX(Prioritization!$D:$D,MATCH($B49,Prioritization!$A:$A,0))</f>
        <v>1 - Scale-up: Saturation</v>
      </c>
      <c r="B49" t="s">
        <v>195</v>
      </c>
      <c r="C49" t="s">
        <v>364</v>
      </c>
      <c r="D49" t="s">
        <v>29</v>
      </c>
      <c r="E49" t="str">
        <f t="shared" si="0"/>
        <v>Dowa District [zphK9WV8JB4]|15-24|Female</v>
      </c>
      <c r="F49" s="14"/>
      <c r="G49" s="14"/>
      <c r="H49" s="14"/>
      <c r="I49" s="14"/>
      <c r="J49" s="14"/>
      <c r="K49" s="14"/>
      <c r="L49" s="14"/>
      <c r="M49" s="14"/>
      <c r="N49" s="14"/>
      <c r="O49" s="14" t="str">
        <f t="shared" si="1"/>
        <v/>
      </c>
      <c r="P49" s="14"/>
      <c r="Q49" s="14"/>
      <c r="R49" s="14" t="str">
        <f t="shared" si="2"/>
        <v/>
      </c>
      <c r="S49" s="14">
        <f>IF(LEFT($B49,4)="_Mil","",_xlfn.IFNA(ROUND(INDEX(Spectrum!$N:$N,MATCH(RIGHT($B49,13)&amp;"|"&amp;$C49&amp;"|"&amp;$D49&amp;"|"&amp;S$14&amp;"|"&amp;"CY2022Q4",Spectrum!$R:$R,0)),0),""))</f>
        <v>1050</v>
      </c>
      <c r="T49" s="42">
        <f>IF(LEFT($B49,4)="_Mil","",_xlfn.IFNA(ROUND(INDEX(Spectrum!$N:$N,MATCH(RIGHT($B49,13)&amp;"|"&amp;$C49&amp;"|"&amp;$D49&amp;"|"&amp;T$14&amp;"|"&amp;"CY2023Q3",Spectrum!$R:$R,0)),0),""))</f>
        <v>924</v>
      </c>
      <c r="U49" s="42" t="str">
        <f>IF(LEFT($B49,4)="_Mil","",_xlfn.IFNA(ROUND(INDEX(Spectrum!$N:$N,MATCH(RIGHT($B49,13)&amp;"|"&amp;$C49&amp;"|"&amp;$D49&amp;"|"&amp;U$14&amp;"|"&amp;"CY2023Q3",Spectrum!$R:$R,0)),0),""))</f>
        <v/>
      </c>
      <c r="V49" s="14">
        <f>IF(LEFT($B49,4)="_Mil","",_xlfn.IFNA(ROUND(INDEX(Spectrum!$N:$N,MATCH(RIGHT($B49,13)&amp;"|"&amp;$C49&amp;"|"&amp;$D49&amp;"|"&amp;V$14&amp;"|"&amp;"CY2023Q3",Spectrum!$R:$R,0)),0),""))</f>
        <v>1048</v>
      </c>
      <c r="W49" s="115">
        <f>IF(LEFT($B49,4)="_Mil","",_xlfn.IFNA(INDEX(Spectrum!$N:$N,MATCH(RIGHT($B49,13)&amp;"|"&amp;$C49&amp;"|"&amp;$D49&amp;"|"&amp;W$14&amp;"|"&amp;"CY2023Q3",Spectrum!$R:$R,0)),""))</f>
        <v>1645</v>
      </c>
      <c r="X49" s="42">
        <f>IF(LEFT($B49,4)="_Mil","",_xlfn.IFNA(ROUND(INDEX(Spectrum!$N:$N,MATCH(RIGHT($B49,13)&amp;"|"&amp;$C49&amp;"|"&amp;$D49&amp;"|"&amp;X$14&amp;"|"&amp;"CY2023Q3",Spectrum!$R:$R,0)),0),""))</f>
        <v>1007</v>
      </c>
      <c r="Y49" s="90" t="str">
        <f t="shared" si="3"/>
        <v/>
      </c>
      <c r="Z49" s="42">
        <f>IF(LEFT($B49,4)="_Mil","",_xlfn.IFNA(ROUND(INDEX(Spectrum!$N:$N,MATCH(RIGHT($B49,13)&amp;"|"&amp;$C49&amp;"|"&amp;$D49&amp;"|"&amp;Z$14&amp;"|"&amp;"CY2023Q3",Spectrum!$R:$R,0)),0),""))</f>
        <v>1168</v>
      </c>
      <c r="AA49" s="90">
        <f>IF(LEFT($B49,4)="_Mil","",IFERROR(1/(1/INDEX(Spectrum!$N:$N,MATCH(RIGHT($B49,13)&amp;"|"&amp;$C49&amp;"|"&amp;$D49&amp;"|"&amp;AA$14&amp;"|"&amp;"CY2023Q3",Spectrum!$R:$R,0))),IF(SUM($U49)=0,"",SUM($Z49)/$U49)))</f>
        <v>1568.0000000000002</v>
      </c>
      <c r="AB49" s="90">
        <f t="shared" si="4"/>
        <v>1.159880834160874</v>
      </c>
      <c r="AC49" s="14">
        <f>IF(LEFT($B49,4)="_Mil","",_xlfn.IFNA(ROUND(INDEX(Spectrum!$N:$N,MATCH(RIGHT($B49,13)&amp;"|"&amp;$C49&amp;"|"&amp;$D49&amp;"|"&amp;AC$14&amp;"|"&amp;"CY2023Q3",Spectrum!$R:$R,0)),0),""))</f>
        <v>1155</v>
      </c>
      <c r="AD49" s="14" t="str">
        <f>IF(LEFT($B49,4)="_Mil","",_xlfn.IFNA(ROUND(INDEX(Spectrum!$N:$N,MATCH(RIGHT($B49,13)&amp;"|"&amp;$C49&amp;"|"&amp;$D49&amp;"|"&amp;AD$14&amp;"|"&amp;"CY2023Q3",Spectrum!$R:$R,0)),0),""))</f>
        <v/>
      </c>
      <c r="AE49" s="90">
        <f t="shared" si="5"/>
        <v>0</v>
      </c>
      <c r="AF49" s="42" t="str">
        <f>IF(LEFT($B49,4)="_Mil","",_xlfn.IFNA(ROUND(INDEX(Spectrum!$N:$N,MATCH(RIGHT($B49,13)&amp;"|"&amp;$C49&amp;"|"&amp;$D49&amp;"|"&amp;AF$14&amp;"|"&amp;"CY2023Q3",Spectrum!$R:$R,0)),0),""))</f>
        <v/>
      </c>
      <c r="AG49" s="90" t="str">
        <f t="shared" si="6"/>
        <v/>
      </c>
      <c r="AH49" s="88" t="str">
        <f>IF(LEFT($B49,4)="_Mil","",_xlfn.IFNA(INDEX(Spectrum!$N:$N,MATCH(RIGHT($B49,13)&amp;"|"&amp;$C49&amp;"|"&amp;$D49&amp;"|"&amp;AH$14&amp;"|"&amp;"CY2023Q3",Spectrum!$R:$R,0)),""))</f>
        <v/>
      </c>
      <c r="AI49" s="14" t="str">
        <f>IF(LEFT($B49,4)="_Mil","",_xlfn.IFNA(ROUND(INDEX(Spectrum!$N:$N,MATCH(RIGHT($B49,13)&amp;"|"&amp;$C49&amp;"|"&amp;$D49&amp;"|"&amp;AI$14&amp;"|"&amp;"CY2023Q3",Spectrum!$R:$R,0)),0),""))</f>
        <v/>
      </c>
      <c r="AJ49" s="42">
        <f>IF(LEFT($B49,4)="_Mil","",_xlfn.IFNA(ROUND(INDEX(Spectrum!$N:$N,MATCH(RIGHT($B49,13)&amp;"|"&amp;$C49&amp;"|"&amp;$D49&amp;"|"&amp;AI$14&amp;"|"&amp;"CY2023Q3",Spectrum!$R:$R,0)),0),SUM($U49)+SUM($AI49)))</f>
        <v>0</v>
      </c>
      <c r="AK49" s="14" t="str">
        <f>IF(LEFT($B49,4)="_Mil","",_xlfn.IFNA(ROUND(INDEX(Spectrum!$N:$N,MATCH(RIGHT($B49,13)&amp;"|"&amp;$C49&amp;"|"&amp;$D49&amp;"|"&amp;AK$14&amp;"|"&amp;"CY2023Q3",Spectrum!$R:$R,0)),0),""))</f>
        <v/>
      </c>
      <c r="AL49" s="90">
        <f t="shared" si="7"/>
        <v>1568.0000000000002</v>
      </c>
      <c r="AM49" s="14">
        <f t="shared" si="8"/>
        <v>0</v>
      </c>
      <c r="AN49" s="14" t="str">
        <f>IF($C49="&lt;01",ROUND(INDEX(EID!$P:$P,MATCH($B49,EID!$B:$B,0))/2,0),"")</f>
        <v/>
      </c>
      <c r="AO49" s="14">
        <f t="shared" si="9"/>
        <v>0</v>
      </c>
      <c r="AP49" s="42">
        <f t="shared" si="10"/>
        <v>0</v>
      </c>
      <c r="AQ49" s="42">
        <f t="shared" si="11"/>
        <v>1168</v>
      </c>
      <c r="AR49" s="90" t="str">
        <f t="shared" si="12"/>
        <v/>
      </c>
      <c r="AS49" s="90">
        <f t="shared" si="23"/>
        <v>0.98</v>
      </c>
      <c r="AT49" s="90">
        <f t="shared" si="23"/>
        <v>0.98</v>
      </c>
      <c r="AU49" s="14">
        <f t="shared" si="14"/>
        <v>0</v>
      </c>
      <c r="AV49" s="14">
        <f>IF($C49="&lt;01",ROUND(INDEX(EID!$N:$N,MATCH($B49,EID!$B:$B,0))/2,0),IF(SUM($AT49)=0,"",ROUND((SUM($AP49)-(SUM($O49)*SUM($AS49)))/$AT49,0)))</f>
        <v>0</v>
      </c>
      <c r="AW49" s="90">
        <f t="shared" si="15"/>
        <v>1</v>
      </c>
      <c r="AX49" s="42">
        <f t="shared" si="16"/>
        <v>0</v>
      </c>
      <c r="AY49" s="116">
        <f t="shared" si="17"/>
        <v>0.7</v>
      </c>
      <c r="AZ49" s="93">
        <f>IF($C49="&lt;01",ROUND(INDEX(EID!$R:$R,MATCH($B49,EID!$B:$B,0))/2,0),ROUND(SUM($O49)+(SUM($AV49)*$AY49),0))</f>
        <v>0</v>
      </c>
      <c r="BA49" s="89">
        <f t="shared" si="18"/>
        <v>0.95</v>
      </c>
      <c r="BB49" s="9">
        <f>IF($C49="&lt;01",ROUND(INDEX(EID!$T:$T,MATCH($B49,EID!$B:$B,0))/2,0),ROUND($AZ49*$BA49,0))</f>
        <v>0</v>
      </c>
      <c r="BC49" s="93">
        <f t="shared" si="19"/>
        <v>0</v>
      </c>
      <c r="BD49" s="90">
        <f t="shared" si="20"/>
        <v>0.95</v>
      </c>
      <c r="BE49" s="42">
        <f>IF($C49="&lt;01",ROUND(INDEX(EID!$V:$V,MATCH($B49,EID!$B:$B,0))/2,0),ROUND($BD49*$BB49,0))</f>
        <v>0</v>
      </c>
      <c r="BF49" s="42">
        <f t="shared" si="21"/>
        <v>0</v>
      </c>
      <c r="BG49" s="116">
        <f t="shared" si="22"/>
        <v>0.95</v>
      </c>
      <c r="BH49" s="9">
        <f>IF($C49="&lt;01",ROUND(INDEX(EID!$L:$L,MATCH($B49,EID!$B:$B,0)),0)/2,IF(SUM($BG49)=0,"",ROUND($AX49/$BG49,0)))</f>
        <v>0</v>
      </c>
    </row>
    <row r="50" spans="1:60" x14ac:dyDescent="0.2">
      <c r="A50" t="str">
        <f>INDEX(Prioritization!$D:$D,MATCH($B50,Prioritization!$A:$A,0))</f>
        <v>1 - Scale-up: Saturation</v>
      </c>
      <c r="B50" t="s">
        <v>195</v>
      </c>
      <c r="C50" t="s">
        <v>364</v>
      </c>
      <c r="D50" t="s">
        <v>47</v>
      </c>
      <c r="E50" t="str">
        <f t="shared" si="0"/>
        <v>Dowa District [zphK9WV8JB4]|15-24|Male</v>
      </c>
      <c r="F50" s="14"/>
      <c r="G50" s="14"/>
      <c r="H50" s="14"/>
      <c r="I50" s="14"/>
      <c r="J50" s="14"/>
      <c r="K50" s="14"/>
      <c r="L50" s="14"/>
      <c r="M50" s="14"/>
      <c r="N50" s="14"/>
      <c r="O50" s="14" t="str">
        <f t="shared" si="1"/>
        <v/>
      </c>
      <c r="P50" s="14"/>
      <c r="Q50" s="14"/>
      <c r="R50" s="14" t="str">
        <f t="shared" si="2"/>
        <v/>
      </c>
      <c r="S50" s="14">
        <f>IF(LEFT($B50,4)="_Mil","",_xlfn.IFNA(ROUND(INDEX(Spectrum!$N:$N,MATCH(RIGHT($B50,13)&amp;"|"&amp;$C50&amp;"|"&amp;$D50&amp;"|"&amp;S$14&amp;"|"&amp;"CY2022Q4",Spectrum!$R:$R,0)),0),""))</f>
        <v>1043</v>
      </c>
      <c r="T50" s="42">
        <f>IF(LEFT($B50,4)="_Mil","",_xlfn.IFNA(ROUND(INDEX(Spectrum!$N:$N,MATCH(RIGHT($B50,13)&amp;"|"&amp;$C50&amp;"|"&amp;$D50&amp;"|"&amp;T$14&amp;"|"&amp;"CY2023Q3",Spectrum!$R:$R,0)),0),""))</f>
        <v>1452</v>
      </c>
      <c r="U50" s="42" t="str">
        <f>IF(LEFT($B50,4)="_Mil","",_xlfn.IFNA(ROUND(INDEX(Spectrum!$N:$N,MATCH(RIGHT($B50,13)&amp;"|"&amp;$C50&amp;"|"&amp;$D50&amp;"|"&amp;U$14&amp;"|"&amp;"CY2023Q3",Spectrum!$R:$R,0)),0),""))</f>
        <v/>
      </c>
      <c r="V50" s="14">
        <f>IF(LEFT($B50,4)="_Mil","",_xlfn.IFNA(ROUND(INDEX(Spectrum!$N:$N,MATCH(RIGHT($B50,13)&amp;"|"&amp;$C50&amp;"|"&amp;$D50&amp;"|"&amp;V$14&amp;"|"&amp;"CY2023Q3",Spectrum!$R:$R,0)),0),""))</f>
        <v>857</v>
      </c>
      <c r="W50" s="115">
        <f>IF(LEFT($B50,4)="_Mil","",_xlfn.IFNA(INDEX(Spectrum!$N:$N,MATCH(RIGHT($B50,13)&amp;"|"&amp;$C50&amp;"|"&amp;$D50&amp;"|"&amp;W$14&amp;"|"&amp;"CY2023Q3",Spectrum!$R:$R,0)),""))</f>
        <v>988</v>
      </c>
      <c r="X50" s="42">
        <f>IF(LEFT($B50,4)="_Mil","",_xlfn.IFNA(ROUND(INDEX(Spectrum!$N:$N,MATCH(RIGHT($B50,13)&amp;"|"&amp;$C50&amp;"|"&amp;$D50&amp;"|"&amp;X$14&amp;"|"&amp;"CY2023Q3",Spectrum!$R:$R,0)),0),""))</f>
        <v>618</v>
      </c>
      <c r="Y50" s="90" t="str">
        <f t="shared" si="3"/>
        <v/>
      </c>
      <c r="Z50" s="42">
        <f>IF(LEFT($B50,4)="_Mil","",_xlfn.IFNA(ROUND(INDEX(Spectrum!$N:$N,MATCH(RIGHT($B50,13)&amp;"|"&amp;$C50&amp;"|"&amp;$D50&amp;"|"&amp;Z$14&amp;"|"&amp;"CY2023Q3",Spectrum!$R:$R,0)),0),""))</f>
        <v>1932</v>
      </c>
      <c r="AA50" s="90">
        <f>IF(LEFT($B50,4)="_Mil","",IFERROR(1/(1/INDEX(Spectrum!$N:$N,MATCH(RIGHT($B50,13)&amp;"|"&amp;$C50&amp;"|"&amp;$D50&amp;"|"&amp;AA$14&amp;"|"&amp;"CY2023Q3",Spectrum!$R:$R,0))),IF(SUM($U50)=0,"",SUM($Z50)/$U50)))</f>
        <v>1202</v>
      </c>
      <c r="AB50" s="90">
        <f t="shared" si="4"/>
        <v>3.1262135922330097</v>
      </c>
      <c r="AC50" s="14">
        <f>IF(LEFT($B50,4)="_Mil","",_xlfn.IFNA(ROUND(INDEX(Spectrum!$N:$N,MATCH(RIGHT($B50,13)&amp;"|"&amp;$C50&amp;"|"&amp;$D50&amp;"|"&amp;AC$14&amp;"|"&amp;"CY2023Q3",Spectrum!$R:$R,0)),0),""))</f>
        <v>2000</v>
      </c>
      <c r="AD50" s="14" t="str">
        <f>IF(LEFT($B50,4)="_Mil","",_xlfn.IFNA(ROUND(INDEX(Spectrum!$N:$N,MATCH(RIGHT($B50,13)&amp;"|"&amp;$C50&amp;"|"&amp;$D50&amp;"|"&amp;AD$14&amp;"|"&amp;"CY2023Q3",Spectrum!$R:$R,0)),0),""))</f>
        <v/>
      </c>
      <c r="AE50" s="90">
        <f t="shared" si="5"/>
        <v>0</v>
      </c>
      <c r="AF50" s="42" t="str">
        <f>IF(LEFT($B50,4)="_Mil","",_xlfn.IFNA(ROUND(INDEX(Spectrum!$N:$N,MATCH(RIGHT($B50,13)&amp;"|"&amp;$C50&amp;"|"&amp;$D50&amp;"|"&amp;AF$14&amp;"|"&amp;"CY2023Q3",Spectrum!$R:$R,0)),0),""))</f>
        <v/>
      </c>
      <c r="AG50" s="90" t="str">
        <f t="shared" si="6"/>
        <v/>
      </c>
      <c r="AH50" s="88" t="str">
        <f>IF(LEFT($B50,4)="_Mil","",_xlfn.IFNA(INDEX(Spectrum!$N:$N,MATCH(RIGHT($B50,13)&amp;"|"&amp;$C50&amp;"|"&amp;$D50&amp;"|"&amp;AH$14&amp;"|"&amp;"CY2023Q3",Spectrum!$R:$R,0)),""))</f>
        <v/>
      </c>
      <c r="AI50" s="14" t="str">
        <f>IF(LEFT($B50,4)="_Mil","",_xlfn.IFNA(ROUND(INDEX(Spectrum!$N:$N,MATCH(RIGHT($B50,13)&amp;"|"&amp;$C50&amp;"|"&amp;$D50&amp;"|"&amp;AI$14&amp;"|"&amp;"CY2023Q3",Spectrum!$R:$R,0)),0),""))</f>
        <v/>
      </c>
      <c r="AJ50" s="42">
        <f>IF(LEFT($B50,4)="_Mil","",_xlfn.IFNA(ROUND(INDEX(Spectrum!$N:$N,MATCH(RIGHT($B50,13)&amp;"|"&amp;$C50&amp;"|"&amp;$D50&amp;"|"&amp;AI$14&amp;"|"&amp;"CY2023Q3",Spectrum!$R:$R,0)),0),SUM($U50)+SUM($AI50)))</f>
        <v>0</v>
      </c>
      <c r="AK50" s="14" t="str">
        <f>IF(LEFT($B50,4)="_Mil","",_xlfn.IFNA(ROUND(INDEX(Spectrum!$N:$N,MATCH(RIGHT($B50,13)&amp;"|"&amp;$C50&amp;"|"&amp;$D50&amp;"|"&amp;AK$14&amp;"|"&amp;"CY2023Q3",Spectrum!$R:$R,0)),0),""))</f>
        <v/>
      </c>
      <c r="AL50" s="90">
        <f t="shared" si="7"/>
        <v>1202</v>
      </c>
      <c r="AM50" s="14">
        <f t="shared" si="8"/>
        <v>0</v>
      </c>
      <c r="AN50" s="14" t="str">
        <f>IF($C50="&lt;01",ROUND(INDEX(EID!$P:$P,MATCH($B50,EID!$B:$B,0))/2,0),"")</f>
        <v/>
      </c>
      <c r="AO50" s="14">
        <f t="shared" si="9"/>
        <v>0</v>
      </c>
      <c r="AP50" s="42">
        <f t="shared" si="10"/>
        <v>0</v>
      </c>
      <c r="AQ50" s="42">
        <f t="shared" si="11"/>
        <v>1932</v>
      </c>
      <c r="AR50" s="90" t="str">
        <f t="shared" si="12"/>
        <v/>
      </c>
      <c r="AS50" s="90">
        <f t="shared" si="23"/>
        <v>0.98</v>
      </c>
      <c r="AT50" s="90">
        <f t="shared" si="23"/>
        <v>0.98</v>
      </c>
      <c r="AU50" s="14">
        <f t="shared" si="14"/>
        <v>0</v>
      </c>
      <c r="AV50" s="14">
        <f>IF($C50="&lt;01",ROUND(INDEX(EID!$N:$N,MATCH($B50,EID!$B:$B,0))/2,0),IF(SUM($AT50)=0,"",ROUND((SUM($AP50)-(SUM($O50)*SUM($AS50)))/$AT50,0)))</f>
        <v>0</v>
      </c>
      <c r="AW50" s="90">
        <f t="shared" si="15"/>
        <v>1</v>
      </c>
      <c r="AX50" s="42">
        <f t="shared" si="16"/>
        <v>0</v>
      </c>
      <c r="AY50" s="116">
        <f t="shared" si="17"/>
        <v>0.7</v>
      </c>
      <c r="AZ50" s="93">
        <f>IF($C50="&lt;01",ROUND(INDEX(EID!$R:$R,MATCH($B50,EID!$B:$B,0))/2,0),ROUND(SUM($O50)+(SUM($AV50)*$AY50),0))</f>
        <v>0</v>
      </c>
      <c r="BA50" s="89">
        <f t="shared" si="18"/>
        <v>0.95</v>
      </c>
      <c r="BB50" s="9">
        <f>IF($C50="&lt;01",ROUND(INDEX(EID!$T:$T,MATCH($B50,EID!$B:$B,0))/2,0),ROUND($AZ50*$BA50,0))</f>
        <v>0</v>
      </c>
      <c r="BC50" s="93">
        <f t="shared" si="19"/>
        <v>0</v>
      </c>
      <c r="BD50" s="90">
        <f t="shared" si="20"/>
        <v>0.95</v>
      </c>
      <c r="BE50" s="42">
        <f>IF($C50="&lt;01",ROUND(INDEX(EID!$V:$V,MATCH($B50,EID!$B:$B,0))/2,0),ROUND($BD50*$BB50,0))</f>
        <v>0</v>
      </c>
      <c r="BF50" s="42">
        <f t="shared" si="21"/>
        <v>0</v>
      </c>
      <c r="BG50" s="116">
        <f t="shared" si="22"/>
        <v>0.95</v>
      </c>
      <c r="BH50" s="9">
        <f>IF($C50="&lt;01",ROUND(INDEX(EID!$L:$L,MATCH($B50,EID!$B:$B,0)),0)/2,IF(SUM($BG50)=0,"",ROUND($AX50/$BG50,0)))</f>
        <v>0</v>
      </c>
    </row>
    <row r="51" spans="1:60" x14ac:dyDescent="0.2">
      <c r="A51" t="str">
        <f>INDEX(Prioritization!$D:$D,MATCH($B51,Prioritization!$A:$A,0))</f>
        <v>1 - Scale-up: Saturation</v>
      </c>
      <c r="B51" t="s">
        <v>195</v>
      </c>
      <c r="C51" t="s">
        <v>365</v>
      </c>
      <c r="D51" t="s">
        <v>29</v>
      </c>
      <c r="E51" t="str">
        <f t="shared" si="0"/>
        <v>Dowa District [zphK9WV8JB4]|25-34|Female</v>
      </c>
      <c r="F51" s="14"/>
      <c r="G51" s="14"/>
      <c r="H51" s="14"/>
      <c r="I51" s="14"/>
      <c r="J51" s="14"/>
      <c r="K51" s="14"/>
      <c r="L51" s="14"/>
      <c r="M51" s="14"/>
      <c r="N51" s="14"/>
      <c r="O51" s="14" t="str">
        <f t="shared" si="1"/>
        <v/>
      </c>
      <c r="P51" s="14"/>
      <c r="Q51" s="14"/>
      <c r="R51" s="14" t="str">
        <f t="shared" si="2"/>
        <v/>
      </c>
      <c r="S51" s="14">
        <f>IF(LEFT($B51,4)="_Mil","",_xlfn.IFNA(ROUND(INDEX(Spectrum!$N:$N,MATCH(RIGHT($B51,13)&amp;"|"&amp;$C51&amp;"|"&amp;$D51&amp;"|"&amp;S$14&amp;"|"&amp;"CY2022Q4",Spectrum!$R:$R,0)),0),""))</f>
        <v>1198</v>
      </c>
      <c r="T51" s="42">
        <f>IF(LEFT($B51,4)="_Mil","",_xlfn.IFNA(ROUND(INDEX(Spectrum!$N:$N,MATCH(RIGHT($B51,13)&amp;"|"&amp;$C51&amp;"|"&amp;$D51&amp;"|"&amp;T$14&amp;"|"&amp;"CY2023Q3",Spectrum!$R:$R,0)),0),""))</f>
        <v>1916</v>
      </c>
      <c r="U51" s="42" t="str">
        <f>IF(LEFT($B51,4)="_Mil","",_xlfn.IFNA(ROUND(INDEX(Spectrum!$N:$N,MATCH(RIGHT($B51,13)&amp;"|"&amp;$C51&amp;"|"&amp;$D51&amp;"|"&amp;U$14&amp;"|"&amp;"CY2023Q3",Spectrum!$R:$R,0)),0),""))</f>
        <v/>
      </c>
      <c r="V51" s="14">
        <f>IF(LEFT($B51,4)="_Mil","",_xlfn.IFNA(ROUND(INDEX(Spectrum!$N:$N,MATCH(RIGHT($B51,13)&amp;"|"&amp;$C51&amp;"|"&amp;$D51&amp;"|"&amp;V$14&amp;"|"&amp;"CY2023Q3",Spectrum!$R:$R,0)),0),""))</f>
        <v>906</v>
      </c>
      <c r="W51" s="115">
        <f>IF(LEFT($B51,4)="_Mil","",_xlfn.IFNA(INDEX(Spectrum!$N:$N,MATCH(RIGHT($B51,13)&amp;"|"&amp;$C51&amp;"|"&amp;$D51&amp;"|"&amp;W$14&amp;"|"&amp;"CY2023Q3",Spectrum!$R:$R,0)),""))</f>
        <v>1117</v>
      </c>
      <c r="X51" s="42">
        <f>IF(LEFT($B51,4)="_Mil","",_xlfn.IFNA(ROUND(INDEX(Spectrum!$N:$N,MATCH(RIGHT($B51,13)&amp;"|"&amp;$C51&amp;"|"&amp;$D51&amp;"|"&amp;X$14&amp;"|"&amp;"CY2023Q3",Spectrum!$R:$R,0)),0),""))</f>
        <v>989</v>
      </c>
      <c r="Y51" s="90" t="str">
        <f t="shared" si="3"/>
        <v/>
      </c>
      <c r="Z51" s="42">
        <f>IF(LEFT($B51,4)="_Mil","",_xlfn.IFNA(ROUND(INDEX(Spectrum!$N:$N,MATCH(RIGHT($B51,13)&amp;"|"&amp;$C51&amp;"|"&amp;$D51&amp;"|"&amp;Z$14&amp;"|"&amp;"CY2023Q3",Spectrum!$R:$R,0)),0),""))</f>
        <v>1240</v>
      </c>
      <c r="AA51" s="90">
        <f>IF(LEFT($B51,4)="_Mil","",IFERROR(1/(1/INDEX(Spectrum!$N:$N,MATCH(RIGHT($B51,13)&amp;"|"&amp;$C51&amp;"|"&amp;$D51&amp;"|"&amp;AA$14&amp;"|"&amp;"CY2023Q3",Spectrum!$R:$R,0))),IF(SUM($U51)=0,"",SUM($Z51)/$U51)))</f>
        <v>1569</v>
      </c>
      <c r="AB51" s="90">
        <f t="shared" si="4"/>
        <v>1.2537917087967645</v>
      </c>
      <c r="AC51" s="14">
        <f>IF(LEFT($B51,4)="_Mil","",_xlfn.IFNA(ROUND(INDEX(Spectrum!$N:$N,MATCH(RIGHT($B51,13)&amp;"|"&amp;$C51&amp;"|"&amp;$D51&amp;"|"&amp;AC$14&amp;"|"&amp;"CY2023Q3",Spectrum!$R:$R,0)),0),""))</f>
        <v>600</v>
      </c>
      <c r="AD51" s="14" t="str">
        <f>IF(LEFT($B51,4)="_Mil","",_xlfn.IFNA(ROUND(INDEX(Spectrum!$N:$N,MATCH(RIGHT($B51,13)&amp;"|"&amp;$C51&amp;"|"&amp;$D51&amp;"|"&amp;AD$14&amp;"|"&amp;"CY2023Q3",Spectrum!$R:$R,0)),0),""))</f>
        <v/>
      </c>
      <c r="AE51" s="90">
        <f t="shared" si="5"/>
        <v>0</v>
      </c>
      <c r="AF51" s="42" t="str">
        <f>IF(LEFT($B51,4)="_Mil","",_xlfn.IFNA(ROUND(INDEX(Spectrum!$N:$N,MATCH(RIGHT($B51,13)&amp;"|"&amp;$C51&amp;"|"&amp;$D51&amp;"|"&amp;AF$14&amp;"|"&amp;"CY2023Q3",Spectrum!$R:$R,0)),0),""))</f>
        <v/>
      </c>
      <c r="AG51" s="90" t="str">
        <f t="shared" si="6"/>
        <v/>
      </c>
      <c r="AH51" s="88" t="str">
        <f>IF(LEFT($B51,4)="_Mil","",_xlfn.IFNA(INDEX(Spectrum!$N:$N,MATCH(RIGHT($B51,13)&amp;"|"&amp;$C51&amp;"|"&amp;$D51&amp;"|"&amp;AH$14&amp;"|"&amp;"CY2023Q3",Spectrum!$R:$R,0)),""))</f>
        <v/>
      </c>
      <c r="AI51" s="14" t="str">
        <f>IF(LEFT($B51,4)="_Mil","",_xlfn.IFNA(ROUND(INDEX(Spectrum!$N:$N,MATCH(RIGHT($B51,13)&amp;"|"&amp;$C51&amp;"|"&amp;$D51&amp;"|"&amp;AI$14&amp;"|"&amp;"CY2023Q3",Spectrum!$R:$R,0)),0),""))</f>
        <v/>
      </c>
      <c r="AJ51" s="42">
        <f>IF(LEFT($B51,4)="_Mil","",_xlfn.IFNA(ROUND(INDEX(Spectrum!$N:$N,MATCH(RIGHT($B51,13)&amp;"|"&amp;$C51&amp;"|"&amp;$D51&amp;"|"&amp;AI$14&amp;"|"&amp;"CY2023Q3",Spectrum!$R:$R,0)),0),SUM($U51)+SUM($AI51)))</f>
        <v>0</v>
      </c>
      <c r="AK51" s="14" t="str">
        <f>IF(LEFT($B51,4)="_Mil","",_xlfn.IFNA(ROUND(INDEX(Spectrum!$N:$N,MATCH(RIGHT($B51,13)&amp;"|"&amp;$C51&amp;"|"&amp;$D51&amp;"|"&amp;AK$14&amp;"|"&amp;"CY2023Q3",Spectrum!$R:$R,0)),0),""))</f>
        <v/>
      </c>
      <c r="AL51" s="90">
        <f t="shared" si="7"/>
        <v>1569</v>
      </c>
      <c r="AM51" s="14">
        <f t="shared" si="8"/>
        <v>0</v>
      </c>
      <c r="AN51" s="14" t="str">
        <f>IF($C51="&lt;01",ROUND(INDEX(EID!$P:$P,MATCH($B51,EID!$B:$B,0))/2,0),"")</f>
        <v/>
      </c>
      <c r="AO51" s="14">
        <f t="shared" si="9"/>
        <v>0</v>
      </c>
      <c r="AP51" s="42">
        <f t="shared" si="10"/>
        <v>0</v>
      </c>
      <c r="AQ51" s="42">
        <f t="shared" si="11"/>
        <v>1240</v>
      </c>
      <c r="AR51" s="90" t="str">
        <f t="shared" si="12"/>
        <v/>
      </c>
      <c r="AS51" s="90">
        <f t="shared" si="23"/>
        <v>0.98</v>
      </c>
      <c r="AT51" s="90">
        <f t="shared" si="23"/>
        <v>0.98</v>
      </c>
      <c r="AU51" s="14">
        <f t="shared" si="14"/>
        <v>0</v>
      </c>
      <c r="AV51" s="14">
        <f>IF($C51="&lt;01",ROUND(INDEX(EID!$N:$N,MATCH($B51,EID!$B:$B,0))/2,0),IF(SUM($AT51)=0,"",ROUND((SUM($AP51)-(SUM($O51)*SUM($AS51)))/$AT51,0)))</f>
        <v>0</v>
      </c>
      <c r="AW51" s="90">
        <f t="shared" si="15"/>
        <v>1</v>
      </c>
      <c r="AX51" s="42">
        <f t="shared" si="16"/>
        <v>0</v>
      </c>
      <c r="AY51" s="116">
        <f t="shared" si="17"/>
        <v>0.7</v>
      </c>
      <c r="AZ51" s="93">
        <f>IF($C51="&lt;01",ROUND(INDEX(EID!$R:$R,MATCH($B51,EID!$B:$B,0))/2,0),ROUND(SUM($O51)+(SUM($AV51)*$AY51),0))</f>
        <v>0</v>
      </c>
      <c r="BA51" s="89">
        <f t="shared" si="18"/>
        <v>0.95</v>
      </c>
      <c r="BB51" s="9">
        <f>IF($C51="&lt;01",ROUND(INDEX(EID!$T:$T,MATCH($B51,EID!$B:$B,0))/2,0),ROUND($AZ51*$BA51,0))</f>
        <v>0</v>
      </c>
      <c r="BC51" s="93">
        <f t="shared" si="19"/>
        <v>0</v>
      </c>
      <c r="BD51" s="90">
        <f t="shared" si="20"/>
        <v>0.95</v>
      </c>
      <c r="BE51" s="42">
        <f>IF($C51="&lt;01",ROUND(INDEX(EID!$V:$V,MATCH($B51,EID!$B:$B,0))/2,0),ROUND($BD51*$BB51,0))</f>
        <v>0</v>
      </c>
      <c r="BF51" s="42">
        <f t="shared" si="21"/>
        <v>0</v>
      </c>
      <c r="BG51" s="116">
        <f t="shared" si="22"/>
        <v>0.95</v>
      </c>
      <c r="BH51" s="9">
        <f>IF($C51="&lt;01",ROUND(INDEX(EID!$L:$L,MATCH($B51,EID!$B:$B,0)),0)/2,IF(SUM($BG51)=0,"",ROUND($AX51/$BG51,0)))</f>
        <v>0</v>
      </c>
    </row>
    <row r="52" spans="1:60" x14ac:dyDescent="0.2">
      <c r="A52" t="str">
        <f>INDEX(Prioritization!$D:$D,MATCH($B52,Prioritization!$A:$A,0))</f>
        <v>1 - Scale-up: Saturation</v>
      </c>
      <c r="B52" t="s">
        <v>195</v>
      </c>
      <c r="C52" t="s">
        <v>365</v>
      </c>
      <c r="D52" t="s">
        <v>47</v>
      </c>
      <c r="E52" t="str">
        <f t="shared" si="0"/>
        <v>Dowa District [zphK9WV8JB4]|25-34|Male</v>
      </c>
      <c r="F52" s="14"/>
      <c r="G52" s="14"/>
      <c r="H52" s="14"/>
      <c r="I52" s="14"/>
      <c r="J52" s="14"/>
      <c r="K52" s="14"/>
      <c r="L52" s="14"/>
      <c r="M52" s="14"/>
      <c r="N52" s="14"/>
      <c r="O52" s="14" t="str">
        <f t="shared" si="1"/>
        <v/>
      </c>
      <c r="P52" s="14"/>
      <c r="Q52" s="14"/>
      <c r="R52" s="14" t="str">
        <f t="shared" si="2"/>
        <v/>
      </c>
      <c r="S52" s="14">
        <f>IF(LEFT($B52,4)="_Mil","",_xlfn.IFNA(ROUND(INDEX(Spectrum!$N:$N,MATCH(RIGHT($B52,13)&amp;"|"&amp;$C52&amp;"|"&amp;$D52&amp;"|"&amp;S$14&amp;"|"&amp;"CY2022Q4",Spectrum!$R:$R,0)),0),""))</f>
        <v>1026</v>
      </c>
      <c r="T52" s="42">
        <f>IF(LEFT($B52,4)="_Mil","",_xlfn.IFNA(ROUND(INDEX(Spectrum!$N:$N,MATCH(RIGHT($B52,13)&amp;"|"&amp;$C52&amp;"|"&amp;$D52&amp;"|"&amp;T$14&amp;"|"&amp;"CY2023Q3",Spectrum!$R:$R,0)),0),""))</f>
        <v>902</v>
      </c>
      <c r="U52" s="42" t="str">
        <f>IF(LEFT($B52,4)="_Mil","",_xlfn.IFNA(ROUND(INDEX(Spectrum!$N:$N,MATCH(RIGHT($B52,13)&amp;"|"&amp;$C52&amp;"|"&amp;$D52&amp;"|"&amp;U$14&amp;"|"&amp;"CY2023Q3",Spectrum!$R:$R,0)),0),""))</f>
        <v/>
      </c>
      <c r="V52" s="14">
        <f>IF(LEFT($B52,4)="_Mil","",_xlfn.IFNA(ROUND(INDEX(Spectrum!$N:$N,MATCH(RIGHT($B52,13)&amp;"|"&amp;$C52&amp;"|"&amp;$D52&amp;"|"&amp;V$14&amp;"|"&amp;"CY2023Q3",Spectrum!$R:$R,0)),0),""))</f>
        <v>1645</v>
      </c>
      <c r="W52" s="115">
        <f>IF(LEFT($B52,4)="_Mil","",_xlfn.IFNA(INDEX(Spectrum!$N:$N,MATCH(RIGHT($B52,13)&amp;"|"&amp;$C52&amp;"|"&amp;$D52&amp;"|"&amp;W$14&amp;"|"&amp;"CY2023Q3",Spectrum!$R:$R,0)),""))</f>
        <v>1243</v>
      </c>
      <c r="X52" s="42">
        <f>IF(LEFT($B52,4)="_Mil","",_xlfn.IFNA(ROUND(INDEX(Spectrum!$N:$N,MATCH(RIGHT($B52,13)&amp;"|"&amp;$C52&amp;"|"&amp;$D52&amp;"|"&amp;X$14&amp;"|"&amp;"CY2023Q3",Spectrum!$R:$R,0)),0),""))</f>
        <v>1771</v>
      </c>
      <c r="Y52" s="90" t="str">
        <f t="shared" si="3"/>
        <v/>
      </c>
      <c r="Z52" s="42">
        <f>IF(LEFT($B52,4)="_Mil","",_xlfn.IFNA(ROUND(INDEX(Spectrum!$N:$N,MATCH(RIGHT($B52,13)&amp;"|"&amp;$C52&amp;"|"&amp;$D52&amp;"|"&amp;Z$14&amp;"|"&amp;"CY2023Q3",Spectrum!$R:$R,0)),0),""))</f>
        <v>1138</v>
      </c>
      <c r="AA52" s="90">
        <f>IF(LEFT($B52,4)="_Mil","",IFERROR(1/(1/INDEX(Spectrum!$N:$N,MATCH(RIGHT($B52,13)&amp;"|"&amp;$C52&amp;"|"&amp;$D52&amp;"|"&amp;AA$14&amp;"|"&amp;"CY2023Q3",Spectrum!$R:$R,0))),IF(SUM($U52)=0,"",SUM($Z52)/$U52)))</f>
        <v>1826</v>
      </c>
      <c r="AB52" s="90">
        <f t="shared" si="4"/>
        <v>0.64257481648785997</v>
      </c>
      <c r="AC52" s="14">
        <f>IF(LEFT($B52,4)="_Mil","",_xlfn.IFNA(ROUND(INDEX(Spectrum!$N:$N,MATCH(RIGHT($B52,13)&amp;"|"&amp;$C52&amp;"|"&amp;$D52&amp;"|"&amp;AC$14&amp;"|"&amp;"CY2023Q3",Spectrum!$R:$R,0)),0),""))</f>
        <v>1373</v>
      </c>
      <c r="AD52" s="14" t="str">
        <f>IF(LEFT($B52,4)="_Mil","",_xlfn.IFNA(ROUND(INDEX(Spectrum!$N:$N,MATCH(RIGHT($B52,13)&amp;"|"&amp;$C52&amp;"|"&amp;$D52&amp;"|"&amp;AD$14&amp;"|"&amp;"CY2023Q3",Spectrum!$R:$R,0)),0),""))</f>
        <v/>
      </c>
      <c r="AE52" s="90">
        <f t="shared" si="5"/>
        <v>0</v>
      </c>
      <c r="AF52" s="42" t="str">
        <f>IF(LEFT($B52,4)="_Mil","",_xlfn.IFNA(ROUND(INDEX(Spectrum!$N:$N,MATCH(RIGHT($B52,13)&amp;"|"&amp;$C52&amp;"|"&amp;$D52&amp;"|"&amp;AF$14&amp;"|"&amp;"CY2023Q3",Spectrum!$R:$R,0)),0),""))</f>
        <v/>
      </c>
      <c r="AG52" s="90" t="str">
        <f t="shared" si="6"/>
        <v/>
      </c>
      <c r="AH52" s="88" t="str">
        <f>IF(LEFT($B52,4)="_Mil","",_xlfn.IFNA(INDEX(Spectrum!$N:$N,MATCH(RIGHT($B52,13)&amp;"|"&amp;$C52&amp;"|"&amp;$D52&amp;"|"&amp;AH$14&amp;"|"&amp;"CY2023Q3",Spectrum!$R:$R,0)),""))</f>
        <v/>
      </c>
      <c r="AI52" s="14" t="str">
        <f>IF(LEFT($B52,4)="_Mil","",_xlfn.IFNA(ROUND(INDEX(Spectrum!$N:$N,MATCH(RIGHT($B52,13)&amp;"|"&amp;$C52&amp;"|"&amp;$D52&amp;"|"&amp;AI$14&amp;"|"&amp;"CY2023Q3",Spectrum!$R:$R,0)),0),""))</f>
        <v/>
      </c>
      <c r="AJ52" s="42">
        <f>IF(LEFT($B52,4)="_Mil","",_xlfn.IFNA(ROUND(INDEX(Spectrum!$N:$N,MATCH(RIGHT($B52,13)&amp;"|"&amp;$C52&amp;"|"&amp;$D52&amp;"|"&amp;AI$14&amp;"|"&amp;"CY2023Q3",Spectrum!$R:$R,0)),0),SUM($U52)+SUM($AI52)))</f>
        <v>0</v>
      </c>
      <c r="AK52" s="14" t="str">
        <f>IF(LEFT($B52,4)="_Mil","",_xlfn.IFNA(ROUND(INDEX(Spectrum!$N:$N,MATCH(RIGHT($B52,13)&amp;"|"&amp;$C52&amp;"|"&amp;$D52&amp;"|"&amp;AK$14&amp;"|"&amp;"CY2023Q3",Spectrum!$R:$R,0)),0),""))</f>
        <v/>
      </c>
      <c r="AL52" s="90">
        <f t="shared" si="7"/>
        <v>1826</v>
      </c>
      <c r="AM52" s="14">
        <f t="shared" si="8"/>
        <v>0</v>
      </c>
      <c r="AN52" s="14" t="str">
        <f>IF($C52="&lt;01",ROUND(INDEX(EID!$P:$P,MATCH($B52,EID!$B:$B,0))/2,0),"")</f>
        <v/>
      </c>
      <c r="AO52" s="14">
        <f t="shared" si="9"/>
        <v>0</v>
      </c>
      <c r="AP52" s="42">
        <f t="shared" si="10"/>
        <v>0</v>
      </c>
      <c r="AQ52" s="42">
        <f t="shared" si="11"/>
        <v>1138</v>
      </c>
      <c r="AR52" s="90" t="str">
        <f t="shared" si="12"/>
        <v/>
      </c>
      <c r="AS52" s="90">
        <f t="shared" si="23"/>
        <v>0.98</v>
      </c>
      <c r="AT52" s="90">
        <f t="shared" si="23"/>
        <v>0.98</v>
      </c>
      <c r="AU52" s="14">
        <f t="shared" si="14"/>
        <v>0</v>
      </c>
      <c r="AV52" s="14">
        <f>IF($C52="&lt;01",ROUND(INDEX(EID!$N:$N,MATCH($B52,EID!$B:$B,0))/2,0),IF(SUM($AT52)=0,"",ROUND((SUM($AP52)-(SUM($O52)*SUM($AS52)))/$AT52,0)))</f>
        <v>0</v>
      </c>
      <c r="AW52" s="90">
        <f t="shared" si="15"/>
        <v>1</v>
      </c>
      <c r="AX52" s="42">
        <f t="shared" si="16"/>
        <v>0</v>
      </c>
      <c r="AY52" s="116">
        <f t="shared" si="17"/>
        <v>0.7</v>
      </c>
      <c r="AZ52" s="93">
        <f>IF($C52="&lt;01",ROUND(INDEX(EID!$R:$R,MATCH($B52,EID!$B:$B,0))/2,0),ROUND(SUM($O52)+(SUM($AV52)*$AY52),0))</f>
        <v>0</v>
      </c>
      <c r="BA52" s="89">
        <f t="shared" si="18"/>
        <v>0.95</v>
      </c>
      <c r="BB52" s="9">
        <f>IF($C52="&lt;01",ROUND(INDEX(EID!$T:$T,MATCH($B52,EID!$B:$B,0))/2,0),ROUND($AZ52*$BA52,0))</f>
        <v>0</v>
      </c>
      <c r="BC52" s="93">
        <f t="shared" si="19"/>
        <v>0</v>
      </c>
      <c r="BD52" s="90">
        <f t="shared" si="20"/>
        <v>0.95</v>
      </c>
      <c r="BE52" s="42">
        <f>IF($C52="&lt;01",ROUND(INDEX(EID!$V:$V,MATCH($B52,EID!$B:$B,0))/2,0),ROUND($BD52*$BB52,0))</f>
        <v>0</v>
      </c>
      <c r="BF52" s="42">
        <f t="shared" si="21"/>
        <v>0</v>
      </c>
      <c r="BG52" s="116">
        <f t="shared" si="22"/>
        <v>0.95</v>
      </c>
      <c r="BH52" s="9">
        <f>IF($C52="&lt;01",ROUND(INDEX(EID!$L:$L,MATCH($B52,EID!$B:$B,0)),0)/2,IF(SUM($BG52)=0,"",ROUND($AX52/$BG52,0)))</f>
        <v>0</v>
      </c>
    </row>
    <row r="53" spans="1:60" x14ac:dyDescent="0.2">
      <c r="A53" t="str">
        <f>INDEX(Prioritization!$D:$D,MATCH($B53,Prioritization!$A:$A,0))</f>
        <v>1 - Scale-up: Saturation</v>
      </c>
      <c r="B53" t="s">
        <v>195</v>
      </c>
      <c r="C53" t="s">
        <v>366</v>
      </c>
      <c r="D53" t="s">
        <v>29</v>
      </c>
      <c r="E53" t="str">
        <f t="shared" si="0"/>
        <v>Dowa District [zphK9WV8JB4]|35-49|Female</v>
      </c>
      <c r="F53" s="14"/>
      <c r="G53" s="14"/>
      <c r="H53" s="14"/>
      <c r="I53" s="14"/>
      <c r="J53" s="14"/>
      <c r="K53" s="14"/>
      <c r="L53" s="14"/>
      <c r="M53" s="14"/>
      <c r="N53" s="14"/>
      <c r="O53" s="14" t="str">
        <f t="shared" si="1"/>
        <v/>
      </c>
      <c r="P53" s="14"/>
      <c r="Q53" s="14"/>
      <c r="R53" s="14" t="str">
        <f t="shared" si="2"/>
        <v/>
      </c>
      <c r="S53" s="14">
        <f>IF(LEFT($B53,4)="_Mil","",_xlfn.IFNA(ROUND(INDEX(Spectrum!$N:$N,MATCH(RIGHT($B53,13)&amp;"|"&amp;$C53&amp;"|"&amp;$D53&amp;"|"&amp;S$14&amp;"|"&amp;"CY2022Q4",Spectrum!$R:$R,0)),0),""))</f>
        <v>569</v>
      </c>
      <c r="T53" s="42">
        <f>IF(LEFT($B53,4)="_Mil","",_xlfn.IFNA(ROUND(INDEX(Spectrum!$N:$N,MATCH(RIGHT($B53,13)&amp;"|"&amp;$C53&amp;"|"&amp;$D53&amp;"|"&amp;T$14&amp;"|"&amp;"CY2023Q3",Spectrum!$R:$R,0)),0),""))</f>
        <v>1881</v>
      </c>
      <c r="U53" s="42" t="str">
        <f>IF(LEFT($B53,4)="_Mil","",_xlfn.IFNA(ROUND(INDEX(Spectrum!$N:$N,MATCH(RIGHT($B53,13)&amp;"|"&amp;$C53&amp;"|"&amp;$D53&amp;"|"&amp;U$14&amp;"|"&amp;"CY2023Q3",Spectrum!$R:$R,0)),0),""))</f>
        <v/>
      </c>
      <c r="V53" s="14">
        <f>IF(LEFT($B53,4)="_Mil","",_xlfn.IFNA(ROUND(INDEX(Spectrum!$N:$N,MATCH(RIGHT($B53,13)&amp;"|"&amp;$C53&amp;"|"&amp;$D53&amp;"|"&amp;V$14&amp;"|"&amp;"CY2023Q3",Spectrum!$R:$R,0)),0),""))</f>
        <v>1008</v>
      </c>
      <c r="W53" s="115">
        <f>IF(LEFT($B53,4)="_Mil","",_xlfn.IFNA(INDEX(Spectrum!$N:$N,MATCH(RIGHT($B53,13)&amp;"|"&amp;$C53&amp;"|"&amp;$D53&amp;"|"&amp;W$14&amp;"|"&amp;"CY2023Q3",Spectrum!$R:$R,0)),""))</f>
        <v>590</v>
      </c>
      <c r="X53" s="42">
        <f>IF(LEFT($B53,4)="_Mil","",_xlfn.IFNA(ROUND(INDEX(Spectrum!$N:$N,MATCH(RIGHT($B53,13)&amp;"|"&amp;$C53&amp;"|"&amp;$D53&amp;"|"&amp;X$14&amp;"|"&amp;"CY2023Q3",Spectrum!$R:$R,0)),0),""))</f>
        <v>1645</v>
      </c>
      <c r="Y53" s="90" t="str">
        <f t="shared" si="3"/>
        <v/>
      </c>
      <c r="Z53" s="42">
        <f>IF(LEFT($B53,4)="_Mil","",_xlfn.IFNA(ROUND(INDEX(Spectrum!$N:$N,MATCH(RIGHT($B53,13)&amp;"|"&amp;$C53&amp;"|"&amp;$D53&amp;"|"&amp;Z$14&amp;"|"&amp;"CY2023Q3",Spectrum!$R:$R,0)),0),""))</f>
        <v>773</v>
      </c>
      <c r="AA53" s="90">
        <f>IF(LEFT($B53,4)="_Mil","",IFERROR(1/(1/INDEX(Spectrum!$N:$N,MATCH(RIGHT($B53,13)&amp;"|"&amp;$C53&amp;"|"&amp;$D53&amp;"|"&amp;AA$14&amp;"|"&amp;"CY2023Q3",Spectrum!$R:$R,0))),IF(SUM($U53)=0,"",SUM($Z53)/$U53)))</f>
        <v>606</v>
      </c>
      <c r="AB53" s="90">
        <f t="shared" si="4"/>
        <v>0.46990881458966566</v>
      </c>
      <c r="AC53" s="14">
        <f>IF(LEFT($B53,4)="_Mil","",_xlfn.IFNA(ROUND(INDEX(Spectrum!$N:$N,MATCH(RIGHT($B53,13)&amp;"|"&amp;$C53&amp;"|"&amp;$D53&amp;"|"&amp;AC$14&amp;"|"&amp;"CY2023Q3",Spectrum!$R:$R,0)),0),""))</f>
        <v>827</v>
      </c>
      <c r="AD53" s="14" t="str">
        <f>IF(LEFT($B53,4)="_Mil","",_xlfn.IFNA(ROUND(INDEX(Spectrum!$N:$N,MATCH(RIGHT($B53,13)&amp;"|"&amp;$C53&amp;"|"&amp;$D53&amp;"|"&amp;AD$14&amp;"|"&amp;"CY2023Q3",Spectrum!$R:$R,0)),0),""))</f>
        <v/>
      </c>
      <c r="AE53" s="90">
        <f t="shared" si="5"/>
        <v>0</v>
      </c>
      <c r="AF53" s="42" t="str">
        <f>IF(LEFT($B53,4)="_Mil","",_xlfn.IFNA(ROUND(INDEX(Spectrum!$N:$N,MATCH(RIGHT($B53,13)&amp;"|"&amp;$C53&amp;"|"&amp;$D53&amp;"|"&amp;AF$14&amp;"|"&amp;"CY2023Q3",Spectrum!$R:$R,0)),0),""))</f>
        <v/>
      </c>
      <c r="AG53" s="90" t="str">
        <f t="shared" si="6"/>
        <v/>
      </c>
      <c r="AH53" s="88" t="str">
        <f>IF(LEFT($B53,4)="_Mil","",_xlfn.IFNA(INDEX(Spectrum!$N:$N,MATCH(RIGHT($B53,13)&amp;"|"&amp;$C53&amp;"|"&amp;$D53&amp;"|"&amp;AH$14&amp;"|"&amp;"CY2023Q3",Spectrum!$R:$R,0)),""))</f>
        <v/>
      </c>
      <c r="AI53" s="14" t="str">
        <f>IF(LEFT($B53,4)="_Mil","",_xlfn.IFNA(ROUND(INDEX(Spectrum!$N:$N,MATCH(RIGHT($B53,13)&amp;"|"&amp;$C53&amp;"|"&amp;$D53&amp;"|"&amp;AI$14&amp;"|"&amp;"CY2023Q3",Spectrum!$R:$R,0)),0),""))</f>
        <v/>
      </c>
      <c r="AJ53" s="42">
        <f>IF(LEFT($B53,4)="_Mil","",_xlfn.IFNA(ROUND(INDEX(Spectrum!$N:$N,MATCH(RIGHT($B53,13)&amp;"|"&amp;$C53&amp;"|"&amp;$D53&amp;"|"&amp;AI$14&amp;"|"&amp;"CY2023Q3",Spectrum!$R:$R,0)),0),SUM($U53)+SUM($AI53)))</f>
        <v>0</v>
      </c>
      <c r="AK53" s="14" t="str">
        <f>IF(LEFT($B53,4)="_Mil","",_xlfn.IFNA(ROUND(INDEX(Spectrum!$N:$N,MATCH(RIGHT($B53,13)&amp;"|"&amp;$C53&amp;"|"&amp;$D53&amp;"|"&amp;AK$14&amp;"|"&amp;"CY2023Q3",Spectrum!$R:$R,0)),0),""))</f>
        <v/>
      </c>
      <c r="AL53" s="90">
        <f t="shared" si="7"/>
        <v>606</v>
      </c>
      <c r="AM53" s="14">
        <f t="shared" si="8"/>
        <v>0</v>
      </c>
      <c r="AN53" s="14" t="str">
        <f>IF($C53="&lt;01",ROUND(INDEX(EID!$P:$P,MATCH($B53,EID!$B:$B,0))/2,0),"")</f>
        <v/>
      </c>
      <c r="AO53" s="14">
        <f t="shared" si="9"/>
        <v>0</v>
      </c>
      <c r="AP53" s="42">
        <f t="shared" si="10"/>
        <v>0</v>
      </c>
      <c r="AQ53" s="42">
        <f t="shared" si="11"/>
        <v>773</v>
      </c>
      <c r="AR53" s="90" t="str">
        <f t="shared" si="12"/>
        <v/>
      </c>
      <c r="AS53" s="90">
        <f t="shared" si="23"/>
        <v>0.98</v>
      </c>
      <c r="AT53" s="90">
        <f t="shared" si="23"/>
        <v>0.98</v>
      </c>
      <c r="AU53" s="14">
        <f t="shared" si="14"/>
        <v>0</v>
      </c>
      <c r="AV53" s="14">
        <f>IF($C53="&lt;01",ROUND(INDEX(EID!$N:$N,MATCH($B53,EID!$B:$B,0))/2,0),IF(SUM($AT53)=0,"",ROUND((SUM($AP53)-(SUM($O53)*SUM($AS53)))/$AT53,0)))</f>
        <v>0</v>
      </c>
      <c r="AW53" s="90">
        <f t="shared" si="15"/>
        <v>1</v>
      </c>
      <c r="AX53" s="42">
        <f t="shared" si="16"/>
        <v>0</v>
      </c>
      <c r="AY53" s="116">
        <f t="shared" si="17"/>
        <v>0.7</v>
      </c>
      <c r="AZ53" s="93">
        <f>IF($C53="&lt;01",ROUND(INDEX(EID!$R:$R,MATCH($B53,EID!$B:$B,0))/2,0),ROUND(SUM($O53)+(SUM($AV53)*$AY53),0))</f>
        <v>0</v>
      </c>
      <c r="BA53" s="89">
        <f t="shared" si="18"/>
        <v>0.95</v>
      </c>
      <c r="BB53" s="9">
        <f>IF($C53="&lt;01",ROUND(INDEX(EID!$T:$T,MATCH($B53,EID!$B:$B,0))/2,0),ROUND($AZ53*$BA53,0))</f>
        <v>0</v>
      </c>
      <c r="BC53" s="93">
        <f t="shared" si="19"/>
        <v>0</v>
      </c>
      <c r="BD53" s="90">
        <f t="shared" si="20"/>
        <v>0.95</v>
      </c>
      <c r="BE53" s="42">
        <f>IF($C53="&lt;01",ROUND(INDEX(EID!$V:$V,MATCH($B53,EID!$B:$B,0))/2,0),ROUND($BD53*$BB53,0))</f>
        <v>0</v>
      </c>
      <c r="BF53" s="42">
        <f t="shared" si="21"/>
        <v>0</v>
      </c>
      <c r="BG53" s="116">
        <f t="shared" si="22"/>
        <v>0.95</v>
      </c>
      <c r="BH53" s="9">
        <f>IF($C53="&lt;01",ROUND(INDEX(EID!$L:$L,MATCH($B53,EID!$B:$B,0)),0)/2,IF(SUM($BG53)=0,"",ROUND($AX53/$BG53,0)))</f>
        <v>0</v>
      </c>
    </row>
    <row r="54" spans="1:60" x14ac:dyDescent="0.2">
      <c r="A54" t="str">
        <f>INDEX(Prioritization!$D:$D,MATCH($B54,Prioritization!$A:$A,0))</f>
        <v>1 - Scale-up: Saturation</v>
      </c>
      <c r="B54" t="s">
        <v>195</v>
      </c>
      <c r="C54" t="s">
        <v>366</v>
      </c>
      <c r="D54" t="s">
        <v>47</v>
      </c>
      <c r="E54" t="str">
        <f t="shared" si="0"/>
        <v>Dowa District [zphK9WV8JB4]|35-49|Male</v>
      </c>
      <c r="F54" s="14"/>
      <c r="G54" s="14"/>
      <c r="H54" s="14"/>
      <c r="I54" s="14"/>
      <c r="J54" s="14"/>
      <c r="K54" s="14"/>
      <c r="L54" s="14"/>
      <c r="M54" s="14"/>
      <c r="N54" s="14"/>
      <c r="O54" s="14" t="str">
        <f t="shared" si="1"/>
        <v/>
      </c>
      <c r="P54" s="14"/>
      <c r="Q54" s="14"/>
      <c r="R54" s="14" t="str">
        <f t="shared" si="2"/>
        <v/>
      </c>
      <c r="S54" s="14">
        <f>IF(LEFT($B54,4)="_Mil","",_xlfn.IFNA(ROUND(INDEX(Spectrum!$N:$N,MATCH(RIGHT($B54,13)&amp;"|"&amp;$C54&amp;"|"&amp;$D54&amp;"|"&amp;S$14&amp;"|"&amp;"CY2022Q4",Spectrum!$R:$R,0)),0),""))</f>
        <v>1977</v>
      </c>
      <c r="T54" s="42">
        <f>IF(LEFT($B54,4)="_Mil","",_xlfn.IFNA(ROUND(INDEX(Spectrum!$N:$N,MATCH(RIGHT($B54,13)&amp;"|"&amp;$C54&amp;"|"&amp;$D54&amp;"|"&amp;T$14&amp;"|"&amp;"CY2023Q3",Spectrum!$R:$R,0)),0),""))</f>
        <v>1463</v>
      </c>
      <c r="U54" s="42" t="str">
        <f>IF(LEFT($B54,4)="_Mil","",_xlfn.IFNA(ROUND(INDEX(Spectrum!$N:$N,MATCH(RIGHT($B54,13)&amp;"|"&amp;$C54&amp;"|"&amp;$D54&amp;"|"&amp;U$14&amp;"|"&amp;"CY2023Q3",Spectrum!$R:$R,0)),0),""))</f>
        <v/>
      </c>
      <c r="V54" s="14">
        <f>IF(LEFT($B54,4)="_Mil","",_xlfn.IFNA(ROUND(INDEX(Spectrum!$N:$N,MATCH(RIGHT($B54,13)&amp;"|"&amp;$C54&amp;"|"&amp;$D54&amp;"|"&amp;V$14&amp;"|"&amp;"CY2023Q3",Spectrum!$R:$R,0)),0),""))</f>
        <v>619</v>
      </c>
      <c r="W54" s="115">
        <f>IF(LEFT($B54,4)="_Mil","",_xlfn.IFNA(INDEX(Spectrum!$N:$N,MATCH(RIGHT($B54,13)&amp;"|"&amp;$C54&amp;"|"&amp;$D54&amp;"|"&amp;W$14&amp;"|"&amp;"CY2023Q3",Spectrum!$R:$R,0)),""))</f>
        <v>532</v>
      </c>
      <c r="X54" s="42">
        <f>IF(LEFT($B54,4)="_Mil","",_xlfn.IFNA(ROUND(INDEX(Spectrum!$N:$N,MATCH(RIGHT($B54,13)&amp;"|"&amp;$C54&amp;"|"&amp;$D54&amp;"|"&amp;X$14&amp;"|"&amp;"CY2023Q3",Spectrum!$R:$R,0)),0),""))</f>
        <v>957</v>
      </c>
      <c r="Y54" s="90" t="str">
        <f t="shared" si="3"/>
        <v/>
      </c>
      <c r="Z54" s="42">
        <f>IF(LEFT($B54,4)="_Mil","",_xlfn.IFNA(ROUND(INDEX(Spectrum!$N:$N,MATCH(RIGHT($B54,13)&amp;"|"&amp;$C54&amp;"|"&amp;$D54&amp;"|"&amp;Z$14&amp;"|"&amp;"CY2023Q3",Spectrum!$R:$R,0)),0),""))</f>
        <v>1148</v>
      </c>
      <c r="AA54" s="90">
        <f>IF(LEFT($B54,4)="_Mil","",IFERROR(1/(1/INDEX(Spectrum!$N:$N,MATCH(RIGHT($B54,13)&amp;"|"&amp;$C54&amp;"|"&amp;$D54&amp;"|"&amp;AA$14&amp;"|"&amp;"CY2023Q3",Spectrum!$R:$R,0))),IF(SUM($U54)=0,"",SUM($Z54)/$U54)))</f>
        <v>1724</v>
      </c>
      <c r="AB54" s="90">
        <f t="shared" si="4"/>
        <v>1.199582027168234</v>
      </c>
      <c r="AC54" s="14">
        <f>IF(LEFT($B54,4)="_Mil","",_xlfn.IFNA(ROUND(INDEX(Spectrum!$N:$N,MATCH(RIGHT($B54,13)&amp;"|"&amp;$C54&amp;"|"&amp;$D54&amp;"|"&amp;AC$14&amp;"|"&amp;"CY2023Q3",Spectrum!$R:$R,0)),0),""))</f>
        <v>867</v>
      </c>
      <c r="AD54" s="14" t="str">
        <f>IF(LEFT($B54,4)="_Mil","",_xlfn.IFNA(ROUND(INDEX(Spectrum!$N:$N,MATCH(RIGHT($B54,13)&amp;"|"&amp;$C54&amp;"|"&amp;$D54&amp;"|"&amp;AD$14&amp;"|"&amp;"CY2023Q3",Spectrum!$R:$R,0)),0),""))</f>
        <v/>
      </c>
      <c r="AE54" s="90">
        <f t="shared" si="5"/>
        <v>0</v>
      </c>
      <c r="AF54" s="42" t="str">
        <f>IF(LEFT($B54,4)="_Mil","",_xlfn.IFNA(ROUND(INDEX(Spectrum!$N:$N,MATCH(RIGHT($B54,13)&amp;"|"&amp;$C54&amp;"|"&amp;$D54&amp;"|"&amp;AF$14&amp;"|"&amp;"CY2023Q3",Spectrum!$R:$R,0)),0),""))</f>
        <v/>
      </c>
      <c r="AG54" s="90" t="str">
        <f t="shared" si="6"/>
        <v/>
      </c>
      <c r="AH54" s="88" t="str">
        <f>IF(LEFT($B54,4)="_Mil","",_xlfn.IFNA(INDEX(Spectrum!$N:$N,MATCH(RIGHT($B54,13)&amp;"|"&amp;$C54&amp;"|"&amp;$D54&amp;"|"&amp;AH$14&amp;"|"&amp;"CY2023Q3",Spectrum!$R:$R,0)),""))</f>
        <v/>
      </c>
      <c r="AI54" s="14" t="str">
        <f>IF(LEFT($B54,4)="_Mil","",_xlfn.IFNA(ROUND(INDEX(Spectrum!$N:$N,MATCH(RIGHT($B54,13)&amp;"|"&amp;$C54&amp;"|"&amp;$D54&amp;"|"&amp;AI$14&amp;"|"&amp;"CY2023Q3",Spectrum!$R:$R,0)),0),""))</f>
        <v/>
      </c>
      <c r="AJ54" s="42">
        <f>IF(LEFT($B54,4)="_Mil","",_xlfn.IFNA(ROUND(INDEX(Spectrum!$N:$N,MATCH(RIGHT($B54,13)&amp;"|"&amp;$C54&amp;"|"&amp;$D54&amp;"|"&amp;AI$14&amp;"|"&amp;"CY2023Q3",Spectrum!$R:$R,0)),0),SUM($U54)+SUM($AI54)))</f>
        <v>0</v>
      </c>
      <c r="AK54" s="14" t="str">
        <f>IF(LEFT($B54,4)="_Mil","",_xlfn.IFNA(ROUND(INDEX(Spectrum!$N:$N,MATCH(RIGHT($B54,13)&amp;"|"&amp;$C54&amp;"|"&amp;$D54&amp;"|"&amp;AK$14&amp;"|"&amp;"CY2023Q3",Spectrum!$R:$R,0)),0),""))</f>
        <v/>
      </c>
      <c r="AL54" s="90">
        <f t="shared" si="7"/>
        <v>1724</v>
      </c>
      <c r="AM54" s="14">
        <f t="shared" si="8"/>
        <v>0</v>
      </c>
      <c r="AN54" s="14" t="str">
        <f>IF($C54="&lt;01",ROUND(INDEX(EID!$P:$P,MATCH($B54,EID!$B:$B,0))/2,0),"")</f>
        <v/>
      </c>
      <c r="AO54" s="14">
        <f t="shared" si="9"/>
        <v>0</v>
      </c>
      <c r="AP54" s="42">
        <f t="shared" si="10"/>
        <v>0</v>
      </c>
      <c r="AQ54" s="42">
        <f t="shared" si="11"/>
        <v>1148</v>
      </c>
      <c r="AR54" s="90" t="str">
        <f t="shared" si="12"/>
        <v/>
      </c>
      <c r="AS54" s="90">
        <f t="shared" si="23"/>
        <v>0.98</v>
      </c>
      <c r="AT54" s="90">
        <f t="shared" si="23"/>
        <v>0.98</v>
      </c>
      <c r="AU54" s="14">
        <f t="shared" si="14"/>
        <v>0</v>
      </c>
      <c r="AV54" s="14">
        <f>IF($C54="&lt;01",ROUND(INDEX(EID!$N:$N,MATCH($B54,EID!$B:$B,0))/2,0),IF(SUM($AT54)=0,"",ROUND((SUM($AP54)-(SUM($O54)*SUM($AS54)))/$AT54,0)))</f>
        <v>0</v>
      </c>
      <c r="AW54" s="90">
        <f t="shared" si="15"/>
        <v>1</v>
      </c>
      <c r="AX54" s="42">
        <f t="shared" si="16"/>
        <v>0</v>
      </c>
      <c r="AY54" s="116">
        <f t="shared" si="17"/>
        <v>0.7</v>
      </c>
      <c r="AZ54" s="93">
        <f>IF($C54="&lt;01",ROUND(INDEX(EID!$R:$R,MATCH($B54,EID!$B:$B,0))/2,0),ROUND(SUM($O54)+(SUM($AV54)*$AY54),0))</f>
        <v>0</v>
      </c>
      <c r="BA54" s="89">
        <f t="shared" si="18"/>
        <v>0.95</v>
      </c>
      <c r="BB54" s="9">
        <f>IF($C54="&lt;01",ROUND(INDEX(EID!$T:$T,MATCH($B54,EID!$B:$B,0))/2,0),ROUND($AZ54*$BA54,0))</f>
        <v>0</v>
      </c>
      <c r="BC54" s="93">
        <f t="shared" si="19"/>
        <v>0</v>
      </c>
      <c r="BD54" s="90">
        <f t="shared" si="20"/>
        <v>0.95</v>
      </c>
      <c r="BE54" s="42">
        <f>IF($C54="&lt;01",ROUND(INDEX(EID!$V:$V,MATCH($B54,EID!$B:$B,0))/2,0),ROUND($BD54*$BB54,0))</f>
        <v>0</v>
      </c>
      <c r="BF54" s="42">
        <f t="shared" si="21"/>
        <v>0</v>
      </c>
      <c r="BG54" s="116">
        <f t="shared" si="22"/>
        <v>0.95</v>
      </c>
      <c r="BH54" s="9">
        <f>IF($C54="&lt;01",ROUND(INDEX(EID!$L:$L,MATCH($B54,EID!$B:$B,0)),0)/2,IF(SUM($BG54)=0,"",ROUND($AX54/$BG54,0)))</f>
        <v>0</v>
      </c>
    </row>
    <row r="55" spans="1:60" x14ac:dyDescent="0.2">
      <c r="A55" t="str">
        <f>INDEX(Prioritization!$D:$D,MATCH($B55,Prioritization!$A:$A,0))</f>
        <v>1 - Scale-up: Saturation</v>
      </c>
      <c r="B55" t="s">
        <v>195</v>
      </c>
      <c r="C55" t="s">
        <v>367</v>
      </c>
      <c r="D55" t="s">
        <v>29</v>
      </c>
      <c r="E55" t="str">
        <f t="shared" si="0"/>
        <v>Dowa District [zphK9WV8JB4]|50+|Female</v>
      </c>
      <c r="F55" s="14"/>
      <c r="G55" s="14"/>
      <c r="H55" s="14"/>
      <c r="I55" s="14"/>
      <c r="J55" s="14"/>
      <c r="K55" s="14"/>
      <c r="L55" s="14"/>
      <c r="M55" s="14"/>
      <c r="N55" s="14"/>
      <c r="O55" s="14" t="str">
        <f t="shared" si="1"/>
        <v/>
      </c>
      <c r="P55" s="14"/>
      <c r="Q55" s="14"/>
      <c r="R55" s="14" t="str">
        <f t="shared" si="2"/>
        <v/>
      </c>
      <c r="S55" s="14">
        <f>IF(LEFT($B55,4)="_Mil","",_xlfn.IFNA(ROUND(INDEX(Spectrum!$N:$N,MATCH(RIGHT($B55,13)&amp;"|"&amp;$C55&amp;"|"&amp;$D55&amp;"|"&amp;S$14&amp;"|"&amp;"CY2022Q4",Spectrum!$R:$R,0)),0),""))</f>
        <v>961</v>
      </c>
      <c r="T55" s="42">
        <f>IF(LEFT($B55,4)="_Mil","",_xlfn.IFNA(ROUND(INDEX(Spectrum!$N:$N,MATCH(RIGHT($B55,13)&amp;"|"&amp;$C55&amp;"|"&amp;$D55&amp;"|"&amp;T$14&amp;"|"&amp;"CY2023Q3",Spectrum!$R:$R,0)),0),""))</f>
        <v>915</v>
      </c>
      <c r="U55" s="42" t="str">
        <f>IF(LEFT($B55,4)="_Mil","",_xlfn.IFNA(ROUND(INDEX(Spectrum!$N:$N,MATCH(RIGHT($B55,13)&amp;"|"&amp;$C55&amp;"|"&amp;$D55&amp;"|"&amp;U$14&amp;"|"&amp;"CY2023Q3",Spectrum!$R:$R,0)),0),""))</f>
        <v/>
      </c>
      <c r="V55" s="14">
        <f>IF(LEFT($B55,4)="_Mil","",_xlfn.IFNA(ROUND(INDEX(Spectrum!$N:$N,MATCH(RIGHT($B55,13)&amp;"|"&amp;$C55&amp;"|"&amp;$D55&amp;"|"&amp;V$14&amp;"|"&amp;"CY2023Q3",Spectrum!$R:$R,0)),0),""))</f>
        <v>508</v>
      </c>
      <c r="W55" s="115">
        <f>IF(LEFT($B55,4)="_Mil","",_xlfn.IFNA(INDEX(Spectrum!$N:$N,MATCH(RIGHT($B55,13)&amp;"|"&amp;$C55&amp;"|"&amp;$D55&amp;"|"&amp;W$14&amp;"|"&amp;"CY2023Q3",Spectrum!$R:$R,0)),""))</f>
        <v>621</v>
      </c>
      <c r="X55" s="42">
        <f>IF(LEFT($B55,4)="_Mil","",_xlfn.IFNA(ROUND(INDEX(Spectrum!$N:$N,MATCH(RIGHT($B55,13)&amp;"|"&amp;$C55&amp;"|"&amp;$D55&amp;"|"&amp;X$14&amp;"|"&amp;"CY2023Q3",Spectrum!$R:$R,0)),0),""))</f>
        <v>1605</v>
      </c>
      <c r="Y55" s="90" t="str">
        <f t="shared" si="3"/>
        <v/>
      </c>
      <c r="Z55" s="42">
        <f>IF(LEFT($B55,4)="_Mil","",_xlfn.IFNA(ROUND(INDEX(Spectrum!$N:$N,MATCH(RIGHT($B55,13)&amp;"|"&amp;$C55&amp;"|"&amp;$D55&amp;"|"&amp;Z$14&amp;"|"&amp;"CY2023Q3",Spectrum!$R:$R,0)),0),""))</f>
        <v>1336</v>
      </c>
      <c r="AA55" s="90">
        <f>IF(LEFT($B55,4)="_Mil","",IFERROR(1/(1/INDEX(Spectrum!$N:$N,MATCH(RIGHT($B55,13)&amp;"|"&amp;$C55&amp;"|"&amp;$D55&amp;"|"&amp;AA$14&amp;"|"&amp;"CY2023Q3",Spectrum!$R:$R,0))),IF(SUM($U55)=0,"",SUM($Z55)/$U55)))</f>
        <v>838</v>
      </c>
      <c r="AB55" s="90">
        <f t="shared" si="4"/>
        <v>0.83239875389408102</v>
      </c>
      <c r="AC55" s="14">
        <f>IF(LEFT($B55,4)="_Mil","",_xlfn.IFNA(ROUND(INDEX(Spectrum!$N:$N,MATCH(RIGHT($B55,13)&amp;"|"&amp;$C55&amp;"|"&amp;$D55&amp;"|"&amp;AC$14&amp;"|"&amp;"CY2023Q3",Spectrum!$R:$R,0)),0),""))</f>
        <v>1130</v>
      </c>
      <c r="AD55" s="14" t="str">
        <f>IF(LEFT($B55,4)="_Mil","",_xlfn.IFNA(ROUND(INDEX(Spectrum!$N:$N,MATCH(RIGHT($B55,13)&amp;"|"&amp;$C55&amp;"|"&amp;$D55&amp;"|"&amp;AD$14&amp;"|"&amp;"CY2023Q3",Spectrum!$R:$R,0)),0),""))</f>
        <v/>
      </c>
      <c r="AE55" s="90">
        <f t="shared" si="5"/>
        <v>0</v>
      </c>
      <c r="AF55" s="42" t="str">
        <f>IF(LEFT($B55,4)="_Mil","",_xlfn.IFNA(ROUND(INDEX(Spectrum!$N:$N,MATCH(RIGHT($B55,13)&amp;"|"&amp;$C55&amp;"|"&amp;$D55&amp;"|"&amp;AF$14&amp;"|"&amp;"CY2023Q3",Spectrum!$R:$R,0)),0),""))</f>
        <v/>
      </c>
      <c r="AG55" s="90" t="str">
        <f t="shared" si="6"/>
        <v/>
      </c>
      <c r="AH55" s="88" t="str">
        <f>IF(LEFT($B55,4)="_Mil","",_xlfn.IFNA(INDEX(Spectrum!$N:$N,MATCH(RIGHT($B55,13)&amp;"|"&amp;$C55&amp;"|"&amp;$D55&amp;"|"&amp;AH$14&amp;"|"&amp;"CY2023Q3",Spectrum!$R:$R,0)),""))</f>
        <v/>
      </c>
      <c r="AI55" s="14" t="str">
        <f>IF(LEFT($B55,4)="_Mil","",_xlfn.IFNA(ROUND(INDEX(Spectrum!$N:$N,MATCH(RIGHT($B55,13)&amp;"|"&amp;$C55&amp;"|"&amp;$D55&amp;"|"&amp;AI$14&amp;"|"&amp;"CY2023Q3",Spectrum!$R:$R,0)),0),""))</f>
        <v/>
      </c>
      <c r="AJ55" s="42">
        <f>IF(LEFT($B55,4)="_Mil","",_xlfn.IFNA(ROUND(INDEX(Spectrum!$N:$N,MATCH(RIGHT($B55,13)&amp;"|"&amp;$C55&amp;"|"&amp;$D55&amp;"|"&amp;AI$14&amp;"|"&amp;"CY2023Q3",Spectrum!$R:$R,0)),0),SUM($U55)+SUM($AI55)))</f>
        <v>0</v>
      </c>
      <c r="AK55" s="14" t="str">
        <f>IF(LEFT($B55,4)="_Mil","",_xlfn.IFNA(ROUND(INDEX(Spectrum!$N:$N,MATCH(RIGHT($B55,13)&amp;"|"&amp;$C55&amp;"|"&amp;$D55&amp;"|"&amp;AK$14&amp;"|"&amp;"CY2023Q3",Spectrum!$R:$R,0)),0),""))</f>
        <v/>
      </c>
      <c r="AL55" s="90">
        <f t="shared" si="7"/>
        <v>838</v>
      </c>
      <c r="AM55" s="14">
        <f t="shared" si="8"/>
        <v>0</v>
      </c>
      <c r="AN55" s="14" t="str">
        <f>IF($C55="&lt;01",ROUND(INDEX(EID!$P:$P,MATCH($B55,EID!$B:$B,0))/2,0),"")</f>
        <v/>
      </c>
      <c r="AO55" s="14">
        <f t="shared" si="9"/>
        <v>0</v>
      </c>
      <c r="AP55" s="42">
        <f t="shared" si="10"/>
        <v>0</v>
      </c>
      <c r="AQ55" s="42">
        <f t="shared" si="11"/>
        <v>1336</v>
      </c>
      <c r="AR55" s="90" t="str">
        <f t="shared" si="12"/>
        <v/>
      </c>
      <c r="AS55" s="90">
        <f t="shared" ref="AS55:AT74" si="24">IF($C55="&lt;01","",98%)</f>
        <v>0.98</v>
      </c>
      <c r="AT55" s="90">
        <f t="shared" si="24"/>
        <v>0.98</v>
      </c>
      <c r="AU55" s="14">
        <f t="shared" si="14"/>
        <v>0</v>
      </c>
      <c r="AV55" s="14">
        <f>IF($C55="&lt;01",ROUND(INDEX(EID!$N:$N,MATCH($B55,EID!$B:$B,0))/2,0),IF(SUM($AT55)=0,"",ROUND((SUM($AP55)-(SUM($O55)*SUM($AS55)))/$AT55,0)))</f>
        <v>0</v>
      </c>
      <c r="AW55" s="90">
        <f t="shared" si="15"/>
        <v>1</v>
      </c>
      <c r="AX55" s="42">
        <f t="shared" si="16"/>
        <v>0</v>
      </c>
      <c r="AY55" s="116">
        <f t="shared" si="17"/>
        <v>0.7</v>
      </c>
      <c r="AZ55" s="93">
        <f>IF($C55="&lt;01",ROUND(INDEX(EID!$R:$R,MATCH($B55,EID!$B:$B,0))/2,0),ROUND(SUM($O55)+(SUM($AV55)*$AY55),0))</f>
        <v>0</v>
      </c>
      <c r="BA55" s="89">
        <f t="shared" si="18"/>
        <v>0.95</v>
      </c>
      <c r="BB55" s="9">
        <f>IF($C55="&lt;01",ROUND(INDEX(EID!$T:$T,MATCH($B55,EID!$B:$B,0))/2,0),ROUND($AZ55*$BA55,0))</f>
        <v>0</v>
      </c>
      <c r="BC55" s="93">
        <f t="shared" si="19"/>
        <v>0</v>
      </c>
      <c r="BD55" s="90">
        <f t="shared" si="20"/>
        <v>0.95</v>
      </c>
      <c r="BE55" s="42">
        <f>IF($C55="&lt;01",ROUND(INDEX(EID!$V:$V,MATCH($B55,EID!$B:$B,0))/2,0),ROUND($BD55*$BB55,0))</f>
        <v>0</v>
      </c>
      <c r="BF55" s="42">
        <f t="shared" si="21"/>
        <v>0</v>
      </c>
      <c r="BG55" s="116">
        <f t="shared" si="22"/>
        <v>0.95</v>
      </c>
      <c r="BH55" s="9">
        <f>IF($C55="&lt;01",ROUND(INDEX(EID!$L:$L,MATCH($B55,EID!$B:$B,0)),0)/2,IF(SUM($BG55)=0,"",ROUND($AX55/$BG55,0)))</f>
        <v>0</v>
      </c>
    </row>
    <row r="56" spans="1:60" x14ac:dyDescent="0.2">
      <c r="A56" t="str">
        <f>INDEX(Prioritization!$D:$D,MATCH($B56,Prioritization!$A:$A,0))</f>
        <v>1 - Scale-up: Saturation</v>
      </c>
      <c r="B56" t="s">
        <v>195</v>
      </c>
      <c r="C56" t="s">
        <v>367</v>
      </c>
      <c r="D56" t="s">
        <v>47</v>
      </c>
      <c r="E56" t="str">
        <f t="shared" si="0"/>
        <v>Dowa District [zphK9WV8JB4]|50+|Male</v>
      </c>
      <c r="F56" s="14"/>
      <c r="G56" s="14"/>
      <c r="H56" s="14"/>
      <c r="I56" s="14"/>
      <c r="J56" s="14"/>
      <c r="K56" s="14"/>
      <c r="L56" s="14"/>
      <c r="M56" s="14"/>
      <c r="N56" s="14"/>
      <c r="O56" s="14" t="str">
        <f t="shared" si="1"/>
        <v/>
      </c>
      <c r="P56" s="14"/>
      <c r="Q56" s="14"/>
      <c r="R56" s="14" t="str">
        <f t="shared" si="2"/>
        <v/>
      </c>
      <c r="S56" s="14">
        <f>IF(LEFT($B56,4)="_Mil","",_xlfn.IFNA(ROUND(INDEX(Spectrum!$N:$N,MATCH(RIGHT($B56,13)&amp;"|"&amp;$C56&amp;"|"&amp;$D56&amp;"|"&amp;S$14&amp;"|"&amp;"CY2022Q4",Spectrum!$R:$R,0)),0),""))</f>
        <v>1636</v>
      </c>
      <c r="T56" s="42">
        <f>IF(LEFT($B56,4)="_Mil","",_xlfn.IFNA(ROUND(INDEX(Spectrum!$N:$N,MATCH(RIGHT($B56,13)&amp;"|"&amp;$C56&amp;"|"&amp;$D56&amp;"|"&amp;T$14&amp;"|"&amp;"CY2023Q3",Spectrum!$R:$R,0)),0),""))</f>
        <v>816</v>
      </c>
      <c r="U56" s="42" t="str">
        <f>IF(LEFT($B56,4)="_Mil","",_xlfn.IFNA(ROUND(INDEX(Spectrum!$N:$N,MATCH(RIGHT($B56,13)&amp;"|"&amp;$C56&amp;"|"&amp;$D56&amp;"|"&amp;U$14&amp;"|"&amp;"CY2023Q3",Spectrum!$R:$R,0)),0),""))</f>
        <v/>
      </c>
      <c r="V56" s="14">
        <f>IF(LEFT($B56,4)="_Mil","",_xlfn.IFNA(ROUND(INDEX(Spectrum!$N:$N,MATCH(RIGHT($B56,13)&amp;"|"&amp;$C56&amp;"|"&amp;$D56&amp;"|"&amp;V$14&amp;"|"&amp;"CY2023Q3",Spectrum!$R:$R,0)),0),""))</f>
        <v>1083</v>
      </c>
      <c r="W56" s="115">
        <f>IF(LEFT($B56,4)="_Mil","",_xlfn.IFNA(INDEX(Spectrum!$N:$N,MATCH(RIGHT($B56,13)&amp;"|"&amp;$C56&amp;"|"&amp;$D56&amp;"|"&amp;W$14&amp;"|"&amp;"CY2023Q3",Spectrum!$R:$R,0)),""))</f>
        <v>636</v>
      </c>
      <c r="X56" s="42">
        <f>IF(LEFT($B56,4)="_Mil","",_xlfn.IFNA(ROUND(INDEX(Spectrum!$N:$N,MATCH(RIGHT($B56,13)&amp;"|"&amp;$C56&amp;"|"&amp;$D56&amp;"|"&amp;X$14&amp;"|"&amp;"CY2023Q3",Spectrum!$R:$R,0)),0),""))</f>
        <v>714</v>
      </c>
      <c r="Y56" s="90" t="str">
        <f t="shared" si="3"/>
        <v/>
      </c>
      <c r="Z56" s="42">
        <f>IF(LEFT($B56,4)="_Mil","",_xlfn.IFNA(ROUND(INDEX(Spectrum!$N:$N,MATCH(RIGHT($B56,13)&amp;"|"&amp;$C56&amp;"|"&amp;$D56&amp;"|"&amp;Z$14&amp;"|"&amp;"CY2023Q3",Spectrum!$R:$R,0)),0),""))</f>
        <v>1982</v>
      </c>
      <c r="AA56" s="90">
        <f>IF(LEFT($B56,4)="_Mil","",IFERROR(1/(1/INDEX(Spectrum!$N:$N,MATCH(RIGHT($B56,13)&amp;"|"&amp;$C56&amp;"|"&amp;$D56&amp;"|"&amp;AA$14&amp;"|"&amp;"CY2023Q3",Spectrum!$R:$R,0))),IF(SUM($U56)=0,"",SUM($Z56)/$U56)))</f>
        <v>1591</v>
      </c>
      <c r="AB56" s="90">
        <f t="shared" si="4"/>
        <v>2.7759103641456582</v>
      </c>
      <c r="AC56" s="14">
        <f>IF(LEFT($B56,4)="_Mil","",_xlfn.IFNA(ROUND(INDEX(Spectrum!$N:$N,MATCH(RIGHT($B56,13)&amp;"|"&amp;$C56&amp;"|"&amp;$D56&amp;"|"&amp;AC$14&amp;"|"&amp;"CY2023Q3",Spectrum!$R:$R,0)),0),""))</f>
        <v>725</v>
      </c>
      <c r="AD56" s="14" t="str">
        <f>IF(LEFT($B56,4)="_Mil","",_xlfn.IFNA(ROUND(INDEX(Spectrum!$N:$N,MATCH(RIGHT($B56,13)&amp;"|"&amp;$C56&amp;"|"&amp;$D56&amp;"|"&amp;AD$14&amp;"|"&amp;"CY2023Q3",Spectrum!$R:$R,0)),0),""))</f>
        <v/>
      </c>
      <c r="AE56" s="90">
        <f t="shared" si="5"/>
        <v>0</v>
      </c>
      <c r="AF56" s="42" t="str">
        <f>IF(LEFT($B56,4)="_Mil","",_xlfn.IFNA(ROUND(INDEX(Spectrum!$N:$N,MATCH(RIGHT($B56,13)&amp;"|"&amp;$C56&amp;"|"&amp;$D56&amp;"|"&amp;AF$14&amp;"|"&amp;"CY2023Q3",Spectrum!$R:$R,0)),0),""))</f>
        <v/>
      </c>
      <c r="AG56" s="90" t="str">
        <f t="shared" si="6"/>
        <v/>
      </c>
      <c r="AH56" s="88" t="str">
        <f>IF(LEFT($B56,4)="_Mil","",_xlfn.IFNA(INDEX(Spectrum!$N:$N,MATCH(RIGHT($B56,13)&amp;"|"&amp;$C56&amp;"|"&amp;$D56&amp;"|"&amp;AH$14&amp;"|"&amp;"CY2023Q3",Spectrum!$R:$R,0)),""))</f>
        <v/>
      </c>
      <c r="AI56" s="14" t="str">
        <f>IF(LEFT($B56,4)="_Mil","",_xlfn.IFNA(ROUND(INDEX(Spectrum!$N:$N,MATCH(RIGHT($B56,13)&amp;"|"&amp;$C56&amp;"|"&amp;$D56&amp;"|"&amp;AI$14&amp;"|"&amp;"CY2023Q3",Spectrum!$R:$R,0)),0),""))</f>
        <v/>
      </c>
      <c r="AJ56" s="42">
        <f>IF(LEFT($B56,4)="_Mil","",_xlfn.IFNA(ROUND(INDEX(Spectrum!$N:$N,MATCH(RIGHT($B56,13)&amp;"|"&amp;$C56&amp;"|"&amp;$D56&amp;"|"&amp;AI$14&amp;"|"&amp;"CY2023Q3",Spectrum!$R:$R,0)),0),SUM($U56)+SUM($AI56)))</f>
        <v>0</v>
      </c>
      <c r="AK56" s="14" t="str">
        <f>IF(LEFT($B56,4)="_Mil","",_xlfn.IFNA(ROUND(INDEX(Spectrum!$N:$N,MATCH(RIGHT($B56,13)&amp;"|"&amp;$C56&amp;"|"&amp;$D56&amp;"|"&amp;AK$14&amp;"|"&amp;"CY2023Q3",Spectrum!$R:$R,0)),0),""))</f>
        <v/>
      </c>
      <c r="AL56" s="90">
        <f t="shared" si="7"/>
        <v>1591</v>
      </c>
      <c r="AM56" s="14">
        <f t="shared" si="8"/>
        <v>0</v>
      </c>
      <c r="AN56" s="14" t="str">
        <f>IF($C56="&lt;01",ROUND(INDEX(EID!$P:$P,MATCH($B56,EID!$B:$B,0))/2,0),"")</f>
        <v/>
      </c>
      <c r="AO56" s="14">
        <f t="shared" si="9"/>
        <v>0</v>
      </c>
      <c r="AP56" s="42">
        <f t="shared" si="10"/>
        <v>0</v>
      </c>
      <c r="AQ56" s="42">
        <f t="shared" si="11"/>
        <v>1982</v>
      </c>
      <c r="AR56" s="90" t="str">
        <f t="shared" si="12"/>
        <v/>
      </c>
      <c r="AS56" s="90">
        <f t="shared" si="24"/>
        <v>0.98</v>
      </c>
      <c r="AT56" s="90">
        <f t="shared" si="24"/>
        <v>0.98</v>
      </c>
      <c r="AU56" s="14">
        <f t="shared" si="14"/>
        <v>0</v>
      </c>
      <c r="AV56" s="14">
        <f>IF($C56="&lt;01",ROUND(INDEX(EID!$N:$N,MATCH($B56,EID!$B:$B,0))/2,0),IF(SUM($AT56)=0,"",ROUND((SUM($AP56)-(SUM($O56)*SUM($AS56)))/$AT56,0)))</f>
        <v>0</v>
      </c>
      <c r="AW56" s="90">
        <f t="shared" si="15"/>
        <v>1</v>
      </c>
      <c r="AX56" s="42">
        <f t="shared" si="16"/>
        <v>0</v>
      </c>
      <c r="AY56" s="116">
        <f t="shared" si="17"/>
        <v>0.7</v>
      </c>
      <c r="AZ56" s="93">
        <f>IF($C56="&lt;01",ROUND(INDEX(EID!$R:$R,MATCH($B56,EID!$B:$B,0))/2,0),ROUND(SUM($O56)+(SUM($AV56)*$AY56),0))</f>
        <v>0</v>
      </c>
      <c r="BA56" s="89">
        <f t="shared" si="18"/>
        <v>0.95</v>
      </c>
      <c r="BB56" s="9">
        <f>IF($C56="&lt;01",ROUND(INDEX(EID!$T:$T,MATCH($B56,EID!$B:$B,0))/2,0),ROUND($AZ56*$BA56,0))</f>
        <v>0</v>
      </c>
      <c r="BC56" s="93">
        <f t="shared" si="19"/>
        <v>0</v>
      </c>
      <c r="BD56" s="90">
        <f t="shared" si="20"/>
        <v>0.95</v>
      </c>
      <c r="BE56" s="42">
        <f>IF($C56="&lt;01",ROUND(INDEX(EID!$V:$V,MATCH($B56,EID!$B:$B,0))/2,0),ROUND($BD56*$BB56,0))</f>
        <v>0</v>
      </c>
      <c r="BF56" s="42">
        <f t="shared" si="21"/>
        <v>0</v>
      </c>
      <c r="BG56" s="116">
        <f t="shared" si="22"/>
        <v>0.95</v>
      </c>
      <c r="BH56" s="9">
        <f>IF($C56="&lt;01",ROUND(INDEX(EID!$L:$L,MATCH($B56,EID!$B:$B,0)),0)/2,IF(SUM($BG56)=0,"",ROUND($AX56/$BG56,0)))</f>
        <v>0</v>
      </c>
    </row>
    <row r="57" spans="1:60" x14ac:dyDescent="0.2">
      <c r="A57" t="str">
        <f>INDEX(Prioritization!$D:$D,MATCH($B57,Prioritization!$A:$A,0))</f>
        <v>INVALID</v>
      </c>
      <c r="B57" t="s">
        <v>196</v>
      </c>
      <c r="C57" t="s">
        <v>315</v>
      </c>
      <c r="D57" t="s">
        <v>29</v>
      </c>
      <c r="E57" t="str">
        <f t="shared" si="0"/>
        <v>Kasungu District [JQKLKuVuY61]|&lt;01|Female</v>
      </c>
      <c r="F57" s="14"/>
      <c r="G57" s="14">
        <v>2</v>
      </c>
      <c r="H57" s="14">
        <v>5</v>
      </c>
      <c r="I57" s="14">
        <v>1</v>
      </c>
      <c r="J57" s="14">
        <v>54</v>
      </c>
      <c r="K57" s="14">
        <v>65</v>
      </c>
      <c r="L57" s="14"/>
      <c r="M57" s="14">
        <v>1</v>
      </c>
      <c r="N57" s="14">
        <v>1</v>
      </c>
      <c r="O57" s="14">
        <f t="shared" si="1"/>
        <v>1</v>
      </c>
      <c r="P57" s="14">
        <v>0</v>
      </c>
      <c r="Q57" s="14">
        <v>1</v>
      </c>
      <c r="R57" s="14">
        <f t="shared" si="2"/>
        <v>0</v>
      </c>
      <c r="S57" s="14">
        <f>IF(LEFT($B57,4)="_Mil","",_xlfn.IFNA(ROUND(INDEX(Spectrum!$N:$N,MATCH(RIGHT($B57,13)&amp;"|"&amp;$C57&amp;"|"&amp;$D57&amp;"|"&amp;S$14&amp;"|"&amp;"CY2022Q4",Spectrum!$R:$R,0)),0),""))</f>
        <v>880</v>
      </c>
      <c r="T57" s="42">
        <f>IF(LEFT($B57,4)="_Mil","",_xlfn.IFNA(ROUND(INDEX(Spectrum!$N:$N,MATCH(RIGHT($B57,13)&amp;"|"&amp;$C57&amp;"|"&amp;$D57&amp;"|"&amp;T$14&amp;"|"&amp;"CY2023Q3",Spectrum!$R:$R,0)),0),""))</f>
        <v>693</v>
      </c>
      <c r="U57" s="42" t="str">
        <f>IF(LEFT($B57,4)="_Mil","",_xlfn.IFNA(ROUND(INDEX(Spectrum!$N:$N,MATCH(RIGHT($B57,13)&amp;"|"&amp;$C57&amp;"|"&amp;$D57&amp;"|"&amp;U$14&amp;"|"&amp;"CY2023Q3",Spectrum!$R:$R,0)),0),""))</f>
        <v/>
      </c>
      <c r="V57" s="14">
        <f>IF(LEFT($B57,4)="_Mil","",_xlfn.IFNA(ROUND(INDEX(Spectrum!$N:$N,MATCH(RIGHT($B57,13)&amp;"|"&amp;$C57&amp;"|"&amp;$D57&amp;"|"&amp;V$14&amp;"|"&amp;"CY2023Q3",Spectrum!$R:$R,0)),0),""))</f>
        <v>826</v>
      </c>
      <c r="W57" s="115">
        <f>IF(LEFT($B57,4)="_Mil","",_xlfn.IFNA(INDEX(Spectrum!$N:$N,MATCH(RIGHT($B57,13)&amp;"|"&amp;$C57&amp;"|"&amp;$D57&amp;"|"&amp;W$14&amp;"|"&amp;"CY2023Q3",Spectrum!$R:$R,0)),""))</f>
        <v>685</v>
      </c>
      <c r="X57" s="42">
        <f>IF(LEFT($B57,4)="_Mil","",_xlfn.IFNA(ROUND(INDEX(Spectrum!$N:$N,MATCH(RIGHT($B57,13)&amp;"|"&amp;$C57&amp;"|"&amp;$D57&amp;"|"&amp;X$14&amp;"|"&amp;"CY2023Q3",Spectrum!$R:$R,0)),0),""))</f>
        <v>730</v>
      </c>
      <c r="Y57" s="90" t="str">
        <f t="shared" si="3"/>
        <v/>
      </c>
      <c r="Z57" s="42">
        <f>IF(LEFT($B57,4)="_Mil","",_xlfn.IFNA(ROUND(INDEX(Spectrum!$N:$N,MATCH(RIGHT($B57,13)&amp;"|"&amp;$C57&amp;"|"&amp;$D57&amp;"|"&amp;Z$14&amp;"|"&amp;"CY2023Q3",Spectrum!$R:$R,0)),0),""))</f>
        <v>747</v>
      </c>
      <c r="AA57" s="90">
        <f>IF(LEFT($B57,4)="_Mil","",IFERROR(1/(1/INDEX(Spectrum!$N:$N,MATCH(RIGHT($B57,13)&amp;"|"&amp;$C57&amp;"|"&amp;$D57&amp;"|"&amp;AA$14&amp;"|"&amp;"CY2023Q3",Spectrum!$R:$R,0))),IF(SUM($U57)=0,"",SUM($Z57)/$U57)))</f>
        <v>931</v>
      </c>
      <c r="AB57" s="90">
        <f t="shared" si="4"/>
        <v>1.0232876712328767</v>
      </c>
      <c r="AC57" s="14">
        <f>IF(LEFT($B57,4)="_Mil","",_xlfn.IFNA(ROUND(INDEX(Spectrum!$N:$N,MATCH(RIGHT($B57,13)&amp;"|"&amp;$C57&amp;"|"&amp;$D57&amp;"|"&amp;AC$14&amp;"|"&amp;"CY2023Q3",Spectrum!$R:$R,0)),0),""))</f>
        <v>1461</v>
      </c>
      <c r="AD57" s="14" t="str">
        <f>IF(LEFT($B57,4)="_Mil","",_xlfn.IFNA(ROUND(INDEX(Spectrum!$N:$N,MATCH(RIGHT($B57,13)&amp;"|"&amp;$C57&amp;"|"&amp;$D57&amp;"|"&amp;AD$14&amp;"|"&amp;"CY2023Q3",Spectrum!$R:$R,0)),0),""))</f>
        <v/>
      </c>
      <c r="AE57" s="90">
        <f t="shared" si="5"/>
        <v>0</v>
      </c>
      <c r="AF57" s="42" t="str">
        <f>IF(LEFT($B57,4)="_Mil","",_xlfn.IFNA(ROUND(INDEX(Spectrum!$N:$N,MATCH(RIGHT($B57,13)&amp;"|"&amp;$C57&amp;"|"&amp;$D57&amp;"|"&amp;AF$14&amp;"|"&amp;"CY2023Q3",Spectrum!$R:$R,0)),0),""))</f>
        <v/>
      </c>
      <c r="AG57" s="90" t="str">
        <f t="shared" si="6"/>
        <v/>
      </c>
      <c r="AH57" s="88" t="str">
        <f>IF(LEFT($B57,4)="_Mil","",_xlfn.IFNA(INDEX(Spectrum!$N:$N,MATCH(RIGHT($B57,13)&amp;"|"&amp;$C57&amp;"|"&amp;$D57&amp;"|"&amp;AH$14&amp;"|"&amp;"CY2023Q3",Spectrum!$R:$R,0)),""))</f>
        <v/>
      </c>
      <c r="AI57" s="14" t="str">
        <f>IF(LEFT($B57,4)="_Mil","",_xlfn.IFNA(ROUND(INDEX(Spectrum!$N:$N,MATCH(RIGHT($B57,13)&amp;"|"&amp;$C57&amp;"|"&amp;$D57&amp;"|"&amp;AI$14&amp;"|"&amp;"CY2023Q3",Spectrum!$R:$R,0)),0),""))</f>
        <v/>
      </c>
      <c r="AJ57" s="42">
        <f>IF(LEFT($B57,4)="_Mil","",_xlfn.IFNA(ROUND(INDEX(Spectrum!$N:$N,MATCH(RIGHT($B57,13)&amp;"|"&amp;$C57&amp;"|"&amp;$D57&amp;"|"&amp;AI$14&amp;"|"&amp;"CY2023Q3",Spectrum!$R:$R,0)),0),SUM($U57)+SUM($AI57)))</f>
        <v>0</v>
      </c>
      <c r="AK57" s="14" t="str">
        <f>IF(LEFT($B57,4)="_Mil","",_xlfn.IFNA(ROUND(INDEX(Spectrum!$N:$N,MATCH(RIGHT($B57,13)&amp;"|"&amp;$C57&amp;"|"&amp;$D57&amp;"|"&amp;AK$14&amp;"|"&amp;"CY2023Q3",Spectrum!$R:$R,0)),0),""))</f>
        <v/>
      </c>
      <c r="AL57" s="90" t="str">
        <f t="shared" si="7"/>
        <v/>
      </c>
      <c r="AM57" s="14" t="str">
        <f t="shared" si="8"/>
        <v/>
      </c>
      <c r="AN57" s="14">
        <f>IF($C57="&lt;01",ROUND(INDEX(EID!$P:$P,MATCH($B57,EID!$B:$B,0))/2,0),"")</f>
        <v>0</v>
      </c>
      <c r="AO57" s="14">
        <f t="shared" si="9"/>
        <v>0</v>
      </c>
      <c r="AP57" s="42">
        <f t="shared" si="10"/>
        <v>0</v>
      </c>
      <c r="AQ57" s="42">
        <f t="shared" si="11"/>
        <v>747</v>
      </c>
      <c r="AR57" s="90" t="str">
        <f t="shared" si="12"/>
        <v/>
      </c>
      <c r="AS57" s="90" t="str">
        <f t="shared" si="24"/>
        <v/>
      </c>
      <c r="AT57" s="90" t="str">
        <f t="shared" si="24"/>
        <v/>
      </c>
      <c r="AU57" s="14" t="str">
        <f t="shared" si="14"/>
        <v/>
      </c>
      <c r="AV57" s="14">
        <f>IF($C57="&lt;01",ROUND(INDEX(EID!$N:$N,MATCH($B57,EID!$B:$B,0))/2,0),IF(SUM($AT57)=0,"",ROUND((SUM($AP57)-(SUM($O57)*SUM($AS57)))/$AT57,0)))</f>
        <v>0</v>
      </c>
      <c r="AW57" s="90" t="str">
        <f t="shared" si="15"/>
        <v/>
      </c>
      <c r="AX57" s="42">
        <f t="shared" si="16"/>
        <v>0</v>
      </c>
      <c r="AY57" s="116" t="str">
        <f t="shared" si="17"/>
        <v/>
      </c>
      <c r="AZ57" s="93">
        <f>IF($C57="&lt;01",ROUND(INDEX(EID!$R:$R,MATCH($B57,EID!$B:$B,0))/2,0),ROUND(SUM($O57)+(SUM($AV57)*$AY57),0))</f>
        <v>0</v>
      </c>
      <c r="BA57" s="89" t="str">
        <f t="shared" si="18"/>
        <v/>
      </c>
      <c r="BB57" s="9">
        <f>IF($C57="&lt;01",ROUND(INDEX(EID!$T:$T,MATCH($B57,EID!$B:$B,0))/2,0),ROUND($AZ57*$BA57,0))</f>
        <v>0</v>
      </c>
      <c r="BC57" s="93">
        <f t="shared" si="19"/>
        <v>0</v>
      </c>
      <c r="BD57" s="90" t="str">
        <f t="shared" si="20"/>
        <v/>
      </c>
      <c r="BE57" s="42">
        <f>IF($C57="&lt;01",ROUND(INDEX(EID!$V:$V,MATCH($B57,EID!$B:$B,0))/2,0),ROUND($BD57*$BB57,0))</f>
        <v>0</v>
      </c>
      <c r="BF57" s="42">
        <f t="shared" si="21"/>
        <v>0</v>
      </c>
      <c r="BG57" s="116" t="str">
        <f t="shared" si="22"/>
        <v/>
      </c>
      <c r="BH57" s="9">
        <f>IF($C57="&lt;01",ROUND(INDEX(EID!$L:$L,MATCH($B57,EID!$B:$B,0)),0)/2,IF(SUM($BG57)=0,"",ROUND($AX57/$BG57,0)))</f>
        <v>0</v>
      </c>
    </row>
    <row r="58" spans="1:60" x14ac:dyDescent="0.2">
      <c r="A58" t="str">
        <f>INDEX(Prioritization!$D:$D,MATCH($B58,Prioritization!$A:$A,0))</f>
        <v>INVALID</v>
      </c>
      <c r="B58" t="s">
        <v>196</v>
      </c>
      <c r="C58" t="s">
        <v>315</v>
      </c>
      <c r="D58" t="s">
        <v>47</v>
      </c>
      <c r="E58" t="str">
        <f t="shared" si="0"/>
        <v>Kasungu District [JQKLKuVuY61]|&lt;01|Male</v>
      </c>
      <c r="F58" s="14"/>
      <c r="G58" s="14">
        <v>5</v>
      </c>
      <c r="H58" s="14">
        <v>9</v>
      </c>
      <c r="I58" s="14">
        <v>1</v>
      </c>
      <c r="J58" s="14">
        <v>5</v>
      </c>
      <c r="K58" s="14">
        <v>10</v>
      </c>
      <c r="L58" s="14"/>
      <c r="M58" s="14">
        <v>1</v>
      </c>
      <c r="N58" s="14">
        <v>0</v>
      </c>
      <c r="O58" s="14">
        <f t="shared" si="1"/>
        <v>1</v>
      </c>
      <c r="P58" s="14">
        <v>1</v>
      </c>
      <c r="Q58" s="14">
        <v>0</v>
      </c>
      <c r="R58" s="14">
        <f t="shared" si="2"/>
        <v>0</v>
      </c>
      <c r="S58" s="14">
        <f>IF(LEFT($B58,4)="_Mil","",_xlfn.IFNA(ROUND(INDEX(Spectrum!$N:$N,MATCH(RIGHT($B58,13)&amp;"|"&amp;$C58&amp;"|"&amp;$D58&amp;"|"&amp;S$14&amp;"|"&amp;"CY2022Q4",Spectrum!$R:$R,0)),0),""))</f>
        <v>1507</v>
      </c>
      <c r="T58" s="42">
        <f>IF(LEFT($B58,4)="_Mil","",_xlfn.IFNA(ROUND(INDEX(Spectrum!$N:$N,MATCH(RIGHT($B58,13)&amp;"|"&amp;$C58&amp;"|"&amp;$D58&amp;"|"&amp;T$14&amp;"|"&amp;"CY2023Q3",Spectrum!$R:$R,0)),0),""))</f>
        <v>1954</v>
      </c>
      <c r="U58" s="42" t="str">
        <f>IF(LEFT($B58,4)="_Mil","",_xlfn.IFNA(ROUND(INDEX(Spectrum!$N:$N,MATCH(RIGHT($B58,13)&amp;"|"&amp;$C58&amp;"|"&amp;$D58&amp;"|"&amp;U$14&amp;"|"&amp;"CY2023Q3",Spectrum!$R:$R,0)),0),""))</f>
        <v/>
      </c>
      <c r="V58" s="14">
        <f>IF(LEFT($B58,4)="_Mil","",_xlfn.IFNA(ROUND(INDEX(Spectrum!$N:$N,MATCH(RIGHT($B58,13)&amp;"|"&amp;$C58&amp;"|"&amp;$D58&amp;"|"&amp;V$14&amp;"|"&amp;"CY2023Q3",Spectrum!$R:$R,0)),0),""))</f>
        <v>619</v>
      </c>
      <c r="W58" s="115">
        <f>IF(LEFT($B58,4)="_Mil","",_xlfn.IFNA(INDEX(Spectrum!$N:$N,MATCH(RIGHT($B58,13)&amp;"|"&amp;$C58&amp;"|"&amp;$D58&amp;"|"&amp;W$14&amp;"|"&amp;"CY2023Q3",Spectrum!$R:$R,0)),""))</f>
        <v>1515</v>
      </c>
      <c r="X58" s="42">
        <f>IF(LEFT($B58,4)="_Mil","",_xlfn.IFNA(ROUND(INDEX(Spectrum!$N:$N,MATCH(RIGHT($B58,13)&amp;"|"&amp;$C58&amp;"|"&amp;$D58&amp;"|"&amp;X$14&amp;"|"&amp;"CY2023Q3",Spectrum!$R:$R,0)),0),""))</f>
        <v>1695</v>
      </c>
      <c r="Y58" s="90" t="str">
        <f t="shared" si="3"/>
        <v/>
      </c>
      <c r="Z58" s="42">
        <f>IF(LEFT($B58,4)="_Mil","",_xlfn.IFNA(ROUND(INDEX(Spectrum!$N:$N,MATCH(RIGHT($B58,13)&amp;"|"&amp;$C58&amp;"|"&amp;$D58&amp;"|"&amp;Z$14&amp;"|"&amp;"CY2023Q3",Spectrum!$R:$R,0)),0),""))</f>
        <v>1537</v>
      </c>
      <c r="AA58" s="90">
        <f>IF(LEFT($B58,4)="_Mil","",IFERROR(1/(1/INDEX(Spectrum!$N:$N,MATCH(RIGHT($B58,13)&amp;"|"&amp;$C58&amp;"|"&amp;$D58&amp;"|"&amp;AA$14&amp;"|"&amp;"CY2023Q3",Spectrum!$R:$R,0))),IF(SUM($U58)=0,"",SUM($Z58)/$U58)))</f>
        <v>1980</v>
      </c>
      <c r="AB58" s="90">
        <f t="shared" si="4"/>
        <v>0.90678466076696163</v>
      </c>
      <c r="AC58" s="14">
        <f>IF(LEFT($B58,4)="_Mil","",_xlfn.IFNA(ROUND(INDEX(Spectrum!$N:$N,MATCH(RIGHT($B58,13)&amp;"|"&amp;$C58&amp;"|"&amp;$D58&amp;"|"&amp;AC$14&amp;"|"&amp;"CY2023Q3",Spectrum!$R:$R,0)),0),""))</f>
        <v>1934</v>
      </c>
      <c r="AD58" s="14" t="str">
        <f>IF(LEFT($B58,4)="_Mil","",_xlfn.IFNA(ROUND(INDEX(Spectrum!$N:$N,MATCH(RIGHT($B58,13)&amp;"|"&amp;$C58&amp;"|"&amp;$D58&amp;"|"&amp;AD$14&amp;"|"&amp;"CY2023Q3",Spectrum!$R:$R,0)),0),""))</f>
        <v/>
      </c>
      <c r="AE58" s="90">
        <f t="shared" si="5"/>
        <v>0</v>
      </c>
      <c r="AF58" s="42" t="str">
        <f>IF(LEFT($B58,4)="_Mil","",_xlfn.IFNA(ROUND(INDEX(Spectrum!$N:$N,MATCH(RIGHT($B58,13)&amp;"|"&amp;$C58&amp;"|"&amp;$D58&amp;"|"&amp;AF$14&amp;"|"&amp;"CY2023Q3",Spectrum!$R:$R,0)),0),""))</f>
        <v/>
      </c>
      <c r="AG58" s="90" t="str">
        <f t="shared" si="6"/>
        <v/>
      </c>
      <c r="AH58" s="88" t="str">
        <f>IF(LEFT($B58,4)="_Mil","",_xlfn.IFNA(INDEX(Spectrum!$N:$N,MATCH(RIGHT($B58,13)&amp;"|"&amp;$C58&amp;"|"&amp;$D58&amp;"|"&amp;AH$14&amp;"|"&amp;"CY2023Q3",Spectrum!$R:$R,0)),""))</f>
        <v/>
      </c>
      <c r="AI58" s="14" t="str">
        <f>IF(LEFT($B58,4)="_Mil","",_xlfn.IFNA(ROUND(INDEX(Spectrum!$N:$N,MATCH(RIGHT($B58,13)&amp;"|"&amp;$C58&amp;"|"&amp;$D58&amp;"|"&amp;AI$14&amp;"|"&amp;"CY2023Q3",Spectrum!$R:$R,0)),0),""))</f>
        <v/>
      </c>
      <c r="AJ58" s="42">
        <f>IF(LEFT($B58,4)="_Mil","",_xlfn.IFNA(ROUND(INDEX(Spectrum!$N:$N,MATCH(RIGHT($B58,13)&amp;"|"&amp;$C58&amp;"|"&amp;$D58&amp;"|"&amp;AI$14&amp;"|"&amp;"CY2023Q3",Spectrum!$R:$R,0)),0),SUM($U58)+SUM($AI58)))</f>
        <v>0</v>
      </c>
      <c r="AK58" s="14" t="str">
        <f>IF(LEFT($B58,4)="_Mil","",_xlfn.IFNA(ROUND(INDEX(Spectrum!$N:$N,MATCH(RIGHT($B58,13)&amp;"|"&amp;$C58&amp;"|"&amp;$D58&amp;"|"&amp;AK$14&amp;"|"&amp;"CY2023Q3",Spectrum!$R:$R,0)),0),""))</f>
        <v/>
      </c>
      <c r="AL58" s="90" t="str">
        <f t="shared" si="7"/>
        <v/>
      </c>
      <c r="AM58" s="14" t="str">
        <f t="shared" si="8"/>
        <v/>
      </c>
      <c r="AN58" s="14">
        <f>IF($C58="&lt;01",ROUND(INDEX(EID!$P:$P,MATCH($B58,EID!$B:$B,0))/2,0),"")</f>
        <v>0</v>
      </c>
      <c r="AO58" s="14">
        <f t="shared" si="9"/>
        <v>0</v>
      </c>
      <c r="AP58" s="42">
        <f t="shared" si="10"/>
        <v>0</v>
      </c>
      <c r="AQ58" s="42">
        <f t="shared" si="11"/>
        <v>1537</v>
      </c>
      <c r="AR58" s="90" t="str">
        <f t="shared" si="12"/>
        <v/>
      </c>
      <c r="AS58" s="90" t="str">
        <f t="shared" si="24"/>
        <v/>
      </c>
      <c r="AT58" s="90" t="str">
        <f t="shared" si="24"/>
        <v/>
      </c>
      <c r="AU58" s="14" t="str">
        <f t="shared" si="14"/>
        <v/>
      </c>
      <c r="AV58" s="14">
        <f>IF($C58="&lt;01",ROUND(INDEX(EID!$N:$N,MATCH($B58,EID!$B:$B,0))/2,0),IF(SUM($AT58)=0,"",ROUND((SUM($AP58)-(SUM($O58)*SUM($AS58)))/$AT58,0)))</f>
        <v>0</v>
      </c>
      <c r="AW58" s="90" t="str">
        <f t="shared" si="15"/>
        <v/>
      </c>
      <c r="AX58" s="42">
        <f t="shared" si="16"/>
        <v>0</v>
      </c>
      <c r="AY58" s="116" t="str">
        <f t="shared" si="17"/>
        <v/>
      </c>
      <c r="AZ58" s="93">
        <f>IF($C58="&lt;01",ROUND(INDEX(EID!$R:$R,MATCH($B58,EID!$B:$B,0))/2,0),ROUND(SUM($O58)+(SUM($AV58)*$AY58),0))</f>
        <v>0</v>
      </c>
      <c r="BA58" s="89" t="str">
        <f t="shared" si="18"/>
        <v/>
      </c>
      <c r="BB58" s="9">
        <f>IF($C58="&lt;01",ROUND(INDEX(EID!$T:$T,MATCH($B58,EID!$B:$B,0))/2,0),ROUND($AZ58*$BA58,0))</f>
        <v>0</v>
      </c>
      <c r="BC58" s="93">
        <f t="shared" si="19"/>
        <v>0</v>
      </c>
      <c r="BD58" s="90" t="str">
        <f t="shared" si="20"/>
        <v/>
      </c>
      <c r="BE58" s="42">
        <f>IF($C58="&lt;01",ROUND(INDEX(EID!$V:$V,MATCH($B58,EID!$B:$B,0))/2,0),ROUND($BD58*$BB58,0))</f>
        <v>0</v>
      </c>
      <c r="BF58" s="42">
        <f t="shared" si="21"/>
        <v>0</v>
      </c>
      <c r="BG58" s="116" t="str">
        <f t="shared" si="22"/>
        <v/>
      </c>
      <c r="BH58" s="9">
        <f>IF($C58="&lt;01",ROUND(INDEX(EID!$L:$L,MATCH($B58,EID!$B:$B,0)),0)/2,IF(SUM($BG58)=0,"",ROUND($AX58/$BG58,0)))</f>
        <v>0</v>
      </c>
    </row>
    <row r="59" spans="1:60" x14ac:dyDescent="0.2">
      <c r="A59" t="str">
        <f>INDEX(Prioritization!$D:$D,MATCH($B59,Prioritization!$A:$A,0))</f>
        <v>INVALID</v>
      </c>
      <c r="B59" t="s">
        <v>196</v>
      </c>
      <c r="C59" t="s">
        <v>362</v>
      </c>
      <c r="D59" t="s">
        <v>29</v>
      </c>
      <c r="E59" t="str">
        <f t="shared" si="0"/>
        <v>Kasungu District [JQKLKuVuY61]|01-09|Female</v>
      </c>
      <c r="F59" s="14"/>
      <c r="G59" s="14"/>
      <c r="H59" s="14"/>
      <c r="I59" s="14"/>
      <c r="J59" s="14"/>
      <c r="K59" s="14"/>
      <c r="L59" s="14"/>
      <c r="M59" s="14"/>
      <c r="N59" s="14"/>
      <c r="O59" s="14" t="str">
        <f t="shared" si="1"/>
        <v/>
      </c>
      <c r="P59" s="14"/>
      <c r="Q59" s="14"/>
      <c r="R59" s="14" t="str">
        <f t="shared" si="2"/>
        <v/>
      </c>
      <c r="S59" s="14">
        <f>IF(LEFT($B59,4)="_Mil","",_xlfn.IFNA(ROUND(INDEX(Spectrum!$N:$N,MATCH(RIGHT($B59,13)&amp;"|"&amp;$C59&amp;"|"&amp;$D59&amp;"|"&amp;S$14&amp;"|"&amp;"CY2022Q4",Spectrum!$R:$R,0)),0),""))</f>
        <v>1350</v>
      </c>
      <c r="T59" s="42">
        <f>IF(LEFT($B59,4)="_Mil","",_xlfn.IFNA(ROUND(INDEX(Spectrum!$N:$N,MATCH(RIGHT($B59,13)&amp;"|"&amp;$C59&amp;"|"&amp;$D59&amp;"|"&amp;T$14&amp;"|"&amp;"CY2023Q3",Spectrum!$R:$R,0)),0),""))</f>
        <v>1605</v>
      </c>
      <c r="U59" s="42" t="str">
        <f>IF(LEFT($B59,4)="_Mil","",_xlfn.IFNA(ROUND(INDEX(Spectrum!$N:$N,MATCH(RIGHT($B59,13)&amp;"|"&amp;$C59&amp;"|"&amp;$D59&amp;"|"&amp;U$14&amp;"|"&amp;"CY2023Q3",Spectrum!$R:$R,0)),0),""))</f>
        <v/>
      </c>
      <c r="V59" s="14">
        <f>IF(LEFT($B59,4)="_Mil","",_xlfn.IFNA(ROUND(INDEX(Spectrum!$N:$N,MATCH(RIGHT($B59,13)&amp;"|"&amp;$C59&amp;"|"&amp;$D59&amp;"|"&amp;V$14&amp;"|"&amp;"CY2023Q3",Spectrum!$R:$R,0)),0),""))</f>
        <v>682</v>
      </c>
      <c r="W59" s="115">
        <f>IF(LEFT($B59,4)="_Mil","",_xlfn.IFNA(INDEX(Spectrum!$N:$N,MATCH(RIGHT($B59,13)&amp;"|"&amp;$C59&amp;"|"&amp;$D59&amp;"|"&amp;W$14&amp;"|"&amp;"CY2023Q3",Spectrum!$R:$R,0)),""))</f>
        <v>952</v>
      </c>
      <c r="X59" s="42">
        <f>IF(LEFT($B59,4)="_Mil","",_xlfn.IFNA(ROUND(INDEX(Spectrum!$N:$N,MATCH(RIGHT($B59,13)&amp;"|"&amp;$C59&amp;"|"&amp;$D59&amp;"|"&amp;X$14&amp;"|"&amp;"CY2023Q3",Spectrum!$R:$R,0)),0),""))</f>
        <v>1181</v>
      </c>
      <c r="Y59" s="90" t="str">
        <f t="shared" si="3"/>
        <v/>
      </c>
      <c r="Z59" s="42">
        <f>IF(LEFT($B59,4)="_Mil","",_xlfn.IFNA(ROUND(INDEX(Spectrum!$N:$N,MATCH(RIGHT($B59,13)&amp;"|"&amp;$C59&amp;"|"&amp;$D59&amp;"|"&amp;Z$14&amp;"|"&amp;"CY2023Q3",Spectrum!$R:$R,0)),0),""))</f>
        <v>1026</v>
      </c>
      <c r="AA59" s="90">
        <f>IF(LEFT($B59,4)="_Mil","",IFERROR(1/(1/INDEX(Spectrum!$N:$N,MATCH(RIGHT($B59,13)&amp;"|"&amp;$C59&amp;"|"&amp;$D59&amp;"|"&amp;AA$14&amp;"|"&amp;"CY2023Q3",Spectrum!$R:$R,0))),IF(SUM($U59)=0,"",SUM($Z59)/$U59)))</f>
        <v>1209</v>
      </c>
      <c r="AB59" s="90">
        <f t="shared" si="4"/>
        <v>0.86875529212531755</v>
      </c>
      <c r="AC59" s="14">
        <f>IF(LEFT($B59,4)="_Mil","",_xlfn.IFNA(ROUND(INDEX(Spectrum!$N:$N,MATCH(RIGHT($B59,13)&amp;"|"&amp;$C59&amp;"|"&amp;$D59&amp;"|"&amp;AC$14&amp;"|"&amp;"CY2023Q3",Spectrum!$R:$R,0)),0),""))</f>
        <v>1080</v>
      </c>
      <c r="AD59" s="14" t="str">
        <f>IF(LEFT($B59,4)="_Mil","",_xlfn.IFNA(ROUND(INDEX(Spectrum!$N:$N,MATCH(RIGHT($B59,13)&amp;"|"&amp;$C59&amp;"|"&amp;$D59&amp;"|"&amp;AD$14&amp;"|"&amp;"CY2023Q3",Spectrum!$R:$R,0)),0),""))</f>
        <v/>
      </c>
      <c r="AE59" s="90">
        <f t="shared" si="5"/>
        <v>0</v>
      </c>
      <c r="AF59" s="42" t="str">
        <f>IF(LEFT($B59,4)="_Mil","",_xlfn.IFNA(ROUND(INDEX(Spectrum!$N:$N,MATCH(RIGHT($B59,13)&amp;"|"&amp;$C59&amp;"|"&amp;$D59&amp;"|"&amp;AF$14&amp;"|"&amp;"CY2023Q3",Spectrum!$R:$R,0)),0),""))</f>
        <v/>
      </c>
      <c r="AG59" s="90" t="str">
        <f t="shared" si="6"/>
        <v/>
      </c>
      <c r="AH59" s="88" t="str">
        <f>IF(LEFT($B59,4)="_Mil","",_xlfn.IFNA(INDEX(Spectrum!$N:$N,MATCH(RIGHT($B59,13)&amp;"|"&amp;$C59&amp;"|"&amp;$D59&amp;"|"&amp;AH$14&amp;"|"&amp;"CY2023Q3",Spectrum!$R:$R,0)),""))</f>
        <v/>
      </c>
      <c r="AI59" s="14" t="str">
        <f>IF(LEFT($B59,4)="_Mil","",_xlfn.IFNA(ROUND(INDEX(Spectrum!$N:$N,MATCH(RIGHT($B59,13)&amp;"|"&amp;$C59&amp;"|"&amp;$D59&amp;"|"&amp;AI$14&amp;"|"&amp;"CY2023Q3",Spectrum!$R:$R,0)),0),""))</f>
        <v/>
      </c>
      <c r="AJ59" s="42">
        <f>IF(LEFT($B59,4)="_Mil","",_xlfn.IFNA(ROUND(INDEX(Spectrum!$N:$N,MATCH(RIGHT($B59,13)&amp;"|"&amp;$C59&amp;"|"&amp;$D59&amp;"|"&amp;AI$14&amp;"|"&amp;"CY2023Q3",Spectrum!$R:$R,0)),0),SUM($U59)+SUM($AI59)))</f>
        <v>0</v>
      </c>
      <c r="AK59" s="14" t="str">
        <f>IF(LEFT($B59,4)="_Mil","",_xlfn.IFNA(ROUND(INDEX(Spectrum!$N:$N,MATCH(RIGHT($B59,13)&amp;"|"&amp;$C59&amp;"|"&amp;$D59&amp;"|"&amp;AK$14&amp;"|"&amp;"CY2023Q3",Spectrum!$R:$R,0)),0),""))</f>
        <v/>
      </c>
      <c r="AL59" s="90">
        <f t="shared" si="7"/>
        <v>1209</v>
      </c>
      <c r="AM59" s="14">
        <f t="shared" si="8"/>
        <v>0</v>
      </c>
      <c r="AN59" s="14" t="str">
        <f>IF($C59="&lt;01",ROUND(INDEX(EID!$P:$P,MATCH($B59,EID!$B:$B,0))/2,0),"")</f>
        <v/>
      </c>
      <c r="AO59" s="14">
        <f t="shared" si="9"/>
        <v>0</v>
      </c>
      <c r="AP59" s="42">
        <f t="shared" si="10"/>
        <v>0</v>
      </c>
      <c r="AQ59" s="42">
        <f t="shared" si="11"/>
        <v>1026</v>
      </c>
      <c r="AR59" s="90" t="str">
        <f t="shared" si="12"/>
        <v/>
      </c>
      <c r="AS59" s="90">
        <f t="shared" si="24"/>
        <v>0.98</v>
      </c>
      <c r="AT59" s="90">
        <f t="shared" si="24"/>
        <v>0.98</v>
      </c>
      <c r="AU59" s="14">
        <f t="shared" si="14"/>
        <v>0</v>
      </c>
      <c r="AV59" s="14">
        <f>IF($C59="&lt;01",ROUND(INDEX(EID!$N:$N,MATCH($B59,EID!$B:$B,0))/2,0),IF(SUM($AT59)=0,"",ROUND((SUM($AP59)-(SUM($O59)*SUM($AS59)))/$AT59,0)))</f>
        <v>0</v>
      </c>
      <c r="AW59" s="90">
        <f t="shared" si="15"/>
        <v>1</v>
      </c>
      <c r="AX59" s="42">
        <f t="shared" si="16"/>
        <v>0</v>
      </c>
      <c r="AY59" s="116">
        <f t="shared" si="17"/>
        <v>0.7</v>
      </c>
      <c r="AZ59" s="93">
        <f>IF($C59="&lt;01",ROUND(INDEX(EID!$R:$R,MATCH($B59,EID!$B:$B,0))/2,0),ROUND(SUM($O59)+(SUM($AV59)*$AY59),0))</f>
        <v>0</v>
      </c>
      <c r="BA59" s="89">
        <f t="shared" si="18"/>
        <v>0.95</v>
      </c>
      <c r="BB59" s="9">
        <f>IF($C59="&lt;01",ROUND(INDEX(EID!$T:$T,MATCH($B59,EID!$B:$B,0))/2,0),ROUND($AZ59*$BA59,0))</f>
        <v>0</v>
      </c>
      <c r="BC59" s="93">
        <f t="shared" si="19"/>
        <v>0</v>
      </c>
      <c r="BD59" s="90">
        <f t="shared" si="20"/>
        <v>0.95</v>
      </c>
      <c r="BE59" s="42">
        <f>IF($C59="&lt;01",ROUND(INDEX(EID!$V:$V,MATCH($B59,EID!$B:$B,0))/2,0),ROUND($BD59*$BB59,0))</f>
        <v>0</v>
      </c>
      <c r="BF59" s="42">
        <f t="shared" si="21"/>
        <v>0</v>
      </c>
      <c r="BG59" s="116">
        <f t="shared" si="22"/>
        <v>0.95</v>
      </c>
      <c r="BH59" s="9">
        <f>IF($C59="&lt;01",ROUND(INDEX(EID!$L:$L,MATCH($B59,EID!$B:$B,0)),0)/2,IF(SUM($BG59)=0,"",ROUND($AX59/$BG59,0)))</f>
        <v>0</v>
      </c>
    </row>
    <row r="60" spans="1:60" x14ac:dyDescent="0.2">
      <c r="A60" t="str">
        <f>INDEX(Prioritization!$D:$D,MATCH($B60,Prioritization!$A:$A,0))</f>
        <v>INVALID</v>
      </c>
      <c r="B60" t="s">
        <v>196</v>
      </c>
      <c r="C60" t="s">
        <v>362</v>
      </c>
      <c r="D60" t="s">
        <v>47</v>
      </c>
      <c r="E60" t="str">
        <f t="shared" si="0"/>
        <v>Kasungu District [JQKLKuVuY61]|01-09|Male</v>
      </c>
      <c r="F60" s="14"/>
      <c r="G60" s="14"/>
      <c r="H60" s="14"/>
      <c r="I60" s="14"/>
      <c r="J60" s="14"/>
      <c r="K60" s="14"/>
      <c r="L60" s="14"/>
      <c r="M60" s="14"/>
      <c r="N60" s="14"/>
      <c r="O60" s="14" t="str">
        <f t="shared" si="1"/>
        <v/>
      </c>
      <c r="P60" s="14"/>
      <c r="Q60" s="14"/>
      <c r="R60" s="14" t="str">
        <f t="shared" si="2"/>
        <v/>
      </c>
      <c r="S60" s="14">
        <f>IF(LEFT($B60,4)="_Mil","",_xlfn.IFNA(ROUND(INDEX(Spectrum!$N:$N,MATCH(RIGHT($B60,13)&amp;"|"&amp;$C60&amp;"|"&amp;$D60&amp;"|"&amp;S$14&amp;"|"&amp;"CY2022Q4",Spectrum!$R:$R,0)),0),""))</f>
        <v>1416</v>
      </c>
      <c r="T60" s="42">
        <f>IF(LEFT($B60,4)="_Mil","",_xlfn.IFNA(ROUND(INDEX(Spectrum!$N:$N,MATCH(RIGHT($B60,13)&amp;"|"&amp;$C60&amp;"|"&amp;$D60&amp;"|"&amp;T$14&amp;"|"&amp;"CY2023Q3",Spectrum!$R:$R,0)),0),""))</f>
        <v>613</v>
      </c>
      <c r="U60" s="42" t="str">
        <f>IF(LEFT($B60,4)="_Mil","",_xlfn.IFNA(ROUND(INDEX(Spectrum!$N:$N,MATCH(RIGHT($B60,13)&amp;"|"&amp;$C60&amp;"|"&amp;$D60&amp;"|"&amp;U$14&amp;"|"&amp;"CY2023Q3",Spectrum!$R:$R,0)),0),""))</f>
        <v/>
      </c>
      <c r="V60" s="14">
        <f>IF(LEFT($B60,4)="_Mil","",_xlfn.IFNA(ROUND(INDEX(Spectrum!$N:$N,MATCH(RIGHT($B60,13)&amp;"|"&amp;$C60&amp;"|"&amp;$D60&amp;"|"&amp;V$14&amp;"|"&amp;"CY2023Q3",Spectrum!$R:$R,0)),0),""))</f>
        <v>1978</v>
      </c>
      <c r="W60" s="115">
        <f>IF(LEFT($B60,4)="_Mil","",_xlfn.IFNA(INDEX(Spectrum!$N:$N,MATCH(RIGHT($B60,13)&amp;"|"&amp;$C60&amp;"|"&amp;$D60&amp;"|"&amp;W$14&amp;"|"&amp;"CY2023Q3",Spectrum!$R:$R,0)),""))</f>
        <v>1948</v>
      </c>
      <c r="X60" s="42">
        <f>IF(LEFT($B60,4)="_Mil","",_xlfn.IFNA(ROUND(INDEX(Spectrum!$N:$N,MATCH(RIGHT($B60,13)&amp;"|"&amp;$C60&amp;"|"&amp;$D60&amp;"|"&amp;X$14&amp;"|"&amp;"CY2023Q3",Spectrum!$R:$R,0)),0),""))</f>
        <v>589</v>
      </c>
      <c r="Y60" s="90" t="str">
        <f t="shared" si="3"/>
        <v/>
      </c>
      <c r="Z60" s="42">
        <f>IF(LEFT($B60,4)="_Mil","",_xlfn.IFNA(ROUND(INDEX(Spectrum!$N:$N,MATCH(RIGHT($B60,13)&amp;"|"&amp;$C60&amp;"|"&amp;$D60&amp;"|"&amp;Z$14&amp;"|"&amp;"CY2023Q3",Spectrum!$R:$R,0)),0),""))</f>
        <v>1997</v>
      </c>
      <c r="AA60" s="90">
        <f>IF(LEFT($B60,4)="_Mil","",IFERROR(1/(1/INDEX(Spectrum!$N:$N,MATCH(RIGHT($B60,13)&amp;"|"&amp;$C60&amp;"|"&amp;$D60&amp;"|"&amp;AA$14&amp;"|"&amp;"CY2023Q3",Spectrum!$R:$R,0))),IF(SUM($U60)=0,"",SUM($Z60)/$U60)))</f>
        <v>1599</v>
      </c>
      <c r="AB60" s="90">
        <f t="shared" si="4"/>
        <v>3.3904923599320882</v>
      </c>
      <c r="AC60" s="14">
        <f>IF(LEFT($B60,4)="_Mil","",_xlfn.IFNA(ROUND(INDEX(Spectrum!$N:$N,MATCH(RIGHT($B60,13)&amp;"|"&amp;$C60&amp;"|"&amp;$D60&amp;"|"&amp;AC$14&amp;"|"&amp;"CY2023Q3",Spectrum!$R:$R,0)),0),""))</f>
        <v>1456</v>
      </c>
      <c r="AD60" s="14" t="str">
        <f>IF(LEFT($B60,4)="_Mil","",_xlfn.IFNA(ROUND(INDEX(Spectrum!$N:$N,MATCH(RIGHT($B60,13)&amp;"|"&amp;$C60&amp;"|"&amp;$D60&amp;"|"&amp;AD$14&amp;"|"&amp;"CY2023Q3",Spectrum!$R:$R,0)),0),""))</f>
        <v/>
      </c>
      <c r="AE60" s="90">
        <f t="shared" si="5"/>
        <v>0</v>
      </c>
      <c r="AF60" s="42" t="str">
        <f>IF(LEFT($B60,4)="_Mil","",_xlfn.IFNA(ROUND(INDEX(Spectrum!$N:$N,MATCH(RIGHT($B60,13)&amp;"|"&amp;$C60&amp;"|"&amp;$D60&amp;"|"&amp;AF$14&amp;"|"&amp;"CY2023Q3",Spectrum!$R:$R,0)),0),""))</f>
        <v/>
      </c>
      <c r="AG60" s="90" t="str">
        <f t="shared" si="6"/>
        <v/>
      </c>
      <c r="AH60" s="88" t="str">
        <f>IF(LEFT($B60,4)="_Mil","",_xlfn.IFNA(INDEX(Spectrum!$N:$N,MATCH(RIGHT($B60,13)&amp;"|"&amp;$C60&amp;"|"&amp;$D60&amp;"|"&amp;AH$14&amp;"|"&amp;"CY2023Q3",Spectrum!$R:$R,0)),""))</f>
        <v/>
      </c>
      <c r="AI60" s="14" t="str">
        <f>IF(LEFT($B60,4)="_Mil","",_xlfn.IFNA(ROUND(INDEX(Spectrum!$N:$N,MATCH(RIGHT($B60,13)&amp;"|"&amp;$C60&amp;"|"&amp;$D60&amp;"|"&amp;AI$14&amp;"|"&amp;"CY2023Q3",Spectrum!$R:$R,0)),0),""))</f>
        <v/>
      </c>
      <c r="AJ60" s="42">
        <f>IF(LEFT($B60,4)="_Mil","",_xlfn.IFNA(ROUND(INDEX(Spectrum!$N:$N,MATCH(RIGHT($B60,13)&amp;"|"&amp;$C60&amp;"|"&amp;$D60&amp;"|"&amp;AI$14&amp;"|"&amp;"CY2023Q3",Spectrum!$R:$R,0)),0),SUM($U60)+SUM($AI60)))</f>
        <v>0</v>
      </c>
      <c r="AK60" s="14" t="str">
        <f>IF(LEFT($B60,4)="_Mil","",_xlfn.IFNA(ROUND(INDEX(Spectrum!$N:$N,MATCH(RIGHT($B60,13)&amp;"|"&amp;$C60&amp;"|"&amp;$D60&amp;"|"&amp;AK$14&amp;"|"&amp;"CY2023Q3",Spectrum!$R:$R,0)),0),""))</f>
        <v/>
      </c>
      <c r="AL60" s="90">
        <f t="shared" si="7"/>
        <v>1599</v>
      </c>
      <c r="AM60" s="14">
        <f t="shared" si="8"/>
        <v>0</v>
      </c>
      <c r="AN60" s="14" t="str">
        <f>IF($C60="&lt;01",ROUND(INDEX(EID!$P:$P,MATCH($B60,EID!$B:$B,0))/2,0),"")</f>
        <v/>
      </c>
      <c r="AO60" s="14">
        <f t="shared" si="9"/>
        <v>0</v>
      </c>
      <c r="AP60" s="42">
        <f t="shared" si="10"/>
        <v>0</v>
      </c>
      <c r="AQ60" s="42">
        <f t="shared" si="11"/>
        <v>1997</v>
      </c>
      <c r="AR60" s="90" t="str">
        <f t="shared" si="12"/>
        <v/>
      </c>
      <c r="AS60" s="90">
        <f t="shared" si="24"/>
        <v>0.98</v>
      </c>
      <c r="AT60" s="90">
        <f t="shared" si="24"/>
        <v>0.98</v>
      </c>
      <c r="AU60" s="14">
        <f t="shared" si="14"/>
        <v>0</v>
      </c>
      <c r="AV60" s="14">
        <f>IF($C60="&lt;01",ROUND(INDEX(EID!$N:$N,MATCH($B60,EID!$B:$B,0))/2,0),IF(SUM($AT60)=0,"",ROUND((SUM($AP60)-(SUM($O60)*SUM($AS60)))/$AT60,0)))</f>
        <v>0</v>
      </c>
      <c r="AW60" s="90">
        <f t="shared" si="15"/>
        <v>1</v>
      </c>
      <c r="AX60" s="42">
        <f t="shared" si="16"/>
        <v>0</v>
      </c>
      <c r="AY60" s="116">
        <f t="shared" si="17"/>
        <v>0.7</v>
      </c>
      <c r="AZ60" s="93">
        <f>IF($C60="&lt;01",ROUND(INDEX(EID!$R:$R,MATCH($B60,EID!$B:$B,0))/2,0),ROUND(SUM($O60)+(SUM($AV60)*$AY60),0))</f>
        <v>0</v>
      </c>
      <c r="BA60" s="89">
        <f t="shared" si="18"/>
        <v>0.95</v>
      </c>
      <c r="BB60" s="9">
        <f>IF($C60="&lt;01",ROUND(INDEX(EID!$T:$T,MATCH($B60,EID!$B:$B,0))/2,0),ROUND($AZ60*$BA60,0))</f>
        <v>0</v>
      </c>
      <c r="BC60" s="93">
        <f t="shared" si="19"/>
        <v>0</v>
      </c>
      <c r="BD60" s="90">
        <f t="shared" si="20"/>
        <v>0.95</v>
      </c>
      <c r="BE60" s="42">
        <f>IF($C60="&lt;01",ROUND(INDEX(EID!$V:$V,MATCH($B60,EID!$B:$B,0))/2,0),ROUND($BD60*$BB60,0))</f>
        <v>0</v>
      </c>
      <c r="BF60" s="42">
        <f t="shared" si="21"/>
        <v>0</v>
      </c>
      <c r="BG60" s="116">
        <f t="shared" si="22"/>
        <v>0.95</v>
      </c>
      <c r="BH60" s="9">
        <f>IF($C60="&lt;01",ROUND(INDEX(EID!$L:$L,MATCH($B60,EID!$B:$B,0)),0)/2,IF(SUM($BG60)=0,"",ROUND($AX60/$BG60,0)))</f>
        <v>0</v>
      </c>
    </row>
    <row r="61" spans="1:60" x14ac:dyDescent="0.2">
      <c r="A61" t="str">
        <f>INDEX(Prioritization!$D:$D,MATCH($B61,Prioritization!$A:$A,0))</f>
        <v>INVALID</v>
      </c>
      <c r="B61" t="s">
        <v>196</v>
      </c>
      <c r="C61" t="s">
        <v>363</v>
      </c>
      <c r="D61" t="s">
        <v>29</v>
      </c>
      <c r="E61" t="str">
        <f t="shared" si="0"/>
        <v>Kasungu District [JQKLKuVuY61]|10-14|Female</v>
      </c>
      <c r="F61" s="14"/>
      <c r="G61" s="14">
        <v>9</v>
      </c>
      <c r="H61" s="14">
        <v>9</v>
      </c>
      <c r="I61" s="14">
        <v>51</v>
      </c>
      <c r="J61" s="14">
        <v>25</v>
      </c>
      <c r="K61" s="14">
        <v>43</v>
      </c>
      <c r="L61" s="14">
        <v>6</v>
      </c>
      <c r="M61" s="14">
        <v>3</v>
      </c>
      <c r="N61" s="14">
        <v>88</v>
      </c>
      <c r="O61" s="14">
        <f t="shared" si="1"/>
        <v>88</v>
      </c>
      <c r="P61" s="14">
        <v>93</v>
      </c>
      <c r="Q61" s="14">
        <v>33</v>
      </c>
      <c r="R61" s="14">
        <f t="shared" si="2"/>
        <v>37</v>
      </c>
      <c r="S61" s="14">
        <f>IF(LEFT($B61,4)="_Mil","",_xlfn.IFNA(ROUND(INDEX(Spectrum!$N:$N,MATCH(RIGHT($B61,13)&amp;"|"&amp;$C61&amp;"|"&amp;$D61&amp;"|"&amp;S$14&amp;"|"&amp;"CY2022Q4",Spectrum!$R:$R,0)),0),""))</f>
        <v>599</v>
      </c>
      <c r="T61" s="42">
        <f>IF(LEFT($B61,4)="_Mil","",_xlfn.IFNA(ROUND(INDEX(Spectrum!$N:$N,MATCH(RIGHT($B61,13)&amp;"|"&amp;$C61&amp;"|"&amp;$D61&amp;"|"&amp;T$14&amp;"|"&amp;"CY2023Q3",Spectrum!$R:$R,0)),0),""))</f>
        <v>1308</v>
      </c>
      <c r="U61" s="42" t="str">
        <f>IF(LEFT($B61,4)="_Mil","",_xlfn.IFNA(ROUND(INDEX(Spectrum!$N:$N,MATCH(RIGHT($B61,13)&amp;"|"&amp;$C61&amp;"|"&amp;$D61&amp;"|"&amp;U$14&amp;"|"&amp;"CY2023Q3",Spectrum!$R:$R,0)),0),""))</f>
        <v/>
      </c>
      <c r="V61" s="14">
        <f>IF(LEFT($B61,4)="_Mil","",_xlfn.IFNA(ROUND(INDEX(Spectrum!$N:$N,MATCH(RIGHT($B61,13)&amp;"|"&amp;$C61&amp;"|"&amp;$D61&amp;"|"&amp;V$14&amp;"|"&amp;"CY2023Q3",Spectrum!$R:$R,0)),0),""))</f>
        <v>1085</v>
      </c>
      <c r="W61" s="115">
        <f>IF(LEFT($B61,4)="_Mil","",_xlfn.IFNA(INDEX(Spectrum!$N:$N,MATCH(RIGHT($B61,13)&amp;"|"&amp;$C61&amp;"|"&amp;$D61&amp;"|"&amp;W$14&amp;"|"&amp;"CY2023Q3",Spectrum!$R:$R,0)),""))</f>
        <v>1824</v>
      </c>
      <c r="X61" s="42">
        <f>IF(LEFT($B61,4)="_Mil","",_xlfn.IFNA(ROUND(INDEX(Spectrum!$N:$N,MATCH(RIGHT($B61,13)&amp;"|"&amp;$C61&amp;"|"&amp;$D61&amp;"|"&amp;X$14&amp;"|"&amp;"CY2023Q3",Spectrum!$R:$R,0)),0),""))</f>
        <v>577</v>
      </c>
      <c r="Y61" s="90" t="str">
        <f t="shared" si="3"/>
        <v/>
      </c>
      <c r="Z61" s="42">
        <f>IF(LEFT($B61,4)="_Mil","",_xlfn.IFNA(ROUND(INDEX(Spectrum!$N:$N,MATCH(RIGHT($B61,13)&amp;"|"&amp;$C61&amp;"|"&amp;$D61&amp;"|"&amp;Z$14&amp;"|"&amp;"CY2023Q3",Spectrum!$R:$R,0)),0),""))</f>
        <v>1606</v>
      </c>
      <c r="AA61" s="90">
        <f>IF(LEFT($B61,4)="_Mil","",IFERROR(1/(1/INDEX(Spectrum!$N:$N,MATCH(RIGHT($B61,13)&amp;"|"&amp;$C61&amp;"|"&amp;$D61&amp;"|"&amp;AA$14&amp;"|"&amp;"CY2023Q3",Spectrum!$R:$R,0))),IF(SUM($U61)=0,"",SUM($Z61)/$U61)))</f>
        <v>1612</v>
      </c>
      <c r="AB61" s="90">
        <f t="shared" si="4"/>
        <v>2.7833622183708839</v>
      </c>
      <c r="AC61" s="14">
        <f>IF(LEFT($B61,4)="_Mil","",_xlfn.IFNA(ROUND(INDEX(Spectrum!$N:$N,MATCH(RIGHT($B61,13)&amp;"|"&amp;$C61&amp;"|"&amp;$D61&amp;"|"&amp;AC$14&amp;"|"&amp;"CY2023Q3",Spectrum!$R:$R,0)),0),""))</f>
        <v>591</v>
      </c>
      <c r="AD61" s="14" t="str">
        <f>IF(LEFT($B61,4)="_Mil","",_xlfn.IFNA(ROUND(INDEX(Spectrum!$N:$N,MATCH(RIGHT($B61,13)&amp;"|"&amp;$C61&amp;"|"&amp;$D61&amp;"|"&amp;AD$14&amp;"|"&amp;"CY2023Q3",Spectrum!$R:$R,0)),0),""))</f>
        <v/>
      </c>
      <c r="AE61" s="90">
        <f t="shared" si="5"/>
        <v>0</v>
      </c>
      <c r="AF61" s="42" t="str">
        <f>IF(LEFT($B61,4)="_Mil","",_xlfn.IFNA(ROUND(INDEX(Spectrum!$N:$N,MATCH(RIGHT($B61,13)&amp;"|"&amp;$C61&amp;"|"&amp;$D61&amp;"|"&amp;AF$14&amp;"|"&amp;"CY2023Q3",Spectrum!$R:$R,0)),0),""))</f>
        <v/>
      </c>
      <c r="AG61" s="90" t="str">
        <f t="shared" si="6"/>
        <v/>
      </c>
      <c r="AH61" s="88" t="str">
        <f>IF(LEFT($B61,4)="_Mil","",_xlfn.IFNA(INDEX(Spectrum!$N:$N,MATCH(RIGHT($B61,13)&amp;"|"&amp;$C61&amp;"|"&amp;$D61&amp;"|"&amp;AH$14&amp;"|"&amp;"CY2023Q3",Spectrum!$R:$R,0)),""))</f>
        <v/>
      </c>
      <c r="AI61" s="14" t="str">
        <f>IF(LEFT($B61,4)="_Mil","",_xlfn.IFNA(ROUND(INDEX(Spectrum!$N:$N,MATCH(RIGHT($B61,13)&amp;"|"&amp;$C61&amp;"|"&amp;$D61&amp;"|"&amp;AI$14&amp;"|"&amp;"CY2023Q3",Spectrum!$R:$R,0)),0),""))</f>
        <v/>
      </c>
      <c r="AJ61" s="42">
        <f>IF(LEFT($B61,4)="_Mil","",_xlfn.IFNA(ROUND(INDEX(Spectrum!$N:$N,MATCH(RIGHT($B61,13)&amp;"|"&amp;$C61&amp;"|"&amp;$D61&amp;"|"&amp;AI$14&amp;"|"&amp;"CY2023Q3",Spectrum!$R:$R,0)),0),SUM($U61)+SUM($AI61)))</f>
        <v>0</v>
      </c>
      <c r="AK61" s="14" t="str">
        <f>IF(LEFT($B61,4)="_Mil","",_xlfn.IFNA(ROUND(INDEX(Spectrum!$N:$N,MATCH(RIGHT($B61,13)&amp;"|"&amp;$C61&amp;"|"&amp;$D61&amp;"|"&amp;AK$14&amp;"|"&amp;"CY2023Q3",Spectrum!$R:$R,0)),0),""))</f>
        <v/>
      </c>
      <c r="AL61" s="90">
        <f t="shared" si="7"/>
        <v>1612</v>
      </c>
      <c r="AM61" s="14">
        <f t="shared" si="8"/>
        <v>0</v>
      </c>
      <c r="AN61" s="14" t="str">
        <f>IF($C61="&lt;01",ROUND(INDEX(EID!$P:$P,MATCH($B61,EID!$B:$B,0))/2,0),"")</f>
        <v/>
      </c>
      <c r="AO61" s="14">
        <f t="shared" si="9"/>
        <v>0</v>
      </c>
      <c r="AP61" s="42">
        <f t="shared" si="10"/>
        <v>0</v>
      </c>
      <c r="AQ61" s="42">
        <f t="shared" si="11"/>
        <v>1606</v>
      </c>
      <c r="AR61" s="90" t="str">
        <f t="shared" si="12"/>
        <v/>
      </c>
      <c r="AS61" s="90">
        <f t="shared" si="24"/>
        <v>0.98</v>
      </c>
      <c r="AT61" s="90">
        <f t="shared" si="24"/>
        <v>0.98</v>
      </c>
      <c r="AU61" s="14">
        <f t="shared" si="14"/>
        <v>-88</v>
      </c>
      <c r="AV61" s="14">
        <f>IF($C61="&lt;01",ROUND(INDEX(EID!$N:$N,MATCH($B61,EID!$B:$B,0))/2,0),IF(SUM($AT61)=0,"",ROUND((SUM($AP61)-(SUM($O61)*SUM($AS61)))/$AT61,0)))</f>
        <v>-88</v>
      </c>
      <c r="AW61" s="90">
        <f t="shared" si="15"/>
        <v>1</v>
      </c>
      <c r="AX61" s="42">
        <f t="shared" si="16"/>
        <v>-88</v>
      </c>
      <c r="AY61" s="116">
        <f t="shared" si="17"/>
        <v>0.7</v>
      </c>
      <c r="AZ61" s="93">
        <f>IF($C61="&lt;01",ROUND(INDEX(EID!$R:$R,MATCH($B61,EID!$B:$B,0))/2,0),ROUND(SUM($O61)+(SUM($AV61)*$AY61),0))</f>
        <v>26</v>
      </c>
      <c r="BA61" s="89">
        <f t="shared" si="18"/>
        <v>0.95</v>
      </c>
      <c r="BB61" s="9">
        <f>IF($C61="&lt;01",ROUND(INDEX(EID!$T:$T,MATCH($B61,EID!$B:$B,0))/2,0),ROUND($AZ61*$BA61,0))</f>
        <v>25</v>
      </c>
      <c r="BC61" s="93">
        <f t="shared" si="19"/>
        <v>25</v>
      </c>
      <c r="BD61" s="90">
        <f t="shared" si="20"/>
        <v>0.95</v>
      </c>
      <c r="BE61" s="42">
        <f>IF($C61="&lt;01",ROUND(INDEX(EID!$V:$V,MATCH($B61,EID!$B:$B,0))/2,0),ROUND($BD61*$BB61,0))</f>
        <v>24</v>
      </c>
      <c r="BF61" s="42">
        <f t="shared" si="21"/>
        <v>24</v>
      </c>
      <c r="BG61" s="116">
        <f t="shared" si="22"/>
        <v>0.95</v>
      </c>
      <c r="BH61" s="9">
        <f>IF($C61="&lt;01",ROUND(INDEX(EID!$L:$L,MATCH($B61,EID!$B:$B,0)),0)/2,IF(SUM($BG61)=0,"",ROUND($AX61/$BG61,0)))</f>
        <v>-93</v>
      </c>
    </row>
    <row r="62" spans="1:60" x14ac:dyDescent="0.2">
      <c r="A62" t="str">
        <f>INDEX(Prioritization!$D:$D,MATCH($B62,Prioritization!$A:$A,0))</f>
        <v>INVALID</v>
      </c>
      <c r="B62" t="s">
        <v>196</v>
      </c>
      <c r="C62" t="s">
        <v>363</v>
      </c>
      <c r="D62" t="s">
        <v>47</v>
      </c>
      <c r="E62" t="str">
        <f t="shared" si="0"/>
        <v>Kasungu District [JQKLKuVuY61]|10-14|Male</v>
      </c>
      <c r="F62" s="14"/>
      <c r="G62" s="14">
        <v>6</v>
      </c>
      <c r="H62" s="14">
        <v>9</v>
      </c>
      <c r="I62" s="14">
        <v>94</v>
      </c>
      <c r="J62" s="14">
        <v>57</v>
      </c>
      <c r="K62" s="14">
        <v>10</v>
      </c>
      <c r="L62" s="14">
        <v>2</v>
      </c>
      <c r="M62" s="14">
        <v>4</v>
      </c>
      <c r="N62" s="14">
        <v>68</v>
      </c>
      <c r="O62" s="14">
        <f t="shared" si="1"/>
        <v>94</v>
      </c>
      <c r="P62" s="14">
        <v>13</v>
      </c>
      <c r="Q62" s="14">
        <v>81</v>
      </c>
      <c r="R62" s="14">
        <f t="shared" si="2"/>
        <v>0</v>
      </c>
      <c r="S62" s="14">
        <f>IF(LEFT($B62,4)="_Mil","",_xlfn.IFNA(ROUND(INDEX(Spectrum!$N:$N,MATCH(RIGHT($B62,13)&amp;"|"&amp;$C62&amp;"|"&amp;$D62&amp;"|"&amp;S$14&amp;"|"&amp;"CY2022Q4",Spectrum!$R:$R,0)),0),""))</f>
        <v>990</v>
      </c>
      <c r="T62" s="42">
        <f>IF(LEFT($B62,4)="_Mil","",_xlfn.IFNA(ROUND(INDEX(Spectrum!$N:$N,MATCH(RIGHT($B62,13)&amp;"|"&amp;$C62&amp;"|"&amp;$D62&amp;"|"&amp;T$14&amp;"|"&amp;"CY2023Q3",Spectrum!$R:$R,0)),0),""))</f>
        <v>1779</v>
      </c>
      <c r="U62" s="42" t="str">
        <f>IF(LEFT($B62,4)="_Mil","",_xlfn.IFNA(ROUND(INDEX(Spectrum!$N:$N,MATCH(RIGHT($B62,13)&amp;"|"&amp;$C62&amp;"|"&amp;$D62&amp;"|"&amp;U$14&amp;"|"&amp;"CY2023Q3",Spectrum!$R:$R,0)),0),""))</f>
        <v/>
      </c>
      <c r="V62" s="14">
        <f>IF(LEFT($B62,4)="_Mil","",_xlfn.IFNA(ROUND(INDEX(Spectrum!$N:$N,MATCH(RIGHT($B62,13)&amp;"|"&amp;$C62&amp;"|"&amp;$D62&amp;"|"&amp;V$14&amp;"|"&amp;"CY2023Q3",Spectrum!$R:$R,0)),0),""))</f>
        <v>904</v>
      </c>
      <c r="W62" s="115">
        <f>IF(LEFT($B62,4)="_Mil","",_xlfn.IFNA(INDEX(Spectrum!$N:$N,MATCH(RIGHT($B62,13)&amp;"|"&amp;$C62&amp;"|"&amp;$D62&amp;"|"&amp;W$14&amp;"|"&amp;"CY2023Q3",Spectrum!$R:$R,0)),""))</f>
        <v>1227</v>
      </c>
      <c r="X62" s="42">
        <f>IF(LEFT($B62,4)="_Mil","",_xlfn.IFNA(ROUND(INDEX(Spectrum!$N:$N,MATCH(RIGHT($B62,13)&amp;"|"&amp;$C62&amp;"|"&amp;$D62&amp;"|"&amp;X$14&amp;"|"&amp;"CY2023Q3",Spectrum!$R:$R,0)),0),""))</f>
        <v>1205</v>
      </c>
      <c r="Y62" s="90" t="str">
        <f t="shared" si="3"/>
        <v/>
      </c>
      <c r="Z62" s="42">
        <f>IF(LEFT($B62,4)="_Mil","",_xlfn.IFNA(ROUND(INDEX(Spectrum!$N:$N,MATCH(RIGHT($B62,13)&amp;"|"&amp;$C62&amp;"|"&amp;$D62&amp;"|"&amp;Z$14&amp;"|"&amp;"CY2023Q3",Spectrum!$R:$R,0)),0),""))</f>
        <v>1102</v>
      </c>
      <c r="AA62" s="90">
        <f>IF(LEFT($B62,4)="_Mil","",IFERROR(1/(1/INDEX(Spectrum!$N:$N,MATCH(RIGHT($B62,13)&amp;"|"&amp;$C62&amp;"|"&amp;$D62&amp;"|"&amp;AA$14&amp;"|"&amp;"CY2023Q3",Spectrum!$R:$R,0))),IF(SUM($U62)=0,"",SUM($Z62)/$U62)))</f>
        <v>1885.0000000000002</v>
      </c>
      <c r="AB62" s="90">
        <f t="shared" si="4"/>
        <v>0.91452282157676346</v>
      </c>
      <c r="AC62" s="14">
        <f>IF(LEFT($B62,4)="_Mil","",_xlfn.IFNA(ROUND(INDEX(Spectrum!$N:$N,MATCH(RIGHT($B62,13)&amp;"|"&amp;$C62&amp;"|"&amp;$D62&amp;"|"&amp;AC$14&amp;"|"&amp;"CY2023Q3",Spectrum!$R:$R,0)),0),""))</f>
        <v>925</v>
      </c>
      <c r="AD62" s="14" t="str">
        <f>IF(LEFT($B62,4)="_Mil","",_xlfn.IFNA(ROUND(INDEX(Spectrum!$N:$N,MATCH(RIGHT($B62,13)&amp;"|"&amp;$C62&amp;"|"&amp;$D62&amp;"|"&amp;AD$14&amp;"|"&amp;"CY2023Q3",Spectrum!$R:$R,0)),0),""))</f>
        <v/>
      </c>
      <c r="AE62" s="90">
        <f t="shared" si="5"/>
        <v>0</v>
      </c>
      <c r="AF62" s="42" t="str">
        <f>IF(LEFT($B62,4)="_Mil","",_xlfn.IFNA(ROUND(INDEX(Spectrum!$N:$N,MATCH(RIGHT($B62,13)&amp;"|"&amp;$C62&amp;"|"&amp;$D62&amp;"|"&amp;AF$14&amp;"|"&amp;"CY2023Q3",Spectrum!$R:$R,0)),0),""))</f>
        <v/>
      </c>
      <c r="AG62" s="90" t="str">
        <f t="shared" si="6"/>
        <v/>
      </c>
      <c r="AH62" s="88" t="str">
        <f>IF(LEFT($B62,4)="_Mil","",_xlfn.IFNA(INDEX(Spectrum!$N:$N,MATCH(RIGHT($B62,13)&amp;"|"&amp;$C62&amp;"|"&amp;$D62&amp;"|"&amp;AH$14&amp;"|"&amp;"CY2023Q3",Spectrum!$R:$R,0)),""))</f>
        <v/>
      </c>
      <c r="AI62" s="14" t="str">
        <f>IF(LEFT($B62,4)="_Mil","",_xlfn.IFNA(ROUND(INDEX(Spectrum!$N:$N,MATCH(RIGHT($B62,13)&amp;"|"&amp;$C62&amp;"|"&amp;$D62&amp;"|"&amp;AI$14&amp;"|"&amp;"CY2023Q3",Spectrum!$R:$R,0)),0),""))</f>
        <v/>
      </c>
      <c r="AJ62" s="42">
        <f>IF(LEFT($B62,4)="_Mil","",_xlfn.IFNA(ROUND(INDEX(Spectrum!$N:$N,MATCH(RIGHT($B62,13)&amp;"|"&amp;$C62&amp;"|"&amp;$D62&amp;"|"&amp;AI$14&amp;"|"&amp;"CY2023Q3",Spectrum!$R:$R,0)),0),SUM($U62)+SUM($AI62)))</f>
        <v>0</v>
      </c>
      <c r="AK62" s="14" t="str">
        <f>IF(LEFT($B62,4)="_Mil","",_xlfn.IFNA(ROUND(INDEX(Spectrum!$N:$N,MATCH(RIGHT($B62,13)&amp;"|"&amp;$C62&amp;"|"&amp;$D62&amp;"|"&amp;AK$14&amp;"|"&amp;"CY2023Q3",Spectrum!$R:$R,0)),0),""))</f>
        <v/>
      </c>
      <c r="AL62" s="90">
        <f t="shared" si="7"/>
        <v>1885.0000000000002</v>
      </c>
      <c r="AM62" s="14">
        <f t="shared" si="8"/>
        <v>0</v>
      </c>
      <c r="AN62" s="14" t="str">
        <f>IF($C62="&lt;01",ROUND(INDEX(EID!$P:$P,MATCH($B62,EID!$B:$B,0))/2,0),"")</f>
        <v/>
      </c>
      <c r="AO62" s="14">
        <f t="shared" si="9"/>
        <v>0</v>
      </c>
      <c r="AP62" s="42">
        <f t="shared" si="10"/>
        <v>0</v>
      </c>
      <c r="AQ62" s="42">
        <f t="shared" si="11"/>
        <v>1102</v>
      </c>
      <c r="AR62" s="90" t="str">
        <f t="shared" si="12"/>
        <v/>
      </c>
      <c r="AS62" s="90">
        <f t="shared" si="24"/>
        <v>0.98</v>
      </c>
      <c r="AT62" s="90">
        <f t="shared" si="24"/>
        <v>0.98</v>
      </c>
      <c r="AU62" s="14">
        <f t="shared" si="14"/>
        <v>-94</v>
      </c>
      <c r="AV62" s="14">
        <f>IF($C62="&lt;01",ROUND(INDEX(EID!$N:$N,MATCH($B62,EID!$B:$B,0))/2,0),IF(SUM($AT62)=0,"",ROUND((SUM($AP62)-(SUM($O62)*SUM($AS62)))/$AT62,0)))</f>
        <v>-94</v>
      </c>
      <c r="AW62" s="90">
        <f t="shared" si="15"/>
        <v>1</v>
      </c>
      <c r="AX62" s="42">
        <f t="shared" si="16"/>
        <v>-94</v>
      </c>
      <c r="AY62" s="116">
        <f t="shared" si="17"/>
        <v>0.7</v>
      </c>
      <c r="AZ62" s="93">
        <f>IF($C62="&lt;01",ROUND(INDEX(EID!$R:$R,MATCH($B62,EID!$B:$B,0))/2,0),ROUND(SUM($O62)+(SUM($AV62)*$AY62),0))</f>
        <v>28</v>
      </c>
      <c r="BA62" s="89">
        <f t="shared" si="18"/>
        <v>0.95</v>
      </c>
      <c r="BB62" s="9">
        <f>IF($C62="&lt;01",ROUND(INDEX(EID!$T:$T,MATCH($B62,EID!$B:$B,0))/2,0),ROUND($AZ62*$BA62,0))</f>
        <v>27</v>
      </c>
      <c r="BC62" s="93">
        <f t="shared" si="19"/>
        <v>27</v>
      </c>
      <c r="BD62" s="90">
        <f t="shared" si="20"/>
        <v>0.95</v>
      </c>
      <c r="BE62" s="42">
        <f>IF($C62="&lt;01",ROUND(INDEX(EID!$V:$V,MATCH($B62,EID!$B:$B,0))/2,0),ROUND($BD62*$BB62,0))</f>
        <v>26</v>
      </c>
      <c r="BF62" s="42">
        <f t="shared" si="21"/>
        <v>26</v>
      </c>
      <c r="BG62" s="116">
        <f t="shared" si="22"/>
        <v>0.95</v>
      </c>
      <c r="BH62" s="9">
        <f>IF($C62="&lt;01",ROUND(INDEX(EID!$L:$L,MATCH($B62,EID!$B:$B,0)),0)/2,IF(SUM($BG62)=0,"",ROUND($AX62/$BG62,0)))</f>
        <v>-99</v>
      </c>
    </row>
    <row r="63" spans="1:60" x14ac:dyDescent="0.2">
      <c r="A63" t="str">
        <f>INDEX(Prioritization!$D:$D,MATCH($B63,Prioritization!$A:$A,0))</f>
        <v>INVALID</v>
      </c>
      <c r="B63" t="s">
        <v>196</v>
      </c>
      <c r="C63" t="s">
        <v>364</v>
      </c>
      <c r="D63" t="s">
        <v>29</v>
      </c>
      <c r="E63" t="str">
        <f t="shared" si="0"/>
        <v>Kasungu District [JQKLKuVuY61]|15-24|Female</v>
      </c>
      <c r="F63" s="14"/>
      <c r="G63" s="14"/>
      <c r="H63" s="14"/>
      <c r="I63" s="14"/>
      <c r="J63" s="14"/>
      <c r="K63" s="14"/>
      <c r="L63" s="14"/>
      <c r="M63" s="14"/>
      <c r="N63" s="14"/>
      <c r="O63" s="14" t="str">
        <f t="shared" si="1"/>
        <v/>
      </c>
      <c r="P63" s="14"/>
      <c r="Q63" s="14"/>
      <c r="R63" s="14" t="str">
        <f t="shared" si="2"/>
        <v/>
      </c>
      <c r="S63" s="14">
        <f>IF(LEFT($B63,4)="_Mil","",_xlfn.IFNA(ROUND(INDEX(Spectrum!$N:$N,MATCH(RIGHT($B63,13)&amp;"|"&amp;$C63&amp;"|"&amp;$D63&amp;"|"&amp;S$14&amp;"|"&amp;"CY2022Q4",Spectrum!$R:$R,0)),0),""))</f>
        <v>1213</v>
      </c>
      <c r="T63" s="42">
        <f>IF(LEFT($B63,4)="_Mil","",_xlfn.IFNA(ROUND(INDEX(Spectrum!$N:$N,MATCH(RIGHT($B63,13)&amp;"|"&amp;$C63&amp;"|"&amp;$D63&amp;"|"&amp;T$14&amp;"|"&amp;"CY2023Q3",Spectrum!$R:$R,0)),0),""))</f>
        <v>1478</v>
      </c>
      <c r="U63" s="42" t="str">
        <f>IF(LEFT($B63,4)="_Mil","",_xlfn.IFNA(ROUND(INDEX(Spectrum!$N:$N,MATCH(RIGHT($B63,13)&amp;"|"&amp;$C63&amp;"|"&amp;$D63&amp;"|"&amp;U$14&amp;"|"&amp;"CY2023Q3",Spectrum!$R:$R,0)),0),""))</f>
        <v/>
      </c>
      <c r="V63" s="14">
        <f>IF(LEFT($B63,4)="_Mil","",_xlfn.IFNA(ROUND(INDEX(Spectrum!$N:$N,MATCH(RIGHT($B63,13)&amp;"|"&amp;$C63&amp;"|"&amp;$D63&amp;"|"&amp;V$14&amp;"|"&amp;"CY2023Q3",Spectrum!$R:$R,0)),0),""))</f>
        <v>1744</v>
      </c>
      <c r="W63" s="115">
        <f>IF(LEFT($B63,4)="_Mil","",_xlfn.IFNA(INDEX(Spectrum!$N:$N,MATCH(RIGHT($B63,13)&amp;"|"&amp;$C63&amp;"|"&amp;$D63&amp;"|"&amp;W$14&amp;"|"&amp;"CY2023Q3",Spectrum!$R:$R,0)),""))</f>
        <v>1393</v>
      </c>
      <c r="X63" s="42">
        <f>IF(LEFT($B63,4)="_Mil","",_xlfn.IFNA(ROUND(INDEX(Spectrum!$N:$N,MATCH(RIGHT($B63,13)&amp;"|"&amp;$C63&amp;"|"&amp;$D63&amp;"|"&amp;X$14&amp;"|"&amp;"CY2023Q3",Spectrum!$R:$R,0)),0),""))</f>
        <v>1177</v>
      </c>
      <c r="Y63" s="90" t="str">
        <f t="shared" si="3"/>
        <v/>
      </c>
      <c r="Z63" s="42">
        <f>IF(LEFT($B63,4)="_Mil","",_xlfn.IFNA(ROUND(INDEX(Spectrum!$N:$N,MATCH(RIGHT($B63,13)&amp;"|"&amp;$C63&amp;"|"&amp;$D63&amp;"|"&amp;Z$14&amp;"|"&amp;"CY2023Q3",Spectrum!$R:$R,0)),0),""))</f>
        <v>649</v>
      </c>
      <c r="AA63" s="90">
        <f>IF(LEFT($B63,4)="_Mil","",IFERROR(1/(1/INDEX(Spectrum!$N:$N,MATCH(RIGHT($B63,13)&amp;"|"&amp;$C63&amp;"|"&amp;$D63&amp;"|"&amp;AA$14&amp;"|"&amp;"CY2023Q3",Spectrum!$R:$R,0))),IF(SUM($U63)=0,"",SUM($Z63)/$U63)))</f>
        <v>1973</v>
      </c>
      <c r="AB63" s="90">
        <f t="shared" si="4"/>
        <v>0.55140186915887845</v>
      </c>
      <c r="AC63" s="14">
        <f>IF(LEFT($B63,4)="_Mil","",_xlfn.IFNA(ROUND(INDEX(Spectrum!$N:$N,MATCH(RIGHT($B63,13)&amp;"|"&amp;$C63&amp;"|"&amp;$D63&amp;"|"&amp;AC$14&amp;"|"&amp;"CY2023Q3",Spectrum!$R:$R,0)),0),""))</f>
        <v>1403</v>
      </c>
      <c r="AD63" s="14" t="str">
        <f>IF(LEFT($B63,4)="_Mil","",_xlfn.IFNA(ROUND(INDEX(Spectrum!$N:$N,MATCH(RIGHT($B63,13)&amp;"|"&amp;$C63&amp;"|"&amp;$D63&amp;"|"&amp;AD$14&amp;"|"&amp;"CY2023Q3",Spectrum!$R:$R,0)),0),""))</f>
        <v/>
      </c>
      <c r="AE63" s="90">
        <f t="shared" si="5"/>
        <v>0</v>
      </c>
      <c r="AF63" s="42" t="str">
        <f>IF(LEFT($B63,4)="_Mil","",_xlfn.IFNA(ROUND(INDEX(Spectrum!$N:$N,MATCH(RIGHT($B63,13)&amp;"|"&amp;$C63&amp;"|"&amp;$D63&amp;"|"&amp;AF$14&amp;"|"&amp;"CY2023Q3",Spectrum!$R:$R,0)),0),""))</f>
        <v/>
      </c>
      <c r="AG63" s="90" t="str">
        <f t="shared" si="6"/>
        <v/>
      </c>
      <c r="AH63" s="88" t="str">
        <f>IF(LEFT($B63,4)="_Mil","",_xlfn.IFNA(INDEX(Spectrum!$N:$N,MATCH(RIGHT($B63,13)&amp;"|"&amp;$C63&amp;"|"&amp;$D63&amp;"|"&amp;AH$14&amp;"|"&amp;"CY2023Q3",Spectrum!$R:$R,0)),""))</f>
        <v/>
      </c>
      <c r="AI63" s="14" t="str">
        <f>IF(LEFT($B63,4)="_Mil","",_xlfn.IFNA(ROUND(INDEX(Spectrum!$N:$N,MATCH(RIGHT($B63,13)&amp;"|"&amp;$C63&amp;"|"&amp;$D63&amp;"|"&amp;AI$14&amp;"|"&amp;"CY2023Q3",Spectrum!$R:$R,0)),0),""))</f>
        <v/>
      </c>
      <c r="AJ63" s="42">
        <f>IF(LEFT($B63,4)="_Mil","",_xlfn.IFNA(ROUND(INDEX(Spectrum!$N:$N,MATCH(RIGHT($B63,13)&amp;"|"&amp;$C63&amp;"|"&amp;$D63&amp;"|"&amp;AI$14&amp;"|"&amp;"CY2023Q3",Spectrum!$R:$R,0)),0),SUM($U63)+SUM($AI63)))</f>
        <v>0</v>
      </c>
      <c r="AK63" s="14" t="str">
        <f>IF(LEFT($B63,4)="_Mil","",_xlfn.IFNA(ROUND(INDEX(Spectrum!$N:$N,MATCH(RIGHT($B63,13)&amp;"|"&amp;$C63&amp;"|"&amp;$D63&amp;"|"&amp;AK$14&amp;"|"&amp;"CY2023Q3",Spectrum!$R:$R,0)),0),""))</f>
        <v/>
      </c>
      <c r="AL63" s="90">
        <f t="shared" si="7"/>
        <v>1973</v>
      </c>
      <c r="AM63" s="14">
        <f t="shared" si="8"/>
        <v>0</v>
      </c>
      <c r="AN63" s="14" t="str">
        <f>IF($C63="&lt;01",ROUND(INDEX(EID!$P:$P,MATCH($B63,EID!$B:$B,0))/2,0),"")</f>
        <v/>
      </c>
      <c r="AO63" s="14">
        <f t="shared" si="9"/>
        <v>0</v>
      </c>
      <c r="AP63" s="42">
        <f t="shared" si="10"/>
        <v>0</v>
      </c>
      <c r="AQ63" s="42">
        <f t="shared" si="11"/>
        <v>649</v>
      </c>
      <c r="AR63" s="90" t="str">
        <f t="shared" si="12"/>
        <v/>
      </c>
      <c r="AS63" s="90">
        <f t="shared" si="24"/>
        <v>0.98</v>
      </c>
      <c r="AT63" s="90">
        <f t="shared" si="24"/>
        <v>0.98</v>
      </c>
      <c r="AU63" s="14">
        <f t="shared" si="14"/>
        <v>0</v>
      </c>
      <c r="AV63" s="14">
        <f>IF($C63="&lt;01",ROUND(INDEX(EID!$N:$N,MATCH($B63,EID!$B:$B,0))/2,0),IF(SUM($AT63)=0,"",ROUND((SUM($AP63)-(SUM($O63)*SUM($AS63)))/$AT63,0)))</f>
        <v>0</v>
      </c>
      <c r="AW63" s="90">
        <f t="shared" si="15"/>
        <v>1</v>
      </c>
      <c r="AX63" s="42">
        <f t="shared" si="16"/>
        <v>0</v>
      </c>
      <c r="AY63" s="116">
        <f t="shared" si="17"/>
        <v>0.7</v>
      </c>
      <c r="AZ63" s="93">
        <f>IF($C63="&lt;01",ROUND(INDEX(EID!$R:$R,MATCH($B63,EID!$B:$B,0))/2,0),ROUND(SUM($O63)+(SUM($AV63)*$AY63),0))</f>
        <v>0</v>
      </c>
      <c r="BA63" s="89">
        <f t="shared" si="18"/>
        <v>0.95</v>
      </c>
      <c r="BB63" s="9">
        <f>IF($C63="&lt;01",ROUND(INDEX(EID!$T:$T,MATCH($B63,EID!$B:$B,0))/2,0),ROUND($AZ63*$BA63,0))</f>
        <v>0</v>
      </c>
      <c r="BC63" s="93">
        <f t="shared" si="19"/>
        <v>0</v>
      </c>
      <c r="BD63" s="90">
        <f t="shared" si="20"/>
        <v>0.95</v>
      </c>
      <c r="BE63" s="42">
        <f>IF($C63="&lt;01",ROUND(INDEX(EID!$V:$V,MATCH($B63,EID!$B:$B,0))/2,0),ROUND($BD63*$BB63,0))</f>
        <v>0</v>
      </c>
      <c r="BF63" s="42">
        <f t="shared" si="21"/>
        <v>0</v>
      </c>
      <c r="BG63" s="116">
        <f t="shared" si="22"/>
        <v>0.95</v>
      </c>
      <c r="BH63" s="9">
        <f>IF($C63="&lt;01",ROUND(INDEX(EID!$L:$L,MATCH($B63,EID!$B:$B,0)),0)/2,IF(SUM($BG63)=0,"",ROUND($AX63/$BG63,0)))</f>
        <v>0</v>
      </c>
    </row>
    <row r="64" spans="1:60" x14ac:dyDescent="0.2">
      <c r="A64" t="str">
        <f>INDEX(Prioritization!$D:$D,MATCH($B64,Prioritization!$A:$A,0))</f>
        <v>INVALID</v>
      </c>
      <c r="B64" t="s">
        <v>196</v>
      </c>
      <c r="C64" t="s">
        <v>364</v>
      </c>
      <c r="D64" t="s">
        <v>47</v>
      </c>
      <c r="E64" t="str">
        <f t="shared" si="0"/>
        <v>Kasungu District [JQKLKuVuY61]|15-24|Male</v>
      </c>
      <c r="F64" s="14"/>
      <c r="G64" s="14"/>
      <c r="H64" s="14"/>
      <c r="I64" s="14"/>
      <c r="J64" s="14"/>
      <c r="K64" s="14"/>
      <c r="L64" s="14"/>
      <c r="M64" s="14"/>
      <c r="N64" s="14"/>
      <c r="O64" s="14" t="str">
        <f t="shared" si="1"/>
        <v/>
      </c>
      <c r="P64" s="14"/>
      <c r="Q64" s="14"/>
      <c r="R64" s="14" t="str">
        <f t="shared" si="2"/>
        <v/>
      </c>
      <c r="S64" s="14">
        <f>IF(LEFT($B64,4)="_Mil","",_xlfn.IFNA(ROUND(INDEX(Spectrum!$N:$N,MATCH(RIGHT($B64,13)&amp;"|"&amp;$C64&amp;"|"&amp;$D64&amp;"|"&amp;S$14&amp;"|"&amp;"CY2022Q4",Spectrum!$R:$R,0)),0),""))</f>
        <v>848</v>
      </c>
      <c r="T64" s="42">
        <f>IF(LEFT($B64,4)="_Mil","",_xlfn.IFNA(ROUND(INDEX(Spectrum!$N:$N,MATCH(RIGHT($B64,13)&amp;"|"&amp;$C64&amp;"|"&amp;$D64&amp;"|"&amp;T$14&amp;"|"&amp;"CY2023Q3",Spectrum!$R:$R,0)),0),""))</f>
        <v>591</v>
      </c>
      <c r="U64" s="42" t="str">
        <f>IF(LEFT($B64,4)="_Mil","",_xlfn.IFNA(ROUND(INDEX(Spectrum!$N:$N,MATCH(RIGHT($B64,13)&amp;"|"&amp;$C64&amp;"|"&amp;$D64&amp;"|"&amp;U$14&amp;"|"&amp;"CY2023Q3",Spectrum!$R:$R,0)),0),""))</f>
        <v/>
      </c>
      <c r="V64" s="14">
        <f>IF(LEFT($B64,4)="_Mil","",_xlfn.IFNA(ROUND(INDEX(Spectrum!$N:$N,MATCH(RIGHT($B64,13)&amp;"|"&amp;$C64&amp;"|"&amp;$D64&amp;"|"&amp;V$14&amp;"|"&amp;"CY2023Q3",Spectrum!$R:$R,0)),0),""))</f>
        <v>517</v>
      </c>
      <c r="W64" s="115">
        <f>IF(LEFT($B64,4)="_Mil","",_xlfn.IFNA(INDEX(Spectrum!$N:$N,MATCH(RIGHT($B64,13)&amp;"|"&amp;$C64&amp;"|"&amp;$D64&amp;"|"&amp;W$14&amp;"|"&amp;"CY2023Q3",Spectrum!$R:$R,0)),""))</f>
        <v>604</v>
      </c>
      <c r="X64" s="42">
        <f>IF(LEFT($B64,4)="_Mil","",_xlfn.IFNA(ROUND(INDEX(Spectrum!$N:$N,MATCH(RIGHT($B64,13)&amp;"|"&amp;$C64&amp;"|"&amp;$D64&amp;"|"&amp;X$14&amp;"|"&amp;"CY2023Q3",Spectrum!$R:$R,0)),0),""))</f>
        <v>803</v>
      </c>
      <c r="Y64" s="90" t="str">
        <f t="shared" si="3"/>
        <v/>
      </c>
      <c r="Z64" s="42">
        <f>IF(LEFT($B64,4)="_Mil","",_xlfn.IFNA(ROUND(INDEX(Spectrum!$N:$N,MATCH(RIGHT($B64,13)&amp;"|"&amp;$C64&amp;"|"&amp;$D64&amp;"|"&amp;Z$14&amp;"|"&amp;"CY2023Q3",Spectrum!$R:$R,0)),0),""))</f>
        <v>1883</v>
      </c>
      <c r="AA64" s="90">
        <f>IF(LEFT($B64,4)="_Mil","",IFERROR(1/(1/INDEX(Spectrum!$N:$N,MATCH(RIGHT($B64,13)&amp;"|"&amp;$C64&amp;"|"&amp;$D64&amp;"|"&amp;AA$14&amp;"|"&amp;"CY2023Q3",Spectrum!$R:$R,0))),IF(SUM($U64)=0,"",SUM($Z64)/$U64)))</f>
        <v>1382</v>
      </c>
      <c r="AB64" s="90">
        <f t="shared" si="4"/>
        <v>2.3449564134495642</v>
      </c>
      <c r="AC64" s="14">
        <f>IF(LEFT($B64,4)="_Mil","",_xlfn.IFNA(ROUND(INDEX(Spectrum!$N:$N,MATCH(RIGHT($B64,13)&amp;"|"&amp;$C64&amp;"|"&amp;$D64&amp;"|"&amp;AC$14&amp;"|"&amp;"CY2023Q3",Spectrum!$R:$R,0)),0),""))</f>
        <v>1872</v>
      </c>
      <c r="AD64" s="14" t="str">
        <f>IF(LEFT($B64,4)="_Mil","",_xlfn.IFNA(ROUND(INDEX(Spectrum!$N:$N,MATCH(RIGHT($B64,13)&amp;"|"&amp;$C64&amp;"|"&amp;$D64&amp;"|"&amp;AD$14&amp;"|"&amp;"CY2023Q3",Spectrum!$R:$R,0)),0),""))</f>
        <v/>
      </c>
      <c r="AE64" s="90">
        <f t="shared" si="5"/>
        <v>0</v>
      </c>
      <c r="AF64" s="42" t="str">
        <f>IF(LEFT($B64,4)="_Mil","",_xlfn.IFNA(ROUND(INDEX(Spectrum!$N:$N,MATCH(RIGHT($B64,13)&amp;"|"&amp;$C64&amp;"|"&amp;$D64&amp;"|"&amp;AF$14&amp;"|"&amp;"CY2023Q3",Spectrum!$R:$R,0)),0),""))</f>
        <v/>
      </c>
      <c r="AG64" s="90" t="str">
        <f t="shared" si="6"/>
        <v/>
      </c>
      <c r="AH64" s="88" t="str">
        <f>IF(LEFT($B64,4)="_Mil","",_xlfn.IFNA(INDEX(Spectrum!$N:$N,MATCH(RIGHT($B64,13)&amp;"|"&amp;$C64&amp;"|"&amp;$D64&amp;"|"&amp;AH$14&amp;"|"&amp;"CY2023Q3",Spectrum!$R:$R,0)),""))</f>
        <v/>
      </c>
      <c r="AI64" s="14" t="str">
        <f>IF(LEFT($B64,4)="_Mil","",_xlfn.IFNA(ROUND(INDEX(Spectrum!$N:$N,MATCH(RIGHT($B64,13)&amp;"|"&amp;$C64&amp;"|"&amp;$D64&amp;"|"&amp;AI$14&amp;"|"&amp;"CY2023Q3",Spectrum!$R:$R,0)),0),""))</f>
        <v/>
      </c>
      <c r="AJ64" s="42">
        <f>IF(LEFT($B64,4)="_Mil","",_xlfn.IFNA(ROUND(INDEX(Spectrum!$N:$N,MATCH(RIGHT($B64,13)&amp;"|"&amp;$C64&amp;"|"&amp;$D64&amp;"|"&amp;AI$14&amp;"|"&amp;"CY2023Q3",Spectrum!$R:$R,0)),0),SUM($U64)+SUM($AI64)))</f>
        <v>0</v>
      </c>
      <c r="AK64" s="14" t="str">
        <f>IF(LEFT($B64,4)="_Mil","",_xlfn.IFNA(ROUND(INDEX(Spectrum!$N:$N,MATCH(RIGHT($B64,13)&amp;"|"&amp;$C64&amp;"|"&amp;$D64&amp;"|"&amp;AK$14&amp;"|"&amp;"CY2023Q3",Spectrum!$R:$R,0)),0),""))</f>
        <v/>
      </c>
      <c r="AL64" s="90">
        <f t="shared" si="7"/>
        <v>1382</v>
      </c>
      <c r="AM64" s="14">
        <f t="shared" si="8"/>
        <v>0</v>
      </c>
      <c r="AN64" s="14" t="str">
        <f>IF($C64="&lt;01",ROUND(INDEX(EID!$P:$P,MATCH($B64,EID!$B:$B,0))/2,0),"")</f>
        <v/>
      </c>
      <c r="AO64" s="14">
        <f t="shared" si="9"/>
        <v>0</v>
      </c>
      <c r="AP64" s="42">
        <f t="shared" si="10"/>
        <v>0</v>
      </c>
      <c r="AQ64" s="42">
        <f t="shared" si="11"/>
        <v>1883</v>
      </c>
      <c r="AR64" s="90" t="str">
        <f t="shared" si="12"/>
        <v/>
      </c>
      <c r="AS64" s="90">
        <f t="shared" si="24"/>
        <v>0.98</v>
      </c>
      <c r="AT64" s="90">
        <f t="shared" si="24"/>
        <v>0.98</v>
      </c>
      <c r="AU64" s="14">
        <f t="shared" si="14"/>
        <v>0</v>
      </c>
      <c r="AV64" s="14">
        <f>IF($C64="&lt;01",ROUND(INDEX(EID!$N:$N,MATCH($B64,EID!$B:$B,0))/2,0),IF(SUM($AT64)=0,"",ROUND((SUM($AP64)-(SUM($O64)*SUM($AS64)))/$AT64,0)))</f>
        <v>0</v>
      </c>
      <c r="AW64" s="90">
        <f t="shared" si="15"/>
        <v>1</v>
      </c>
      <c r="AX64" s="42">
        <f t="shared" si="16"/>
        <v>0</v>
      </c>
      <c r="AY64" s="116">
        <f t="shared" si="17"/>
        <v>0.7</v>
      </c>
      <c r="AZ64" s="93">
        <f>IF($C64="&lt;01",ROUND(INDEX(EID!$R:$R,MATCH($B64,EID!$B:$B,0))/2,0),ROUND(SUM($O64)+(SUM($AV64)*$AY64),0))</f>
        <v>0</v>
      </c>
      <c r="BA64" s="89">
        <f t="shared" si="18"/>
        <v>0.95</v>
      </c>
      <c r="BB64" s="9">
        <f>IF($C64="&lt;01",ROUND(INDEX(EID!$T:$T,MATCH($B64,EID!$B:$B,0))/2,0),ROUND($AZ64*$BA64,0))</f>
        <v>0</v>
      </c>
      <c r="BC64" s="93">
        <f t="shared" si="19"/>
        <v>0</v>
      </c>
      <c r="BD64" s="90">
        <f t="shared" si="20"/>
        <v>0.95</v>
      </c>
      <c r="BE64" s="42">
        <f>IF($C64="&lt;01",ROUND(INDEX(EID!$V:$V,MATCH($B64,EID!$B:$B,0))/2,0),ROUND($BD64*$BB64,0))</f>
        <v>0</v>
      </c>
      <c r="BF64" s="42">
        <f t="shared" si="21"/>
        <v>0</v>
      </c>
      <c r="BG64" s="116">
        <f t="shared" si="22"/>
        <v>0.95</v>
      </c>
      <c r="BH64" s="9">
        <f>IF($C64="&lt;01",ROUND(INDEX(EID!$L:$L,MATCH($B64,EID!$B:$B,0)),0)/2,IF(SUM($BG64)=0,"",ROUND($AX64/$BG64,0)))</f>
        <v>0</v>
      </c>
    </row>
    <row r="65" spans="1:60" x14ac:dyDescent="0.2">
      <c r="A65" t="str">
        <f>INDEX(Prioritization!$D:$D,MATCH($B65,Prioritization!$A:$A,0))</f>
        <v>INVALID</v>
      </c>
      <c r="B65" t="s">
        <v>196</v>
      </c>
      <c r="C65" t="s">
        <v>365</v>
      </c>
      <c r="D65" t="s">
        <v>29</v>
      </c>
      <c r="E65" t="str">
        <f t="shared" si="0"/>
        <v>Kasungu District [JQKLKuVuY61]|25-34|Female</v>
      </c>
      <c r="F65" s="14"/>
      <c r="G65" s="14"/>
      <c r="H65" s="14"/>
      <c r="I65" s="14"/>
      <c r="J65" s="14"/>
      <c r="K65" s="14"/>
      <c r="L65" s="14"/>
      <c r="M65" s="14"/>
      <c r="N65" s="14"/>
      <c r="O65" s="14" t="str">
        <f t="shared" si="1"/>
        <v/>
      </c>
      <c r="P65" s="14"/>
      <c r="Q65" s="14"/>
      <c r="R65" s="14" t="str">
        <f t="shared" si="2"/>
        <v/>
      </c>
      <c r="S65" s="14">
        <f>IF(LEFT($B65,4)="_Mil","",_xlfn.IFNA(ROUND(INDEX(Spectrum!$N:$N,MATCH(RIGHT($B65,13)&amp;"|"&amp;$C65&amp;"|"&amp;$D65&amp;"|"&amp;S$14&amp;"|"&amp;"CY2022Q4",Spectrum!$R:$R,0)),0),""))</f>
        <v>1932</v>
      </c>
      <c r="T65" s="42">
        <f>IF(LEFT($B65,4)="_Mil","",_xlfn.IFNA(ROUND(INDEX(Spectrum!$N:$N,MATCH(RIGHT($B65,13)&amp;"|"&amp;$C65&amp;"|"&amp;$D65&amp;"|"&amp;T$14&amp;"|"&amp;"CY2023Q3",Spectrum!$R:$R,0)),0),""))</f>
        <v>657</v>
      </c>
      <c r="U65" s="42" t="str">
        <f>IF(LEFT($B65,4)="_Mil","",_xlfn.IFNA(ROUND(INDEX(Spectrum!$N:$N,MATCH(RIGHT($B65,13)&amp;"|"&amp;$C65&amp;"|"&amp;$D65&amp;"|"&amp;U$14&amp;"|"&amp;"CY2023Q3",Spectrum!$R:$R,0)),0),""))</f>
        <v/>
      </c>
      <c r="V65" s="14">
        <f>IF(LEFT($B65,4)="_Mil","",_xlfn.IFNA(ROUND(INDEX(Spectrum!$N:$N,MATCH(RIGHT($B65,13)&amp;"|"&amp;$C65&amp;"|"&amp;$D65&amp;"|"&amp;V$14&amp;"|"&amp;"CY2023Q3",Spectrum!$R:$R,0)),0),""))</f>
        <v>1202</v>
      </c>
      <c r="W65" s="115">
        <f>IF(LEFT($B65,4)="_Mil","",_xlfn.IFNA(INDEX(Spectrum!$N:$N,MATCH(RIGHT($B65,13)&amp;"|"&amp;$C65&amp;"|"&amp;$D65&amp;"|"&amp;W$14&amp;"|"&amp;"CY2023Q3",Spectrum!$R:$R,0)),""))</f>
        <v>1103</v>
      </c>
      <c r="X65" s="42">
        <f>IF(LEFT($B65,4)="_Mil","",_xlfn.IFNA(ROUND(INDEX(Spectrum!$N:$N,MATCH(RIGHT($B65,13)&amp;"|"&amp;$C65&amp;"|"&amp;$D65&amp;"|"&amp;X$14&amp;"|"&amp;"CY2023Q3",Spectrum!$R:$R,0)),0),""))</f>
        <v>768</v>
      </c>
      <c r="Y65" s="90" t="str">
        <f t="shared" si="3"/>
        <v/>
      </c>
      <c r="Z65" s="42">
        <f>IF(LEFT($B65,4)="_Mil","",_xlfn.IFNA(ROUND(INDEX(Spectrum!$N:$N,MATCH(RIGHT($B65,13)&amp;"|"&amp;$C65&amp;"|"&amp;$D65&amp;"|"&amp;Z$14&amp;"|"&amp;"CY2023Q3",Spectrum!$R:$R,0)),0),""))</f>
        <v>1823</v>
      </c>
      <c r="AA65" s="90">
        <f>IF(LEFT($B65,4)="_Mil","",IFERROR(1/(1/INDEX(Spectrum!$N:$N,MATCH(RIGHT($B65,13)&amp;"|"&amp;$C65&amp;"|"&amp;$D65&amp;"|"&amp;AA$14&amp;"|"&amp;"CY2023Q3",Spectrum!$R:$R,0))),IF(SUM($U65)=0,"",SUM($Z65)/$U65)))</f>
        <v>1159</v>
      </c>
      <c r="AB65" s="90">
        <f t="shared" si="4"/>
        <v>2.3736979166666665</v>
      </c>
      <c r="AC65" s="14">
        <f>IF(LEFT($B65,4)="_Mil","",_xlfn.IFNA(ROUND(INDEX(Spectrum!$N:$N,MATCH(RIGHT($B65,13)&amp;"|"&amp;$C65&amp;"|"&amp;$D65&amp;"|"&amp;AC$14&amp;"|"&amp;"CY2023Q3",Spectrum!$R:$R,0)),0),""))</f>
        <v>1461</v>
      </c>
      <c r="AD65" s="14" t="str">
        <f>IF(LEFT($B65,4)="_Mil","",_xlfn.IFNA(ROUND(INDEX(Spectrum!$N:$N,MATCH(RIGHT($B65,13)&amp;"|"&amp;$C65&amp;"|"&amp;$D65&amp;"|"&amp;AD$14&amp;"|"&amp;"CY2023Q3",Spectrum!$R:$R,0)),0),""))</f>
        <v/>
      </c>
      <c r="AE65" s="90">
        <f t="shared" si="5"/>
        <v>0</v>
      </c>
      <c r="AF65" s="42" t="str">
        <f>IF(LEFT($B65,4)="_Mil","",_xlfn.IFNA(ROUND(INDEX(Spectrum!$N:$N,MATCH(RIGHT($B65,13)&amp;"|"&amp;$C65&amp;"|"&amp;$D65&amp;"|"&amp;AF$14&amp;"|"&amp;"CY2023Q3",Spectrum!$R:$R,0)),0),""))</f>
        <v/>
      </c>
      <c r="AG65" s="90" t="str">
        <f t="shared" si="6"/>
        <v/>
      </c>
      <c r="AH65" s="88" t="str">
        <f>IF(LEFT($B65,4)="_Mil","",_xlfn.IFNA(INDEX(Spectrum!$N:$N,MATCH(RIGHT($B65,13)&amp;"|"&amp;$C65&amp;"|"&amp;$D65&amp;"|"&amp;AH$14&amp;"|"&amp;"CY2023Q3",Spectrum!$R:$R,0)),""))</f>
        <v/>
      </c>
      <c r="AI65" s="14" t="str">
        <f>IF(LEFT($B65,4)="_Mil","",_xlfn.IFNA(ROUND(INDEX(Spectrum!$N:$N,MATCH(RIGHT($B65,13)&amp;"|"&amp;$C65&amp;"|"&amp;$D65&amp;"|"&amp;AI$14&amp;"|"&amp;"CY2023Q3",Spectrum!$R:$R,0)),0),""))</f>
        <v/>
      </c>
      <c r="AJ65" s="42">
        <f>IF(LEFT($B65,4)="_Mil","",_xlfn.IFNA(ROUND(INDEX(Spectrum!$N:$N,MATCH(RIGHT($B65,13)&amp;"|"&amp;$C65&amp;"|"&amp;$D65&amp;"|"&amp;AI$14&amp;"|"&amp;"CY2023Q3",Spectrum!$R:$R,0)),0),SUM($U65)+SUM($AI65)))</f>
        <v>0</v>
      </c>
      <c r="AK65" s="14" t="str">
        <f>IF(LEFT($B65,4)="_Mil","",_xlfn.IFNA(ROUND(INDEX(Spectrum!$N:$N,MATCH(RIGHT($B65,13)&amp;"|"&amp;$C65&amp;"|"&amp;$D65&amp;"|"&amp;AK$14&amp;"|"&amp;"CY2023Q3",Spectrum!$R:$R,0)),0),""))</f>
        <v/>
      </c>
      <c r="AL65" s="90">
        <f t="shared" si="7"/>
        <v>1159</v>
      </c>
      <c r="AM65" s="14">
        <f t="shared" si="8"/>
        <v>0</v>
      </c>
      <c r="AN65" s="14" t="str">
        <f>IF($C65="&lt;01",ROUND(INDEX(EID!$P:$P,MATCH($B65,EID!$B:$B,0))/2,0),"")</f>
        <v/>
      </c>
      <c r="AO65" s="14">
        <f t="shared" si="9"/>
        <v>0</v>
      </c>
      <c r="AP65" s="42">
        <f t="shared" si="10"/>
        <v>0</v>
      </c>
      <c r="AQ65" s="42">
        <f t="shared" si="11"/>
        <v>1823</v>
      </c>
      <c r="AR65" s="90" t="str">
        <f t="shared" si="12"/>
        <v/>
      </c>
      <c r="AS65" s="90">
        <f t="shared" si="24"/>
        <v>0.98</v>
      </c>
      <c r="AT65" s="90">
        <f t="shared" si="24"/>
        <v>0.98</v>
      </c>
      <c r="AU65" s="14">
        <f t="shared" si="14"/>
        <v>0</v>
      </c>
      <c r="AV65" s="14">
        <f>IF($C65="&lt;01",ROUND(INDEX(EID!$N:$N,MATCH($B65,EID!$B:$B,0))/2,0),IF(SUM($AT65)=0,"",ROUND((SUM($AP65)-(SUM($O65)*SUM($AS65)))/$AT65,0)))</f>
        <v>0</v>
      </c>
      <c r="AW65" s="90">
        <f t="shared" si="15"/>
        <v>1</v>
      </c>
      <c r="AX65" s="42">
        <f t="shared" si="16"/>
        <v>0</v>
      </c>
      <c r="AY65" s="116">
        <f t="shared" si="17"/>
        <v>0.7</v>
      </c>
      <c r="AZ65" s="93">
        <f>IF($C65="&lt;01",ROUND(INDEX(EID!$R:$R,MATCH($B65,EID!$B:$B,0))/2,0),ROUND(SUM($O65)+(SUM($AV65)*$AY65),0))</f>
        <v>0</v>
      </c>
      <c r="BA65" s="89">
        <f t="shared" si="18"/>
        <v>0.95</v>
      </c>
      <c r="BB65" s="9">
        <f>IF($C65="&lt;01",ROUND(INDEX(EID!$T:$T,MATCH($B65,EID!$B:$B,0))/2,0),ROUND($AZ65*$BA65,0))</f>
        <v>0</v>
      </c>
      <c r="BC65" s="93">
        <f t="shared" si="19"/>
        <v>0</v>
      </c>
      <c r="BD65" s="90">
        <f t="shared" si="20"/>
        <v>0.95</v>
      </c>
      <c r="BE65" s="42">
        <f>IF($C65="&lt;01",ROUND(INDEX(EID!$V:$V,MATCH($B65,EID!$B:$B,0))/2,0),ROUND($BD65*$BB65,0))</f>
        <v>0</v>
      </c>
      <c r="BF65" s="42">
        <f t="shared" si="21"/>
        <v>0</v>
      </c>
      <c r="BG65" s="116">
        <f t="shared" si="22"/>
        <v>0.95</v>
      </c>
      <c r="BH65" s="9">
        <f>IF($C65="&lt;01",ROUND(INDEX(EID!$L:$L,MATCH($B65,EID!$B:$B,0)),0)/2,IF(SUM($BG65)=0,"",ROUND($AX65/$BG65,0)))</f>
        <v>0</v>
      </c>
    </row>
    <row r="66" spans="1:60" x14ac:dyDescent="0.2">
      <c r="A66" t="str">
        <f>INDEX(Prioritization!$D:$D,MATCH($B66,Prioritization!$A:$A,0))</f>
        <v>INVALID</v>
      </c>
      <c r="B66" t="s">
        <v>196</v>
      </c>
      <c r="C66" t="s">
        <v>365</v>
      </c>
      <c r="D66" t="s">
        <v>47</v>
      </c>
      <c r="E66" t="str">
        <f t="shared" si="0"/>
        <v>Kasungu District [JQKLKuVuY61]|25-34|Male</v>
      </c>
      <c r="F66" s="14"/>
      <c r="G66" s="14"/>
      <c r="H66" s="14"/>
      <c r="I66" s="14"/>
      <c r="J66" s="14"/>
      <c r="K66" s="14"/>
      <c r="L66" s="14"/>
      <c r="M66" s="14"/>
      <c r="N66" s="14"/>
      <c r="O66" s="14" t="str">
        <f t="shared" si="1"/>
        <v/>
      </c>
      <c r="P66" s="14"/>
      <c r="Q66" s="14"/>
      <c r="R66" s="14" t="str">
        <f t="shared" si="2"/>
        <v/>
      </c>
      <c r="S66" s="14">
        <f>IF(LEFT($B66,4)="_Mil","",_xlfn.IFNA(ROUND(INDEX(Spectrum!$N:$N,MATCH(RIGHT($B66,13)&amp;"|"&amp;$C66&amp;"|"&amp;$D66&amp;"|"&amp;S$14&amp;"|"&amp;"CY2022Q4",Spectrum!$R:$R,0)),0),""))</f>
        <v>571</v>
      </c>
      <c r="T66" s="42">
        <f>IF(LEFT($B66,4)="_Mil","",_xlfn.IFNA(ROUND(INDEX(Spectrum!$N:$N,MATCH(RIGHT($B66,13)&amp;"|"&amp;$C66&amp;"|"&amp;$D66&amp;"|"&amp;T$14&amp;"|"&amp;"CY2023Q3",Spectrum!$R:$R,0)),0),""))</f>
        <v>1929</v>
      </c>
      <c r="U66" s="42" t="str">
        <f>IF(LEFT($B66,4)="_Mil","",_xlfn.IFNA(ROUND(INDEX(Spectrum!$N:$N,MATCH(RIGHT($B66,13)&amp;"|"&amp;$C66&amp;"|"&amp;$D66&amp;"|"&amp;U$14&amp;"|"&amp;"CY2023Q3",Spectrum!$R:$R,0)),0),""))</f>
        <v/>
      </c>
      <c r="V66" s="14">
        <f>IF(LEFT($B66,4)="_Mil","",_xlfn.IFNA(ROUND(INDEX(Spectrum!$N:$N,MATCH(RIGHT($B66,13)&amp;"|"&amp;$C66&amp;"|"&amp;$D66&amp;"|"&amp;V$14&amp;"|"&amp;"CY2023Q3",Spectrum!$R:$R,0)),0),""))</f>
        <v>1534</v>
      </c>
      <c r="W66" s="115">
        <f>IF(LEFT($B66,4)="_Mil","",_xlfn.IFNA(INDEX(Spectrum!$N:$N,MATCH(RIGHT($B66,13)&amp;"|"&amp;$C66&amp;"|"&amp;$D66&amp;"|"&amp;W$14&amp;"|"&amp;"CY2023Q3",Spectrum!$R:$R,0)),""))</f>
        <v>1365</v>
      </c>
      <c r="X66" s="42">
        <f>IF(LEFT($B66,4)="_Mil","",_xlfn.IFNA(ROUND(INDEX(Spectrum!$N:$N,MATCH(RIGHT($B66,13)&amp;"|"&amp;$C66&amp;"|"&amp;$D66&amp;"|"&amp;X$14&amp;"|"&amp;"CY2023Q3",Spectrum!$R:$R,0)),0),""))</f>
        <v>588</v>
      </c>
      <c r="Y66" s="90" t="str">
        <f t="shared" si="3"/>
        <v/>
      </c>
      <c r="Z66" s="42">
        <f>IF(LEFT($B66,4)="_Mil","",_xlfn.IFNA(ROUND(INDEX(Spectrum!$N:$N,MATCH(RIGHT($B66,13)&amp;"|"&amp;$C66&amp;"|"&amp;$D66&amp;"|"&amp;Z$14&amp;"|"&amp;"CY2023Q3",Spectrum!$R:$R,0)),0),""))</f>
        <v>999</v>
      </c>
      <c r="AA66" s="90">
        <f>IF(LEFT($B66,4)="_Mil","",IFERROR(1/(1/INDEX(Spectrum!$N:$N,MATCH(RIGHT($B66,13)&amp;"|"&amp;$C66&amp;"|"&amp;$D66&amp;"|"&amp;AA$14&amp;"|"&amp;"CY2023Q3",Spectrum!$R:$R,0))),IF(SUM($U66)=0,"",SUM($Z66)/$U66)))</f>
        <v>1340</v>
      </c>
      <c r="AB66" s="90">
        <f t="shared" si="4"/>
        <v>1.6989795918367347</v>
      </c>
      <c r="AC66" s="14">
        <f>IF(LEFT($B66,4)="_Mil","",_xlfn.IFNA(ROUND(INDEX(Spectrum!$N:$N,MATCH(RIGHT($B66,13)&amp;"|"&amp;$C66&amp;"|"&amp;$D66&amp;"|"&amp;AC$14&amp;"|"&amp;"CY2023Q3",Spectrum!$R:$R,0)),0),""))</f>
        <v>1118</v>
      </c>
      <c r="AD66" s="14" t="str">
        <f>IF(LEFT($B66,4)="_Mil","",_xlfn.IFNA(ROUND(INDEX(Spectrum!$N:$N,MATCH(RIGHT($B66,13)&amp;"|"&amp;$C66&amp;"|"&amp;$D66&amp;"|"&amp;AD$14&amp;"|"&amp;"CY2023Q3",Spectrum!$R:$R,0)),0),""))</f>
        <v/>
      </c>
      <c r="AE66" s="90">
        <f t="shared" si="5"/>
        <v>0</v>
      </c>
      <c r="AF66" s="42" t="str">
        <f>IF(LEFT($B66,4)="_Mil","",_xlfn.IFNA(ROUND(INDEX(Spectrum!$N:$N,MATCH(RIGHT($B66,13)&amp;"|"&amp;$C66&amp;"|"&amp;$D66&amp;"|"&amp;AF$14&amp;"|"&amp;"CY2023Q3",Spectrum!$R:$R,0)),0),""))</f>
        <v/>
      </c>
      <c r="AG66" s="90" t="str">
        <f t="shared" si="6"/>
        <v/>
      </c>
      <c r="AH66" s="88" t="str">
        <f>IF(LEFT($B66,4)="_Mil","",_xlfn.IFNA(INDEX(Spectrum!$N:$N,MATCH(RIGHT($B66,13)&amp;"|"&amp;$C66&amp;"|"&amp;$D66&amp;"|"&amp;AH$14&amp;"|"&amp;"CY2023Q3",Spectrum!$R:$R,0)),""))</f>
        <v/>
      </c>
      <c r="AI66" s="14" t="str">
        <f>IF(LEFT($B66,4)="_Mil","",_xlfn.IFNA(ROUND(INDEX(Spectrum!$N:$N,MATCH(RIGHT($B66,13)&amp;"|"&amp;$C66&amp;"|"&amp;$D66&amp;"|"&amp;AI$14&amp;"|"&amp;"CY2023Q3",Spectrum!$R:$R,0)),0),""))</f>
        <v/>
      </c>
      <c r="AJ66" s="42">
        <f>IF(LEFT($B66,4)="_Mil","",_xlfn.IFNA(ROUND(INDEX(Spectrum!$N:$N,MATCH(RIGHT($B66,13)&amp;"|"&amp;$C66&amp;"|"&amp;$D66&amp;"|"&amp;AI$14&amp;"|"&amp;"CY2023Q3",Spectrum!$R:$R,0)),0),SUM($U66)+SUM($AI66)))</f>
        <v>0</v>
      </c>
      <c r="AK66" s="14" t="str">
        <f>IF(LEFT($B66,4)="_Mil","",_xlfn.IFNA(ROUND(INDEX(Spectrum!$N:$N,MATCH(RIGHT($B66,13)&amp;"|"&amp;$C66&amp;"|"&amp;$D66&amp;"|"&amp;AK$14&amp;"|"&amp;"CY2023Q3",Spectrum!$R:$R,0)),0),""))</f>
        <v/>
      </c>
      <c r="AL66" s="90">
        <f t="shared" si="7"/>
        <v>1340</v>
      </c>
      <c r="AM66" s="14">
        <f t="shared" si="8"/>
        <v>0</v>
      </c>
      <c r="AN66" s="14" t="str">
        <f>IF($C66="&lt;01",ROUND(INDEX(EID!$P:$P,MATCH($B66,EID!$B:$B,0))/2,0),"")</f>
        <v/>
      </c>
      <c r="AO66" s="14">
        <f t="shared" si="9"/>
        <v>0</v>
      </c>
      <c r="AP66" s="42">
        <f t="shared" si="10"/>
        <v>0</v>
      </c>
      <c r="AQ66" s="42">
        <f t="shared" si="11"/>
        <v>999</v>
      </c>
      <c r="AR66" s="90" t="str">
        <f t="shared" si="12"/>
        <v/>
      </c>
      <c r="AS66" s="90">
        <f t="shared" si="24"/>
        <v>0.98</v>
      </c>
      <c r="AT66" s="90">
        <f t="shared" si="24"/>
        <v>0.98</v>
      </c>
      <c r="AU66" s="14">
        <f t="shared" si="14"/>
        <v>0</v>
      </c>
      <c r="AV66" s="14">
        <f>IF($C66="&lt;01",ROUND(INDEX(EID!$N:$N,MATCH($B66,EID!$B:$B,0))/2,0),IF(SUM($AT66)=0,"",ROUND((SUM($AP66)-(SUM($O66)*SUM($AS66)))/$AT66,0)))</f>
        <v>0</v>
      </c>
      <c r="AW66" s="90">
        <f t="shared" si="15"/>
        <v>1</v>
      </c>
      <c r="AX66" s="42">
        <f t="shared" si="16"/>
        <v>0</v>
      </c>
      <c r="AY66" s="116">
        <f t="shared" si="17"/>
        <v>0.7</v>
      </c>
      <c r="AZ66" s="93">
        <f>IF($C66="&lt;01",ROUND(INDEX(EID!$R:$R,MATCH($B66,EID!$B:$B,0))/2,0),ROUND(SUM($O66)+(SUM($AV66)*$AY66),0))</f>
        <v>0</v>
      </c>
      <c r="BA66" s="89">
        <f t="shared" si="18"/>
        <v>0.95</v>
      </c>
      <c r="BB66" s="9">
        <f>IF($C66="&lt;01",ROUND(INDEX(EID!$T:$T,MATCH($B66,EID!$B:$B,0))/2,0),ROUND($AZ66*$BA66,0))</f>
        <v>0</v>
      </c>
      <c r="BC66" s="93">
        <f t="shared" si="19"/>
        <v>0</v>
      </c>
      <c r="BD66" s="90">
        <f t="shared" si="20"/>
        <v>0.95</v>
      </c>
      <c r="BE66" s="42">
        <f>IF($C66="&lt;01",ROUND(INDEX(EID!$V:$V,MATCH($B66,EID!$B:$B,0))/2,0),ROUND($BD66*$BB66,0))</f>
        <v>0</v>
      </c>
      <c r="BF66" s="42">
        <f t="shared" si="21"/>
        <v>0</v>
      </c>
      <c r="BG66" s="116">
        <f t="shared" si="22"/>
        <v>0.95</v>
      </c>
      <c r="BH66" s="9">
        <f>IF($C66="&lt;01",ROUND(INDEX(EID!$L:$L,MATCH($B66,EID!$B:$B,0)),0)/2,IF(SUM($BG66)=0,"",ROUND($AX66/$BG66,0)))</f>
        <v>0</v>
      </c>
    </row>
    <row r="67" spans="1:60" x14ac:dyDescent="0.2">
      <c r="A67" t="str">
        <f>INDEX(Prioritization!$D:$D,MATCH($B67,Prioritization!$A:$A,0))</f>
        <v>INVALID</v>
      </c>
      <c r="B67" t="s">
        <v>196</v>
      </c>
      <c r="C67" t="s">
        <v>366</v>
      </c>
      <c r="D67" t="s">
        <v>29</v>
      </c>
      <c r="E67" t="str">
        <f t="shared" si="0"/>
        <v>Kasungu District [JQKLKuVuY61]|35-49|Female</v>
      </c>
      <c r="F67" s="14"/>
      <c r="G67" s="14"/>
      <c r="H67" s="14"/>
      <c r="I67" s="14"/>
      <c r="J67" s="14"/>
      <c r="K67" s="14"/>
      <c r="L67" s="14"/>
      <c r="M67" s="14"/>
      <c r="N67" s="14"/>
      <c r="O67" s="14" t="str">
        <f t="shared" si="1"/>
        <v/>
      </c>
      <c r="P67" s="14"/>
      <c r="Q67" s="14"/>
      <c r="R67" s="14" t="str">
        <f t="shared" si="2"/>
        <v/>
      </c>
      <c r="S67" s="14">
        <f>IF(LEFT($B67,4)="_Mil","",_xlfn.IFNA(ROUND(INDEX(Spectrum!$N:$N,MATCH(RIGHT($B67,13)&amp;"|"&amp;$C67&amp;"|"&amp;$D67&amp;"|"&amp;S$14&amp;"|"&amp;"CY2022Q4",Spectrum!$R:$R,0)),0),""))</f>
        <v>1134</v>
      </c>
      <c r="T67" s="42">
        <f>IF(LEFT($B67,4)="_Mil","",_xlfn.IFNA(ROUND(INDEX(Spectrum!$N:$N,MATCH(RIGHT($B67,13)&amp;"|"&amp;$C67&amp;"|"&amp;$D67&amp;"|"&amp;T$14&amp;"|"&amp;"CY2023Q3",Spectrum!$R:$R,0)),0),""))</f>
        <v>1514</v>
      </c>
      <c r="U67" s="42" t="str">
        <f>IF(LEFT($B67,4)="_Mil","",_xlfn.IFNA(ROUND(INDEX(Spectrum!$N:$N,MATCH(RIGHT($B67,13)&amp;"|"&amp;$C67&amp;"|"&amp;$D67&amp;"|"&amp;U$14&amp;"|"&amp;"CY2023Q3",Spectrum!$R:$R,0)),0),""))</f>
        <v/>
      </c>
      <c r="V67" s="14">
        <f>IF(LEFT($B67,4)="_Mil","",_xlfn.IFNA(ROUND(INDEX(Spectrum!$N:$N,MATCH(RIGHT($B67,13)&amp;"|"&amp;$C67&amp;"|"&amp;$D67&amp;"|"&amp;V$14&amp;"|"&amp;"CY2023Q3",Spectrum!$R:$R,0)),0),""))</f>
        <v>1426</v>
      </c>
      <c r="W67" s="115">
        <f>IF(LEFT($B67,4)="_Mil","",_xlfn.IFNA(INDEX(Spectrum!$N:$N,MATCH(RIGHT($B67,13)&amp;"|"&amp;$C67&amp;"|"&amp;$D67&amp;"|"&amp;W$14&amp;"|"&amp;"CY2023Q3",Spectrum!$R:$R,0)),""))</f>
        <v>1656</v>
      </c>
      <c r="X67" s="42">
        <f>IF(LEFT($B67,4)="_Mil","",_xlfn.IFNA(ROUND(INDEX(Spectrum!$N:$N,MATCH(RIGHT($B67,13)&amp;"|"&amp;$C67&amp;"|"&amp;$D67&amp;"|"&amp;X$14&amp;"|"&amp;"CY2023Q3",Spectrum!$R:$R,0)),0),""))</f>
        <v>1960</v>
      </c>
      <c r="Y67" s="90" t="str">
        <f t="shared" si="3"/>
        <v/>
      </c>
      <c r="Z67" s="42">
        <f>IF(LEFT($B67,4)="_Mil","",_xlfn.IFNA(ROUND(INDEX(Spectrum!$N:$N,MATCH(RIGHT($B67,13)&amp;"|"&amp;$C67&amp;"|"&amp;$D67&amp;"|"&amp;Z$14&amp;"|"&amp;"CY2023Q3",Spectrum!$R:$R,0)),0),""))</f>
        <v>1508</v>
      </c>
      <c r="AA67" s="90">
        <f>IF(LEFT($B67,4)="_Mil","",IFERROR(1/(1/INDEX(Spectrum!$N:$N,MATCH(RIGHT($B67,13)&amp;"|"&amp;$C67&amp;"|"&amp;$D67&amp;"|"&amp;AA$14&amp;"|"&amp;"CY2023Q3",Spectrum!$R:$R,0))),IF(SUM($U67)=0,"",SUM($Z67)/$U67)))</f>
        <v>1063</v>
      </c>
      <c r="AB67" s="90">
        <f t="shared" si="4"/>
        <v>0.76938775510204083</v>
      </c>
      <c r="AC67" s="14">
        <f>IF(LEFT($B67,4)="_Mil","",_xlfn.IFNA(ROUND(INDEX(Spectrum!$N:$N,MATCH(RIGHT($B67,13)&amp;"|"&amp;$C67&amp;"|"&amp;$D67&amp;"|"&amp;AC$14&amp;"|"&amp;"CY2023Q3",Spectrum!$R:$R,0)),0),""))</f>
        <v>1038</v>
      </c>
      <c r="AD67" s="14" t="str">
        <f>IF(LEFT($B67,4)="_Mil","",_xlfn.IFNA(ROUND(INDEX(Spectrum!$N:$N,MATCH(RIGHT($B67,13)&amp;"|"&amp;$C67&amp;"|"&amp;$D67&amp;"|"&amp;AD$14&amp;"|"&amp;"CY2023Q3",Spectrum!$R:$R,0)),0),""))</f>
        <v/>
      </c>
      <c r="AE67" s="90">
        <f t="shared" si="5"/>
        <v>0</v>
      </c>
      <c r="AF67" s="42" t="str">
        <f>IF(LEFT($B67,4)="_Mil","",_xlfn.IFNA(ROUND(INDEX(Spectrum!$N:$N,MATCH(RIGHT($B67,13)&amp;"|"&amp;$C67&amp;"|"&amp;$D67&amp;"|"&amp;AF$14&amp;"|"&amp;"CY2023Q3",Spectrum!$R:$R,0)),0),""))</f>
        <v/>
      </c>
      <c r="AG67" s="90" t="str">
        <f t="shared" si="6"/>
        <v/>
      </c>
      <c r="AH67" s="88" t="str">
        <f>IF(LEFT($B67,4)="_Mil","",_xlfn.IFNA(INDEX(Spectrum!$N:$N,MATCH(RIGHT($B67,13)&amp;"|"&amp;$C67&amp;"|"&amp;$D67&amp;"|"&amp;AH$14&amp;"|"&amp;"CY2023Q3",Spectrum!$R:$R,0)),""))</f>
        <v/>
      </c>
      <c r="AI67" s="14" t="str">
        <f>IF(LEFT($B67,4)="_Mil","",_xlfn.IFNA(ROUND(INDEX(Spectrum!$N:$N,MATCH(RIGHT($B67,13)&amp;"|"&amp;$C67&amp;"|"&amp;$D67&amp;"|"&amp;AI$14&amp;"|"&amp;"CY2023Q3",Spectrum!$R:$R,0)),0),""))</f>
        <v/>
      </c>
      <c r="AJ67" s="42">
        <f>IF(LEFT($B67,4)="_Mil","",_xlfn.IFNA(ROUND(INDEX(Spectrum!$N:$N,MATCH(RIGHT($B67,13)&amp;"|"&amp;$C67&amp;"|"&amp;$D67&amp;"|"&amp;AI$14&amp;"|"&amp;"CY2023Q3",Spectrum!$R:$R,0)),0),SUM($U67)+SUM($AI67)))</f>
        <v>0</v>
      </c>
      <c r="AK67" s="14" t="str">
        <f>IF(LEFT($B67,4)="_Mil","",_xlfn.IFNA(ROUND(INDEX(Spectrum!$N:$N,MATCH(RIGHT($B67,13)&amp;"|"&amp;$C67&amp;"|"&amp;$D67&amp;"|"&amp;AK$14&amp;"|"&amp;"CY2023Q3",Spectrum!$R:$R,0)),0),""))</f>
        <v/>
      </c>
      <c r="AL67" s="90">
        <f t="shared" si="7"/>
        <v>1063</v>
      </c>
      <c r="AM67" s="14">
        <f t="shared" si="8"/>
        <v>0</v>
      </c>
      <c r="AN67" s="14" t="str">
        <f>IF($C67="&lt;01",ROUND(INDEX(EID!$P:$P,MATCH($B67,EID!$B:$B,0))/2,0),"")</f>
        <v/>
      </c>
      <c r="AO67" s="14">
        <f t="shared" si="9"/>
        <v>0</v>
      </c>
      <c r="AP67" s="42">
        <f t="shared" si="10"/>
        <v>0</v>
      </c>
      <c r="AQ67" s="42">
        <f t="shared" si="11"/>
        <v>1508</v>
      </c>
      <c r="AR67" s="90" t="str">
        <f t="shared" si="12"/>
        <v/>
      </c>
      <c r="AS67" s="90">
        <f t="shared" si="24"/>
        <v>0.98</v>
      </c>
      <c r="AT67" s="90">
        <f t="shared" si="24"/>
        <v>0.98</v>
      </c>
      <c r="AU67" s="14">
        <f t="shared" si="14"/>
        <v>0</v>
      </c>
      <c r="AV67" s="14">
        <f>IF($C67="&lt;01",ROUND(INDEX(EID!$N:$N,MATCH($B67,EID!$B:$B,0))/2,0),IF(SUM($AT67)=0,"",ROUND((SUM($AP67)-(SUM($O67)*SUM($AS67)))/$AT67,0)))</f>
        <v>0</v>
      </c>
      <c r="AW67" s="90">
        <f t="shared" si="15"/>
        <v>1</v>
      </c>
      <c r="AX67" s="42">
        <f t="shared" si="16"/>
        <v>0</v>
      </c>
      <c r="AY67" s="116">
        <f t="shared" si="17"/>
        <v>0.7</v>
      </c>
      <c r="AZ67" s="93">
        <f>IF($C67="&lt;01",ROUND(INDEX(EID!$R:$R,MATCH($B67,EID!$B:$B,0))/2,0),ROUND(SUM($O67)+(SUM($AV67)*$AY67),0))</f>
        <v>0</v>
      </c>
      <c r="BA67" s="89">
        <f t="shared" si="18"/>
        <v>0.95</v>
      </c>
      <c r="BB67" s="9">
        <f>IF($C67="&lt;01",ROUND(INDEX(EID!$T:$T,MATCH($B67,EID!$B:$B,0))/2,0),ROUND($AZ67*$BA67,0))</f>
        <v>0</v>
      </c>
      <c r="BC67" s="93">
        <f t="shared" si="19"/>
        <v>0</v>
      </c>
      <c r="BD67" s="90">
        <f t="shared" si="20"/>
        <v>0.95</v>
      </c>
      <c r="BE67" s="42">
        <f>IF($C67="&lt;01",ROUND(INDEX(EID!$V:$V,MATCH($B67,EID!$B:$B,0))/2,0),ROUND($BD67*$BB67,0))</f>
        <v>0</v>
      </c>
      <c r="BF67" s="42">
        <f t="shared" si="21"/>
        <v>0</v>
      </c>
      <c r="BG67" s="116">
        <f t="shared" si="22"/>
        <v>0.95</v>
      </c>
      <c r="BH67" s="9">
        <f>IF($C67="&lt;01",ROUND(INDEX(EID!$L:$L,MATCH($B67,EID!$B:$B,0)),0)/2,IF(SUM($BG67)=0,"",ROUND($AX67/$BG67,0)))</f>
        <v>0</v>
      </c>
    </row>
    <row r="68" spans="1:60" x14ac:dyDescent="0.2">
      <c r="A68" t="str">
        <f>INDEX(Prioritization!$D:$D,MATCH($B68,Prioritization!$A:$A,0))</f>
        <v>INVALID</v>
      </c>
      <c r="B68" t="s">
        <v>196</v>
      </c>
      <c r="C68" t="s">
        <v>366</v>
      </c>
      <c r="D68" t="s">
        <v>47</v>
      </c>
      <c r="E68" t="str">
        <f t="shared" si="0"/>
        <v>Kasungu District [JQKLKuVuY61]|35-49|Male</v>
      </c>
      <c r="F68" s="14"/>
      <c r="G68" s="14"/>
      <c r="H68" s="14"/>
      <c r="I68" s="14"/>
      <c r="J68" s="14"/>
      <c r="K68" s="14"/>
      <c r="L68" s="14"/>
      <c r="M68" s="14"/>
      <c r="N68" s="14"/>
      <c r="O68" s="14" t="str">
        <f t="shared" si="1"/>
        <v/>
      </c>
      <c r="P68" s="14"/>
      <c r="Q68" s="14"/>
      <c r="R68" s="14" t="str">
        <f t="shared" si="2"/>
        <v/>
      </c>
      <c r="S68" s="14">
        <f>IF(LEFT($B68,4)="_Mil","",_xlfn.IFNA(ROUND(INDEX(Spectrum!$N:$N,MATCH(RIGHT($B68,13)&amp;"|"&amp;$C68&amp;"|"&amp;$D68&amp;"|"&amp;S$14&amp;"|"&amp;"CY2022Q4",Spectrum!$R:$R,0)),0),""))</f>
        <v>1742</v>
      </c>
      <c r="T68" s="42">
        <f>IF(LEFT($B68,4)="_Mil","",_xlfn.IFNA(ROUND(INDEX(Spectrum!$N:$N,MATCH(RIGHT($B68,13)&amp;"|"&amp;$C68&amp;"|"&amp;$D68&amp;"|"&amp;T$14&amp;"|"&amp;"CY2023Q3",Spectrum!$R:$R,0)),0),""))</f>
        <v>1723</v>
      </c>
      <c r="U68" s="42" t="str">
        <f>IF(LEFT($B68,4)="_Mil","",_xlfn.IFNA(ROUND(INDEX(Spectrum!$N:$N,MATCH(RIGHT($B68,13)&amp;"|"&amp;$C68&amp;"|"&amp;$D68&amp;"|"&amp;U$14&amp;"|"&amp;"CY2023Q3",Spectrum!$R:$R,0)),0),""))</f>
        <v/>
      </c>
      <c r="V68" s="14">
        <f>IF(LEFT($B68,4)="_Mil","",_xlfn.IFNA(ROUND(INDEX(Spectrum!$N:$N,MATCH(RIGHT($B68,13)&amp;"|"&amp;$C68&amp;"|"&amp;$D68&amp;"|"&amp;V$14&amp;"|"&amp;"CY2023Q3",Spectrum!$R:$R,0)),0),""))</f>
        <v>1268</v>
      </c>
      <c r="W68" s="115">
        <f>IF(LEFT($B68,4)="_Mil","",_xlfn.IFNA(INDEX(Spectrum!$N:$N,MATCH(RIGHT($B68,13)&amp;"|"&amp;$C68&amp;"|"&amp;$D68&amp;"|"&amp;W$14&amp;"|"&amp;"CY2023Q3",Spectrum!$R:$R,0)),""))</f>
        <v>1408</v>
      </c>
      <c r="X68" s="42">
        <f>IF(LEFT($B68,4)="_Mil","",_xlfn.IFNA(ROUND(INDEX(Spectrum!$N:$N,MATCH(RIGHT($B68,13)&amp;"|"&amp;$C68&amp;"|"&amp;$D68&amp;"|"&amp;X$14&amp;"|"&amp;"CY2023Q3",Spectrum!$R:$R,0)),0),""))</f>
        <v>1552</v>
      </c>
      <c r="Y68" s="90" t="str">
        <f t="shared" si="3"/>
        <v/>
      </c>
      <c r="Z68" s="42">
        <f>IF(LEFT($B68,4)="_Mil","",_xlfn.IFNA(ROUND(INDEX(Spectrum!$N:$N,MATCH(RIGHT($B68,13)&amp;"|"&amp;$C68&amp;"|"&amp;$D68&amp;"|"&amp;Z$14&amp;"|"&amp;"CY2023Q3",Spectrum!$R:$R,0)),0),""))</f>
        <v>1101</v>
      </c>
      <c r="AA68" s="90">
        <f>IF(LEFT($B68,4)="_Mil","",IFERROR(1/(1/INDEX(Spectrum!$N:$N,MATCH(RIGHT($B68,13)&amp;"|"&amp;$C68&amp;"|"&amp;$D68&amp;"|"&amp;AA$14&amp;"|"&amp;"CY2023Q3",Spectrum!$R:$R,0))),IF(SUM($U68)=0,"",SUM($Z68)/$U68)))</f>
        <v>1735</v>
      </c>
      <c r="AB68" s="90">
        <f t="shared" si="4"/>
        <v>0.70940721649484539</v>
      </c>
      <c r="AC68" s="14">
        <f>IF(LEFT($B68,4)="_Mil","",_xlfn.IFNA(ROUND(INDEX(Spectrum!$N:$N,MATCH(RIGHT($B68,13)&amp;"|"&amp;$C68&amp;"|"&amp;$D68&amp;"|"&amp;AC$14&amp;"|"&amp;"CY2023Q3",Spectrum!$R:$R,0)),0),""))</f>
        <v>1437</v>
      </c>
      <c r="AD68" s="14" t="str">
        <f>IF(LEFT($B68,4)="_Mil","",_xlfn.IFNA(ROUND(INDEX(Spectrum!$N:$N,MATCH(RIGHT($B68,13)&amp;"|"&amp;$C68&amp;"|"&amp;$D68&amp;"|"&amp;AD$14&amp;"|"&amp;"CY2023Q3",Spectrum!$R:$R,0)),0),""))</f>
        <v/>
      </c>
      <c r="AE68" s="90">
        <f t="shared" si="5"/>
        <v>0</v>
      </c>
      <c r="AF68" s="42" t="str">
        <f>IF(LEFT($B68,4)="_Mil","",_xlfn.IFNA(ROUND(INDEX(Spectrum!$N:$N,MATCH(RIGHT($B68,13)&amp;"|"&amp;$C68&amp;"|"&amp;$D68&amp;"|"&amp;AF$14&amp;"|"&amp;"CY2023Q3",Spectrum!$R:$R,0)),0),""))</f>
        <v/>
      </c>
      <c r="AG68" s="90" t="str">
        <f t="shared" si="6"/>
        <v/>
      </c>
      <c r="AH68" s="88" t="str">
        <f>IF(LEFT($B68,4)="_Mil","",_xlfn.IFNA(INDEX(Spectrum!$N:$N,MATCH(RIGHT($B68,13)&amp;"|"&amp;$C68&amp;"|"&amp;$D68&amp;"|"&amp;AH$14&amp;"|"&amp;"CY2023Q3",Spectrum!$R:$R,0)),""))</f>
        <v/>
      </c>
      <c r="AI68" s="14" t="str">
        <f>IF(LEFT($B68,4)="_Mil","",_xlfn.IFNA(ROUND(INDEX(Spectrum!$N:$N,MATCH(RIGHT($B68,13)&amp;"|"&amp;$C68&amp;"|"&amp;$D68&amp;"|"&amp;AI$14&amp;"|"&amp;"CY2023Q3",Spectrum!$R:$R,0)),0),""))</f>
        <v/>
      </c>
      <c r="AJ68" s="42">
        <f>IF(LEFT($B68,4)="_Mil","",_xlfn.IFNA(ROUND(INDEX(Spectrum!$N:$N,MATCH(RIGHT($B68,13)&amp;"|"&amp;$C68&amp;"|"&amp;$D68&amp;"|"&amp;AI$14&amp;"|"&amp;"CY2023Q3",Spectrum!$R:$R,0)),0),SUM($U68)+SUM($AI68)))</f>
        <v>0</v>
      </c>
      <c r="AK68" s="14" t="str">
        <f>IF(LEFT($B68,4)="_Mil","",_xlfn.IFNA(ROUND(INDEX(Spectrum!$N:$N,MATCH(RIGHT($B68,13)&amp;"|"&amp;$C68&amp;"|"&amp;$D68&amp;"|"&amp;AK$14&amp;"|"&amp;"CY2023Q3",Spectrum!$R:$R,0)),0),""))</f>
        <v/>
      </c>
      <c r="AL68" s="90">
        <f t="shared" si="7"/>
        <v>1735</v>
      </c>
      <c r="AM68" s="14">
        <f t="shared" si="8"/>
        <v>0</v>
      </c>
      <c r="AN68" s="14" t="str">
        <f>IF($C68="&lt;01",ROUND(INDEX(EID!$P:$P,MATCH($B68,EID!$B:$B,0))/2,0),"")</f>
        <v/>
      </c>
      <c r="AO68" s="14">
        <f t="shared" si="9"/>
        <v>0</v>
      </c>
      <c r="AP68" s="42">
        <f t="shared" si="10"/>
        <v>0</v>
      </c>
      <c r="AQ68" s="42">
        <f t="shared" si="11"/>
        <v>1101</v>
      </c>
      <c r="AR68" s="90" t="str">
        <f t="shared" si="12"/>
        <v/>
      </c>
      <c r="AS68" s="90">
        <f t="shared" si="24"/>
        <v>0.98</v>
      </c>
      <c r="AT68" s="90">
        <f t="shared" si="24"/>
        <v>0.98</v>
      </c>
      <c r="AU68" s="14">
        <f t="shared" si="14"/>
        <v>0</v>
      </c>
      <c r="AV68" s="14">
        <f>IF($C68="&lt;01",ROUND(INDEX(EID!$N:$N,MATCH($B68,EID!$B:$B,0))/2,0),IF(SUM($AT68)=0,"",ROUND((SUM($AP68)-(SUM($O68)*SUM($AS68)))/$AT68,0)))</f>
        <v>0</v>
      </c>
      <c r="AW68" s="90">
        <f t="shared" si="15"/>
        <v>1</v>
      </c>
      <c r="AX68" s="42">
        <f t="shared" si="16"/>
        <v>0</v>
      </c>
      <c r="AY68" s="116">
        <f t="shared" si="17"/>
        <v>0.7</v>
      </c>
      <c r="AZ68" s="93">
        <f>IF($C68="&lt;01",ROUND(INDEX(EID!$R:$R,MATCH($B68,EID!$B:$B,0))/2,0),ROUND(SUM($O68)+(SUM($AV68)*$AY68),0))</f>
        <v>0</v>
      </c>
      <c r="BA68" s="89">
        <f t="shared" si="18"/>
        <v>0.95</v>
      </c>
      <c r="BB68" s="9">
        <f>IF($C68="&lt;01",ROUND(INDEX(EID!$T:$T,MATCH($B68,EID!$B:$B,0))/2,0),ROUND($AZ68*$BA68,0))</f>
        <v>0</v>
      </c>
      <c r="BC68" s="93">
        <f t="shared" si="19"/>
        <v>0</v>
      </c>
      <c r="BD68" s="90">
        <f t="shared" si="20"/>
        <v>0.95</v>
      </c>
      <c r="BE68" s="42">
        <f>IF($C68="&lt;01",ROUND(INDEX(EID!$V:$V,MATCH($B68,EID!$B:$B,0))/2,0),ROUND($BD68*$BB68,0))</f>
        <v>0</v>
      </c>
      <c r="BF68" s="42">
        <f t="shared" si="21"/>
        <v>0</v>
      </c>
      <c r="BG68" s="116">
        <f t="shared" si="22"/>
        <v>0.95</v>
      </c>
      <c r="BH68" s="9">
        <f>IF($C68="&lt;01",ROUND(INDEX(EID!$L:$L,MATCH($B68,EID!$B:$B,0)),0)/2,IF(SUM($BG68)=0,"",ROUND($AX68/$BG68,0)))</f>
        <v>0</v>
      </c>
    </row>
    <row r="69" spans="1:60" x14ac:dyDescent="0.2">
      <c r="A69" t="str">
        <f>INDEX(Prioritization!$D:$D,MATCH($B69,Prioritization!$A:$A,0))</f>
        <v>INVALID</v>
      </c>
      <c r="B69" t="s">
        <v>196</v>
      </c>
      <c r="C69" t="s">
        <v>367</v>
      </c>
      <c r="D69" t="s">
        <v>29</v>
      </c>
      <c r="E69" t="str">
        <f t="shared" si="0"/>
        <v>Kasungu District [JQKLKuVuY61]|50+|Female</v>
      </c>
      <c r="F69" s="14"/>
      <c r="G69" s="14"/>
      <c r="H69" s="14"/>
      <c r="I69" s="14"/>
      <c r="J69" s="14"/>
      <c r="K69" s="14"/>
      <c r="L69" s="14"/>
      <c r="M69" s="14"/>
      <c r="N69" s="14"/>
      <c r="O69" s="14" t="str">
        <f t="shared" si="1"/>
        <v/>
      </c>
      <c r="P69" s="14"/>
      <c r="Q69" s="14"/>
      <c r="R69" s="14" t="str">
        <f t="shared" si="2"/>
        <v/>
      </c>
      <c r="S69" s="14">
        <f>IF(LEFT($B69,4)="_Mil","",_xlfn.IFNA(ROUND(INDEX(Spectrum!$N:$N,MATCH(RIGHT($B69,13)&amp;"|"&amp;$C69&amp;"|"&amp;$D69&amp;"|"&amp;S$14&amp;"|"&amp;"CY2022Q4",Spectrum!$R:$R,0)),0),""))</f>
        <v>784</v>
      </c>
      <c r="T69" s="42">
        <f>IF(LEFT($B69,4)="_Mil","",_xlfn.IFNA(ROUND(INDEX(Spectrum!$N:$N,MATCH(RIGHT($B69,13)&amp;"|"&amp;$C69&amp;"|"&amp;$D69&amp;"|"&amp;T$14&amp;"|"&amp;"CY2023Q3",Spectrum!$R:$R,0)),0),""))</f>
        <v>1737</v>
      </c>
      <c r="U69" s="42" t="str">
        <f>IF(LEFT($B69,4)="_Mil","",_xlfn.IFNA(ROUND(INDEX(Spectrum!$N:$N,MATCH(RIGHT($B69,13)&amp;"|"&amp;$C69&amp;"|"&amp;$D69&amp;"|"&amp;U$14&amp;"|"&amp;"CY2023Q3",Spectrum!$R:$R,0)),0),""))</f>
        <v/>
      </c>
      <c r="V69" s="14">
        <f>IF(LEFT($B69,4)="_Mil","",_xlfn.IFNA(ROUND(INDEX(Spectrum!$N:$N,MATCH(RIGHT($B69,13)&amp;"|"&amp;$C69&amp;"|"&amp;$D69&amp;"|"&amp;V$14&amp;"|"&amp;"CY2023Q3",Spectrum!$R:$R,0)),0),""))</f>
        <v>877</v>
      </c>
      <c r="W69" s="115">
        <f>IF(LEFT($B69,4)="_Mil","",_xlfn.IFNA(INDEX(Spectrum!$N:$N,MATCH(RIGHT($B69,13)&amp;"|"&amp;$C69&amp;"|"&amp;$D69&amp;"|"&amp;W$14&amp;"|"&amp;"CY2023Q3",Spectrum!$R:$R,0)),""))</f>
        <v>627</v>
      </c>
      <c r="X69" s="42">
        <f>IF(LEFT($B69,4)="_Mil","",_xlfn.IFNA(ROUND(INDEX(Spectrum!$N:$N,MATCH(RIGHT($B69,13)&amp;"|"&amp;$C69&amp;"|"&amp;$D69&amp;"|"&amp;X$14&amp;"|"&amp;"CY2023Q3",Spectrum!$R:$R,0)),0),""))</f>
        <v>802</v>
      </c>
      <c r="Y69" s="90" t="str">
        <f t="shared" si="3"/>
        <v/>
      </c>
      <c r="Z69" s="42">
        <f>IF(LEFT($B69,4)="_Mil","",_xlfn.IFNA(ROUND(INDEX(Spectrum!$N:$N,MATCH(RIGHT($B69,13)&amp;"|"&amp;$C69&amp;"|"&amp;$D69&amp;"|"&amp;Z$14&amp;"|"&amp;"CY2023Q3",Spectrum!$R:$R,0)),0),""))</f>
        <v>1622</v>
      </c>
      <c r="AA69" s="90">
        <f>IF(LEFT($B69,4)="_Mil","",IFERROR(1/(1/INDEX(Spectrum!$N:$N,MATCH(RIGHT($B69,13)&amp;"|"&amp;$C69&amp;"|"&amp;$D69&amp;"|"&amp;AA$14&amp;"|"&amp;"CY2023Q3",Spectrum!$R:$R,0))),IF(SUM($U69)=0,"",SUM($Z69)/$U69)))</f>
        <v>1446</v>
      </c>
      <c r="AB69" s="90">
        <f t="shared" si="4"/>
        <v>2.0224438902743143</v>
      </c>
      <c r="AC69" s="14">
        <f>IF(LEFT($B69,4)="_Mil","",_xlfn.IFNA(ROUND(INDEX(Spectrum!$N:$N,MATCH(RIGHT($B69,13)&amp;"|"&amp;$C69&amp;"|"&amp;$D69&amp;"|"&amp;AC$14&amp;"|"&amp;"CY2023Q3",Spectrum!$R:$R,0)),0),""))</f>
        <v>957</v>
      </c>
      <c r="AD69" s="14" t="str">
        <f>IF(LEFT($B69,4)="_Mil","",_xlfn.IFNA(ROUND(INDEX(Spectrum!$N:$N,MATCH(RIGHT($B69,13)&amp;"|"&amp;$C69&amp;"|"&amp;$D69&amp;"|"&amp;AD$14&amp;"|"&amp;"CY2023Q3",Spectrum!$R:$R,0)),0),""))</f>
        <v/>
      </c>
      <c r="AE69" s="90">
        <f t="shared" si="5"/>
        <v>0</v>
      </c>
      <c r="AF69" s="42" t="str">
        <f>IF(LEFT($B69,4)="_Mil","",_xlfn.IFNA(ROUND(INDEX(Spectrum!$N:$N,MATCH(RIGHT($B69,13)&amp;"|"&amp;$C69&amp;"|"&amp;$D69&amp;"|"&amp;AF$14&amp;"|"&amp;"CY2023Q3",Spectrum!$R:$R,0)),0),""))</f>
        <v/>
      </c>
      <c r="AG69" s="90" t="str">
        <f t="shared" si="6"/>
        <v/>
      </c>
      <c r="AH69" s="88" t="str">
        <f>IF(LEFT($B69,4)="_Mil","",_xlfn.IFNA(INDEX(Spectrum!$N:$N,MATCH(RIGHT($B69,13)&amp;"|"&amp;$C69&amp;"|"&amp;$D69&amp;"|"&amp;AH$14&amp;"|"&amp;"CY2023Q3",Spectrum!$R:$R,0)),""))</f>
        <v/>
      </c>
      <c r="AI69" s="14" t="str">
        <f>IF(LEFT($B69,4)="_Mil","",_xlfn.IFNA(ROUND(INDEX(Spectrum!$N:$N,MATCH(RIGHT($B69,13)&amp;"|"&amp;$C69&amp;"|"&amp;$D69&amp;"|"&amp;AI$14&amp;"|"&amp;"CY2023Q3",Spectrum!$R:$R,0)),0),""))</f>
        <v/>
      </c>
      <c r="AJ69" s="42">
        <f>IF(LEFT($B69,4)="_Mil","",_xlfn.IFNA(ROUND(INDEX(Spectrum!$N:$N,MATCH(RIGHT($B69,13)&amp;"|"&amp;$C69&amp;"|"&amp;$D69&amp;"|"&amp;AI$14&amp;"|"&amp;"CY2023Q3",Spectrum!$R:$R,0)),0),SUM($U69)+SUM($AI69)))</f>
        <v>0</v>
      </c>
      <c r="AK69" s="14" t="str">
        <f>IF(LEFT($B69,4)="_Mil","",_xlfn.IFNA(ROUND(INDEX(Spectrum!$N:$N,MATCH(RIGHT($B69,13)&amp;"|"&amp;$C69&amp;"|"&amp;$D69&amp;"|"&amp;AK$14&amp;"|"&amp;"CY2023Q3",Spectrum!$R:$R,0)),0),""))</f>
        <v/>
      </c>
      <c r="AL69" s="90">
        <f t="shared" si="7"/>
        <v>1446</v>
      </c>
      <c r="AM69" s="14">
        <f t="shared" si="8"/>
        <v>0</v>
      </c>
      <c r="AN69" s="14" t="str">
        <f>IF($C69="&lt;01",ROUND(INDEX(EID!$P:$P,MATCH($B69,EID!$B:$B,0))/2,0),"")</f>
        <v/>
      </c>
      <c r="AO69" s="14">
        <f t="shared" si="9"/>
        <v>0</v>
      </c>
      <c r="AP69" s="42">
        <f t="shared" si="10"/>
        <v>0</v>
      </c>
      <c r="AQ69" s="42">
        <f t="shared" si="11"/>
        <v>1622</v>
      </c>
      <c r="AR69" s="90" t="str">
        <f t="shared" si="12"/>
        <v/>
      </c>
      <c r="AS69" s="90">
        <f t="shared" si="24"/>
        <v>0.98</v>
      </c>
      <c r="AT69" s="90">
        <f t="shared" si="24"/>
        <v>0.98</v>
      </c>
      <c r="AU69" s="14">
        <f t="shared" si="14"/>
        <v>0</v>
      </c>
      <c r="AV69" s="14">
        <f>IF($C69="&lt;01",ROUND(INDEX(EID!$N:$N,MATCH($B69,EID!$B:$B,0))/2,0),IF(SUM($AT69)=0,"",ROUND((SUM($AP69)-(SUM($O69)*SUM($AS69)))/$AT69,0)))</f>
        <v>0</v>
      </c>
      <c r="AW69" s="90">
        <f t="shared" si="15"/>
        <v>1</v>
      </c>
      <c r="AX69" s="42">
        <f t="shared" si="16"/>
        <v>0</v>
      </c>
      <c r="AY69" s="116">
        <f t="shared" si="17"/>
        <v>0.7</v>
      </c>
      <c r="AZ69" s="93">
        <f>IF($C69="&lt;01",ROUND(INDEX(EID!$R:$R,MATCH($B69,EID!$B:$B,0))/2,0),ROUND(SUM($O69)+(SUM($AV69)*$AY69),0))</f>
        <v>0</v>
      </c>
      <c r="BA69" s="89">
        <f t="shared" si="18"/>
        <v>0.95</v>
      </c>
      <c r="BB69" s="9">
        <f>IF($C69="&lt;01",ROUND(INDEX(EID!$T:$T,MATCH($B69,EID!$B:$B,0))/2,0),ROUND($AZ69*$BA69,0))</f>
        <v>0</v>
      </c>
      <c r="BC69" s="93">
        <f t="shared" si="19"/>
        <v>0</v>
      </c>
      <c r="BD69" s="90">
        <f t="shared" si="20"/>
        <v>0.95</v>
      </c>
      <c r="BE69" s="42">
        <f>IF($C69="&lt;01",ROUND(INDEX(EID!$V:$V,MATCH($B69,EID!$B:$B,0))/2,0),ROUND($BD69*$BB69,0))</f>
        <v>0</v>
      </c>
      <c r="BF69" s="42">
        <f t="shared" si="21"/>
        <v>0</v>
      </c>
      <c r="BG69" s="116">
        <f t="shared" si="22"/>
        <v>0.95</v>
      </c>
      <c r="BH69" s="9">
        <f>IF($C69="&lt;01",ROUND(INDEX(EID!$L:$L,MATCH($B69,EID!$B:$B,0)),0)/2,IF(SUM($BG69)=0,"",ROUND($AX69/$BG69,0)))</f>
        <v>0</v>
      </c>
    </row>
    <row r="70" spans="1:60" x14ac:dyDescent="0.2">
      <c r="A70" t="str">
        <f>INDEX(Prioritization!$D:$D,MATCH($B70,Prioritization!$A:$A,0))</f>
        <v>INVALID</v>
      </c>
      <c r="B70" t="s">
        <v>196</v>
      </c>
      <c r="C70" t="s">
        <v>367</v>
      </c>
      <c r="D70" t="s">
        <v>47</v>
      </c>
      <c r="E70" t="str">
        <f t="shared" si="0"/>
        <v>Kasungu District [JQKLKuVuY61]|50+|Male</v>
      </c>
      <c r="F70" s="14"/>
      <c r="G70" s="14"/>
      <c r="H70" s="14"/>
      <c r="I70" s="14"/>
      <c r="J70" s="14"/>
      <c r="K70" s="14"/>
      <c r="L70" s="14"/>
      <c r="M70" s="14"/>
      <c r="N70" s="14"/>
      <c r="O70" s="14" t="str">
        <f t="shared" si="1"/>
        <v/>
      </c>
      <c r="P70" s="14"/>
      <c r="Q70" s="14"/>
      <c r="R70" s="14" t="str">
        <f t="shared" si="2"/>
        <v/>
      </c>
      <c r="S70" s="14">
        <f>IF(LEFT($B70,4)="_Mil","",_xlfn.IFNA(ROUND(INDEX(Spectrum!$N:$N,MATCH(RIGHT($B70,13)&amp;"|"&amp;$C70&amp;"|"&amp;$D70&amp;"|"&amp;S$14&amp;"|"&amp;"CY2022Q4",Spectrum!$R:$R,0)),0),""))</f>
        <v>938</v>
      </c>
      <c r="T70" s="42">
        <f>IF(LEFT($B70,4)="_Mil","",_xlfn.IFNA(ROUND(INDEX(Spectrum!$N:$N,MATCH(RIGHT($B70,13)&amp;"|"&amp;$C70&amp;"|"&amp;$D70&amp;"|"&amp;T$14&amp;"|"&amp;"CY2023Q3",Spectrum!$R:$R,0)),0),""))</f>
        <v>963</v>
      </c>
      <c r="U70" s="42" t="str">
        <f>IF(LEFT($B70,4)="_Mil","",_xlfn.IFNA(ROUND(INDEX(Spectrum!$N:$N,MATCH(RIGHT($B70,13)&amp;"|"&amp;$C70&amp;"|"&amp;$D70&amp;"|"&amp;U$14&amp;"|"&amp;"CY2023Q3",Spectrum!$R:$R,0)),0),""))</f>
        <v/>
      </c>
      <c r="V70" s="14">
        <f>IF(LEFT($B70,4)="_Mil","",_xlfn.IFNA(ROUND(INDEX(Spectrum!$N:$N,MATCH(RIGHT($B70,13)&amp;"|"&amp;$C70&amp;"|"&amp;$D70&amp;"|"&amp;V$14&amp;"|"&amp;"CY2023Q3",Spectrum!$R:$R,0)),0),""))</f>
        <v>1523</v>
      </c>
      <c r="W70" s="115">
        <f>IF(LEFT($B70,4)="_Mil","",_xlfn.IFNA(INDEX(Spectrum!$N:$N,MATCH(RIGHT($B70,13)&amp;"|"&amp;$C70&amp;"|"&amp;$D70&amp;"|"&amp;W$14&amp;"|"&amp;"CY2023Q3",Spectrum!$R:$R,0)),""))</f>
        <v>580</v>
      </c>
      <c r="X70" s="42">
        <f>IF(LEFT($B70,4)="_Mil","",_xlfn.IFNA(ROUND(INDEX(Spectrum!$N:$N,MATCH(RIGHT($B70,13)&amp;"|"&amp;$C70&amp;"|"&amp;$D70&amp;"|"&amp;X$14&amp;"|"&amp;"CY2023Q3",Spectrum!$R:$R,0)),0),""))</f>
        <v>506</v>
      </c>
      <c r="Y70" s="90" t="str">
        <f t="shared" si="3"/>
        <v/>
      </c>
      <c r="Z70" s="42">
        <f>IF(LEFT($B70,4)="_Mil","",_xlfn.IFNA(ROUND(INDEX(Spectrum!$N:$N,MATCH(RIGHT($B70,13)&amp;"|"&amp;$C70&amp;"|"&amp;$D70&amp;"|"&amp;Z$14&amp;"|"&amp;"CY2023Q3",Spectrum!$R:$R,0)),0),""))</f>
        <v>932</v>
      </c>
      <c r="AA70" s="90">
        <f>IF(LEFT($B70,4)="_Mil","",IFERROR(1/(1/INDEX(Spectrum!$N:$N,MATCH(RIGHT($B70,13)&amp;"|"&amp;$C70&amp;"|"&amp;$D70&amp;"|"&amp;AA$14&amp;"|"&amp;"CY2023Q3",Spectrum!$R:$R,0))),IF(SUM($U70)=0,"",SUM($Z70)/$U70)))</f>
        <v>501.00000000000006</v>
      </c>
      <c r="AB70" s="90">
        <f t="shared" si="4"/>
        <v>1.8418972332015811</v>
      </c>
      <c r="AC70" s="14">
        <f>IF(LEFT($B70,4)="_Mil","",_xlfn.IFNA(ROUND(INDEX(Spectrum!$N:$N,MATCH(RIGHT($B70,13)&amp;"|"&amp;$C70&amp;"|"&amp;$D70&amp;"|"&amp;AC$14&amp;"|"&amp;"CY2023Q3",Spectrum!$R:$R,0)),0),""))</f>
        <v>869</v>
      </c>
      <c r="AD70" s="14" t="str">
        <f>IF(LEFT($B70,4)="_Mil","",_xlfn.IFNA(ROUND(INDEX(Spectrum!$N:$N,MATCH(RIGHT($B70,13)&amp;"|"&amp;$C70&amp;"|"&amp;$D70&amp;"|"&amp;AD$14&amp;"|"&amp;"CY2023Q3",Spectrum!$R:$R,0)),0),""))</f>
        <v/>
      </c>
      <c r="AE70" s="90">
        <f t="shared" si="5"/>
        <v>0</v>
      </c>
      <c r="AF70" s="42" t="str">
        <f>IF(LEFT($B70,4)="_Mil","",_xlfn.IFNA(ROUND(INDEX(Spectrum!$N:$N,MATCH(RIGHT($B70,13)&amp;"|"&amp;$C70&amp;"|"&amp;$D70&amp;"|"&amp;AF$14&amp;"|"&amp;"CY2023Q3",Spectrum!$R:$R,0)),0),""))</f>
        <v/>
      </c>
      <c r="AG70" s="90" t="str">
        <f t="shared" si="6"/>
        <v/>
      </c>
      <c r="AH70" s="88" t="str">
        <f>IF(LEFT($B70,4)="_Mil","",_xlfn.IFNA(INDEX(Spectrum!$N:$N,MATCH(RIGHT($B70,13)&amp;"|"&amp;$C70&amp;"|"&amp;$D70&amp;"|"&amp;AH$14&amp;"|"&amp;"CY2023Q3",Spectrum!$R:$R,0)),""))</f>
        <v/>
      </c>
      <c r="AI70" s="14" t="str">
        <f>IF(LEFT($B70,4)="_Mil","",_xlfn.IFNA(ROUND(INDEX(Spectrum!$N:$N,MATCH(RIGHT($B70,13)&amp;"|"&amp;$C70&amp;"|"&amp;$D70&amp;"|"&amp;AI$14&amp;"|"&amp;"CY2023Q3",Spectrum!$R:$R,0)),0),""))</f>
        <v/>
      </c>
      <c r="AJ70" s="42">
        <f>IF(LEFT($B70,4)="_Mil","",_xlfn.IFNA(ROUND(INDEX(Spectrum!$N:$N,MATCH(RIGHT($B70,13)&amp;"|"&amp;$C70&amp;"|"&amp;$D70&amp;"|"&amp;AI$14&amp;"|"&amp;"CY2023Q3",Spectrum!$R:$R,0)),0),SUM($U70)+SUM($AI70)))</f>
        <v>0</v>
      </c>
      <c r="AK70" s="14" t="str">
        <f>IF(LEFT($B70,4)="_Mil","",_xlfn.IFNA(ROUND(INDEX(Spectrum!$N:$N,MATCH(RIGHT($B70,13)&amp;"|"&amp;$C70&amp;"|"&amp;$D70&amp;"|"&amp;AK$14&amp;"|"&amp;"CY2023Q3",Spectrum!$R:$R,0)),0),""))</f>
        <v/>
      </c>
      <c r="AL70" s="90">
        <f t="shared" si="7"/>
        <v>501.00000000000006</v>
      </c>
      <c r="AM70" s="14">
        <f t="shared" si="8"/>
        <v>0</v>
      </c>
      <c r="AN70" s="14" t="str">
        <f>IF($C70="&lt;01",ROUND(INDEX(EID!$P:$P,MATCH($B70,EID!$B:$B,0))/2,0),"")</f>
        <v/>
      </c>
      <c r="AO70" s="14">
        <f t="shared" si="9"/>
        <v>0</v>
      </c>
      <c r="AP70" s="42">
        <f t="shared" si="10"/>
        <v>0</v>
      </c>
      <c r="AQ70" s="42">
        <f t="shared" si="11"/>
        <v>932</v>
      </c>
      <c r="AR70" s="90" t="str">
        <f t="shared" si="12"/>
        <v/>
      </c>
      <c r="AS70" s="90">
        <f t="shared" si="24"/>
        <v>0.98</v>
      </c>
      <c r="AT70" s="90">
        <f t="shared" si="24"/>
        <v>0.98</v>
      </c>
      <c r="AU70" s="14">
        <f t="shared" si="14"/>
        <v>0</v>
      </c>
      <c r="AV70" s="14">
        <f>IF($C70="&lt;01",ROUND(INDEX(EID!$N:$N,MATCH($B70,EID!$B:$B,0))/2,0),IF(SUM($AT70)=0,"",ROUND((SUM($AP70)-(SUM($O70)*SUM($AS70)))/$AT70,0)))</f>
        <v>0</v>
      </c>
      <c r="AW70" s="90">
        <f t="shared" si="15"/>
        <v>1</v>
      </c>
      <c r="AX70" s="42">
        <f t="shared" si="16"/>
        <v>0</v>
      </c>
      <c r="AY70" s="116">
        <f t="shared" si="17"/>
        <v>0.7</v>
      </c>
      <c r="AZ70" s="93">
        <f>IF($C70="&lt;01",ROUND(INDEX(EID!$R:$R,MATCH($B70,EID!$B:$B,0))/2,0),ROUND(SUM($O70)+(SUM($AV70)*$AY70),0))</f>
        <v>0</v>
      </c>
      <c r="BA70" s="89">
        <f t="shared" si="18"/>
        <v>0.95</v>
      </c>
      <c r="BB70" s="9">
        <f>IF($C70="&lt;01",ROUND(INDEX(EID!$T:$T,MATCH($B70,EID!$B:$B,0))/2,0),ROUND($AZ70*$BA70,0))</f>
        <v>0</v>
      </c>
      <c r="BC70" s="93">
        <f t="shared" si="19"/>
        <v>0</v>
      </c>
      <c r="BD70" s="90">
        <f t="shared" si="20"/>
        <v>0.95</v>
      </c>
      <c r="BE70" s="42">
        <f>IF($C70="&lt;01",ROUND(INDEX(EID!$V:$V,MATCH($B70,EID!$B:$B,0))/2,0),ROUND($BD70*$BB70,0))</f>
        <v>0</v>
      </c>
      <c r="BF70" s="42">
        <f t="shared" si="21"/>
        <v>0</v>
      </c>
      <c r="BG70" s="116">
        <f t="shared" si="22"/>
        <v>0.95</v>
      </c>
      <c r="BH70" s="9">
        <f>IF($C70="&lt;01",ROUND(INDEX(EID!$L:$L,MATCH($B70,EID!$B:$B,0)),0)/2,IF(SUM($BG70)=0,"",ROUND($AX70/$BG70,0)))</f>
        <v>0</v>
      </c>
    </row>
    <row r="71" spans="1:60" x14ac:dyDescent="0.2">
      <c r="A71" t="str">
        <f>INDEX(Prioritization!$D:$D,MATCH($B71,Prioritization!$A:$A,0))</f>
        <v>1 - Scale-up: Saturation</v>
      </c>
      <c r="B71" t="s">
        <v>197</v>
      </c>
      <c r="C71" t="s">
        <v>315</v>
      </c>
      <c r="D71" t="s">
        <v>29</v>
      </c>
      <c r="E71" t="str">
        <f t="shared" si="0"/>
        <v>Lilongwe District [ScR9iFKAasW]|&lt;01|Female</v>
      </c>
      <c r="F71" s="14"/>
      <c r="G71" s="14">
        <v>30</v>
      </c>
      <c r="H71" s="14">
        <v>2</v>
      </c>
      <c r="I71" s="14">
        <v>2</v>
      </c>
      <c r="J71" s="14">
        <v>83</v>
      </c>
      <c r="K71" s="14">
        <v>91</v>
      </c>
      <c r="L71" s="14"/>
      <c r="M71" s="14">
        <v>3</v>
      </c>
      <c r="N71" s="14">
        <v>8</v>
      </c>
      <c r="O71" s="14">
        <f t="shared" si="1"/>
        <v>8</v>
      </c>
      <c r="P71" s="14">
        <v>1</v>
      </c>
      <c r="Q71" s="14">
        <v>3</v>
      </c>
      <c r="R71" s="14">
        <f t="shared" si="2"/>
        <v>6</v>
      </c>
      <c r="S71" s="14">
        <f>IF(LEFT($B71,4)="_Mil","",_xlfn.IFNA(ROUND(INDEX(Spectrum!$N:$N,MATCH(RIGHT($B71,13)&amp;"|"&amp;$C71&amp;"|"&amp;$D71&amp;"|"&amp;S$14&amp;"|"&amp;"CY2022Q4",Spectrum!$R:$R,0)),0),""))</f>
        <v>1063</v>
      </c>
      <c r="T71" s="42">
        <f>IF(LEFT($B71,4)="_Mil","",_xlfn.IFNA(ROUND(INDEX(Spectrum!$N:$N,MATCH(RIGHT($B71,13)&amp;"|"&amp;$C71&amp;"|"&amp;$D71&amp;"|"&amp;T$14&amp;"|"&amp;"CY2023Q3",Spectrum!$R:$R,0)),0),""))</f>
        <v>551</v>
      </c>
      <c r="U71" s="42" t="str">
        <f>IF(LEFT($B71,4)="_Mil","",_xlfn.IFNA(ROUND(INDEX(Spectrum!$N:$N,MATCH(RIGHT($B71,13)&amp;"|"&amp;$C71&amp;"|"&amp;$D71&amp;"|"&amp;U$14&amp;"|"&amp;"CY2023Q3",Spectrum!$R:$R,0)),0),""))</f>
        <v/>
      </c>
      <c r="V71" s="14">
        <f>IF(LEFT($B71,4)="_Mil","",_xlfn.IFNA(ROUND(INDEX(Spectrum!$N:$N,MATCH(RIGHT($B71,13)&amp;"|"&amp;$C71&amp;"|"&amp;$D71&amp;"|"&amp;V$14&amp;"|"&amp;"CY2023Q3",Spectrum!$R:$R,0)),0),""))</f>
        <v>1208</v>
      </c>
      <c r="W71" s="115">
        <f>IF(LEFT($B71,4)="_Mil","",_xlfn.IFNA(INDEX(Spectrum!$N:$N,MATCH(RIGHT($B71,13)&amp;"|"&amp;$C71&amp;"|"&amp;$D71&amp;"|"&amp;W$14&amp;"|"&amp;"CY2023Q3",Spectrum!$R:$R,0)),""))</f>
        <v>1042</v>
      </c>
      <c r="X71" s="42">
        <f>IF(LEFT($B71,4)="_Mil","",_xlfn.IFNA(ROUND(INDEX(Spectrum!$N:$N,MATCH(RIGHT($B71,13)&amp;"|"&amp;$C71&amp;"|"&amp;$D71&amp;"|"&amp;X$14&amp;"|"&amp;"CY2023Q3",Spectrum!$R:$R,0)),0),""))</f>
        <v>1479</v>
      </c>
      <c r="Y71" s="90" t="str">
        <f t="shared" si="3"/>
        <v/>
      </c>
      <c r="Z71" s="42">
        <f>IF(LEFT($B71,4)="_Mil","",_xlfn.IFNA(ROUND(INDEX(Spectrum!$N:$N,MATCH(RIGHT($B71,13)&amp;"|"&amp;$C71&amp;"|"&amp;$D71&amp;"|"&amp;Z$14&amp;"|"&amp;"CY2023Q3",Spectrum!$R:$R,0)),0),""))</f>
        <v>1384</v>
      </c>
      <c r="AA71" s="90">
        <f>IF(LEFT($B71,4)="_Mil","",IFERROR(1/(1/INDEX(Spectrum!$N:$N,MATCH(RIGHT($B71,13)&amp;"|"&amp;$C71&amp;"|"&amp;$D71&amp;"|"&amp;AA$14&amp;"|"&amp;"CY2023Q3",Spectrum!$R:$R,0))),IF(SUM($U71)=0,"",SUM($Z71)/$U71)))</f>
        <v>1087</v>
      </c>
      <c r="AB71" s="90">
        <f t="shared" si="4"/>
        <v>0.93576741041244083</v>
      </c>
      <c r="AC71" s="14">
        <f>IF(LEFT($B71,4)="_Mil","",_xlfn.IFNA(ROUND(INDEX(Spectrum!$N:$N,MATCH(RIGHT($B71,13)&amp;"|"&amp;$C71&amp;"|"&amp;$D71&amp;"|"&amp;AC$14&amp;"|"&amp;"CY2023Q3",Spectrum!$R:$R,0)),0),""))</f>
        <v>1059</v>
      </c>
      <c r="AD71" s="14" t="str">
        <f>IF(LEFT($B71,4)="_Mil","",_xlfn.IFNA(ROUND(INDEX(Spectrum!$N:$N,MATCH(RIGHT($B71,13)&amp;"|"&amp;$C71&amp;"|"&amp;$D71&amp;"|"&amp;AD$14&amp;"|"&amp;"CY2023Q3",Spectrum!$R:$R,0)),0),""))</f>
        <v/>
      </c>
      <c r="AE71" s="90">
        <f t="shared" si="5"/>
        <v>0</v>
      </c>
      <c r="AF71" s="42" t="str">
        <f>IF(LEFT($B71,4)="_Mil","",_xlfn.IFNA(ROUND(INDEX(Spectrum!$N:$N,MATCH(RIGHT($B71,13)&amp;"|"&amp;$C71&amp;"|"&amp;$D71&amp;"|"&amp;AF$14&amp;"|"&amp;"CY2023Q3",Spectrum!$R:$R,0)),0),""))</f>
        <v/>
      </c>
      <c r="AG71" s="90" t="str">
        <f t="shared" si="6"/>
        <v/>
      </c>
      <c r="AH71" s="88" t="str">
        <f>IF(LEFT($B71,4)="_Mil","",_xlfn.IFNA(INDEX(Spectrum!$N:$N,MATCH(RIGHT($B71,13)&amp;"|"&amp;$C71&amp;"|"&amp;$D71&amp;"|"&amp;AH$14&amp;"|"&amp;"CY2023Q3",Spectrum!$R:$R,0)),""))</f>
        <v/>
      </c>
      <c r="AI71" s="14" t="str">
        <f>IF(LEFT($B71,4)="_Mil","",_xlfn.IFNA(ROUND(INDEX(Spectrum!$N:$N,MATCH(RIGHT($B71,13)&amp;"|"&amp;$C71&amp;"|"&amp;$D71&amp;"|"&amp;AI$14&amp;"|"&amp;"CY2023Q3",Spectrum!$R:$R,0)),0),""))</f>
        <v/>
      </c>
      <c r="AJ71" s="42">
        <f>IF(LEFT($B71,4)="_Mil","",_xlfn.IFNA(ROUND(INDEX(Spectrum!$N:$N,MATCH(RIGHT($B71,13)&amp;"|"&amp;$C71&amp;"|"&amp;$D71&amp;"|"&amp;AI$14&amp;"|"&amp;"CY2023Q3",Spectrum!$R:$R,0)),0),SUM($U71)+SUM($AI71)))</f>
        <v>0</v>
      </c>
      <c r="AK71" s="14" t="str">
        <f>IF(LEFT($B71,4)="_Mil","",_xlfn.IFNA(ROUND(INDEX(Spectrum!$N:$N,MATCH(RIGHT($B71,13)&amp;"|"&amp;$C71&amp;"|"&amp;$D71&amp;"|"&amp;AK$14&amp;"|"&amp;"CY2023Q3",Spectrum!$R:$R,0)),0),""))</f>
        <v/>
      </c>
      <c r="AL71" s="90" t="str">
        <f t="shared" si="7"/>
        <v/>
      </c>
      <c r="AM71" s="14" t="str">
        <f t="shared" si="8"/>
        <v/>
      </c>
      <c r="AN71" s="14">
        <f>IF($C71="&lt;01",ROUND(INDEX(EID!$P:$P,MATCH($B71,EID!$B:$B,0))/2,0),"")</f>
        <v>6</v>
      </c>
      <c r="AO71" s="14">
        <f t="shared" si="9"/>
        <v>6</v>
      </c>
      <c r="AP71" s="42">
        <f t="shared" si="10"/>
        <v>6</v>
      </c>
      <c r="AQ71" s="42">
        <f t="shared" si="11"/>
        <v>1038</v>
      </c>
      <c r="AR71" s="90" t="str">
        <f t="shared" si="12"/>
        <v/>
      </c>
      <c r="AS71" s="90" t="str">
        <f t="shared" si="24"/>
        <v/>
      </c>
      <c r="AT71" s="90" t="str">
        <f t="shared" si="24"/>
        <v/>
      </c>
      <c r="AU71" s="14" t="str">
        <f t="shared" si="14"/>
        <v/>
      </c>
      <c r="AV71" s="14">
        <f>IF($C71="&lt;01",ROUND(INDEX(EID!$N:$N,MATCH($B71,EID!$B:$B,0))/2,0),IF(SUM($AT71)=0,"",ROUND((SUM($AP71)-(SUM($O71)*SUM($AS71)))/$AT71,0)))</f>
        <v>6</v>
      </c>
      <c r="AW71" s="90" t="str">
        <f t="shared" si="15"/>
        <v/>
      </c>
      <c r="AX71" s="42">
        <f t="shared" si="16"/>
        <v>6</v>
      </c>
      <c r="AY71" s="116" t="str">
        <f t="shared" si="17"/>
        <v/>
      </c>
      <c r="AZ71" s="93">
        <f>IF($C71="&lt;01",ROUND(INDEX(EID!$R:$R,MATCH($B71,EID!$B:$B,0))/2,0),ROUND(SUM($O71)+(SUM($AV71)*$AY71),0))</f>
        <v>4</v>
      </c>
      <c r="BA71" s="89" t="str">
        <f t="shared" si="18"/>
        <v/>
      </c>
      <c r="BB71" s="9">
        <f>IF($C71="&lt;01",ROUND(INDEX(EID!$T:$T,MATCH($B71,EID!$B:$B,0))/2,0),ROUND($AZ71*$BA71,0))</f>
        <v>4</v>
      </c>
      <c r="BC71" s="93">
        <f t="shared" si="19"/>
        <v>692</v>
      </c>
      <c r="BD71" s="90" t="str">
        <f t="shared" si="20"/>
        <v/>
      </c>
      <c r="BE71" s="42">
        <f>IF($C71="&lt;01",ROUND(INDEX(EID!$V:$V,MATCH($B71,EID!$B:$B,0))/2,0),ROUND($BD71*$BB71,0))</f>
        <v>4</v>
      </c>
      <c r="BF71" s="42">
        <f t="shared" si="21"/>
        <v>692</v>
      </c>
      <c r="BG71" s="116" t="str">
        <f t="shared" si="22"/>
        <v/>
      </c>
      <c r="BH71" s="9">
        <f>IF($C71="&lt;01",ROUND(INDEX(EID!$L:$L,MATCH($B71,EID!$B:$B,0)),0)/2,IF(SUM($BG71)=0,"",ROUND($AX71/$BG71,0)))</f>
        <v>6.5</v>
      </c>
    </row>
    <row r="72" spans="1:60" x14ac:dyDescent="0.2">
      <c r="A72" t="str">
        <f>INDEX(Prioritization!$D:$D,MATCH($B72,Prioritization!$A:$A,0))</f>
        <v>1 - Scale-up: Saturation</v>
      </c>
      <c r="B72" t="s">
        <v>197</v>
      </c>
      <c r="C72" t="s">
        <v>315</v>
      </c>
      <c r="D72" t="s">
        <v>47</v>
      </c>
      <c r="E72" t="str">
        <f t="shared" si="0"/>
        <v>Lilongwe District [ScR9iFKAasW]|&lt;01|Male</v>
      </c>
      <c r="F72" s="14"/>
      <c r="G72" s="14">
        <v>73</v>
      </c>
      <c r="H72" s="14">
        <v>6</v>
      </c>
      <c r="I72" s="14">
        <v>5</v>
      </c>
      <c r="J72" s="14">
        <v>74</v>
      </c>
      <c r="K72" s="14">
        <v>2</v>
      </c>
      <c r="L72" s="14"/>
      <c r="M72" s="14">
        <v>2</v>
      </c>
      <c r="N72" s="14">
        <v>6</v>
      </c>
      <c r="O72" s="14">
        <f t="shared" si="1"/>
        <v>6</v>
      </c>
      <c r="P72" s="14">
        <v>2</v>
      </c>
      <c r="Q72" s="14">
        <v>3</v>
      </c>
      <c r="R72" s="14">
        <f t="shared" si="2"/>
        <v>1</v>
      </c>
      <c r="S72" s="14">
        <f>IF(LEFT($B72,4)="_Mil","",_xlfn.IFNA(ROUND(INDEX(Spectrum!$N:$N,MATCH(RIGHT($B72,13)&amp;"|"&amp;$C72&amp;"|"&amp;$D72&amp;"|"&amp;S$14&amp;"|"&amp;"CY2022Q4",Spectrum!$R:$R,0)),0),""))</f>
        <v>760</v>
      </c>
      <c r="T72" s="42">
        <f>IF(LEFT($B72,4)="_Mil","",_xlfn.IFNA(ROUND(INDEX(Spectrum!$N:$N,MATCH(RIGHT($B72,13)&amp;"|"&amp;$C72&amp;"|"&amp;$D72&amp;"|"&amp;T$14&amp;"|"&amp;"CY2023Q3",Spectrum!$R:$R,0)),0),""))</f>
        <v>676</v>
      </c>
      <c r="U72" s="42" t="str">
        <f>IF(LEFT($B72,4)="_Mil","",_xlfn.IFNA(ROUND(INDEX(Spectrum!$N:$N,MATCH(RIGHT($B72,13)&amp;"|"&amp;$C72&amp;"|"&amp;$D72&amp;"|"&amp;U$14&amp;"|"&amp;"CY2023Q3",Spectrum!$R:$R,0)),0),""))</f>
        <v/>
      </c>
      <c r="V72" s="14">
        <f>IF(LEFT($B72,4)="_Mil","",_xlfn.IFNA(ROUND(INDEX(Spectrum!$N:$N,MATCH(RIGHT($B72,13)&amp;"|"&amp;$C72&amp;"|"&amp;$D72&amp;"|"&amp;V$14&amp;"|"&amp;"CY2023Q3",Spectrum!$R:$R,0)),0),""))</f>
        <v>713</v>
      </c>
      <c r="W72" s="115">
        <f>IF(LEFT($B72,4)="_Mil","",_xlfn.IFNA(INDEX(Spectrum!$N:$N,MATCH(RIGHT($B72,13)&amp;"|"&amp;$C72&amp;"|"&amp;$D72&amp;"|"&amp;W$14&amp;"|"&amp;"CY2023Q3",Spectrum!$R:$R,0)),""))</f>
        <v>690</v>
      </c>
      <c r="X72" s="42">
        <f>IF(LEFT($B72,4)="_Mil","",_xlfn.IFNA(ROUND(INDEX(Spectrum!$N:$N,MATCH(RIGHT($B72,13)&amp;"|"&amp;$C72&amp;"|"&amp;$D72&amp;"|"&amp;X$14&amp;"|"&amp;"CY2023Q3",Spectrum!$R:$R,0)),0),""))</f>
        <v>706</v>
      </c>
      <c r="Y72" s="90" t="str">
        <f t="shared" si="3"/>
        <v/>
      </c>
      <c r="Z72" s="42">
        <f>IF(LEFT($B72,4)="_Mil","",_xlfn.IFNA(ROUND(INDEX(Spectrum!$N:$N,MATCH(RIGHT($B72,13)&amp;"|"&amp;$C72&amp;"|"&amp;$D72&amp;"|"&amp;Z$14&amp;"|"&amp;"CY2023Q3",Spectrum!$R:$R,0)),0),""))</f>
        <v>1782</v>
      </c>
      <c r="AA72" s="90">
        <f>IF(LEFT($B72,4)="_Mil","",IFERROR(1/(1/INDEX(Spectrum!$N:$N,MATCH(RIGHT($B72,13)&amp;"|"&amp;$C72&amp;"|"&amp;$D72&amp;"|"&amp;AA$14&amp;"|"&amp;"CY2023Q3",Spectrum!$R:$R,0))),IF(SUM($U72)=0,"",SUM($Z72)/$U72)))</f>
        <v>1798</v>
      </c>
      <c r="AB72" s="90">
        <f t="shared" si="4"/>
        <v>2.5240793201133145</v>
      </c>
      <c r="AC72" s="14">
        <f>IF(LEFT($B72,4)="_Mil","",_xlfn.IFNA(ROUND(INDEX(Spectrum!$N:$N,MATCH(RIGHT($B72,13)&amp;"|"&amp;$C72&amp;"|"&amp;$D72&amp;"|"&amp;AC$14&amp;"|"&amp;"CY2023Q3",Spectrum!$R:$R,0)),0),""))</f>
        <v>1560</v>
      </c>
      <c r="AD72" s="14" t="str">
        <f>IF(LEFT($B72,4)="_Mil","",_xlfn.IFNA(ROUND(INDEX(Spectrum!$N:$N,MATCH(RIGHT($B72,13)&amp;"|"&amp;$C72&amp;"|"&amp;$D72&amp;"|"&amp;AD$14&amp;"|"&amp;"CY2023Q3",Spectrum!$R:$R,0)),0),""))</f>
        <v/>
      </c>
      <c r="AE72" s="90">
        <f t="shared" si="5"/>
        <v>0</v>
      </c>
      <c r="AF72" s="42" t="str">
        <f>IF(LEFT($B72,4)="_Mil","",_xlfn.IFNA(ROUND(INDEX(Spectrum!$N:$N,MATCH(RIGHT($B72,13)&amp;"|"&amp;$C72&amp;"|"&amp;$D72&amp;"|"&amp;AF$14&amp;"|"&amp;"CY2023Q3",Spectrum!$R:$R,0)),0),""))</f>
        <v/>
      </c>
      <c r="AG72" s="90" t="str">
        <f t="shared" si="6"/>
        <v/>
      </c>
      <c r="AH72" s="88" t="str">
        <f>IF(LEFT($B72,4)="_Mil","",_xlfn.IFNA(INDEX(Spectrum!$N:$N,MATCH(RIGHT($B72,13)&amp;"|"&amp;$C72&amp;"|"&amp;$D72&amp;"|"&amp;AH$14&amp;"|"&amp;"CY2023Q3",Spectrum!$R:$R,0)),""))</f>
        <v/>
      </c>
      <c r="AI72" s="14" t="str">
        <f>IF(LEFT($B72,4)="_Mil","",_xlfn.IFNA(ROUND(INDEX(Spectrum!$N:$N,MATCH(RIGHT($B72,13)&amp;"|"&amp;$C72&amp;"|"&amp;$D72&amp;"|"&amp;AI$14&amp;"|"&amp;"CY2023Q3",Spectrum!$R:$R,0)),0),""))</f>
        <v/>
      </c>
      <c r="AJ72" s="42">
        <f>IF(LEFT($B72,4)="_Mil","",_xlfn.IFNA(ROUND(INDEX(Spectrum!$N:$N,MATCH(RIGHT($B72,13)&amp;"|"&amp;$C72&amp;"|"&amp;$D72&amp;"|"&amp;AI$14&amp;"|"&amp;"CY2023Q3",Spectrum!$R:$R,0)),0),SUM($U72)+SUM($AI72)))</f>
        <v>0</v>
      </c>
      <c r="AK72" s="14" t="str">
        <f>IF(LEFT($B72,4)="_Mil","",_xlfn.IFNA(ROUND(INDEX(Spectrum!$N:$N,MATCH(RIGHT($B72,13)&amp;"|"&amp;$C72&amp;"|"&amp;$D72&amp;"|"&amp;AK$14&amp;"|"&amp;"CY2023Q3",Spectrum!$R:$R,0)),0),""))</f>
        <v/>
      </c>
      <c r="AL72" s="90" t="str">
        <f t="shared" si="7"/>
        <v/>
      </c>
      <c r="AM72" s="14" t="str">
        <f t="shared" si="8"/>
        <v/>
      </c>
      <c r="AN72" s="14">
        <f>IF($C72="&lt;01",ROUND(INDEX(EID!$P:$P,MATCH($B72,EID!$B:$B,0))/2,0),"")</f>
        <v>6</v>
      </c>
      <c r="AO72" s="14">
        <f t="shared" si="9"/>
        <v>6</v>
      </c>
      <c r="AP72" s="42">
        <f t="shared" si="10"/>
        <v>6</v>
      </c>
      <c r="AQ72" s="42">
        <f t="shared" si="11"/>
        <v>1782</v>
      </c>
      <c r="AR72" s="90" t="str">
        <f t="shared" si="12"/>
        <v/>
      </c>
      <c r="AS72" s="90" t="str">
        <f t="shared" si="24"/>
        <v/>
      </c>
      <c r="AT72" s="90" t="str">
        <f t="shared" si="24"/>
        <v/>
      </c>
      <c r="AU72" s="14" t="str">
        <f t="shared" si="14"/>
        <v/>
      </c>
      <c r="AV72" s="14">
        <f>IF($C72="&lt;01",ROUND(INDEX(EID!$N:$N,MATCH($B72,EID!$B:$B,0))/2,0),IF(SUM($AT72)=0,"",ROUND((SUM($AP72)-(SUM($O72)*SUM($AS72)))/$AT72,0)))</f>
        <v>6</v>
      </c>
      <c r="AW72" s="90" t="str">
        <f t="shared" si="15"/>
        <v/>
      </c>
      <c r="AX72" s="42">
        <f t="shared" si="16"/>
        <v>6</v>
      </c>
      <c r="AY72" s="116" t="str">
        <f t="shared" si="17"/>
        <v/>
      </c>
      <c r="AZ72" s="93">
        <f>IF($C72="&lt;01",ROUND(INDEX(EID!$R:$R,MATCH($B72,EID!$B:$B,0))/2,0),ROUND(SUM($O72)+(SUM($AV72)*$AY72),0))</f>
        <v>4</v>
      </c>
      <c r="BA72" s="89" t="str">
        <f t="shared" si="18"/>
        <v/>
      </c>
      <c r="BB72" s="9">
        <f>IF($C72="&lt;01",ROUND(INDEX(EID!$T:$T,MATCH($B72,EID!$B:$B,0))/2,0),ROUND($AZ72*$BA72,0))</f>
        <v>4</v>
      </c>
      <c r="BC72" s="93">
        <f t="shared" si="19"/>
        <v>1188</v>
      </c>
      <c r="BD72" s="90" t="str">
        <f t="shared" si="20"/>
        <v/>
      </c>
      <c r="BE72" s="42">
        <f>IF($C72="&lt;01",ROUND(INDEX(EID!$V:$V,MATCH($B72,EID!$B:$B,0))/2,0),ROUND($BD72*$BB72,0))</f>
        <v>4</v>
      </c>
      <c r="BF72" s="42">
        <f t="shared" si="21"/>
        <v>1188</v>
      </c>
      <c r="BG72" s="116" t="str">
        <f t="shared" si="22"/>
        <v/>
      </c>
      <c r="BH72" s="9">
        <f>IF($C72="&lt;01",ROUND(INDEX(EID!$L:$L,MATCH($B72,EID!$B:$B,0)),0)/2,IF(SUM($BG72)=0,"",ROUND($AX72/$BG72,0)))</f>
        <v>6.5</v>
      </c>
    </row>
    <row r="73" spans="1:60" x14ac:dyDescent="0.2">
      <c r="A73" t="str">
        <f>INDEX(Prioritization!$D:$D,MATCH($B73,Prioritization!$A:$A,0))</f>
        <v>1 - Scale-up: Saturation</v>
      </c>
      <c r="B73" t="s">
        <v>197</v>
      </c>
      <c r="C73" t="s">
        <v>362</v>
      </c>
      <c r="D73" t="s">
        <v>29</v>
      </c>
      <c r="E73" t="str">
        <f t="shared" si="0"/>
        <v>Lilongwe District [ScR9iFKAasW]|01-09|Female</v>
      </c>
      <c r="F73" s="14"/>
      <c r="G73" s="14"/>
      <c r="H73" s="14"/>
      <c r="I73" s="14"/>
      <c r="J73" s="14"/>
      <c r="K73" s="14"/>
      <c r="L73" s="14"/>
      <c r="M73" s="14"/>
      <c r="N73" s="14"/>
      <c r="O73" s="14" t="str">
        <f t="shared" si="1"/>
        <v/>
      </c>
      <c r="P73" s="14"/>
      <c r="Q73" s="14"/>
      <c r="R73" s="14" t="str">
        <f t="shared" si="2"/>
        <v/>
      </c>
      <c r="S73" s="14">
        <f>IF(LEFT($B73,4)="_Mil","",_xlfn.IFNA(ROUND(INDEX(Spectrum!$N:$N,MATCH(RIGHT($B73,13)&amp;"|"&amp;$C73&amp;"|"&amp;$D73&amp;"|"&amp;S$14&amp;"|"&amp;"CY2022Q4",Spectrum!$R:$R,0)),0),""))</f>
        <v>597</v>
      </c>
      <c r="T73" s="42">
        <f>IF(LEFT($B73,4)="_Mil","",_xlfn.IFNA(ROUND(INDEX(Spectrum!$N:$N,MATCH(RIGHT($B73,13)&amp;"|"&amp;$C73&amp;"|"&amp;$D73&amp;"|"&amp;T$14&amp;"|"&amp;"CY2023Q3",Spectrum!$R:$R,0)),0),""))</f>
        <v>1756</v>
      </c>
      <c r="U73" s="42" t="str">
        <f>IF(LEFT($B73,4)="_Mil","",_xlfn.IFNA(ROUND(INDEX(Spectrum!$N:$N,MATCH(RIGHT($B73,13)&amp;"|"&amp;$C73&amp;"|"&amp;$D73&amp;"|"&amp;U$14&amp;"|"&amp;"CY2023Q3",Spectrum!$R:$R,0)),0),""))</f>
        <v/>
      </c>
      <c r="V73" s="14">
        <f>IF(LEFT($B73,4)="_Mil","",_xlfn.IFNA(ROUND(INDEX(Spectrum!$N:$N,MATCH(RIGHT($B73,13)&amp;"|"&amp;$C73&amp;"|"&amp;$D73&amp;"|"&amp;V$14&amp;"|"&amp;"CY2023Q3",Spectrum!$R:$R,0)),0),""))</f>
        <v>846</v>
      </c>
      <c r="W73" s="115">
        <f>IF(LEFT($B73,4)="_Mil","",_xlfn.IFNA(INDEX(Spectrum!$N:$N,MATCH(RIGHT($B73,13)&amp;"|"&amp;$C73&amp;"|"&amp;$D73&amp;"|"&amp;W$14&amp;"|"&amp;"CY2023Q3",Spectrum!$R:$R,0)),""))</f>
        <v>616</v>
      </c>
      <c r="X73" s="42">
        <f>IF(LEFT($B73,4)="_Mil","",_xlfn.IFNA(ROUND(INDEX(Spectrum!$N:$N,MATCH(RIGHT($B73,13)&amp;"|"&amp;$C73&amp;"|"&amp;$D73&amp;"|"&amp;X$14&amp;"|"&amp;"CY2023Q3",Spectrum!$R:$R,0)),0),""))</f>
        <v>1910</v>
      </c>
      <c r="Y73" s="90" t="str">
        <f t="shared" si="3"/>
        <v/>
      </c>
      <c r="Z73" s="42">
        <f>IF(LEFT($B73,4)="_Mil","",_xlfn.IFNA(ROUND(INDEX(Spectrum!$N:$N,MATCH(RIGHT($B73,13)&amp;"|"&amp;$C73&amp;"|"&amp;$D73&amp;"|"&amp;Z$14&amp;"|"&amp;"CY2023Q3",Spectrum!$R:$R,0)),0),""))</f>
        <v>1259</v>
      </c>
      <c r="AA73" s="90">
        <f>IF(LEFT($B73,4)="_Mil","",IFERROR(1/(1/INDEX(Spectrum!$N:$N,MATCH(RIGHT($B73,13)&amp;"|"&amp;$C73&amp;"|"&amp;$D73&amp;"|"&amp;AA$14&amp;"|"&amp;"CY2023Q3",Spectrum!$R:$R,0))),IF(SUM($U73)=0,"",SUM($Z73)/$U73)))</f>
        <v>997</v>
      </c>
      <c r="AB73" s="90">
        <f t="shared" si="4"/>
        <v>0.65916230366492146</v>
      </c>
      <c r="AC73" s="14">
        <f>IF(LEFT($B73,4)="_Mil","",_xlfn.IFNA(ROUND(INDEX(Spectrum!$N:$N,MATCH(RIGHT($B73,13)&amp;"|"&amp;$C73&amp;"|"&amp;$D73&amp;"|"&amp;AC$14&amp;"|"&amp;"CY2023Q3",Spectrum!$R:$R,0)),0),""))</f>
        <v>887</v>
      </c>
      <c r="AD73" s="14" t="str">
        <f>IF(LEFT($B73,4)="_Mil","",_xlfn.IFNA(ROUND(INDEX(Spectrum!$N:$N,MATCH(RIGHT($B73,13)&amp;"|"&amp;$C73&amp;"|"&amp;$D73&amp;"|"&amp;AD$14&amp;"|"&amp;"CY2023Q3",Spectrum!$R:$R,0)),0),""))</f>
        <v/>
      </c>
      <c r="AE73" s="90">
        <f t="shared" si="5"/>
        <v>0</v>
      </c>
      <c r="AF73" s="42" t="str">
        <f>IF(LEFT($B73,4)="_Mil","",_xlfn.IFNA(ROUND(INDEX(Spectrum!$N:$N,MATCH(RIGHT($B73,13)&amp;"|"&amp;$C73&amp;"|"&amp;$D73&amp;"|"&amp;AF$14&amp;"|"&amp;"CY2023Q3",Spectrum!$R:$R,0)),0),""))</f>
        <v/>
      </c>
      <c r="AG73" s="90" t="str">
        <f t="shared" si="6"/>
        <v/>
      </c>
      <c r="AH73" s="88" t="str">
        <f>IF(LEFT($B73,4)="_Mil","",_xlfn.IFNA(INDEX(Spectrum!$N:$N,MATCH(RIGHT($B73,13)&amp;"|"&amp;$C73&amp;"|"&amp;$D73&amp;"|"&amp;AH$14&amp;"|"&amp;"CY2023Q3",Spectrum!$R:$R,0)),""))</f>
        <v/>
      </c>
      <c r="AI73" s="14" t="str">
        <f>IF(LEFT($B73,4)="_Mil","",_xlfn.IFNA(ROUND(INDEX(Spectrum!$N:$N,MATCH(RIGHT($B73,13)&amp;"|"&amp;$C73&amp;"|"&amp;$D73&amp;"|"&amp;AI$14&amp;"|"&amp;"CY2023Q3",Spectrum!$R:$R,0)),0),""))</f>
        <v/>
      </c>
      <c r="AJ73" s="42">
        <f>IF(LEFT($B73,4)="_Mil","",_xlfn.IFNA(ROUND(INDEX(Spectrum!$N:$N,MATCH(RIGHT($B73,13)&amp;"|"&amp;$C73&amp;"|"&amp;$D73&amp;"|"&amp;AI$14&amp;"|"&amp;"CY2023Q3",Spectrum!$R:$R,0)),0),SUM($U73)+SUM($AI73)))</f>
        <v>0</v>
      </c>
      <c r="AK73" s="14" t="str">
        <f>IF(LEFT($B73,4)="_Mil","",_xlfn.IFNA(ROUND(INDEX(Spectrum!$N:$N,MATCH(RIGHT($B73,13)&amp;"|"&amp;$C73&amp;"|"&amp;$D73&amp;"|"&amp;AK$14&amp;"|"&amp;"CY2023Q3",Spectrum!$R:$R,0)),0),""))</f>
        <v/>
      </c>
      <c r="AL73" s="90">
        <f t="shared" si="7"/>
        <v>997</v>
      </c>
      <c r="AM73" s="14">
        <f t="shared" si="8"/>
        <v>0</v>
      </c>
      <c r="AN73" s="14" t="str">
        <f>IF($C73="&lt;01",ROUND(INDEX(EID!$P:$P,MATCH($B73,EID!$B:$B,0))/2,0),"")</f>
        <v/>
      </c>
      <c r="AO73" s="14">
        <f t="shared" si="9"/>
        <v>0</v>
      </c>
      <c r="AP73" s="42">
        <f t="shared" si="10"/>
        <v>0</v>
      </c>
      <c r="AQ73" s="42">
        <f t="shared" si="11"/>
        <v>1259</v>
      </c>
      <c r="AR73" s="90" t="str">
        <f t="shared" si="12"/>
        <v/>
      </c>
      <c r="AS73" s="90">
        <f t="shared" si="24"/>
        <v>0.98</v>
      </c>
      <c r="AT73" s="90">
        <f t="shared" si="24"/>
        <v>0.98</v>
      </c>
      <c r="AU73" s="14">
        <f t="shared" si="14"/>
        <v>0</v>
      </c>
      <c r="AV73" s="14">
        <f>IF($C73="&lt;01",ROUND(INDEX(EID!$N:$N,MATCH($B73,EID!$B:$B,0))/2,0),IF(SUM($AT73)=0,"",ROUND((SUM($AP73)-(SUM($O73)*SUM($AS73)))/$AT73,0)))</f>
        <v>0</v>
      </c>
      <c r="AW73" s="90">
        <f t="shared" si="15"/>
        <v>1</v>
      </c>
      <c r="AX73" s="42">
        <f t="shared" si="16"/>
        <v>0</v>
      </c>
      <c r="AY73" s="116">
        <f t="shared" si="17"/>
        <v>0.7</v>
      </c>
      <c r="AZ73" s="93">
        <f>IF($C73="&lt;01",ROUND(INDEX(EID!$R:$R,MATCH($B73,EID!$B:$B,0))/2,0),ROUND(SUM($O73)+(SUM($AV73)*$AY73),0))</f>
        <v>0</v>
      </c>
      <c r="BA73" s="89">
        <f t="shared" si="18"/>
        <v>0.95</v>
      </c>
      <c r="BB73" s="9">
        <f>IF($C73="&lt;01",ROUND(INDEX(EID!$T:$T,MATCH($B73,EID!$B:$B,0))/2,0),ROUND($AZ73*$BA73,0))</f>
        <v>0</v>
      </c>
      <c r="BC73" s="93">
        <f t="shared" si="19"/>
        <v>0</v>
      </c>
      <c r="BD73" s="90">
        <f t="shared" si="20"/>
        <v>0.95</v>
      </c>
      <c r="BE73" s="42">
        <f>IF($C73="&lt;01",ROUND(INDEX(EID!$V:$V,MATCH($B73,EID!$B:$B,0))/2,0),ROUND($BD73*$BB73,0))</f>
        <v>0</v>
      </c>
      <c r="BF73" s="42">
        <f t="shared" si="21"/>
        <v>0</v>
      </c>
      <c r="BG73" s="116">
        <f t="shared" si="22"/>
        <v>0.95</v>
      </c>
      <c r="BH73" s="9">
        <f>IF($C73="&lt;01",ROUND(INDEX(EID!$L:$L,MATCH($B73,EID!$B:$B,0)),0)/2,IF(SUM($BG73)=0,"",ROUND($AX73/$BG73,0)))</f>
        <v>0</v>
      </c>
    </row>
    <row r="74" spans="1:60" x14ac:dyDescent="0.2">
      <c r="A74" t="str">
        <f>INDEX(Prioritization!$D:$D,MATCH($B74,Prioritization!$A:$A,0))</f>
        <v>1 - Scale-up: Saturation</v>
      </c>
      <c r="B74" t="s">
        <v>197</v>
      </c>
      <c r="C74" t="s">
        <v>362</v>
      </c>
      <c r="D74" t="s">
        <v>47</v>
      </c>
      <c r="E74" t="str">
        <f t="shared" si="0"/>
        <v>Lilongwe District [ScR9iFKAasW]|01-09|Male</v>
      </c>
      <c r="F74" s="14"/>
      <c r="G74" s="14"/>
      <c r="H74" s="14"/>
      <c r="I74" s="14"/>
      <c r="J74" s="14"/>
      <c r="K74" s="14"/>
      <c r="L74" s="14"/>
      <c r="M74" s="14"/>
      <c r="N74" s="14"/>
      <c r="O74" s="14" t="str">
        <f t="shared" si="1"/>
        <v/>
      </c>
      <c r="P74" s="14"/>
      <c r="Q74" s="14"/>
      <c r="R74" s="14" t="str">
        <f t="shared" si="2"/>
        <v/>
      </c>
      <c r="S74" s="14">
        <f>IF(LEFT($B74,4)="_Mil","",_xlfn.IFNA(ROUND(INDEX(Spectrum!$N:$N,MATCH(RIGHT($B74,13)&amp;"|"&amp;$C74&amp;"|"&amp;$D74&amp;"|"&amp;S$14&amp;"|"&amp;"CY2022Q4",Spectrum!$R:$R,0)),0),""))</f>
        <v>560</v>
      </c>
      <c r="T74" s="42">
        <f>IF(LEFT($B74,4)="_Mil","",_xlfn.IFNA(ROUND(INDEX(Spectrum!$N:$N,MATCH(RIGHT($B74,13)&amp;"|"&amp;$C74&amp;"|"&amp;$D74&amp;"|"&amp;T$14&amp;"|"&amp;"CY2023Q3",Spectrum!$R:$R,0)),0),""))</f>
        <v>933</v>
      </c>
      <c r="U74" s="42" t="str">
        <f>IF(LEFT($B74,4)="_Mil","",_xlfn.IFNA(ROUND(INDEX(Spectrum!$N:$N,MATCH(RIGHT($B74,13)&amp;"|"&amp;$C74&amp;"|"&amp;$D74&amp;"|"&amp;U$14&amp;"|"&amp;"CY2023Q3",Spectrum!$R:$R,0)),0),""))</f>
        <v/>
      </c>
      <c r="V74" s="14">
        <f>IF(LEFT($B74,4)="_Mil","",_xlfn.IFNA(ROUND(INDEX(Spectrum!$N:$N,MATCH(RIGHT($B74,13)&amp;"|"&amp;$C74&amp;"|"&amp;$D74&amp;"|"&amp;V$14&amp;"|"&amp;"CY2023Q3",Spectrum!$R:$R,0)),0),""))</f>
        <v>1391</v>
      </c>
      <c r="W74" s="115">
        <f>IF(LEFT($B74,4)="_Mil","",_xlfn.IFNA(INDEX(Spectrum!$N:$N,MATCH(RIGHT($B74,13)&amp;"|"&amp;$C74&amp;"|"&amp;$D74&amp;"|"&amp;W$14&amp;"|"&amp;"CY2023Q3",Spectrum!$R:$R,0)),""))</f>
        <v>1878</v>
      </c>
      <c r="X74" s="42">
        <f>IF(LEFT($B74,4)="_Mil","",_xlfn.IFNA(ROUND(INDEX(Spectrum!$N:$N,MATCH(RIGHT($B74,13)&amp;"|"&amp;$C74&amp;"|"&amp;$D74&amp;"|"&amp;X$14&amp;"|"&amp;"CY2023Q3",Spectrum!$R:$R,0)),0),""))</f>
        <v>749</v>
      </c>
      <c r="Y74" s="90" t="str">
        <f t="shared" si="3"/>
        <v/>
      </c>
      <c r="Z74" s="42">
        <f>IF(LEFT($B74,4)="_Mil","",_xlfn.IFNA(ROUND(INDEX(Spectrum!$N:$N,MATCH(RIGHT($B74,13)&amp;"|"&amp;$C74&amp;"|"&amp;$D74&amp;"|"&amp;Z$14&amp;"|"&amp;"CY2023Q3",Spectrum!$R:$R,0)),0),""))</f>
        <v>1097</v>
      </c>
      <c r="AA74" s="90">
        <f>IF(LEFT($B74,4)="_Mil","",IFERROR(1/(1/INDEX(Spectrum!$N:$N,MATCH(RIGHT($B74,13)&amp;"|"&amp;$C74&amp;"|"&amp;$D74&amp;"|"&amp;AA$14&amp;"|"&amp;"CY2023Q3",Spectrum!$R:$R,0))),IF(SUM($U74)=0,"",SUM($Z74)/$U74)))</f>
        <v>1709</v>
      </c>
      <c r="AB74" s="90">
        <f t="shared" si="4"/>
        <v>1.4646194926568759</v>
      </c>
      <c r="AC74" s="14">
        <f>IF(LEFT($B74,4)="_Mil","",_xlfn.IFNA(ROUND(INDEX(Spectrum!$N:$N,MATCH(RIGHT($B74,13)&amp;"|"&amp;$C74&amp;"|"&amp;$D74&amp;"|"&amp;AC$14&amp;"|"&amp;"CY2023Q3",Spectrum!$R:$R,0)),0),""))</f>
        <v>858</v>
      </c>
      <c r="AD74" s="14" t="str">
        <f>IF(LEFT($B74,4)="_Mil","",_xlfn.IFNA(ROUND(INDEX(Spectrum!$N:$N,MATCH(RIGHT($B74,13)&amp;"|"&amp;$C74&amp;"|"&amp;$D74&amp;"|"&amp;AD$14&amp;"|"&amp;"CY2023Q3",Spectrum!$R:$R,0)),0),""))</f>
        <v/>
      </c>
      <c r="AE74" s="90">
        <f t="shared" si="5"/>
        <v>0</v>
      </c>
      <c r="AF74" s="42" t="str">
        <f>IF(LEFT($B74,4)="_Mil","",_xlfn.IFNA(ROUND(INDEX(Spectrum!$N:$N,MATCH(RIGHT($B74,13)&amp;"|"&amp;$C74&amp;"|"&amp;$D74&amp;"|"&amp;AF$14&amp;"|"&amp;"CY2023Q3",Spectrum!$R:$R,0)),0),""))</f>
        <v/>
      </c>
      <c r="AG74" s="90" t="str">
        <f t="shared" si="6"/>
        <v/>
      </c>
      <c r="AH74" s="88" t="str">
        <f>IF(LEFT($B74,4)="_Mil","",_xlfn.IFNA(INDEX(Spectrum!$N:$N,MATCH(RIGHT($B74,13)&amp;"|"&amp;$C74&amp;"|"&amp;$D74&amp;"|"&amp;AH$14&amp;"|"&amp;"CY2023Q3",Spectrum!$R:$R,0)),""))</f>
        <v/>
      </c>
      <c r="AI74" s="14" t="str">
        <f>IF(LEFT($B74,4)="_Mil","",_xlfn.IFNA(ROUND(INDEX(Spectrum!$N:$N,MATCH(RIGHT($B74,13)&amp;"|"&amp;$C74&amp;"|"&amp;$D74&amp;"|"&amp;AI$14&amp;"|"&amp;"CY2023Q3",Spectrum!$R:$R,0)),0),""))</f>
        <v/>
      </c>
      <c r="AJ74" s="42">
        <f>IF(LEFT($B74,4)="_Mil","",_xlfn.IFNA(ROUND(INDEX(Spectrum!$N:$N,MATCH(RIGHT($B74,13)&amp;"|"&amp;$C74&amp;"|"&amp;$D74&amp;"|"&amp;AI$14&amp;"|"&amp;"CY2023Q3",Spectrum!$R:$R,0)),0),SUM($U74)+SUM($AI74)))</f>
        <v>0</v>
      </c>
      <c r="AK74" s="14" t="str">
        <f>IF(LEFT($B74,4)="_Mil","",_xlfn.IFNA(ROUND(INDEX(Spectrum!$N:$N,MATCH(RIGHT($B74,13)&amp;"|"&amp;$C74&amp;"|"&amp;$D74&amp;"|"&amp;AK$14&amp;"|"&amp;"CY2023Q3",Spectrum!$R:$R,0)),0),""))</f>
        <v/>
      </c>
      <c r="AL74" s="90">
        <f t="shared" si="7"/>
        <v>1709</v>
      </c>
      <c r="AM74" s="14">
        <f t="shared" si="8"/>
        <v>0</v>
      </c>
      <c r="AN74" s="14" t="str">
        <f>IF($C74="&lt;01",ROUND(INDEX(EID!$P:$P,MATCH($B74,EID!$B:$B,0))/2,0),"")</f>
        <v/>
      </c>
      <c r="AO74" s="14">
        <f t="shared" si="9"/>
        <v>0</v>
      </c>
      <c r="AP74" s="42">
        <f t="shared" si="10"/>
        <v>0</v>
      </c>
      <c r="AQ74" s="42">
        <f t="shared" si="11"/>
        <v>1097</v>
      </c>
      <c r="AR74" s="90" t="str">
        <f t="shared" si="12"/>
        <v/>
      </c>
      <c r="AS74" s="90">
        <f t="shared" si="24"/>
        <v>0.98</v>
      </c>
      <c r="AT74" s="90">
        <f t="shared" si="24"/>
        <v>0.98</v>
      </c>
      <c r="AU74" s="14">
        <f t="shared" si="14"/>
        <v>0</v>
      </c>
      <c r="AV74" s="14">
        <f>IF($C74="&lt;01",ROUND(INDEX(EID!$N:$N,MATCH($B74,EID!$B:$B,0))/2,0),IF(SUM($AT74)=0,"",ROUND((SUM($AP74)-(SUM($O74)*SUM($AS74)))/$AT74,0)))</f>
        <v>0</v>
      </c>
      <c r="AW74" s="90">
        <f t="shared" si="15"/>
        <v>1</v>
      </c>
      <c r="AX74" s="42">
        <f t="shared" si="16"/>
        <v>0</v>
      </c>
      <c r="AY74" s="116">
        <f t="shared" si="17"/>
        <v>0.7</v>
      </c>
      <c r="AZ74" s="93">
        <f>IF($C74="&lt;01",ROUND(INDEX(EID!$R:$R,MATCH($B74,EID!$B:$B,0))/2,0),ROUND(SUM($O74)+(SUM($AV74)*$AY74),0))</f>
        <v>0</v>
      </c>
      <c r="BA74" s="89">
        <f t="shared" si="18"/>
        <v>0.95</v>
      </c>
      <c r="BB74" s="9">
        <f>IF($C74="&lt;01",ROUND(INDEX(EID!$T:$T,MATCH($B74,EID!$B:$B,0))/2,0),ROUND($AZ74*$BA74,0))</f>
        <v>0</v>
      </c>
      <c r="BC74" s="93">
        <f t="shared" si="19"/>
        <v>0</v>
      </c>
      <c r="BD74" s="90">
        <f t="shared" si="20"/>
        <v>0.95</v>
      </c>
      <c r="BE74" s="42">
        <f>IF($C74="&lt;01",ROUND(INDEX(EID!$V:$V,MATCH($B74,EID!$B:$B,0))/2,0),ROUND($BD74*$BB74,0))</f>
        <v>0</v>
      </c>
      <c r="BF74" s="42">
        <f t="shared" si="21"/>
        <v>0</v>
      </c>
      <c r="BG74" s="116">
        <f t="shared" si="22"/>
        <v>0.95</v>
      </c>
      <c r="BH74" s="9">
        <f>IF($C74="&lt;01",ROUND(INDEX(EID!$L:$L,MATCH($B74,EID!$B:$B,0)),0)/2,IF(SUM($BG74)=0,"",ROUND($AX74/$BG74,0)))</f>
        <v>0</v>
      </c>
    </row>
    <row r="75" spans="1:60" x14ac:dyDescent="0.2">
      <c r="A75" t="str">
        <f>INDEX(Prioritization!$D:$D,MATCH($B75,Prioritization!$A:$A,0))</f>
        <v>1 - Scale-up: Saturation</v>
      </c>
      <c r="B75" t="s">
        <v>197</v>
      </c>
      <c r="C75" t="s">
        <v>363</v>
      </c>
      <c r="D75" t="s">
        <v>29</v>
      </c>
      <c r="E75" t="str">
        <f t="shared" si="0"/>
        <v>Lilongwe District [ScR9iFKAasW]|10-14|Female</v>
      </c>
      <c r="F75" s="14"/>
      <c r="G75" s="14">
        <v>49</v>
      </c>
      <c r="H75" s="14">
        <v>6</v>
      </c>
      <c r="I75" s="14">
        <v>114</v>
      </c>
      <c r="J75" s="14">
        <v>585</v>
      </c>
      <c r="K75" s="14">
        <v>509</v>
      </c>
      <c r="L75" s="14">
        <v>96</v>
      </c>
      <c r="M75" s="14">
        <v>59</v>
      </c>
      <c r="N75" s="14">
        <v>409</v>
      </c>
      <c r="O75" s="14">
        <f t="shared" si="1"/>
        <v>409</v>
      </c>
      <c r="P75" s="14">
        <v>983</v>
      </c>
      <c r="Q75" s="14">
        <v>587</v>
      </c>
      <c r="R75" s="14">
        <f t="shared" si="2"/>
        <v>295</v>
      </c>
      <c r="S75" s="14">
        <f>IF(LEFT($B75,4)="_Mil","",_xlfn.IFNA(ROUND(INDEX(Spectrum!$N:$N,MATCH(RIGHT($B75,13)&amp;"|"&amp;$C75&amp;"|"&amp;$D75&amp;"|"&amp;S$14&amp;"|"&amp;"CY2022Q4",Spectrum!$R:$R,0)),0),""))</f>
        <v>1858</v>
      </c>
      <c r="T75" s="42">
        <f>IF(LEFT($B75,4)="_Mil","",_xlfn.IFNA(ROUND(INDEX(Spectrum!$N:$N,MATCH(RIGHT($B75,13)&amp;"|"&amp;$C75&amp;"|"&amp;$D75&amp;"|"&amp;T$14&amp;"|"&amp;"CY2023Q3",Spectrum!$R:$R,0)),0),""))</f>
        <v>1687</v>
      </c>
      <c r="U75" s="42" t="str">
        <f>IF(LEFT($B75,4)="_Mil","",_xlfn.IFNA(ROUND(INDEX(Spectrum!$N:$N,MATCH(RIGHT($B75,13)&amp;"|"&amp;$C75&amp;"|"&amp;$D75&amp;"|"&amp;U$14&amp;"|"&amp;"CY2023Q3",Spectrum!$R:$R,0)),0),""))</f>
        <v/>
      </c>
      <c r="V75" s="14">
        <f>IF(LEFT($B75,4)="_Mil","",_xlfn.IFNA(ROUND(INDEX(Spectrum!$N:$N,MATCH(RIGHT($B75,13)&amp;"|"&amp;$C75&amp;"|"&amp;$D75&amp;"|"&amp;V$14&amp;"|"&amp;"CY2023Q3",Spectrum!$R:$R,0)),0),""))</f>
        <v>1079</v>
      </c>
      <c r="W75" s="115">
        <f>IF(LEFT($B75,4)="_Mil","",_xlfn.IFNA(INDEX(Spectrum!$N:$N,MATCH(RIGHT($B75,13)&amp;"|"&amp;$C75&amp;"|"&amp;$D75&amp;"|"&amp;W$14&amp;"|"&amp;"CY2023Q3",Spectrum!$R:$R,0)),""))</f>
        <v>1552</v>
      </c>
      <c r="X75" s="42">
        <f>IF(LEFT($B75,4)="_Mil","",_xlfn.IFNA(ROUND(INDEX(Spectrum!$N:$N,MATCH(RIGHT($B75,13)&amp;"|"&amp;$C75&amp;"|"&amp;$D75&amp;"|"&amp;X$14&amp;"|"&amp;"CY2023Q3",Spectrum!$R:$R,0)),0),""))</f>
        <v>1060</v>
      </c>
      <c r="Y75" s="90" t="str">
        <f t="shared" si="3"/>
        <v/>
      </c>
      <c r="Z75" s="42">
        <f>IF(LEFT($B75,4)="_Mil","",_xlfn.IFNA(ROUND(INDEX(Spectrum!$N:$N,MATCH(RIGHT($B75,13)&amp;"|"&amp;$C75&amp;"|"&amp;$D75&amp;"|"&amp;Z$14&amp;"|"&amp;"CY2023Q3",Spectrum!$R:$R,0)),0),""))</f>
        <v>1466</v>
      </c>
      <c r="AA75" s="90">
        <f>IF(LEFT($B75,4)="_Mil","",IFERROR(1/(1/INDEX(Spectrum!$N:$N,MATCH(RIGHT($B75,13)&amp;"|"&amp;$C75&amp;"|"&amp;$D75&amp;"|"&amp;AA$14&amp;"|"&amp;"CY2023Q3",Spectrum!$R:$R,0))),IF(SUM($U75)=0,"",SUM($Z75)/$U75)))</f>
        <v>1545</v>
      </c>
      <c r="AB75" s="90">
        <f t="shared" si="4"/>
        <v>1.3830188679245283</v>
      </c>
      <c r="AC75" s="14">
        <f>IF(LEFT($B75,4)="_Mil","",_xlfn.IFNA(ROUND(INDEX(Spectrum!$N:$N,MATCH(RIGHT($B75,13)&amp;"|"&amp;$C75&amp;"|"&amp;$D75&amp;"|"&amp;AC$14&amp;"|"&amp;"CY2023Q3",Spectrum!$R:$R,0)),0),""))</f>
        <v>1757</v>
      </c>
      <c r="AD75" s="14" t="str">
        <f>IF(LEFT($B75,4)="_Mil","",_xlfn.IFNA(ROUND(INDEX(Spectrum!$N:$N,MATCH(RIGHT($B75,13)&amp;"|"&amp;$C75&amp;"|"&amp;$D75&amp;"|"&amp;AD$14&amp;"|"&amp;"CY2023Q3",Spectrum!$R:$R,0)),0),""))</f>
        <v/>
      </c>
      <c r="AE75" s="90">
        <f t="shared" si="5"/>
        <v>0</v>
      </c>
      <c r="AF75" s="42" t="str">
        <f>IF(LEFT($B75,4)="_Mil","",_xlfn.IFNA(ROUND(INDEX(Spectrum!$N:$N,MATCH(RIGHT($B75,13)&amp;"|"&amp;$C75&amp;"|"&amp;$D75&amp;"|"&amp;AF$14&amp;"|"&amp;"CY2023Q3",Spectrum!$R:$R,0)),0),""))</f>
        <v/>
      </c>
      <c r="AG75" s="90" t="str">
        <f t="shared" si="6"/>
        <v/>
      </c>
      <c r="AH75" s="88" t="str">
        <f>IF(LEFT($B75,4)="_Mil","",_xlfn.IFNA(INDEX(Spectrum!$N:$N,MATCH(RIGHT($B75,13)&amp;"|"&amp;$C75&amp;"|"&amp;$D75&amp;"|"&amp;AH$14&amp;"|"&amp;"CY2023Q3",Spectrum!$R:$R,0)),""))</f>
        <v/>
      </c>
      <c r="AI75" s="14" t="str">
        <f>IF(LEFT($B75,4)="_Mil","",_xlfn.IFNA(ROUND(INDEX(Spectrum!$N:$N,MATCH(RIGHT($B75,13)&amp;"|"&amp;$C75&amp;"|"&amp;$D75&amp;"|"&amp;AI$14&amp;"|"&amp;"CY2023Q3",Spectrum!$R:$R,0)),0),""))</f>
        <v/>
      </c>
      <c r="AJ75" s="42">
        <f>IF(LEFT($B75,4)="_Mil","",_xlfn.IFNA(ROUND(INDEX(Spectrum!$N:$N,MATCH(RIGHT($B75,13)&amp;"|"&amp;$C75&amp;"|"&amp;$D75&amp;"|"&amp;AI$14&amp;"|"&amp;"CY2023Q3",Spectrum!$R:$R,0)),0),SUM($U75)+SUM($AI75)))</f>
        <v>0</v>
      </c>
      <c r="AK75" s="14" t="str">
        <f>IF(LEFT($B75,4)="_Mil","",_xlfn.IFNA(ROUND(INDEX(Spectrum!$N:$N,MATCH(RIGHT($B75,13)&amp;"|"&amp;$C75&amp;"|"&amp;$D75&amp;"|"&amp;AK$14&amp;"|"&amp;"CY2023Q3",Spectrum!$R:$R,0)),0),""))</f>
        <v/>
      </c>
      <c r="AL75" s="90">
        <f t="shared" si="7"/>
        <v>1545</v>
      </c>
      <c r="AM75" s="14">
        <f t="shared" si="8"/>
        <v>0</v>
      </c>
      <c r="AN75" s="14" t="str">
        <f>IF($C75="&lt;01",ROUND(INDEX(EID!$P:$P,MATCH($B75,EID!$B:$B,0))/2,0),"")</f>
        <v/>
      </c>
      <c r="AO75" s="14">
        <f t="shared" si="9"/>
        <v>0</v>
      </c>
      <c r="AP75" s="42">
        <f t="shared" si="10"/>
        <v>0</v>
      </c>
      <c r="AQ75" s="42">
        <f t="shared" si="11"/>
        <v>1466</v>
      </c>
      <c r="AR75" s="90" t="str">
        <f t="shared" si="12"/>
        <v/>
      </c>
      <c r="AS75" s="90">
        <f t="shared" ref="AS75:AT94" si="25">IF($C75="&lt;01","",98%)</f>
        <v>0.98</v>
      </c>
      <c r="AT75" s="90">
        <f t="shared" si="25"/>
        <v>0.98</v>
      </c>
      <c r="AU75" s="14">
        <f t="shared" si="14"/>
        <v>-409</v>
      </c>
      <c r="AV75" s="14">
        <f>IF($C75="&lt;01",ROUND(INDEX(EID!$N:$N,MATCH($B75,EID!$B:$B,0))/2,0),IF(SUM($AT75)=0,"",ROUND((SUM($AP75)-(SUM($O75)*SUM($AS75)))/$AT75,0)))</f>
        <v>-409</v>
      </c>
      <c r="AW75" s="90">
        <f t="shared" si="15"/>
        <v>1</v>
      </c>
      <c r="AX75" s="42">
        <f t="shared" si="16"/>
        <v>-409</v>
      </c>
      <c r="AY75" s="116">
        <f t="shared" si="17"/>
        <v>0.7</v>
      </c>
      <c r="AZ75" s="93">
        <f>IF($C75="&lt;01",ROUND(INDEX(EID!$R:$R,MATCH($B75,EID!$B:$B,0))/2,0),ROUND(SUM($O75)+(SUM($AV75)*$AY75),0))</f>
        <v>123</v>
      </c>
      <c r="BA75" s="89">
        <f t="shared" si="18"/>
        <v>0.95</v>
      </c>
      <c r="BB75" s="9">
        <f>IF($C75="&lt;01",ROUND(INDEX(EID!$T:$T,MATCH($B75,EID!$B:$B,0))/2,0),ROUND($AZ75*$BA75,0))</f>
        <v>117</v>
      </c>
      <c r="BC75" s="93">
        <f t="shared" si="19"/>
        <v>117</v>
      </c>
      <c r="BD75" s="90">
        <f t="shared" si="20"/>
        <v>0.95</v>
      </c>
      <c r="BE75" s="42">
        <f>IF($C75="&lt;01",ROUND(INDEX(EID!$V:$V,MATCH($B75,EID!$B:$B,0))/2,0),ROUND($BD75*$BB75,0))</f>
        <v>111</v>
      </c>
      <c r="BF75" s="42">
        <f t="shared" si="21"/>
        <v>111</v>
      </c>
      <c r="BG75" s="116">
        <f t="shared" si="22"/>
        <v>0.95</v>
      </c>
      <c r="BH75" s="9">
        <f>IF($C75="&lt;01",ROUND(INDEX(EID!$L:$L,MATCH($B75,EID!$B:$B,0)),0)/2,IF(SUM($BG75)=0,"",ROUND($AX75/$BG75,0)))</f>
        <v>-431</v>
      </c>
    </row>
    <row r="76" spans="1:60" x14ac:dyDescent="0.2">
      <c r="A76" t="str">
        <f>INDEX(Prioritization!$D:$D,MATCH($B76,Prioritization!$A:$A,0))</f>
        <v>1 - Scale-up: Saturation</v>
      </c>
      <c r="B76" t="s">
        <v>197</v>
      </c>
      <c r="C76" t="s">
        <v>363</v>
      </c>
      <c r="D76" t="s">
        <v>47</v>
      </c>
      <c r="E76" t="str">
        <f t="shared" si="0"/>
        <v>Lilongwe District [ScR9iFKAasW]|10-14|Male</v>
      </c>
      <c r="F76" s="14"/>
      <c r="G76" s="14">
        <v>47</v>
      </c>
      <c r="H76" s="14">
        <v>4</v>
      </c>
      <c r="I76" s="14">
        <v>140</v>
      </c>
      <c r="J76" s="14">
        <v>428</v>
      </c>
      <c r="K76" s="14">
        <v>19</v>
      </c>
      <c r="L76" s="14">
        <v>31</v>
      </c>
      <c r="M76" s="14">
        <v>47</v>
      </c>
      <c r="N76" s="14">
        <v>738</v>
      </c>
      <c r="O76" s="14">
        <f t="shared" si="1"/>
        <v>738</v>
      </c>
      <c r="P76" s="14">
        <v>725</v>
      </c>
      <c r="Q76" s="14">
        <v>899</v>
      </c>
      <c r="R76" s="14">
        <f t="shared" si="2"/>
        <v>598</v>
      </c>
      <c r="S76" s="14">
        <f>IF(LEFT($B76,4)="_Mil","",_xlfn.IFNA(ROUND(INDEX(Spectrum!$N:$N,MATCH(RIGHT($B76,13)&amp;"|"&amp;$C76&amp;"|"&amp;$D76&amp;"|"&amp;S$14&amp;"|"&amp;"CY2022Q4",Spectrum!$R:$R,0)),0),""))</f>
        <v>1162</v>
      </c>
      <c r="T76" s="42">
        <f>IF(LEFT($B76,4)="_Mil","",_xlfn.IFNA(ROUND(INDEX(Spectrum!$N:$N,MATCH(RIGHT($B76,13)&amp;"|"&amp;$C76&amp;"|"&amp;$D76&amp;"|"&amp;T$14&amp;"|"&amp;"CY2023Q3",Spectrum!$R:$R,0)),0),""))</f>
        <v>1957</v>
      </c>
      <c r="U76" s="42" t="str">
        <f>IF(LEFT($B76,4)="_Mil","",_xlfn.IFNA(ROUND(INDEX(Spectrum!$N:$N,MATCH(RIGHT($B76,13)&amp;"|"&amp;$C76&amp;"|"&amp;$D76&amp;"|"&amp;U$14&amp;"|"&amp;"CY2023Q3",Spectrum!$R:$R,0)),0),""))</f>
        <v/>
      </c>
      <c r="V76" s="14">
        <f>IF(LEFT($B76,4)="_Mil","",_xlfn.IFNA(ROUND(INDEX(Spectrum!$N:$N,MATCH(RIGHT($B76,13)&amp;"|"&amp;$C76&amp;"|"&amp;$D76&amp;"|"&amp;V$14&amp;"|"&amp;"CY2023Q3",Spectrum!$R:$R,0)),0),""))</f>
        <v>1994</v>
      </c>
      <c r="W76" s="115">
        <f>IF(LEFT($B76,4)="_Mil","",_xlfn.IFNA(INDEX(Spectrum!$N:$N,MATCH(RIGHT($B76,13)&amp;"|"&amp;$C76&amp;"|"&amp;$D76&amp;"|"&amp;W$14&amp;"|"&amp;"CY2023Q3",Spectrum!$R:$R,0)),""))</f>
        <v>1806</v>
      </c>
      <c r="X76" s="42">
        <f>IF(LEFT($B76,4)="_Mil","",_xlfn.IFNA(ROUND(INDEX(Spectrum!$N:$N,MATCH(RIGHT($B76,13)&amp;"|"&amp;$C76&amp;"|"&amp;$D76&amp;"|"&amp;X$14&amp;"|"&amp;"CY2023Q3",Spectrum!$R:$R,0)),0),""))</f>
        <v>1636</v>
      </c>
      <c r="Y76" s="90" t="str">
        <f t="shared" si="3"/>
        <v/>
      </c>
      <c r="Z76" s="42">
        <f>IF(LEFT($B76,4)="_Mil","",_xlfn.IFNA(ROUND(INDEX(Spectrum!$N:$N,MATCH(RIGHT($B76,13)&amp;"|"&amp;$C76&amp;"|"&amp;$D76&amp;"|"&amp;Z$14&amp;"|"&amp;"CY2023Q3",Spectrum!$R:$R,0)),0),""))</f>
        <v>1274</v>
      </c>
      <c r="AA76" s="90">
        <f>IF(LEFT($B76,4)="_Mil","",IFERROR(1/(1/INDEX(Spectrum!$N:$N,MATCH(RIGHT($B76,13)&amp;"|"&amp;$C76&amp;"|"&amp;$D76&amp;"|"&amp;AA$14&amp;"|"&amp;"CY2023Q3",Spectrum!$R:$R,0))),IF(SUM($U76)=0,"",SUM($Z76)/$U76)))</f>
        <v>1220</v>
      </c>
      <c r="AB76" s="90">
        <f t="shared" si="4"/>
        <v>0.77872860635696817</v>
      </c>
      <c r="AC76" s="14">
        <f>IF(LEFT($B76,4)="_Mil","",_xlfn.IFNA(ROUND(INDEX(Spectrum!$N:$N,MATCH(RIGHT($B76,13)&amp;"|"&amp;$C76&amp;"|"&amp;$D76&amp;"|"&amp;AC$14&amp;"|"&amp;"CY2023Q3",Spectrum!$R:$R,0)),0),""))</f>
        <v>818</v>
      </c>
      <c r="AD76" s="14" t="str">
        <f>IF(LEFT($B76,4)="_Mil","",_xlfn.IFNA(ROUND(INDEX(Spectrum!$N:$N,MATCH(RIGHT($B76,13)&amp;"|"&amp;$C76&amp;"|"&amp;$D76&amp;"|"&amp;AD$14&amp;"|"&amp;"CY2023Q3",Spectrum!$R:$R,0)),0),""))</f>
        <v/>
      </c>
      <c r="AE76" s="90">
        <f t="shared" si="5"/>
        <v>0</v>
      </c>
      <c r="AF76" s="42" t="str">
        <f>IF(LEFT($B76,4)="_Mil","",_xlfn.IFNA(ROUND(INDEX(Spectrum!$N:$N,MATCH(RIGHT($B76,13)&amp;"|"&amp;$C76&amp;"|"&amp;$D76&amp;"|"&amp;AF$14&amp;"|"&amp;"CY2023Q3",Spectrum!$R:$R,0)),0),""))</f>
        <v/>
      </c>
      <c r="AG76" s="90" t="str">
        <f t="shared" si="6"/>
        <v/>
      </c>
      <c r="AH76" s="88" t="str">
        <f>IF(LEFT($B76,4)="_Mil","",_xlfn.IFNA(INDEX(Spectrum!$N:$N,MATCH(RIGHT($B76,13)&amp;"|"&amp;$C76&amp;"|"&amp;$D76&amp;"|"&amp;AH$14&amp;"|"&amp;"CY2023Q3",Spectrum!$R:$R,0)),""))</f>
        <v/>
      </c>
      <c r="AI76" s="14" t="str">
        <f>IF(LEFT($B76,4)="_Mil","",_xlfn.IFNA(ROUND(INDEX(Spectrum!$N:$N,MATCH(RIGHT($B76,13)&amp;"|"&amp;$C76&amp;"|"&amp;$D76&amp;"|"&amp;AI$14&amp;"|"&amp;"CY2023Q3",Spectrum!$R:$R,0)),0),""))</f>
        <v/>
      </c>
      <c r="AJ76" s="42">
        <f>IF(LEFT($B76,4)="_Mil","",_xlfn.IFNA(ROUND(INDEX(Spectrum!$N:$N,MATCH(RIGHT($B76,13)&amp;"|"&amp;$C76&amp;"|"&amp;$D76&amp;"|"&amp;AI$14&amp;"|"&amp;"CY2023Q3",Spectrum!$R:$R,0)),0),SUM($U76)+SUM($AI76)))</f>
        <v>0</v>
      </c>
      <c r="AK76" s="14" t="str">
        <f>IF(LEFT($B76,4)="_Mil","",_xlfn.IFNA(ROUND(INDEX(Spectrum!$N:$N,MATCH(RIGHT($B76,13)&amp;"|"&amp;$C76&amp;"|"&amp;$D76&amp;"|"&amp;AK$14&amp;"|"&amp;"CY2023Q3",Spectrum!$R:$R,0)),0),""))</f>
        <v/>
      </c>
      <c r="AL76" s="90">
        <f t="shared" si="7"/>
        <v>1220</v>
      </c>
      <c r="AM76" s="14">
        <f t="shared" si="8"/>
        <v>0</v>
      </c>
      <c r="AN76" s="14" t="str">
        <f>IF($C76="&lt;01",ROUND(INDEX(EID!$P:$P,MATCH($B76,EID!$B:$B,0))/2,0),"")</f>
        <v/>
      </c>
      <c r="AO76" s="14">
        <f t="shared" si="9"/>
        <v>0</v>
      </c>
      <c r="AP76" s="42">
        <f t="shared" si="10"/>
        <v>0</v>
      </c>
      <c r="AQ76" s="42">
        <f t="shared" si="11"/>
        <v>1274</v>
      </c>
      <c r="AR76" s="90" t="str">
        <f t="shared" si="12"/>
        <v/>
      </c>
      <c r="AS76" s="90">
        <f t="shared" si="25"/>
        <v>0.98</v>
      </c>
      <c r="AT76" s="90">
        <f t="shared" si="25"/>
        <v>0.98</v>
      </c>
      <c r="AU76" s="14">
        <f t="shared" si="14"/>
        <v>-738</v>
      </c>
      <c r="AV76" s="14">
        <f>IF($C76="&lt;01",ROUND(INDEX(EID!$N:$N,MATCH($B76,EID!$B:$B,0))/2,0),IF(SUM($AT76)=0,"",ROUND((SUM($AP76)-(SUM($O76)*SUM($AS76)))/$AT76,0)))</f>
        <v>-738</v>
      </c>
      <c r="AW76" s="90">
        <f t="shared" si="15"/>
        <v>1</v>
      </c>
      <c r="AX76" s="42">
        <f t="shared" si="16"/>
        <v>-738</v>
      </c>
      <c r="AY76" s="116">
        <f t="shared" si="17"/>
        <v>0.7</v>
      </c>
      <c r="AZ76" s="93">
        <f>IF($C76="&lt;01",ROUND(INDEX(EID!$R:$R,MATCH($B76,EID!$B:$B,0))/2,0),ROUND(SUM($O76)+(SUM($AV76)*$AY76),0))</f>
        <v>221</v>
      </c>
      <c r="BA76" s="89">
        <f t="shared" si="18"/>
        <v>0.95</v>
      </c>
      <c r="BB76" s="9">
        <f>IF($C76="&lt;01",ROUND(INDEX(EID!$T:$T,MATCH($B76,EID!$B:$B,0))/2,0),ROUND($AZ76*$BA76,0))</f>
        <v>210</v>
      </c>
      <c r="BC76" s="93">
        <f t="shared" si="19"/>
        <v>210</v>
      </c>
      <c r="BD76" s="90">
        <f t="shared" si="20"/>
        <v>0.95</v>
      </c>
      <c r="BE76" s="42">
        <f>IF($C76="&lt;01",ROUND(INDEX(EID!$V:$V,MATCH($B76,EID!$B:$B,0))/2,0),ROUND($BD76*$BB76,0))</f>
        <v>200</v>
      </c>
      <c r="BF76" s="42">
        <f t="shared" si="21"/>
        <v>200</v>
      </c>
      <c r="BG76" s="116">
        <f t="shared" si="22"/>
        <v>0.95</v>
      </c>
      <c r="BH76" s="9">
        <f>IF($C76="&lt;01",ROUND(INDEX(EID!$L:$L,MATCH($B76,EID!$B:$B,0)),0)/2,IF(SUM($BG76)=0,"",ROUND($AX76/$BG76,0)))</f>
        <v>-777</v>
      </c>
    </row>
    <row r="77" spans="1:60" x14ac:dyDescent="0.2">
      <c r="A77" t="str">
        <f>INDEX(Prioritization!$D:$D,MATCH($B77,Prioritization!$A:$A,0))</f>
        <v>1 - Scale-up: Saturation</v>
      </c>
      <c r="B77" t="s">
        <v>197</v>
      </c>
      <c r="C77" t="s">
        <v>364</v>
      </c>
      <c r="D77" t="s">
        <v>29</v>
      </c>
      <c r="E77" t="str">
        <f t="shared" si="0"/>
        <v>Lilongwe District [ScR9iFKAasW]|15-24|Female</v>
      </c>
      <c r="F77" s="14"/>
      <c r="G77" s="14"/>
      <c r="H77" s="14"/>
      <c r="I77" s="14"/>
      <c r="J77" s="14"/>
      <c r="K77" s="14"/>
      <c r="L77" s="14"/>
      <c r="M77" s="14"/>
      <c r="N77" s="14"/>
      <c r="O77" s="14" t="str">
        <f t="shared" si="1"/>
        <v/>
      </c>
      <c r="P77" s="14"/>
      <c r="Q77" s="14"/>
      <c r="R77" s="14" t="str">
        <f t="shared" si="2"/>
        <v/>
      </c>
      <c r="S77" s="14">
        <f>IF(LEFT($B77,4)="_Mil","",_xlfn.IFNA(ROUND(INDEX(Spectrum!$N:$N,MATCH(RIGHT($B77,13)&amp;"|"&amp;$C77&amp;"|"&amp;$D77&amp;"|"&amp;S$14&amp;"|"&amp;"CY2022Q4",Spectrum!$R:$R,0)),0),""))</f>
        <v>1073</v>
      </c>
      <c r="T77" s="42">
        <f>IF(LEFT($B77,4)="_Mil","",_xlfn.IFNA(ROUND(INDEX(Spectrum!$N:$N,MATCH(RIGHT($B77,13)&amp;"|"&amp;$C77&amp;"|"&amp;$D77&amp;"|"&amp;T$14&amp;"|"&amp;"CY2023Q3",Spectrum!$R:$R,0)),0),""))</f>
        <v>1885</v>
      </c>
      <c r="U77" s="42" t="str">
        <f>IF(LEFT($B77,4)="_Mil","",_xlfn.IFNA(ROUND(INDEX(Spectrum!$N:$N,MATCH(RIGHT($B77,13)&amp;"|"&amp;$C77&amp;"|"&amp;$D77&amp;"|"&amp;U$14&amp;"|"&amp;"CY2023Q3",Spectrum!$R:$R,0)),0),""))</f>
        <v/>
      </c>
      <c r="V77" s="14">
        <f>IF(LEFT($B77,4)="_Mil","",_xlfn.IFNA(ROUND(INDEX(Spectrum!$N:$N,MATCH(RIGHT($B77,13)&amp;"|"&amp;$C77&amp;"|"&amp;$D77&amp;"|"&amp;V$14&amp;"|"&amp;"CY2023Q3",Spectrum!$R:$R,0)),0),""))</f>
        <v>1717</v>
      </c>
      <c r="W77" s="115">
        <f>IF(LEFT($B77,4)="_Mil","",_xlfn.IFNA(INDEX(Spectrum!$N:$N,MATCH(RIGHT($B77,13)&amp;"|"&amp;$C77&amp;"|"&amp;$D77&amp;"|"&amp;W$14&amp;"|"&amp;"CY2023Q3",Spectrum!$R:$R,0)),""))</f>
        <v>1802</v>
      </c>
      <c r="X77" s="42">
        <f>IF(LEFT($B77,4)="_Mil","",_xlfn.IFNA(ROUND(INDEX(Spectrum!$N:$N,MATCH(RIGHT($B77,13)&amp;"|"&amp;$C77&amp;"|"&amp;$D77&amp;"|"&amp;X$14&amp;"|"&amp;"CY2023Q3",Spectrum!$R:$R,0)),0),""))</f>
        <v>562</v>
      </c>
      <c r="Y77" s="90" t="str">
        <f t="shared" si="3"/>
        <v/>
      </c>
      <c r="Z77" s="42">
        <f>IF(LEFT($B77,4)="_Mil","",_xlfn.IFNA(ROUND(INDEX(Spectrum!$N:$N,MATCH(RIGHT($B77,13)&amp;"|"&amp;$C77&amp;"|"&amp;$D77&amp;"|"&amp;Z$14&amp;"|"&amp;"CY2023Q3",Spectrum!$R:$R,0)),0),""))</f>
        <v>563</v>
      </c>
      <c r="AA77" s="90">
        <f>IF(LEFT($B77,4)="_Mil","",IFERROR(1/(1/INDEX(Spectrum!$N:$N,MATCH(RIGHT($B77,13)&amp;"|"&amp;$C77&amp;"|"&amp;$D77&amp;"|"&amp;AA$14&amp;"|"&amp;"CY2023Q3",Spectrum!$R:$R,0))),IF(SUM($U77)=0,"",SUM($Z77)/$U77)))</f>
        <v>1520</v>
      </c>
      <c r="AB77" s="90">
        <f t="shared" si="4"/>
        <v>1.001779359430605</v>
      </c>
      <c r="AC77" s="14">
        <f>IF(LEFT($B77,4)="_Mil","",_xlfn.IFNA(ROUND(INDEX(Spectrum!$N:$N,MATCH(RIGHT($B77,13)&amp;"|"&amp;$C77&amp;"|"&amp;$D77&amp;"|"&amp;AC$14&amp;"|"&amp;"CY2023Q3",Spectrum!$R:$R,0)),0),""))</f>
        <v>752</v>
      </c>
      <c r="AD77" s="14" t="str">
        <f>IF(LEFT($B77,4)="_Mil","",_xlfn.IFNA(ROUND(INDEX(Spectrum!$N:$N,MATCH(RIGHT($B77,13)&amp;"|"&amp;$C77&amp;"|"&amp;$D77&amp;"|"&amp;AD$14&amp;"|"&amp;"CY2023Q3",Spectrum!$R:$R,0)),0),""))</f>
        <v/>
      </c>
      <c r="AE77" s="90">
        <f t="shared" si="5"/>
        <v>0</v>
      </c>
      <c r="AF77" s="42" t="str">
        <f>IF(LEFT($B77,4)="_Mil","",_xlfn.IFNA(ROUND(INDEX(Spectrum!$N:$N,MATCH(RIGHT($B77,13)&amp;"|"&amp;$C77&amp;"|"&amp;$D77&amp;"|"&amp;AF$14&amp;"|"&amp;"CY2023Q3",Spectrum!$R:$R,0)),0),""))</f>
        <v/>
      </c>
      <c r="AG77" s="90" t="str">
        <f t="shared" si="6"/>
        <v/>
      </c>
      <c r="AH77" s="88" t="str">
        <f>IF(LEFT($B77,4)="_Mil","",_xlfn.IFNA(INDEX(Spectrum!$N:$N,MATCH(RIGHT($B77,13)&amp;"|"&amp;$C77&amp;"|"&amp;$D77&amp;"|"&amp;AH$14&amp;"|"&amp;"CY2023Q3",Spectrum!$R:$R,0)),""))</f>
        <v/>
      </c>
      <c r="AI77" s="14" t="str">
        <f>IF(LEFT($B77,4)="_Mil","",_xlfn.IFNA(ROUND(INDEX(Spectrum!$N:$N,MATCH(RIGHT($B77,13)&amp;"|"&amp;$C77&amp;"|"&amp;$D77&amp;"|"&amp;AI$14&amp;"|"&amp;"CY2023Q3",Spectrum!$R:$R,0)),0),""))</f>
        <v/>
      </c>
      <c r="AJ77" s="42">
        <f>IF(LEFT($B77,4)="_Mil","",_xlfn.IFNA(ROUND(INDEX(Spectrum!$N:$N,MATCH(RIGHT($B77,13)&amp;"|"&amp;$C77&amp;"|"&amp;$D77&amp;"|"&amp;AI$14&amp;"|"&amp;"CY2023Q3",Spectrum!$R:$R,0)),0),SUM($U77)+SUM($AI77)))</f>
        <v>0</v>
      </c>
      <c r="AK77" s="14" t="str">
        <f>IF(LEFT($B77,4)="_Mil","",_xlfn.IFNA(ROUND(INDEX(Spectrum!$N:$N,MATCH(RIGHT($B77,13)&amp;"|"&amp;$C77&amp;"|"&amp;$D77&amp;"|"&amp;AK$14&amp;"|"&amp;"CY2023Q3",Spectrum!$R:$R,0)),0),""))</f>
        <v/>
      </c>
      <c r="AL77" s="90">
        <f t="shared" si="7"/>
        <v>1520</v>
      </c>
      <c r="AM77" s="14">
        <f t="shared" si="8"/>
        <v>0</v>
      </c>
      <c r="AN77" s="14" t="str">
        <f>IF($C77="&lt;01",ROUND(INDEX(EID!$P:$P,MATCH($B77,EID!$B:$B,0))/2,0),"")</f>
        <v/>
      </c>
      <c r="AO77" s="14">
        <f t="shared" si="9"/>
        <v>0</v>
      </c>
      <c r="AP77" s="42">
        <f t="shared" si="10"/>
        <v>0</v>
      </c>
      <c r="AQ77" s="42">
        <f t="shared" si="11"/>
        <v>563</v>
      </c>
      <c r="AR77" s="90" t="str">
        <f t="shared" si="12"/>
        <v/>
      </c>
      <c r="AS77" s="90">
        <f t="shared" si="25"/>
        <v>0.98</v>
      </c>
      <c r="AT77" s="90">
        <f t="shared" si="25"/>
        <v>0.98</v>
      </c>
      <c r="AU77" s="14">
        <f t="shared" si="14"/>
        <v>0</v>
      </c>
      <c r="AV77" s="14">
        <f>IF($C77="&lt;01",ROUND(INDEX(EID!$N:$N,MATCH($B77,EID!$B:$B,0))/2,0),IF(SUM($AT77)=0,"",ROUND((SUM($AP77)-(SUM($O77)*SUM($AS77)))/$AT77,0)))</f>
        <v>0</v>
      </c>
      <c r="AW77" s="90">
        <f t="shared" si="15"/>
        <v>1</v>
      </c>
      <c r="AX77" s="42">
        <f t="shared" si="16"/>
        <v>0</v>
      </c>
      <c r="AY77" s="116">
        <f t="shared" si="17"/>
        <v>0.7</v>
      </c>
      <c r="AZ77" s="93">
        <f>IF($C77="&lt;01",ROUND(INDEX(EID!$R:$R,MATCH($B77,EID!$B:$B,0))/2,0),ROUND(SUM($O77)+(SUM($AV77)*$AY77),0))</f>
        <v>0</v>
      </c>
      <c r="BA77" s="89">
        <f t="shared" si="18"/>
        <v>0.95</v>
      </c>
      <c r="BB77" s="9">
        <f>IF($C77="&lt;01",ROUND(INDEX(EID!$T:$T,MATCH($B77,EID!$B:$B,0))/2,0),ROUND($AZ77*$BA77,0))</f>
        <v>0</v>
      </c>
      <c r="BC77" s="93">
        <f t="shared" si="19"/>
        <v>0</v>
      </c>
      <c r="BD77" s="90">
        <f t="shared" si="20"/>
        <v>0.95</v>
      </c>
      <c r="BE77" s="42">
        <f>IF($C77="&lt;01",ROUND(INDEX(EID!$V:$V,MATCH($B77,EID!$B:$B,0))/2,0),ROUND($BD77*$BB77,0))</f>
        <v>0</v>
      </c>
      <c r="BF77" s="42">
        <f t="shared" si="21"/>
        <v>0</v>
      </c>
      <c r="BG77" s="116">
        <f t="shared" si="22"/>
        <v>0.95</v>
      </c>
      <c r="BH77" s="9">
        <f>IF($C77="&lt;01",ROUND(INDEX(EID!$L:$L,MATCH($B77,EID!$B:$B,0)),0)/2,IF(SUM($BG77)=0,"",ROUND($AX77/$BG77,0)))</f>
        <v>0</v>
      </c>
    </row>
    <row r="78" spans="1:60" x14ac:dyDescent="0.2">
      <c r="A78" t="str">
        <f>INDEX(Prioritization!$D:$D,MATCH($B78,Prioritization!$A:$A,0))</f>
        <v>1 - Scale-up: Saturation</v>
      </c>
      <c r="B78" t="s">
        <v>197</v>
      </c>
      <c r="C78" t="s">
        <v>364</v>
      </c>
      <c r="D78" t="s">
        <v>47</v>
      </c>
      <c r="E78" t="str">
        <f t="shared" si="0"/>
        <v>Lilongwe District [ScR9iFKAasW]|15-24|Male</v>
      </c>
      <c r="F78" s="14"/>
      <c r="G78" s="14"/>
      <c r="H78" s="14"/>
      <c r="I78" s="14"/>
      <c r="J78" s="14"/>
      <c r="K78" s="14"/>
      <c r="L78" s="14"/>
      <c r="M78" s="14"/>
      <c r="N78" s="14"/>
      <c r="O78" s="14" t="str">
        <f t="shared" si="1"/>
        <v/>
      </c>
      <c r="P78" s="14"/>
      <c r="Q78" s="14"/>
      <c r="R78" s="14" t="str">
        <f t="shared" si="2"/>
        <v/>
      </c>
      <c r="S78" s="14">
        <f>IF(LEFT($B78,4)="_Mil","",_xlfn.IFNA(ROUND(INDEX(Spectrum!$N:$N,MATCH(RIGHT($B78,13)&amp;"|"&amp;$C78&amp;"|"&amp;$D78&amp;"|"&amp;S$14&amp;"|"&amp;"CY2022Q4",Spectrum!$R:$R,0)),0),""))</f>
        <v>1629</v>
      </c>
      <c r="T78" s="42">
        <f>IF(LEFT($B78,4)="_Mil","",_xlfn.IFNA(ROUND(INDEX(Spectrum!$N:$N,MATCH(RIGHT($B78,13)&amp;"|"&amp;$C78&amp;"|"&amp;$D78&amp;"|"&amp;T$14&amp;"|"&amp;"CY2023Q3",Spectrum!$R:$R,0)),0),""))</f>
        <v>1493</v>
      </c>
      <c r="U78" s="42" t="str">
        <f>IF(LEFT($B78,4)="_Mil","",_xlfn.IFNA(ROUND(INDEX(Spectrum!$N:$N,MATCH(RIGHT($B78,13)&amp;"|"&amp;$C78&amp;"|"&amp;$D78&amp;"|"&amp;U$14&amp;"|"&amp;"CY2023Q3",Spectrum!$R:$R,0)),0),""))</f>
        <v/>
      </c>
      <c r="V78" s="14">
        <f>IF(LEFT($B78,4)="_Mil","",_xlfn.IFNA(ROUND(INDEX(Spectrum!$N:$N,MATCH(RIGHT($B78,13)&amp;"|"&amp;$C78&amp;"|"&amp;$D78&amp;"|"&amp;V$14&amp;"|"&amp;"CY2023Q3",Spectrum!$R:$R,0)),0),""))</f>
        <v>1801</v>
      </c>
      <c r="W78" s="115">
        <f>IF(LEFT($B78,4)="_Mil","",_xlfn.IFNA(INDEX(Spectrum!$N:$N,MATCH(RIGHT($B78,13)&amp;"|"&amp;$C78&amp;"|"&amp;$D78&amp;"|"&amp;W$14&amp;"|"&amp;"CY2023Q3",Spectrum!$R:$R,0)),""))</f>
        <v>1947</v>
      </c>
      <c r="X78" s="42">
        <f>IF(LEFT($B78,4)="_Mil","",_xlfn.IFNA(ROUND(INDEX(Spectrum!$N:$N,MATCH(RIGHT($B78,13)&amp;"|"&amp;$C78&amp;"|"&amp;$D78&amp;"|"&amp;X$14&amp;"|"&amp;"CY2023Q3",Spectrum!$R:$R,0)),0),""))</f>
        <v>1145</v>
      </c>
      <c r="Y78" s="90" t="str">
        <f t="shared" si="3"/>
        <v/>
      </c>
      <c r="Z78" s="42">
        <f>IF(LEFT($B78,4)="_Mil","",_xlfn.IFNA(ROUND(INDEX(Spectrum!$N:$N,MATCH(RIGHT($B78,13)&amp;"|"&amp;$C78&amp;"|"&amp;$D78&amp;"|"&amp;Z$14&amp;"|"&amp;"CY2023Q3",Spectrum!$R:$R,0)),0),""))</f>
        <v>822</v>
      </c>
      <c r="AA78" s="90">
        <f>IF(LEFT($B78,4)="_Mil","",IFERROR(1/(1/INDEX(Spectrum!$N:$N,MATCH(RIGHT($B78,13)&amp;"|"&amp;$C78&amp;"|"&amp;$D78&amp;"|"&amp;AA$14&amp;"|"&amp;"CY2023Q3",Spectrum!$R:$R,0))),IF(SUM($U78)=0,"",SUM($Z78)/$U78)))</f>
        <v>590</v>
      </c>
      <c r="AB78" s="90">
        <f t="shared" si="4"/>
        <v>0.7179039301310044</v>
      </c>
      <c r="AC78" s="14">
        <f>IF(LEFT($B78,4)="_Mil","",_xlfn.IFNA(ROUND(INDEX(Spectrum!$N:$N,MATCH(RIGHT($B78,13)&amp;"|"&amp;$C78&amp;"|"&amp;$D78&amp;"|"&amp;AC$14&amp;"|"&amp;"CY2023Q3",Spectrum!$R:$R,0)),0),""))</f>
        <v>1020</v>
      </c>
      <c r="AD78" s="14" t="str">
        <f>IF(LEFT($B78,4)="_Mil","",_xlfn.IFNA(ROUND(INDEX(Spectrum!$N:$N,MATCH(RIGHT($B78,13)&amp;"|"&amp;$C78&amp;"|"&amp;$D78&amp;"|"&amp;AD$14&amp;"|"&amp;"CY2023Q3",Spectrum!$R:$R,0)),0),""))</f>
        <v/>
      </c>
      <c r="AE78" s="90">
        <f t="shared" si="5"/>
        <v>0</v>
      </c>
      <c r="AF78" s="42" t="str">
        <f>IF(LEFT($B78,4)="_Mil","",_xlfn.IFNA(ROUND(INDEX(Spectrum!$N:$N,MATCH(RIGHT($B78,13)&amp;"|"&amp;$C78&amp;"|"&amp;$D78&amp;"|"&amp;AF$14&amp;"|"&amp;"CY2023Q3",Spectrum!$R:$R,0)),0),""))</f>
        <v/>
      </c>
      <c r="AG78" s="90" t="str">
        <f t="shared" si="6"/>
        <v/>
      </c>
      <c r="AH78" s="88" t="str">
        <f>IF(LEFT($B78,4)="_Mil","",_xlfn.IFNA(INDEX(Spectrum!$N:$N,MATCH(RIGHT($B78,13)&amp;"|"&amp;$C78&amp;"|"&amp;$D78&amp;"|"&amp;AH$14&amp;"|"&amp;"CY2023Q3",Spectrum!$R:$R,0)),""))</f>
        <v/>
      </c>
      <c r="AI78" s="14" t="str">
        <f>IF(LEFT($B78,4)="_Mil","",_xlfn.IFNA(ROUND(INDEX(Spectrum!$N:$N,MATCH(RIGHT($B78,13)&amp;"|"&amp;$C78&amp;"|"&amp;$D78&amp;"|"&amp;AI$14&amp;"|"&amp;"CY2023Q3",Spectrum!$R:$R,0)),0),""))</f>
        <v/>
      </c>
      <c r="AJ78" s="42">
        <f>IF(LEFT($B78,4)="_Mil","",_xlfn.IFNA(ROUND(INDEX(Spectrum!$N:$N,MATCH(RIGHT($B78,13)&amp;"|"&amp;$C78&amp;"|"&amp;$D78&amp;"|"&amp;AI$14&amp;"|"&amp;"CY2023Q3",Spectrum!$R:$R,0)),0),SUM($U78)+SUM($AI78)))</f>
        <v>0</v>
      </c>
      <c r="AK78" s="14" t="str">
        <f>IF(LEFT($B78,4)="_Mil","",_xlfn.IFNA(ROUND(INDEX(Spectrum!$N:$N,MATCH(RIGHT($B78,13)&amp;"|"&amp;$C78&amp;"|"&amp;$D78&amp;"|"&amp;AK$14&amp;"|"&amp;"CY2023Q3",Spectrum!$R:$R,0)),0),""))</f>
        <v/>
      </c>
      <c r="AL78" s="90">
        <f t="shared" si="7"/>
        <v>590</v>
      </c>
      <c r="AM78" s="14">
        <f t="shared" si="8"/>
        <v>0</v>
      </c>
      <c r="AN78" s="14" t="str">
        <f>IF($C78="&lt;01",ROUND(INDEX(EID!$P:$P,MATCH($B78,EID!$B:$B,0))/2,0),"")</f>
        <v/>
      </c>
      <c r="AO78" s="14">
        <f t="shared" si="9"/>
        <v>0</v>
      </c>
      <c r="AP78" s="42">
        <f t="shared" si="10"/>
        <v>0</v>
      </c>
      <c r="AQ78" s="42">
        <f t="shared" si="11"/>
        <v>822</v>
      </c>
      <c r="AR78" s="90" t="str">
        <f t="shared" si="12"/>
        <v/>
      </c>
      <c r="AS78" s="90">
        <f t="shared" si="25"/>
        <v>0.98</v>
      </c>
      <c r="AT78" s="90">
        <f t="shared" si="25"/>
        <v>0.98</v>
      </c>
      <c r="AU78" s="14">
        <f t="shared" si="14"/>
        <v>0</v>
      </c>
      <c r="AV78" s="14">
        <f>IF($C78="&lt;01",ROUND(INDEX(EID!$N:$N,MATCH($B78,EID!$B:$B,0))/2,0),IF(SUM($AT78)=0,"",ROUND((SUM($AP78)-(SUM($O78)*SUM($AS78)))/$AT78,0)))</f>
        <v>0</v>
      </c>
      <c r="AW78" s="90">
        <f t="shared" si="15"/>
        <v>1</v>
      </c>
      <c r="AX78" s="42">
        <f t="shared" si="16"/>
        <v>0</v>
      </c>
      <c r="AY78" s="116">
        <f t="shared" si="17"/>
        <v>0.7</v>
      </c>
      <c r="AZ78" s="93">
        <f>IF($C78="&lt;01",ROUND(INDEX(EID!$R:$R,MATCH($B78,EID!$B:$B,0))/2,0),ROUND(SUM($O78)+(SUM($AV78)*$AY78),0))</f>
        <v>0</v>
      </c>
      <c r="BA78" s="89">
        <f t="shared" si="18"/>
        <v>0.95</v>
      </c>
      <c r="BB78" s="9">
        <f>IF($C78="&lt;01",ROUND(INDEX(EID!$T:$T,MATCH($B78,EID!$B:$B,0))/2,0),ROUND($AZ78*$BA78,0))</f>
        <v>0</v>
      </c>
      <c r="BC78" s="93">
        <f t="shared" si="19"/>
        <v>0</v>
      </c>
      <c r="BD78" s="90">
        <f t="shared" si="20"/>
        <v>0.95</v>
      </c>
      <c r="BE78" s="42">
        <f>IF($C78="&lt;01",ROUND(INDEX(EID!$V:$V,MATCH($B78,EID!$B:$B,0))/2,0),ROUND($BD78*$BB78,0))</f>
        <v>0</v>
      </c>
      <c r="BF78" s="42">
        <f t="shared" si="21"/>
        <v>0</v>
      </c>
      <c r="BG78" s="116">
        <f t="shared" si="22"/>
        <v>0.95</v>
      </c>
      <c r="BH78" s="9">
        <f>IF($C78="&lt;01",ROUND(INDEX(EID!$L:$L,MATCH($B78,EID!$B:$B,0)),0)/2,IF(SUM($BG78)=0,"",ROUND($AX78/$BG78,0)))</f>
        <v>0</v>
      </c>
    </row>
    <row r="79" spans="1:60" x14ac:dyDescent="0.2">
      <c r="A79" t="str">
        <f>INDEX(Prioritization!$D:$D,MATCH($B79,Prioritization!$A:$A,0))</f>
        <v>1 - Scale-up: Saturation</v>
      </c>
      <c r="B79" t="s">
        <v>197</v>
      </c>
      <c r="C79" t="s">
        <v>365</v>
      </c>
      <c r="D79" t="s">
        <v>29</v>
      </c>
      <c r="E79" t="str">
        <f t="shared" ref="E79:E142" si="26">$B79&amp;"|"&amp;$C79&amp;"|"&amp;$D79</f>
        <v>Lilongwe District [ScR9iFKAasW]|25-34|Female</v>
      </c>
      <c r="F79" s="14"/>
      <c r="G79" s="14"/>
      <c r="H79" s="14"/>
      <c r="I79" s="14"/>
      <c r="J79" s="14"/>
      <c r="K79" s="14"/>
      <c r="L79" s="14"/>
      <c r="M79" s="14"/>
      <c r="N79" s="14"/>
      <c r="O79" s="14" t="str">
        <f t="shared" ref="O79:O142" si="27">IFERROR(1/(1/MAX($I79,$N79)),"")</f>
        <v/>
      </c>
      <c r="P79" s="14"/>
      <c r="Q79" s="14"/>
      <c r="R79" s="14" t="str">
        <f t="shared" ref="R79:R142" si="28">IF(AND(SUM($I79)=0,SUM($O79)=0),"",SUM($O79)-$I79)</f>
        <v/>
      </c>
      <c r="S79" s="14">
        <f>IF(LEFT($B79,4)="_Mil","",_xlfn.IFNA(ROUND(INDEX(Spectrum!$N:$N,MATCH(RIGHT($B79,13)&amp;"|"&amp;$C79&amp;"|"&amp;$D79&amp;"|"&amp;S$14&amp;"|"&amp;"CY2022Q4",Spectrum!$R:$R,0)),0),""))</f>
        <v>688</v>
      </c>
      <c r="T79" s="42">
        <f>IF(LEFT($B79,4)="_Mil","",_xlfn.IFNA(ROUND(INDEX(Spectrum!$N:$N,MATCH(RIGHT($B79,13)&amp;"|"&amp;$C79&amp;"|"&amp;$D79&amp;"|"&amp;T$14&amp;"|"&amp;"CY2023Q3",Spectrum!$R:$R,0)),0),""))</f>
        <v>1646</v>
      </c>
      <c r="U79" s="42" t="str">
        <f>IF(LEFT($B79,4)="_Mil","",_xlfn.IFNA(ROUND(INDEX(Spectrum!$N:$N,MATCH(RIGHT($B79,13)&amp;"|"&amp;$C79&amp;"|"&amp;$D79&amp;"|"&amp;U$14&amp;"|"&amp;"CY2023Q3",Spectrum!$R:$R,0)),0),""))</f>
        <v/>
      </c>
      <c r="V79" s="14">
        <f>IF(LEFT($B79,4)="_Mil","",_xlfn.IFNA(ROUND(INDEX(Spectrum!$N:$N,MATCH(RIGHT($B79,13)&amp;"|"&amp;$C79&amp;"|"&amp;$D79&amp;"|"&amp;V$14&amp;"|"&amp;"CY2023Q3",Spectrum!$R:$R,0)),0),""))</f>
        <v>1729</v>
      </c>
      <c r="W79" s="115">
        <f>IF(LEFT($B79,4)="_Mil","",_xlfn.IFNA(INDEX(Spectrum!$N:$N,MATCH(RIGHT($B79,13)&amp;"|"&amp;$C79&amp;"|"&amp;$D79&amp;"|"&amp;W$14&amp;"|"&amp;"CY2023Q3",Spectrum!$R:$R,0)),""))</f>
        <v>812</v>
      </c>
      <c r="X79" s="42">
        <f>IF(LEFT($B79,4)="_Mil","",_xlfn.IFNA(ROUND(INDEX(Spectrum!$N:$N,MATCH(RIGHT($B79,13)&amp;"|"&amp;$C79&amp;"|"&amp;$D79&amp;"|"&amp;X$14&amp;"|"&amp;"CY2023Q3",Spectrum!$R:$R,0)),0),""))</f>
        <v>1029</v>
      </c>
      <c r="Y79" s="90" t="str">
        <f t="shared" ref="Y79:Y142" si="29">IF(OR(SUM($U79)=0,LEFT($B79,4)="_Mil"),"",SUM($X79)/$U79)</f>
        <v/>
      </c>
      <c r="Z79" s="42">
        <f>IF(LEFT($B79,4)="_Mil","",_xlfn.IFNA(ROUND(INDEX(Spectrum!$N:$N,MATCH(RIGHT($B79,13)&amp;"|"&amp;$C79&amp;"|"&amp;$D79&amp;"|"&amp;Z$14&amp;"|"&amp;"CY2023Q3",Spectrum!$R:$R,0)),0),""))</f>
        <v>1500</v>
      </c>
      <c r="AA79" s="90">
        <f>IF(LEFT($B79,4)="_Mil","",IFERROR(1/(1/INDEX(Spectrum!$N:$N,MATCH(RIGHT($B79,13)&amp;"|"&amp;$C79&amp;"|"&amp;$D79&amp;"|"&amp;AA$14&amp;"|"&amp;"CY2023Q3",Spectrum!$R:$R,0))),IF(SUM($U79)=0,"",SUM($Z79)/$U79)))</f>
        <v>1656</v>
      </c>
      <c r="AB79" s="90">
        <f t="shared" ref="AB79:AB142" si="30">IF(OR(LEFT($B79,4)="_Mil",SUM($X79)=0),"",SUM($Z79)/$X79)</f>
        <v>1.4577259475218658</v>
      </c>
      <c r="AC79" s="14">
        <f>IF(LEFT($B79,4)="_Mil","",_xlfn.IFNA(ROUND(INDEX(Spectrum!$N:$N,MATCH(RIGHT($B79,13)&amp;"|"&amp;$C79&amp;"|"&amp;$D79&amp;"|"&amp;AC$14&amp;"|"&amp;"CY2023Q3",Spectrum!$R:$R,0)),0),""))</f>
        <v>1361</v>
      </c>
      <c r="AD79" s="14" t="str">
        <f>IF(LEFT($B79,4)="_Mil","",_xlfn.IFNA(ROUND(INDEX(Spectrum!$N:$N,MATCH(RIGHT($B79,13)&amp;"|"&amp;$C79&amp;"|"&amp;$D79&amp;"|"&amp;AD$14&amp;"|"&amp;"CY2023Q3",Spectrum!$R:$R,0)),0),""))</f>
        <v/>
      </c>
      <c r="AE79" s="90">
        <f t="shared" ref="AE79:AE142" si="31">IF(OR(LEFT($B79,4)="_Mil",SUM($Z79)=0),"",SUM($AD79)/$Z79)</f>
        <v>0</v>
      </c>
      <c r="AF79" s="42" t="str">
        <f>IF(LEFT($B79,4)="_Mil","",_xlfn.IFNA(ROUND(INDEX(Spectrum!$N:$N,MATCH(RIGHT($B79,13)&amp;"|"&amp;$C79&amp;"|"&amp;$D79&amp;"|"&amp;AF$14&amp;"|"&amp;"CY2023Q3",Spectrum!$R:$R,0)),0),""))</f>
        <v/>
      </c>
      <c r="AG79" s="90" t="str">
        <f t="shared" ref="AG79:AG142" si="32">IF(OR(LEFT($B79,4)="_Mil",SUM($AD79)=0),"",SUM($AF79)/$AD79)</f>
        <v/>
      </c>
      <c r="AH79" s="88" t="str">
        <f>IF(LEFT($B79,4)="_Mil","",_xlfn.IFNA(INDEX(Spectrum!$N:$N,MATCH(RIGHT($B79,13)&amp;"|"&amp;$C79&amp;"|"&amp;$D79&amp;"|"&amp;AH$14&amp;"|"&amp;"CY2023Q3",Spectrum!$R:$R,0)),""))</f>
        <v/>
      </c>
      <c r="AI79" s="14" t="str">
        <f>IF(LEFT($B79,4)="_Mil","",_xlfn.IFNA(ROUND(INDEX(Spectrum!$N:$N,MATCH(RIGHT($B79,13)&amp;"|"&amp;$C79&amp;"|"&amp;$D79&amp;"|"&amp;AI$14&amp;"|"&amp;"CY2023Q3",Spectrum!$R:$R,0)),0),""))</f>
        <v/>
      </c>
      <c r="AJ79" s="42">
        <f>IF(LEFT($B79,4)="_Mil","",_xlfn.IFNA(ROUND(INDEX(Spectrum!$N:$N,MATCH(RIGHT($B79,13)&amp;"|"&amp;$C79&amp;"|"&amp;$D79&amp;"|"&amp;AI$14&amp;"|"&amp;"CY2023Q3",Spectrum!$R:$R,0)),0),SUM($U79)+SUM($AI79)))</f>
        <v>0</v>
      </c>
      <c r="AK79" s="14" t="str">
        <f>IF(LEFT($B79,4)="_Mil","",_xlfn.IFNA(ROUND(INDEX(Spectrum!$N:$N,MATCH(RIGHT($B79,13)&amp;"|"&amp;$C79&amp;"|"&amp;$D79&amp;"|"&amp;AK$14&amp;"|"&amp;"CY2023Q3",Spectrum!$R:$R,0)),0),""))</f>
        <v/>
      </c>
      <c r="AL79" s="90">
        <f t="shared" ref="AL79:AL142" si="33">IF(OR(LEFT($B79,4)="_Mil",$C79="&lt;01"),"",MAX(SUM($AA79),90%))</f>
        <v>1656</v>
      </c>
      <c r="AM79" s="14">
        <f t="shared" ref="AM79:AM142" si="34">IF(OR(LEFT($B79,4)="_Mil",$C79="&lt;01"),"",ROUND(SUM($AJ79)*SUM($AL79),0))</f>
        <v>0</v>
      </c>
      <c r="AN79" s="14" t="str">
        <f>IF($C79="&lt;01",ROUND(INDEX(EID!$P:$P,MATCH($B79,EID!$B:$B,0))/2,0),"")</f>
        <v/>
      </c>
      <c r="AO79" s="14">
        <f t="shared" ref="AO79:AO142" si="35">IF($C79="&lt;01",SUM($AN79),ROUND(SUM($AM79)*SUM($O79)/IF(SUM($Z79)=0,1,$Z79),0))</f>
        <v>0</v>
      </c>
      <c r="AP79" s="42">
        <f t="shared" ref="AP79:AP142" si="36">IF(OR($F79="",$C79="&lt;01"),$AO79,$F79)</f>
        <v>0</v>
      </c>
      <c r="AQ79" s="42">
        <f t="shared" ref="AQ79:AQ142" si="37">IF(LEFT($B79,4)="_Mil","",IF(SUM($AP79)=0,SUM($Z79),IF(OR(SUM($Z79)=0,SUM($O79)=0),MAX($AP79,$Z79),$AP79*$Z79/$O79)))</f>
        <v>1500</v>
      </c>
      <c r="AR79" s="90" t="str">
        <f t="shared" ref="AR79:AR142" si="38">IF(OR(LEFT($B79,4)="_Mil",SUM($AJ79)=0),"",SUM($AQ79)/$AJ79)</f>
        <v/>
      </c>
      <c r="AS79" s="90">
        <f t="shared" si="25"/>
        <v>0.98</v>
      </c>
      <c r="AT79" s="90">
        <f t="shared" si="25"/>
        <v>0.98</v>
      </c>
      <c r="AU79" s="14">
        <f t="shared" ref="AU79:AU142" si="39">IF($C79="&lt;01","",SUM($AP79)-SUM($O79))</f>
        <v>0</v>
      </c>
      <c r="AV79" s="14">
        <f>IF($C79="&lt;01",ROUND(INDEX(EID!$N:$N,MATCH($B79,EID!$B:$B,0))/2,0),IF(SUM($AT79)=0,"",ROUND((SUM($AP79)-(SUM($O79)*SUM($AS79)))/$AT79,0)))</f>
        <v>0</v>
      </c>
      <c r="AW79" s="90">
        <f t="shared" ref="AW79:AW142" si="40">IF($C79="&lt;01","",100%)</f>
        <v>1</v>
      </c>
      <c r="AX79" s="42">
        <f t="shared" ref="AX79:AX142" si="41">IF($C79="&lt;01",SUM($AV79),ROUND(SUM($AV79)*SUM($AW79),0))</f>
        <v>0</v>
      </c>
      <c r="AY79" s="116">
        <f t="shared" ref="AY79:AY142" si="42">IF($C79="&lt;01","",70%)</f>
        <v>0.7</v>
      </c>
      <c r="AZ79" s="93">
        <f>IF($C79="&lt;01",ROUND(INDEX(EID!$R:$R,MATCH($B79,EID!$B:$B,0))/2,0),ROUND(SUM($O79)+(SUM($AV79)*$AY79),0))</f>
        <v>0</v>
      </c>
      <c r="BA79" s="89">
        <f t="shared" ref="BA79:BA142" si="43">IF($C79="&lt;01","",95%)</f>
        <v>0.95</v>
      </c>
      <c r="BB79" s="9">
        <f>IF($C79="&lt;01",ROUND(INDEX(EID!$T:$T,MATCH($B79,EID!$B:$B,0))/2,0),ROUND($AZ79*$BA79,0))</f>
        <v>0</v>
      </c>
      <c r="BC79" s="93">
        <f t="shared" ref="BC79:BC142" si="44">IF(LEFT($B79,4)="_Mil","",IF(SUM($BB79)=0,SUM($AD79),IF(OR(SUM($AP79)=0,SUM($AQ79)=0),MAX($BB79,$AD79),ROUND($BB79*$AQ79/$AP79,0))))</f>
        <v>0</v>
      </c>
      <c r="BD79" s="90">
        <f t="shared" ref="BD79:BD142" si="45">IF($C79="&lt;01","",95%)</f>
        <v>0.95</v>
      </c>
      <c r="BE79" s="42">
        <f>IF($C79="&lt;01",ROUND(INDEX(EID!$V:$V,MATCH($B79,EID!$B:$B,0))/2,0),ROUND($BD79*$BB79,0))</f>
        <v>0</v>
      </c>
      <c r="BF79" s="42">
        <f t="shared" ref="BF79:BF142" si="46">IF(LEFT($B79,4)="_Mil","",IF(SUM($BE79)=0,SUM($AF79),IF(OR(SUM($AP79)=0,SUM($AQ79)=0),MAX($BE79,$AF79),ROUND($BE79*$AQ79/$AP79,0))))</f>
        <v>0</v>
      </c>
      <c r="BG79" s="116">
        <f t="shared" ref="BG79:BG142" si="47">IF($C79="&lt;01","",95%)</f>
        <v>0.95</v>
      </c>
      <c r="BH79" s="9">
        <f>IF($C79="&lt;01",ROUND(INDEX(EID!$L:$L,MATCH($B79,EID!$B:$B,0)),0)/2,IF(SUM($BG79)=0,"",ROUND($AX79/$BG79,0)))</f>
        <v>0</v>
      </c>
    </row>
    <row r="80" spans="1:60" x14ac:dyDescent="0.2">
      <c r="A80" t="str">
        <f>INDEX(Prioritization!$D:$D,MATCH($B80,Prioritization!$A:$A,0))</f>
        <v>1 - Scale-up: Saturation</v>
      </c>
      <c r="B80" t="s">
        <v>197</v>
      </c>
      <c r="C80" t="s">
        <v>365</v>
      </c>
      <c r="D80" t="s">
        <v>47</v>
      </c>
      <c r="E80" t="str">
        <f t="shared" si="26"/>
        <v>Lilongwe District [ScR9iFKAasW]|25-34|Male</v>
      </c>
      <c r="F80" s="14"/>
      <c r="G80" s="14"/>
      <c r="H80" s="14"/>
      <c r="I80" s="14"/>
      <c r="J80" s="14"/>
      <c r="K80" s="14"/>
      <c r="L80" s="14"/>
      <c r="M80" s="14"/>
      <c r="N80" s="14"/>
      <c r="O80" s="14" t="str">
        <f t="shared" si="27"/>
        <v/>
      </c>
      <c r="P80" s="14"/>
      <c r="Q80" s="14"/>
      <c r="R80" s="14" t="str">
        <f t="shared" si="28"/>
        <v/>
      </c>
      <c r="S80" s="14">
        <f>IF(LEFT($B80,4)="_Mil","",_xlfn.IFNA(ROUND(INDEX(Spectrum!$N:$N,MATCH(RIGHT($B80,13)&amp;"|"&amp;$C80&amp;"|"&amp;$D80&amp;"|"&amp;S$14&amp;"|"&amp;"CY2022Q4",Spectrum!$R:$R,0)),0),""))</f>
        <v>1641</v>
      </c>
      <c r="T80" s="42">
        <f>IF(LEFT($B80,4)="_Mil","",_xlfn.IFNA(ROUND(INDEX(Spectrum!$N:$N,MATCH(RIGHT($B80,13)&amp;"|"&amp;$C80&amp;"|"&amp;$D80&amp;"|"&amp;T$14&amp;"|"&amp;"CY2023Q3",Spectrum!$R:$R,0)),0),""))</f>
        <v>1287</v>
      </c>
      <c r="U80" s="42" t="str">
        <f>IF(LEFT($B80,4)="_Mil","",_xlfn.IFNA(ROUND(INDEX(Spectrum!$N:$N,MATCH(RIGHT($B80,13)&amp;"|"&amp;$C80&amp;"|"&amp;$D80&amp;"|"&amp;U$14&amp;"|"&amp;"CY2023Q3",Spectrum!$R:$R,0)),0),""))</f>
        <v/>
      </c>
      <c r="V80" s="14">
        <f>IF(LEFT($B80,4)="_Mil","",_xlfn.IFNA(ROUND(INDEX(Spectrum!$N:$N,MATCH(RIGHT($B80,13)&amp;"|"&amp;$C80&amp;"|"&amp;$D80&amp;"|"&amp;V$14&amp;"|"&amp;"CY2023Q3",Spectrum!$R:$R,0)),0),""))</f>
        <v>503</v>
      </c>
      <c r="W80" s="115">
        <f>IF(LEFT($B80,4)="_Mil","",_xlfn.IFNA(INDEX(Spectrum!$N:$N,MATCH(RIGHT($B80,13)&amp;"|"&amp;$C80&amp;"|"&amp;$D80&amp;"|"&amp;W$14&amp;"|"&amp;"CY2023Q3",Spectrum!$R:$R,0)),""))</f>
        <v>1679</v>
      </c>
      <c r="X80" s="42">
        <f>IF(LEFT($B80,4)="_Mil","",_xlfn.IFNA(ROUND(INDEX(Spectrum!$N:$N,MATCH(RIGHT($B80,13)&amp;"|"&amp;$C80&amp;"|"&amp;$D80&amp;"|"&amp;X$14&amp;"|"&amp;"CY2023Q3",Spectrum!$R:$R,0)),0),""))</f>
        <v>1917</v>
      </c>
      <c r="Y80" s="90" t="str">
        <f t="shared" si="29"/>
        <v/>
      </c>
      <c r="Z80" s="42">
        <f>IF(LEFT($B80,4)="_Mil","",_xlfn.IFNA(ROUND(INDEX(Spectrum!$N:$N,MATCH(RIGHT($B80,13)&amp;"|"&amp;$C80&amp;"|"&amp;$D80&amp;"|"&amp;Z$14&amp;"|"&amp;"CY2023Q3",Spectrum!$R:$R,0)),0),""))</f>
        <v>1927</v>
      </c>
      <c r="AA80" s="90">
        <f>IF(LEFT($B80,4)="_Mil","",IFERROR(1/(1/INDEX(Spectrum!$N:$N,MATCH(RIGHT($B80,13)&amp;"|"&amp;$C80&amp;"|"&amp;$D80&amp;"|"&amp;AA$14&amp;"|"&amp;"CY2023Q3",Spectrum!$R:$R,0))),IF(SUM($U80)=0,"",SUM($Z80)/$U80)))</f>
        <v>1520</v>
      </c>
      <c r="AB80" s="90">
        <f t="shared" si="30"/>
        <v>1.0052164840897235</v>
      </c>
      <c r="AC80" s="14">
        <f>IF(LEFT($B80,4)="_Mil","",_xlfn.IFNA(ROUND(INDEX(Spectrum!$N:$N,MATCH(RIGHT($B80,13)&amp;"|"&amp;$C80&amp;"|"&amp;$D80&amp;"|"&amp;AC$14&amp;"|"&amp;"CY2023Q3",Spectrum!$R:$R,0)),0),""))</f>
        <v>1229</v>
      </c>
      <c r="AD80" s="14" t="str">
        <f>IF(LEFT($B80,4)="_Mil","",_xlfn.IFNA(ROUND(INDEX(Spectrum!$N:$N,MATCH(RIGHT($B80,13)&amp;"|"&amp;$C80&amp;"|"&amp;$D80&amp;"|"&amp;AD$14&amp;"|"&amp;"CY2023Q3",Spectrum!$R:$R,0)),0),""))</f>
        <v/>
      </c>
      <c r="AE80" s="90">
        <f t="shared" si="31"/>
        <v>0</v>
      </c>
      <c r="AF80" s="42" t="str">
        <f>IF(LEFT($B80,4)="_Mil","",_xlfn.IFNA(ROUND(INDEX(Spectrum!$N:$N,MATCH(RIGHT($B80,13)&amp;"|"&amp;$C80&amp;"|"&amp;$D80&amp;"|"&amp;AF$14&amp;"|"&amp;"CY2023Q3",Spectrum!$R:$R,0)),0),""))</f>
        <v/>
      </c>
      <c r="AG80" s="90" t="str">
        <f t="shared" si="32"/>
        <v/>
      </c>
      <c r="AH80" s="88" t="str">
        <f>IF(LEFT($B80,4)="_Mil","",_xlfn.IFNA(INDEX(Spectrum!$N:$N,MATCH(RIGHT($B80,13)&amp;"|"&amp;$C80&amp;"|"&amp;$D80&amp;"|"&amp;AH$14&amp;"|"&amp;"CY2023Q3",Spectrum!$R:$R,0)),""))</f>
        <v/>
      </c>
      <c r="AI80" s="14" t="str">
        <f>IF(LEFT($B80,4)="_Mil","",_xlfn.IFNA(ROUND(INDEX(Spectrum!$N:$N,MATCH(RIGHT($B80,13)&amp;"|"&amp;$C80&amp;"|"&amp;$D80&amp;"|"&amp;AI$14&amp;"|"&amp;"CY2023Q3",Spectrum!$R:$R,0)),0),""))</f>
        <v/>
      </c>
      <c r="AJ80" s="42">
        <f>IF(LEFT($B80,4)="_Mil","",_xlfn.IFNA(ROUND(INDEX(Spectrum!$N:$N,MATCH(RIGHT($B80,13)&amp;"|"&amp;$C80&amp;"|"&amp;$D80&amp;"|"&amp;AI$14&amp;"|"&amp;"CY2023Q3",Spectrum!$R:$R,0)),0),SUM($U80)+SUM($AI80)))</f>
        <v>0</v>
      </c>
      <c r="AK80" s="14" t="str">
        <f>IF(LEFT($B80,4)="_Mil","",_xlfn.IFNA(ROUND(INDEX(Spectrum!$N:$N,MATCH(RIGHT($B80,13)&amp;"|"&amp;$C80&amp;"|"&amp;$D80&amp;"|"&amp;AK$14&amp;"|"&amp;"CY2023Q3",Spectrum!$R:$R,0)),0),""))</f>
        <v/>
      </c>
      <c r="AL80" s="90">
        <f t="shared" si="33"/>
        <v>1520</v>
      </c>
      <c r="AM80" s="14">
        <f t="shared" si="34"/>
        <v>0</v>
      </c>
      <c r="AN80" s="14" t="str">
        <f>IF($C80="&lt;01",ROUND(INDEX(EID!$P:$P,MATCH($B80,EID!$B:$B,0))/2,0),"")</f>
        <v/>
      </c>
      <c r="AO80" s="14">
        <f t="shared" si="35"/>
        <v>0</v>
      </c>
      <c r="AP80" s="42">
        <f t="shared" si="36"/>
        <v>0</v>
      </c>
      <c r="AQ80" s="42">
        <f t="shared" si="37"/>
        <v>1927</v>
      </c>
      <c r="AR80" s="90" t="str">
        <f t="shared" si="38"/>
        <v/>
      </c>
      <c r="AS80" s="90">
        <f t="shared" si="25"/>
        <v>0.98</v>
      </c>
      <c r="AT80" s="90">
        <f t="shared" si="25"/>
        <v>0.98</v>
      </c>
      <c r="AU80" s="14">
        <f t="shared" si="39"/>
        <v>0</v>
      </c>
      <c r="AV80" s="14">
        <f>IF($C80="&lt;01",ROUND(INDEX(EID!$N:$N,MATCH($B80,EID!$B:$B,0))/2,0),IF(SUM($AT80)=0,"",ROUND((SUM($AP80)-(SUM($O80)*SUM($AS80)))/$AT80,0)))</f>
        <v>0</v>
      </c>
      <c r="AW80" s="90">
        <f t="shared" si="40"/>
        <v>1</v>
      </c>
      <c r="AX80" s="42">
        <f t="shared" si="41"/>
        <v>0</v>
      </c>
      <c r="AY80" s="116">
        <f t="shared" si="42"/>
        <v>0.7</v>
      </c>
      <c r="AZ80" s="93">
        <f>IF($C80="&lt;01",ROUND(INDEX(EID!$R:$R,MATCH($B80,EID!$B:$B,0))/2,0),ROUND(SUM($O80)+(SUM($AV80)*$AY80),0))</f>
        <v>0</v>
      </c>
      <c r="BA80" s="89">
        <f t="shared" si="43"/>
        <v>0.95</v>
      </c>
      <c r="BB80" s="9">
        <f>IF($C80="&lt;01",ROUND(INDEX(EID!$T:$T,MATCH($B80,EID!$B:$B,0))/2,0),ROUND($AZ80*$BA80,0))</f>
        <v>0</v>
      </c>
      <c r="BC80" s="93">
        <f t="shared" si="44"/>
        <v>0</v>
      </c>
      <c r="BD80" s="90">
        <f t="shared" si="45"/>
        <v>0.95</v>
      </c>
      <c r="BE80" s="42">
        <f>IF($C80="&lt;01",ROUND(INDEX(EID!$V:$V,MATCH($B80,EID!$B:$B,0))/2,0),ROUND($BD80*$BB80,0))</f>
        <v>0</v>
      </c>
      <c r="BF80" s="42">
        <f t="shared" si="46"/>
        <v>0</v>
      </c>
      <c r="BG80" s="116">
        <f t="shared" si="47"/>
        <v>0.95</v>
      </c>
      <c r="BH80" s="9">
        <f>IF($C80="&lt;01",ROUND(INDEX(EID!$L:$L,MATCH($B80,EID!$B:$B,0)),0)/2,IF(SUM($BG80)=0,"",ROUND($AX80/$BG80,0)))</f>
        <v>0</v>
      </c>
    </row>
    <row r="81" spans="1:60" x14ac:dyDescent="0.2">
      <c r="A81" t="str">
        <f>INDEX(Prioritization!$D:$D,MATCH($B81,Prioritization!$A:$A,0))</f>
        <v>1 - Scale-up: Saturation</v>
      </c>
      <c r="B81" t="s">
        <v>197</v>
      </c>
      <c r="C81" t="s">
        <v>366</v>
      </c>
      <c r="D81" t="s">
        <v>29</v>
      </c>
      <c r="E81" t="str">
        <f t="shared" si="26"/>
        <v>Lilongwe District [ScR9iFKAasW]|35-49|Female</v>
      </c>
      <c r="F81" s="14"/>
      <c r="G81" s="14"/>
      <c r="H81" s="14"/>
      <c r="I81" s="14"/>
      <c r="J81" s="14"/>
      <c r="K81" s="14"/>
      <c r="L81" s="14"/>
      <c r="M81" s="14"/>
      <c r="N81" s="14"/>
      <c r="O81" s="14" t="str">
        <f t="shared" si="27"/>
        <v/>
      </c>
      <c r="P81" s="14"/>
      <c r="Q81" s="14"/>
      <c r="R81" s="14" t="str">
        <f t="shared" si="28"/>
        <v/>
      </c>
      <c r="S81" s="14">
        <f>IF(LEFT($B81,4)="_Mil","",_xlfn.IFNA(ROUND(INDEX(Spectrum!$N:$N,MATCH(RIGHT($B81,13)&amp;"|"&amp;$C81&amp;"|"&amp;$D81&amp;"|"&amp;S$14&amp;"|"&amp;"CY2022Q4",Spectrum!$R:$R,0)),0),""))</f>
        <v>831</v>
      </c>
      <c r="T81" s="42">
        <f>IF(LEFT($B81,4)="_Mil","",_xlfn.IFNA(ROUND(INDEX(Spectrum!$N:$N,MATCH(RIGHT($B81,13)&amp;"|"&amp;$C81&amp;"|"&amp;$D81&amp;"|"&amp;T$14&amp;"|"&amp;"CY2023Q3",Spectrum!$R:$R,0)),0),""))</f>
        <v>1574</v>
      </c>
      <c r="U81" s="42" t="str">
        <f>IF(LEFT($B81,4)="_Mil","",_xlfn.IFNA(ROUND(INDEX(Spectrum!$N:$N,MATCH(RIGHT($B81,13)&amp;"|"&amp;$C81&amp;"|"&amp;$D81&amp;"|"&amp;U$14&amp;"|"&amp;"CY2023Q3",Spectrum!$R:$R,0)),0),""))</f>
        <v/>
      </c>
      <c r="V81" s="14">
        <f>IF(LEFT($B81,4)="_Mil","",_xlfn.IFNA(ROUND(INDEX(Spectrum!$N:$N,MATCH(RIGHT($B81,13)&amp;"|"&amp;$C81&amp;"|"&amp;$D81&amp;"|"&amp;V$14&amp;"|"&amp;"CY2023Q3",Spectrum!$R:$R,0)),0),""))</f>
        <v>1815</v>
      </c>
      <c r="W81" s="115">
        <f>IF(LEFT($B81,4)="_Mil","",_xlfn.IFNA(INDEX(Spectrum!$N:$N,MATCH(RIGHT($B81,13)&amp;"|"&amp;$C81&amp;"|"&amp;$D81&amp;"|"&amp;W$14&amp;"|"&amp;"CY2023Q3",Spectrum!$R:$R,0)),""))</f>
        <v>1781</v>
      </c>
      <c r="X81" s="42">
        <f>IF(LEFT($B81,4)="_Mil","",_xlfn.IFNA(ROUND(INDEX(Spectrum!$N:$N,MATCH(RIGHT($B81,13)&amp;"|"&amp;$C81&amp;"|"&amp;$D81&amp;"|"&amp;X$14&amp;"|"&amp;"CY2023Q3",Spectrum!$R:$R,0)),0),""))</f>
        <v>1923</v>
      </c>
      <c r="Y81" s="90" t="str">
        <f t="shared" si="29"/>
        <v/>
      </c>
      <c r="Z81" s="42">
        <f>IF(LEFT($B81,4)="_Mil","",_xlfn.IFNA(ROUND(INDEX(Spectrum!$N:$N,MATCH(RIGHT($B81,13)&amp;"|"&amp;$C81&amp;"|"&amp;$D81&amp;"|"&amp;Z$14&amp;"|"&amp;"CY2023Q3",Spectrum!$R:$R,0)),0),""))</f>
        <v>1104</v>
      </c>
      <c r="AA81" s="90">
        <f>IF(LEFT($B81,4)="_Mil","",IFERROR(1/(1/INDEX(Spectrum!$N:$N,MATCH(RIGHT($B81,13)&amp;"|"&amp;$C81&amp;"|"&amp;$D81&amp;"|"&amp;AA$14&amp;"|"&amp;"CY2023Q3",Spectrum!$R:$R,0))),IF(SUM($U81)=0,"",SUM($Z81)/$U81)))</f>
        <v>1181</v>
      </c>
      <c r="AB81" s="90">
        <f t="shared" si="30"/>
        <v>0.57410296411856476</v>
      </c>
      <c r="AC81" s="14">
        <f>IF(LEFT($B81,4)="_Mil","",_xlfn.IFNA(ROUND(INDEX(Spectrum!$N:$N,MATCH(RIGHT($B81,13)&amp;"|"&amp;$C81&amp;"|"&amp;$D81&amp;"|"&amp;AC$14&amp;"|"&amp;"CY2023Q3",Spectrum!$R:$R,0)),0),""))</f>
        <v>1470</v>
      </c>
      <c r="AD81" s="14" t="str">
        <f>IF(LEFT($B81,4)="_Mil","",_xlfn.IFNA(ROUND(INDEX(Spectrum!$N:$N,MATCH(RIGHT($B81,13)&amp;"|"&amp;$C81&amp;"|"&amp;$D81&amp;"|"&amp;AD$14&amp;"|"&amp;"CY2023Q3",Spectrum!$R:$R,0)),0),""))</f>
        <v/>
      </c>
      <c r="AE81" s="90">
        <f t="shared" si="31"/>
        <v>0</v>
      </c>
      <c r="AF81" s="42" t="str">
        <f>IF(LEFT($B81,4)="_Mil","",_xlfn.IFNA(ROUND(INDEX(Spectrum!$N:$N,MATCH(RIGHT($B81,13)&amp;"|"&amp;$C81&amp;"|"&amp;$D81&amp;"|"&amp;AF$14&amp;"|"&amp;"CY2023Q3",Spectrum!$R:$R,0)),0),""))</f>
        <v/>
      </c>
      <c r="AG81" s="90" t="str">
        <f t="shared" si="32"/>
        <v/>
      </c>
      <c r="AH81" s="88" t="str">
        <f>IF(LEFT($B81,4)="_Mil","",_xlfn.IFNA(INDEX(Spectrum!$N:$N,MATCH(RIGHT($B81,13)&amp;"|"&amp;$C81&amp;"|"&amp;$D81&amp;"|"&amp;AH$14&amp;"|"&amp;"CY2023Q3",Spectrum!$R:$R,0)),""))</f>
        <v/>
      </c>
      <c r="AI81" s="14" t="str">
        <f>IF(LEFT($B81,4)="_Mil","",_xlfn.IFNA(ROUND(INDEX(Spectrum!$N:$N,MATCH(RIGHT($B81,13)&amp;"|"&amp;$C81&amp;"|"&amp;$D81&amp;"|"&amp;AI$14&amp;"|"&amp;"CY2023Q3",Spectrum!$R:$R,0)),0),""))</f>
        <v/>
      </c>
      <c r="AJ81" s="42">
        <f>IF(LEFT($B81,4)="_Mil","",_xlfn.IFNA(ROUND(INDEX(Spectrum!$N:$N,MATCH(RIGHT($B81,13)&amp;"|"&amp;$C81&amp;"|"&amp;$D81&amp;"|"&amp;AI$14&amp;"|"&amp;"CY2023Q3",Spectrum!$R:$R,0)),0),SUM($U81)+SUM($AI81)))</f>
        <v>0</v>
      </c>
      <c r="AK81" s="14" t="str">
        <f>IF(LEFT($B81,4)="_Mil","",_xlfn.IFNA(ROUND(INDEX(Spectrum!$N:$N,MATCH(RIGHT($B81,13)&amp;"|"&amp;$C81&amp;"|"&amp;$D81&amp;"|"&amp;AK$14&amp;"|"&amp;"CY2023Q3",Spectrum!$R:$R,0)),0),""))</f>
        <v/>
      </c>
      <c r="AL81" s="90">
        <f t="shared" si="33"/>
        <v>1181</v>
      </c>
      <c r="AM81" s="14">
        <f t="shared" si="34"/>
        <v>0</v>
      </c>
      <c r="AN81" s="14" t="str">
        <f>IF($C81="&lt;01",ROUND(INDEX(EID!$P:$P,MATCH($B81,EID!$B:$B,0))/2,0),"")</f>
        <v/>
      </c>
      <c r="AO81" s="14">
        <f t="shared" si="35"/>
        <v>0</v>
      </c>
      <c r="AP81" s="42">
        <f t="shared" si="36"/>
        <v>0</v>
      </c>
      <c r="AQ81" s="42">
        <f t="shared" si="37"/>
        <v>1104</v>
      </c>
      <c r="AR81" s="90" t="str">
        <f t="shared" si="38"/>
        <v/>
      </c>
      <c r="AS81" s="90">
        <f t="shared" si="25"/>
        <v>0.98</v>
      </c>
      <c r="AT81" s="90">
        <f t="shared" si="25"/>
        <v>0.98</v>
      </c>
      <c r="AU81" s="14">
        <f t="shared" si="39"/>
        <v>0</v>
      </c>
      <c r="AV81" s="14">
        <f>IF($C81="&lt;01",ROUND(INDEX(EID!$N:$N,MATCH($B81,EID!$B:$B,0))/2,0),IF(SUM($AT81)=0,"",ROUND((SUM($AP81)-(SUM($O81)*SUM($AS81)))/$AT81,0)))</f>
        <v>0</v>
      </c>
      <c r="AW81" s="90">
        <f t="shared" si="40"/>
        <v>1</v>
      </c>
      <c r="AX81" s="42">
        <f t="shared" si="41"/>
        <v>0</v>
      </c>
      <c r="AY81" s="116">
        <f t="shared" si="42"/>
        <v>0.7</v>
      </c>
      <c r="AZ81" s="93">
        <f>IF($C81="&lt;01",ROUND(INDEX(EID!$R:$R,MATCH($B81,EID!$B:$B,0))/2,0),ROUND(SUM($O81)+(SUM($AV81)*$AY81),0))</f>
        <v>0</v>
      </c>
      <c r="BA81" s="89">
        <f t="shared" si="43"/>
        <v>0.95</v>
      </c>
      <c r="BB81" s="9">
        <f>IF($C81="&lt;01",ROUND(INDEX(EID!$T:$T,MATCH($B81,EID!$B:$B,0))/2,0),ROUND($AZ81*$BA81,0))</f>
        <v>0</v>
      </c>
      <c r="BC81" s="93">
        <f t="shared" si="44"/>
        <v>0</v>
      </c>
      <c r="BD81" s="90">
        <f t="shared" si="45"/>
        <v>0.95</v>
      </c>
      <c r="BE81" s="42">
        <f>IF($C81="&lt;01",ROUND(INDEX(EID!$V:$V,MATCH($B81,EID!$B:$B,0))/2,0),ROUND($BD81*$BB81,0))</f>
        <v>0</v>
      </c>
      <c r="BF81" s="42">
        <f t="shared" si="46"/>
        <v>0</v>
      </c>
      <c r="BG81" s="116">
        <f t="shared" si="47"/>
        <v>0.95</v>
      </c>
      <c r="BH81" s="9">
        <f>IF($C81="&lt;01",ROUND(INDEX(EID!$L:$L,MATCH($B81,EID!$B:$B,0)),0)/2,IF(SUM($BG81)=0,"",ROUND($AX81/$BG81,0)))</f>
        <v>0</v>
      </c>
    </row>
    <row r="82" spans="1:60" x14ac:dyDescent="0.2">
      <c r="A82" t="str">
        <f>INDEX(Prioritization!$D:$D,MATCH($B82,Prioritization!$A:$A,0))</f>
        <v>1 - Scale-up: Saturation</v>
      </c>
      <c r="B82" t="s">
        <v>197</v>
      </c>
      <c r="C82" t="s">
        <v>366</v>
      </c>
      <c r="D82" t="s">
        <v>47</v>
      </c>
      <c r="E82" t="str">
        <f t="shared" si="26"/>
        <v>Lilongwe District [ScR9iFKAasW]|35-49|Male</v>
      </c>
      <c r="F82" s="14"/>
      <c r="G82" s="14"/>
      <c r="H82" s="14"/>
      <c r="I82" s="14"/>
      <c r="J82" s="14"/>
      <c r="K82" s="14"/>
      <c r="L82" s="14"/>
      <c r="M82" s="14"/>
      <c r="N82" s="14"/>
      <c r="O82" s="14" t="str">
        <f t="shared" si="27"/>
        <v/>
      </c>
      <c r="P82" s="14"/>
      <c r="Q82" s="14"/>
      <c r="R82" s="14" t="str">
        <f t="shared" si="28"/>
        <v/>
      </c>
      <c r="S82" s="14">
        <f>IF(LEFT($B82,4)="_Mil","",_xlfn.IFNA(ROUND(INDEX(Spectrum!$N:$N,MATCH(RIGHT($B82,13)&amp;"|"&amp;$C82&amp;"|"&amp;$D82&amp;"|"&amp;S$14&amp;"|"&amp;"CY2022Q4",Spectrum!$R:$R,0)),0),""))</f>
        <v>1714</v>
      </c>
      <c r="T82" s="42">
        <f>IF(LEFT($B82,4)="_Mil","",_xlfn.IFNA(ROUND(INDEX(Spectrum!$N:$N,MATCH(RIGHT($B82,13)&amp;"|"&amp;$C82&amp;"|"&amp;$D82&amp;"|"&amp;T$14&amp;"|"&amp;"CY2023Q3",Spectrum!$R:$R,0)),0),""))</f>
        <v>1945</v>
      </c>
      <c r="U82" s="42" t="str">
        <f>IF(LEFT($B82,4)="_Mil","",_xlfn.IFNA(ROUND(INDEX(Spectrum!$N:$N,MATCH(RIGHT($B82,13)&amp;"|"&amp;$C82&amp;"|"&amp;$D82&amp;"|"&amp;U$14&amp;"|"&amp;"CY2023Q3",Spectrum!$R:$R,0)),0),""))</f>
        <v/>
      </c>
      <c r="V82" s="14">
        <f>IF(LEFT($B82,4)="_Mil","",_xlfn.IFNA(ROUND(INDEX(Spectrum!$N:$N,MATCH(RIGHT($B82,13)&amp;"|"&amp;$C82&amp;"|"&amp;$D82&amp;"|"&amp;V$14&amp;"|"&amp;"CY2023Q3",Spectrum!$R:$R,0)),0),""))</f>
        <v>1265</v>
      </c>
      <c r="W82" s="115">
        <f>IF(LEFT($B82,4)="_Mil","",_xlfn.IFNA(INDEX(Spectrum!$N:$N,MATCH(RIGHT($B82,13)&amp;"|"&amp;$C82&amp;"|"&amp;$D82&amp;"|"&amp;W$14&amp;"|"&amp;"CY2023Q3",Spectrum!$R:$R,0)),""))</f>
        <v>727</v>
      </c>
      <c r="X82" s="42">
        <f>IF(LEFT($B82,4)="_Mil","",_xlfn.IFNA(ROUND(INDEX(Spectrum!$N:$N,MATCH(RIGHT($B82,13)&amp;"|"&amp;$C82&amp;"|"&amp;$D82&amp;"|"&amp;X$14&amp;"|"&amp;"CY2023Q3",Spectrum!$R:$R,0)),0),""))</f>
        <v>1757</v>
      </c>
      <c r="Y82" s="90" t="str">
        <f t="shared" si="29"/>
        <v/>
      </c>
      <c r="Z82" s="42">
        <f>IF(LEFT($B82,4)="_Mil","",_xlfn.IFNA(ROUND(INDEX(Spectrum!$N:$N,MATCH(RIGHT($B82,13)&amp;"|"&amp;$C82&amp;"|"&amp;$D82&amp;"|"&amp;Z$14&amp;"|"&amp;"CY2023Q3",Spectrum!$R:$R,0)),0),""))</f>
        <v>1900</v>
      </c>
      <c r="AA82" s="90">
        <f>IF(LEFT($B82,4)="_Mil","",IFERROR(1/(1/INDEX(Spectrum!$N:$N,MATCH(RIGHT($B82,13)&amp;"|"&amp;$C82&amp;"|"&amp;$D82&amp;"|"&amp;AA$14&amp;"|"&amp;"CY2023Q3",Spectrum!$R:$R,0))),IF(SUM($U82)=0,"",SUM($Z82)/$U82)))</f>
        <v>1735</v>
      </c>
      <c r="AB82" s="90">
        <f t="shared" si="30"/>
        <v>1.0813887307911212</v>
      </c>
      <c r="AC82" s="14">
        <f>IF(LEFT($B82,4)="_Mil","",_xlfn.IFNA(ROUND(INDEX(Spectrum!$N:$N,MATCH(RIGHT($B82,13)&amp;"|"&amp;$C82&amp;"|"&amp;$D82&amp;"|"&amp;AC$14&amp;"|"&amp;"CY2023Q3",Spectrum!$R:$R,0)),0),""))</f>
        <v>772</v>
      </c>
      <c r="AD82" s="14" t="str">
        <f>IF(LEFT($B82,4)="_Mil","",_xlfn.IFNA(ROUND(INDEX(Spectrum!$N:$N,MATCH(RIGHT($B82,13)&amp;"|"&amp;$C82&amp;"|"&amp;$D82&amp;"|"&amp;AD$14&amp;"|"&amp;"CY2023Q3",Spectrum!$R:$R,0)),0),""))</f>
        <v/>
      </c>
      <c r="AE82" s="90">
        <f t="shared" si="31"/>
        <v>0</v>
      </c>
      <c r="AF82" s="42" t="str">
        <f>IF(LEFT($B82,4)="_Mil","",_xlfn.IFNA(ROUND(INDEX(Spectrum!$N:$N,MATCH(RIGHT($B82,13)&amp;"|"&amp;$C82&amp;"|"&amp;$D82&amp;"|"&amp;AF$14&amp;"|"&amp;"CY2023Q3",Spectrum!$R:$R,0)),0),""))</f>
        <v/>
      </c>
      <c r="AG82" s="90" t="str">
        <f t="shared" si="32"/>
        <v/>
      </c>
      <c r="AH82" s="88" t="str">
        <f>IF(LEFT($B82,4)="_Mil","",_xlfn.IFNA(INDEX(Spectrum!$N:$N,MATCH(RIGHT($B82,13)&amp;"|"&amp;$C82&amp;"|"&amp;$D82&amp;"|"&amp;AH$14&amp;"|"&amp;"CY2023Q3",Spectrum!$R:$R,0)),""))</f>
        <v/>
      </c>
      <c r="AI82" s="14" t="str">
        <f>IF(LEFT($B82,4)="_Mil","",_xlfn.IFNA(ROUND(INDEX(Spectrum!$N:$N,MATCH(RIGHT($B82,13)&amp;"|"&amp;$C82&amp;"|"&amp;$D82&amp;"|"&amp;AI$14&amp;"|"&amp;"CY2023Q3",Spectrum!$R:$R,0)),0),""))</f>
        <v/>
      </c>
      <c r="AJ82" s="42">
        <f>IF(LEFT($B82,4)="_Mil","",_xlfn.IFNA(ROUND(INDEX(Spectrum!$N:$N,MATCH(RIGHT($B82,13)&amp;"|"&amp;$C82&amp;"|"&amp;$D82&amp;"|"&amp;AI$14&amp;"|"&amp;"CY2023Q3",Spectrum!$R:$R,0)),0),SUM($U82)+SUM($AI82)))</f>
        <v>0</v>
      </c>
      <c r="AK82" s="14" t="str">
        <f>IF(LEFT($B82,4)="_Mil","",_xlfn.IFNA(ROUND(INDEX(Spectrum!$N:$N,MATCH(RIGHT($B82,13)&amp;"|"&amp;$C82&amp;"|"&amp;$D82&amp;"|"&amp;AK$14&amp;"|"&amp;"CY2023Q3",Spectrum!$R:$R,0)),0),""))</f>
        <v/>
      </c>
      <c r="AL82" s="90">
        <f t="shared" si="33"/>
        <v>1735</v>
      </c>
      <c r="AM82" s="14">
        <f t="shared" si="34"/>
        <v>0</v>
      </c>
      <c r="AN82" s="14" t="str">
        <f>IF($C82="&lt;01",ROUND(INDEX(EID!$P:$P,MATCH($B82,EID!$B:$B,0))/2,0),"")</f>
        <v/>
      </c>
      <c r="AO82" s="14">
        <f t="shared" si="35"/>
        <v>0</v>
      </c>
      <c r="AP82" s="42">
        <f t="shared" si="36"/>
        <v>0</v>
      </c>
      <c r="AQ82" s="42">
        <f t="shared" si="37"/>
        <v>1900</v>
      </c>
      <c r="AR82" s="90" t="str">
        <f t="shared" si="38"/>
        <v/>
      </c>
      <c r="AS82" s="90">
        <f t="shared" si="25"/>
        <v>0.98</v>
      </c>
      <c r="AT82" s="90">
        <f t="shared" si="25"/>
        <v>0.98</v>
      </c>
      <c r="AU82" s="14">
        <f t="shared" si="39"/>
        <v>0</v>
      </c>
      <c r="AV82" s="14">
        <f>IF($C82="&lt;01",ROUND(INDEX(EID!$N:$N,MATCH($B82,EID!$B:$B,0))/2,0),IF(SUM($AT82)=0,"",ROUND((SUM($AP82)-(SUM($O82)*SUM($AS82)))/$AT82,0)))</f>
        <v>0</v>
      </c>
      <c r="AW82" s="90">
        <f t="shared" si="40"/>
        <v>1</v>
      </c>
      <c r="AX82" s="42">
        <f t="shared" si="41"/>
        <v>0</v>
      </c>
      <c r="AY82" s="116">
        <f t="shared" si="42"/>
        <v>0.7</v>
      </c>
      <c r="AZ82" s="93">
        <f>IF($C82="&lt;01",ROUND(INDEX(EID!$R:$R,MATCH($B82,EID!$B:$B,0))/2,0),ROUND(SUM($O82)+(SUM($AV82)*$AY82),0))</f>
        <v>0</v>
      </c>
      <c r="BA82" s="89">
        <f t="shared" si="43"/>
        <v>0.95</v>
      </c>
      <c r="BB82" s="9">
        <f>IF($C82="&lt;01",ROUND(INDEX(EID!$T:$T,MATCH($B82,EID!$B:$B,0))/2,0),ROUND($AZ82*$BA82,0))</f>
        <v>0</v>
      </c>
      <c r="BC82" s="93">
        <f t="shared" si="44"/>
        <v>0</v>
      </c>
      <c r="BD82" s="90">
        <f t="shared" si="45"/>
        <v>0.95</v>
      </c>
      <c r="BE82" s="42">
        <f>IF($C82="&lt;01",ROUND(INDEX(EID!$V:$V,MATCH($B82,EID!$B:$B,0))/2,0),ROUND($BD82*$BB82,0))</f>
        <v>0</v>
      </c>
      <c r="BF82" s="42">
        <f t="shared" si="46"/>
        <v>0</v>
      </c>
      <c r="BG82" s="116">
        <f t="shared" si="47"/>
        <v>0.95</v>
      </c>
      <c r="BH82" s="9">
        <f>IF($C82="&lt;01",ROUND(INDEX(EID!$L:$L,MATCH($B82,EID!$B:$B,0)),0)/2,IF(SUM($BG82)=0,"",ROUND($AX82/$BG82,0)))</f>
        <v>0</v>
      </c>
    </row>
    <row r="83" spans="1:60" x14ac:dyDescent="0.2">
      <c r="A83" t="str">
        <f>INDEX(Prioritization!$D:$D,MATCH($B83,Prioritization!$A:$A,0))</f>
        <v>1 - Scale-up: Saturation</v>
      </c>
      <c r="B83" t="s">
        <v>197</v>
      </c>
      <c r="C83" t="s">
        <v>367</v>
      </c>
      <c r="D83" t="s">
        <v>29</v>
      </c>
      <c r="E83" t="str">
        <f t="shared" si="26"/>
        <v>Lilongwe District [ScR9iFKAasW]|50+|Female</v>
      </c>
      <c r="F83" s="14"/>
      <c r="G83" s="14"/>
      <c r="H83" s="14"/>
      <c r="I83" s="14"/>
      <c r="J83" s="14"/>
      <c r="K83" s="14"/>
      <c r="L83" s="14"/>
      <c r="M83" s="14"/>
      <c r="N83" s="14"/>
      <c r="O83" s="14" t="str">
        <f t="shared" si="27"/>
        <v/>
      </c>
      <c r="P83" s="14"/>
      <c r="Q83" s="14"/>
      <c r="R83" s="14" t="str">
        <f t="shared" si="28"/>
        <v/>
      </c>
      <c r="S83" s="14">
        <f>IF(LEFT($B83,4)="_Mil","",_xlfn.IFNA(ROUND(INDEX(Spectrum!$N:$N,MATCH(RIGHT($B83,13)&amp;"|"&amp;$C83&amp;"|"&amp;$D83&amp;"|"&amp;S$14&amp;"|"&amp;"CY2022Q4",Spectrum!$R:$R,0)),0),""))</f>
        <v>523</v>
      </c>
      <c r="T83" s="42">
        <f>IF(LEFT($B83,4)="_Mil","",_xlfn.IFNA(ROUND(INDEX(Spectrum!$N:$N,MATCH(RIGHT($B83,13)&amp;"|"&amp;$C83&amp;"|"&amp;$D83&amp;"|"&amp;T$14&amp;"|"&amp;"CY2023Q3",Spectrum!$R:$R,0)),0),""))</f>
        <v>1581</v>
      </c>
      <c r="U83" s="42" t="str">
        <f>IF(LEFT($B83,4)="_Mil","",_xlfn.IFNA(ROUND(INDEX(Spectrum!$N:$N,MATCH(RIGHT($B83,13)&amp;"|"&amp;$C83&amp;"|"&amp;$D83&amp;"|"&amp;U$14&amp;"|"&amp;"CY2023Q3",Spectrum!$R:$R,0)),0),""))</f>
        <v/>
      </c>
      <c r="V83" s="14">
        <f>IF(LEFT($B83,4)="_Mil","",_xlfn.IFNA(ROUND(INDEX(Spectrum!$N:$N,MATCH(RIGHT($B83,13)&amp;"|"&amp;$C83&amp;"|"&amp;$D83&amp;"|"&amp;V$14&amp;"|"&amp;"CY2023Q3",Spectrum!$R:$R,0)),0),""))</f>
        <v>1294</v>
      </c>
      <c r="W83" s="115">
        <f>IF(LEFT($B83,4)="_Mil","",_xlfn.IFNA(INDEX(Spectrum!$N:$N,MATCH(RIGHT($B83,13)&amp;"|"&amp;$C83&amp;"|"&amp;$D83&amp;"|"&amp;W$14&amp;"|"&amp;"CY2023Q3",Spectrum!$R:$R,0)),""))</f>
        <v>1836</v>
      </c>
      <c r="X83" s="42">
        <f>IF(LEFT($B83,4)="_Mil","",_xlfn.IFNA(ROUND(INDEX(Spectrum!$N:$N,MATCH(RIGHT($B83,13)&amp;"|"&amp;$C83&amp;"|"&amp;$D83&amp;"|"&amp;X$14&amp;"|"&amp;"CY2023Q3",Spectrum!$R:$R,0)),0),""))</f>
        <v>937</v>
      </c>
      <c r="Y83" s="90" t="str">
        <f t="shared" si="29"/>
        <v/>
      </c>
      <c r="Z83" s="42">
        <f>IF(LEFT($B83,4)="_Mil","",_xlfn.IFNA(ROUND(INDEX(Spectrum!$N:$N,MATCH(RIGHT($B83,13)&amp;"|"&amp;$C83&amp;"|"&amp;$D83&amp;"|"&amp;Z$14&amp;"|"&amp;"CY2023Q3",Spectrum!$R:$R,0)),0),""))</f>
        <v>1370</v>
      </c>
      <c r="AA83" s="90">
        <f>IF(LEFT($B83,4)="_Mil","",IFERROR(1/(1/INDEX(Spectrum!$N:$N,MATCH(RIGHT($B83,13)&amp;"|"&amp;$C83&amp;"|"&amp;$D83&amp;"|"&amp;AA$14&amp;"|"&amp;"CY2023Q3",Spectrum!$R:$R,0))),IF(SUM($U83)=0,"",SUM($Z83)/$U83)))</f>
        <v>1925</v>
      </c>
      <c r="AB83" s="90">
        <f t="shared" si="30"/>
        <v>1.4621131270010672</v>
      </c>
      <c r="AC83" s="14">
        <f>IF(LEFT($B83,4)="_Mil","",_xlfn.IFNA(ROUND(INDEX(Spectrum!$N:$N,MATCH(RIGHT($B83,13)&amp;"|"&amp;$C83&amp;"|"&amp;$D83&amp;"|"&amp;AC$14&amp;"|"&amp;"CY2023Q3",Spectrum!$R:$R,0)),0),""))</f>
        <v>1294</v>
      </c>
      <c r="AD83" s="14" t="str">
        <f>IF(LEFT($B83,4)="_Mil","",_xlfn.IFNA(ROUND(INDEX(Spectrum!$N:$N,MATCH(RIGHT($B83,13)&amp;"|"&amp;$C83&amp;"|"&amp;$D83&amp;"|"&amp;AD$14&amp;"|"&amp;"CY2023Q3",Spectrum!$R:$R,0)),0),""))</f>
        <v/>
      </c>
      <c r="AE83" s="90">
        <f t="shared" si="31"/>
        <v>0</v>
      </c>
      <c r="AF83" s="42" t="str">
        <f>IF(LEFT($B83,4)="_Mil","",_xlfn.IFNA(ROUND(INDEX(Spectrum!$N:$N,MATCH(RIGHT($B83,13)&amp;"|"&amp;$C83&amp;"|"&amp;$D83&amp;"|"&amp;AF$14&amp;"|"&amp;"CY2023Q3",Spectrum!$R:$R,0)),0),""))</f>
        <v/>
      </c>
      <c r="AG83" s="90" t="str">
        <f t="shared" si="32"/>
        <v/>
      </c>
      <c r="AH83" s="88" t="str">
        <f>IF(LEFT($B83,4)="_Mil","",_xlfn.IFNA(INDEX(Spectrum!$N:$N,MATCH(RIGHT($B83,13)&amp;"|"&amp;$C83&amp;"|"&amp;$D83&amp;"|"&amp;AH$14&amp;"|"&amp;"CY2023Q3",Spectrum!$R:$R,0)),""))</f>
        <v/>
      </c>
      <c r="AI83" s="14" t="str">
        <f>IF(LEFT($B83,4)="_Mil","",_xlfn.IFNA(ROUND(INDEX(Spectrum!$N:$N,MATCH(RIGHT($B83,13)&amp;"|"&amp;$C83&amp;"|"&amp;$D83&amp;"|"&amp;AI$14&amp;"|"&amp;"CY2023Q3",Spectrum!$R:$R,0)),0),""))</f>
        <v/>
      </c>
      <c r="AJ83" s="42">
        <f>IF(LEFT($B83,4)="_Mil","",_xlfn.IFNA(ROUND(INDEX(Spectrum!$N:$N,MATCH(RIGHT($B83,13)&amp;"|"&amp;$C83&amp;"|"&amp;$D83&amp;"|"&amp;AI$14&amp;"|"&amp;"CY2023Q3",Spectrum!$R:$R,0)),0),SUM($U83)+SUM($AI83)))</f>
        <v>0</v>
      </c>
      <c r="AK83" s="14" t="str">
        <f>IF(LEFT($B83,4)="_Mil","",_xlfn.IFNA(ROUND(INDEX(Spectrum!$N:$N,MATCH(RIGHT($B83,13)&amp;"|"&amp;$C83&amp;"|"&amp;$D83&amp;"|"&amp;AK$14&amp;"|"&amp;"CY2023Q3",Spectrum!$R:$R,0)),0),""))</f>
        <v/>
      </c>
      <c r="AL83" s="90">
        <f t="shared" si="33"/>
        <v>1925</v>
      </c>
      <c r="AM83" s="14">
        <f t="shared" si="34"/>
        <v>0</v>
      </c>
      <c r="AN83" s="14" t="str">
        <f>IF($C83="&lt;01",ROUND(INDEX(EID!$P:$P,MATCH($B83,EID!$B:$B,0))/2,0),"")</f>
        <v/>
      </c>
      <c r="AO83" s="14">
        <f t="shared" si="35"/>
        <v>0</v>
      </c>
      <c r="AP83" s="42">
        <f t="shared" si="36"/>
        <v>0</v>
      </c>
      <c r="AQ83" s="42">
        <f t="shared" si="37"/>
        <v>1370</v>
      </c>
      <c r="AR83" s="90" t="str">
        <f t="shared" si="38"/>
        <v/>
      </c>
      <c r="AS83" s="90">
        <f t="shared" si="25"/>
        <v>0.98</v>
      </c>
      <c r="AT83" s="90">
        <f t="shared" si="25"/>
        <v>0.98</v>
      </c>
      <c r="AU83" s="14">
        <f t="shared" si="39"/>
        <v>0</v>
      </c>
      <c r="AV83" s="14">
        <f>IF($C83="&lt;01",ROUND(INDEX(EID!$N:$N,MATCH($B83,EID!$B:$B,0))/2,0),IF(SUM($AT83)=0,"",ROUND((SUM($AP83)-(SUM($O83)*SUM($AS83)))/$AT83,0)))</f>
        <v>0</v>
      </c>
      <c r="AW83" s="90">
        <f t="shared" si="40"/>
        <v>1</v>
      </c>
      <c r="AX83" s="42">
        <f t="shared" si="41"/>
        <v>0</v>
      </c>
      <c r="AY83" s="116">
        <f t="shared" si="42"/>
        <v>0.7</v>
      </c>
      <c r="AZ83" s="93">
        <f>IF($C83="&lt;01",ROUND(INDEX(EID!$R:$R,MATCH($B83,EID!$B:$B,0))/2,0),ROUND(SUM($O83)+(SUM($AV83)*$AY83),0))</f>
        <v>0</v>
      </c>
      <c r="BA83" s="89">
        <f t="shared" si="43"/>
        <v>0.95</v>
      </c>
      <c r="BB83" s="9">
        <f>IF($C83="&lt;01",ROUND(INDEX(EID!$T:$T,MATCH($B83,EID!$B:$B,0))/2,0),ROUND($AZ83*$BA83,0))</f>
        <v>0</v>
      </c>
      <c r="BC83" s="93">
        <f t="shared" si="44"/>
        <v>0</v>
      </c>
      <c r="BD83" s="90">
        <f t="shared" si="45"/>
        <v>0.95</v>
      </c>
      <c r="BE83" s="42">
        <f>IF($C83="&lt;01",ROUND(INDEX(EID!$V:$V,MATCH($B83,EID!$B:$B,0))/2,0),ROUND($BD83*$BB83,0))</f>
        <v>0</v>
      </c>
      <c r="BF83" s="42">
        <f t="shared" si="46"/>
        <v>0</v>
      </c>
      <c r="BG83" s="116">
        <f t="shared" si="47"/>
        <v>0.95</v>
      </c>
      <c r="BH83" s="9">
        <f>IF($C83="&lt;01",ROUND(INDEX(EID!$L:$L,MATCH($B83,EID!$B:$B,0)),0)/2,IF(SUM($BG83)=0,"",ROUND($AX83/$BG83,0)))</f>
        <v>0</v>
      </c>
    </row>
    <row r="84" spans="1:60" x14ac:dyDescent="0.2">
      <c r="A84" t="str">
        <f>INDEX(Prioritization!$D:$D,MATCH($B84,Prioritization!$A:$A,0))</f>
        <v>1 - Scale-up: Saturation</v>
      </c>
      <c r="B84" t="s">
        <v>197</v>
      </c>
      <c r="C84" t="s">
        <v>367</v>
      </c>
      <c r="D84" t="s">
        <v>47</v>
      </c>
      <c r="E84" t="str">
        <f t="shared" si="26"/>
        <v>Lilongwe District [ScR9iFKAasW]|50+|Male</v>
      </c>
      <c r="F84" s="14"/>
      <c r="G84" s="14"/>
      <c r="H84" s="14"/>
      <c r="I84" s="14"/>
      <c r="J84" s="14"/>
      <c r="K84" s="14"/>
      <c r="L84" s="14"/>
      <c r="M84" s="14"/>
      <c r="N84" s="14"/>
      <c r="O84" s="14" t="str">
        <f t="shared" si="27"/>
        <v/>
      </c>
      <c r="P84" s="14"/>
      <c r="Q84" s="14"/>
      <c r="R84" s="14" t="str">
        <f t="shared" si="28"/>
        <v/>
      </c>
      <c r="S84" s="14">
        <f>IF(LEFT($B84,4)="_Mil","",_xlfn.IFNA(ROUND(INDEX(Spectrum!$N:$N,MATCH(RIGHT($B84,13)&amp;"|"&amp;$C84&amp;"|"&amp;$D84&amp;"|"&amp;S$14&amp;"|"&amp;"CY2022Q4",Spectrum!$R:$R,0)),0),""))</f>
        <v>548</v>
      </c>
      <c r="T84" s="42">
        <f>IF(LEFT($B84,4)="_Mil","",_xlfn.IFNA(ROUND(INDEX(Spectrum!$N:$N,MATCH(RIGHT($B84,13)&amp;"|"&amp;$C84&amp;"|"&amp;$D84&amp;"|"&amp;T$14&amp;"|"&amp;"CY2023Q3",Spectrum!$R:$R,0)),0),""))</f>
        <v>1217</v>
      </c>
      <c r="U84" s="42" t="str">
        <f>IF(LEFT($B84,4)="_Mil","",_xlfn.IFNA(ROUND(INDEX(Spectrum!$N:$N,MATCH(RIGHT($B84,13)&amp;"|"&amp;$C84&amp;"|"&amp;$D84&amp;"|"&amp;U$14&amp;"|"&amp;"CY2023Q3",Spectrum!$R:$R,0)),0),""))</f>
        <v/>
      </c>
      <c r="V84" s="14">
        <f>IF(LEFT($B84,4)="_Mil","",_xlfn.IFNA(ROUND(INDEX(Spectrum!$N:$N,MATCH(RIGHT($B84,13)&amp;"|"&amp;$C84&amp;"|"&amp;$D84&amp;"|"&amp;V$14&amp;"|"&amp;"CY2023Q3",Spectrum!$R:$R,0)),0),""))</f>
        <v>1847</v>
      </c>
      <c r="W84" s="115">
        <f>IF(LEFT($B84,4)="_Mil","",_xlfn.IFNA(INDEX(Spectrum!$N:$N,MATCH(RIGHT($B84,13)&amp;"|"&amp;$C84&amp;"|"&amp;$D84&amp;"|"&amp;W$14&amp;"|"&amp;"CY2023Q3",Spectrum!$R:$R,0)),""))</f>
        <v>1686</v>
      </c>
      <c r="X84" s="42">
        <f>IF(LEFT($B84,4)="_Mil","",_xlfn.IFNA(ROUND(INDEX(Spectrum!$N:$N,MATCH(RIGHT($B84,13)&amp;"|"&amp;$C84&amp;"|"&amp;$D84&amp;"|"&amp;X$14&amp;"|"&amp;"CY2023Q3",Spectrum!$R:$R,0)),0),""))</f>
        <v>1528</v>
      </c>
      <c r="Y84" s="90" t="str">
        <f t="shared" si="29"/>
        <v/>
      </c>
      <c r="Z84" s="42">
        <f>IF(LEFT($B84,4)="_Mil","",_xlfn.IFNA(ROUND(INDEX(Spectrum!$N:$N,MATCH(RIGHT($B84,13)&amp;"|"&amp;$C84&amp;"|"&amp;$D84&amp;"|"&amp;Z$14&amp;"|"&amp;"CY2023Q3",Spectrum!$R:$R,0)),0),""))</f>
        <v>1663</v>
      </c>
      <c r="AA84" s="90">
        <f>IF(LEFT($B84,4)="_Mil","",IFERROR(1/(1/INDEX(Spectrum!$N:$N,MATCH(RIGHT($B84,13)&amp;"|"&amp;$C84&amp;"|"&amp;$D84&amp;"|"&amp;AA$14&amp;"|"&amp;"CY2023Q3",Spectrum!$R:$R,0))),IF(SUM($U84)=0,"",SUM($Z84)/$U84)))</f>
        <v>1820</v>
      </c>
      <c r="AB84" s="90">
        <f t="shared" si="30"/>
        <v>1.088350785340314</v>
      </c>
      <c r="AC84" s="14">
        <f>IF(LEFT($B84,4)="_Mil","",_xlfn.IFNA(ROUND(INDEX(Spectrum!$N:$N,MATCH(RIGHT($B84,13)&amp;"|"&amp;$C84&amp;"|"&amp;$D84&amp;"|"&amp;AC$14&amp;"|"&amp;"CY2023Q3",Spectrum!$R:$R,0)),0),""))</f>
        <v>1940</v>
      </c>
      <c r="AD84" s="14" t="str">
        <f>IF(LEFT($B84,4)="_Mil","",_xlfn.IFNA(ROUND(INDEX(Spectrum!$N:$N,MATCH(RIGHT($B84,13)&amp;"|"&amp;$C84&amp;"|"&amp;$D84&amp;"|"&amp;AD$14&amp;"|"&amp;"CY2023Q3",Spectrum!$R:$R,0)),0),""))</f>
        <v/>
      </c>
      <c r="AE84" s="90">
        <f t="shared" si="31"/>
        <v>0</v>
      </c>
      <c r="AF84" s="42" t="str">
        <f>IF(LEFT($B84,4)="_Mil","",_xlfn.IFNA(ROUND(INDEX(Spectrum!$N:$N,MATCH(RIGHT($B84,13)&amp;"|"&amp;$C84&amp;"|"&amp;$D84&amp;"|"&amp;AF$14&amp;"|"&amp;"CY2023Q3",Spectrum!$R:$R,0)),0),""))</f>
        <v/>
      </c>
      <c r="AG84" s="90" t="str">
        <f t="shared" si="32"/>
        <v/>
      </c>
      <c r="AH84" s="88" t="str">
        <f>IF(LEFT($B84,4)="_Mil","",_xlfn.IFNA(INDEX(Spectrum!$N:$N,MATCH(RIGHT($B84,13)&amp;"|"&amp;$C84&amp;"|"&amp;$D84&amp;"|"&amp;AH$14&amp;"|"&amp;"CY2023Q3",Spectrum!$R:$R,0)),""))</f>
        <v/>
      </c>
      <c r="AI84" s="14" t="str">
        <f>IF(LEFT($B84,4)="_Mil","",_xlfn.IFNA(ROUND(INDEX(Spectrum!$N:$N,MATCH(RIGHT($B84,13)&amp;"|"&amp;$C84&amp;"|"&amp;$D84&amp;"|"&amp;AI$14&amp;"|"&amp;"CY2023Q3",Spectrum!$R:$R,0)),0),""))</f>
        <v/>
      </c>
      <c r="AJ84" s="42">
        <f>IF(LEFT($B84,4)="_Mil","",_xlfn.IFNA(ROUND(INDEX(Spectrum!$N:$N,MATCH(RIGHT($B84,13)&amp;"|"&amp;$C84&amp;"|"&amp;$D84&amp;"|"&amp;AI$14&amp;"|"&amp;"CY2023Q3",Spectrum!$R:$R,0)),0),SUM($U84)+SUM($AI84)))</f>
        <v>0</v>
      </c>
      <c r="AK84" s="14" t="str">
        <f>IF(LEFT($B84,4)="_Mil","",_xlfn.IFNA(ROUND(INDEX(Spectrum!$N:$N,MATCH(RIGHT($B84,13)&amp;"|"&amp;$C84&amp;"|"&amp;$D84&amp;"|"&amp;AK$14&amp;"|"&amp;"CY2023Q3",Spectrum!$R:$R,0)),0),""))</f>
        <v/>
      </c>
      <c r="AL84" s="90">
        <f t="shared" si="33"/>
        <v>1820</v>
      </c>
      <c r="AM84" s="14">
        <f t="shared" si="34"/>
        <v>0</v>
      </c>
      <c r="AN84" s="14" t="str">
        <f>IF($C84="&lt;01",ROUND(INDEX(EID!$P:$P,MATCH($B84,EID!$B:$B,0))/2,0),"")</f>
        <v/>
      </c>
      <c r="AO84" s="14">
        <f t="shared" si="35"/>
        <v>0</v>
      </c>
      <c r="AP84" s="42">
        <f t="shared" si="36"/>
        <v>0</v>
      </c>
      <c r="AQ84" s="42">
        <f t="shared" si="37"/>
        <v>1663</v>
      </c>
      <c r="AR84" s="90" t="str">
        <f t="shared" si="38"/>
        <v/>
      </c>
      <c r="AS84" s="90">
        <f t="shared" si="25"/>
        <v>0.98</v>
      </c>
      <c r="AT84" s="90">
        <f t="shared" si="25"/>
        <v>0.98</v>
      </c>
      <c r="AU84" s="14">
        <f t="shared" si="39"/>
        <v>0</v>
      </c>
      <c r="AV84" s="14">
        <f>IF($C84="&lt;01",ROUND(INDEX(EID!$N:$N,MATCH($B84,EID!$B:$B,0))/2,0),IF(SUM($AT84)=0,"",ROUND((SUM($AP84)-(SUM($O84)*SUM($AS84)))/$AT84,0)))</f>
        <v>0</v>
      </c>
      <c r="AW84" s="90">
        <f t="shared" si="40"/>
        <v>1</v>
      </c>
      <c r="AX84" s="42">
        <f t="shared" si="41"/>
        <v>0</v>
      </c>
      <c r="AY84" s="116">
        <f t="shared" si="42"/>
        <v>0.7</v>
      </c>
      <c r="AZ84" s="93">
        <f>IF($C84="&lt;01",ROUND(INDEX(EID!$R:$R,MATCH($B84,EID!$B:$B,0))/2,0),ROUND(SUM($O84)+(SUM($AV84)*$AY84),0))</f>
        <v>0</v>
      </c>
      <c r="BA84" s="89">
        <f t="shared" si="43"/>
        <v>0.95</v>
      </c>
      <c r="BB84" s="9">
        <f>IF($C84="&lt;01",ROUND(INDEX(EID!$T:$T,MATCH($B84,EID!$B:$B,0))/2,0),ROUND($AZ84*$BA84,0))</f>
        <v>0</v>
      </c>
      <c r="BC84" s="93">
        <f t="shared" si="44"/>
        <v>0</v>
      </c>
      <c r="BD84" s="90">
        <f t="shared" si="45"/>
        <v>0.95</v>
      </c>
      <c r="BE84" s="42">
        <f>IF($C84="&lt;01",ROUND(INDEX(EID!$V:$V,MATCH($B84,EID!$B:$B,0))/2,0),ROUND($BD84*$BB84,0))</f>
        <v>0</v>
      </c>
      <c r="BF84" s="42">
        <f t="shared" si="46"/>
        <v>0</v>
      </c>
      <c r="BG84" s="116">
        <f t="shared" si="47"/>
        <v>0.95</v>
      </c>
      <c r="BH84" s="9">
        <f>IF($C84="&lt;01",ROUND(INDEX(EID!$L:$L,MATCH($B84,EID!$B:$B,0)),0)/2,IF(SUM($BG84)=0,"",ROUND($AX84/$BG84,0)))</f>
        <v>0</v>
      </c>
    </row>
    <row r="85" spans="1:60" x14ac:dyDescent="0.2">
      <c r="A85" t="str">
        <f>INDEX(Prioritization!$D:$D,MATCH($B85,Prioritization!$A:$A,0))</f>
        <v>1 - Scale-up: Saturation</v>
      </c>
      <c r="B85" t="s">
        <v>198</v>
      </c>
      <c r="C85" t="s">
        <v>315</v>
      </c>
      <c r="D85" t="s">
        <v>29</v>
      </c>
      <c r="E85" t="str">
        <f t="shared" si="26"/>
        <v>Mchinji District [kxuuIFpOXyO]|&lt;01|Female</v>
      </c>
      <c r="F85" s="14"/>
      <c r="G85" s="14">
        <v>5</v>
      </c>
      <c r="H85" s="14">
        <v>2</v>
      </c>
      <c r="I85" s="14">
        <v>1</v>
      </c>
      <c r="J85" s="14">
        <v>9</v>
      </c>
      <c r="K85" s="14">
        <v>7</v>
      </c>
      <c r="L85" s="14"/>
      <c r="M85" s="14">
        <v>1</v>
      </c>
      <c r="N85" s="14">
        <v>1</v>
      </c>
      <c r="O85" s="14">
        <f t="shared" si="27"/>
        <v>1</v>
      </c>
      <c r="P85" s="14">
        <v>0</v>
      </c>
      <c r="Q85" s="14">
        <v>0</v>
      </c>
      <c r="R85" s="14">
        <f t="shared" si="28"/>
        <v>0</v>
      </c>
      <c r="S85" s="14">
        <f>IF(LEFT($B85,4)="_Mil","",_xlfn.IFNA(ROUND(INDEX(Spectrum!$N:$N,MATCH(RIGHT($B85,13)&amp;"|"&amp;$C85&amp;"|"&amp;$D85&amp;"|"&amp;S$14&amp;"|"&amp;"CY2022Q4",Spectrum!$R:$R,0)),0),""))</f>
        <v>942</v>
      </c>
      <c r="T85" s="42">
        <f>IF(LEFT($B85,4)="_Mil","",_xlfn.IFNA(ROUND(INDEX(Spectrum!$N:$N,MATCH(RIGHT($B85,13)&amp;"|"&amp;$C85&amp;"|"&amp;$D85&amp;"|"&amp;T$14&amp;"|"&amp;"CY2023Q3",Spectrum!$R:$R,0)),0),""))</f>
        <v>810</v>
      </c>
      <c r="U85" s="42" t="str">
        <f>IF(LEFT($B85,4)="_Mil","",_xlfn.IFNA(ROUND(INDEX(Spectrum!$N:$N,MATCH(RIGHT($B85,13)&amp;"|"&amp;$C85&amp;"|"&amp;$D85&amp;"|"&amp;U$14&amp;"|"&amp;"CY2023Q3",Spectrum!$R:$R,0)),0),""))</f>
        <v/>
      </c>
      <c r="V85" s="14">
        <f>IF(LEFT($B85,4)="_Mil","",_xlfn.IFNA(ROUND(INDEX(Spectrum!$N:$N,MATCH(RIGHT($B85,13)&amp;"|"&amp;$C85&amp;"|"&amp;$D85&amp;"|"&amp;V$14&amp;"|"&amp;"CY2023Q3",Spectrum!$R:$R,0)),0),""))</f>
        <v>801</v>
      </c>
      <c r="W85" s="115">
        <f>IF(LEFT($B85,4)="_Mil","",_xlfn.IFNA(INDEX(Spectrum!$N:$N,MATCH(RIGHT($B85,13)&amp;"|"&amp;$C85&amp;"|"&amp;$D85&amp;"|"&amp;W$14&amp;"|"&amp;"CY2023Q3",Spectrum!$R:$R,0)),""))</f>
        <v>931</v>
      </c>
      <c r="X85" s="42">
        <f>IF(LEFT($B85,4)="_Mil","",_xlfn.IFNA(ROUND(INDEX(Spectrum!$N:$N,MATCH(RIGHT($B85,13)&amp;"|"&amp;$C85&amp;"|"&amp;$D85&amp;"|"&amp;X$14&amp;"|"&amp;"CY2023Q3",Spectrum!$R:$R,0)),0),""))</f>
        <v>1226</v>
      </c>
      <c r="Y85" s="90" t="str">
        <f t="shared" si="29"/>
        <v/>
      </c>
      <c r="Z85" s="42">
        <f>IF(LEFT($B85,4)="_Mil","",_xlfn.IFNA(ROUND(INDEX(Spectrum!$N:$N,MATCH(RIGHT($B85,13)&amp;"|"&amp;$C85&amp;"|"&amp;$D85&amp;"|"&amp;Z$14&amp;"|"&amp;"CY2023Q3",Spectrum!$R:$R,0)),0),""))</f>
        <v>741</v>
      </c>
      <c r="AA85" s="90">
        <f>IF(LEFT($B85,4)="_Mil","",IFERROR(1/(1/INDEX(Spectrum!$N:$N,MATCH(RIGHT($B85,13)&amp;"|"&amp;$C85&amp;"|"&amp;$D85&amp;"|"&amp;AA$14&amp;"|"&amp;"CY2023Q3",Spectrum!$R:$R,0))),IF(SUM($U85)=0,"",SUM($Z85)/$U85)))</f>
        <v>765</v>
      </c>
      <c r="AB85" s="90">
        <f t="shared" si="30"/>
        <v>0.60440456769983686</v>
      </c>
      <c r="AC85" s="14">
        <f>IF(LEFT($B85,4)="_Mil","",_xlfn.IFNA(ROUND(INDEX(Spectrum!$N:$N,MATCH(RIGHT($B85,13)&amp;"|"&amp;$C85&amp;"|"&amp;$D85&amp;"|"&amp;AC$14&amp;"|"&amp;"CY2023Q3",Spectrum!$R:$R,0)),0),""))</f>
        <v>1568</v>
      </c>
      <c r="AD85" s="14" t="str">
        <f>IF(LEFT($B85,4)="_Mil","",_xlfn.IFNA(ROUND(INDEX(Spectrum!$N:$N,MATCH(RIGHT($B85,13)&amp;"|"&amp;$C85&amp;"|"&amp;$D85&amp;"|"&amp;AD$14&amp;"|"&amp;"CY2023Q3",Spectrum!$R:$R,0)),0),""))</f>
        <v/>
      </c>
      <c r="AE85" s="90">
        <f t="shared" si="31"/>
        <v>0</v>
      </c>
      <c r="AF85" s="42" t="str">
        <f>IF(LEFT($B85,4)="_Mil","",_xlfn.IFNA(ROUND(INDEX(Spectrum!$N:$N,MATCH(RIGHT($B85,13)&amp;"|"&amp;$C85&amp;"|"&amp;$D85&amp;"|"&amp;AF$14&amp;"|"&amp;"CY2023Q3",Spectrum!$R:$R,0)),0),""))</f>
        <v/>
      </c>
      <c r="AG85" s="90" t="str">
        <f t="shared" si="32"/>
        <v/>
      </c>
      <c r="AH85" s="88" t="str">
        <f>IF(LEFT($B85,4)="_Mil","",_xlfn.IFNA(INDEX(Spectrum!$N:$N,MATCH(RIGHT($B85,13)&amp;"|"&amp;$C85&amp;"|"&amp;$D85&amp;"|"&amp;AH$14&amp;"|"&amp;"CY2023Q3",Spectrum!$R:$R,0)),""))</f>
        <v/>
      </c>
      <c r="AI85" s="14" t="str">
        <f>IF(LEFT($B85,4)="_Mil","",_xlfn.IFNA(ROUND(INDEX(Spectrum!$N:$N,MATCH(RIGHT($B85,13)&amp;"|"&amp;$C85&amp;"|"&amp;$D85&amp;"|"&amp;AI$14&amp;"|"&amp;"CY2023Q3",Spectrum!$R:$R,0)),0),""))</f>
        <v/>
      </c>
      <c r="AJ85" s="42">
        <f>IF(LEFT($B85,4)="_Mil","",_xlfn.IFNA(ROUND(INDEX(Spectrum!$N:$N,MATCH(RIGHT($B85,13)&amp;"|"&amp;$C85&amp;"|"&amp;$D85&amp;"|"&amp;AI$14&amp;"|"&amp;"CY2023Q3",Spectrum!$R:$R,0)),0),SUM($U85)+SUM($AI85)))</f>
        <v>0</v>
      </c>
      <c r="AK85" s="14" t="str">
        <f>IF(LEFT($B85,4)="_Mil","",_xlfn.IFNA(ROUND(INDEX(Spectrum!$N:$N,MATCH(RIGHT($B85,13)&amp;"|"&amp;$C85&amp;"|"&amp;$D85&amp;"|"&amp;AK$14&amp;"|"&amp;"CY2023Q3",Spectrum!$R:$R,0)),0),""))</f>
        <v/>
      </c>
      <c r="AL85" s="90" t="str">
        <f t="shared" si="33"/>
        <v/>
      </c>
      <c r="AM85" s="14" t="str">
        <f t="shared" si="34"/>
        <v/>
      </c>
      <c r="AN85" s="14">
        <f>IF($C85="&lt;01",ROUND(INDEX(EID!$P:$P,MATCH($B85,EID!$B:$B,0))/2,0),"")</f>
        <v>0</v>
      </c>
      <c r="AO85" s="14">
        <f t="shared" si="35"/>
        <v>0</v>
      </c>
      <c r="AP85" s="42">
        <f t="shared" si="36"/>
        <v>0</v>
      </c>
      <c r="AQ85" s="42">
        <f t="shared" si="37"/>
        <v>741</v>
      </c>
      <c r="AR85" s="90" t="str">
        <f t="shared" si="38"/>
        <v/>
      </c>
      <c r="AS85" s="90" t="str">
        <f t="shared" si="25"/>
        <v/>
      </c>
      <c r="AT85" s="90" t="str">
        <f t="shared" si="25"/>
        <v/>
      </c>
      <c r="AU85" s="14" t="str">
        <f t="shared" si="39"/>
        <v/>
      </c>
      <c r="AV85" s="14">
        <f>IF($C85="&lt;01",ROUND(INDEX(EID!$N:$N,MATCH($B85,EID!$B:$B,0))/2,0),IF(SUM($AT85)=0,"",ROUND((SUM($AP85)-(SUM($O85)*SUM($AS85)))/$AT85,0)))</f>
        <v>0</v>
      </c>
      <c r="AW85" s="90" t="str">
        <f t="shared" si="40"/>
        <v/>
      </c>
      <c r="AX85" s="42">
        <f t="shared" si="41"/>
        <v>0</v>
      </c>
      <c r="AY85" s="116" t="str">
        <f t="shared" si="42"/>
        <v/>
      </c>
      <c r="AZ85" s="93">
        <f>IF($C85="&lt;01",ROUND(INDEX(EID!$R:$R,MATCH($B85,EID!$B:$B,0))/2,0),ROUND(SUM($O85)+(SUM($AV85)*$AY85),0))</f>
        <v>0</v>
      </c>
      <c r="BA85" s="89" t="str">
        <f t="shared" si="43"/>
        <v/>
      </c>
      <c r="BB85" s="9">
        <f>IF($C85="&lt;01",ROUND(INDEX(EID!$T:$T,MATCH($B85,EID!$B:$B,0))/2,0),ROUND($AZ85*$BA85,0))</f>
        <v>0</v>
      </c>
      <c r="BC85" s="93">
        <f t="shared" si="44"/>
        <v>0</v>
      </c>
      <c r="BD85" s="90" t="str">
        <f t="shared" si="45"/>
        <v/>
      </c>
      <c r="BE85" s="42">
        <f>IF($C85="&lt;01",ROUND(INDEX(EID!$V:$V,MATCH($B85,EID!$B:$B,0))/2,0),ROUND($BD85*$BB85,0))</f>
        <v>0</v>
      </c>
      <c r="BF85" s="42">
        <f t="shared" si="46"/>
        <v>0</v>
      </c>
      <c r="BG85" s="116" t="str">
        <f t="shared" si="47"/>
        <v/>
      </c>
      <c r="BH85" s="9">
        <f>IF($C85="&lt;01",ROUND(INDEX(EID!$L:$L,MATCH($B85,EID!$B:$B,0)),0)/2,IF(SUM($BG85)=0,"",ROUND($AX85/$BG85,0)))</f>
        <v>0</v>
      </c>
    </row>
    <row r="86" spans="1:60" x14ac:dyDescent="0.2">
      <c r="A86" t="str">
        <f>INDEX(Prioritization!$D:$D,MATCH($B86,Prioritization!$A:$A,0))</f>
        <v>1 - Scale-up: Saturation</v>
      </c>
      <c r="B86" t="s">
        <v>198</v>
      </c>
      <c r="C86" t="s">
        <v>315</v>
      </c>
      <c r="D86" t="s">
        <v>47</v>
      </c>
      <c r="E86" t="str">
        <f t="shared" si="26"/>
        <v>Mchinji District [kxuuIFpOXyO]|&lt;01|Male</v>
      </c>
      <c r="F86" s="14"/>
      <c r="G86" s="14">
        <v>6</v>
      </c>
      <c r="H86" s="14">
        <v>3</v>
      </c>
      <c r="I86" s="14">
        <v>1</v>
      </c>
      <c r="J86" s="14">
        <v>9</v>
      </c>
      <c r="K86" s="14">
        <v>1</v>
      </c>
      <c r="L86" s="14"/>
      <c r="M86" s="14">
        <v>1</v>
      </c>
      <c r="N86" s="14">
        <v>1</v>
      </c>
      <c r="O86" s="14">
        <f t="shared" si="27"/>
        <v>1</v>
      </c>
      <c r="P86" s="14">
        <v>0</v>
      </c>
      <c r="Q86" s="14">
        <v>0</v>
      </c>
      <c r="R86" s="14">
        <f t="shared" si="28"/>
        <v>0</v>
      </c>
      <c r="S86" s="14">
        <f>IF(LEFT($B86,4)="_Mil","",_xlfn.IFNA(ROUND(INDEX(Spectrum!$N:$N,MATCH(RIGHT($B86,13)&amp;"|"&amp;$C86&amp;"|"&amp;$D86&amp;"|"&amp;S$14&amp;"|"&amp;"CY2022Q4",Spectrum!$R:$R,0)),0),""))</f>
        <v>1123</v>
      </c>
      <c r="T86" s="42">
        <f>IF(LEFT($B86,4)="_Mil","",_xlfn.IFNA(ROUND(INDEX(Spectrum!$N:$N,MATCH(RIGHT($B86,13)&amp;"|"&amp;$C86&amp;"|"&amp;$D86&amp;"|"&amp;T$14&amp;"|"&amp;"CY2023Q3",Spectrum!$R:$R,0)),0),""))</f>
        <v>821</v>
      </c>
      <c r="U86" s="42" t="str">
        <f>IF(LEFT($B86,4)="_Mil","",_xlfn.IFNA(ROUND(INDEX(Spectrum!$N:$N,MATCH(RIGHT($B86,13)&amp;"|"&amp;$C86&amp;"|"&amp;$D86&amp;"|"&amp;U$14&amp;"|"&amp;"CY2023Q3",Spectrum!$R:$R,0)),0),""))</f>
        <v/>
      </c>
      <c r="V86" s="14">
        <f>IF(LEFT($B86,4)="_Mil","",_xlfn.IFNA(ROUND(INDEX(Spectrum!$N:$N,MATCH(RIGHT($B86,13)&amp;"|"&amp;$C86&amp;"|"&amp;$D86&amp;"|"&amp;V$14&amp;"|"&amp;"CY2023Q3",Spectrum!$R:$R,0)),0),""))</f>
        <v>1877</v>
      </c>
      <c r="W86" s="115">
        <f>IF(LEFT($B86,4)="_Mil","",_xlfn.IFNA(INDEX(Spectrum!$N:$N,MATCH(RIGHT($B86,13)&amp;"|"&amp;$C86&amp;"|"&amp;$D86&amp;"|"&amp;W$14&amp;"|"&amp;"CY2023Q3",Spectrum!$R:$R,0)),""))</f>
        <v>1569</v>
      </c>
      <c r="X86" s="42">
        <f>IF(LEFT($B86,4)="_Mil","",_xlfn.IFNA(ROUND(INDEX(Spectrum!$N:$N,MATCH(RIGHT($B86,13)&amp;"|"&amp;$C86&amp;"|"&amp;$D86&amp;"|"&amp;X$14&amp;"|"&amp;"CY2023Q3",Spectrum!$R:$R,0)),0),""))</f>
        <v>1314</v>
      </c>
      <c r="Y86" s="90" t="str">
        <f t="shared" si="29"/>
        <v/>
      </c>
      <c r="Z86" s="42">
        <f>IF(LEFT($B86,4)="_Mil","",_xlfn.IFNA(ROUND(INDEX(Spectrum!$N:$N,MATCH(RIGHT($B86,13)&amp;"|"&amp;$C86&amp;"|"&amp;$D86&amp;"|"&amp;Z$14&amp;"|"&amp;"CY2023Q3",Spectrum!$R:$R,0)),0),""))</f>
        <v>742</v>
      </c>
      <c r="AA86" s="90">
        <f>IF(LEFT($B86,4)="_Mil","",IFERROR(1/(1/INDEX(Spectrum!$N:$N,MATCH(RIGHT($B86,13)&amp;"|"&amp;$C86&amp;"|"&amp;$D86&amp;"|"&amp;AA$14&amp;"|"&amp;"CY2023Q3",Spectrum!$R:$R,0))),IF(SUM($U86)=0,"",SUM($Z86)/$U86)))</f>
        <v>1304</v>
      </c>
      <c r="AB86" s="90">
        <f t="shared" si="30"/>
        <v>0.56468797564687978</v>
      </c>
      <c r="AC86" s="14">
        <f>IF(LEFT($B86,4)="_Mil","",_xlfn.IFNA(ROUND(INDEX(Spectrum!$N:$N,MATCH(RIGHT($B86,13)&amp;"|"&amp;$C86&amp;"|"&amp;$D86&amp;"|"&amp;AC$14&amp;"|"&amp;"CY2023Q3",Spectrum!$R:$R,0)),0),""))</f>
        <v>1831</v>
      </c>
      <c r="AD86" s="14" t="str">
        <f>IF(LEFT($B86,4)="_Mil","",_xlfn.IFNA(ROUND(INDEX(Spectrum!$N:$N,MATCH(RIGHT($B86,13)&amp;"|"&amp;$C86&amp;"|"&amp;$D86&amp;"|"&amp;AD$14&amp;"|"&amp;"CY2023Q3",Spectrum!$R:$R,0)),0),""))</f>
        <v/>
      </c>
      <c r="AE86" s="90">
        <f t="shared" si="31"/>
        <v>0</v>
      </c>
      <c r="AF86" s="42" t="str">
        <f>IF(LEFT($B86,4)="_Mil","",_xlfn.IFNA(ROUND(INDEX(Spectrum!$N:$N,MATCH(RIGHT($B86,13)&amp;"|"&amp;$C86&amp;"|"&amp;$D86&amp;"|"&amp;AF$14&amp;"|"&amp;"CY2023Q3",Spectrum!$R:$R,0)),0),""))</f>
        <v/>
      </c>
      <c r="AG86" s="90" t="str">
        <f t="shared" si="32"/>
        <v/>
      </c>
      <c r="AH86" s="88" t="str">
        <f>IF(LEFT($B86,4)="_Mil","",_xlfn.IFNA(INDEX(Spectrum!$N:$N,MATCH(RIGHT($B86,13)&amp;"|"&amp;$C86&amp;"|"&amp;$D86&amp;"|"&amp;AH$14&amp;"|"&amp;"CY2023Q3",Spectrum!$R:$R,0)),""))</f>
        <v/>
      </c>
      <c r="AI86" s="14" t="str">
        <f>IF(LEFT($B86,4)="_Mil","",_xlfn.IFNA(ROUND(INDEX(Spectrum!$N:$N,MATCH(RIGHT($B86,13)&amp;"|"&amp;$C86&amp;"|"&amp;$D86&amp;"|"&amp;AI$14&amp;"|"&amp;"CY2023Q3",Spectrum!$R:$R,0)),0),""))</f>
        <v/>
      </c>
      <c r="AJ86" s="42">
        <f>IF(LEFT($B86,4)="_Mil","",_xlfn.IFNA(ROUND(INDEX(Spectrum!$N:$N,MATCH(RIGHT($B86,13)&amp;"|"&amp;$C86&amp;"|"&amp;$D86&amp;"|"&amp;AI$14&amp;"|"&amp;"CY2023Q3",Spectrum!$R:$R,0)),0),SUM($U86)+SUM($AI86)))</f>
        <v>0</v>
      </c>
      <c r="AK86" s="14" t="str">
        <f>IF(LEFT($B86,4)="_Mil","",_xlfn.IFNA(ROUND(INDEX(Spectrum!$N:$N,MATCH(RIGHT($B86,13)&amp;"|"&amp;$C86&amp;"|"&amp;$D86&amp;"|"&amp;AK$14&amp;"|"&amp;"CY2023Q3",Spectrum!$R:$R,0)),0),""))</f>
        <v/>
      </c>
      <c r="AL86" s="90" t="str">
        <f t="shared" si="33"/>
        <v/>
      </c>
      <c r="AM86" s="14" t="str">
        <f t="shared" si="34"/>
        <v/>
      </c>
      <c r="AN86" s="14">
        <f>IF($C86="&lt;01",ROUND(INDEX(EID!$P:$P,MATCH($B86,EID!$B:$B,0))/2,0),"")</f>
        <v>0</v>
      </c>
      <c r="AO86" s="14">
        <f t="shared" si="35"/>
        <v>0</v>
      </c>
      <c r="AP86" s="42">
        <f t="shared" si="36"/>
        <v>0</v>
      </c>
      <c r="AQ86" s="42">
        <f t="shared" si="37"/>
        <v>742</v>
      </c>
      <c r="AR86" s="90" t="str">
        <f t="shared" si="38"/>
        <v/>
      </c>
      <c r="AS86" s="90" t="str">
        <f t="shared" si="25"/>
        <v/>
      </c>
      <c r="AT86" s="90" t="str">
        <f t="shared" si="25"/>
        <v/>
      </c>
      <c r="AU86" s="14" t="str">
        <f t="shared" si="39"/>
        <v/>
      </c>
      <c r="AV86" s="14">
        <f>IF($C86="&lt;01",ROUND(INDEX(EID!$N:$N,MATCH($B86,EID!$B:$B,0))/2,0),IF(SUM($AT86)=0,"",ROUND((SUM($AP86)-(SUM($O86)*SUM($AS86)))/$AT86,0)))</f>
        <v>0</v>
      </c>
      <c r="AW86" s="90" t="str">
        <f t="shared" si="40"/>
        <v/>
      </c>
      <c r="AX86" s="42">
        <f t="shared" si="41"/>
        <v>0</v>
      </c>
      <c r="AY86" s="116" t="str">
        <f t="shared" si="42"/>
        <v/>
      </c>
      <c r="AZ86" s="93">
        <f>IF($C86="&lt;01",ROUND(INDEX(EID!$R:$R,MATCH($B86,EID!$B:$B,0))/2,0),ROUND(SUM($O86)+(SUM($AV86)*$AY86),0))</f>
        <v>0</v>
      </c>
      <c r="BA86" s="89" t="str">
        <f t="shared" si="43"/>
        <v/>
      </c>
      <c r="BB86" s="9">
        <f>IF($C86="&lt;01",ROUND(INDEX(EID!$T:$T,MATCH($B86,EID!$B:$B,0))/2,0),ROUND($AZ86*$BA86,0))</f>
        <v>0</v>
      </c>
      <c r="BC86" s="93">
        <f t="shared" si="44"/>
        <v>0</v>
      </c>
      <c r="BD86" s="90" t="str">
        <f t="shared" si="45"/>
        <v/>
      </c>
      <c r="BE86" s="42">
        <f>IF($C86="&lt;01",ROUND(INDEX(EID!$V:$V,MATCH($B86,EID!$B:$B,0))/2,0),ROUND($BD86*$BB86,0))</f>
        <v>0</v>
      </c>
      <c r="BF86" s="42">
        <f t="shared" si="46"/>
        <v>0</v>
      </c>
      <c r="BG86" s="116" t="str">
        <f t="shared" si="47"/>
        <v/>
      </c>
      <c r="BH86" s="9">
        <f>IF($C86="&lt;01",ROUND(INDEX(EID!$L:$L,MATCH($B86,EID!$B:$B,0)),0)/2,IF(SUM($BG86)=0,"",ROUND($AX86/$BG86,0)))</f>
        <v>0</v>
      </c>
    </row>
    <row r="87" spans="1:60" x14ac:dyDescent="0.2">
      <c r="A87" t="str">
        <f>INDEX(Prioritization!$D:$D,MATCH($B87,Prioritization!$A:$A,0))</f>
        <v>1 - Scale-up: Saturation</v>
      </c>
      <c r="B87" t="s">
        <v>198</v>
      </c>
      <c r="C87" t="s">
        <v>362</v>
      </c>
      <c r="D87" t="s">
        <v>29</v>
      </c>
      <c r="E87" t="str">
        <f t="shared" si="26"/>
        <v>Mchinji District [kxuuIFpOXyO]|01-09|Female</v>
      </c>
      <c r="F87" s="14"/>
      <c r="G87" s="14"/>
      <c r="H87" s="14"/>
      <c r="I87" s="14"/>
      <c r="J87" s="14"/>
      <c r="K87" s="14"/>
      <c r="L87" s="14"/>
      <c r="M87" s="14"/>
      <c r="N87" s="14"/>
      <c r="O87" s="14" t="str">
        <f t="shared" si="27"/>
        <v/>
      </c>
      <c r="P87" s="14"/>
      <c r="Q87" s="14"/>
      <c r="R87" s="14" t="str">
        <f t="shared" si="28"/>
        <v/>
      </c>
      <c r="S87" s="14">
        <f>IF(LEFT($B87,4)="_Mil","",_xlfn.IFNA(ROUND(INDEX(Spectrum!$N:$N,MATCH(RIGHT($B87,13)&amp;"|"&amp;$C87&amp;"|"&amp;$D87&amp;"|"&amp;S$14&amp;"|"&amp;"CY2022Q4",Spectrum!$R:$R,0)),0),""))</f>
        <v>1523</v>
      </c>
      <c r="T87" s="42">
        <f>IF(LEFT($B87,4)="_Mil","",_xlfn.IFNA(ROUND(INDEX(Spectrum!$N:$N,MATCH(RIGHT($B87,13)&amp;"|"&amp;$C87&amp;"|"&amp;$D87&amp;"|"&amp;T$14&amp;"|"&amp;"CY2023Q3",Spectrum!$R:$R,0)),0),""))</f>
        <v>1665</v>
      </c>
      <c r="U87" s="42" t="str">
        <f>IF(LEFT($B87,4)="_Mil","",_xlfn.IFNA(ROUND(INDEX(Spectrum!$N:$N,MATCH(RIGHT($B87,13)&amp;"|"&amp;$C87&amp;"|"&amp;$D87&amp;"|"&amp;U$14&amp;"|"&amp;"CY2023Q3",Spectrum!$R:$R,0)),0),""))</f>
        <v/>
      </c>
      <c r="V87" s="14">
        <f>IF(LEFT($B87,4)="_Mil","",_xlfn.IFNA(ROUND(INDEX(Spectrum!$N:$N,MATCH(RIGHT($B87,13)&amp;"|"&amp;$C87&amp;"|"&amp;$D87&amp;"|"&amp;V$14&amp;"|"&amp;"CY2023Q3",Spectrum!$R:$R,0)),0),""))</f>
        <v>1363</v>
      </c>
      <c r="W87" s="115">
        <f>IF(LEFT($B87,4)="_Mil","",_xlfn.IFNA(INDEX(Spectrum!$N:$N,MATCH(RIGHT($B87,13)&amp;"|"&amp;$C87&amp;"|"&amp;$D87&amp;"|"&amp;W$14&amp;"|"&amp;"CY2023Q3",Spectrum!$R:$R,0)),""))</f>
        <v>589</v>
      </c>
      <c r="X87" s="42">
        <f>IF(LEFT($B87,4)="_Mil","",_xlfn.IFNA(ROUND(INDEX(Spectrum!$N:$N,MATCH(RIGHT($B87,13)&amp;"|"&amp;$C87&amp;"|"&amp;$D87&amp;"|"&amp;X$14&amp;"|"&amp;"CY2023Q3",Spectrum!$R:$R,0)),0),""))</f>
        <v>577</v>
      </c>
      <c r="Y87" s="90" t="str">
        <f t="shared" si="29"/>
        <v/>
      </c>
      <c r="Z87" s="42">
        <f>IF(LEFT($B87,4)="_Mil","",_xlfn.IFNA(ROUND(INDEX(Spectrum!$N:$N,MATCH(RIGHT($B87,13)&amp;"|"&amp;$C87&amp;"|"&amp;$D87&amp;"|"&amp;Z$14&amp;"|"&amp;"CY2023Q3",Spectrum!$R:$R,0)),0),""))</f>
        <v>1318</v>
      </c>
      <c r="AA87" s="90">
        <f>IF(LEFT($B87,4)="_Mil","",IFERROR(1/(1/INDEX(Spectrum!$N:$N,MATCH(RIGHT($B87,13)&amp;"|"&amp;$C87&amp;"|"&amp;$D87&amp;"|"&amp;AA$14&amp;"|"&amp;"CY2023Q3",Spectrum!$R:$R,0))),IF(SUM($U87)=0,"",SUM($Z87)/$U87)))</f>
        <v>1421</v>
      </c>
      <c r="AB87" s="90">
        <f t="shared" si="30"/>
        <v>2.2842287694974002</v>
      </c>
      <c r="AC87" s="14">
        <f>IF(LEFT($B87,4)="_Mil","",_xlfn.IFNA(ROUND(INDEX(Spectrum!$N:$N,MATCH(RIGHT($B87,13)&amp;"|"&amp;$C87&amp;"|"&amp;$D87&amp;"|"&amp;AC$14&amp;"|"&amp;"CY2023Q3",Spectrum!$R:$R,0)),0),""))</f>
        <v>1671</v>
      </c>
      <c r="AD87" s="14" t="str">
        <f>IF(LEFT($B87,4)="_Mil","",_xlfn.IFNA(ROUND(INDEX(Spectrum!$N:$N,MATCH(RIGHT($B87,13)&amp;"|"&amp;$C87&amp;"|"&amp;$D87&amp;"|"&amp;AD$14&amp;"|"&amp;"CY2023Q3",Spectrum!$R:$R,0)),0),""))</f>
        <v/>
      </c>
      <c r="AE87" s="90">
        <f t="shared" si="31"/>
        <v>0</v>
      </c>
      <c r="AF87" s="42" t="str">
        <f>IF(LEFT($B87,4)="_Mil","",_xlfn.IFNA(ROUND(INDEX(Spectrum!$N:$N,MATCH(RIGHT($B87,13)&amp;"|"&amp;$C87&amp;"|"&amp;$D87&amp;"|"&amp;AF$14&amp;"|"&amp;"CY2023Q3",Spectrum!$R:$R,0)),0),""))</f>
        <v/>
      </c>
      <c r="AG87" s="90" t="str">
        <f t="shared" si="32"/>
        <v/>
      </c>
      <c r="AH87" s="88" t="str">
        <f>IF(LEFT($B87,4)="_Mil","",_xlfn.IFNA(INDEX(Spectrum!$N:$N,MATCH(RIGHT($B87,13)&amp;"|"&amp;$C87&amp;"|"&amp;$D87&amp;"|"&amp;AH$14&amp;"|"&amp;"CY2023Q3",Spectrum!$R:$R,0)),""))</f>
        <v/>
      </c>
      <c r="AI87" s="14" t="str">
        <f>IF(LEFT($B87,4)="_Mil","",_xlfn.IFNA(ROUND(INDEX(Spectrum!$N:$N,MATCH(RIGHT($B87,13)&amp;"|"&amp;$C87&amp;"|"&amp;$D87&amp;"|"&amp;AI$14&amp;"|"&amp;"CY2023Q3",Spectrum!$R:$R,0)),0),""))</f>
        <v/>
      </c>
      <c r="AJ87" s="42">
        <f>IF(LEFT($B87,4)="_Mil","",_xlfn.IFNA(ROUND(INDEX(Spectrum!$N:$N,MATCH(RIGHT($B87,13)&amp;"|"&amp;$C87&amp;"|"&amp;$D87&amp;"|"&amp;AI$14&amp;"|"&amp;"CY2023Q3",Spectrum!$R:$R,0)),0),SUM($U87)+SUM($AI87)))</f>
        <v>0</v>
      </c>
      <c r="AK87" s="14" t="str">
        <f>IF(LEFT($B87,4)="_Mil","",_xlfn.IFNA(ROUND(INDEX(Spectrum!$N:$N,MATCH(RIGHT($B87,13)&amp;"|"&amp;$C87&amp;"|"&amp;$D87&amp;"|"&amp;AK$14&amp;"|"&amp;"CY2023Q3",Spectrum!$R:$R,0)),0),""))</f>
        <v/>
      </c>
      <c r="AL87" s="90">
        <f t="shared" si="33"/>
        <v>1421</v>
      </c>
      <c r="AM87" s="14">
        <f t="shared" si="34"/>
        <v>0</v>
      </c>
      <c r="AN87" s="14" t="str">
        <f>IF($C87="&lt;01",ROUND(INDEX(EID!$P:$P,MATCH($B87,EID!$B:$B,0))/2,0),"")</f>
        <v/>
      </c>
      <c r="AO87" s="14">
        <f t="shared" si="35"/>
        <v>0</v>
      </c>
      <c r="AP87" s="42">
        <f t="shared" si="36"/>
        <v>0</v>
      </c>
      <c r="AQ87" s="42">
        <f t="shared" si="37"/>
        <v>1318</v>
      </c>
      <c r="AR87" s="90" t="str">
        <f t="shared" si="38"/>
        <v/>
      </c>
      <c r="AS87" s="90">
        <f t="shared" si="25"/>
        <v>0.98</v>
      </c>
      <c r="AT87" s="90">
        <f t="shared" si="25"/>
        <v>0.98</v>
      </c>
      <c r="AU87" s="14">
        <f t="shared" si="39"/>
        <v>0</v>
      </c>
      <c r="AV87" s="14">
        <f>IF($C87="&lt;01",ROUND(INDEX(EID!$N:$N,MATCH($B87,EID!$B:$B,0))/2,0),IF(SUM($AT87)=0,"",ROUND((SUM($AP87)-(SUM($O87)*SUM($AS87)))/$AT87,0)))</f>
        <v>0</v>
      </c>
      <c r="AW87" s="90">
        <f t="shared" si="40"/>
        <v>1</v>
      </c>
      <c r="AX87" s="42">
        <f t="shared" si="41"/>
        <v>0</v>
      </c>
      <c r="AY87" s="116">
        <f t="shared" si="42"/>
        <v>0.7</v>
      </c>
      <c r="AZ87" s="93">
        <f>IF($C87="&lt;01",ROUND(INDEX(EID!$R:$R,MATCH($B87,EID!$B:$B,0))/2,0),ROUND(SUM($O87)+(SUM($AV87)*$AY87),0))</f>
        <v>0</v>
      </c>
      <c r="BA87" s="89">
        <f t="shared" si="43"/>
        <v>0.95</v>
      </c>
      <c r="BB87" s="9">
        <f>IF($C87="&lt;01",ROUND(INDEX(EID!$T:$T,MATCH($B87,EID!$B:$B,0))/2,0),ROUND($AZ87*$BA87,0))</f>
        <v>0</v>
      </c>
      <c r="BC87" s="93">
        <f t="shared" si="44"/>
        <v>0</v>
      </c>
      <c r="BD87" s="90">
        <f t="shared" si="45"/>
        <v>0.95</v>
      </c>
      <c r="BE87" s="42">
        <f>IF($C87="&lt;01",ROUND(INDEX(EID!$V:$V,MATCH($B87,EID!$B:$B,0))/2,0),ROUND($BD87*$BB87,0))</f>
        <v>0</v>
      </c>
      <c r="BF87" s="42">
        <f t="shared" si="46"/>
        <v>0</v>
      </c>
      <c r="BG87" s="116">
        <f t="shared" si="47"/>
        <v>0.95</v>
      </c>
      <c r="BH87" s="9">
        <f>IF($C87="&lt;01",ROUND(INDEX(EID!$L:$L,MATCH($B87,EID!$B:$B,0)),0)/2,IF(SUM($BG87)=0,"",ROUND($AX87/$BG87,0)))</f>
        <v>0</v>
      </c>
    </row>
    <row r="88" spans="1:60" x14ac:dyDescent="0.2">
      <c r="A88" t="str">
        <f>INDEX(Prioritization!$D:$D,MATCH($B88,Prioritization!$A:$A,0))</f>
        <v>1 - Scale-up: Saturation</v>
      </c>
      <c r="B88" t="s">
        <v>198</v>
      </c>
      <c r="C88" t="s">
        <v>362</v>
      </c>
      <c r="D88" t="s">
        <v>47</v>
      </c>
      <c r="E88" t="str">
        <f t="shared" si="26"/>
        <v>Mchinji District [kxuuIFpOXyO]|01-09|Male</v>
      </c>
      <c r="F88" s="14"/>
      <c r="G88" s="14"/>
      <c r="H88" s="14"/>
      <c r="I88" s="14"/>
      <c r="J88" s="14"/>
      <c r="K88" s="14"/>
      <c r="L88" s="14"/>
      <c r="M88" s="14"/>
      <c r="N88" s="14"/>
      <c r="O88" s="14" t="str">
        <f t="shared" si="27"/>
        <v/>
      </c>
      <c r="P88" s="14"/>
      <c r="Q88" s="14"/>
      <c r="R88" s="14" t="str">
        <f t="shared" si="28"/>
        <v/>
      </c>
      <c r="S88" s="14">
        <f>IF(LEFT($B88,4)="_Mil","",_xlfn.IFNA(ROUND(INDEX(Spectrum!$N:$N,MATCH(RIGHT($B88,13)&amp;"|"&amp;$C88&amp;"|"&amp;$D88&amp;"|"&amp;S$14&amp;"|"&amp;"CY2022Q4",Spectrum!$R:$R,0)),0),""))</f>
        <v>1340</v>
      </c>
      <c r="T88" s="42">
        <f>IF(LEFT($B88,4)="_Mil","",_xlfn.IFNA(ROUND(INDEX(Spectrum!$N:$N,MATCH(RIGHT($B88,13)&amp;"|"&amp;$C88&amp;"|"&amp;$D88&amp;"|"&amp;T$14&amp;"|"&amp;"CY2023Q3",Spectrum!$R:$R,0)),0),""))</f>
        <v>1219</v>
      </c>
      <c r="U88" s="42" t="str">
        <f>IF(LEFT($B88,4)="_Mil","",_xlfn.IFNA(ROUND(INDEX(Spectrum!$N:$N,MATCH(RIGHT($B88,13)&amp;"|"&amp;$C88&amp;"|"&amp;$D88&amp;"|"&amp;U$14&amp;"|"&amp;"CY2023Q3",Spectrum!$R:$R,0)),0),""))</f>
        <v/>
      </c>
      <c r="V88" s="14">
        <f>IF(LEFT($B88,4)="_Mil","",_xlfn.IFNA(ROUND(INDEX(Spectrum!$N:$N,MATCH(RIGHT($B88,13)&amp;"|"&amp;$C88&amp;"|"&amp;$D88&amp;"|"&amp;V$14&amp;"|"&amp;"CY2023Q3",Spectrum!$R:$R,0)),0),""))</f>
        <v>1555</v>
      </c>
      <c r="W88" s="115">
        <f>IF(LEFT($B88,4)="_Mil","",_xlfn.IFNA(INDEX(Spectrum!$N:$N,MATCH(RIGHT($B88,13)&amp;"|"&amp;$C88&amp;"|"&amp;$D88&amp;"|"&amp;W$14&amp;"|"&amp;"CY2023Q3",Spectrum!$R:$R,0)),""))</f>
        <v>1930</v>
      </c>
      <c r="X88" s="42">
        <f>IF(LEFT($B88,4)="_Mil","",_xlfn.IFNA(ROUND(INDEX(Spectrum!$N:$N,MATCH(RIGHT($B88,13)&amp;"|"&amp;$C88&amp;"|"&amp;$D88&amp;"|"&amp;X$14&amp;"|"&amp;"CY2023Q3",Spectrum!$R:$R,0)),0),""))</f>
        <v>1728</v>
      </c>
      <c r="Y88" s="90" t="str">
        <f t="shared" si="29"/>
        <v/>
      </c>
      <c r="Z88" s="42">
        <f>IF(LEFT($B88,4)="_Mil","",_xlfn.IFNA(ROUND(INDEX(Spectrum!$N:$N,MATCH(RIGHT($B88,13)&amp;"|"&amp;$C88&amp;"|"&amp;$D88&amp;"|"&amp;Z$14&amp;"|"&amp;"CY2023Q3",Spectrum!$R:$R,0)),0),""))</f>
        <v>1923</v>
      </c>
      <c r="AA88" s="90">
        <f>IF(LEFT($B88,4)="_Mil","",IFERROR(1/(1/INDEX(Spectrum!$N:$N,MATCH(RIGHT($B88,13)&amp;"|"&amp;$C88&amp;"|"&amp;$D88&amp;"|"&amp;AA$14&amp;"|"&amp;"CY2023Q3",Spectrum!$R:$R,0))),IF(SUM($U88)=0,"",SUM($Z88)/$U88)))</f>
        <v>1003.0000000000001</v>
      </c>
      <c r="AB88" s="90">
        <f t="shared" si="30"/>
        <v>1.1128472222222223</v>
      </c>
      <c r="AC88" s="14">
        <f>IF(LEFT($B88,4)="_Mil","",_xlfn.IFNA(ROUND(INDEX(Spectrum!$N:$N,MATCH(RIGHT($B88,13)&amp;"|"&amp;$C88&amp;"|"&amp;$D88&amp;"|"&amp;AC$14&amp;"|"&amp;"CY2023Q3",Spectrum!$R:$R,0)),0),""))</f>
        <v>659</v>
      </c>
      <c r="AD88" s="14" t="str">
        <f>IF(LEFT($B88,4)="_Mil","",_xlfn.IFNA(ROUND(INDEX(Spectrum!$N:$N,MATCH(RIGHT($B88,13)&amp;"|"&amp;$C88&amp;"|"&amp;$D88&amp;"|"&amp;AD$14&amp;"|"&amp;"CY2023Q3",Spectrum!$R:$R,0)),0),""))</f>
        <v/>
      </c>
      <c r="AE88" s="90">
        <f t="shared" si="31"/>
        <v>0</v>
      </c>
      <c r="AF88" s="42" t="str">
        <f>IF(LEFT($B88,4)="_Mil","",_xlfn.IFNA(ROUND(INDEX(Spectrum!$N:$N,MATCH(RIGHT($B88,13)&amp;"|"&amp;$C88&amp;"|"&amp;$D88&amp;"|"&amp;AF$14&amp;"|"&amp;"CY2023Q3",Spectrum!$R:$R,0)),0),""))</f>
        <v/>
      </c>
      <c r="AG88" s="90" t="str">
        <f t="shared" si="32"/>
        <v/>
      </c>
      <c r="AH88" s="88" t="str">
        <f>IF(LEFT($B88,4)="_Mil","",_xlfn.IFNA(INDEX(Spectrum!$N:$N,MATCH(RIGHT($B88,13)&amp;"|"&amp;$C88&amp;"|"&amp;$D88&amp;"|"&amp;AH$14&amp;"|"&amp;"CY2023Q3",Spectrum!$R:$R,0)),""))</f>
        <v/>
      </c>
      <c r="AI88" s="14" t="str">
        <f>IF(LEFT($B88,4)="_Mil","",_xlfn.IFNA(ROUND(INDEX(Spectrum!$N:$N,MATCH(RIGHT($B88,13)&amp;"|"&amp;$C88&amp;"|"&amp;$D88&amp;"|"&amp;AI$14&amp;"|"&amp;"CY2023Q3",Spectrum!$R:$R,0)),0),""))</f>
        <v/>
      </c>
      <c r="AJ88" s="42">
        <f>IF(LEFT($B88,4)="_Mil","",_xlfn.IFNA(ROUND(INDEX(Spectrum!$N:$N,MATCH(RIGHT($B88,13)&amp;"|"&amp;$C88&amp;"|"&amp;$D88&amp;"|"&amp;AI$14&amp;"|"&amp;"CY2023Q3",Spectrum!$R:$R,0)),0),SUM($U88)+SUM($AI88)))</f>
        <v>0</v>
      </c>
      <c r="AK88" s="14" t="str">
        <f>IF(LEFT($B88,4)="_Mil","",_xlfn.IFNA(ROUND(INDEX(Spectrum!$N:$N,MATCH(RIGHT($B88,13)&amp;"|"&amp;$C88&amp;"|"&amp;$D88&amp;"|"&amp;AK$14&amp;"|"&amp;"CY2023Q3",Spectrum!$R:$R,0)),0),""))</f>
        <v/>
      </c>
      <c r="AL88" s="90">
        <f t="shared" si="33"/>
        <v>1003.0000000000001</v>
      </c>
      <c r="AM88" s="14">
        <f t="shared" si="34"/>
        <v>0</v>
      </c>
      <c r="AN88" s="14" t="str">
        <f>IF($C88="&lt;01",ROUND(INDEX(EID!$P:$P,MATCH($B88,EID!$B:$B,0))/2,0),"")</f>
        <v/>
      </c>
      <c r="AO88" s="14">
        <f t="shared" si="35"/>
        <v>0</v>
      </c>
      <c r="AP88" s="42">
        <f t="shared" si="36"/>
        <v>0</v>
      </c>
      <c r="AQ88" s="42">
        <f t="shared" si="37"/>
        <v>1923</v>
      </c>
      <c r="AR88" s="90" t="str">
        <f t="shared" si="38"/>
        <v/>
      </c>
      <c r="AS88" s="90">
        <f t="shared" si="25"/>
        <v>0.98</v>
      </c>
      <c r="AT88" s="90">
        <f t="shared" si="25"/>
        <v>0.98</v>
      </c>
      <c r="AU88" s="14">
        <f t="shared" si="39"/>
        <v>0</v>
      </c>
      <c r="AV88" s="14">
        <f>IF($C88="&lt;01",ROUND(INDEX(EID!$N:$N,MATCH($B88,EID!$B:$B,0))/2,0),IF(SUM($AT88)=0,"",ROUND((SUM($AP88)-(SUM($O88)*SUM($AS88)))/$AT88,0)))</f>
        <v>0</v>
      </c>
      <c r="AW88" s="90">
        <f t="shared" si="40"/>
        <v>1</v>
      </c>
      <c r="AX88" s="42">
        <f t="shared" si="41"/>
        <v>0</v>
      </c>
      <c r="AY88" s="116">
        <f t="shared" si="42"/>
        <v>0.7</v>
      </c>
      <c r="AZ88" s="93">
        <f>IF($C88="&lt;01",ROUND(INDEX(EID!$R:$R,MATCH($B88,EID!$B:$B,0))/2,0),ROUND(SUM($O88)+(SUM($AV88)*$AY88),0))</f>
        <v>0</v>
      </c>
      <c r="BA88" s="89">
        <f t="shared" si="43"/>
        <v>0.95</v>
      </c>
      <c r="BB88" s="9">
        <f>IF($C88="&lt;01",ROUND(INDEX(EID!$T:$T,MATCH($B88,EID!$B:$B,0))/2,0),ROUND($AZ88*$BA88,0))</f>
        <v>0</v>
      </c>
      <c r="BC88" s="93">
        <f t="shared" si="44"/>
        <v>0</v>
      </c>
      <c r="BD88" s="90">
        <f t="shared" si="45"/>
        <v>0.95</v>
      </c>
      <c r="BE88" s="42">
        <f>IF($C88="&lt;01",ROUND(INDEX(EID!$V:$V,MATCH($B88,EID!$B:$B,0))/2,0),ROUND($BD88*$BB88,0))</f>
        <v>0</v>
      </c>
      <c r="BF88" s="42">
        <f t="shared" si="46"/>
        <v>0</v>
      </c>
      <c r="BG88" s="116">
        <f t="shared" si="47"/>
        <v>0.95</v>
      </c>
      <c r="BH88" s="9">
        <f>IF($C88="&lt;01",ROUND(INDEX(EID!$L:$L,MATCH($B88,EID!$B:$B,0)),0)/2,IF(SUM($BG88)=0,"",ROUND($AX88/$BG88,0)))</f>
        <v>0</v>
      </c>
    </row>
    <row r="89" spans="1:60" x14ac:dyDescent="0.2">
      <c r="A89" t="str">
        <f>INDEX(Prioritization!$D:$D,MATCH($B89,Prioritization!$A:$A,0))</f>
        <v>1 - Scale-up: Saturation</v>
      </c>
      <c r="B89" t="s">
        <v>198</v>
      </c>
      <c r="C89" t="s">
        <v>363</v>
      </c>
      <c r="D89" t="s">
        <v>29</v>
      </c>
      <c r="E89" t="str">
        <f t="shared" si="26"/>
        <v>Mchinji District [kxuuIFpOXyO]|10-14|Female</v>
      </c>
      <c r="F89" s="14"/>
      <c r="G89" s="14">
        <v>6</v>
      </c>
      <c r="H89" s="14">
        <v>8</v>
      </c>
      <c r="I89" s="14">
        <v>24</v>
      </c>
      <c r="J89" s="14">
        <v>54</v>
      </c>
      <c r="K89" s="14">
        <v>64</v>
      </c>
      <c r="L89" s="14">
        <v>7</v>
      </c>
      <c r="M89" s="14">
        <v>6</v>
      </c>
      <c r="N89" s="14">
        <v>71</v>
      </c>
      <c r="O89" s="14">
        <f t="shared" si="27"/>
        <v>71</v>
      </c>
      <c r="P89" s="14">
        <v>51</v>
      </c>
      <c r="Q89" s="14">
        <v>37</v>
      </c>
      <c r="R89" s="14">
        <f t="shared" si="28"/>
        <v>47</v>
      </c>
      <c r="S89" s="14">
        <f>IF(LEFT($B89,4)="_Mil","",_xlfn.IFNA(ROUND(INDEX(Spectrum!$N:$N,MATCH(RIGHT($B89,13)&amp;"|"&amp;$C89&amp;"|"&amp;$D89&amp;"|"&amp;S$14&amp;"|"&amp;"CY2022Q4",Spectrum!$R:$R,0)),0),""))</f>
        <v>1295</v>
      </c>
      <c r="T89" s="42">
        <f>IF(LEFT($B89,4)="_Mil","",_xlfn.IFNA(ROUND(INDEX(Spectrum!$N:$N,MATCH(RIGHT($B89,13)&amp;"|"&amp;$C89&amp;"|"&amp;$D89&amp;"|"&amp;T$14&amp;"|"&amp;"CY2023Q3",Spectrum!$R:$R,0)),0),""))</f>
        <v>1546</v>
      </c>
      <c r="U89" s="42" t="str">
        <f>IF(LEFT($B89,4)="_Mil","",_xlfn.IFNA(ROUND(INDEX(Spectrum!$N:$N,MATCH(RIGHT($B89,13)&amp;"|"&amp;$C89&amp;"|"&amp;$D89&amp;"|"&amp;U$14&amp;"|"&amp;"CY2023Q3",Spectrum!$R:$R,0)),0),""))</f>
        <v/>
      </c>
      <c r="V89" s="14">
        <f>IF(LEFT($B89,4)="_Mil","",_xlfn.IFNA(ROUND(INDEX(Spectrum!$N:$N,MATCH(RIGHT($B89,13)&amp;"|"&amp;$C89&amp;"|"&amp;$D89&amp;"|"&amp;V$14&amp;"|"&amp;"CY2023Q3",Spectrum!$R:$R,0)),0),""))</f>
        <v>1401</v>
      </c>
      <c r="W89" s="115">
        <f>IF(LEFT($B89,4)="_Mil","",_xlfn.IFNA(INDEX(Spectrum!$N:$N,MATCH(RIGHT($B89,13)&amp;"|"&amp;$C89&amp;"|"&amp;$D89&amp;"|"&amp;W$14&amp;"|"&amp;"CY2023Q3",Spectrum!$R:$R,0)),""))</f>
        <v>1287</v>
      </c>
      <c r="X89" s="42">
        <f>IF(LEFT($B89,4)="_Mil","",_xlfn.IFNA(ROUND(INDEX(Spectrum!$N:$N,MATCH(RIGHT($B89,13)&amp;"|"&amp;$C89&amp;"|"&amp;$D89&amp;"|"&amp;X$14&amp;"|"&amp;"CY2023Q3",Spectrum!$R:$R,0)),0),""))</f>
        <v>726</v>
      </c>
      <c r="Y89" s="90" t="str">
        <f t="shared" si="29"/>
        <v/>
      </c>
      <c r="Z89" s="42">
        <f>IF(LEFT($B89,4)="_Mil","",_xlfn.IFNA(ROUND(INDEX(Spectrum!$N:$N,MATCH(RIGHT($B89,13)&amp;"|"&amp;$C89&amp;"|"&amp;$D89&amp;"|"&amp;Z$14&amp;"|"&amp;"CY2023Q3",Spectrum!$R:$R,0)),0),""))</f>
        <v>851</v>
      </c>
      <c r="AA89" s="90">
        <f>IF(LEFT($B89,4)="_Mil","",IFERROR(1/(1/INDEX(Spectrum!$N:$N,MATCH(RIGHT($B89,13)&amp;"|"&amp;$C89&amp;"|"&amp;$D89&amp;"|"&amp;AA$14&amp;"|"&amp;"CY2023Q3",Spectrum!$R:$R,0))),IF(SUM($U89)=0,"",SUM($Z89)/$U89)))</f>
        <v>911</v>
      </c>
      <c r="AB89" s="90">
        <f t="shared" si="30"/>
        <v>1.1721763085399448</v>
      </c>
      <c r="AC89" s="14">
        <f>IF(LEFT($B89,4)="_Mil","",_xlfn.IFNA(ROUND(INDEX(Spectrum!$N:$N,MATCH(RIGHT($B89,13)&amp;"|"&amp;$C89&amp;"|"&amp;$D89&amp;"|"&amp;AC$14&amp;"|"&amp;"CY2023Q3",Spectrum!$R:$R,0)),0),""))</f>
        <v>657</v>
      </c>
      <c r="AD89" s="14" t="str">
        <f>IF(LEFT($B89,4)="_Mil","",_xlfn.IFNA(ROUND(INDEX(Spectrum!$N:$N,MATCH(RIGHT($B89,13)&amp;"|"&amp;$C89&amp;"|"&amp;$D89&amp;"|"&amp;AD$14&amp;"|"&amp;"CY2023Q3",Spectrum!$R:$R,0)),0),""))</f>
        <v/>
      </c>
      <c r="AE89" s="90">
        <f t="shared" si="31"/>
        <v>0</v>
      </c>
      <c r="AF89" s="42" t="str">
        <f>IF(LEFT($B89,4)="_Mil","",_xlfn.IFNA(ROUND(INDEX(Spectrum!$N:$N,MATCH(RIGHT($B89,13)&amp;"|"&amp;$C89&amp;"|"&amp;$D89&amp;"|"&amp;AF$14&amp;"|"&amp;"CY2023Q3",Spectrum!$R:$R,0)),0),""))</f>
        <v/>
      </c>
      <c r="AG89" s="90" t="str">
        <f t="shared" si="32"/>
        <v/>
      </c>
      <c r="AH89" s="88" t="str">
        <f>IF(LEFT($B89,4)="_Mil","",_xlfn.IFNA(INDEX(Spectrum!$N:$N,MATCH(RIGHT($B89,13)&amp;"|"&amp;$C89&amp;"|"&amp;$D89&amp;"|"&amp;AH$14&amp;"|"&amp;"CY2023Q3",Spectrum!$R:$R,0)),""))</f>
        <v/>
      </c>
      <c r="AI89" s="14" t="str">
        <f>IF(LEFT($B89,4)="_Mil","",_xlfn.IFNA(ROUND(INDEX(Spectrum!$N:$N,MATCH(RIGHT($B89,13)&amp;"|"&amp;$C89&amp;"|"&amp;$D89&amp;"|"&amp;AI$14&amp;"|"&amp;"CY2023Q3",Spectrum!$R:$R,0)),0),""))</f>
        <v/>
      </c>
      <c r="AJ89" s="42">
        <f>IF(LEFT($B89,4)="_Mil","",_xlfn.IFNA(ROUND(INDEX(Spectrum!$N:$N,MATCH(RIGHT($B89,13)&amp;"|"&amp;$C89&amp;"|"&amp;$D89&amp;"|"&amp;AI$14&amp;"|"&amp;"CY2023Q3",Spectrum!$R:$R,0)),0),SUM($U89)+SUM($AI89)))</f>
        <v>0</v>
      </c>
      <c r="AK89" s="14" t="str">
        <f>IF(LEFT($B89,4)="_Mil","",_xlfn.IFNA(ROUND(INDEX(Spectrum!$N:$N,MATCH(RIGHT($B89,13)&amp;"|"&amp;$C89&amp;"|"&amp;$D89&amp;"|"&amp;AK$14&amp;"|"&amp;"CY2023Q3",Spectrum!$R:$R,0)),0),""))</f>
        <v/>
      </c>
      <c r="AL89" s="90">
        <f t="shared" si="33"/>
        <v>911</v>
      </c>
      <c r="AM89" s="14">
        <f t="shared" si="34"/>
        <v>0</v>
      </c>
      <c r="AN89" s="14" t="str">
        <f>IF($C89="&lt;01",ROUND(INDEX(EID!$P:$P,MATCH($B89,EID!$B:$B,0))/2,0),"")</f>
        <v/>
      </c>
      <c r="AO89" s="14">
        <f t="shared" si="35"/>
        <v>0</v>
      </c>
      <c r="AP89" s="42">
        <f t="shared" si="36"/>
        <v>0</v>
      </c>
      <c r="AQ89" s="42">
        <f t="shared" si="37"/>
        <v>851</v>
      </c>
      <c r="AR89" s="90" t="str">
        <f t="shared" si="38"/>
        <v/>
      </c>
      <c r="AS89" s="90">
        <f t="shared" si="25"/>
        <v>0.98</v>
      </c>
      <c r="AT89" s="90">
        <f t="shared" si="25"/>
        <v>0.98</v>
      </c>
      <c r="AU89" s="14">
        <f t="shared" si="39"/>
        <v>-71</v>
      </c>
      <c r="AV89" s="14">
        <f>IF($C89="&lt;01",ROUND(INDEX(EID!$N:$N,MATCH($B89,EID!$B:$B,0))/2,0),IF(SUM($AT89)=0,"",ROUND((SUM($AP89)-(SUM($O89)*SUM($AS89)))/$AT89,0)))</f>
        <v>-71</v>
      </c>
      <c r="AW89" s="90">
        <f t="shared" si="40"/>
        <v>1</v>
      </c>
      <c r="AX89" s="42">
        <f t="shared" si="41"/>
        <v>-71</v>
      </c>
      <c r="AY89" s="116">
        <f t="shared" si="42"/>
        <v>0.7</v>
      </c>
      <c r="AZ89" s="93">
        <f>IF($C89="&lt;01",ROUND(INDEX(EID!$R:$R,MATCH($B89,EID!$B:$B,0))/2,0),ROUND(SUM($O89)+(SUM($AV89)*$AY89),0))</f>
        <v>21</v>
      </c>
      <c r="BA89" s="89">
        <f t="shared" si="43"/>
        <v>0.95</v>
      </c>
      <c r="BB89" s="9">
        <f>IF($C89="&lt;01",ROUND(INDEX(EID!$T:$T,MATCH($B89,EID!$B:$B,0))/2,0),ROUND($AZ89*$BA89,0))</f>
        <v>20</v>
      </c>
      <c r="BC89" s="93">
        <f t="shared" si="44"/>
        <v>20</v>
      </c>
      <c r="BD89" s="90">
        <f t="shared" si="45"/>
        <v>0.95</v>
      </c>
      <c r="BE89" s="42">
        <f>IF($C89="&lt;01",ROUND(INDEX(EID!$V:$V,MATCH($B89,EID!$B:$B,0))/2,0),ROUND($BD89*$BB89,0))</f>
        <v>19</v>
      </c>
      <c r="BF89" s="42">
        <f t="shared" si="46"/>
        <v>19</v>
      </c>
      <c r="BG89" s="116">
        <f t="shared" si="47"/>
        <v>0.95</v>
      </c>
      <c r="BH89" s="9">
        <f>IF($C89="&lt;01",ROUND(INDEX(EID!$L:$L,MATCH($B89,EID!$B:$B,0)),0)/2,IF(SUM($BG89)=0,"",ROUND($AX89/$BG89,0)))</f>
        <v>-75</v>
      </c>
    </row>
    <row r="90" spans="1:60" x14ac:dyDescent="0.2">
      <c r="A90" t="str">
        <f>INDEX(Prioritization!$D:$D,MATCH($B90,Prioritization!$A:$A,0))</f>
        <v>1 - Scale-up: Saturation</v>
      </c>
      <c r="B90" t="s">
        <v>198</v>
      </c>
      <c r="C90" t="s">
        <v>363</v>
      </c>
      <c r="D90" t="s">
        <v>47</v>
      </c>
      <c r="E90" t="str">
        <f t="shared" si="26"/>
        <v>Mchinji District [kxuuIFpOXyO]|10-14|Male</v>
      </c>
      <c r="F90" s="14"/>
      <c r="G90" s="14">
        <v>8</v>
      </c>
      <c r="H90" s="14">
        <v>4</v>
      </c>
      <c r="I90" s="14">
        <v>89</v>
      </c>
      <c r="J90" s="14">
        <v>79</v>
      </c>
      <c r="K90" s="14">
        <v>91</v>
      </c>
      <c r="L90" s="14">
        <v>6</v>
      </c>
      <c r="M90" s="14">
        <v>7</v>
      </c>
      <c r="N90" s="14">
        <v>45</v>
      </c>
      <c r="O90" s="14">
        <f t="shared" si="27"/>
        <v>89</v>
      </c>
      <c r="P90" s="14">
        <v>81</v>
      </c>
      <c r="Q90" s="14">
        <v>71</v>
      </c>
      <c r="R90" s="14">
        <f t="shared" si="28"/>
        <v>0</v>
      </c>
      <c r="S90" s="14">
        <f>IF(LEFT($B90,4)="_Mil","",_xlfn.IFNA(ROUND(INDEX(Spectrum!$N:$N,MATCH(RIGHT($B90,13)&amp;"|"&amp;$C90&amp;"|"&amp;$D90&amp;"|"&amp;S$14&amp;"|"&amp;"CY2022Q4",Spectrum!$R:$R,0)),0),""))</f>
        <v>1116</v>
      </c>
      <c r="T90" s="42">
        <f>IF(LEFT($B90,4)="_Mil","",_xlfn.IFNA(ROUND(INDEX(Spectrum!$N:$N,MATCH(RIGHT($B90,13)&amp;"|"&amp;$C90&amp;"|"&amp;$D90&amp;"|"&amp;T$14&amp;"|"&amp;"CY2023Q3",Spectrum!$R:$R,0)),0),""))</f>
        <v>603</v>
      </c>
      <c r="U90" s="42" t="str">
        <f>IF(LEFT($B90,4)="_Mil","",_xlfn.IFNA(ROUND(INDEX(Spectrum!$N:$N,MATCH(RIGHT($B90,13)&amp;"|"&amp;$C90&amp;"|"&amp;$D90&amp;"|"&amp;U$14&amp;"|"&amp;"CY2023Q3",Spectrum!$R:$R,0)),0),""))</f>
        <v/>
      </c>
      <c r="V90" s="14">
        <f>IF(LEFT($B90,4)="_Mil","",_xlfn.IFNA(ROUND(INDEX(Spectrum!$N:$N,MATCH(RIGHT($B90,13)&amp;"|"&amp;$C90&amp;"|"&amp;$D90&amp;"|"&amp;V$14&amp;"|"&amp;"CY2023Q3",Spectrum!$R:$R,0)),0),""))</f>
        <v>1726</v>
      </c>
      <c r="W90" s="115">
        <f>IF(LEFT($B90,4)="_Mil","",_xlfn.IFNA(INDEX(Spectrum!$N:$N,MATCH(RIGHT($B90,13)&amp;"|"&amp;$C90&amp;"|"&amp;$D90&amp;"|"&amp;W$14&amp;"|"&amp;"CY2023Q3",Spectrum!$R:$R,0)),""))</f>
        <v>1440</v>
      </c>
      <c r="X90" s="42">
        <f>IF(LEFT($B90,4)="_Mil","",_xlfn.IFNA(ROUND(INDEX(Spectrum!$N:$N,MATCH(RIGHT($B90,13)&amp;"|"&amp;$C90&amp;"|"&amp;$D90&amp;"|"&amp;X$14&amp;"|"&amp;"CY2023Q3",Spectrum!$R:$R,0)),0),""))</f>
        <v>801</v>
      </c>
      <c r="Y90" s="90" t="str">
        <f t="shared" si="29"/>
        <v/>
      </c>
      <c r="Z90" s="42">
        <f>IF(LEFT($B90,4)="_Mil","",_xlfn.IFNA(ROUND(INDEX(Spectrum!$N:$N,MATCH(RIGHT($B90,13)&amp;"|"&amp;$C90&amp;"|"&amp;$D90&amp;"|"&amp;Z$14&amp;"|"&amp;"CY2023Q3",Spectrum!$R:$R,0)),0),""))</f>
        <v>1262</v>
      </c>
      <c r="AA90" s="90">
        <f>IF(LEFT($B90,4)="_Mil","",IFERROR(1/(1/INDEX(Spectrum!$N:$N,MATCH(RIGHT($B90,13)&amp;"|"&amp;$C90&amp;"|"&amp;$D90&amp;"|"&amp;AA$14&amp;"|"&amp;"CY2023Q3",Spectrum!$R:$R,0))),IF(SUM($U90)=0,"",SUM($Z90)/$U90)))</f>
        <v>1496</v>
      </c>
      <c r="AB90" s="90">
        <f t="shared" si="30"/>
        <v>1.5755305867665419</v>
      </c>
      <c r="AC90" s="14">
        <f>IF(LEFT($B90,4)="_Mil","",_xlfn.IFNA(ROUND(INDEX(Spectrum!$N:$N,MATCH(RIGHT($B90,13)&amp;"|"&amp;$C90&amp;"|"&amp;$D90&amp;"|"&amp;AC$14&amp;"|"&amp;"CY2023Q3",Spectrum!$R:$R,0)),0),""))</f>
        <v>1437</v>
      </c>
      <c r="AD90" s="14" t="str">
        <f>IF(LEFT($B90,4)="_Mil","",_xlfn.IFNA(ROUND(INDEX(Spectrum!$N:$N,MATCH(RIGHT($B90,13)&amp;"|"&amp;$C90&amp;"|"&amp;$D90&amp;"|"&amp;AD$14&amp;"|"&amp;"CY2023Q3",Spectrum!$R:$R,0)),0),""))</f>
        <v/>
      </c>
      <c r="AE90" s="90">
        <f t="shared" si="31"/>
        <v>0</v>
      </c>
      <c r="AF90" s="42" t="str">
        <f>IF(LEFT($B90,4)="_Mil","",_xlfn.IFNA(ROUND(INDEX(Spectrum!$N:$N,MATCH(RIGHT($B90,13)&amp;"|"&amp;$C90&amp;"|"&amp;$D90&amp;"|"&amp;AF$14&amp;"|"&amp;"CY2023Q3",Spectrum!$R:$R,0)),0),""))</f>
        <v/>
      </c>
      <c r="AG90" s="90" t="str">
        <f t="shared" si="32"/>
        <v/>
      </c>
      <c r="AH90" s="88" t="str">
        <f>IF(LEFT($B90,4)="_Mil","",_xlfn.IFNA(INDEX(Spectrum!$N:$N,MATCH(RIGHT($B90,13)&amp;"|"&amp;$C90&amp;"|"&amp;$D90&amp;"|"&amp;AH$14&amp;"|"&amp;"CY2023Q3",Spectrum!$R:$R,0)),""))</f>
        <v/>
      </c>
      <c r="AI90" s="14" t="str">
        <f>IF(LEFT($B90,4)="_Mil","",_xlfn.IFNA(ROUND(INDEX(Spectrum!$N:$N,MATCH(RIGHT($B90,13)&amp;"|"&amp;$C90&amp;"|"&amp;$D90&amp;"|"&amp;AI$14&amp;"|"&amp;"CY2023Q3",Spectrum!$R:$R,0)),0),""))</f>
        <v/>
      </c>
      <c r="AJ90" s="42">
        <f>IF(LEFT($B90,4)="_Mil","",_xlfn.IFNA(ROUND(INDEX(Spectrum!$N:$N,MATCH(RIGHT($B90,13)&amp;"|"&amp;$C90&amp;"|"&amp;$D90&amp;"|"&amp;AI$14&amp;"|"&amp;"CY2023Q3",Spectrum!$R:$R,0)),0),SUM($U90)+SUM($AI90)))</f>
        <v>0</v>
      </c>
      <c r="AK90" s="14" t="str">
        <f>IF(LEFT($B90,4)="_Mil","",_xlfn.IFNA(ROUND(INDEX(Spectrum!$N:$N,MATCH(RIGHT($B90,13)&amp;"|"&amp;$C90&amp;"|"&amp;$D90&amp;"|"&amp;AK$14&amp;"|"&amp;"CY2023Q3",Spectrum!$R:$R,0)),0),""))</f>
        <v/>
      </c>
      <c r="AL90" s="90">
        <f t="shared" si="33"/>
        <v>1496</v>
      </c>
      <c r="AM90" s="14">
        <f t="shared" si="34"/>
        <v>0</v>
      </c>
      <c r="AN90" s="14" t="str">
        <f>IF($C90="&lt;01",ROUND(INDEX(EID!$P:$P,MATCH($B90,EID!$B:$B,0))/2,0),"")</f>
        <v/>
      </c>
      <c r="AO90" s="14">
        <f t="shared" si="35"/>
        <v>0</v>
      </c>
      <c r="AP90" s="42">
        <f t="shared" si="36"/>
        <v>0</v>
      </c>
      <c r="AQ90" s="42">
        <f t="shared" si="37"/>
        <v>1262</v>
      </c>
      <c r="AR90" s="90" t="str">
        <f t="shared" si="38"/>
        <v/>
      </c>
      <c r="AS90" s="90">
        <f t="shared" si="25"/>
        <v>0.98</v>
      </c>
      <c r="AT90" s="90">
        <f t="shared" si="25"/>
        <v>0.98</v>
      </c>
      <c r="AU90" s="14">
        <f t="shared" si="39"/>
        <v>-89</v>
      </c>
      <c r="AV90" s="14">
        <f>IF($C90="&lt;01",ROUND(INDEX(EID!$N:$N,MATCH($B90,EID!$B:$B,0))/2,0),IF(SUM($AT90)=0,"",ROUND((SUM($AP90)-(SUM($O90)*SUM($AS90)))/$AT90,0)))</f>
        <v>-89</v>
      </c>
      <c r="AW90" s="90">
        <f t="shared" si="40"/>
        <v>1</v>
      </c>
      <c r="AX90" s="42">
        <f t="shared" si="41"/>
        <v>-89</v>
      </c>
      <c r="AY90" s="116">
        <f t="shared" si="42"/>
        <v>0.7</v>
      </c>
      <c r="AZ90" s="93">
        <f>IF($C90="&lt;01",ROUND(INDEX(EID!$R:$R,MATCH($B90,EID!$B:$B,0))/2,0),ROUND(SUM($O90)+(SUM($AV90)*$AY90),0))</f>
        <v>27</v>
      </c>
      <c r="BA90" s="89">
        <f t="shared" si="43"/>
        <v>0.95</v>
      </c>
      <c r="BB90" s="9">
        <f>IF($C90="&lt;01",ROUND(INDEX(EID!$T:$T,MATCH($B90,EID!$B:$B,0))/2,0),ROUND($AZ90*$BA90,0))</f>
        <v>26</v>
      </c>
      <c r="BC90" s="93">
        <f t="shared" si="44"/>
        <v>26</v>
      </c>
      <c r="BD90" s="90">
        <f t="shared" si="45"/>
        <v>0.95</v>
      </c>
      <c r="BE90" s="42">
        <f>IF($C90="&lt;01",ROUND(INDEX(EID!$V:$V,MATCH($B90,EID!$B:$B,0))/2,0),ROUND($BD90*$BB90,0))</f>
        <v>25</v>
      </c>
      <c r="BF90" s="42">
        <f t="shared" si="46"/>
        <v>25</v>
      </c>
      <c r="BG90" s="116">
        <f t="shared" si="47"/>
        <v>0.95</v>
      </c>
      <c r="BH90" s="9">
        <f>IF($C90="&lt;01",ROUND(INDEX(EID!$L:$L,MATCH($B90,EID!$B:$B,0)),0)/2,IF(SUM($BG90)=0,"",ROUND($AX90/$BG90,0)))</f>
        <v>-94</v>
      </c>
    </row>
    <row r="91" spans="1:60" x14ac:dyDescent="0.2">
      <c r="A91" t="str">
        <f>INDEX(Prioritization!$D:$D,MATCH($B91,Prioritization!$A:$A,0))</f>
        <v>1 - Scale-up: Saturation</v>
      </c>
      <c r="B91" t="s">
        <v>198</v>
      </c>
      <c r="C91" t="s">
        <v>364</v>
      </c>
      <c r="D91" t="s">
        <v>29</v>
      </c>
      <c r="E91" t="str">
        <f t="shared" si="26"/>
        <v>Mchinji District [kxuuIFpOXyO]|15-24|Female</v>
      </c>
      <c r="F91" s="14"/>
      <c r="G91" s="14"/>
      <c r="H91" s="14"/>
      <c r="I91" s="14"/>
      <c r="J91" s="14"/>
      <c r="K91" s="14"/>
      <c r="L91" s="14"/>
      <c r="M91" s="14"/>
      <c r="N91" s="14"/>
      <c r="O91" s="14" t="str">
        <f t="shared" si="27"/>
        <v/>
      </c>
      <c r="P91" s="14"/>
      <c r="Q91" s="14"/>
      <c r="R91" s="14" t="str">
        <f t="shared" si="28"/>
        <v/>
      </c>
      <c r="S91" s="14">
        <f>IF(LEFT($B91,4)="_Mil","",_xlfn.IFNA(ROUND(INDEX(Spectrum!$N:$N,MATCH(RIGHT($B91,13)&amp;"|"&amp;$C91&amp;"|"&amp;$D91&amp;"|"&amp;S$14&amp;"|"&amp;"CY2022Q4",Spectrum!$R:$R,0)),0),""))</f>
        <v>680</v>
      </c>
      <c r="T91" s="42">
        <f>IF(LEFT($B91,4)="_Mil","",_xlfn.IFNA(ROUND(INDEX(Spectrum!$N:$N,MATCH(RIGHT($B91,13)&amp;"|"&amp;$C91&amp;"|"&amp;$D91&amp;"|"&amp;T$14&amp;"|"&amp;"CY2023Q3",Spectrum!$R:$R,0)),0),""))</f>
        <v>794</v>
      </c>
      <c r="U91" s="42" t="str">
        <f>IF(LEFT($B91,4)="_Mil","",_xlfn.IFNA(ROUND(INDEX(Spectrum!$N:$N,MATCH(RIGHT($B91,13)&amp;"|"&amp;$C91&amp;"|"&amp;$D91&amp;"|"&amp;U$14&amp;"|"&amp;"CY2023Q3",Spectrum!$R:$R,0)),0),""))</f>
        <v/>
      </c>
      <c r="V91" s="14">
        <f>IF(LEFT($B91,4)="_Mil","",_xlfn.IFNA(ROUND(INDEX(Spectrum!$N:$N,MATCH(RIGHT($B91,13)&amp;"|"&amp;$C91&amp;"|"&amp;$D91&amp;"|"&amp;V$14&amp;"|"&amp;"CY2023Q3",Spectrum!$R:$R,0)),0),""))</f>
        <v>560</v>
      </c>
      <c r="W91" s="115">
        <f>IF(LEFT($B91,4)="_Mil","",_xlfn.IFNA(INDEX(Spectrum!$N:$N,MATCH(RIGHT($B91,13)&amp;"|"&amp;$C91&amp;"|"&amp;$D91&amp;"|"&amp;W$14&amp;"|"&amp;"CY2023Q3",Spectrum!$R:$R,0)),""))</f>
        <v>1193</v>
      </c>
      <c r="X91" s="42">
        <f>IF(LEFT($B91,4)="_Mil","",_xlfn.IFNA(ROUND(INDEX(Spectrum!$N:$N,MATCH(RIGHT($B91,13)&amp;"|"&amp;$C91&amp;"|"&amp;$D91&amp;"|"&amp;X$14&amp;"|"&amp;"CY2023Q3",Spectrum!$R:$R,0)),0),""))</f>
        <v>789</v>
      </c>
      <c r="Y91" s="90" t="str">
        <f t="shared" si="29"/>
        <v/>
      </c>
      <c r="Z91" s="42">
        <f>IF(LEFT($B91,4)="_Mil","",_xlfn.IFNA(ROUND(INDEX(Spectrum!$N:$N,MATCH(RIGHT($B91,13)&amp;"|"&amp;$C91&amp;"|"&amp;$D91&amp;"|"&amp;Z$14&amp;"|"&amp;"CY2023Q3",Spectrum!$R:$R,0)),0),""))</f>
        <v>647</v>
      </c>
      <c r="AA91" s="90">
        <f>IF(LEFT($B91,4)="_Mil","",IFERROR(1/(1/INDEX(Spectrum!$N:$N,MATCH(RIGHT($B91,13)&amp;"|"&amp;$C91&amp;"|"&amp;$D91&amp;"|"&amp;AA$14&amp;"|"&amp;"CY2023Q3",Spectrum!$R:$R,0))),IF(SUM($U91)=0,"",SUM($Z91)/$U91)))</f>
        <v>1889</v>
      </c>
      <c r="AB91" s="90">
        <f t="shared" si="30"/>
        <v>0.82002534854245879</v>
      </c>
      <c r="AC91" s="14">
        <f>IF(LEFT($B91,4)="_Mil","",_xlfn.IFNA(ROUND(INDEX(Spectrum!$N:$N,MATCH(RIGHT($B91,13)&amp;"|"&amp;$C91&amp;"|"&amp;$D91&amp;"|"&amp;AC$14&amp;"|"&amp;"CY2023Q3",Spectrum!$R:$R,0)),0),""))</f>
        <v>1734</v>
      </c>
      <c r="AD91" s="14" t="str">
        <f>IF(LEFT($B91,4)="_Mil","",_xlfn.IFNA(ROUND(INDEX(Spectrum!$N:$N,MATCH(RIGHT($B91,13)&amp;"|"&amp;$C91&amp;"|"&amp;$D91&amp;"|"&amp;AD$14&amp;"|"&amp;"CY2023Q3",Spectrum!$R:$R,0)),0),""))</f>
        <v/>
      </c>
      <c r="AE91" s="90">
        <f t="shared" si="31"/>
        <v>0</v>
      </c>
      <c r="AF91" s="42" t="str">
        <f>IF(LEFT($B91,4)="_Mil","",_xlfn.IFNA(ROUND(INDEX(Spectrum!$N:$N,MATCH(RIGHT($B91,13)&amp;"|"&amp;$C91&amp;"|"&amp;$D91&amp;"|"&amp;AF$14&amp;"|"&amp;"CY2023Q3",Spectrum!$R:$R,0)),0),""))</f>
        <v/>
      </c>
      <c r="AG91" s="90" t="str">
        <f t="shared" si="32"/>
        <v/>
      </c>
      <c r="AH91" s="88" t="str">
        <f>IF(LEFT($B91,4)="_Mil","",_xlfn.IFNA(INDEX(Spectrum!$N:$N,MATCH(RIGHT($B91,13)&amp;"|"&amp;$C91&amp;"|"&amp;$D91&amp;"|"&amp;AH$14&amp;"|"&amp;"CY2023Q3",Spectrum!$R:$R,0)),""))</f>
        <v/>
      </c>
      <c r="AI91" s="14" t="str">
        <f>IF(LEFT($B91,4)="_Mil","",_xlfn.IFNA(ROUND(INDEX(Spectrum!$N:$N,MATCH(RIGHT($B91,13)&amp;"|"&amp;$C91&amp;"|"&amp;$D91&amp;"|"&amp;AI$14&amp;"|"&amp;"CY2023Q3",Spectrum!$R:$R,0)),0),""))</f>
        <v/>
      </c>
      <c r="AJ91" s="42">
        <f>IF(LEFT($B91,4)="_Mil","",_xlfn.IFNA(ROUND(INDEX(Spectrum!$N:$N,MATCH(RIGHT($B91,13)&amp;"|"&amp;$C91&amp;"|"&amp;$D91&amp;"|"&amp;AI$14&amp;"|"&amp;"CY2023Q3",Spectrum!$R:$R,0)),0),SUM($U91)+SUM($AI91)))</f>
        <v>0</v>
      </c>
      <c r="AK91" s="14" t="str">
        <f>IF(LEFT($B91,4)="_Mil","",_xlfn.IFNA(ROUND(INDEX(Spectrum!$N:$N,MATCH(RIGHT($B91,13)&amp;"|"&amp;$C91&amp;"|"&amp;$D91&amp;"|"&amp;AK$14&amp;"|"&amp;"CY2023Q3",Spectrum!$R:$R,0)),0),""))</f>
        <v/>
      </c>
      <c r="AL91" s="90">
        <f t="shared" si="33"/>
        <v>1889</v>
      </c>
      <c r="AM91" s="14">
        <f t="shared" si="34"/>
        <v>0</v>
      </c>
      <c r="AN91" s="14" t="str">
        <f>IF($C91="&lt;01",ROUND(INDEX(EID!$P:$P,MATCH($B91,EID!$B:$B,0))/2,0),"")</f>
        <v/>
      </c>
      <c r="AO91" s="14">
        <f t="shared" si="35"/>
        <v>0</v>
      </c>
      <c r="AP91" s="42">
        <f t="shared" si="36"/>
        <v>0</v>
      </c>
      <c r="AQ91" s="42">
        <f t="shared" si="37"/>
        <v>647</v>
      </c>
      <c r="AR91" s="90" t="str">
        <f t="shared" si="38"/>
        <v/>
      </c>
      <c r="AS91" s="90">
        <f t="shared" si="25"/>
        <v>0.98</v>
      </c>
      <c r="AT91" s="90">
        <f t="shared" si="25"/>
        <v>0.98</v>
      </c>
      <c r="AU91" s="14">
        <f t="shared" si="39"/>
        <v>0</v>
      </c>
      <c r="AV91" s="14">
        <f>IF($C91="&lt;01",ROUND(INDEX(EID!$N:$N,MATCH($B91,EID!$B:$B,0))/2,0),IF(SUM($AT91)=0,"",ROUND((SUM($AP91)-(SUM($O91)*SUM($AS91)))/$AT91,0)))</f>
        <v>0</v>
      </c>
      <c r="AW91" s="90">
        <f t="shared" si="40"/>
        <v>1</v>
      </c>
      <c r="AX91" s="42">
        <f t="shared" si="41"/>
        <v>0</v>
      </c>
      <c r="AY91" s="116">
        <f t="shared" si="42"/>
        <v>0.7</v>
      </c>
      <c r="AZ91" s="93">
        <f>IF($C91="&lt;01",ROUND(INDEX(EID!$R:$R,MATCH($B91,EID!$B:$B,0))/2,0),ROUND(SUM($O91)+(SUM($AV91)*$AY91),0))</f>
        <v>0</v>
      </c>
      <c r="BA91" s="89">
        <f t="shared" si="43"/>
        <v>0.95</v>
      </c>
      <c r="BB91" s="9">
        <f>IF($C91="&lt;01",ROUND(INDEX(EID!$T:$T,MATCH($B91,EID!$B:$B,0))/2,0),ROUND($AZ91*$BA91,0))</f>
        <v>0</v>
      </c>
      <c r="BC91" s="93">
        <f t="shared" si="44"/>
        <v>0</v>
      </c>
      <c r="BD91" s="90">
        <f t="shared" si="45"/>
        <v>0.95</v>
      </c>
      <c r="BE91" s="42">
        <f>IF($C91="&lt;01",ROUND(INDEX(EID!$V:$V,MATCH($B91,EID!$B:$B,0))/2,0),ROUND($BD91*$BB91,0))</f>
        <v>0</v>
      </c>
      <c r="BF91" s="42">
        <f t="shared" si="46"/>
        <v>0</v>
      </c>
      <c r="BG91" s="116">
        <f t="shared" si="47"/>
        <v>0.95</v>
      </c>
      <c r="BH91" s="9">
        <f>IF($C91="&lt;01",ROUND(INDEX(EID!$L:$L,MATCH($B91,EID!$B:$B,0)),0)/2,IF(SUM($BG91)=0,"",ROUND($AX91/$BG91,0)))</f>
        <v>0</v>
      </c>
    </row>
    <row r="92" spans="1:60" x14ac:dyDescent="0.2">
      <c r="A92" t="str">
        <f>INDEX(Prioritization!$D:$D,MATCH($B92,Prioritization!$A:$A,0))</f>
        <v>1 - Scale-up: Saturation</v>
      </c>
      <c r="B92" t="s">
        <v>198</v>
      </c>
      <c r="C92" t="s">
        <v>364</v>
      </c>
      <c r="D92" t="s">
        <v>47</v>
      </c>
      <c r="E92" t="str">
        <f t="shared" si="26"/>
        <v>Mchinji District [kxuuIFpOXyO]|15-24|Male</v>
      </c>
      <c r="F92" s="14"/>
      <c r="G92" s="14"/>
      <c r="H92" s="14"/>
      <c r="I92" s="14"/>
      <c r="J92" s="14"/>
      <c r="K92" s="14"/>
      <c r="L92" s="14"/>
      <c r="M92" s="14"/>
      <c r="N92" s="14"/>
      <c r="O92" s="14" t="str">
        <f t="shared" si="27"/>
        <v/>
      </c>
      <c r="P92" s="14"/>
      <c r="Q92" s="14"/>
      <c r="R92" s="14" t="str">
        <f t="shared" si="28"/>
        <v/>
      </c>
      <c r="S92" s="14">
        <f>IF(LEFT($B92,4)="_Mil","",_xlfn.IFNA(ROUND(INDEX(Spectrum!$N:$N,MATCH(RIGHT($B92,13)&amp;"|"&amp;$C92&amp;"|"&amp;$D92&amp;"|"&amp;S$14&amp;"|"&amp;"CY2022Q4",Spectrum!$R:$R,0)),0),""))</f>
        <v>726</v>
      </c>
      <c r="T92" s="42">
        <f>IF(LEFT($B92,4)="_Mil","",_xlfn.IFNA(ROUND(INDEX(Spectrum!$N:$N,MATCH(RIGHT($B92,13)&amp;"|"&amp;$C92&amp;"|"&amp;$D92&amp;"|"&amp;T$14&amp;"|"&amp;"CY2023Q3",Spectrum!$R:$R,0)),0),""))</f>
        <v>1499</v>
      </c>
      <c r="U92" s="42" t="str">
        <f>IF(LEFT($B92,4)="_Mil","",_xlfn.IFNA(ROUND(INDEX(Spectrum!$N:$N,MATCH(RIGHT($B92,13)&amp;"|"&amp;$C92&amp;"|"&amp;$D92&amp;"|"&amp;U$14&amp;"|"&amp;"CY2023Q3",Spectrum!$R:$R,0)),0),""))</f>
        <v/>
      </c>
      <c r="V92" s="14">
        <f>IF(LEFT($B92,4)="_Mil","",_xlfn.IFNA(ROUND(INDEX(Spectrum!$N:$N,MATCH(RIGHT($B92,13)&amp;"|"&amp;$C92&amp;"|"&amp;$D92&amp;"|"&amp;V$14&amp;"|"&amp;"CY2023Q3",Spectrum!$R:$R,0)),0),""))</f>
        <v>1994</v>
      </c>
      <c r="W92" s="115">
        <f>IF(LEFT($B92,4)="_Mil","",_xlfn.IFNA(INDEX(Spectrum!$N:$N,MATCH(RIGHT($B92,13)&amp;"|"&amp;$C92&amp;"|"&amp;$D92&amp;"|"&amp;W$14&amp;"|"&amp;"CY2023Q3",Spectrum!$R:$R,0)),""))</f>
        <v>1090</v>
      </c>
      <c r="X92" s="42">
        <f>IF(LEFT($B92,4)="_Mil","",_xlfn.IFNA(ROUND(INDEX(Spectrum!$N:$N,MATCH(RIGHT($B92,13)&amp;"|"&amp;$C92&amp;"|"&amp;$D92&amp;"|"&amp;X$14&amp;"|"&amp;"CY2023Q3",Spectrum!$R:$R,0)),0),""))</f>
        <v>782</v>
      </c>
      <c r="Y92" s="90" t="str">
        <f t="shared" si="29"/>
        <v/>
      </c>
      <c r="Z92" s="42">
        <f>IF(LEFT($B92,4)="_Mil","",_xlfn.IFNA(ROUND(INDEX(Spectrum!$N:$N,MATCH(RIGHT($B92,13)&amp;"|"&amp;$C92&amp;"|"&amp;$D92&amp;"|"&amp;Z$14&amp;"|"&amp;"CY2023Q3",Spectrum!$R:$R,0)),0),""))</f>
        <v>1632</v>
      </c>
      <c r="AA92" s="90">
        <f>IF(LEFT($B92,4)="_Mil","",IFERROR(1/(1/INDEX(Spectrum!$N:$N,MATCH(RIGHT($B92,13)&amp;"|"&amp;$C92&amp;"|"&amp;$D92&amp;"|"&amp;AA$14&amp;"|"&amp;"CY2023Q3",Spectrum!$R:$R,0))),IF(SUM($U92)=0,"",SUM($Z92)/$U92)))</f>
        <v>742</v>
      </c>
      <c r="AB92" s="90">
        <f t="shared" si="30"/>
        <v>2.0869565217391304</v>
      </c>
      <c r="AC92" s="14">
        <f>IF(LEFT($B92,4)="_Mil","",_xlfn.IFNA(ROUND(INDEX(Spectrum!$N:$N,MATCH(RIGHT($B92,13)&amp;"|"&amp;$C92&amp;"|"&amp;$D92&amp;"|"&amp;AC$14&amp;"|"&amp;"CY2023Q3",Spectrum!$R:$R,0)),0),""))</f>
        <v>1045</v>
      </c>
      <c r="AD92" s="14" t="str">
        <f>IF(LEFT($B92,4)="_Mil","",_xlfn.IFNA(ROUND(INDEX(Spectrum!$N:$N,MATCH(RIGHT($B92,13)&amp;"|"&amp;$C92&amp;"|"&amp;$D92&amp;"|"&amp;AD$14&amp;"|"&amp;"CY2023Q3",Spectrum!$R:$R,0)),0),""))</f>
        <v/>
      </c>
      <c r="AE92" s="90">
        <f t="shared" si="31"/>
        <v>0</v>
      </c>
      <c r="AF92" s="42" t="str">
        <f>IF(LEFT($B92,4)="_Mil","",_xlfn.IFNA(ROUND(INDEX(Spectrum!$N:$N,MATCH(RIGHT($B92,13)&amp;"|"&amp;$C92&amp;"|"&amp;$D92&amp;"|"&amp;AF$14&amp;"|"&amp;"CY2023Q3",Spectrum!$R:$R,0)),0),""))</f>
        <v/>
      </c>
      <c r="AG92" s="90" t="str">
        <f t="shared" si="32"/>
        <v/>
      </c>
      <c r="AH92" s="88" t="str">
        <f>IF(LEFT($B92,4)="_Mil","",_xlfn.IFNA(INDEX(Spectrum!$N:$N,MATCH(RIGHT($B92,13)&amp;"|"&amp;$C92&amp;"|"&amp;$D92&amp;"|"&amp;AH$14&amp;"|"&amp;"CY2023Q3",Spectrum!$R:$R,0)),""))</f>
        <v/>
      </c>
      <c r="AI92" s="14" t="str">
        <f>IF(LEFT($B92,4)="_Mil","",_xlfn.IFNA(ROUND(INDEX(Spectrum!$N:$N,MATCH(RIGHT($B92,13)&amp;"|"&amp;$C92&amp;"|"&amp;$D92&amp;"|"&amp;AI$14&amp;"|"&amp;"CY2023Q3",Spectrum!$R:$R,0)),0),""))</f>
        <v/>
      </c>
      <c r="AJ92" s="42">
        <f>IF(LEFT($B92,4)="_Mil","",_xlfn.IFNA(ROUND(INDEX(Spectrum!$N:$N,MATCH(RIGHT($B92,13)&amp;"|"&amp;$C92&amp;"|"&amp;$D92&amp;"|"&amp;AI$14&amp;"|"&amp;"CY2023Q3",Spectrum!$R:$R,0)),0),SUM($U92)+SUM($AI92)))</f>
        <v>0</v>
      </c>
      <c r="AK92" s="14" t="str">
        <f>IF(LEFT($B92,4)="_Mil","",_xlfn.IFNA(ROUND(INDEX(Spectrum!$N:$N,MATCH(RIGHT($B92,13)&amp;"|"&amp;$C92&amp;"|"&amp;$D92&amp;"|"&amp;AK$14&amp;"|"&amp;"CY2023Q3",Spectrum!$R:$R,0)),0),""))</f>
        <v/>
      </c>
      <c r="AL92" s="90">
        <f t="shared" si="33"/>
        <v>742</v>
      </c>
      <c r="AM92" s="14">
        <f t="shared" si="34"/>
        <v>0</v>
      </c>
      <c r="AN92" s="14" t="str">
        <f>IF($C92="&lt;01",ROUND(INDEX(EID!$P:$P,MATCH($B92,EID!$B:$B,0))/2,0),"")</f>
        <v/>
      </c>
      <c r="AO92" s="14">
        <f t="shared" si="35"/>
        <v>0</v>
      </c>
      <c r="AP92" s="42">
        <f t="shared" si="36"/>
        <v>0</v>
      </c>
      <c r="AQ92" s="42">
        <f t="shared" si="37"/>
        <v>1632</v>
      </c>
      <c r="AR92" s="90" t="str">
        <f t="shared" si="38"/>
        <v/>
      </c>
      <c r="AS92" s="90">
        <f t="shared" si="25"/>
        <v>0.98</v>
      </c>
      <c r="AT92" s="90">
        <f t="shared" si="25"/>
        <v>0.98</v>
      </c>
      <c r="AU92" s="14">
        <f t="shared" si="39"/>
        <v>0</v>
      </c>
      <c r="AV92" s="14">
        <f>IF($C92="&lt;01",ROUND(INDEX(EID!$N:$N,MATCH($B92,EID!$B:$B,0))/2,0),IF(SUM($AT92)=0,"",ROUND((SUM($AP92)-(SUM($O92)*SUM($AS92)))/$AT92,0)))</f>
        <v>0</v>
      </c>
      <c r="AW92" s="90">
        <f t="shared" si="40"/>
        <v>1</v>
      </c>
      <c r="AX92" s="42">
        <f t="shared" si="41"/>
        <v>0</v>
      </c>
      <c r="AY92" s="116">
        <f t="shared" si="42"/>
        <v>0.7</v>
      </c>
      <c r="AZ92" s="93">
        <f>IF($C92="&lt;01",ROUND(INDEX(EID!$R:$R,MATCH($B92,EID!$B:$B,0))/2,0),ROUND(SUM($O92)+(SUM($AV92)*$AY92),0))</f>
        <v>0</v>
      </c>
      <c r="BA92" s="89">
        <f t="shared" si="43"/>
        <v>0.95</v>
      </c>
      <c r="BB92" s="9">
        <f>IF($C92="&lt;01",ROUND(INDEX(EID!$T:$T,MATCH($B92,EID!$B:$B,0))/2,0),ROUND($AZ92*$BA92,0))</f>
        <v>0</v>
      </c>
      <c r="BC92" s="93">
        <f t="shared" si="44"/>
        <v>0</v>
      </c>
      <c r="BD92" s="90">
        <f t="shared" si="45"/>
        <v>0.95</v>
      </c>
      <c r="BE92" s="42">
        <f>IF($C92="&lt;01",ROUND(INDEX(EID!$V:$V,MATCH($B92,EID!$B:$B,0))/2,0),ROUND($BD92*$BB92,0))</f>
        <v>0</v>
      </c>
      <c r="BF92" s="42">
        <f t="shared" si="46"/>
        <v>0</v>
      </c>
      <c r="BG92" s="116">
        <f t="shared" si="47"/>
        <v>0.95</v>
      </c>
      <c r="BH92" s="9">
        <f>IF($C92="&lt;01",ROUND(INDEX(EID!$L:$L,MATCH($B92,EID!$B:$B,0)),0)/2,IF(SUM($BG92)=0,"",ROUND($AX92/$BG92,0)))</f>
        <v>0</v>
      </c>
    </row>
    <row r="93" spans="1:60" x14ac:dyDescent="0.2">
      <c r="A93" t="str">
        <f>INDEX(Prioritization!$D:$D,MATCH($B93,Prioritization!$A:$A,0))</f>
        <v>1 - Scale-up: Saturation</v>
      </c>
      <c r="B93" t="s">
        <v>198</v>
      </c>
      <c r="C93" t="s">
        <v>365</v>
      </c>
      <c r="D93" t="s">
        <v>29</v>
      </c>
      <c r="E93" t="str">
        <f t="shared" si="26"/>
        <v>Mchinji District [kxuuIFpOXyO]|25-34|Female</v>
      </c>
      <c r="F93" s="14"/>
      <c r="G93" s="14"/>
      <c r="H93" s="14"/>
      <c r="I93" s="14"/>
      <c r="J93" s="14"/>
      <c r="K93" s="14"/>
      <c r="L93" s="14"/>
      <c r="M93" s="14"/>
      <c r="N93" s="14"/>
      <c r="O93" s="14" t="str">
        <f t="shared" si="27"/>
        <v/>
      </c>
      <c r="P93" s="14"/>
      <c r="Q93" s="14"/>
      <c r="R93" s="14" t="str">
        <f t="shared" si="28"/>
        <v/>
      </c>
      <c r="S93" s="14">
        <f>IF(LEFT($B93,4)="_Mil","",_xlfn.IFNA(ROUND(INDEX(Spectrum!$N:$N,MATCH(RIGHT($B93,13)&amp;"|"&amp;$C93&amp;"|"&amp;$D93&amp;"|"&amp;S$14&amp;"|"&amp;"CY2022Q4",Spectrum!$R:$R,0)),0),""))</f>
        <v>1975</v>
      </c>
      <c r="T93" s="42">
        <f>IF(LEFT($B93,4)="_Mil","",_xlfn.IFNA(ROUND(INDEX(Spectrum!$N:$N,MATCH(RIGHT($B93,13)&amp;"|"&amp;$C93&amp;"|"&amp;$D93&amp;"|"&amp;T$14&amp;"|"&amp;"CY2023Q3",Spectrum!$R:$R,0)),0),""))</f>
        <v>904</v>
      </c>
      <c r="U93" s="42" t="str">
        <f>IF(LEFT($B93,4)="_Mil","",_xlfn.IFNA(ROUND(INDEX(Spectrum!$N:$N,MATCH(RIGHT($B93,13)&amp;"|"&amp;$C93&amp;"|"&amp;$D93&amp;"|"&amp;U$14&amp;"|"&amp;"CY2023Q3",Spectrum!$R:$R,0)),0),""))</f>
        <v/>
      </c>
      <c r="V93" s="14">
        <f>IF(LEFT($B93,4)="_Mil","",_xlfn.IFNA(ROUND(INDEX(Spectrum!$N:$N,MATCH(RIGHT($B93,13)&amp;"|"&amp;$C93&amp;"|"&amp;$D93&amp;"|"&amp;V$14&amp;"|"&amp;"CY2023Q3",Spectrum!$R:$R,0)),0),""))</f>
        <v>1412</v>
      </c>
      <c r="W93" s="115">
        <f>IF(LEFT($B93,4)="_Mil","",_xlfn.IFNA(INDEX(Spectrum!$N:$N,MATCH(RIGHT($B93,13)&amp;"|"&amp;$C93&amp;"|"&amp;$D93&amp;"|"&amp;W$14&amp;"|"&amp;"CY2023Q3",Spectrum!$R:$R,0)),""))</f>
        <v>834</v>
      </c>
      <c r="X93" s="42">
        <f>IF(LEFT($B93,4)="_Mil","",_xlfn.IFNA(ROUND(INDEX(Spectrum!$N:$N,MATCH(RIGHT($B93,13)&amp;"|"&amp;$C93&amp;"|"&amp;$D93&amp;"|"&amp;X$14&amp;"|"&amp;"CY2023Q3",Spectrum!$R:$R,0)),0),""))</f>
        <v>1970</v>
      </c>
      <c r="Y93" s="90" t="str">
        <f t="shared" si="29"/>
        <v/>
      </c>
      <c r="Z93" s="42">
        <f>IF(LEFT($B93,4)="_Mil","",_xlfn.IFNA(ROUND(INDEX(Spectrum!$N:$N,MATCH(RIGHT($B93,13)&amp;"|"&amp;$C93&amp;"|"&amp;$D93&amp;"|"&amp;Z$14&amp;"|"&amp;"CY2023Q3",Spectrum!$R:$R,0)),0),""))</f>
        <v>1943</v>
      </c>
      <c r="AA93" s="90">
        <f>IF(LEFT($B93,4)="_Mil","",IFERROR(1/(1/INDEX(Spectrum!$N:$N,MATCH(RIGHT($B93,13)&amp;"|"&amp;$C93&amp;"|"&amp;$D93&amp;"|"&amp;AA$14&amp;"|"&amp;"CY2023Q3",Spectrum!$R:$R,0))),IF(SUM($U93)=0,"",SUM($Z93)/$U93)))</f>
        <v>1744</v>
      </c>
      <c r="AB93" s="90">
        <f t="shared" si="30"/>
        <v>0.98629441624365477</v>
      </c>
      <c r="AC93" s="14">
        <f>IF(LEFT($B93,4)="_Mil","",_xlfn.IFNA(ROUND(INDEX(Spectrum!$N:$N,MATCH(RIGHT($B93,13)&amp;"|"&amp;$C93&amp;"|"&amp;$D93&amp;"|"&amp;AC$14&amp;"|"&amp;"CY2023Q3",Spectrum!$R:$R,0)),0),""))</f>
        <v>1315</v>
      </c>
      <c r="AD93" s="14" t="str">
        <f>IF(LEFT($B93,4)="_Mil","",_xlfn.IFNA(ROUND(INDEX(Spectrum!$N:$N,MATCH(RIGHT($B93,13)&amp;"|"&amp;$C93&amp;"|"&amp;$D93&amp;"|"&amp;AD$14&amp;"|"&amp;"CY2023Q3",Spectrum!$R:$R,0)),0),""))</f>
        <v/>
      </c>
      <c r="AE93" s="90">
        <f t="shared" si="31"/>
        <v>0</v>
      </c>
      <c r="AF93" s="42" t="str">
        <f>IF(LEFT($B93,4)="_Mil","",_xlfn.IFNA(ROUND(INDEX(Spectrum!$N:$N,MATCH(RIGHT($B93,13)&amp;"|"&amp;$C93&amp;"|"&amp;$D93&amp;"|"&amp;AF$14&amp;"|"&amp;"CY2023Q3",Spectrum!$R:$R,0)),0),""))</f>
        <v/>
      </c>
      <c r="AG93" s="90" t="str">
        <f t="shared" si="32"/>
        <v/>
      </c>
      <c r="AH93" s="88" t="str">
        <f>IF(LEFT($B93,4)="_Mil","",_xlfn.IFNA(INDEX(Spectrum!$N:$N,MATCH(RIGHT($B93,13)&amp;"|"&amp;$C93&amp;"|"&amp;$D93&amp;"|"&amp;AH$14&amp;"|"&amp;"CY2023Q3",Spectrum!$R:$R,0)),""))</f>
        <v/>
      </c>
      <c r="AI93" s="14" t="str">
        <f>IF(LEFT($B93,4)="_Mil","",_xlfn.IFNA(ROUND(INDEX(Spectrum!$N:$N,MATCH(RIGHT($B93,13)&amp;"|"&amp;$C93&amp;"|"&amp;$D93&amp;"|"&amp;AI$14&amp;"|"&amp;"CY2023Q3",Spectrum!$R:$R,0)),0),""))</f>
        <v/>
      </c>
      <c r="AJ93" s="42">
        <f>IF(LEFT($B93,4)="_Mil","",_xlfn.IFNA(ROUND(INDEX(Spectrum!$N:$N,MATCH(RIGHT($B93,13)&amp;"|"&amp;$C93&amp;"|"&amp;$D93&amp;"|"&amp;AI$14&amp;"|"&amp;"CY2023Q3",Spectrum!$R:$R,0)),0),SUM($U93)+SUM($AI93)))</f>
        <v>0</v>
      </c>
      <c r="AK93" s="14" t="str">
        <f>IF(LEFT($B93,4)="_Mil","",_xlfn.IFNA(ROUND(INDEX(Spectrum!$N:$N,MATCH(RIGHT($B93,13)&amp;"|"&amp;$C93&amp;"|"&amp;$D93&amp;"|"&amp;AK$14&amp;"|"&amp;"CY2023Q3",Spectrum!$R:$R,0)),0),""))</f>
        <v/>
      </c>
      <c r="AL93" s="90">
        <f t="shared" si="33"/>
        <v>1744</v>
      </c>
      <c r="AM93" s="14">
        <f t="shared" si="34"/>
        <v>0</v>
      </c>
      <c r="AN93" s="14" t="str">
        <f>IF($C93="&lt;01",ROUND(INDEX(EID!$P:$P,MATCH($B93,EID!$B:$B,0))/2,0),"")</f>
        <v/>
      </c>
      <c r="AO93" s="14">
        <f t="shared" si="35"/>
        <v>0</v>
      </c>
      <c r="AP93" s="42">
        <f t="shared" si="36"/>
        <v>0</v>
      </c>
      <c r="AQ93" s="42">
        <f t="shared" si="37"/>
        <v>1943</v>
      </c>
      <c r="AR93" s="90" t="str">
        <f t="shared" si="38"/>
        <v/>
      </c>
      <c r="AS93" s="90">
        <f t="shared" si="25"/>
        <v>0.98</v>
      </c>
      <c r="AT93" s="90">
        <f t="shared" si="25"/>
        <v>0.98</v>
      </c>
      <c r="AU93" s="14">
        <f t="shared" si="39"/>
        <v>0</v>
      </c>
      <c r="AV93" s="14">
        <f>IF($C93="&lt;01",ROUND(INDEX(EID!$N:$N,MATCH($B93,EID!$B:$B,0))/2,0),IF(SUM($AT93)=0,"",ROUND((SUM($AP93)-(SUM($O93)*SUM($AS93)))/$AT93,0)))</f>
        <v>0</v>
      </c>
      <c r="AW93" s="90">
        <f t="shared" si="40"/>
        <v>1</v>
      </c>
      <c r="AX93" s="42">
        <f t="shared" si="41"/>
        <v>0</v>
      </c>
      <c r="AY93" s="116">
        <f t="shared" si="42"/>
        <v>0.7</v>
      </c>
      <c r="AZ93" s="93">
        <f>IF($C93="&lt;01",ROUND(INDEX(EID!$R:$R,MATCH($B93,EID!$B:$B,0))/2,0),ROUND(SUM($O93)+(SUM($AV93)*$AY93),0))</f>
        <v>0</v>
      </c>
      <c r="BA93" s="89">
        <f t="shared" si="43"/>
        <v>0.95</v>
      </c>
      <c r="BB93" s="9">
        <f>IF($C93="&lt;01",ROUND(INDEX(EID!$T:$T,MATCH($B93,EID!$B:$B,0))/2,0),ROUND($AZ93*$BA93,0))</f>
        <v>0</v>
      </c>
      <c r="BC93" s="93">
        <f t="shared" si="44"/>
        <v>0</v>
      </c>
      <c r="BD93" s="90">
        <f t="shared" si="45"/>
        <v>0.95</v>
      </c>
      <c r="BE93" s="42">
        <f>IF($C93="&lt;01",ROUND(INDEX(EID!$V:$V,MATCH($B93,EID!$B:$B,0))/2,0),ROUND($BD93*$BB93,0))</f>
        <v>0</v>
      </c>
      <c r="BF93" s="42">
        <f t="shared" si="46"/>
        <v>0</v>
      </c>
      <c r="BG93" s="116">
        <f t="shared" si="47"/>
        <v>0.95</v>
      </c>
      <c r="BH93" s="9">
        <f>IF($C93="&lt;01",ROUND(INDEX(EID!$L:$L,MATCH($B93,EID!$B:$B,0)),0)/2,IF(SUM($BG93)=0,"",ROUND($AX93/$BG93,0)))</f>
        <v>0</v>
      </c>
    </row>
    <row r="94" spans="1:60" x14ac:dyDescent="0.2">
      <c r="A94" t="str">
        <f>INDEX(Prioritization!$D:$D,MATCH($B94,Prioritization!$A:$A,0))</f>
        <v>1 - Scale-up: Saturation</v>
      </c>
      <c r="B94" t="s">
        <v>198</v>
      </c>
      <c r="C94" t="s">
        <v>365</v>
      </c>
      <c r="D94" t="s">
        <v>47</v>
      </c>
      <c r="E94" t="str">
        <f t="shared" si="26"/>
        <v>Mchinji District [kxuuIFpOXyO]|25-34|Male</v>
      </c>
      <c r="F94" s="14"/>
      <c r="G94" s="14"/>
      <c r="H94" s="14"/>
      <c r="I94" s="14"/>
      <c r="J94" s="14"/>
      <c r="K94" s="14"/>
      <c r="L94" s="14"/>
      <c r="M94" s="14"/>
      <c r="N94" s="14"/>
      <c r="O94" s="14" t="str">
        <f t="shared" si="27"/>
        <v/>
      </c>
      <c r="P94" s="14"/>
      <c r="Q94" s="14"/>
      <c r="R94" s="14" t="str">
        <f t="shared" si="28"/>
        <v/>
      </c>
      <c r="S94" s="14">
        <f>IF(LEFT($B94,4)="_Mil","",_xlfn.IFNA(ROUND(INDEX(Spectrum!$N:$N,MATCH(RIGHT($B94,13)&amp;"|"&amp;$C94&amp;"|"&amp;$D94&amp;"|"&amp;S$14&amp;"|"&amp;"CY2022Q4",Spectrum!$R:$R,0)),0),""))</f>
        <v>963</v>
      </c>
      <c r="T94" s="42">
        <f>IF(LEFT($B94,4)="_Mil","",_xlfn.IFNA(ROUND(INDEX(Spectrum!$N:$N,MATCH(RIGHT($B94,13)&amp;"|"&amp;$C94&amp;"|"&amp;$D94&amp;"|"&amp;T$14&amp;"|"&amp;"CY2023Q3",Spectrum!$R:$R,0)),0),""))</f>
        <v>906</v>
      </c>
      <c r="U94" s="42" t="str">
        <f>IF(LEFT($B94,4)="_Mil","",_xlfn.IFNA(ROUND(INDEX(Spectrum!$N:$N,MATCH(RIGHT($B94,13)&amp;"|"&amp;$C94&amp;"|"&amp;$D94&amp;"|"&amp;U$14&amp;"|"&amp;"CY2023Q3",Spectrum!$R:$R,0)),0),""))</f>
        <v/>
      </c>
      <c r="V94" s="14">
        <f>IF(LEFT($B94,4)="_Mil","",_xlfn.IFNA(ROUND(INDEX(Spectrum!$N:$N,MATCH(RIGHT($B94,13)&amp;"|"&amp;$C94&amp;"|"&amp;$D94&amp;"|"&amp;V$14&amp;"|"&amp;"CY2023Q3",Spectrum!$R:$R,0)),0),""))</f>
        <v>1841</v>
      </c>
      <c r="W94" s="115">
        <f>IF(LEFT($B94,4)="_Mil","",_xlfn.IFNA(INDEX(Spectrum!$N:$N,MATCH(RIGHT($B94,13)&amp;"|"&amp;$C94&amp;"|"&amp;$D94&amp;"|"&amp;W$14&amp;"|"&amp;"CY2023Q3",Spectrum!$R:$R,0)),""))</f>
        <v>916</v>
      </c>
      <c r="X94" s="42">
        <f>IF(LEFT($B94,4)="_Mil","",_xlfn.IFNA(ROUND(INDEX(Spectrum!$N:$N,MATCH(RIGHT($B94,13)&amp;"|"&amp;$C94&amp;"|"&amp;$D94&amp;"|"&amp;X$14&amp;"|"&amp;"CY2023Q3",Spectrum!$R:$R,0)),0),""))</f>
        <v>1017</v>
      </c>
      <c r="Y94" s="90" t="str">
        <f t="shared" si="29"/>
        <v/>
      </c>
      <c r="Z94" s="42">
        <f>IF(LEFT($B94,4)="_Mil","",_xlfn.IFNA(ROUND(INDEX(Spectrum!$N:$N,MATCH(RIGHT($B94,13)&amp;"|"&amp;$C94&amp;"|"&amp;$D94&amp;"|"&amp;Z$14&amp;"|"&amp;"CY2023Q3",Spectrum!$R:$R,0)),0),""))</f>
        <v>890</v>
      </c>
      <c r="AA94" s="90">
        <f>IF(LEFT($B94,4)="_Mil","",IFERROR(1/(1/INDEX(Spectrum!$N:$N,MATCH(RIGHT($B94,13)&amp;"|"&amp;$C94&amp;"|"&amp;$D94&amp;"|"&amp;AA$14&amp;"|"&amp;"CY2023Q3",Spectrum!$R:$R,0))),IF(SUM($U94)=0,"",SUM($Z94)/$U94)))</f>
        <v>539</v>
      </c>
      <c r="AB94" s="90">
        <f t="shared" si="30"/>
        <v>0.87512291052114066</v>
      </c>
      <c r="AC94" s="14">
        <f>IF(LEFT($B94,4)="_Mil","",_xlfn.IFNA(ROUND(INDEX(Spectrum!$N:$N,MATCH(RIGHT($B94,13)&amp;"|"&amp;$C94&amp;"|"&amp;$D94&amp;"|"&amp;AC$14&amp;"|"&amp;"CY2023Q3",Spectrum!$R:$R,0)),0),""))</f>
        <v>802</v>
      </c>
      <c r="AD94" s="14" t="str">
        <f>IF(LEFT($B94,4)="_Mil","",_xlfn.IFNA(ROUND(INDEX(Spectrum!$N:$N,MATCH(RIGHT($B94,13)&amp;"|"&amp;$C94&amp;"|"&amp;$D94&amp;"|"&amp;AD$14&amp;"|"&amp;"CY2023Q3",Spectrum!$R:$R,0)),0),""))</f>
        <v/>
      </c>
      <c r="AE94" s="90">
        <f t="shared" si="31"/>
        <v>0</v>
      </c>
      <c r="AF94" s="42" t="str">
        <f>IF(LEFT($B94,4)="_Mil","",_xlfn.IFNA(ROUND(INDEX(Spectrum!$N:$N,MATCH(RIGHT($B94,13)&amp;"|"&amp;$C94&amp;"|"&amp;$D94&amp;"|"&amp;AF$14&amp;"|"&amp;"CY2023Q3",Spectrum!$R:$R,0)),0),""))</f>
        <v/>
      </c>
      <c r="AG94" s="90" t="str">
        <f t="shared" si="32"/>
        <v/>
      </c>
      <c r="AH94" s="88" t="str">
        <f>IF(LEFT($B94,4)="_Mil","",_xlfn.IFNA(INDEX(Spectrum!$N:$N,MATCH(RIGHT($B94,13)&amp;"|"&amp;$C94&amp;"|"&amp;$D94&amp;"|"&amp;AH$14&amp;"|"&amp;"CY2023Q3",Spectrum!$R:$R,0)),""))</f>
        <v/>
      </c>
      <c r="AI94" s="14" t="str">
        <f>IF(LEFT($B94,4)="_Mil","",_xlfn.IFNA(ROUND(INDEX(Spectrum!$N:$N,MATCH(RIGHT($B94,13)&amp;"|"&amp;$C94&amp;"|"&amp;$D94&amp;"|"&amp;AI$14&amp;"|"&amp;"CY2023Q3",Spectrum!$R:$R,0)),0),""))</f>
        <v/>
      </c>
      <c r="AJ94" s="42">
        <f>IF(LEFT($B94,4)="_Mil","",_xlfn.IFNA(ROUND(INDEX(Spectrum!$N:$N,MATCH(RIGHT($B94,13)&amp;"|"&amp;$C94&amp;"|"&amp;$D94&amp;"|"&amp;AI$14&amp;"|"&amp;"CY2023Q3",Spectrum!$R:$R,0)),0),SUM($U94)+SUM($AI94)))</f>
        <v>0</v>
      </c>
      <c r="AK94" s="14" t="str">
        <f>IF(LEFT($B94,4)="_Mil","",_xlfn.IFNA(ROUND(INDEX(Spectrum!$N:$N,MATCH(RIGHT($B94,13)&amp;"|"&amp;$C94&amp;"|"&amp;$D94&amp;"|"&amp;AK$14&amp;"|"&amp;"CY2023Q3",Spectrum!$R:$R,0)),0),""))</f>
        <v/>
      </c>
      <c r="AL94" s="90">
        <f t="shared" si="33"/>
        <v>539</v>
      </c>
      <c r="AM94" s="14">
        <f t="shared" si="34"/>
        <v>0</v>
      </c>
      <c r="AN94" s="14" t="str">
        <f>IF($C94="&lt;01",ROUND(INDEX(EID!$P:$P,MATCH($B94,EID!$B:$B,0))/2,0),"")</f>
        <v/>
      </c>
      <c r="AO94" s="14">
        <f t="shared" si="35"/>
        <v>0</v>
      </c>
      <c r="AP94" s="42">
        <f t="shared" si="36"/>
        <v>0</v>
      </c>
      <c r="AQ94" s="42">
        <f t="shared" si="37"/>
        <v>890</v>
      </c>
      <c r="AR94" s="90" t="str">
        <f t="shared" si="38"/>
        <v/>
      </c>
      <c r="AS94" s="90">
        <f t="shared" si="25"/>
        <v>0.98</v>
      </c>
      <c r="AT94" s="90">
        <f t="shared" si="25"/>
        <v>0.98</v>
      </c>
      <c r="AU94" s="14">
        <f t="shared" si="39"/>
        <v>0</v>
      </c>
      <c r="AV94" s="14">
        <f>IF($C94="&lt;01",ROUND(INDEX(EID!$N:$N,MATCH($B94,EID!$B:$B,0))/2,0),IF(SUM($AT94)=0,"",ROUND((SUM($AP94)-(SUM($O94)*SUM($AS94)))/$AT94,0)))</f>
        <v>0</v>
      </c>
      <c r="AW94" s="90">
        <f t="shared" si="40"/>
        <v>1</v>
      </c>
      <c r="AX94" s="42">
        <f t="shared" si="41"/>
        <v>0</v>
      </c>
      <c r="AY94" s="116">
        <f t="shared" si="42"/>
        <v>0.7</v>
      </c>
      <c r="AZ94" s="93">
        <f>IF($C94="&lt;01",ROUND(INDEX(EID!$R:$R,MATCH($B94,EID!$B:$B,0))/2,0),ROUND(SUM($O94)+(SUM($AV94)*$AY94),0))</f>
        <v>0</v>
      </c>
      <c r="BA94" s="89">
        <f t="shared" si="43"/>
        <v>0.95</v>
      </c>
      <c r="BB94" s="9">
        <f>IF($C94="&lt;01",ROUND(INDEX(EID!$T:$T,MATCH($B94,EID!$B:$B,0))/2,0),ROUND($AZ94*$BA94,0))</f>
        <v>0</v>
      </c>
      <c r="BC94" s="93">
        <f t="shared" si="44"/>
        <v>0</v>
      </c>
      <c r="BD94" s="90">
        <f t="shared" si="45"/>
        <v>0.95</v>
      </c>
      <c r="BE94" s="42">
        <f>IF($C94="&lt;01",ROUND(INDEX(EID!$V:$V,MATCH($B94,EID!$B:$B,0))/2,0),ROUND($BD94*$BB94,0))</f>
        <v>0</v>
      </c>
      <c r="BF94" s="42">
        <f t="shared" si="46"/>
        <v>0</v>
      </c>
      <c r="BG94" s="116">
        <f t="shared" si="47"/>
        <v>0.95</v>
      </c>
      <c r="BH94" s="9">
        <f>IF($C94="&lt;01",ROUND(INDEX(EID!$L:$L,MATCH($B94,EID!$B:$B,0)),0)/2,IF(SUM($BG94)=0,"",ROUND($AX94/$BG94,0)))</f>
        <v>0</v>
      </c>
    </row>
    <row r="95" spans="1:60" x14ac:dyDescent="0.2">
      <c r="A95" t="str">
        <f>INDEX(Prioritization!$D:$D,MATCH($B95,Prioritization!$A:$A,0))</f>
        <v>1 - Scale-up: Saturation</v>
      </c>
      <c r="B95" t="s">
        <v>198</v>
      </c>
      <c r="C95" t="s">
        <v>366</v>
      </c>
      <c r="D95" t="s">
        <v>29</v>
      </c>
      <c r="E95" t="str">
        <f t="shared" si="26"/>
        <v>Mchinji District [kxuuIFpOXyO]|35-49|Female</v>
      </c>
      <c r="F95" s="14"/>
      <c r="G95" s="14"/>
      <c r="H95" s="14"/>
      <c r="I95" s="14"/>
      <c r="J95" s="14"/>
      <c r="K95" s="14"/>
      <c r="L95" s="14"/>
      <c r="M95" s="14"/>
      <c r="N95" s="14"/>
      <c r="O95" s="14" t="str">
        <f t="shared" si="27"/>
        <v/>
      </c>
      <c r="P95" s="14"/>
      <c r="Q95" s="14"/>
      <c r="R95" s="14" t="str">
        <f t="shared" si="28"/>
        <v/>
      </c>
      <c r="S95" s="14">
        <f>IF(LEFT($B95,4)="_Mil","",_xlfn.IFNA(ROUND(INDEX(Spectrum!$N:$N,MATCH(RIGHT($B95,13)&amp;"|"&amp;$C95&amp;"|"&amp;$D95&amp;"|"&amp;S$14&amp;"|"&amp;"CY2022Q4",Spectrum!$R:$R,0)),0),""))</f>
        <v>865</v>
      </c>
      <c r="T95" s="42">
        <f>IF(LEFT($B95,4)="_Mil","",_xlfn.IFNA(ROUND(INDEX(Spectrum!$N:$N,MATCH(RIGHT($B95,13)&amp;"|"&amp;$C95&amp;"|"&amp;$D95&amp;"|"&amp;T$14&amp;"|"&amp;"CY2023Q3",Spectrum!$R:$R,0)),0),""))</f>
        <v>1652</v>
      </c>
      <c r="U95" s="42" t="str">
        <f>IF(LEFT($B95,4)="_Mil","",_xlfn.IFNA(ROUND(INDEX(Spectrum!$N:$N,MATCH(RIGHT($B95,13)&amp;"|"&amp;$C95&amp;"|"&amp;$D95&amp;"|"&amp;U$14&amp;"|"&amp;"CY2023Q3",Spectrum!$R:$R,0)),0),""))</f>
        <v/>
      </c>
      <c r="V95" s="14">
        <f>IF(LEFT($B95,4)="_Mil","",_xlfn.IFNA(ROUND(INDEX(Spectrum!$N:$N,MATCH(RIGHT($B95,13)&amp;"|"&amp;$C95&amp;"|"&amp;$D95&amp;"|"&amp;V$14&amp;"|"&amp;"CY2023Q3",Spectrum!$R:$R,0)),0),""))</f>
        <v>1775</v>
      </c>
      <c r="W95" s="115">
        <f>IF(LEFT($B95,4)="_Mil","",_xlfn.IFNA(INDEX(Spectrum!$N:$N,MATCH(RIGHT($B95,13)&amp;"|"&amp;$C95&amp;"|"&amp;$D95&amp;"|"&amp;W$14&amp;"|"&amp;"CY2023Q3",Spectrum!$R:$R,0)),""))</f>
        <v>677</v>
      </c>
      <c r="X95" s="42">
        <f>IF(LEFT($B95,4)="_Mil","",_xlfn.IFNA(ROUND(INDEX(Spectrum!$N:$N,MATCH(RIGHT($B95,13)&amp;"|"&amp;$C95&amp;"|"&amp;$D95&amp;"|"&amp;X$14&amp;"|"&amp;"CY2023Q3",Spectrum!$R:$R,0)),0),""))</f>
        <v>575</v>
      </c>
      <c r="Y95" s="90" t="str">
        <f t="shared" si="29"/>
        <v/>
      </c>
      <c r="Z95" s="42">
        <f>IF(LEFT($B95,4)="_Mil","",_xlfn.IFNA(ROUND(INDEX(Spectrum!$N:$N,MATCH(RIGHT($B95,13)&amp;"|"&amp;$C95&amp;"|"&amp;$D95&amp;"|"&amp;Z$14&amp;"|"&amp;"CY2023Q3",Spectrum!$R:$R,0)),0),""))</f>
        <v>1767</v>
      </c>
      <c r="AA95" s="90">
        <f>IF(LEFT($B95,4)="_Mil","",IFERROR(1/(1/INDEX(Spectrum!$N:$N,MATCH(RIGHT($B95,13)&amp;"|"&amp;$C95&amp;"|"&amp;$D95&amp;"|"&amp;AA$14&amp;"|"&amp;"CY2023Q3",Spectrum!$R:$R,0))),IF(SUM($U95)=0,"",SUM($Z95)/$U95)))</f>
        <v>647</v>
      </c>
      <c r="AB95" s="90">
        <f t="shared" si="30"/>
        <v>3.0730434782608698</v>
      </c>
      <c r="AC95" s="14">
        <f>IF(LEFT($B95,4)="_Mil","",_xlfn.IFNA(ROUND(INDEX(Spectrum!$N:$N,MATCH(RIGHT($B95,13)&amp;"|"&amp;$C95&amp;"|"&amp;$D95&amp;"|"&amp;AC$14&amp;"|"&amp;"CY2023Q3",Spectrum!$R:$R,0)),0),""))</f>
        <v>1094</v>
      </c>
      <c r="AD95" s="14" t="str">
        <f>IF(LEFT($B95,4)="_Mil","",_xlfn.IFNA(ROUND(INDEX(Spectrum!$N:$N,MATCH(RIGHT($B95,13)&amp;"|"&amp;$C95&amp;"|"&amp;$D95&amp;"|"&amp;AD$14&amp;"|"&amp;"CY2023Q3",Spectrum!$R:$R,0)),0),""))</f>
        <v/>
      </c>
      <c r="AE95" s="90">
        <f t="shared" si="31"/>
        <v>0</v>
      </c>
      <c r="AF95" s="42" t="str">
        <f>IF(LEFT($B95,4)="_Mil","",_xlfn.IFNA(ROUND(INDEX(Spectrum!$N:$N,MATCH(RIGHT($B95,13)&amp;"|"&amp;$C95&amp;"|"&amp;$D95&amp;"|"&amp;AF$14&amp;"|"&amp;"CY2023Q3",Spectrum!$R:$R,0)),0),""))</f>
        <v/>
      </c>
      <c r="AG95" s="90" t="str">
        <f t="shared" si="32"/>
        <v/>
      </c>
      <c r="AH95" s="88" t="str">
        <f>IF(LEFT($B95,4)="_Mil","",_xlfn.IFNA(INDEX(Spectrum!$N:$N,MATCH(RIGHT($B95,13)&amp;"|"&amp;$C95&amp;"|"&amp;$D95&amp;"|"&amp;AH$14&amp;"|"&amp;"CY2023Q3",Spectrum!$R:$R,0)),""))</f>
        <v/>
      </c>
      <c r="AI95" s="14" t="str">
        <f>IF(LEFT($B95,4)="_Mil","",_xlfn.IFNA(ROUND(INDEX(Spectrum!$N:$N,MATCH(RIGHT($B95,13)&amp;"|"&amp;$C95&amp;"|"&amp;$D95&amp;"|"&amp;AI$14&amp;"|"&amp;"CY2023Q3",Spectrum!$R:$R,0)),0),""))</f>
        <v/>
      </c>
      <c r="AJ95" s="42">
        <f>IF(LEFT($B95,4)="_Mil","",_xlfn.IFNA(ROUND(INDEX(Spectrum!$N:$N,MATCH(RIGHT($B95,13)&amp;"|"&amp;$C95&amp;"|"&amp;$D95&amp;"|"&amp;AI$14&amp;"|"&amp;"CY2023Q3",Spectrum!$R:$R,0)),0),SUM($U95)+SUM($AI95)))</f>
        <v>0</v>
      </c>
      <c r="AK95" s="14" t="str">
        <f>IF(LEFT($B95,4)="_Mil","",_xlfn.IFNA(ROUND(INDEX(Spectrum!$N:$N,MATCH(RIGHT($B95,13)&amp;"|"&amp;$C95&amp;"|"&amp;$D95&amp;"|"&amp;AK$14&amp;"|"&amp;"CY2023Q3",Spectrum!$R:$R,0)),0),""))</f>
        <v/>
      </c>
      <c r="AL95" s="90">
        <f t="shared" si="33"/>
        <v>647</v>
      </c>
      <c r="AM95" s="14">
        <f t="shared" si="34"/>
        <v>0</v>
      </c>
      <c r="AN95" s="14" t="str">
        <f>IF($C95="&lt;01",ROUND(INDEX(EID!$P:$P,MATCH($B95,EID!$B:$B,0))/2,0),"")</f>
        <v/>
      </c>
      <c r="AO95" s="14">
        <f t="shared" si="35"/>
        <v>0</v>
      </c>
      <c r="AP95" s="42">
        <f t="shared" si="36"/>
        <v>0</v>
      </c>
      <c r="AQ95" s="42">
        <f t="shared" si="37"/>
        <v>1767</v>
      </c>
      <c r="AR95" s="90" t="str">
        <f t="shared" si="38"/>
        <v/>
      </c>
      <c r="AS95" s="90">
        <f t="shared" ref="AS95:AT114" si="48">IF($C95="&lt;01","",98%)</f>
        <v>0.98</v>
      </c>
      <c r="AT95" s="90">
        <f t="shared" si="48"/>
        <v>0.98</v>
      </c>
      <c r="AU95" s="14">
        <f t="shared" si="39"/>
        <v>0</v>
      </c>
      <c r="AV95" s="14">
        <f>IF($C95="&lt;01",ROUND(INDEX(EID!$N:$N,MATCH($B95,EID!$B:$B,0))/2,0),IF(SUM($AT95)=0,"",ROUND((SUM($AP95)-(SUM($O95)*SUM($AS95)))/$AT95,0)))</f>
        <v>0</v>
      </c>
      <c r="AW95" s="90">
        <f t="shared" si="40"/>
        <v>1</v>
      </c>
      <c r="AX95" s="42">
        <f t="shared" si="41"/>
        <v>0</v>
      </c>
      <c r="AY95" s="116">
        <f t="shared" si="42"/>
        <v>0.7</v>
      </c>
      <c r="AZ95" s="93">
        <f>IF($C95="&lt;01",ROUND(INDEX(EID!$R:$R,MATCH($B95,EID!$B:$B,0))/2,0),ROUND(SUM($O95)+(SUM($AV95)*$AY95),0))</f>
        <v>0</v>
      </c>
      <c r="BA95" s="89">
        <f t="shared" si="43"/>
        <v>0.95</v>
      </c>
      <c r="BB95" s="9">
        <f>IF($C95="&lt;01",ROUND(INDEX(EID!$T:$T,MATCH($B95,EID!$B:$B,0))/2,0),ROUND($AZ95*$BA95,0))</f>
        <v>0</v>
      </c>
      <c r="BC95" s="93">
        <f t="shared" si="44"/>
        <v>0</v>
      </c>
      <c r="BD95" s="90">
        <f t="shared" si="45"/>
        <v>0.95</v>
      </c>
      <c r="BE95" s="42">
        <f>IF($C95="&lt;01",ROUND(INDEX(EID!$V:$V,MATCH($B95,EID!$B:$B,0))/2,0),ROUND($BD95*$BB95,0))</f>
        <v>0</v>
      </c>
      <c r="BF95" s="42">
        <f t="shared" si="46"/>
        <v>0</v>
      </c>
      <c r="BG95" s="116">
        <f t="shared" si="47"/>
        <v>0.95</v>
      </c>
      <c r="BH95" s="9">
        <f>IF($C95="&lt;01",ROUND(INDEX(EID!$L:$L,MATCH($B95,EID!$B:$B,0)),0)/2,IF(SUM($BG95)=0,"",ROUND($AX95/$BG95,0)))</f>
        <v>0</v>
      </c>
    </row>
    <row r="96" spans="1:60" x14ac:dyDescent="0.2">
      <c r="A96" t="str">
        <f>INDEX(Prioritization!$D:$D,MATCH($B96,Prioritization!$A:$A,0))</f>
        <v>1 - Scale-up: Saturation</v>
      </c>
      <c r="B96" t="s">
        <v>198</v>
      </c>
      <c r="C96" t="s">
        <v>366</v>
      </c>
      <c r="D96" t="s">
        <v>47</v>
      </c>
      <c r="E96" t="str">
        <f t="shared" si="26"/>
        <v>Mchinji District [kxuuIFpOXyO]|35-49|Male</v>
      </c>
      <c r="F96" s="14"/>
      <c r="G96" s="14"/>
      <c r="H96" s="14"/>
      <c r="I96" s="14"/>
      <c r="J96" s="14"/>
      <c r="K96" s="14"/>
      <c r="L96" s="14"/>
      <c r="M96" s="14"/>
      <c r="N96" s="14"/>
      <c r="O96" s="14" t="str">
        <f t="shared" si="27"/>
        <v/>
      </c>
      <c r="P96" s="14"/>
      <c r="Q96" s="14"/>
      <c r="R96" s="14" t="str">
        <f t="shared" si="28"/>
        <v/>
      </c>
      <c r="S96" s="14">
        <f>IF(LEFT($B96,4)="_Mil","",_xlfn.IFNA(ROUND(INDEX(Spectrum!$N:$N,MATCH(RIGHT($B96,13)&amp;"|"&amp;$C96&amp;"|"&amp;$D96&amp;"|"&amp;S$14&amp;"|"&amp;"CY2022Q4",Spectrum!$R:$R,0)),0),""))</f>
        <v>1101</v>
      </c>
      <c r="T96" s="42">
        <f>IF(LEFT($B96,4)="_Mil","",_xlfn.IFNA(ROUND(INDEX(Spectrum!$N:$N,MATCH(RIGHT($B96,13)&amp;"|"&amp;$C96&amp;"|"&amp;$D96&amp;"|"&amp;T$14&amp;"|"&amp;"CY2023Q3",Spectrum!$R:$R,0)),0),""))</f>
        <v>1852</v>
      </c>
      <c r="U96" s="42" t="str">
        <f>IF(LEFT($B96,4)="_Mil","",_xlfn.IFNA(ROUND(INDEX(Spectrum!$N:$N,MATCH(RIGHT($B96,13)&amp;"|"&amp;$C96&amp;"|"&amp;$D96&amp;"|"&amp;U$14&amp;"|"&amp;"CY2023Q3",Spectrum!$R:$R,0)),0),""))</f>
        <v/>
      </c>
      <c r="V96" s="14">
        <f>IF(LEFT($B96,4)="_Mil","",_xlfn.IFNA(ROUND(INDEX(Spectrum!$N:$N,MATCH(RIGHT($B96,13)&amp;"|"&amp;$C96&amp;"|"&amp;$D96&amp;"|"&amp;V$14&amp;"|"&amp;"CY2023Q3",Spectrum!$R:$R,0)),0),""))</f>
        <v>1129</v>
      </c>
      <c r="W96" s="115">
        <f>IF(LEFT($B96,4)="_Mil","",_xlfn.IFNA(INDEX(Spectrum!$N:$N,MATCH(RIGHT($B96,13)&amp;"|"&amp;$C96&amp;"|"&amp;$D96&amp;"|"&amp;W$14&amp;"|"&amp;"CY2023Q3",Spectrum!$R:$R,0)),""))</f>
        <v>1731</v>
      </c>
      <c r="X96" s="42">
        <f>IF(LEFT($B96,4)="_Mil","",_xlfn.IFNA(ROUND(INDEX(Spectrum!$N:$N,MATCH(RIGHT($B96,13)&amp;"|"&amp;$C96&amp;"|"&amp;$D96&amp;"|"&amp;X$14&amp;"|"&amp;"CY2023Q3",Spectrum!$R:$R,0)),0),""))</f>
        <v>731</v>
      </c>
      <c r="Y96" s="90" t="str">
        <f t="shared" si="29"/>
        <v/>
      </c>
      <c r="Z96" s="42">
        <f>IF(LEFT($B96,4)="_Mil","",_xlfn.IFNA(ROUND(INDEX(Spectrum!$N:$N,MATCH(RIGHT($B96,13)&amp;"|"&amp;$C96&amp;"|"&amp;$D96&amp;"|"&amp;Z$14&amp;"|"&amp;"CY2023Q3",Spectrum!$R:$R,0)),0),""))</f>
        <v>956</v>
      </c>
      <c r="AA96" s="90">
        <f>IF(LEFT($B96,4)="_Mil","",IFERROR(1/(1/INDEX(Spectrum!$N:$N,MATCH(RIGHT($B96,13)&amp;"|"&amp;$C96&amp;"|"&amp;$D96&amp;"|"&amp;AA$14&amp;"|"&amp;"CY2023Q3",Spectrum!$R:$R,0))),IF(SUM($U96)=0,"",SUM($Z96)/$U96)))</f>
        <v>1493</v>
      </c>
      <c r="AB96" s="90">
        <f t="shared" si="30"/>
        <v>1.3077975376196991</v>
      </c>
      <c r="AC96" s="14">
        <f>IF(LEFT($B96,4)="_Mil","",_xlfn.IFNA(ROUND(INDEX(Spectrum!$N:$N,MATCH(RIGHT($B96,13)&amp;"|"&amp;$C96&amp;"|"&amp;$D96&amp;"|"&amp;AC$14&amp;"|"&amp;"CY2023Q3",Spectrum!$R:$R,0)),0),""))</f>
        <v>1353</v>
      </c>
      <c r="AD96" s="14" t="str">
        <f>IF(LEFT($B96,4)="_Mil","",_xlfn.IFNA(ROUND(INDEX(Spectrum!$N:$N,MATCH(RIGHT($B96,13)&amp;"|"&amp;$C96&amp;"|"&amp;$D96&amp;"|"&amp;AD$14&amp;"|"&amp;"CY2023Q3",Spectrum!$R:$R,0)),0),""))</f>
        <v/>
      </c>
      <c r="AE96" s="90">
        <f t="shared" si="31"/>
        <v>0</v>
      </c>
      <c r="AF96" s="42" t="str">
        <f>IF(LEFT($B96,4)="_Mil","",_xlfn.IFNA(ROUND(INDEX(Spectrum!$N:$N,MATCH(RIGHT($B96,13)&amp;"|"&amp;$C96&amp;"|"&amp;$D96&amp;"|"&amp;AF$14&amp;"|"&amp;"CY2023Q3",Spectrum!$R:$R,0)),0),""))</f>
        <v/>
      </c>
      <c r="AG96" s="90" t="str">
        <f t="shared" si="32"/>
        <v/>
      </c>
      <c r="AH96" s="88" t="str">
        <f>IF(LEFT($B96,4)="_Mil","",_xlfn.IFNA(INDEX(Spectrum!$N:$N,MATCH(RIGHT($B96,13)&amp;"|"&amp;$C96&amp;"|"&amp;$D96&amp;"|"&amp;AH$14&amp;"|"&amp;"CY2023Q3",Spectrum!$R:$R,0)),""))</f>
        <v/>
      </c>
      <c r="AI96" s="14" t="str">
        <f>IF(LEFT($B96,4)="_Mil","",_xlfn.IFNA(ROUND(INDEX(Spectrum!$N:$N,MATCH(RIGHT($B96,13)&amp;"|"&amp;$C96&amp;"|"&amp;$D96&amp;"|"&amp;AI$14&amp;"|"&amp;"CY2023Q3",Spectrum!$R:$R,0)),0),""))</f>
        <v/>
      </c>
      <c r="AJ96" s="42">
        <f>IF(LEFT($B96,4)="_Mil","",_xlfn.IFNA(ROUND(INDEX(Spectrum!$N:$N,MATCH(RIGHT($B96,13)&amp;"|"&amp;$C96&amp;"|"&amp;$D96&amp;"|"&amp;AI$14&amp;"|"&amp;"CY2023Q3",Spectrum!$R:$R,0)),0),SUM($U96)+SUM($AI96)))</f>
        <v>0</v>
      </c>
      <c r="AK96" s="14" t="str">
        <f>IF(LEFT($B96,4)="_Mil","",_xlfn.IFNA(ROUND(INDEX(Spectrum!$N:$N,MATCH(RIGHT($B96,13)&amp;"|"&amp;$C96&amp;"|"&amp;$D96&amp;"|"&amp;AK$14&amp;"|"&amp;"CY2023Q3",Spectrum!$R:$R,0)),0),""))</f>
        <v/>
      </c>
      <c r="AL96" s="90">
        <f t="shared" si="33"/>
        <v>1493</v>
      </c>
      <c r="AM96" s="14">
        <f t="shared" si="34"/>
        <v>0</v>
      </c>
      <c r="AN96" s="14" t="str">
        <f>IF($C96="&lt;01",ROUND(INDEX(EID!$P:$P,MATCH($B96,EID!$B:$B,0))/2,0),"")</f>
        <v/>
      </c>
      <c r="AO96" s="14">
        <f t="shared" si="35"/>
        <v>0</v>
      </c>
      <c r="AP96" s="42">
        <f t="shared" si="36"/>
        <v>0</v>
      </c>
      <c r="AQ96" s="42">
        <f t="shared" si="37"/>
        <v>956</v>
      </c>
      <c r="AR96" s="90" t="str">
        <f t="shared" si="38"/>
        <v/>
      </c>
      <c r="AS96" s="90">
        <f t="shared" si="48"/>
        <v>0.98</v>
      </c>
      <c r="AT96" s="90">
        <f t="shared" si="48"/>
        <v>0.98</v>
      </c>
      <c r="AU96" s="14">
        <f t="shared" si="39"/>
        <v>0</v>
      </c>
      <c r="AV96" s="14">
        <f>IF($C96="&lt;01",ROUND(INDEX(EID!$N:$N,MATCH($B96,EID!$B:$B,0))/2,0),IF(SUM($AT96)=0,"",ROUND((SUM($AP96)-(SUM($O96)*SUM($AS96)))/$AT96,0)))</f>
        <v>0</v>
      </c>
      <c r="AW96" s="90">
        <f t="shared" si="40"/>
        <v>1</v>
      </c>
      <c r="AX96" s="42">
        <f t="shared" si="41"/>
        <v>0</v>
      </c>
      <c r="AY96" s="116">
        <f t="shared" si="42"/>
        <v>0.7</v>
      </c>
      <c r="AZ96" s="93">
        <f>IF($C96="&lt;01",ROUND(INDEX(EID!$R:$R,MATCH($B96,EID!$B:$B,0))/2,0),ROUND(SUM($O96)+(SUM($AV96)*$AY96),0))</f>
        <v>0</v>
      </c>
      <c r="BA96" s="89">
        <f t="shared" si="43"/>
        <v>0.95</v>
      </c>
      <c r="BB96" s="9">
        <f>IF($C96="&lt;01",ROUND(INDEX(EID!$T:$T,MATCH($B96,EID!$B:$B,0))/2,0),ROUND($AZ96*$BA96,0))</f>
        <v>0</v>
      </c>
      <c r="BC96" s="93">
        <f t="shared" si="44"/>
        <v>0</v>
      </c>
      <c r="BD96" s="90">
        <f t="shared" si="45"/>
        <v>0.95</v>
      </c>
      <c r="BE96" s="42">
        <f>IF($C96="&lt;01",ROUND(INDEX(EID!$V:$V,MATCH($B96,EID!$B:$B,0))/2,0),ROUND($BD96*$BB96,0))</f>
        <v>0</v>
      </c>
      <c r="BF96" s="42">
        <f t="shared" si="46"/>
        <v>0</v>
      </c>
      <c r="BG96" s="116">
        <f t="shared" si="47"/>
        <v>0.95</v>
      </c>
      <c r="BH96" s="9">
        <f>IF($C96="&lt;01",ROUND(INDEX(EID!$L:$L,MATCH($B96,EID!$B:$B,0)),0)/2,IF(SUM($BG96)=0,"",ROUND($AX96/$BG96,0)))</f>
        <v>0</v>
      </c>
    </row>
    <row r="97" spans="1:60" x14ac:dyDescent="0.2">
      <c r="A97" t="str">
        <f>INDEX(Prioritization!$D:$D,MATCH($B97,Prioritization!$A:$A,0))</f>
        <v>1 - Scale-up: Saturation</v>
      </c>
      <c r="B97" t="s">
        <v>198</v>
      </c>
      <c r="C97" t="s">
        <v>367</v>
      </c>
      <c r="D97" t="s">
        <v>29</v>
      </c>
      <c r="E97" t="str">
        <f t="shared" si="26"/>
        <v>Mchinji District [kxuuIFpOXyO]|50+|Female</v>
      </c>
      <c r="F97" s="14"/>
      <c r="G97" s="14"/>
      <c r="H97" s="14"/>
      <c r="I97" s="14"/>
      <c r="J97" s="14"/>
      <c r="K97" s="14"/>
      <c r="L97" s="14"/>
      <c r="M97" s="14"/>
      <c r="N97" s="14"/>
      <c r="O97" s="14" t="str">
        <f t="shared" si="27"/>
        <v/>
      </c>
      <c r="P97" s="14"/>
      <c r="Q97" s="14"/>
      <c r="R97" s="14" t="str">
        <f t="shared" si="28"/>
        <v/>
      </c>
      <c r="S97" s="14">
        <f>IF(LEFT($B97,4)="_Mil","",_xlfn.IFNA(ROUND(INDEX(Spectrum!$N:$N,MATCH(RIGHT($B97,13)&amp;"|"&amp;$C97&amp;"|"&amp;$D97&amp;"|"&amp;S$14&amp;"|"&amp;"CY2022Q4",Spectrum!$R:$R,0)),0),""))</f>
        <v>1425</v>
      </c>
      <c r="T97" s="42">
        <f>IF(LEFT($B97,4)="_Mil","",_xlfn.IFNA(ROUND(INDEX(Spectrum!$N:$N,MATCH(RIGHT($B97,13)&amp;"|"&amp;$C97&amp;"|"&amp;$D97&amp;"|"&amp;T$14&amp;"|"&amp;"CY2023Q3",Spectrum!$R:$R,0)),0),""))</f>
        <v>1826</v>
      </c>
      <c r="U97" s="42" t="str">
        <f>IF(LEFT($B97,4)="_Mil","",_xlfn.IFNA(ROUND(INDEX(Spectrum!$N:$N,MATCH(RIGHT($B97,13)&amp;"|"&amp;$C97&amp;"|"&amp;$D97&amp;"|"&amp;U$14&amp;"|"&amp;"CY2023Q3",Spectrum!$R:$R,0)),0),""))</f>
        <v/>
      </c>
      <c r="V97" s="14">
        <f>IF(LEFT($B97,4)="_Mil","",_xlfn.IFNA(ROUND(INDEX(Spectrum!$N:$N,MATCH(RIGHT($B97,13)&amp;"|"&amp;$C97&amp;"|"&amp;$D97&amp;"|"&amp;V$14&amp;"|"&amp;"CY2023Q3",Spectrum!$R:$R,0)),0),""))</f>
        <v>1357</v>
      </c>
      <c r="W97" s="115">
        <f>IF(LEFT($B97,4)="_Mil","",_xlfn.IFNA(INDEX(Spectrum!$N:$N,MATCH(RIGHT($B97,13)&amp;"|"&amp;$C97&amp;"|"&amp;$D97&amp;"|"&amp;W$14&amp;"|"&amp;"CY2023Q3",Spectrum!$R:$R,0)),""))</f>
        <v>1133</v>
      </c>
      <c r="X97" s="42">
        <f>IF(LEFT($B97,4)="_Mil","",_xlfn.IFNA(ROUND(INDEX(Spectrum!$N:$N,MATCH(RIGHT($B97,13)&amp;"|"&amp;$C97&amp;"|"&amp;$D97&amp;"|"&amp;X$14&amp;"|"&amp;"CY2023Q3",Spectrum!$R:$R,0)),0),""))</f>
        <v>1186</v>
      </c>
      <c r="Y97" s="90" t="str">
        <f t="shared" si="29"/>
        <v/>
      </c>
      <c r="Z97" s="42">
        <f>IF(LEFT($B97,4)="_Mil","",_xlfn.IFNA(ROUND(INDEX(Spectrum!$N:$N,MATCH(RIGHT($B97,13)&amp;"|"&amp;$C97&amp;"|"&amp;$D97&amp;"|"&amp;Z$14&amp;"|"&amp;"CY2023Q3",Spectrum!$R:$R,0)),0),""))</f>
        <v>1686</v>
      </c>
      <c r="AA97" s="90">
        <f>IF(LEFT($B97,4)="_Mil","",IFERROR(1/(1/INDEX(Spectrum!$N:$N,MATCH(RIGHT($B97,13)&amp;"|"&amp;$C97&amp;"|"&amp;$D97&amp;"|"&amp;AA$14&amp;"|"&amp;"CY2023Q3",Spectrum!$R:$R,0))),IF(SUM($U97)=0,"",SUM($Z97)/$U97)))</f>
        <v>1492</v>
      </c>
      <c r="AB97" s="90">
        <f t="shared" si="30"/>
        <v>1.4215851602023608</v>
      </c>
      <c r="AC97" s="14">
        <f>IF(LEFT($B97,4)="_Mil","",_xlfn.IFNA(ROUND(INDEX(Spectrum!$N:$N,MATCH(RIGHT($B97,13)&amp;"|"&amp;$C97&amp;"|"&amp;$D97&amp;"|"&amp;AC$14&amp;"|"&amp;"CY2023Q3",Spectrum!$R:$R,0)),0),""))</f>
        <v>1985</v>
      </c>
      <c r="AD97" s="14" t="str">
        <f>IF(LEFT($B97,4)="_Mil","",_xlfn.IFNA(ROUND(INDEX(Spectrum!$N:$N,MATCH(RIGHT($B97,13)&amp;"|"&amp;$C97&amp;"|"&amp;$D97&amp;"|"&amp;AD$14&amp;"|"&amp;"CY2023Q3",Spectrum!$R:$R,0)),0),""))</f>
        <v/>
      </c>
      <c r="AE97" s="90">
        <f t="shared" si="31"/>
        <v>0</v>
      </c>
      <c r="AF97" s="42" t="str">
        <f>IF(LEFT($B97,4)="_Mil","",_xlfn.IFNA(ROUND(INDEX(Spectrum!$N:$N,MATCH(RIGHT($B97,13)&amp;"|"&amp;$C97&amp;"|"&amp;$D97&amp;"|"&amp;AF$14&amp;"|"&amp;"CY2023Q3",Spectrum!$R:$R,0)),0),""))</f>
        <v/>
      </c>
      <c r="AG97" s="90" t="str">
        <f t="shared" si="32"/>
        <v/>
      </c>
      <c r="AH97" s="88" t="str">
        <f>IF(LEFT($B97,4)="_Mil","",_xlfn.IFNA(INDEX(Spectrum!$N:$N,MATCH(RIGHT($B97,13)&amp;"|"&amp;$C97&amp;"|"&amp;$D97&amp;"|"&amp;AH$14&amp;"|"&amp;"CY2023Q3",Spectrum!$R:$R,0)),""))</f>
        <v/>
      </c>
      <c r="AI97" s="14" t="str">
        <f>IF(LEFT($B97,4)="_Mil","",_xlfn.IFNA(ROUND(INDEX(Spectrum!$N:$N,MATCH(RIGHT($B97,13)&amp;"|"&amp;$C97&amp;"|"&amp;$D97&amp;"|"&amp;AI$14&amp;"|"&amp;"CY2023Q3",Spectrum!$R:$R,0)),0),""))</f>
        <v/>
      </c>
      <c r="AJ97" s="42">
        <f>IF(LEFT($B97,4)="_Mil","",_xlfn.IFNA(ROUND(INDEX(Spectrum!$N:$N,MATCH(RIGHT($B97,13)&amp;"|"&amp;$C97&amp;"|"&amp;$D97&amp;"|"&amp;AI$14&amp;"|"&amp;"CY2023Q3",Spectrum!$R:$R,0)),0),SUM($U97)+SUM($AI97)))</f>
        <v>0</v>
      </c>
      <c r="AK97" s="14" t="str">
        <f>IF(LEFT($B97,4)="_Mil","",_xlfn.IFNA(ROUND(INDEX(Spectrum!$N:$N,MATCH(RIGHT($B97,13)&amp;"|"&amp;$C97&amp;"|"&amp;$D97&amp;"|"&amp;AK$14&amp;"|"&amp;"CY2023Q3",Spectrum!$R:$R,0)),0),""))</f>
        <v/>
      </c>
      <c r="AL97" s="90">
        <f t="shared" si="33"/>
        <v>1492</v>
      </c>
      <c r="AM97" s="14">
        <f t="shared" si="34"/>
        <v>0</v>
      </c>
      <c r="AN97" s="14" t="str">
        <f>IF($C97="&lt;01",ROUND(INDEX(EID!$P:$P,MATCH($B97,EID!$B:$B,0))/2,0),"")</f>
        <v/>
      </c>
      <c r="AO97" s="14">
        <f t="shared" si="35"/>
        <v>0</v>
      </c>
      <c r="AP97" s="42">
        <f t="shared" si="36"/>
        <v>0</v>
      </c>
      <c r="AQ97" s="42">
        <f t="shared" si="37"/>
        <v>1686</v>
      </c>
      <c r="AR97" s="90" t="str">
        <f t="shared" si="38"/>
        <v/>
      </c>
      <c r="AS97" s="90">
        <f t="shared" si="48"/>
        <v>0.98</v>
      </c>
      <c r="AT97" s="90">
        <f t="shared" si="48"/>
        <v>0.98</v>
      </c>
      <c r="AU97" s="14">
        <f t="shared" si="39"/>
        <v>0</v>
      </c>
      <c r="AV97" s="14">
        <f>IF($C97="&lt;01",ROUND(INDEX(EID!$N:$N,MATCH($B97,EID!$B:$B,0))/2,0),IF(SUM($AT97)=0,"",ROUND((SUM($AP97)-(SUM($O97)*SUM($AS97)))/$AT97,0)))</f>
        <v>0</v>
      </c>
      <c r="AW97" s="90">
        <f t="shared" si="40"/>
        <v>1</v>
      </c>
      <c r="AX97" s="42">
        <f t="shared" si="41"/>
        <v>0</v>
      </c>
      <c r="AY97" s="116">
        <f t="shared" si="42"/>
        <v>0.7</v>
      </c>
      <c r="AZ97" s="93">
        <f>IF($C97="&lt;01",ROUND(INDEX(EID!$R:$R,MATCH($B97,EID!$B:$B,0))/2,0),ROUND(SUM($O97)+(SUM($AV97)*$AY97),0))</f>
        <v>0</v>
      </c>
      <c r="BA97" s="89">
        <f t="shared" si="43"/>
        <v>0.95</v>
      </c>
      <c r="BB97" s="9">
        <f>IF($C97="&lt;01",ROUND(INDEX(EID!$T:$T,MATCH($B97,EID!$B:$B,0))/2,0),ROUND($AZ97*$BA97,0))</f>
        <v>0</v>
      </c>
      <c r="BC97" s="93">
        <f t="shared" si="44"/>
        <v>0</v>
      </c>
      <c r="BD97" s="90">
        <f t="shared" si="45"/>
        <v>0.95</v>
      </c>
      <c r="BE97" s="42">
        <f>IF($C97="&lt;01",ROUND(INDEX(EID!$V:$V,MATCH($B97,EID!$B:$B,0))/2,0),ROUND($BD97*$BB97,0))</f>
        <v>0</v>
      </c>
      <c r="BF97" s="42">
        <f t="shared" si="46"/>
        <v>0</v>
      </c>
      <c r="BG97" s="116">
        <f t="shared" si="47"/>
        <v>0.95</v>
      </c>
      <c r="BH97" s="9">
        <f>IF($C97="&lt;01",ROUND(INDEX(EID!$L:$L,MATCH($B97,EID!$B:$B,0)),0)/2,IF(SUM($BG97)=0,"",ROUND($AX97/$BG97,0)))</f>
        <v>0</v>
      </c>
    </row>
    <row r="98" spans="1:60" x14ac:dyDescent="0.2">
      <c r="A98" t="str">
        <f>INDEX(Prioritization!$D:$D,MATCH($B98,Prioritization!$A:$A,0))</f>
        <v>1 - Scale-up: Saturation</v>
      </c>
      <c r="B98" t="s">
        <v>198</v>
      </c>
      <c r="C98" t="s">
        <v>367</v>
      </c>
      <c r="D98" t="s">
        <v>47</v>
      </c>
      <c r="E98" t="str">
        <f t="shared" si="26"/>
        <v>Mchinji District [kxuuIFpOXyO]|50+|Male</v>
      </c>
      <c r="F98" s="14"/>
      <c r="G98" s="14"/>
      <c r="H98" s="14"/>
      <c r="I98" s="14"/>
      <c r="J98" s="14"/>
      <c r="K98" s="14"/>
      <c r="L98" s="14"/>
      <c r="M98" s="14"/>
      <c r="N98" s="14"/>
      <c r="O98" s="14" t="str">
        <f t="shared" si="27"/>
        <v/>
      </c>
      <c r="P98" s="14"/>
      <c r="Q98" s="14"/>
      <c r="R98" s="14" t="str">
        <f t="shared" si="28"/>
        <v/>
      </c>
      <c r="S98" s="14">
        <f>IF(LEFT($B98,4)="_Mil","",_xlfn.IFNA(ROUND(INDEX(Spectrum!$N:$N,MATCH(RIGHT($B98,13)&amp;"|"&amp;$C98&amp;"|"&amp;$D98&amp;"|"&amp;S$14&amp;"|"&amp;"CY2022Q4",Spectrum!$R:$R,0)),0),""))</f>
        <v>1984</v>
      </c>
      <c r="T98" s="42">
        <f>IF(LEFT($B98,4)="_Mil","",_xlfn.IFNA(ROUND(INDEX(Spectrum!$N:$N,MATCH(RIGHT($B98,13)&amp;"|"&amp;$C98&amp;"|"&amp;$D98&amp;"|"&amp;T$14&amp;"|"&amp;"CY2023Q3",Spectrum!$R:$R,0)),0),""))</f>
        <v>637</v>
      </c>
      <c r="U98" s="42" t="str">
        <f>IF(LEFT($B98,4)="_Mil","",_xlfn.IFNA(ROUND(INDEX(Spectrum!$N:$N,MATCH(RIGHT($B98,13)&amp;"|"&amp;$C98&amp;"|"&amp;$D98&amp;"|"&amp;U$14&amp;"|"&amp;"CY2023Q3",Spectrum!$R:$R,0)),0),""))</f>
        <v/>
      </c>
      <c r="V98" s="14">
        <f>IF(LEFT($B98,4)="_Mil","",_xlfn.IFNA(ROUND(INDEX(Spectrum!$N:$N,MATCH(RIGHT($B98,13)&amp;"|"&amp;$C98&amp;"|"&amp;$D98&amp;"|"&amp;V$14&amp;"|"&amp;"CY2023Q3",Spectrum!$R:$R,0)),0),""))</f>
        <v>1477</v>
      </c>
      <c r="W98" s="115">
        <f>IF(LEFT($B98,4)="_Mil","",_xlfn.IFNA(INDEX(Spectrum!$N:$N,MATCH(RIGHT($B98,13)&amp;"|"&amp;$C98&amp;"|"&amp;$D98&amp;"|"&amp;W$14&amp;"|"&amp;"CY2023Q3",Spectrum!$R:$R,0)),""))</f>
        <v>908</v>
      </c>
      <c r="X98" s="42">
        <f>IF(LEFT($B98,4)="_Mil","",_xlfn.IFNA(ROUND(INDEX(Spectrum!$N:$N,MATCH(RIGHT($B98,13)&amp;"|"&amp;$C98&amp;"|"&amp;$D98&amp;"|"&amp;X$14&amp;"|"&amp;"CY2023Q3",Spectrum!$R:$R,0)),0),""))</f>
        <v>856</v>
      </c>
      <c r="Y98" s="90" t="str">
        <f t="shared" si="29"/>
        <v/>
      </c>
      <c r="Z98" s="42">
        <f>IF(LEFT($B98,4)="_Mil","",_xlfn.IFNA(ROUND(INDEX(Spectrum!$N:$N,MATCH(RIGHT($B98,13)&amp;"|"&amp;$C98&amp;"|"&amp;$D98&amp;"|"&amp;Z$14&amp;"|"&amp;"CY2023Q3",Spectrum!$R:$R,0)),0),""))</f>
        <v>1458</v>
      </c>
      <c r="AA98" s="90">
        <f>IF(LEFT($B98,4)="_Mil","",IFERROR(1/(1/INDEX(Spectrum!$N:$N,MATCH(RIGHT($B98,13)&amp;"|"&amp;$C98&amp;"|"&amp;$D98&amp;"|"&amp;AA$14&amp;"|"&amp;"CY2023Q3",Spectrum!$R:$R,0))),IF(SUM($U98)=0,"",SUM($Z98)/$U98)))</f>
        <v>1145</v>
      </c>
      <c r="AB98" s="90">
        <f t="shared" si="30"/>
        <v>1.7032710280373833</v>
      </c>
      <c r="AC98" s="14">
        <f>IF(LEFT($B98,4)="_Mil","",_xlfn.IFNA(ROUND(INDEX(Spectrum!$N:$N,MATCH(RIGHT($B98,13)&amp;"|"&amp;$C98&amp;"|"&amp;$D98&amp;"|"&amp;AC$14&amp;"|"&amp;"CY2023Q3",Spectrum!$R:$R,0)),0),""))</f>
        <v>1961</v>
      </c>
      <c r="AD98" s="14" t="str">
        <f>IF(LEFT($B98,4)="_Mil","",_xlfn.IFNA(ROUND(INDEX(Spectrum!$N:$N,MATCH(RIGHT($B98,13)&amp;"|"&amp;$C98&amp;"|"&amp;$D98&amp;"|"&amp;AD$14&amp;"|"&amp;"CY2023Q3",Spectrum!$R:$R,0)),0),""))</f>
        <v/>
      </c>
      <c r="AE98" s="90">
        <f t="shared" si="31"/>
        <v>0</v>
      </c>
      <c r="AF98" s="42" t="str">
        <f>IF(LEFT($B98,4)="_Mil","",_xlfn.IFNA(ROUND(INDEX(Spectrum!$N:$N,MATCH(RIGHT($B98,13)&amp;"|"&amp;$C98&amp;"|"&amp;$D98&amp;"|"&amp;AF$14&amp;"|"&amp;"CY2023Q3",Spectrum!$R:$R,0)),0),""))</f>
        <v/>
      </c>
      <c r="AG98" s="90" t="str">
        <f t="shared" si="32"/>
        <v/>
      </c>
      <c r="AH98" s="88" t="str">
        <f>IF(LEFT($B98,4)="_Mil","",_xlfn.IFNA(INDEX(Spectrum!$N:$N,MATCH(RIGHT($B98,13)&amp;"|"&amp;$C98&amp;"|"&amp;$D98&amp;"|"&amp;AH$14&amp;"|"&amp;"CY2023Q3",Spectrum!$R:$R,0)),""))</f>
        <v/>
      </c>
      <c r="AI98" s="14" t="str">
        <f>IF(LEFT($B98,4)="_Mil","",_xlfn.IFNA(ROUND(INDEX(Spectrum!$N:$N,MATCH(RIGHT($B98,13)&amp;"|"&amp;$C98&amp;"|"&amp;$D98&amp;"|"&amp;AI$14&amp;"|"&amp;"CY2023Q3",Spectrum!$R:$R,0)),0),""))</f>
        <v/>
      </c>
      <c r="AJ98" s="42">
        <f>IF(LEFT($B98,4)="_Mil","",_xlfn.IFNA(ROUND(INDEX(Spectrum!$N:$N,MATCH(RIGHT($B98,13)&amp;"|"&amp;$C98&amp;"|"&amp;$D98&amp;"|"&amp;AI$14&amp;"|"&amp;"CY2023Q3",Spectrum!$R:$R,0)),0),SUM($U98)+SUM($AI98)))</f>
        <v>0</v>
      </c>
      <c r="AK98" s="14" t="str">
        <f>IF(LEFT($B98,4)="_Mil","",_xlfn.IFNA(ROUND(INDEX(Spectrum!$N:$N,MATCH(RIGHT($B98,13)&amp;"|"&amp;$C98&amp;"|"&amp;$D98&amp;"|"&amp;AK$14&amp;"|"&amp;"CY2023Q3",Spectrum!$R:$R,0)),0),""))</f>
        <v/>
      </c>
      <c r="AL98" s="90">
        <f t="shared" si="33"/>
        <v>1145</v>
      </c>
      <c r="AM98" s="14">
        <f t="shared" si="34"/>
        <v>0</v>
      </c>
      <c r="AN98" s="14" t="str">
        <f>IF($C98="&lt;01",ROUND(INDEX(EID!$P:$P,MATCH($B98,EID!$B:$B,0))/2,0),"")</f>
        <v/>
      </c>
      <c r="AO98" s="14">
        <f t="shared" si="35"/>
        <v>0</v>
      </c>
      <c r="AP98" s="42">
        <f t="shared" si="36"/>
        <v>0</v>
      </c>
      <c r="AQ98" s="42">
        <f t="shared" si="37"/>
        <v>1458</v>
      </c>
      <c r="AR98" s="90" t="str">
        <f t="shared" si="38"/>
        <v/>
      </c>
      <c r="AS98" s="90">
        <f t="shared" si="48"/>
        <v>0.98</v>
      </c>
      <c r="AT98" s="90">
        <f t="shared" si="48"/>
        <v>0.98</v>
      </c>
      <c r="AU98" s="14">
        <f t="shared" si="39"/>
        <v>0</v>
      </c>
      <c r="AV98" s="14">
        <f>IF($C98="&lt;01",ROUND(INDEX(EID!$N:$N,MATCH($B98,EID!$B:$B,0))/2,0),IF(SUM($AT98)=0,"",ROUND((SUM($AP98)-(SUM($O98)*SUM($AS98)))/$AT98,0)))</f>
        <v>0</v>
      </c>
      <c r="AW98" s="90">
        <f t="shared" si="40"/>
        <v>1</v>
      </c>
      <c r="AX98" s="42">
        <f t="shared" si="41"/>
        <v>0</v>
      </c>
      <c r="AY98" s="116">
        <f t="shared" si="42"/>
        <v>0.7</v>
      </c>
      <c r="AZ98" s="93">
        <f>IF($C98="&lt;01",ROUND(INDEX(EID!$R:$R,MATCH($B98,EID!$B:$B,0))/2,0),ROUND(SUM($O98)+(SUM($AV98)*$AY98),0))</f>
        <v>0</v>
      </c>
      <c r="BA98" s="89">
        <f t="shared" si="43"/>
        <v>0.95</v>
      </c>
      <c r="BB98" s="9">
        <f>IF($C98="&lt;01",ROUND(INDEX(EID!$T:$T,MATCH($B98,EID!$B:$B,0))/2,0),ROUND($AZ98*$BA98,0))</f>
        <v>0</v>
      </c>
      <c r="BC98" s="93">
        <f t="shared" si="44"/>
        <v>0</v>
      </c>
      <c r="BD98" s="90">
        <f t="shared" si="45"/>
        <v>0.95</v>
      </c>
      <c r="BE98" s="42">
        <f>IF($C98="&lt;01",ROUND(INDEX(EID!$V:$V,MATCH($B98,EID!$B:$B,0))/2,0),ROUND($BD98*$BB98,0))</f>
        <v>0</v>
      </c>
      <c r="BF98" s="42">
        <f t="shared" si="46"/>
        <v>0</v>
      </c>
      <c r="BG98" s="116">
        <f t="shared" si="47"/>
        <v>0.95</v>
      </c>
      <c r="BH98" s="9">
        <f>IF($C98="&lt;01",ROUND(INDEX(EID!$L:$L,MATCH($B98,EID!$B:$B,0)),0)/2,IF(SUM($BG98)=0,"",ROUND($AX98/$BG98,0)))</f>
        <v>0</v>
      </c>
    </row>
    <row r="99" spans="1:60" x14ac:dyDescent="0.2">
      <c r="A99" t="str">
        <f>INDEX(Prioritization!$D:$D,MATCH($B99,Prioritization!$A:$A,0))</f>
        <v>1 - Scale-up: Saturation</v>
      </c>
      <c r="B99" t="s">
        <v>199</v>
      </c>
      <c r="C99" t="s">
        <v>315</v>
      </c>
      <c r="D99" t="s">
        <v>29</v>
      </c>
      <c r="E99" t="str">
        <f t="shared" si="26"/>
        <v>Nkhotakota District [YCKiBAp8QAg]|&lt;01|Female</v>
      </c>
      <c r="F99" s="14"/>
      <c r="G99" s="14">
        <v>1</v>
      </c>
      <c r="H99" s="14">
        <v>8</v>
      </c>
      <c r="I99" s="14">
        <v>1</v>
      </c>
      <c r="J99" s="14">
        <v>5</v>
      </c>
      <c r="K99" s="14">
        <v>4</v>
      </c>
      <c r="L99" s="14"/>
      <c r="M99" s="14">
        <v>0</v>
      </c>
      <c r="N99" s="14">
        <v>0</v>
      </c>
      <c r="O99" s="14">
        <f t="shared" si="27"/>
        <v>1</v>
      </c>
      <c r="P99" s="14">
        <v>1</v>
      </c>
      <c r="Q99" s="14">
        <v>0</v>
      </c>
      <c r="R99" s="14">
        <f t="shared" si="28"/>
        <v>0</v>
      </c>
      <c r="S99" s="14">
        <f>IF(LEFT($B99,4)="_Mil","",_xlfn.IFNA(ROUND(INDEX(Spectrum!$N:$N,MATCH(RIGHT($B99,13)&amp;"|"&amp;$C99&amp;"|"&amp;$D99&amp;"|"&amp;S$14&amp;"|"&amp;"CY2022Q4",Spectrum!$R:$R,0)),0),""))</f>
        <v>885</v>
      </c>
      <c r="T99" s="42">
        <f>IF(LEFT($B99,4)="_Mil","",_xlfn.IFNA(ROUND(INDEX(Spectrum!$N:$N,MATCH(RIGHT($B99,13)&amp;"|"&amp;$C99&amp;"|"&amp;$D99&amp;"|"&amp;T$14&amp;"|"&amp;"CY2023Q3",Spectrum!$R:$R,0)),0),""))</f>
        <v>1375</v>
      </c>
      <c r="U99" s="42" t="str">
        <f>IF(LEFT($B99,4)="_Mil","",_xlfn.IFNA(ROUND(INDEX(Spectrum!$N:$N,MATCH(RIGHT($B99,13)&amp;"|"&amp;$C99&amp;"|"&amp;$D99&amp;"|"&amp;U$14&amp;"|"&amp;"CY2023Q3",Spectrum!$R:$R,0)),0),""))</f>
        <v/>
      </c>
      <c r="V99" s="14">
        <f>IF(LEFT($B99,4)="_Mil","",_xlfn.IFNA(ROUND(INDEX(Spectrum!$N:$N,MATCH(RIGHT($B99,13)&amp;"|"&amp;$C99&amp;"|"&amp;$D99&amp;"|"&amp;V$14&amp;"|"&amp;"CY2023Q3",Spectrum!$R:$R,0)),0),""))</f>
        <v>1016</v>
      </c>
      <c r="W99" s="115">
        <f>IF(LEFT($B99,4)="_Mil","",_xlfn.IFNA(INDEX(Spectrum!$N:$N,MATCH(RIGHT($B99,13)&amp;"|"&amp;$C99&amp;"|"&amp;$D99&amp;"|"&amp;W$14&amp;"|"&amp;"CY2023Q3",Spectrum!$R:$R,0)),""))</f>
        <v>1108</v>
      </c>
      <c r="X99" s="42">
        <f>IF(LEFT($B99,4)="_Mil","",_xlfn.IFNA(ROUND(INDEX(Spectrum!$N:$N,MATCH(RIGHT($B99,13)&amp;"|"&amp;$C99&amp;"|"&amp;$D99&amp;"|"&amp;X$14&amp;"|"&amp;"CY2023Q3",Spectrum!$R:$R,0)),0),""))</f>
        <v>1835</v>
      </c>
      <c r="Y99" s="90" t="str">
        <f t="shared" si="29"/>
        <v/>
      </c>
      <c r="Z99" s="42">
        <f>IF(LEFT($B99,4)="_Mil","",_xlfn.IFNA(ROUND(INDEX(Spectrum!$N:$N,MATCH(RIGHT($B99,13)&amp;"|"&amp;$C99&amp;"|"&amp;$D99&amp;"|"&amp;Z$14&amp;"|"&amp;"CY2023Q3",Spectrum!$R:$R,0)),0),""))</f>
        <v>1639</v>
      </c>
      <c r="AA99" s="90">
        <f>IF(LEFT($B99,4)="_Mil","",IFERROR(1/(1/INDEX(Spectrum!$N:$N,MATCH(RIGHT($B99,13)&amp;"|"&amp;$C99&amp;"|"&amp;$D99&amp;"|"&amp;AA$14&amp;"|"&amp;"CY2023Q3",Spectrum!$R:$R,0))),IF(SUM($U99)=0,"",SUM($Z99)/$U99)))</f>
        <v>1904</v>
      </c>
      <c r="AB99" s="90">
        <f t="shared" si="30"/>
        <v>0.89318801089918254</v>
      </c>
      <c r="AC99" s="14">
        <f>IF(LEFT($B99,4)="_Mil","",_xlfn.IFNA(ROUND(INDEX(Spectrum!$N:$N,MATCH(RIGHT($B99,13)&amp;"|"&amp;$C99&amp;"|"&amp;$D99&amp;"|"&amp;AC$14&amp;"|"&amp;"CY2023Q3",Spectrum!$R:$R,0)),0),""))</f>
        <v>1706</v>
      </c>
      <c r="AD99" s="14" t="str">
        <f>IF(LEFT($B99,4)="_Mil","",_xlfn.IFNA(ROUND(INDEX(Spectrum!$N:$N,MATCH(RIGHT($B99,13)&amp;"|"&amp;$C99&amp;"|"&amp;$D99&amp;"|"&amp;AD$14&amp;"|"&amp;"CY2023Q3",Spectrum!$R:$R,0)),0),""))</f>
        <v/>
      </c>
      <c r="AE99" s="90">
        <f t="shared" si="31"/>
        <v>0</v>
      </c>
      <c r="AF99" s="42" t="str">
        <f>IF(LEFT($B99,4)="_Mil","",_xlfn.IFNA(ROUND(INDEX(Spectrum!$N:$N,MATCH(RIGHT($B99,13)&amp;"|"&amp;$C99&amp;"|"&amp;$D99&amp;"|"&amp;AF$14&amp;"|"&amp;"CY2023Q3",Spectrum!$R:$R,0)),0),""))</f>
        <v/>
      </c>
      <c r="AG99" s="90" t="str">
        <f t="shared" si="32"/>
        <v/>
      </c>
      <c r="AH99" s="88" t="str">
        <f>IF(LEFT($B99,4)="_Mil","",_xlfn.IFNA(INDEX(Spectrum!$N:$N,MATCH(RIGHT($B99,13)&amp;"|"&amp;$C99&amp;"|"&amp;$D99&amp;"|"&amp;AH$14&amp;"|"&amp;"CY2023Q3",Spectrum!$R:$R,0)),""))</f>
        <v/>
      </c>
      <c r="AI99" s="14" t="str">
        <f>IF(LEFT($B99,4)="_Mil","",_xlfn.IFNA(ROUND(INDEX(Spectrum!$N:$N,MATCH(RIGHT($B99,13)&amp;"|"&amp;$C99&amp;"|"&amp;$D99&amp;"|"&amp;AI$14&amp;"|"&amp;"CY2023Q3",Spectrum!$R:$R,0)),0),""))</f>
        <v/>
      </c>
      <c r="AJ99" s="42">
        <f>IF(LEFT($B99,4)="_Mil","",_xlfn.IFNA(ROUND(INDEX(Spectrum!$N:$N,MATCH(RIGHT($B99,13)&amp;"|"&amp;$C99&amp;"|"&amp;$D99&amp;"|"&amp;AI$14&amp;"|"&amp;"CY2023Q3",Spectrum!$R:$R,0)),0),SUM($U99)+SUM($AI99)))</f>
        <v>0</v>
      </c>
      <c r="AK99" s="14" t="str">
        <f>IF(LEFT($B99,4)="_Mil","",_xlfn.IFNA(ROUND(INDEX(Spectrum!$N:$N,MATCH(RIGHT($B99,13)&amp;"|"&amp;$C99&amp;"|"&amp;$D99&amp;"|"&amp;AK$14&amp;"|"&amp;"CY2023Q3",Spectrum!$R:$R,0)),0),""))</f>
        <v/>
      </c>
      <c r="AL99" s="90" t="str">
        <f t="shared" si="33"/>
        <v/>
      </c>
      <c r="AM99" s="14" t="str">
        <f t="shared" si="34"/>
        <v/>
      </c>
      <c r="AN99" s="14">
        <f>IF($C99="&lt;01",ROUND(INDEX(EID!$P:$P,MATCH($B99,EID!$B:$B,0))/2,0),"")</f>
        <v>0</v>
      </c>
      <c r="AO99" s="14">
        <f t="shared" si="35"/>
        <v>0</v>
      </c>
      <c r="AP99" s="42">
        <f t="shared" si="36"/>
        <v>0</v>
      </c>
      <c r="AQ99" s="42">
        <f t="shared" si="37"/>
        <v>1639</v>
      </c>
      <c r="AR99" s="90" t="str">
        <f t="shared" si="38"/>
        <v/>
      </c>
      <c r="AS99" s="90" t="str">
        <f t="shared" si="48"/>
        <v/>
      </c>
      <c r="AT99" s="90" t="str">
        <f t="shared" si="48"/>
        <v/>
      </c>
      <c r="AU99" s="14" t="str">
        <f t="shared" si="39"/>
        <v/>
      </c>
      <c r="AV99" s="14">
        <f>IF($C99="&lt;01",ROUND(INDEX(EID!$N:$N,MATCH($B99,EID!$B:$B,0))/2,0),IF(SUM($AT99)=0,"",ROUND((SUM($AP99)-(SUM($O99)*SUM($AS99)))/$AT99,0)))</f>
        <v>0</v>
      </c>
      <c r="AW99" s="90" t="str">
        <f t="shared" si="40"/>
        <v/>
      </c>
      <c r="AX99" s="42">
        <f t="shared" si="41"/>
        <v>0</v>
      </c>
      <c r="AY99" s="116" t="str">
        <f t="shared" si="42"/>
        <v/>
      </c>
      <c r="AZ99" s="93">
        <f>IF($C99="&lt;01",ROUND(INDEX(EID!$R:$R,MATCH($B99,EID!$B:$B,0))/2,0),ROUND(SUM($O99)+(SUM($AV99)*$AY99),0))</f>
        <v>0</v>
      </c>
      <c r="BA99" s="89" t="str">
        <f t="shared" si="43"/>
        <v/>
      </c>
      <c r="BB99" s="9">
        <f>IF($C99="&lt;01",ROUND(INDEX(EID!$T:$T,MATCH($B99,EID!$B:$B,0))/2,0),ROUND($AZ99*$BA99,0))</f>
        <v>0</v>
      </c>
      <c r="BC99" s="93">
        <f t="shared" si="44"/>
        <v>0</v>
      </c>
      <c r="BD99" s="90" t="str">
        <f t="shared" si="45"/>
        <v/>
      </c>
      <c r="BE99" s="42">
        <f>IF($C99="&lt;01",ROUND(INDEX(EID!$V:$V,MATCH($B99,EID!$B:$B,0))/2,0),ROUND($BD99*$BB99,0))</f>
        <v>0</v>
      </c>
      <c r="BF99" s="42">
        <f t="shared" si="46"/>
        <v>0</v>
      </c>
      <c r="BG99" s="116" t="str">
        <f t="shared" si="47"/>
        <v/>
      </c>
      <c r="BH99" s="9">
        <f>IF($C99="&lt;01",ROUND(INDEX(EID!$L:$L,MATCH($B99,EID!$B:$B,0)),0)/2,IF(SUM($BG99)=0,"",ROUND($AX99/$BG99,0)))</f>
        <v>0</v>
      </c>
    </row>
    <row r="100" spans="1:60" x14ac:dyDescent="0.2">
      <c r="A100" t="str">
        <f>INDEX(Prioritization!$D:$D,MATCH($B100,Prioritization!$A:$A,0))</f>
        <v>1 - Scale-up: Saturation</v>
      </c>
      <c r="B100" t="s">
        <v>199</v>
      </c>
      <c r="C100" t="s">
        <v>315</v>
      </c>
      <c r="D100" t="s">
        <v>47</v>
      </c>
      <c r="E100" t="str">
        <f t="shared" si="26"/>
        <v>Nkhotakota District [YCKiBAp8QAg]|&lt;01|Male</v>
      </c>
      <c r="F100" s="14"/>
      <c r="G100" s="14">
        <v>2</v>
      </c>
      <c r="H100" s="14">
        <v>9</v>
      </c>
      <c r="I100" s="14">
        <v>0</v>
      </c>
      <c r="J100" s="14">
        <v>10</v>
      </c>
      <c r="K100" s="14">
        <v>9</v>
      </c>
      <c r="L100" s="14"/>
      <c r="M100" s="14">
        <v>0</v>
      </c>
      <c r="N100" s="14">
        <v>1</v>
      </c>
      <c r="O100" s="14">
        <f t="shared" si="27"/>
        <v>1</v>
      </c>
      <c r="P100" s="14">
        <v>1</v>
      </c>
      <c r="Q100" s="14">
        <v>1</v>
      </c>
      <c r="R100" s="14">
        <f t="shared" si="28"/>
        <v>1</v>
      </c>
      <c r="S100" s="14">
        <f>IF(LEFT($B100,4)="_Mil","",_xlfn.IFNA(ROUND(INDEX(Spectrum!$N:$N,MATCH(RIGHT($B100,13)&amp;"|"&amp;$C100&amp;"|"&amp;$D100&amp;"|"&amp;S$14&amp;"|"&amp;"CY2022Q4",Spectrum!$R:$R,0)),0),""))</f>
        <v>1715</v>
      </c>
      <c r="T100" s="42">
        <f>IF(LEFT($B100,4)="_Mil","",_xlfn.IFNA(ROUND(INDEX(Spectrum!$N:$N,MATCH(RIGHT($B100,13)&amp;"|"&amp;$C100&amp;"|"&amp;$D100&amp;"|"&amp;T$14&amp;"|"&amp;"CY2023Q3",Spectrum!$R:$R,0)),0),""))</f>
        <v>1519</v>
      </c>
      <c r="U100" s="42" t="str">
        <f>IF(LEFT($B100,4)="_Mil","",_xlfn.IFNA(ROUND(INDEX(Spectrum!$N:$N,MATCH(RIGHT($B100,13)&amp;"|"&amp;$C100&amp;"|"&amp;$D100&amp;"|"&amp;U$14&amp;"|"&amp;"CY2023Q3",Spectrum!$R:$R,0)),0),""))</f>
        <v/>
      </c>
      <c r="V100" s="14">
        <f>IF(LEFT($B100,4)="_Mil","",_xlfn.IFNA(ROUND(INDEX(Spectrum!$N:$N,MATCH(RIGHT($B100,13)&amp;"|"&amp;$C100&amp;"|"&amp;$D100&amp;"|"&amp;V$14&amp;"|"&amp;"CY2023Q3",Spectrum!$R:$R,0)),0),""))</f>
        <v>916</v>
      </c>
      <c r="W100" s="115">
        <f>IF(LEFT($B100,4)="_Mil","",_xlfn.IFNA(INDEX(Spectrum!$N:$N,MATCH(RIGHT($B100,13)&amp;"|"&amp;$C100&amp;"|"&amp;$D100&amp;"|"&amp;W$14&amp;"|"&amp;"CY2023Q3",Spectrum!$R:$R,0)),""))</f>
        <v>1289</v>
      </c>
      <c r="X100" s="42">
        <f>IF(LEFT($B100,4)="_Mil","",_xlfn.IFNA(ROUND(INDEX(Spectrum!$N:$N,MATCH(RIGHT($B100,13)&amp;"|"&amp;$C100&amp;"|"&amp;$D100&amp;"|"&amp;X$14&amp;"|"&amp;"CY2023Q3",Spectrum!$R:$R,0)),0),""))</f>
        <v>1250</v>
      </c>
      <c r="Y100" s="90" t="str">
        <f t="shared" si="29"/>
        <v/>
      </c>
      <c r="Z100" s="42">
        <f>IF(LEFT($B100,4)="_Mil","",_xlfn.IFNA(ROUND(INDEX(Spectrum!$N:$N,MATCH(RIGHT($B100,13)&amp;"|"&amp;$C100&amp;"|"&amp;$D100&amp;"|"&amp;Z$14&amp;"|"&amp;"CY2023Q3",Spectrum!$R:$R,0)),0),""))</f>
        <v>1050</v>
      </c>
      <c r="AA100" s="90">
        <f>IF(LEFT($B100,4)="_Mil","",IFERROR(1/(1/INDEX(Spectrum!$N:$N,MATCH(RIGHT($B100,13)&amp;"|"&amp;$C100&amp;"|"&amp;$D100&amp;"|"&amp;AA$14&amp;"|"&amp;"CY2023Q3",Spectrum!$R:$R,0))),IF(SUM($U100)=0,"",SUM($Z100)/$U100)))</f>
        <v>809.00000000000011</v>
      </c>
      <c r="AB100" s="90">
        <f t="shared" si="30"/>
        <v>0.84</v>
      </c>
      <c r="AC100" s="14">
        <f>IF(LEFT($B100,4)="_Mil","",_xlfn.IFNA(ROUND(INDEX(Spectrum!$N:$N,MATCH(RIGHT($B100,13)&amp;"|"&amp;$C100&amp;"|"&amp;$D100&amp;"|"&amp;AC$14&amp;"|"&amp;"CY2023Q3",Spectrum!$R:$R,0)),0),""))</f>
        <v>1839</v>
      </c>
      <c r="AD100" s="14" t="str">
        <f>IF(LEFT($B100,4)="_Mil","",_xlfn.IFNA(ROUND(INDEX(Spectrum!$N:$N,MATCH(RIGHT($B100,13)&amp;"|"&amp;$C100&amp;"|"&amp;$D100&amp;"|"&amp;AD$14&amp;"|"&amp;"CY2023Q3",Spectrum!$R:$R,0)),0),""))</f>
        <v/>
      </c>
      <c r="AE100" s="90">
        <f t="shared" si="31"/>
        <v>0</v>
      </c>
      <c r="AF100" s="42" t="str">
        <f>IF(LEFT($B100,4)="_Mil","",_xlfn.IFNA(ROUND(INDEX(Spectrum!$N:$N,MATCH(RIGHT($B100,13)&amp;"|"&amp;$C100&amp;"|"&amp;$D100&amp;"|"&amp;AF$14&amp;"|"&amp;"CY2023Q3",Spectrum!$R:$R,0)),0),""))</f>
        <v/>
      </c>
      <c r="AG100" s="90" t="str">
        <f t="shared" si="32"/>
        <v/>
      </c>
      <c r="AH100" s="88" t="str">
        <f>IF(LEFT($B100,4)="_Mil","",_xlfn.IFNA(INDEX(Spectrum!$N:$N,MATCH(RIGHT($B100,13)&amp;"|"&amp;$C100&amp;"|"&amp;$D100&amp;"|"&amp;AH$14&amp;"|"&amp;"CY2023Q3",Spectrum!$R:$R,0)),""))</f>
        <v/>
      </c>
      <c r="AI100" s="14" t="str">
        <f>IF(LEFT($B100,4)="_Mil","",_xlfn.IFNA(ROUND(INDEX(Spectrum!$N:$N,MATCH(RIGHT($B100,13)&amp;"|"&amp;$C100&amp;"|"&amp;$D100&amp;"|"&amp;AI$14&amp;"|"&amp;"CY2023Q3",Spectrum!$R:$R,0)),0),""))</f>
        <v/>
      </c>
      <c r="AJ100" s="42">
        <f>IF(LEFT($B100,4)="_Mil","",_xlfn.IFNA(ROUND(INDEX(Spectrum!$N:$N,MATCH(RIGHT($B100,13)&amp;"|"&amp;$C100&amp;"|"&amp;$D100&amp;"|"&amp;AI$14&amp;"|"&amp;"CY2023Q3",Spectrum!$R:$R,0)),0),SUM($U100)+SUM($AI100)))</f>
        <v>0</v>
      </c>
      <c r="AK100" s="14" t="str">
        <f>IF(LEFT($B100,4)="_Mil","",_xlfn.IFNA(ROUND(INDEX(Spectrum!$N:$N,MATCH(RIGHT($B100,13)&amp;"|"&amp;$C100&amp;"|"&amp;$D100&amp;"|"&amp;AK$14&amp;"|"&amp;"CY2023Q3",Spectrum!$R:$R,0)),0),""))</f>
        <v/>
      </c>
      <c r="AL100" s="90" t="str">
        <f t="shared" si="33"/>
        <v/>
      </c>
      <c r="AM100" s="14" t="str">
        <f t="shared" si="34"/>
        <v/>
      </c>
      <c r="AN100" s="14">
        <f>IF($C100="&lt;01",ROUND(INDEX(EID!$P:$P,MATCH($B100,EID!$B:$B,0))/2,0),"")</f>
        <v>0</v>
      </c>
      <c r="AO100" s="14">
        <f t="shared" si="35"/>
        <v>0</v>
      </c>
      <c r="AP100" s="42">
        <f t="shared" si="36"/>
        <v>0</v>
      </c>
      <c r="AQ100" s="42">
        <f t="shared" si="37"/>
        <v>1050</v>
      </c>
      <c r="AR100" s="90" t="str">
        <f t="shared" si="38"/>
        <v/>
      </c>
      <c r="AS100" s="90" t="str">
        <f t="shared" si="48"/>
        <v/>
      </c>
      <c r="AT100" s="90" t="str">
        <f t="shared" si="48"/>
        <v/>
      </c>
      <c r="AU100" s="14" t="str">
        <f t="shared" si="39"/>
        <v/>
      </c>
      <c r="AV100" s="14">
        <f>IF($C100="&lt;01",ROUND(INDEX(EID!$N:$N,MATCH($B100,EID!$B:$B,0))/2,0),IF(SUM($AT100)=0,"",ROUND((SUM($AP100)-(SUM($O100)*SUM($AS100)))/$AT100,0)))</f>
        <v>0</v>
      </c>
      <c r="AW100" s="90" t="str">
        <f t="shared" si="40"/>
        <v/>
      </c>
      <c r="AX100" s="42">
        <f t="shared" si="41"/>
        <v>0</v>
      </c>
      <c r="AY100" s="116" t="str">
        <f t="shared" si="42"/>
        <v/>
      </c>
      <c r="AZ100" s="93">
        <f>IF($C100="&lt;01",ROUND(INDEX(EID!$R:$R,MATCH($B100,EID!$B:$B,0))/2,0),ROUND(SUM($O100)+(SUM($AV100)*$AY100),0))</f>
        <v>0</v>
      </c>
      <c r="BA100" s="89" t="str">
        <f t="shared" si="43"/>
        <v/>
      </c>
      <c r="BB100" s="9">
        <f>IF($C100="&lt;01",ROUND(INDEX(EID!$T:$T,MATCH($B100,EID!$B:$B,0))/2,0),ROUND($AZ100*$BA100,0))</f>
        <v>0</v>
      </c>
      <c r="BC100" s="93">
        <f t="shared" si="44"/>
        <v>0</v>
      </c>
      <c r="BD100" s="90" t="str">
        <f t="shared" si="45"/>
        <v/>
      </c>
      <c r="BE100" s="42">
        <f>IF($C100="&lt;01",ROUND(INDEX(EID!$V:$V,MATCH($B100,EID!$B:$B,0))/2,0),ROUND($BD100*$BB100,0))</f>
        <v>0</v>
      </c>
      <c r="BF100" s="42">
        <f t="shared" si="46"/>
        <v>0</v>
      </c>
      <c r="BG100" s="116" t="str">
        <f t="shared" si="47"/>
        <v/>
      </c>
      <c r="BH100" s="9">
        <f>IF($C100="&lt;01",ROUND(INDEX(EID!$L:$L,MATCH($B100,EID!$B:$B,0)),0)/2,IF(SUM($BG100)=0,"",ROUND($AX100/$BG100,0)))</f>
        <v>0</v>
      </c>
    </row>
    <row r="101" spans="1:60" x14ac:dyDescent="0.2">
      <c r="A101" t="str">
        <f>INDEX(Prioritization!$D:$D,MATCH($B101,Prioritization!$A:$A,0))</f>
        <v>1 - Scale-up: Saturation</v>
      </c>
      <c r="B101" t="s">
        <v>199</v>
      </c>
      <c r="C101" t="s">
        <v>362</v>
      </c>
      <c r="D101" t="s">
        <v>29</v>
      </c>
      <c r="E101" t="str">
        <f t="shared" si="26"/>
        <v>Nkhotakota District [YCKiBAp8QAg]|01-09|Female</v>
      </c>
      <c r="F101" s="14"/>
      <c r="G101" s="14"/>
      <c r="H101" s="14"/>
      <c r="I101" s="14"/>
      <c r="J101" s="14"/>
      <c r="K101" s="14"/>
      <c r="L101" s="14"/>
      <c r="M101" s="14"/>
      <c r="N101" s="14"/>
      <c r="O101" s="14" t="str">
        <f t="shared" si="27"/>
        <v/>
      </c>
      <c r="P101" s="14"/>
      <c r="Q101" s="14"/>
      <c r="R101" s="14" t="str">
        <f t="shared" si="28"/>
        <v/>
      </c>
      <c r="S101" s="14">
        <f>IF(LEFT($B101,4)="_Mil","",_xlfn.IFNA(ROUND(INDEX(Spectrum!$N:$N,MATCH(RIGHT($B101,13)&amp;"|"&amp;$C101&amp;"|"&amp;$D101&amp;"|"&amp;S$14&amp;"|"&amp;"CY2022Q4",Spectrum!$R:$R,0)),0),""))</f>
        <v>1857</v>
      </c>
      <c r="T101" s="42">
        <f>IF(LEFT($B101,4)="_Mil","",_xlfn.IFNA(ROUND(INDEX(Spectrum!$N:$N,MATCH(RIGHT($B101,13)&amp;"|"&amp;$C101&amp;"|"&amp;$D101&amp;"|"&amp;T$14&amp;"|"&amp;"CY2023Q3",Spectrum!$R:$R,0)),0),""))</f>
        <v>578</v>
      </c>
      <c r="U101" s="42" t="str">
        <f>IF(LEFT($B101,4)="_Mil","",_xlfn.IFNA(ROUND(INDEX(Spectrum!$N:$N,MATCH(RIGHT($B101,13)&amp;"|"&amp;$C101&amp;"|"&amp;$D101&amp;"|"&amp;U$14&amp;"|"&amp;"CY2023Q3",Spectrum!$R:$R,0)),0),""))</f>
        <v/>
      </c>
      <c r="V101" s="14">
        <f>IF(LEFT($B101,4)="_Mil","",_xlfn.IFNA(ROUND(INDEX(Spectrum!$N:$N,MATCH(RIGHT($B101,13)&amp;"|"&amp;$C101&amp;"|"&amp;$D101&amp;"|"&amp;V$14&amp;"|"&amp;"CY2023Q3",Spectrum!$R:$R,0)),0),""))</f>
        <v>924</v>
      </c>
      <c r="W101" s="115">
        <f>IF(LEFT($B101,4)="_Mil","",_xlfn.IFNA(INDEX(Spectrum!$N:$N,MATCH(RIGHT($B101,13)&amp;"|"&amp;$C101&amp;"|"&amp;$D101&amp;"|"&amp;W$14&amp;"|"&amp;"CY2023Q3",Spectrum!$R:$R,0)),""))</f>
        <v>1078</v>
      </c>
      <c r="X101" s="42">
        <f>IF(LEFT($B101,4)="_Mil","",_xlfn.IFNA(ROUND(INDEX(Spectrum!$N:$N,MATCH(RIGHT($B101,13)&amp;"|"&amp;$C101&amp;"|"&amp;$D101&amp;"|"&amp;X$14&amp;"|"&amp;"CY2023Q3",Spectrum!$R:$R,0)),0),""))</f>
        <v>624</v>
      </c>
      <c r="Y101" s="90" t="str">
        <f t="shared" si="29"/>
        <v/>
      </c>
      <c r="Z101" s="42">
        <f>IF(LEFT($B101,4)="_Mil","",_xlfn.IFNA(ROUND(INDEX(Spectrum!$N:$N,MATCH(RIGHT($B101,13)&amp;"|"&amp;$C101&amp;"|"&amp;$D101&amp;"|"&amp;Z$14&amp;"|"&amp;"CY2023Q3",Spectrum!$R:$R,0)),0),""))</f>
        <v>1985</v>
      </c>
      <c r="AA101" s="90">
        <f>IF(LEFT($B101,4)="_Mil","",IFERROR(1/(1/INDEX(Spectrum!$N:$N,MATCH(RIGHT($B101,13)&amp;"|"&amp;$C101&amp;"|"&amp;$D101&amp;"|"&amp;AA$14&amp;"|"&amp;"CY2023Q3",Spectrum!$R:$R,0))),IF(SUM($U101)=0,"",SUM($Z101)/$U101)))</f>
        <v>1192</v>
      </c>
      <c r="AB101" s="90">
        <f t="shared" si="30"/>
        <v>3.1810897435897436</v>
      </c>
      <c r="AC101" s="14">
        <f>IF(LEFT($B101,4)="_Mil","",_xlfn.IFNA(ROUND(INDEX(Spectrum!$N:$N,MATCH(RIGHT($B101,13)&amp;"|"&amp;$C101&amp;"|"&amp;$D101&amp;"|"&amp;AC$14&amp;"|"&amp;"CY2023Q3",Spectrum!$R:$R,0)),0),""))</f>
        <v>1524</v>
      </c>
      <c r="AD101" s="14" t="str">
        <f>IF(LEFT($B101,4)="_Mil","",_xlfn.IFNA(ROUND(INDEX(Spectrum!$N:$N,MATCH(RIGHT($B101,13)&amp;"|"&amp;$C101&amp;"|"&amp;$D101&amp;"|"&amp;AD$14&amp;"|"&amp;"CY2023Q3",Spectrum!$R:$R,0)),0),""))</f>
        <v/>
      </c>
      <c r="AE101" s="90">
        <f t="shared" si="31"/>
        <v>0</v>
      </c>
      <c r="AF101" s="42" t="str">
        <f>IF(LEFT($B101,4)="_Mil","",_xlfn.IFNA(ROUND(INDEX(Spectrum!$N:$N,MATCH(RIGHT($B101,13)&amp;"|"&amp;$C101&amp;"|"&amp;$D101&amp;"|"&amp;AF$14&amp;"|"&amp;"CY2023Q3",Spectrum!$R:$R,0)),0),""))</f>
        <v/>
      </c>
      <c r="AG101" s="90" t="str">
        <f t="shared" si="32"/>
        <v/>
      </c>
      <c r="AH101" s="88" t="str">
        <f>IF(LEFT($B101,4)="_Mil","",_xlfn.IFNA(INDEX(Spectrum!$N:$N,MATCH(RIGHT($B101,13)&amp;"|"&amp;$C101&amp;"|"&amp;$D101&amp;"|"&amp;AH$14&amp;"|"&amp;"CY2023Q3",Spectrum!$R:$R,0)),""))</f>
        <v/>
      </c>
      <c r="AI101" s="14" t="str">
        <f>IF(LEFT($B101,4)="_Mil","",_xlfn.IFNA(ROUND(INDEX(Spectrum!$N:$N,MATCH(RIGHT($B101,13)&amp;"|"&amp;$C101&amp;"|"&amp;$D101&amp;"|"&amp;AI$14&amp;"|"&amp;"CY2023Q3",Spectrum!$R:$R,0)),0),""))</f>
        <v/>
      </c>
      <c r="AJ101" s="42">
        <f>IF(LEFT($B101,4)="_Mil","",_xlfn.IFNA(ROUND(INDEX(Spectrum!$N:$N,MATCH(RIGHT($B101,13)&amp;"|"&amp;$C101&amp;"|"&amp;$D101&amp;"|"&amp;AI$14&amp;"|"&amp;"CY2023Q3",Spectrum!$R:$R,0)),0),SUM($U101)+SUM($AI101)))</f>
        <v>0</v>
      </c>
      <c r="AK101" s="14" t="str">
        <f>IF(LEFT($B101,4)="_Mil","",_xlfn.IFNA(ROUND(INDEX(Spectrum!$N:$N,MATCH(RIGHT($B101,13)&amp;"|"&amp;$C101&amp;"|"&amp;$D101&amp;"|"&amp;AK$14&amp;"|"&amp;"CY2023Q3",Spectrum!$R:$R,0)),0),""))</f>
        <v/>
      </c>
      <c r="AL101" s="90">
        <f t="shared" si="33"/>
        <v>1192</v>
      </c>
      <c r="AM101" s="14">
        <f t="shared" si="34"/>
        <v>0</v>
      </c>
      <c r="AN101" s="14" t="str">
        <f>IF($C101="&lt;01",ROUND(INDEX(EID!$P:$P,MATCH($B101,EID!$B:$B,0))/2,0),"")</f>
        <v/>
      </c>
      <c r="AO101" s="14">
        <f t="shared" si="35"/>
        <v>0</v>
      </c>
      <c r="AP101" s="42">
        <f t="shared" si="36"/>
        <v>0</v>
      </c>
      <c r="AQ101" s="42">
        <f t="shared" si="37"/>
        <v>1985</v>
      </c>
      <c r="AR101" s="90" t="str">
        <f t="shared" si="38"/>
        <v/>
      </c>
      <c r="AS101" s="90">
        <f t="shared" si="48"/>
        <v>0.98</v>
      </c>
      <c r="AT101" s="90">
        <f t="shared" si="48"/>
        <v>0.98</v>
      </c>
      <c r="AU101" s="14">
        <f t="shared" si="39"/>
        <v>0</v>
      </c>
      <c r="AV101" s="14">
        <f>IF($C101="&lt;01",ROUND(INDEX(EID!$N:$N,MATCH($B101,EID!$B:$B,0))/2,0),IF(SUM($AT101)=0,"",ROUND((SUM($AP101)-(SUM($O101)*SUM($AS101)))/$AT101,0)))</f>
        <v>0</v>
      </c>
      <c r="AW101" s="90">
        <f t="shared" si="40"/>
        <v>1</v>
      </c>
      <c r="AX101" s="42">
        <f t="shared" si="41"/>
        <v>0</v>
      </c>
      <c r="AY101" s="116">
        <f t="shared" si="42"/>
        <v>0.7</v>
      </c>
      <c r="AZ101" s="93">
        <f>IF($C101="&lt;01",ROUND(INDEX(EID!$R:$R,MATCH($B101,EID!$B:$B,0))/2,0),ROUND(SUM($O101)+(SUM($AV101)*$AY101),0))</f>
        <v>0</v>
      </c>
      <c r="BA101" s="89">
        <f t="shared" si="43"/>
        <v>0.95</v>
      </c>
      <c r="BB101" s="9">
        <f>IF($C101="&lt;01",ROUND(INDEX(EID!$T:$T,MATCH($B101,EID!$B:$B,0))/2,0),ROUND($AZ101*$BA101,0))</f>
        <v>0</v>
      </c>
      <c r="BC101" s="93">
        <f t="shared" si="44"/>
        <v>0</v>
      </c>
      <c r="BD101" s="90">
        <f t="shared" si="45"/>
        <v>0.95</v>
      </c>
      <c r="BE101" s="42">
        <f>IF($C101="&lt;01",ROUND(INDEX(EID!$V:$V,MATCH($B101,EID!$B:$B,0))/2,0),ROUND($BD101*$BB101,0))</f>
        <v>0</v>
      </c>
      <c r="BF101" s="42">
        <f t="shared" si="46"/>
        <v>0</v>
      </c>
      <c r="BG101" s="116">
        <f t="shared" si="47"/>
        <v>0.95</v>
      </c>
      <c r="BH101" s="9">
        <f>IF($C101="&lt;01",ROUND(INDEX(EID!$L:$L,MATCH($B101,EID!$B:$B,0)),0)/2,IF(SUM($BG101)=0,"",ROUND($AX101/$BG101,0)))</f>
        <v>0</v>
      </c>
    </row>
    <row r="102" spans="1:60" x14ac:dyDescent="0.2">
      <c r="A102" t="str">
        <f>INDEX(Prioritization!$D:$D,MATCH($B102,Prioritization!$A:$A,0))</f>
        <v>1 - Scale-up: Saturation</v>
      </c>
      <c r="B102" t="s">
        <v>199</v>
      </c>
      <c r="C102" t="s">
        <v>362</v>
      </c>
      <c r="D102" t="s">
        <v>47</v>
      </c>
      <c r="E102" t="str">
        <f t="shared" si="26"/>
        <v>Nkhotakota District [YCKiBAp8QAg]|01-09|Male</v>
      </c>
      <c r="F102" s="14"/>
      <c r="G102" s="14"/>
      <c r="H102" s="14"/>
      <c r="I102" s="14"/>
      <c r="J102" s="14"/>
      <c r="K102" s="14"/>
      <c r="L102" s="14"/>
      <c r="M102" s="14"/>
      <c r="N102" s="14"/>
      <c r="O102" s="14" t="str">
        <f t="shared" si="27"/>
        <v/>
      </c>
      <c r="P102" s="14"/>
      <c r="Q102" s="14"/>
      <c r="R102" s="14" t="str">
        <f t="shared" si="28"/>
        <v/>
      </c>
      <c r="S102" s="14">
        <f>IF(LEFT($B102,4)="_Mil","",_xlfn.IFNA(ROUND(INDEX(Spectrum!$N:$N,MATCH(RIGHT($B102,13)&amp;"|"&amp;$C102&amp;"|"&amp;$D102&amp;"|"&amp;S$14&amp;"|"&amp;"CY2022Q4",Spectrum!$R:$R,0)),0),""))</f>
        <v>1935</v>
      </c>
      <c r="T102" s="42">
        <f>IF(LEFT($B102,4)="_Mil","",_xlfn.IFNA(ROUND(INDEX(Spectrum!$N:$N,MATCH(RIGHT($B102,13)&amp;"|"&amp;$C102&amp;"|"&amp;$D102&amp;"|"&amp;T$14&amp;"|"&amp;"CY2023Q3",Spectrum!$R:$R,0)),0),""))</f>
        <v>690</v>
      </c>
      <c r="U102" s="42" t="str">
        <f>IF(LEFT($B102,4)="_Mil","",_xlfn.IFNA(ROUND(INDEX(Spectrum!$N:$N,MATCH(RIGHT($B102,13)&amp;"|"&amp;$C102&amp;"|"&amp;$D102&amp;"|"&amp;U$14&amp;"|"&amp;"CY2023Q3",Spectrum!$R:$R,0)),0),""))</f>
        <v/>
      </c>
      <c r="V102" s="14">
        <f>IF(LEFT($B102,4)="_Mil","",_xlfn.IFNA(ROUND(INDEX(Spectrum!$N:$N,MATCH(RIGHT($B102,13)&amp;"|"&amp;$C102&amp;"|"&amp;$D102&amp;"|"&amp;V$14&amp;"|"&amp;"CY2023Q3",Spectrum!$R:$R,0)),0),""))</f>
        <v>1209</v>
      </c>
      <c r="W102" s="115">
        <f>IF(LEFT($B102,4)="_Mil","",_xlfn.IFNA(INDEX(Spectrum!$N:$N,MATCH(RIGHT($B102,13)&amp;"|"&amp;$C102&amp;"|"&amp;$D102&amp;"|"&amp;W$14&amp;"|"&amp;"CY2023Q3",Spectrum!$R:$R,0)),""))</f>
        <v>1159</v>
      </c>
      <c r="X102" s="42">
        <f>IF(LEFT($B102,4)="_Mil","",_xlfn.IFNA(ROUND(INDEX(Spectrum!$N:$N,MATCH(RIGHT($B102,13)&amp;"|"&amp;$C102&amp;"|"&amp;$D102&amp;"|"&amp;X$14&amp;"|"&amp;"CY2023Q3",Spectrum!$R:$R,0)),0),""))</f>
        <v>538</v>
      </c>
      <c r="Y102" s="90" t="str">
        <f t="shared" si="29"/>
        <v/>
      </c>
      <c r="Z102" s="42">
        <f>IF(LEFT($B102,4)="_Mil","",_xlfn.IFNA(ROUND(INDEX(Spectrum!$N:$N,MATCH(RIGHT($B102,13)&amp;"|"&amp;$C102&amp;"|"&amp;$D102&amp;"|"&amp;Z$14&amp;"|"&amp;"CY2023Q3",Spectrum!$R:$R,0)),0),""))</f>
        <v>932</v>
      </c>
      <c r="AA102" s="90">
        <f>IF(LEFT($B102,4)="_Mil","",IFERROR(1/(1/INDEX(Spectrum!$N:$N,MATCH(RIGHT($B102,13)&amp;"|"&amp;$C102&amp;"|"&amp;$D102&amp;"|"&amp;AA$14&amp;"|"&amp;"CY2023Q3",Spectrum!$R:$R,0))),IF(SUM($U102)=0,"",SUM($Z102)/$U102)))</f>
        <v>1659</v>
      </c>
      <c r="AB102" s="90">
        <f t="shared" si="30"/>
        <v>1.7323420074349443</v>
      </c>
      <c r="AC102" s="14">
        <f>IF(LEFT($B102,4)="_Mil","",_xlfn.IFNA(ROUND(INDEX(Spectrum!$N:$N,MATCH(RIGHT($B102,13)&amp;"|"&amp;$C102&amp;"|"&amp;$D102&amp;"|"&amp;AC$14&amp;"|"&amp;"CY2023Q3",Spectrum!$R:$R,0)),0),""))</f>
        <v>1483</v>
      </c>
      <c r="AD102" s="14" t="str">
        <f>IF(LEFT($B102,4)="_Mil","",_xlfn.IFNA(ROUND(INDEX(Spectrum!$N:$N,MATCH(RIGHT($B102,13)&amp;"|"&amp;$C102&amp;"|"&amp;$D102&amp;"|"&amp;AD$14&amp;"|"&amp;"CY2023Q3",Spectrum!$R:$R,0)),0),""))</f>
        <v/>
      </c>
      <c r="AE102" s="90">
        <f t="shared" si="31"/>
        <v>0</v>
      </c>
      <c r="AF102" s="42" t="str">
        <f>IF(LEFT($B102,4)="_Mil","",_xlfn.IFNA(ROUND(INDEX(Spectrum!$N:$N,MATCH(RIGHT($B102,13)&amp;"|"&amp;$C102&amp;"|"&amp;$D102&amp;"|"&amp;AF$14&amp;"|"&amp;"CY2023Q3",Spectrum!$R:$R,0)),0),""))</f>
        <v/>
      </c>
      <c r="AG102" s="90" t="str">
        <f t="shared" si="32"/>
        <v/>
      </c>
      <c r="AH102" s="88" t="str">
        <f>IF(LEFT($B102,4)="_Mil","",_xlfn.IFNA(INDEX(Spectrum!$N:$N,MATCH(RIGHT($B102,13)&amp;"|"&amp;$C102&amp;"|"&amp;$D102&amp;"|"&amp;AH$14&amp;"|"&amp;"CY2023Q3",Spectrum!$R:$R,0)),""))</f>
        <v/>
      </c>
      <c r="AI102" s="14" t="str">
        <f>IF(LEFT($B102,4)="_Mil","",_xlfn.IFNA(ROUND(INDEX(Spectrum!$N:$N,MATCH(RIGHT($B102,13)&amp;"|"&amp;$C102&amp;"|"&amp;$D102&amp;"|"&amp;AI$14&amp;"|"&amp;"CY2023Q3",Spectrum!$R:$R,0)),0),""))</f>
        <v/>
      </c>
      <c r="AJ102" s="42">
        <f>IF(LEFT($B102,4)="_Mil","",_xlfn.IFNA(ROUND(INDEX(Spectrum!$N:$N,MATCH(RIGHT($B102,13)&amp;"|"&amp;$C102&amp;"|"&amp;$D102&amp;"|"&amp;AI$14&amp;"|"&amp;"CY2023Q3",Spectrum!$R:$R,0)),0),SUM($U102)+SUM($AI102)))</f>
        <v>0</v>
      </c>
      <c r="AK102" s="14" t="str">
        <f>IF(LEFT($B102,4)="_Mil","",_xlfn.IFNA(ROUND(INDEX(Spectrum!$N:$N,MATCH(RIGHT($B102,13)&amp;"|"&amp;$C102&amp;"|"&amp;$D102&amp;"|"&amp;AK$14&amp;"|"&amp;"CY2023Q3",Spectrum!$R:$R,0)),0),""))</f>
        <v/>
      </c>
      <c r="AL102" s="90">
        <f t="shared" si="33"/>
        <v>1659</v>
      </c>
      <c r="AM102" s="14">
        <f t="shared" si="34"/>
        <v>0</v>
      </c>
      <c r="AN102" s="14" t="str">
        <f>IF($C102="&lt;01",ROUND(INDEX(EID!$P:$P,MATCH($B102,EID!$B:$B,0))/2,0),"")</f>
        <v/>
      </c>
      <c r="AO102" s="14">
        <f t="shared" si="35"/>
        <v>0</v>
      </c>
      <c r="AP102" s="42">
        <f t="shared" si="36"/>
        <v>0</v>
      </c>
      <c r="AQ102" s="42">
        <f t="shared" si="37"/>
        <v>932</v>
      </c>
      <c r="AR102" s="90" t="str">
        <f t="shared" si="38"/>
        <v/>
      </c>
      <c r="AS102" s="90">
        <f t="shared" si="48"/>
        <v>0.98</v>
      </c>
      <c r="AT102" s="90">
        <f t="shared" si="48"/>
        <v>0.98</v>
      </c>
      <c r="AU102" s="14">
        <f t="shared" si="39"/>
        <v>0</v>
      </c>
      <c r="AV102" s="14">
        <f>IF($C102="&lt;01",ROUND(INDEX(EID!$N:$N,MATCH($B102,EID!$B:$B,0))/2,0),IF(SUM($AT102)=0,"",ROUND((SUM($AP102)-(SUM($O102)*SUM($AS102)))/$AT102,0)))</f>
        <v>0</v>
      </c>
      <c r="AW102" s="90">
        <f t="shared" si="40"/>
        <v>1</v>
      </c>
      <c r="AX102" s="42">
        <f t="shared" si="41"/>
        <v>0</v>
      </c>
      <c r="AY102" s="116">
        <f t="shared" si="42"/>
        <v>0.7</v>
      </c>
      <c r="AZ102" s="93">
        <f>IF($C102="&lt;01",ROUND(INDEX(EID!$R:$R,MATCH($B102,EID!$B:$B,0))/2,0),ROUND(SUM($O102)+(SUM($AV102)*$AY102),0))</f>
        <v>0</v>
      </c>
      <c r="BA102" s="89">
        <f t="shared" si="43"/>
        <v>0.95</v>
      </c>
      <c r="BB102" s="9">
        <f>IF($C102="&lt;01",ROUND(INDEX(EID!$T:$T,MATCH($B102,EID!$B:$B,0))/2,0),ROUND($AZ102*$BA102,0))</f>
        <v>0</v>
      </c>
      <c r="BC102" s="93">
        <f t="shared" si="44"/>
        <v>0</v>
      </c>
      <c r="BD102" s="90">
        <f t="shared" si="45"/>
        <v>0.95</v>
      </c>
      <c r="BE102" s="42">
        <f>IF($C102="&lt;01",ROUND(INDEX(EID!$V:$V,MATCH($B102,EID!$B:$B,0))/2,0),ROUND($BD102*$BB102,0))</f>
        <v>0</v>
      </c>
      <c r="BF102" s="42">
        <f t="shared" si="46"/>
        <v>0</v>
      </c>
      <c r="BG102" s="116">
        <f t="shared" si="47"/>
        <v>0.95</v>
      </c>
      <c r="BH102" s="9">
        <f>IF($C102="&lt;01",ROUND(INDEX(EID!$L:$L,MATCH($B102,EID!$B:$B,0)),0)/2,IF(SUM($BG102)=0,"",ROUND($AX102/$BG102,0)))</f>
        <v>0</v>
      </c>
    </row>
    <row r="103" spans="1:60" x14ac:dyDescent="0.2">
      <c r="A103" t="str">
        <f>INDEX(Prioritization!$D:$D,MATCH($B103,Prioritization!$A:$A,0))</f>
        <v>1 - Scale-up: Saturation</v>
      </c>
      <c r="B103" t="s">
        <v>199</v>
      </c>
      <c r="C103" t="s">
        <v>363</v>
      </c>
      <c r="D103" t="s">
        <v>29</v>
      </c>
      <c r="E103" t="str">
        <f t="shared" si="26"/>
        <v>Nkhotakota District [YCKiBAp8QAg]|10-14|Female</v>
      </c>
      <c r="F103" s="14"/>
      <c r="G103" s="14">
        <v>7</v>
      </c>
      <c r="H103" s="14">
        <v>8</v>
      </c>
      <c r="I103" s="14">
        <v>43</v>
      </c>
      <c r="J103" s="14">
        <v>63</v>
      </c>
      <c r="K103" s="14">
        <v>62</v>
      </c>
      <c r="L103" s="14">
        <v>8</v>
      </c>
      <c r="M103" s="14">
        <v>6</v>
      </c>
      <c r="N103" s="14">
        <v>82</v>
      </c>
      <c r="O103" s="14">
        <f t="shared" si="27"/>
        <v>82</v>
      </c>
      <c r="P103" s="14">
        <v>46</v>
      </c>
      <c r="Q103" s="14">
        <v>21</v>
      </c>
      <c r="R103" s="14">
        <f t="shared" si="28"/>
        <v>39</v>
      </c>
      <c r="S103" s="14">
        <f>IF(LEFT($B103,4)="_Mil","",_xlfn.IFNA(ROUND(INDEX(Spectrum!$N:$N,MATCH(RIGHT($B103,13)&amp;"|"&amp;$C103&amp;"|"&amp;$D103&amp;"|"&amp;S$14&amp;"|"&amp;"CY2022Q4",Spectrum!$R:$R,0)),0),""))</f>
        <v>1270</v>
      </c>
      <c r="T103" s="42">
        <f>IF(LEFT($B103,4)="_Mil","",_xlfn.IFNA(ROUND(INDEX(Spectrum!$N:$N,MATCH(RIGHT($B103,13)&amp;"|"&amp;$C103&amp;"|"&amp;$D103&amp;"|"&amp;T$14&amp;"|"&amp;"CY2023Q3",Spectrum!$R:$R,0)),0),""))</f>
        <v>1523</v>
      </c>
      <c r="U103" s="42" t="str">
        <f>IF(LEFT($B103,4)="_Mil","",_xlfn.IFNA(ROUND(INDEX(Spectrum!$N:$N,MATCH(RIGHT($B103,13)&amp;"|"&amp;$C103&amp;"|"&amp;$D103&amp;"|"&amp;U$14&amp;"|"&amp;"CY2023Q3",Spectrum!$R:$R,0)),0),""))</f>
        <v/>
      </c>
      <c r="V103" s="14">
        <f>IF(LEFT($B103,4)="_Mil","",_xlfn.IFNA(ROUND(INDEX(Spectrum!$N:$N,MATCH(RIGHT($B103,13)&amp;"|"&amp;$C103&amp;"|"&amp;$D103&amp;"|"&amp;V$14&amp;"|"&amp;"CY2023Q3",Spectrum!$R:$R,0)),0),""))</f>
        <v>983</v>
      </c>
      <c r="W103" s="115">
        <f>IF(LEFT($B103,4)="_Mil","",_xlfn.IFNA(INDEX(Spectrum!$N:$N,MATCH(RIGHT($B103,13)&amp;"|"&amp;$C103&amp;"|"&amp;$D103&amp;"|"&amp;W$14&amp;"|"&amp;"CY2023Q3",Spectrum!$R:$R,0)),""))</f>
        <v>1754</v>
      </c>
      <c r="X103" s="42">
        <f>IF(LEFT($B103,4)="_Mil","",_xlfn.IFNA(ROUND(INDEX(Spectrum!$N:$N,MATCH(RIGHT($B103,13)&amp;"|"&amp;$C103&amp;"|"&amp;$D103&amp;"|"&amp;X$14&amp;"|"&amp;"CY2023Q3",Spectrum!$R:$R,0)),0),""))</f>
        <v>1854</v>
      </c>
      <c r="Y103" s="90" t="str">
        <f t="shared" si="29"/>
        <v/>
      </c>
      <c r="Z103" s="42">
        <f>IF(LEFT($B103,4)="_Mil","",_xlfn.IFNA(ROUND(INDEX(Spectrum!$N:$N,MATCH(RIGHT($B103,13)&amp;"|"&amp;$C103&amp;"|"&amp;$D103&amp;"|"&amp;Z$14&amp;"|"&amp;"CY2023Q3",Spectrum!$R:$R,0)),0),""))</f>
        <v>1398</v>
      </c>
      <c r="AA103" s="90">
        <f>IF(LEFT($B103,4)="_Mil","",IFERROR(1/(1/INDEX(Spectrum!$N:$N,MATCH(RIGHT($B103,13)&amp;"|"&amp;$C103&amp;"|"&amp;$D103&amp;"|"&amp;AA$14&amp;"|"&amp;"CY2023Q3",Spectrum!$R:$R,0))),IF(SUM($U103)=0,"",SUM($Z103)/$U103)))</f>
        <v>1913</v>
      </c>
      <c r="AB103" s="90">
        <f t="shared" si="30"/>
        <v>0.75404530744336573</v>
      </c>
      <c r="AC103" s="14">
        <f>IF(LEFT($B103,4)="_Mil","",_xlfn.IFNA(ROUND(INDEX(Spectrum!$N:$N,MATCH(RIGHT($B103,13)&amp;"|"&amp;$C103&amp;"|"&amp;$D103&amp;"|"&amp;AC$14&amp;"|"&amp;"CY2023Q3",Spectrum!$R:$R,0)),0),""))</f>
        <v>1874</v>
      </c>
      <c r="AD103" s="14" t="str">
        <f>IF(LEFT($B103,4)="_Mil","",_xlfn.IFNA(ROUND(INDEX(Spectrum!$N:$N,MATCH(RIGHT($B103,13)&amp;"|"&amp;$C103&amp;"|"&amp;$D103&amp;"|"&amp;AD$14&amp;"|"&amp;"CY2023Q3",Spectrum!$R:$R,0)),0),""))</f>
        <v/>
      </c>
      <c r="AE103" s="90">
        <f t="shared" si="31"/>
        <v>0</v>
      </c>
      <c r="AF103" s="42" t="str">
        <f>IF(LEFT($B103,4)="_Mil","",_xlfn.IFNA(ROUND(INDEX(Spectrum!$N:$N,MATCH(RIGHT($B103,13)&amp;"|"&amp;$C103&amp;"|"&amp;$D103&amp;"|"&amp;AF$14&amp;"|"&amp;"CY2023Q3",Spectrum!$R:$R,0)),0),""))</f>
        <v/>
      </c>
      <c r="AG103" s="90" t="str">
        <f t="shared" si="32"/>
        <v/>
      </c>
      <c r="AH103" s="88" t="str">
        <f>IF(LEFT($B103,4)="_Mil","",_xlfn.IFNA(INDEX(Spectrum!$N:$N,MATCH(RIGHT($B103,13)&amp;"|"&amp;$C103&amp;"|"&amp;$D103&amp;"|"&amp;AH$14&amp;"|"&amp;"CY2023Q3",Spectrum!$R:$R,0)),""))</f>
        <v/>
      </c>
      <c r="AI103" s="14" t="str">
        <f>IF(LEFT($B103,4)="_Mil","",_xlfn.IFNA(ROUND(INDEX(Spectrum!$N:$N,MATCH(RIGHT($B103,13)&amp;"|"&amp;$C103&amp;"|"&amp;$D103&amp;"|"&amp;AI$14&amp;"|"&amp;"CY2023Q3",Spectrum!$R:$R,0)),0),""))</f>
        <v/>
      </c>
      <c r="AJ103" s="42">
        <f>IF(LEFT($B103,4)="_Mil","",_xlfn.IFNA(ROUND(INDEX(Spectrum!$N:$N,MATCH(RIGHT($B103,13)&amp;"|"&amp;$C103&amp;"|"&amp;$D103&amp;"|"&amp;AI$14&amp;"|"&amp;"CY2023Q3",Spectrum!$R:$R,0)),0),SUM($U103)+SUM($AI103)))</f>
        <v>0</v>
      </c>
      <c r="AK103" s="14" t="str">
        <f>IF(LEFT($B103,4)="_Mil","",_xlfn.IFNA(ROUND(INDEX(Spectrum!$N:$N,MATCH(RIGHT($B103,13)&amp;"|"&amp;$C103&amp;"|"&amp;$D103&amp;"|"&amp;AK$14&amp;"|"&amp;"CY2023Q3",Spectrum!$R:$R,0)),0),""))</f>
        <v/>
      </c>
      <c r="AL103" s="90">
        <f t="shared" si="33"/>
        <v>1913</v>
      </c>
      <c r="AM103" s="14">
        <f t="shared" si="34"/>
        <v>0</v>
      </c>
      <c r="AN103" s="14" t="str">
        <f>IF($C103="&lt;01",ROUND(INDEX(EID!$P:$P,MATCH($B103,EID!$B:$B,0))/2,0),"")</f>
        <v/>
      </c>
      <c r="AO103" s="14">
        <f t="shared" si="35"/>
        <v>0</v>
      </c>
      <c r="AP103" s="42">
        <f t="shared" si="36"/>
        <v>0</v>
      </c>
      <c r="AQ103" s="42">
        <f t="shared" si="37"/>
        <v>1398</v>
      </c>
      <c r="AR103" s="90" t="str">
        <f t="shared" si="38"/>
        <v/>
      </c>
      <c r="AS103" s="90">
        <f t="shared" si="48"/>
        <v>0.98</v>
      </c>
      <c r="AT103" s="90">
        <f t="shared" si="48"/>
        <v>0.98</v>
      </c>
      <c r="AU103" s="14">
        <f t="shared" si="39"/>
        <v>-82</v>
      </c>
      <c r="AV103" s="14">
        <f>IF($C103="&lt;01",ROUND(INDEX(EID!$N:$N,MATCH($B103,EID!$B:$B,0))/2,0),IF(SUM($AT103)=0,"",ROUND((SUM($AP103)-(SUM($O103)*SUM($AS103)))/$AT103,0)))</f>
        <v>-82</v>
      </c>
      <c r="AW103" s="90">
        <f t="shared" si="40"/>
        <v>1</v>
      </c>
      <c r="AX103" s="42">
        <f t="shared" si="41"/>
        <v>-82</v>
      </c>
      <c r="AY103" s="116">
        <f t="shared" si="42"/>
        <v>0.7</v>
      </c>
      <c r="AZ103" s="93">
        <f>IF($C103="&lt;01",ROUND(INDEX(EID!$R:$R,MATCH($B103,EID!$B:$B,0))/2,0),ROUND(SUM($O103)+(SUM($AV103)*$AY103),0))</f>
        <v>25</v>
      </c>
      <c r="BA103" s="89">
        <f t="shared" si="43"/>
        <v>0.95</v>
      </c>
      <c r="BB103" s="9">
        <f>IF($C103="&lt;01",ROUND(INDEX(EID!$T:$T,MATCH($B103,EID!$B:$B,0))/2,0),ROUND($AZ103*$BA103,0))</f>
        <v>24</v>
      </c>
      <c r="BC103" s="93">
        <f t="shared" si="44"/>
        <v>24</v>
      </c>
      <c r="BD103" s="90">
        <f t="shared" si="45"/>
        <v>0.95</v>
      </c>
      <c r="BE103" s="42">
        <f>IF($C103="&lt;01",ROUND(INDEX(EID!$V:$V,MATCH($B103,EID!$B:$B,0))/2,0),ROUND($BD103*$BB103,0))</f>
        <v>23</v>
      </c>
      <c r="BF103" s="42">
        <f t="shared" si="46"/>
        <v>23</v>
      </c>
      <c r="BG103" s="116">
        <f t="shared" si="47"/>
        <v>0.95</v>
      </c>
      <c r="BH103" s="9">
        <f>IF($C103="&lt;01",ROUND(INDEX(EID!$L:$L,MATCH($B103,EID!$B:$B,0)),0)/2,IF(SUM($BG103)=0,"",ROUND($AX103/$BG103,0)))</f>
        <v>-86</v>
      </c>
    </row>
    <row r="104" spans="1:60" x14ac:dyDescent="0.2">
      <c r="A104" t="str">
        <f>INDEX(Prioritization!$D:$D,MATCH($B104,Prioritization!$A:$A,0))</f>
        <v>1 - Scale-up: Saturation</v>
      </c>
      <c r="B104" t="s">
        <v>199</v>
      </c>
      <c r="C104" t="s">
        <v>363</v>
      </c>
      <c r="D104" t="s">
        <v>47</v>
      </c>
      <c r="E104" t="str">
        <f t="shared" si="26"/>
        <v>Nkhotakota District [YCKiBAp8QAg]|10-14|Male</v>
      </c>
      <c r="F104" s="14"/>
      <c r="G104" s="14">
        <v>9</v>
      </c>
      <c r="H104" s="14">
        <v>0</v>
      </c>
      <c r="I104" s="14">
        <v>76</v>
      </c>
      <c r="J104" s="14">
        <v>45</v>
      </c>
      <c r="K104" s="14">
        <v>68</v>
      </c>
      <c r="L104" s="14">
        <v>10</v>
      </c>
      <c r="M104" s="14">
        <v>2</v>
      </c>
      <c r="N104" s="14">
        <v>82</v>
      </c>
      <c r="O104" s="14">
        <f t="shared" si="27"/>
        <v>82</v>
      </c>
      <c r="P104" s="14">
        <v>70</v>
      </c>
      <c r="Q104" s="14">
        <v>62</v>
      </c>
      <c r="R104" s="14">
        <f t="shared" si="28"/>
        <v>6</v>
      </c>
      <c r="S104" s="14">
        <f>IF(LEFT($B104,4)="_Mil","",_xlfn.IFNA(ROUND(INDEX(Spectrum!$N:$N,MATCH(RIGHT($B104,13)&amp;"|"&amp;$C104&amp;"|"&amp;$D104&amp;"|"&amp;S$14&amp;"|"&amp;"CY2022Q4",Spectrum!$R:$R,0)),0),""))</f>
        <v>1805</v>
      </c>
      <c r="T104" s="42">
        <f>IF(LEFT($B104,4)="_Mil","",_xlfn.IFNA(ROUND(INDEX(Spectrum!$N:$N,MATCH(RIGHT($B104,13)&amp;"|"&amp;$C104&amp;"|"&amp;$D104&amp;"|"&amp;T$14&amp;"|"&amp;"CY2023Q3",Spectrum!$R:$R,0)),0),""))</f>
        <v>1994</v>
      </c>
      <c r="U104" s="42" t="str">
        <f>IF(LEFT($B104,4)="_Mil","",_xlfn.IFNA(ROUND(INDEX(Spectrum!$N:$N,MATCH(RIGHT($B104,13)&amp;"|"&amp;$C104&amp;"|"&amp;$D104&amp;"|"&amp;U$14&amp;"|"&amp;"CY2023Q3",Spectrum!$R:$R,0)),0),""))</f>
        <v/>
      </c>
      <c r="V104" s="14">
        <f>IF(LEFT($B104,4)="_Mil","",_xlfn.IFNA(ROUND(INDEX(Spectrum!$N:$N,MATCH(RIGHT($B104,13)&amp;"|"&amp;$C104&amp;"|"&amp;$D104&amp;"|"&amp;V$14&amp;"|"&amp;"CY2023Q3",Spectrum!$R:$R,0)),0),""))</f>
        <v>1879</v>
      </c>
      <c r="W104" s="115">
        <f>IF(LEFT($B104,4)="_Mil","",_xlfn.IFNA(INDEX(Spectrum!$N:$N,MATCH(RIGHT($B104,13)&amp;"|"&amp;$C104&amp;"|"&amp;$D104&amp;"|"&amp;W$14&amp;"|"&amp;"CY2023Q3",Spectrum!$R:$R,0)),""))</f>
        <v>1003</v>
      </c>
      <c r="X104" s="42">
        <f>IF(LEFT($B104,4)="_Mil","",_xlfn.IFNA(ROUND(INDEX(Spectrum!$N:$N,MATCH(RIGHT($B104,13)&amp;"|"&amp;$C104&amp;"|"&amp;$D104&amp;"|"&amp;X$14&amp;"|"&amp;"CY2023Q3",Spectrum!$R:$R,0)),0),""))</f>
        <v>1486</v>
      </c>
      <c r="Y104" s="90" t="str">
        <f t="shared" si="29"/>
        <v/>
      </c>
      <c r="Z104" s="42">
        <f>IF(LEFT($B104,4)="_Mil","",_xlfn.IFNA(ROUND(INDEX(Spectrum!$N:$N,MATCH(RIGHT($B104,13)&amp;"|"&amp;$C104&amp;"|"&amp;$D104&amp;"|"&amp;Z$14&amp;"|"&amp;"CY2023Q3",Spectrum!$R:$R,0)),0),""))</f>
        <v>1039</v>
      </c>
      <c r="AA104" s="90">
        <f>IF(LEFT($B104,4)="_Mil","",IFERROR(1/(1/INDEX(Spectrum!$N:$N,MATCH(RIGHT($B104,13)&amp;"|"&amp;$C104&amp;"|"&amp;$D104&amp;"|"&amp;AA$14&amp;"|"&amp;"CY2023Q3",Spectrum!$R:$R,0))),IF(SUM($U104)=0,"",SUM($Z104)/$U104)))</f>
        <v>854</v>
      </c>
      <c r="AB104" s="90">
        <f t="shared" si="30"/>
        <v>0.69919246298788695</v>
      </c>
      <c r="AC104" s="14">
        <f>IF(LEFT($B104,4)="_Mil","",_xlfn.IFNA(ROUND(INDEX(Spectrum!$N:$N,MATCH(RIGHT($B104,13)&amp;"|"&amp;$C104&amp;"|"&amp;$D104&amp;"|"&amp;AC$14&amp;"|"&amp;"CY2023Q3",Spectrum!$R:$R,0)),0),""))</f>
        <v>1064</v>
      </c>
      <c r="AD104" s="14" t="str">
        <f>IF(LEFT($B104,4)="_Mil","",_xlfn.IFNA(ROUND(INDEX(Spectrum!$N:$N,MATCH(RIGHT($B104,13)&amp;"|"&amp;$C104&amp;"|"&amp;$D104&amp;"|"&amp;AD$14&amp;"|"&amp;"CY2023Q3",Spectrum!$R:$R,0)),0),""))</f>
        <v/>
      </c>
      <c r="AE104" s="90">
        <f t="shared" si="31"/>
        <v>0</v>
      </c>
      <c r="AF104" s="42" t="str">
        <f>IF(LEFT($B104,4)="_Mil","",_xlfn.IFNA(ROUND(INDEX(Spectrum!$N:$N,MATCH(RIGHT($B104,13)&amp;"|"&amp;$C104&amp;"|"&amp;$D104&amp;"|"&amp;AF$14&amp;"|"&amp;"CY2023Q3",Spectrum!$R:$R,0)),0),""))</f>
        <v/>
      </c>
      <c r="AG104" s="90" t="str">
        <f t="shared" si="32"/>
        <v/>
      </c>
      <c r="AH104" s="88" t="str">
        <f>IF(LEFT($B104,4)="_Mil","",_xlfn.IFNA(INDEX(Spectrum!$N:$N,MATCH(RIGHT($B104,13)&amp;"|"&amp;$C104&amp;"|"&amp;$D104&amp;"|"&amp;AH$14&amp;"|"&amp;"CY2023Q3",Spectrum!$R:$R,0)),""))</f>
        <v/>
      </c>
      <c r="AI104" s="14" t="str">
        <f>IF(LEFT($B104,4)="_Mil","",_xlfn.IFNA(ROUND(INDEX(Spectrum!$N:$N,MATCH(RIGHT($B104,13)&amp;"|"&amp;$C104&amp;"|"&amp;$D104&amp;"|"&amp;AI$14&amp;"|"&amp;"CY2023Q3",Spectrum!$R:$R,0)),0),""))</f>
        <v/>
      </c>
      <c r="AJ104" s="42">
        <f>IF(LEFT($B104,4)="_Mil","",_xlfn.IFNA(ROUND(INDEX(Spectrum!$N:$N,MATCH(RIGHT($B104,13)&amp;"|"&amp;$C104&amp;"|"&amp;$D104&amp;"|"&amp;AI$14&amp;"|"&amp;"CY2023Q3",Spectrum!$R:$R,0)),0),SUM($U104)+SUM($AI104)))</f>
        <v>0</v>
      </c>
      <c r="AK104" s="14" t="str">
        <f>IF(LEFT($B104,4)="_Mil","",_xlfn.IFNA(ROUND(INDEX(Spectrum!$N:$N,MATCH(RIGHT($B104,13)&amp;"|"&amp;$C104&amp;"|"&amp;$D104&amp;"|"&amp;AK$14&amp;"|"&amp;"CY2023Q3",Spectrum!$R:$R,0)),0),""))</f>
        <v/>
      </c>
      <c r="AL104" s="90">
        <f t="shared" si="33"/>
        <v>854</v>
      </c>
      <c r="AM104" s="14">
        <f t="shared" si="34"/>
        <v>0</v>
      </c>
      <c r="AN104" s="14" t="str">
        <f>IF($C104="&lt;01",ROUND(INDEX(EID!$P:$P,MATCH($B104,EID!$B:$B,0))/2,0),"")</f>
        <v/>
      </c>
      <c r="AO104" s="14">
        <f t="shared" si="35"/>
        <v>0</v>
      </c>
      <c r="AP104" s="42">
        <f t="shared" si="36"/>
        <v>0</v>
      </c>
      <c r="AQ104" s="42">
        <f t="shared" si="37"/>
        <v>1039</v>
      </c>
      <c r="AR104" s="90" t="str">
        <f t="shared" si="38"/>
        <v/>
      </c>
      <c r="AS104" s="90">
        <f t="shared" si="48"/>
        <v>0.98</v>
      </c>
      <c r="AT104" s="90">
        <f t="shared" si="48"/>
        <v>0.98</v>
      </c>
      <c r="AU104" s="14">
        <f t="shared" si="39"/>
        <v>-82</v>
      </c>
      <c r="AV104" s="14">
        <f>IF($C104="&lt;01",ROUND(INDEX(EID!$N:$N,MATCH($B104,EID!$B:$B,0))/2,0),IF(SUM($AT104)=0,"",ROUND((SUM($AP104)-(SUM($O104)*SUM($AS104)))/$AT104,0)))</f>
        <v>-82</v>
      </c>
      <c r="AW104" s="90">
        <f t="shared" si="40"/>
        <v>1</v>
      </c>
      <c r="AX104" s="42">
        <f t="shared" si="41"/>
        <v>-82</v>
      </c>
      <c r="AY104" s="116">
        <f t="shared" si="42"/>
        <v>0.7</v>
      </c>
      <c r="AZ104" s="93">
        <f>IF($C104="&lt;01",ROUND(INDEX(EID!$R:$R,MATCH($B104,EID!$B:$B,0))/2,0),ROUND(SUM($O104)+(SUM($AV104)*$AY104),0))</f>
        <v>25</v>
      </c>
      <c r="BA104" s="89">
        <f t="shared" si="43"/>
        <v>0.95</v>
      </c>
      <c r="BB104" s="9">
        <f>IF($C104="&lt;01",ROUND(INDEX(EID!$T:$T,MATCH($B104,EID!$B:$B,0))/2,0),ROUND($AZ104*$BA104,0))</f>
        <v>24</v>
      </c>
      <c r="BC104" s="93">
        <f t="shared" si="44"/>
        <v>24</v>
      </c>
      <c r="BD104" s="90">
        <f t="shared" si="45"/>
        <v>0.95</v>
      </c>
      <c r="BE104" s="42">
        <f>IF($C104="&lt;01",ROUND(INDEX(EID!$V:$V,MATCH($B104,EID!$B:$B,0))/2,0),ROUND($BD104*$BB104,0))</f>
        <v>23</v>
      </c>
      <c r="BF104" s="42">
        <f t="shared" si="46"/>
        <v>23</v>
      </c>
      <c r="BG104" s="116">
        <f t="shared" si="47"/>
        <v>0.95</v>
      </c>
      <c r="BH104" s="9">
        <f>IF($C104="&lt;01",ROUND(INDEX(EID!$L:$L,MATCH($B104,EID!$B:$B,0)),0)/2,IF(SUM($BG104)=0,"",ROUND($AX104/$BG104,0)))</f>
        <v>-86</v>
      </c>
    </row>
    <row r="105" spans="1:60" x14ac:dyDescent="0.2">
      <c r="A105" t="str">
        <f>INDEX(Prioritization!$D:$D,MATCH($B105,Prioritization!$A:$A,0))</f>
        <v>1 - Scale-up: Saturation</v>
      </c>
      <c r="B105" t="s">
        <v>199</v>
      </c>
      <c r="C105" t="s">
        <v>364</v>
      </c>
      <c r="D105" t="s">
        <v>29</v>
      </c>
      <c r="E105" t="str">
        <f t="shared" si="26"/>
        <v>Nkhotakota District [YCKiBAp8QAg]|15-24|Female</v>
      </c>
      <c r="F105" s="14"/>
      <c r="G105" s="14"/>
      <c r="H105" s="14"/>
      <c r="I105" s="14"/>
      <c r="J105" s="14"/>
      <c r="K105" s="14"/>
      <c r="L105" s="14"/>
      <c r="M105" s="14"/>
      <c r="N105" s="14"/>
      <c r="O105" s="14" t="str">
        <f t="shared" si="27"/>
        <v/>
      </c>
      <c r="P105" s="14"/>
      <c r="Q105" s="14"/>
      <c r="R105" s="14" t="str">
        <f t="shared" si="28"/>
        <v/>
      </c>
      <c r="S105" s="14">
        <f>IF(LEFT($B105,4)="_Mil","",_xlfn.IFNA(ROUND(INDEX(Spectrum!$N:$N,MATCH(RIGHT($B105,13)&amp;"|"&amp;$C105&amp;"|"&amp;$D105&amp;"|"&amp;S$14&amp;"|"&amp;"CY2022Q4",Spectrum!$R:$R,0)),0),""))</f>
        <v>944</v>
      </c>
      <c r="T105" s="42">
        <f>IF(LEFT($B105,4)="_Mil","",_xlfn.IFNA(ROUND(INDEX(Spectrum!$N:$N,MATCH(RIGHT($B105,13)&amp;"|"&amp;$C105&amp;"|"&amp;$D105&amp;"|"&amp;T$14&amp;"|"&amp;"CY2023Q3",Spectrum!$R:$R,0)),0),""))</f>
        <v>1599</v>
      </c>
      <c r="U105" s="42" t="str">
        <f>IF(LEFT($B105,4)="_Mil","",_xlfn.IFNA(ROUND(INDEX(Spectrum!$N:$N,MATCH(RIGHT($B105,13)&amp;"|"&amp;$C105&amp;"|"&amp;$D105&amp;"|"&amp;U$14&amp;"|"&amp;"CY2023Q3",Spectrum!$R:$R,0)),0),""))</f>
        <v/>
      </c>
      <c r="V105" s="14">
        <f>IF(LEFT($B105,4)="_Mil","",_xlfn.IFNA(ROUND(INDEX(Spectrum!$N:$N,MATCH(RIGHT($B105,13)&amp;"|"&amp;$C105&amp;"|"&amp;$D105&amp;"|"&amp;V$14&amp;"|"&amp;"CY2023Q3",Spectrum!$R:$R,0)),0),""))</f>
        <v>1298</v>
      </c>
      <c r="W105" s="115">
        <f>IF(LEFT($B105,4)="_Mil","",_xlfn.IFNA(INDEX(Spectrum!$N:$N,MATCH(RIGHT($B105,13)&amp;"|"&amp;$C105&amp;"|"&amp;$D105&amp;"|"&amp;W$14&amp;"|"&amp;"CY2023Q3",Spectrum!$R:$R,0)),""))</f>
        <v>1616</v>
      </c>
      <c r="X105" s="42">
        <f>IF(LEFT($B105,4)="_Mil","",_xlfn.IFNA(ROUND(INDEX(Spectrum!$N:$N,MATCH(RIGHT($B105,13)&amp;"|"&amp;$C105&amp;"|"&amp;$D105&amp;"|"&amp;X$14&amp;"|"&amp;"CY2023Q3",Spectrum!$R:$R,0)),0),""))</f>
        <v>1792</v>
      </c>
      <c r="Y105" s="90" t="str">
        <f t="shared" si="29"/>
        <v/>
      </c>
      <c r="Z105" s="42">
        <f>IF(LEFT($B105,4)="_Mil","",_xlfn.IFNA(ROUND(INDEX(Spectrum!$N:$N,MATCH(RIGHT($B105,13)&amp;"|"&amp;$C105&amp;"|"&amp;$D105&amp;"|"&amp;Z$14&amp;"|"&amp;"CY2023Q3",Spectrum!$R:$R,0)),0),""))</f>
        <v>1116</v>
      </c>
      <c r="AA105" s="90">
        <f>IF(LEFT($B105,4)="_Mil","",IFERROR(1/(1/INDEX(Spectrum!$N:$N,MATCH(RIGHT($B105,13)&amp;"|"&amp;$C105&amp;"|"&amp;$D105&amp;"|"&amp;AA$14&amp;"|"&amp;"CY2023Q3",Spectrum!$R:$R,0))),IF(SUM($U105)=0,"",SUM($Z105)/$U105)))</f>
        <v>607</v>
      </c>
      <c r="AB105" s="90">
        <f t="shared" si="30"/>
        <v>0.6227678571428571</v>
      </c>
      <c r="AC105" s="14">
        <f>IF(LEFT($B105,4)="_Mil","",_xlfn.IFNA(ROUND(INDEX(Spectrum!$N:$N,MATCH(RIGHT($B105,13)&amp;"|"&amp;$C105&amp;"|"&amp;$D105&amp;"|"&amp;AC$14&amp;"|"&amp;"CY2023Q3",Spectrum!$R:$R,0)),0),""))</f>
        <v>1044</v>
      </c>
      <c r="AD105" s="14" t="str">
        <f>IF(LEFT($B105,4)="_Mil","",_xlfn.IFNA(ROUND(INDEX(Spectrum!$N:$N,MATCH(RIGHT($B105,13)&amp;"|"&amp;$C105&amp;"|"&amp;$D105&amp;"|"&amp;AD$14&amp;"|"&amp;"CY2023Q3",Spectrum!$R:$R,0)),0),""))</f>
        <v/>
      </c>
      <c r="AE105" s="90">
        <f t="shared" si="31"/>
        <v>0</v>
      </c>
      <c r="AF105" s="42" t="str">
        <f>IF(LEFT($B105,4)="_Mil","",_xlfn.IFNA(ROUND(INDEX(Spectrum!$N:$N,MATCH(RIGHT($B105,13)&amp;"|"&amp;$C105&amp;"|"&amp;$D105&amp;"|"&amp;AF$14&amp;"|"&amp;"CY2023Q3",Spectrum!$R:$R,0)),0),""))</f>
        <v/>
      </c>
      <c r="AG105" s="90" t="str">
        <f t="shared" si="32"/>
        <v/>
      </c>
      <c r="AH105" s="88" t="str">
        <f>IF(LEFT($B105,4)="_Mil","",_xlfn.IFNA(INDEX(Spectrum!$N:$N,MATCH(RIGHT($B105,13)&amp;"|"&amp;$C105&amp;"|"&amp;$D105&amp;"|"&amp;AH$14&amp;"|"&amp;"CY2023Q3",Spectrum!$R:$R,0)),""))</f>
        <v/>
      </c>
      <c r="AI105" s="14" t="str">
        <f>IF(LEFT($B105,4)="_Mil","",_xlfn.IFNA(ROUND(INDEX(Spectrum!$N:$N,MATCH(RIGHT($B105,13)&amp;"|"&amp;$C105&amp;"|"&amp;$D105&amp;"|"&amp;AI$14&amp;"|"&amp;"CY2023Q3",Spectrum!$R:$R,0)),0),""))</f>
        <v/>
      </c>
      <c r="AJ105" s="42">
        <f>IF(LEFT($B105,4)="_Mil","",_xlfn.IFNA(ROUND(INDEX(Spectrum!$N:$N,MATCH(RIGHT($B105,13)&amp;"|"&amp;$C105&amp;"|"&amp;$D105&amp;"|"&amp;AI$14&amp;"|"&amp;"CY2023Q3",Spectrum!$R:$R,0)),0),SUM($U105)+SUM($AI105)))</f>
        <v>0</v>
      </c>
      <c r="AK105" s="14" t="str">
        <f>IF(LEFT($B105,4)="_Mil","",_xlfn.IFNA(ROUND(INDEX(Spectrum!$N:$N,MATCH(RIGHT($B105,13)&amp;"|"&amp;$C105&amp;"|"&amp;$D105&amp;"|"&amp;AK$14&amp;"|"&amp;"CY2023Q3",Spectrum!$R:$R,0)),0),""))</f>
        <v/>
      </c>
      <c r="AL105" s="90">
        <f t="shared" si="33"/>
        <v>607</v>
      </c>
      <c r="AM105" s="14">
        <f t="shared" si="34"/>
        <v>0</v>
      </c>
      <c r="AN105" s="14" t="str">
        <f>IF($C105="&lt;01",ROUND(INDEX(EID!$P:$P,MATCH($B105,EID!$B:$B,0))/2,0),"")</f>
        <v/>
      </c>
      <c r="AO105" s="14">
        <f t="shared" si="35"/>
        <v>0</v>
      </c>
      <c r="AP105" s="42">
        <f t="shared" si="36"/>
        <v>0</v>
      </c>
      <c r="AQ105" s="42">
        <f t="shared" si="37"/>
        <v>1116</v>
      </c>
      <c r="AR105" s="90" t="str">
        <f t="shared" si="38"/>
        <v/>
      </c>
      <c r="AS105" s="90">
        <f t="shared" si="48"/>
        <v>0.98</v>
      </c>
      <c r="AT105" s="90">
        <f t="shared" si="48"/>
        <v>0.98</v>
      </c>
      <c r="AU105" s="14">
        <f t="shared" si="39"/>
        <v>0</v>
      </c>
      <c r="AV105" s="14">
        <f>IF($C105="&lt;01",ROUND(INDEX(EID!$N:$N,MATCH($B105,EID!$B:$B,0))/2,0),IF(SUM($AT105)=0,"",ROUND((SUM($AP105)-(SUM($O105)*SUM($AS105)))/$AT105,0)))</f>
        <v>0</v>
      </c>
      <c r="AW105" s="90">
        <f t="shared" si="40"/>
        <v>1</v>
      </c>
      <c r="AX105" s="42">
        <f t="shared" si="41"/>
        <v>0</v>
      </c>
      <c r="AY105" s="116">
        <f t="shared" si="42"/>
        <v>0.7</v>
      </c>
      <c r="AZ105" s="93">
        <f>IF($C105="&lt;01",ROUND(INDEX(EID!$R:$R,MATCH($B105,EID!$B:$B,0))/2,0),ROUND(SUM($O105)+(SUM($AV105)*$AY105),0))</f>
        <v>0</v>
      </c>
      <c r="BA105" s="89">
        <f t="shared" si="43"/>
        <v>0.95</v>
      </c>
      <c r="BB105" s="9">
        <f>IF($C105="&lt;01",ROUND(INDEX(EID!$T:$T,MATCH($B105,EID!$B:$B,0))/2,0),ROUND($AZ105*$BA105,0))</f>
        <v>0</v>
      </c>
      <c r="BC105" s="93">
        <f t="shared" si="44"/>
        <v>0</v>
      </c>
      <c r="BD105" s="90">
        <f t="shared" si="45"/>
        <v>0.95</v>
      </c>
      <c r="BE105" s="42">
        <f>IF($C105="&lt;01",ROUND(INDEX(EID!$V:$V,MATCH($B105,EID!$B:$B,0))/2,0),ROUND($BD105*$BB105,0))</f>
        <v>0</v>
      </c>
      <c r="BF105" s="42">
        <f t="shared" si="46"/>
        <v>0</v>
      </c>
      <c r="BG105" s="116">
        <f t="shared" si="47"/>
        <v>0.95</v>
      </c>
      <c r="BH105" s="9">
        <f>IF($C105="&lt;01",ROUND(INDEX(EID!$L:$L,MATCH($B105,EID!$B:$B,0)),0)/2,IF(SUM($BG105)=0,"",ROUND($AX105/$BG105,0)))</f>
        <v>0</v>
      </c>
    </row>
    <row r="106" spans="1:60" x14ac:dyDescent="0.2">
      <c r="A106" t="str">
        <f>INDEX(Prioritization!$D:$D,MATCH($B106,Prioritization!$A:$A,0))</f>
        <v>1 - Scale-up: Saturation</v>
      </c>
      <c r="B106" t="s">
        <v>199</v>
      </c>
      <c r="C106" t="s">
        <v>364</v>
      </c>
      <c r="D106" t="s">
        <v>47</v>
      </c>
      <c r="E106" t="str">
        <f t="shared" si="26"/>
        <v>Nkhotakota District [YCKiBAp8QAg]|15-24|Male</v>
      </c>
      <c r="F106" s="14"/>
      <c r="G106" s="14"/>
      <c r="H106" s="14"/>
      <c r="I106" s="14"/>
      <c r="J106" s="14"/>
      <c r="K106" s="14"/>
      <c r="L106" s="14"/>
      <c r="M106" s="14"/>
      <c r="N106" s="14"/>
      <c r="O106" s="14" t="str">
        <f t="shared" si="27"/>
        <v/>
      </c>
      <c r="P106" s="14"/>
      <c r="Q106" s="14"/>
      <c r="R106" s="14" t="str">
        <f t="shared" si="28"/>
        <v/>
      </c>
      <c r="S106" s="14">
        <f>IF(LEFT($B106,4)="_Mil","",_xlfn.IFNA(ROUND(INDEX(Spectrum!$N:$N,MATCH(RIGHT($B106,13)&amp;"|"&amp;$C106&amp;"|"&amp;$D106&amp;"|"&amp;S$14&amp;"|"&amp;"CY2022Q4",Spectrum!$R:$R,0)),0),""))</f>
        <v>876</v>
      </c>
      <c r="T106" s="42">
        <f>IF(LEFT($B106,4)="_Mil","",_xlfn.IFNA(ROUND(INDEX(Spectrum!$N:$N,MATCH(RIGHT($B106,13)&amp;"|"&amp;$C106&amp;"|"&amp;$D106&amp;"|"&amp;T$14&amp;"|"&amp;"CY2023Q3",Spectrum!$R:$R,0)),0),""))</f>
        <v>1953</v>
      </c>
      <c r="U106" s="42" t="str">
        <f>IF(LEFT($B106,4)="_Mil","",_xlfn.IFNA(ROUND(INDEX(Spectrum!$N:$N,MATCH(RIGHT($B106,13)&amp;"|"&amp;$C106&amp;"|"&amp;$D106&amp;"|"&amp;U$14&amp;"|"&amp;"CY2023Q3",Spectrum!$R:$R,0)),0),""))</f>
        <v/>
      </c>
      <c r="V106" s="14">
        <f>IF(LEFT($B106,4)="_Mil","",_xlfn.IFNA(ROUND(INDEX(Spectrum!$N:$N,MATCH(RIGHT($B106,13)&amp;"|"&amp;$C106&amp;"|"&amp;$D106&amp;"|"&amp;V$14&amp;"|"&amp;"CY2023Q3",Spectrum!$R:$R,0)),0),""))</f>
        <v>598</v>
      </c>
      <c r="W106" s="115">
        <f>IF(LEFT($B106,4)="_Mil","",_xlfn.IFNA(INDEX(Spectrum!$N:$N,MATCH(RIGHT($B106,13)&amp;"|"&amp;$C106&amp;"|"&amp;$D106&amp;"|"&amp;W$14&amp;"|"&amp;"CY2023Q3",Spectrum!$R:$R,0)),""))</f>
        <v>1488</v>
      </c>
      <c r="X106" s="42">
        <f>IF(LEFT($B106,4)="_Mil","",_xlfn.IFNA(ROUND(INDEX(Spectrum!$N:$N,MATCH(RIGHT($B106,13)&amp;"|"&amp;$C106&amp;"|"&amp;$D106&amp;"|"&amp;X$14&amp;"|"&amp;"CY2023Q3",Spectrum!$R:$R,0)),0),""))</f>
        <v>1726</v>
      </c>
      <c r="Y106" s="90" t="str">
        <f t="shared" si="29"/>
        <v/>
      </c>
      <c r="Z106" s="42">
        <f>IF(LEFT($B106,4)="_Mil","",_xlfn.IFNA(ROUND(INDEX(Spectrum!$N:$N,MATCH(RIGHT($B106,13)&amp;"|"&amp;$C106&amp;"|"&amp;$D106&amp;"|"&amp;Z$14&amp;"|"&amp;"CY2023Q3",Spectrum!$R:$R,0)),0),""))</f>
        <v>1053</v>
      </c>
      <c r="AA106" s="90">
        <f>IF(LEFT($B106,4)="_Mil","",IFERROR(1/(1/INDEX(Spectrum!$N:$N,MATCH(RIGHT($B106,13)&amp;"|"&amp;$C106&amp;"|"&amp;$D106&amp;"|"&amp;AA$14&amp;"|"&amp;"CY2023Q3",Spectrum!$R:$R,0))),IF(SUM($U106)=0,"",SUM($Z106)/$U106)))</f>
        <v>1020</v>
      </c>
      <c r="AB106" s="90">
        <f t="shared" si="30"/>
        <v>0.61008111239860952</v>
      </c>
      <c r="AC106" s="14">
        <f>IF(LEFT($B106,4)="_Mil","",_xlfn.IFNA(ROUND(INDEX(Spectrum!$N:$N,MATCH(RIGHT($B106,13)&amp;"|"&amp;$C106&amp;"|"&amp;$D106&amp;"|"&amp;AC$14&amp;"|"&amp;"CY2023Q3",Spectrum!$R:$R,0)),0),""))</f>
        <v>1636</v>
      </c>
      <c r="AD106" s="14" t="str">
        <f>IF(LEFT($B106,4)="_Mil","",_xlfn.IFNA(ROUND(INDEX(Spectrum!$N:$N,MATCH(RIGHT($B106,13)&amp;"|"&amp;$C106&amp;"|"&amp;$D106&amp;"|"&amp;AD$14&amp;"|"&amp;"CY2023Q3",Spectrum!$R:$R,0)),0),""))</f>
        <v/>
      </c>
      <c r="AE106" s="90">
        <f t="shared" si="31"/>
        <v>0</v>
      </c>
      <c r="AF106" s="42" t="str">
        <f>IF(LEFT($B106,4)="_Mil","",_xlfn.IFNA(ROUND(INDEX(Spectrum!$N:$N,MATCH(RIGHT($B106,13)&amp;"|"&amp;$C106&amp;"|"&amp;$D106&amp;"|"&amp;AF$14&amp;"|"&amp;"CY2023Q3",Spectrum!$R:$R,0)),0),""))</f>
        <v/>
      </c>
      <c r="AG106" s="90" t="str">
        <f t="shared" si="32"/>
        <v/>
      </c>
      <c r="AH106" s="88" t="str">
        <f>IF(LEFT($B106,4)="_Mil","",_xlfn.IFNA(INDEX(Spectrum!$N:$N,MATCH(RIGHT($B106,13)&amp;"|"&amp;$C106&amp;"|"&amp;$D106&amp;"|"&amp;AH$14&amp;"|"&amp;"CY2023Q3",Spectrum!$R:$R,0)),""))</f>
        <v/>
      </c>
      <c r="AI106" s="14" t="str">
        <f>IF(LEFT($B106,4)="_Mil","",_xlfn.IFNA(ROUND(INDEX(Spectrum!$N:$N,MATCH(RIGHT($B106,13)&amp;"|"&amp;$C106&amp;"|"&amp;$D106&amp;"|"&amp;AI$14&amp;"|"&amp;"CY2023Q3",Spectrum!$R:$R,0)),0),""))</f>
        <v/>
      </c>
      <c r="AJ106" s="42">
        <f>IF(LEFT($B106,4)="_Mil","",_xlfn.IFNA(ROUND(INDEX(Spectrum!$N:$N,MATCH(RIGHT($B106,13)&amp;"|"&amp;$C106&amp;"|"&amp;$D106&amp;"|"&amp;AI$14&amp;"|"&amp;"CY2023Q3",Spectrum!$R:$R,0)),0),SUM($U106)+SUM($AI106)))</f>
        <v>0</v>
      </c>
      <c r="AK106" s="14" t="str">
        <f>IF(LEFT($B106,4)="_Mil","",_xlfn.IFNA(ROUND(INDEX(Spectrum!$N:$N,MATCH(RIGHT($B106,13)&amp;"|"&amp;$C106&amp;"|"&amp;$D106&amp;"|"&amp;AK$14&amp;"|"&amp;"CY2023Q3",Spectrum!$R:$R,0)),0),""))</f>
        <v/>
      </c>
      <c r="AL106" s="90">
        <f t="shared" si="33"/>
        <v>1020</v>
      </c>
      <c r="AM106" s="14">
        <f t="shared" si="34"/>
        <v>0</v>
      </c>
      <c r="AN106" s="14" t="str">
        <f>IF($C106="&lt;01",ROUND(INDEX(EID!$P:$P,MATCH($B106,EID!$B:$B,0))/2,0),"")</f>
        <v/>
      </c>
      <c r="AO106" s="14">
        <f t="shared" si="35"/>
        <v>0</v>
      </c>
      <c r="AP106" s="42">
        <f t="shared" si="36"/>
        <v>0</v>
      </c>
      <c r="AQ106" s="42">
        <f t="shared" si="37"/>
        <v>1053</v>
      </c>
      <c r="AR106" s="90" t="str">
        <f t="shared" si="38"/>
        <v/>
      </c>
      <c r="AS106" s="90">
        <f t="shared" si="48"/>
        <v>0.98</v>
      </c>
      <c r="AT106" s="90">
        <f t="shared" si="48"/>
        <v>0.98</v>
      </c>
      <c r="AU106" s="14">
        <f t="shared" si="39"/>
        <v>0</v>
      </c>
      <c r="AV106" s="14">
        <f>IF($C106="&lt;01",ROUND(INDEX(EID!$N:$N,MATCH($B106,EID!$B:$B,0))/2,0),IF(SUM($AT106)=0,"",ROUND((SUM($AP106)-(SUM($O106)*SUM($AS106)))/$AT106,0)))</f>
        <v>0</v>
      </c>
      <c r="AW106" s="90">
        <f t="shared" si="40"/>
        <v>1</v>
      </c>
      <c r="AX106" s="42">
        <f t="shared" si="41"/>
        <v>0</v>
      </c>
      <c r="AY106" s="116">
        <f t="shared" si="42"/>
        <v>0.7</v>
      </c>
      <c r="AZ106" s="93">
        <f>IF($C106="&lt;01",ROUND(INDEX(EID!$R:$R,MATCH($B106,EID!$B:$B,0))/2,0),ROUND(SUM($O106)+(SUM($AV106)*$AY106),0))</f>
        <v>0</v>
      </c>
      <c r="BA106" s="89">
        <f t="shared" si="43"/>
        <v>0.95</v>
      </c>
      <c r="BB106" s="9">
        <f>IF($C106="&lt;01",ROUND(INDEX(EID!$T:$T,MATCH($B106,EID!$B:$B,0))/2,0),ROUND($AZ106*$BA106,0))</f>
        <v>0</v>
      </c>
      <c r="BC106" s="93">
        <f t="shared" si="44"/>
        <v>0</v>
      </c>
      <c r="BD106" s="90">
        <f t="shared" si="45"/>
        <v>0.95</v>
      </c>
      <c r="BE106" s="42">
        <f>IF($C106="&lt;01",ROUND(INDEX(EID!$V:$V,MATCH($B106,EID!$B:$B,0))/2,0),ROUND($BD106*$BB106,0))</f>
        <v>0</v>
      </c>
      <c r="BF106" s="42">
        <f t="shared" si="46"/>
        <v>0</v>
      </c>
      <c r="BG106" s="116">
        <f t="shared" si="47"/>
        <v>0.95</v>
      </c>
      <c r="BH106" s="9">
        <f>IF($C106="&lt;01",ROUND(INDEX(EID!$L:$L,MATCH($B106,EID!$B:$B,0)),0)/2,IF(SUM($BG106)=0,"",ROUND($AX106/$BG106,0)))</f>
        <v>0</v>
      </c>
    </row>
    <row r="107" spans="1:60" x14ac:dyDescent="0.2">
      <c r="A107" t="str">
        <f>INDEX(Prioritization!$D:$D,MATCH($B107,Prioritization!$A:$A,0))</f>
        <v>1 - Scale-up: Saturation</v>
      </c>
      <c r="B107" t="s">
        <v>199</v>
      </c>
      <c r="C107" t="s">
        <v>365</v>
      </c>
      <c r="D107" t="s">
        <v>29</v>
      </c>
      <c r="E107" t="str">
        <f t="shared" si="26"/>
        <v>Nkhotakota District [YCKiBAp8QAg]|25-34|Female</v>
      </c>
      <c r="F107" s="14"/>
      <c r="G107" s="14"/>
      <c r="H107" s="14"/>
      <c r="I107" s="14"/>
      <c r="J107" s="14"/>
      <c r="K107" s="14"/>
      <c r="L107" s="14"/>
      <c r="M107" s="14"/>
      <c r="N107" s="14"/>
      <c r="O107" s="14" t="str">
        <f t="shared" si="27"/>
        <v/>
      </c>
      <c r="P107" s="14"/>
      <c r="Q107" s="14"/>
      <c r="R107" s="14" t="str">
        <f t="shared" si="28"/>
        <v/>
      </c>
      <c r="S107" s="14">
        <f>IF(LEFT($B107,4)="_Mil","",_xlfn.IFNA(ROUND(INDEX(Spectrum!$N:$N,MATCH(RIGHT($B107,13)&amp;"|"&amp;$C107&amp;"|"&amp;$D107&amp;"|"&amp;S$14&amp;"|"&amp;"CY2022Q4",Spectrum!$R:$R,0)),0),""))</f>
        <v>1802</v>
      </c>
      <c r="T107" s="42">
        <f>IF(LEFT($B107,4)="_Mil","",_xlfn.IFNA(ROUND(INDEX(Spectrum!$N:$N,MATCH(RIGHT($B107,13)&amp;"|"&amp;$C107&amp;"|"&amp;$D107&amp;"|"&amp;T$14&amp;"|"&amp;"CY2023Q3",Spectrum!$R:$R,0)),0),""))</f>
        <v>1237</v>
      </c>
      <c r="U107" s="42" t="str">
        <f>IF(LEFT($B107,4)="_Mil","",_xlfn.IFNA(ROUND(INDEX(Spectrum!$N:$N,MATCH(RIGHT($B107,13)&amp;"|"&amp;$C107&amp;"|"&amp;$D107&amp;"|"&amp;U$14&amp;"|"&amp;"CY2023Q3",Spectrum!$R:$R,0)),0),""))</f>
        <v/>
      </c>
      <c r="V107" s="14">
        <f>IF(LEFT($B107,4)="_Mil","",_xlfn.IFNA(ROUND(INDEX(Spectrum!$N:$N,MATCH(RIGHT($B107,13)&amp;"|"&amp;$C107&amp;"|"&amp;$D107&amp;"|"&amp;V$14&amp;"|"&amp;"CY2023Q3",Spectrum!$R:$R,0)),0),""))</f>
        <v>1350</v>
      </c>
      <c r="W107" s="115">
        <f>IF(LEFT($B107,4)="_Mil","",_xlfn.IFNA(INDEX(Spectrum!$N:$N,MATCH(RIGHT($B107,13)&amp;"|"&amp;$C107&amp;"|"&amp;$D107&amp;"|"&amp;W$14&amp;"|"&amp;"CY2023Q3",Spectrum!$R:$R,0)),""))</f>
        <v>1905</v>
      </c>
      <c r="X107" s="42">
        <f>IF(LEFT($B107,4)="_Mil","",_xlfn.IFNA(ROUND(INDEX(Spectrum!$N:$N,MATCH(RIGHT($B107,13)&amp;"|"&amp;$C107&amp;"|"&amp;$D107&amp;"|"&amp;X$14&amp;"|"&amp;"CY2023Q3",Spectrum!$R:$R,0)),0),""))</f>
        <v>565</v>
      </c>
      <c r="Y107" s="90" t="str">
        <f t="shared" si="29"/>
        <v/>
      </c>
      <c r="Z107" s="42">
        <f>IF(LEFT($B107,4)="_Mil","",_xlfn.IFNA(ROUND(INDEX(Spectrum!$N:$N,MATCH(RIGHT($B107,13)&amp;"|"&amp;$C107&amp;"|"&amp;$D107&amp;"|"&amp;Z$14&amp;"|"&amp;"CY2023Q3",Spectrum!$R:$R,0)),0),""))</f>
        <v>1564</v>
      </c>
      <c r="AA107" s="90">
        <f>IF(LEFT($B107,4)="_Mil","",IFERROR(1/(1/INDEX(Spectrum!$N:$N,MATCH(RIGHT($B107,13)&amp;"|"&amp;$C107&amp;"|"&amp;$D107&amp;"|"&amp;AA$14&amp;"|"&amp;"CY2023Q3",Spectrum!$R:$R,0))),IF(SUM($U107)=0,"",SUM($Z107)/$U107)))</f>
        <v>990</v>
      </c>
      <c r="AB107" s="90">
        <f t="shared" si="30"/>
        <v>2.7681415929203541</v>
      </c>
      <c r="AC107" s="14">
        <f>IF(LEFT($B107,4)="_Mil","",_xlfn.IFNA(ROUND(INDEX(Spectrum!$N:$N,MATCH(RIGHT($B107,13)&amp;"|"&amp;$C107&amp;"|"&amp;$D107&amp;"|"&amp;AC$14&amp;"|"&amp;"CY2023Q3",Spectrum!$R:$R,0)),0),""))</f>
        <v>1357</v>
      </c>
      <c r="AD107" s="14" t="str">
        <f>IF(LEFT($B107,4)="_Mil","",_xlfn.IFNA(ROUND(INDEX(Spectrum!$N:$N,MATCH(RIGHT($B107,13)&amp;"|"&amp;$C107&amp;"|"&amp;$D107&amp;"|"&amp;AD$14&amp;"|"&amp;"CY2023Q3",Spectrum!$R:$R,0)),0),""))</f>
        <v/>
      </c>
      <c r="AE107" s="90">
        <f t="shared" si="31"/>
        <v>0</v>
      </c>
      <c r="AF107" s="42" t="str">
        <f>IF(LEFT($B107,4)="_Mil","",_xlfn.IFNA(ROUND(INDEX(Spectrum!$N:$N,MATCH(RIGHT($B107,13)&amp;"|"&amp;$C107&amp;"|"&amp;$D107&amp;"|"&amp;AF$14&amp;"|"&amp;"CY2023Q3",Spectrum!$R:$R,0)),0),""))</f>
        <v/>
      </c>
      <c r="AG107" s="90" t="str">
        <f t="shared" si="32"/>
        <v/>
      </c>
      <c r="AH107" s="88" t="str">
        <f>IF(LEFT($B107,4)="_Mil","",_xlfn.IFNA(INDEX(Spectrum!$N:$N,MATCH(RIGHT($B107,13)&amp;"|"&amp;$C107&amp;"|"&amp;$D107&amp;"|"&amp;AH$14&amp;"|"&amp;"CY2023Q3",Spectrum!$R:$R,0)),""))</f>
        <v/>
      </c>
      <c r="AI107" s="14" t="str">
        <f>IF(LEFT($B107,4)="_Mil","",_xlfn.IFNA(ROUND(INDEX(Spectrum!$N:$N,MATCH(RIGHT($B107,13)&amp;"|"&amp;$C107&amp;"|"&amp;$D107&amp;"|"&amp;AI$14&amp;"|"&amp;"CY2023Q3",Spectrum!$R:$R,0)),0),""))</f>
        <v/>
      </c>
      <c r="AJ107" s="42">
        <f>IF(LEFT($B107,4)="_Mil","",_xlfn.IFNA(ROUND(INDEX(Spectrum!$N:$N,MATCH(RIGHT($B107,13)&amp;"|"&amp;$C107&amp;"|"&amp;$D107&amp;"|"&amp;AI$14&amp;"|"&amp;"CY2023Q3",Spectrum!$R:$R,0)),0),SUM($U107)+SUM($AI107)))</f>
        <v>0</v>
      </c>
      <c r="AK107" s="14" t="str">
        <f>IF(LEFT($B107,4)="_Mil","",_xlfn.IFNA(ROUND(INDEX(Spectrum!$N:$N,MATCH(RIGHT($B107,13)&amp;"|"&amp;$C107&amp;"|"&amp;$D107&amp;"|"&amp;AK$14&amp;"|"&amp;"CY2023Q3",Spectrum!$R:$R,0)),0),""))</f>
        <v/>
      </c>
      <c r="AL107" s="90">
        <f t="shared" si="33"/>
        <v>990</v>
      </c>
      <c r="AM107" s="14">
        <f t="shared" si="34"/>
        <v>0</v>
      </c>
      <c r="AN107" s="14" t="str">
        <f>IF($C107="&lt;01",ROUND(INDEX(EID!$P:$P,MATCH($B107,EID!$B:$B,0))/2,0),"")</f>
        <v/>
      </c>
      <c r="AO107" s="14">
        <f t="shared" si="35"/>
        <v>0</v>
      </c>
      <c r="AP107" s="42">
        <f t="shared" si="36"/>
        <v>0</v>
      </c>
      <c r="AQ107" s="42">
        <f t="shared" si="37"/>
        <v>1564</v>
      </c>
      <c r="AR107" s="90" t="str">
        <f t="shared" si="38"/>
        <v/>
      </c>
      <c r="AS107" s="90">
        <f t="shared" si="48"/>
        <v>0.98</v>
      </c>
      <c r="AT107" s="90">
        <f t="shared" si="48"/>
        <v>0.98</v>
      </c>
      <c r="AU107" s="14">
        <f t="shared" si="39"/>
        <v>0</v>
      </c>
      <c r="AV107" s="14">
        <f>IF($C107="&lt;01",ROUND(INDEX(EID!$N:$N,MATCH($B107,EID!$B:$B,0))/2,0),IF(SUM($AT107)=0,"",ROUND((SUM($AP107)-(SUM($O107)*SUM($AS107)))/$AT107,0)))</f>
        <v>0</v>
      </c>
      <c r="AW107" s="90">
        <f t="shared" si="40"/>
        <v>1</v>
      </c>
      <c r="AX107" s="42">
        <f t="shared" si="41"/>
        <v>0</v>
      </c>
      <c r="AY107" s="116">
        <f t="shared" si="42"/>
        <v>0.7</v>
      </c>
      <c r="AZ107" s="93">
        <f>IF($C107="&lt;01",ROUND(INDEX(EID!$R:$R,MATCH($B107,EID!$B:$B,0))/2,0),ROUND(SUM($O107)+(SUM($AV107)*$AY107),0))</f>
        <v>0</v>
      </c>
      <c r="BA107" s="89">
        <f t="shared" si="43"/>
        <v>0.95</v>
      </c>
      <c r="BB107" s="9">
        <f>IF($C107="&lt;01",ROUND(INDEX(EID!$T:$T,MATCH($B107,EID!$B:$B,0))/2,0),ROUND($AZ107*$BA107,0))</f>
        <v>0</v>
      </c>
      <c r="BC107" s="93">
        <f t="shared" si="44"/>
        <v>0</v>
      </c>
      <c r="BD107" s="90">
        <f t="shared" si="45"/>
        <v>0.95</v>
      </c>
      <c r="BE107" s="42">
        <f>IF($C107="&lt;01",ROUND(INDEX(EID!$V:$V,MATCH($B107,EID!$B:$B,0))/2,0),ROUND($BD107*$BB107,0))</f>
        <v>0</v>
      </c>
      <c r="BF107" s="42">
        <f t="shared" si="46"/>
        <v>0</v>
      </c>
      <c r="BG107" s="116">
        <f t="shared" si="47"/>
        <v>0.95</v>
      </c>
      <c r="BH107" s="9">
        <f>IF($C107="&lt;01",ROUND(INDEX(EID!$L:$L,MATCH($B107,EID!$B:$B,0)),0)/2,IF(SUM($BG107)=0,"",ROUND($AX107/$BG107,0)))</f>
        <v>0</v>
      </c>
    </row>
    <row r="108" spans="1:60" x14ac:dyDescent="0.2">
      <c r="A108" t="str">
        <f>INDEX(Prioritization!$D:$D,MATCH($B108,Prioritization!$A:$A,0))</f>
        <v>1 - Scale-up: Saturation</v>
      </c>
      <c r="B108" t="s">
        <v>199</v>
      </c>
      <c r="C108" t="s">
        <v>365</v>
      </c>
      <c r="D108" t="s">
        <v>47</v>
      </c>
      <c r="E108" t="str">
        <f t="shared" si="26"/>
        <v>Nkhotakota District [YCKiBAp8QAg]|25-34|Male</v>
      </c>
      <c r="F108" s="14"/>
      <c r="G108" s="14"/>
      <c r="H108" s="14"/>
      <c r="I108" s="14"/>
      <c r="J108" s="14"/>
      <c r="K108" s="14"/>
      <c r="L108" s="14"/>
      <c r="M108" s="14"/>
      <c r="N108" s="14"/>
      <c r="O108" s="14" t="str">
        <f t="shared" si="27"/>
        <v/>
      </c>
      <c r="P108" s="14"/>
      <c r="Q108" s="14"/>
      <c r="R108" s="14" t="str">
        <f t="shared" si="28"/>
        <v/>
      </c>
      <c r="S108" s="14">
        <f>IF(LEFT($B108,4)="_Mil","",_xlfn.IFNA(ROUND(INDEX(Spectrum!$N:$N,MATCH(RIGHT($B108,13)&amp;"|"&amp;$C108&amp;"|"&amp;$D108&amp;"|"&amp;S$14&amp;"|"&amp;"CY2022Q4",Spectrum!$R:$R,0)),0),""))</f>
        <v>1590</v>
      </c>
      <c r="T108" s="42">
        <f>IF(LEFT($B108,4)="_Mil","",_xlfn.IFNA(ROUND(INDEX(Spectrum!$N:$N,MATCH(RIGHT($B108,13)&amp;"|"&amp;$C108&amp;"|"&amp;$D108&amp;"|"&amp;T$14&amp;"|"&amp;"CY2023Q3",Spectrum!$R:$R,0)),0),""))</f>
        <v>1777</v>
      </c>
      <c r="U108" s="42" t="str">
        <f>IF(LEFT($B108,4)="_Mil","",_xlfn.IFNA(ROUND(INDEX(Spectrum!$N:$N,MATCH(RIGHT($B108,13)&amp;"|"&amp;$C108&amp;"|"&amp;$D108&amp;"|"&amp;U$14&amp;"|"&amp;"CY2023Q3",Spectrum!$R:$R,0)),0),""))</f>
        <v/>
      </c>
      <c r="V108" s="14">
        <f>IF(LEFT($B108,4)="_Mil","",_xlfn.IFNA(ROUND(INDEX(Spectrum!$N:$N,MATCH(RIGHT($B108,13)&amp;"|"&amp;$C108&amp;"|"&amp;$D108&amp;"|"&amp;V$14&amp;"|"&amp;"CY2023Q3",Spectrum!$R:$R,0)),0),""))</f>
        <v>1018</v>
      </c>
      <c r="W108" s="115">
        <f>IF(LEFT($B108,4)="_Mil","",_xlfn.IFNA(INDEX(Spectrum!$N:$N,MATCH(RIGHT($B108,13)&amp;"|"&amp;$C108&amp;"|"&amp;$D108&amp;"|"&amp;W$14&amp;"|"&amp;"CY2023Q3",Spectrum!$R:$R,0)),""))</f>
        <v>905</v>
      </c>
      <c r="X108" s="42">
        <f>IF(LEFT($B108,4)="_Mil","",_xlfn.IFNA(ROUND(INDEX(Spectrum!$N:$N,MATCH(RIGHT($B108,13)&amp;"|"&amp;$C108&amp;"|"&amp;$D108&amp;"|"&amp;X$14&amp;"|"&amp;"CY2023Q3",Spectrum!$R:$R,0)),0),""))</f>
        <v>1098</v>
      </c>
      <c r="Y108" s="90" t="str">
        <f t="shared" si="29"/>
        <v/>
      </c>
      <c r="Z108" s="42">
        <f>IF(LEFT($B108,4)="_Mil","",_xlfn.IFNA(ROUND(INDEX(Spectrum!$N:$N,MATCH(RIGHT($B108,13)&amp;"|"&amp;$C108&amp;"|"&amp;$D108&amp;"|"&amp;Z$14&amp;"|"&amp;"CY2023Q3",Spectrum!$R:$R,0)),0),""))</f>
        <v>798</v>
      </c>
      <c r="AA108" s="90">
        <f>IF(LEFT($B108,4)="_Mil","",IFERROR(1/(1/INDEX(Spectrum!$N:$N,MATCH(RIGHT($B108,13)&amp;"|"&amp;$C108&amp;"|"&amp;$D108&amp;"|"&amp;AA$14&amp;"|"&amp;"CY2023Q3",Spectrum!$R:$R,0))),IF(SUM($U108)=0,"",SUM($Z108)/$U108)))</f>
        <v>1603</v>
      </c>
      <c r="AB108" s="90">
        <f t="shared" si="30"/>
        <v>0.72677595628415304</v>
      </c>
      <c r="AC108" s="14">
        <f>IF(LEFT($B108,4)="_Mil","",_xlfn.IFNA(ROUND(INDEX(Spectrum!$N:$N,MATCH(RIGHT($B108,13)&amp;"|"&amp;$C108&amp;"|"&amp;$D108&amp;"|"&amp;AC$14&amp;"|"&amp;"CY2023Q3",Spectrum!$R:$R,0)),0),""))</f>
        <v>1176</v>
      </c>
      <c r="AD108" s="14" t="str">
        <f>IF(LEFT($B108,4)="_Mil","",_xlfn.IFNA(ROUND(INDEX(Spectrum!$N:$N,MATCH(RIGHT($B108,13)&amp;"|"&amp;$C108&amp;"|"&amp;$D108&amp;"|"&amp;AD$14&amp;"|"&amp;"CY2023Q3",Spectrum!$R:$R,0)),0),""))</f>
        <v/>
      </c>
      <c r="AE108" s="90">
        <f t="shared" si="31"/>
        <v>0</v>
      </c>
      <c r="AF108" s="42" t="str">
        <f>IF(LEFT($B108,4)="_Mil","",_xlfn.IFNA(ROUND(INDEX(Spectrum!$N:$N,MATCH(RIGHT($B108,13)&amp;"|"&amp;$C108&amp;"|"&amp;$D108&amp;"|"&amp;AF$14&amp;"|"&amp;"CY2023Q3",Spectrum!$R:$R,0)),0),""))</f>
        <v/>
      </c>
      <c r="AG108" s="90" t="str">
        <f t="shared" si="32"/>
        <v/>
      </c>
      <c r="AH108" s="88" t="str">
        <f>IF(LEFT($B108,4)="_Mil","",_xlfn.IFNA(INDEX(Spectrum!$N:$N,MATCH(RIGHT($B108,13)&amp;"|"&amp;$C108&amp;"|"&amp;$D108&amp;"|"&amp;AH$14&amp;"|"&amp;"CY2023Q3",Spectrum!$R:$R,0)),""))</f>
        <v/>
      </c>
      <c r="AI108" s="14" t="str">
        <f>IF(LEFT($B108,4)="_Mil","",_xlfn.IFNA(ROUND(INDEX(Spectrum!$N:$N,MATCH(RIGHT($B108,13)&amp;"|"&amp;$C108&amp;"|"&amp;$D108&amp;"|"&amp;AI$14&amp;"|"&amp;"CY2023Q3",Spectrum!$R:$R,0)),0),""))</f>
        <v/>
      </c>
      <c r="AJ108" s="42">
        <f>IF(LEFT($B108,4)="_Mil","",_xlfn.IFNA(ROUND(INDEX(Spectrum!$N:$N,MATCH(RIGHT($B108,13)&amp;"|"&amp;$C108&amp;"|"&amp;$D108&amp;"|"&amp;AI$14&amp;"|"&amp;"CY2023Q3",Spectrum!$R:$R,0)),0),SUM($U108)+SUM($AI108)))</f>
        <v>0</v>
      </c>
      <c r="AK108" s="14" t="str">
        <f>IF(LEFT($B108,4)="_Mil","",_xlfn.IFNA(ROUND(INDEX(Spectrum!$N:$N,MATCH(RIGHT($B108,13)&amp;"|"&amp;$C108&amp;"|"&amp;$D108&amp;"|"&amp;AK$14&amp;"|"&amp;"CY2023Q3",Spectrum!$R:$R,0)),0),""))</f>
        <v/>
      </c>
      <c r="AL108" s="90">
        <f t="shared" si="33"/>
        <v>1603</v>
      </c>
      <c r="AM108" s="14">
        <f t="shared" si="34"/>
        <v>0</v>
      </c>
      <c r="AN108" s="14" t="str">
        <f>IF($C108="&lt;01",ROUND(INDEX(EID!$P:$P,MATCH($B108,EID!$B:$B,0))/2,0),"")</f>
        <v/>
      </c>
      <c r="AO108" s="14">
        <f t="shared" si="35"/>
        <v>0</v>
      </c>
      <c r="AP108" s="42">
        <f t="shared" si="36"/>
        <v>0</v>
      </c>
      <c r="AQ108" s="42">
        <f t="shared" si="37"/>
        <v>798</v>
      </c>
      <c r="AR108" s="90" t="str">
        <f t="shared" si="38"/>
        <v/>
      </c>
      <c r="AS108" s="90">
        <f t="shared" si="48"/>
        <v>0.98</v>
      </c>
      <c r="AT108" s="90">
        <f t="shared" si="48"/>
        <v>0.98</v>
      </c>
      <c r="AU108" s="14">
        <f t="shared" si="39"/>
        <v>0</v>
      </c>
      <c r="AV108" s="14">
        <f>IF($C108="&lt;01",ROUND(INDEX(EID!$N:$N,MATCH($B108,EID!$B:$B,0))/2,0),IF(SUM($AT108)=0,"",ROUND((SUM($AP108)-(SUM($O108)*SUM($AS108)))/$AT108,0)))</f>
        <v>0</v>
      </c>
      <c r="AW108" s="90">
        <f t="shared" si="40"/>
        <v>1</v>
      </c>
      <c r="AX108" s="42">
        <f t="shared" si="41"/>
        <v>0</v>
      </c>
      <c r="AY108" s="116">
        <f t="shared" si="42"/>
        <v>0.7</v>
      </c>
      <c r="AZ108" s="93">
        <f>IF($C108="&lt;01",ROUND(INDEX(EID!$R:$R,MATCH($B108,EID!$B:$B,0))/2,0),ROUND(SUM($O108)+(SUM($AV108)*$AY108),0))</f>
        <v>0</v>
      </c>
      <c r="BA108" s="89">
        <f t="shared" si="43"/>
        <v>0.95</v>
      </c>
      <c r="BB108" s="9">
        <f>IF($C108="&lt;01",ROUND(INDEX(EID!$T:$T,MATCH($B108,EID!$B:$B,0))/2,0),ROUND($AZ108*$BA108,0))</f>
        <v>0</v>
      </c>
      <c r="BC108" s="93">
        <f t="shared" si="44"/>
        <v>0</v>
      </c>
      <c r="BD108" s="90">
        <f t="shared" si="45"/>
        <v>0.95</v>
      </c>
      <c r="BE108" s="42">
        <f>IF($C108="&lt;01",ROUND(INDEX(EID!$V:$V,MATCH($B108,EID!$B:$B,0))/2,0),ROUND($BD108*$BB108,0))</f>
        <v>0</v>
      </c>
      <c r="BF108" s="42">
        <f t="shared" si="46"/>
        <v>0</v>
      </c>
      <c r="BG108" s="116">
        <f t="shared" si="47"/>
        <v>0.95</v>
      </c>
      <c r="BH108" s="9">
        <f>IF($C108="&lt;01",ROUND(INDEX(EID!$L:$L,MATCH($B108,EID!$B:$B,0)),0)/2,IF(SUM($BG108)=0,"",ROUND($AX108/$BG108,0)))</f>
        <v>0</v>
      </c>
    </row>
    <row r="109" spans="1:60" x14ac:dyDescent="0.2">
      <c r="A109" t="str">
        <f>INDEX(Prioritization!$D:$D,MATCH($B109,Prioritization!$A:$A,0))</f>
        <v>1 - Scale-up: Saturation</v>
      </c>
      <c r="B109" t="s">
        <v>199</v>
      </c>
      <c r="C109" t="s">
        <v>366</v>
      </c>
      <c r="D109" t="s">
        <v>29</v>
      </c>
      <c r="E109" t="str">
        <f t="shared" si="26"/>
        <v>Nkhotakota District [YCKiBAp8QAg]|35-49|Female</v>
      </c>
      <c r="F109" s="14"/>
      <c r="G109" s="14"/>
      <c r="H109" s="14"/>
      <c r="I109" s="14"/>
      <c r="J109" s="14"/>
      <c r="K109" s="14"/>
      <c r="L109" s="14"/>
      <c r="M109" s="14"/>
      <c r="N109" s="14"/>
      <c r="O109" s="14" t="str">
        <f t="shared" si="27"/>
        <v/>
      </c>
      <c r="P109" s="14"/>
      <c r="Q109" s="14"/>
      <c r="R109" s="14" t="str">
        <f t="shared" si="28"/>
        <v/>
      </c>
      <c r="S109" s="14">
        <f>IF(LEFT($B109,4)="_Mil","",_xlfn.IFNA(ROUND(INDEX(Spectrum!$N:$N,MATCH(RIGHT($B109,13)&amp;"|"&amp;$C109&amp;"|"&amp;$D109&amp;"|"&amp;S$14&amp;"|"&amp;"CY2022Q4",Spectrum!$R:$R,0)),0),""))</f>
        <v>717</v>
      </c>
      <c r="T109" s="42">
        <f>IF(LEFT($B109,4)="_Mil","",_xlfn.IFNA(ROUND(INDEX(Spectrum!$N:$N,MATCH(RIGHT($B109,13)&amp;"|"&amp;$C109&amp;"|"&amp;$D109&amp;"|"&amp;T$14&amp;"|"&amp;"CY2023Q3",Spectrum!$R:$R,0)),0),""))</f>
        <v>1440</v>
      </c>
      <c r="U109" s="42" t="str">
        <f>IF(LEFT($B109,4)="_Mil","",_xlfn.IFNA(ROUND(INDEX(Spectrum!$N:$N,MATCH(RIGHT($B109,13)&amp;"|"&amp;$C109&amp;"|"&amp;$D109&amp;"|"&amp;U$14&amp;"|"&amp;"CY2023Q3",Spectrum!$R:$R,0)),0),""))</f>
        <v/>
      </c>
      <c r="V109" s="14">
        <f>IF(LEFT($B109,4)="_Mil","",_xlfn.IFNA(ROUND(INDEX(Spectrum!$N:$N,MATCH(RIGHT($B109,13)&amp;"|"&amp;$C109&amp;"|"&amp;$D109&amp;"|"&amp;V$14&amp;"|"&amp;"CY2023Q3",Spectrum!$R:$R,0)),0),""))</f>
        <v>1466</v>
      </c>
      <c r="W109" s="115">
        <f>IF(LEFT($B109,4)="_Mil","",_xlfn.IFNA(INDEX(Spectrum!$N:$N,MATCH(RIGHT($B109,13)&amp;"|"&amp;$C109&amp;"|"&amp;$D109&amp;"|"&amp;W$14&amp;"|"&amp;"CY2023Q3",Spectrum!$R:$R,0)),""))</f>
        <v>1121</v>
      </c>
      <c r="X109" s="42">
        <f>IF(LEFT($B109,4)="_Mil","",_xlfn.IFNA(ROUND(INDEX(Spectrum!$N:$N,MATCH(RIGHT($B109,13)&amp;"|"&amp;$C109&amp;"|"&amp;$D109&amp;"|"&amp;X$14&amp;"|"&amp;"CY2023Q3",Spectrum!$R:$R,0)),0),""))</f>
        <v>1797</v>
      </c>
      <c r="Y109" s="90" t="str">
        <f t="shared" si="29"/>
        <v/>
      </c>
      <c r="Z109" s="42">
        <f>IF(LEFT($B109,4)="_Mil","",_xlfn.IFNA(ROUND(INDEX(Spectrum!$N:$N,MATCH(RIGHT($B109,13)&amp;"|"&amp;$C109&amp;"|"&amp;$D109&amp;"|"&amp;Z$14&amp;"|"&amp;"CY2023Q3",Spectrum!$R:$R,0)),0),""))</f>
        <v>652</v>
      </c>
      <c r="AA109" s="90">
        <f>IF(LEFT($B109,4)="_Mil","",IFERROR(1/(1/INDEX(Spectrum!$N:$N,MATCH(RIGHT($B109,13)&amp;"|"&amp;$C109&amp;"|"&amp;$D109&amp;"|"&amp;AA$14&amp;"|"&amp;"CY2023Q3",Spectrum!$R:$R,0))),IF(SUM($U109)=0,"",SUM($Z109)/$U109)))</f>
        <v>667</v>
      </c>
      <c r="AB109" s="90">
        <f t="shared" si="30"/>
        <v>0.36282693377851977</v>
      </c>
      <c r="AC109" s="14">
        <f>IF(LEFT($B109,4)="_Mil","",_xlfn.IFNA(ROUND(INDEX(Spectrum!$N:$N,MATCH(RIGHT($B109,13)&amp;"|"&amp;$C109&amp;"|"&amp;$D109&amp;"|"&amp;AC$14&amp;"|"&amp;"CY2023Q3",Spectrum!$R:$R,0)),0),""))</f>
        <v>1813</v>
      </c>
      <c r="AD109" s="14" t="str">
        <f>IF(LEFT($B109,4)="_Mil","",_xlfn.IFNA(ROUND(INDEX(Spectrum!$N:$N,MATCH(RIGHT($B109,13)&amp;"|"&amp;$C109&amp;"|"&amp;$D109&amp;"|"&amp;AD$14&amp;"|"&amp;"CY2023Q3",Spectrum!$R:$R,0)),0),""))</f>
        <v/>
      </c>
      <c r="AE109" s="90">
        <f t="shared" si="31"/>
        <v>0</v>
      </c>
      <c r="AF109" s="42" t="str">
        <f>IF(LEFT($B109,4)="_Mil","",_xlfn.IFNA(ROUND(INDEX(Spectrum!$N:$N,MATCH(RIGHT($B109,13)&amp;"|"&amp;$C109&amp;"|"&amp;$D109&amp;"|"&amp;AF$14&amp;"|"&amp;"CY2023Q3",Spectrum!$R:$R,0)),0),""))</f>
        <v/>
      </c>
      <c r="AG109" s="90" t="str">
        <f t="shared" si="32"/>
        <v/>
      </c>
      <c r="AH109" s="88" t="str">
        <f>IF(LEFT($B109,4)="_Mil","",_xlfn.IFNA(INDEX(Spectrum!$N:$N,MATCH(RIGHT($B109,13)&amp;"|"&amp;$C109&amp;"|"&amp;$D109&amp;"|"&amp;AH$14&amp;"|"&amp;"CY2023Q3",Spectrum!$R:$R,0)),""))</f>
        <v/>
      </c>
      <c r="AI109" s="14" t="str">
        <f>IF(LEFT($B109,4)="_Mil","",_xlfn.IFNA(ROUND(INDEX(Spectrum!$N:$N,MATCH(RIGHT($B109,13)&amp;"|"&amp;$C109&amp;"|"&amp;$D109&amp;"|"&amp;AI$14&amp;"|"&amp;"CY2023Q3",Spectrum!$R:$R,0)),0),""))</f>
        <v/>
      </c>
      <c r="AJ109" s="42">
        <f>IF(LEFT($B109,4)="_Mil","",_xlfn.IFNA(ROUND(INDEX(Spectrum!$N:$N,MATCH(RIGHT($B109,13)&amp;"|"&amp;$C109&amp;"|"&amp;$D109&amp;"|"&amp;AI$14&amp;"|"&amp;"CY2023Q3",Spectrum!$R:$R,0)),0),SUM($U109)+SUM($AI109)))</f>
        <v>0</v>
      </c>
      <c r="AK109" s="14" t="str">
        <f>IF(LEFT($B109,4)="_Mil","",_xlfn.IFNA(ROUND(INDEX(Spectrum!$N:$N,MATCH(RIGHT($B109,13)&amp;"|"&amp;$C109&amp;"|"&amp;$D109&amp;"|"&amp;AK$14&amp;"|"&amp;"CY2023Q3",Spectrum!$R:$R,0)),0),""))</f>
        <v/>
      </c>
      <c r="AL109" s="90">
        <f t="shared" si="33"/>
        <v>667</v>
      </c>
      <c r="AM109" s="14">
        <f t="shared" si="34"/>
        <v>0</v>
      </c>
      <c r="AN109" s="14" t="str">
        <f>IF($C109="&lt;01",ROUND(INDEX(EID!$P:$P,MATCH($B109,EID!$B:$B,0))/2,0),"")</f>
        <v/>
      </c>
      <c r="AO109" s="14">
        <f t="shared" si="35"/>
        <v>0</v>
      </c>
      <c r="AP109" s="42">
        <f t="shared" si="36"/>
        <v>0</v>
      </c>
      <c r="AQ109" s="42">
        <f t="shared" si="37"/>
        <v>652</v>
      </c>
      <c r="AR109" s="90" t="str">
        <f t="shared" si="38"/>
        <v/>
      </c>
      <c r="AS109" s="90">
        <f t="shared" si="48"/>
        <v>0.98</v>
      </c>
      <c r="AT109" s="90">
        <f t="shared" si="48"/>
        <v>0.98</v>
      </c>
      <c r="AU109" s="14">
        <f t="shared" si="39"/>
        <v>0</v>
      </c>
      <c r="AV109" s="14">
        <f>IF($C109="&lt;01",ROUND(INDEX(EID!$N:$N,MATCH($B109,EID!$B:$B,0))/2,0),IF(SUM($AT109)=0,"",ROUND((SUM($AP109)-(SUM($O109)*SUM($AS109)))/$AT109,0)))</f>
        <v>0</v>
      </c>
      <c r="AW109" s="90">
        <f t="shared" si="40"/>
        <v>1</v>
      </c>
      <c r="AX109" s="42">
        <f t="shared" si="41"/>
        <v>0</v>
      </c>
      <c r="AY109" s="116">
        <f t="shared" si="42"/>
        <v>0.7</v>
      </c>
      <c r="AZ109" s="93">
        <f>IF($C109="&lt;01",ROUND(INDEX(EID!$R:$R,MATCH($B109,EID!$B:$B,0))/2,0),ROUND(SUM($O109)+(SUM($AV109)*$AY109),0))</f>
        <v>0</v>
      </c>
      <c r="BA109" s="89">
        <f t="shared" si="43"/>
        <v>0.95</v>
      </c>
      <c r="BB109" s="9">
        <f>IF($C109="&lt;01",ROUND(INDEX(EID!$T:$T,MATCH($B109,EID!$B:$B,0))/2,0),ROUND($AZ109*$BA109,0))</f>
        <v>0</v>
      </c>
      <c r="BC109" s="93">
        <f t="shared" si="44"/>
        <v>0</v>
      </c>
      <c r="BD109" s="90">
        <f t="shared" si="45"/>
        <v>0.95</v>
      </c>
      <c r="BE109" s="42">
        <f>IF($C109="&lt;01",ROUND(INDEX(EID!$V:$V,MATCH($B109,EID!$B:$B,0))/2,0),ROUND($BD109*$BB109,0))</f>
        <v>0</v>
      </c>
      <c r="BF109" s="42">
        <f t="shared" si="46"/>
        <v>0</v>
      </c>
      <c r="BG109" s="116">
        <f t="shared" si="47"/>
        <v>0.95</v>
      </c>
      <c r="BH109" s="9">
        <f>IF($C109="&lt;01",ROUND(INDEX(EID!$L:$L,MATCH($B109,EID!$B:$B,0)),0)/2,IF(SUM($BG109)=0,"",ROUND($AX109/$BG109,0)))</f>
        <v>0</v>
      </c>
    </row>
    <row r="110" spans="1:60" x14ac:dyDescent="0.2">
      <c r="A110" t="str">
        <f>INDEX(Prioritization!$D:$D,MATCH($B110,Prioritization!$A:$A,0))</f>
        <v>1 - Scale-up: Saturation</v>
      </c>
      <c r="B110" t="s">
        <v>199</v>
      </c>
      <c r="C110" t="s">
        <v>366</v>
      </c>
      <c r="D110" t="s">
        <v>47</v>
      </c>
      <c r="E110" t="str">
        <f t="shared" si="26"/>
        <v>Nkhotakota District [YCKiBAp8QAg]|35-49|Male</v>
      </c>
      <c r="F110" s="14"/>
      <c r="G110" s="14"/>
      <c r="H110" s="14"/>
      <c r="I110" s="14"/>
      <c r="J110" s="14"/>
      <c r="K110" s="14"/>
      <c r="L110" s="14"/>
      <c r="M110" s="14"/>
      <c r="N110" s="14"/>
      <c r="O110" s="14" t="str">
        <f t="shared" si="27"/>
        <v/>
      </c>
      <c r="P110" s="14"/>
      <c r="Q110" s="14"/>
      <c r="R110" s="14" t="str">
        <f t="shared" si="28"/>
        <v/>
      </c>
      <c r="S110" s="14">
        <f>IF(LEFT($B110,4)="_Mil","",_xlfn.IFNA(ROUND(INDEX(Spectrum!$N:$N,MATCH(RIGHT($B110,13)&amp;"|"&amp;$C110&amp;"|"&amp;$D110&amp;"|"&amp;S$14&amp;"|"&amp;"CY2022Q4",Spectrum!$R:$R,0)),0),""))</f>
        <v>968</v>
      </c>
      <c r="T110" s="42">
        <f>IF(LEFT($B110,4)="_Mil","",_xlfn.IFNA(ROUND(INDEX(Spectrum!$N:$N,MATCH(RIGHT($B110,13)&amp;"|"&amp;$C110&amp;"|"&amp;$D110&amp;"|"&amp;T$14&amp;"|"&amp;"CY2023Q3",Spectrum!$R:$R,0)),0),""))</f>
        <v>1337</v>
      </c>
      <c r="U110" s="42" t="str">
        <f>IF(LEFT($B110,4)="_Mil","",_xlfn.IFNA(ROUND(INDEX(Spectrum!$N:$N,MATCH(RIGHT($B110,13)&amp;"|"&amp;$C110&amp;"|"&amp;$D110&amp;"|"&amp;U$14&amp;"|"&amp;"CY2023Q3",Spectrum!$R:$R,0)),0),""))</f>
        <v/>
      </c>
      <c r="V110" s="14">
        <f>IF(LEFT($B110,4)="_Mil","",_xlfn.IFNA(ROUND(INDEX(Spectrum!$N:$N,MATCH(RIGHT($B110,13)&amp;"|"&amp;$C110&amp;"|"&amp;$D110&amp;"|"&amp;V$14&amp;"|"&amp;"CY2023Q3",Spectrum!$R:$R,0)),0),""))</f>
        <v>645</v>
      </c>
      <c r="W110" s="115">
        <f>IF(LEFT($B110,4)="_Mil","",_xlfn.IFNA(INDEX(Spectrum!$N:$N,MATCH(RIGHT($B110,13)&amp;"|"&amp;$C110&amp;"|"&amp;$D110&amp;"|"&amp;W$14&amp;"|"&amp;"CY2023Q3",Spectrum!$R:$R,0)),""))</f>
        <v>511</v>
      </c>
      <c r="X110" s="42">
        <f>IF(LEFT($B110,4)="_Mil","",_xlfn.IFNA(ROUND(INDEX(Spectrum!$N:$N,MATCH(RIGHT($B110,13)&amp;"|"&amp;$C110&amp;"|"&amp;$D110&amp;"|"&amp;X$14&amp;"|"&amp;"CY2023Q3",Spectrum!$R:$R,0)),0),""))</f>
        <v>1917</v>
      </c>
      <c r="Y110" s="90" t="str">
        <f t="shared" si="29"/>
        <v/>
      </c>
      <c r="Z110" s="42">
        <f>IF(LEFT($B110,4)="_Mil","",_xlfn.IFNA(ROUND(INDEX(Spectrum!$N:$N,MATCH(RIGHT($B110,13)&amp;"|"&amp;$C110&amp;"|"&amp;$D110&amp;"|"&amp;Z$14&amp;"|"&amp;"CY2023Q3",Spectrum!$R:$R,0)),0),""))</f>
        <v>648</v>
      </c>
      <c r="AA110" s="90">
        <f>IF(LEFT($B110,4)="_Mil","",IFERROR(1/(1/INDEX(Spectrum!$N:$N,MATCH(RIGHT($B110,13)&amp;"|"&amp;$C110&amp;"|"&amp;$D110&amp;"|"&amp;AA$14&amp;"|"&amp;"CY2023Q3",Spectrum!$R:$R,0))),IF(SUM($U110)=0,"",SUM($Z110)/$U110)))</f>
        <v>1398</v>
      </c>
      <c r="AB110" s="90">
        <f t="shared" si="30"/>
        <v>0.3380281690140845</v>
      </c>
      <c r="AC110" s="14">
        <f>IF(LEFT($B110,4)="_Mil","",_xlfn.IFNA(ROUND(INDEX(Spectrum!$N:$N,MATCH(RIGHT($B110,13)&amp;"|"&amp;$C110&amp;"|"&amp;$D110&amp;"|"&amp;AC$14&amp;"|"&amp;"CY2023Q3",Spectrum!$R:$R,0)),0),""))</f>
        <v>692</v>
      </c>
      <c r="AD110" s="14" t="str">
        <f>IF(LEFT($B110,4)="_Mil","",_xlfn.IFNA(ROUND(INDEX(Spectrum!$N:$N,MATCH(RIGHT($B110,13)&amp;"|"&amp;$C110&amp;"|"&amp;$D110&amp;"|"&amp;AD$14&amp;"|"&amp;"CY2023Q3",Spectrum!$R:$R,0)),0),""))</f>
        <v/>
      </c>
      <c r="AE110" s="90">
        <f t="shared" si="31"/>
        <v>0</v>
      </c>
      <c r="AF110" s="42" t="str">
        <f>IF(LEFT($B110,4)="_Mil","",_xlfn.IFNA(ROUND(INDEX(Spectrum!$N:$N,MATCH(RIGHT($B110,13)&amp;"|"&amp;$C110&amp;"|"&amp;$D110&amp;"|"&amp;AF$14&amp;"|"&amp;"CY2023Q3",Spectrum!$R:$R,0)),0),""))</f>
        <v/>
      </c>
      <c r="AG110" s="90" t="str">
        <f t="shared" si="32"/>
        <v/>
      </c>
      <c r="AH110" s="88" t="str">
        <f>IF(LEFT($B110,4)="_Mil","",_xlfn.IFNA(INDEX(Spectrum!$N:$N,MATCH(RIGHT($B110,13)&amp;"|"&amp;$C110&amp;"|"&amp;$D110&amp;"|"&amp;AH$14&amp;"|"&amp;"CY2023Q3",Spectrum!$R:$R,0)),""))</f>
        <v/>
      </c>
      <c r="AI110" s="14" t="str">
        <f>IF(LEFT($B110,4)="_Mil","",_xlfn.IFNA(ROUND(INDEX(Spectrum!$N:$N,MATCH(RIGHT($B110,13)&amp;"|"&amp;$C110&amp;"|"&amp;$D110&amp;"|"&amp;AI$14&amp;"|"&amp;"CY2023Q3",Spectrum!$R:$R,0)),0),""))</f>
        <v/>
      </c>
      <c r="AJ110" s="42">
        <f>IF(LEFT($B110,4)="_Mil","",_xlfn.IFNA(ROUND(INDEX(Spectrum!$N:$N,MATCH(RIGHT($B110,13)&amp;"|"&amp;$C110&amp;"|"&amp;$D110&amp;"|"&amp;AI$14&amp;"|"&amp;"CY2023Q3",Spectrum!$R:$R,0)),0),SUM($U110)+SUM($AI110)))</f>
        <v>0</v>
      </c>
      <c r="AK110" s="14" t="str">
        <f>IF(LEFT($B110,4)="_Mil","",_xlfn.IFNA(ROUND(INDEX(Spectrum!$N:$N,MATCH(RIGHT($B110,13)&amp;"|"&amp;$C110&amp;"|"&amp;$D110&amp;"|"&amp;AK$14&amp;"|"&amp;"CY2023Q3",Spectrum!$R:$R,0)),0),""))</f>
        <v/>
      </c>
      <c r="AL110" s="90">
        <f t="shared" si="33"/>
        <v>1398</v>
      </c>
      <c r="AM110" s="14">
        <f t="shared" si="34"/>
        <v>0</v>
      </c>
      <c r="AN110" s="14" t="str">
        <f>IF($C110="&lt;01",ROUND(INDEX(EID!$P:$P,MATCH($B110,EID!$B:$B,0))/2,0),"")</f>
        <v/>
      </c>
      <c r="AO110" s="14">
        <f t="shared" si="35"/>
        <v>0</v>
      </c>
      <c r="AP110" s="42">
        <f t="shared" si="36"/>
        <v>0</v>
      </c>
      <c r="AQ110" s="42">
        <f t="shared" si="37"/>
        <v>648</v>
      </c>
      <c r="AR110" s="90" t="str">
        <f t="shared" si="38"/>
        <v/>
      </c>
      <c r="AS110" s="90">
        <f t="shared" si="48"/>
        <v>0.98</v>
      </c>
      <c r="AT110" s="90">
        <f t="shared" si="48"/>
        <v>0.98</v>
      </c>
      <c r="AU110" s="14">
        <f t="shared" si="39"/>
        <v>0</v>
      </c>
      <c r="AV110" s="14">
        <f>IF($C110="&lt;01",ROUND(INDEX(EID!$N:$N,MATCH($B110,EID!$B:$B,0))/2,0),IF(SUM($AT110)=0,"",ROUND((SUM($AP110)-(SUM($O110)*SUM($AS110)))/$AT110,0)))</f>
        <v>0</v>
      </c>
      <c r="AW110" s="90">
        <f t="shared" si="40"/>
        <v>1</v>
      </c>
      <c r="AX110" s="42">
        <f t="shared" si="41"/>
        <v>0</v>
      </c>
      <c r="AY110" s="116">
        <f t="shared" si="42"/>
        <v>0.7</v>
      </c>
      <c r="AZ110" s="93">
        <f>IF($C110="&lt;01",ROUND(INDEX(EID!$R:$R,MATCH($B110,EID!$B:$B,0))/2,0),ROUND(SUM($O110)+(SUM($AV110)*$AY110),0))</f>
        <v>0</v>
      </c>
      <c r="BA110" s="89">
        <f t="shared" si="43"/>
        <v>0.95</v>
      </c>
      <c r="BB110" s="9">
        <f>IF($C110="&lt;01",ROUND(INDEX(EID!$T:$T,MATCH($B110,EID!$B:$B,0))/2,0),ROUND($AZ110*$BA110,0))</f>
        <v>0</v>
      </c>
      <c r="BC110" s="93">
        <f t="shared" si="44"/>
        <v>0</v>
      </c>
      <c r="BD110" s="90">
        <f t="shared" si="45"/>
        <v>0.95</v>
      </c>
      <c r="BE110" s="42">
        <f>IF($C110="&lt;01",ROUND(INDEX(EID!$V:$V,MATCH($B110,EID!$B:$B,0))/2,0),ROUND($BD110*$BB110,0))</f>
        <v>0</v>
      </c>
      <c r="BF110" s="42">
        <f t="shared" si="46"/>
        <v>0</v>
      </c>
      <c r="BG110" s="116">
        <f t="shared" si="47"/>
        <v>0.95</v>
      </c>
      <c r="BH110" s="9">
        <f>IF($C110="&lt;01",ROUND(INDEX(EID!$L:$L,MATCH($B110,EID!$B:$B,0)),0)/2,IF(SUM($BG110)=0,"",ROUND($AX110/$BG110,0)))</f>
        <v>0</v>
      </c>
    </row>
    <row r="111" spans="1:60" x14ac:dyDescent="0.2">
      <c r="A111" t="str">
        <f>INDEX(Prioritization!$D:$D,MATCH($B111,Prioritization!$A:$A,0))</f>
        <v>1 - Scale-up: Saturation</v>
      </c>
      <c r="B111" t="s">
        <v>199</v>
      </c>
      <c r="C111" t="s">
        <v>367</v>
      </c>
      <c r="D111" t="s">
        <v>29</v>
      </c>
      <c r="E111" t="str">
        <f t="shared" si="26"/>
        <v>Nkhotakota District [YCKiBAp8QAg]|50+|Female</v>
      </c>
      <c r="F111" s="14"/>
      <c r="G111" s="14"/>
      <c r="H111" s="14"/>
      <c r="I111" s="14"/>
      <c r="J111" s="14"/>
      <c r="K111" s="14"/>
      <c r="L111" s="14"/>
      <c r="M111" s="14"/>
      <c r="N111" s="14"/>
      <c r="O111" s="14" t="str">
        <f t="shared" si="27"/>
        <v/>
      </c>
      <c r="P111" s="14"/>
      <c r="Q111" s="14"/>
      <c r="R111" s="14" t="str">
        <f t="shared" si="28"/>
        <v/>
      </c>
      <c r="S111" s="14">
        <f>IF(LEFT($B111,4)="_Mil","",_xlfn.IFNA(ROUND(INDEX(Spectrum!$N:$N,MATCH(RIGHT($B111,13)&amp;"|"&amp;$C111&amp;"|"&amp;$D111&amp;"|"&amp;S$14&amp;"|"&amp;"CY2022Q4",Spectrum!$R:$R,0)),0),""))</f>
        <v>1567</v>
      </c>
      <c r="T111" s="42">
        <f>IF(LEFT($B111,4)="_Mil","",_xlfn.IFNA(ROUND(INDEX(Spectrum!$N:$N,MATCH(RIGHT($B111,13)&amp;"|"&amp;$C111&amp;"|"&amp;$D111&amp;"|"&amp;T$14&amp;"|"&amp;"CY2023Q3",Spectrum!$R:$R,0)),0),""))</f>
        <v>728</v>
      </c>
      <c r="U111" s="42" t="str">
        <f>IF(LEFT($B111,4)="_Mil","",_xlfn.IFNA(ROUND(INDEX(Spectrum!$N:$N,MATCH(RIGHT($B111,13)&amp;"|"&amp;$C111&amp;"|"&amp;$D111&amp;"|"&amp;U$14&amp;"|"&amp;"CY2023Q3",Spectrum!$R:$R,0)),0),""))</f>
        <v/>
      </c>
      <c r="V111" s="14">
        <f>IF(LEFT($B111,4)="_Mil","",_xlfn.IFNA(ROUND(INDEX(Spectrum!$N:$N,MATCH(RIGHT($B111,13)&amp;"|"&amp;$C111&amp;"|"&amp;$D111&amp;"|"&amp;V$14&amp;"|"&amp;"CY2023Q3",Spectrum!$R:$R,0)),0),""))</f>
        <v>829</v>
      </c>
      <c r="W111" s="115">
        <f>IF(LEFT($B111,4)="_Mil","",_xlfn.IFNA(INDEX(Spectrum!$N:$N,MATCH(RIGHT($B111,13)&amp;"|"&amp;$C111&amp;"|"&amp;$D111&amp;"|"&amp;W$14&amp;"|"&amp;"CY2023Q3",Spectrum!$R:$R,0)),""))</f>
        <v>774</v>
      </c>
      <c r="X111" s="42">
        <f>IF(LEFT($B111,4)="_Mil","",_xlfn.IFNA(ROUND(INDEX(Spectrum!$N:$N,MATCH(RIGHT($B111,13)&amp;"|"&amp;$C111&amp;"|"&amp;$D111&amp;"|"&amp;X$14&amp;"|"&amp;"CY2023Q3",Spectrum!$R:$R,0)),0),""))</f>
        <v>1563</v>
      </c>
      <c r="Y111" s="90" t="str">
        <f t="shared" si="29"/>
        <v/>
      </c>
      <c r="Z111" s="42">
        <f>IF(LEFT($B111,4)="_Mil","",_xlfn.IFNA(ROUND(INDEX(Spectrum!$N:$N,MATCH(RIGHT($B111,13)&amp;"|"&amp;$C111&amp;"|"&amp;$D111&amp;"|"&amp;Z$14&amp;"|"&amp;"CY2023Q3",Spectrum!$R:$R,0)),0),""))</f>
        <v>1301</v>
      </c>
      <c r="AA111" s="90">
        <f>IF(LEFT($B111,4)="_Mil","",IFERROR(1/(1/INDEX(Spectrum!$N:$N,MATCH(RIGHT($B111,13)&amp;"|"&amp;$C111&amp;"|"&amp;$D111&amp;"|"&amp;AA$14&amp;"|"&amp;"CY2023Q3",Spectrum!$R:$R,0))),IF(SUM($U111)=0,"",SUM($Z111)/$U111)))</f>
        <v>842</v>
      </c>
      <c r="AB111" s="90">
        <f t="shared" si="30"/>
        <v>0.83237364043506079</v>
      </c>
      <c r="AC111" s="14">
        <f>IF(LEFT($B111,4)="_Mil","",_xlfn.IFNA(ROUND(INDEX(Spectrum!$N:$N,MATCH(RIGHT($B111,13)&amp;"|"&amp;$C111&amp;"|"&amp;$D111&amp;"|"&amp;AC$14&amp;"|"&amp;"CY2023Q3",Spectrum!$R:$R,0)),0),""))</f>
        <v>1566</v>
      </c>
      <c r="AD111" s="14" t="str">
        <f>IF(LEFT($B111,4)="_Mil","",_xlfn.IFNA(ROUND(INDEX(Spectrum!$N:$N,MATCH(RIGHT($B111,13)&amp;"|"&amp;$C111&amp;"|"&amp;$D111&amp;"|"&amp;AD$14&amp;"|"&amp;"CY2023Q3",Spectrum!$R:$R,0)),0),""))</f>
        <v/>
      </c>
      <c r="AE111" s="90">
        <f t="shared" si="31"/>
        <v>0</v>
      </c>
      <c r="AF111" s="42" t="str">
        <f>IF(LEFT($B111,4)="_Mil","",_xlfn.IFNA(ROUND(INDEX(Spectrum!$N:$N,MATCH(RIGHT($B111,13)&amp;"|"&amp;$C111&amp;"|"&amp;$D111&amp;"|"&amp;AF$14&amp;"|"&amp;"CY2023Q3",Spectrum!$R:$R,0)),0),""))</f>
        <v/>
      </c>
      <c r="AG111" s="90" t="str">
        <f t="shared" si="32"/>
        <v/>
      </c>
      <c r="AH111" s="88" t="str">
        <f>IF(LEFT($B111,4)="_Mil","",_xlfn.IFNA(INDEX(Spectrum!$N:$N,MATCH(RIGHT($B111,13)&amp;"|"&amp;$C111&amp;"|"&amp;$D111&amp;"|"&amp;AH$14&amp;"|"&amp;"CY2023Q3",Spectrum!$R:$R,0)),""))</f>
        <v/>
      </c>
      <c r="AI111" s="14" t="str">
        <f>IF(LEFT($B111,4)="_Mil","",_xlfn.IFNA(ROUND(INDEX(Spectrum!$N:$N,MATCH(RIGHT($B111,13)&amp;"|"&amp;$C111&amp;"|"&amp;$D111&amp;"|"&amp;AI$14&amp;"|"&amp;"CY2023Q3",Spectrum!$R:$R,0)),0),""))</f>
        <v/>
      </c>
      <c r="AJ111" s="42">
        <f>IF(LEFT($B111,4)="_Mil","",_xlfn.IFNA(ROUND(INDEX(Spectrum!$N:$N,MATCH(RIGHT($B111,13)&amp;"|"&amp;$C111&amp;"|"&amp;$D111&amp;"|"&amp;AI$14&amp;"|"&amp;"CY2023Q3",Spectrum!$R:$R,0)),0),SUM($U111)+SUM($AI111)))</f>
        <v>0</v>
      </c>
      <c r="AK111" s="14" t="str">
        <f>IF(LEFT($B111,4)="_Mil","",_xlfn.IFNA(ROUND(INDEX(Spectrum!$N:$N,MATCH(RIGHT($B111,13)&amp;"|"&amp;$C111&amp;"|"&amp;$D111&amp;"|"&amp;AK$14&amp;"|"&amp;"CY2023Q3",Spectrum!$R:$R,0)),0),""))</f>
        <v/>
      </c>
      <c r="AL111" s="90">
        <f t="shared" si="33"/>
        <v>842</v>
      </c>
      <c r="AM111" s="14">
        <f t="shared" si="34"/>
        <v>0</v>
      </c>
      <c r="AN111" s="14" t="str">
        <f>IF($C111="&lt;01",ROUND(INDEX(EID!$P:$P,MATCH($B111,EID!$B:$B,0))/2,0),"")</f>
        <v/>
      </c>
      <c r="AO111" s="14">
        <f t="shared" si="35"/>
        <v>0</v>
      </c>
      <c r="AP111" s="42">
        <f t="shared" si="36"/>
        <v>0</v>
      </c>
      <c r="AQ111" s="42">
        <f t="shared" si="37"/>
        <v>1301</v>
      </c>
      <c r="AR111" s="90" t="str">
        <f t="shared" si="38"/>
        <v/>
      </c>
      <c r="AS111" s="90">
        <f t="shared" si="48"/>
        <v>0.98</v>
      </c>
      <c r="AT111" s="90">
        <f t="shared" si="48"/>
        <v>0.98</v>
      </c>
      <c r="AU111" s="14">
        <f t="shared" si="39"/>
        <v>0</v>
      </c>
      <c r="AV111" s="14">
        <f>IF($C111="&lt;01",ROUND(INDEX(EID!$N:$N,MATCH($B111,EID!$B:$B,0))/2,0),IF(SUM($AT111)=0,"",ROUND((SUM($AP111)-(SUM($O111)*SUM($AS111)))/$AT111,0)))</f>
        <v>0</v>
      </c>
      <c r="AW111" s="90">
        <f t="shared" si="40"/>
        <v>1</v>
      </c>
      <c r="AX111" s="42">
        <f t="shared" si="41"/>
        <v>0</v>
      </c>
      <c r="AY111" s="116">
        <f t="shared" si="42"/>
        <v>0.7</v>
      </c>
      <c r="AZ111" s="93">
        <f>IF($C111="&lt;01",ROUND(INDEX(EID!$R:$R,MATCH($B111,EID!$B:$B,0))/2,0),ROUND(SUM($O111)+(SUM($AV111)*$AY111),0))</f>
        <v>0</v>
      </c>
      <c r="BA111" s="89">
        <f t="shared" si="43"/>
        <v>0.95</v>
      </c>
      <c r="BB111" s="9">
        <f>IF($C111="&lt;01",ROUND(INDEX(EID!$T:$T,MATCH($B111,EID!$B:$B,0))/2,0),ROUND($AZ111*$BA111,0))</f>
        <v>0</v>
      </c>
      <c r="BC111" s="93">
        <f t="shared" si="44"/>
        <v>0</v>
      </c>
      <c r="BD111" s="90">
        <f t="shared" si="45"/>
        <v>0.95</v>
      </c>
      <c r="BE111" s="42">
        <f>IF($C111="&lt;01",ROUND(INDEX(EID!$V:$V,MATCH($B111,EID!$B:$B,0))/2,0),ROUND($BD111*$BB111,0))</f>
        <v>0</v>
      </c>
      <c r="BF111" s="42">
        <f t="shared" si="46"/>
        <v>0</v>
      </c>
      <c r="BG111" s="116">
        <f t="shared" si="47"/>
        <v>0.95</v>
      </c>
      <c r="BH111" s="9">
        <f>IF($C111="&lt;01",ROUND(INDEX(EID!$L:$L,MATCH($B111,EID!$B:$B,0)),0)/2,IF(SUM($BG111)=0,"",ROUND($AX111/$BG111,0)))</f>
        <v>0</v>
      </c>
    </row>
    <row r="112" spans="1:60" x14ac:dyDescent="0.2">
      <c r="A112" t="str">
        <f>INDEX(Prioritization!$D:$D,MATCH($B112,Prioritization!$A:$A,0))</f>
        <v>1 - Scale-up: Saturation</v>
      </c>
      <c r="B112" t="s">
        <v>199</v>
      </c>
      <c r="C112" t="s">
        <v>367</v>
      </c>
      <c r="D112" t="s">
        <v>47</v>
      </c>
      <c r="E112" t="str">
        <f t="shared" si="26"/>
        <v>Nkhotakota District [YCKiBAp8QAg]|50+|Male</v>
      </c>
      <c r="F112" s="14"/>
      <c r="G112" s="14"/>
      <c r="H112" s="14"/>
      <c r="I112" s="14"/>
      <c r="J112" s="14"/>
      <c r="K112" s="14"/>
      <c r="L112" s="14"/>
      <c r="M112" s="14"/>
      <c r="N112" s="14"/>
      <c r="O112" s="14" t="str">
        <f t="shared" si="27"/>
        <v/>
      </c>
      <c r="P112" s="14"/>
      <c r="Q112" s="14"/>
      <c r="R112" s="14" t="str">
        <f t="shared" si="28"/>
        <v/>
      </c>
      <c r="S112" s="14">
        <f>IF(LEFT($B112,4)="_Mil","",_xlfn.IFNA(ROUND(INDEX(Spectrum!$N:$N,MATCH(RIGHT($B112,13)&amp;"|"&amp;$C112&amp;"|"&amp;$D112&amp;"|"&amp;S$14&amp;"|"&amp;"CY2022Q4",Spectrum!$R:$R,0)),0),""))</f>
        <v>1669</v>
      </c>
      <c r="T112" s="42">
        <f>IF(LEFT($B112,4)="_Mil","",_xlfn.IFNA(ROUND(INDEX(Spectrum!$N:$N,MATCH(RIGHT($B112,13)&amp;"|"&amp;$C112&amp;"|"&amp;$D112&amp;"|"&amp;T$14&amp;"|"&amp;"CY2023Q3",Spectrum!$R:$R,0)),0),""))</f>
        <v>610</v>
      </c>
      <c r="U112" s="42" t="str">
        <f>IF(LEFT($B112,4)="_Mil","",_xlfn.IFNA(ROUND(INDEX(Spectrum!$N:$N,MATCH(RIGHT($B112,13)&amp;"|"&amp;$C112&amp;"|"&amp;$D112&amp;"|"&amp;U$14&amp;"|"&amp;"CY2023Q3",Spectrum!$R:$R,0)),0),""))</f>
        <v/>
      </c>
      <c r="V112" s="14">
        <f>IF(LEFT($B112,4)="_Mil","",_xlfn.IFNA(ROUND(INDEX(Spectrum!$N:$N,MATCH(RIGHT($B112,13)&amp;"|"&amp;$C112&amp;"|"&amp;$D112&amp;"|"&amp;V$14&amp;"|"&amp;"CY2023Q3",Spectrum!$R:$R,0)),0),""))</f>
        <v>656</v>
      </c>
      <c r="W112" s="115">
        <f>IF(LEFT($B112,4)="_Mil","",_xlfn.IFNA(INDEX(Spectrum!$N:$N,MATCH(RIGHT($B112,13)&amp;"|"&amp;$C112&amp;"|"&amp;$D112&amp;"|"&amp;W$14&amp;"|"&amp;"CY2023Q3",Spectrum!$R:$R,0)),""))</f>
        <v>1395</v>
      </c>
      <c r="X112" s="42">
        <f>IF(LEFT($B112,4)="_Mil","",_xlfn.IFNA(ROUND(INDEX(Spectrum!$N:$N,MATCH(RIGHT($B112,13)&amp;"|"&amp;$C112&amp;"|"&amp;$D112&amp;"|"&amp;X$14&amp;"|"&amp;"CY2023Q3",Spectrum!$R:$R,0)),0),""))</f>
        <v>1002</v>
      </c>
      <c r="Y112" s="90" t="str">
        <f t="shared" si="29"/>
        <v/>
      </c>
      <c r="Z112" s="42">
        <f>IF(LEFT($B112,4)="_Mil","",_xlfn.IFNA(ROUND(INDEX(Spectrum!$N:$N,MATCH(RIGHT($B112,13)&amp;"|"&amp;$C112&amp;"|"&amp;$D112&amp;"|"&amp;Z$14&amp;"|"&amp;"CY2023Q3",Spectrum!$R:$R,0)),0),""))</f>
        <v>721</v>
      </c>
      <c r="AA112" s="90">
        <f>IF(LEFT($B112,4)="_Mil","",IFERROR(1/(1/INDEX(Spectrum!$N:$N,MATCH(RIGHT($B112,13)&amp;"|"&amp;$C112&amp;"|"&amp;$D112&amp;"|"&amp;AA$14&amp;"|"&amp;"CY2023Q3",Spectrum!$R:$R,0))),IF(SUM($U112)=0,"",SUM($Z112)/$U112)))</f>
        <v>1711</v>
      </c>
      <c r="AB112" s="90">
        <f t="shared" si="30"/>
        <v>0.719560878243513</v>
      </c>
      <c r="AC112" s="14">
        <f>IF(LEFT($B112,4)="_Mil","",_xlfn.IFNA(ROUND(INDEX(Spectrum!$N:$N,MATCH(RIGHT($B112,13)&amp;"|"&amp;$C112&amp;"|"&amp;$D112&amp;"|"&amp;AC$14&amp;"|"&amp;"CY2023Q3",Spectrum!$R:$R,0)),0),""))</f>
        <v>1548</v>
      </c>
      <c r="AD112" s="14" t="str">
        <f>IF(LEFT($B112,4)="_Mil","",_xlfn.IFNA(ROUND(INDEX(Spectrum!$N:$N,MATCH(RIGHT($B112,13)&amp;"|"&amp;$C112&amp;"|"&amp;$D112&amp;"|"&amp;AD$14&amp;"|"&amp;"CY2023Q3",Spectrum!$R:$R,0)),0),""))</f>
        <v/>
      </c>
      <c r="AE112" s="90">
        <f t="shared" si="31"/>
        <v>0</v>
      </c>
      <c r="AF112" s="42" t="str">
        <f>IF(LEFT($B112,4)="_Mil","",_xlfn.IFNA(ROUND(INDEX(Spectrum!$N:$N,MATCH(RIGHT($B112,13)&amp;"|"&amp;$C112&amp;"|"&amp;$D112&amp;"|"&amp;AF$14&amp;"|"&amp;"CY2023Q3",Spectrum!$R:$R,0)),0),""))</f>
        <v/>
      </c>
      <c r="AG112" s="90" t="str">
        <f t="shared" si="32"/>
        <v/>
      </c>
      <c r="AH112" s="88" t="str">
        <f>IF(LEFT($B112,4)="_Mil","",_xlfn.IFNA(INDEX(Spectrum!$N:$N,MATCH(RIGHT($B112,13)&amp;"|"&amp;$C112&amp;"|"&amp;$D112&amp;"|"&amp;AH$14&amp;"|"&amp;"CY2023Q3",Spectrum!$R:$R,0)),""))</f>
        <v/>
      </c>
      <c r="AI112" s="14" t="str">
        <f>IF(LEFT($B112,4)="_Mil","",_xlfn.IFNA(ROUND(INDEX(Spectrum!$N:$N,MATCH(RIGHT($B112,13)&amp;"|"&amp;$C112&amp;"|"&amp;$D112&amp;"|"&amp;AI$14&amp;"|"&amp;"CY2023Q3",Spectrum!$R:$R,0)),0),""))</f>
        <v/>
      </c>
      <c r="AJ112" s="42">
        <f>IF(LEFT($B112,4)="_Mil","",_xlfn.IFNA(ROUND(INDEX(Spectrum!$N:$N,MATCH(RIGHT($B112,13)&amp;"|"&amp;$C112&amp;"|"&amp;$D112&amp;"|"&amp;AI$14&amp;"|"&amp;"CY2023Q3",Spectrum!$R:$R,0)),0),SUM($U112)+SUM($AI112)))</f>
        <v>0</v>
      </c>
      <c r="AK112" s="14" t="str">
        <f>IF(LEFT($B112,4)="_Mil","",_xlfn.IFNA(ROUND(INDEX(Spectrum!$N:$N,MATCH(RIGHT($B112,13)&amp;"|"&amp;$C112&amp;"|"&amp;$D112&amp;"|"&amp;AK$14&amp;"|"&amp;"CY2023Q3",Spectrum!$R:$R,0)),0),""))</f>
        <v/>
      </c>
      <c r="AL112" s="90">
        <f t="shared" si="33"/>
        <v>1711</v>
      </c>
      <c r="AM112" s="14">
        <f t="shared" si="34"/>
        <v>0</v>
      </c>
      <c r="AN112" s="14" t="str">
        <f>IF($C112="&lt;01",ROUND(INDEX(EID!$P:$P,MATCH($B112,EID!$B:$B,0))/2,0),"")</f>
        <v/>
      </c>
      <c r="AO112" s="14">
        <f t="shared" si="35"/>
        <v>0</v>
      </c>
      <c r="AP112" s="42">
        <f t="shared" si="36"/>
        <v>0</v>
      </c>
      <c r="AQ112" s="42">
        <f t="shared" si="37"/>
        <v>721</v>
      </c>
      <c r="AR112" s="90" t="str">
        <f t="shared" si="38"/>
        <v/>
      </c>
      <c r="AS112" s="90">
        <f t="shared" si="48"/>
        <v>0.98</v>
      </c>
      <c r="AT112" s="90">
        <f t="shared" si="48"/>
        <v>0.98</v>
      </c>
      <c r="AU112" s="14">
        <f t="shared" si="39"/>
        <v>0</v>
      </c>
      <c r="AV112" s="14">
        <f>IF($C112="&lt;01",ROUND(INDEX(EID!$N:$N,MATCH($B112,EID!$B:$B,0))/2,0),IF(SUM($AT112)=0,"",ROUND((SUM($AP112)-(SUM($O112)*SUM($AS112)))/$AT112,0)))</f>
        <v>0</v>
      </c>
      <c r="AW112" s="90">
        <f t="shared" si="40"/>
        <v>1</v>
      </c>
      <c r="AX112" s="42">
        <f t="shared" si="41"/>
        <v>0</v>
      </c>
      <c r="AY112" s="116">
        <f t="shared" si="42"/>
        <v>0.7</v>
      </c>
      <c r="AZ112" s="93">
        <f>IF($C112="&lt;01",ROUND(INDEX(EID!$R:$R,MATCH($B112,EID!$B:$B,0))/2,0),ROUND(SUM($O112)+(SUM($AV112)*$AY112),0))</f>
        <v>0</v>
      </c>
      <c r="BA112" s="89">
        <f t="shared" si="43"/>
        <v>0.95</v>
      </c>
      <c r="BB112" s="9">
        <f>IF($C112="&lt;01",ROUND(INDEX(EID!$T:$T,MATCH($B112,EID!$B:$B,0))/2,0),ROUND($AZ112*$BA112,0))</f>
        <v>0</v>
      </c>
      <c r="BC112" s="93">
        <f t="shared" si="44"/>
        <v>0</v>
      </c>
      <c r="BD112" s="90">
        <f t="shared" si="45"/>
        <v>0.95</v>
      </c>
      <c r="BE112" s="42">
        <f>IF($C112="&lt;01",ROUND(INDEX(EID!$V:$V,MATCH($B112,EID!$B:$B,0))/2,0),ROUND($BD112*$BB112,0))</f>
        <v>0</v>
      </c>
      <c r="BF112" s="42">
        <f t="shared" si="46"/>
        <v>0</v>
      </c>
      <c r="BG112" s="116">
        <f t="shared" si="47"/>
        <v>0.95</v>
      </c>
      <c r="BH112" s="9">
        <f>IF($C112="&lt;01",ROUND(INDEX(EID!$L:$L,MATCH($B112,EID!$B:$B,0)),0)/2,IF(SUM($BG112)=0,"",ROUND($AX112/$BG112,0)))</f>
        <v>0</v>
      </c>
    </row>
    <row r="113" spans="1:60" x14ac:dyDescent="0.2">
      <c r="A113" t="str">
        <f>INDEX(Prioritization!$D:$D,MATCH($B113,Prioritization!$A:$A,0))</f>
        <v>INVALID</v>
      </c>
      <c r="B113" t="s">
        <v>200</v>
      </c>
      <c r="C113" t="s">
        <v>315</v>
      </c>
      <c r="D113" t="s">
        <v>29</v>
      </c>
      <c r="E113" t="str">
        <f t="shared" si="26"/>
        <v>Ntcheu District [am530wpaGvr]|&lt;01|Female</v>
      </c>
      <c r="F113" s="14"/>
      <c r="G113" s="14">
        <v>74</v>
      </c>
      <c r="H113" s="14">
        <v>7</v>
      </c>
      <c r="I113" s="14">
        <v>0</v>
      </c>
      <c r="J113" s="14">
        <v>8</v>
      </c>
      <c r="K113" s="14">
        <v>9</v>
      </c>
      <c r="L113" s="14"/>
      <c r="M113" s="14">
        <v>1</v>
      </c>
      <c r="N113" s="14">
        <v>0</v>
      </c>
      <c r="O113" s="14" t="str">
        <f t="shared" si="27"/>
        <v/>
      </c>
      <c r="P113" s="14">
        <v>0</v>
      </c>
      <c r="Q113" s="14">
        <v>0</v>
      </c>
      <c r="R113" s="14" t="str">
        <f t="shared" si="28"/>
        <v/>
      </c>
      <c r="S113" s="14">
        <f>IF(LEFT($B113,4)="_Mil","",_xlfn.IFNA(ROUND(INDEX(Spectrum!$N:$N,MATCH(RIGHT($B113,13)&amp;"|"&amp;$C113&amp;"|"&amp;$D113&amp;"|"&amp;S$14&amp;"|"&amp;"CY2022Q4",Spectrum!$R:$R,0)),0),""))</f>
        <v>1415</v>
      </c>
      <c r="T113" s="42">
        <f>IF(LEFT($B113,4)="_Mil","",_xlfn.IFNA(ROUND(INDEX(Spectrum!$N:$N,MATCH(RIGHT($B113,13)&amp;"|"&amp;$C113&amp;"|"&amp;$D113&amp;"|"&amp;T$14&amp;"|"&amp;"CY2023Q3",Spectrum!$R:$R,0)),0),""))</f>
        <v>835</v>
      </c>
      <c r="U113" s="42" t="str">
        <f>IF(LEFT($B113,4)="_Mil","",_xlfn.IFNA(ROUND(INDEX(Spectrum!$N:$N,MATCH(RIGHT($B113,13)&amp;"|"&amp;$C113&amp;"|"&amp;$D113&amp;"|"&amp;U$14&amp;"|"&amp;"CY2023Q3",Spectrum!$R:$R,0)),0),""))</f>
        <v/>
      </c>
      <c r="V113" s="14">
        <f>IF(LEFT($B113,4)="_Mil","",_xlfn.IFNA(ROUND(INDEX(Spectrum!$N:$N,MATCH(RIGHT($B113,13)&amp;"|"&amp;$C113&amp;"|"&amp;$D113&amp;"|"&amp;V$14&amp;"|"&amp;"CY2023Q3",Spectrum!$R:$R,0)),0),""))</f>
        <v>1709</v>
      </c>
      <c r="W113" s="115">
        <f>IF(LEFT($B113,4)="_Mil","",_xlfn.IFNA(INDEX(Spectrum!$N:$N,MATCH(RIGHT($B113,13)&amp;"|"&amp;$C113&amp;"|"&amp;$D113&amp;"|"&amp;W$14&amp;"|"&amp;"CY2023Q3",Spectrum!$R:$R,0)),""))</f>
        <v>1107</v>
      </c>
      <c r="X113" s="42">
        <f>IF(LEFT($B113,4)="_Mil","",_xlfn.IFNA(ROUND(INDEX(Spectrum!$N:$N,MATCH(RIGHT($B113,13)&amp;"|"&amp;$C113&amp;"|"&amp;$D113&amp;"|"&amp;X$14&amp;"|"&amp;"CY2023Q3",Spectrum!$R:$R,0)),0),""))</f>
        <v>507</v>
      </c>
      <c r="Y113" s="90" t="str">
        <f t="shared" si="29"/>
        <v/>
      </c>
      <c r="Z113" s="42">
        <f>IF(LEFT($B113,4)="_Mil","",_xlfn.IFNA(ROUND(INDEX(Spectrum!$N:$N,MATCH(RIGHT($B113,13)&amp;"|"&amp;$C113&amp;"|"&amp;$D113&amp;"|"&amp;Z$14&amp;"|"&amp;"CY2023Q3",Spectrum!$R:$R,0)),0),""))</f>
        <v>747</v>
      </c>
      <c r="AA113" s="90">
        <f>IF(LEFT($B113,4)="_Mil","",IFERROR(1/(1/INDEX(Spectrum!$N:$N,MATCH(RIGHT($B113,13)&amp;"|"&amp;$C113&amp;"|"&amp;$D113&amp;"|"&amp;AA$14&amp;"|"&amp;"CY2023Q3",Spectrum!$R:$R,0))),IF(SUM($U113)=0,"",SUM($Z113)/$U113)))</f>
        <v>1781.9999999999998</v>
      </c>
      <c r="AB113" s="90">
        <f t="shared" si="30"/>
        <v>1.4733727810650887</v>
      </c>
      <c r="AC113" s="14">
        <f>IF(LEFT($B113,4)="_Mil","",_xlfn.IFNA(ROUND(INDEX(Spectrum!$N:$N,MATCH(RIGHT($B113,13)&amp;"|"&amp;$C113&amp;"|"&amp;$D113&amp;"|"&amp;AC$14&amp;"|"&amp;"CY2023Q3",Spectrum!$R:$R,0)),0),""))</f>
        <v>592</v>
      </c>
      <c r="AD113" s="14" t="str">
        <f>IF(LEFT($B113,4)="_Mil","",_xlfn.IFNA(ROUND(INDEX(Spectrum!$N:$N,MATCH(RIGHT($B113,13)&amp;"|"&amp;$C113&amp;"|"&amp;$D113&amp;"|"&amp;AD$14&amp;"|"&amp;"CY2023Q3",Spectrum!$R:$R,0)),0),""))</f>
        <v/>
      </c>
      <c r="AE113" s="90">
        <f t="shared" si="31"/>
        <v>0</v>
      </c>
      <c r="AF113" s="42" t="str">
        <f>IF(LEFT($B113,4)="_Mil","",_xlfn.IFNA(ROUND(INDEX(Spectrum!$N:$N,MATCH(RIGHT($B113,13)&amp;"|"&amp;$C113&amp;"|"&amp;$D113&amp;"|"&amp;AF$14&amp;"|"&amp;"CY2023Q3",Spectrum!$R:$R,0)),0),""))</f>
        <v/>
      </c>
      <c r="AG113" s="90" t="str">
        <f t="shared" si="32"/>
        <v/>
      </c>
      <c r="AH113" s="88" t="str">
        <f>IF(LEFT($B113,4)="_Mil","",_xlfn.IFNA(INDEX(Spectrum!$N:$N,MATCH(RIGHT($B113,13)&amp;"|"&amp;$C113&amp;"|"&amp;$D113&amp;"|"&amp;AH$14&amp;"|"&amp;"CY2023Q3",Spectrum!$R:$R,0)),""))</f>
        <v/>
      </c>
      <c r="AI113" s="14" t="str">
        <f>IF(LEFT($B113,4)="_Mil","",_xlfn.IFNA(ROUND(INDEX(Spectrum!$N:$N,MATCH(RIGHT($B113,13)&amp;"|"&amp;$C113&amp;"|"&amp;$D113&amp;"|"&amp;AI$14&amp;"|"&amp;"CY2023Q3",Spectrum!$R:$R,0)),0),""))</f>
        <v/>
      </c>
      <c r="AJ113" s="42">
        <f>IF(LEFT($B113,4)="_Mil","",_xlfn.IFNA(ROUND(INDEX(Spectrum!$N:$N,MATCH(RIGHT($B113,13)&amp;"|"&amp;$C113&amp;"|"&amp;$D113&amp;"|"&amp;AI$14&amp;"|"&amp;"CY2023Q3",Spectrum!$R:$R,0)),0),SUM($U113)+SUM($AI113)))</f>
        <v>0</v>
      </c>
      <c r="AK113" s="14" t="str">
        <f>IF(LEFT($B113,4)="_Mil","",_xlfn.IFNA(ROUND(INDEX(Spectrum!$N:$N,MATCH(RIGHT($B113,13)&amp;"|"&amp;$C113&amp;"|"&amp;$D113&amp;"|"&amp;AK$14&amp;"|"&amp;"CY2023Q3",Spectrum!$R:$R,0)),0),""))</f>
        <v/>
      </c>
      <c r="AL113" s="90" t="str">
        <f t="shared" si="33"/>
        <v/>
      </c>
      <c r="AM113" s="14" t="str">
        <f t="shared" si="34"/>
        <v/>
      </c>
      <c r="AN113" s="14">
        <f>IF($C113="&lt;01",ROUND(INDEX(EID!$P:$P,MATCH($B113,EID!$B:$B,0))/2,0),"")</f>
        <v>0</v>
      </c>
      <c r="AO113" s="14">
        <f t="shared" si="35"/>
        <v>0</v>
      </c>
      <c r="AP113" s="42">
        <f t="shared" si="36"/>
        <v>0</v>
      </c>
      <c r="AQ113" s="42">
        <f t="shared" si="37"/>
        <v>747</v>
      </c>
      <c r="AR113" s="90" t="str">
        <f t="shared" si="38"/>
        <v/>
      </c>
      <c r="AS113" s="90" t="str">
        <f t="shared" si="48"/>
        <v/>
      </c>
      <c r="AT113" s="90" t="str">
        <f t="shared" si="48"/>
        <v/>
      </c>
      <c r="AU113" s="14" t="str">
        <f t="shared" si="39"/>
        <v/>
      </c>
      <c r="AV113" s="14">
        <f>IF($C113="&lt;01",ROUND(INDEX(EID!$N:$N,MATCH($B113,EID!$B:$B,0))/2,0),IF(SUM($AT113)=0,"",ROUND((SUM($AP113)-(SUM($O113)*SUM($AS113)))/$AT113,0)))</f>
        <v>0</v>
      </c>
      <c r="AW113" s="90" t="str">
        <f t="shared" si="40"/>
        <v/>
      </c>
      <c r="AX113" s="42">
        <f t="shared" si="41"/>
        <v>0</v>
      </c>
      <c r="AY113" s="116" t="str">
        <f t="shared" si="42"/>
        <v/>
      </c>
      <c r="AZ113" s="93">
        <f>IF($C113="&lt;01",ROUND(INDEX(EID!$R:$R,MATCH($B113,EID!$B:$B,0))/2,0),ROUND(SUM($O113)+(SUM($AV113)*$AY113),0))</f>
        <v>0</v>
      </c>
      <c r="BA113" s="89" t="str">
        <f t="shared" si="43"/>
        <v/>
      </c>
      <c r="BB113" s="9">
        <f>IF($C113="&lt;01",ROUND(INDEX(EID!$T:$T,MATCH($B113,EID!$B:$B,0))/2,0),ROUND($AZ113*$BA113,0))</f>
        <v>0</v>
      </c>
      <c r="BC113" s="93">
        <f t="shared" si="44"/>
        <v>0</v>
      </c>
      <c r="BD113" s="90" t="str">
        <f t="shared" si="45"/>
        <v/>
      </c>
      <c r="BE113" s="42">
        <f>IF($C113="&lt;01",ROUND(INDEX(EID!$V:$V,MATCH($B113,EID!$B:$B,0))/2,0),ROUND($BD113*$BB113,0))</f>
        <v>0</v>
      </c>
      <c r="BF113" s="42">
        <f t="shared" si="46"/>
        <v>0</v>
      </c>
      <c r="BG113" s="116" t="str">
        <f t="shared" si="47"/>
        <v/>
      </c>
      <c r="BH113" s="9">
        <f>IF($C113="&lt;01",ROUND(INDEX(EID!$L:$L,MATCH($B113,EID!$B:$B,0)),0)/2,IF(SUM($BG113)=0,"",ROUND($AX113/$BG113,0)))</f>
        <v>0</v>
      </c>
    </row>
    <row r="114" spans="1:60" x14ac:dyDescent="0.2">
      <c r="A114" t="str">
        <f>INDEX(Prioritization!$D:$D,MATCH($B114,Prioritization!$A:$A,0))</f>
        <v>INVALID</v>
      </c>
      <c r="B114" t="s">
        <v>200</v>
      </c>
      <c r="C114" t="s">
        <v>315</v>
      </c>
      <c r="D114" t="s">
        <v>47</v>
      </c>
      <c r="E114" t="str">
        <f t="shared" si="26"/>
        <v>Ntcheu District [am530wpaGvr]|&lt;01|Male</v>
      </c>
      <c r="F114" s="14"/>
      <c r="G114" s="14">
        <v>7</v>
      </c>
      <c r="H114" s="14">
        <v>5</v>
      </c>
      <c r="I114" s="14">
        <v>1</v>
      </c>
      <c r="J114" s="14">
        <v>6</v>
      </c>
      <c r="K114" s="14">
        <v>8</v>
      </c>
      <c r="L114" s="14"/>
      <c r="M114" s="14">
        <v>1</v>
      </c>
      <c r="N114" s="14">
        <v>0</v>
      </c>
      <c r="O114" s="14">
        <f t="shared" si="27"/>
        <v>1</v>
      </c>
      <c r="P114" s="14">
        <v>1</v>
      </c>
      <c r="Q114" s="14">
        <v>1</v>
      </c>
      <c r="R114" s="14">
        <f t="shared" si="28"/>
        <v>0</v>
      </c>
      <c r="S114" s="14">
        <f>IF(LEFT($B114,4)="_Mil","",_xlfn.IFNA(ROUND(INDEX(Spectrum!$N:$N,MATCH(RIGHT($B114,13)&amp;"|"&amp;$C114&amp;"|"&amp;$D114&amp;"|"&amp;S$14&amp;"|"&amp;"CY2022Q4",Spectrum!$R:$R,0)),0),""))</f>
        <v>1554</v>
      </c>
      <c r="T114" s="42">
        <f>IF(LEFT($B114,4)="_Mil","",_xlfn.IFNA(ROUND(INDEX(Spectrum!$N:$N,MATCH(RIGHT($B114,13)&amp;"|"&amp;$C114&amp;"|"&amp;$D114&amp;"|"&amp;T$14&amp;"|"&amp;"CY2023Q3",Spectrum!$R:$R,0)),0),""))</f>
        <v>1839</v>
      </c>
      <c r="U114" s="42" t="str">
        <f>IF(LEFT($B114,4)="_Mil","",_xlfn.IFNA(ROUND(INDEX(Spectrum!$N:$N,MATCH(RIGHT($B114,13)&amp;"|"&amp;$C114&amp;"|"&amp;$D114&amp;"|"&amp;U$14&amp;"|"&amp;"CY2023Q3",Spectrum!$R:$R,0)),0),""))</f>
        <v/>
      </c>
      <c r="V114" s="14">
        <f>IF(LEFT($B114,4)="_Mil","",_xlfn.IFNA(ROUND(INDEX(Spectrum!$N:$N,MATCH(RIGHT($B114,13)&amp;"|"&amp;$C114&amp;"|"&amp;$D114&amp;"|"&amp;V$14&amp;"|"&amp;"CY2023Q3",Spectrum!$R:$R,0)),0),""))</f>
        <v>961</v>
      </c>
      <c r="W114" s="115">
        <f>IF(LEFT($B114,4)="_Mil","",_xlfn.IFNA(INDEX(Spectrum!$N:$N,MATCH(RIGHT($B114,13)&amp;"|"&amp;$C114&amp;"|"&amp;$D114&amp;"|"&amp;W$14&amp;"|"&amp;"CY2023Q3",Spectrum!$R:$R,0)),""))</f>
        <v>1994</v>
      </c>
      <c r="X114" s="42">
        <f>IF(LEFT($B114,4)="_Mil","",_xlfn.IFNA(ROUND(INDEX(Spectrum!$N:$N,MATCH(RIGHT($B114,13)&amp;"|"&amp;$C114&amp;"|"&amp;$D114&amp;"|"&amp;X$14&amp;"|"&amp;"CY2023Q3",Spectrum!$R:$R,0)),0),""))</f>
        <v>1979</v>
      </c>
      <c r="Y114" s="90" t="str">
        <f t="shared" si="29"/>
        <v/>
      </c>
      <c r="Z114" s="42">
        <f>IF(LEFT($B114,4)="_Mil","",_xlfn.IFNA(ROUND(INDEX(Spectrum!$N:$N,MATCH(RIGHT($B114,13)&amp;"|"&amp;$C114&amp;"|"&amp;$D114&amp;"|"&amp;Z$14&amp;"|"&amp;"CY2023Q3",Spectrum!$R:$R,0)),0),""))</f>
        <v>1950</v>
      </c>
      <c r="AA114" s="90">
        <f>IF(LEFT($B114,4)="_Mil","",IFERROR(1/(1/INDEX(Spectrum!$N:$N,MATCH(RIGHT($B114,13)&amp;"|"&amp;$C114&amp;"|"&amp;$D114&amp;"|"&amp;AA$14&amp;"|"&amp;"CY2023Q3",Spectrum!$R:$R,0))),IF(SUM($U114)=0,"",SUM($Z114)/$U114)))</f>
        <v>626</v>
      </c>
      <c r="AB114" s="90">
        <f t="shared" si="30"/>
        <v>0.9853461344113188</v>
      </c>
      <c r="AC114" s="14">
        <f>IF(LEFT($B114,4)="_Mil","",_xlfn.IFNA(ROUND(INDEX(Spectrum!$N:$N,MATCH(RIGHT($B114,13)&amp;"|"&amp;$C114&amp;"|"&amp;$D114&amp;"|"&amp;AC$14&amp;"|"&amp;"CY2023Q3",Spectrum!$R:$R,0)),0),""))</f>
        <v>1164</v>
      </c>
      <c r="AD114" s="14" t="str">
        <f>IF(LEFT($B114,4)="_Mil","",_xlfn.IFNA(ROUND(INDEX(Spectrum!$N:$N,MATCH(RIGHT($B114,13)&amp;"|"&amp;$C114&amp;"|"&amp;$D114&amp;"|"&amp;AD$14&amp;"|"&amp;"CY2023Q3",Spectrum!$R:$R,0)),0),""))</f>
        <v/>
      </c>
      <c r="AE114" s="90">
        <f t="shared" si="31"/>
        <v>0</v>
      </c>
      <c r="AF114" s="42" t="str">
        <f>IF(LEFT($B114,4)="_Mil","",_xlfn.IFNA(ROUND(INDEX(Spectrum!$N:$N,MATCH(RIGHT($B114,13)&amp;"|"&amp;$C114&amp;"|"&amp;$D114&amp;"|"&amp;AF$14&amp;"|"&amp;"CY2023Q3",Spectrum!$R:$R,0)),0),""))</f>
        <v/>
      </c>
      <c r="AG114" s="90" t="str">
        <f t="shared" si="32"/>
        <v/>
      </c>
      <c r="AH114" s="88" t="str">
        <f>IF(LEFT($B114,4)="_Mil","",_xlfn.IFNA(INDEX(Spectrum!$N:$N,MATCH(RIGHT($B114,13)&amp;"|"&amp;$C114&amp;"|"&amp;$D114&amp;"|"&amp;AH$14&amp;"|"&amp;"CY2023Q3",Spectrum!$R:$R,0)),""))</f>
        <v/>
      </c>
      <c r="AI114" s="14" t="str">
        <f>IF(LEFT($B114,4)="_Mil","",_xlfn.IFNA(ROUND(INDEX(Spectrum!$N:$N,MATCH(RIGHT($B114,13)&amp;"|"&amp;$C114&amp;"|"&amp;$D114&amp;"|"&amp;AI$14&amp;"|"&amp;"CY2023Q3",Spectrum!$R:$R,0)),0),""))</f>
        <v/>
      </c>
      <c r="AJ114" s="42">
        <f>IF(LEFT($B114,4)="_Mil","",_xlfn.IFNA(ROUND(INDEX(Spectrum!$N:$N,MATCH(RIGHT($B114,13)&amp;"|"&amp;$C114&amp;"|"&amp;$D114&amp;"|"&amp;AI$14&amp;"|"&amp;"CY2023Q3",Spectrum!$R:$R,0)),0),SUM($U114)+SUM($AI114)))</f>
        <v>0</v>
      </c>
      <c r="AK114" s="14" t="str">
        <f>IF(LEFT($B114,4)="_Mil","",_xlfn.IFNA(ROUND(INDEX(Spectrum!$N:$N,MATCH(RIGHT($B114,13)&amp;"|"&amp;$C114&amp;"|"&amp;$D114&amp;"|"&amp;AK$14&amp;"|"&amp;"CY2023Q3",Spectrum!$R:$R,0)),0),""))</f>
        <v/>
      </c>
      <c r="AL114" s="90" t="str">
        <f t="shared" si="33"/>
        <v/>
      </c>
      <c r="AM114" s="14" t="str">
        <f t="shared" si="34"/>
        <v/>
      </c>
      <c r="AN114" s="14">
        <f>IF($C114="&lt;01",ROUND(INDEX(EID!$P:$P,MATCH($B114,EID!$B:$B,0))/2,0),"")</f>
        <v>0</v>
      </c>
      <c r="AO114" s="14">
        <f t="shared" si="35"/>
        <v>0</v>
      </c>
      <c r="AP114" s="42">
        <f t="shared" si="36"/>
        <v>0</v>
      </c>
      <c r="AQ114" s="42">
        <f t="shared" si="37"/>
        <v>1950</v>
      </c>
      <c r="AR114" s="90" t="str">
        <f t="shared" si="38"/>
        <v/>
      </c>
      <c r="AS114" s="90" t="str">
        <f t="shared" si="48"/>
        <v/>
      </c>
      <c r="AT114" s="90" t="str">
        <f t="shared" si="48"/>
        <v/>
      </c>
      <c r="AU114" s="14" t="str">
        <f t="shared" si="39"/>
        <v/>
      </c>
      <c r="AV114" s="14">
        <f>IF($C114="&lt;01",ROUND(INDEX(EID!$N:$N,MATCH($B114,EID!$B:$B,0))/2,0),IF(SUM($AT114)=0,"",ROUND((SUM($AP114)-(SUM($O114)*SUM($AS114)))/$AT114,0)))</f>
        <v>0</v>
      </c>
      <c r="AW114" s="90" t="str">
        <f t="shared" si="40"/>
        <v/>
      </c>
      <c r="AX114" s="42">
        <f t="shared" si="41"/>
        <v>0</v>
      </c>
      <c r="AY114" s="116" t="str">
        <f t="shared" si="42"/>
        <v/>
      </c>
      <c r="AZ114" s="93">
        <f>IF($C114="&lt;01",ROUND(INDEX(EID!$R:$R,MATCH($B114,EID!$B:$B,0))/2,0),ROUND(SUM($O114)+(SUM($AV114)*$AY114),0))</f>
        <v>0</v>
      </c>
      <c r="BA114" s="89" t="str">
        <f t="shared" si="43"/>
        <v/>
      </c>
      <c r="BB114" s="9">
        <f>IF($C114="&lt;01",ROUND(INDEX(EID!$T:$T,MATCH($B114,EID!$B:$B,0))/2,0),ROUND($AZ114*$BA114,0))</f>
        <v>0</v>
      </c>
      <c r="BC114" s="93">
        <f t="shared" si="44"/>
        <v>0</v>
      </c>
      <c r="BD114" s="90" t="str">
        <f t="shared" si="45"/>
        <v/>
      </c>
      <c r="BE114" s="42">
        <f>IF($C114="&lt;01",ROUND(INDEX(EID!$V:$V,MATCH($B114,EID!$B:$B,0))/2,0),ROUND($BD114*$BB114,0))</f>
        <v>0</v>
      </c>
      <c r="BF114" s="42">
        <f t="shared" si="46"/>
        <v>0</v>
      </c>
      <c r="BG114" s="116" t="str">
        <f t="shared" si="47"/>
        <v/>
      </c>
      <c r="BH114" s="9">
        <f>IF($C114="&lt;01",ROUND(INDEX(EID!$L:$L,MATCH($B114,EID!$B:$B,0)),0)/2,IF(SUM($BG114)=0,"",ROUND($AX114/$BG114,0)))</f>
        <v>0</v>
      </c>
    </row>
    <row r="115" spans="1:60" x14ac:dyDescent="0.2">
      <c r="A115" t="str">
        <f>INDEX(Prioritization!$D:$D,MATCH($B115,Prioritization!$A:$A,0))</f>
        <v>INVALID</v>
      </c>
      <c r="B115" t="s">
        <v>200</v>
      </c>
      <c r="C115" t="s">
        <v>362</v>
      </c>
      <c r="D115" t="s">
        <v>29</v>
      </c>
      <c r="E115" t="str">
        <f t="shared" si="26"/>
        <v>Ntcheu District [am530wpaGvr]|01-09|Female</v>
      </c>
      <c r="F115" s="14"/>
      <c r="G115" s="14"/>
      <c r="H115" s="14"/>
      <c r="I115" s="14"/>
      <c r="J115" s="14"/>
      <c r="K115" s="14"/>
      <c r="L115" s="14"/>
      <c r="M115" s="14"/>
      <c r="N115" s="14"/>
      <c r="O115" s="14" t="str">
        <f t="shared" si="27"/>
        <v/>
      </c>
      <c r="P115" s="14"/>
      <c r="Q115" s="14"/>
      <c r="R115" s="14" t="str">
        <f t="shared" si="28"/>
        <v/>
      </c>
      <c r="S115" s="14">
        <f>IF(LEFT($B115,4)="_Mil","",_xlfn.IFNA(ROUND(INDEX(Spectrum!$N:$N,MATCH(RIGHT($B115,13)&amp;"|"&amp;$C115&amp;"|"&amp;$D115&amp;"|"&amp;S$14&amp;"|"&amp;"CY2022Q4",Spectrum!$R:$R,0)),0),""))</f>
        <v>1681</v>
      </c>
      <c r="T115" s="42">
        <f>IF(LEFT($B115,4)="_Mil","",_xlfn.IFNA(ROUND(INDEX(Spectrum!$N:$N,MATCH(RIGHT($B115,13)&amp;"|"&amp;$C115&amp;"|"&amp;$D115&amp;"|"&amp;T$14&amp;"|"&amp;"CY2023Q3",Spectrum!$R:$R,0)),0),""))</f>
        <v>889</v>
      </c>
      <c r="U115" s="42" t="str">
        <f>IF(LEFT($B115,4)="_Mil","",_xlfn.IFNA(ROUND(INDEX(Spectrum!$N:$N,MATCH(RIGHT($B115,13)&amp;"|"&amp;$C115&amp;"|"&amp;$D115&amp;"|"&amp;U$14&amp;"|"&amp;"CY2023Q3",Spectrum!$R:$R,0)),0),""))</f>
        <v/>
      </c>
      <c r="V115" s="14">
        <f>IF(LEFT($B115,4)="_Mil","",_xlfn.IFNA(ROUND(INDEX(Spectrum!$N:$N,MATCH(RIGHT($B115,13)&amp;"|"&amp;$C115&amp;"|"&amp;$D115&amp;"|"&amp;V$14&amp;"|"&amp;"CY2023Q3",Spectrum!$R:$R,0)),0),""))</f>
        <v>1255</v>
      </c>
      <c r="W115" s="115">
        <f>IF(LEFT($B115,4)="_Mil","",_xlfn.IFNA(INDEX(Spectrum!$N:$N,MATCH(RIGHT($B115,13)&amp;"|"&amp;$C115&amp;"|"&amp;$D115&amp;"|"&amp;W$14&amp;"|"&amp;"CY2023Q3",Spectrum!$R:$R,0)),""))</f>
        <v>1833</v>
      </c>
      <c r="X115" s="42">
        <f>IF(LEFT($B115,4)="_Mil","",_xlfn.IFNA(ROUND(INDEX(Spectrum!$N:$N,MATCH(RIGHT($B115,13)&amp;"|"&amp;$C115&amp;"|"&amp;$D115&amp;"|"&amp;X$14&amp;"|"&amp;"CY2023Q3",Spectrum!$R:$R,0)),0),""))</f>
        <v>918</v>
      </c>
      <c r="Y115" s="90" t="str">
        <f t="shared" si="29"/>
        <v/>
      </c>
      <c r="Z115" s="42">
        <f>IF(LEFT($B115,4)="_Mil","",_xlfn.IFNA(ROUND(INDEX(Spectrum!$N:$N,MATCH(RIGHT($B115,13)&amp;"|"&amp;$C115&amp;"|"&amp;$D115&amp;"|"&amp;Z$14&amp;"|"&amp;"CY2023Q3",Spectrum!$R:$R,0)),0),""))</f>
        <v>1666</v>
      </c>
      <c r="AA115" s="90">
        <f>IF(LEFT($B115,4)="_Mil","",IFERROR(1/(1/INDEX(Spectrum!$N:$N,MATCH(RIGHT($B115,13)&amp;"|"&amp;$C115&amp;"|"&amp;$D115&amp;"|"&amp;AA$14&amp;"|"&amp;"CY2023Q3",Spectrum!$R:$R,0))),IF(SUM($U115)=0,"",SUM($Z115)/$U115)))</f>
        <v>527</v>
      </c>
      <c r="AB115" s="90">
        <f t="shared" si="30"/>
        <v>1.8148148148148149</v>
      </c>
      <c r="AC115" s="14">
        <f>IF(LEFT($B115,4)="_Mil","",_xlfn.IFNA(ROUND(INDEX(Spectrum!$N:$N,MATCH(RIGHT($B115,13)&amp;"|"&amp;$C115&amp;"|"&amp;$D115&amp;"|"&amp;AC$14&amp;"|"&amp;"CY2023Q3",Spectrum!$R:$R,0)),0),""))</f>
        <v>1061</v>
      </c>
      <c r="AD115" s="14" t="str">
        <f>IF(LEFT($B115,4)="_Mil","",_xlfn.IFNA(ROUND(INDEX(Spectrum!$N:$N,MATCH(RIGHT($B115,13)&amp;"|"&amp;$C115&amp;"|"&amp;$D115&amp;"|"&amp;AD$14&amp;"|"&amp;"CY2023Q3",Spectrum!$R:$R,0)),0),""))</f>
        <v/>
      </c>
      <c r="AE115" s="90">
        <f t="shared" si="31"/>
        <v>0</v>
      </c>
      <c r="AF115" s="42" t="str">
        <f>IF(LEFT($B115,4)="_Mil","",_xlfn.IFNA(ROUND(INDEX(Spectrum!$N:$N,MATCH(RIGHT($B115,13)&amp;"|"&amp;$C115&amp;"|"&amp;$D115&amp;"|"&amp;AF$14&amp;"|"&amp;"CY2023Q3",Spectrum!$R:$R,0)),0),""))</f>
        <v/>
      </c>
      <c r="AG115" s="90" t="str">
        <f t="shared" si="32"/>
        <v/>
      </c>
      <c r="AH115" s="88" t="str">
        <f>IF(LEFT($B115,4)="_Mil","",_xlfn.IFNA(INDEX(Spectrum!$N:$N,MATCH(RIGHT($B115,13)&amp;"|"&amp;$C115&amp;"|"&amp;$D115&amp;"|"&amp;AH$14&amp;"|"&amp;"CY2023Q3",Spectrum!$R:$R,0)),""))</f>
        <v/>
      </c>
      <c r="AI115" s="14" t="str">
        <f>IF(LEFT($B115,4)="_Mil","",_xlfn.IFNA(ROUND(INDEX(Spectrum!$N:$N,MATCH(RIGHT($B115,13)&amp;"|"&amp;$C115&amp;"|"&amp;$D115&amp;"|"&amp;AI$14&amp;"|"&amp;"CY2023Q3",Spectrum!$R:$R,0)),0),""))</f>
        <v/>
      </c>
      <c r="AJ115" s="42">
        <f>IF(LEFT($B115,4)="_Mil","",_xlfn.IFNA(ROUND(INDEX(Spectrum!$N:$N,MATCH(RIGHT($B115,13)&amp;"|"&amp;$C115&amp;"|"&amp;$D115&amp;"|"&amp;AI$14&amp;"|"&amp;"CY2023Q3",Spectrum!$R:$R,0)),0),SUM($U115)+SUM($AI115)))</f>
        <v>0</v>
      </c>
      <c r="AK115" s="14" t="str">
        <f>IF(LEFT($B115,4)="_Mil","",_xlfn.IFNA(ROUND(INDEX(Spectrum!$N:$N,MATCH(RIGHT($B115,13)&amp;"|"&amp;$C115&amp;"|"&amp;$D115&amp;"|"&amp;AK$14&amp;"|"&amp;"CY2023Q3",Spectrum!$R:$R,0)),0),""))</f>
        <v/>
      </c>
      <c r="AL115" s="90">
        <f t="shared" si="33"/>
        <v>527</v>
      </c>
      <c r="AM115" s="14">
        <f t="shared" si="34"/>
        <v>0</v>
      </c>
      <c r="AN115" s="14" t="str">
        <f>IF($C115="&lt;01",ROUND(INDEX(EID!$P:$P,MATCH($B115,EID!$B:$B,0))/2,0),"")</f>
        <v/>
      </c>
      <c r="AO115" s="14">
        <f t="shared" si="35"/>
        <v>0</v>
      </c>
      <c r="AP115" s="42">
        <f t="shared" si="36"/>
        <v>0</v>
      </c>
      <c r="AQ115" s="42">
        <f t="shared" si="37"/>
        <v>1666</v>
      </c>
      <c r="AR115" s="90" t="str">
        <f t="shared" si="38"/>
        <v/>
      </c>
      <c r="AS115" s="90">
        <f t="shared" ref="AS115:AT134" si="49">IF($C115="&lt;01","",98%)</f>
        <v>0.98</v>
      </c>
      <c r="AT115" s="90">
        <f t="shared" si="49"/>
        <v>0.98</v>
      </c>
      <c r="AU115" s="14">
        <f t="shared" si="39"/>
        <v>0</v>
      </c>
      <c r="AV115" s="14">
        <f>IF($C115="&lt;01",ROUND(INDEX(EID!$N:$N,MATCH($B115,EID!$B:$B,0))/2,0),IF(SUM($AT115)=0,"",ROUND((SUM($AP115)-(SUM($O115)*SUM($AS115)))/$AT115,0)))</f>
        <v>0</v>
      </c>
      <c r="AW115" s="90">
        <f t="shared" si="40"/>
        <v>1</v>
      </c>
      <c r="AX115" s="42">
        <f t="shared" si="41"/>
        <v>0</v>
      </c>
      <c r="AY115" s="116">
        <f t="shared" si="42"/>
        <v>0.7</v>
      </c>
      <c r="AZ115" s="93">
        <f>IF($C115="&lt;01",ROUND(INDEX(EID!$R:$R,MATCH($B115,EID!$B:$B,0))/2,0),ROUND(SUM($O115)+(SUM($AV115)*$AY115),0))</f>
        <v>0</v>
      </c>
      <c r="BA115" s="89">
        <f t="shared" si="43"/>
        <v>0.95</v>
      </c>
      <c r="BB115" s="9">
        <f>IF($C115="&lt;01",ROUND(INDEX(EID!$T:$T,MATCH($B115,EID!$B:$B,0))/2,0),ROUND($AZ115*$BA115,0))</f>
        <v>0</v>
      </c>
      <c r="BC115" s="93">
        <f t="shared" si="44"/>
        <v>0</v>
      </c>
      <c r="BD115" s="90">
        <f t="shared" si="45"/>
        <v>0.95</v>
      </c>
      <c r="BE115" s="42">
        <f>IF($C115="&lt;01",ROUND(INDEX(EID!$V:$V,MATCH($B115,EID!$B:$B,0))/2,0),ROUND($BD115*$BB115,0))</f>
        <v>0</v>
      </c>
      <c r="BF115" s="42">
        <f t="shared" si="46"/>
        <v>0</v>
      </c>
      <c r="BG115" s="116">
        <f t="shared" si="47"/>
        <v>0.95</v>
      </c>
      <c r="BH115" s="9">
        <f>IF($C115="&lt;01",ROUND(INDEX(EID!$L:$L,MATCH($B115,EID!$B:$B,0)),0)/2,IF(SUM($BG115)=0,"",ROUND($AX115/$BG115,0)))</f>
        <v>0</v>
      </c>
    </row>
    <row r="116" spans="1:60" x14ac:dyDescent="0.2">
      <c r="A116" t="str">
        <f>INDEX(Prioritization!$D:$D,MATCH($B116,Prioritization!$A:$A,0))</f>
        <v>INVALID</v>
      </c>
      <c r="B116" t="s">
        <v>200</v>
      </c>
      <c r="C116" t="s">
        <v>362</v>
      </c>
      <c r="D116" t="s">
        <v>47</v>
      </c>
      <c r="E116" t="str">
        <f t="shared" si="26"/>
        <v>Ntcheu District [am530wpaGvr]|01-09|Male</v>
      </c>
      <c r="F116" s="14"/>
      <c r="G116" s="14"/>
      <c r="H116" s="14"/>
      <c r="I116" s="14"/>
      <c r="J116" s="14"/>
      <c r="K116" s="14"/>
      <c r="L116" s="14"/>
      <c r="M116" s="14"/>
      <c r="N116" s="14"/>
      <c r="O116" s="14" t="str">
        <f t="shared" si="27"/>
        <v/>
      </c>
      <c r="P116" s="14"/>
      <c r="Q116" s="14"/>
      <c r="R116" s="14" t="str">
        <f t="shared" si="28"/>
        <v/>
      </c>
      <c r="S116" s="14">
        <f>IF(LEFT($B116,4)="_Mil","",_xlfn.IFNA(ROUND(INDEX(Spectrum!$N:$N,MATCH(RIGHT($B116,13)&amp;"|"&amp;$C116&amp;"|"&amp;$D116&amp;"|"&amp;S$14&amp;"|"&amp;"CY2022Q4",Spectrum!$R:$R,0)),0),""))</f>
        <v>979</v>
      </c>
      <c r="T116" s="42">
        <f>IF(LEFT($B116,4)="_Mil","",_xlfn.IFNA(ROUND(INDEX(Spectrum!$N:$N,MATCH(RIGHT($B116,13)&amp;"|"&amp;$C116&amp;"|"&amp;$D116&amp;"|"&amp;T$14&amp;"|"&amp;"CY2023Q3",Spectrum!$R:$R,0)),0),""))</f>
        <v>1952</v>
      </c>
      <c r="U116" s="42" t="str">
        <f>IF(LEFT($B116,4)="_Mil","",_xlfn.IFNA(ROUND(INDEX(Spectrum!$N:$N,MATCH(RIGHT($B116,13)&amp;"|"&amp;$C116&amp;"|"&amp;$D116&amp;"|"&amp;U$14&amp;"|"&amp;"CY2023Q3",Spectrum!$R:$R,0)),0),""))</f>
        <v/>
      </c>
      <c r="V116" s="14">
        <f>IF(LEFT($B116,4)="_Mil","",_xlfn.IFNA(ROUND(INDEX(Spectrum!$N:$N,MATCH(RIGHT($B116,13)&amp;"|"&amp;$C116&amp;"|"&amp;$D116&amp;"|"&amp;V$14&amp;"|"&amp;"CY2023Q3",Spectrum!$R:$R,0)),0),""))</f>
        <v>1271</v>
      </c>
      <c r="W116" s="115">
        <f>IF(LEFT($B116,4)="_Mil","",_xlfn.IFNA(INDEX(Spectrum!$N:$N,MATCH(RIGHT($B116,13)&amp;"|"&amp;$C116&amp;"|"&amp;$D116&amp;"|"&amp;W$14&amp;"|"&amp;"CY2023Q3",Spectrum!$R:$R,0)),""))</f>
        <v>550</v>
      </c>
      <c r="X116" s="42">
        <f>IF(LEFT($B116,4)="_Mil","",_xlfn.IFNA(ROUND(INDEX(Spectrum!$N:$N,MATCH(RIGHT($B116,13)&amp;"|"&amp;$C116&amp;"|"&amp;$D116&amp;"|"&amp;X$14&amp;"|"&amp;"CY2023Q3",Spectrum!$R:$R,0)),0),""))</f>
        <v>1707</v>
      </c>
      <c r="Y116" s="90" t="str">
        <f t="shared" si="29"/>
        <v/>
      </c>
      <c r="Z116" s="42">
        <f>IF(LEFT($B116,4)="_Mil","",_xlfn.IFNA(ROUND(INDEX(Spectrum!$N:$N,MATCH(RIGHT($B116,13)&amp;"|"&amp;$C116&amp;"|"&amp;$D116&amp;"|"&amp;Z$14&amp;"|"&amp;"CY2023Q3",Spectrum!$R:$R,0)),0),""))</f>
        <v>898</v>
      </c>
      <c r="AA116" s="90">
        <f>IF(LEFT($B116,4)="_Mil","",IFERROR(1/(1/INDEX(Spectrum!$N:$N,MATCH(RIGHT($B116,13)&amp;"|"&amp;$C116&amp;"|"&amp;$D116&amp;"|"&amp;AA$14&amp;"|"&amp;"CY2023Q3",Spectrum!$R:$R,0))),IF(SUM($U116)=0,"",SUM($Z116)/$U116)))</f>
        <v>1346</v>
      </c>
      <c r="AB116" s="90">
        <f t="shared" si="30"/>
        <v>0.52606912712360865</v>
      </c>
      <c r="AC116" s="14">
        <f>IF(LEFT($B116,4)="_Mil","",_xlfn.IFNA(ROUND(INDEX(Spectrum!$N:$N,MATCH(RIGHT($B116,13)&amp;"|"&amp;$C116&amp;"|"&amp;$D116&amp;"|"&amp;AC$14&amp;"|"&amp;"CY2023Q3",Spectrum!$R:$R,0)),0),""))</f>
        <v>815</v>
      </c>
      <c r="AD116" s="14" t="str">
        <f>IF(LEFT($B116,4)="_Mil","",_xlfn.IFNA(ROUND(INDEX(Spectrum!$N:$N,MATCH(RIGHT($B116,13)&amp;"|"&amp;$C116&amp;"|"&amp;$D116&amp;"|"&amp;AD$14&amp;"|"&amp;"CY2023Q3",Spectrum!$R:$R,0)),0),""))</f>
        <v/>
      </c>
      <c r="AE116" s="90">
        <f t="shared" si="31"/>
        <v>0</v>
      </c>
      <c r="AF116" s="42" t="str">
        <f>IF(LEFT($B116,4)="_Mil","",_xlfn.IFNA(ROUND(INDEX(Spectrum!$N:$N,MATCH(RIGHT($B116,13)&amp;"|"&amp;$C116&amp;"|"&amp;$D116&amp;"|"&amp;AF$14&amp;"|"&amp;"CY2023Q3",Spectrum!$R:$R,0)),0),""))</f>
        <v/>
      </c>
      <c r="AG116" s="90" t="str">
        <f t="shared" si="32"/>
        <v/>
      </c>
      <c r="AH116" s="88" t="str">
        <f>IF(LEFT($B116,4)="_Mil","",_xlfn.IFNA(INDEX(Spectrum!$N:$N,MATCH(RIGHT($B116,13)&amp;"|"&amp;$C116&amp;"|"&amp;$D116&amp;"|"&amp;AH$14&amp;"|"&amp;"CY2023Q3",Spectrum!$R:$R,0)),""))</f>
        <v/>
      </c>
      <c r="AI116" s="14" t="str">
        <f>IF(LEFT($B116,4)="_Mil","",_xlfn.IFNA(ROUND(INDEX(Spectrum!$N:$N,MATCH(RIGHT($B116,13)&amp;"|"&amp;$C116&amp;"|"&amp;$D116&amp;"|"&amp;AI$14&amp;"|"&amp;"CY2023Q3",Spectrum!$R:$R,0)),0),""))</f>
        <v/>
      </c>
      <c r="AJ116" s="42">
        <f>IF(LEFT($B116,4)="_Mil","",_xlfn.IFNA(ROUND(INDEX(Spectrum!$N:$N,MATCH(RIGHT($B116,13)&amp;"|"&amp;$C116&amp;"|"&amp;$D116&amp;"|"&amp;AI$14&amp;"|"&amp;"CY2023Q3",Spectrum!$R:$R,0)),0),SUM($U116)+SUM($AI116)))</f>
        <v>0</v>
      </c>
      <c r="AK116" s="14" t="str">
        <f>IF(LEFT($B116,4)="_Mil","",_xlfn.IFNA(ROUND(INDEX(Spectrum!$N:$N,MATCH(RIGHT($B116,13)&amp;"|"&amp;$C116&amp;"|"&amp;$D116&amp;"|"&amp;AK$14&amp;"|"&amp;"CY2023Q3",Spectrum!$R:$R,0)),0),""))</f>
        <v/>
      </c>
      <c r="AL116" s="90">
        <f t="shared" si="33"/>
        <v>1346</v>
      </c>
      <c r="AM116" s="14">
        <f t="shared" si="34"/>
        <v>0</v>
      </c>
      <c r="AN116" s="14" t="str">
        <f>IF($C116="&lt;01",ROUND(INDEX(EID!$P:$P,MATCH($B116,EID!$B:$B,0))/2,0),"")</f>
        <v/>
      </c>
      <c r="AO116" s="14">
        <f t="shared" si="35"/>
        <v>0</v>
      </c>
      <c r="AP116" s="42">
        <f t="shared" si="36"/>
        <v>0</v>
      </c>
      <c r="AQ116" s="42">
        <f t="shared" si="37"/>
        <v>898</v>
      </c>
      <c r="AR116" s="90" t="str">
        <f t="shared" si="38"/>
        <v/>
      </c>
      <c r="AS116" s="90">
        <f t="shared" si="49"/>
        <v>0.98</v>
      </c>
      <c r="AT116" s="90">
        <f t="shared" si="49"/>
        <v>0.98</v>
      </c>
      <c r="AU116" s="14">
        <f t="shared" si="39"/>
        <v>0</v>
      </c>
      <c r="AV116" s="14">
        <f>IF($C116="&lt;01",ROUND(INDEX(EID!$N:$N,MATCH($B116,EID!$B:$B,0))/2,0),IF(SUM($AT116)=0,"",ROUND((SUM($AP116)-(SUM($O116)*SUM($AS116)))/$AT116,0)))</f>
        <v>0</v>
      </c>
      <c r="AW116" s="90">
        <f t="shared" si="40"/>
        <v>1</v>
      </c>
      <c r="AX116" s="42">
        <f t="shared" si="41"/>
        <v>0</v>
      </c>
      <c r="AY116" s="116">
        <f t="shared" si="42"/>
        <v>0.7</v>
      </c>
      <c r="AZ116" s="93">
        <f>IF($C116="&lt;01",ROUND(INDEX(EID!$R:$R,MATCH($B116,EID!$B:$B,0))/2,0),ROUND(SUM($O116)+(SUM($AV116)*$AY116),0))</f>
        <v>0</v>
      </c>
      <c r="BA116" s="89">
        <f t="shared" si="43"/>
        <v>0.95</v>
      </c>
      <c r="BB116" s="9">
        <f>IF($C116="&lt;01",ROUND(INDEX(EID!$T:$T,MATCH($B116,EID!$B:$B,0))/2,0),ROUND($AZ116*$BA116,0))</f>
        <v>0</v>
      </c>
      <c r="BC116" s="93">
        <f t="shared" si="44"/>
        <v>0</v>
      </c>
      <c r="BD116" s="90">
        <f t="shared" si="45"/>
        <v>0.95</v>
      </c>
      <c r="BE116" s="42">
        <f>IF($C116="&lt;01",ROUND(INDEX(EID!$V:$V,MATCH($B116,EID!$B:$B,0))/2,0),ROUND($BD116*$BB116,0))</f>
        <v>0</v>
      </c>
      <c r="BF116" s="42">
        <f t="shared" si="46"/>
        <v>0</v>
      </c>
      <c r="BG116" s="116">
        <f t="shared" si="47"/>
        <v>0.95</v>
      </c>
      <c r="BH116" s="9">
        <f>IF($C116="&lt;01",ROUND(INDEX(EID!$L:$L,MATCH($B116,EID!$B:$B,0)),0)/2,IF(SUM($BG116)=0,"",ROUND($AX116/$BG116,0)))</f>
        <v>0</v>
      </c>
    </row>
    <row r="117" spans="1:60" x14ac:dyDescent="0.2">
      <c r="A117" t="str">
        <f>INDEX(Prioritization!$D:$D,MATCH($B117,Prioritization!$A:$A,0))</f>
        <v>INVALID</v>
      </c>
      <c r="B117" t="s">
        <v>200</v>
      </c>
      <c r="C117" t="s">
        <v>363</v>
      </c>
      <c r="D117" t="s">
        <v>29</v>
      </c>
      <c r="E117" t="str">
        <f t="shared" si="26"/>
        <v>Ntcheu District [am530wpaGvr]|10-14|Female</v>
      </c>
      <c r="F117" s="14"/>
      <c r="G117" s="14">
        <v>89</v>
      </c>
      <c r="H117" s="14">
        <v>10</v>
      </c>
      <c r="I117" s="14">
        <v>45</v>
      </c>
      <c r="J117" s="14">
        <v>83</v>
      </c>
      <c r="K117" s="14">
        <v>97</v>
      </c>
      <c r="L117" s="14">
        <v>2</v>
      </c>
      <c r="M117" s="14">
        <v>3</v>
      </c>
      <c r="N117" s="14">
        <v>80</v>
      </c>
      <c r="O117" s="14">
        <f t="shared" si="27"/>
        <v>80</v>
      </c>
      <c r="P117" s="14">
        <v>11</v>
      </c>
      <c r="Q117" s="14">
        <v>95</v>
      </c>
      <c r="R117" s="14">
        <f t="shared" si="28"/>
        <v>35</v>
      </c>
      <c r="S117" s="14">
        <f>IF(LEFT($B117,4)="_Mil","",_xlfn.IFNA(ROUND(INDEX(Spectrum!$N:$N,MATCH(RIGHT($B117,13)&amp;"|"&amp;$C117&amp;"|"&amp;$D117&amp;"|"&amp;S$14&amp;"|"&amp;"CY2022Q4",Spectrum!$R:$R,0)),0),""))</f>
        <v>1015</v>
      </c>
      <c r="T117" s="42">
        <f>IF(LEFT($B117,4)="_Mil","",_xlfn.IFNA(ROUND(INDEX(Spectrum!$N:$N,MATCH(RIGHT($B117,13)&amp;"|"&amp;$C117&amp;"|"&amp;$D117&amp;"|"&amp;T$14&amp;"|"&amp;"CY2023Q3",Spectrum!$R:$R,0)),0),""))</f>
        <v>1395</v>
      </c>
      <c r="U117" s="42" t="str">
        <f>IF(LEFT($B117,4)="_Mil","",_xlfn.IFNA(ROUND(INDEX(Spectrum!$N:$N,MATCH(RIGHT($B117,13)&amp;"|"&amp;$C117&amp;"|"&amp;$D117&amp;"|"&amp;U$14&amp;"|"&amp;"CY2023Q3",Spectrum!$R:$R,0)),0),""))</f>
        <v/>
      </c>
      <c r="V117" s="14">
        <f>IF(LEFT($B117,4)="_Mil","",_xlfn.IFNA(ROUND(INDEX(Spectrum!$N:$N,MATCH(RIGHT($B117,13)&amp;"|"&amp;$C117&amp;"|"&amp;$D117&amp;"|"&amp;V$14&amp;"|"&amp;"CY2023Q3",Spectrum!$R:$R,0)),0),""))</f>
        <v>612</v>
      </c>
      <c r="W117" s="115">
        <f>IF(LEFT($B117,4)="_Mil","",_xlfn.IFNA(INDEX(Spectrum!$N:$N,MATCH(RIGHT($B117,13)&amp;"|"&amp;$C117&amp;"|"&amp;$D117&amp;"|"&amp;W$14&amp;"|"&amp;"CY2023Q3",Spectrum!$R:$R,0)),""))</f>
        <v>768</v>
      </c>
      <c r="X117" s="42">
        <f>IF(LEFT($B117,4)="_Mil","",_xlfn.IFNA(ROUND(INDEX(Spectrum!$N:$N,MATCH(RIGHT($B117,13)&amp;"|"&amp;$C117&amp;"|"&amp;$D117&amp;"|"&amp;X$14&amp;"|"&amp;"CY2023Q3",Spectrum!$R:$R,0)),0),""))</f>
        <v>576</v>
      </c>
      <c r="Y117" s="90" t="str">
        <f t="shared" si="29"/>
        <v/>
      </c>
      <c r="Z117" s="42">
        <f>IF(LEFT($B117,4)="_Mil","",_xlfn.IFNA(ROUND(INDEX(Spectrum!$N:$N,MATCH(RIGHT($B117,13)&amp;"|"&amp;$C117&amp;"|"&amp;$D117&amp;"|"&amp;Z$14&amp;"|"&amp;"CY2023Q3",Spectrum!$R:$R,0)),0),""))</f>
        <v>822</v>
      </c>
      <c r="AA117" s="90">
        <f>IF(LEFT($B117,4)="_Mil","",IFERROR(1/(1/INDEX(Spectrum!$N:$N,MATCH(RIGHT($B117,13)&amp;"|"&amp;$C117&amp;"|"&amp;$D117&amp;"|"&amp;AA$14&amp;"|"&amp;"CY2023Q3",Spectrum!$R:$R,0))),IF(SUM($U117)=0,"",SUM($Z117)/$U117)))</f>
        <v>1730</v>
      </c>
      <c r="AB117" s="90">
        <f t="shared" si="30"/>
        <v>1.4270833333333333</v>
      </c>
      <c r="AC117" s="14">
        <f>IF(LEFT($B117,4)="_Mil","",_xlfn.IFNA(ROUND(INDEX(Spectrum!$N:$N,MATCH(RIGHT($B117,13)&amp;"|"&amp;$C117&amp;"|"&amp;$D117&amp;"|"&amp;AC$14&amp;"|"&amp;"CY2023Q3",Spectrum!$R:$R,0)),0),""))</f>
        <v>1345</v>
      </c>
      <c r="AD117" s="14" t="str">
        <f>IF(LEFT($B117,4)="_Mil","",_xlfn.IFNA(ROUND(INDEX(Spectrum!$N:$N,MATCH(RIGHT($B117,13)&amp;"|"&amp;$C117&amp;"|"&amp;$D117&amp;"|"&amp;AD$14&amp;"|"&amp;"CY2023Q3",Spectrum!$R:$R,0)),0),""))</f>
        <v/>
      </c>
      <c r="AE117" s="90">
        <f t="shared" si="31"/>
        <v>0</v>
      </c>
      <c r="AF117" s="42" t="str">
        <f>IF(LEFT($B117,4)="_Mil","",_xlfn.IFNA(ROUND(INDEX(Spectrum!$N:$N,MATCH(RIGHT($B117,13)&amp;"|"&amp;$C117&amp;"|"&amp;$D117&amp;"|"&amp;AF$14&amp;"|"&amp;"CY2023Q3",Spectrum!$R:$R,0)),0),""))</f>
        <v/>
      </c>
      <c r="AG117" s="90" t="str">
        <f t="shared" si="32"/>
        <v/>
      </c>
      <c r="AH117" s="88" t="str">
        <f>IF(LEFT($B117,4)="_Mil","",_xlfn.IFNA(INDEX(Spectrum!$N:$N,MATCH(RIGHT($B117,13)&amp;"|"&amp;$C117&amp;"|"&amp;$D117&amp;"|"&amp;AH$14&amp;"|"&amp;"CY2023Q3",Spectrum!$R:$R,0)),""))</f>
        <v/>
      </c>
      <c r="AI117" s="14" t="str">
        <f>IF(LEFT($B117,4)="_Mil","",_xlfn.IFNA(ROUND(INDEX(Spectrum!$N:$N,MATCH(RIGHT($B117,13)&amp;"|"&amp;$C117&amp;"|"&amp;$D117&amp;"|"&amp;AI$14&amp;"|"&amp;"CY2023Q3",Spectrum!$R:$R,0)),0),""))</f>
        <v/>
      </c>
      <c r="AJ117" s="42">
        <f>IF(LEFT($B117,4)="_Mil","",_xlfn.IFNA(ROUND(INDEX(Spectrum!$N:$N,MATCH(RIGHT($B117,13)&amp;"|"&amp;$C117&amp;"|"&amp;$D117&amp;"|"&amp;AI$14&amp;"|"&amp;"CY2023Q3",Spectrum!$R:$R,0)),0),SUM($U117)+SUM($AI117)))</f>
        <v>0</v>
      </c>
      <c r="AK117" s="14" t="str">
        <f>IF(LEFT($B117,4)="_Mil","",_xlfn.IFNA(ROUND(INDEX(Spectrum!$N:$N,MATCH(RIGHT($B117,13)&amp;"|"&amp;$C117&amp;"|"&amp;$D117&amp;"|"&amp;AK$14&amp;"|"&amp;"CY2023Q3",Spectrum!$R:$R,0)),0),""))</f>
        <v/>
      </c>
      <c r="AL117" s="90">
        <f t="shared" si="33"/>
        <v>1730</v>
      </c>
      <c r="AM117" s="14">
        <f t="shared" si="34"/>
        <v>0</v>
      </c>
      <c r="AN117" s="14" t="str">
        <f>IF($C117="&lt;01",ROUND(INDEX(EID!$P:$P,MATCH($B117,EID!$B:$B,0))/2,0),"")</f>
        <v/>
      </c>
      <c r="AO117" s="14">
        <f t="shared" si="35"/>
        <v>0</v>
      </c>
      <c r="AP117" s="42">
        <f t="shared" si="36"/>
        <v>0</v>
      </c>
      <c r="AQ117" s="42">
        <f t="shared" si="37"/>
        <v>822</v>
      </c>
      <c r="AR117" s="90" t="str">
        <f t="shared" si="38"/>
        <v/>
      </c>
      <c r="AS117" s="90">
        <f t="shared" si="49"/>
        <v>0.98</v>
      </c>
      <c r="AT117" s="90">
        <f t="shared" si="49"/>
        <v>0.98</v>
      </c>
      <c r="AU117" s="14">
        <f t="shared" si="39"/>
        <v>-80</v>
      </c>
      <c r="AV117" s="14">
        <f>IF($C117="&lt;01",ROUND(INDEX(EID!$N:$N,MATCH($B117,EID!$B:$B,0))/2,0),IF(SUM($AT117)=0,"",ROUND((SUM($AP117)-(SUM($O117)*SUM($AS117)))/$AT117,0)))</f>
        <v>-80</v>
      </c>
      <c r="AW117" s="90">
        <f t="shared" si="40"/>
        <v>1</v>
      </c>
      <c r="AX117" s="42">
        <f t="shared" si="41"/>
        <v>-80</v>
      </c>
      <c r="AY117" s="116">
        <f t="shared" si="42"/>
        <v>0.7</v>
      </c>
      <c r="AZ117" s="93">
        <f>IF($C117="&lt;01",ROUND(INDEX(EID!$R:$R,MATCH($B117,EID!$B:$B,0))/2,0),ROUND(SUM($O117)+(SUM($AV117)*$AY117),0))</f>
        <v>24</v>
      </c>
      <c r="BA117" s="89">
        <f t="shared" si="43"/>
        <v>0.95</v>
      </c>
      <c r="BB117" s="9">
        <f>IF($C117="&lt;01",ROUND(INDEX(EID!$T:$T,MATCH($B117,EID!$B:$B,0))/2,0),ROUND($AZ117*$BA117,0))</f>
        <v>23</v>
      </c>
      <c r="BC117" s="93">
        <f t="shared" si="44"/>
        <v>23</v>
      </c>
      <c r="BD117" s="90">
        <f t="shared" si="45"/>
        <v>0.95</v>
      </c>
      <c r="BE117" s="42">
        <f>IF($C117="&lt;01",ROUND(INDEX(EID!$V:$V,MATCH($B117,EID!$B:$B,0))/2,0),ROUND($BD117*$BB117,0))</f>
        <v>22</v>
      </c>
      <c r="BF117" s="42">
        <f t="shared" si="46"/>
        <v>22</v>
      </c>
      <c r="BG117" s="116">
        <f t="shared" si="47"/>
        <v>0.95</v>
      </c>
      <c r="BH117" s="9">
        <f>IF($C117="&lt;01",ROUND(INDEX(EID!$L:$L,MATCH($B117,EID!$B:$B,0)),0)/2,IF(SUM($BG117)=0,"",ROUND($AX117/$BG117,0)))</f>
        <v>-84</v>
      </c>
    </row>
    <row r="118" spans="1:60" x14ac:dyDescent="0.2">
      <c r="A118" t="str">
        <f>INDEX(Prioritization!$D:$D,MATCH($B118,Prioritization!$A:$A,0))</f>
        <v>INVALID</v>
      </c>
      <c r="B118" t="s">
        <v>200</v>
      </c>
      <c r="C118" t="s">
        <v>363</v>
      </c>
      <c r="D118" t="s">
        <v>47</v>
      </c>
      <c r="E118" t="str">
        <f t="shared" si="26"/>
        <v>Ntcheu District [am530wpaGvr]|10-14|Male</v>
      </c>
      <c r="F118" s="14"/>
      <c r="G118" s="14">
        <v>2</v>
      </c>
      <c r="H118" s="14">
        <v>7</v>
      </c>
      <c r="I118" s="14">
        <v>42</v>
      </c>
      <c r="J118" s="14">
        <v>33</v>
      </c>
      <c r="K118" s="14">
        <v>31</v>
      </c>
      <c r="L118" s="14">
        <v>3</v>
      </c>
      <c r="M118" s="14">
        <v>8</v>
      </c>
      <c r="N118" s="14">
        <v>15</v>
      </c>
      <c r="O118" s="14">
        <f t="shared" si="27"/>
        <v>42</v>
      </c>
      <c r="P118" s="14">
        <v>21</v>
      </c>
      <c r="Q118" s="14">
        <v>33</v>
      </c>
      <c r="R118" s="14">
        <f t="shared" si="28"/>
        <v>0</v>
      </c>
      <c r="S118" s="14">
        <f>IF(LEFT($B118,4)="_Mil","",_xlfn.IFNA(ROUND(INDEX(Spectrum!$N:$N,MATCH(RIGHT($B118,13)&amp;"|"&amp;$C118&amp;"|"&amp;$D118&amp;"|"&amp;S$14&amp;"|"&amp;"CY2022Q4",Spectrum!$R:$R,0)),0),""))</f>
        <v>1534</v>
      </c>
      <c r="T118" s="42">
        <f>IF(LEFT($B118,4)="_Mil","",_xlfn.IFNA(ROUND(INDEX(Spectrum!$N:$N,MATCH(RIGHT($B118,13)&amp;"|"&amp;$C118&amp;"|"&amp;$D118&amp;"|"&amp;T$14&amp;"|"&amp;"CY2023Q3",Spectrum!$R:$R,0)),0),""))</f>
        <v>1194</v>
      </c>
      <c r="U118" s="42" t="str">
        <f>IF(LEFT($B118,4)="_Mil","",_xlfn.IFNA(ROUND(INDEX(Spectrum!$N:$N,MATCH(RIGHT($B118,13)&amp;"|"&amp;$C118&amp;"|"&amp;$D118&amp;"|"&amp;U$14&amp;"|"&amp;"CY2023Q3",Spectrum!$R:$R,0)),0),""))</f>
        <v/>
      </c>
      <c r="V118" s="14">
        <f>IF(LEFT($B118,4)="_Mil","",_xlfn.IFNA(ROUND(INDEX(Spectrum!$N:$N,MATCH(RIGHT($B118,13)&amp;"|"&amp;$C118&amp;"|"&amp;$D118&amp;"|"&amp;V$14&amp;"|"&amp;"CY2023Q3",Spectrum!$R:$R,0)),0),""))</f>
        <v>829</v>
      </c>
      <c r="W118" s="115">
        <f>IF(LEFT($B118,4)="_Mil","",_xlfn.IFNA(INDEX(Spectrum!$N:$N,MATCH(RIGHT($B118,13)&amp;"|"&amp;$C118&amp;"|"&amp;$D118&amp;"|"&amp;W$14&amp;"|"&amp;"CY2023Q3",Spectrum!$R:$R,0)),""))</f>
        <v>1383</v>
      </c>
      <c r="X118" s="42">
        <f>IF(LEFT($B118,4)="_Mil","",_xlfn.IFNA(ROUND(INDEX(Spectrum!$N:$N,MATCH(RIGHT($B118,13)&amp;"|"&amp;$C118&amp;"|"&amp;$D118&amp;"|"&amp;X$14&amp;"|"&amp;"CY2023Q3",Spectrum!$R:$R,0)),0),""))</f>
        <v>1897</v>
      </c>
      <c r="Y118" s="90" t="str">
        <f t="shared" si="29"/>
        <v/>
      </c>
      <c r="Z118" s="42">
        <f>IF(LEFT($B118,4)="_Mil","",_xlfn.IFNA(ROUND(INDEX(Spectrum!$N:$N,MATCH(RIGHT($B118,13)&amp;"|"&amp;$C118&amp;"|"&amp;$D118&amp;"|"&amp;Z$14&amp;"|"&amp;"CY2023Q3",Spectrum!$R:$R,0)),0),""))</f>
        <v>739</v>
      </c>
      <c r="AA118" s="90">
        <f>IF(LEFT($B118,4)="_Mil","",IFERROR(1/(1/INDEX(Spectrum!$N:$N,MATCH(RIGHT($B118,13)&amp;"|"&amp;$C118&amp;"|"&amp;$D118&amp;"|"&amp;AA$14&amp;"|"&amp;"CY2023Q3",Spectrum!$R:$R,0))),IF(SUM($U118)=0,"",SUM($Z118)/$U118)))</f>
        <v>1385</v>
      </c>
      <c r="AB118" s="90">
        <f t="shared" si="30"/>
        <v>0.38956246705324193</v>
      </c>
      <c r="AC118" s="14">
        <f>IF(LEFT($B118,4)="_Mil","",_xlfn.IFNA(ROUND(INDEX(Spectrum!$N:$N,MATCH(RIGHT($B118,13)&amp;"|"&amp;$C118&amp;"|"&amp;$D118&amp;"|"&amp;AC$14&amp;"|"&amp;"CY2023Q3",Spectrum!$R:$R,0)),0),""))</f>
        <v>1254</v>
      </c>
      <c r="AD118" s="14" t="str">
        <f>IF(LEFT($B118,4)="_Mil","",_xlfn.IFNA(ROUND(INDEX(Spectrum!$N:$N,MATCH(RIGHT($B118,13)&amp;"|"&amp;$C118&amp;"|"&amp;$D118&amp;"|"&amp;AD$14&amp;"|"&amp;"CY2023Q3",Spectrum!$R:$R,0)),0),""))</f>
        <v/>
      </c>
      <c r="AE118" s="90">
        <f t="shared" si="31"/>
        <v>0</v>
      </c>
      <c r="AF118" s="42" t="str">
        <f>IF(LEFT($B118,4)="_Mil","",_xlfn.IFNA(ROUND(INDEX(Spectrum!$N:$N,MATCH(RIGHT($B118,13)&amp;"|"&amp;$C118&amp;"|"&amp;$D118&amp;"|"&amp;AF$14&amp;"|"&amp;"CY2023Q3",Spectrum!$R:$R,0)),0),""))</f>
        <v/>
      </c>
      <c r="AG118" s="90" t="str">
        <f t="shared" si="32"/>
        <v/>
      </c>
      <c r="AH118" s="88" t="str">
        <f>IF(LEFT($B118,4)="_Mil","",_xlfn.IFNA(INDEX(Spectrum!$N:$N,MATCH(RIGHT($B118,13)&amp;"|"&amp;$C118&amp;"|"&amp;$D118&amp;"|"&amp;AH$14&amp;"|"&amp;"CY2023Q3",Spectrum!$R:$R,0)),""))</f>
        <v/>
      </c>
      <c r="AI118" s="14" t="str">
        <f>IF(LEFT($B118,4)="_Mil","",_xlfn.IFNA(ROUND(INDEX(Spectrum!$N:$N,MATCH(RIGHT($B118,13)&amp;"|"&amp;$C118&amp;"|"&amp;$D118&amp;"|"&amp;AI$14&amp;"|"&amp;"CY2023Q3",Spectrum!$R:$R,0)),0),""))</f>
        <v/>
      </c>
      <c r="AJ118" s="42">
        <f>IF(LEFT($B118,4)="_Mil","",_xlfn.IFNA(ROUND(INDEX(Spectrum!$N:$N,MATCH(RIGHT($B118,13)&amp;"|"&amp;$C118&amp;"|"&amp;$D118&amp;"|"&amp;AI$14&amp;"|"&amp;"CY2023Q3",Spectrum!$R:$R,0)),0),SUM($U118)+SUM($AI118)))</f>
        <v>0</v>
      </c>
      <c r="AK118" s="14" t="str">
        <f>IF(LEFT($B118,4)="_Mil","",_xlfn.IFNA(ROUND(INDEX(Spectrum!$N:$N,MATCH(RIGHT($B118,13)&amp;"|"&amp;$C118&amp;"|"&amp;$D118&amp;"|"&amp;AK$14&amp;"|"&amp;"CY2023Q3",Spectrum!$R:$R,0)),0),""))</f>
        <v/>
      </c>
      <c r="AL118" s="90">
        <f t="shared" si="33"/>
        <v>1385</v>
      </c>
      <c r="AM118" s="14">
        <f t="shared" si="34"/>
        <v>0</v>
      </c>
      <c r="AN118" s="14" t="str">
        <f>IF($C118="&lt;01",ROUND(INDEX(EID!$P:$P,MATCH($B118,EID!$B:$B,0))/2,0),"")</f>
        <v/>
      </c>
      <c r="AO118" s="14">
        <f t="shared" si="35"/>
        <v>0</v>
      </c>
      <c r="AP118" s="42">
        <f t="shared" si="36"/>
        <v>0</v>
      </c>
      <c r="AQ118" s="42">
        <f t="shared" si="37"/>
        <v>739</v>
      </c>
      <c r="AR118" s="90" t="str">
        <f t="shared" si="38"/>
        <v/>
      </c>
      <c r="AS118" s="90">
        <f t="shared" si="49"/>
        <v>0.98</v>
      </c>
      <c r="AT118" s="90">
        <f t="shared" si="49"/>
        <v>0.98</v>
      </c>
      <c r="AU118" s="14">
        <f t="shared" si="39"/>
        <v>-42</v>
      </c>
      <c r="AV118" s="14">
        <f>IF($C118="&lt;01",ROUND(INDEX(EID!$N:$N,MATCH($B118,EID!$B:$B,0))/2,0),IF(SUM($AT118)=0,"",ROUND((SUM($AP118)-(SUM($O118)*SUM($AS118)))/$AT118,0)))</f>
        <v>-42</v>
      </c>
      <c r="AW118" s="90">
        <f t="shared" si="40"/>
        <v>1</v>
      </c>
      <c r="AX118" s="42">
        <f t="shared" si="41"/>
        <v>-42</v>
      </c>
      <c r="AY118" s="116">
        <f t="shared" si="42"/>
        <v>0.7</v>
      </c>
      <c r="AZ118" s="93">
        <f>IF($C118="&lt;01",ROUND(INDEX(EID!$R:$R,MATCH($B118,EID!$B:$B,0))/2,0),ROUND(SUM($O118)+(SUM($AV118)*$AY118),0))</f>
        <v>13</v>
      </c>
      <c r="BA118" s="89">
        <f t="shared" si="43"/>
        <v>0.95</v>
      </c>
      <c r="BB118" s="9">
        <f>IF($C118="&lt;01",ROUND(INDEX(EID!$T:$T,MATCH($B118,EID!$B:$B,0))/2,0),ROUND($AZ118*$BA118,0))</f>
        <v>12</v>
      </c>
      <c r="BC118" s="93">
        <f t="shared" si="44"/>
        <v>12</v>
      </c>
      <c r="BD118" s="90">
        <f t="shared" si="45"/>
        <v>0.95</v>
      </c>
      <c r="BE118" s="42">
        <f>IF($C118="&lt;01",ROUND(INDEX(EID!$V:$V,MATCH($B118,EID!$B:$B,0))/2,0),ROUND($BD118*$BB118,0))</f>
        <v>11</v>
      </c>
      <c r="BF118" s="42">
        <f t="shared" si="46"/>
        <v>11</v>
      </c>
      <c r="BG118" s="116">
        <f t="shared" si="47"/>
        <v>0.95</v>
      </c>
      <c r="BH118" s="9">
        <f>IF($C118="&lt;01",ROUND(INDEX(EID!$L:$L,MATCH($B118,EID!$B:$B,0)),0)/2,IF(SUM($BG118)=0,"",ROUND($AX118/$BG118,0)))</f>
        <v>-44</v>
      </c>
    </row>
    <row r="119" spans="1:60" x14ac:dyDescent="0.2">
      <c r="A119" t="str">
        <f>INDEX(Prioritization!$D:$D,MATCH($B119,Prioritization!$A:$A,0))</f>
        <v>INVALID</v>
      </c>
      <c r="B119" t="s">
        <v>200</v>
      </c>
      <c r="C119" t="s">
        <v>364</v>
      </c>
      <c r="D119" t="s">
        <v>29</v>
      </c>
      <c r="E119" t="str">
        <f t="shared" si="26"/>
        <v>Ntcheu District [am530wpaGvr]|15-24|Female</v>
      </c>
      <c r="F119" s="14"/>
      <c r="G119" s="14"/>
      <c r="H119" s="14"/>
      <c r="I119" s="14"/>
      <c r="J119" s="14"/>
      <c r="K119" s="14"/>
      <c r="L119" s="14"/>
      <c r="M119" s="14"/>
      <c r="N119" s="14"/>
      <c r="O119" s="14" t="str">
        <f t="shared" si="27"/>
        <v/>
      </c>
      <c r="P119" s="14"/>
      <c r="Q119" s="14"/>
      <c r="R119" s="14" t="str">
        <f t="shared" si="28"/>
        <v/>
      </c>
      <c r="S119" s="14">
        <f>IF(LEFT($B119,4)="_Mil","",_xlfn.IFNA(ROUND(INDEX(Spectrum!$N:$N,MATCH(RIGHT($B119,13)&amp;"|"&amp;$C119&amp;"|"&amp;$D119&amp;"|"&amp;S$14&amp;"|"&amp;"CY2022Q4",Spectrum!$R:$R,0)),0),""))</f>
        <v>700</v>
      </c>
      <c r="T119" s="42">
        <f>IF(LEFT($B119,4)="_Mil","",_xlfn.IFNA(ROUND(INDEX(Spectrum!$N:$N,MATCH(RIGHT($B119,13)&amp;"|"&amp;$C119&amp;"|"&amp;$D119&amp;"|"&amp;T$14&amp;"|"&amp;"CY2023Q3",Spectrum!$R:$R,0)),0),""))</f>
        <v>1559</v>
      </c>
      <c r="U119" s="42" t="str">
        <f>IF(LEFT($B119,4)="_Mil","",_xlfn.IFNA(ROUND(INDEX(Spectrum!$N:$N,MATCH(RIGHT($B119,13)&amp;"|"&amp;$C119&amp;"|"&amp;$D119&amp;"|"&amp;U$14&amp;"|"&amp;"CY2023Q3",Spectrum!$R:$R,0)),0),""))</f>
        <v/>
      </c>
      <c r="V119" s="14">
        <f>IF(LEFT($B119,4)="_Mil","",_xlfn.IFNA(ROUND(INDEX(Spectrum!$N:$N,MATCH(RIGHT($B119,13)&amp;"|"&amp;$C119&amp;"|"&amp;$D119&amp;"|"&amp;V$14&amp;"|"&amp;"CY2023Q3",Spectrum!$R:$R,0)),0),""))</f>
        <v>1936</v>
      </c>
      <c r="W119" s="115">
        <f>IF(LEFT($B119,4)="_Mil","",_xlfn.IFNA(INDEX(Spectrum!$N:$N,MATCH(RIGHT($B119,13)&amp;"|"&amp;$C119&amp;"|"&amp;$D119&amp;"|"&amp;W$14&amp;"|"&amp;"CY2023Q3",Spectrum!$R:$R,0)),""))</f>
        <v>655</v>
      </c>
      <c r="X119" s="42">
        <f>IF(LEFT($B119,4)="_Mil","",_xlfn.IFNA(ROUND(INDEX(Spectrum!$N:$N,MATCH(RIGHT($B119,13)&amp;"|"&amp;$C119&amp;"|"&amp;$D119&amp;"|"&amp;X$14&amp;"|"&amp;"CY2023Q3",Spectrum!$R:$R,0)),0),""))</f>
        <v>1292</v>
      </c>
      <c r="Y119" s="90" t="str">
        <f t="shared" si="29"/>
        <v/>
      </c>
      <c r="Z119" s="42">
        <f>IF(LEFT($B119,4)="_Mil","",_xlfn.IFNA(ROUND(INDEX(Spectrum!$N:$N,MATCH(RIGHT($B119,13)&amp;"|"&amp;$C119&amp;"|"&amp;$D119&amp;"|"&amp;Z$14&amp;"|"&amp;"CY2023Q3",Spectrum!$R:$R,0)),0),""))</f>
        <v>1039</v>
      </c>
      <c r="AA119" s="90">
        <f>IF(LEFT($B119,4)="_Mil","",IFERROR(1/(1/INDEX(Spectrum!$N:$N,MATCH(RIGHT($B119,13)&amp;"|"&amp;$C119&amp;"|"&amp;$D119&amp;"|"&amp;AA$14&amp;"|"&amp;"CY2023Q3",Spectrum!$R:$R,0))),IF(SUM($U119)=0,"",SUM($Z119)/$U119)))</f>
        <v>1897</v>
      </c>
      <c r="AB119" s="90">
        <f t="shared" si="30"/>
        <v>0.80417956656346745</v>
      </c>
      <c r="AC119" s="14">
        <f>IF(LEFT($B119,4)="_Mil","",_xlfn.IFNA(ROUND(INDEX(Spectrum!$N:$N,MATCH(RIGHT($B119,13)&amp;"|"&amp;$C119&amp;"|"&amp;$D119&amp;"|"&amp;AC$14&amp;"|"&amp;"CY2023Q3",Spectrum!$R:$R,0)),0),""))</f>
        <v>1075</v>
      </c>
      <c r="AD119" s="14" t="str">
        <f>IF(LEFT($B119,4)="_Mil","",_xlfn.IFNA(ROUND(INDEX(Spectrum!$N:$N,MATCH(RIGHT($B119,13)&amp;"|"&amp;$C119&amp;"|"&amp;$D119&amp;"|"&amp;AD$14&amp;"|"&amp;"CY2023Q3",Spectrum!$R:$R,0)),0),""))</f>
        <v/>
      </c>
      <c r="AE119" s="90">
        <f t="shared" si="31"/>
        <v>0</v>
      </c>
      <c r="AF119" s="42" t="str">
        <f>IF(LEFT($B119,4)="_Mil","",_xlfn.IFNA(ROUND(INDEX(Spectrum!$N:$N,MATCH(RIGHT($B119,13)&amp;"|"&amp;$C119&amp;"|"&amp;$D119&amp;"|"&amp;AF$14&amp;"|"&amp;"CY2023Q3",Spectrum!$R:$R,0)),0),""))</f>
        <v/>
      </c>
      <c r="AG119" s="90" t="str">
        <f t="shared" si="32"/>
        <v/>
      </c>
      <c r="AH119" s="88" t="str">
        <f>IF(LEFT($B119,4)="_Mil","",_xlfn.IFNA(INDEX(Spectrum!$N:$N,MATCH(RIGHT($B119,13)&amp;"|"&amp;$C119&amp;"|"&amp;$D119&amp;"|"&amp;AH$14&amp;"|"&amp;"CY2023Q3",Spectrum!$R:$R,0)),""))</f>
        <v/>
      </c>
      <c r="AI119" s="14" t="str">
        <f>IF(LEFT($B119,4)="_Mil","",_xlfn.IFNA(ROUND(INDEX(Spectrum!$N:$N,MATCH(RIGHT($B119,13)&amp;"|"&amp;$C119&amp;"|"&amp;$D119&amp;"|"&amp;AI$14&amp;"|"&amp;"CY2023Q3",Spectrum!$R:$R,0)),0),""))</f>
        <v/>
      </c>
      <c r="AJ119" s="42">
        <f>IF(LEFT($B119,4)="_Mil","",_xlfn.IFNA(ROUND(INDEX(Spectrum!$N:$N,MATCH(RIGHT($B119,13)&amp;"|"&amp;$C119&amp;"|"&amp;$D119&amp;"|"&amp;AI$14&amp;"|"&amp;"CY2023Q3",Spectrum!$R:$R,0)),0),SUM($U119)+SUM($AI119)))</f>
        <v>0</v>
      </c>
      <c r="AK119" s="14" t="str">
        <f>IF(LEFT($B119,4)="_Mil","",_xlfn.IFNA(ROUND(INDEX(Spectrum!$N:$N,MATCH(RIGHT($B119,13)&amp;"|"&amp;$C119&amp;"|"&amp;$D119&amp;"|"&amp;AK$14&amp;"|"&amp;"CY2023Q3",Spectrum!$R:$R,0)),0),""))</f>
        <v/>
      </c>
      <c r="AL119" s="90">
        <f t="shared" si="33"/>
        <v>1897</v>
      </c>
      <c r="AM119" s="14">
        <f t="shared" si="34"/>
        <v>0</v>
      </c>
      <c r="AN119" s="14" t="str">
        <f>IF($C119="&lt;01",ROUND(INDEX(EID!$P:$P,MATCH($B119,EID!$B:$B,0))/2,0),"")</f>
        <v/>
      </c>
      <c r="AO119" s="14">
        <f t="shared" si="35"/>
        <v>0</v>
      </c>
      <c r="AP119" s="42">
        <f t="shared" si="36"/>
        <v>0</v>
      </c>
      <c r="AQ119" s="42">
        <f t="shared" si="37"/>
        <v>1039</v>
      </c>
      <c r="AR119" s="90" t="str">
        <f t="shared" si="38"/>
        <v/>
      </c>
      <c r="AS119" s="90">
        <f t="shared" si="49"/>
        <v>0.98</v>
      </c>
      <c r="AT119" s="90">
        <f t="shared" si="49"/>
        <v>0.98</v>
      </c>
      <c r="AU119" s="14">
        <f t="shared" si="39"/>
        <v>0</v>
      </c>
      <c r="AV119" s="14">
        <f>IF($C119="&lt;01",ROUND(INDEX(EID!$N:$N,MATCH($B119,EID!$B:$B,0))/2,0),IF(SUM($AT119)=0,"",ROUND((SUM($AP119)-(SUM($O119)*SUM($AS119)))/$AT119,0)))</f>
        <v>0</v>
      </c>
      <c r="AW119" s="90">
        <f t="shared" si="40"/>
        <v>1</v>
      </c>
      <c r="AX119" s="42">
        <f t="shared" si="41"/>
        <v>0</v>
      </c>
      <c r="AY119" s="116">
        <f t="shared" si="42"/>
        <v>0.7</v>
      </c>
      <c r="AZ119" s="93">
        <f>IF($C119="&lt;01",ROUND(INDEX(EID!$R:$R,MATCH($B119,EID!$B:$B,0))/2,0),ROUND(SUM($O119)+(SUM($AV119)*$AY119),0))</f>
        <v>0</v>
      </c>
      <c r="BA119" s="89">
        <f t="shared" si="43"/>
        <v>0.95</v>
      </c>
      <c r="BB119" s="9">
        <f>IF($C119="&lt;01",ROUND(INDEX(EID!$T:$T,MATCH($B119,EID!$B:$B,0))/2,0),ROUND($AZ119*$BA119,0))</f>
        <v>0</v>
      </c>
      <c r="BC119" s="93">
        <f t="shared" si="44"/>
        <v>0</v>
      </c>
      <c r="BD119" s="90">
        <f t="shared" si="45"/>
        <v>0.95</v>
      </c>
      <c r="BE119" s="42">
        <f>IF($C119="&lt;01",ROUND(INDEX(EID!$V:$V,MATCH($B119,EID!$B:$B,0))/2,0),ROUND($BD119*$BB119,0))</f>
        <v>0</v>
      </c>
      <c r="BF119" s="42">
        <f t="shared" si="46"/>
        <v>0</v>
      </c>
      <c r="BG119" s="116">
        <f t="shared" si="47"/>
        <v>0.95</v>
      </c>
      <c r="BH119" s="9">
        <f>IF($C119="&lt;01",ROUND(INDEX(EID!$L:$L,MATCH($B119,EID!$B:$B,0)),0)/2,IF(SUM($BG119)=0,"",ROUND($AX119/$BG119,0)))</f>
        <v>0</v>
      </c>
    </row>
    <row r="120" spans="1:60" x14ac:dyDescent="0.2">
      <c r="A120" t="str">
        <f>INDEX(Prioritization!$D:$D,MATCH($B120,Prioritization!$A:$A,0))</f>
        <v>INVALID</v>
      </c>
      <c r="B120" t="s">
        <v>200</v>
      </c>
      <c r="C120" t="s">
        <v>364</v>
      </c>
      <c r="D120" t="s">
        <v>47</v>
      </c>
      <c r="E120" t="str">
        <f t="shared" si="26"/>
        <v>Ntcheu District [am530wpaGvr]|15-24|Male</v>
      </c>
      <c r="F120" s="14"/>
      <c r="G120" s="14"/>
      <c r="H120" s="14"/>
      <c r="I120" s="14"/>
      <c r="J120" s="14"/>
      <c r="K120" s="14"/>
      <c r="L120" s="14"/>
      <c r="M120" s="14"/>
      <c r="N120" s="14"/>
      <c r="O120" s="14" t="str">
        <f t="shared" si="27"/>
        <v/>
      </c>
      <c r="P120" s="14"/>
      <c r="Q120" s="14"/>
      <c r="R120" s="14" t="str">
        <f t="shared" si="28"/>
        <v/>
      </c>
      <c r="S120" s="14">
        <f>IF(LEFT($B120,4)="_Mil","",_xlfn.IFNA(ROUND(INDEX(Spectrum!$N:$N,MATCH(RIGHT($B120,13)&amp;"|"&amp;$C120&amp;"|"&amp;$D120&amp;"|"&amp;S$14&amp;"|"&amp;"CY2022Q4",Spectrum!$R:$R,0)),0),""))</f>
        <v>856</v>
      </c>
      <c r="T120" s="42">
        <f>IF(LEFT($B120,4)="_Mil","",_xlfn.IFNA(ROUND(INDEX(Spectrum!$N:$N,MATCH(RIGHT($B120,13)&amp;"|"&amp;$C120&amp;"|"&amp;$D120&amp;"|"&amp;T$14&amp;"|"&amp;"CY2023Q3",Spectrum!$R:$R,0)),0),""))</f>
        <v>1551</v>
      </c>
      <c r="U120" s="42" t="str">
        <f>IF(LEFT($B120,4)="_Mil","",_xlfn.IFNA(ROUND(INDEX(Spectrum!$N:$N,MATCH(RIGHT($B120,13)&amp;"|"&amp;$C120&amp;"|"&amp;$D120&amp;"|"&amp;U$14&amp;"|"&amp;"CY2023Q3",Spectrum!$R:$R,0)),0),""))</f>
        <v/>
      </c>
      <c r="V120" s="14">
        <f>IF(LEFT($B120,4)="_Mil","",_xlfn.IFNA(ROUND(INDEX(Spectrum!$N:$N,MATCH(RIGHT($B120,13)&amp;"|"&amp;$C120&amp;"|"&amp;$D120&amp;"|"&amp;V$14&amp;"|"&amp;"CY2023Q3",Spectrum!$R:$R,0)),0),""))</f>
        <v>815</v>
      </c>
      <c r="W120" s="115">
        <f>IF(LEFT($B120,4)="_Mil","",_xlfn.IFNA(INDEX(Spectrum!$N:$N,MATCH(RIGHT($B120,13)&amp;"|"&amp;$C120&amp;"|"&amp;$D120&amp;"|"&amp;W$14&amp;"|"&amp;"CY2023Q3",Spectrum!$R:$R,0)),""))</f>
        <v>607</v>
      </c>
      <c r="X120" s="42">
        <f>IF(LEFT($B120,4)="_Mil","",_xlfn.IFNA(ROUND(INDEX(Spectrum!$N:$N,MATCH(RIGHT($B120,13)&amp;"|"&amp;$C120&amp;"|"&amp;$D120&amp;"|"&amp;X$14&amp;"|"&amp;"CY2023Q3",Spectrum!$R:$R,0)),0),""))</f>
        <v>1244</v>
      </c>
      <c r="Y120" s="90" t="str">
        <f t="shared" si="29"/>
        <v/>
      </c>
      <c r="Z120" s="42">
        <f>IF(LEFT($B120,4)="_Mil","",_xlfn.IFNA(ROUND(INDEX(Spectrum!$N:$N,MATCH(RIGHT($B120,13)&amp;"|"&amp;$C120&amp;"|"&amp;$D120&amp;"|"&amp;Z$14&amp;"|"&amp;"CY2023Q3",Spectrum!$R:$R,0)),0),""))</f>
        <v>1469</v>
      </c>
      <c r="AA120" s="90">
        <f>IF(LEFT($B120,4)="_Mil","",IFERROR(1/(1/INDEX(Spectrum!$N:$N,MATCH(RIGHT($B120,13)&amp;"|"&amp;$C120&amp;"|"&amp;$D120&amp;"|"&amp;AA$14&amp;"|"&amp;"CY2023Q3",Spectrum!$R:$R,0))),IF(SUM($U120)=0,"",SUM($Z120)/$U120)))</f>
        <v>1256</v>
      </c>
      <c r="AB120" s="90">
        <f t="shared" si="30"/>
        <v>1.1808681672025723</v>
      </c>
      <c r="AC120" s="14">
        <f>IF(LEFT($B120,4)="_Mil","",_xlfn.IFNA(ROUND(INDEX(Spectrum!$N:$N,MATCH(RIGHT($B120,13)&amp;"|"&amp;$C120&amp;"|"&amp;$D120&amp;"|"&amp;AC$14&amp;"|"&amp;"CY2023Q3",Spectrum!$R:$R,0)),0),""))</f>
        <v>1967</v>
      </c>
      <c r="AD120" s="14" t="str">
        <f>IF(LEFT($B120,4)="_Mil","",_xlfn.IFNA(ROUND(INDEX(Spectrum!$N:$N,MATCH(RIGHT($B120,13)&amp;"|"&amp;$C120&amp;"|"&amp;$D120&amp;"|"&amp;AD$14&amp;"|"&amp;"CY2023Q3",Spectrum!$R:$R,0)),0),""))</f>
        <v/>
      </c>
      <c r="AE120" s="90">
        <f t="shared" si="31"/>
        <v>0</v>
      </c>
      <c r="AF120" s="42" t="str">
        <f>IF(LEFT($B120,4)="_Mil","",_xlfn.IFNA(ROUND(INDEX(Spectrum!$N:$N,MATCH(RIGHT($B120,13)&amp;"|"&amp;$C120&amp;"|"&amp;$D120&amp;"|"&amp;AF$14&amp;"|"&amp;"CY2023Q3",Spectrum!$R:$R,0)),0),""))</f>
        <v/>
      </c>
      <c r="AG120" s="90" t="str">
        <f t="shared" si="32"/>
        <v/>
      </c>
      <c r="AH120" s="88" t="str">
        <f>IF(LEFT($B120,4)="_Mil","",_xlfn.IFNA(INDEX(Spectrum!$N:$N,MATCH(RIGHT($B120,13)&amp;"|"&amp;$C120&amp;"|"&amp;$D120&amp;"|"&amp;AH$14&amp;"|"&amp;"CY2023Q3",Spectrum!$R:$R,0)),""))</f>
        <v/>
      </c>
      <c r="AI120" s="14" t="str">
        <f>IF(LEFT($B120,4)="_Mil","",_xlfn.IFNA(ROUND(INDEX(Spectrum!$N:$N,MATCH(RIGHT($B120,13)&amp;"|"&amp;$C120&amp;"|"&amp;$D120&amp;"|"&amp;AI$14&amp;"|"&amp;"CY2023Q3",Spectrum!$R:$R,0)),0),""))</f>
        <v/>
      </c>
      <c r="AJ120" s="42">
        <f>IF(LEFT($B120,4)="_Mil","",_xlfn.IFNA(ROUND(INDEX(Spectrum!$N:$N,MATCH(RIGHT($B120,13)&amp;"|"&amp;$C120&amp;"|"&amp;$D120&amp;"|"&amp;AI$14&amp;"|"&amp;"CY2023Q3",Spectrum!$R:$R,0)),0),SUM($U120)+SUM($AI120)))</f>
        <v>0</v>
      </c>
      <c r="AK120" s="14" t="str">
        <f>IF(LEFT($B120,4)="_Mil","",_xlfn.IFNA(ROUND(INDEX(Spectrum!$N:$N,MATCH(RIGHT($B120,13)&amp;"|"&amp;$C120&amp;"|"&amp;$D120&amp;"|"&amp;AK$14&amp;"|"&amp;"CY2023Q3",Spectrum!$R:$R,0)),0),""))</f>
        <v/>
      </c>
      <c r="AL120" s="90">
        <f t="shared" si="33"/>
        <v>1256</v>
      </c>
      <c r="AM120" s="14">
        <f t="shared" si="34"/>
        <v>0</v>
      </c>
      <c r="AN120" s="14" t="str">
        <f>IF($C120="&lt;01",ROUND(INDEX(EID!$P:$P,MATCH($B120,EID!$B:$B,0))/2,0),"")</f>
        <v/>
      </c>
      <c r="AO120" s="14">
        <f t="shared" si="35"/>
        <v>0</v>
      </c>
      <c r="AP120" s="42">
        <f t="shared" si="36"/>
        <v>0</v>
      </c>
      <c r="AQ120" s="42">
        <f t="shared" si="37"/>
        <v>1469</v>
      </c>
      <c r="AR120" s="90" t="str">
        <f t="shared" si="38"/>
        <v/>
      </c>
      <c r="AS120" s="90">
        <f t="shared" si="49"/>
        <v>0.98</v>
      </c>
      <c r="AT120" s="90">
        <f t="shared" si="49"/>
        <v>0.98</v>
      </c>
      <c r="AU120" s="14">
        <f t="shared" si="39"/>
        <v>0</v>
      </c>
      <c r="AV120" s="14">
        <f>IF($C120="&lt;01",ROUND(INDEX(EID!$N:$N,MATCH($B120,EID!$B:$B,0))/2,0),IF(SUM($AT120)=0,"",ROUND((SUM($AP120)-(SUM($O120)*SUM($AS120)))/$AT120,0)))</f>
        <v>0</v>
      </c>
      <c r="AW120" s="90">
        <f t="shared" si="40"/>
        <v>1</v>
      </c>
      <c r="AX120" s="42">
        <f t="shared" si="41"/>
        <v>0</v>
      </c>
      <c r="AY120" s="116">
        <f t="shared" si="42"/>
        <v>0.7</v>
      </c>
      <c r="AZ120" s="93">
        <f>IF($C120="&lt;01",ROUND(INDEX(EID!$R:$R,MATCH($B120,EID!$B:$B,0))/2,0),ROUND(SUM($O120)+(SUM($AV120)*$AY120),0))</f>
        <v>0</v>
      </c>
      <c r="BA120" s="89">
        <f t="shared" si="43"/>
        <v>0.95</v>
      </c>
      <c r="BB120" s="9">
        <f>IF($C120="&lt;01",ROUND(INDEX(EID!$T:$T,MATCH($B120,EID!$B:$B,0))/2,0),ROUND($AZ120*$BA120,0))</f>
        <v>0</v>
      </c>
      <c r="BC120" s="93">
        <f t="shared" si="44"/>
        <v>0</v>
      </c>
      <c r="BD120" s="90">
        <f t="shared" si="45"/>
        <v>0.95</v>
      </c>
      <c r="BE120" s="42">
        <f>IF($C120="&lt;01",ROUND(INDEX(EID!$V:$V,MATCH($B120,EID!$B:$B,0))/2,0),ROUND($BD120*$BB120,0))</f>
        <v>0</v>
      </c>
      <c r="BF120" s="42">
        <f t="shared" si="46"/>
        <v>0</v>
      </c>
      <c r="BG120" s="116">
        <f t="shared" si="47"/>
        <v>0.95</v>
      </c>
      <c r="BH120" s="9">
        <f>IF($C120="&lt;01",ROUND(INDEX(EID!$L:$L,MATCH($B120,EID!$B:$B,0)),0)/2,IF(SUM($BG120)=0,"",ROUND($AX120/$BG120,0)))</f>
        <v>0</v>
      </c>
    </row>
    <row r="121" spans="1:60" x14ac:dyDescent="0.2">
      <c r="A121" t="str">
        <f>INDEX(Prioritization!$D:$D,MATCH($B121,Prioritization!$A:$A,0))</f>
        <v>INVALID</v>
      </c>
      <c r="B121" t="s">
        <v>200</v>
      </c>
      <c r="C121" t="s">
        <v>365</v>
      </c>
      <c r="D121" t="s">
        <v>29</v>
      </c>
      <c r="E121" t="str">
        <f t="shared" si="26"/>
        <v>Ntcheu District [am530wpaGvr]|25-34|Female</v>
      </c>
      <c r="F121" s="14"/>
      <c r="G121" s="14"/>
      <c r="H121" s="14"/>
      <c r="I121" s="14"/>
      <c r="J121" s="14"/>
      <c r="K121" s="14"/>
      <c r="L121" s="14"/>
      <c r="M121" s="14"/>
      <c r="N121" s="14"/>
      <c r="O121" s="14" t="str">
        <f t="shared" si="27"/>
        <v/>
      </c>
      <c r="P121" s="14"/>
      <c r="Q121" s="14"/>
      <c r="R121" s="14" t="str">
        <f t="shared" si="28"/>
        <v/>
      </c>
      <c r="S121" s="14">
        <f>IF(LEFT($B121,4)="_Mil","",_xlfn.IFNA(ROUND(INDEX(Spectrum!$N:$N,MATCH(RIGHT($B121,13)&amp;"|"&amp;$C121&amp;"|"&amp;$D121&amp;"|"&amp;S$14&amp;"|"&amp;"CY2022Q4",Spectrum!$R:$R,0)),0),""))</f>
        <v>798</v>
      </c>
      <c r="T121" s="42">
        <f>IF(LEFT($B121,4)="_Mil","",_xlfn.IFNA(ROUND(INDEX(Spectrum!$N:$N,MATCH(RIGHT($B121,13)&amp;"|"&amp;$C121&amp;"|"&amp;$D121&amp;"|"&amp;T$14&amp;"|"&amp;"CY2023Q3",Spectrum!$R:$R,0)),0),""))</f>
        <v>1284</v>
      </c>
      <c r="U121" s="42" t="str">
        <f>IF(LEFT($B121,4)="_Mil","",_xlfn.IFNA(ROUND(INDEX(Spectrum!$N:$N,MATCH(RIGHT($B121,13)&amp;"|"&amp;$C121&amp;"|"&amp;$D121&amp;"|"&amp;U$14&amp;"|"&amp;"CY2023Q3",Spectrum!$R:$R,0)),0),""))</f>
        <v/>
      </c>
      <c r="V121" s="14">
        <f>IF(LEFT($B121,4)="_Mil","",_xlfn.IFNA(ROUND(INDEX(Spectrum!$N:$N,MATCH(RIGHT($B121,13)&amp;"|"&amp;$C121&amp;"|"&amp;$D121&amp;"|"&amp;V$14&amp;"|"&amp;"CY2023Q3",Spectrum!$R:$R,0)),0),""))</f>
        <v>695</v>
      </c>
      <c r="W121" s="115">
        <f>IF(LEFT($B121,4)="_Mil","",_xlfn.IFNA(INDEX(Spectrum!$N:$N,MATCH(RIGHT($B121,13)&amp;"|"&amp;$C121&amp;"|"&amp;$D121&amp;"|"&amp;W$14&amp;"|"&amp;"CY2023Q3",Spectrum!$R:$R,0)),""))</f>
        <v>1893</v>
      </c>
      <c r="X121" s="42">
        <f>IF(LEFT($B121,4)="_Mil","",_xlfn.IFNA(ROUND(INDEX(Spectrum!$N:$N,MATCH(RIGHT($B121,13)&amp;"|"&amp;$C121&amp;"|"&amp;$D121&amp;"|"&amp;X$14&amp;"|"&amp;"CY2023Q3",Spectrum!$R:$R,0)),0),""))</f>
        <v>1396</v>
      </c>
      <c r="Y121" s="90" t="str">
        <f t="shared" si="29"/>
        <v/>
      </c>
      <c r="Z121" s="42">
        <f>IF(LEFT($B121,4)="_Mil","",_xlfn.IFNA(ROUND(INDEX(Spectrum!$N:$N,MATCH(RIGHT($B121,13)&amp;"|"&amp;$C121&amp;"|"&amp;$D121&amp;"|"&amp;Z$14&amp;"|"&amp;"CY2023Q3",Spectrum!$R:$R,0)),0),""))</f>
        <v>1932</v>
      </c>
      <c r="AA121" s="90">
        <f>IF(LEFT($B121,4)="_Mil","",IFERROR(1/(1/INDEX(Spectrum!$N:$N,MATCH(RIGHT($B121,13)&amp;"|"&amp;$C121&amp;"|"&amp;$D121&amp;"|"&amp;AA$14&amp;"|"&amp;"CY2023Q3",Spectrum!$R:$R,0))),IF(SUM($U121)=0,"",SUM($Z121)/$U121)))</f>
        <v>1115</v>
      </c>
      <c r="AB121" s="90">
        <f t="shared" si="30"/>
        <v>1.3839541547277936</v>
      </c>
      <c r="AC121" s="14">
        <f>IF(LEFT($B121,4)="_Mil","",_xlfn.IFNA(ROUND(INDEX(Spectrum!$N:$N,MATCH(RIGHT($B121,13)&amp;"|"&amp;$C121&amp;"|"&amp;$D121&amp;"|"&amp;AC$14&amp;"|"&amp;"CY2023Q3",Spectrum!$R:$R,0)),0),""))</f>
        <v>620</v>
      </c>
      <c r="AD121" s="14" t="str">
        <f>IF(LEFT($B121,4)="_Mil","",_xlfn.IFNA(ROUND(INDEX(Spectrum!$N:$N,MATCH(RIGHT($B121,13)&amp;"|"&amp;$C121&amp;"|"&amp;$D121&amp;"|"&amp;AD$14&amp;"|"&amp;"CY2023Q3",Spectrum!$R:$R,0)),0),""))</f>
        <v/>
      </c>
      <c r="AE121" s="90">
        <f t="shared" si="31"/>
        <v>0</v>
      </c>
      <c r="AF121" s="42" t="str">
        <f>IF(LEFT($B121,4)="_Mil","",_xlfn.IFNA(ROUND(INDEX(Spectrum!$N:$N,MATCH(RIGHT($B121,13)&amp;"|"&amp;$C121&amp;"|"&amp;$D121&amp;"|"&amp;AF$14&amp;"|"&amp;"CY2023Q3",Spectrum!$R:$R,0)),0),""))</f>
        <v/>
      </c>
      <c r="AG121" s="90" t="str">
        <f t="shared" si="32"/>
        <v/>
      </c>
      <c r="AH121" s="88" t="str">
        <f>IF(LEFT($B121,4)="_Mil","",_xlfn.IFNA(INDEX(Spectrum!$N:$N,MATCH(RIGHT($B121,13)&amp;"|"&amp;$C121&amp;"|"&amp;$D121&amp;"|"&amp;AH$14&amp;"|"&amp;"CY2023Q3",Spectrum!$R:$R,0)),""))</f>
        <v/>
      </c>
      <c r="AI121" s="14" t="str">
        <f>IF(LEFT($B121,4)="_Mil","",_xlfn.IFNA(ROUND(INDEX(Spectrum!$N:$N,MATCH(RIGHT($B121,13)&amp;"|"&amp;$C121&amp;"|"&amp;$D121&amp;"|"&amp;AI$14&amp;"|"&amp;"CY2023Q3",Spectrum!$R:$R,0)),0),""))</f>
        <v/>
      </c>
      <c r="AJ121" s="42">
        <f>IF(LEFT($B121,4)="_Mil","",_xlfn.IFNA(ROUND(INDEX(Spectrum!$N:$N,MATCH(RIGHT($B121,13)&amp;"|"&amp;$C121&amp;"|"&amp;$D121&amp;"|"&amp;AI$14&amp;"|"&amp;"CY2023Q3",Spectrum!$R:$R,0)),0),SUM($U121)+SUM($AI121)))</f>
        <v>0</v>
      </c>
      <c r="AK121" s="14" t="str">
        <f>IF(LEFT($B121,4)="_Mil","",_xlfn.IFNA(ROUND(INDEX(Spectrum!$N:$N,MATCH(RIGHT($B121,13)&amp;"|"&amp;$C121&amp;"|"&amp;$D121&amp;"|"&amp;AK$14&amp;"|"&amp;"CY2023Q3",Spectrum!$R:$R,0)),0),""))</f>
        <v/>
      </c>
      <c r="AL121" s="90">
        <f t="shared" si="33"/>
        <v>1115</v>
      </c>
      <c r="AM121" s="14">
        <f t="shared" si="34"/>
        <v>0</v>
      </c>
      <c r="AN121" s="14" t="str">
        <f>IF($C121="&lt;01",ROUND(INDEX(EID!$P:$P,MATCH($B121,EID!$B:$B,0))/2,0),"")</f>
        <v/>
      </c>
      <c r="AO121" s="14">
        <f t="shared" si="35"/>
        <v>0</v>
      </c>
      <c r="AP121" s="42">
        <f t="shared" si="36"/>
        <v>0</v>
      </c>
      <c r="AQ121" s="42">
        <f t="shared" si="37"/>
        <v>1932</v>
      </c>
      <c r="AR121" s="90" t="str">
        <f t="shared" si="38"/>
        <v/>
      </c>
      <c r="AS121" s="90">
        <f t="shared" si="49"/>
        <v>0.98</v>
      </c>
      <c r="AT121" s="90">
        <f t="shared" si="49"/>
        <v>0.98</v>
      </c>
      <c r="AU121" s="14">
        <f t="shared" si="39"/>
        <v>0</v>
      </c>
      <c r="AV121" s="14">
        <f>IF($C121="&lt;01",ROUND(INDEX(EID!$N:$N,MATCH($B121,EID!$B:$B,0))/2,0),IF(SUM($AT121)=0,"",ROUND((SUM($AP121)-(SUM($O121)*SUM($AS121)))/$AT121,0)))</f>
        <v>0</v>
      </c>
      <c r="AW121" s="90">
        <f t="shared" si="40"/>
        <v>1</v>
      </c>
      <c r="AX121" s="42">
        <f t="shared" si="41"/>
        <v>0</v>
      </c>
      <c r="AY121" s="116">
        <f t="shared" si="42"/>
        <v>0.7</v>
      </c>
      <c r="AZ121" s="93">
        <f>IF($C121="&lt;01",ROUND(INDEX(EID!$R:$R,MATCH($B121,EID!$B:$B,0))/2,0),ROUND(SUM($O121)+(SUM($AV121)*$AY121),0))</f>
        <v>0</v>
      </c>
      <c r="BA121" s="89">
        <f t="shared" si="43"/>
        <v>0.95</v>
      </c>
      <c r="BB121" s="9">
        <f>IF($C121="&lt;01",ROUND(INDEX(EID!$T:$T,MATCH($B121,EID!$B:$B,0))/2,0),ROUND($AZ121*$BA121,0))</f>
        <v>0</v>
      </c>
      <c r="BC121" s="93">
        <f t="shared" si="44"/>
        <v>0</v>
      </c>
      <c r="BD121" s="90">
        <f t="shared" si="45"/>
        <v>0.95</v>
      </c>
      <c r="BE121" s="42">
        <f>IF($C121="&lt;01",ROUND(INDEX(EID!$V:$V,MATCH($B121,EID!$B:$B,0))/2,0),ROUND($BD121*$BB121,0))</f>
        <v>0</v>
      </c>
      <c r="BF121" s="42">
        <f t="shared" si="46"/>
        <v>0</v>
      </c>
      <c r="BG121" s="116">
        <f t="shared" si="47"/>
        <v>0.95</v>
      </c>
      <c r="BH121" s="9">
        <f>IF($C121="&lt;01",ROUND(INDEX(EID!$L:$L,MATCH($B121,EID!$B:$B,0)),0)/2,IF(SUM($BG121)=0,"",ROUND($AX121/$BG121,0)))</f>
        <v>0</v>
      </c>
    </row>
    <row r="122" spans="1:60" x14ac:dyDescent="0.2">
      <c r="A122" t="str">
        <f>INDEX(Prioritization!$D:$D,MATCH($B122,Prioritization!$A:$A,0))</f>
        <v>INVALID</v>
      </c>
      <c r="B122" t="s">
        <v>200</v>
      </c>
      <c r="C122" t="s">
        <v>365</v>
      </c>
      <c r="D122" t="s">
        <v>47</v>
      </c>
      <c r="E122" t="str">
        <f t="shared" si="26"/>
        <v>Ntcheu District [am530wpaGvr]|25-34|Male</v>
      </c>
      <c r="F122" s="14"/>
      <c r="G122" s="14"/>
      <c r="H122" s="14"/>
      <c r="I122" s="14"/>
      <c r="J122" s="14"/>
      <c r="K122" s="14"/>
      <c r="L122" s="14"/>
      <c r="M122" s="14"/>
      <c r="N122" s="14"/>
      <c r="O122" s="14" t="str">
        <f t="shared" si="27"/>
        <v/>
      </c>
      <c r="P122" s="14"/>
      <c r="Q122" s="14"/>
      <c r="R122" s="14" t="str">
        <f t="shared" si="28"/>
        <v/>
      </c>
      <c r="S122" s="14">
        <f>IF(LEFT($B122,4)="_Mil","",_xlfn.IFNA(ROUND(INDEX(Spectrum!$N:$N,MATCH(RIGHT($B122,13)&amp;"|"&amp;$C122&amp;"|"&amp;$D122&amp;"|"&amp;S$14&amp;"|"&amp;"CY2022Q4",Spectrum!$R:$R,0)),0),""))</f>
        <v>1992</v>
      </c>
      <c r="T122" s="42">
        <f>IF(LEFT($B122,4)="_Mil","",_xlfn.IFNA(ROUND(INDEX(Spectrum!$N:$N,MATCH(RIGHT($B122,13)&amp;"|"&amp;$C122&amp;"|"&amp;$D122&amp;"|"&amp;T$14&amp;"|"&amp;"CY2023Q3",Spectrum!$R:$R,0)),0),""))</f>
        <v>1171</v>
      </c>
      <c r="U122" s="42" t="str">
        <f>IF(LEFT($B122,4)="_Mil","",_xlfn.IFNA(ROUND(INDEX(Spectrum!$N:$N,MATCH(RIGHT($B122,13)&amp;"|"&amp;$C122&amp;"|"&amp;$D122&amp;"|"&amp;U$14&amp;"|"&amp;"CY2023Q3",Spectrum!$R:$R,0)),0),""))</f>
        <v/>
      </c>
      <c r="V122" s="14">
        <f>IF(LEFT($B122,4)="_Mil","",_xlfn.IFNA(ROUND(INDEX(Spectrum!$N:$N,MATCH(RIGHT($B122,13)&amp;"|"&amp;$C122&amp;"|"&amp;$D122&amp;"|"&amp;V$14&amp;"|"&amp;"CY2023Q3",Spectrum!$R:$R,0)),0),""))</f>
        <v>1269</v>
      </c>
      <c r="W122" s="115">
        <f>IF(LEFT($B122,4)="_Mil","",_xlfn.IFNA(INDEX(Spectrum!$N:$N,MATCH(RIGHT($B122,13)&amp;"|"&amp;$C122&amp;"|"&amp;$D122&amp;"|"&amp;W$14&amp;"|"&amp;"CY2023Q3",Spectrum!$R:$R,0)),""))</f>
        <v>1623</v>
      </c>
      <c r="X122" s="42">
        <f>IF(LEFT($B122,4)="_Mil","",_xlfn.IFNA(ROUND(INDEX(Spectrum!$N:$N,MATCH(RIGHT($B122,13)&amp;"|"&amp;$C122&amp;"|"&amp;$D122&amp;"|"&amp;X$14&amp;"|"&amp;"CY2023Q3",Spectrum!$R:$R,0)),0),""))</f>
        <v>1076</v>
      </c>
      <c r="Y122" s="90" t="str">
        <f t="shared" si="29"/>
        <v/>
      </c>
      <c r="Z122" s="42">
        <f>IF(LEFT($B122,4)="_Mil","",_xlfn.IFNA(ROUND(INDEX(Spectrum!$N:$N,MATCH(RIGHT($B122,13)&amp;"|"&amp;$C122&amp;"|"&amp;$D122&amp;"|"&amp;Z$14&amp;"|"&amp;"CY2023Q3",Spectrum!$R:$R,0)),0),""))</f>
        <v>582</v>
      </c>
      <c r="AA122" s="90">
        <f>IF(LEFT($B122,4)="_Mil","",IFERROR(1/(1/INDEX(Spectrum!$N:$N,MATCH(RIGHT($B122,13)&amp;"|"&amp;$C122&amp;"|"&amp;$D122&amp;"|"&amp;AA$14&amp;"|"&amp;"CY2023Q3",Spectrum!$R:$R,0))),IF(SUM($U122)=0,"",SUM($Z122)/$U122)))</f>
        <v>506.00000000000006</v>
      </c>
      <c r="AB122" s="90">
        <f t="shared" si="30"/>
        <v>0.54089219330855021</v>
      </c>
      <c r="AC122" s="14">
        <f>IF(LEFT($B122,4)="_Mil","",_xlfn.IFNA(ROUND(INDEX(Spectrum!$N:$N,MATCH(RIGHT($B122,13)&amp;"|"&amp;$C122&amp;"|"&amp;$D122&amp;"|"&amp;AC$14&amp;"|"&amp;"CY2023Q3",Spectrum!$R:$R,0)),0),""))</f>
        <v>1520</v>
      </c>
      <c r="AD122" s="14" t="str">
        <f>IF(LEFT($B122,4)="_Mil","",_xlfn.IFNA(ROUND(INDEX(Spectrum!$N:$N,MATCH(RIGHT($B122,13)&amp;"|"&amp;$C122&amp;"|"&amp;$D122&amp;"|"&amp;AD$14&amp;"|"&amp;"CY2023Q3",Spectrum!$R:$R,0)),0),""))</f>
        <v/>
      </c>
      <c r="AE122" s="90">
        <f t="shared" si="31"/>
        <v>0</v>
      </c>
      <c r="AF122" s="42" t="str">
        <f>IF(LEFT($B122,4)="_Mil","",_xlfn.IFNA(ROUND(INDEX(Spectrum!$N:$N,MATCH(RIGHT($B122,13)&amp;"|"&amp;$C122&amp;"|"&amp;$D122&amp;"|"&amp;AF$14&amp;"|"&amp;"CY2023Q3",Spectrum!$R:$R,0)),0),""))</f>
        <v/>
      </c>
      <c r="AG122" s="90" t="str">
        <f t="shared" si="32"/>
        <v/>
      </c>
      <c r="AH122" s="88" t="str">
        <f>IF(LEFT($B122,4)="_Mil","",_xlfn.IFNA(INDEX(Spectrum!$N:$N,MATCH(RIGHT($B122,13)&amp;"|"&amp;$C122&amp;"|"&amp;$D122&amp;"|"&amp;AH$14&amp;"|"&amp;"CY2023Q3",Spectrum!$R:$R,0)),""))</f>
        <v/>
      </c>
      <c r="AI122" s="14" t="str">
        <f>IF(LEFT($B122,4)="_Mil","",_xlfn.IFNA(ROUND(INDEX(Spectrum!$N:$N,MATCH(RIGHT($B122,13)&amp;"|"&amp;$C122&amp;"|"&amp;$D122&amp;"|"&amp;AI$14&amp;"|"&amp;"CY2023Q3",Spectrum!$R:$R,0)),0),""))</f>
        <v/>
      </c>
      <c r="AJ122" s="42">
        <f>IF(LEFT($B122,4)="_Mil","",_xlfn.IFNA(ROUND(INDEX(Spectrum!$N:$N,MATCH(RIGHT($B122,13)&amp;"|"&amp;$C122&amp;"|"&amp;$D122&amp;"|"&amp;AI$14&amp;"|"&amp;"CY2023Q3",Spectrum!$R:$R,0)),0),SUM($U122)+SUM($AI122)))</f>
        <v>0</v>
      </c>
      <c r="AK122" s="14" t="str">
        <f>IF(LEFT($B122,4)="_Mil","",_xlfn.IFNA(ROUND(INDEX(Spectrum!$N:$N,MATCH(RIGHT($B122,13)&amp;"|"&amp;$C122&amp;"|"&amp;$D122&amp;"|"&amp;AK$14&amp;"|"&amp;"CY2023Q3",Spectrum!$R:$R,0)),0),""))</f>
        <v/>
      </c>
      <c r="AL122" s="90">
        <f t="shared" si="33"/>
        <v>506.00000000000006</v>
      </c>
      <c r="AM122" s="14">
        <f t="shared" si="34"/>
        <v>0</v>
      </c>
      <c r="AN122" s="14" t="str">
        <f>IF($C122="&lt;01",ROUND(INDEX(EID!$P:$P,MATCH($B122,EID!$B:$B,0))/2,0),"")</f>
        <v/>
      </c>
      <c r="AO122" s="14">
        <f t="shared" si="35"/>
        <v>0</v>
      </c>
      <c r="AP122" s="42">
        <f t="shared" si="36"/>
        <v>0</v>
      </c>
      <c r="AQ122" s="42">
        <f t="shared" si="37"/>
        <v>582</v>
      </c>
      <c r="AR122" s="90" t="str">
        <f t="shared" si="38"/>
        <v/>
      </c>
      <c r="AS122" s="90">
        <f t="shared" si="49"/>
        <v>0.98</v>
      </c>
      <c r="AT122" s="90">
        <f t="shared" si="49"/>
        <v>0.98</v>
      </c>
      <c r="AU122" s="14">
        <f t="shared" si="39"/>
        <v>0</v>
      </c>
      <c r="AV122" s="14">
        <f>IF($C122="&lt;01",ROUND(INDEX(EID!$N:$N,MATCH($B122,EID!$B:$B,0))/2,0),IF(SUM($AT122)=0,"",ROUND((SUM($AP122)-(SUM($O122)*SUM($AS122)))/$AT122,0)))</f>
        <v>0</v>
      </c>
      <c r="AW122" s="90">
        <f t="shared" si="40"/>
        <v>1</v>
      </c>
      <c r="AX122" s="42">
        <f t="shared" si="41"/>
        <v>0</v>
      </c>
      <c r="AY122" s="116">
        <f t="shared" si="42"/>
        <v>0.7</v>
      </c>
      <c r="AZ122" s="93">
        <f>IF($C122="&lt;01",ROUND(INDEX(EID!$R:$R,MATCH($B122,EID!$B:$B,0))/2,0),ROUND(SUM($O122)+(SUM($AV122)*$AY122),0))</f>
        <v>0</v>
      </c>
      <c r="BA122" s="89">
        <f t="shared" si="43"/>
        <v>0.95</v>
      </c>
      <c r="BB122" s="9">
        <f>IF($C122="&lt;01",ROUND(INDEX(EID!$T:$T,MATCH($B122,EID!$B:$B,0))/2,0),ROUND($AZ122*$BA122,0))</f>
        <v>0</v>
      </c>
      <c r="BC122" s="93">
        <f t="shared" si="44"/>
        <v>0</v>
      </c>
      <c r="BD122" s="90">
        <f t="shared" si="45"/>
        <v>0.95</v>
      </c>
      <c r="BE122" s="42">
        <f>IF($C122="&lt;01",ROUND(INDEX(EID!$V:$V,MATCH($B122,EID!$B:$B,0))/2,0),ROUND($BD122*$BB122,0))</f>
        <v>0</v>
      </c>
      <c r="BF122" s="42">
        <f t="shared" si="46"/>
        <v>0</v>
      </c>
      <c r="BG122" s="116">
        <f t="shared" si="47"/>
        <v>0.95</v>
      </c>
      <c r="BH122" s="9">
        <f>IF($C122="&lt;01",ROUND(INDEX(EID!$L:$L,MATCH($B122,EID!$B:$B,0)),0)/2,IF(SUM($BG122)=0,"",ROUND($AX122/$BG122,0)))</f>
        <v>0</v>
      </c>
    </row>
    <row r="123" spans="1:60" x14ac:dyDescent="0.2">
      <c r="A123" t="str">
        <f>INDEX(Prioritization!$D:$D,MATCH($B123,Prioritization!$A:$A,0))</f>
        <v>INVALID</v>
      </c>
      <c r="B123" t="s">
        <v>200</v>
      </c>
      <c r="C123" t="s">
        <v>366</v>
      </c>
      <c r="D123" t="s">
        <v>29</v>
      </c>
      <c r="E123" t="str">
        <f t="shared" si="26"/>
        <v>Ntcheu District [am530wpaGvr]|35-49|Female</v>
      </c>
      <c r="F123" s="14"/>
      <c r="G123" s="14"/>
      <c r="H123" s="14"/>
      <c r="I123" s="14"/>
      <c r="J123" s="14"/>
      <c r="K123" s="14"/>
      <c r="L123" s="14"/>
      <c r="M123" s="14"/>
      <c r="N123" s="14"/>
      <c r="O123" s="14" t="str">
        <f t="shared" si="27"/>
        <v/>
      </c>
      <c r="P123" s="14"/>
      <c r="Q123" s="14"/>
      <c r="R123" s="14" t="str">
        <f t="shared" si="28"/>
        <v/>
      </c>
      <c r="S123" s="14">
        <f>IF(LEFT($B123,4)="_Mil","",_xlfn.IFNA(ROUND(INDEX(Spectrum!$N:$N,MATCH(RIGHT($B123,13)&amp;"|"&amp;$C123&amp;"|"&amp;$D123&amp;"|"&amp;S$14&amp;"|"&amp;"CY2022Q4",Spectrum!$R:$R,0)),0),""))</f>
        <v>1560</v>
      </c>
      <c r="T123" s="42">
        <f>IF(LEFT($B123,4)="_Mil","",_xlfn.IFNA(ROUND(INDEX(Spectrum!$N:$N,MATCH(RIGHT($B123,13)&amp;"|"&amp;$C123&amp;"|"&amp;$D123&amp;"|"&amp;T$14&amp;"|"&amp;"CY2023Q3",Spectrum!$R:$R,0)),0),""))</f>
        <v>874</v>
      </c>
      <c r="U123" s="42" t="str">
        <f>IF(LEFT($B123,4)="_Mil","",_xlfn.IFNA(ROUND(INDEX(Spectrum!$N:$N,MATCH(RIGHT($B123,13)&amp;"|"&amp;$C123&amp;"|"&amp;$D123&amp;"|"&amp;U$14&amp;"|"&amp;"CY2023Q3",Spectrum!$R:$R,0)),0),""))</f>
        <v/>
      </c>
      <c r="V123" s="14">
        <f>IF(LEFT($B123,4)="_Mil","",_xlfn.IFNA(ROUND(INDEX(Spectrum!$N:$N,MATCH(RIGHT($B123,13)&amp;"|"&amp;$C123&amp;"|"&amp;$D123&amp;"|"&amp;V$14&amp;"|"&amp;"CY2023Q3",Spectrum!$R:$R,0)),0),""))</f>
        <v>1492</v>
      </c>
      <c r="W123" s="115">
        <f>IF(LEFT($B123,4)="_Mil","",_xlfn.IFNA(INDEX(Spectrum!$N:$N,MATCH(RIGHT($B123,13)&amp;"|"&amp;$C123&amp;"|"&amp;$D123&amp;"|"&amp;W$14&amp;"|"&amp;"CY2023Q3",Spectrum!$R:$R,0)),""))</f>
        <v>715</v>
      </c>
      <c r="X123" s="42">
        <f>IF(LEFT($B123,4)="_Mil","",_xlfn.IFNA(ROUND(INDEX(Spectrum!$N:$N,MATCH(RIGHT($B123,13)&amp;"|"&amp;$C123&amp;"|"&amp;$D123&amp;"|"&amp;X$14&amp;"|"&amp;"CY2023Q3",Spectrum!$R:$R,0)),0),""))</f>
        <v>1878</v>
      </c>
      <c r="Y123" s="90" t="str">
        <f t="shared" si="29"/>
        <v/>
      </c>
      <c r="Z123" s="42">
        <f>IF(LEFT($B123,4)="_Mil","",_xlfn.IFNA(ROUND(INDEX(Spectrum!$N:$N,MATCH(RIGHT($B123,13)&amp;"|"&amp;$C123&amp;"|"&amp;$D123&amp;"|"&amp;Z$14&amp;"|"&amp;"CY2023Q3",Spectrum!$R:$R,0)),0),""))</f>
        <v>1606</v>
      </c>
      <c r="AA123" s="90">
        <f>IF(LEFT($B123,4)="_Mil","",IFERROR(1/(1/INDEX(Spectrum!$N:$N,MATCH(RIGHT($B123,13)&amp;"|"&amp;$C123&amp;"|"&amp;$D123&amp;"|"&amp;AA$14&amp;"|"&amp;"CY2023Q3",Spectrum!$R:$R,0))),IF(SUM($U123)=0,"",SUM($Z123)/$U123)))</f>
        <v>1338</v>
      </c>
      <c r="AB123" s="90">
        <f t="shared" si="30"/>
        <v>0.85516506922257718</v>
      </c>
      <c r="AC123" s="14">
        <f>IF(LEFT($B123,4)="_Mil","",_xlfn.IFNA(ROUND(INDEX(Spectrum!$N:$N,MATCH(RIGHT($B123,13)&amp;"|"&amp;$C123&amp;"|"&amp;$D123&amp;"|"&amp;AC$14&amp;"|"&amp;"CY2023Q3",Spectrum!$R:$R,0)),0),""))</f>
        <v>1251</v>
      </c>
      <c r="AD123" s="14" t="str">
        <f>IF(LEFT($B123,4)="_Mil","",_xlfn.IFNA(ROUND(INDEX(Spectrum!$N:$N,MATCH(RIGHT($B123,13)&amp;"|"&amp;$C123&amp;"|"&amp;$D123&amp;"|"&amp;AD$14&amp;"|"&amp;"CY2023Q3",Spectrum!$R:$R,0)),0),""))</f>
        <v/>
      </c>
      <c r="AE123" s="90">
        <f t="shared" si="31"/>
        <v>0</v>
      </c>
      <c r="AF123" s="42" t="str">
        <f>IF(LEFT($B123,4)="_Mil","",_xlfn.IFNA(ROUND(INDEX(Spectrum!$N:$N,MATCH(RIGHT($B123,13)&amp;"|"&amp;$C123&amp;"|"&amp;$D123&amp;"|"&amp;AF$14&amp;"|"&amp;"CY2023Q3",Spectrum!$R:$R,0)),0),""))</f>
        <v/>
      </c>
      <c r="AG123" s="90" t="str">
        <f t="shared" si="32"/>
        <v/>
      </c>
      <c r="AH123" s="88" t="str">
        <f>IF(LEFT($B123,4)="_Mil","",_xlfn.IFNA(INDEX(Spectrum!$N:$N,MATCH(RIGHT($B123,13)&amp;"|"&amp;$C123&amp;"|"&amp;$D123&amp;"|"&amp;AH$14&amp;"|"&amp;"CY2023Q3",Spectrum!$R:$R,0)),""))</f>
        <v/>
      </c>
      <c r="AI123" s="14" t="str">
        <f>IF(LEFT($B123,4)="_Mil","",_xlfn.IFNA(ROUND(INDEX(Spectrum!$N:$N,MATCH(RIGHT($B123,13)&amp;"|"&amp;$C123&amp;"|"&amp;$D123&amp;"|"&amp;AI$14&amp;"|"&amp;"CY2023Q3",Spectrum!$R:$R,0)),0),""))</f>
        <v/>
      </c>
      <c r="AJ123" s="42">
        <f>IF(LEFT($B123,4)="_Mil","",_xlfn.IFNA(ROUND(INDEX(Spectrum!$N:$N,MATCH(RIGHT($B123,13)&amp;"|"&amp;$C123&amp;"|"&amp;$D123&amp;"|"&amp;AI$14&amp;"|"&amp;"CY2023Q3",Spectrum!$R:$R,0)),0),SUM($U123)+SUM($AI123)))</f>
        <v>0</v>
      </c>
      <c r="AK123" s="14" t="str">
        <f>IF(LEFT($B123,4)="_Mil","",_xlfn.IFNA(ROUND(INDEX(Spectrum!$N:$N,MATCH(RIGHT($B123,13)&amp;"|"&amp;$C123&amp;"|"&amp;$D123&amp;"|"&amp;AK$14&amp;"|"&amp;"CY2023Q3",Spectrum!$R:$R,0)),0),""))</f>
        <v/>
      </c>
      <c r="AL123" s="90">
        <f t="shared" si="33"/>
        <v>1338</v>
      </c>
      <c r="AM123" s="14">
        <f t="shared" si="34"/>
        <v>0</v>
      </c>
      <c r="AN123" s="14" t="str">
        <f>IF($C123="&lt;01",ROUND(INDEX(EID!$P:$P,MATCH($B123,EID!$B:$B,0))/2,0),"")</f>
        <v/>
      </c>
      <c r="AO123" s="14">
        <f t="shared" si="35"/>
        <v>0</v>
      </c>
      <c r="AP123" s="42">
        <f t="shared" si="36"/>
        <v>0</v>
      </c>
      <c r="AQ123" s="42">
        <f t="shared" si="37"/>
        <v>1606</v>
      </c>
      <c r="AR123" s="90" t="str">
        <f t="shared" si="38"/>
        <v/>
      </c>
      <c r="AS123" s="90">
        <f t="shared" si="49"/>
        <v>0.98</v>
      </c>
      <c r="AT123" s="90">
        <f t="shared" si="49"/>
        <v>0.98</v>
      </c>
      <c r="AU123" s="14">
        <f t="shared" si="39"/>
        <v>0</v>
      </c>
      <c r="AV123" s="14">
        <f>IF($C123="&lt;01",ROUND(INDEX(EID!$N:$N,MATCH($B123,EID!$B:$B,0))/2,0),IF(SUM($AT123)=0,"",ROUND((SUM($AP123)-(SUM($O123)*SUM($AS123)))/$AT123,0)))</f>
        <v>0</v>
      </c>
      <c r="AW123" s="90">
        <f t="shared" si="40"/>
        <v>1</v>
      </c>
      <c r="AX123" s="42">
        <f t="shared" si="41"/>
        <v>0</v>
      </c>
      <c r="AY123" s="116">
        <f t="shared" si="42"/>
        <v>0.7</v>
      </c>
      <c r="AZ123" s="93">
        <f>IF($C123="&lt;01",ROUND(INDEX(EID!$R:$R,MATCH($B123,EID!$B:$B,0))/2,0),ROUND(SUM($O123)+(SUM($AV123)*$AY123),0))</f>
        <v>0</v>
      </c>
      <c r="BA123" s="89">
        <f t="shared" si="43"/>
        <v>0.95</v>
      </c>
      <c r="BB123" s="9">
        <f>IF($C123="&lt;01",ROUND(INDEX(EID!$T:$T,MATCH($B123,EID!$B:$B,0))/2,0),ROUND($AZ123*$BA123,0))</f>
        <v>0</v>
      </c>
      <c r="BC123" s="93">
        <f t="shared" si="44"/>
        <v>0</v>
      </c>
      <c r="BD123" s="90">
        <f t="shared" si="45"/>
        <v>0.95</v>
      </c>
      <c r="BE123" s="42">
        <f>IF($C123="&lt;01",ROUND(INDEX(EID!$V:$V,MATCH($B123,EID!$B:$B,0))/2,0),ROUND($BD123*$BB123,0))</f>
        <v>0</v>
      </c>
      <c r="BF123" s="42">
        <f t="shared" si="46"/>
        <v>0</v>
      </c>
      <c r="BG123" s="116">
        <f t="shared" si="47"/>
        <v>0.95</v>
      </c>
      <c r="BH123" s="9">
        <f>IF($C123="&lt;01",ROUND(INDEX(EID!$L:$L,MATCH($B123,EID!$B:$B,0)),0)/2,IF(SUM($BG123)=0,"",ROUND($AX123/$BG123,0)))</f>
        <v>0</v>
      </c>
    </row>
    <row r="124" spans="1:60" x14ac:dyDescent="0.2">
      <c r="A124" t="str">
        <f>INDEX(Prioritization!$D:$D,MATCH($B124,Prioritization!$A:$A,0))</f>
        <v>INVALID</v>
      </c>
      <c r="B124" t="s">
        <v>200</v>
      </c>
      <c r="C124" t="s">
        <v>366</v>
      </c>
      <c r="D124" t="s">
        <v>47</v>
      </c>
      <c r="E124" t="str">
        <f t="shared" si="26"/>
        <v>Ntcheu District [am530wpaGvr]|35-49|Male</v>
      </c>
      <c r="F124" s="14"/>
      <c r="G124" s="14"/>
      <c r="H124" s="14"/>
      <c r="I124" s="14"/>
      <c r="J124" s="14"/>
      <c r="K124" s="14"/>
      <c r="L124" s="14"/>
      <c r="M124" s="14"/>
      <c r="N124" s="14"/>
      <c r="O124" s="14" t="str">
        <f t="shared" si="27"/>
        <v/>
      </c>
      <c r="P124" s="14"/>
      <c r="Q124" s="14"/>
      <c r="R124" s="14" t="str">
        <f t="shared" si="28"/>
        <v/>
      </c>
      <c r="S124" s="14">
        <f>IF(LEFT($B124,4)="_Mil","",_xlfn.IFNA(ROUND(INDEX(Spectrum!$N:$N,MATCH(RIGHT($B124,13)&amp;"|"&amp;$C124&amp;"|"&amp;$D124&amp;"|"&amp;S$14&amp;"|"&amp;"CY2022Q4",Spectrum!$R:$R,0)),0),""))</f>
        <v>1950</v>
      </c>
      <c r="T124" s="42">
        <f>IF(LEFT($B124,4)="_Mil","",_xlfn.IFNA(ROUND(INDEX(Spectrum!$N:$N,MATCH(RIGHT($B124,13)&amp;"|"&amp;$C124&amp;"|"&amp;$D124&amp;"|"&amp;T$14&amp;"|"&amp;"CY2023Q3",Spectrum!$R:$R,0)),0),""))</f>
        <v>1353</v>
      </c>
      <c r="U124" s="42" t="str">
        <f>IF(LEFT($B124,4)="_Mil","",_xlfn.IFNA(ROUND(INDEX(Spectrum!$N:$N,MATCH(RIGHT($B124,13)&amp;"|"&amp;$C124&amp;"|"&amp;$D124&amp;"|"&amp;U$14&amp;"|"&amp;"CY2023Q3",Spectrum!$R:$R,0)),0),""))</f>
        <v/>
      </c>
      <c r="V124" s="14">
        <f>IF(LEFT($B124,4)="_Mil","",_xlfn.IFNA(ROUND(INDEX(Spectrum!$N:$N,MATCH(RIGHT($B124,13)&amp;"|"&amp;$C124&amp;"|"&amp;$D124&amp;"|"&amp;V$14&amp;"|"&amp;"CY2023Q3",Spectrum!$R:$R,0)),0),""))</f>
        <v>920</v>
      </c>
      <c r="W124" s="115">
        <f>IF(LEFT($B124,4)="_Mil","",_xlfn.IFNA(INDEX(Spectrum!$N:$N,MATCH(RIGHT($B124,13)&amp;"|"&amp;$C124&amp;"|"&amp;$D124&amp;"|"&amp;W$14&amp;"|"&amp;"CY2023Q3",Spectrum!$R:$R,0)),""))</f>
        <v>527</v>
      </c>
      <c r="X124" s="42">
        <f>IF(LEFT($B124,4)="_Mil","",_xlfn.IFNA(ROUND(INDEX(Spectrum!$N:$N,MATCH(RIGHT($B124,13)&amp;"|"&amp;$C124&amp;"|"&amp;$D124&amp;"|"&amp;X$14&amp;"|"&amp;"CY2023Q3",Spectrum!$R:$R,0)),0),""))</f>
        <v>1536</v>
      </c>
      <c r="Y124" s="90" t="str">
        <f t="shared" si="29"/>
        <v/>
      </c>
      <c r="Z124" s="42">
        <f>IF(LEFT($B124,4)="_Mil","",_xlfn.IFNA(ROUND(INDEX(Spectrum!$N:$N,MATCH(RIGHT($B124,13)&amp;"|"&amp;$C124&amp;"|"&amp;$D124&amp;"|"&amp;Z$14&amp;"|"&amp;"CY2023Q3",Spectrum!$R:$R,0)),0),""))</f>
        <v>1906</v>
      </c>
      <c r="AA124" s="90">
        <f>IF(LEFT($B124,4)="_Mil","",IFERROR(1/(1/INDEX(Spectrum!$N:$N,MATCH(RIGHT($B124,13)&amp;"|"&amp;$C124&amp;"|"&amp;$D124&amp;"|"&amp;AA$14&amp;"|"&amp;"CY2023Q3",Spectrum!$R:$R,0))),IF(SUM($U124)=0,"",SUM($Z124)/$U124)))</f>
        <v>697</v>
      </c>
      <c r="AB124" s="90">
        <f t="shared" si="30"/>
        <v>1.2408854166666667</v>
      </c>
      <c r="AC124" s="14">
        <f>IF(LEFT($B124,4)="_Mil","",_xlfn.IFNA(ROUND(INDEX(Spectrum!$N:$N,MATCH(RIGHT($B124,13)&amp;"|"&amp;$C124&amp;"|"&amp;$D124&amp;"|"&amp;AC$14&amp;"|"&amp;"CY2023Q3",Spectrum!$R:$R,0)),0),""))</f>
        <v>1389</v>
      </c>
      <c r="AD124" s="14" t="str">
        <f>IF(LEFT($B124,4)="_Mil","",_xlfn.IFNA(ROUND(INDEX(Spectrum!$N:$N,MATCH(RIGHT($B124,13)&amp;"|"&amp;$C124&amp;"|"&amp;$D124&amp;"|"&amp;AD$14&amp;"|"&amp;"CY2023Q3",Spectrum!$R:$R,0)),0),""))</f>
        <v/>
      </c>
      <c r="AE124" s="90">
        <f t="shared" si="31"/>
        <v>0</v>
      </c>
      <c r="AF124" s="42" t="str">
        <f>IF(LEFT($B124,4)="_Mil","",_xlfn.IFNA(ROUND(INDEX(Spectrum!$N:$N,MATCH(RIGHT($B124,13)&amp;"|"&amp;$C124&amp;"|"&amp;$D124&amp;"|"&amp;AF$14&amp;"|"&amp;"CY2023Q3",Spectrum!$R:$R,0)),0),""))</f>
        <v/>
      </c>
      <c r="AG124" s="90" t="str">
        <f t="shared" si="32"/>
        <v/>
      </c>
      <c r="AH124" s="88" t="str">
        <f>IF(LEFT($B124,4)="_Mil","",_xlfn.IFNA(INDEX(Spectrum!$N:$N,MATCH(RIGHT($B124,13)&amp;"|"&amp;$C124&amp;"|"&amp;$D124&amp;"|"&amp;AH$14&amp;"|"&amp;"CY2023Q3",Spectrum!$R:$R,0)),""))</f>
        <v/>
      </c>
      <c r="AI124" s="14" t="str">
        <f>IF(LEFT($B124,4)="_Mil","",_xlfn.IFNA(ROUND(INDEX(Spectrum!$N:$N,MATCH(RIGHT($B124,13)&amp;"|"&amp;$C124&amp;"|"&amp;$D124&amp;"|"&amp;AI$14&amp;"|"&amp;"CY2023Q3",Spectrum!$R:$R,0)),0),""))</f>
        <v/>
      </c>
      <c r="AJ124" s="42">
        <f>IF(LEFT($B124,4)="_Mil","",_xlfn.IFNA(ROUND(INDEX(Spectrum!$N:$N,MATCH(RIGHT($B124,13)&amp;"|"&amp;$C124&amp;"|"&amp;$D124&amp;"|"&amp;AI$14&amp;"|"&amp;"CY2023Q3",Spectrum!$R:$R,0)),0),SUM($U124)+SUM($AI124)))</f>
        <v>0</v>
      </c>
      <c r="AK124" s="14" t="str">
        <f>IF(LEFT($B124,4)="_Mil","",_xlfn.IFNA(ROUND(INDEX(Spectrum!$N:$N,MATCH(RIGHT($B124,13)&amp;"|"&amp;$C124&amp;"|"&amp;$D124&amp;"|"&amp;AK$14&amp;"|"&amp;"CY2023Q3",Spectrum!$R:$R,0)),0),""))</f>
        <v/>
      </c>
      <c r="AL124" s="90">
        <f t="shared" si="33"/>
        <v>697</v>
      </c>
      <c r="AM124" s="14">
        <f t="shared" si="34"/>
        <v>0</v>
      </c>
      <c r="AN124" s="14" t="str">
        <f>IF($C124="&lt;01",ROUND(INDEX(EID!$P:$P,MATCH($B124,EID!$B:$B,0))/2,0),"")</f>
        <v/>
      </c>
      <c r="AO124" s="14">
        <f t="shared" si="35"/>
        <v>0</v>
      </c>
      <c r="AP124" s="42">
        <f t="shared" si="36"/>
        <v>0</v>
      </c>
      <c r="AQ124" s="42">
        <f t="shared" si="37"/>
        <v>1906</v>
      </c>
      <c r="AR124" s="90" t="str">
        <f t="shared" si="38"/>
        <v/>
      </c>
      <c r="AS124" s="90">
        <f t="shared" si="49"/>
        <v>0.98</v>
      </c>
      <c r="AT124" s="90">
        <f t="shared" si="49"/>
        <v>0.98</v>
      </c>
      <c r="AU124" s="14">
        <f t="shared" si="39"/>
        <v>0</v>
      </c>
      <c r="AV124" s="14">
        <f>IF($C124="&lt;01",ROUND(INDEX(EID!$N:$N,MATCH($B124,EID!$B:$B,0))/2,0),IF(SUM($AT124)=0,"",ROUND((SUM($AP124)-(SUM($O124)*SUM($AS124)))/$AT124,0)))</f>
        <v>0</v>
      </c>
      <c r="AW124" s="90">
        <f t="shared" si="40"/>
        <v>1</v>
      </c>
      <c r="AX124" s="42">
        <f t="shared" si="41"/>
        <v>0</v>
      </c>
      <c r="AY124" s="116">
        <f t="shared" si="42"/>
        <v>0.7</v>
      </c>
      <c r="AZ124" s="93">
        <f>IF($C124="&lt;01",ROUND(INDEX(EID!$R:$R,MATCH($B124,EID!$B:$B,0))/2,0),ROUND(SUM($O124)+(SUM($AV124)*$AY124),0))</f>
        <v>0</v>
      </c>
      <c r="BA124" s="89">
        <f t="shared" si="43"/>
        <v>0.95</v>
      </c>
      <c r="BB124" s="9">
        <f>IF($C124="&lt;01",ROUND(INDEX(EID!$T:$T,MATCH($B124,EID!$B:$B,0))/2,0),ROUND($AZ124*$BA124,0))</f>
        <v>0</v>
      </c>
      <c r="BC124" s="93">
        <f t="shared" si="44"/>
        <v>0</v>
      </c>
      <c r="BD124" s="90">
        <f t="shared" si="45"/>
        <v>0.95</v>
      </c>
      <c r="BE124" s="42">
        <f>IF($C124="&lt;01",ROUND(INDEX(EID!$V:$V,MATCH($B124,EID!$B:$B,0))/2,0),ROUND($BD124*$BB124,0))</f>
        <v>0</v>
      </c>
      <c r="BF124" s="42">
        <f t="shared" si="46"/>
        <v>0</v>
      </c>
      <c r="BG124" s="116">
        <f t="shared" si="47"/>
        <v>0.95</v>
      </c>
      <c r="BH124" s="9">
        <f>IF($C124="&lt;01",ROUND(INDEX(EID!$L:$L,MATCH($B124,EID!$B:$B,0)),0)/2,IF(SUM($BG124)=0,"",ROUND($AX124/$BG124,0)))</f>
        <v>0</v>
      </c>
    </row>
    <row r="125" spans="1:60" x14ac:dyDescent="0.2">
      <c r="A125" t="str">
        <f>INDEX(Prioritization!$D:$D,MATCH($B125,Prioritization!$A:$A,0))</f>
        <v>INVALID</v>
      </c>
      <c r="B125" t="s">
        <v>200</v>
      </c>
      <c r="C125" t="s">
        <v>367</v>
      </c>
      <c r="D125" t="s">
        <v>29</v>
      </c>
      <c r="E125" t="str">
        <f t="shared" si="26"/>
        <v>Ntcheu District [am530wpaGvr]|50+|Female</v>
      </c>
      <c r="F125" s="14"/>
      <c r="G125" s="14"/>
      <c r="H125" s="14"/>
      <c r="I125" s="14"/>
      <c r="J125" s="14"/>
      <c r="K125" s="14"/>
      <c r="L125" s="14"/>
      <c r="M125" s="14"/>
      <c r="N125" s="14"/>
      <c r="O125" s="14" t="str">
        <f t="shared" si="27"/>
        <v/>
      </c>
      <c r="P125" s="14"/>
      <c r="Q125" s="14"/>
      <c r="R125" s="14" t="str">
        <f t="shared" si="28"/>
        <v/>
      </c>
      <c r="S125" s="14">
        <f>IF(LEFT($B125,4)="_Mil","",_xlfn.IFNA(ROUND(INDEX(Spectrum!$N:$N,MATCH(RIGHT($B125,13)&amp;"|"&amp;$C125&amp;"|"&amp;$D125&amp;"|"&amp;S$14&amp;"|"&amp;"CY2022Q4",Spectrum!$R:$R,0)),0),""))</f>
        <v>1631</v>
      </c>
      <c r="T125" s="42">
        <f>IF(LEFT($B125,4)="_Mil","",_xlfn.IFNA(ROUND(INDEX(Spectrum!$N:$N,MATCH(RIGHT($B125,13)&amp;"|"&amp;$C125&amp;"|"&amp;$D125&amp;"|"&amp;T$14&amp;"|"&amp;"CY2023Q3",Spectrum!$R:$R,0)),0),""))</f>
        <v>1391</v>
      </c>
      <c r="U125" s="42" t="str">
        <f>IF(LEFT($B125,4)="_Mil","",_xlfn.IFNA(ROUND(INDEX(Spectrum!$N:$N,MATCH(RIGHT($B125,13)&amp;"|"&amp;$C125&amp;"|"&amp;$D125&amp;"|"&amp;U$14&amp;"|"&amp;"CY2023Q3",Spectrum!$R:$R,0)),0),""))</f>
        <v/>
      </c>
      <c r="V125" s="14">
        <f>IF(LEFT($B125,4)="_Mil","",_xlfn.IFNA(ROUND(INDEX(Spectrum!$N:$N,MATCH(RIGHT($B125,13)&amp;"|"&amp;$C125&amp;"|"&amp;$D125&amp;"|"&amp;V$14&amp;"|"&amp;"CY2023Q3",Spectrum!$R:$R,0)),0),""))</f>
        <v>539</v>
      </c>
      <c r="W125" s="115">
        <f>IF(LEFT($B125,4)="_Mil","",_xlfn.IFNA(INDEX(Spectrum!$N:$N,MATCH(RIGHT($B125,13)&amp;"|"&amp;$C125&amp;"|"&amp;$D125&amp;"|"&amp;W$14&amp;"|"&amp;"CY2023Q3",Spectrum!$R:$R,0)),""))</f>
        <v>928</v>
      </c>
      <c r="X125" s="42">
        <f>IF(LEFT($B125,4)="_Mil","",_xlfn.IFNA(ROUND(INDEX(Spectrum!$N:$N,MATCH(RIGHT($B125,13)&amp;"|"&amp;$C125&amp;"|"&amp;$D125&amp;"|"&amp;X$14&amp;"|"&amp;"CY2023Q3",Spectrum!$R:$R,0)),0),""))</f>
        <v>1642</v>
      </c>
      <c r="Y125" s="90" t="str">
        <f t="shared" si="29"/>
        <v/>
      </c>
      <c r="Z125" s="42">
        <f>IF(LEFT($B125,4)="_Mil","",_xlfn.IFNA(ROUND(INDEX(Spectrum!$N:$N,MATCH(RIGHT($B125,13)&amp;"|"&amp;$C125&amp;"|"&amp;$D125&amp;"|"&amp;Z$14&amp;"|"&amp;"CY2023Q3",Spectrum!$R:$R,0)),0),""))</f>
        <v>726</v>
      </c>
      <c r="AA125" s="90">
        <f>IF(LEFT($B125,4)="_Mil","",IFERROR(1/(1/INDEX(Spectrum!$N:$N,MATCH(RIGHT($B125,13)&amp;"|"&amp;$C125&amp;"|"&amp;$D125&amp;"|"&amp;AA$14&amp;"|"&amp;"CY2023Q3",Spectrum!$R:$R,0))),IF(SUM($U125)=0,"",SUM($Z125)/$U125)))</f>
        <v>1518</v>
      </c>
      <c r="AB125" s="90">
        <f t="shared" si="30"/>
        <v>0.44214372716199757</v>
      </c>
      <c r="AC125" s="14">
        <f>IF(LEFT($B125,4)="_Mil","",_xlfn.IFNA(ROUND(INDEX(Spectrum!$N:$N,MATCH(RIGHT($B125,13)&amp;"|"&amp;$C125&amp;"|"&amp;$D125&amp;"|"&amp;AC$14&amp;"|"&amp;"CY2023Q3",Spectrum!$R:$R,0)),0),""))</f>
        <v>638</v>
      </c>
      <c r="AD125" s="14" t="str">
        <f>IF(LEFT($B125,4)="_Mil","",_xlfn.IFNA(ROUND(INDEX(Spectrum!$N:$N,MATCH(RIGHT($B125,13)&amp;"|"&amp;$C125&amp;"|"&amp;$D125&amp;"|"&amp;AD$14&amp;"|"&amp;"CY2023Q3",Spectrum!$R:$R,0)),0),""))</f>
        <v/>
      </c>
      <c r="AE125" s="90">
        <f t="shared" si="31"/>
        <v>0</v>
      </c>
      <c r="AF125" s="42" t="str">
        <f>IF(LEFT($B125,4)="_Mil","",_xlfn.IFNA(ROUND(INDEX(Spectrum!$N:$N,MATCH(RIGHT($B125,13)&amp;"|"&amp;$C125&amp;"|"&amp;$D125&amp;"|"&amp;AF$14&amp;"|"&amp;"CY2023Q3",Spectrum!$R:$R,0)),0),""))</f>
        <v/>
      </c>
      <c r="AG125" s="90" t="str">
        <f t="shared" si="32"/>
        <v/>
      </c>
      <c r="AH125" s="88" t="str">
        <f>IF(LEFT($B125,4)="_Mil","",_xlfn.IFNA(INDEX(Spectrum!$N:$N,MATCH(RIGHT($B125,13)&amp;"|"&amp;$C125&amp;"|"&amp;$D125&amp;"|"&amp;AH$14&amp;"|"&amp;"CY2023Q3",Spectrum!$R:$R,0)),""))</f>
        <v/>
      </c>
      <c r="AI125" s="14" t="str">
        <f>IF(LEFT($B125,4)="_Mil","",_xlfn.IFNA(ROUND(INDEX(Spectrum!$N:$N,MATCH(RIGHT($B125,13)&amp;"|"&amp;$C125&amp;"|"&amp;$D125&amp;"|"&amp;AI$14&amp;"|"&amp;"CY2023Q3",Spectrum!$R:$R,0)),0),""))</f>
        <v/>
      </c>
      <c r="AJ125" s="42">
        <f>IF(LEFT($B125,4)="_Mil","",_xlfn.IFNA(ROUND(INDEX(Spectrum!$N:$N,MATCH(RIGHT($B125,13)&amp;"|"&amp;$C125&amp;"|"&amp;$D125&amp;"|"&amp;AI$14&amp;"|"&amp;"CY2023Q3",Spectrum!$R:$R,0)),0),SUM($U125)+SUM($AI125)))</f>
        <v>0</v>
      </c>
      <c r="AK125" s="14" t="str">
        <f>IF(LEFT($B125,4)="_Mil","",_xlfn.IFNA(ROUND(INDEX(Spectrum!$N:$N,MATCH(RIGHT($B125,13)&amp;"|"&amp;$C125&amp;"|"&amp;$D125&amp;"|"&amp;AK$14&amp;"|"&amp;"CY2023Q3",Spectrum!$R:$R,0)),0),""))</f>
        <v/>
      </c>
      <c r="AL125" s="90">
        <f t="shared" si="33"/>
        <v>1518</v>
      </c>
      <c r="AM125" s="14">
        <f t="shared" si="34"/>
        <v>0</v>
      </c>
      <c r="AN125" s="14" t="str">
        <f>IF($C125="&lt;01",ROUND(INDEX(EID!$P:$P,MATCH($B125,EID!$B:$B,0))/2,0),"")</f>
        <v/>
      </c>
      <c r="AO125" s="14">
        <f t="shared" si="35"/>
        <v>0</v>
      </c>
      <c r="AP125" s="42">
        <f t="shared" si="36"/>
        <v>0</v>
      </c>
      <c r="AQ125" s="42">
        <f t="shared" si="37"/>
        <v>726</v>
      </c>
      <c r="AR125" s="90" t="str">
        <f t="shared" si="38"/>
        <v/>
      </c>
      <c r="AS125" s="90">
        <f t="shared" si="49"/>
        <v>0.98</v>
      </c>
      <c r="AT125" s="90">
        <f t="shared" si="49"/>
        <v>0.98</v>
      </c>
      <c r="AU125" s="14">
        <f t="shared" si="39"/>
        <v>0</v>
      </c>
      <c r="AV125" s="14">
        <f>IF($C125="&lt;01",ROUND(INDEX(EID!$N:$N,MATCH($B125,EID!$B:$B,0))/2,0),IF(SUM($AT125)=0,"",ROUND((SUM($AP125)-(SUM($O125)*SUM($AS125)))/$AT125,0)))</f>
        <v>0</v>
      </c>
      <c r="AW125" s="90">
        <f t="shared" si="40"/>
        <v>1</v>
      </c>
      <c r="AX125" s="42">
        <f t="shared" si="41"/>
        <v>0</v>
      </c>
      <c r="AY125" s="116">
        <f t="shared" si="42"/>
        <v>0.7</v>
      </c>
      <c r="AZ125" s="93">
        <f>IF($C125="&lt;01",ROUND(INDEX(EID!$R:$R,MATCH($B125,EID!$B:$B,0))/2,0),ROUND(SUM($O125)+(SUM($AV125)*$AY125),0))</f>
        <v>0</v>
      </c>
      <c r="BA125" s="89">
        <f t="shared" si="43"/>
        <v>0.95</v>
      </c>
      <c r="BB125" s="9">
        <f>IF($C125="&lt;01",ROUND(INDEX(EID!$T:$T,MATCH($B125,EID!$B:$B,0))/2,0),ROUND($AZ125*$BA125,0))</f>
        <v>0</v>
      </c>
      <c r="BC125" s="93">
        <f t="shared" si="44"/>
        <v>0</v>
      </c>
      <c r="BD125" s="90">
        <f t="shared" si="45"/>
        <v>0.95</v>
      </c>
      <c r="BE125" s="42">
        <f>IF($C125="&lt;01",ROUND(INDEX(EID!$V:$V,MATCH($B125,EID!$B:$B,0))/2,0),ROUND($BD125*$BB125,0))</f>
        <v>0</v>
      </c>
      <c r="BF125" s="42">
        <f t="shared" si="46"/>
        <v>0</v>
      </c>
      <c r="BG125" s="116">
        <f t="shared" si="47"/>
        <v>0.95</v>
      </c>
      <c r="BH125" s="9">
        <f>IF($C125="&lt;01",ROUND(INDEX(EID!$L:$L,MATCH($B125,EID!$B:$B,0)),0)/2,IF(SUM($BG125)=0,"",ROUND($AX125/$BG125,0)))</f>
        <v>0</v>
      </c>
    </row>
    <row r="126" spans="1:60" x14ac:dyDescent="0.2">
      <c r="A126" t="str">
        <f>INDEX(Prioritization!$D:$D,MATCH($B126,Prioritization!$A:$A,0))</f>
        <v>INVALID</v>
      </c>
      <c r="B126" t="s">
        <v>200</v>
      </c>
      <c r="C126" t="s">
        <v>367</v>
      </c>
      <c r="D126" t="s">
        <v>47</v>
      </c>
      <c r="E126" t="str">
        <f t="shared" si="26"/>
        <v>Ntcheu District [am530wpaGvr]|50+|Male</v>
      </c>
      <c r="F126" s="14"/>
      <c r="G126" s="14"/>
      <c r="H126" s="14"/>
      <c r="I126" s="14"/>
      <c r="J126" s="14"/>
      <c r="K126" s="14"/>
      <c r="L126" s="14"/>
      <c r="M126" s="14"/>
      <c r="N126" s="14"/>
      <c r="O126" s="14" t="str">
        <f t="shared" si="27"/>
        <v/>
      </c>
      <c r="P126" s="14"/>
      <c r="Q126" s="14"/>
      <c r="R126" s="14" t="str">
        <f t="shared" si="28"/>
        <v/>
      </c>
      <c r="S126" s="14">
        <f>IF(LEFT($B126,4)="_Mil","",_xlfn.IFNA(ROUND(INDEX(Spectrum!$N:$N,MATCH(RIGHT($B126,13)&amp;"|"&amp;$C126&amp;"|"&amp;$D126&amp;"|"&amp;S$14&amp;"|"&amp;"CY2022Q4",Spectrum!$R:$R,0)),0),""))</f>
        <v>1430</v>
      </c>
      <c r="T126" s="42">
        <f>IF(LEFT($B126,4)="_Mil","",_xlfn.IFNA(ROUND(INDEX(Spectrum!$N:$N,MATCH(RIGHT($B126,13)&amp;"|"&amp;$C126&amp;"|"&amp;$D126&amp;"|"&amp;T$14&amp;"|"&amp;"CY2023Q3",Spectrum!$R:$R,0)),0),""))</f>
        <v>631</v>
      </c>
      <c r="U126" s="42" t="str">
        <f>IF(LEFT($B126,4)="_Mil","",_xlfn.IFNA(ROUND(INDEX(Spectrum!$N:$N,MATCH(RIGHT($B126,13)&amp;"|"&amp;$C126&amp;"|"&amp;$D126&amp;"|"&amp;U$14&amp;"|"&amp;"CY2023Q3",Spectrum!$R:$R,0)),0),""))</f>
        <v/>
      </c>
      <c r="V126" s="14">
        <f>IF(LEFT($B126,4)="_Mil","",_xlfn.IFNA(ROUND(INDEX(Spectrum!$N:$N,MATCH(RIGHT($B126,13)&amp;"|"&amp;$C126&amp;"|"&amp;$D126&amp;"|"&amp;V$14&amp;"|"&amp;"CY2023Q3",Spectrum!$R:$R,0)),0),""))</f>
        <v>673</v>
      </c>
      <c r="W126" s="115">
        <f>IF(LEFT($B126,4)="_Mil","",_xlfn.IFNA(INDEX(Spectrum!$N:$N,MATCH(RIGHT($B126,13)&amp;"|"&amp;$C126&amp;"|"&amp;$D126&amp;"|"&amp;W$14&amp;"|"&amp;"CY2023Q3",Spectrum!$R:$R,0)),""))</f>
        <v>1350</v>
      </c>
      <c r="X126" s="42">
        <f>IF(LEFT($B126,4)="_Mil","",_xlfn.IFNA(ROUND(INDEX(Spectrum!$N:$N,MATCH(RIGHT($B126,13)&amp;"|"&amp;$C126&amp;"|"&amp;$D126&amp;"|"&amp;X$14&amp;"|"&amp;"CY2023Q3",Spectrum!$R:$R,0)),0),""))</f>
        <v>1696</v>
      </c>
      <c r="Y126" s="90" t="str">
        <f t="shared" si="29"/>
        <v/>
      </c>
      <c r="Z126" s="42">
        <f>IF(LEFT($B126,4)="_Mil","",_xlfn.IFNA(ROUND(INDEX(Spectrum!$N:$N,MATCH(RIGHT($B126,13)&amp;"|"&amp;$C126&amp;"|"&amp;$D126&amp;"|"&amp;Z$14&amp;"|"&amp;"CY2023Q3",Spectrum!$R:$R,0)),0),""))</f>
        <v>1075</v>
      </c>
      <c r="AA126" s="90">
        <f>IF(LEFT($B126,4)="_Mil","",IFERROR(1/(1/INDEX(Spectrum!$N:$N,MATCH(RIGHT($B126,13)&amp;"|"&amp;$C126&amp;"|"&amp;$D126&amp;"|"&amp;AA$14&amp;"|"&amp;"CY2023Q3",Spectrum!$R:$R,0))),IF(SUM($U126)=0,"",SUM($Z126)/$U126)))</f>
        <v>1977</v>
      </c>
      <c r="AB126" s="90">
        <f t="shared" si="30"/>
        <v>0.63384433962264153</v>
      </c>
      <c r="AC126" s="14">
        <f>IF(LEFT($B126,4)="_Mil","",_xlfn.IFNA(ROUND(INDEX(Spectrum!$N:$N,MATCH(RIGHT($B126,13)&amp;"|"&amp;$C126&amp;"|"&amp;$D126&amp;"|"&amp;AC$14&amp;"|"&amp;"CY2023Q3",Spectrum!$R:$R,0)),0),""))</f>
        <v>607</v>
      </c>
      <c r="AD126" s="14" t="str">
        <f>IF(LEFT($B126,4)="_Mil","",_xlfn.IFNA(ROUND(INDEX(Spectrum!$N:$N,MATCH(RIGHT($B126,13)&amp;"|"&amp;$C126&amp;"|"&amp;$D126&amp;"|"&amp;AD$14&amp;"|"&amp;"CY2023Q3",Spectrum!$R:$R,0)),0),""))</f>
        <v/>
      </c>
      <c r="AE126" s="90">
        <f t="shared" si="31"/>
        <v>0</v>
      </c>
      <c r="AF126" s="42" t="str">
        <f>IF(LEFT($B126,4)="_Mil","",_xlfn.IFNA(ROUND(INDEX(Spectrum!$N:$N,MATCH(RIGHT($B126,13)&amp;"|"&amp;$C126&amp;"|"&amp;$D126&amp;"|"&amp;AF$14&amp;"|"&amp;"CY2023Q3",Spectrum!$R:$R,0)),0),""))</f>
        <v/>
      </c>
      <c r="AG126" s="90" t="str">
        <f t="shared" si="32"/>
        <v/>
      </c>
      <c r="AH126" s="88" t="str">
        <f>IF(LEFT($B126,4)="_Mil","",_xlfn.IFNA(INDEX(Spectrum!$N:$N,MATCH(RIGHT($B126,13)&amp;"|"&amp;$C126&amp;"|"&amp;$D126&amp;"|"&amp;AH$14&amp;"|"&amp;"CY2023Q3",Spectrum!$R:$R,0)),""))</f>
        <v/>
      </c>
      <c r="AI126" s="14" t="str">
        <f>IF(LEFT($B126,4)="_Mil","",_xlfn.IFNA(ROUND(INDEX(Spectrum!$N:$N,MATCH(RIGHT($B126,13)&amp;"|"&amp;$C126&amp;"|"&amp;$D126&amp;"|"&amp;AI$14&amp;"|"&amp;"CY2023Q3",Spectrum!$R:$R,0)),0),""))</f>
        <v/>
      </c>
      <c r="AJ126" s="42">
        <f>IF(LEFT($B126,4)="_Mil","",_xlfn.IFNA(ROUND(INDEX(Spectrum!$N:$N,MATCH(RIGHT($B126,13)&amp;"|"&amp;$C126&amp;"|"&amp;$D126&amp;"|"&amp;AI$14&amp;"|"&amp;"CY2023Q3",Spectrum!$R:$R,0)),0),SUM($U126)+SUM($AI126)))</f>
        <v>0</v>
      </c>
      <c r="AK126" s="14" t="str">
        <f>IF(LEFT($B126,4)="_Mil","",_xlfn.IFNA(ROUND(INDEX(Spectrum!$N:$N,MATCH(RIGHT($B126,13)&amp;"|"&amp;$C126&amp;"|"&amp;$D126&amp;"|"&amp;AK$14&amp;"|"&amp;"CY2023Q3",Spectrum!$R:$R,0)),0),""))</f>
        <v/>
      </c>
      <c r="AL126" s="90">
        <f t="shared" si="33"/>
        <v>1977</v>
      </c>
      <c r="AM126" s="14">
        <f t="shared" si="34"/>
        <v>0</v>
      </c>
      <c r="AN126" s="14" t="str">
        <f>IF($C126="&lt;01",ROUND(INDEX(EID!$P:$P,MATCH($B126,EID!$B:$B,0))/2,0),"")</f>
        <v/>
      </c>
      <c r="AO126" s="14">
        <f t="shared" si="35"/>
        <v>0</v>
      </c>
      <c r="AP126" s="42">
        <f t="shared" si="36"/>
        <v>0</v>
      </c>
      <c r="AQ126" s="42">
        <f t="shared" si="37"/>
        <v>1075</v>
      </c>
      <c r="AR126" s="90" t="str">
        <f t="shared" si="38"/>
        <v/>
      </c>
      <c r="AS126" s="90">
        <f t="shared" si="49"/>
        <v>0.98</v>
      </c>
      <c r="AT126" s="90">
        <f t="shared" si="49"/>
        <v>0.98</v>
      </c>
      <c r="AU126" s="14">
        <f t="shared" si="39"/>
        <v>0</v>
      </c>
      <c r="AV126" s="14">
        <f>IF($C126="&lt;01",ROUND(INDEX(EID!$N:$N,MATCH($B126,EID!$B:$B,0))/2,0),IF(SUM($AT126)=0,"",ROUND((SUM($AP126)-(SUM($O126)*SUM($AS126)))/$AT126,0)))</f>
        <v>0</v>
      </c>
      <c r="AW126" s="90">
        <f t="shared" si="40"/>
        <v>1</v>
      </c>
      <c r="AX126" s="42">
        <f t="shared" si="41"/>
        <v>0</v>
      </c>
      <c r="AY126" s="116">
        <f t="shared" si="42"/>
        <v>0.7</v>
      </c>
      <c r="AZ126" s="93">
        <f>IF($C126="&lt;01",ROUND(INDEX(EID!$R:$R,MATCH($B126,EID!$B:$B,0))/2,0),ROUND(SUM($O126)+(SUM($AV126)*$AY126),0))</f>
        <v>0</v>
      </c>
      <c r="BA126" s="89">
        <f t="shared" si="43"/>
        <v>0.95</v>
      </c>
      <c r="BB126" s="9">
        <f>IF($C126="&lt;01",ROUND(INDEX(EID!$T:$T,MATCH($B126,EID!$B:$B,0))/2,0),ROUND($AZ126*$BA126,0))</f>
        <v>0</v>
      </c>
      <c r="BC126" s="93">
        <f t="shared" si="44"/>
        <v>0</v>
      </c>
      <c r="BD126" s="90">
        <f t="shared" si="45"/>
        <v>0.95</v>
      </c>
      <c r="BE126" s="42">
        <f>IF($C126="&lt;01",ROUND(INDEX(EID!$V:$V,MATCH($B126,EID!$B:$B,0))/2,0),ROUND($BD126*$BB126,0))</f>
        <v>0</v>
      </c>
      <c r="BF126" s="42">
        <f t="shared" si="46"/>
        <v>0</v>
      </c>
      <c r="BG126" s="116">
        <f t="shared" si="47"/>
        <v>0.95</v>
      </c>
      <c r="BH126" s="9">
        <f>IF($C126="&lt;01",ROUND(INDEX(EID!$L:$L,MATCH($B126,EID!$B:$B,0)),0)/2,IF(SUM($BG126)=0,"",ROUND($AX126/$BG126,0)))</f>
        <v>0</v>
      </c>
    </row>
    <row r="127" spans="1:60" x14ac:dyDescent="0.2">
      <c r="A127" t="str">
        <f>INDEX(Prioritization!$D:$D,MATCH($B127,Prioritization!$A:$A,0))</f>
        <v>INVALID</v>
      </c>
      <c r="B127" t="s">
        <v>201</v>
      </c>
      <c r="C127" t="s">
        <v>315</v>
      </c>
      <c r="D127" t="s">
        <v>29</v>
      </c>
      <c r="E127" t="str">
        <f t="shared" si="26"/>
        <v>Ntchisi District [fiRkU6gEjLz]|&lt;01|Female</v>
      </c>
      <c r="F127" s="14"/>
      <c r="G127" s="14">
        <v>5</v>
      </c>
      <c r="H127" s="14">
        <v>1</v>
      </c>
      <c r="I127" s="14">
        <v>1</v>
      </c>
      <c r="J127" s="14">
        <v>0</v>
      </c>
      <c r="K127" s="14">
        <v>0</v>
      </c>
      <c r="L127" s="14"/>
      <c r="M127" s="14">
        <v>0</v>
      </c>
      <c r="N127" s="14">
        <v>0</v>
      </c>
      <c r="O127" s="14">
        <f t="shared" si="27"/>
        <v>1</v>
      </c>
      <c r="P127" s="14">
        <v>1</v>
      </c>
      <c r="Q127" s="14">
        <v>0</v>
      </c>
      <c r="R127" s="14">
        <f t="shared" si="28"/>
        <v>0</v>
      </c>
      <c r="S127" s="14">
        <f>IF(LEFT($B127,4)="_Mil","",_xlfn.IFNA(ROUND(INDEX(Spectrum!$N:$N,MATCH(RIGHT($B127,13)&amp;"|"&amp;$C127&amp;"|"&amp;$D127&amp;"|"&amp;S$14&amp;"|"&amp;"CY2022Q4",Spectrum!$R:$R,0)),0),""))</f>
        <v>1436</v>
      </c>
      <c r="T127" s="42">
        <f>IF(LEFT($B127,4)="_Mil","",_xlfn.IFNA(ROUND(INDEX(Spectrum!$N:$N,MATCH(RIGHT($B127,13)&amp;"|"&amp;$C127&amp;"|"&amp;$D127&amp;"|"&amp;T$14&amp;"|"&amp;"CY2023Q3",Spectrum!$R:$R,0)),0),""))</f>
        <v>1797</v>
      </c>
      <c r="U127" s="42" t="str">
        <f>IF(LEFT($B127,4)="_Mil","",_xlfn.IFNA(ROUND(INDEX(Spectrum!$N:$N,MATCH(RIGHT($B127,13)&amp;"|"&amp;$C127&amp;"|"&amp;$D127&amp;"|"&amp;U$14&amp;"|"&amp;"CY2023Q3",Spectrum!$R:$R,0)),0),""))</f>
        <v/>
      </c>
      <c r="V127" s="14">
        <f>IF(LEFT($B127,4)="_Mil","",_xlfn.IFNA(ROUND(INDEX(Spectrum!$N:$N,MATCH(RIGHT($B127,13)&amp;"|"&amp;$C127&amp;"|"&amp;$D127&amp;"|"&amp;V$14&amp;"|"&amp;"CY2023Q3",Spectrum!$R:$R,0)),0),""))</f>
        <v>1000</v>
      </c>
      <c r="W127" s="115">
        <f>IF(LEFT($B127,4)="_Mil","",_xlfn.IFNA(INDEX(Spectrum!$N:$N,MATCH(RIGHT($B127,13)&amp;"|"&amp;$C127&amp;"|"&amp;$D127&amp;"|"&amp;W$14&amp;"|"&amp;"CY2023Q3",Spectrum!$R:$R,0)),""))</f>
        <v>865</v>
      </c>
      <c r="X127" s="42">
        <f>IF(LEFT($B127,4)="_Mil","",_xlfn.IFNA(ROUND(INDEX(Spectrum!$N:$N,MATCH(RIGHT($B127,13)&amp;"|"&amp;$C127&amp;"|"&amp;$D127&amp;"|"&amp;X$14&amp;"|"&amp;"CY2023Q3",Spectrum!$R:$R,0)),0),""))</f>
        <v>982</v>
      </c>
      <c r="Y127" s="90" t="str">
        <f t="shared" si="29"/>
        <v/>
      </c>
      <c r="Z127" s="42">
        <f>IF(LEFT($B127,4)="_Mil","",_xlfn.IFNA(ROUND(INDEX(Spectrum!$N:$N,MATCH(RIGHT($B127,13)&amp;"|"&amp;$C127&amp;"|"&amp;$D127&amp;"|"&amp;Z$14&amp;"|"&amp;"CY2023Q3",Spectrum!$R:$R,0)),0),""))</f>
        <v>1140</v>
      </c>
      <c r="AA127" s="90">
        <f>IF(LEFT($B127,4)="_Mil","",IFERROR(1/(1/INDEX(Spectrum!$N:$N,MATCH(RIGHT($B127,13)&amp;"|"&amp;$C127&amp;"|"&amp;$D127&amp;"|"&amp;AA$14&amp;"|"&amp;"CY2023Q3",Spectrum!$R:$R,0))),IF(SUM($U127)=0,"",SUM($Z127)/$U127)))</f>
        <v>794</v>
      </c>
      <c r="AB127" s="90">
        <f t="shared" si="30"/>
        <v>1.1608961303462322</v>
      </c>
      <c r="AC127" s="14">
        <f>IF(LEFT($B127,4)="_Mil","",_xlfn.IFNA(ROUND(INDEX(Spectrum!$N:$N,MATCH(RIGHT($B127,13)&amp;"|"&amp;$C127&amp;"|"&amp;$D127&amp;"|"&amp;AC$14&amp;"|"&amp;"CY2023Q3",Spectrum!$R:$R,0)),0),""))</f>
        <v>1490</v>
      </c>
      <c r="AD127" s="14" t="str">
        <f>IF(LEFT($B127,4)="_Mil","",_xlfn.IFNA(ROUND(INDEX(Spectrum!$N:$N,MATCH(RIGHT($B127,13)&amp;"|"&amp;$C127&amp;"|"&amp;$D127&amp;"|"&amp;AD$14&amp;"|"&amp;"CY2023Q3",Spectrum!$R:$R,0)),0),""))</f>
        <v/>
      </c>
      <c r="AE127" s="90">
        <f t="shared" si="31"/>
        <v>0</v>
      </c>
      <c r="AF127" s="42" t="str">
        <f>IF(LEFT($B127,4)="_Mil","",_xlfn.IFNA(ROUND(INDEX(Spectrum!$N:$N,MATCH(RIGHT($B127,13)&amp;"|"&amp;$C127&amp;"|"&amp;$D127&amp;"|"&amp;AF$14&amp;"|"&amp;"CY2023Q3",Spectrum!$R:$R,0)),0),""))</f>
        <v/>
      </c>
      <c r="AG127" s="90" t="str">
        <f t="shared" si="32"/>
        <v/>
      </c>
      <c r="AH127" s="88" t="str">
        <f>IF(LEFT($B127,4)="_Mil","",_xlfn.IFNA(INDEX(Spectrum!$N:$N,MATCH(RIGHT($B127,13)&amp;"|"&amp;$C127&amp;"|"&amp;$D127&amp;"|"&amp;AH$14&amp;"|"&amp;"CY2023Q3",Spectrum!$R:$R,0)),""))</f>
        <v/>
      </c>
      <c r="AI127" s="14" t="str">
        <f>IF(LEFT($B127,4)="_Mil","",_xlfn.IFNA(ROUND(INDEX(Spectrum!$N:$N,MATCH(RIGHT($B127,13)&amp;"|"&amp;$C127&amp;"|"&amp;$D127&amp;"|"&amp;AI$14&amp;"|"&amp;"CY2023Q3",Spectrum!$R:$R,0)),0),""))</f>
        <v/>
      </c>
      <c r="AJ127" s="42">
        <f>IF(LEFT($B127,4)="_Mil","",_xlfn.IFNA(ROUND(INDEX(Spectrum!$N:$N,MATCH(RIGHT($B127,13)&amp;"|"&amp;$C127&amp;"|"&amp;$D127&amp;"|"&amp;AI$14&amp;"|"&amp;"CY2023Q3",Spectrum!$R:$R,0)),0),SUM($U127)+SUM($AI127)))</f>
        <v>0</v>
      </c>
      <c r="AK127" s="14" t="str">
        <f>IF(LEFT($B127,4)="_Mil","",_xlfn.IFNA(ROUND(INDEX(Spectrum!$N:$N,MATCH(RIGHT($B127,13)&amp;"|"&amp;$C127&amp;"|"&amp;$D127&amp;"|"&amp;AK$14&amp;"|"&amp;"CY2023Q3",Spectrum!$R:$R,0)),0),""))</f>
        <v/>
      </c>
      <c r="AL127" s="90" t="str">
        <f t="shared" si="33"/>
        <v/>
      </c>
      <c r="AM127" s="14" t="str">
        <f t="shared" si="34"/>
        <v/>
      </c>
      <c r="AN127" s="14">
        <f>IF($C127="&lt;01",ROUND(INDEX(EID!$P:$P,MATCH($B127,EID!$B:$B,0))/2,0),"")</f>
        <v>0</v>
      </c>
      <c r="AO127" s="14">
        <f t="shared" si="35"/>
        <v>0</v>
      </c>
      <c r="AP127" s="42">
        <f t="shared" si="36"/>
        <v>0</v>
      </c>
      <c r="AQ127" s="42">
        <f t="shared" si="37"/>
        <v>1140</v>
      </c>
      <c r="AR127" s="90" t="str">
        <f t="shared" si="38"/>
        <v/>
      </c>
      <c r="AS127" s="90" t="str">
        <f t="shared" si="49"/>
        <v/>
      </c>
      <c r="AT127" s="90" t="str">
        <f t="shared" si="49"/>
        <v/>
      </c>
      <c r="AU127" s="14" t="str">
        <f t="shared" si="39"/>
        <v/>
      </c>
      <c r="AV127" s="14">
        <f>IF($C127="&lt;01",ROUND(INDEX(EID!$N:$N,MATCH($B127,EID!$B:$B,0))/2,0),IF(SUM($AT127)=0,"",ROUND((SUM($AP127)-(SUM($O127)*SUM($AS127)))/$AT127,0)))</f>
        <v>0</v>
      </c>
      <c r="AW127" s="90" t="str">
        <f t="shared" si="40"/>
        <v/>
      </c>
      <c r="AX127" s="42">
        <f t="shared" si="41"/>
        <v>0</v>
      </c>
      <c r="AY127" s="116" t="str">
        <f t="shared" si="42"/>
        <v/>
      </c>
      <c r="AZ127" s="93">
        <f>IF($C127="&lt;01",ROUND(INDEX(EID!$R:$R,MATCH($B127,EID!$B:$B,0))/2,0),ROUND(SUM($O127)+(SUM($AV127)*$AY127),0))</f>
        <v>0</v>
      </c>
      <c r="BA127" s="89" t="str">
        <f t="shared" si="43"/>
        <v/>
      </c>
      <c r="BB127" s="9">
        <f>IF($C127="&lt;01",ROUND(INDEX(EID!$T:$T,MATCH($B127,EID!$B:$B,0))/2,0),ROUND($AZ127*$BA127,0))</f>
        <v>0</v>
      </c>
      <c r="BC127" s="93">
        <f t="shared" si="44"/>
        <v>0</v>
      </c>
      <c r="BD127" s="90" t="str">
        <f t="shared" si="45"/>
        <v/>
      </c>
      <c r="BE127" s="42">
        <f>IF($C127="&lt;01",ROUND(INDEX(EID!$V:$V,MATCH($B127,EID!$B:$B,0))/2,0),ROUND($BD127*$BB127,0))</f>
        <v>0</v>
      </c>
      <c r="BF127" s="42">
        <f t="shared" si="46"/>
        <v>0</v>
      </c>
      <c r="BG127" s="116" t="str">
        <f t="shared" si="47"/>
        <v/>
      </c>
      <c r="BH127" s="9">
        <f>IF($C127="&lt;01",ROUND(INDEX(EID!$L:$L,MATCH($B127,EID!$B:$B,0)),0)/2,IF(SUM($BG127)=0,"",ROUND($AX127/$BG127,0)))</f>
        <v>0</v>
      </c>
    </row>
    <row r="128" spans="1:60" x14ac:dyDescent="0.2">
      <c r="A128" t="str">
        <f>INDEX(Prioritization!$D:$D,MATCH($B128,Prioritization!$A:$A,0))</f>
        <v>INVALID</v>
      </c>
      <c r="B128" t="s">
        <v>201</v>
      </c>
      <c r="C128" t="s">
        <v>315</v>
      </c>
      <c r="D128" t="s">
        <v>47</v>
      </c>
      <c r="E128" t="str">
        <f t="shared" si="26"/>
        <v>Ntchisi District [fiRkU6gEjLz]|&lt;01|Male</v>
      </c>
      <c r="F128" s="14"/>
      <c r="G128" s="14">
        <v>1</v>
      </c>
      <c r="H128" s="14">
        <v>0</v>
      </c>
      <c r="I128" s="14">
        <v>1</v>
      </c>
      <c r="J128" s="14">
        <v>1</v>
      </c>
      <c r="K128" s="14">
        <v>0</v>
      </c>
      <c r="L128" s="14"/>
      <c r="M128" s="14">
        <v>0</v>
      </c>
      <c r="N128" s="14">
        <v>1</v>
      </c>
      <c r="O128" s="14">
        <f t="shared" si="27"/>
        <v>1</v>
      </c>
      <c r="P128" s="14">
        <v>1</v>
      </c>
      <c r="Q128" s="14">
        <v>1</v>
      </c>
      <c r="R128" s="14">
        <f t="shared" si="28"/>
        <v>0</v>
      </c>
      <c r="S128" s="14">
        <f>IF(LEFT($B128,4)="_Mil","",_xlfn.IFNA(ROUND(INDEX(Spectrum!$N:$N,MATCH(RIGHT($B128,13)&amp;"|"&amp;$C128&amp;"|"&amp;$D128&amp;"|"&amp;S$14&amp;"|"&amp;"CY2022Q4",Spectrum!$R:$R,0)),0),""))</f>
        <v>1359</v>
      </c>
      <c r="T128" s="42">
        <f>IF(LEFT($B128,4)="_Mil","",_xlfn.IFNA(ROUND(INDEX(Spectrum!$N:$N,MATCH(RIGHT($B128,13)&amp;"|"&amp;$C128&amp;"|"&amp;$D128&amp;"|"&amp;T$14&amp;"|"&amp;"CY2023Q3",Spectrum!$R:$R,0)),0),""))</f>
        <v>1790</v>
      </c>
      <c r="U128" s="42" t="str">
        <f>IF(LEFT($B128,4)="_Mil","",_xlfn.IFNA(ROUND(INDEX(Spectrum!$N:$N,MATCH(RIGHT($B128,13)&amp;"|"&amp;$C128&amp;"|"&amp;$D128&amp;"|"&amp;U$14&amp;"|"&amp;"CY2023Q3",Spectrum!$R:$R,0)),0),""))</f>
        <v/>
      </c>
      <c r="V128" s="14">
        <f>IF(LEFT($B128,4)="_Mil","",_xlfn.IFNA(ROUND(INDEX(Spectrum!$N:$N,MATCH(RIGHT($B128,13)&amp;"|"&amp;$C128&amp;"|"&amp;$D128&amp;"|"&amp;V$14&amp;"|"&amp;"CY2023Q3",Spectrum!$R:$R,0)),0),""))</f>
        <v>1252</v>
      </c>
      <c r="W128" s="115">
        <f>IF(LEFT($B128,4)="_Mil","",_xlfn.IFNA(INDEX(Spectrum!$N:$N,MATCH(RIGHT($B128,13)&amp;"|"&amp;$C128&amp;"|"&amp;$D128&amp;"|"&amp;W$14&amp;"|"&amp;"CY2023Q3",Spectrum!$R:$R,0)),""))</f>
        <v>1037</v>
      </c>
      <c r="X128" s="42">
        <f>IF(LEFT($B128,4)="_Mil","",_xlfn.IFNA(ROUND(INDEX(Spectrum!$N:$N,MATCH(RIGHT($B128,13)&amp;"|"&amp;$C128&amp;"|"&amp;$D128&amp;"|"&amp;X$14&amp;"|"&amp;"CY2023Q3",Spectrum!$R:$R,0)),0),""))</f>
        <v>1021</v>
      </c>
      <c r="Y128" s="90" t="str">
        <f t="shared" si="29"/>
        <v/>
      </c>
      <c r="Z128" s="42">
        <f>IF(LEFT($B128,4)="_Mil","",_xlfn.IFNA(ROUND(INDEX(Spectrum!$N:$N,MATCH(RIGHT($B128,13)&amp;"|"&amp;$C128&amp;"|"&amp;$D128&amp;"|"&amp;Z$14&amp;"|"&amp;"CY2023Q3",Spectrum!$R:$R,0)),0),""))</f>
        <v>1065</v>
      </c>
      <c r="AA128" s="90">
        <f>IF(LEFT($B128,4)="_Mil","",IFERROR(1/(1/INDEX(Spectrum!$N:$N,MATCH(RIGHT($B128,13)&amp;"|"&amp;$C128&amp;"|"&amp;$D128&amp;"|"&amp;AA$14&amp;"|"&amp;"CY2023Q3",Spectrum!$R:$R,0))),IF(SUM($U128)=0,"",SUM($Z128)/$U128)))</f>
        <v>1616</v>
      </c>
      <c r="AB128" s="90">
        <f t="shared" si="30"/>
        <v>1.0430950048971597</v>
      </c>
      <c r="AC128" s="14">
        <f>IF(LEFT($B128,4)="_Mil","",_xlfn.IFNA(ROUND(INDEX(Spectrum!$N:$N,MATCH(RIGHT($B128,13)&amp;"|"&amp;$C128&amp;"|"&amp;$D128&amp;"|"&amp;AC$14&amp;"|"&amp;"CY2023Q3",Spectrum!$R:$R,0)),0),""))</f>
        <v>1373</v>
      </c>
      <c r="AD128" s="14" t="str">
        <f>IF(LEFT($B128,4)="_Mil","",_xlfn.IFNA(ROUND(INDEX(Spectrum!$N:$N,MATCH(RIGHT($B128,13)&amp;"|"&amp;$C128&amp;"|"&amp;$D128&amp;"|"&amp;AD$14&amp;"|"&amp;"CY2023Q3",Spectrum!$R:$R,0)),0),""))</f>
        <v/>
      </c>
      <c r="AE128" s="90">
        <f t="shared" si="31"/>
        <v>0</v>
      </c>
      <c r="AF128" s="42" t="str">
        <f>IF(LEFT($B128,4)="_Mil","",_xlfn.IFNA(ROUND(INDEX(Spectrum!$N:$N,MATCH(RIGHT($B128,13)&amp;"|"&amp;$C128&amp;"|"&amp;$D128&amp;"|"&amp;AF$14&amp;"|"&amp;"CY2023Q3",Spectrum!$R:$R,0)),0),""))</f>
        <v/>
      </c>
      <c r="AG128" s="90" t="str">
        <f t="shared" si="32"/>
        <v/>
      </c>
      <c r="AH128" s="88" t="str">
        <f>IF(LEFT($B128,4)="_Mil","",_xlfn.IFNA(INDEX(Spectrum!$N:$N,MATCH(RIGHT($B128,13)&amp;"|"&amp;$C128&amp;"|"&amp;$D128&amp;"|"&amp;AH$14&amp;"|"&amp;"CY2023Q3",Spectrum!$R:$R,0)),""))</f>
        <v/>
      </c>
      <c r="AI128" s="14" t="str">
        <f>IF(LEFT($B128,4)="_Mil","",_xlfn.IFNA(ROUND(INDEX(Spectrum!$N:$N,MATCH(RIGHT($B128,13)&amp;"|"&amp;$C128&amp;"|"&amp;$D128&amp;"|"&amp;AI$14&amp;"|"&amp;"CY2023Q3",Spectrum!$R:$R,0)),0),""))</f>
        <v/>
      </c>
      <c r="AJ128" s="42">
        <f>IF(LEFT($B128,4)="_Mil","",_xlfn.IFNA(ROUND(INDEX(Spectrum!$N:$N,MATCH(RIGHT($B128,13)&amp;"|"&amp;$C128&amp;"|"&amp;$D128&amp;"|"&amp;AI$14&amp;"|"&amp;"CY2023Q3",Spectrum!$R:$R,0)),0),SUM($U128)+SUM($AI128)))</f>
        <v>0</v>
      </c>
      <c r="AK128" s="14" t="str">
        <f>IF(LEFT($B128,4)="_Mil","",_xlfn.IFNA(ROUND(INDEX(Spectrum!$N:$N,MATCH(RIGHT($B128,13)&amp;"|"&amp;$C128&amp;"|"&amp;$D128&amp;"|"&amp;AK$14&amp;"|"&amp;"CY2023Q3",Spectrum!$R:$R,0)),0),""))</f>
        <v/>
      </c>
      <c r="AL128" s="90" t="str">
        <f t="shared" si="33"/>
        <v/>
      </c>
      <c r="AM128" s="14" t="str">
        <f t="shared" si="34"/>
        <v/>
      </c>
      <c r="AN128" s="14">
        <f>IF($C128="&lt;01",ROUND(INDEX(EID!$P:$P,MATCH($B128,EID!$B:$B,0))/2,0),"")</f>
        <v>0</v>
      </c>
      <c r="AO128" s="14">
        <f t="shared" si="35"/>
        <v>0</v>
      </c>
      <c r="AP128" s="42">
        <f t="shared" si="36"/>
        <v>0</v>
      </c>
      <c r="AQ128" s="42">
        <f t="shared" si="37"/>
        <v>1065</v>
      </c>
      <c r="AR128" s="90" t="str">
        <f t="shared" si="38"/>
        <v/>
      </c>
      <c r="AS128" s="90" t="str">
        <f t="shared" si="49"/>
        <v/>
      </c>
      <c r="AT128" s="90" t="str">
        <f t="shared" si="49"/>
        <v/>
      </c>
      <c r="AU128" s="14" t="str">
        <f t="shared" si="39"/>
        <v/>
      </c>
      <c r="AV128" s="14">
        <f>IF($C128="&lt;01",ROUND(INDEX(EID!$N:$N,MATCH($B128,EID!$B:$B,0))/2,0),IF(SUM($AT128)=0,"",ROUND((SUM($AP128)-(SUM($O128)*SUM($AS128)))/$AT128,0)))</f>
        <v>0</v>
      </c>
      <c r="AW128" s="90" t="str">
        <f t="shared" si="40"/>
        <v/>
      </c>
      <c r="AX128" s="42">
        <f t="shared" si="41"/>
        <v>0</v>
      </c>
      <c r="AY128" s="116" t="str">
        <f t="shared" si="42"/>
        <v/>
      </c>
      <c r="AZ128" s="93">
        <f>IF($C128="&lt;01",ROUND(INDEX(EID!$R:$R,MATCH($B128,EID!$B:$B,0))/2,0),ROUND(SUM($O128)+(SUM($AV128)*$AY128),0))</f>
        <v>0</v>
      </c>
      <c r="BA128" s="89" t="str">
        <f t="shared" si="43"/>
        <v/>
      </c>
      <c r="BB128" s="9">
        <f>IF($C128="&lt;01",ROUND(INDEX(EID!$T:$T,MATCH($B128,EID!$B:$B,0))/2,0),ROUND($AZ128*$BA128,0))</f>
        <v>0</v>
      </c>
      <c r="BC128" s="93">
        <f t="shared" si="44"/>
        <v>0</v>
      </c>
      <c r="BD128" s="90" t="str">
        <f t="shared" si="45"/>
        <v/>
      </c>
      <c r="BE128" s="42">
        <f>IF($C128="&lt;01",ROUND(INDEX(EID!$V:$V,MATCH($B128,EID!$B:$B,0))/2,0),ROUND($BD128*$BB128,0))</f>
        <v>0</v>
      </c>
      <c r="BF128" s="42">
        <f t="shared" si="46"/>
        <v>0</v>
      </c>
      <c r="BG128" s="116" t="str">
        <f t="shared" si="47"/>
        <v/>
      </c>
      <c r="BH128" s="9">
        <f>IF($C128="&lt;01",ROUND(INDEX(EID!$L:$L,MATCH($B128,EID!$B:$B,0)),0)/2,IF(SUM($BG128)=0,"",ROUND($AX128/$BG128,0)))</f>
        <v>0</v>
      </c>
    </row>
    <row r="129" spans="1:60" x14ac:dyDescent="0.2">
      <c r="A129" t="str">
        <f>INDEX(Prioritization!$D:$D,MATCH($B129,Prioritization!$A:$A,0))</f>
        <v>INVALID</v>
      </c>
      <c r="B129" t="s">
        <v>201</v>
      </c>
      <c r="C129" t="s">
        <v>362</v>
      </c>
      <c r="D129" t="s">
        <v>29</v>
      </c>
      <c r="E129" t="str">
        <f t="shared" si="26"/>
        <v>Ntchisi District [fiRkU6gEjLz]|01-09|Female</v>
      </c>
      <c r="F129" s="14"/>
      <c r="G129" s="14"/>
      <c r="H129" s="14"/>
      <c r="I129" s="14"/>
      <c r="J129" s="14"/>
      <c r="K129" s="14"/>
      <c r="L129" s="14"/>
      <c r="M129" s="14"/>
      <c r="N129" s="14"/>
      <c r="O129" s="14" t="str">
        <f t="shared" si="27"/>
        <v/>
      </c>
      <c r="P129" s="14"/>
      <c r="Q129" s="14"/>
      <c r="R129" s="14" t="str">
        <f t="shared" si="28"/>
        <v/>
      </c>
      <c r="S129" s="14">
        <f>IF(LEFT($B129,4)="_Mil","",_xlfn.IFNA(ROUND(INDEX(Spectrum!$N:$N,MATCH(RIGHT($B129,13)&amp;"|"&amp;$C129&amp;"|"&amp;$D129&amp;"|"&amp;S$14&amp;"|"&amp;"CY2022Q4",Spectrum!$R:$R,0)),0),""))</f>
        <v>1526</v>
      </c>
      <c r="T129" s="42">
        <f>IF(LEFT($B129,4)="_Mil","",_xlfn.IFNA(ROUND(INDEX(Spectrum!$N:$N,MATCH(RIGHT($B129,13)&amp;"|"&amp;$C129&amp;"|"&amp;$D129&amp;"|"&amp;T$14&amp;"|"&amp;"CY2023Q3",Spectrum!$R:$R,0)),0),""))</f>
        <v>1253</v>
      </c>
      <c r="U129" s="42" t="str">
        <f>IF(LEFT($B129,4)="_Mil","",_xlfn.IFNA(ROUND(INDEX(Spectrum!$N:$N,MATCH(RIGHT($B129,13)&amp;"|"&amp;$C129&amp;"|"&amp;$D129&amp;"|"&amp;U$14&amp;"|"&amp;"CY2023Q3",Spectrum!$R:$R,0)),0),""))</f>
        <v/>
      </c>
      <c r="V129" s="14">
        <f>IF(LEFT($B129,4)="_Mil","",_xlfn.IFNA(ROUND(INDEX(Spectrum!$N:$N,MATCH(RIGHT($B129,13)&amp;"|"&amp;$C129&amp;"|"&amp;$D129&amp;"|"&amp;V$14&amp;"|"&amp;"CY2023Q3",Spectrum!$R:$R,0)),0),""))</f>
        <v>1667</v>
      </c>
      <c r="W129" s="115">
        <f>IF(LEFT($B129,4)="_Mil","",_xlfn.IFNA(INDEX(Spectrum!$N:$N,MATCH(RIGHT($B129,13)&amp;"|"&amp;$C129&amp;"|"&amp;$D129&amp;"|"&amp;W$14&amp;"|"&amp;"CY2023Q3",Spectrum!$R:$R,0)),""))</f>
        <v>1341</v>
      </c>
      <c r="X129" s="42">
        <f>IF(LEFT($B129,4)="_Mil","",_xlfn.IFNA(ROUND(INDEX(Spectrum!$N:$N,MATCH(RIGHT($B129,13)&amp;"|"&amp;$C129&amp;"|"&amp;$D129&amp;"|"&amp;X$14&amp;"|"&amp;"CY2023Q3",Spectrum!$R:$R,0)),0),""))</f>
        <v>888</v>
      </c>
      <c r="Y129" s="90" t="str">
        <f t="shared" si="29"/>
        <v/>
      </c>
      <c r="Z129" s="42">
        <f>IF(LEFT($B129,4)="_Mil","",_xlfn.IFNA(ROUND(INDEX(Spectrum!$N:$N,MATCH(RIGHT($B129,13)&amp;"|"&amp;$C129&amp;"|"&amp;$D129&amp;"|"&amp;Z$14&amp;"|"&amp;"CY2023Q3",Spectrum!$R:$R,0)),0),""))</f>
        <v>1310</v>
      </c>
      <c r="AA129" s="90">
        <f>IF(LEFT($B129,4)="_Mil","",IFERROR(1/(1/INDEX(Spectrum!$N:$N,MATCH(RIGHT($B129,13)&amp;"|"&amp;$C129&amp;"|"&amp;$D129&amp;"|"&amp;AA$14&amp;"|"&amp;"CY2023Q3",Spectrum!$R:$R,0))),IF(SUM($U129)=0,"",SUM($Z129)/$U129)))</f>
        <v>1045</v>
      </c>
      <c r="AB129" s="90">
        <f t="shared" si="30"/>
        <v>1.4752252252252251</v>
      </c>
      <c r="AC129" s="14">
        <f>IF(LEFT($B129,4)="_Mil","",_xlfn.IFNA(ROUND(INDEX(Spectrum!$N:$N,MATCH(RIGHT($B129,13)&amp;"|"&amp;$C129&amp;"|"&amp;$D129&amp;"|"&amp;AC$14&amp;"|"&amp;"CY2023Q3",Spectrum!$R:$R,0)),0),""))</f>
        <v>1946</v>
      </c>
      <c r="AD129" s="14" t="str">
        <f>IF(LEFT($B129,4)="_Mil","",_xlfn.IFNA(ROUND(INDEX(Spectrum!$N:$N,MATCH(RIGHT($B129,13)&amp;"|"&amp;$C129&amp;"|"&amp;$D129&amp;"|"&amp;AD$14&amp;"|"&amp;"CY2023Q3",Spectrum!$R:$R,0)),0),""))</f>
        <v/>
      </c>
      <c r="AE129" s="90">
        <f t="shared" si="31"/>
        <v>0</v>
      </c>
      <c r="AF129" s="42" t="str">
        <f>IF(LEFT($B129,4)="_Mil","",_xlfn.IFNA(ROUND(INDEX(Spectrum!$N:$N,MATCH(RIGHT($B129,13)&amp;"|"&amp;$C129&amp;"|"&amp;$D129&amp;"|"&amp;AF$14&amp;"|"&amp;"CY2023Q3",Spectrum!$R:$R,0)),0),""))</f>
        <v/>
      </c>
      <c r="AG129" s="90" t="str">
        <f t="shared" si="32"/>
        <v/>
      </c>
      <c r="AH129" s="88" t="str">
        <f>IF(LEFT($B129,4)="_Mil","",_xlfn.IFNA(INDEX(Spectrum!$N:$N,MATCH(RIGHT($B129,13)&amp;"|"&amp;$C129&amp;"|"&amp;$D129&amp;"|"&amp;AH$14&amp;"|"&amp;"CY2023Q3",Spectrum!$R:$R,0)),""))</f>
        <v/>
      </c>
      <c r="AI129" s="14" t="str">
        <f>IF(LEFT($B129,4)="_Mil","",_xlfn.IFNA(ROUND(INDEX(Spectrum!$N:$N,MATCH(RIGHT($B129,13)&amp;"|"&amp;$C129&amp;"|"&amp;$D129&amp;"|"&amp;AI$14&amp;"|"&amp;"CY2023Q3",Spectrum!$R:$R,0)),0),""))</f>
        <v/>
      </c>
      <c r="AJ129" s="42">
        <f>IF(LEFT($B129,4)="_Mil","",_xlfn.IFNA(ROUND(INDEX(Spectrum!$N:$N,MATCH(RIGHT($B129,13)&amp;"|"&amp;$C129&amp;"|"&amp;$D129&amp;"|"&amp;AI$14&amp;"|"&amp;"CY2023Q3",Spectrum!$R:$R,0)),0),SUM($U129)+SUM($AI129)))</f>
        <v>0</v>
      </c>
      <c r="AK129" s="14" t="str">
        <f>IF(LEFT($B129,4)="_Mil","",_xlfn.IFNA(ROUND(INDEX(Spectrum!$N:$N,MATCH(RIGHT($B129,13)&amp;"|"&amp;$C129&amp;"|"&amp;$D129&amp;"|"&amp;AK$14&amp;"|"&amp;"CY2023Q3",Spectrum!$R:$R,0)),0),""))</f>
        <v/>
      </c>
      <c r="AL129" s="90">
        <f t="shared" si="33"/>
        <v>1045</v>
      </c>
      <c r="AM129" s="14">
        <f t="shared" si="34"/>
        <v>0</v>
      </c>
      <c r="AN129" s="14" t="str">
        <f>IF($C129="&lt;01",ROUND(INDEX(EID!$P:$P,MATCH($B129,EID!$B:$B,0))/2,0),"")</f>
        <v/>
      </c>
      <c r="AO129" s="14">
        <f t="shared" si="35"/>
        <v>0</v>
      </c>
      <c r="AP129" s="42">
        <f t="shared" si="36"/>
        <v>0</v>
      </c>
      <c r="AQ129" s="42">
        <f t="shared" si="37"/>
        <v>1310</v>
      </c>
      <c r="AR129" s="90" t="str">
        <f t="shared" si="38"/>
        <v/>
      </c>
      <c r="AS129" s="90">
        <f t="shared" si="49"/>
        <v>0.98</v>
      </c>
      <c r="AT129" s="90">
        <f t="shared" si="49"/>
        <v>0.98</v>
      </c>
      <c r="AU129" s="14">
        <f t="shared" si="39"/>
        <v>0</v>
      </c>
      <c r="AV129" s="14">
        <f>IF($C129="&lt;01",ROUND(INDEX(EID!$N:$N,MATCH($B129,EID!$B:$B,0))/2,0),IF(SUM($AT129)=0,"",ROUND((SUM($AP129)-(SUM($O129)*SUM($AS129)))/$AT129,0)))</f>
        <v>0</v>
      </c>
      <c r="AW129" s="90">
        <f t="shared" si="40"/>
        <v>1</v>
      </c>
      <c r="AX129" s="42">
        <f t="shared" si="41"/>
        <v>0</v>
      </c>
      <c r="AY129" s="116">
        <f t="shared" si="42"/>
        <v>0.7</v>
      </c>
      <c r="AZ129" s="93">
        <f>IF($C129="&lt;01",ROUND(INDEX(EID!$R:$R,MATCH($B129,EID!$B:$B,0))/2,0),ROUND(SUM($O129)+(SUM($AV129)*$AY129),0))</f>
        <v>0</v>
      </c>
      <c r="BA129" s="89">
        <f t="shared" si="43"/>
        <v>0.95</v>
      </c>
      <c r="BB129" s="9">
        <f>IF($C129="&lt;01",ROUND(INDEX(EID!$T:$T,MATCH($B129,EID!$B:$B,0))/2,0),ROUND($AZ129*$BA129,0))</f>
        <v>0</v>
      </c>
      <c r="BC129" s="93">
        <f t="shared" si="44"/>
        <v>0</v>
      </c>
      <c r="BD129" s="90">
        <f t="shared" si="45"/>
        <v>0.95</v>
      </c>
      <c r="BE129" s="42">
        <f>IF($C129="&lt;01",ROUND(INDEX(EID!$V:$V,MATCH($B129,EID!$B:$B,0))/2,0),ROUND($BD129*$BB129,0))</f>
        <v>0</v>
      </c>
      <c r="BF129" s="42">
        <f t="shared" si="46"/>
        <v>0</v>
      </c>
      <c r="BG129" s="116">
        <f t="shared" si="47"/>
        <v>0.95</v>
      </c>
      <c r="BH129" s="9">
        <f>IF($C129="&lt;01",ROUND(INDEX(EID!$L:$L,MATCH($B129,EID!$B:$B,0)),0)/2,IF(SUM($BG129)=0,"",ROUND($AX129/$BG129,0)))</f>
        <v>0</v>
      </c>
    </row>
    <row r="130" spans="1:60" x14ac:dyDescent="0.2">
      <c r="A130" t="str">
        <f>INDEX(Prioritization!$D:$D,MATCH($B130,Prioritization!$A:$A,0))</f>
        <v>INVALID</v>
      </c>
      <c r="B130" t="s">
        <v>201</v>
      </c>
      <c r="C130" t="s">
        <v>362</v>
      </c>
      <c r="D130" t="s">
        <v>47</v>
      </c>
      <c r="E130" t="str">
        <f t="shared" si="26"/>
        <v>Ntchisi District [fiRkU6gEjLz]|01-09|Male</v>
      </c>
      <c r="F130" s="14"/>
      <c r="G130" s="14"/>
      <c r="H130" s="14"/>
      <c r="I130" s="14"/>
      <c r="J130" s="14"/>
      <c r="K130" s="14"/>
      <c r="L130" s="14"/>
      <c r="M130" s="14"/>
      <c r="N130" s="14"/>
      <c r="O130" s="14" t="str">
        <f t="shared" si="27"/>
        <v/>
      </c>
      <c r="P130" s="14"/>
      <c r="Q130" s="14"/>
      <c r="R130" s="14" t="str">
        <f t="shared" si="28"/>
        <v/>
      </c>
      <c r="S130" s="14">
        <f>IF(LEFT($B130,4)="_Mil","",_xlfn.IFNA(ROUND(INDEX(Spectrum!$N:$N,MATCH(RIGHT($B130,13)&amp;"|"&amp;$C130&amp;"|"&amp;$D130&amp;"|"&amp;S$14&amp;"|"&amp;"CY2022Q4",Spectrum!$R:$R,0)),0),""))</f>
        <v>568</v>
      </c>
      <c r="T130" s="42">
        <f>IF(LEFT($B130,4)="_Mil","",_xlfn.IFNA(ROUND(INDEX(Spectrum!$N:$N,MATCH(RIGHT($B130,13)&amp;"|"&amp;$C130&amp;"|"&amp;$D130&amp;"|"&amp;T$14&amp;"|"&amp;"CY2023Q3",Spectrum!$R:$R,0)),0),""))</f>
        <v>503</v>
      </c>
      <c r="U130" s="42" t="str">
        <f>IF(LEFT($B130,4)="_Mil","",_xlfn.IFNA(ROUND(INDEX(Spectrum!$N:$N,MATCH(RIGHT($B130,13)&amp;"|"&amp;$C130&amp;"|"&amp;$D130&amp;"|"&amp;U$14&amp;"|"&amp;"CY2023Q3",Spectrum!$R:$R,0)),0),""))</f>
        <v/>
      </c>
      <c r="V130" s="14">
        <f>IF(LEFT($B130,4)="_Mil","",_xlfn.IFNA(ROUND(INDEX(Spectrum!$N:$N,MATCH(RIGHT($B130,13)&amp;"|"&amp;$C130&amp;"|"&amp;$D130&amp;"|"&amp;V$14&amp;"|"&amp;"CY2023Q3",Spectrum!$R:$R,0)),0),""))</f>
        <v>1202</v>
      </c>
      <c r="W130" s="115">
        <f>IF(LEFT($B130,4)="_Mil","",_xlfn.IFNA(INDEX(Spectrum!$N:$N,MATCH(RIGHT($B130,13)&amp;"|"&amp;$C130&amp;"|"&amp;$D130&amp;"|"&amp;W$14&amp;"|"&amp;"CY2023Q3",Spectrum!$R:$R,0)),""))</f>
        <v>1001</v>
      </c>
      <c r="X130" s="42">
        <f>IF(LEFT($B130,4)="_Mil","",_xlfn.IFNA(ROUND(INDEX(Spectrum!$N:$N,MATCH(RIGHT($B130,13)&amp;"|"&amp;$C130&amp;"|"&amp;$D130&amp;"|"&amp;X$14&amp;"|"&amp;"CY2023Q3",Spectrum!$R:$R,0)),0),""))</f>
        <v>1707</v>
      </c>
      <c r="Y130" s="90" t="str">
        <f t="shared" si="29"/>
        <v/>
      </c>
      <c r="Z130" s="42">
        <f>IF(LEFT($B130,4)="_Mil","",_xlfn.IFNA(ROUND(INDEX(Spectrum!$N:$N,MATCH(RIGHT($B130,13)&amp;"|"&amp;$C130&amp;"|"&amp;$D130&amp;"|"&amp;Z$14&amp;"|"&amp;"CY2023Q3",Spectrum!$R:$R,0)),0),""))</f>
        <v>1133</v>
      </c>
      <c r="AA130" s="90">
        <f>IF(LEFT($B130,4)="_Mil","",IFERROR(1/(1/INDEX(Spectrum!$N:$N,MATCH(RIGHT($B130,13)&amp;"|"&amp;$C130&amp;"|"&amp;$D130&amp;"|"&amp;AA$14&amp;"|"&amp;"CY2023Q3",Spectrum!$R:$R,0))),IF(SUM($U130)=0,"",SUM($Z130)/$U130)))</f>
        <v>1936</v>
      </c>
      <c r="AB130" s="90">
        <f t="shared" si="30"/>
        <v>0.66373755125951961</v>
      </c>
      <c r="AC130" s="14">
        <f>IF(LEFT($B130,4)="_Mil","",_xlfn.IFNA(ROUND(INDEX(Spectrum!$N:$N,MATCH(RIGHT($B130,13)&amp;"|"&amp;$C130&amp;"|"&amp;$D130&amp;"|"&amp;AC$14&amp;"|"&amp;"CY2023Q3",Spectrum!$R:$R,0)),0),""))</f>
        <v>1473</v>
      </c>
      <c r="AD130" s="14" t="str">
        <f>IF(LEFT($B130,4)="_Mil","",_xlfn.IFNA(ROUND(INDEX(Spectrum!$N:$N,MATCH(RIGHT($B130,13)&amp;"|"&amp;$C130&amp;"|"&amp;$D130&amp;"|"&amp;AD$14&amp;"|"&amp;"CY2023Q3",Spectrum!$R:$R,0)),0),""))</f>
        <v/>
      </c>
      <c r="AE130" s="90">
        <f t="shared" si="31"/>
        <v>0</v>
      </c>
      <c r="AF130" s="42" t="str">
        <f>IF(LEFT($B130,4)="_Mil","",_xlfn.IFNA(ROUND(INDEX(Spectrum!$N:$N,MATCH(RIGHT($B130,13)&amp;"|"&amp;$C130&amp;"|"&amp;$D130&amp;"|"&amp;AF$14&amp;"|"&amp;"CY2023Q3",Spectrum!$R:$R,0)),0),""))</f>
        <v/>
      </c>
      <c r="AG130" s="90" t="str">
        <f t="shared" si="32"/>
        <v/>
      </c>
      <c r="AH130" s="88" t="str">
        <f>IF(LEFT($B130,4)="_Mil","",_xlfn.IFNA(INDEX(Spectrum!$N:$N,MATCH(RIGHT($B130,13)&amp;"|"&amp;$C130&amp;"|"&amp;$D130&amp;"|"&amp;AH$14&amp;"|"&amp;"CY2023Q3",Spectrum!$R:$R,0)),""))</f>
        <v/>
      </c>
      <c r="AI130" s="14" t="str">
        <f>IF(LEFT($B130,4)="_Mil","",_xlfn.IFNA(ROUND(INDEX(Spectrum!$N:$N,MATCH(RIGHT($B130,13)&amp;"|"&amp;$C130&amp;"|"&amp;$D130&amp;"|"&amp;AI$14&amp;"|"&amp;"CY2023Q3",Spectrum!$R:$R,0)),0),""))</f>
        <v/>
      </c>
      <c r="AJ130" s="42">
        <f>IF(LEFT($B130,4)="_Mil","",_xlfn.IFNA(ROUND(INDEX(Spectrum!$N:$N,MATCH(RIGHT($B130,13)&amp;"|"&amp;$C130&amp;"|"&amp;$D130&amp;"|"&amp;AI$14&amp;"|"&amp;"CY2023Q3",Spectrum!$R:$R,0)),0),SUM($U130)+SUM($AI130)))</f>
        <v>0</v>
      </c>
      <c r="AK130" s="14" t="str">
        <f>IF(LEFT($B130,4)="_Mil","",_xlfn.IFNA(ROUND(INDEX(Spectrum!$N:$N,MATCH(RIGHT($B130,13)&amp;"|"&amp;$C130&amp;"|"&amp;$D130&amp;"|"&amp;AK$14&amp;"|"&amp;"CY2023Q3",Spectrum!$R:$R,0)),0),""))</f>
        <v/>
      </c>
      <c r="AL130" s="90">
        <f t="shared" si="33"/>
        <v>1936</v>
      </c>
      <c r="AM130" s="14">
        <f t="shared" si="34"/>
        <v>0</v>
      </c>
      <c r="AN130" s="14" t="str">
        <f>IF($C130="&lt;01",ROUND(INDEX(EID!$P:$P,MATCH($B130,EID!$B:$B,0))/2,0),"")</f>
        <v/>
      </c>
      <c r="AO130" s="14">
        <f t="shared" si="35"/>
        <v>0</v>
      </c>
      <c r="AP130" s="42">
        <f t="shared" si="36"/>
        <v>0</v>
      </c>
      <c r="AQ130" s="42">
        <f t="shared" si="37"/>
        <v>1133</v>
      </c>
      <c r="AR130" s="90" t="str">
        <f t="shared" si="38"/>
        <v/>
      </c>
      <c r="AS130" s="90">
        <f t="shared" si="49"/>
        <v>0.98</v>
      </c>
      <c r="AT130" s="90">
        <f t="shared" si="49"/>
        <v>0.98</v>
      </c>
      <c r="AU130" s="14">
        <f t="shared" si="39"/>
        <v>0</v>
      </c>
      <c r="AV130" s="14">
        <f>IF($C130="&lt;01",ROUND(INDEX(EID!$N:$N,MATCH($B130,EID!$B:$B,0))/2,0),IF(SUM($AT130)=0,"",ROUND((SUM($AP130)-(SUM($O130)*SUM($AS130)))/$AT130,0)))</f>
        <v>0</v>
      </c>
      <c r="AW130" s="90">
        <f t="shared" si="40"/>
        <v>1</v>
      </c>
      <c r="AX130" s="42">
        <f t="shared" si="41"/>
        <v>0</v>
      </c>
      <c r="AY130" s="116">
        <f t="shared" si="42"/>
        <v>0.7</v>
      </c>
      <c r="AZ130" s="93">
        <f>IF($C130="&lt;01",ROUND(INDEX(EID!$R:$R,MATCH($B130,EID!$B:$B,0))/2,0),ROUND(SUM($O130)+(SUM($AV130)*$AY130),0))</f>
        <v>0</v>
      </c>
      <c r="BA130" s="89">
        <f t="shared" si="43"/>
        <v>0.95</v>
      </c>
      <c r="BB130" s="9">
        <f>IF($C130="&lt;01",ROUND(INDEX(EID!$T:$T,MATCH($B130,EID!$B:$B,0))/2,0),ROUND($AZ130*$BA130,0))</f>
        <v>0</v>
      </c>
      <c r="BC130" s="93">
        <f t="shared" si="44"/>
        <v>0</v>
      </c>
      <c r="BD130" s="90">
        <f t="shared" si="45"/>
        <v>0.95</v>
      </c>
      <c r="BE130" s="42">
        <f>IF($C130="&lt;01",ROUND(INDEX(EID!$V:$V,MATCH($B130,EID!$B:$B,0))/2,0),ROUND($BD130*$BB130,0))</f>
        <v>0</v>
      </c>
      <c r="BF130" s="42">
        <f t="shared" si="46"/>
        <v>0</v>
      </c>
      <c r="BG130" s="116">
        <f t="shared" si="47"/>
        <v>0.95</v>
      </c>
      <c r="BH130" s="9">
        <f>IF($C130="&lt;01",ROUND(INDEX(EID!$L:$L,MATCH($B130,EID!$B:$B,0)),0)/2,IF(SUM($BG130)=0,"",ROUND($AX130/$BG130,0)))</f>
        <v>0</v>
      </c>
    </row>
    <row r="131" spans="1:60" x14ac:dyDescent="0.2">
      <c r="A131" t="str">
        <f>INDEX(Prioritization!$D:$D,MATCH($B131,Prioritization!$A:$A,0))</f>
        <v>INVALID</v>
      </c>
      <c r="B131" t="s">
        <v>201</v>
      </c>
      <c r="C131" t="s">
        <v>363</v>
      </c>
      <c r="D131" t="s">
        <v>29</v>
      </c>
      <c r="E131" t="str">
        <f t="shared" si="26"/>
        <v>Ntchisi District [fiRkU6gEjLz]|10-14|Female</v>
      </c>
      <c r="F131" s="14"/>
      <c r="G131" s="14">
        <v>4</v>
      </c>
      <c r="H131" s="14">
        <v>0</v>
      </c>
      <c r="I131" s="14">
        <v>6</v>
      </c>
      <c r="J131" s="14">
        <v>8</v>
      </c>
      <c r="K131" s="14">
        <v>2</v>
      </c>
      <c r="L131" s="14">
        <v>1</v>
      </c>
      <c r="M131" s="14">
        <v>3</v>
      </c>
      <c r="N131" s="14">
        <v>7</v>
      </c>
      <c r="O131" s="14">
        <f t="shared" si="27"/>
        <v>7</v>
      </c>
      <c r="P131" s="14">
        <v>1</v>
      </c>
      <c r="Q131" s="14">
        <v>7</v>
      </c>
      <c r="R131" s="14">
        <f t="shared" si="28"/>
        <v>1</v>
      </c>
      <c r="S131" s="14">
        <f>IF(LEFT($B131,4)="_Mil","",_xlfn.IFNA(ROUND(INDEX(Spectrum!$N:$N,MATCH(RIGHT($B131,13)&amp;"|"&amp;$C131&amp;"|"&amp;$D131&amp;"|"&amp;S$14&amp;"|"&amp;"CY2022Q4",Spectrum!$R:$R,0)),0),""))</f>
        <v>1597</v>
      </c>
      <c r="T131" s="42">
        <f>IF(LEFT($B131,4)="_Mil","",_xlfn.IFNA(ROUND(INDEX(Spectrum!$N:$N,MATCH(RIGHT($B131,13)&amp;"|"&amp;$C131&amp;"|"&amp;$D131&amp;"|"&amp;T$14&amp;"|"&amp;"CY2023Q3",Spectrum!$R:$R,0)),0),""))</f>
        <v>610</v>
      </c>
      <c r="U131" s="42" t="str">
        <f>IF(LEFT($B131,4)="_Mil","",_xlfn.IFNA(ROUND(INDEX(Spectrum!$N:$N,MATCH(RIGHT($B131,13)&amp;"|"&amp;$C131&amp;"|"&amp;$D131&amp;"|"&amp;U$14&amp;"|"&amp;"CY2023Q3",Spectrum!$R:$R,0)),0),""))</f>
        <v/>
      </c>
      <c r="V131" s="14">
        <f>IF(LEFT($B131,4)="_Mil","",_xlfn.IFNA(ROUND(INDEX(Spectrum!$N:$N,MATCH(RIGHT($B131,13)&amp;"|"&amp;$C131&amp;"|"&amp;$D131&amp;"|"&amp;V$14&amp;"|"&amp;"CY2023Q3",Spectrum!$R:$R,0)),0),""))</f>
        <v>1991</v>
      </c>
      <c r="W131" s="115">
        <f>IF(LEFT($B131,4)="_Mil","",_xlfn.IFNA(INDEX(Spectrum!$N:$N,MATCH(RIGHT($B131,13)&amp;"|"&amp;$C131&amp;"|"&amp;$D131&amp;"|"&amp;W$14&amp;"|"&amp;"CY2023Q3",Spectrum!$R:$R,0)),""))</f>
        <v>1056</v>
      </c>
      <c r="X131" s="42">
        <f>IF(LEFT($B131,4)="_Mil","",_xlfn.IFNA(ROUND(INDEX(Spectrum!$N:$N,MATCH(RIGHT($B131,13)&amp;"|"&amp;$C131&amp;"|"&amp;$D131&amp;"|"&amp;X$14&amp;"|"&amp;"CY2023Q3",Spectrum!$R:$R,0)),0),""))</f>
        <v>1372</v>
      </c>
      <c r="Y131" s="90" t="str">
        <f t="shared" si="29"/>
        <v/>
      </c>
      <c r="Z131" s="42">
        <f>IF(LEFT($B131,4)="_Mil","",_xlfn.IFNA(ROUND(INDEX(Spectrum!$N:$N,MATCH(RIGHT($B131,13)&amp;"|"&amp;$C131&amp;"|"&amp;$D131&amp;"|"&amp;Z$14&amp;"|"&amp;"CY2023Q3",Spectrum!$R:$R,0)),0),""))</f>
        <v>574</v>
      </c>
      <c r="AA131" s="90">
        <f>IF(LEFT($B131,4)="_Mil","",IFERROR(1/(1/INDEX(Spectrum!$N:$N,MATCH(RIGHT($B131,13)&amp;"|"&amp;$C131&amp;"|"&amp;$D131&amp;"|"&amp;AA$14&amp;"|"&amp;"CY2023Q3",Spectrum!$R:$R,0))),IF(SUM($U131)=0,"",SUM($Z131)/$U131)))</f>
        <v>1332</v>
      </c>
      <c r="AB131" s="90">
        <f t="shared" si="30"/>
        <v>0.41836734693877553</v>
      </c>
      <c r="AC131" s="14">
        <f>IF(LEFT($B131,4)="_Mil","",_xlfn.IFNA(ROUND(INDEX(Spectrum!$N:$N,MATCH(RIGHT($B131,13)&amp;"|"&amp;$C131&amp;"|"&amp;$D131&amp;"|"&amp;AC$14&amp;"|"&amp;"CY2023Q3",Spectrum!$R:$R,0)),0),""))</f>
        <v>960</v>
      </c>
      <c r="AD131" s="14" t="str">
        <f>IF(LEFT($B131,4)="_Mil","",_xlfn.IFNA(ROUND(INDEX(Spectrum!$N:$N,MATCH(RIGHT($B131,13)&amp;"|"&amp;$C131&amp;"|"&amp;$D131&amp;"|"&amp;AD$14&amp;"|"&amp;"CY2023Q3",Spectrum!$R:$R,0)),0),""))</f>
        <v/>
      </c>
      <c r="AE131" s="90">
        <f t="shared" si="31"/>
        <v>0</v>
      </c>
      <c r="AF131" s="42" t="str">
        <f>IF(LEFT($B131,4)="_Mil","",_xlfn.IFNA(ROUND(INDEX(Spectrum!$N:$N,MATCH(RIGHT($B131,13)&amp;"|"&amp;$C131&amp;"|"&amp;$D131&amp;"|"&amp;AF$14&amp;"|"&amp;"CY2023Q3",Spectrum!$R:$R,0)),0),""))</f>
        <v/>
      </c>
      <c r="AG131" s="90" t="str">
        <f t="shared" si="32"/>
        <v/>
      </c>
      <c r="AH131" s="88" t="str">
        <f>IF(LEFT($B131,4)="_Mil","",_xlfn.IFNA(INDEX(Spectrum!$N:$N,MATCH(RIGHT($B131,13)&amp;"|"&amp;$C131&amp;"|"&amp;$D131&amp;"|"&amp;AH$14&amp;"|"&amp;"CY2023Q3",Spectrum!$R:$R,0)),""))</f>
        <v/>
      </c>
      <c r="AI131" s="14" t="str">
        <f>IF(LEFT($B131,4)="_Mil","",_xlfn.IFNA(ROUND(INDEX(Spectrum!$N:$N,MATCH(RIGHT($B131,13)&amp;"|"&amp;$C131&amp;"|"&amp;$D131&amp;"|"&amp;AI$14&amp;"|"&amp;"CY2023Q3",Spectrum!$R:$R,0)),0),""))</f>
        <v/>
      </c>
      <c r="AJ131" s="42">
        <f>IF(LEFT($B131,4)="_Mil","",_xlfn.IFNA(ROUND(INDEX(Spectrum!$N:$N,MATCH(RIGHT($B131,13)&amp;"|"&amp;$C131&amp;"|"&amp;$D131&amp;"|"&amp;AI$14&amp;"|"&amp;"CY2023Q3",Spectrum!$R:$R,0)),0),SUM($U131)+SUM($AI131)))</f>
        <v>0</v>
      </c>
      <c r="AK131" s="14" t="str">
        <f>IF(LEFT($B131,4)="_Mil","",_xlfn.IFNA(ROUND(INDEX(Spectrum!$N:$N,MATCH(RIGHT($B131,13)&amp;"|"&amp;$C131&amp;"|"&amp;$D131&amp;"|"&amp;AK$14&amp;"|"&amp;"CY2023Q3",Spectrum!$R:$R,0)),0),""))</f>
        <v/>
      </c>
      <c r="AL131" s="90">
        <f t="shared" si="33"/>
        <v>1332</v>
      </c>
      <c r="AM131" s="14">
        <f t="shared" si="34"/>
        <v>0</v>
      </c>
      <c r="AN131" s="14" t="str">
        <f>IF($C131="&lt;01",ROUND(INDEX(EID!$P:$P,MATCH($B131,EID!$B:$B,0))/2,0),"")</f>
        <v/>
      </c>
      <c r="AO131" s="14">
        <f t="shared" si="35"/>
        <v>0</v>
      </c>
      <c r="AP131" s="42">
        <f t="shared" si="36"/>
        <v>0</v>
      </c>
      <c r="AQ131" s="42">
        <f t="shared" si="37"/>
        <v>574</v>
      </c>
      <c r="AR131" s="90" t="str">
        <f t="shared" si="38"/>
        <v/>
      </c>
      <c r="AS131" s="90">
        <f t="shared" si="49"/>
        <v>0.98</v>
      </c>
      <c r="AT131" s="90">
        <f t="shared" si="49"/>
        <v>0.98</v>
      </c>
      <c r="AU131" s="14">
        <f t="shared" si="39"/>
        <v>-7</v>
      </c>
      <c r="AV131" s="14">
        <f>IF($C131="&lt;01",ROUND(INDEX(EID!$N:$N,MATCH($B131,EID!$B:$B,0))/2,0),IF(SUM($AT131)=0,"",ROUND((SUM($AP131)-(SUM($O131)*SUM($AS131)))/$AT131,0)))</f>
        <v>-7</v>
      </c>
      <c r="AW131" s="90">
        <f t="shared" si="40"/>
        <v>1</v>
      </c>
      <c r="AX131" s="42">
        <f t="shared" si="41"/>
        <v>-7</v>
      </c>
      <c r="AY131" s="116">
        <f t="shared" si="42"/>
        <v>0.7</v>
      </c>
      <c r="AZ131" s="93">
        <f>IF($C131="&lt;01",ROUND(INDEX(EID!$R:$R,MATCH($B131,EID!$B:$B,0))/2,0),ROUND(SUM($O131)+(SUM($AV131)*$AY131),0))</f>
        <v>2</v>
      </c>
      <c r="BA131" s="89">
        <f t="shared" si="43"/>
        <v>0.95</v>
      </c>
      <c r="BB131" s="9">
        <f>IF($C131="&lt;01",ROUND(INDEX(EID!$T:$T,MATCH($B131,EID!$B:$B,0))/2,0),ROUND($AZ131*$BA131,0))</f>
        <v>2</v>
      </c>
      <c r="BC131" s="93">
        <f t="shared" si="44"/>
        <v>2</v>
      </c>
      <c r="BD131" s="90">
        <f t="shared" si="45"/>
        <v>0.95</v>
      </c>
      <c r="BE131" s="42">
        <f>IF($C131="&lt;01",ROUND(INDEX(EID!$V:$V,MATCH($B131,EID!$B:$B,0))/2,0),ROUND($BD131*$BB131,0))</f>
        <v>2</v>
      </c>
      <c r="BF131" s="42">
        <f t="shared" si="46"/>
        <v>2</v>
      </c>
      <c r="BG131" s="116">
        <f t="shared" si="47"/>
        <v>0.95</v>
      </c>
      <c r="BH131" s="9">
        <f>IF($C131="&lt;01",ROUND(INDEX(EID!$L:$L,MATCH($B131,EID!$B:$B,0)),0)/2,IF(SUM($BG131)=0,"",ROUND($AX131/$BG131,0)))</f>
        <v>-7</v>
      </c>
    </row>
    <row r="132" spans="1:60" x14ac:dyDescent="0.2">
      <c r="A132" t="str">
        <f>INDEX(Prioritization!$D:$D,MATCH($B132,Prioritization!$A:$A,0))</f>
        <v>INVALID</v>
      </c>
      <c r="B132" t="s">
        <v>201</v>
      </c>
      <c r="C132" t="s">
        <v>363</v>
      </c>
      <c r="D132" t="s">
        <v>47</v>
      </c>
      <c r="E132" t="str">
        <f t="shared" si="26"/>
        <v>Ntchisi District [fiRkU6gEjLz]|10-14|Male</v>
      </c>
      <c r="F132" s="14"/>
      <c r="G132" s="14">
        <v>7</v>
      </c>
      <c r="H132" s="14">
        <v>1</v>
      </c>
      <c r="I132" s="14">
        <v>10</v>
      </c>
      <c r="J132" s="14">
        <v>5</v>
      </c>
      <c r="K132" s="14">
        <v>8</v>
      </c>
      <c r="L132" s="14">
        <v>3</v>
      </c>
      <c r="M132" s="14">
        <v>7</v>
      </c>
      <c r="N132" s="14">
        <v>5</v>
      </c>
      <c r="O132" s="14">
        <f t="shared" si="27"/>
        <v>10</v>
      </c>
      <c r="P132" s="14">
        <v>3</v>
      </c>
      <c r="Q132" s="14">
        <v>4</v>
      </c>
      <c r="R132" s="14">
        <f t="shared" si="28"/>
        <v>0</v>
      </c>
      <c r="S132" s="14">
        <f>IF(LEFT($B132,4)="_Mil","",_xlfn.IFNA(ROUND(INDEX(Spectrum!$N:$N,MATCH(RIGHT($B132,13)&amp;"|"&amp;$C132&amp;"|"&amp;$D132&amp;"|"&amp;S$14&amp;"|"&amp;"CY2022Q4",Spectrum!$R:$R,0)),0),""))</f>
        <v>1190</v>
      </c>
      <c r="T132" s="42">
        <f>IF(LEFT($B132,4)="_Mil","",_xlfn.IFNA(ROUND(INDEX(Spectrum!$N:$N,MATCH(RIGHT($B132,13)&amp;"|"&amp;$C132&amp;"|"&amp;$D132&amp;"|"&amp;T$14&amp;"|"&amp;"CY2023Q3",Spectrum!$R:$R,0)),0),""))</f>
        <v>1127</v>
      </c>
      <c r="U132" s="42" t="str">
        <f>IF(LEFT($B132,4)="_Mil","",_xlfn.IFNA(ROUND(INDEX(Spectrum!$N:$N,MATCH(RIGHT($B132,13)&amp;"|"&amp;$C132&amp;"|"&amp;$D132&amp;"|"&amp;U$14&amp;"|"&amp;"CY2023Q3",Spectrum!$R:$R,0)),0),""))</f>
        <v/>
      </c>
      <c r="V132" s="14">
        <f>IF(LEFT($B132,4)="_Mil","",_xlfn.IFNA(ROUND(INDEX(Spectrum!$N:$N,MATCH(RIGHT($B132,13)&amp;"|"&amp;$C132&amp;"|"&amp;$D132&amp;"|"&amp;V$14&amp;"|"&amp;"CY2023Q3",Spectrum!$R:$R,0)),0),""))</f>
        <v>1565</v>
      </c>
      <c r="W132" s="115">
        <f>IF(LEFT($B132,4)="_Mil","",_xlfn.IFNA(INDEX(Spectrum!$N:$N,MATCH(RIGHT($B132,13)&amp;"|"&amp;$C132&amp;"|"&amp;$D132&amp;"|"&amp;W$14&amp;"|"&amp;"CY2023Q3",Spectrum!$R:$R,0)),""))</f>
        <v>1662</v>
      </c>
      <c r="X132" s="42">
        <f>IF(LEFT($B132,4)="_Mil","",_xlfn.IFNA(ROUND(INDEX(Spectrum!$N:$N,MATCH(RIGHT($B132,13)&amp;"|"&amp;$C132&amp;"|"&amp;$D132&amp;"|"&amp;X$14&amp;"|"&amp;"CY2023Q3",Spectrum!$R:$R,0)),0),""))</f>
        <v>1277</v>
      </c>
      <c r="Y132" s="90" t="str">
        <f t="shared" si="29"/>
        <v/>
      </c>
      <c r="Z132" s="42">
        <f>IF(LEFT($B132,4)="_Mil","",_xlfn.IFNA(ROUND(INDEX(Spectrum!$N:$N,MATCH(RIGHT($B132,13)&amp;"|"&amp;$C132&amp;"|"&amp;$D132&amp;"|"&amp;Z$14&amp;"|"&amp;"CY2023Q3",Spectrum!$R:$R,0)),0),""))</f>
        <v>1987</v>
      </c>
      <c r="AA132" s="90">
        <f>IF(LEFT($B132,4)="_Mil","",IFERROR(1/(1/INDEX(Spectrum!$N:$N,MATCH(RIGHT($B132,13)&amp;"|"&amp;$C132&amp;"|"&amp;$D132&amp;"|"&amp;AA$14&amp;"|"&amp;"CY2023Q3",Spectrum!$R:$R,0))),IF(SUM($U132)=0,"",SUM($Z132)/$U132)))</f>
        <v>1561</v>
      </c>
      <c r="AB132" s="90">
        <f t="shared" si="30"/>
        <v>1.5559906029757244</v>
      </c>
      <c r="AC132" s="14">
        <f>IF(LEFT($B132,4)="_Mil","",_xlfn.IFNA(ROUND(INDEX(Spectrum!$N:$N,MATCH(RIGHT($B132,13)&amp;"|"&amp;$C132&amp;"|"&amp;$D132&amp;"|"&amp;AC$14&amp;"|"&amp;"CY2023Q3",Spectrum!$R:$R,0)),0),""))</f>
        <v>1947</v>
      </c>
      <c r="AD132" s="14" t="str">
        <f>IF(LEFT($B132,4)="_Mil","",_xlfn.IFNA(ROUND(INDEX(Spectrum!$N:$N,MATCH(RIGHT($B132,13)&amp;"|"&amp;$C132&amp;"|"&amp;$D132&amp;"|"&amp;AD$14&amp;"|"&amp;"CY2023Q3",Spectrum!$R:$R,0)),0),""))</f>
        <v/>
      </c>
      <c r="AE132" s="90">
        <f t="shared" si="31"/>
        <v>0</v>
      </c>
      <c r="AF132" s="42" t="str">
        <f>IF(LEFT($B132,4)="_Mil","",_xlfn.IFNA(ROUND(INDEX(Spectrum!$N:$N,MATCH(RIGHT($B132,13)&amp;"|"&amp;$C132&amp;"|"&amp;$D132&amp;"|"&amp;AF$14&amp;"|"&amp;"CY2023Q3",Spectrum!$R:$R,0)),0),""))</f>
        <v/>
      </c>
      <c r="AG132" s="90" t="str">
        <f t="shared" si="32"/>
        <v/>
      </c>
      <c r="AH132" s="88" t="str">
        <f>IF(LEFT($B132,4)="_Mil","",_xlfn.IFNA(INDEX(Spectrum!$N:$N,MATCH(RIGHT($B132,13)&amp;"|"&amp;$C132&amp;"|"&amp;$D132&amp;"|"&amp;AH$14&amp;"|"&amp;"CY2023Q3",Spectrum!$R:$R,0)),""))</f>
        <v/>
      </c>
      <c r="AI132" s="14" t="str">
        <f>IF(LEFT($B132,4)="_Mil","",_xlfn.IFNA(ROUND(INDEX(Spectrum!$N:$N,MATCH(RIGHT($B132,13)&amp;"|"&amp;$C132&amp;"|"&amp;$D132&amp;"|"&amp;AI$14&amp;"|"&amp;"CY2023Q3",Spectrum!$R:$R,0)),0),""))</f>
        <v/>
      </c>
      <c r="AJ132" s="42">
        <f>IF(LEFT($B132,4)="_Mil","",_xlfn.IFNA(ROUND(INDEX(Spectrum!$N:$N,MATCH(RIGHT($B132,13)&amp;"|"&amp;$C132&amp;"|"&amp;$D132&amp;"|"&amp;AI$14&amp;"|"&amp;"CY2023Q3",Spectrum!$R:$R,0)),0),SUM($U132)+SUM($AI132)))</f>
        <v>0</v>
      </c>
      <c r="AK132" s="14" t="str">
        <f>IF(LEFT($B132,4)="_Mil","",_xlfn.IFNA(ROUND(INDEX(Spectrum!$N:$N,MATCH(RIGHT($B132,13)&amp;"|"&amp;$C132&amp;"|"&amp;$D132&amp;"|"&amp;AK$14&amp;"|"&amp;"CY2023Q3",Spectrum!$R:$R,0)),0),""))</f>
        <v/>
      </c>
      <c r="AL132" s="90">
        <f t="shared" si="33"/>
        <v>1561</v>
      </c>
      <c r="AM132" s="14">
        <f t="shared" si="34"/>
        <v>0</v>
      </c>
      <c r="AN132" s="14" t="str">
        <f>IF($C132="&lt;01",ROUND(INDEX(EID!$P:$P,MATCH($B132,EID!$B:$B,0))/2,0),"")</f>
        <v/>
      </c>
      <c r="AO132" s="14">
        <f t="shared" si="35"/>
        <v>0</v>
      </c>
      <c r="AP132" s="42">
        <f t="shared" si="36"/>
        <v>0</v>
      </c>
      <c r="AQ132" s="42">
        <f t="shared" si="37"/>
        <v>1987</v>
      </c>
      <c r="AR132" s="90" t="str">
        <f t="shared" si="38"/>
        <v/>
      </c>
      <c r="AS132" s="90">
        <f t="shared" si="49"/>
        <v>0.98</v>
      </c>
      <c r="AT132" s="90">
        <f t="shared" si="49"/>
        <v>0.98</v>
      </c>
      <c r="AU132" s="14">
        <f t="shared" si="39"/>
        <v>-10</v>
      </c>
      <c r="AV132" s="14">
        <f>IF($C132="&lt;01",ROUND(INDEX(EID!$N:$N,MATCH($B132,EID!$B:$B,0))/2,0),IF(SUM($AT132)=0,"",ROUND((SUM($AP132)-(SUM($O132)*SUM($AS132)))/$AT132,0)))</f>
        <v>-10</v>
      </c>
      <c r="AW132" s="90">
        <f t="shared" si="40"/>
        <v>1</v>
      </c>
      <c r="AX132" s="42">
        <f t="shared" si="41"/>
        <v>-10</v>
      </c>
      <c r="AY132" s="116">
        <f t="shared" si="42"/>
        <v>0.7</v>
      </c>
      <c r="AZ132" s="93">
        <f>IF($C132="&lt;01",ROUND(INDEX(EID!$R:$R,MATCH($B132,EID!$B:$B,0))/2,0),ROUND(SUM($O132)+(SUM($AV132)*$AY132),0))</f>
        <v>3</v>
      </c>
      <c r="BA132" s="89">
        <f t="shared" si="43"/>
        <v>0.95</v>
      </c>
      <c r="BB132" s="9">
        <f>IF($C132="&lt;01",ROUND(INDEX(EID!$T:$T,MATCH($B132,EID!$B:$B,0))/2,0),ROUND($AZ132*$BA132,0))</f>
        <v>3</v>
      </c>
      <c r="BC132" s="93">
        <f t="shared" si="44"/>
        <v>3</v>
      </c>
      <c r="BD132" s="90">
        <f t="shared" si="45"/>
        <v>0.95</v>
      </c>
      <c r="BE132" s="42">
        <f>IF($C132="&lt;01",ROUND(INDEX(EID!$V:$V,MATCH($B132,EID!$B:$B,0))/2,0),ROUND($BD132*$BB132,0))</f>
        <v>3</v>
      </c>
      <c r="BF132" s="42">
        <f t="shared" si="46"/>
        <v>3</v>
      </c>
      <c r="BG132" s="116">
        <f t="shared" si="47"/>
        <v>0.95</v>
      </c>
      <c r="BH132" s="9">
        <f>IF($C132="&lt;01",ROUND(INDEX(EID!$L:$L,MATCH($B132,EID!$B:$B,0)),0)/2,IF(SUM($BG132)=0,"",ROUND($AX132/$BG132,0)))</f>
        <v>-11</v>
      </c>
    </row>
    <row r="133" spans="1:60" x14ac:dyDescent="0.2">
      <c r="A133" t="str">
        <f>INDEX(Prioritization!$D:$D,MATCH($B133,Prioritization!$A:$A,0))</f>
        <v>INVALID</v>
      </c>
      <c r="B133" t="s">
        <v>201</v>
      </c>
      <c r="C133" t="s">
        <v>364</v>
      </c>
      <c r="D133" t="s">
        <v>29</v>
      </c>
      <c r="E133" t="str">
        <f t="shared" si="26"/>
        <v>Ntchisi District [fiRkU6gEjLz]|15-24|Female</v>
      </c>
      <c r="F133" s="14"/>
      <c r="G133" s="14"/>
      <c r="H133" s="14"/>
      <c r="I133" s="14"/>
      <c r="J133" s="14"/>
      <c r="K133" s="14"/>
      <c r="L133" s="14"/>
      <c r="M133" s="14"/>
      <c r="N133" s="14"/>
      <c r="O133" s="14" t="str">
        <f t="shared" si="27"/>
        <v/>
      </c>
      <c r="P133" s="14"/>
      <c r="Q133" s="14"/>
      <c r="R133" s="14" t="str">
        <f t="shared" si="28"/>
        <v/>
      </c>
      <c r="S133" s="14">
        <f>IF(LEFT($B133,4)="_Mil","",_xlfn.IFNA(ROUND(INDEX(Spectrum!$N:$N,MATCH(RIGHT($B133,13)&amp;"|"&amp;$C133&amp;"|"&amp;$D133&amp;"|"&amp;S$14&amp;"|"&amp;"CY2022Q4",Spectrum!$R:$R,0)),0),""))</f>
        <v>897</v>
      </c>
      <c r="T133" s="42">
        <f>IF(LEFT($B133,4)="_Mil","",_xlfn.IFNA(ROUND(INDEX(Spectrum!$N:$N,MATCH(RIGHT($B133,13)&amp;"|"&amp;$C133&amp;"|"&amp;$D133&amp;"|"&amp;T$14&amp;"|"&amp;"CY2023Q3",Spectrum!$R:$R,0)),0),""))</f>
        <v>677</v>
      </c>
      <c r="U133" s="42" t="str">
        <f>IF(LEFT($B133,4)="_Mil","",_xlfn.IFNA(ROUND(INDEX(Spectrum!$N:$N,MATCH(RIGHT($B133,13)&amp;"|"&amp;$C133&amp;"|"&amp;$D133&amp;"|"&amp;U$14&amp;"|"&amp;"CY2023Q3",Spectrum!$R:$R,0)),0),""))</f>
        <v/>
      </c>
      <c r="V133" s="14">
        <f>IF(LEFT($B133,4)="_Mil","",_xlfn.IFNA(ROUND(INDEX(Spectrum!$N:$N,MATCH(RIGHT($B133,13)&amp;"|"&amp;$C133&amp;"|"&amp;$D133&amp;"|"&amp;V$14&amp;"|"&amp;"CY2023Q3",Spectrum!$R:$R,0)),0),""))</f>
        <v>1220</v>
      </c>
      <c r="W133" s="115">
        <f>IF(LEFT($B133,4)="_Mil","",_xlfn.IFNA(INDEX(Spectrum!$N:$N,MATCH(RIGHT($B133,13)&amp;"|"&amp;$C133&amp;"|"&amp;$D133&amp;"|"&amp;W$14&amp;"|"&amp;"CY2023Q3",Spectrum!$R:$R,0)),""))</f>
        <v>633</v>
      </c>
      <c r="X133" s="42">
        <f>IF(LEFT($B133,4)="_Mil","",_xlfn.IFNA(ROUND(INDEX(Spectrum!$N:$N,MATCH(RIGHT($B133,13)&amp;"|"&amp;$C133&amp;"|"&amp;$D133&amp;"|"&amp;X$14&amp;"|"&amp;"CY2023Q3",Spectrum!$R:$R,0)),0),""))</f>
        <v>1684</v>
      </c>
      <c r="Y133" s="90" t="str">
        <f t="shared" si="29"/>
        <v/>
      </c>
      <c r="Z133" s="42">
        <f>IF(LEFT($B133,4)="_Mil","",_xlfn.IFNA(ROUND(INDEX(Spectrum!$N:$N,MATCH(RIGHT($B133,13)&amp;"|"&amp;$C133&amp;"|"&amp;$D133&amp;"|"&amp;Z$14&amp;"|"&amp;"CY2023Q3",Spectrum!$R:$R,0)),0),""))</f>
        <v>639</v>
      </c>
      <c r="AA133" s="90">
        <f>IF(LEFT($B133,4)="_Mil","",IFERROR(1/(1/INDEX(Spectrum!$N:$N,MATCH(RIGHT($B133,13)&amp;"|"&amp;$C133&amp;"|"&amp;$D133&amp;"|"&amp;AA$14&amp;"|"&amp;"CY2023Q3",Spectrum!$R:$R,0))),IF(SUM($U133)=0,"",SUM($Z133)/$U133)))</f>
        <v>630</v>
      </c>
      <c r="AB133" s="90">
        <f t="shared" si="30"/>
        <v>0.37945368171021376</v>
      </c>
      <c r="AC133" s="14">
        <f>IF(LEFT($B133,4)="_Mil","",_xlfn.IFNA(ROUND(INDEX(Spectrum!$N:$N,MATCH(RIGHT($B133,13)&amp;"|"&amp;$C133&amp;"|"&amp;$D133&amp;"|"&amp;AC$14&amp;"|"&amp;"CY2023Q3",Spectrum!$R:$R,0)),0),""))</f>
        <v>1240</v>
      </c>
      <c r="AD133" s="14" t="str">
        <f>IF(LEFT($B133,4)="_Mil","",_xlfn.IFNA(ROUND(INDEX(Spectrum!$N:$N,MATCH(RIGHT($B133,13)&amp;"|"&amp;$C133&amp;"|"&amp;$D133&amp;"|"&amp;AD$14&amp;"|"&amp;"CY2023Q3",Spectrum!$R:$R,0)),0),""))</f>
        <v/>
      </c>
      <c r="AE133" s="90">
        <f t="shared" si="31"/>
        <v>0</v>
      </c>
      <c r="AF133" s="42" t="str">
        <f>IF(LEFT($B133,4)="_Mil","",_xlfn.IFNA(ROUND(INDEX(Spectrum!$N:$N,MATCH(RIGHT($B133,13)&amp;"|"&amp;$C133&amp;"|"&amp;$D133&amp;"|"&amp;AF$14&amp;"|"&amp;"CY2023Q3",Spectrum!$R:$R,0)),0),""))</f>
        <v/>
      </c>
      <c r="AG133" s="90" t="str">
        <f t="shared" si="32"/>
        <v/>
      </c>
      <c r="AH133" s="88" t="str">
        <f>IF(LEFT($B133,4)="_Mil","",_xlfn.IFNA(INDEX(Spectrum!$N:$N,MATCH(RIGHT($B133,13)&amp;"|"&amp;$C133&amp;"|"&amp;$D133&amp;"|"&amp;AH$14&amp;"|"&amp;"CY2023Q3",Spectrum!$R:$R,0)),""))</f>
        <v/>
      </c>
      <c r="AI133" s="14" t="str">
        <f>IF(LEFT($B133,4)="_Mil","",_xlfn.IFNA(ROUND(INDEX(Spectrum!$N:$N,MATCH(RIGHT($B133,13)&amp;"|"&amp;$C133&amp;"|"&amp;$D133&amp;"|"&amp;AI$14&amp;"|"&amp;"CY2023Q3",Spectrum!$R:$R,0)),0),""))</f>
        <v/>
      </c>
      <c r="AJ133" s="42">
        <f>IF(LEFT($B133,4)="_Mil","",_xlfn.IFNA(ROUND(INDEX(Spectrum!$N:$N,MATCH(RIGHT($B133,13)&amp;"|"&amp;$C133&amp;"|"&amp;$D133&amp;"|"&amp;AI$14&amp;"|"&amp;"CY2023Q3",Spectrum!$R:$R,0)),0),SUM($U133)+SUM($AI133)))</f>
        <v>0</v>
      </c>
      <c r="AK133" s="14" t="str">
        <f>IF(LEFT($B133,4)="_Mil","",_xlfn.IFNA(ROUND(INDEX(Spectrum!$N:$N,MATCH(RIGHT($B133,13)&amp;"|"&amp;$C133&amp;"|"&amp;$D133&amp;"|"&amp;AK$14&amp;"|"&amp;"CY2023Q3",Spectrum!$R:$R,0)),0),""))</f>
        <v/>
      </c>
      <c r="AL133" s="90">
        <f t="shared" si="33"/>
        <v>630</v>
      </c>
      <c r="AM133" s="14">
        <f t="shared" si="34"/>
        <v>0</v>
      </c>
      <c r="AN133" s="14" t="str">
        <f>IF($C133="&lt;01",ROUND(INDEX(EID!$P:$P,MATCH($B133,EID!$B:$B,0))/2,0),"")</f>
        <v/>
      </c>
      <c r="AO133" s="14">
        <f t="shared" si="35"/>
        <v>0</v>
      </c>
      <c r="AP133" s="42">
        <f t="shared" si="36"/>
        <v>0</v>
      </c>
      <c r="AQ133" s="42">
        <f t="shared" si="37"/>
        <v>639</v>
      </c>
      <c r="AR133" s="90" t="str">
        <f t="shared" si="38"/>
        <v/>
      </c>
      <c r="AS133" s="90">
        <f t="shared" si="49"/>
        <v>0.98</v>
      </c>
      <c r="AT133" s="90">
        <f t="shared" si="49"/>
        <v>0.98</v>
      </c>
      <c r="AU133" s="14">
        <f t="shared" si="39"/>
        <v>0</v>
      </c>
      <c r="AV133" s="14">
        <f>IF($C133="&lt;01",ROUND(INDEX(EID!$N:$N,MATCH($B133,EID!$B:$B,0))/2,0),IF(SUM($AT133)=0,"",ROUND((SUM($AP133)-(SUM($O133)*SUM($AS133)))/$AT133,0)))</f>
        <v>0</v>
      </c>
      <c r="AW133" s="90">
        <f t="shared" si="40"/>
        <v>1</v>
      </c>
      <c r="AX133" s="42">
        <f t="shared" si="41"/>
        <v>0</v>
      </c>
      <c r="AY133" s="116">
        <f t="shared" si="42"/>
        <v>0.7</v>
      </c>
      <c r="AZ133" s="93">
        <f>IF($C133="&lt;01",ROUND(INDEX(EID!$R:$R,MATCH($B133,EID!$B:$B,0))/2,0),ROUND(SUM($O133)+(SUM($AV133)*$AY133),0))</f>
        <v>0</v>
      </c>
      <c r="BA133" s="89">
        <f t="shared" si="43"/>
        <v>0.95</v>
      </c>
      <c r="BB133" s="9">
        <f>IF($C133="&lt;01",ROUND(INDEX(EID!$T:$T,MATCH($B133,EID!$B:$B,0))/2,0),ROUND($AZ133*$BA133,0))</f>
        <v>0</v>
      </c>
      <c r="BC133" s="93">
        <f t="shared" si="44"/>
        <v>0</v>
      </c>
      <c r="BD133" s="90">
        <f t="shared" si="45"/>
        <v>0.95</v>
      </c>
      <c r="BE133" s="42">
        <f>IF($C133="&lt;01",ROUND(INDEX(EID!$V:$V,MATCH($B133,EID!$B:$B,0))/2,0),ROUND($BD133*$BB133,0))</f>
        <v>0</v>
      </c>
      <c r="BF133" s="42">
        <f t="shared" si="46"/>
        <v>0</v>
      </c>
      <c r="BG133" s="116">
        <f t="shared" si="47"/>
        <v>0.95</v>
      </c>
      <c r="BH133" s="9">
        <f>IF($C133="&lt;01",ROUND(INDEX(EID!$L:$L,MATCH($B133,EID!$B:$B,0)),0)/2,IF(SUM($BG133)=0,"",ROUND($AX133/$BG133,0)))</f>
        <v>0</v>
      </c>
    </row>
    <row r="134" spans="1:60" x14ac:dyDescent="0.2">
      <c r="A134" t="str">
        <f>INDEX(Prioritization!$D:$D,MATCH($B134,Prioritization!$A:$A,0))</f>
        <v>INVALID</v>
      </c>
      <c r="B134" t="s">
        <v>201</v>
      </c>
      <c r="C134" t="s">
        <v>364</v>
      </c>
      <c r="D134" t="s">
        <v>47</v>
      </c>
      <c r="E134" t="str">
        <f t="shared" si="26"/>
        <v>Ntchisi District [fiRkU6gEjLz]|15-24|Male</v>
      </c>
      <c r="F134" s="14"/>
      <c r="G134" s="14"/>
      <c r="H134" s="14"/>
      <c r="I134" s="14"/>
      <c r="J134" s="14"/>
      <c r="K134" s="14"/>
      <c r="L134" s="14"/>
      <c r="M134" s="14"/>
      <c r="N134" s="14"/>
      <c r="O134" s="14" t="str">
        <f t="shared" si="27"/>
        <v/>
      </c>
      <c r="P134" s="14"/>
      <c r="Q134" s="14"/>
      <c r="R134" s="14" t="str">
        <f t="shared" si="28"/>
        <v/>
      </c>
      <c r="S134" s="14">
        <f>IF(LEFT($B134,4)="_Mil","",_xlfn.IFNA(ROUND(INDEX(Spectrum!$N:$N,MATCH(RIGHT($B134,13)&amp;"|"&amp;$C134&amp;"|"&amp;$D134&amp;"|"&amp;S$14&amp;"|"&amp;"CY2022Q4",Spectrum!$R:$R,0)),0),""))</f>
        <v>1148</v>
      </c>
      <c r="T134" s="42">
        <f>IF(LEFT($B134,4)="_Mil","",_xlfn.IFNA(ROUND(INDEX(Spectrum!$N:$N,MATCH(RIGHT($B134,13)&amp;"|"&amp;$C134&amp;"|"&amp;$D134&amp;"|"&amp;T$14&amp;"|"&amp;"CY2023Q3",Spectrum!$R:$R,0)),0),""))</f>
        <v>1940</v>
      </c>
      <c r="U134" s="42" t="str">
        <f>IF(LEFT($B134,4)="_Mil","",_xlfn.IFNA(ROUND(INDEX(Spectrum!$N:$N,MATCH(RIGHT($B134,13)&amp;"|"&amp;$C134&amp;"|"&amp;$D134&amp;"|"&amp;U$14&amp;"|"&amp;"CY2023Q3",Spectrum!$R:$R,0)),0),""))</f>
        <v/>
      </c>
      <c r="V134" s="14">
        <f>IF(LEFT($B134,4)="_Mil","",_xlfn.IFNA(ROUND(INDEX(Spectrum!$N:$N,MATCH(RIGHT($B134,13)&amp;"|"&amp;$C134&amp;"|"&amp;$D134&amp;"|"&amp;V$14&amp;"|"&amp;"CY2023Q3",Spectrum!$R:$R,0)),0),""))</f>
        <v>850</v>
      </c>
      <c r="W134" s="115">
        <f>IF(LEFT($B134,4)="_Mil","",_xlfn.IFNA(INDEX(Spectrum!$N:$N,MATCH(RIGHT($B134,13)&amp;"|"&amp;$C134&amp;"|"&amp;$D134&amp;"|"&amp;W$14&amp;"|"&amp;"CY2023Q3",Spectrum!$R:$R,0)),""))</f>
        <v>605</v>
      </c>
      <c r="X134" s="42">
        <f>IF(LEFT($B134,4)="_Mil","",_xlfn.IFNA(ROUND(INDEX(Spectrum!$N:$N,MATCH(RIGHT($B134,13)&amp;"|"&amp;$C134&amp;"|"&amp;$D134&amp;"|"&amp;X$14&amp;"|"&amp;"CY2023Q3",Spectrum!$R:$R,0)),0),""))</f>
        <v>848</v>
      </c>
      <c r="Y134" s="90" t="str">
        <f t="shared" si="29"/>
        <v/>
      </c>
      <c r="Z134" s="42">
        <f>IF(LEFT($B134,4)="_Mil","",_xlfn.IFNA(ROUND(INDEX(Spectrum!$N:$N,MATCH(RIGHT($B134,13)&amp;"|"&amp;$C134&amp;"|"&amp;$D134&amp;"|"&amp;Z$14&amp;"|"&amp;"CY2023Q3",Spectrum!$R:$R,0)),0),""))</f>
        <v>968</v>
      </c>
      <c r="AA134" s="90">
        <f>IF(LEFT($B134,4)="_Mil","",IFERROR(1/(1/INDEX(Spectrum!$N:$N,MATCH(RIGHT($B134,13)&amp;"|"&amp;$C134&amp;"|"&amp;$D134&amp;"|"&amp;AA$14&amp;"|"&amp;"CY2023Q3",Spectrum!$R:$R,0))),IF(SUM($U134)=0,"",SUM($Z134)/$U134)))</f>
        <v>1616</v>
      </c>
      <c r="AB134" s="90">
        <f t="shared" si="30"/>
        <v>1.1415094339622642</v>
      </c>
      <c r="AC134" s="14">
        <f>IF(LEFT($B134,4)="_Mil","",_xlfn.IFNA(ROUND(INDEX(Spectrum!$N:$N,MATCH(RIGHT($B134,13)&amp;"|"&amp;$C134&amp;"|"&amp;$D134&amp;"|"&amp;AC$14&amp;"|"&amp;"CY2023Q3",Spectrum!$R:$R,0)),0),""))</f>
        <v>914</v>
      </c>
      <c r="AD134" s="14" t="str">
        <f>IF(LEFT($B134,4)="_Mil","",_xlfn.IFNA(ROUND(INDEX(Spectrum!$N:$N,MATCH(RIGHT($B134,13)&amp;"|"&amp;$C134&amp;"|"&amp;$D134&amp;"|"&amp;AD$14&amp;"|"&amp;"CY2023Q3",Spectrum!$R:$R,0)),0),""))</f>
        <v/>
      </c>
      <c r="AE134" s="90">
        <f t="shared" si="31"/>
        <v>0</v>
      </c>
      <c r="AF134" s="42" t="str">
        <f>IF(LEFT($B134,4)="_Mil","",_xlfn.IFNA(ROUND(INDEX(Spectrum!$N:$N,MATCH(RIGHT($B134,13)&amp;"|"&amp;$C134&amp;"|"&amp;$D134&amp;"|"&amp;AF$14&amp;"|"&amp;"CY2023Q3",Spectrum!$R:$R,0)),0),""))</f>
        <v/>
      </c>
      <c r="AG134" s="90" t="str">
        <f t="shared" si="32"/>
        <v/>
      </c>
      <c r="AH134" s="88" t="str">
        <f>IF(LEFT($B134,4)="_Mil","",_xlfn.IFNA(INDEX(Spectrum!$N:$N,MATCH(RIGHT($B134,13)&amp;"|"&amp;$C134&amp;"|"&amp;$D134&amp;"|"&amp;AH$14&amp;"|"&amp;"CY2023Q3",Spectrum!$R:$R,0)),""))</f>
        <v/>
      </c>
      <c r="AI134" s="14" t="str">
        <f>IF(LEFT($B134,4)="_Mil","",_xlfn.IFNA(ROUND(INDEX(Spectrum!$N:$N,MATCH(RIGHT($B134,13)&amp;"|"&amp;$C134&amp;"|"&amp;$D134&amp;"|"&amp;AI$14&amp;"|"&amp;"CY2023Q3",Spectrum!$R:$R,0)),0),""))</f>
        <v/>
      </c>
      <c r="AJ134" s="42">
        <f>IF(LEFT($B134,4)="_Mil","",_xlfn.IFNA(ROUND(INDEX(Spectrum!$N:$N,MATCH(RIGHT($B134,13)&amp;"|"&amp;$C134&amp;"|"&amp;$D134&amp;"|"&amp;AI$14&amp;"|"&amp;"CY2023Q3",Spectrum!$R:$R,0)),0),SUM($U134)+SUM($AI134)))</f>
        <v>0</v>
      </c>
      <c r="AK134" s="14" t="str">
        <f>IF(LEFT($B134,4)="_Mil","",_xlfn.IFNA(ROUND(INDEX(Spectrum!$N:$N,MATCH(RIGHT($B134,13)&amp;"|"&amp;$C134&amp;"|"&amp;$D134&amp;"|"&amp;AK$14&amp;"|"&amp;"CY2023Q3",Spectrum!$R:$R,0)),0),""))</f>
        <v/>
      </c>
      <c r="AL134" s="90">
        <f t="shared" si="33"/>
        <v>1616</v>
      </c>
      <c r="AM134" s="14">
        <f t="shared" si="34"/>
        <v>0</v>
      </c>
      <c r="AN134" s="14" t="str">
        <f>IF($C134="&lt;01",ROUND(INDEX(EID!$P:$P,MATCH($B134,EID!$B:$B,0))/2,0),"")</f>
        <v/>
      </c>
      <c r="AO134" s="14">
        <f t="shared" si="35"/>
        <v>0</v>
      </c>
      <c r="AP134" s="42">
        <f t="shared" si="36"/>
        <v>0</v>
      </c>
      <c r="AQ134" s="42">
        <f t="shared" si="37"/>
        <v>968</v>
      </c>
      <c r="AR134" s="90" t="str">
        <f t="shared" si="38"/>
        <v/>
      </c>
      <c r="AS134" s="90">
        <f t="shared" si="49"/>
        <v>0.98</v>
      </c>
      <c r="AT134" s="90">
        <f t="shared" si="49"/>
        <v>0.98</v>
      </c>
      <c r="AU134" s="14">
        <f t="shared" si="39"/>
        <v>0</v>
      </c>
      <c r="AV134" s="14">
        <f>IF($C134="&lt;01",ROUND(INDEX(EID!$N:$N,MATCH($B134,EID!$B:$B,0))/2,0),IF(SUM($AT134)=0,"",ROUND((SUM($AP134)-(SUM($O134)*SUM($AS134)))/$AT134,0)))</f>
        <v>0</v>
      </c>
      <c r="AW134" s="90">
        <f t="shared" si="40"/>
        <v>1</v>
      </c>
      <c r="AX134" s="42">
        <f t="shared" si="41"/>
        <v>0</v>
      </c>
      <c r="AY134" s="116">
        <f t="shared" si="42"/>
        <v>0.7</v>
      </c>
      <c r="AZ134" s="93">
        <f>IF($C134="&lt;01",ROUND(INDEX(EID!$R:$R,MATCH($B134,EID!$B:$B,0))/2,0),ROUND(SUM($O134)+(SUM($AV134)*$AY134),0))</f>
        <v>0</v>
      </c>
      <c r="BA134" s="89">
        <f t="shared" si="43"/>
        <v>0.95</v>
      </c>
      <c r="BB134" s="9">
        <f>IF($C134="&lt;01",ROUND(INDEX(EID!$T:$T,MATCH($B134,EID!$B:$B,0))/2,0),ROUND($AZ134*$BA134,0))</f>
        <v>0</v>
      </c>
      <c r="BC134" s="93">
        <f t="shared" si="44"/>
        <v>0</v>
      </c>
      <c r="BD134" s="90">
        <f t="shared" si="45"/>
        <v>0.95</v>
      </c>
      <c r="BE134" s="42">
        <f>IF($C134="&lt;01",ROUND(INDEX(EID!$V:$V,MATCH($B134,EID!$B:$B,0))/2,0),ROUND($BD134*$BB134,0))</f>
        <v>0</v>
      </c>
      <c r="BF134" s="42">
        <f t="shared" si="46"/>
        <v>0</v>
      </c>
      <c r="BG134" s="116">
        <f t="shared" si="47"/>
        <v>0.95</v>
      </c>
      <c r="BH134" s="9">
        <f>IF($C134="&lt;01",ROUND(INDEX(EID!$L:$L,MATCH($B134,EID!$B:$B,0)),0)/2,IF(SUM($BG134)=0,"",ROUND($AX134/$BG134,0)))</f>
        <v>0</v>
      </c>
    </row>
    <row r="135" spans="1:60" x14ac:dyDescent="0.2">
      <c r="A135" t="str">
        <f>INDEX(Prioritization!$D:$D,MATCH($B135,Prioritization!$A:$A,0))</f>
        <v>INVALID</v>
      </c>
      <c r="B135" t="s">
        <v>201</v>
      </c>
      <c r="C135" t="s">
        <v>365</v>
      </c>
      <c r="D135" t="s">
        <v>29</v>
      </c>
      <c r="E135" t="str">
        <f t="shared" si="26"/>
        <v>Ntchisi District [fiRkU6gEjLz]|25-34|Female</v>
      </c>
      <c r="F135" s="14"/>
      <c r="G135" s="14"/>
      <c r="H135" s="14"/>
      <c r="I135" s="14"/>
      <c r="J135" s="14"/>
      <c r="K135" s="14"/>
      <c r="L135" s="14"/>
      <c r="M135" s="14"/>
      <c r="N135" s="14"/>
      <c r="O135" s="14" t="str">
        <f t="shared" si="27"/>
        <v/>
      </c>
      <c r="P135" s="14"/>
      <c r="Q135" s="14"/>
      <c r="R135" s="14" t="str">
        <f t="shared" si="28"/>
        <v/>
      </c>
      <c r="S135" s="14">
        <f>IF(LEFT($B135,4)="_Mil","",_xlfn.IFNA(ROUND(INDEX(Spectrum!$N:$N,MATCH(RIGHT($B135,13)&amp;"|"&amp;$C135&amp;"|"&amp;$D135&amp;"|"&amp;S$14&amp;"|"&amp;"CY2022Q4",Spectrum!$R:$R,0)),0),""))</f>
        <v>1990</v>
      </c>
      <c r="T135" s="42">
        <f>IF(LEFT($B135,4)="_Mil","",_xlfn.IFNA(ROUND(INDEX(Spectrum!$N:$N,MATCH(RIGHT($B135,13)&amp;"|"&amp;$C135&amp;"|"&amp;$D135&amp;"|"&amp;T$14&amp;"|"&amp;"CY2023Q3",Spectrum!$R:$R,0)),0),""))</f>
        <v>1015</v>
      </c>
      <c r="U135" s="42" t="str">
        <f>IF(LEFT($B135,4)="_Mil","",_xlfn.IFNA(ROUND(INDEX(Spectrum!$N:$N,MATCH(RIGHT($B135,13)&amp;"|"&amp;$C135&amp;"|"&amp;$D135&amp;"|"&amp;U$14&amp;"|"&amp;"CY2023Q3",Spectrum!$R:$R,0)),0),""))</f>
        <v/>
      </c>
      <c r="V135" s="14">
        <f>IF(LEFT($B135,4)="_Mil","",_xlfn.IFNA(ROUND(INDEX(Spectrum!$N:$N,MATCH(RIGHT($B135,13)&amp;"|"&amp;$C135&amp;"|"&amp;$D135&amp;"|"&amp;V$14&amp;"|"&amp;"CY2023Q3",Spectrum!$R:$R,0)),0),""))</f>
        <v>1868</v>
      </c>
      <c r="W135" s="115">
        <f>IF(LEFT($B135,4)="_Mil","",_xlfn.IFNA(INDEX(Spectrum!$N:$N,MATCH(RIGHT($B135,13)&amp;"|"&amp;$C135&amp;"|"&amp;$D135&amp;"|"&amp;W$14&amp;"|"&amp;"CY2023Q3",Spectrum!$R:$R,0)),""))</f>
        <v>699</v>
      </c>
      <c r="X135" s="42">
        <f>IF(LEFT($B135,4)="_Mil","",_xlfn.IFNA(ROUND(INDEX(Spectrum!$N:$N,MATCH(RIGHT($B135,13)&amp;"|"&amp;$C135&amp;"|"&amp;$D135&amp;"|"&amp;X$14&amp;"|"&amp;"CY2023Q3",Spectrum!$R:$R,0)),0),""))</f>
        <v>852</v>
      </c>
      <c r="Y135" s="90" t="str">
        <f t="shared" si="29"/>
        <v/>
      </c>
      <c r="Z135" s="42">
        <f>IF(LEFT($B135,4)="_Mil","",_xlfn.IFNA(ROUND(INDEX(Spectrum!$N:$N,MATCH(RIGHT($B135,13)&amp;"|"&amp;$C135&amp;"|"&amp;$D135&amp;"|"&amp;Z$14&amp;"|"&amp;"CY2023Q3",Spectrum!$R:$R,0)),0),""))</f>
        <v>1075</v>
      </c>
      <c r="AA135" s="90">
        <f>IF(LEFT($B135,4)="_Mil","",IFERROR(1/(1/INDEX(Spectrum!$N:$N,MATCH(RIGHT($B135,13)&amp;"|"&amp;$C135&amp;"|"&amp;$D135&amp;"|"&amp;AA$14&amp;"|"&amp;"CY2023Q3",Spectrum!$R:$R,0))),IF(SUM($U135)=0,"",SUM($Z135)/$U135)))</f>
        <v>1180</v>
      </c>
      <c r="AB135" s="90">
        <f t="shared" si="30"/>
        <v>1.261737089201878</v>
      </c>
      <c r="AC135" s="14">
        <f>IF(LEFT($B135,4)="_Mil","",_xlfn.IFNA(ROUND(INDEX(Spectrum!$N:$N,MATCH(RIGHT($B135,13)&amp;"|"&amp;$C135&amp;"|"&amp;$D135&amp;"|"&amp;AC$14&amp;"|"&amp;"CY2023Q3",Spectrum!$R:$R,0)),0),""))</f>
        <v>1476</v>
      </c>
      <c r="AD135" s="14" t="str">
        <f>IF(LEFT($B135,4)="_Mil","",_xlfn.IFNA(ROUND(INDEX(Spectrum!$N:$N,MATCH(RIGHT($B135,13)&amp;"|"&amp;$C135&amp;"|"&amp;$D135&amp;"|"&amp;AD$14&amp;"|"&amp;"CY2023Q3",Spectrum!$R:$R,0)),0),""))</f>
        <v/>
      </c>
      <c r="AE135" s="90">
        <f t="shared" si="31"/>
        <v>0</v>
      </c>
      <c r="AF135" s="42" t="str">
        <f>IF(LEFT($B135,4)="_Mil","",_xlfn.IFNA(ROUND(INDEX(Spectrum!$N:$N,MATCH(RIGHT($B135,13)&amp;"|"&amp;$C135&amp;"|"&amp;$D135&amp;"|"&amp;AF$14&amp;"|"&amp;"CY2023Q3",Spectrum!$R:$R,0)),0),""))</f>
        <v/>
      </c>
      <c r="AG135" s="90" t="str">
        <f t="shared" si="32"/>
        <v/>
      </c>
      <c r="AH135" s="88" t="str">
        <f>IF(LEFT($B135,4)="_Mil","",_xlfn.IFNA(INDEX(Spectrum!$N:$N,MATCH(RIGHT($B135,13)&amp;"|"&amp;$C135&amp;"|"&amp;$D135&amp;"|"&amp;AH$14&amp;"|"&amp;"CY2023Q3",Spectrum!$R:$R,0)),""))</f>
        <v/>
      </c>
      <c r="AI135" s="14" t="str">
        <f>IF(LEFT($B135,4)="_Mil","",_xlfn.IFNA(ROUND(INDEX(Spectrum!$N:$N,MATCH(RIGHT($B135,13)&amp;"|"&amp;$C135&amp;"|"&amp;$D135&amp;"|"&amp;AI$14&amp;"|"&amp;"CY2023Q3",Spectrum!$R:$R,0)),0),""))</f>
        <v/>
      </c>
      <c r="AJ135" s="42">
        <f>IF(LEFT($B135,4)="_Mil","",_xlfn.IFNA(ROUND(INDEX(Spectrum!$N:$N,MATCH(RIGHT($B135,13)&amp;"|"&amp;$C135&amp;"|"&amp;$D135&amp;"|"&amp;AI$14&amp;"|"&amp;"CY2023Q3",Spectrum!$R:$R,0)),0),SUM($U135)+SUM($AI135)))</f>
        <v>0</v>
      </c>
      <c r="AK135" s="14" t="str">
        <f>IF(LEFT($B135,4)="_Mil","",_xlfn.IFNA(ROUND(INDEX(Spectrum!$N:$N,MATCH(RIGHT($B135,13)&amp;"|"&amp;$C135&amp;"|"&amp;$D135&amp;"|"&amp;AK$14&amp;"|"&amp;"CY2023Q3",Spectrum!$R:$R,0)),0),""))</f>
        <v/>
      </c>
      <c r="AL135" s="90">
        <f t="shared" si="33"/>
        <v>1180</v>
      </c>
      <c r="AM135" s="14">
        <f t="shared" si="34"/>
        <v>0</v>
      </c>
      <c r="AN135" s="14" t="str">
        <f>IF($C135="&lt;01",ROUND(INDEX(EID!$P:$P,MATCH($B135,EID!$B:$B,0))/2,0),"")</f>
        <v/>
      </c>
      <c r="AO135" s="14">
        <f t="shared" si="35"/>
        <v>0</v>
      </c>
      <c r="AP135" s="42">
        <f t="shared" si="36"/>
        <v>0</v>
      </c>
      <c r="AQ135" s="42">
        <f t="shared" si="37"/>
        <v>1075</v>
      </c>
      <c r="AR135" s="90" t="str">
        <f t="shared" si="38"/>
        <v/>
      </c>
      <c r="AS135" s="90">
        <f t="shared" ref="AS135:AT154" si="50">IF($C135="&lt;01","",98%)</f>
        <v>0.98</v>
      </c>
      <c r="AT135" s="90">
        <f t="shared" si="50"/>
        <v>0.98</v>
      </c>
      <c r="AU135" s="14">
        <f t="shared" si="39"/>
        <v>0</v>
      </c>
      <c r="AV135" s="14">
        <f>IF($C135="&lt;01",ROUND(INDEX(EID!$N:$N,MATCH($B135,EID!$B:$B,0))/2,0),IF(SUM($AT135)=0,"",ROUND((SUM($AP135)-(SUM($O135)*SUM($AS135)))/$AT135,0)))</f>
        <v>0</v>
      </c>
      <c r="AW135" s="90">
        <f t="shared" si="40"/>
        <v>1</v>
      </c>
      <c r="AX135" s="42">
        <f t="shared" si="41"/>
        <v>0</v>
      </c>
      <c r="AY135" s="116">
        <f t="shared" si="42"/>
        <v>0.7</v>
      </c>
      <c r="AZ135" s="93">
        <f>IF($C135="&lt;01",ROUND(INDEX(EID!$R:$R,MATCH($B135,EID!$B:$B,0))/2,0),ROUND(SUM($O135)+(SUM($AV135)*$AY135),0))</f>
        <v>0</v>
      </c>
      <c r="BA135" s="89">
        <f t="shared" si="43"/>
        <v>0.95</v>
      </c>
      <c r="BB135" s="9">
        <f>IF($C135="&lt;01",ROUND(INDEX(EID!$T:$T,MATCH($B135,EID!$B:$B,0))/2,0),ROUND($AZ135*$BA135,0))</f>
        <v>0</v>
      </c>
      <c r="BC135" s="93">
        <f t="shared" si="44"/>
        <v>0</v>
      </c>
      <c r="BD135" s="90">
        <f t="shared" si="45"/>
        <v>0.95</v>
      </c>
      <c r="BE135" s="42">
        <f>IF($C135="&lt;01",ROUND(INDEX(EID!$V:$V,MATCH($B135,EID!$B:$B,0))/2,0),ROUND($BD135*$BB135,0))</f>
        <v>0</v>
      </c>
      <c r="BF135" s="42">
        <f t="shared" si="46"/>
        <v>0</v>
      </c>
      <c r="BG135" s="116">
        <f t="shared" si="47"/>
        <v>0.95</v>
      </c>
      <c r="BH135" s="9">
        <f>IF($C135="&lt;01",ROUND(INDEX(EID!$L:$L,MATCH($B135,EID!$B:$B,0)),0)/2,IF(SUM($BG135)=0,"",ROUND($AX135/$BG135,0)))</f>
        <v>0</v>
      </c>
    </row>
    <row r="136" spans="1:60" x14ac:dyDescent="0.2">
      <c r="A136" t="str">
        <f>INDEX(Prioritization!$D:$D,MATCH($B136,Prioritization!$A:$A,0))</f>
        <v>INVALID</v>
      </c>
      <c r="B136" t="s">
        <v>201</v>
      </c>
      <c r="C136" t="s">
        <v>365</v>
      </c>
      <c r="D136" t="s">
        <v>47</v>
      </c>
      <c r="E136" t="str">
        <f t="shared" si="26"/>
        <v>Ntchisi District [fiRkU6gEjLz]|25-34|Male</v>
      </c>
      <c r="F136" s="14"/>
      <c r="G136" s="14"/>
      <c r="H136" s="14"/>
      <c r="I136" s="14"/>
      <c r="J136" s="14"/>
      <c r="K136" s="14"/>
      <c r="L136" s="14"/>
      <c r="M136" s="14"/>
      <c r="N136" s="14"/>
      <c r="O136" s="14" t="str">
        <f t="shared" si="27"/>
        <v/>
      </c>
      <c r="P136" s="14"/>
      <c r="Q136" s="14"/>
      <c r="R136" s="14" t="str">
        <f t="shared" si="28"/>
        <v/>
      </c>
      <c r="S136" s="14">
        <f>IF(LEFT($B136,4)="_Mil","",_xlfn.IFNA(ROUND(INDEX(Spectrum!$N:$N,MATCH(RIGHT($B136,13)&amp;"|"&amp;$C136&amp;"|"&amp;$D136&amp;"|"&amp;S$14&amp;"|"&amp;"CY2022Q4",Spectrum!$R:$R,0)),0),""))</f>
        <v>1782</v>
      </c>
      <c r="T136" s="42">
        <f>IF(LEFT($B136,4)="_Mil","",_xlfn.IFNA(ROUND(INDEX(Spectrum!$N:$N,MATCH(RIGHT($B136,13)&amp;"|"&amp;$C136&amp;"|"&amp;$D136&amp;"|"&amp;T$14&amp;"|"&amp;"CY2023Q3",Spectrum!$R:$R,0)),0),""))</f>
        <v>1613</v>
      </c>
      <c r="U136" s="42" t="str">
        <f>IF(LEFT($B136,4)="_Mil","",_xlfn.IFNA(ROUND(INDEX(Spectrum!$N:$N,MATCH(RIGHT($B136,13)&amp;"|"&amp;$C136&amp;"|"&amp;$D136&amp;"|"&amp;U$14&amp;"|"&amp;"CY2023Q3",Spectrum!$R:$R,0)),0),""))</f>
        <v/>
      </c>
      <c r="V136" s="14">
        <f>IF(LEFT($B136,4)="_Mil","",_xlfn.IFNA(ROUND(INDEX(Spectrum!$N:$N,MATCH(RIGHT($B136,13)&amp;"|"&amp;$C136&amp;"|"&amp;$D136&amp;"|"&amp;V$14&amp;"|"&amp;"CY2023Q3",Spectrum!$R:$R,0)),0),""))</f>
        <v>1455</v>
      </c>
      <c r="W136" s="115">
        <f>IF(LEFT($B136,4)="_Mil","",_xlfn.IFNA(INDEX(Spectrum!$N:$N,MATCH(RIGHT($B136,13)&amp;"|"&amp;$C136&amp;"|"&amp;$D136&amp;"|"&amp;W$14&amp;"|"&amp;"CY2023Q3",Spectrum!$R:$R,0)),""))</f>
        <v>1909</v>
      </c>
      <c r="X136" s="42">
        <f>IF(LEFT($B136,4)="_Mil","",_xlfn.IFNA(ROUND(INDEX(Spectrum!$N:$N,MATCH(RIGHT($B136,13)&amp;"|"&amp;$C136&amp;"|"&amp;$D136&amp;"|"&amp;X$14&amp;"|"&amp;"CY2023Q3",Spectrum!$R:$R,0)),0),""))</f>
        <v>1295</v>
      </c>
      <c r="Y136" s="90" t="str">
        <f t="shared" si="29"/>
        <v/>
      </c>
      <c r="Z136" s="42">
        <f>IF(LEFT($B136,4)="_Mil","",_xlfn.IFNA(ROUND(INDEX(Spectrum!$N:$N,MATCH(RIGHT($B136,13)&amp;"|"&amp;$C136&amp;"|"&amp;$D136&amp;"|"&amp;Z$14&amp;"|"&amp;"CY2023Q3",Spectrum!$R:$R,0)),0),""))</f>
        <v>724</v>
      </c>
      <c r="AA136" s="90">
        <f>IF(LEFT($B136,4)="_Mil","",IFERROR(1/(1/INDEX(Spectrum!$N:$N,MATCH(RIGHT($B136,13)&amp;"|"&amp;$C136&amp;"|"&amp;$D136&amp;"|"&amp;AA$14&amp;"|"&amp;"CY2023Q3",Spectrum!$R:$R,0))),IF(SUM($U136)=0,"",SUM($Z136)/$U136)))</f>
        <v>1790.0000000000002</v>
      </c>
      <c r="AB136" s="90">
        <f t="shared" si="30"/>
        <v>0.55907335907335909</v>
      </c>
      <c r="AC136" s="14">
        <f>IF(LEFT($B136,4)="_Mil","",_xlfn.IFNA(ROUND(INDEX(Spectrum!$N:$N,MATCH(RIGHT($B136,13)&amp;"|"&amp;$C136&amp;"|"&amp;$D136&amp;"|"&amp;AC$14&amp;"|"&amp;"CY2023Q3",Spectrum!$R:$R,0)),0),""))</f>
        <v>675</v>
      </c>
      <c r="AD136" s="14" t="str">
        <f>IF(LEFT($B136,4)="_Mil","",_xlfn.IFNA(ROUND(INDEX(Spectrum!$N:$N,MATCH(RIGHT($B136,13)&amp;"|"&amp;$C136&amp;"|"&amp;$D136&amp;"|"&amp;AD$14&amp;"|"&amp;"CY2023Q3",Spectrum!$R:$R,0)),0),""))</f>
        <v/>
      </c>
      <c r="AE136" s="90">
        <f t="shared" si="31"/>
        <v>0</v>
      </c>
      <c r="AF136" s="42" t="str">
        <f>IF(LEFT($B136,4)="_Mil","",_xlfn.IFNA(ROUND(INDEX(Spectrum!$N:$N,MATCH(RIGHT($B136,13)&amp;"|"&amp;$C136&amp;"|"&amp;$D136&amp;"|"&amp;AF$14&amp;"|"&amp;"CY2023Q3",Spectrum!$R:$R,0)),0),""))</f>
        <v/>
      </c>
      <c r="AG136" s="90" t="str">
        <f t="shared" si="32"/>
        <v/>
      </c>
      <c r="AH136" s="88" t="str">
        <f>IF(LEFT($B136,4)="_Mil","",_xlfn.IFNA(INDEX(Spectrum!$N:$N,MATCH(RIGHT($B136,13)&amp;"|"&amp;$C136&amp;"|"&amp;$D136&amp;"|"&amp;AH$14&amp;"|"&amp;"CY2023Q3",Spectrum!$R:$R,0)),""))</f>
        <v/>
      </c>
      <c r="AI136" s="14" t="str">
        <f>IF(LEFT($B136,4)="_Mil","",_xlfn.IFNA(ROUND(INDEX(Spectrum!$N:$N,MATCH(RIGHT($B136,13)&amp;"|"&amp;$C136&amp;"|"&amp;$D136&amp;"|"&amp;AI$14&amp;"|"&amp;"CY2023Q3",Spectrum!$R:$R,0)),0),""))</f>
        <v/>
      </c>
      <c r="AJ136" s="42">
        <f>IF(LEFT($B136,4)="_Mil","",_xlfn.IFNA(ROUND(INDEX(Spectrum!$N:$N,MATCH(RIGHT($B136,13)&amp;"|"&amp;$C136&amp;"|"&amp;$D136&amp;"|"&amp;AI$14&amp;"|"&amp;"CY2023Q3",Spectrum!$R:$R,0)),0),SUM($U136)+SUM($AI136)))</f>
        <v>0</v>
      </c>
      <c r="AK136" s="14" t="str">
        <f>IF(LEFT($B136,4)="_Mil","",_xlfn.IFNA(ROUND(INDEX(Spectrum!$N:$N,MATCH(RIGHT($B136,13)&amp;"|"&amp;$C136&amp;"|"&amp;$D136&amp;"|"&amp;AK$14&amp;"|"&amp;"CY2023Q3",Spectrum!$R:$R,0)),0),""))</f>
        <v/>
      </c>
      <c r="AL136" s="90">
        <f t="shared" si="33"/>
        <v>1790.0000000000002</v>
      </c>
      <c r="AM136" s="14">
        <f t="shared" si="34"/>
        <v>0</v>
      </c>
      <c r="AN136" s="14" t="str">
        <f>IF($C136="&lt;01",ROUND(INDEX(EID!$P:$P,MATCH($B136,EID!$B:$B,0))/2,0),"")</f>
        <v/>
      </c>
      <c r="AO136" s="14">
        <f t="shared" si="35"/>
        <v>0</v>
      </c>
      <c r="AP136" s="42">
        <f t="shared" si="36"/>
        <v>0</v>
      </c>
      <c r="AQ136" s="42">
        <f t="shared" si="37"/>
        <v>724</v>
      </c>
      <c r="AR136" s="90" t="str">
        <f t="shared" si="38"/>
        <v/>
      </c>
      <c r="AS136" s="90">
        <f t="shared" si="50"/>
        <v>0.98</v>
      </c>
      <c r="AT136" s="90">
        <f t="shared" si="50"/>
        <v>0.98</v>
      </c>
      <c r="AU136" s="14">
        <f t="shared" si="39"/>
        <v>0</v>
      </c>
      <c r="AV136" s="14">
        <f>IF($C136="&lt;01",ROUND(INDEX(EID!$N:$N,MATCH($B136,EID!$B:$B,0))/2,0),IF(SUM($AT136)=0,"",ROUND((SUM($AP136)-(SUM($O136)*SUM($AS136)))/$AT136,0)))</f>
        <v>0</v>
      </c>
      <c r="AW136" s="90">
        <f t="shared" si="40"/>
        <v>1</v>
      </c>
      <c r="AX136" s="42">
        <f t="shared" si="41"/>
        <v>0</v>
      </c>
      <c r="AY136" s="116">
        <f t="shared" si="42"/>
        <v>0.7</v>
      </c>
      <c r="AZ136" s="93">
        <f>IF($C136="&lt;01",ROUND(INDEX(EID!$R:$R,MATCH($B136,EID!$B:$B,0))/2,0),ROUND(SUM($O136)+(SUM($AV136)*$AY136),0))</f>
        <v>0</v>
      </c>
      <c r="BA136" s="89">
        <f t="shared" si="43"/>
        <v>0.95</v>
      </c>
      <c r="BB136" s="9">
        <f>IF($C136="&lt;01",ROUND(INDEX(EID!$T:$T,MATCH($B136,EID!$B:$B,0))/2,0),ROUND($AZ136*$BA136,0))</f>
        <v>0</v>
      </c>
      <c r="BC136" s="93">
        <f t="shared" si="44"/>
        <v>0</v>
      </c>
      <c r="BD136" s="90">
        <f t="shared" si="45"/>
        <v>0.95</v>
      </c>
      <c r="BE136" s="42">
        <f>IF($C136="&lt;01",ROUND(INDEX(EID!$V:$V,MATCH($B136,EID!$B:$B,0))/2,0),ROUND($BD136*$BB136,0))</f>
        <v>0</v>
      </c>
      <c r="BF136" s="42">
        <f t="shared" si="46"/>
        <v>0</v>
      </c>
      <c r="BG136" s="116">
        <f t="shared" si="47"/>
        <v>0.95</v>
      </c>
      <c r="BH136" s="9">
        <f>IF($C136="&lt;01",ROUND(INDEX(EID!$L:$L,MATCH($B136,EID!$B:$B,0)),0)/2,IF(SUM($BG136)=0,"",ROUND($AX136/$BG136,0)))</f>
        <v>0</v>
      </c>
    </row>
    <row r="137" spans="1:60" x14ac:dyDescent="0.2">
      <c r="A137" t="str">
        <f>INDEX(Prioritization!$D:$D,MATCH($B137,Prioritization!$A:$A,0))</f>
        <v>INVALID</v>
      </c>
      <c r="B137" t="s">
        <v>201</v>
      </c>
      <c r="C137" t="s">
        <v>366</v>
      </c>
      <c r="D137" t="s">
        <v>29</v>
      </c>
      <c r="E137" t="str">
        <f t="shared" si="26"/>
        <v>Ntchisi District [fiRkU6gEjLz]|35-49|Female</v>
      </c>
      <c r="F137" s="14"/>
      <c r="G137" s="14"/>
      <c r="H137" s="14"/>
      <c r="I137" s="14"/>
      <c r="J137" s="14"/>
      <c r="K137" s="14"/>
      <c r="L137" s="14"/>
      <c r="M137" s="14"/>
      <c r="N137" s="14"/>
      <c r="O137" s="14" t="str">
        <f t="shared" si="27"/>
        <v/>
      </c>
      <c r="P137" s="14"/>
      <c r="Q137" s="14"/>
      <c r="R137" s="14" t="str">
        <f t="shared" si="28"/>
        <v/>
      </c>
      <c r="S137" s="14">
        <f>IF(LEFT($B137,4)="_Mil","",_xlfn.IFNA(ROUND(INDEX(Spectrum!$N:$N,MATCH(RIGHT($B137,13)&amp;"|"&amp;$C137&amp;"|"&amp;$D137&amp;"|"&amp;S$14&amp;"|"&amp;"CY2022Q4",Spectrum!$R:$R,0)),0),""))</f>
        <v>697</v>
      </c>
      <c r="T137" s="42">
        <f>IF(LEFT($B137,4)="_Mil","",_xlfn.IFNA(ROUND(INDEX(Spectrum!$N:$N,MATCH(RIGHT($B137,13)&amp;"|"&amp;$C137&amp;"|"&amp;$D137&amp;"|"&amp;T$14&amp;"|"&amp;"CY2023Q3",Spectrum!$R:$R,0)),0),""))</f>
        <v>769</v>
      </c>
      <c r="U137" s="42" t="str">
        <f>IF(LEFT($B137,4)="_Mil","",_xlfn.IFNA(ROUND(INDEX(Spectrum!$N:$N,MATCH(RIGHT($B137,13)&amp;"|"&amp;$C137&amp;"|"&amp;$D137&amp;"|"&amp;U$14&amp;"|"&amp;"CY2023Q3",Spectrum!$R:$R,0)),0),""))</f>
        <v/>
      </c>
      <c r="V137" s="14">
        <f>IF(LEFT($B137,4)="_Mil","",_xlfn.IFNA(ROUND(INDEX(Spectrum!$N:$N,MATCH(RIGHT($B137,13)&amp;"|"&amp;$C137&amp;"|"&amp;$D137&amp;"|"&amp;V$14&amp;"|"&amp;"CY2023Q3",Spectrum!$R:$R,0)),0),""))</f>
        <v>1165</v>
      </c>
      <c r="W137" s="115">
        <f>IF(LEFT($B137,4)="_Mil","",_xlfn.IFNA(INDEX(Spectrum!$N:$N,MATCH(RIGHT($B137,13)&amp;"|"&amp;$C137&amp;"|"&amp;$D137&amp;"|"&amp;W$14&amp;"|"&amp;"CY2023Q3",Spectrum!$R:$R,0)),""))</f>
        <v>546</v>
      </c>
      <c r="X137" s="42">
        <f>IF(LEFT($B137,4)="_Mil","",_xlfn.IFNA(ROUND(INDEX(Spectrum!$N:$N,MATCH(RIGHT($B137,13)&amp;"|"&amp;$C137&amp;"|"&amp;$D137&amp;"|"&amp;X$14&amp;"|"&amp;"CY2023Q3",Spectrum!$R:$R,0)),0),""))</f>
        <v>1661</v>
      </c>
      <c r="Y137" s="90" t="str">
        <f t="shared" si="29"/>
        <v/>
      </c>
      <c r="Z137" s="42">
        <f>IF(LEFT($B137,4)="_Mil","",_xlfn.IFNA(ROUND(INDEX(Spectrum!$N:$N,MATCH(RIGHT($B137,13)&amp;"|"&amp;$C137&amp;"|"&amp;$D137&amp;"|"&amp;Z$14&amp;"|"&amp;"CY2023Q3",Spectrum!$R:$R,0)),0),""))</f>
        <v>886</v>
      </c>
      <c r="AA137" s="90">
        <f>IF(LEFT($B137,4)="_Mil","",IFERROR(1/(1/INDEX(Spectrum!$N:$N,MATCH(RIGHT($B137,13)&amp;"|"&amp;$C137&amp;"|"&amp;$D137&amp;"|"&amp;AA$14&amp;"|"&amp;"CY2023Q3",Spectrum!$R:$R,0))),IF(SUM($U137)=0,"",SUM($Z137)/$U137)))</f>
        <v>711</v>
      </c>
      <c r="AB137" s="90">
        <f t="shared" si="30"/>
        <v>0.53341360626128842</v>
      </c>
      <c r="AC137" s="14">
        <f>IF(LEFT($B137,4)="_Mil","",_xlfn.IFNA(ROUND(INDEX(Spectrum!$N:$N,MATCH(RIGHT($B137,13)&amp;"|"&amp;$C137&amp;"|"&amp;$D137&amp;"|"&amp;AC$14&amp;"|"&amp;"CY2023Q3",Spectrum!$R:$R,0)),0),""))</f>
        <v>1571</v>
      </c>
      <c r="AD137" s="14" t="str">
        <f>IF(LEFT($B137,4)="_Mil","",_xlfn.IFNA(ROUND(INDEX(Spectrum!$N:$N,MATCH(RIGHT($B137,13)&amp;"|"&amp;$C137&amp;"|"&amp;$D137&amp;"|"&amp;AD$14&amp;"|"&amp;"CY2023Q3",Spectrum!$R:$R,0)),0),""))</f>
        <v/>
      </c>
      <c r="AE137" s="90">
        <f t="shared" si="31"/>
        <v>0</v>
      </c>
      <c r="AF137" s="42" t="str">
        <f>IF(LEFT($B137,4)="_Mil","",_xlfn.IFNA(ROUND(INDEX(Spectrum!$N:$N,MATCH(RIGHT($B137,13)&amp;"|"&amp;$C137&amp;"|"&amp;$D137&amp;"|"&amp;AF$14&amp;"|"&amp;"CY2023Q3",Spectrum!$R:$R,0)),0),""))</f>
        <v/>
      </c>
      <c r="AG137" s="90" t="str">
        <f t="shared" si="32"/>
        <v/>
      </c>
      <c r="AH137" s="88" t="str">
        <f>IF(LEFT($B137,4)="_Mil","",_xlfn.IFNA(INDEX(Spectrum!$N:$N,MATCH(RIGHT($B137,13)&amp;"|"&amp;$C137&amp;"|"&amp;$D137&amp;"|"&amp;AH$14&amp;"|"&amp;"CY2023Q3",Spectrum!$R:$R,0)),""))</f>
        <v/>
      </c>
      <c r="AI137" s="14" t="str">
        <f>IF(LEFT($B137,4)="_Mil","",_xlfn.IFNA(ROUND(INDEX(Spectrum!$N:$N,MATCH(RIGHT($B137,13)&amp;"|"&amp;$C137&amp;"|"&amp;$D137&amp;"|"&amp;AI$14&amp;"|"&amp;"CY2023Q3",Spectrum!$R:$R,0)),0),""))</f>
        <v/>
      </c>
      <c r="AJ137" s="42">
        <f>IF(LEFT($B137,4)="_Mil","",_xlfn.IFNA(ROUND(INDEX(Spectrum!$N:$N,MATCH(RIGHT($B137,13)&amp;"|"&amp;$C137&amp;"|"&amp;$D137&amp;"|"&amp;AI$14&amp;"|"&amp;"CY2023Q3",Spectrum!$R:$R,0)),0),SUM($U137)+SUM($AI137)))</f>
        <v>0</v>
      </c>
      <c r="AK137" s="14" t="str">
        <f>IF(LEFT($B137,4)="_Mil","",_xlfn.IFNA(ROUND(INDEX(Spectrum!$N:$N,MATCH(RIGHT($B137,13)&amp;"|"&amp;$C137&amp;"|"&amp;$D137&amp;"|"&amp;AK$14&amp;"|"&amp;"CY2023Q3",Spectrum!$R:$R,0)),0),""))</f>
        <v/>
      </c>
      <c r="AL137" s="90">
        <f t="shared" si="33"/>
        <v>711</v>
      </c>
      <c r="AM137" s="14">
        <f t="shared" si="34"/>
        <v>0</v>
      </c>
      <c r="AN137" s="14" t="str">
        <f>IF($C137="&lt;01",ROUND(INDEX(EID!$P:$P,MATCH($B137,EID!$B:$B,0))/2,0),"")</f>
        <v/>
      </c>
      <c r="AO137" s="14">
        <f t="shared" si="35"/>
        <v>0</v>
      </c>
      <c r="AP137" s="42">
        <f t="shared" si="36"/>
        <v>0</v>
      </c>
      <c r="AQ137" s="42">
        <f t="shared" si="37"/>
        <v>886</v>
      </c>
      <c r="AR137" s="90" t="str">
        <f t="shared" si="38"/>
        <v/>
      </c>
      <c r="AS137" s="90">
        <f t="shared" si="50"/>
        <v>0.98</v>
      </c>
      <c r="AT137" s="90">
        <f t="shared" si="50"/>
        <v>0.98</v>
      </c>
      <c r="AU137" s="14">
        <f t="shared" si="39"/>
        <v>0</v>
      </c>
      <c r="AV137" s="14">
        <f>IF($C137="&lt;01",ROUND(INDEX(EID!$N:$N,MATCH($B137,EID!$B:$B,0))/2,0),IF(SUM($AT137)=0,"",ROUND((SUM($AP137)-(SUM($O137)*SUM($AS137)))/$AT137,0)))</f>
        <v>0</v>
      </c>
      <c r="AW137" s="90">
        <f t="shared" si="40"/>
        <v>1</v>
      </c>
      <c r="AX137" s="42">
        <f t="shared" si="41"/>
        <v>0</v>
      </c>
      <c r="AY137" s="116">
        <f t="shared" si="42"/>
        <v>0.7</v>
      </c>
      <c r="AZ137" s="93">
        <f>IF($C137="&lt;01",ROUND(INDEX(EID!$R:$R,MATCH($B137,EID!$B:$B,0))/2,0),ROUND(SUM($O137)+(SUM($AV137)*$AY137),0))</f>
        <v>0</v>
      </c>
      <c r="BA137" s="89">
        <f t="shared" si="43"/>
        <v>0.95</v>
      </c>
      <c r="BB137" s="9">
        <f>IF($C137="&lt;01",ROUND(INDEX(EID!$T:$T,MATCH($B137,EID!$B:$B,0))/2,0),ROUND($AZ137*$BA137,0))</f>
        <v>0</v>
      </c>
      <c r="BC137" s="93">
        <f t="shared" si="44"/>
        <v>0</v>
      </c>
      <c r="BD137" s="90">
        <f t="shared" si="45"/>
        <v>0.95</v>
      </c>
      <c r="BE137" s="42">
        <f>IF($C137="&lt;01",ROUND(INDEX(EID!$V:$V,MATCH($B137,EID!$B:$B,0))/2,0),ROUND($BD137*$BB137,0))</f>
        <v>0</v>
      </c>
      <c r="BF137" s="42">
        <f t="shared" si="46"/>
        <v>0</v>
      </c>
      <c r="BG137" s="116">
        <f t="shared" si="47"/>
        <v>0.95</v>
      </c>
      <c r="BH137" s="9">
        <f>IF($C137="&lt;01",ROUND(INDEX(EID!$L:$L,MATCH($B137,EID!$B:$B,0)),0)/2,IF(SUM($BG137)=0,"",ROUND($AX137/$BG137,0)))</f>
        <v>0</v>
      </c>
    </row>
    <row r="138" spans="1:60" x14ac:dyDescent="0.2">
      <c r="A138" t="str">
        <f>INDEX(Prioritization!$D:$D,MATCH($B138,Prioritization!$A:$A,0))</f>
        <v>INVALID</v>
      </c>
      <c r="B138" t="s">
        <v>201</v>
      </c>
      <c r="C138" t="s">
        <v>366</v>
      </c>
      <c r="D138" t="s">
        <v>47</v>
      </c>
      <c r="E138" t="str">
        <f t="shared" si="26"/>
        <v>Ntchisi District [fiRkU6gEjLz]|35-49|Male</v>
      </c>
      <c r="F138" s="14"/>
      <c r="G138" s="14"/>
      <c r="H138" s="14"/>
      <c r="I138" s="14"/>
      <c r="J138" s="14"/>
      <c r="K138" s="14"/>
      <c r="L138" s="14"/>
      <c r="M138" s="14"/>
      <c r="N138" s="14"/>
      <c r="O138" s="14" t="str">
        <f t="shared" si="27"/>
        <v/>
      </c>
      <c r="P138" s="14"/>
      <c r="Q138" s="14"/>
      <c r="R138" s="14" t="str">
        <f t="shared" si="28"/>
        <v/>
      </c>
      <c r="S138" s="14">
        <f>IF(LEFT($B138,4)="_Mil","",_xlfn.IFNA(ROUND(INDEX(Spectrum!$N:$N,MATCH(RIGHT($B138,13)&amp;"|"&amp;$C138&amp;"|"&amp;$D138&amp;"|"&amp;S$14&amp;"|"&amp;"CY2022Q4",Spectrum!$R:$R,0)),0),""))</f>
        <v>978</v>
      </c>
      <c r="T138" s="42">
        <f>IF(LEFT($B138,4)="_Mil","",_xlfn.IFNA(ROUND(INDEX(Spectrum!$N:$N,MATCH(RIGHT($B138,13)&amp;"|"&amp;$C138&amp;"|"&amp;$D138&amp;"|"&amp;T$14&amp;"|"&amp;"CY2023Q3",Spectrum!$R:$R,0)),0),""))</f>
        <v>1172</v>
      </c>
      <c r="U138" s="42" t="str">
        <f>IF(LEFT($B138,4)="_Mil","",_xlfn.IFNA(ROUND(INDEX(Spectrum!$N:$N,MATCH(RIGHT($B138,13)&amp;"|"&amp;$C138&amp;"|"&amp;$D138&amp;"|"&amp;U$14&amp;"|"&amp;"CY2023Q3",Spectrum!$R:$R,0)),0),""))</f>
        <v/>
      </c>
      <c r="V138" s="14">
        <f>IF(LEFT($B138,4)="_Mil","",_xlfn.IFNA(ROUND(INDEX(Spectrum!$N:$N,MATCH(RIGHT($B138,13)&amp;"|"&amp;$C138&amp;"|"&amp;$D138&amp;"|"&amp;V$14&amp;"|"&amp;"CY2023Q3",Spectrum!$R:$R,0)),0),""))</f>
        <v>1266</v>
      </c>
      <c r="W138" s="115">
        <f>IF(LEFT($B138,4)="_Mil","",_xlfn.IFNA(INDEX(Spectrum!$N:$N,MATCH(RIGHT($B138,13)&amp;"|"&amp;$C138&amp;"|"&amp;$D138&amp;"|"&amp;W$14&amp;"|"&amp;"CY2023Q3",Spectrum!$R:$R,0)),""))</f>
        <v>935</v>
      </c>
      <c r="X138" s="42">
        <f>IF(LEFT($B138,4)="_Mil","",_xlfn.IFNA(ROUND(INDEX(Spectrum!$N:$N,MATCH(RIGHT($B138,13)&amp;"|"&amp;$C138&amp;"|"&amp;$D138&amp;"|"&amp;X$14&amp;"|"&amp;"CY2023Q3",Spectrum!$R:$R,0)),0),""))</f>
        <v>1963</v>
      </c>
      <c r="Y138" s="90" t="str">
        <f t="shared" si="29"/>
        <v/>
      </c>
      <c r="Z138" s="42">
        <f>IF(LEFT($B138,4)="_Mil","",_xlfn.IFNA(ROUND(INDEX(Spectrum!$N:$N,MATCH(RIGHT($B138,13)&amp;"|"&amp;$C138&amp;"|"&amp;$D138&amp;"|"&amp;Z$14&amp;"|"&amp;"CY2023Q3",Spectrum!$R:$R,0)),0),""))</f>
        <v>794</v>
      </c>
      <c r="AA138" s="90">
        <f>IF(LEFT($B138,4)="_Mil","",IFERROR(1/(1/INDEX(Spectrum!$N:$N,MATCH(RIGHT($B138,13)&amp;"|"&amp;$C138&amp;"|"&amp;$D138&amp;"|"&amp;AA$14&amp;"|"&amp;"CY2023Q3",Spectrum!$R:$R,0))),IF(SUM($U138)=0,"",SUM($Z138)/$U138)))</f>
        <v>670</v>
      </c>
      <c r="AB138" s="90">
        <f t="shared" si="30"/>
        <v>0.4044829342842588</v>
      </c>
      <c r="AC138" s="14">
        <f>IF(LEFT($B138,4)="_Mil","",_xlfn.IFNA(ROUND(INDEX(Spectrum!$N:$N,MATCH(RIGHT($B138,13)&amp;"|"&amp;$C138&amp;"|"&amp;$D138&amp;"|"&amp;AC$14&amp;"|"&amp;"CY2023Q3",Spectrum!$R:$R,0)),0),""))</f>
        <v>1352</v>
      </c>
      <c r="AD138" s="14" t="str">
        <f>IF(LEFT($B138,4)="_Mil","",_xlfn.IFNA(ROUND(INDEX(Spectrum!$N:$N,MATCH(RIGHT($B138,13)&amp;"|"&amp;$C138&amp;"|"&amp;$D138&amp;"|"&amp;AD$14&amp;"|"&amp;"CY2023Q3",Spectrum!$R:$R,0)),0),""))</f>
        <v/>
      </c>
      <c r="AE138" s="90">
        <f t="shared" si="31"/>
        <v>0</v>
      </c>
      <c r="AF138" s="42" t="str">
        <f>IF(LEFT($B138,4)="_Mil","",_xlfn.IFNA(ROUND(INDEX(Spectrum!$N:$N,MATCH(RIGHT($B138,13)&amp;"|"&amp;$C138&amp;"|"&amp;$D138&amp;"|"&amp;AF$14&amp;"|"&amp;"CY2023Q3",Spectrum!$R:$R,0)),0),""))</f>
        <v/>
      </c>
      <c r="AG138" s="90" t="str">
        <f t="shared" si="32"/>
        <v/>
      </c>
      <c r="AH138" s="88" t="str">
        <f>IF(LEFT($B138,4)="_Mil","",_xlfn.IFNA(INDEX(Spectrum!$N:$N,MATCH(RIGHT($B138,13)&amp;"|"&amp;$C138&amp;"|"&amp;$D138&amp;"|"&amp;AH$14&amp;"|"&amp;"CY2023Q3",Spectrum!$R:$R,0)),""))</f>
        <v/>
      </c>
      <c r="AI138" s="14" t="str">
        <f>IF(LEFT($B138,4)="_Mil","",_xlfn.IFNA(ROUND(INDEX(Spectrum!$N:$N,MATCH(RIGHT($B138,13)&amp;"|"&amp;$C138&amp;"|"&amp;$D138&amp;"|"&amp;AI$14&amp;"|"&amp;"CY2023Q3",Spectrum!$R:$R,0)),0),""))</f>
        <v/>
      </c>
      <c r="AJ138" s="42">
        <f>IF(LEFT($B138,4)="_Mil","",_xlfn.IFNA(ROUND(INDEX(Spectrum!$N:$N,MATCH(RIGHT($B138,13)&amp;"|"&amp;$C138&amp;"|"&amp;$D138&amp;"|"&amp;AI$14&amp;"|"&amp;"CY2023Q3",Spectrum!$R:$R,0)),0),SUM($U138)+SUM($AI138)))</f>
        <v>0</v>
      </c>
      <c r="AK138" s="14" t="str">
        <f>IF(LEFT($B138,4)="_Mil","",_xlfn.IFNA(ROUND(INDEX(Spectrum!$N:$N,MATCH(RIGHT($B138,13)&amp;"|"&amp;$C138&amp;"|"&amp;$D138&amp;"|"&amp;AK$14&amp;"|"&amp;"CY2023Q3",Spectrum!$R:$R,0)),0),""))</f>
        <v/>
      </c>
      <c r="AL138" s="90">
        <f t="shared" si="33"/>
        <v>670</v>
      </c>
      <c r="AM138" s="14">
        <f t="shared" si="34"/>
        <v>0</v>
      </c>
      <c r="AN138" s="14" t="str">
        <f>IF($C138="&lt;01",ROUND(INDEX(EID!$P:$P,MATCH($B138,EID!$B:$B,0))/2,0),"")</f>
        <v/>
      </c>
      <c r="AO138" s="14">
        <f t="shared" si="35"/>
        <v>0</v>
      </c>
      <c r="AP138" s="42">
        <f t="shared" si="36"/>
        <v>0</v>
      </c>
      <c r="AQ138" s="42">
        <f t="shared" si="37"/>
        <v>794</v>
      </c>
      <c r="AR138" s="90" t="str">
        <f t="shared" si="38"/>
        <v/>
      </c>
      <c r="AS138" s="90">
        <f t="shared" si="50"/>
        <v>0.98</v>
      </c>
      <c r="AT138" s="90">
        <f t="shared" si="50"/>
        <v>0.98</v>
      </c>
      <c r="AU138" s="14">
        <f t="shared" si="39"/>
        <v>0</v>
      </c>
      <c r="AV138" s="14">
        <f>IF($C138="&lt;01",ROUND(INDEX(EID!$N:$N,MATCH($B138,EID!$B:$B,0))/2,0),IF(SUM($AT138)=0,"",ROUND((SUM($AP138)-(SUM($O138)*SUM($AS138)))/$AT138,0)))</f>
        <v>0</v>
      </c>
      <c r="AW138" s="90">
        <f t="shared" si="40"/>
        <v>1</v>
      </c>
      <c r="AX138" s="42">
        <f t="shared" si="41"/>
        <v>0</v>
      </c>
      <c r="AY138" s="116">
        <f t="shared" si="42"/>
        <v>0.7</v>
      </c>
      <c r="AZ138" s="93">
        <f>IF($C138="&lt;01",ROUND(INDEX(EID!$R:$R,MATCH($B138,EID!$B:$B,0))/2,0),ROUND(SUM($O138)+(SUM($AV138)*$AY138),0))</f>
        <v>0</v>
      </c>
      <c r="BA138" s="89">
        <f t="shared" si="43"/>
        <v>0.95</v>
      </c>
      <c r="BB138" s="9">
        <f>IF($C138="&lt;01",ROUND(INDEX(EID!$T:$T,MATCH($B138,EID!$B:$B,0))/2,0),ROUND($AZ138*$BA138,0))</f>
        <v>0</v>
      </c>
      <c r="BC138" s="93">
        <f t="shared" si="44"/>
        <v>0</v>
      </c>
      <c r="BD138" s="90">
        <f t="shared" si="45"/>
        <v>0.95</v>
      </c>
      <c r="BE138" s="42">
        <f>IF($C138="&lt;01",ROUND(INDEX(EID!$V:$V,MATCH($B138,EID!$B:$B,0))/2,0),ROUND($BD138*$BB138,0))</f>
        <v>0</v>
      </c>
      <c r="BF138" s="42">
        <f t="shared" si="46"/>
        <v>0</v>
      </c>
      <c r="BG138" s="116">
        <f t="shared" si="47"/>
        <v>0.95</v>
      </c>
      <c r="BH138" s="9">
        <f>IF($C138="&lt;01",ROUND(INDEX(EID!$L:$L,MATCH($B138,EID!$B:$B,0)),0)/2,IF(SUM($BG138)=0,"",ROUND($AX138/$BG138,0)))</f>
        <v>0</v>
      </c>
    </row>
    <row r="139" spans="1:60" x14ac:dyDescent="0.2">
      <c r="A139" t="str">
        <f>INDEX(Prioritization!$D:$D,MATCH($B139,Prioritization!$A:$A,0))</f>
        <v>INVALID</v>
      </c>
      <c r="B139" t="s">
        <v>201</v>
      </c>
      <c r="C139" t="s">
        <v>367</v>
      </c>
      <c r="D139" t="s">
        <v>29</v>
      </c>
      <c r="E139" t="str">
        <f t="shared" si="26"/>
        <v>Ntchisi District [fiRkU6gEjLz]|50+|Female</v>
      </c>
      <c r="F139" s="14"/>
      <c r="G139" s="14"/>
      <c r="H139" s="14"/>
      <c r="I139" s="14"/>
      <c r="J139" s="14"/>
      <c r="K139" s="14"/>
      <c r="L139" s="14"/>
      <c r="M139" s="14"/>
      <c r="N139" s="14"/>
      <c r="O139" s="14" t="str">
        <f t="shared" si="27"/>
        <v/>
      </c>
      <c r="P139" s="14"/>
      <c r="Q139" s="14"/>
      <c r="R139" s="14" t="str">
        <f t="shared" si="28"/>
        <v/>
      </c>
      <c r="S139" s="14">
        <f>IF(LEFT($B139,4)="_Mil","",_xlfn.IFNA(ROUND(INDEX(Spectrum!$N:$N,MATCH(RIGHT($B139,13)&amp;"|"&amp;$C139&amp;"|"&amp;$D139&amp;"|"&amp;S$14&amp;"|"&amp;"CY2022Q4",Spectrum!$R:$R,0)),0),""))</f>
        <v>695</v>
      </c>
      <c r="T139" s="42">
        <f>IF(LEFT($B139,4)="_Mil","",_xlfn.IFNA(ROUND(INDEX(Spectrum!$N:$N,MATCH(RIGHT($B139,13)&amp;"|"&amp;$C139&amp;"|"&amp;$D139&amp;"|"&amp;T$14&amp;"|"&amp;"CY2023Q3",Spectrum!$R:$R,0)),0),""))</f>
        <v>1519</v>
      </c>
      <c r="U139" s="42" t="str">
        <f>IF(LEFT($B139,4)="_Mil","",_xlfn.IFNA(ROUND(INDEX(Spectrum!$N:$N,MATCH(RIGHT($B139,13)&amp;"|"&amp;$C139&amp;"|"&amp;$D139&amp;"|"&amp;U$14&amp;"|"&amp;"CY2023Q3",Spectrum!$R:$R,0)),0),""))</f>
        <v/>
      </c>
      <c r="V139" s="14">
        <f>IF(LEFT($B139,4)="_Mil","",_xlfn.IFNA(ROUND(INDEX(Spectrum!$N:$N,MATCH(RIGHT($B139,13)&amp;"|"&amp;$C139&amp;"|"&amp;$D139&amp;"|"&amp;V$14&amp;"|"&amp;"CY2023Q3",Spectrum!$R:$R,0)),0),""))</f>
        <v>1443</v>
      </c>
      <c r="W139" s="115">
        <f>IF(LEFT($B139,4)="_Mil","",_xlfn.IFNA(INDEX(Spectrum!$N:$N,MATCH(RIGHT($B139,13)&amp;"|"&amp;$C139&amp;"|"&amp;$D139&amp;"|"&amp;W$14&amp;"|"&amp;"CY2023Q3",Spectrum!$R:$R,0)),""))</f>
        <v>1732</v>
      </c>
      <c r="X139" s="42">
        <f>IF(LEFT($B139,4)="_Mil","",_xlfn.IFNA(ROUND(INDEX(Spectrum!$N:$N,MATCH(RIGHT($B139,13)&amp;"|"&amp;$C139&amp;"|"&amp;$D139&amp;"|"&amp;X$14&amp;"|"&amp;"CY2023Q3",Spectrum!$R:$R,0)),0),""))</f>
        <v>1212</v>
      </c>
      <c r="Y139" s="90" t="str">
        <f t="shared" si="29"/>
        <v/>
      </c>
      <c r="Z139" s="42">
        <f>IF(LEFT($B139,4)="_Mil","",_xlfn.IFNA(ROUND(INDEX(Spectrum!$N:$N,MATCH(RIGHT($B139,13)&amp;"|"&amp;$C139&amp;"|"&amp;$D139&amp;"|"&amp;Z$14&amp;"|"&amp;"CY2023Q3",Spectrum!$R:$R,0)),0),""))</f>
        <v>1569</v>
      </c>
      <c r="AA139" s="90">
        <f>IF(LEFT($B139,4)="_Mil","",IFERROR(1/(1/INDEX(Spectrum!$N:$N,MATCH(RIGHT($B139,13)&amp;"|"&amp;$C139&amp;"|"&amp;$D139&amp;"|"&amp;AA$14&amp;"|"&amp;"CY2023Q3",Spectrum!$R:$R,0))),IF(SUM($U139)=0,"",SUM($Z139)/$U139)))</f>
        <v>1492</v>
      </c>
      <c r="AB139" s="90">
        <f t="shared" si="30"/>
        <v>1.2945544554455446</v>
      </c>
      <c r="AC139" s="14">
        <f>IF(LEFT($B139,4)="_Mil","",_xlfn.IFNA(ROUND(INDEX(Spectrum!$N:$N,MATCH(RIGHT($B139,13)&amp;"|"&amp;$C139&amp;"|"&amp;$D139&amp;"|"&amp;AC$14&amp;"|"&amp;"CY2023Q3",Spectrum!$R:$R,0)),0),""))</f>
        <v>1992</v>
      </c>
      <c r="AD139" s="14" t="str">
        <f>IF(LEFT($B139,4)="_Mil","",_xlfn.IFNA(ROUND(INDEX(Spectrum!$N:$N,MATCH(RIGHT($B139,13)&amp;"|"&amp;$C139&amp;"|"&amp;$D139&amp;"|"&amp;AD$14&amp;"|"&amp;"CY2023Q3",Spectrum!$R:$R,0)),0),""))</f>
        <v/>
      </c>
      <c r="AE139" s="90">
        <f t="shared" si="31"/>
        <v>0</v>
      </c>
      <c r="AF139" s="42" t="str">
        <f>IF(LEFT($B139,4)="_Mil","",_xlfn.IFNA(ROUND(INDEX(Spectrum!$N:$N,MATCH(RIGHT($B139,13)&amp;"|"&amp;$C139&amp;"|"&amp;$D139&amp;"|"&amp;AF$14&amp;"|"&amp;"CY2023Q3",Spectrum!$R:$R,0)),0),""))</f>
        <v/>
      </c>
      <c r="AG139" s="90" t="str">
        <f t="shared" si="32"/>
        <v/>
      </c>
      <c r="AH139" s="88" t="str">
        <f>IF(LEFT($B139,4)="_Mil","",_xlfn.IFNA(INDEX(Spectrum!$N:$N,MATCH(RIGHT($B139,13)&amp;"|"&amp;$C139&amp;"|"&amp;$D139&amp;"|"&amp;AH$14&amp;"|"&amp;"CY2023Q3",Spectrum!$R:$R,0)),""))</f>
        <v/>
      </c>
      <c r="AI139" s="14" t="str">
        <f>IF(LEFT($B139,4)="_Mil","",_xlfn.IFNA(ROUND(INDEX(Spectrum!$N:$N,MATCH(RIGHT($B139,13)&amp;"|"&amp;$C139&amp;"|"&amp;$D139&amp;"|"&amp;AI$14&amp;"|"&amp;"CY2023Q3",Spectrum!$R:$R,0)),0),""))</f>
        <v/>
      </c>
      <c r="AJ139" s="42">
        <f>IF(LEFT($B139,4)="_Mil","",_xlfn.IFNA(ROUND(INDEX(Spectrum!$N:$N,MATCH(RIGHT($B139,13)&amp;"|"&amp;$C139&amp;"|"&amp;$D139&amp;"|"&amp;AI$14&amp;"|"&amp;"CY2023Q3",Spectrum!$R:$R,0)),0),SUM($U139)+SUM($AI139)))</f>
        <v>0</v>
      </c>
      <c r="AK139" s="14" t="str">
        <f>IF(LEFT($B139,4)="_Mil","",_xlfn.IFNA(ROUND(INDEX(Spectrum!$N:$N,MATCH(RIGHT($B139,13)&amp;"|"&amp;$C139&amp;"|"&amp;$D139&amp;"|"&amp;AK$14&amp;"|"&amp;"CY2023Q3",Spectrum!$R:$R,0)),0),""))</f>
        <v/>
      </c>
      <c r="AL139" s="90">
        <f t="shared" si="33"/>
        <v>1492</v>
      </c>
      <c r="AM139" s="14">
        <f t="shared" si="34"/>
        <v>0</v>
      </c>
      <c r="AN139" s="14" t="str">
        <f>IF($C139="&lt;01",ROUND(INDEX(EID!$P:$P,MATCH($B139,EID!$B:$B,0))/2,0),"")</f>
        <v/>
      </c>
      <c r="AO139" s="14">
        <f t="shared" si="35"/>
        <v>0</v>
      </c>
      <c r="AP139" s="42">
        <f t="shared" si="36"/>
        <v>0</v>
      </c>
      <c r="AQ139" s="42">
        <f t="shared" si="37"/>
        <v>1569</v>
      </c>
      <c r="AR139" s="90" t="str">
        <f t="shared" si="38"/>
        <v/>
      </c>
      <c r="AS139" s="90">
        <f t="shared" si="50"/>
        <v>0.98</v>
      </c>
      <c r="AT139" s="90">
        <f t="shared" si="50"/>
        <v>0.98</v>
      </c>
      <c r="AU139" s="14">
        <f t="shared" si="39"/>
        <v>0</v>
      </c>
      <c r="AV139" s="14">
        <f>IF($C139="&lt;01",ROUND(INDEX(EID!$N:$N,MATCH($B139,EID!$B:$B,0))/2,0),IF(SUM($AT139)=0,"",ROUND((SUM($AP139)-(SUM($O139)*SUM($AS139)))/$AT139,0)))</f>
        <v>0</v>
      </c>
      <c r="AW139" s="90">
        <f t="shared" si="40"/>
        <v>1</v>
      </c>
      <c r="AX139" s="42">
        <f t="shared" si="41"/>
        <v>0</v>
      </c>
      <c r="AY139" s="116">
        <f t="shared" si="42"/>
        <v>0.7</v>
      </c>
      <c r="AZ139" s="93">
        <f>IF($C139="&lt;01",ROUND(INDEX(EID!$R:$R,MATCH($B139,EID!$B:$B,0))/2,0),ROUND(SUM($O139)+(SUM($AV139)*$AY139),0))</f>
        <v>0</v>
      </c>
      <c r="BA139" s="89">
        <f t="shared" si="43"/>
        <v>0.95</v>
      </c>
      <c r="BB139" s="9">
        <f>IF($C139="&lt;01",ROUND(INDEX(EID!$T:$T,MATCH($B139,EID!$B:$B,0))/2,0),ROUND($AZ139*$BA139,0))</f>
        <v>0</v>
      </c>
      <c r="BC139" s="93">
        <f t="shared" si="44"/>
        <v>0</v>
      </c>
      <c r="BD139" s="90">
        <f t="shared" si="45"/>
        <v>0.95</v>
      </c>
      <c r="BE139" s="42">
        <f>IF($C139="&lt;01",ROUND(INDEX(EID!$V:$V,MATCH($B139,EID!$B:$B,0))/2,0),ROUND($BD139*$BB139,0))</f>
        <v>0</v>
      </c>
      <c r="BF139" s="42">
        <f t="shared" si="46"/>
        <v>0</v>
      </c>
      <c r="BG139" s="116">
        <f t="shared" si="47"/>
        <v>0.95</v>
      </c>
      <c r="BH139" s="9">
        <f>IF($C139="&lt;01",ROUND(INDEX(EID!$L:$L,MATCH($B139,EID!$B:$B,0)),0)/2,IF(SUM($BG139)=0,"",ROUND($AX139/$BG139,0)))</f>
        <v>0</v>
      </c>
    </row>
    <row r="140" spans="1:60" x14ac:dyDescent="0.2">
      <c r="A140" t="str">
        <f>INDEX(Prioritization!$D:$D,MATCH($B140,Prioritization!$A:$A,0))</f>
        <v>INVALID</v>
      </c>
      <c r="B140" t="s">
        <v>201</v>
      </c>
      <c r="C140" t="s">
        <v>367</v>
      </c>
      <c r="D140" t="s">
        <v>47</v>
      </c>
      <c r="E140" t="str">
        <f t="shared" si="26"/>
        <v>Ntchisi District [fiRkU6gEjLz]|50+|Male</v>
      </c>
      <c r="F140" s="14"/>
      <c r="G140" s="14"/>
      <c r="H140" s="14"/>
      <c r="I140" s="14"/>
      <c r="J140" s="14"/>
      <c r="K140" s="14"/>
      <c r="L140" s="14"/>
      <c r="M140" s="14"/>
      <c r="N140" s="14"/>
      <c r="O140" s="14" t="str">
        <f t="shared" si="27"/>
        <v/>
      </c>
      <c r="P140" s="14"/>
      <c r="Q140" s="14"/>
      <c r="R140" s="14" t="str">
        <f t="shared" si="28"/>
        <v/>
      </c>
      <c r="S140" s="14">
        <f>IF(LEFT($B140,4)="_Mil","",_xlfn.IFNA(ROUND(INDEX(Spectrum!$N:$N,MATCH(RIGHT($B140,13)&amp;"|"&amp;$C140&amp;"|"&amp;$D140&amp;"|"&amp;S$14&amp;"|"&amp;"CY2022Q4",Spectrum!$R:$R,0)),0),""))</f>
        <v>1829</v>
      </c>
      <c r="T140" s="42">
        <f>IF(LEFT($B140,4)="_Mil","",_xlfn.IFNA(ROUND(INDEX(Spectrum!$N:$N,MATCH(RIGHT($B140,13)&amp;"|"&amp;$C140&amp;"|"&amp;$D140&amp;"|"&amp;T$14&amp;"|"&amp;"CY2023Q3",Spectrum!$R:$R,0)),0),""))</f>
        <v>536</v>
      </c>
      <c r="U140" s="42" t="str">
        <f>IF(LEFT($B140,4)="_Mil","",_xlfn.IFNA(ROUND(INDEX(Spectrum!$N:$N,MATCH(RIGHT($B140,13)&amp;"|"&amp;$C140&amp;"|"&amp;$D140&amp;"|"&amp;U$14&amp;"|"&amp;"CY2023Q3",Spectrum!$R:$R,0)),0),""))</f>
        <v/>
      </c>
      <c r="V140" s="14">
        <f>IF(LEFT($B140,4)="_Mil","",_xlfn.IFNA(ROUND(INDEX(Spectrum!$N:$N,MATCH(RIGHT($B140,13)&amp;"|"&amp;$C140&amp;"|"&amp;$D140&amp;"|"&amp;V$14&amp;"|"&amp;"CY2023Q3",Spectrum!$R:$R,0)),0),""))</f>
        <v>1372</v>
      </c>
      <c r="W140" s="115">
        <f>IF(LEFT($B140,4)="_Mil","",_xlfn.IFNA(INDEX(Spectrum!$N:$N,MATCH(RIGHT($B140,13)&amp;"|"&amp;$C140&amp;"|"&amp;$D140&amp;"|"&amp;W$14&amp;"|"&amp;"CY2023Q3",Spectrum!$R:$R,0)),""))</f>
        <v>1644</v>
      </c>
      <c r="X140" s="42">
        <f>IF(LEFT($B140,4)="_Mil","",_xlfn.IFNA(ROUND(INDEX(Spectrum!$N:$N,MATCH(RIGHT($B140,13)&amp;"|"&amp;$C140&amp;"|"&amp;$D140&amp;"|"&amp;X$14&amp;"|"&amp;"CY2023Q3",Spectrum!$R:$R,0)),0),""))</f>
        <v>1474</v>
      </c>
      <c r="Y140" s="90" t="str">
        <f t="shared" si="29"/>
        <v/>
      </c>
      <c r="Z140" s="42">
        <f>IF(LEFT($B140,4)="_Mil","",_xlfn.IFNA(ROUND(INDEX(Spectrum!$N:$N,MATCH(RIGHT($B140,13)&amp;"|"&amp;$C140&amp;"|"&amp;$D140&amp;"|"&amp;Z$14&amp;"|"&amp;"CY2023Q3",Spectrum!$R:$R,0)),0),""))</f>
        <v>1369</v>
      </c>
      <c r="AA140" s="90">
        <f>IF(LEFT($B140,4)="_Mil","",IFERROR(1/(1/INDEX(Spectrum!$N:$N,MATCH(RIGHT($B140,13)&amp;"|"&amp;$C140&amp;"|"&amp;$D140&amp;"|"&amp;AA$14&amp;"|"&amp;"CY2023Q3",Spectrum!$R:$R,0))),IF(SUM($U140)=0,"",SUM($Z140)/$U140)))</f>
        <v>1011</v>
      </c>
      <c r="AB140" s="90">
        <f t="shared" si="30"/>
        <v>0.92876526458616016</v>
      </c>
      <c r="AC140" s="14">
        <f>IF(LEFT($B140,4)="_Mil","",_xlfn.IFNA(ROUND(INDEX(Spectrum!$N:$N,MATCH(RIGHT($B140,13)&amp;"|"&amp;$C140&amp;"|"&amp;$D140&amp;"|"&amp;AC$14&amp;"|"&amp;"CY2023Q3",Spectrum!$R:$R,0)),0),""))</f>
        <v>783</v>
      </c>
      <c r="AD140" s="14" t="str">
        <f>IF(LEFT($B140,4)="_Mil","",_xlfn.IFNA(ROUND(INDEX(Spectrum!$N:$N,MATCH(RIGHT($B140,13)&amp;"|"&amp;$C140&amp;"|"&amp;$D140&amp;"|"&amp;AD$14&amp;"|"&amp;"CY2023Q3",Spectrum!$R:$R,0)),0),""))</f>
        <v/>
      </c>
      <c r="AE140" s="90">
        <f t="shared" si="31"/>
        <v>0</v>
      </c>
      <c r="AF140" s="42" t="str">
        <f>IF(LEFT($B140,4)="_Mil","",_xlfn.IFNA(ROUND(INDEX(Spectrum!$N:$N,MATCH(RIGHT($B140,13)&amp;"|"&amp;$C140&amp;"|"&amp;$D140&amp;"|"&amp;AF$14&amp;"|"&amp;"CY2023Q3",Spectrum!$R:$R,0)),0),""))</f>
        <v/>
      </c>
      <c r="AG140" s="90" t="str">
        <f t="shared" si="32"/>
        <v/>
      </c>
      <c r="AH140" s="88" t="str">
        <f>IF(LEFT($B140,4)="_Mil","",_xlfn.IFNA(INDEX(Spectrum!$N:$N,MATCH(RIGHT($B140,13)&amp;"|"&amp;$C140&amp;"|"&amp;$D140&amp;"|"&amp;AH$14&amp;"|"&amp;"CY2023Q3",Spectrum!$R:$R,0)),""))</f>
        <v/>
      </c>
      <c r="AI140" s="14" t="str">
        <f>IF(LEFT($B140,4)="_Mil","",_xlfn.IFNA(ROUND(INDEX(Spectrum!$N:$N,MATCH(RIGHT($B140,13)&amp;"|"&amp;$C140&amp;"|"&amp;$D140&amp;"|"&amp;AI$14&amp;"|"&amp;"CY2023Q3",Spectrum!$R:$R,0)),0),""))</f>
        <v/>
      </c>
      <c r="AJ140" s="42">
        <f>IF(LEFT($B140,4)="_Mil","",_xlfn.IFNA(ROUND(INDEX(Spectrum!$N:$N,MATCH(RIGHT($B140,13)&amp;"|"&amp;$C140&amp;"|"&amp;$D140&amp;"|"&amp;AI$14&amp;"|"&amp;"CY2023Q3",Spectrum!$R:$R,0)),0),SUM($U140)+SUM($AI140)))</f>
        <v>0</v>
      </c>
      <c r="AK140" s="14" t="str">
        <f>IF(LEFT($B140,4)="_Mil","",_xlfn.IFNA(ROUND(INDEX(Spectrum!$N:$N,MATCH(RIGHT($B140,13)&amp;"|"&amp;$C140&amp;"|"&amp;$D140&amp;"|"&amp;AK$14&amp;"|"&amp;"CY2023Q3",Spectrum!$R:$R,0)),0),""))</f>
        <v/>
      </c>
      <c r="AL140" s="90">
        <f t="shared" si="33"/>
        <v>1011</v>
      </c>
      <c r="AM140" s="14">
        <f t="shared" si="34"/>
        <v>0</v>
      </c>
      <c r="AN140" s="14" t="str">
        <f>IF($C140="&lt;01",ROUND(INDEX(EID!$P:$P,MATCH($B140,EID!$B:$B,0))/2,0),"")</f>
        <v/>
      </c>
      <c r="AO140" s="14">
        <f t="shared" si="35"/>
        <v>0</v>
      </c>
      <c r="AP140" s="42">
        <f t="shared" si="36"/>
        <v>0</v>
      </c>
      <c r="AQ140" s="42">
        <f t="shared" si="37"/>
        <v>1369</v>
      </c>
      <c r="AR140" s="90" t="str">
        <f t="shared" si="38"/>
        <v/>
      </c>
      <c r="AS140" s="90">
        <f t="shared" si="50"/>
        <v>0.98</v>
      </c>
      <c r="AT140" s="90">
        <f t="shared" si="50"/>
        <v>0.98</v>
      </c>
      <c r="AU140" s="14">
        <f t="shared" si="39"/>
        <v>0</v>
      </c>
      <c r="AV140" s="14">
        <f>IF($C140="&lt;01",ROUND(INDEX(EID!$N:$N,MATCH($B140,EID!$B:$B,0))/2,0),IF(SUM($AT140)=0,"",ROUND((SUM($AP140)-(SUM($O140)*SUM($AS140)))/$AT140,0)))</f>
        <v>0</v>
      </c>
      <c r="AW140" s="90">
        <f t="shared" si="40"/>
        <v>1</v>
      </c>
      <c r="AX140" s="42">
        <f t="shared" si="41"/>
        <v>0</v>
      </c>
      <c r="AY140" s="116">
        <f t="shared" si="42"/>
        <v>0.7</v>
      </c>
      <c r="AZ140" s="93">
        <f>IF($C140="&lt;01",ROUND(INDEX(EID!$R:$R,MATCH($B140,EID!$B:$B,0))/2,0),ROUND(SUM($O140)+(SUM($AV140)*$AY140),0))</f>
        <v>0</v>
      </c>
      <c r="BA140" s="89">
        <f t="shared" si="43"/>
        <v>0.95</v>
      </c>
      <c r="BB140" s="9">
        <f>IF($C140="&lt;01",ROUND(INDEX(EID!$T:$T,MATCH($B140,EID!$B:$B,0))/2,0),ROUND($AZ140*$BA140,0))</f>
        <v>0</v>
      </c>
      <c r="BC140" s="93">
        <f t="shared" si="44"/>
        <v>0</v>
      </c>
      <c r="BD140" s="90">
        <f t="shared" si="45"/>
        <v>0.95</v>
      </c>
      <c r="BE140" s="42">
        <f>IF($C140="&lt;01",ROUND(INDEX(EID!$V:$V,MATCH($B140,EID!$B:$B,0))/2,0),ROUND($BD140*$BB140,0))</f>
        <v>0</v>
      </c>
      <c r="BF140" s="42">
        <f t="shared" si="46"/>
        <v>0</v>
      </c>
      <c r="BG140" s="116">
        <f t="shared" si="47"/>
        <v>0.95</v>
      </c>
      <c r="BH140" s="9">
        <f>IF($C140="&lt;01",ROUND(INDEX(EID!$L:$L,MATCH($B140,EID!$B:$B,0)),0)/2,IF(SUM($BG140)=0,"",ROUND($AX140/$BG140,0)))</f>
        <v>0</v>
      </c>
    </row>
    <row r="141" spans="1:60" x14ac:dyDescent="0.2">
      <c r="A141" t="str">
        <f>INDEX(Prioritization!$D:$D,MATCH($B141,Prioritization!$A:$A,0))</f>
        <v>INVALID</v>
      </c>
      <c r="B141" t="s">
        <v>202</v>
      </c>
      <c r="C141" t="s">
        <v>315</v>
      </c>
      <c r="D141" t="s">
        <v>29</v>
      </c>
      <c r="E141" t="str">
        <f t="shared" si="26"/>
        <v>Salima District [msW2zpIN7up]|&lt;01|Female</v>
      </c>
      <c r="F141" s="14"/>
      <c r="G141" s="14">
        <v>2</v>
      </c>
      <c r="H141" s="14">
        <v>1</v>
      </c>
      <c r="I141" s="14">
        <v>1</v>
      </c>
      <c r="J141" s="14">
        <v>5</v>
      </c>
      <c r="K141" s="14">
        <v>0</v>
      </c>
      <c r="L141" s="14"/>
      <c r="M141" s="14">
        <v>5</v>
      </c>
      <c r="N141" s="14">
        <v>6</v>
      </c>
      <c r="O141" s="14">
        <f t="shared" si="27"/>
        <v>6</v>
      </c>
      <c r="P141" s="14">
        <v>1</v>
      </c>
      <c r="Q141" s="14">
        <v>1</v>
      </c>
      <c r="R141" s="14">
        <f t="shared" si="28"/>
        <v>5</v>
      </c>
      <c r="S141" s="14">
        <f>IF(LEFT($B141,4)="_Mil","",_xlfn.IFNA(ROUND(INDEX(Spectrum!$N:$N,MATCH(RIGHT($B141,13)&amp;"|"&amp;$C141&amp;"|"&amp;$D141&amp;"|"&amp;S$14&amp;"|"&amp;"CY2022Q4",Spectrum!$R:$R,0)),0),""))</f>
        <v>575</v>
      </c>
      <c r="T141" s="42">
        <f>IF(LEFT($B141,4)="_Mil","",_xlfn.IFNA(ROUND(INDEX(Spectrum!$N:$N,MATCH(RIGHT($B141,13)&amp;"|"&amp;$C141&amp;"|"&amp;$D141&amp;"|"&amp;T$14&amp;"|"&amp;"CY2023Q3",Spectrum!$R:$R,0)),0),""))</f>
        <v>627</v>
      </c>
      <c r="U141" s="42" t="str">
        <f>IF(LEFT($B141,4)="_Mil","",_xlfn.IFNA(ROUND(INDEX(Spectrum!$N:$N,MATCH(RIGHT($B141,13)&amp;"|"&amp;$C141&amp;"|"&amp;$D141&amp;"|"&amp;U$14&amp;"|"&amp;"CY2023Q3",Spectrum!$R:$R,0)),0),""))</f>
        <v/>
      </c>
      <c r="V141" s="14">
        <f>IF(LEFT($B141,4)="_Mil","",_xlfn.IFNA(ROUND(INDEX(Spectrum!$N:$N,MATCH(RIGHT($B141,13)&amp;"|"&amp;$C141&amp;"|"&amp;$D141&amp;"|"&amp;V$14&amp;"|"&amp;"CY2023Q3",Spectrum!$R:$R,0)),0),""))</f>
        <v>1327</v>
      </c>
      <c r="W141" s="115">
        <f>IF(LEFT($B141,4)="_Mil","",_xlfn.IFNA(INDEX(Spectrum!$N:$N,MATCH(RIGHT($B141,13)&amp;"|"&amp;$C141&amp;"|"&amp;$D141&amp;"|"&amp;W$14&amp;"|"&amp;"CY2023Q3",Spectrum!$R:$R,0)),""))</f>
        <v>1153</v>
      </c>
      <c r="X141" s="42">
        <f>IF(LEFT($B141,4)="_Mil","",_xlfn.IFNA(ROUND(INDEX(Spectrum!$N:$N,MATCH(RIGHT($B141,13)&amp;"|"&amp;$C141&amp;"|"&amp;$D141&amp;"|"&amp;X$14&amp;"|"&amp;"CY2023Q3",Spectrum!$R:$R,0)),0),""))</f>
        <v>1669</v>
      </c>
      <c r="Y141" s="90" t="str">
        <f t="shared" si="29"/>
        <v/>
      </c>
      <c r="Z141" s="42">
        <f>IF(LEFT($B141,4)="_Mil","",_xlfn.IFNA(ROUND(INDEX(Spectrum!$N:$N,MATCH(RIGHT($B141,13)&amp;"|"&amp;$C141&amp;"|"&amp;$D141&amp;"|"&amp;Z$14&amp;"|"&amp;"CY2023Q3",Spectrum!$R:$R,0)),0),""))</f>
        <v>1700</v>
      </c>
      <c r="AA141" s="90">
        <f>IF(LEFT($B141,4)="_Mil","",IFERROR(1/(1/INDEX(Spectrum!$N:$N,MATCH(RIGHT($B141,13)&amp;"|"&amp;$C141&amp;"|"&amp;$D141&amp;"|"&amp;AA$14&amp;"|"&amp;"CY2023Q3",Spectrum!$R:$R,0))),IF(SUM($U141)=0,"",SUM($Z141)/$U141)))</f>
        <v>740</v>
      </c>
      <c r="AB141" s="90">
        <f t="shared" si="30"/>
        <v>1.0185739964050329</v>
      </c>
      <c r="AC141" s="14">
        <f>IF(LEFT($B141,4)="_Mil","",_xlfn.IFNA(ROUND(INDEX(Spectrum!$N:$N,MATCH(RIGHT($B141,13)&amp;"|"&amp;$C141&amp;"|"&amp;$D141&amp;"|"&amp;AC$14&amp;"|"&amp;"CY2023Q3",Spectrum!$R:$R,0)),0),""))</f>
        <v>1767</v>
      </c>
      <c r="AD141" s="14" t="str">
        <f>IF(LEFT($B141,4)="_Mil","",_xlfn.IFNA(ROUND(INDEX(Spectrum!$N:$N,MATCH(RIGHT($B141,13)&amp;"|"&amp;$C141&amp;"|"&amp;$D141&amp;"|"&amp;AD$14&amp;"|"&amp;"CY2023Q3",Spectrum!$R:$R,0)),0),""))</f>
        <v/>
      </c>
      <c r="AE141" s="90">
        <f t="shared" si="31"/>
        <v>0</v>
      </c>
      <c r="AF141" s="42" t="str">
        <f>IF(LEFT($B141,4)="_Mil","",_xlfn.IFNA(ROUND(INDEX(Spectrum!$N:$N,MATCH(RIGHT($B141,13)&amp;"|"&amp;$C141&amp;"|"&amp;$D141&amp;"|"&amp;AF$14&amp;"|"&amp;"CY2023Q3",Spectrum!$R:$R,0)),0),""))</f>
        <v/>
      </c>
      <c r="AG141" s="90" t="str">
        <f t="shared" si="32"/>
        <v/>
      </c>
      <c r="AH141" s="88" t="str">
        <f>IF(LEFT($B141,4)="_Mil","",_xlfn.IFNA(INDEX(Spectrum!$N:$N,MATCH(RIGHT($B141,13)&amp;"|"&amp;$C141&amp;"|"&amp;$D141&amp;"|"&amp;AH$14&amp;"|"&amp;"CY2023Q3",Spectrum!$R:$R,0)),""))</f>
        <v/>
      </c>
      <c r="AI141" s="14" t="str">
        <f>IF(LEFT($B141,4)="_Mil","",_xlfn.IFNA(ROUND(INDEX(Spectrum!$N:$N,MATCH(RIGHT($B141,13)&amp;"|"&amp;$C141&amp;"|"&amp;$D141&amp;"|"&amp;AI$14&amp;"|"&amp;"CY2023Q3",Spectrum!$R:$R,0)),0),""))</f>
        <v/>
      </c>
      <c r="AJ141" s="42">
        <f>IF(LEFT($B141,4)="_Mil","",_xlfn.IFNA(ROUND(INDEX(Spectrum!$N:$N,MATCH(RIGHT($B141,13)&amp;"|"&amp;$C141&amp;"|"&amp;$D141&amp;"|"&amp;AI$14&amp;"|"&amp;"CY2023Q3",Spectrum!$R:$R,0)),0),SUM($U141)+SUM($AI141)))</f>
        <v>0</v>
      </c>
      <c r="AK141" s="14" t="str">
        <f>IF(LEFT($B141,4)="_Mil","",_xlfn.IFNA(ROUND(INDEX(Spectrum!$N:$N,MATCH(RIGHT($B141,13)&amp;"|"&amp;$C141&amp;"|"&amp;$D141&amp;"|"&amp;AK$14&amp;"|"&amp;"CY2023Q3",Spectrum!$R:$R,0)),0),""))</f>
        <v/>
      </c>
      <c r="AL141" s="90" t="str">
        <f t="shared" si="33"/>
        <v/>
      </c>
      <c r="AM141" s="14" t="str">
        <f t="shared" si="34"/>
        <v/>
      </c>
      <c r="AN141" s="14">
        <f>IF($C141="&lt;01",ROUND(INDEX(EID!$P:$P,MATCH($B141,EID!$B:$B,0))/2,0),"")</f>
        <v>0</v>
      </c>
      <c r="AO141" s="14">
        <f t="shared" si="35"/>
        <v>0</v>
      </c>
      <c r="AP141" s="42">
        <f t="shared" si="36"/>
        <v>0</v>
      </c>
      <c r="AQ141" s="42">
        <f t="shared" si="37"/>
        <v>1700</v>
      </c>
      <c r="AR141" s="90" t="str">
        <f t="shared" si="38"/>
        <v/>
      </c>
      <c r="AS141" s="90" t="str">
        <f t="shared" si="50"/>
        <v/>
      </c>
      <c r="AT141" s="90" t="str">
        <f t="shared" si="50"/>
        <v/>
      </c>
      <c r="AU141" s="14" t="str">
        <f t="shared" si="39"/>
        <v/>
      </c>
      <c r="AV141" s="14">
        <f>IF($C141="&lt;01",ROUND(INDEX(EID!$N:$N,MATCH($B141,EID!$B:$B,0))/2,0),IF(SUM($AT141)=0,"",ROUND((SUM($AP141)-(SUM($O141)*SUM($AS141)))/$AT141,0)))</f>
        <v>0</v>
      </c>
      <c r="AW141" s="90" t="str">
        <f t="shared" si="40"/>
        <v/>
      </c>
      <c r="AX141" s="42">
        <f t="shared" si="41"/>
        <v>0</v>
      </c>
      <c r="AY141" s="116" t="str">
        <f t="shared" si="42"/>
        <v/>
      </c>
      <c r="AZ141" s="93">
        <f>IF($C141="&lt;01",ROUND(INDEX(EID!$R:$R,MATCH($B141,EID!$B:$B,0))/2,0),ROUND(SUM($O141)+(SUM($AV141)*$AY141),0))</f>
        <v>0</v>
      </c>
      <c r="BA141" s="89" t="str">
        <f t="shared" si="43"/>
        <v/>
      </c>
      <c r="BB141" s="9">
        <f>IF($C141="&lt;01",ROUND(INDEX(EID!$T:$T,MATCH($B141,EID!$B:$B,0))/2,0),ROUND($AZ141*$BA141,0))</f>
        <v>0</v>
      </c>
      <c r="BC141" s="93">
        <f t="shared" si="44"/>
        <v>0</v>
      </c>
      <c r="BD141" s="90" t="str">
        <f t="shared" si="45"/>
        <v/>
      </c>
      <c r="BE141" s="42">
        <f>IF($C141="&lt;01",ROUND(INDEX(EID!$V:$V,MATCH($B141,EID!$B:$B,0))/2,0),ROUND($BD141*$BB141,0))</f>
        <v>0</v>
      </c>
      <c r="BF141" s="42">
        <f t="shared" si="46"/>
        <v>0</v>
      </c>
      <c r="BG141" s="116" t="str">
        <f t="shared" si="47"/>
        <v/>
      </c>
      <c r="BH141" s="9">
        <f>IF($C141="&lt;01",ROUND(INDEX(EID!$L:$L,MATCH($B141,EID!$B:$B,0)),0)/2,IF(SUM($BG141)=0,"",ROUND($AX141/$BG141,0)))</f>
        <v>0</v>
      </c>
    </row>
    <row r="142" spans="1:60" x14ac:dyDescent="0.2">
      <c r="A142" t="str">
        <f>INDEX(Prioritization!$D:$D,MATCH($B142,Prioritization!$A:$A,0))</f>
        <v>INVALID</v>
      </c>
      <c r="B142" t="s">
        <v>202</v>
      </c>
      <c r="C142" t="s">
        <v>315</v>
      </c>
      <c r="D142" t="s">
        <v>47</v>
      </c>
      <c r="E142" t="str">
        <f t="shared" si="26"/>
        <v>Salima District [msW2zpIN7up]|&lt;01|Male</v>
      </c>
      <c r="F142" s="14"/>
      <c r="G142" s="14">
        <v>7</v>
      </c>
      <c r="H142" s="14">
        <v>9</v>
      </c>
      <c r="I142" s="14">
        <v>1</v>
      </c>
      <c r="J142" s="14">
        <v>3</v>
      </c>
      <c r="K142" s="14">
        <v>1</v>
      </c>
      <c r="L142" s="14"/>
      <c r="M142" s="14">
        <v>1</v>
      </c>
      <c r="N142" s="14">
        <v>8</v>
      </c>
      <c r="O142" s="14">
        <f t="shared" si="27"/>
        <v>8</v>
      </c>
      <c r="P142" s="14">
        <v>1</v>
      </c>
      <c r="Q142" s="14">
        <v>1</v>
      </c>
      <c r="R142" s="14">
        <f t="shared" si="28"/>
        <v>7</v>
      </c>
      <c r="S142" s="14">
        <f>IF(LEFT($B142,4)="_Mil","",_xlfn.IFNA(ROUND(INDEX(Spectrum!$N:$N,MATCH(RIGHT($B142,13)&amp;"|"&amp;$C142&amp;"|"&amp;$D142&amp;"|"&amp;S$14&amp;"|"&amp;"CY2022Q4",Spectrum!$R:$R,0)),0),""))</f>
        <v>1227</v>
      </c>
      <c r="T142" s="42">
        <f>IF(LEFT($B142,4)="_Mil","",_xlfn.IFNA(ROUND(INDEX(Spectrum!$N:$N,MATCH(RIGHT($B142,13)&amp;"|"&amp;$C142&amp;"|"&amp;$D142&amp;"|"&amp;T$14&amp;"|"&amp;"CY2023Q3",Spectrum!$R:$R,0)),0),""))</f>
        <v>620</v>
      </c>
      <c r="U142" s="42" t="str">
        <f>IF(LEFT($B142,4)="_Mil","",_xlfn.IFNA(ROUND(INDEX(Spectrum!$N:$N,MATCH(RIGHT($B142,13)&amp;"|"&amp;$C142&amp;"|"&amp;$D142&amp;"|"&amp;U$14&amp;"|"&amp;"CY2023Q3",Spectrum!$R:$R,0)),0),""))</f>
        <v/>
      </c>
      <c r="V142" s="14">
        <f>IF(LEFT($B142,4)="_Mil","",_xlfn.IFNA(ROUND(INDEX(Spectrum!$N:$N,MATCH(RIGHT($B142,13)&amp;"|"&amp;$C142&amp;"|"&amp;$D142&amp;"|"&amp;V$14&amp;"|"&amp;"CY2023Q3",Spectrum!$R:$R,0)),0),""))</f>
        <v>1491</v>
      </c>
      <c r="W142" s="115">
        <f>IF(LEFT($B142,4)="_Mil","",_xlfn.IFNA(INDEX(Spectrum!$N:$N,MATCH(RIGHT($B142,13)&amp;"|"&amp;$C142&amp;"|"&amp;$D142&amp;"|"&amp;W$14&amp;"|"&amp;"CY2023Q3",Spectrum!$R:$R,0)),""))</f>
        <v>586</v>
      </c>
      <c r="X142" s="42">
        <f>IF(LEFT($B142,4)="_Mil","",_xlfn.IFNA(ROUND(INDEX(Spectrum!$N:$N,MATCH(RIGHT($B142,13)&amp;"|"&amp;$C142&amp;"|"&amp;$D142&amp;"|"&amp;X$14&amp;"|"&amp;"CY2023Q3",Spectrum!$R:$R,0)),0),""))</f>
        <v>1476</v>
      </c>
      <c r="Y142" s="90" t="str">
        <f t="shared" si="29"/>
        <v/>
      </c>
      <c r="Z142" s="42">
        <f>IF(LEFT($B142,4)="_Mil","",_xlfn.IFNA(ROUND(INDEX(Spectrum!$N:$N,MATCH(RIGHT($B142,13)&amp;"|"&amp;$C142&amp;"|"&amp;$D142&amp;"|"&amp;Z$14&amp;"|"&amp;"CY2023Q3",Spectrum!$R:$R,0)),0),""))</f>
        <v>1129</v>
      </c>
      <c r="AA142" s="90">
        <f>IF(LEFT($B142,4)="_Mil","",IFERROR(1/(1/INDEX(Spectrum!$N:$N,MATCH(RIGHT($B142,13)&amp;"|"&amp;$C142&amp;"|"&amp;$D142&amp;"|"&amp;AA$14&amp;"|"&amp;"CY2023Q3",Spectrum!$R:$R,0))),IF(SUM($U142)=0,"",SUM($Z142)/$U142)))</f>
        <v>696</v>
      </c>
      <c r="AB142" s="90">
        <f t="shared" si="30"/>
        <v>0.76490514905149054</v>
      </c>
      <c r="AC142" s="14">
        <f>IF(LEFT($B142,4)="_Mil","",_xlfn.IFNA(ROUND(INDEX(Spectrum!$N:$N,MATCH(RIGHT($B142,13)&amp;"|"&amp;$C142&amp;"|"&amp;$D142&amp;"|"&amp;AC$14&amp;"|"&amp;"CY2023Q3",Spectrum!$R:$R,0)),0),""))</f>
        <v>1238</v>
      </c>
      <c r="AD142" s="14" t="str">
        <f>IF(LEFT($B142,4)="_Mil","",_xlfn.IFNA(ROUND(INDEX(Spectrum!$N:$N,MATCH(RIGHT($B142,13)&amp;"|"&amp;$C142&amp;"|"&amp;$D142&amp;"|"&amp;AD$14&amp;"|"&amp;"CY2023Q3",Spectrum!$R:$R,0)),0),""))</f>
        <v/>
      </c>
      <c r="AE142" s="90">
        <f t="shared" si="31"/>
        <v>0</v>
      </c>
      <c r="AF142" s="42" t="str">
        <f>IF(LEFT($B142,4)="_Mil","",_xlfn.IFNA(ROUND(INDEX(Spectrum!$N:$N,MATCH(RIGHT($B142,13)&amp;"|"&amp;$C142&amp;"|"&amp;$D142&amp;"|"&amp;AF$14&amp;"|"&amp;"CY2023Q3",Spectrum!$R:$R,0)),0),""))</f>
        <v/>
      </c>
      <c r="AG142" s="90" t="str">
        <f t="shared" si="32"/>
        <v/>
      </c>
      <c r="AH142" s="88" t="str">
        <f>IF(LEFT($B142,4)="_Mil","",_xlfn.IFNA(INDEX(Spectrum!$N:$N,MATCH(RIGHT($B142,13)&amp;"|"&amp;$C142&amp;"|"&amp;$D142&amp;"|"&amp;AH$14&amp;"|"&amp;"CY2023Q3",Spectrum!$R:$R,0)),""))</f>
        <v/>
      </c>
      <c r="AI142" s="14" t="str">
        <f>IF(LEFT($B142,4)="_Mil","",_xlfn.IFNA(ROUND(INDEX(Spectrum!$N:$N,MATCH(RIGHT($B142,13)&amp;"|"&amp;$C142&amp;"|"&amp;$D142&amp;"|"&amp;AI$14&amp;"|"&amp;"CY2023Q3",Spectrum!$R:$R,0)),0),""))</f>
        <v/>
      </c>
      <c r="AJ142" s="42">
        <f>IF(LEFT($B142,4)="_Mil","",_xlfn.IFNA(ROUND(INDEX(Spectrum!$N:$N,MATCH(RIGHT($B142,13)&amp;"|"&amp;$C142&amp;"|"&amp;$D142&amp;"|"&amp;AI$14&amp;"|"&amp;"CY2023Q3",Spectrum!$R:$R,0)),0),SUM($U142)+SUM($AI142)))</f>
        <v>0</v>
      </c>
      <c r="AK142" s="14" t="str">
        <f>IF(LEFT($B142,4)="_Mil","",_xlfn.IFNA(ROUND(INDEX(Spectrum!$N:$N,MATCH(RIGHT($B142,13)&amp;"|"&amp;$C142&amp;"|"&amp;$D142&amp;"|"&amp;AK$14&amp;"|"&amp;"CY2023Q3",Spectrum!$R:$R,0)),0),""))</f>
        <v/>
      </c>
      <c r="AL142" s="90" t="str">
        <f t="shared" si="33"/>
        <v/>
      </c>
      <c r="AM142" s="14" t="str">
        <f t="shared" si="34"/>
        <v/>
      </c>
      <c r="AN142" s="14">
        <f>IF($C142="&lt;01",ROUND(INDEX(EID!$P:$P,MATCH($B142,EID!$B:$B,0))/2,0),"")</f>
        <v>0</v>
      </c>
      <c r="AO142" s="14">
        <f t="shared" si="35"/>
        <v>0</v>
      </c>
      <c r="AP142" s="42">
        <f t="shared" si="36"/>
        <v>0</v>
      </c>
      <c r="AQ142" s="42">
        <f t="shared" si="37"/>
        <v>1129</v>
      </c>
      <c r="AR142" s="90" t="str">
        <f t="shared" si="38"/>
        <v/>
      </c>
      <c r="AS142" s="90" t="str">
        <f t="shared" si="50"/>
        <v/>
      </c>
      <c r="AT142" s="90" t="str">
        <f t="shared" si="50"/>
        <v/>
      </c>
      <c r="AU142" s="14" t="str">
        <f t="shared" si="39"/>
        <v/>
      </c>
      <c r="AV142" s="14">
        <f>IF($C142="&lt;01",ROUND(INDEX(EID!$N:$N,MATCH($B142,EID!$B:$B,0))/2,0),IF(SUM($AT142)=0,"",ROUND((SUM($AP142)-(SUM($O142)*SUM($AS142)))/$AT142,0)))</f>
        <v>0</v>
      </c>
      <c r="AW142" s="90" t="str">
        <f t="shared" si="40"/>
        <v/>
      </c>
      <c r="AX142" s="42">
        <f t="shared" si="41"/>
        <v>0</v>
      </c>
      <c r="AY142" s="116" t="str">
        <f t="shared" si="42"/>
        <v/>
      </c>
      <c r="AZ142" s="93">
        <f>IF($C142="&lt;01",ROUND(INDEX(EID!$R:$R,MATCH($B142,EID!$B:$B,0))/2,0),ROUND(SUM($O142)+(SUM($AV142)*$AY142),0))</f>
        <v>0</v>
      </c>
      <c r="BA142" s="89" t="str">
        <f t="shared" si="43"/>
        <v/>
      </c>
      <c r="BB142" s="9">
        <f>IF($C142="&lt;01",ROUND(INDEX(EID!$T:$T,MATCH($B142,EID!$B:$B,0))/2,0),ROUND($AZ142*$BA142,0))</f>
        <v>0</v>
      </c>
      <c r="BC142" s="93">
        <f t="shared" si="44"/>
        <v>0</v>
      </c>
      <c r="BD142" s="90" t="str">
        <f t="shared" si="45"/>
        <v/>
      </c>
      <c r="BE142" s="42">
        <f>IF($C142="&lt;01",ROUND(INDEX(EID!$V:$V,MATCH($B142,EID!$B:$B,0))/2,0),ROUND($BD142*$BB142,0))</f>
        <v>0</v>
      </c>
      <c r="BF142" s="42">
        <f t="shared" si="46"/>
        <v>0</v>
      </c>
      <c r="BG142" s="116" t="str">
        <f t="shared" si="47"/>
        <v/>
      </c>
      <c r="BH142" s="9">
        <f>IF($C142="&lt;01",ROUND(INDEX(EID!$L:$L,MATCH($B142,EID!$B:$B,0)),0)/2,IF(SUM($BG142)=0,"",ROUND($AX142/$BG142,0)))</f>
        <v>0</v>
      </c>
    </row>
    <row r="143" spans="1:60" x14ac:dyDescent="0.2">
      <c r="A143" t="str">
        <f>INDEX(Prioritization!$D:$D,MATCH($B143,Prioritization!$A:$A,0))</f>
        <v>INVALID</v>
      </c>
      <c r="B143" t="s">
        <v>202</v>
      </c>
      <c r="C143" t="s">
        <v>362</v>
      </c>
      <c r="D143" t="s">
        <v>29</v>
      </c>
      <c r="E143" t="str">
        <f t="shared" ref="E143:E206" si="51">$B143&amp;"|"&amp;$C143&amp;"|"&amp;$D143</f>
        <v>Salima District [msW2zpIN7up]|01-09|Female</v>
      </c>
      <c r="F143" s="14"/>
      <c r="G143" s="14"/>
      <c r="H143" s="14"/>
      <c r="I143" s="14"/>
      <c r="J143" s="14"/>
      <c r="K143" s="14"/>
      <c r="L143" s="14"/>
      <c r="M143" s="14"/>
      <c r="N143" s="14"/>
      <c r="O143" s="14" t="str">
        <f t="shared" ref="O143:O206" si="52">IFERROR(1/(1/MAX($I143,$N143)),"")</f>
        <v/>
      </c>
      <c r="P143" s="14"/>
      <c r="Q143" s="14"/>
      <c r="R143" s="14" t="str">
        <f t="shared" ref="R143:R206" si="53">IF(AND(SUM($I143)=0,SUM($O143)=0),"",SUM($O143)-$I143)</f>
        <v/>
      </c>
      <c r="S143" s="14">
        <f>IF(LEFT($B143,4)="_Mil","",_xlfn.IFNA(ROUND(INDEX(Spectrum!$N:$N,MATCH(RIGHT($B143,13)&amp;"|"&amp;$C143&amp;"|"&amp;$D143&amp;"|"&amp;S$14&amp;"|"&amp;"CY2022Q4",Spectrum!$R:$R,0)),0),""))</f>
        <v>693</v>
      </c>
      <c r="T143" s="42">
        <f>IF(LEFT($B143,4)="_Mil","",_xlfn.IFNA(ROUND(INDEX(Spectrum!$N:$N,MATCH(RIGHT($B143,13)&amp;"|"&amp;$C143&amp;"|"&amp;$D143&amp;"|"&amp;T$14&amp;"|"&amp;"CY2023Q3",Spectrum!$R:$R,0)),0),""))</f>
        <v>1587</v>
      </c>
      <c r="U143" s="42" t="str">
        <f>IF(LEFT($B143,4)="_Mil","",_xlfn.IFNA(ROUND(INDEX(Spectrum!$N:$N,MATCH(RIGHT($B143,13)&amp;"|"&amp;$C143&amp;"|"&amp;$D143&amp;"|"&amp;U$14&amp;"|"&amp;"CY2023Q3",Spectrum!$R:$R,0)),0),""))</f>
        <v/>
      </c>
      <c r="V143" s="14">
        <f>IF(LEFT($B143,4)="_Mil","",_xlfn.IFNA(ROUND(INDEX(Spectrum!$N:$N,MATCH(RIGHT($B143,13)&amp;"|"&amp;$C143&amp;"|"&amp;$D143&amp;"|"&amp;V$14&amp;"|"&amp;"CY2023Q3",Spectrum!$R:$R,0)),0),""))</f>
        <v>1279</v>
      </c>
      <c r="W143" s="115">
        <f>IF(LEFT($B143,4)="_Mil","",_xlfn.IFNA(INDEX(Spectrum!$N:$N,MATCH(RIGHT($B143,13)&amp;"|"&amp;$C143&amp;"|"&amp;$D143&amp;"|"&amp;W$14&amp;"|"&amp;"CY2023Q3",Spectrum!$R:$R,0)),""))</f>
        <v>623</v>
      </c>
      <c r="X143" s="42">
        <f>IF(LEFT($B143,4)="_Mil","",_xlfn.IFNA(ROUND(INDEX(Spectrum!$N:$N,MATCH(RIGHT($B143,13)&amp;"|"&amp;$C143&amp;"|"&amp;$D143&amp;"|"&amp;X$14&amp;"|"&amp;"CY2023Q3",Spectrum!$R:$R,0)),0),""))</f>
        <v>786</v>
      </c>
      <c r="Y143" s="90" t="str">
        <f t="shared" ref="Y143:Y206" si="54">IF(OR(SUM($U143)=0,LEFT($B143,4)="_Mil"),"",SUM($X143)/$U143)</f>
        <v/>
      </c>
      <c r="Z143" s="42">
        <f>IF(LEFT($B143,4)="_Mil","",_xlfn.IFNA(ROUND(INDEX(Spectrum!$N:$N,MATCH(RIGHT($B143,13)&amp;"|"&amp;$C143&amp;"|"&amp;$D143&amp;"|"&amp;Z$14&amp;"|"&amp;"CY2023Q3",Spectrum!$R:$R,0)),0),""))</f>
        <v>1536</v>
      </c>
      <c r="AA143" s="90">
        <f>IF(LEFT($B143,4)="_Mil","",IFERROR(1/(1/INDEX(Spectrum!$N:$N,MATCH(RIGHT($B143,13)&amp;"|"&amp;$C143&amp;"|"&amp;$D143&amp;"|"&amp;AA$14&amp;"|"&amp;"CY2023Q3",Spectrum!$R:$R,0))),IF(SUM($U143)=0,"",SUM($Z143)/$U143)))</f>
        <v>772</v>
      </c>
      <c r="AB143" s="90">
        <f t="shared" ref="AB143:AB206" si="55">IF(OR(LEFT($B143,4)="_Mil",SUM($X143)=0),"",SUM($Z143)/$X143)</f>
        <v>1.9541984732824427</v>
      </c>
      <c r="AC143" s="14">
        <f>IF(LEFT($B143,4)="_Mil","",_xlfn.IFNA(ROUND(INDEX(Spectrum!$N:$N,MATCH(RIGHT($B143,13)&amp;"|"&amp;$C143&amp;"|"&amp;$D143&amp;"|"&amp;AC$14&amp;"|"&amp;"CY2023Q3",Spectrum!$R:$R,0)),0),""))</f>
        <v>749</v>
      </c>
      <c r="AD143" s="14" t="str">
        <f>IF(LEFT($B143,4)="_Mil","",_xlfn.IFNA(ROUND(INDEX(Spectrum!$N:$N,MATCH(RIGHT($B143,13)&amp;"|"&amp;$C143&amp;"|"&amp;$D143&amp;"|"&amp;AD$14&amp;"|"&amp;"CY2023Q3",Spectrum!$R:$R,0)),0),""))</f>
        <v/>
      </c>
      <c r="AE143" s="90">
        <f t="shared" ref="AE143:AE206" si="56">IF(OR(LEFT($B143,4)="_Mil",SUM($Z143)=0),"",SUM($AD143)/$Z143)</f>
        <v>0</v>
      </c>
      <c r="AF143" s="42" t="str">
        <f>IF(LEFT($B143,4)="_Mil","",_xlfn.IFNA(ROUND(INDEX(Spectrum!$N:$N,MATCH(RIGHT($B143,13)&amp;"|"&amp;$C143&amp;"|"&amp;$D143&amp;"|"&amp;AF$14&amp;"|"&amp;"CY2023Q3",Spectrum!$R:$R,0)),0),""))</f>
        <v/>
      </c>
      <c r="AG143" s="90" t="str">
        <f t="shared" ref="AG143:AG206" si="57">IF(OR(LEFT($B143,4)="_Mil",SUM($AD143)=0),"",SUM($AF143)/$AD143)</f>
        <v/>
      </c>
      <c r="AH143" s="88" t="str">
        <f>IF(LEFT($B143,4)="_Mil","",_xlfn.IFNA(INDEX(Spectrum!$N:$N,MATCH(RIGHT($B143,13)&amp;"|"&amp;$C143&amp;"|"&amp;$D143&amp;"|"&amp;AH$14&amp;"|"&amp;"CY2023Q3",Spectrum!$R:$R,0)),""))</f>
        <v/>
      </c>
      <c r="AI143" s="14" t="str">
        <f>IF(LEFT($B143,4)="_Mil","",_xlfn.IFNA(ROUND(INDEX(Spectrum!$N:$N,MATCH(RIGHT($B143,13)&amp;"|"&amp;$C143&amp;"|"&amp;$D143&amp;"|"&amp;AI$14&amp;"|"&amp;"CY2023Q3",Spectrum!$R:$R,0)),0),""))</f>
        <v/>
      </c>
      <c r="AJ143" s="42">
        <f>IF(LEFT($B143,4)="_Mil","",_xlfn.IFNA(ROUND(INDEX(Spectrum!$N:$N,MATCH(RIGHT($B143,13)&amp;"|"&amp;$C143&amp;"|"&amp;$D143&amp;"|"&amp;AI$14&amp;"|"&amp;"CY2023Q3",Spectrum!$R:$R,0)),0),SUM($U143)+SUM($AI143)))</f>
        <v>0</v>
      </c>
      <c r="AK143" s="14" t="str">
        <f>IF(LEFT($B143,4)="_Mil","",_xlfn.IFNA(ROUND(INDEX(Spectrum!$N:$N,MATCH(RIGHT($B143,13)&amp;"|"&amp;$C143&amp;"|"&amp;$D143&amp;"|"&amp;AK$14&amp;"|"&amp;"CY2023Q3",Spectrum!$R:$R,0)),0),""))</f>
        <v/>
      </c>
      <c r="AL143" s="90">
        <f t="shared" ref="AL143:AL206" si="58">IF(OR(LEFT($B143,4)="_Mil",$C143="&lt;01"),"",MAX(SUM($AA143),90%))</f>
        <v>772</v>
      </c>
      <c r="AM143" s="14">
        <f t="shared" ref="AM143:AM206" si="59">IF(OR(LEFT($B143,4)="_Mil",$C143="&lt;01"),"",ROUND(SUM($AJ143)*SUM($AL143),0))</f>
        <v>0</v>
      </c>
      <c r="AN143" s="14" t="str">
        <f>IF($C143="&lt;01",ROUND(INDEX(EID!$P:$P,MATCH($B143,EID!$B:$B,0))/2,0),"")</f>
        <v/>
      </c>
      <c r="AO143" s="14">
        <f t="shared" ref="AO143:AO206" si="60">IF($C143="&lt;01",SUM($AN143),ROUND(SUM($AM143)*SUM($O143)/IF(SUM($Z143)=0,1,$Z143),0))</f>
        <v>0</v>
      </c>
      <c r="AP143" s="42">
        <f t="shared" ref="AP143:AP206" si="61">IF(OR($F143="",$C143="&lt;01"),$AO143,$F143)</f>
        <v>0</v>
      </c>
      <c r="AQ143" s="42">
        <f t="shared" ref="AQ143:AQ206" si="62">IF(LEFT($B143,4)="_Mil","",IF(SUM($AP143)=0,SUM($Z143),IF(OR(SUM($Z143)=0,SUM($O143)=0),MAX($AP143,$Z143),$AP143*$Z143/$O143)))</f>
        <v>1536</v>
      </c>
      <c r="AR143" s="90" t="str">
        <f t="shared" ref="AR143:AR206" si="63">IF(OR(LEFT($B143,4)="_Mil",SUM($AJ143)=0),"",SUM($AQ143)/$AJ143)</f>
        <v/>
      </c>
      <c r="AS143" s="90">
        <f t="shared" si="50"/>
        <v>0.98</v>
      </c>
      <c r="AT143" s="90">
        <f t="shared" si="50"/>
        <v>0.98</v>
      </c>
      <c r="AU143" s="14">
        <f t="shared" ref="AU143:AU206" si="64">IF($C143="&lt;01","",SUM($AP143)-SUM($O143))</f>
        <v>0</v>
      </c>
      <c r="AV143" s="14">
        <f>IF($C143="&lt;01",ROUND(INDEX(EID!$N:$N,MATCH($B143,EID!$B:$B,0))/2,0),IF(SUM($AT143)=0,"",ROUND((SUM($AP143)-(SUM($O143)*SUM($AS143)))/$AT143,0)))</f>
        <v>0</v>
      </c>
      <c r="AW143" s="90">
        <f t="shared" ref="AW143:AW206" si="65">IF($C143="&lt;01","",100%)</f>
        <v>1</v>
      </c>
      <c r="AX143" s="42">
        <f t="shared" ref="AX143:AX206" si="66">IF($C143="&lt;01",SUM($AV143),ROUND(SUM($AV143)*SUM($AW143),0))</f>
        <v>0</v>
      </c>
      <c r="AY143" s="116">
        <f t="shared" ref="AY143:AY206" si="67">IF($C143="&lt;01","",70%)</f>
        <v>0.7</v>
      </c>
      <c r="AZ143" s="93">
        <f>IF($C143="&lt;01",ROUND(INDEX(EID!$R:$R,MATCH($B143,EID!$B:$B,0))/2,0),ROUND(SUM($O143)+(SUM($AV143)*$AY143),0))</f>
        <v>0</v>
      </c>
      <c r="BA143" s="89">
        <f t="shared" ref="BA143:BA206" si="68">IF($C143="&lt;01","",95%)</f>
        <v>0.95</v>
      </c>
      <c r="BB143" s="9">
        <f>IF($C143="&lt;01",ROUND(INDEX(EID!$T:$T,MATCH($B143,EID!$B:$B,0))/2,0),ROUND($AZ143*$BA143,0))</f>
        <v>0</v>
      </c>
      <c r="BC143" s="93">
        <f t="shared" ref="BC143:BC206" si="69">IF(LEFT($B143,4)="_Mil","",IF(SUM($BB143)=0,SUM($AD143),IF(OR(SUM($AP143)=0,SUM($AQ143)=0),MAX($BB143,$AD143),ROUND($BB143*$AQ143/$AP143,0))))</f>
        <v>0</v>
      </c>
      <c r="BD143" s="90">
        <f t="shared" ref="BD143:BD206" si="70">IF($C143="&lt;01","",95%)</f>
        <v>0.95</v>
      </c>
      <c r="BE143" s="42">
        <f>IF($C143="&lt;01",ROUND(INDEX(EID!$V:$V,MATCH($B143,EID!$B:$B,0))/2,0),ROUND($BD143*$BB143,0))</f>
        <v>0</v>
      </c>
      <c r="BF143" s="42">
        <f t="shared" ref="BF143:BF206" si="71">IF(LEFT($B143,4)="_Mil","",IF(SUM($BE143)=0,SUM($AF143),IF(OR(SUM($AP143)=0,SUM($AQ143)=0),MAX($BE143,$AF143),ROUND($BE143*$AQ143/$AP143,0))))</f>
        <v>0</v>
      </c>
      <c r="BG143" s="116">
        <f t="shared" ref="BG143:BG206" si="72">IF($C143="&lt;01","",95%)</f>
        <v>0.95</v>
      </c>
      <c r="BH143" s="9">
        <f>IF($C143="&lt;01",ROUND(INDEX(EID!$L:$L,MATCH($B143,EID!$B:$B,0)),0)/2,IF(SUM($BG143)=0,"",ROUND($AX143/$BG143,0)))</f>
        <v>0</v>
      </c>
    </row>
    <row r="144" spans="1:60" x14ac:dyDescent="0.2">
      <c r="A144" t="str">
        <f>INDEX(Prioritization!$D:$D,MATCH($B144,Prioritization!$A:$A,0))</f>
        <v>INVALID</v>
      </c>
      <c r="B144" t="s">
        <v>202</v>
      </c>
      <c r="C144" t="s">
        <v>362</v>
      </c>
      <c r="D144" t="s">
        <v>47</v>
      </c>
      <c r="E144" t="str">
        <f t="shared" si="51"/>
        <v>Salima District [msW2zpIN7up]|01-09|Male</v>
      </c>
      <c r="F144" s="14"/>
      <c r="G144" s="14"/>
      <c r="H144" s="14"/>
      <c r="I144" s="14"/>
      <c r="J144" s="14"/>
      <c r="K144" s="14"/>
      <c r="L144" s="14"/>
      <c r="M144" s="14"/>
      <c r="N144" s="14"/>
      <c r="O144" s="14" t="str">
        <f t="shared" si="52"/>
        <v/>
      </c>
      <c r="P144" s="14"/>
      <c r="Q144" s="14"/>
      <c r="R144" s="14" t="str">
        <f t="shared" si="53"/>
        <v/>
      </c>
      <c r="S144" s="14">
        <f>IF(LEFT($B144,4)="_Mil","",_xlfn.IFNA(ROUND(INDEX(Spectrum!$N:$N,MATCH(RIGHT($B144,13)&amp;"|"&amp;$C144&amp;"|"&amp;$D144&amp;"|"&amp;S$14&amp;"|"&amp;"CY2022Q4",Spectrum!$R:$R,0)),0),""))</f>
        <v>1693</v>
      </c>
      <c r="T144" s="42">
        <f>IF(LEFT($B144,4)="_Mil","",_xlfn.IFNA(ROUND(INDEX(Spectrum!$N:$N,MATCH(RIGHT($B144,13)&amp;"|"&amp;$C144&amp;"|"&amp;$D144&amp;"|"&amp;T$14&amp;"|"&amp;"CY2023Q3",Spectrum!$R:$R,0)),0),""))</f>
        <v>1930</v>
      </c>
      <c r="U144" s="42" t="str">
        <f>IF(LEFT($B144,4)="_Mil","",_xlfn.IFNA(ROUND(INDEX(Spectrum!$N:$N,MATCH(RIGHT($B144,13)&amp;"|"&amp;$C144&amp;"|"&amp;$D144&amp;"|"&amp;U$14&amp;"|"&amp;"CY2023Q3",Spectrum!$R:$R,0)),0),""))</f>
        <v/>
      </c>
      <c r="V144" s="14">
        <f>IF(LEFT($B144,4)="_Mil","",_xlfn.IFNA(ROUND(INDEX(Spectrum!$N:$N,MATCH(RIGHT($B144,13)&amp;"|"&amp;$C144&amp;"|"&amp;$D144&amp;"|"&amp;V$14&amp;"|"&amp;"CY2023Q3",Spectrum!$R:$R,0)),0),""))</f>
        <v>762</v>
      </c>
      <c r="W144" s="115">
        <f>IF(LEFT($B144,4)="_Mil","",_xlfn.IFNA(INDEX(Spectrum!$N:$N,MATCH(RIGHT($B144,13)&amp;"|"&amp;$C144&amp;"|"&amp;$D144&amp;"|"&amp;W$14&amp;"|"&amp;"CY2023Q3",Spectrum!$R:$R,0)),""))</f>
        <v>1425</v>
      </c>
      <c r="X144" s="42">
        <f>IF(LEFT($B144,4)="_Mil","",_xlfn.IFNA(ROUND(INDEX(Spectrum!$N:$N,MATCH(RIGHT($B144,13)&amp;"|"&amp;$C144&amp;"|"&amp;$D144&amp;"|"&amp;X$14&amp;"|"&amp;"CY2023Q3",Spectrum!$R:$R,0)),0),""))</f>
        <v>1669</v>
      </c>
      <c r="Y144" s="90" t="str">
        <f t="shared" si="54"/>
        <v/>
      </c>
      <c r="Z144" s="42">
        <f>IF(LEFT($B144,4)="_Mil","",_xlfn.IFNA(ROUND(INDEX(Spectrum!$N:$N,MATCH(RIGHT($B144,13)&amp;"|"&amp;$C144&amp;"|"&amp;$D144&amp;"|"&amp;Z$14&amp;"|"&amp;"CY2023Q3",Spectrum!$R:$R,0)),0),""))</f>
        <v>1377</v>
      </c>
      <c r="AA144" s="90">
        <f>IF(LEFT($B144,4)="_Mil","",IFERROR(1/(1/INDEX(Spectrum!$N:$N,MATCH(RIGHT($B144,13)&amp;"|"&amp;$C144&amp;"|"&amp;$D144&amp;"|"&amp;AA$14&amp;"|"&amp;"CY2023Q3",Spectrum!$R:$R,0))),IF(SUM($U144)=0,"",SUM($Z144)/$U144)))</f>
        <v>554</v>
      </c>
      <c r="AB144" s="90">
        <f t="shared" si="55"/>
        <v>0.82504493708807669</v>
      </c>
      <c r="AC144" s="14">
        <f>IF(LEFT($B144,4)="_Mil","",_xlfn.IFNA(ROUND(INDEX(Spectrum!$N:$N,MATCH(RIGHT($B144,13)&amp;"|"&amp;$C144&amp;"|"&amp;$D144&amp;"|"&amp;AC$14&amp;"|"&amp;"CY2023Q3",Spectrum!$R:$R,0)),0),""))</f>
        <v>1532</v>
      </c>
      <c r="AD144" s="14" t="str">
        <f>IF(LEFT($B144,4)="_Mil","",_xlfn.IFNA(ROUND(INDEX(Spectrum!$N:$N,MATCH(RIGHT($B144,13)&amp;"|"&amp;$C144&amp;"|"&amp;$D144&amp;"|"&amp;AD$14&amp;"|"&amp;"CY2023Q3",Spectrum!$R:$R,0)),0),""))</f>
        <v/>
      </c>
      <c r="AE144" s="90">
        <f t="shared" si="56"/>
        <v>0</v>
      </c>
      <c r="AF144" s="42" t="str">
        <f>IF(LEFT($B144,4)="_Mil","",_xlfn.IFNA(ROUND(INDEX(Spectrum!$N:$N,MATCH(RIGHT($B144,13)&amp;"|"&amp;$C144&amp;"|"&amp;$D144&amp;"|"&amp;AF$14&amp;"|"&amp;"CY2023Q3",Spectrum!$R:$R,0)),0),""))</f>
        <v/>
      </c>
      <c r="AG144" s="90" t="str">
        <f t="shared" si="57"/>
        <v/>
      </c>
      <c r="AH144" s="88" t="str">
        <f>IF(LEFT($B144,4)="_Mil","",_xlfn.IFNA(INDEX(Spectrum!$N:$N,MATCH(RIGHT($B144,13)&amp;"|"&amp;$C144&amp;"|"&amp;$D144&amp;"|"&amp;AH$14&amp;"|"&amp;"CY2023Q3",Spectrum!$R:$R,0)),""))</f>
        <v/>
      </c>
      <c r="AI144" s="14" t="str">
        <f>IF(LEFT($B144,4)="_Mil","",_xlfn.IFNA(ROUND(INDEX(Spectrum!$N:$N,MATCH(RIGHT($B144,13)&amp;"|"&amp;$C144&amp;"|"&amp;$D144&amp;"|"&amp;AI$14&amp;"|"&amp;"CY2023Q3",Spectrum!$R:$R,0)),0),""))</f>
        <v/>
      </c>
      <c r="AJ144" s="42">
        <f>IF(LEFT($B144,4)="_Mil","",_xlfn.IFNA(ROUND(INDEX(Spectrum!$N:$N,MATCH(RIGHT($B144,13)&amp;"|"&amp;$C144&amp;"|"&amp;$D144&amp;"|"&amp;AI$14&amp;"|"&amp;"CY2023Q3",Spectrum!$R:$R,0)),0),SUM($U144)+SUM($AI144)))</f>
        <v>0</v>
      </c>
      <c r="AK144" s="14" t="str">
        <f>IF(LEFT($B144,4)="_Mil","",_xlfn.IFNA(ROUND(INDEX(Spectrum!$N:$N,MATCH(RIGHT($B144,13)&amp;"|"&amp;$C144&amp;"|"&amp;$D144&amp;"|"&amp;AK$14&amp;"|"&amp;"CY2023Q3",Spectrum!$R:$R,0)),0),""))</f>
        <v/>
      </c>
      <c r="AL144" s="90">
        <f t="shared" si="58"/>
        <v>554</v>
      </c>
      <c r="AM144" s="14">
        <f t="shared" si="59"/>
        <v>0</v>
      </c>
      <c r="AN144" s="14" t="str">
        <f>IF($C144="&lt;01",ROUND(INDEX(EID!$P:$P,MATCH($B144,EID!$B:$B,0))/2,0),"")</f>
        <v/>
      </c>
      <c r="AO144" s="14">
        <f t="shared" si="60"/>
        <v>0</v>
      </c>
      <c r="AP144" s="42">
        <f t="shared" si="61"/>
        <v>0</v>
      </c>
      <c r="AQ144" s="42">
        <f t="shared" si="62"/>
        <v>1377</v>
      </c>
      <c r="AR144" s="90" t="str">
        <f t="shared" si="63"/>
        <v/>
      </c>
      <c r="AS144" s="90">
        <f t="shared" si="50"/>
        <v>0.98</v>
      </c>
      <c r="AT144" s="90">
        <f t="shared" si="50"/>
        <v>0.98</v>
      </c>
      <c r="AU144" s="14">
        <f t="shared" si="64"/>
        <v>0</v>
      </c>
      <c r="AV144" s="14">
        <f>IF($C144="&lt;01",ROUND(INDEX(EID!$N:$N,MATCH($B144,EID!$B:$B,0))/2,0),IF(SUM($AT144)=0,"",ROUND((SUM($AP144)-(SUM($O144)*SUM($AS144)))/$AT144,0)))</f>
        <v>0</v>
      </c>
      <c r="AW144" s="90">
        <f t="shared" si="65"/>
        <v>1</v>
      </c>
      <c r="AX144" s="42">
        <f t="shared" si="66"/>
        <v>0</v>
      </c>
      <c r="AY144" s="116">
        <f t="shared" si="67"/>
        <v>0.7</v>
      </c>
      <c r="AZ144" s="93">
        <f>IF($C144="&lt;01",ROUND(INDEX(EID!$R:$R,MATCH($B144,EID!$B:$B,0))/2,0),ROUND(SUM($O144)+(SUM($AV144)*$AY144),0))</f>
        <v>0</v>
      </c>
      <c r="BA144" s="89">
        <f t="shared" si="68"/>
        <v>0.95</v>
      </c>
      <c r="BB144" s="9">
        <f>IF($C144="&lt;01",ROUND(INDEX(EID!$T:$T,MATCH($B144,EID!$B:$B,0))/2,0),ROUND($AZ144*$BA144,0))</f>
        <v>0</v>
      </c>
      <c r="BC144" s="93">
        <f t="shared" si="69"/>
        <v>0</v>
      </c>
      <c r="BD144" s="90">
        <f t="shared" si="70"/>
        <v>0.95</v>
      </c>
      <c r="BE144" s="42">
        <f>IF($C144="&lt;01",ROUND(INDEX(EID!$V:$V,MATCH($B144,EID!$B:$B,0))/2,0),ROUND($BD144*$BB144,0))</f>
        <v>0</v>
      </c>
      <c r="BF144" s="42">
        <f t="shared" si="71"/>
        <v>0</v>
      </c>
      <c r="BG144" s="116">
        <f t="shared" si="72"/>
        <v>0.95</v>
      </c>
      <c r="BH144" s="9">
        <f>IF($C144="&lt;01",ROUND(INDEX(EID!$L:$L,MATCH($B144,EID!$B:$B,0)),0)/2,IF(SUM($BG144)=0,"",ROUND($AX144/$BG144,0)))</f>
        <v>0</v>
      </c>
    </row>
    <row r="145" spans="1:60" x14ac:dyDescent="0.2">
      <c r="A145" t="str">
        <f>INDEX(Prioritization!$D:$D,MATCH($B145,Prioritization!$A:$A,0))</f>
        <v>INVALID</v>
      </c>
      <c r="B145" t="s">
        <v>202</v>
      </c>
      <c r="C145" t="s">
        <v>363</v>
      </c>
      <c r="D145" t="s">
        <v>29</v>
      </c>
      <c r="E145" t="str">
        <f t="shared" si="51"/>
        <v>Salima District [msW2zpIN7up]|10-14|Female</v>
      </c>
      <c r="F145" s="14"/>
      <c r="G145" s="14">
        <v>2</v>
      </c>
      <c r="H145" s="14">
        <v>6</v>
      </c>
      <c r="I145" s="14">
        <v>39</v>
      </c>
      <c r="J145" s="14">
        <v>35</v>
      </c>
      <c r="K145" s="14">
        <v>81</v>
      </c>
      <c r="L145" s="14"/>
      <c r="M145" s="14"/>
      <c r="N145" s="14">
        <v>78</v>
      </c>
      <c r="O145" s="14">
        <f t="shared" si="52"/>
        <v>78</v>
      </c>
      <c r="P145" s="14">
        <v>97</v>
      </c>
      <c r="Q145" s="14">
        <v>82</v>
      </c>
      <c r="R145" s="14">
        <f t="shared" si="53"/>
        <v>39</v>
      </c>
      <c r="S145" s="14">
        <f>IF(LEFT($B145,4)="_Mil","",_xlfn.IFNA(ROUND(INDEX(Spectrum!$N:$N,MATCH(RIGHT($B145,13)&amp;"|"&amp;$C145&amp;"|"&amp;$D145&amp;"|"&amp;S$14&amp;"|"&amp;"CY2022Q4",Spectrum!$R:$R,0)),0),""))</f>
        <v>684</v>
      </c>
      <c r="T145" s="42">
        <f>IF(LEFT($B145,4)="_Mil","",_xlfn.IFNA(ROUND(INDEX(Spectrum!$N:$N,MATCH(RIGHT($B145,13)&amp;"|"&amp;$C145&amp;"|"&amp;$D145&amp;"|"&amp;T$14&amp;"|"&amp;"CY2023Q3",Spectrum!$R:$R,0)),0),""))</f>
        <v>1441</v>
      </c>
      <c r="U145" s="42" t="str">
        <f>IF(LEFT($B145,4)="_Mil","",_xlfn.IFNA(ROUND(INDEX(Spectrum!$N:$N,MATCH(RIGHT($B145,13)&amp;"|"&amp;$C145&amp;"|"&amp;$D145&amp;"|"&amp;U$14&amp;"|"&amp;"CY2023Q3",Spectrum!$R:$R,0)),0),""))</f>
        <v/>
      </c>
      <c r="V145" s="14">
        <f>IF(LEFT($B145,4)="_Mil","",_xlfn.IFNA(ROUND(INDEX(Spectrum!$N:$N,MATCH(RIGHT($B145,13)&amp;"|"&amp;$C145&amp;"|"&amp;$D145&amp;"|"&amp;V$14&amp;"|"&amp;"CY2023Q3",Spectrum!$R:$R,0)),0),""))</f>
        <v>1006</v>
      </c>
      <c r="W145" s="115">
        <f>IF(LEFT($B145,4)="_Mil","",_xlfn.IFNA(INDEX(Spectrum!$N:$N,MATCH(RIGHT($B145,13)&amp;"|"&amp;$C145&amp;"|"&amp;$D145&amp;"|"&amp;W$14&amp;"|"&amp;"CY2023Q3",Spectrum!$R:$R,0)),""))</f>
        <v>1937</v>
      </c>
      <c r="X145" s="42">
        <f>IF(LEFT($B145,4)="_Mil","",_xlfn.IFNA(ROUND(INDEX(Spectrum!$N:$N,MATCH(RIGHT($B145,13)&amp;"|"&amp;$C145&amp;"|"&amp;$D145&amp;"|"&amp;X$14&amp;"|"&amp;"CY2023Q3",Spectrum!$R:$R,0)),0),""))</f>
        <v>1019</v>
      </c>
      <c r="Y145" s="90" t="str">
        <f t="shared" si="54"/>
        <v/>
      </c>
      <c r="Z145" s="42">
        <f>IF(LEFT($B145,4)="_Mil","",_xlfn.IFNA(ROUND(INDEX(Spectrum!$N:$N,MATCH(RIGHT($B145,13)&amp;"|"&amp;$C145&amp;"|"&amp;$D145&amp;"|"&amp;Z$14&amp;"|"&amp;"CY2023Q3",Spectrum!$R:$R,0)),0),""))</f>
        <v>922</v>
      </c>
      <c r="AA145" s="90">
        <f>IF(LEFT($B145,4)="_Mil","",IFERROR(1/(1/INDEX(Spectrum!$N:$N,MATCH(RIGHT($B145,13)&amp;"|"&amp;$C145&amp;"|"&amp;$D145&amp;"|"&amp;AA$14&amp;"|"&amp;"CY2023Q3",Spectrum!$R:$R,0))),IF(SUM($U145)=0,"",SUM($Z145)/$U145)))</f>
        <v>842</v>
      </c>
      <c r="AB145" s="90">
        <f t="shared" si="55"/>
        <v>0.90480863591756622</v>
      </c>
      <c r="AC145" s="14">
        <f>IF(LEFT($B145,4)="_Mil","",_xlfn.IFNA(ROUND(INDEX(Spectrum!$N:$N,MATCH(RIGHT($B145,13)&amp;"|"&amp;$C145&amp;"|"&amp;$D145&amp;"|"&amp;AC$14&amp;"|"&amp;"CY2023Q3",Spectrum!$R:$R,0)),0),""))</f>
        <v>1137</v>
      </c>
      <c r="AD145" s="14" t="str">
        <f>IF(LEFT($B145,4)="_Mil","",_xlfn.IFNA(ROUND(INDEX(Spectrum!$N:$N,MATCH(RIGHT($B145,13)&amp;"|"&amp;$C145&amp;"|"&amp;$D145&amp;"|"&amp;AD$14&amp;"|"&amp;"CY2023Q3",Spectrum!$R:$R,0)),0),""))</f>
        <v/>
      </c>
      <c r="AE145" s="90">
        <f t="shared" si="56"/>
        <v>0</v>
      </c>
      <c r="AF145" s="42" t="str">
        <f>IF(LEFT($B145,4)="_Mil","",_xlfn.IFNA(ROUND(INDEX(Spectrum!$N:$N,MATCH(RIGHT($B145,13)&amp;"|"&amp;$C145&amp;"|"&amp;$D145&amp;"|"&amp;AF$14&amp;"|"&amp;"CY2023Q3",Spectrum!$R:$R,0)),0),""))</f>
        <v/>
      </c>
      <c r="AG145" s="90" t="str">
        <f t="shared" si="57"/>
        <v/>
      </c>
      <c r="AH145" s="88" t="str">
        <f>IF(LEFT($B145,4)="_Mil","",_xlfn.IFNA(INDEX(Spectrum!$N:$N,MATCH(RIGHT($B145,13)&amp;"|"&amp;$C145&amp;"|"&amp;$D145&amp;"|"&amp;AH$14&amp;"|"&amp;"CY2023Q3",Spectrum!$R:$R,0)),""))</f>
        <v/>
      </c>
      <c r="AI145" s="14" t="str">
        <f>IF(LEFT($B145,4)="_Mil","",_xlfn.IFNA(ROUND(INDEX(Spectrum!$N:$N,MATCH(RIGHT($B145,13)&amp;"|"&amp;$C145&amp;"|"&amp;$D145&amp;"|"&amp;AI$14&amp;"|"&amp;"CY2023Q3",Spectrum!$R:$R,0)),0),""))</f>
        <v/>
      </c>
      <c r="AJ145" s="42">
        <f>IF(LEFT($B145,4)="_Mil","",_xlfn.IFNA(ROUND(INDEX(Spectrum!$N:$N,MATCH(RIGHT($B145,13)&amp;"|"&amp;$C145&amp;"|"&amp;$D145&amp;"|"&amp;AI$14&amp;"|"&amp;"CY2023Q3",Spectrum!$R:$R,0)),0),SUM($U145)+SUM($AI145)))</f>
        <v>0</v>
      </c>
      <c r="AK145" s="14" t="str">
        <f>IF(LEFT($B145,4)="_Mil","",_xlfn.IFNA(ROUND(INDEX(Spectrum!$N:$N,MATCH(RIGHT($B145,13)&amp;"|"&amp;$C145&amp;"|"&amp;$D145&amp;"|"&amp;AK$14&amp;"|"&amp;"CY2023Q3",Spectrum!$R:$R,0)),0),""))</f>
        <v/>
      </c>
      <c r="AL145" s="90">
        <f t="shared" si="58"/>
        <v>842</v>
      </c>
      <c r="AM145" s="14">
        <f t="shared" si="59"/>
        <v>0</v>
      </c>
      <c r="AN145" s="14" t="str">
        <f>IF($C145="&lt;01",ROUND(INDEX(EID!$P:$P,MATCH($B145,EID!$B:$B,0))/2,0),"")</f>
        <v/>
      </c>
      <c r="AO145" s="14">
        <f t="shared" si="60"/>
        <v>0</v>
      </c>
      <c r="AP145" s="42">
        <f t="shared" si="61"/>
        <v>0</v>
      </c>
      <c r="AQ145" s="42">
        <f t="shared" si="62"/>
        <v>922</v>
      </c>
      <c r="AR145" s="90" t="str">
        <f t="shared" si="63"/>
        <v/>
      </c>
      <c r="AS145" s="90">
        <f t="shared" si="50"/>
        <v>0.98</v>
      </c>
      <c r="AT145" s="90">
        <f t="shared" si="50"/>
        <v>0.98</v>
      </c>
      <c r="AU145" s="14">
        <f t="shared" si="64"/>
        <v>-78</v>
      </c>
      <c r="AV145" s="14">
        <f>IF($C145="&lt;01",ROUND(INDEX(EID!$N:$N,MATCH($B145,EID!$B:$B,0))/2,0),IF(SUM($AT145)=0,"",ROUND((SUM($AP145)-(SUM($O145)*SUM($AS145)))/$AT145,0)))</f>
        <v>-78</v>
      </c>
      <c r="AW145" s="90">
        <f t="shared" si="65"/>
        <v>1</v>
      </c>
      <c r="AX145" s="42">
        <f t="shared" si="66"/>
        <v>-78</v>
      </c>
      <c r="AY145" s="116">
        <f t="shared" si="67"/>
        <v>0.7</v>
      </c>
      <c r="AZ145" s="93">
        <f>IF($C145="&lt;01",ROUND(INDEX(EID!$R:$R,MATCH($B145,EID!$B:$B,0))/2,0),ROUND(SUM($O145)+(SUM($AV145)*$AY145),0))</f>
        <v>23</v>
      </c>
      <c r="BA145" s="89">
        <f t="shared" si="68"/>
        <v>0.95</v>
      </c>
      <c r="BB145" s="9">
        <f>IF($C145="&lt;01",ROUND(INDEX(EID!$T:$T,MATCH($B145,EID!$B:$B,0))/2,0),ROUND($AZ145*$BA145,0))</f>
        <v>22</v>
      </c>
      <c r="BC145" s="93">
        <f t="shared" si="69"/>
        <v>22</v>
      </c>
      <c r="BD145" s="90">
        <f t="shared" si="70"/>
        <v>0.95</v>
      </c>
      <c r="BE145" s="42">
        <f>IF($C145="&lt;01",ROUND(INDEX(EID!$V:$V,MATCH($B145,EID!$B:$B,0))/2,0),ROUND($BD145*$BB145,0))</f>
        <v>21</v>
      </c>
      <c r="BF145" s="42">
        <f t="shared" si="71"/>
        <v>21</v>
      </c>
      <c r="BG145" s="116">
        <f t="shared" si="72"/>
        <v>0.95</v>
      </c>
      <c r="BH145" s="9">
        <f>IF($C145="&lt;01",ROUND(INDEX(EID!$L:$L,MATCH($B145,EID!$B:$B,0)),0)/2,IF(SUM($BG145)=0,"",ROUND($AX145/$BG145,0)))</f>
        <v>-82</v>
      </c>
    </row>
    <row r="146" spans="1:60" x14ac:dyDescent="0.2">
      <c r="A146" t="str">
        <f>INDEX(Prioritization!$D:$D,MATCH($B146,Prioritization!$A:$A,0))</f>
        <v>INVALID</v>
      </c>
      <c r="B146" t="s">
        <v>202</v>
      </c>
      <c r="C146" t="s">
        <v>363</v>
      </c>
      <c r="D146" t="s">
        <v>47</v>
      </c>
      <c r="E146" t="str">
        <f t="shared" si="51"/>
        <v>Salima District [msW2zpIN7up]|10-14|Male</v>
      </c>
      <c r="F146" s="14"/>
      <c r="G146" s="14">
        <v>8</v>
      </c>
      <c r="H146" s="14">
        <v>3</v>
      </c>
      <c r="I146" s="14">
        <v>73</v>
      </c>
      <c r="J146" s="14">
        <v>56</v>
      </c>
      <c r="K146" s="14">
        <v>70</v>
      </c>
      <c r="L146" s="14"/>
      <c r="M146" s="14"/>
      <c r="N146" s="14">
        <v>15</v>
      </c>
      <c r="O146" s="14">
        <f t="shared" si="52"/>
        <v>73</v>
      </c>
      <c r="P146" s="14">
        <v>58</v>
      </c>
      <c r="Q146" s="14">
        <v>56</v>
      </c>
      <c r="R146" s="14">
        <f t="shared" si="53"/>
        <v>0</v>
      </c>
      <c r="S146" s="14">
        <f>IF(LEFT($B146,4)="_Mil","",_xlfn.IFNA(ROUND(INDEX(Spectrum!$N:$N,MATCH(RIGHT($B146,13)&amp;"|"&amp;$C146&amp;"|"&amp;$D146&amp;"|"&amp;S$14&amp;"|"&amp;"CY2022Q4",Spectrum!$R:$R,0)),0),""))</f>
        <v>1199</v>
      </c>
      <c r="T146" s="42">
        <f>IF(LEFT($B146,4)="_Mil","",_xlfn.IFNA(ROUND(INDEX(Spectrum!$N:$N,MATCH(RIGHT($B146,13)&amp;"|"&amp;$C146&amp;"|"&amp;$D146&amp;"|"&amp;T$14&amp;"|"&amp;"CY2023Q3",Spectrum!$R:$R,0)),0),""))</f>
        <v>771</v>
      </c>
      <c r="U146" s="42" t="str">
        <f>IF(LEFT($B146,4)="_Mil","",_xlfn.IFNA(ROUND(INDEX(Spectrum!$N:$N,MATCH(RIGHT($B146,13)&amp;"|"&amp;$C146&amp;"|"&amp;$D146&amp;"|"&amp;U$14&amp;"|"&amp;"CY2023Q3",Spectrum!$R:$R,0)),0),""))</f>
        <v/>
      </c>
      <c r="V146" s="14">
        <f>IF(LEFT($B146,4)="_Mil","",_xlfn.IFNA(ROUND(INDEX(Spectrum!$N:$N,MATCH(RIGHT($B146,13)&amp;"|"&amp;$C146&amp;"|"&amp;$D146&amp;"|"&amp;V$14&amp;"|"&amp;"CY2023Q3",Spectrum!$R:$R,0)),0),""))</f>
        <v>1494</v>
      </c>
      <c r="W146" s="115">
        <f>IF(LEFT($B146,4)="_Mil","",_xlfn.IFNA(INDEX(Spectrum!$N:$N,MATCH(RIGHT($B146,13)&amp;"|"&amp;$C146&amp;"|"&amp;$D146&amp;"|"&amp;W$14&amp;"|"&amp;"CY2023Q3",Spectrum!$R:$R,0)),""))</f>
        <v>1066</v>
      </c>
      <c r="X146" s="42">
        <f>IF(LEFT($B146,4)="_Mil","",_xlfn.IFNA(ROUND(INDEX(Spectrum!$N:$N,MATCH(RIGHT($B146,13)&amp;"|"&amp;$C146&amp;"|"&amp;$D146&amp;"|"&amp;X$14&amp;"|"&amp;"CY2023Q3",Spectrum!$R:$R,0)),0),""))</f>
        <v>1107</v>
      </c>
      <c r="Y146" s="90" t="str">
        <f t="shared" si="54"/>
        <v/>
      </c>
      <c r="Z146" s="42">
        <f>IF(LEFT($B146,4)="_Mil","",_xlfn.IFNA(ROUND(INDEX(Spectrum!$N:$N,MATCH(RIGHT($B146,13)&amp;"|"&amp;$C146&amp;"|"&amp;$D146&amp;"|"&amp;Z$14&amp;"|"&amp;"CY2023Q3",Spectrum!$R:$R,0)),0),""))</f>
        <v>855</v>
      </c>
      <c r="AA146" s="90">
        <f>IF(LEFT($B146,4)="_Mil","",IFERROR(1/(1/INDEX(Spectrum!$N:$N,MATCH(RIGHT($B146,13)&amp;"|"&amp;$C146&amp;"|"&amp;$D146&amp;"|"&amp;AA$14&amp;"|"&amp;"CY2023Q3",Spectrum!$R:$R,0))),IF(SUM($U146)=0,"",SUM($Z146)/$U146)))</f>
        <v>751</v>
      </c>
      <c r="AB146" s="90">
        <f t="shared" si="55"/>
        <v>0.77235772357723576</v>
      </c>
      <c r="AC146" s="14">
        <f>IF(LEFT($B146,4)="_Mil","",_xlfn.IFNA(ROUND(INDEX(Spectrum!$N:$N,MATCH(RIGHT($B146,13)&amp;"|"&amp;$C146&amp;"|"&amp;$D146&amp;"|"&amp;AC$14&amp;"|"&amp;"CY2023Q3",Spectrum!$R:$R,0)),0),""))</f>
        <v>1305</v>
      </c>
      <c r="AD146" s="14" t="str">
        <f>IF(LEFT($B146,4)="_Mil","",_xlfn.IFNA(ROUND(INDEX(Spectrum!$N:$N,MATCH(RIGHT($B146,13)&amp;"|"&amp;$C146&amp;"|"&amp;$D146&amp;"|"&amp;AD$14&amp;"|"&amp;"CY2023Q3",Spectrum!$R:$R,0)),0),""))</f>
        <v/>
      </c>
      <c r="AE146" s="90">
        <f t="shared" si="56"/>
        <v>0</v>
      </c>
      <c r="AF146" s="42" t="str">
        <f>IF(LEFT($B146,4)="_Mil","",_xlfn.IFNA(ROUND(INDEX(Spectrum!$N:$N,MATCH(RIGHT($B146,13)&amp;"|"&amp;$C146&amp;"|"&amp;$D146&amp;"|"&amp;AF$14&amp;"|"&amp;"CY2023Q3",Spectrum!$R:$R,0)),0),""))</f>
        <v/>
      </c>
      <c r="AG146" s="90" t="str">
        <f t="shared" si="57"/>
        <v/>
      </c>
      <c r="AH146" s="88" t="str">
        <f>IF(LEFT($B146,4)="_Mil","",_xlfn.IFNA(INDEX(Spectrum!$N:$N,MATCH(RIGHT($B146,13)&amp;"|"&amp;$C146&amp;"|"&amp;$D146&amp;"|"&amp;AH$14&amp;"|"&amp;"CY2023Q3",Spectrum!$R:$R,0)),""))</f>
        <v/>
      </c>
      <c r="AI146" s="14" t="str">
        <f>IF(LEFT($B146,4)="_Mil","",_xlfn.IFNA(ROUND(INDEX(Spectrum!$N:$N,MATCH(RIGHT($B146,13)&amp;"|"&amp;$C146&amp;"|"&amp;$D146&amp;"|"&amp;AI$14&amp;"|"&amp;"CY2023Q3",Spectrum!$R:$R,0)),0),""))</f>
        <v/>
      </c>
      <c r="AJ146" s="42">
        <f>IF(LEFT($B146,4)="_Mil","",_xlfn.IFNA(ROUND(INDEX(Spectrum!$N:$N,MATCH(RIGHT($B146,13)&amp;"|"&amp;$C146&amp;"|"&amp;$D146&amp;"|"&amp;AI$14&amp;"|"&amp;"CY2023Q3",Spectrum!$R:$R,0)),0),SUM($U146)+SUM($AI146)))</f>
        <v>0</v>
      </c>
      <c r="AK146" s="14" t="str">
        <f>IF(LEFT($B146,4)="_Mil","",_xlfn.IFNA(ROUND(INDEX(Spectrum!$N:$N,MATCH(RIGHT($B146,13)&amp;"|"&amp;$C146&amp;"|"&amp;$D146&amp;"|"&amp;AK$14&amp;"|"&amp;"CY2023Q3",Spectrum!$R:$R,0)),0),""))</f>
        <v/>
      </c>
      <c r="AL146" s="90">
        <f t="shared" si="58"/>
        <v>751</v>
      </c>
      <c r="AM146" s="14">
        <f t="shared" si="59"/>
        <v>0</v>
      </c>
      <c r="AN146" s="14" t="str">
        <f>IF($C146="&lt;01",ROUND(INDEX(EID!$P:$P,MATCH($B146,EID!$B:$B,0))/2,0),"")</f>
        <v/>
      </c>
      <c r="AO146" s="14">
        <f t="shared" si="60"/>
        <v>0</v>
      </c>
      <c r="AP146" s="42">
        <f t="shared" si="61"/>
        <v>0</v>
      </c>
      <c r="AQ146" s="42">
        <f t="shared" si="62"/>
        <v>855</v>
      </c>
      <c r="AR146" s="90" t="str">
        <f t="shared" si="63"/>
        <v/>
      </c>
      <c r="AS146" s="90">
        <f t="shared" si="50"/>
        <v>0.98</v>
      </c>
      <c r="AT146" s="90">
        <f t="shared" si="50"/>
        <v>0.98</v>
      </c>
      <c r="AU146" s="14">
        <f t="shared" si="64"/>
        <v>-73</v>
      </c>
      <c r="AV146" s="14">
        <f>IF($C146="&lt;01",ROUND(INDEX(EID!$N:$N,MATCH($B146,EID!$B:$B,0))/2,0),IF(SUM($AT146)=0,"",ROUND((SUM($AP146)-(SUM($O146)*SUM($AS146)))/$AT146,0)))</f>
        <v>-73</v>
      </c>
      <c r="AW146" s="90">
        <f t="shared" si="65"/>
        <v>1</v>
      </c>
      <c r="AX146" s="42">
        <f t="shared" si="66"/>
        <v>-73</v>
      </c>
      <c r="AY146" s="116">
        <f t="shared" si="67"/>
        <v>0.7</v>
      </c>
      <c r="AZ146" s="93">
        <f>IF($C146="&lt;01",ROUND(INDEX(EID!$R:$R,MATCH($B146,EID!$B:$B,0))/2,0),ROUND(SUM($O146)+(SUM($AV146)*$AY146),0))</f>
        <v>22</v>
      </c>
      <c r="BA146" s="89">
        <f t="shared" si="68"/>
        <v>0.95</v>
      </c>
      <c r="BB146" s="9">
        <f>IF($C146="&lt;01",ROUND(INDEX(EID!$T:$T,MATCH($B146,EID!$B:$B,0))/2,0),ROUND($AZ146*$BA146,0))</f>
        <v>21</v>
      </c>
      <c r="BC146" s="93">
        <f t="shared" si="69"/>
        <v>21</v>
      </c>
      <c r="BD146" s="90">
        <f t="shared" si="70"/>
        <v>0.95</v>
      </c>
      <c r="BE146" s="42">
        <f>IF($C146="&lt;01",ROUND(INDEX(EID!$V:$V,MATCH($B146,EID!$B:$B,0))/2,0),ROUND($BD146*$BB146,0))</f>
        <v>20</v>
      </c>
      <c r="BF146" s="42">
        <f t="shared" si="71"/>
        <v>20</v>
      </c>
      <c r="BG146" s="116">
        <f t="shared" si="72"/>
        <v>0.95</v>
      </c>
      <c r="BH146" s="9">
        <f>IF($C146="&lt;01",ROUND(INDEX(EID!$L:$L,MATCH($B146,EID!$B:$B,0)),0)/2,IF(SUM($BG146)=0,"",ROUND($AX146/$BG146,0)))</f>
        <v>-77</v>
      </c>
    </row>
    <row r="147" spans="1:60" x14ac:dyDescent="0.2">
      <c r="A147" t="str">
        <f>INDEX(Prioritization!$D:$D,MATCH($B147,Prioritization!$A:$A,0))</f>
        <v>INVALID</v>
      </c>
      <c r="B147" t="s">
        <v>202</v>
      </c>
      <c r="C147" t="s">
        <v>364</v>
      </c>
      <c r="D147" t="s">
        <v>29</v>
      </c>
      <c r="E147" t="str">
        <f t="shared" si="51"/>
        <v>Salima District [msW2zpIN7up]|15-24|Female</v>
      </c>
      <c r="F147" s="14"/>
      <c r="G147" s="14"/>
      <c r="H147" s="14"/>
      <c r="I147" s="14"/>
      <c r="J147" s="14"/>
      <c r="K147" s="14"/>
      <c r="L147" s="14"/>
      <c r="M147" s="14"/>
      <c r="N147" s="14"/>
      <c r="O147" s="14" t="str">
        <f t="shared" si="52"/>
        <v/>
      </c>
      <c r="P147" s="14"/>
      <c r="Q147" s="14"/>
      <c r="R147" s="14" t="str">
        <f t="shared" si="53"/>
        <v/>
      </c>
      <c r="S147" s="14">
        <f>IF(LEFT($B147,4)="_Mil","",_xlfn.IFNA(ROUND(INDEX(Spectrum!$N:$N,MATCH(RIGHT($B147,13)&amp;"|"&amp;$C147&amp;"|"&amp;$D147&amp;"|"&amp;S$14&amp;"|"&amp;"CY2022Q4",Spectrum!$R:$R,0)),0),""))</f>
        <v>1897</v>
      </c>
      <c r="T147" s="42">
        <f>IF(LEFT($B147,4)="_Mil","",_xlfn.IFNA(ROUND(INDEX(Spectrum!$N:$N,MATCH(RIGHT($B147,13)&amp;"|"&amp;$C147&amp;"|"&amp;$D147&amp;"|"&amp;T$14&amp;"|"&amp;"CY2023Q3",Spectrum!$R:$R,0)),0),""))</f>
        <v>500</v>
      </c>
      <c r="U147" s="42" t="str">
        <f>IF(LEFT($B147,4)="_Mil","",_xlfn.IFNA(ROUND(INDEX(Spectrum!$N:$N,MATCH(RIGHT($B147,13)&amp;"|"&amp;$C147&amp;"|"&amp;$D147&amp;"|"&amp;U$14&amp;"|"&amp;"CY2023Q3",Spectrum!$R:$R,0)),0),""))</f>
        <v/>
      </c>
      <c r="V147" s="14">
        <f>IF(LEFT($B147,4)="_Mil","",_xlfn.IFNA(ROUND(INDEX(Spectrum!$N:$N,MATCH(RIGHT($B147,13)&amp;"|"&amp;$C147&amp;"|"&amp;$D147&amp;"|"&amp;V$14&amp;"|"&amp;"CY2023Q3",Spectrum!$R:$R,0)),0),""))</f>
        <v>1797</v>
      </c>
      <c r="W147" s="115">
        <f>IF(LEFT($B147,4)="_Mil","",_xlfn.IFNA(INDEX(Spectrum!$N:$N,MATCH(RIGHT($B147,13)&amp;"|"&amp;$C147&amp;"|"&amp;$D147&amp;"|"&amp;W$14&amp;"|"&amp;"CY2023Q3",Spectrum!$R:$R,0)),""))</f>
        <v>1947</v>
      </c>
      <c r="X147" s="42">
        <f>IF(LEFT($B147,4)="_Mil","",_xlfn.IFNA(ROUND(INDEX(Spectrum!$N:$N,MATCH(RIGHT($B147,13)&amp;"|"&amp;$C147&amp;"|"&amp;$D147&amp;"|"&amp;X$14&amp;"|"&amp;"CY2023Q3",Spectrum!$R:$R,0)),0),""))</f>
        <v>1184</v>
      </c>
      <c r="Y147" s="90" t="str">
        <f t="shared" si="54"/>
        <v/>
      </c>
      <c r="Z147" s="42">
        <f>IF(LEFT($B147,4)="_Mil","",_xlfn.IFNA(ROUND(INDEX(Spectrum!$N:$N,MATCH(RIGHT($B147,13)&amp;"|"&amp;$C147&amp;"|"&amp;$D147&amp;"|"&amp;Z$14&amp;"|"&amp;"CY2023Q3",Spectrum!$R:$R,0)),0),""))</f>
        <v>1397</v>
      </c>
      <c r="AA147" s="90">
        <f>IF(LEFT($B147,4)="_Mil","",IFERROR(1/(1/INDEX(Spectrum!$N:$N,MATCH(RIGHT($B147,13)&amp;"|"&amp;$C147&amp;"|"&amp;$D147&amp;"|"&amp;AA$14&amp;"|"&amp;"CY2023Q3",Spectrum!$R:$R,0))),IF(SUM($U147)=0,"",SUM($Z147)/$U147)))</f>
        <v>1176</v>
      </c>
      <c r="AB147" s="90">
        <f t="shared" si="55"/>
        <v>1.1798986486486487</v>
      </c>
      <c r="AC147" s="14">
        <f>IF(LEFT($B147,4)="_Mil","",_xlfn.IFNA(ROUND(INDEX(Spectrum!$N:$N,MATCH(RIGHT($B147,13)&amp;"|"&amp;$C147&amp;"|"&amp;$D147&amp;"|"&amp;AC$14&amp;"|"&amp;"CY2023Q3",Spectrum!$R:$R,0)),0),""))</f>
        <v>1264</v>
      </c>
      <c r="AD147" s="14" t="str">
        <f>IF(LEFT($B147,4)="_Mil","",_xlfn.IFNA(ROUND(INDEX(Spectrum!$N:$N,MATCH(RIGHT($B147,13)&amp;"|"&amp;$C147&amp;"|"&amp;$D147&amp;"|"&amp;AD$14&amp;"|"&amp;"CY2023Q3",Spectrum!$R:$R,0)),0),""))</f>
        <v/>
      </c>
      <c r="AE147" s="90">
        <f t="shared" si="56"/>
        <v>0</v>
      </c>
      <c r="AF147" s="42" t="str">
        <f>IF(LEFT($B147,4)="_Mil","",_xlfn.IFNA(ROUND(INDEX(Spectrum!$N:$N,MATCH(RIGHT($B147,13)&amp;"|"&amp;$C147&amp;"|"&amp;$D147&amp;"|"&amp;AF$14&amp;"|"&amp;"CY2023Q3",Spectrum!$R:$R,0)),0),""))</f>
        <v/>
      </c>
      <c r="AG147" s="90" t="str">
        <f t="shared" si="57"/>
        <v/>
      </c>
      <c r="AH147" s="88" t="str">
        <f>IF(LEFT($B147,4)="_Mil","",_xlfn.IFNA(INDEX(Spectrum!$N:$N,MATCH(RIGHT($B147,13)&amp;"|"&amp;$C147&amp;"|"&amp;$D147&amp;"|"&amp;AH$14&amp;"|"&amp;"CY2023Q3",Spectrum!$R:$R,0)),""))</f>
        <v/>
      </c>
      <c r="AI147" s="14" t="str">
        <f>IF(LEFT($B147,4)="_Mil","",_xlfn.IFNA(ROUND(INDEX(Spectrum!$N:$N,MATCH(RIGHT($B147,13)&amp;"|"&amp;$C147&amp;"|"&amp;$D147&amp;"|"&amp;AI$14&amp;"|"&amp;"CY2023Q3",Spectrum!$R:$R,0)),0),""))</f>
        <v/>
      </c>
      <c r="AJ147" s="42">
        <f>IF(LEFT($B147,4)="_Mil","",_xlfn.IFNA(ROUND(INDEX(Spectrum!$N:$N,MATCH(RIGHT($B147,13)&amp;"|"&amp;$C147&amp;"|"&amp;$D147&amp;"|"&amp;AI$14&amp;"|"&amp;"CY2023Q3",Spectrum!$R:$R,0)),0),SUM($U147)+SUM($AI147)))</f>
        <v>0</v>
      </c>
      <c r="AK147" s="14" t="str">
        <f>IF(LEFT($B147,4)="_Mil","",_xlfn.IFNA(ROUND(INDEX(Spectrum!$N:$N,MATCH(RIGHT($B147,13)&amp;"|"&amp;$C147&amp;"|"&amp;$D147&amp;"|"&amp;AK$14&amp;"|"&amp;"CY2023Q3",Spectrum!$R:$R,0)),0),""))</f>
        <v/>
      </c>
      <c r="AL147" s="90">
        <f t="shared" si="58"/>
        <v>1176</v>
      </c>
      <c r="AM147" s="14">
        <f t="shared" si="59"/>
        <v>0</v>
      </c>
      <c r="AN147" s="14" t="str">
        <f>IF($C147="&lt;01",ROUND(INDEX(EID!$P:$P,MATCH($B147,EID!$B:$B,0))/2,0),"")</f>
        <v/>
      </c>
      <c r="AO147" s="14">
        <f t="shared" si="60"/>
        <v>0</v>
      </c>
      <c r="AP147" s="42">
        <f t="shared" si="61"/>
        <v>0</v>
      </c>
      <c r="AQ147" s="42">
        <f t="shared" si="62"/>
        <v>1397</v>
      </c>
      <c r="AR147" s="90" t="str">
        <f t="shared" si="63"/>
        <v/>
      </c>
      <c r="AS147" s="90">
        <f t="shared" si="50"/>
        <v>0.98</v>
      </c>
      <c r="AT147" s="90">
        <f t="shared" si="50"/>
        <v>0.98</v>
      </c>
      <c r="AU147" s="14">
        <f t="shared" si="64"/>
        <v>0</v>
      </c>
      <c r="AV147" s="14">
        <f>IF($C147="&lt;01",ROUND(INDEX(EID!$N:$N,MATCH($B147,EID!$B:$B,0))/2,0),IF(SUM($AT147)=0,"",ROUND((SUM($AP147)-(SUM($O147)*SUM($AS147)))/$AT147,0)))</f>
        <v>0</v>
      </c>
      <c r="AW147" s="90">
        <f t="shared" si="65"/>
        <v>1</v>
      </c>
      <c r="AX147" s="42">
        <f t="shared" si="66"/>
        <v>0</v>
      </c>
      <c r="AY147" s="116">
        <f t="shared" si="67"/>
        <v>0.7</v>
      </c>
      <c r="AZ147" s="93">
        <f>IF($C147="&lt;01",ROUND(INDEX(EID!$R:$R,MATCH($B147,EID!$B:$B,0))/2,0),ROUND(SUM($O147)+(SUM($AV147)*$AY147),0))</f>
        <v>0</v>
      </c>
      <c r="BA147" s="89">
        <f t="shared" si="68"/>
        <v>0.95</v>
      </c>
      <c r="BB147" s="9">
        <f>IF($C147="&lt;01",ROUND(INDEX(EID!$T:$T,MATCH($B147,EID!$B:$B,0))/2,0),ROUND($AZ147*$BA147,0))</f>
        <v>0</v>
      </c>
      <c r="BC147" s="93">
        <f t="shared" si="69"/>
        <v>0</v>
      </c>
      <c r="BD147" s="90">
        <f t="shared" si="70"/>
        <v>0.95</v>
      </c>
      <c r="BE147" s="42">
        <f>IF($C147="&lt;01",ROUND(INDEX(EID!$V:$V,MATCH($B147,EID!$B:$B,0))/2,0),ROUND($BD147*$BB147,0))</f>
        <v>0</v>
      </c>
      <c r="BF147" s="42">
        <f t="shared" si="71"/>
        <v>0</v>
      </c>
      <c r="BG147" s="116">
        <f t="shared" si="72"/>
        <v>0.95</v>
      </c>
      <c r="BH147" s="9">
        <f>IF($C147="&lt;01",ROUND(INDEX(EID!$L:$L,MATCH($B147,EID!$B:$B,0)),0)/2,IF(SUM($BG147)=0,"",ROUND($AX147/$BG147,0)))</f>
        <v>0</v>
      </c>
    </row>
    <row r="148" spans="1:60" x14ac:dyDescent="0.2">
      <c r="A148" t="str">
        <f>INDEX(Prioritization!$D:$D,MATCH($B148,Prioritization!$A:$A,0))</f>
        <v>INVALID</v>
      </c>
      <c r="B148" t="s">
        <v>202</v>
      </c>
      <c r="C148" t="s">
        <v>364</v>
      </c>
      <c r="D148" t="s">
        <v>47</v>
      </c>
      <c r="E148" t="str">
        <f t="shared" si="51"/>
        <v>Salima District [msW2zpIN7up]|15-24|Male</v>
      </c>
      <c r="F148" s="14"/>
      <c r="G148" s="14"/>
      <c r="H148" s="14"/>
      <c r="I148" s="14"/>
      <c r="J148" s="14"/>
      <c r="K148" s="14"/>
      <c r="L148" s="14"/>
      <c r="M148" s="14"/>
      <c r="N148" s="14"/>
      <c r="O148" s="14" t="str">
        <f t="shared" si="52"/>
        <v/>
      </c>
      <c r="P148" s="14"/>
      <c r="Q148" s="14"/>
      <c r="R148" s="14" t="str">
        <f t="shared" si="53"/>
        <v/>
      </c>
      <c r="S148" s="14">
        <f>IF(LEFT($B148,4)="_Mil","",_xlfn.IFNA(ROUND(INDEX(Spectrum!$N:$N,MATCH(RIGHT($B148,13)&amp;"|"&amp;$C148&amp;"|"&amp;$D148&amp;"|"&amp;S$14&amp;"|"&amp;"CY2022Q4",Spectrum!$R:$R,0)),0),""))</f>
        <v>586</v>
      </c>
      <c r="T148" s="42">
        <f>IF(LEFT($B148,4)="_Mil","",_xlfn.IFNA(ROUND(INDEX(Spectrum!$N:$N,MATCH(RIGHT($B148,13)&amp;"|"&amp;$C148&amp;"|"&amp;$D148&amp;"|"&amp;T$14&amp;"|"&amp;"CY2023Q3",Spectrum!$R:$R,0)),0),""))</f>
        <v>1297</v>
      </c>
      <c r="U148" s="42" t="str">
        <f>IF(LEFT($B148,4)="_Mil","",_xlfn.IFNA(ROUND(INDEX(Spectrum!$N:$N,MATCH(RIGHT($B148,13)&amp;"|"&amp;$C148&amp;"|"&amp;$D148&amp;"|"&amp;U$14&amp;"|"&amp;"CY2023Q3",Spectrum!$R:$R,0)),0),""))</f>
        <v/>
      </c>
      <c r="V148" s="14">
        <f>IF(LEFT($B148,4)="_Mil","",_xlfn.IFNA(ROUND(INDEX(Spectrum!$N:$N,MATCH(RIGHT($B148,13)&amp;"|"&amp;$C148&amp;"|"&amp;$D148&amp;"|"&amp;V$14&amp;"|"&amp;"CY2023Q3",Spectrum!$R:$R,0)),0),""))</f>
        <v>1156</v>
      </c>
      <c r="W148" s="115">
        <f>IF(LEFT($B148,4)="_Mil","",_xlfn.IFNA(INDEX(Spectrum!$N:$N,MATCH(RIGHT($B148,13)&amp;"|"&amp;$C148&amp;"|"&amp;$D148&amp;"|"&amp;W$14&amp;"|"&amp;"CY2023Q3",Spectrum!$R:$R,0)),""))</f>
        <v>1984</v>
      </c>
      <c r="X148" s="42">
        <f>IF(LEFT($B148,4)="_Mil","",_xlfn.IFNA(ROUND(INDEX(Spectrum!$N:$N,MATCH(RIGHT($B148,13)&amp;"|"&amp;$C148&amp;"|"&amp;$D148&amp;"|"&amp;X$14&amp;"|"&amp;"CY2023Q3",Spectrum!$R:$R,0)),0),""))</f>
        <v>907</v>
      </c>
      <c r="Y148" s="90" t="str">
        <f t="shared" si="54"/>
        <v/>
      </c>
      <c r="Z148" s="42">
        <f>IF(LEFT($B148,4)="_Mil","",_xlfn.IFNA(ROUND(INDEX(Spectrum!$N:$N,MATCH(RIGHT($B148,13)&amp;"|"&amp;$C148&amp;"|"&amp;$D148&amp;"|"&amp;Z$14&amp;"|"&amp;"CY2023Q3",Spectrum!$R:$R,0)),0),""))</f>
        <v>1301</v>
      </c>
      <c r="AA148" s="90">
        <f>IF(LEFT($B148,4)="_Mil","",IFERROR(1/(1/INDEX(Spectrum!$N:$N,MATCH(RIGHT($B148,13)&amp;"|"&amp;$C148&amp;"|"&amp;$D148&amp;"|"&amp;AA$14&amp;"|"&amp;"CY2023Q3",Spectrum!$R:$R,0))),IF(SUM($U148)=0,"",SUM($Z148)/$U148)))</f>
        <v>1321</v>
      </c>
      <c r="AB148" s="90">
        <f t="shared" si="55"/>
        <v>1.434399117971334</v>
      </c>
      <c r="AC148" s="14">
        <f>IF(LEFT($B148,4)="_Mil","",_xlfn.IFNA(ROUND(INDEX(Spectrum!$N:$N,MATCH(RIGHT($B148,13)&amp;"|"&amp;$C148&amp;"|"&amp;$D148&amp;"|"&amp;AC$14&amp;"|"&amp;"CY2023Q3",Spectrum!$R:$R,0)),0),""))</f>
        <v>549</v>
      </c>
      <c r="AD148" s="14" t="str">
        <f>IF(LEFT($B148,4)="_Mil","",_xlfn.IFNA(ROUND(INDEX(Spectrum!$N:$N,MATCH(RIGHT($B148,13)&amp;"|"&amp;$C148&amp;"|"&amp;$D148&amp;"|"&amp;AD$14&amp;"|"&amp;"CY2023Q3",Spectrum!$R:$R,0)),0),""))</f>
        <v/>
      </c>
      <c r="AE148" s="90">
        <f t="shared" si="56"/>
        <v>0</v>
      </c>
      <c r="AF148" s="42" t="str">
        <f>IF(LEFT($B148,4)="_Mil","",_xlfn.IFNA(ROUND(INDEX(Spectrum!$N:$N,MATCH(RIGHT($B148,13)&amp;"|"&amp;$C148&amp;"|"&amp;$D148&amp;"|"&amp;AF$14&amp;"|"&amp;"CY2023Q3",Spectrum!$R:$R,0)),0),""))</f>
        <v/>
      </c>
      <c r="AG148" s="90" t="str">
        <f t="shared" si="57"/>
        <v/>
      </c>
      <c r="AH148" s="88" t="str">
        <f>IF(LEFT($B148,4)="_Mil","",_xlfn.IFNA(INDEX(Spectrum!$N:$N,MATCH(RIGHT($B148,13)&amp;"|"&amp;$C148&amp;"|"&amp;$D148&amp;"|"&amp;AH$14&amp;"|"&amp;"CY2023Q3",Spectrum!$R:$R,0)),""))</f>
        <v/>
      </c>
      <c r="AI148" s="14" t="str">
        <f>IF(LEFT($B148,4)="_Mil","",_xlfn.IFNA(ROUND(INDEX(Spectrum!$N:$N,MATCH(RIGHT($B148,13)&amp;"|"&amp;$C148&amp;"|"&amp;$D148&amp;"|"&amp;AI$14&amp;"|"&amp;"CY2023Q3",Spectrum!$R:$R,0)),0),""))</f>
        <v/>
      </c>
      <c r="AJ148" s="42">
        <f>IF(LEFT($B148,4)="_Mil","",_xlfn.IFNA(ROUND(INDEX(Spectrum!$N:$N,MATCH(RIGHT($B148,13)&amp;"|"&amp;$C148&amp;"|"&amp;$D148&amp;"|"&amp;AI$14&amp;"|"&amp;"CY2023Q3",Spectrum!$R:$R,0)),0),SUM($U148)+SUM($AI148)))</f>
        <v>0</v>
      </c>
      <c r="AK148" s="14" t="str">
        <f>IF(LEFT($B148,4)="_Mil","",_xlfn.IFNA(ROUND(INDEX(Spectrum!$N:$N,MATCH(RIGHT($B148,13)&amp;"|"&amp;$C148&amp;"|"&amp;$D148&amp;"|"&amp;AK$14&amp;"|"&amp;"CY2023Q3",Spectrum!$R:$R,0)),0),""))</f>
        <v/>
      </c>
      <c r="AL148" s="90">
        <f t="shared" si="58"/>
        <v>1321</v>
      </c>
      <c r="AM148" s="14">
        <f t="shared" si="59"/>
        <v>0</v>
      </c>
      <c r="AN148" s="14" t="str">
        <f>IF($C148="&lt;01",ROUND(INDEX(EID!$P:$P,MATCH($B148,EID!$B:$B,0))/2,0),"")</f>
        <v/>
      </c>
      <c r="AO148" s="14">
        <f t="shared" si="60"/>
        <v>0</v>
      </c>
      <c r="AP148" s="42">
        <f t="shared" si="61"/>
        <v>0</v>
      </c>
      <c r="AQ148" s="42">
        <f t="shared" si="62"/>
        <v>1301</v>
      </c>
      <c r="AR148" s="90" t="str">
        <f t="shared" si="63"/>
        <v/>
      </c>
      <c r="AS148" s="90">
        <f t="shared" si="50"/>
        <v>0.98</v>
      </c>
      <c r="AT148" s="90">
        <f t="shared" si="50"/>
        <v>0.98</v>
      </c>
      <c r="AU148" s="14">
        <f t="shared" si="64"/>
        <v>0</v>
      </c>
      <c r="AV148" s="14">
        <f>IF($C148="&lt;01",ROUND(INDEX(EID!$N:$N,MATCH($B148,EID!$B:$B,0))/2,0),IF(SUM($AT148)=0,"",ROUND((SUM($AP148)-(SUM($O148)*SUM($AS148)))/$AT148,0)))</f>
        <v>0</v>
      </c>
      <c r="AW148" s="90">
        <f t="shared" si="65"/>
        <v>1</v>
      </c>
      <c r="AX148" s="42">
        <f t="shared" si="66"/>
        <v>0</v>
      </c>
      <c r="AY148" s="116">
        <f t="shared" si="67"/>
        <v>0.7</v>
      </c>
      <c r="AZ148" s="93">
        <f>IF($C148="&lt;01",ROUND(INDEX(EID!$R:$R,MATCH($B148,EID!$B:$B,0))/2,0),ROUND(SUM($O148)+(SUM($AV148)*$AY148),0))</f>
        <v>0</v>
      </c>
      <c r="BA148" s="89">
        <f t="shared" si="68"/>
        <v>0.95</v>
      </c>
      <c r="BB148" s="9">
        <f>IF($C148="&lt;01",ROUND(INDEX(EID!$T:$T,MATCH($B148,EID!$B:$B,0))/2,0),ROUND($AZ148*$BA148,0))</f>
        <v>0</v>
      </c>
      <c r="BC148" s="93">
        <f t="shared" si="69"/>
        <v>0</v>
      </c>
      <c r="BD148" s="90">
        <f t="shared" si="70"/>
        <v>0.95</v>
      </c>
      <c r="BE148" s="42">
        <f>IF($C148="&lt;01",ROUND(INDEX(EID!$V:$V,MATCH($B148,EID!$B:$B,0))/2,0),ROUND($BD148*$BB148,0))</f>
        <v>0</v>
      </c>
      <c r="BF148" s="42">
        <f t="shared" si="71"/>
        <v>0</v>
      </c>
      <c r="BG148" s="116">
        <f t="shared" si="72"/>
        <v>0.95</v>
      </c>
      <c r="BH148" s="9">
        <f>IF($C148="&lt;01",ROUND(INDEX(EID!$L:$L,MATCH($B148,EID!$B:$B,0)),0)/2,IF(SUM($BG148)=0,"",ROUND($AX148/$BG148,0)))</f>
        <v>0</v>
      </c>
    </row>
    <row r="149" spans="1:60" x14ac:dyDescent="0.2">
      <c r="A149" t="str">
        <f>INDEX(Prioritization!$D:$D,MATCH($B149,Prioritization!$A:$A,0))</f>
        <v>INVALID</v>
      </c>
      <c r="B149" t="s">
        <v>202</v>
      </c>
      <c r="C149" t="s">
        <v>365</v>
      </c>
      <c r="D149" t="s">
        <v>29</v>
      </c>
      <c r="E149" t="str">
        <f t="shared" si="51"/>
        <v>Salima District [msW2zpIN7up]|25-34|Female</v>
      </c>
      <c r="F149" s="14"/>
      <c r="G149" s="14"/>
      <c r="H149" s="14"/>
      <c r="I149" s="14"/>
      <c r="J149" s="14"/>
      <c r="K149" s="14"/>
      <c r="L149" s="14"/>
      <c r="M149" s="14"/>
      <c r="N149" s="14"/>
      <c r="O149" s="14" t="str">
        <f t="shared" si="52"/>
        <v/>
      </c>
      <c r="P149" s="14"/>
      <c r="Q149" s="14"/>
      <c r="R149" s="14" t="str">
        <f t="shared" si="53"/>
        <v/>
      </c>
      <c r="S149" s="14">
        <f>IF(LEFT($B149,4)="_Mil","",_xlfn.IFNA(ROUND(INDEX(Spectrum!$N:$N,MATCH(RIGHT($B149,13)&amp;"|"&amp;$C149&amp;"|"&amp;$D149&amp;"|"&amp;S$14&amp;"|"&amp;"CY2022Q4",Spectrum!$R:$R,0)),0),""))</f>
        <v>1354</v>
      </c>
      <c r="T149" s="42">
        <f>IF(LEFT($B149,4)="_Mil","",_xlfn.IFNA(ROUND(INDEX(Spectrum!$N:$N,MATCH(RIGHT($B149,13)&amp;"|"&amp;$C149&amp;"|"&amp;$D149&amp;"|"&amp;T$14&amp;"|"&amp;"CY2023Q3",Spectrum!$R:$R,0)),0),""))</f>
        <v>1415</v>
      </c>
      <c r="U149" s="42" t="str">
        <f>IF(LEFT($B149,4)="_Mil","",_xlfn.IFNA(ROUND(INDEX(Spectrum!$N:$N,MATCH(RIGHT($B149,13)&amp;"|"&amp;$C149&amp;"|"&amp;$D149&amp;"|"&amp;U$14&amp;"|"&amp;"CY2023Q3",Spectrum!$R:$R,0)),0),""))</f>
        <v/>
      </c>
      <c r="V149" s="14">
        <f>IF(LEFT($B149,4)="_Mil","",_xlfn.IFNA(ROUND(INDEX(Spectrum!$N:$N,MATCH(RIGHT($B149,13)&amp;"|"&amp;$C149&amp;"|"&amp;$D149&amp;"|"&amp;V$14&amp;"|"&amp;"CY2023Q3",Spectrum!$R:$R,0)),0),""))</f>
        <v>1655</v>
      </c>
      <c r="W149" s="115">
        <f>IF(LEFT($B149,4)="_Mil","",_xlfn.IFNA(INDEX(Spectrum!$N:$N,MATCH(RIGHT($B149,13)&amp;"|"&amp;$C149&amp;"|"&amp;$D149&amp;"|"&amp;W$14&amp;"|"&amp;"CY2023Q3",Spectrum!$R:$R,0)),""))</f>
        <v>1128</v>
      </c>
      <c r="X149" s="42">
        <f>IF(LEFT($B149,4)="_Mil","",_xlfn.IFNA(ROUND(INDEX(Spectrum!$N:$N,MATCH(RIGHT($B149,13)&amp;"|"&amp;$C149&amp;"|"&amp;$D149&amp;"|"&amp;X$14&amp;"|"&amp;"CY2023Q3",Spectrum!$R:$R,0)),0),""))</f>
        <v>948</v>
      </c>
      <c r="Y149" s="90" t="str">
        <f t="shared" si="54"/>
        <v/>
      </c>
      <c r="Z149" s="42">
        <f>IF(LEFT($B149,4)="_Mil","",_xlfn.IFNA(ROUND(INDEX(Spectrum!$N:$N,MATCH(RIGHT($B149,13)&amp;"|"&amp;$C149&amp;"|"&amp;$D149&amp;"|"&amp;Z$14&amp;"|"&amp;"CY2023Q3",Spectrum!$R:$R,0)),0),""))</f>
        <v>961</v>
      </c>
      <c r="AA149" s="90">
        <f>IF(LEFT($B149,4)="_Mil","",IFERROR(1/(1/INDEX(Spectrum!$N:$N,MATCH(RIGHT($B149,13)&amp;"|"&amp;$C149&amp;"|"&amp;$D149&amp;"|"&amp;AA$14&amp;"|"&amp;"CY2023Q3",Spectrum!$R:$R,0))),IF(SUM($U149)=0,"",SUM($Z149)/$U149)))</f>
        <v>1721</v>
      </c>
      <c r="AB149" s="90">
        <f t="shared" si="55"/>
        <v>1.0137130801687764</v>
      </c>
      <c r="AC149" s="14">
        <f>IF(LEFT($B149,4)="_Mil","",_xlfn.IFNA(ROUND(INDEX(Spectrum!$N:$N,MATCH(RIGHT($B149,13)&amp;"|"&amp;$C149&amp;"|"&amp;$D149&amp;"|"&amp;AC$14&amp;"|"&amp;"CY2023Q3",Spectrum!$R:$R,0)),0),""))</f>
        <v>1335</v>
      </c>
      <c r="AD149" s="14" t="str">
        <f>IF(LEFT($B149,4)="_Mil","",_xlfn.IFNA(ROUND(INDEX(Spectrum!$N:$N,MATCH(RIGHT($B149,13)&amp;"|"&amp;$C149&amp;"|"&amp;$D149&amp;"|"&amp;AD$14&amp;"|"&amp;"CY2023Q3",Spectrum!$R:$R,0)),0),""))</f>
        <v/>
      </c>
      <c r="AE149" s="90">
        <f t="shared" si="56"/>
        <v>0</v>
      </c>
      <c r="AF149" s="42" t="str">
        <f>IF(LEFT($B149,4)="_Mil","",_xlfn.IFNA(ROUND(INDEX(Spectrum!$N:$N,MATCH(RIGHT($B149,13)&amp;"|"&amp;$C149&amp;"|"&amp;$D149&amp;"|"&amp;AF$14&amp;"|"&amp;"CY2023Q3",Spectrum!$R:$R,0)),0),""))</f>
        <v/>
      </c>
      <c r="AG149" s="90" t="str">
        <f t="shared" si="57"/>
        <v/>
      </c>
      <c r="AH149" s="88" t="str">
        <f>IF(LEFT($B149,4)="_Mil","",_xlfn.IFNA(INDEX(Spectrum!$N:$N,MATCH(RIGHT($B149,13)&amp;"|"&amp;$C149&amp;"|"&amp;$D149&amp;"|"&amp;AH$14&amp;"|"&amp;"CY2023Q3",Spectrum!$R:$R,0)),""))</f>
        <v/>
      </c>
      <c r="AI149" s="14" t="str">
        <f>IF(LEFT($B149,4)="_Mil","",_xlfn.IFNA(ROUND(INDEX(Spectrum!$N:$N,MATCH(RIGHT($B149,13)&amp;"|"&amp;$C149&amp;"|"&amp;$D149&amp;"|"&amp;AI$14&amp;"|"&amp;"CY2023Q3",Spectrum!$R:$R,0)),0),""))</f>
        <v/>
      </c>
      <c r="AJ149" s="42">
        <f>IF(LEFT($B149,4)="_Mil","",_xlfn.IFNA(ROUND(INDEX(Spectrum!$N:$N,MATCH(RIGHT($B149,13)&amp;"|"&amp;$C149&amp;"|"&amp;$D149&amp;"|"&amp;AI$14&amp;"|"&amp;"CY2023Q3",Spectrum!$R:$R,0)),0),SUM($U149)+SUM($AI149)))</f>
        <v>0</v>
      </c>
      <c r="AK149" s="14" t="str">
        <f>IF(LEFT($B149,4)="_Mil","",_xlfn.IFNA(ROUND(INDEX(Spectrum!$N:$N,MATCH(RIGHT($B149,13)&amp;"|"&amp;$C149&amp;"|"&amp;$D149&amp;"|"&amp;AK$14&amp;"|"&amp;"CY2023Q3",Spectrum!$R:$R,0)),0),""))</f>
        <v/>
      </c>
      <c r="AL149" s="90">
        <f t="shared" si="58"/>
        <v>1721</v>
      </c>
      <c r="AM149" s="14">
        <f t="shared" si="59"/>
        <v>0</v>
      </c>
      <c r="AN149" s="14" t="str">
        <f>IF($C149="&lt;01",ROUND(INDEX(EID!$P:$P,MATCH($B149,EID!$B:$B,0))/2,0),"")</f>
        <v/>
      </c>
      <c r="AO149" s="14">
        <f t="shared" si="60"/>
        <v>0</v>
      </c>
      <c r="AP149" s="42">
        <f t="shared" si="61"/>
        <v>0</v>
      </c>
      <c r="AQ149" s="42">
        <f t="shared" si="62"/>
        <v>961</v>
      </c>
      <c r="AR149" s="90" t="str">
        <f t="shared" si="63"/>
        <v/>
      </c>
      <c r="AS149" s="90">
        <f t="shared" si="50"/>
        <v>0.98</v>
      </c>
      <c r="AT149" s="90">
        <f t="shared" si="50"/>
        <v>0.98</v>
      </c>
      <c r="AU149" s="14">
        <f t="shared" si="64"/>
        <v>0</v>
      </c>
      <c r="AV149" s="14">
        <f>IF($C149="&lt;01",ROUND(INDEX(EID!$N:$N,MATCH($B149,EID!$B:$B,0))/2,0),IF(SUM($AT149)=0,"",ROUND((SUM($AP149)-(SUM($O149)*SUM($AS149)))/$AT149,0)))</f>
        <v>0</v>
      </c>
      <c r="AW149" s="90">
        <f t="shared" si="65"/>
        <v>1</v>
      </c>
      <c r="AX149" s="42">
        <f t="shared" si="66"/>
        <v>0</v>
      </c>
      <c r="AY149" s="116">
        <f t="shared" si="67"/>
        <v>0.7</v>
      </c>
      <c r="AZ149" s="93">
        <f>IF($C149="&lt;01",ROUND(INDEX(EID!$R:$R,MATCH($B149,EID!$B:$B,0))/2,0),ROUND(SUM($O149)+(SUM($AV149)*$AY149),0))</f>
        <v>0</v>
      </c>
      <c r="BA149" s="89">
        <f t="shared" si="68"/>
        <v>0.95</v>
      </c>
      <c r="BB149" s="9">
        <f>IF($C149="&lt;01",ROUND(INDEX(EID!$T:$T,MATCH($B149,EID!$B:$B,0))/2,0),ROUND($AZ149*$BA149,0))</f>
        <v>0</v>
      </c>
      <c r="BC149" s="93">
        <f t="shared" si="69"/>
        <v>0</v>
      </c>
      <c r="BD149" s="90">
        <f t="shared" si="70"/>
        <v>0.95</v>
      </c>
      <c r="BE149" s="42">
        <f>IF($C149="&lt;01",ROUND(INDEX(EID!$V:$V,MATCH($B149,EID!$B:$B,0))/2,0),ROUND($BD149*$BB149,0))</f>
        <v>0</v>
      </c>
      <c r="BF149" s="42">
        <f t="shared" si="71"/>
        <v>0</v>
      </c>
      <c r="BG149" s="116">
        <f t="shared" si="72"/>
        <v>0.95</v>
      </c>
      <c r="BH149" s="9">
        <f>IF($C149="&lt;01",ROUND(INDEX(EID!$L:$L,MATCH($B149,EID!$B:$B,0)),0)/2,IF(SUM($BG149)=0,"",ROUND($AX149/$BG149,0)))</f>
        <v>0</v>
      </c>
    </row>
    <row r="150" spans="1:60" x14ac:dyDescent="0.2">
      <c r="A150" t="str">
        <f>INDEX(Prioritization!$D:$D,MATCH($B150,Prioritization!$A:$A,0))</f>
        <v>INVALID</v>
      </c>
      <c r="B150" t="s">
        <v>202</v>
      </c>
      <c r="C150" t="s">
        <v>365</v>
      </c>
      <c r="D150" t="s">
        <v>47</v>
      </c>
      <c r="E150" t="str">
        <f t="shared" si="51"/>
        <v>Salima District [msW2zpIN7up]|25-34|Male</v>
      </c>
      <c r="F150" s="14"/>
      <c r="G150" s="14"/>
      <c r="H150" s="14"/>
      <c r="I150" s="14"/>
      <c r="J150" s="14"/>
      <c r="K150" s="14"/>
      <c r="L150" s="14"/>
      <c r="M150" s="14"/>
      <c r="N150" s="14"/>
      <c r="O150" s="14" t="str">
        <f t="shared" si="52"/>
        <v/>
      </c>
      <c r="P150" s="14"/>
      <c r="Q150" s="14"/>
      <c r="R150" s="14" t="str">
        <f t="shared" si="53"/>
        <v/>
      </c>
      <c r="S150" s="14">
        <f>IF(LEFT($B150,4)="_Mil","",_xlfn.IFNA(ROUND(INDEX(Spectrum!$N:$N,MATCH(RIGHT($B150,13)&amp;"|"&amp;$C150&amp;"|"&amp;$D150&amp;"|"&amp;S$14&amp;"|"&amp;"CY2022Q4",Spectrum!$R:$R,0)),0),""))</f>
        <v>1373</v>
      </c>
      <c r="T150" s="42">
        <f>IF(LEFT($B150,4)="_Mil","",_xlfn.IFNA(ROUND(INDEX(Spectrum!$N:$N,MATCH(RIGHT($B150,13)&amp;"|"&amp;$C150&amp;"|"&amp;$D150&amp;"|"&amp;T$14&amp;"|"&amp;"CY2023Q3",Spectrum!$R:$R,0)),0),""))</f>
        <v>896</v>
      </c>
      <c r="U150" s="42" t="str">
        <f>IF(LEFT($B150,4)="_Mil","",_xlfn.IFNA(ROUND(INDEX(Spectrum!$N:$N,MATCH(RIGHT($B150,13)&amp;"|"&amp;$C150&amp;"|"&amp;$D150&amp;"|"&amp;U$14&amp;"|"&amp;"CY2023Q3",Spectrum!$R:$R,0)),0),""))</f>
        <v/>
      </c>
      <c r="V150" s="14">
        <f>IF(LEFT($B150,4)="_Mil","",_xlfn.IFNA(ROUND(INDEX(Spectrum!$N:$N,MATCH(RIGHT($B150,13)&amp;"|"&amp;$C150&amp;"|"&amp;$D150&amp;"|"&amp;V$14&amp;"|"&amp;"CY2023Q3",Spectrum!$R:$R,0)),0),""))</f>
        <v>1258</v>
      </c>
      <c r="W150" s="115">
        <f>IF(LEFT($B150,4)="_Mil","",_xlfn.IFNA(INDEX(Spectrum!$N:$N,MATCH(RIGHT($B150,13)&amp;"|"&amp;$C150&amp;"|"&amp;$D150&amp;"|"&amp;W$14&amp;"|"&amp;"CY2023Q3",Spectrum!$R:$R,0)),""))</f>
        <v>888</v>
      </c>
      <c r="X150" s="42">
        <f>IF(LEFT($B150,4)="_Mil","",_xlfn.IFNA(ROUND(INDEX(Spectrum!$N:$N,MATCH(RIGHT($B150,13)&amp;"|"&amp;$C150&amp;"|"&amp;$D150&amp;"|"&amp;X$14&amp;"|"&amp;"CY2023Q3",Spectrum!$R:$R,0)),0),""))</f>
        <v>738</v>
      </c>
      <c r="Y150" s="90" t="str">
        <f t="shared" si="54"/>
        <v/>
      </c>
      <c r="Z150" s="42">
        <f>IF(LEFT($B150,4)="_Mil","",_xlfn.IFNA(ROUND(INDEX(Spectrum!$N:$N,MATCH(RIGHT($B150,13)&amp;"|"&amp;$C150&amp;"|"&amp;$D150&amp;"|"&amp;Z$14&amp;"|"&amp;"CY2023Q3",Spectrum!$R:$R,0)),0),""))</f>
        <v>1135</v>
      </c>
      <c r="AA150" s="90">
        <f>IF(LEFT($B150,4)="_Mil","",IFERROR(1/(1/INDEX(Spectrum!$N:$N,MATCH(RIGHT($B150,13)&amp;"|"&amp;$C150&amp;"|"&amp;$D150&amp;"|"&amp;AA$14&amp;"|"&amp;"CY2023Q3",Spectrum!$R:$R,0))),IF(SUM($U150)=0,"",SUM($Z150)/$U150)))</f>
        <v>509.00000000000006</v>
      </c>
      <c r="AB150" s="90">
        <f t="shared" si="55"/>
        <v>1.537940379403794</v>
      </c>
      <c r="AC150" s="14">
        <f>IF(LEFT($B150,4)="_Mil","",_xlfn.IFNA(ROUND(INDEX(Spectrum!$N:$N,MATCH(RIGHT($B150,13)&amp;"|"&amp;$C150&amp;"|"&amp;$D150&amp;"|"&amp;AC$14&amp;"|"&amp;"CY2023Q3",Spectrum!$R:$R,0)),0),""))</f>
        <v>687</v>
      </c>
      <c r="AD150" s="14" t="str">
        <f>IF(LEFT($B150,4)="_Mil","",_xlfn.IFNA(ROUND(INDEX(Spectrum!$N:$N,MATCH(RIGHT($B150,13)&amp;"|"&amp;$C150&amp;"|"&amp;$D150&amp;"|"&amp;AD$14&amp;"|"&amp;"CY2023Q3",Spectrum!$R:$R,0)),0),""))</f>
        <v/>
      </c>
      <c r="AE150" s="90">
        <f t="shared" si="56"/>
        <v>0</v>
      </c>
      <c r="AF150" s="42" t="str">
        <f>IF(LEFT($B150,4)="_Mil","",_xlfn.IFNA(ROUND(INDEX(Spectrum!$N:$N,MATCH(RIGHT($B150,13)&amp;"|"&amp;$C150&amp;"|"&amp;$D150&amp;"|"&amp;AF$14&amp;"|"&amp;"CY2023Q3",Spectrum!$R:$R,0)),0),""))</f>
        <v/>
      </c>
      <c r="AG150" s="90" t="str">
        <f t="shared" si="57"/>
        <v/>
      </c>
      <c r="AH150" s="88" t="str">
        <f>IF(LEFT($B150,4)="_Mil","",_xlfn.IFNA(INDEX(Spectrum!$N:$N,MATCH(RIGHT($B150,13)&amp;"|"&amp;$C150&amp;"|"&amp;$D150&amp;"|"&amp;AH$14&amp;"|"&amp;"CY2023Q3",Spectrum!$R:$R,0)),""))</f>
        <v/>
      </c>
      <c r="AI150" s="14" t="str">
        <f>IF(LEFT($B150,4)="_Mil","",_xlfn.IFNA(ROUND(INDEX(Spectrum!$N:$N,MATCH(RIGHT($B150,13)&amp;"|"&amp;$C150&amp;"|"&amp;$D150&amp;"|"&amp;AI$14&amp;"|"&amp;"CY2023Q3",Spectrum!$R:$R,0)),0),""))</f>
        <v/>
      </c>
      <c r="AJ150" s="42">
        <f>IF(LEFT($B150,4)="_Mil","",_xlfn.IFNA(ROUND(INDEX(Spectrum!$N:$N,MATCH(RIGHT($B150,13)&amp;"|"&amp;$C150&amp;"|"&amp;$D150&amp;"|"&amp;AI$14&amp;"|"&amp;"CY2023Q3",Spectrum!$R:$R,0)),0),SUM($U150)+SUM($AI150)))</f>
        <v>0</v>
      </c>
      <c r="AK150" s="14" t="str">
        <f>IF(LEFT($B150,4)="_Mil","",_xlfn.IFNA(ROUND(INDEX(Spectrum!$N:$N,MATCH(RIGHT($B150,13)&amp;"|"&amp;$C150&amp;"|"&amp;$D150&amp;"|"&amp;AK$14&amp;"|"&amp;"CY2023Q3",Spectrum!$R:$R,0)),0),""))</f>
        <v/>
      </c>
      <c r="AL150" s="90">
        <f t="shared" si="58"/>
        <v>509.00000000000006</v>
      </c>
      <c r="AM150" s="14">
        <f t="shared" si="59"/>
        <v>0</v>
      </c>
      <c r="AN150" s="14" t="str">
        <f>IF($C150="&lt;01",ROUND(INDEX(EID!$P:$P,MATCH($B150,EID!$B:$B,0))/2,0),"")</f>
        <v/>
      </c>
      <c r="AO150" s="14">
        <f t="shared" si="60"/>
        <v>0</v>
      </c>
      <c r="AP150" s="42">
        <f t="shared" si="61"/>
        <v>0</v>
      </c>
      <c r="AQ150" s="42">
        <f t="shared" si="62"/>
        <v>1135</v>
      </c>
      <c r="AR150" s="90" t="str">
        <f t="shared" si="63"/>
        <v/>
      </c>
      <c r="AS150" s="90">
        <f t="shared" si="50"/>
        <v>0.98</v>
      </c>
      <c r="AT150" s="90">
        <f t="shared" si="50"/>
        <v>0.98</v>
      </c>
      <c r="AU150" s="14">
        <f t="shared" si="64"/>
        <v>0</v>
      </c>
      <c r="AV150" s="14">
        <f>IF($C150="&lt;01",ROUND(INDEX(EID!$N:$N,MATCH($B150,EID!$B:$B,0))/2,0),IF(SUM($AT150)=0,"",ROUND((SUM($AP150)-(SUM($O150)*SUM($AS150)))/$AT150,0)))</f>
        <v>0</v>
      </c>
      <c r="AW150" s="90">
        <f t="shared" si="65"/>
        <v>1</v>
      </c>
      <c r="AX150" s="42">
        <f t="shared" si="66"/>
        <v>0</v>
      </c>
      <c r="AY150" s="116">
        <f t="shared" si="67"/>
        <v>0.7</v>
      </c>
      <c r="AZ150" s="93">
        <f>IF($C150="&lt;01",ROUND(INDEX(EID!$R:$R,MATCH($B150,EID!$B:$B,0))/2,0),ROUND(SUM($O150)+(SUM($AV150)*$AY150),0))</f>
        <v>0</v>
      </c>
      <c r="BA150" s="89">
        <f t="shared" si="68"/>
        <v>0.95</v>
      </c>
      <c r="BB150" s="9">
        <f>IF($C150="&lt;01",ROUND(INDEX(EID!$T:$T,MATCH($B150,EID!$B:$B,0))/2,0),ROUND($AZ150*$BA150,0))</f>
        <v>0</v>
      </c>
      <c r="BC150" s="93">
        <f t="shared" si="69"/>
        <v>0</v>
      </c>
      <c r="BD150" s="90">
        <f t="shared" si="70"/>
        <v>0.95</v>
      </c>
      <c r="BE150" s="42">
        <f>IF($C150="&lt;01",ROUND(INDEX(EID!$V:$V,MATCH($B150,EID!$B:$B,0))/2,0),ROUND($BD150*$BB150,0))</f>
        <v>0</v>
      </c>
      <c r="BF150" s="42">
        <f t="shared" si="71"/>
        <v>0</v>
      </c>
      <c r="BG150" s="116">
        <f t="shared" si="72"/>
        <v>0.95</v>
      </c>
      <c r="BH150" s="9">
        <f>IF($C150="&lt;01",ROUND(INDEX(EID!$L:$L,MATCH($B150,EID!$B:$B,0)),0)/2,IF(SUM($BG150)=0,"",ROUND($AX150/$BG150,0)))</f>
        <v>0</v>
      </c>
    </row>
    <row r="151" spans="1:60" x14ac:dyDescent="0.2">
      <c r="A151" t="str">
        <f>INDEX(Prioritization!$D:$D,MATCH($B151,Prioritization!$A:$A,0))</f>
        <v>INVALID</v>
      </c>
      <c r="B151" t="s">
        <v>202</v>
      </c>
      <c r="C151" t="s">
        <v>366</v>
      </c>
      <c r="D151" t="s">
        <v>29</v>
      </c>
      <c r="E151" t="str">
        <f t="shared" si="51"/>
        <v>Salima District [msW2zpIN7up]|35-49|Female</v>
      </c>
      <c r="F151" s="14"/>
      <c r="G151" s="14"/>
      <c r="H151" s="14"/>
      <c r="I151" s="14"/>
      <c r="J151" s="14"/>
      <c r="K151" s="14"/>
      <c r="L151" s="14"/>
      <c r="M151" s="14"/>
      <c r="N151" s="14"/>
      <c r="O151" s="14" t="str">
        <f t="shared" si="52"/>
        <v/>
      </c>
      <c r="P151" s="14"/>
      <c r="Q151" s="14"/>
      <c r="R151" s="14" t="str">
        <f t="shared" si="53"/>
        <v/>
      </c>
      <c r="S151" s="14">
        <f>IF(LEFT($B151,4)="_Mil","",_xlfn.IFNA(ROUND(INDEX(Spectrum!$N:$N,MATCH(RIGHT($B151,13)&amp;"|"&amp;$C151&amp;"|"&amp;$D151&amp;"|"&amp;S$14&amp;"|"&amp;"CY2022Q4",Spectrum!$R:$R,0)),0),""))</f>
        <v>942</v>
      </c>
      <c r="T151" s="42">
        <f>IF(LEFT($B151,4)="_Mil","",_xlfn.IFNA(ROUND(INDEX(Spectrum!$N:$N,MATCH(RIGHT($B151,13)&amp;"|"&amp;$C151&amp;"|"&amp;$D151&amp;"|"&amp;T$14&amp;"|"&amp;"CY2023Q3",Spectrum!$R:$R,0)),0),""))</f>
        <v>1393</v>
      </c>
      <c r="U151" s="42" t="str">
        <f>IF(LEFT($B151,4)="_Mil","",_xlfn.IFNA(ROUND(INDEX(Spectrum!$N:$N,MATCH(RIGHT($B151,13)&amp;"|"&amp;$C151&amp;"|"&amp;$D151&amp;"|"&amp;U$14&amp;"|"&amp;"CY2023Q3",Spectrum!$R:$R,0)),0),""))</f>
        <v/>
      </c>
      <c r="V151" s="14">
        <f>IF(LEFT($B151,4)="_Mil","",_xlfn.IFNA(ROUND(INDEX(Spectrum!$N:$N,MATCH(RIGHT($B151,13)&amp;"|"&amp;$C151&amp;"|"&amp;$D151&amp;"|"&amp;V$14&amp;"|"&amp;"CY2023Q3",Spectrum!$R:$R,0)),0),""))</f>
        <v>1952</v>
      </c>
      <c r="W151" s="115">
        <f>IF(LEFT($B151,4)="_Mil","",_xlfn.IFNA(INDEX(Spectrum!$N:$N,MATCH(RIGHT($B151,13)&amp;"|"&amp;$C151&amp;"|"&amp;$D151&amp;"|"&amp;W$14&amp;"|"&amp;"CY2023Q3",Spectrum!$R:$R,0)),""))</f>
        <v>1962</v>
      </c>
      <c r="X151" s="42">
        <f>IF(LEFT($B151,4)="_Mil","",_xlfn.IFNA(ROUND(INDEX(Spectrum!$N:$N,MATCH(RIGHT($B151,13)&amp;"|"&amp;$C151&amp;"|"&amp;$D151&amp;"|"&amp;X$14&amp;"|"&amp;"CY2023Q3",Spectrum!$R:$R,0)),0),""))</f>
        <v>928</v>
      </c>
      <c r="Y151" s="90" t="str">
        <f t="shared" si="54"/>
        <v/>
      </c>
      <c r="Z151" s="42">
        <f>IF(LEFT($B151,4)="_Mil","",_xlfn.IFNA(ROUND(INDEX(Spectrum!$N:$N,MATCH(RIGHT($B151,13)&amp;"|"&amp;$C151&amp;"|"&amp;$D151&amp;"|"&amp;Z$14&amp;"|"&amp;"CY2023Q3",Spectrum!$R:$R,0)),0),""))</f>
        <v>1881</v>
      </c>
      <c r="AA151" s="90">
        <f>IF(LEFT($B151,4)="_Mil","",IFERROR(1/(1/INDEX(Spectrum!$N:$N,MATCH(RIGHT($B151,13)&amp;"|"&amp;$C151&amp;"|"&amp;$D151&amp;"|"&amp;AA$14&amp;"|"&amp;"CY2023Q3",Spectrum!$R:$R,0))),IF(SUM($U151)=0,"",SUM($Z151)/$U151)))</f>
        <v>1206</v>
      </c>
      <c r="AB151" s="90">
        <f t="shared" si="55"/>
        <v>2.0269396551724137</v>
      </c>
      <c r="AC151" s="14">
        <f>IF(LEFT($B151,4)="_Mil","",_xlfn.IFNA(ROUND(INDEX(Spectrum!$N:$N,MATCH(RIGHT($B151,13)&amp;"|"&amp;$C151&amp;"|"&amp;$D151&amp;"|"&amp;AC$14&amp;"|"&amp;"CY2023Q3",Spectrum!$R:$R,0)),0),""))</f>
        <v>1559</v>
      </c>
      <c r="AD151" s="14" t="str">
        <f>IF(LEFT($B151,4)="_Mil","",_xlfn.IFNA(ROUND(INDEX(Spectrum!$N:$N,MATCH(RIGHT($B151,13)&amp;"|"&amp;$C151&amp;"|"&amp;$D151&amp;"|"&amp;AD$14&amp;"|"&amp;"CY2023Q3",Spectrum!$R:$R,0)),0),""))</f>
        <v/>
      </c>
      <c r="AE151" s="90">
        <f t="shared" si="56"/>
        <v>0</v>
      </c>
      <c r="AF151" s="42" t="str">
        <f>IF(LEFT($B151,4)="_Mil","",_xlfn.IFNA(ROUND(INDEX(Spectrum!$N:$N,MATCH(RIGHT($B151,13)&amp;"|"&amp;$C151&amp;"|"&amp;$D151&amp;"|"&amp;AF$14&amp;"|"&amp;"CY2023Q3",Spectrum!$R:$R,0)),0),""))</f>
        <v/>
      </c>
      <c r="AG151" s="90" t="str">
        <f t="shared" si="57"/>
        <v/>
      </c>
      <c r="AH151" s="88" t="str">
        <f>IF(LEFT($B151,4)="_Mil","",_xlfn.IFNA(INDEX(Spectrum!$N:$N,MATCH(RIGHT($B151,13)&amp;"|"&amp;$C151&amp;"|"&amp;$D151&amp;"|"&amp;AH$14&amp;"|"&amp;"CY2023Q3",Spectrum!$R:$R,0)),""))</f>
        <v/>
      </c>
      <c r="AI151" s="14" t="str">
        <f>IF(LEFT($B151,4)="_Mil","",_xlfn.IFNA(ROUND(INDEX(Spectrum!$N:$N,MATCH(RIGHT($B151,13)&amp;"|"&amp;$C151&amp;"|"&amp;$D151&amp;"|"&amp;AI$14&amp;"|"&amp;"CY2023Q3",Spectrum!$R:$R,0)),0),""))</f>
        <v/>
      </c>
      <c r="AJ151" s="42">
        <f>IF(LEFT($B151,4)="_Mil","",_xlfn.IFNA(ROUND(INDEX(Spectrum!$N:$N,MATCH(RIGHT($B151,13)&amp;"|"&amp;$C151&amp;"|"&amp;$D151&amp;"|"&amp;AI$14&amp;"|"&amp;"CY2023Q3",Spectrum!$R:$R,0)),0),SUM($U151)+SUM($AI151)))</f>
        <v>0</v>
      </c>
      <c r="AK151" s="14" t="str">
        <f>IF(LEFT($B151,4)="_Mil","",_xlfn.IFNA(ROUND(INDEX(Spectrum!$N:$N,MATCH(RIGHT($B151,13)&amp;"|"&amp;$C151&amp;"|"&amp;$D151&amp;"|"&amp;AK$14&amp;"|"&amp;"CY2023Q3",Spectrum!$R:$R,0)),0),""))</f>
        <v/>
      </c>
      <c r="AL151" s="90">
        <f t="shared" si="58"/>
        <v>1206</v>
      </c>
      <c r="AM151" s="14">
        <f t="shared" si="59"/>
        <v>0</v>
      </c>
      <c r="AN151" s="14" t="str">
        <f>IF($C151="&lt;01",ROUND(INDEX(EID!$P:$P,MATCH($B151,EID!$B:$B,0))/2,0),"")</f>
        <v/>
      </c>
      <c r="AO151" s="14">
        <f t="shared" si="60"/>
        <v>0</v>
      </c>
      <c r="AP151" s="42">
        <f t="shared" si="61"/>
        <v>0</v>
      </c>
      <c r="AQ151" s="42">
        <f t="shared" si="62"/>
        <v>1881</v>
      </c>
      <c r="AR151" s="90" t="str">
        <f t="shared" si="63"/>
        <v/>
      </c>
      <c r="AS151" s="90">
        <f t="shared" si="50"/>
        <v>0.98</v>
      </c>
      <c r="AT151" s="90">
        <f t="shared" si="50"/>
        <v>0.98</v>
      </c>
      <c r="AU151" s="14">
        <f t="shared" si="64"/>
        <v>0</v>
      </c>
      <c r="AV151" s="14">
        <f>IF($C151="&lt;01",ROUND(INDEX(EID!$N:$N,MATCH($B151,EID!$B:$B,0))/2,0),IF(SUM($AT151)=0,"",ROUND((SUM($AP151)-(SUM($O151)*SUM($AS151)))/$AT151,0)))</f>
        <v>0</v>
      </c>
      <c r="AW151" s="90">
        <f t="shared" si="65"/>
        <v>1</v>
      </c>
      <c r="AX151" s="42">
        <f t="shared" si="66"/>
        <v>0</v>
      </c>
      <c r="AY151" s="116">
        <f t="shared" si="67"/>
        <v>0.7</v>
      </c>
      <c r="AZ151" s="93">
        <f>IF($C151="&lt;01",ROUND(INDEX(EID!$R:$R,MATCH($B151,EID!$B:$B,0))/2,0),ROUND(SUM($O151)+(SUM($AV151)*$AY151),0))</f>
        <v>0</v>
      </c>
      <c r="BA151" s="89">
        <f t="shared" si="68"/>
        <v>0.95</v>
      </c>
      <c r="BB151" s="9">
        <f>IF($C151="&lt;01",ROUND(INDEX(EID!$T:$T,MATCH($B151,EID!$B:$B,0))/2,0),ROUND($AZ151*$BA151,0))</f>
        <v>0</v>
      </c>
      <c r="BC151" s="93">
        <f t="shared" si="69"/>
        <v>0</v>
      </c>
      <c r="BD151" s="90">
        <f t="shared" si="70"/>
        <v>0.95</v>
      </c>
      <c r="BE151" s="42">
        <f>IF($C151="&lt;01",ROUND(INDEX(EID!$V:$V,MATCH($B151,EID!$B:$B,0))/2,0),ROUND($BD151*$BB151,0))</f>
        <v>0</v>
      </c>
      <c r="BF151" s="42">
        <f t="shared" si="71"/>
        <v>0</v>
      </c>
      <c r="BG151" s="116">
        <f t="shared" si="72"/>
        <v>0.95</v>
      </c>
      <c r="BH151" s="9">
        <f>IF($C151="&lt;01",ROUND(INDEX(EID!$L:$L,MATCH($B151,EID!$B:$B,0)),0)/2,IF(SUM($BG151)=0,"",ROUND($AX151/$BG151,0)))</f>
        <v>0</v>
      </c>
    </row>
    <row r="152" spans="1:60" x14ac:dyDescent="0.2">
      <c r="A152" t="str">
        <f>INDEX(Prioritization!$D:$D,MATCH($B152,Prioritization!$A:$A,0))</f>
        <v>INVALID</v>
      </c>
      <c r="B152" t="s">
        <v>202</v>
      </c>
      <c r="C152" t="s">
        <v>366</v>
      </c>
      <c r="D152" t="s">
        <v>47</v>
      </c>
      <c r="E152" t="str">
        <f t="shared" si="51"/>
        <v>Salima District [msW2zpIN7up]|35-49|Male</v>
      </c>
      <c r="F152" s="14"/>
      <c r="G152" s="14"/>
      <c r="H152" s="14"/>
      <c r="I152" s="14"/>
      <c r="J152" s="14"/>
      <c r="K152" s="14"/>
      <c r="L152" s="14"/>
      <c r="M152" s="14"/>
      <c r="N152" s="14"/>
      <c r="O152" s="14" t="str">
        <f t="shared" si="52"/>
        <v/>
      </c>
      <c r="P152" s="14"/>
      <c r="Q152" s="14"/>
      <c r="R152" s="14" t="str">
        <f t="shared" si="53"/>
        <v/>
      </c>
      <c r="S152" s="14">
        <f>IF(LEFT($B152,4)="_Mil","",_xlfn.IFNA(ROUND(INDEX(Spectrum!$N:$N,MATCH(RIGHT($B152,13)&amp;"|"&amp;$C152&amp;"|"&amp;$D152&amp;"|"&amp;S$14&amp;"|"&amp;"CY2022Q4",Spectrum!$R:$R,0)),0),""))</f>
        <v>868</v>
      </c>
      <c r="T152" s="42">
        <f>IF(LEFT($B152,4)="_Mil","",_xlfn.IFNA(ROUND(INDEX(Spectrum!$N:$N,MATCH(RIGHT($B152,13)&amp;"|"&amp;$C152&amp;"|"&amp;$D152&amp;"|"&amp;T$14&amp;"|"&amp;"CY2023Q3",Spectrum!$R:$R,0)),0),""))</f>
        <v>1091</v>
      </c>
      <c r="U152" s="42" t="str">
        <f>IF(LEFT($B152,4)="_Mil","",_xlfn.IFNA(ROUND(INDEX(Spectrum!$N:$N,MATCH(RIGHT($B152,13)&amp;"|"&amp;$C152&amp;"|"&amp;$D152&amp;"|"&amp;U$14&amp;"|"&amp;"CY2023Q3",Spectrum!$R:$R,0)),0),""))</f>
        <v/>
      </c>
      <c r="V152" s="14">
        <f>IF(LEFT($B152,4)="_Mil","",_xlfn.IFNA(ROUND(INDEX(Spectrum!$N:$N,MATCH(RIGHT($B152,13)&amp;"|"&amp;$C152&amp;"|"&amp;$D152&amp;"|"&amp;V$14&amp;"|"&amp;"CY2023Q3",Spectrum!$R:$R,0)),0),""))</f>
        <v>1630</v>
      </c>
      <c r="W152" s="115">
        <f>IF(LEFT($B152,4)="_Mil","",_xlfn.IFNA(INDEX(Spectrum!$N:$N,MATCH(RIGHT($B152,13)&amp;"|"&amp;$C152&amp;"|"&amp;$D152&amp;"|"&amp;W$14&amp;"|"&amp;"CY2023Q3",Spectrum!$R:$R,0)),""))</f>
        <v>1594</v>
      </c>
      <c r="X152" s="42">
        <f>IF(LEFT($B152,4)="_Mil","",_xlfn.IFNA(ROUND(INDEX(Spectrum!$N:$N,MATCH(RIGHT($B152,13)&amp;"|"&amp;$C152&amp;"|"&amp;$D152&amp;"|"&amp;X$14&amp;"|"&amp;"CY2023Q3",Spectrum!$R:$R,0)),0),""))</f>
        <v>670</v>
      </c>
      <c r="Y152" s="90" t="str">
        <f t="shared" si="54"/>
        <v/>
      </c>
      <c r="Z152" s="42">
        <f>IF(LEFT($B152,4)="_Mil","",_xlfn.IFNA(ROUND(INDEX(Spectrum!$N:$N,MATCH(RIGHT($B152,13)&amp;"|"&amp;$C152&amp;"|"&amp;$D152&amp;"|"&amp;Z$14&amp;"|"&amp;"CY2023Q3",Spectrum!$R:$R,0)),0),""))</f>
        <v>1942</v>
      </c>
      <c r="AA152" s="90">
        <f>IF(LEFT($B152,4)="_Mil","",IFERROR(1/(1/INDEX(Spectrum!$N:$N,MATCH(RIGHT($B152,13)&amp;"|"&amp;$C152&amp;"|"&amp;$D152&amp;"|"&amp;AA$14&amp;"|"&amp;"CY2023Q3",Spectrum!$R:$R,0))),IF(SUM($U152)=0,"",SUM($Z152)/$U152)))</f>
        <v>1338</v>
      </c>
      <c r="AB152" s="90">
        <f t="shared" si="55"/>
        <v>2.8985074626865672</v>
      </c>
      <c r="AC152" s="14">
        <f>IF(LEFT($B152,4)="_Mil","",_xlfn.IFNA(ROUND(INDEX(Spectrum!$N:$N,MATCH(RIGHT($B152,13)&amp;"|"&amp;$C152&amp;"|"&amp;$D152&amp;"|"&amp;AC$14&amp;"|"&amp;"CY2023Q3",Spectrum!$R:$R,0)),0),""))</f>
        <v>1889</v>
      </c>
      <c r="AD152" s="14" t="str">
        <f>IF(LEFT($B152,4)="_Mil","",_xlfn.IFNA(ROUND(INDEX(Spectrum!$N:$N,MATCH(RIGHT($B152,13)&amp;"|"&amp;$C152&amp;"|"&amp;$D152&amp;"|"&amp;AD$14&amp;"|"&amp;"CY2023Q3",Spectrum!$R:$R,0)),0),""))</f>
        <v/>
      </c>
      <c r="AE152" s="90">
        <f t="shared" si="56"/>
        <v>0</v>
      </c>
      <c r="AF152" s="42" t="str">
        <f>IF(LEFT($B152,4)="_Mil","",_xlfn.IFNA(ROUND(INDEX(Spectrum!$N:$N,MATCH(RIGHT($B152,13)&amp;"|"&amp;$C152&amp;"|"&amp;$D152&amp;"|"&amp;AF$14&amp;"|"&amp;"CY2023Q3",Spectrum!$R:$R,0)),0),""))</f>
        <v/>
      </c>
      <c r="AG152" s="90" t="str">
        <f t="shared" si="57"/>
        <v/>
      </c>
      <c r="AH152" s="88" t="str">
        <f>IF(LEFT($B152,4)="_Mil","",_xlfn.IFNA(INDEX(Spectrum!$N:$N,MATCH(RIGHT($B152,13)&amp;"|"&amp;$C152&amp;"|"&amp;$D152&amp;"|"&amp;AH$14&amp;"|"&amp;"CY2023Q3",Spectrum!$R:$R,0)),""))</f>
        <v/>
      </c>
      <c r="AI152" s="14" t="str">
        <f>IF(LEFT($B152,4)="_Mil","",_xlfn.IFNA(ROUND(INDEX(Spectrum!$N:$N,MATCH(RIGHT($B152,13)&amp;"|"&amp;$C152&amp;"|"&amp;$D152&amp;"|"&amp;AI$14&amp;"|"&amp;"CY2023Q3",Spectrum!$R:$R,0)),0),""))</f>
        <v/>
      </c>
      <c r="AJ152" s="42">
        <f>IF(LEFT($B152,4)="_Mil","",_xlfn.IFNA(ROUND(INDEX(Spectrum!$N:$N,MATCH(RIGHT($B152,13)&amp;"|"&amp;$C152&amp;"|"&amp;$D152&amp;"|"&amp;AI$14&amp;"|"&amp;"CY2023Q3",Spectrum!$R:$R,0)),0),SUM($U152)+SUM($AI152)))</f>
        <v>0</v>
      </c>
      <c r="AK152" s="14" t="str">
        <f>IF(LEFT($B152,4)="_Mil","",_xlfn.IFNA(ROUND(INDEX(Spectrum!$N:$N,MATCH(RIGHT($B152,13)&amp;"|"&amp;$C152&amp;"|"&amp;$D152&amp;"|"&amp;AK$14&amp;"|"&amp;"CY2023Q3",Spectrum!$R:$R,0)),0),""))</f>
        <v/>
      </c>
      <c r="AL152" s="90">
        <f t="shared" si="58"/>
        <v>1338</v>
      </c>
      <c r="AM152" s="14">
        <f t="shared" si="59"/>
        <v>0</v>
      </c>
      <c r="AN152" s="14" t="str">
        <f>IF($C152="&lt;01",ROUND(INDEX(EID!$P:$P,MATCH($B152,EID!$B:$B,0))/2,0),"")</f>
        <v/>
      </c>
      <c r="AO152" s="14">
        <f t="shared" si="60"/>
        <v>0</v>
      </c>
      <c r="AP152" s="42">
        <f t="shared" si="61"/>
        <v>0</v>
      </c>
      <c r="AQ152" s="42">
        <f t="shared" si="62"/>
        <v>1942</v>
      </c>
      <c r="AR152" s="90" t="str">
        <f t="shared" si="63"/>
        <v/>
      </c>
      <c r="AS152" s="90">
        <f t="shared" si="50"/>
        <v>0.98</v>
      </c>
      <c r="AT152" s="90">
        <f t="shared" si="50"/>
        <v>0.98</v>
      </c>
      <c r="AU152" s="14">
        <f t="shared" si="64"/>
        <v>0</v>
      </c>
      <c r="AV152" s="14">
        <f>IF($C152="&lt;01",ROUND(INDEX(EID!$N:$N,MATCH($B152,EID!$B:$B,0))/2,0),IF(SUM($AT152)=0,"",ROUND((SUM($AP152)-(SUM($O152)*SUM($AS152)))/$AT152,0)))</f>
        <v>0</v>
      </c>
      <c r="AW152" s="90">
        <f t="shared" si="65"/>
        <v>1</v>
      </c>
      <c r="AX152" s="42">
        <f t="shared" si="66"/>
        <v>0</v>
      </c>
      <c r="AY152" s="116">
        <f t="shared" si="67"/>
        <v>0.7</v>
      </c>
      <c r="AZ152" s="93">
        <f>IF($C152="&lt;01",ROUND(INDEX(EID!$R:$R,MATCH($B152,EID!$B:$B,0))/2,0),ROUND(SUM($O152)+(SUM($AV152)*$AY152),0))</f>
        <v>0</v>
      </c>
      <c r="BA152" s="89">
        <f t="shared" si="68"/>
        <v>0.95</v>
      </c>
      <c r="BB152" s="9">
        <f>IF($C152="&lt;01",ROUND(INDEX(EID!$T:$T,MATCH($B152,EID!$B:$B,0))/2,0),ROUND($AZ152*$BA152,0))</f>
        <v>0</v>
      </c>
      <c r="BC152" s="93">
        <f t="shared" si="69"/>
        <v>0</v>
      </c>
      <c r="BD152" s="90">
        <f t="shared" si="70"/>
        <v>0.95</v>
      </c>
      <c r="BE152" s="42">
        <f>IF($C152="&lt;01",ROUND(INDEX(EID!$V:$V,MATCH($B152,EID!$B:$B,0))/2,0),ROUND($BD152*$BB152,0))</f>
        <v>0</v>
      </c>
      <c r="BF152" s="42">
        <f t="shared" si="71"/>
        <v>0</v>
      </c>
      <c r="BG152" s="116">
        <f t="shared" si="72"/>
        <v>0.95</v>
      </c>
      <c r="BH152" s="9">
        <f>IF($C152="&lt;01",ROUND(INDEX(EID!$L:$L,MATCH($B152,EID!$B:$B,0)),0)/2,IF(SUM($BG152)=0,"",ROUND($AX152/$BG152,0)))</f>
        <v>0</v>
      </c>
    </row>
    <row r="153" spans="1:60" x14ac:dyDescent="0.2">
      <c r="A153" t="str">
        <f>INDEX(Prioritization!$D:$D,MATCH($B153,Prioritization!$A:$A,0))</f>
        <v>INVALID</v>
      </c>
      <c r="B153" t="s">
        <v>202</v>
      </c>
      <c r="C153" t="s">
        <v>367</v>
      </c>
      <c r="D153" t="s">
        <v>29</v>
      </c>
      <c r="E153" t="str">
        <f t="shared" si="51"/>
        <v>Salima District [msW2zpIN7up]|50+|Female</v>
      </c>
      <c r="F153" s="14"/>
      <c r="G153" s="14"/>
      <c r="H153" s="14"/>
      <c r="I153" s="14"/>
      <c r="J153" s="14"/>
      <c r="K153" s="14"/>
      <c r="L153" s="14"/>
      <c r="M153" s="14"/>
      <c r="N153" s="14"/>
      <c r="O153" s="14" t="str">
        <f t="shared" si="52"/>
        <v/>
      </c>
      <c r="P153" s="14"/>
      <c r="Q153" s="14"/>
      <c r="R153" s="14" t="str">
        <f t="shared" si="53"/>
        <v/>
      </c>
      <c r="S153" s="14">
        <f>IF(LEFT($B153,4)="_Mil","",_xlfn.IFNA(ROUND(INDEX(Spectrum!$N:$N,MATCH(RIGHT($B153,13)&amp;"|"&amp;$C153&amp;"|"&amp;$D153&amp;"|"&amp;S$14&amp;"|"&amp;"CY2022Q4",Spectrum!$R:$R,0)),0),""))</f>
        <v>1218</v>
      </c>
      <c r="T153" s="42">
        <f>IF(LEFT($B153,4)="_Mil","",_xlfn.IFNA(ROUND(INDEX(Spectrum!$N:$N,MATCH(RIGHT($B153,13)&amp;"|"&amp;$C153&amp;"|"&amp;$D153&amp;"|"&amp;T$14&amp;"|"&amp;"CY2023Q3",Spectrum!$R:$R,0)),0),""))</f>
        <v>1473</v>
      </c>
      <c r="U153" s="42" t="str">
        <f>IF(LEFT($B153,4)="_Mil","",_xlfn.IFNA(ROUND(INDEX(Spectrum!$N:$N,MATCH(RIGHT($B153,13)&amp;"|"&amp;$C153&amp;"|"&amp;$D153&amp;"|"&amp;U$14&amp;"|"&amp;"CY2023Q3",Spectrum!$R:$R,0)),0),""))</f>
        <v/>
      </c>
      <c r="V153" s="14">
        <f>IF(LEFT($B153,4)="_Mil","",_xlfn.IFNA(ROUND(INDEX(Spectrum!$N:$N,MATCH(RIGHT($B153,13)&amp;"|"&amp;$C153&amp;"|"&amp;$D153&amp;"|"&amp;V$14&amp;"|"&amp;"CY2023Q3",Spectrum!$R:$R,0)),0),""))</f>
        <v>1696</v>
      </c>
      <c r="W153" s="115">
        <f>IF(LEFT($B153,4)="_Mil","",_xlfn.IFNA(INDEX(Spectrum!$N:$N,MATCH(RIGHT($B153,13)&amp;"|"&amp;$C153&amp;"|"&amp;$D153&amp;"|"&amp;W$14&amp;"|"&amp;"CY2023Q3",Spectrum!$R:$R,0)),""))</f>
        <v>838</v>
      </c>
      <c r="X153" s="42">
        <f>IF(LEFT($B153,4)="_Mil","",_xlfn.IFNA(ROUND(INDEX(Spectrum!$N:$N,MATCH(RIGHT($B153,13)&amp;"|"&amp;$C153&amp;"|"&amp;$D153&amp;"|"&amp;X$14&amp;"|"&amp;"CY2023Q3",Spectrum!$R:$R,0)),0),""))</f>
        <v>1561</v>
      </c>
      <c r="Y153" s="90" t="str">
        <f t="shared" si="54"/>
        <v/>
      </c>
      <c r="Z153" s="42">
        <f>IF(LEFT($B153,4)="_Mil","",_xlfn.IFNA(ROUND(INDEX(Spectrum!$N:$N,MATCH(RIGHT($B153,13)&amp;"|"&amp;$C153&amp;"|"&amp;$D153&amp;"|"&amp;Z$14&amp;"|"&amp;"CY2023Q3",Spectrum!$R:$R,0)),0),""))</f>
        <v>1509</v>
      </c>
      <c r="AA153" s="90">
        <f>IF(LEFT($B153,4)="_Mil","",IFERROR(1/(1/INDEX(Spectrum!$N:$N,MATCH(RIGHT($B153,13)&amp;"|"&amp;$C153&amp;"|"&amp;$D153&amp;"|"&amp;AA$14&amp;"|"&amp;"CY2023Q3",Spectrum!$R:$R,0))),IF(SUM($U153)=0,"",SUM($Z153)/$U153)))</f>
        <v>1990.9999999999998</v>
      </c>
      <c r="AB153" s="90">
        <f t="shared" si="55"/>
        <v>0.96668802049967972</v>
      </c>
      <c r="AC153" s="14">
        <f>IF(LEFT($B153,4)="_Mil","",_xlfn.IFNA(ROUND(INDEX(Spectrum!$N:$N,MATCH(RIGHT($B153,13)&amp;"|"&amp;$C153&amp;"|"&amp;$D153&amp;"|"&amp;AC$14&amp;"|"&amp;"CY2023Q3",Spectrum!$R:$R,0)),0),""))</f>
        <v>533</v>
      </c>
      <c r="AD153" s="14" t="str">
        <f>IF(LEFT($B153,4)="_Mil","",_xlfn.IFNA(ROUND(INDEX(Spectrum!$N:$N,MATCH(RIGHT($B153,13)&amp;"|"&amp;$C153&amp;"|"&amp;$D153&amp;"|"&amp;AD$14&amp;"|"&amp;"CY2023Q3",Spectrum!$R:$R,0)),0),""))</f>
        <v/>
      </c>
      <c r="AE153" s="90">
        <f t="shared" si="56"/>
        <v>0</v>
      </c>
      <c r="AF153" s="42" t="str">
        <f>IF(LEFT($B153,4)="_Mil","",_xlfn.IFNA(ROUND(INDEX(Spectrum!$N:$N,MATCH(RIGHT($B153,13)&amp;"|"&amp;$C153&amp;"|"&amp;$D153&amp;"|"&amp;AF$14&amp;"|"&amp;"CY2023Q3",Spectrum!$R:$R,0)),0),""))</f>
        <v/>
      </c>
      <c r="AG153" s="90" t="str">
        <f t="shared" si="57"/>
        <v/>
      </c>
      <c r="AH153" s="88" t="str">
        <f>IF(LEFT($B153,4)="_Mil","",_xlfn.IFNA(INDEX(Spectrum!$N:$N,MATCH(RIGHT($B153,13)&amp;"|"&amp;$C153&amp;"|"&amp;$D153&amp;"|"&amp;AH$14&amp;"|"&amp;"CY2023Q3",Spectrum!$R:$R,0)),""))</f>
        <v/>
      </c>
      <c r="AI153" s="14" t="str">
        <f>IF(LEFT($B153,4)="_Mil","",_xlfn.IFNA(ROUND(INDEX(Spectrum!$N:$N,MATCH(RIGHT($B153,13)&amp;"|"&amp;$C153&amp;"|"&amp;$D153&amp;"|"&amp;AI$14&amp;"|"&amp;"CY2023Q3",Spectrum!$R:$R,0)),0),""))</f>
        <v/>
      </c>
      <c r="AJ153" s="42">
        <f>IF(LEFT($B153,4)="_Mil","",_xlfn.IFNA(ROUND(INDEX(Spectrum!$N:$N,MATCH(RIGHT($B153,13)&amp;"|"&amp;$C153&amp;"|"&amp;$D153&amp;"|"&amp;AI$14&amp;"|"&amp;"CY2023Q3",Spectrum!$R:$R,0)),0),SUM($U153)+SUM($AI153)))</f>
        <v>0</v>
      </c>
      <c r="AK153" s="14" t="str">
        <f>IF(LEFT($B153,4)="_Mil","",_xlfn.IFNA(ROUND(INDEX(Spectrum!$N:$N,MATCH(RIGHT($B153,13)&amp;"|"&amp;$C153&amp;"|"&amp;$D153&amp;"|"&amp;AK$14&amp;"|"&amp;"CY2023Q3",Spectrum!$R:$R,0)),0),""))</f>
        <v/>
      </c>
      <c r="AL153" s="90">
        <f t="shared" si="58"/>
        <v>1990.9999999999998</v>
      </c>
      <c r="AM153" s="14">
        <f t="shared" si="59"/>
        <v>0</v>
      </c>
      <c r="AN153" s="14" t="str">
        <f>IF($C153="&lt;01",ROUND(INDEX(EID!$P:$P,MATCH($B153,EID!$B:$B,0))/2,0),"")</f>
        <v/>
      </c>
      <c r="AO153" s="14">
        <f t="shared" si="60"/>
        <v>0</v>
      </c>
      <c r="AP153" s="42">
        <f t="shared" si="61"/>
        <v>0</v>
      </c>
      <c r="AQ153" s="42">
        <f t="shared" si="62"/>
        <v>1509</v>
      </c>
      <c r="AR153" s="90" t="str">
        <f t="shared" si="63"/>
        <v/>
      </c>
      <c r="AS153" s="90">
        <f t="shared" si="50"/>
        <v>0.98</v>
      </c>
      <c r="AT153" s="90">
        <f t="shared" si="50"/>
        <v>0.98</v>
      </c>
      <c r="AU153" s="14">
        <f t="shared" si="64"/>
        <v>0</v>
      </c>
      <c r="AV153" s="14">
        <f>IF($C153="&lt;01",ROUND(INDEX(EID!$N:$N,MATCH($B153,EID!$B:$B,0))/2,0),IF(SUM($AT153)=0,"",ROUND((SUM($AP153)-(SUM($O153)*SUM($AS153)))/$AT153,0)))</f>
        <v>0</v>
      </c>
      <c r="AW153" s="90">
        <f t="shared" si="65"/>
        <v>1</v>
      </c>
      <c r="AX153" s="42">
        <f t="shared" si="66"/>
        <v>0</v>
      </c>
      <c r="AY153" s="116">
        <f t="shared" si="67"/>
        <v>0.7</v>
      </c>
      <c r="AZ153" s="93">
        <f>IF($C153="&lt;01",ROUND(INDEX(EID!$R:$R,MATCH($B153,EID!$B:$B,0))/2,0),ROUND(SUM($O153)+(SUM($AV153)*$AY153),0))</f>
        <v>0</v>
      </c>
      <c r="BA153" s="89">
        <f t="shared" si="68"/>
        <v>0.95</v>
      </c>
      <c r="BB153" s="9">
        <f>IF($C153="&lt;01",ROUND(INDEX(EID!$T:$T,MATCH($B153,EID!$B:$B,0))/2,0),ROUND($AZ153*$BA153,0))</f>
        <v>0</v>
      </c>
      <c r="BC153" s="93">
        <f t="shared" si="69"/>
        <v>0</v>
      </c>
      <c r="BD153" s="90">
        <f t="shared" si="70"/>
        <v>0.95</v>
      </c>
      <c r="BE153" s="42">
        <f>IF($C153="&lt;01",ROUND(INDEX(EID!$V:$V,MATCH($B153,EID!$B:$B,0))/2,0),ROUND($BD153*$BB153,0))</f>
        <v>0</v>
      </c>
      <c r="BF153" s="42">
        <f t="shared" si="71"/>
        <v>0</v>
      </c>
      <c r="BG153" s="116">
        <f t="shared" si="72"/>
        <v>0.95</v>
      </c>
      <c r="BH153" s="9">
        <f>IF($C153="&lt;01",ROUND(INDEX(EID!$L:$L,MATCH($B153,EID!$B:$B,0)),0)/2,IF(SUM($BG153)=0,"",ROUND($AX153/$BG153,0)))</f>
        <v>0</v>
      </c>
    </row>
    <row r="154" spans="1:60" x14ac:dyDescent="0.2">
      <c r="A154" t="str">
        <f>INDEX(Prioritization!$D:$D,MATCH($B154,Prioritization!$A:$A,0))</f>
        <v>INVALID</v>
      </c>
      <c r="B154" t="s">
        <v>202</v>
      </c>
      <c r="C154" t="s">
        <v>367</v>
      </c>
      <c r="D154" t="s">
        <v>47</v>
      </c>
      <c r="E154" t="str">
        <f t="shared" si="51"/>
        <v>Salima District [msW2zpIN7up]|50+|Male</v>
      </c>
      <c r="F154" s="14"/>
      <c r="G154" s="14"/>
      <c r="H154" s="14"/>
      <c r="I154" s="14"/>
      <c r="J154" s="14"/>
      <c r="K154" s="14"/>
      <c r="L154" s="14"/>
      <c r="M154" s="14"/>
      <c r="N154" s="14"/>
      <c r="O154" s="14" t="str">
        <f t="shared" si="52"/>
        <v/>
      </c>
      <c r="P154" s="14"/>
      <c r="Q154" s="14"/>
      <c r="R154" s="14" t="str">
        <f t="shared" si="53"/>
        <v/>
      </c>
      <c r="S154" s="14">
        <f>IF(LEFT($B154,4)="_Mil","",_xlfn.IFNA(ROUND(INDEX(Spectrum!$N:$N,MATCH(RIGHT($B154,13)&amp;"|"&amp;$C154&amp;"|"&amp;$D154&amp;"|"&amp;S$14&amp;"|"&amp;"CY2022Q4",Spectrum!$R:$R,0)),0),""))</f>
        <v>617</v>
      </c>
      <c r="T154" s="42">
        <f>IF(LEFT($B154,4)="_Mil","",_xlfn.IFNA(ROUND(INDEX(Spectrum!$N:$N,MATCH(RIGHT($B154,13)&amp;"|"&amp;$C154&amp;"|"&amp;$D154&amp;"|"&amp;T$14&amp;"|"&amp;"CY2023Q3",Spectrum!$R:$R,0)),0),""))</f>
        <v>1967</v>
      </c>
      <c r="U154" s="42" t="str">
        <f>IF(LEFT($B154,4)="_Mil","",_xlfn.IFNA(ROUND(INDEX(Spectrum!$N:$N,MATCH(RIGHT($B154,13)&amp;"|"&amp;$C154&amp;"|"&amp;$D154&amp;"|"&amp;U$14&amp;"|"&amp;"CY2023Q3",Spectrum!$R:$R,0)),0),""))</f>
        <v/>
      </c>
      <c r="V154" s="14">
        <f>IF(LEFT($B154,4)="_Mil","",_xlfn.IFNA(ROUND(INDEX(Spectrum!$N:$N,MATCH(RIGHT($B154,13)&amp;"|"&amp;$C154&amp;"|"&amp;$D154&amp;"|"&amp;V$14&amp;"|"&amp;"CY2023Q3",Spectrum!$R:$R,0)),0),""))</f>
        <v>1479</v>
      </c>
      <c r="W154" s="115">
        <f>IF(LEFT($B154,4)="_Mil","",_xlfn.IFNA(INDEX(Spectrum!$N:$N,MATCH(RIGHT($B154,13)&amp;"|"&amp;$C154&amp;"|"&amp;$D154&amp;"|"&amp;W$14&amp;"|"&amp;"CY2023Q3",Spectrum!$R:$R,0)),""))</f>
        <v>1609</v>
      </c>
      <c r="X154" s="42">
        <f>IF(LEFT($B154,4)="_Mil","",_xlfn.IFNA(ROUND(INDEX(Spectrum!$N:$N,MATCH(RIGHT($B154,13)&amp;"|"&amp;$C154&amp;"|"&amp;$D154&amp;"|"&amp;X$14&amp;"|"&amp;"CY2023Q3",Spectrum!$R:$R,0)),0),""))</f>
        <v>1073</v>
      </c>
      <c r="Y154" s="90" t="str">
        <f t="shared" si="54"/>
        <v/>
      </c>
      <c r="Z154" s="42">
        <f>IF(LEFT($B154,4)="_Mil","",_xlfn.IFNA(ROUND(INDEX(Spectrum!$N:$N,MATCH(RIGHT($B154,13)&amp;"|"&amp;$C154&amp;"|"&amp;$D154&amp;"|"&amp;Z$14&amp;"|"&amp;"CY2023Q3",Spectrum!$R:$R,0)),0),""))</f>
        <v>1636</v>
      </c>
      <c r="AA154" s="90">
        <f>IF(LEFT($B154,4)="_Mil","",IFERROR(1/(1/INDEX(Spectrum!$N:$N,MATCH(RIGHT($B154,13)&amp;"|"&amp;$C154&amp;"|"&amp;$D154&amp;"|"&amp;AA$14&amp;"|"&amp;"CY2023Q3",Spectrum!$R:$R,0))),IF(SUM($U154)=0,"",SUM($Z154)/$U154)))</f>
        <v>716</v>
      </c>
      <c r="AB154" s="90">
        <f t="shared" si="55"/>
        <v>1.5246971109040075</v>
      </c>
      <c r="AC154" s="14">
        <f>IF(LEFT($B154,4)="_Mil","",_xlfn.IFNA(ROUND(INDEX(Spectrum!$N:$N,MATCH(RIGHT($B154,13)&amp;"|"&amp;$C154&amp;"|"&amp;$D154&amp;"|"&amp;AC$14&amp;"|"&amp;"CY2023Q3",Spectrum!$R:$R,0)),0),""))</f>
        <v>657</v>
      </c>
      <c r="AD154" s="14" t="str">
        <f>IF(LEFT($B154,4)="_Mil","",_xlfn.IFNA(ROUND(INDEX(Spectrum!$N:$N,MATCH(RIGHT($B154,13)&amp;"|"&amp;$C154&amp;"|"&amp;$D154&amp;"|"&amp;AD$14&amp;"|"&amp;"CY2023Q3",Spectrum!$R:$R,0)),0),""))</f>
        <v/>
      </c>
      <c r="AE154" s="90">
        <f t="shared" si="56"/>
        <v>0</v>
      </c>
      <c r="AF154" s="42" t="str">
        <f>IF(LEFT($B154,4)="_Mil","",_xlfn.IFNA(ROUND(INDEX(Spectrum!$N:$N,MATCH(RIGHT($B154,13)&amp;"|"&amp;$C154&amp;"|"&amp;$D154&amp;"|"&amp;AF$14&amp;"|"&amp;"CY2023Q3",Spectrum!$R:$R,0)),0),""))</f>
        <v/>
      </c>
      <c r="AG154" s="90" t="str">
        <f t="shared" si="57"/>
        <v/>
      </c>
      <c r="AH154" s="88" t="str">
        <f>IF(LEFT($B154,4)="_Mil","",_xlfn.IFNA(INDEX(Spectrum!$N:$N,MATCH(RIGHT($B154,13)&amp;"|"&amp;$C154&amp;"|"&amp;$D154&amp;"|"&amp;AH$14&amp;"|"&amp;"CY2023Q3",Spectrum!$R:$R,0)),""))</f>
        <v/>
      </c>
      <c r="AI154" s="14" t="str">
        <f>IF(LEFT($B154,4)="_Mil","",_xlfn.IFNA(ROUND(INDEX(Spectrum!$N:$N,MATCH(RIGHT($B154,13)&amp;"|"&amp;$C154&amp;"|"&amp;$D154&amp;"|"&amp;AI$14&amp;"|"&amp;"CY2023Q3",Spectrum!$R:$R,0)),0),""))</f>
        <v/>
      </c>
      <c r="AJ154" s="42">
        <f>IF(LEFT($B154,4)="_Mil","",_xlfn.IFNA(ROUND(INDEX(Spectrum!$N:$N,MATCH(RIGHT($B154,13)&amp;"|"&amp;$C154&amp;"|"&amp;$D154&amp;"|"&amp;AI$14&amp;"|"&amp;"CY2023Q3",Spectrum!$R:$R,0)),0),SUM($U154)+SUM($AI154)))</f>
        <v>0</v>
      </c>
      <c r="AK154" s="14" t="str">
        <f>IF(LEFT($B154,4)="_Mil","",_xlfn.IFNA(ROUND(INDEX(Spectrum!$N:$N,MATCH(RIGHT($B154,13)&amp;"|"&amp;$C154&amp;"|"&amp;$D154&amp;"|"&amp;AK$14&amp;"|"&amp;"CY2023Q3",Spectrum!$R:$R,0)),0),""))</f>
        <v/>
      </c>
      <c r="AL154" s="90">
        <f t="shared" si="58"/>
        <v>716</v>
      </c>
      <c r="AM154" s="14">
        <f t="shared" si="59"/>
        <v>0</v>
      </c>
      <c r="AN154" s="14" t="str">
        <f>IF($C154="&lt;01",ROUND(INDEX(EID!$P:$P,MATCH($B154,EID!$B:$B,0))/2,0),"")</f>
        <v/>
      </c>
      <c r="AO154" s="14">
        <f t="shared" si="60"/>
        <v>0</v>
      </c>
      <c r="AP154" s="42">
        <f t="shared" si="61"/>
        <v>0</v>
      </c>
      <c r="AQ154" s="42">
        <f t="shared" si="62"/>
        <v>1636</v>
      </c>
      <c r="AR154" s="90" t="str">
        <f t="shared" si="63"/>
        <v/>
      </c>
      <c r="AS154" s="90">
        <f t="shared" si="50"/>
        <v>0.98</v>
      </c>
      <c r="AT154" s="90">
        <f t="shared" si="50"/>
        <v>0.98</v>
      </c>
      <c r="AU154" s="14">
        <f t="shared" si="64"/>
        <v>0</v>
      </c>
      <c r="AV154" s="14">
        <f>IF($C154="&lt;01",ROUND(INDEX(EID!$N:$N,MATCH($B154,EID!$B:$B,0))/2,0),IF(SUM($AT154)=0,"",ROUND((SUM($AP154)-(SUM($O154)*SUM($AS154)))/$AT154,0)))</f>
        <v>0</v>
      </c>
      <c r="AW154" s="90">
        <f t="shared" si="65"/>
        <v>1</v>
      </c>
      <c r="AX154" s="42">
        <f t="shared" si="66"/>
        <v>0</v>
      </c>
      <c r="AY154" s="116">
        <f t="shared" si="67"/>
        <v>0.7</v>
      </c>
      <c r="AZ154" s="93">
        <f>IF($C154="&lt;01",ROUND(INDEX(EID!$R:$R,MATCH($B154,EID!$B:$B,0))/2,0),ROUND(SUM($O154)+(SUM($AV154)*$AY154),0))</f>
        <v>0</v>
      </c>
      <c r="BA154" s="89">
        <f t="shared" si="68"/>
        <v>0.95</v>
      </c>
      <c r="BB154" s="9">
        <f>IF($C154="&lt;01",ROUND(INDEX(EID!$T:$T,MATCH($B154,EID!$B:$B,0))/2,0),ROUND($AZ154*$BA154,0))</f>
        <v>0</v>
      </c>
      <c r="BC154" s="93">
        <f t="shared" si="69"/>
        <v>0</v>
      </c>
      <c r="BD154" s="90">
        <f t="shared" si="70"/>
        <v>0.95</v>
      </c>
      <c r="BE154" s="42">
        <f>IF($C154="&lt;01",ROUND(INDEX(EID!$V:$V,MATCH($B154,EID!$B:$B,0))/2,0),ROUND($BD154*$BB154,0))</f>
        <v>0</v>
      </c>
      <c r="BF154" s="42">
        <f t="shared" si="71"/>
        <v>0</v>
      </c>
      <c r="BG154" s="116">
        <f t="shared" si="72"/>
        <v>0.95</v>
      </c>
      <c r="BH154" s="9">
        <f>IF($C154="&lt;01",ROUND(INDEX(EID!$L:$L,MATCH($B154,EID!$B:$B,0)),0)/2,IF(SUM($BG154)=0,"",ROUND($AX154/$BG154,0)))</f>
        <v>0</v>
      </c>
    </row>
    <row r="155" spans="1:60" x14ac:dyDescent="0.2">
      <c r="A155" t="str">
        <f>INDEX(Prioritization!$D:$D,MATCH($B155,Prioritization!$A:$A,0))</f>
        <v>1 - Scale-up: Saturation</v>
      </c>
      <c r="B155" t="s">
        <v>203</v>
      </c>
      <c r="C155" t="s">
        <v>315</v>
      </c>
      <c r="D155" t="s">
        <v>29</v>
      </c>
      <c r="E155" t="str">
        <f t="shared" si="51"/>
        <v>Chitipa District [GkIwZrXy1h2]|&lt;01|Female</v>
      </c>
      <c r="F155" s="14"/>
      <c r="G155" s="14">
        <v>1</v>
      </c>
      <c r="H155" s="14">
        <v>0</v>
      </c>
      <c r="I155" s="14">
        <v>1</v>
      </c>
      <c r="J155" s="14">
        <v>1</v>
      </c>
      <c r="K155" s="14">
        <v>1</v>
      </c>
      <c r="L155" s="14"/>
      <c r="M155" s="14">
        <v>1</v>
      </c>
      <c r="N155" s="14">
        <v>1</v>
      </c>
      <c r="O155" s="14">
        <f t="shared" si="52"/>
        <v>1</v>
      </c>
      <c r="P155" s="14">
        <v>1</v>
      </c>
      <c r="Q155" s="14">
        <v>0</v>
      </c>
      <c r="R155" s="14">
        <f t="shared" si="53"/>
        <v>0</v>
      </c>
      <c r="S155" s="14">
        <f>IF(LEFT($B155,4)="_Mil","",_xlfn.IFNA(ROUND(INDEX(Spectrum!$N:$N,MATCH(RIGHT($B155,13)&amp;"|"&amp;$C155&amp;"|"&amp;$D155&amp;"|"&amp;S$14&amp;"|"&amp;"CY2022Q4",Spectrum!$R:$R,0)),0),""))</f>
        <v>584</v>
      </c>
      <c r="T155" s="42">
        <f>IF(LEFT($B155,4)="_Mil","",_xlfn.IFNA(ROUND(INDEX(Spectrum!$N:$N,MATCH(RIGHT($B155,13)&amp;"|"&amp;$C155&amp;"|"&amp;$D155&amp;"|"&amp;T$14&amp;"|"&amp;"CY2023Q3",Spectrum!$R:$R,0)),0),""))</f>
        <v>522</v>
      </c>
      <c r="U155" s="42" t="str">
        <f>IF(LEFT($B155,4)="_Mil","",_xlfn.IFNA(ROUND(INDEX(Spectrum!$N:$N,MATCH(RIGHT($B155,13)&amp;"|"&amp;$C155&amp;"|"&amp;$D155&amp;"|"&amp;U$14&amp;"|"&amp;"CY2023Q3",Spectrum!$R:$R,0)),0),""))</f>
        <v/>
      </c>
      <c r="V155" s="14">
        <f>IF(LEFT($B155,4)="_Mil","",_xlfn.IFNA(ROUND(INDEX(Spectrum!$N:$N,MATCH(RIGHT($B155,13)&amp;"|"&amp;$C155&amp;"|"&amp;$D155&amp;"|"&amp;V$14&amp;"|"&amp;"CY2023Q3",Spectrum!$R:$R,0)),0),""))</f>
        <v>562</v>
      </c>
      <c r="W155" s="115">
        <f>IF(LEFT($B155,4)="_Mil","",_xlfn.IFNA(INDEX(Spectrum!$N:$N,MATCH(RIGHT($B155,13)&amp;"|"&amp;$C155&amp;"|"&amp;$D155&amp;"|"&amp;W$14&amp;"|"&amp;"CY2023Q3",Spectrum!$R:$R,0)),""))</f>
        <v>716</v>
      </c>
      <c r="X155" s="42">
        <f>IF(LEFT($B155,4)="_Mil","",_xlfn.IFNA(ROUND(INDEX(Spectrum!$N:$N,MATCH(RIGHT($B155,13)&amp;"|"&amp;$C155&amp;"|"&amp;$D155&amp;"|"&amp;X$14&amp;"|"&amp;"CY2023Q3",Spectrum!$R:$R,0)),0),""))</f>
        <v>1464</v>
      </c>
      <c r="Y155" s="90" t="str">
        <f t="shared" si="54"/>
        <v/>
      </c>
      <c r="Z155" s="42">
        <f>IF(LEFT($B155,4)="_Mil","",_xlfn.IFNA(ROUND(INDEX(Spectrum!$N:$N,MATCH(RIGHT($B155,13)&amp;"|"&amp;$C155&amp;"|"&amp;$D155&amp;"|"&amp;Z$14&amp;"|"&amp;"CY2023Q3",Spectrum!$R:$R,0)),0),""))</f>
        <v>1539</v>
      </c>
      <c r="AA155" s="90">
        <f>IF(LEFT($B155,4)="_Mil","",IFERROR(1/(1/INDEX(Spectrum!$N:$N,MATCH(RIGHT($B155,13)&amp;"|"&amp;$C155&amp;"|"&amp;$D155&amp;"|"&amp;AA$14&amp;"|"&amp;"CY2023Q3",Spectrum!$R:$R,0))),IF(SUM($U155)=0,"",SUM($Z155)/$U155)))</f>
        <v>1533</v>
      </c>
      <c r="AB155" s="90">
        <f t="shared" si="55"/>
        <v>1.0512295081967213</v>
      </c>
      <c r="AC155" s="14">
        <f>IF(LEFT($B155,4)="_Mil","",_xlfn.IFNA(ROUND(INDEX(Spectrum!$N:$N,MATCH(RIGHT($B155,13)&amp;"|"&amp;$C155&amp;"|"&amp;$D155&amp;"|"&amp;AC$14&amp;"|"&amp;"CY2023Q3",Spectrum!$R:$R,0)),0),""))</f>
        <v>856</v>
      </c>
      <c r="AD155" s="14" t="str">
        <f>IF(LEFT($B155,4)="_Mil","",_xlfn.IFNA(ROUND(INDEX(Spectrum!$N:$N,MATCH(RIGHT($B155,13)&amp;"|"&amp;$C155&amp;"|"&amp;$D155&amp;"|"&amp;AD$14&amp;"|"&amp;"CY2023Q3",Spectrum!$R:$R,0)),0),""))</f>
        <v/>
      </c>
      <c r="AE155" s="90">
        <f t="shared" si="56"/>
        <v>0</v>
      </c>
      <c r="AF155" s="42" t="str">
        <f>IF(LEFT($B155,4)="_Mil","",_xlfn.IFNA(ROUND(INDEX(Spectrum!$N:$N,MATCH(RIGHT($B155,13)&amp;"|"&amp;$C155&amp;"|"&amp;$D155&amp;"|"&amp;AF$14&amp;"|"&amp;"CY2023Q3",Spectrum!$R:$R,0)),0),""))</f>
        <v/>
      </c>
      <c r="AG155" s="90" t="str">
        <f t="shared" si="57"/>
        <v/>
      </c>
      <c r="AH155" s="88" t="str">
        <f>IF(LEFT($B155,4)="_Mil","",_xlfn.IFNA(INDEX(Spectrum!$N:$N,MATCH(RIGHT($B155,13)&amp;"|"&amp;$C155&amp;"|"&amp;$D155&amp;"|"&amp;AH$14&amp;"|"&amp;"CY2023Q3",Spectrum!$R:$R,0)),""))</f>
        <v/>
      </c>
      <c r="AI155" s="14" t="str">
        <f>IF(LEFT($B155,4)="_Mil","",_xlfn.IFNA(ROUND(INDEX(Spectrum!$N:$N,MATCH(RIGHT($B155,13)&amp;"|"&amp;$C155&amp;"|"&amp;$D155&amp;"|"&amp;AI$14&amp;"|"&amp;"CY2023Q3",Spectrum!$R:$R,0)),0),""))</f>
        <v/>
      </c>
      <c r="AJ155" s="42">
        <f>IF(LEFT($B155,4)="_Mil","",_xlfn.IFNA(ROUND(INDEX(Spectrum!$N:$N,MATCH(RIGHT($B155,13)&amp;"|"&amp;$C155&amp;"|"&amp;$D155&amp;"|"&amp;AI$14&amp;"|"&amp;"CY2023Q3",Spectrum!$R:$R,0)),0),SUM($U155)+SUM($AI155)))</f>
        <v>0</v>
      </c>
      <c r="AK155" s="14" t="str">
        <f>IF(LEFT($B155,4)="_Mil","",_xlfn.IFNA(ROUND(INDEX(Spectrum!$N:$N,MATCH(RIGHT($B155,13)&amp;"|"&amp;$C155&amp;"|"&amp;$D155&amp;"|"&amp;AK$14&amp;"|"&amp;"CY2023Q3",Spectrum!$R:$R,0)),0),""))</f>
        <v/>
      </c>
      <c r="AL155" s="90" t="str">
        <f t="shared" si="58"/>
        <v/>
      </c>
      <c r="AM155" s="14" t="str">
        <f t="shared" si="59"/>
        <v/>
      </c>
      <c r="AN155" s="14">
        <f>IF($C155="&lt;01",ROUND(INDEX(EID!$P:$P,MATCH($B155,EID!$B:$B,0))/2,0),"")</f>
        <v>0</v>
      </c>
      <c r="AO155" s="14">
        <f t="shared" si="60"/>
        <v>0</v>
      </c>
      <c r="AP155" s="42">
        <f t="shared" si="61"/>
        <v>0</v>
      </c>
      <c r="AQ155" s="42">
        <f t="shared" si="62"/>
        <v>1539</v>
      </c>
      <c r="AR155" s="90" t="str">
        <f t="shared" si="63"/>
        <v/>
      </c>
      <c r="AS155" s="90" t="str">
        <f t="shared" ref="AS155:AT174" si="73">IF($C155="&lt;01","",98%)</f>
        <v/>
      </c>
      <c r="AT155" s="90" t="str">
        <f t="shared" si="73"/>
        <v/>
      </c>
      <c r="AU155" s="14" t="str">
        <f t="shared" si="64"/>
        <v/>
      </c>
      <c r="AV155" s="14">
        <f>IF($C155="&lt;01",ROUND(INDEX(EID!$N:$N,MATCH($B155,EID!$B:$B,0))/2,0),IF(SUM($AT155)=0,"",ROUND((SUM($AP155)-(SUM($O155)*SUM($AS155)))/$AT155,0)))</f>
        <v>0</v>
      </c>
      <c r="AW155" s="90" t="str">
        <f t="shared" si="65"/>
        <v/>
      </c>
      <c r="AX155" s="42">
        <f t="shared" si="66"/>
        <v>0</v>
      </c>
      <c r="AY155" s="116" t="str">
        <f t="shared" si="67"/>
        <v/>
      </c>
      <c r="AZ155" s="93">
        <f>IF($C155="&lt;01",ROUND(INDEX(EID!$R:$R,MATCH($B155,EID!$B:$B,0))/2,0),ROUND(SUM($O155)+(SUM($AV155)*$AY155),0))</f>
        <v>0</v>
      </c>
      <c r="BA155" s="89" t="str">
        <f t="shared" si="68"/>
        <v/>
      </c>
      <c r="BB155" s="9">
        <f>IF($C155="&lt;01",ROUND(INDEX(EID!$T:$T,MATCH($B155,EID!$B:$B,0))/2,0),ROUND($AZ155*$BA155,0))</f>
        <v>0</v>
      </c>
      <c r="BC155" s="93">
        <f t="shared" si="69"/>
        <v>0</v>
      </c>
      <c r="BD155" s="90" t="str">
        <f t="shared" si="70"/>
        <v/>
      </c>
      <c r="BE155" s="42">
        <f>IF($C155="&lt;01",ROUND(INDEX(EID!$V:$V,MATCH($B155,EID!$B:$B,0))/2,0),ROUND($BD155*$BB155,0))</f>
        <v>0</v>
      </c>
      <c r="BF155" s="42">
        <f t="shared" si="71"/>
        <v>0</v>
      </c>
      <c r="BG155" s="116" t="str">
        <f t="shared" si="72"/>
        <v/>
      </c>
      <c r="BH155" s="9">
        <f>IF($C155="&lt;01",ROUND(INDEX(EID!$L:$L,MATCH($B155,EID!$B:$B,0)),0)/2,IF(SUM($BG155)=0,"",ROUND($AX155/$BG155,0)))</f>
        <v>0</v>
      </c>
    </row>
    <row r="156" spans="1:60" x14ac:dyDescent="0.2">
      <c r="A156" t="str">
        <f>INDEX(Prioritization!$D:$D,MATCH($B156,Prioritization!$A:$A,0))</f>
        <v>1 - Scale-up: Saturation</v>
      </c>
      <c r="B156" t="s">
        <v>203</v>
      </c>
      <c r="C156" t="s">
        <v>315</v>
      </c>
      <c r="D156" t="s">
        <v>47</v>
      </c>
      <c r="E156" t="str">
        <f t="shared" si="51"/>
        <v>Chitipa District [GkIwZrXy1h2]|&lt;01|Male</v>
      </c>
      <c r="F156" s="14"/>
      <c r="G156" s="14">
        <v>3</v>
      </c>
      <c r="H156" s="14">
        <v>1</v>
      </c>
      <c r="I156" s="14">
        <v>1</v>
      </c>
      <c r="J156" s="14">
        <v>1</v>
      </c>
      <c r="K156" s="14">
        <v>0</v>
      </c>
      <c r="L156" s="14"/>
      <c r="M156" s="14">
        <v>1</v>
      </c>
      <c r="N156" s="14">
        <v>1</v>
      </c>
      <c r="O156" s="14">
        <f t="shared" si="52"/>
        <v>1</v>
      </c>
      <c r="P156" s="14">
        <v>0</v>
      </c>
      <c r="Q156" s="14">
        <v>1</v>
      </c>
      <c r="R156" s="14">
        <f t="shared" si="53"/>
        <v>0</v>
      </c>
      <c r="S156" s="14">
        <f>IF(LEFT($B156,4)="_Mil","",_xlfn.IFNA(ROUND(INDEX(Spectrum!$N:$N,MATCH(RIGHT($B156,13)&amp;"|"&amp;$C156&amp;"|"&amp;$D156&amp;"|"&amp;S$14&amp;"|"&amp;"CY2022Q4",Spectrum!$R:$R,0)),0),""))</f>
        <v>894</v>
      </c>
      <c r="T156" s="42">
        <f>IF(LEFT($B156,4)="_Mil","",_xlfn.IFNA(ROUND(INDEX(Spectrum!$N:$N,MATCH(RIGHT($B156,13)&amp;"|"&amp;$C156&amp;"|"&amp;$D156&amp;"|"&amp;T$14&amp;"|"&amp;"CY2023Q3",Spectrum!$R:$R,0)),0),""))</f>
        <v>772</v>
      </c>
      <c r="U156" s="42" t="str">
        <f>IF(LEFT($B156,4)="_Mil","",_xlfn.IFNA(ROUND(INDEX(Spectrum!$N:$N,MATCH(RIGHT($B156,13)&amp;"|"&amp;$C156&amp;"|"&amp;$D156&amp;"|"&amp;U$14&amp;"|"&amp;"CY2023Q3",Spectrum!$R:$R,0)),0),""))</f>
        <v/>
      </c>
      <c r="V156" s="14">
        <f>IF(LEFT($B156,4)="_Mil","",_xlfn.IFNA(ROUND(INDEX(Spectrum!$N:$N,MATCH(RIGHT($B156,13)&amp;"|"&amp;$C156&amp;"|"&amp;$D156&amp;"|"&amp;V$14&amp;"|"&amp;"CY2023Q3",Spectrum!$R:$R,0)),0),""))</f>
        <v>1367</v>
      </c>
      <c r="W156" s="115">
        <f>IF(LEFT($B156,4)="_Mil","",_xlfn.IFNA(INDEX(Spectrum!$N:$N,MATCH(RIGHT($B156,13)&amp;"|"&amp;$C156&amp;"|"&amp;$D156&amp;"|"&amp;W$14&amp;"|"&amp;"CY2023Q3",Spectrum!$R:$R,0)),""))</f>
        <v>1204</v>
      </c>
      <c r="X156" s="42">
        <f>IF(LEFT($B156,4)="_Mil","",_xlfn.IFNA(ROUND(INDEX(Spectrum!$N:$N,MATCH(RIGHT($B156,13)&amp;"|"&amp;$C156&amp;"|"&amp;$D156&amp;"|"&amp;X$14&amp;"|"&amp;"CY2023Q3",Spectrum!$R:$R,0)),0),""))</f>
        <v>1418</v>
      </c>
      <c r="Y156" s="90" t="str">
        <f t="shared" si="54"/>
        <v/>
      </c>
      <c r="Z156" s="42">
        <f>IF(LEFT($B156,4)="_Mil","",_xlfn.IFNA(ROUND(INDEX(Spectrum!$N:$N,MATCH(RIGHT($B156,13)&amp;"|"&amp;$C156&amp;"|"&amp;$D156&amp;"|"&amp;Z$14&amp;"|"&amp;"CY2023Q3",Spectrum!$R:$R,0)),0),""))</f>
        <v>901</v>
      </c>
      <c r="AA156" s="90">
        <f>IF(LEFT($B156,4)="_Mil","",IFERROR(1/(1/INDEX(Spectrum!$N:$N,MATCH(RIGHT($B156,13)&amp;"|"&amp;$C156&amp;"|"&amp;$D156&amp;"|"&amp;AA$14&amp;"|"&amp;"CY2023Q3",Spectrum!$R:$R,0))),IF(SUM($U156)=0,"",SUM($Z156)/$U156)))</f>
        <v>790.99999999999989</v>
      </c>
      <c r="AB156" s="90">
        <f t="shared" si="55"/>
        <v>0.63540197461212977</v>
      </c>
      <c r="AC156" s="14">
        <f>IF(LEFT($B156,4)="_Mil","",_xlfn.IFNA(ROUND(INDEX(Spectrum!$N:$N,MATCH(RIGHT($B156,13)&amp;"|"&amp;$C156&amp;"|"&amp;$D156&amp;"|"&amp;AC$14&amp;"|"&amp;"CY2023Q3",Spectrum!$R:$R,0)),0),""))</f>
        <v>1655</v>
      </c>
      <c r="AD156" s="14" t="str">
        <f>IF(LEFT($B156,4)="_Mil","",_xlfn.IFNA(ROUND(INDEX(Spectrum!$N:$N,MATCH(RIGHT($B156,13)&amp;"|"&amp;$C156&amp;"|"&amp;$D156&amp;"|"&amp;AD$14&amp;"|"&amp;"CY2023Q3",Spectrum!$R:$R,0)),0),""))</f>
        <v/>
      </c>
      <c r="AE156" s="90">
        <f t="shared" si="56"/>
        <v>0</v>
      </c>
      <c r="AF156" s="42" t="str">
        <f>IF(LEFT($B156,4)="_Mil","",_xlfn.IFNA(ROUND(INDEX(Spectrum!$N:$N,MATCH(RIGHT($B156,13)&amp;"|"&amp;$C156&amp;"|"&amp;$D156&amp;"|"&amp;AF$14&amp;"|"&amp;"CY2023Q3",Spectrum!$R:$R,0)),0),""))</f>
        <v/>
      </c>
      <c r="AG156" s="90" t="str">
        <f t="shared" si="57"/>
        <v/>
      </c>
      <c r="AH156" s="88" t="str">
        <f>IF(LEFT($B156,4)="_Mil","",_xlfn.IFNA(INDEX(Spectrum!$N:$N,MATCH(RIGHT($B156,13)&amp;"|"&amp;$C156&amp;"|"&amp;$D156&amp;"|"&amp;AH$14&amp;"|"&amp;"CY2023Q3",Spectrum!$R:$R,0)),""))</f>
        <v/>
      </c>
      <c r="AI156" s="14" t="str">
        <f>IF(LEFT($B156,4)="_Mil","",_xlfn.IFNA(ROUND(INDEX(Spectrum!$N:$N,MATCH(RIGHT($B156,13)&amp;"|"&amp;$C156&amp;"|"&amp;$D156&amp;"|"&amp;AI$14&amp;"|"&amp;"CY2023Q3",Spectrum!$R:$R,0)),0),""))</f>
        <v/>
      </c>
      <c r="AJ156" s="42">
        <f>IF(LEFT($B156,4)="_Mil","",_xlfn.IFNA(ROUND(INDEX(Spectrum!$N:$N,MATCH(RIGHT($B156,13)&amp;"|"&amp;$C156&amp;"|"&amp;$D156&amp;"|"&amp;AI$14&amp;"|"&amp;"CY2023Q3",Spectrum!$R:$R,0)),0),SUM($U156)+SUM($AI156)))</f>
        <v>0</v>
      </c>
      <c r="AK156" s="14" t="str">
        <f>IF(LEFT($B156,4)="_Mil","",_xlfn.IFNA(ROUND(INDEX(Spectrum!$N:$N,MATCH(RIGHT($B156,13)&amp;"|"&amp;$C156&amp;"|"&amp;$D156&amp;"|"&amp;AK$14&amp;"|"&amp;"CY2023Q3",Spectrum!$R:$R,0)),0),""))</f>
        <v/>
      </c>
      <c r="AL156" s="90" t="str">
        <f t="shared" si="58"/>
        <v/>
      </c>
      <c r="AM156" s="14" t="str">
        <f t="shared" si="59"/>
        <v/>
      </c>
      <c r="AN156" s="14">
        <f>IF($C156="&lt;01",ROUND(INDEX(EID!$P:$P,MATCH($B156,EID!$B:$B,0))/2,0),"")</f>
        <v>0</v>
      </c>
      <c r="AO156" s="14">
        <f t="shared" si="60"/>
        <v>0</v>
      </c>
      <c r="AP156" s="42">
        <f t="shared" si="61"/>
        <v>0</v>
      </c>
      <c r="AQ156" s="42">
        <f t="shared" si="62"/>
        <v>901</v>
      </c>
      <c r="AR156" s="90" t="str">
        <f t="shared" si="63"/>
        <v/>
      </c>
      <c r="AS156" s="90" t="str">
        <f t="shared" si="73"/>
        <v/>
      </c>
      <c r="AT156" s="90" t="str">
        <f t="shared" si="73"/>
        <v/>
      </c>
      <c r="AU156" s="14" t="str">
        <f t="shared" si="64"/>
        <v/>
      </c>
      <c r="AV156" s="14">
        <f>IF($C156="&lt;01",ROUND(INDEX(EID!$N:$N,MATCH($B156,EID!$B:$B,0))/2,0),IF(SUM($AT156)=0,"",ROUND((SUM($AP156)-(SUM($O156)*SUM($AS156)))/$AT156,0)))</f>
        <v>0</v>
      </c>
      <c r="AW156" s="90" t="str">
        <f t="shared" si="65"/>
        <v/>
      </c>
      <c r="AX156" s="42">
        <f t="shared" si="66"/>
        <v>0</v>
      </c>
      <c r="AY156" s="116" t="str">
        <f t="shared" si="67"/>
        <v/>
      </c>
      <c r="AZ156" s="93">
        <f>IF($C156="&lt;01",ROUND(INDEX(EID!$R:$R,MATCH($B156,EID!$B:$B,0))/2,0),ROUND(SUM($O156)+(SUM($AV156)*$AY156),0))</f>
        <v>0</v>
      </c>
      <c r="BA156" s="89" t="str">
        <f t="shared" si="68"/>
        <v/>
      </c>
      <c r="BB156" s="9">
        <f>IF($C156="&lt;01",ROUND(INDEX(EID!$T:$T,MATCH($B156,EID!$B:$B,0))/2,0),ROUND($AZ156*$BA156,0))</f>
        <v>0</v>
      </c>
      <c r="BC156" s="93">
        <f t="shared" si="69"/>
        <v>0</v>
      </c>
      <c r="BD156" s="90" t="str">
        <f t="shared" si="70"/>
        <v/>
      </c>
      <c r="BE156" s="42">
        <f>IF($C156="&lt;01",ROUND(INDEX(EID!$V:$V,MATCH($B156,EID!$B:$B,0))/2,0),ROUND($BD156*$BB156,0))</f>
        <v>0</v>
      </c>
      <c r="BF156" s="42">
        <f t="shared" si="71"/>
        <v>0</v>
      </c>
      <c r="BG156" s="116" t="str">
        <f t="shared" si="72"/>
        <v/>
      </c>
      <c r="BH156" s="9">
        <f>IF($C156="&lt;01",ROUND(INDEX(EID!$L:$L,MATCH($B156,EID!$B:$B,0)),0)/2,IF(SUM($BG156)=0,"",ROUND($AX156/$BG156,0)))</f>
        <v>0</v>
      </c>
    </row>
    <row r="157" spans="1:60" x14ac:dyDescent="0.2">
      <c r="A157" t="str">
        <f>INDEX(Prioritization!$D:$D,MATCH($B157,Prioritization!$A:$A,0))</f>
        <v>1 - Scale-up: Saturation</v>
      </c>
      <c r="B157" t="s">
        <v>203</v>
      </c>
      <c r="C157" t="s">
        <v>362</v>
      </c>
      <c r="D157" t="s">
        <v>29</v>
      </c>
      <c r="E157" t="str">
        <f t="shared" si="51"/>
        <v>Chitipa District [GkIwZrXy1h2]|01-09|Female</v>
      </c>
      <c r="F157" s="14"/>
      <c r="G157" s="14"/>
      <c r="H157" s="14"/>
      <c r="I157" s="14"/>
      <c r="J157" s="14"/>
      <c r="K157" s="14"/>
      <c r="L157" s="14"/>
      <c r="M157" s="14"/>
      <c r="N157" s="14"/>
      <c r="O157" s="14" t="str">
        <f t="shared" si="52"/>
        <v/>
      </c>
      <c r="P157" s="14"/>
      <c r="Q157" s="14"/>
      <c r="R157" s="14" t="str">
        <f t="shared" si="53"/>
        <v/>
      </c>
      <c r="S157" s="14">
        <f>IF(LEFT($B157,4)="_Mil","",_xlfn.IFNA(ROUND(INDEX(Spectrum!$N:$N,MATCH(RIGHT($B157,13)&amp;"|"&amp;$C157&amp;"|"&amp;$D157&amp;"|"&amp;S$14&amp;"|"&amp;"CY2022Q4",Spectrum!$R:$R,0)),0),""))</f>
        <v>1022</v>
      </c>
      <c r="T157" s="42">
        <f>IF(LEFT($B157,4)="_Mil","",_xlfn.IFNA(ROUND(INDEX(Spectrum!$N:$N,MATCH(RIGHT($B157,13)&amp;"|"&amp;$C157&amp;"|"&amp;$D157&amp;"|"&amp;T$14&amp;"|"&amp;"CY2023Q3",Spectrum!$R:$R,0)),0),""))</f>
        <v>761</v>
      </c>
      <c r="U157" s="42" t="str">
        <f>IF(LEFT($B157,4)="_Mil","",_xlfn.IFNA(ROUND(INDEX(Spectrum!$N:$N,MATCH(RIGHT($B157,13)&amp;"|"&amp;$C157&amp;"|"&amp;$D157&amp;"|"&amp;U$14&amp;"|"&amp;"CY2023Q3",Spectrum!$R:$R,0)),0),""))</f>
        <v/>
      </c>
      <c r="V157" s="14">
        <f>IF(LEFT($B157,4)="_Mil","",_xlfn.IFNA(ROUND(INDEX(Spectrum!$N:$N,MATCH(RIGHT($B157,13)&amp;"|"&amp;$C157&amp;"|"&amp;$D157&amp;"|"&amp;V$14&amp;"|"&amp;"CY2023Q3",Spectrum!$R:$R,0)),0),""))</f>
        <v>1027</v>
      </c>
      <c r="W157" s="115">
        <f>IF(LEFT($B157,4)="_Mil","",_xlfn.IFNA(INDEX(Spectrum!$N:$N,MATCH(RIGHT($B157,13)&amp;"|"&amp;$C157&amp;"|"&amp;$D157&amp;"|"&amp;W$14&amp;"|"&amp;"CY2023Q3",Spectrum!$R:$R,0)),""))</f>
        <v>1189</v>
      </c>
      <c r="X157" s="42">
        <f>IF(LEFT($B157,4)="_Mil","",_xlfn.IFNA(ROUND(INDEX(Spectrum!$N:$N,MATCH(RIGHT($B157,13)&amp;"|"&amp;$C157&amp;"|"&amp;$D157&amp;"|"&amp;X$14&amp;"|"&amp;"CY2023Q3",Spectrum!$R:$R,0)),0),""))</f>
        <v>1939</v>
      </c>
      <c r="Y157" s="90" t="str">
        <f t="shared" si="54"/>
        <v/>
      </c>
      <c r="Z157" s="42">
        <f>IF(LEFT($B157,4)="_Mil","",_xlfn.IFNA(ROUND(INDEX(Spectrum!$N:$N,MATCH(RIGHT($B157,13)&amp;"|"&amp;$C157&amp;"|"&amp;$D157&amp;"|"&amp;Z$14&amp;"|"&amp;"CY2023Q3",Spectrum!$R:$R,0)),0),""))</f>
        <v>1181</v>
      </c>
      <c r="AA157" s="90">
        <f>IF(LEFT($B157,4)="_Mil","",IFERROR(1/(1/INDEX(Spectrum!$N:$N,MATCH(RIGHT($B157,13)&amp;"|"&amp;$C157&amp;"|"&amp;$D157&amp;"|"&amp;AA$14&amp;"|"&amp;"CY2023Q3",Spectrum!$R:$R,0))),IF(SUM($U157)=0,"",SUM($Z157)/$U157)))</f>
        <v>1608</v>
      </c>
      <c r="AB157" s="90">
        <f t="shared" si="55"/>
        <v>0.60907684373388349</v>
      </c>
      <c r="AC157" s="14">
        <f>IF(LEFT($B157,4)="_Mil","",_xlfn.IFNA(ROUND(INDEX(Spectrum!$N:$N,MATCH(RIGHT($B157,13)&amp;"|"&amp;$C157&amp;"|"&amp;$D157&amp;"|"&amp;AC$14&amp;"|"&amp;"CY2023Q3",Spectrum!$R:$R,0)),0),""))</f>
        <v>761</v>
      </c>
      <c r="AD157" s="14" t="str">
        <f>IF(LEFT($B157,4)="_Mil","",_xlfn.IFNA(ROUND(INDEX(Spectrum!$N:$N,MATCH(RIGHT($B157,13)&amp;"|"&amp;$C157&amp;"|"&amp;$D157&amp;"|"&amp;AD$14&amp;"|"&amp;"CY2023Q3",Spectrum!$R:$R,0)),0),""))</f>
        <v/>
      </c>
      <c r="AE157" s="90">
        <f t="shared" si="56"/>
        <v>0</v>
      </c>
      <c r="AF157" s="42" t="str">
        <f>IF(LEFT($B157,4)="_Mil","",_xlfn.IFNA(ROUND(INDEX(Spectrum!$N:$N,MATCH(RIGHT($B157,13)&amp;"|"&amp;$C157&amp;"|"&amp;$D157&amp;"|"&amp;AF$14&amp;"|"&amp;"CY2023Q3",Spectrum!$R:$R,0)),0),""))</f>
        <v/>
      </c>
      <c r="AG157" s="90" t="str">
        <f t="shared" si="57"/>
        <v/>
      </c>
      <c r="AH157" s="88" t="str">
        <f>IF(LEFT($B157,4)="_Mil","",_xlfn.IFNA(INDEX(Spectrum!$N:$N,MATCH(RIGHT($B157,13)&amp;"|"&amp;$C157&amp;"|"&amp;$D157&amp;"|"&amp;AH$14&amp;"|"&amp;"CY2023Q3",Spectrum!$R:$R,0)),""))</f>
        <v/>
      </c>
      <c r="AI157" s="14" t="str">
        <f>IF(LEFT($B157,4)="_Mil","",_xlfn.IFNA(ROUND(INDEX(Spectrum!$N:$N,MATCH(RIGHT($B157,13)&amp;"|"&amp;$C157&amp;"|"&amp;$D157&amp;"|"&amp;AI$14&amp;"|"&amp;"CY2023Q3",Spectrum!$R:$R,0)),0),""))</f>
        <v/>
      </c>
      <c r="AJ157" s="42">
        <f>IF(LEFT($B157,4)="_Mil","",_xlfn.IFNA(ROUND(INDEX(Spectrum!$N:$N,MATCH(RIGHT($B157,13)&amp;"|"&amp;$C157&amp;"|"&amp;$D157&amp;"|"&amp;AI$14&amp;"|"&amp;"CY2023Q3",Spectrum!$R:$R,0)),0),SUM($U157)+SUM($AI157)))</f>
        <v>0</v>
      </c>
      <c r="AK157" s="14" t="str">
        <f>IF(LEFT($B157,4)="_Mil","",_xlfn.IFNA(ROUND(INDEX(Spectrum!$N:$N,MATCH(RIGHT($B157,13)&amp;"|"&amp;$C157&amp;"|"&amp;$D157&amp;"|"&amp;AK$14&amp;"|"&amp;"CY2023Q3",Spectrum!$R:$R,0)),0),""))</f>
        <v/>
      </c>
      <c r="AL157" s="90">
        <f t="shared" si="58"/>
        <v>1608</v>
      </c>
      <c r="AM157" s="14">
        <f t="shared" si="59"/>
        <v>0</v>
      </c>
      <c r="AN157" s="14" t="str">
        <f>IF($C157="&lt;01",ROUND(INDEX(EID!$P:$P,MATCH($B157,EID!$B:$B,0))/2,0),"")</f>
        <v/>
      </c>
      <c r="AO157" s="14">
        <f t="shared" si="60"/>
        <v>0</v>
      </c>
      <c r="AP157" s="42">
        <f t="shared" si="61"/>
        <v>0</v>
      </c>
      <c r="AQ157" s="42">
        <f t="shared" si="62"/>
        <v>1181</v>
      </c>
      <c r="AR157" s="90" t="str">
        <f t="shared" si="63"/>
        <v/>
      </c>
      <c r="AS157" s="90">
        <f t="shared" si="73"/>
        <v>0.98</v>
      </c>
      <c r="AT157" s="90">
        <f t="shared" si="73"/>
        <v>0.98</v>
      </c>
      <c r="AU157" s="14">
        <f t="shared" si="64"/>
        <v>0</v>
      </c>
      <c r="AV157" s="14">
        <f>IF($C157="&lt;01",ROUND(INDEX(EID!$N:$N,MATCH($B157,EID!$B:$B,0))/2,0),IF(SUM($AT157)=0,"",ROUND((SUM($AP157)-(SUM($O157)*SUM($AS157)))/$AT157,0)))</f>
        <v>0</v>
      </c>
      <c r="AW157" s="90">
        <f t="shared" si="65"/>
        <v>1</v>
      </c>
      <c r="AX157" s="42">
        <f t="shared" si="66"/>
        <v>0</v>
      </c>
      <c r="AY157" s="116">
        <f t="shared" si="67"/>
        <v>0.7</v>
      </c>
      <c r="AZ157" s="93">
        <f>IF($C157="&lt;01",ROUND(INDEX(EID!$R:$R,MATCH($B157,EID!$B:$B,0))/2,0),ROUND(SUM($O157)+(SUM($AV157)*$AY157),0))</f>
        <v>0</v>
      </c>
      <c r="BA157" s="89">
        <f t="shared" si="68"/>
        <v>0.95</v>
      </c>
      <c r="BB157" s="9">
        <f>IF($C157="&lt;01",ROUND(INDEX(EID!$T:$T,MATCH($B157,EID!$B:$B,0))/2,0),ROUND($AZ157*$BA157,0))</f>
        <v>0</v>
      </c>
      <c r="BC157" s="93">
        <f t="shared" si="69"/>
        <v>0</v>
      </c>
      <c r="BD157" s="90">
        <f t="shared" si="70"/>
        <v>0.95</v>
      </c>
      <c r="BE157" s="42">
        <f>IF($C157="&lt;01",ROUND(INDEX(EID!$V:$V,MATCH($B157,EID!$B:$B,0))/2,0),ROUND($BD157*$BB157,0))</f>
        <v>0</v>
      </c>
      <c r="BF157" s="42">
        <f t="shared" si="71"/>
        <v>0</v>
      </c>
      <c r="BG157" s="116">
        <f t="shared" si="72"/>
        <v>0.95</v>
      </c>
      <c r="BH157" s="9">
        <f>IF($C157="&lt;01",ROUND(INDEX(EID!$L:$L,MATCH($B157,EID!$B:$B,0)),0)/2,IF(SUM($BG157)=0,"",ROUND($AX157/$BG157,0)))</f>
        <v>0</v>
      </c>
    </row>
    <row r="158" spans="1:60" x14ac:dyDescent="0.2">
      <c r="A158" t="str">
        <f>INDEX(Prioritization!$D:$D,MATCH($B158,Prioritization!$A:$A,0))</f>
        <v>1 - Scale-up: Saturation</v>
      </c>
      <c r="B158" t="s">
        <v>203</v>
      </c>
      <c r="C158" t="s">
        <v>362</v>
      </c>
      <c r="D158" t="s">
        <v>47</v>
      </c>
      <c r="E158" t="str">
        <f t="shared" si="51"/>
        <v>Chitipa District [GkIwZrXy1h2]|01-09|Male</v>
      </c>
      <c r="F158" s="14"/>
      <c r="G158" s="14"/>
      <c r="H158" s="14"/>
      <c r="I158" s="14"/>
      <c r="J158" s="14"/>
      <c r="K158" s="14"/>
      <c r="L158" s="14"/>
      <c r="M158" s="14"/>
      <c r="N158" s="14"/>
      <c r="O158" s="14" t="str">
        <f t="shared" si="52"/>
        <v/>
      </c>
      <c r="P158" s="14"/>
      <c r="Q158" s="14"/>
      <c r="R158" s="14" t="str">
        <f t="shared" si="53"/>
        <v/>
      </c>
      <c r="S158" s="14">
        <f>IF(LEFT($B158,4)="_Mil","",_xlfn.IFNA(ROUND(INDEX(Spectrum!$N:$N,MATCH(RIGHT($B158,13)&amp;"|"&amp;$C158&amp;"|"&amp;$D158&amp;"|"&amp;S$14&amp;"|"&amp;"CY2022Q4",Spectrum!$R:$R,0)),0),""))</f>
        <v>1747</v>
      </c>
      <c r="T158" s="42">
        <f>IF(LEFT($B158,4)="_Mil","",_xlfn.IFNA(ROUND(INDEX(Spectrum!$N:$N,MATCH(RIGHT($B158,13)&amp;"|"&amp;$C158&amp;"|"&amp;$D158&amp;"|"&amp;T$14&amp;"|"&amp;"CY2023Q3",Spectrum!$R:$R,0)),0),""))</f>
        <v>1281</v>
      </c>
      <c r="U158" s="42" t="str">
        <f>IF(LEFT($B158,4)="_Mil","",_xlfn.IFNA(ROUND(INDEX(Spectrum!$N:$N,MATCH(RIGHT($B158,13)&amp;"|"&amp;$C158&amp;"|"&amp;$D158&amp;"|"&amp;U$14&amp;"|"&amp;"CY2023Q3",Spectrum!$R:$R,0)),0),""))</f>
        <v/>
      </c>
      <c r="V158" s="14">
        <f>IF(LEFT($B158,4)="_Mil","",_xlfn.IFNA(ROUND(INDEX(Spectrum!$N:$N,MATCH(RIGHT($B158,13)&amp;"|"&amp;$C158&amp;"|"&amp;$D158&amp;"|"&amp;V$14&amp;"|"&amp;"CY2023Q3",Spectrum!$R:$R,0)),0),""))</f>
        <v>1943</v>
      </c>
      <c r="W158" s="115">
        <f>IF(LEFT($B158,4)="_Mil","",_xlfn.IFNA(INDEX(Spectrum!$N:$N,MATCH(RIGHT($B158,13)&amp;"|"&amp;$C158&amp;"|"&amp;$D158&amp;"|"&amp;W$14&amp;"|"&amp;"CY2023Q3",Spectrum!$R:$R,0)),""))</f>
        <v>606</v>
      </c>
      <c r="X158" s="42">
        <f>IF(LEFT($B158,4)="_Mil","",_xlfn.IFNA(ROUND(INDEX(Spectrum!$N:$N,MATCH(RIGHT($B158,13)&amp;"|"&amp;$C158&amp;"|"&amp;$D158&amp;"|"&amp;X$14&amp;"|"&amp;"CY2023Q3",Spectrum!$R:$R,0)),0),""))</f>
        <v>698</v>
      </c>
      <c r="Y158" s="90" t="str">
        <f t="shared" si="54"/>
        <v/>
      </c>
      <c r="Z158" s="42">
        <f>IF(LEFT($B158,4)="_Mil","",_xlfn.IFNA(ROUND(INDEX(Spectrum!$N:$N,MATCH(RIGHT($B158,13)&amp;"|"&amp;$C158&amp;"|"&amp;$D158&amp;"|"&amp;Z$14&amp;"|"&amp;"CY2023Q3",Spectrum!$R:$R,0)),0),""))</f>
        <v>611</v>
      </c>
      <c r="AA158" s="90">
        <f>IF(LEFT($B158,4)="_Mil","",IFERROR(1/(1/INDEX(Spectrum!$N:$N,MATCH(RIGHT($B158,13)&amp;"|"&amp;$C158&amp;"|"&amp;$D158&amp;"|"&amp;AA$14&amp;"|"&amp;"CY2023Q3",Spectrum!$R:$R,0))),IF(SUM($U158)=0,"",SUM($Z158)/$U158)))</f>
        <v>1392</v>
      </c>
      <c r="AB158" s="90">
        <f t="shared" si="55"/>
        <v>0.87535816618911177</v>
      </c>
      <c r="AC158" s="14">
        <f>IF(LEFT($B158,4)="_Mil","",_xlfn.IFNA(ROUND(INDEX(Spectrum!$N:$N,MATCH(RIGHT($B158,13)&amp;"|"&amp;$C158&amp;"|"&amp;$D158&amp;"|"&amp;AC$14&amp;"|"&amp;"CY2023Q3",Spectrum!$R:$R,0)),0),""))</f>
        <v>1364</v>
      </c>
      <c r="AD158" s="14" t="str">
        <f>IF(LEFT($B158,4)="_Mil","",_xlfn.IFNA(ROUND(INDEX(Spectrum!$N:$N,MATCH(RIGHT($B158,13)&amp;"|"&amp;$C158&amp;"|"&amp;$D158&amp;"|"&amp;AD$14&amp;"|"&amp;"CY2023Q3",Spectrum!$R:$R,0)),0),""))</f>
        <v/>
      </c>
      <c r="AE158" s="90">
        <f t="shared" si="56"/>
        <v>0</v>
      </c>
      <c r="AF158" s="42" t="str">
        <f>IF(LEFT($B158,4)="_Mil","",_xlfn.IFNA(ROUND(INDEX(Spectrum!$N:$N,MATCH(RIGHT($B158,13)&amp;"|"&amp;$C158&amp;"|"&amp;$D158&amp;"|"&amp;AF$14&amp;"|"&amp;"CY2023Q3",Spectrum!$R:$R,0)),0),""))</f>
        <v/>
      </c>
      <c r="AG158" s="90" t="str">
        <f t="shared" si="57"/>
        <v/>
      </c>
      <c r="AH158" s="88" t="str">
        <f>IF(LEFT($B158,4)="_Mil","",_xlfn.IFNA(INDEX(Spectrum!$N:$N,MATCH(RIGHT($B158,13)&amp;"|"&amp;$C158&amp;"|"&amp;$D158&amp;"|"&amp;AH$14&amp;"|"&amp;"CY2023Q3",Spectrum!$R:$R,0)),""))</f>
        <v/>
      </c>
      <c r="AI158" s="14" t="str">
        <f>IF(LEFT($B158,4)="_Mil","",_xlfn.IFNA(ROUND(INDEX(Spectrum!$N:$N,MATCH(RIGHT($B158,13)&amp;"|"&amp;$C158&amp;"|"&amp;$D158&amp;"|"&amp;AI$14&amp;"|"&amp;"CY2023Q3",Spectrum!$R:$R,0)),0),""))</f>
        <v/>
      </c>
      <c r="AJ158" s="42">
        <f>IF(LEFT($B158,4)="_Mil","",_xlfn.IFNA(ROUND(INDEX(Spectrum!$N:$N,MATCH(RIGHT($B158,13)&amp;"|"&amp;$C158&amp;"|"&amp;$D158&amp;"|"&amp;AI$14&amp;"|"&amp;"CY2023Q3",Spectrum!$R:$R,0)),0),SUM($U158)+SUM($AI158)))</f>
        <v>0</v>
      </c>
      <c r="AK158" s="14" t="str">
        <f>IF(LEFT($B158,4)="_Mil","",_xlfn.IFNA(ROUND(INDEX(Spectrum!$N:$N,MATCH(RIGHT($B158,13)&amp;"|"&amp;$C158&amp;"|"&amp;$D158&amp;"|"&amp;AK$14&amp;"|"&amp;"CY2023Q3",Spectrum!$R:$R,0)),0),""))</f>
        <v/>
      </c>
      <c r="AL158" s="90">
        <f t="shared" si="58"/>
        <v>1392</v>
      </c>
      <c r="AM158" s="14">
        <f t="shared" si="59"/>
        <v>0</v>
      </c>
      <c r="AN158" s="14" t="str">
        <f>IF($C158="&lt;01",ROUND(INDEX(EID!$P:$P,MATCH($B158,EID!$B:$B,0))/2,0),"")</f>
        <v/>
      </c>
      <c r="AO158" s="14">
        <f t="shared" si="60"/>
        <v>0</v>
      </c>
      <c r="AP158" s="42">
        <f t="shared" si="61"/>
        <v>0</v>
      </c>
      <c r="AQ158" s="42">
        <f t="shared" si="62"/>
        <v>611</v>
      </c>
      <c r="AR158" s="90" t="str">
        <f t="shared" si="63"/>
        <v/>
      </c>
      <c r="AS158" s="90">
        <f t="shared" si="73"/>
        <v>0.98</v>
      </c>
      <c r="AT158" s="90">
        <f t="shared" si="73"/>
        <v>0.98</v>
      </c>
      <c r="AU158" s="14">
        <f t="shared" si="64"/>
        <v>0</v>
      </c>
      <c r="AV158" s="14">
        <f>IF($C158="&lt;01",ROUND(INDEX(EID!$N:$N,MATCH($B158,EID!$B:$B,0))/2,0),IF(SUM($AT158)=0,"",ROUND((SUM($AP158)-(SUM($O158)*SUM($AS158)))/$AT158,0)))</f>
        <v>0</v>
      </c>
      <c r="AW158" s="90">
        <f t="shared" si="65"/>
        <v>1</v>
      </c>
      <c r="AX158" s="42">
        <f t="shared" si="66"/>
        <v>0</v>
      </c>
      <c r="AY158" s="116">
        <f t="shared" si="67"/>
        <v>0.7</v>
      </c>
      <c r="AZ158" s="93">
        <f>IF($C158="&lt;01",ROUND(INDEX(EID!$R:$R,MATCH($B158,EID!$B:$B,0))/2,0),ROUND(SUM($O158)+(SUM($AV158)*$AY158),0))</f>
        <v>0</v>
      </c>
      <c r="BA158" s="89">
        <f t="shared" si="68"/>
        <v>0.95</v>
      </c>
      <c r="BB158" s="9">
        <f>IF($C158="&lt;01",ROUND(INDEX(EID!$T:$T,MATCH($B158,EID!$B:$B,0))/2,0),ROUND($AZ158*$BA158,0))</f>
        <v>0</v>
      </c>
      <c r="BC158" s="93">
        <f t="shared" si="69"/>
        <v>0</v>
      </c>
      <c r="BD158" s="90">
        <f t="shared" si="70"/>
        <v>0.95</v>
      </c>
      <c r="BE158" s="42">
        <f>IF($C158="&lt;01",ROUND(INDEX(EID!$V:$V,MATCH($B158,EID!$B:$B,0))/2,0),ROUND($BD158*$BB158,0))</f>
        <v>0</v>
      </c>
      <c r="BF158" s="42">
        <f t="shared" si="71"/>
        <v>0</v>
      </c>
      <c r="BG158" s="116">
        <f t="shared" si="72"/>
        <v>0.95</v>
      </c>
      <c r="BH158" s="9">
        <f>IF($C158="&lt;01",ROUND(INDEX(EID!$L:$L,MATCH($B158,EID!$B:$B,0)),0)/2,IF(SUM($BG158)=0,"",ROUND($AX158/$BG158,0)))</f>
        <v>0</v>
      </c>
    </row>
    <row r="159" spans="1:60" x14ac:dyDescent="0.2">
      <c r="A159" t="str">
        <f>INDEX(Prioritization!$D:$D,MATCH($B159,Prioritization!$A:$A,0))</f>
        <v>1 - Scale-up: Saturation</v>
      </c>
      <c r="B159" t="s">
        <v>203</v>
      </c>
      <c r="C159" t="s">
        <v>363</v>
      </c>
      <c r="D159" t="s">
        <v>29</v>
      </c>
      <c r="E159" t="str">
        <f t="shared" si="51"/>
        <v>Chitipa District [GkIwZrXy1h2]|10-14|Female</v>
      </c>
      <c r="F159" s="14"/>
      <c r="G159" s="14">
        <v>5</v>
      </c>
      <c r="H159" s="14">
        <v>0</v>
      </c>
      <c r="I159" s="14">
        <v>6</v>
      </c>
      <c r="J159" s="14">
        <v>5</v>
      </c>
      <c r="K159" s="14">
        <v>7</v>
      </c>
      <c r="L159" s="14">
        <v>0</v>
      </c>
      <c r="M159" s="14">
        <v>0</v>
      </c>
      <c r="N159" s="14">
        <v>3</v>
      </c>
      <c r="O159" s="14">
        <f t="shared" si="52"/>
        <v>6</v>
      </c>
      <c r="P159" s="14">
        <v>4</v>
      </c>
      <c r="Q159" s="14">
        <v>8</v>
      </c>
      <c r="R159" s="14">
        <f t="shared" si="53"/>
        <v>0</v>
      </c>
      <c r="S159" s="14">
        <f>IF(LEFT($B159,4)="_Mil","",_xlfn.IFNA(ROUND(INDEX(Spectrum!$N:$N,MATCH(RIGHT($B159,13)&amp;"|"&amp;$C159&amp;"|"&amp;$D159&amp;"|"&amp;S$14&amp;"|"&amp;"CY2022Q4",Spectrum!$R:$R,0)),0),""))</f>
        <v>1169</v>
      </c>
      <c r="T159" s="42">
        <f>IF(LEFT($B159,4)="_Mil","",_xlfn.IFNA(ROUND(INDEX(Spectrum!$N:$N,MATCH(RIGHT($B159,13)&amp;"|"&amp;$C159&amp;"|"&amp;$D159&amp;"|"&amp;T$14&amp;"|"&amp;"CY2023Q3",Spectrum!$R:$R,0)),0),""))</f>
        <v>1643</v>
      </c>
      <c r="U159" s="42" t="str">
        <f>IF(LEFT($B159,4)="_Mil","",_xlfn.IFNA(ROUND(INDEX(Spectrum!$N:$N,MATCH(RIGHT($B159,13)&amp;"|"&amp;$C159&amp;"|"&amp;$D159&amp;"|"&amp;U$14&amp;"|"&amp;"CY2023Q3",Spectrum!$R:$R,0)),0),""))</f>
        <v/>
      </c>
      <c r="V159" s="14">
        <f>IF(LEFT($B159,4)="_Mil","",_xlfn.IFNA(ROUND(INDEX(Spectrum!$N:$N,MATCH(RIGHT($B159,13)&amp;"|"&amp;$C159&amp;"|"&amp;$D159&amp;"|"&amp;V$14&amp;"|"&amp;"CY2023Q3",Spectrum!$R:$R,0)),0),""))</f>
        <v>719</v>
      </c>
      <c r="W159" s="115">
        <f>IF(LEFT($B159,4)="_Mil","",_xlfn.IFNA(INDEX(Spectrum!$N:$N,MATCH(RIGHT($B159,13)&amp;"|"&amp;$C159&amp;"|"&amp;$D159&amp;"|"&amp;W$14&amp;"|"&amp;"CY2023Q3",Spectrum!$R:$R,0)),""))</f>
        <v>1822</v>
      </c>
      <c r="X159" s="42">
        <f>IF(LEFT($B159,4)="_Mil","",_xlfn.IFNA(ROUND(INDEX(Spectrum!$N:$N,MATCH(RIGHT($B159,13)&amp;"|"&amp;$C159&amp;"|"&amp;$D159&amp;"|"&amp;X$14&amp;"|"&amp;"CY2023Q3",Spectrum!$R:$R,0)),0),""))</f>
        <v>611</v>
      </c>
      <c r="Y159" s="90" t="str">
        <f t="shared" si="54"/>
        <v/>
      </c>
      <c r="Z159" s="42">
        <f>IF(LEFT($B159,4)="_Mil","",_xlfn.IFNA(ROUND(INDEX(Spectrum!$N:$N,MATCH(RIGHT($B159,13)&amp;"|"&amp;$C159&amp;"|"&amp;$D159&amp;"|"&amp;Z$14&amp;"|"&amp;"CY2023Q3",Spectrum!$R:$R,0)),0),""))</f>
        <v>1055</v>
      </c>
      <c r="AA159" s="90">
        <f>IF(LEFT($B159,4)="_Mil","",IFERROR(1/(1/INDEX(Spectrum!$N:$N,MATCH(RIGHT($B159,13)&amp;"|"&amp;$C159&amp;"|"&amp;$D159&amp;"|"&amp;AA$14&amp;"|"&amp;"CY2023Q3",Spectrum!$R:$R,0))),IF(SUM($U159)=0,"",SUM($Z159)/$U159)))</f>
        <v>1802.9999999999998</v>
      </c>
      <c r="AB159" s="90">
        <f t="shared" si="55"/>
        <v>1.7266775777414076</v>
      </c>
      <c r="AC159" s="14">
        <f>IF(LEFT($B159,4)="_Mil","",_xlfn.IFNA(ROUND(INDEX(Spectrum!$N:$N,MATCH(RIGHT($B159,13)&amp;"|"&amp;$C159&amp;"|"&amp;$D159&amp;"|"&amp;AC$14&amp;"|"&amp;"CY2023Q3",Spectrum!$R:$R,0)),0),""))</f>
        <v>1128</v>
      </c>
      <c r="AD159" s="14" t="str">
        <f>IF(LEFT($B159,4)="_Mil","",_xlfn.IFNA(ROUND(INDEX(Spectrum!$N:$N,MATCH(RIGHT($B159,13)&amp;"|"&amp;$C159&amp;"|"&amp;$D159&amp;"|"&amp;AD$14&amp;"|"&amp;"CY2023Q3",Spectrum!$R:$R,0)),0),""))</f>
        <v/>
      </c>
      <c r="AE159" s="90">
        <f t="shared" si="56"/>
        <v>0</v>
      </c>
      <c r="AF159" s="42" t="str">
        <f>IF(LEFT($B159,4)="_Mil","",_xlfn.IFNA(ROUND(INDEX(Spectrum!$N:$N,MATCH(RIGHT($B159,13)&amp;"|"&amp;$C159&amp;"|"&amp;$D159&amp;"|"&amp;AF$14&amp;"|"&amp;"CY2023Q3",Spectrum!$R:$R,0)),0),""))</f>
        <v/>
      </c>
      <c r="AG159" s="90" t="str">
        <f t="shared" si="57"/>
        <v/>
      </c>
      <c r="AH159" s="88" t="str">
        <f>IF(LEFT($B159,4)="_Mil","",_xlfn.IFNA(INDEX(Spectrum!$N:$N,MATCH(RIGHT($B159,13)&amp;"|"&amp;$C159&amp;"|"&amp;$D159&amp;"|"&amp;AH$14&amp;"|"&amp;"CY2023Q3",Spectrum!$R:$R,0)),""))</f>
        <v/>
      </c>
      <c r="AI159" s="14" t="str">
        <f>IF(LEFT($B159,4)="_Mil","",_xlfn.IFNA(ROUND(INDEX(Spectrum!$N:$N,MATCH(RIGHT($B159,13)&amp;"|"&amp;$C159&amp;"|"&amp;$D159&amp;"|"&amp;AI$14&amp;"|"&amp;"CY2023Q3",Spectrum!$R:$R,0)),0),""))</f>
        <v/>
      </c>
      <c r="AJ159" s="42">
        <f>IF(LEFT($B159,4)="_Mil","",_xlfn.IFNA(ROUND(INDEX(Spectrum!$N:$N,MATCH(RIGHT($B159,13)&amp;"|"&amp;$C159&amp;"|"&amp;$D159&amp;"|"&amp;AI$14&amp;"|"&amp;"CY2023Q3",Spectrum!$R:$R,0)),0),SUM($U159)+SUM($AI159)))</f>
        <v>0</v>
      </c>
      <c r="AK159" s="14" t="str">
        <f>IF(LEFT($B159,4)="_Mil","",_xlfn.IFNA(ROUND(INDEX(Spectrum!$N:$N,MATCH(RIGHT($B159,13)&amp;"|"&amp;$C159&amp;"|"&amp;$D159&amp;"|"&amp;AK$14&amp;"|"&amp;"CY2023Q3",Spectrum!$R:$R,0)),0),""))</f>
        <v/>
      </c>
      <c r="AL159" s="90">
        <f t="shared" si="58"/>
        <v>1802.9999999999998</v>
      </c>
      <c r="AM159" s="14">
        <f t="shared" si="59"/>
        <v>0</v>
      </c>
      <c r="AN159" s="14" t="str">
        <f>IF($C159="&lt;01",ROUND(INDEX(EID!$P:$P,MATCH($B159,EID!$B:$B,0))/2,0),"")</f>
        <v/>
      </c>
      <c r="AO159" s="14">
        <f t="shared" si="60"/>
        <v>0</v>
      </c>
      <c r="AP159" s="42">
        <f t="shared" si="61"/>
        <v>0</v>
      </c>
      <c r="AQ159" s="42">
        <f t="shared" si="62"/>
        <v>1055</v>
      </c>
      <c r="AR159" s="90" t="str">
        <f t="shared" si="63"/>
        <v/>
      </c>
      <c r="AS159" s="90">
        <f t="shared" si="73"/>
        <v>0.98</v>
      </c>
      <c r="AT159" s="90">
        <f t="shared" si="73"/>
        <v>0.98</v>
      </c>
      <c r="AU159" s="14">
        <f t="shared" si="64"/>
        <v>-6</v>
      </c>
      <c r="AV159" s="14">
        <f>IF($C159="&lt;01",ROUND(INDEX(EID!$N:$N,MATCH($B159,EID!$B:$B,0))/2,0),IF(SUM($AT159)=0,"",ROUND((SUM($AP159)-(SUM($O159)*SUM($AS159)))/$AT159,0)))</f>
        <v>-6</v>
      </c>
      <c r="AW159" s="90">
        <f t="shared" si="65"/>
        <v>1</v>
      </c>
      <c r="AX159" s="42">
        <f t="shared" si="66"/>
        <v>-6</v>
      </c>
      <c r="AY159" s="116">
        <f t="shared" si="67"/>
        <v>0.7</v>
      </c>
      <c r="AZ159" s="93">
        <f>IF($C159="&lt;01",ROUND(INDEX(EID!$R:$R,MATCH($B159,EID!$B:$B,0))/2,0),ROUND(SUM($O159)+(SUM($AV159)*$AY159),0))</f>
        <v>2</v>
      </c>
      <c r="BA159" s="89">
        <f t="shared" si="68"/>
        <v>0.95</v>
      </c>
      <c r="BB159" s="9">
        <f>IF($C159="&lt;01",ROUND(INDEX(EID!$T:$T,MATCH($B159,EID!$B:$B,0))/2,0),ROUND($AZ159*$BA159,0))</f>
        <v>2</v>
      </c>
      <c r="BC159" s="93">
        <f t="shared" si="69"/>
        <v>2</v>
      </c>
      <c r="BD159" s="90">
        <f t="shared" si="70"/>
        <v>0.95</v>
      </c>
      <c r="BE159" s="42">
        <f>IF($C159="&lt;01",ROUND(INDEX(EID!$V:$V,MATCH($B159,EID!$B:$B,0))/2,0),ROUND($BD159*$BB159,0))</f>
        <v>2</v>
      </c>
      <c r="BF159" s="42">
        <f t="shared" si="71"/>
        <v>2</v>
      </c>
      <c r="BG159" s="116">
        <f t="shared" si="72"/>
        <v>0.95</v>
      </c>
      <c r="BH159" s="9">
        <f>IF($C159="&lt;01",ROUND(INDEX(EID!$L:$L,MATCH($B159,EID!$B:$B,0)),0)/2,IF(SUM($BG159)=0,"",ROUND($AX159/$BG159,0)))</f>
        <v>-6</v>
      </c>
    </row>
    <row r="160" spans="1:60" x14ac:dyDescent="0.2">
      <c r="A160" t="str">
        <f>INDEX(Prioritization!$D:$D,MATCH($B160,Prioritization!$A:$A,0))</f>
        <v>1 - Scale-up: Saturation</v>
      </c>
      <c r="B160" t="s">
        <v>203</v>
      </c>
      <c r="C160" t="s">
        <v>363</v>
      </c>
      <c r="D160" t="s">
        <v>47</v>
      </c>
      <c r="E160" t="str">
        <f t="shared" si="51"/>
        <v>Chitipa District [GkIwZrXy1h2]|10-14|Male</v>
      </c>
      <c r="F160" s="14"/>
      <c r="G160" s="14">
        <v>7</v>
      </c>
      <c r="H160" s="14">
        <v>1</v>
      </c>
      <c r="I160" s="14">
        <v>3</v>
      </c>
      <c r="J160" s="14">
        <v>6</v>
      </c>
      <c r="K160" s="14">
        <v>6</v>
      </c>
      <c r="L160" s="14">
        <v>0</v>
      </c>
      <c r="M160" s="14">
        <v>0</v>
      </c>
      <c r="N160" s="14">
        <v>81</v>
      </c>
      <c r="O160" s="14">
        <f t="shared" si="52"/>
        <v>81</v>
      </c>
      <c r="P160" s="14">
        <v>72</v>
      </c>
      <c r="Q160" s="14">
        <v>1</v>
      </c>
      <c r="R160" s="14">
        <f t="shared" si="53"/>
        <v>78</v>
      </c>
      <c r="S160" s="14">
        <f>IF(LEFT($B160,4)="_Mil","",_xlfn.IFNA(ROUND(INDEX(Spectrum!$N:$N,MATCH(RIGHT($B160,13)&amp;"|"&amp;$C160&amp;"|"&amp;$D160&amp;"|"&amp;S$14&amp;"|"&amp;"CY2022Q4",Spectrum!$R:$R,0)),0),""))</f>
        <v>1325</v>
      </c>
      <c r="T160" s="42">
        <f>IF(LEFT($B160,4)="_Mil","",_xlfn.IFNA(ROUND(INDEX(Spectrum!$N:$N,MATCH(RIGHT($B160,13)&amp;"|"&amp;$C160&amp;"|"&amp;$D160&amp;"|"&amp;T$14&amp;"|"&amp;"CY2023Q3",Spectrum!$R:$R,0)),0),""))</f>
        <v>764</v>
      </c>
      <c r="U160" s="42" t="str">
        <f>IF(LEFT($B160,4)="_Mil","",_xlfn.IFNA(ROUND(INDEX(Spectrum!$N:$N,MATCH(RIGHT($B160,13)&amp;"|"&amp;$C160&amp;"|"&amp;$D160&amp;"|"&amp;U$14&amp;"|"&amp;"CY2023Q3",Spectrum!$R:$R,0)),0),""))</f>
        <v/>
      </c>
      <c r="V160" s="14">
        <f>IF(LEFT($B160,4)="_Mil","",_xlfn.IFNA(ROUND(INDEX(Spectrum!$N:$N,MATCH(RIGHT($B160,13)&amp;"|"&amp;$C160&amp;"|"&amp;$D160&amp;"|"&amp;V$14&amp;"|"&amp;"CY2023Q3",Spectrum!$R:$R,0)),0),""))</f>
        <v>571</v>
      </c>
      <c r="W160" s="115">
        <f>IF(LEFT($B160,4)="_Mil","",_xlfn.IFNA(INDEX(Spectrum!$N:$N,MATCH(RIGHT($B160,13)&amp;"|"&amp;$C160&amp;"|"&amp;$D160&amp;"|"&amp;W$14&amp;"|"&amp;"CY2023Q3",Spectrum!$R:$R,0)),""))</f>
        <v>1744</v>
      </c>
      <c r="X160" s="42">
        <f>IF(LEFT($B160,4)="_Mil","",_xlfn.IFNA(ROUND(INDEX(Spectrum!$N:$N,MATCH(RIGHT($B160,13)&amp;"|"&amp;$C160&amp;"|"&amp;$D160&amp;"|"&amp;X$14&amp;"|"&amp;"CY2023Q3",Spectrum!$R:$R,0)),0),""))</f>
        <v>875</v>
      </c>
      <c r="Y160" s="90" t="str">
        <f t="shared" si="54"/>
        <v/>
      </c>
      <c r="Z160" s="42">
        <f>IF(LEFT($B160,4)="_Mil","",_xlfn.IFNA(ROUND(INDEX(Spectrum!$N:$N,MATCH(RIGHT($B160,13)&amp;"|"&amp;$C160&amp;"|"&amp;$D160&amp;"|"&amp;Z$14&amp;"|"&amp;"CY2023Q3",Spectrum!$R:$R,0)),0),""))</f>
        <v>1614</v>
      </c>
      <c r="AA160" s="90">
        <f>IF(LEFT($B160,4)="_Mil","",IFERROR(1/(1/INDEX(Spectrum!$N:$N,MATCH(RIGHT($B160,13)&amp;"|"&amp;$C160&amp;"|"&amp;$D160&amp;"|"&amp;AA$14&amp;"|"&amp;"CY2023Q3",Spectrum!$R:$R,0))),IF(SUM($U160)=0,"",SUM($Z160)/$U160)))</f>
        <v>1825.0000000000002</v>
      </c>
      <c r="AB160" s="90">
        <f t="shared" si="55"/>
        <v>1.8445714285714285</v>
      </c>
      <c r="AC160" s="14">
        <f>IF(LEFT($B160,4)="_Mil","",_xlfn.IFNA(ROUND(INDEX(Spectrum!$N:$N,MATCH(RIGHT($B160,13)&amp;"|"&amp;$C160&amp;"|"&amp;$D160&amp;"|"&amp;AC$14&amp;"|"&amp;"CY2023Q3",Spectrum!$R:$R,0)),0),""))</f>
        <v>808</v>
      </c>
      <c r="AD160" s="14" t="str">
        <f>IF(LEFT($B160,4)="_Mil","",_xlfn.IFNA(ROUND(INDEX(Spectrum!$N:$N,MATCH(RIGHT($B160,13)&amp;"|"&amp;$C160&amp;"|"&amp;$D160&amp;"|"&amp;AD$14&amp;"|"&amp;"CY2023Q3",Spectrum!$R:$R,0)),0),""))</f>
        <v/>
      </c>
      <c r="AE160" s="90">
        <f t="shared" si="56"/>
        <v>0</v>
      </c>
      <c r="AF160" s="42" t="str">
        <f>IF(LEFT($B160,4)="_Mil","",_xlfn.IFNA(ROUND(INDEX(Spectrum!$N:$N,MATCH(RIGHT($B160,13)&amp;"|"&amp;$C160&amp;"|"&amp;$D160&amp;"|"&amp;AF$14&amp;"|"&amp;"CY2023Q3",Spectrum!$R:$R,0)),0),""))</f>
        <v/>
      </c>
      <c r="AG160" s="90" t="str">
        <f t="shared" si="57"/>
        <v/>
      </c>
      <c r="AH160" s="88" t="str">
        <f>IF(LEFT($B160,4)="_Mil","",_xlfn.IFNA(INDEX(Spectrum!$N:$N,MATCH(RIGHT($B160,13)&amp;"|"&amp;$C160&amp;"|"&amp;$D160&amp;"|"&amp;AH$14&amp;"|"&amp;"CY2023Q3",Spectrum!$R:$R,0)),""))</f>
        <v/>
      </c>
      <c r="AI160" s="14" t="str">
        <f>IF(LEFT($B160,4)="_Mil","",_xlfn.IFNA(ROUND(INDEX(Spectrum!$N:$N,MATCH(RIGHT($B160,13)&amp;"|"&amp;$C160&amp;"|"&amp;$D160&amp;"|"&amp;AI$14&amp;"|"&amp;"CY2023Q3",Spectrum!$R:$R,0)),0),""))</f>
        <v/>
      </c>
      <c r="AJ160" s="42">
        <f>IF(LEFT($B160,4)="_Mil","",_xlfn.IFNA(ROUND(INDEX(Spectrum!$N:$N,MATCH(RIGHT($B160,13)&amp;"|"&amp;$C160&amp;"|"&amp;$D160&amp;"|"&amp;AI$14&amp;"|"&amp;"CY2023Q3",Spectrum!$R:$R,0)),0),SUM($U160)+SUM($AI160)))</f>
        <v>0</v>
      </c>
      <c r="AK160" s="14" t="str">
        <f>IF(LEFT($B160,4)="_Mil","",_xlfn.IFNA(ROUND(INDEX(Spectrum!$N:$N,MATCH(RIGHT($B160,13)&amp;"|"&amp;$C160&amp;"|"&amp;$D160&amp;"|"&amp;AK$14&amp;"|"&amp;"CY2023Q3",Spectrum!$R:$R,0)),0),""))</f>
        <v/>
      </c>
      <c r="AL160" s="90">
        <f t="shared" si="58"/>
        <v>1825.0000000000002</v>
      </c>
      <c r="AM160" s="14">
        <f t="shared" si="59"/>
        <v>0</v>
      </c>
      <c r="AN160" s="14" t="str">
        <f>IF($C160="&lt;01",ROUND(INDEX(EID!$P:$P,MATCH($B160,EID!$B:$B,0))/2,0),"")</f>
        <v/>
      </c>
      <c r="AO160" s="14">
        <f t="shared" si="60"/>
        <v>0</v>
      </c>
      <c r="AP160" s="42">
        <f t="shared" si="61"/>
        <v>0</v>
      </c>
      <c r="AQ160" s="42">
        <f t="shared" si="62"/>
        <v>1614</v>
      </c>
      <c r="AR160" s="90" t="str">
        <f t="shared" si="63"/>
        <v/>
      </c>
      <c r="AS160" s="90">
        <f t="shared" si="73"/>
        <v>0.98</v>
      </c>
      <c r="AT160" s="90">
        <f t="shared" si="73"/>
        <v>0.98</v>
      </c>
      <c r="AU160" s="14">
        <f t="shared" si="64"/>
        <v>-81</v>
      </c>
      <c r="AV160" s="14">
        <f>IF($C160="&lt;01",ROUND(INDEX(EID!$N:$N,MATCH($B160,EID!$B:$B,0))/2,0),IF(SUM($AT160)=0,"",ROUND((SUM($AP160)-(SUM($O160)*SUM($AS160)))/$AT160,0)))</f>
        <v>-81</v>
      </c>
      <c r="AW160" s="90">
        <f t="shared" si="65"/>
        <v>1</v>
      </c>
      <c r="AX160" s="42">
        <f t="shared" si="66"/>
        <v>-81</v>
      </c>
      <c r="AY160" s="116">
        <f t="shared" si="67"/>
        <v>0.7</v>
      </c>
      <c r="AZ160" s="93">
        <f>IF($C160="&lt;01",ROUND(INDEX(EID!$R:$R,MATCH($B160,EID!$B:$B,0))/2,0),ROUND(SUM($O160)+(SUM($AV160)*$AY160),0))</f>
        <v>24</v>
      </c>
      <c r="BA160" s="89">
        <f t="shared" si="68"/>
        <v>0.95</v>
      </c>
      <c r="BB160" s="9">
        <f>IF($C160="&lt;01",ROUND(INDEX(EID!$T:$T,MATCH($B160,EID!$B:$B,0))/2,0),ROUND($AZ160*$BA160,0))</f>
        <v>23</v>
      </c>
      <c r="BC160" s="93">
        <f t="shared" si="69"/>
        <v>23</v>
      </c>
      <c r="BD160" s="90">
        <f t="shared" si="70"/>
        <v>0.95</v>
      </c>
      <c r="BE160" s="42">
        <f>IF($C160="&lt;01",ROUND(INDEX(EID!$V:$V,MATCH($B160,EID!$B:$B,0))/2,0),ROUND($BD160*$BB160,0))</f>
        <v>22</v>
      </c>
      <c r="BF160" s="42">
        <f t="shared" si="71"/>
        <v>22</v>
      </c>
      <c r="BG160" s="116">
        <f t="shared" si="72"/>
        <v>0.95</v>
      </c>
      <c r="BH160" s="9">
        <f>IF($C160="&lt;01",ROUND(INDEX(EID!$L:$L,MATCH($B160,EID!$B:$B,0)),0)/2,IF(SUM($BG160)=0,"",ROUND($AX160/$BG160,0)))</f>
        <v>-85</v>
      </c>
    </row>
    <row r="161" spans="1:60" x14ac:dyDescent="0.2">
      <c r="A161" t="str">
        <f>INDEX(Prioritization!$D:$D,MATCH($B161,Prioritization!$A:$A,0))</f>
        <v>1 - Scale-up: Saturation</v>
      </c>
      <c r="B161" t="s">
        <v>203</v>
      </c>
      <c r="C161" t="s">
        <v>364</v>
      </c>
      <c r="D161" t="s">
        <v>29</v>
      </c>
      <c r="E161" t="str">
        <f t="shared" si="51"/>
        <v>Chitipa District [GkIwZrXy1h2]|15-24|Female</v>
      </c>
      <c r="F161" s="14"/>
      <c r="G161" s="14"/>
      <c r="H161" s="14"/>
      <c r="I161" s="14"/>
      <c r="J161" s="14"/>
      <c r="K161" s="14"/>
      <c r="L161" s="14"/>
      <c r="M161" s="14"/>
      <c r="N161" s="14"/>
      <c r="O161" s="14" t="str">
        <f t="shared" si="52"/>
        <v/>
      </c>
      <c r="P161" s="14"/>
      <c r="Q161" s="14"/>
      <c r="R161" s="14" t="str">
        <f t="shared" si="53"/>
        <v/>
      </c>
      <c r="S161" s="14">
        <f>IF(LEFT($B161,4)="_Mil","",_xlfn.IFNA(ROUND(INDEX(Spectrum!$N:$N,MATCH(RIGHT($B161,13)&amp;"|"&amp;$C161&amp;"|"&amp;$D161&amp;"|"&amp;S$14&amp;"|"&amp;"CY2022Q4",Spectrum!$R:$R,0)),0),""))</f>
        <v>699</v>
      </c>
      <c r="T161" s="42">
        <f>IF(LEFT($B161,4)="_Mil","",_xlfn.IFNA(ROUND(INDEX(Spectrum!$N:$N,MATCH(RIGHT($B161,13)&amp;"|"&amp;$C161&amp;"|"&amp;$D161&amp;"|"&amp;T$14&amp;"|"&amp;"CY2023Q3",Spectrum!$R:$R,0)),0),""))</f>
        <v>1807</v>
      </c>
      <c r="U161" s="42" t="str">
        <f>IF(LEFT($B161,4)="_Mil","",_xlfn.IFNA(ROUND(INDEX(Spectrum!$N:$N,MATCH(RIGHT($B161,13)&amp;"|"&amp;$C161&amp;"|"&amp;$D161&amp;"|"&amp;U$14&amp;"|"&amp;"CY2023Q3",Spectrum!$R:$R,0)),0),""))</f>
        <v/>
      </c>
      <c r="V161" s="14">
        <f>IF(LEFT($B161,4)="_Mil","",_xlfn.IFNA(ROUND(INDEX(Spectrum!$N:$N,MATCH(RIGHT($B161,13)&amp;"|"&amp;$C161&amp;"|"&amp;$D161&amp;"|"&amp;V$14&amp;"|"&amp;"CY2023Q3",Spectrum!$R:$R,0)),0),""))</f>
        <v>1613</v>
      </c>
      <c r="W161" s="115">
        <f>IF(LEFT($B161,4)="_Mil","",_xlfn.IFNA(INDEX(Spectrum!$N:$N,MATCH(RIGHT($B161,13)&amp;"|"&amp;$C161&amp;"|"&amp;$D161&amp;"|"&amp;W$14&amp;"|"&amp;"CY2023Q3",Spectrum!$R:$R,0)),""))</f>
        <v>1369</v>
      </c>
      <c r="X161" s="42">
        <f>IF(LEFT($B161,4)="_Mil","",_xlfn.IFNA(ROUND(INDEX(Spectrum!$N:$N,MATCH(RIGHT($B161,13)&amp;"|"&amp;$C161&amp;"|"&amp;$D161&amp;"|"&amp;X$14&amp;"|"&amp;"CY2023Q3",Spectrum!$R:$R,0)),0),""))</f>
        <v>1627</v>
      </c>
      <c r="Y161" s="90" t="str">
        <f t="shared" si="54"/>
        <v/>
      </c>
      <c r="Z161" s="42">
        <f>IF(LEFT($B161,4)="_Mil","",_xlfn.IFNA(ROUND(INDEX(Spectrum!$N:$N,MATCH(RIGHT($B161,13)&amp;"|"&amp;$C161&amp;"|"&amp;$D161&amp;"|"&amp;Z$14&amp;"|"&amp;"CY2023Q3",Spectrum!$R:$R,0)),0),""))</f>
        <v>1814</v>
      </c>
      <c r="AA161" s="90">
        <f>IF(LEFT($B161,4)="_Mil","",IFERROR(1/(1/INDEX(Spectrum!$N:$N,MATCH(RIGHT($B161,13)&amp;"|"&amp;$C161&amp;"|"&amp;$D161&amp;"|"&amp;AA$14&amp;"|"&amp;"CY2023Q3",Spectrum!$R:$R,0))),IF(SUM($U161)=0,"",SUM($Z161)/$U161)))</f>
        <v>1790.0000000000002</v>
      </c>
      <c r="AB161" s="90">
        <f t="shared" si="55"/>
        <v>1.1149354640442533</v>
      </c>
      <c r="AC161" s="14">
        <f>IF(LEFT($B161,4)="_Mil","",_xlfn.IFNA(ROUND(INDEX(Spectrum!$N:$N,MATCH(RIGHT($B161,13)&amp;"|"&amp;$C161&amp;"|"&amp;$D161&amp;"|"&amp;AC$14&amp;"|"&amp;"CY2023Q3",Spectrum!$R:$R,0)),0),""))</f>
        <v>1981</v>
      </c>
      <c r="AD161" s="14" t="str">
        <f>IF(LEFT($B161,4)="_Mil","",_xlfn.IFNA(ROUND(INDEX(Spectrum!$N:$N,MATCH(RIGHT($B161,13)&amp;"|"&amp;$C161&amp;"|"&amp;$D161&amp;"|"&amp;AD$14&amp;"|"&amp;"CY2023Q3",Spectrum!$R:$R,0)),0),""))</f>
        <v/>
      </c>
      <c r="AE161" s="90">
        <f t="shared" si="56"/>
        <v>0</v>
      </c>
      <c r="AF161" s="42" t="str">
        <f>IF(LEFT($B161,4)="_Mil","",_xlfn.IFNA(ROUND(INDEX(Spectrum!$N:$N,MATCH(RIGHT($B161,13)&amp;"|"&amp;$C161&amp;"|"&amp;$D161&amp;"|"&amp;AF$14&amp;"|"&amp;"CY2023Q3",Spectrum!$R:$R,0)),0),""))</f>
        <v/>
      </c>
      <c r="AG161" s="90" t="str">
        <f t="shared" si="57"/>
        <v/>
      </c>
      <c r="AH161" s="88" t="str">
        <f>IF(LEFT($B161,4)="_Mil","",_xlfn.IFNA(INDEX(Spectrum!$N:$N,MATCH(RIGHT($B161,13)&amp;"|"&amp;$C161&amp;"|"&amp;$D161&amp;"|"&amp;AH$14&amp;"|"&amp;"CY2023Q3",Spectrum!$R:$R,0)),""))</f>
        <v/>
      </c>
      <c r="AI161" s="14" t="str">
        <f>IF(LEFT($B161,4)="_Mil","",_xlfn.IFNA(ROUND(INDEX(Spectrum!$N:$N,MATCH(RIGHT($B161,13)&amp;"|"&amp;$C161&amp;"|"&amp;$D161&amp;"|"&amp;AI$14&amp;"|"&amp;"CY2023Q3",Spectrum!$R:$R,0)),0),""))</f>
        <v/>
      </c>
      <c r="AJ161" s="42">
        <f>IF(LEFT($B161,4)="_Mil","",_xlfn.IFNA(ROUND(INDEX(Spectrum!$N:$N,MATCH(RIGHT($B161,13)&amp;"|"&amp;$C161&amp;"|"&amp;$D161&amp;"|"&amp;AI$14&amp;"|"&amp;"CY2023Q3",Spectrum!$R:$R,0)),0),SUM($U161)+SUM($AI161)))</f>
        <v>0</v>
      </c>
      <c r="AK161" s="14" t="str">
        <f>IF(LEFT($B161,4)="_Mil","",_xlfn.IFNA(ROUND(INDEX(Spectrum!$N:$N,MATCH(RIGHT($B161,13)&amp;"|"&amp;$C161&amp;"|"&amp;$D161&amp;"|"&amp;AK$14&amp;"|"&amp;"CY2023Q3",Spectrum!$R:$R,0)),0),""))</f>
        <v/>
      </c>
      <c r="AL161" s="90">
        <f t="shared" si="58"/>
        <v>1790.0000000000002</v>
      </c>
      <c r="AM161" s="14">
        <f t="shared" si="59"/>
        <v>0</v>
      </c>
      <c r="AN161" s="14" t="str">
        <f>IF($C161="&lt;01",ROUND(INDEX(EID!$P:$P,MATCH($B161,EID!$B:$B,0))/2,0),"")</f>
        <v/>
      </c>
      <c r="AO161" s="14">
        <f t="shared" si="60"/>
        <v>0</v>
      </c>
      <c r="AP161" s="42">
        <f t="shared" si="61"/>
        <v>0</v>
      </c>
      <c r="AQ161" s="42">
        <f t="shared" si="62"/>
        <v>1814</v>
      </c>
      <c r="AR161" s="90" t="str">
        <f t="shared" si="63"/>
        <v/>
      </c>
      <c r="AS161" s="90">
        <f t="shared" si="73"/>
        <v>0.98</v>
      </c>
      <c r="AT161" s="90">
        <f t="shared" si="73"/>
        <v>0.98</v>
      </c>
      <c r="AU161" s="14">
        <f t="shared" si="64"/>
        <v>0</v>
      </c>
      <c r="AV161" s="14">
        <f>IF($C161="&lt;01",ROUND(INDEX(EID!$N:$N,MATCH($B161,EID!$B:$B,0))/2,0),IF(SUM($AT161)=0,"",ROUND((SUM($AP161)-(SUM($O161)*SUM($AS161)))/$AT161,0)))</f>
        <v>0</v>
      </c>
      <c r="AW161" s="90">
        <f t="shared" si="65"/>
        <v>1</v>
      </c>
      <c r="AX161" s="42">
        <f t="shared" si="66"/>
        <v>0</v>
      </c>
      <c r="AY161" s="116">
        <f t="shared" si="67"/>
        <v>0.7</v>
      </c>
      <c r="AZ161" s="93">
        <f>IF($C161="&lt;01",ROUND(INDEX(EID!$R:$R,MATCH($B161,EID!$B:$B,0))/2,0),ROUND(SUM($O161)+(SUM($AV161)*$AY161),0))</f>
        <v>0</v>
      </c>
      <c r="BA161" s="89">
        <f t="shared" si="68"/>
        <v>0.95</v>
      </c>
      <c r="BB161" s="9">
        <f>IF($C161="&lt;01",ROUND(INDEX(EID!$T:$T,MATCH($B161,EID!$B:$B,0))/2,0),ROUND($AZ161*$BA161,0))</f>
        <v>0</v>
      </c>
      <c r="BC161" s="93">
        <f t="shared" si="69"/>
        <v>0</v>
      </c>
      <c r="BD161" s="90">
        <f t="shared" si="70"/>
        <v>0.95</v>
      </c>
      <c r="BE161" s="42">
        <f>IF($C161="&lt;01",ROUND(INDEX(EID!$V:$V,MATCH($B161,EID!$B:$B,0))/2,0),ROUND($BD161*$BB161,0))</f>
        <v>0</v>
      </c>
      <c r="BF161" s="42">
        <f t="shared" si="71"/>
        <v>0</v>
      </c>
      <c r="BG161" s="116">
        <f t="shared" si="72"/>
        <v>0.95</v>
      </c>
      <c r="BH161" s="9">
        <f>IF($C161="&lt;01",ROUND(INDEX(EID!$L:$L,MATCH($B161,EID!$B:$B,0)),0)/2,IF(SUM($BG161)=0,"",ROUND($AX161/$BG161,0)))</f>
        <v>0</v>
      </c>
    </row>
    <row r="162" spans="1:60" x14ac:dyDescent="0.2">
      <c r="A162" t="str">
        <f>INDEX(Prioritization!$D:$D,MATCH($B162,Prioritization!$A:$A,0))</f>
        <v>1 - Scale-up: Saturation</v>
      </c>
      <c r="B162" t="s">
        <v>203</v>
      </c>
      <c r="C162" t="s">
        <v>364</v>
      </c>
      <c r="D162" t="s">
        <v>47</v>
      </c>
      <c r="E162" t="str">
        <f t="shared" si="51"/>
        <v>Chitipa District [GkIwZrXy1h2]|15-24|Male</v>
      </c>
      <c r="F162" s="14"/>
      <c r="G162" s="14"/>
      <c r="H162" s="14"/>
      <c r="I162" s="14"/>
      <c r="J162" s="14"/>
      <c r="K162" s="14"/>
      <c r="L162" s="14"/>
      <c r="M162" s="14"/>
      <c r="N162" s="14"/>
      <c r="O162" s="14" t="str">
        <f t="shared" si="52"/>
        <v/>
      </c>
      <c r="P162" s="14"/>
      <c r="Q162" s="14"/>
      <c r="R162" s="14" t="str">
        <f t="shared" si="53"/>
        <v/>
      </c>
      <c r="S162" s="14">
        <f>IF(LEFT($B162,4)="_Mil","",_xlfn.IFNA(ROUND(INDEX(Spectrum!$N:$N,MATCH(RIGHT($B162,13)&amp;"|"&amp;$C162&amp;"|"&amp;$D162&amp;"|"&amp;S$14&amp;"|"&amp;"CY2022Q4",Spectrum!$R:$R,0)),0),""))</f>
        <v>1608</v>
      </c>
      <c r="T162" s="42">
        <f>IF(LEFT($B162,4)="_Mil","",_xlfn.IFNA(ROUND(INDEX(Spectrum!$N:$N,MATCH(RIGHT($B162,13)&amp;"|"&amp;$C162&amp;"|"&amp;$D162&amp;"|"&amp;T$14&amp;"|"&amp;"CY2023Q3",Spectrum!$R:$R,0)),0),""))</f>
        <v>1977</v>
      </c>
      <c r="U162" s="42" t="str">
        <f>IF(LEFT($B162,4)="_Mil","",_xlfn.IFNA(ROUND(INDEX(Spectrum!$N:$N,MATCH(RIGHT($B162,13)&amp;"|"&amp;$C162&amp;"|"&amp;$D162&amp;"|"&amp;U$14&amp;"|"&amp;"CY2023Q3",Spectrum!$R:$R,0)),0),""))</f>
        <v/>
      </c>
      <c r="V162" s="14">
        <f>IF(LEFT($B162,4)="_Mil","",_xlfn.IFNA(ROUND(INDEX(Spectrum!$N:$N,MATCH(RIGHT($B162,13)&amp;"|"&amp;$C162&amp;"|"&amp;$D162&amp;"|"&amp;V$14&amp;"|"&amp;"CY2023Q3",Spectrum!$R:$R,0)),0),""))</f>
        <v>1456</v>
      </c>
      <c r="W162" s="115">
        <f>IF(LEFT($B162,4)="_Mil","",_xlfn.IFNA(INDEX(Spectrum!$N:$N,MATCH(RIGHT($B162,13)&amp;"|"&amp;$C162&amp;"|"&amp;$D162&amp;"|"&amp;W$14&amp;"|"&amp;"CY2023Q3",Spectrum!$R:$R,0)),""))</f>
        <v>1784</v>
      </c>
      <c r="X162" s="42">
        <f>IF(LEFT($B162,4)="_Mil","",_xlfn.IFNA(ROUND(INDEX(Spectrum!$N:$N,MATCH(RIGHT($B162,13)&amp;"|"&amp;$C162&amp;"|"&amp;$D162&amp;"|"&amp;X$14&amp;"|"&amp;"CY2023Q3",Spectrum!$R:$R,0)),0),""))</f>
        <v>1354</v>
      </c>
      <c r="Y162" s="90" t="str">
        <f t="shared" si="54"/>
        <v/>
      </c>
      <c r="Z162" s="42">
        <f>IF(LEFT($B162,4)="_Mil","",_xlfn.IFNA(ROUND(INDEX(Spectrum!$N:$N,MATCH(RIGHT($B162,13)&amp;"|"&amp;$C162&amp;"|"&amp;$D162&amp;"|"&amp;Z$14&amp;"|"&amp;"CY2023Q3",Spectrum!$R:$R,0)),0),""))</f>
        <v>515</v>
      </c>
      <c r="AA162" s="90">
        <f>IF(LEFT($B162,4)="_Mil","",IFERROR(1/(1/INDEX(Spectrum!$N:$N,MATCH(RIGHT($B162,13)&amp;"|"&amp;$C162&amp;"|"&amp;$D162&amp;"|"&amp;AA$14&amp;"|"&amp;"CY2023Q3",Spectrum!$R:$R,0))),IF(SUM($U162)=0,"",SUM($Z162)/$U162)))</f>
        <v>690</v>
      </c>
      <c r="AB162" s="90">
        <f t="shared" si="55"/>
        <v>0.38035450516986707</v>
      </c>
      <c r="AC162" s="14">
        <f>IF(LEFT($B162,4)="_Mil","",_xlfn.IFNA(ROUND(INDEX(Spectrum!$N:$N,MATCH(RIGHT($B162,13)&amp;"|"&amp;$C162&amp;"|"&amp;$D162&amp;"|"&amp;AC$14&amp;"|"&amp;"CY2023Q3",Spectrum!$R:$R,0)),0),""))</f>
        <v>775</v>
      </c>
      <c r="AD162" s="14" t="str">
        <f>IF(LEFT($B162,4)="_Mil","",_xlfn.IFNA(ROUND(INDEX(Spectrum!$N:$N,MATCH(RIGHT($B162,13)&amp;"|"&amp;$C162&amp;"|"&amp;$D162&amp;"|"&amp;AD$14&amp;"|"&amp;"CY2023Q3",Spectrum!$R:$R,0)),0),""))</f>
        <v/>
      </c>
      <c r="AE162" s="90">
        <f t="shared" si="56"/>
        <v>0</v>
      </c>
      <c r="AF162" s="42" t="str">
        <f>IF(LEFT($B162,4)="_Mil","",_xlfn.IFNA(ROUND(INDEX(Spectrum!$N:$N,MATCH(RIGHT($B162,13)&amp;"|"&amp;$C162&amp;"|"&amp;$D162&amp;"|"&amp;AF$14&amp;"|"&amp;"CY2023Q3",Spectrum!$R:$R,0)),0),""))</f>
        <v/>
      </c>
      <c r="AG162" s="90" t="str">
        <f t="shared" si="57"/>
        <v/>
      </c>
      <c r="AH162" s="88" t="str">
        <f>IF(LEFT($B162,4)="_Mil","",_xlfn.IFNA(INDEX(Spectrum!$N:$N,MATCH(RIGHT($B162,13)&amp;"|"&amp;$C162&amp;"|"&amp;$D162&amp;"|"&amp;AH$14&amp;"|"&amp;"CY2023Q3",Spectrum!$R:$R,0)),""))</f>
        <v/>
      </c>
      <c r="AI162" s="14" t="str">
        <f>IF(LEFT($B162,4)="_Mil","",_xlfn.IFNA(ROUND(INDEX(Spectrum!$N:$N,MATCH(RIGHT($B162,13)&amp;"|"&amp;$C162&amp;"|"&amp;$D162&amp;"|"&amp;AI$14&amp;"|"&amp;"CY2023Q3",Spectrum!$R:$R,0)),0),""))</f>
        <v/>
      </c>
      <c r="AJ162" s="42">
        <f>IF(LEFT($B162,4)="_Mil","",_xlfn.IFNA(ROUND(INDEX(Spectrum!$N:$N,MATCH(RIGHT($B162,13)&amp;"|"&amp;$C162&amp;"|"&amp;$D162&amp;"|"&amp;AI$14&amp;"|"&amp;"CY2023Q3",Spectrum!$R:$R,0)),0),SUM($U162)+SUM($AI162)))</f>
        <v>0</v>
      </c>
      <c r="AK162" s="14" t="str">
        <f>IF(LEFT($B162,4)="_Mil","",_xlfn.IFNA(ROUND(INDEX(Spectrum!$N:$N,MATCH(RIGHT($B162,13)&amp;"|"&amp;$C162&amp;"|"&amp;$D162&amp;"|"&amp;AK$14&amp;"|"&amp;"CY2023Q3",Spectrum!$R:$R,0)),0),""))</f>
        <v/>
      </c>
      <c r="AL162" s="90">
        <f t="shared" si="58"/>
        <v>690</v>
      </c>
      <c r="AM162" s="14">
        <f t="shared" si="59"/>
        <v>0</v>
      </c>
      <c r="AN162" s="14" t="str">
        <f>IF($C162="&lt;01",ROUND(INDEX(EID!$P:$P,MATCH($B162,EID!$B:$B,0))/2,0),"")</f>
        <v/>
      </c>
      <c r="AO162" s="14">
        <f t="shared" si="60"/>
        <v>0</v>
      </c>
      <c r="AP162" s="42">
        <f t="shared" si="61"/>
        <v>0</v>
      </c>
      <c r="AQ162" s="42">
        <f t="shared" si="62"/>
        <v>515</v>
      </c>
      <c r="AR162" s="90" t="str">
        <f t="shared" si="63"/>
        <v/>
      </c>
      <c r="AS162" s="90">
        <f t="shared" si="73"/>
        <v>0.98</v>
      </c>
      <c r="AT162" s="90">
        <f t="shared" si="73"/>
        <v>0.98</v>
      </c>
      <c r="AU162" s="14">
        <f t="shared" si="64"/>
        <v>0</v>
      </c>
      <c r="AV162" s="14">
        <f>IF($C162="&lt;01",ROUND(INDEX(EID!$N:$N,MATCH($B162,EID!$B:$B,0))/2,0),IF(SUM($AT162)=0,"",ROUND((SUM($AP162)-(SUM($O162)*SUM($AS162)))/$AT162,0)))</f>
        <v>0</v>
      </c>
      <c r="AW162" s="90">
        <f t="shared" si="65"/>
        <v>1</v>
      </c>
      <c r="AX162" s="42">
        <f t="shared" si="66"/>
        <v>0</v>
      </c>
      <c r="AY162" s="116">
        <f t="shared" si="67"/>
        <v>0.7</v>
      </c>
      <c r="AZ162" s="93">
        <f>IF($C162="&lt;01",ROUND(INDEX(EID!$R:$R,MATCH($B162,EID!$B:$B,0))/2,0),ROUND(SUM($O162)+(SUM($AV162)*$AY162),0))</f>
        <v>0</v>
      </c>
      <c r="BA162" s="89">
        <f t="shared" si="68"/>
        <v>0.95</v>
      </c>
      <c r="BB162" s="9">
        <f>IF($C162="&lt;01",ROUND(INDEX(EID!$T:$T,MATCH($B162,EID!$B:$B,0))/2,0),ROUND($AZ162*$BA162,0))</f>
        <v>0</v>
      </c>
      <c r="BC162" s="93">
        <f t="shared" si="69"/>
        <v>0</v>
      </c>
      <c r="BD162" s="90">
        <f t="shared" si="70"/>
        <v>0.95</v>
      </c>
      <c r="BE162" s="42">
        <f>IF($C162="&lt;01",ROUND(INDEX(EID!$V:$V,MATCH($B162,EID!$B:$B,0))/2,0),ROUND($BD162*$BB162,0))</f>
        <v>0</v>
      </c>
      <c r="BF162" s="42">
        <f t="shared" si="71"/>
        <v>0</v>
      </c>
      <c r="BG162" s="116">
        <f t="shared" si="72"/>
        <v>0.95</v>
      </c>
      <c r="BH162" s="9">
        <f>IF($C162="&lt;01",ROUND(INDEX(EID!$L:$L,MATCH($B162,EID!$B:$B,0)),0)/2,IF(SUM($BG162)=0,"",ROUND($AX162/$BG162,0)))</f>
        <v>0</v>
      </c>
    </row>
    <row r="163" spans="1:60" x14ac:dyDescent="0.2">
      <c r="A163" t="str">
        <f>INDEX(Prioritization!$D:$D,MATCH($B163,Prioritization!$A:$A,0))</f>
        <v>1 - Scale-up: Saturation</v>
      </c>
      <c r="B163" t="s">
        <v>203</v>
      </c>
      <c r="C163" t="s">
        <v>365</v>
      </c>
      <c r="D163" t="s">
        <v>29</v>
      </c>
      <c r="E163" t="str">
        <f t="shared" si="51"/>
        <v>Chitipa District [GkIwZrXy1h2]|25-34|Female</v>
      </c>
      <c r="F163" s="14"/>
      <c r="G163" s="14"/>
      <c r="H163" s="14"/>
      <c r="I163" s="14"/>
      <c r="J163" s="14"/>
      <c r="K163" s="14"/>
      <c r="L163" s="14"/>
      <c r="M163" s="14"/>
      <c r="N163" s="14"/>
      <c r="O163" s="14" t="str">
        <f t="shared" si="52"/>
        <v/>
      </c>
      <c r="P163" s="14"/>
      <c r="Q163" s="14"/>
      <c r="R163" s="14" t="str">
        <f t="shared" si="53"/>
        <v/>
      </c>
      <c r="S163" s="14">
        <f>IF(LEFT($B163,4)="_Mil","",_xlfn.IFNA(ROUND(INDEX(Spectrum!$N:$N,MATCH(RIGHT($B163,13)&amp;"|"&amp;$C163&amp;"|"&amp;$D163&amp;"|"&amp;S$14&amp;"|"&amp;"CY2022Q4",Spectrum!$R:$R,0)),0),""))</f>
        <v>1778</v>
      </c>
      <c r="T163" s="42">
        <f>IF(LEFT($B163,4)="_Mil","",_xlfn.IFNA(ROUND(INDEX(Spectrum!$N:$N,MATCH(RIGHT($B163,13)&amp;"|"&amp;$C163&amp;"|"&amp;$D163&amp;"|"&amp;T$14&amp;"|"&amp;"CY2023Q3",Spectrum!$R:$R,0)),0),""))</f>
        <v>1936</v>
      </c>
      <c r="U163" s="42" t="str">
        <f>IF(LEFT($B163,4)="_Mil","",_xlfn.IFNA(ROUND(INDEX(Spectrum!$N:$N,MATCH(RIGHT($B163,13)&amp;"|"&amp;$C163&amp;"|"&amp;$D163&amp;"|"&amp;U$14&amp;"|"&amp;"CY2023Q3",Spectrum!$R:$R,0)),0),""))</f>
        <v/>
      </c>
      <c r="V163" s="14">
        <f>IF(LEFT($B163,4)="_Mil","",_xlfn.IFNA(ROUND(INDEX(Spectrum!$N:$N,MATCH(RIGHT($B163,13)&amp;"|"&amp;$C163&amp;"|"&amp;$D163&amp;"|"&amp;V$14&amp;"|"&amp;"CY2023Q3",Spectrum!$R:$R,0)),0),""))</f>
        <v>1756</v>
      </c>
      <c r="W163" s="115">
        <f>IF(LEFT($B163,4)="_Mil","",_xlfn.IFNA(INDEX(Spectrum!$N:$N,MATCH(RIGHT($B163,13)&amp;"|"&amp;$C163&amp;"|"&amp;$D163&amp;"|"&amp;W$14&amp;"|"&amp;"CY2023Q3",Spectrum!$R:$R,0)),""))</f>
        <v>771</v>
      </c>
      <c r="X163" s="42">
        <f>IF(LEFT($B163,4)="_Mil","",_xlfn.IFNA(ROUND(INDEX(Spectrum!$N:$N,MATCH(RIGHT($B163,13)&amp;"|"&amp;$C163&amp;"|"&amp;$D163&amp;"|"&amp;X$14&amp;"|"&amp;"CY2023Q3",Spectrum!$R:$R,0)),0),""))</f>
        <v>1850</v>
      </c>
      <c r="Y163" s="90" t="str">
        <f t="shared" si="54"/>
        <v/>
      </c>
      <c r="Z163" s="42">
        <f>IF(LEFT($B163,4)="_Mil","",_xlfn.IFNA(ROUND(INDEX(Spectrum!$N:$N,MATCH(RIGHT($B163,13)&amp;"|"&amp;$C163&amp;"|"&amp;$D163&amp;"|"&amp;Z$14&amp;"|"&amp;"CY2023Q3",Spectrum!$R:$R,0)),0),""))</f>
        <v>1268</v>
      </c>
      <c r="AA163" s="90">
        <f>IF(LEFT($B163,4)="_Mil","",IFERROR(1/(1/INDEX(Spectrum!$N:$N,MATCH(RIGHT($B163,13)&amp;"|"&amp;$C163&amp;"|"&amp;$D163&amp;"|"&amp;AA$14&amp;"|"&amp;"CY2023Q3",Spectrum!$R:$R,0))),IF(SUM($U163)=0,"",SUM($Z163)/$U163)))</f>
        <v>739</v>
      </c>
      <c r="AB163" s="90">
        <f t="shared" si="55"/>
        <v>0.6854054054054054</v>
      </c>
      <c r="AC163" s="14">
        <f>IF(LEFT($B163,4)="_Mil","",_xlfn.IFNA(ROUND(INDEX(Spectrum!$N:$N,MATCH(RIGHT($B163,13)&amp;"|"&amp;$C163&amp;"|"&amp;$D163&amp;"|"&amp;AC$14&amp;"|"&amp;"CY2023Q3",Spectrum!$R:$R,0)),0),""))</f>
        <v>1075</v>
      </c>
      <c r="AD163" s="14" t="str">
        <f>IF(LEFT($B163,4)="_Mil","",_xlfn.IFNA(ROUND(INDEX(Spectrum!$N:$N,MATCH(RIGHT($B163,13)&amp;"|"&amp;$C163&amp;"|"&amp;$D163&amp;"|"&amp;AD$14&amp;"|"&amp;"CY2023Q3",Spectrum!$R:$R,0)),0),""))</f>
        <v/>
      </c>
      <c r="AE163" s="90">
        <f t="shared" si="56"/>
        <v>0</v>
      </c>
      <c r="AF163" s="42" t="str">
        <f>IF(LEFT($B163,4)="_Mil","",_xlfn.IFNA(ROUND(INDEX(Spectrum!$N:$N,MATCH(RIGHT($B163,13)&amp;"|"&amp;$C163&amp;"|"&amp;$D163&amp;"|"&amp;AF$14&amp;"|"&amp;"CY2023Q3",Spectrum!$R:$R,0)),0),""))</f>
        <v/>
      </c>
      <c r="AG163" s="90" t="str">
        <f t="shared" si="57"/>
        <v/>
      </c>
      <c r="AH163" s="88" t="str">
        <f>IF(LEFT($B163,4)="_Mil","",_xlfn.IFNA(INDEX(Spectrum!$N:$N,MATCH(RIGHT($B163,13)&amp;"|"&amp;$C163&amp;"|"&amp;$D163&amp;"|"&amp;AH$14&amp;"|"&amp;"CY2023Q3",Spectrum!$R:$R,0)),""))</f>
        <v/>
      </c>
      <c r="AI163" s="14" t="str">
        <f>IF(LEFT($B163,4)="_Mil","",_xlfn.IFNA(ROUND(INDEX(Spectrum!$N:$N,MATCH(RIGHT($B163,13)&amp;"|"&amp;$C163&amp;"|"&amp;$D163&amp;"|"&amp;AI$14&amp;"|"&amp;"CY2023Q3",Spectrum!$R:$R,0)),0),""))</f>
        <v/>
      </c>
      <c r="AJ163" s="42">
        <f>IF(LEFT($B163,4)="_Mil","",_xlfn.IFNA(ROUND(INDEX(Spectrum!$N:$N,MATCH(RIGHT($B163,13)&amp;"|"&amp;$C163&amp;"|"&amp;$D163&amp;"|"&amp;AI$14&amp;"|"&amp;"CY2023Q3",Spectrum!$R:$R,0)),0),SUM($U163)+SUM($AI163)))</f>
        <v>0</v>
      </c>
      <c r="AK163" s="14" t="str">
        <f>IF(LEFT($B163,4)="_Mil","",_xlfn.IFNA(ROUND(INDEX(Spectrum!$N:$N,MATCH(RIGHT($B163,13)&amp;"|"&amp;$C163&amp;"|"&amp;$D163&amp;"|"&amp;AK$14&amp;"|"&amp;"CY2023Q3",Spectrum!$R:$R,0)),0),""))</f>
        <v/>
      </c>
      <c r="AL163" s="90">
        <f t="shared" si="58"/>
        <v>739</v>
      </c>
      <c r="AM163" s="14">
        <f t="shared" si="59"/>
        <v>0</v>
      </c>
      <c r="AN163" s="14" t="str">
        <f>IF($C163="&lt;01",ROUND(INDEX(EID!$P:$P,MATCH($B163,EID!$B:$B,0))/2,0),"")</f>
        <v/>
      </c>
      <c r="AO163" s="14">
        <f t="shared" si="60"/>
        <v>0</v>
      </c>
      <c r="AP163" s="42">
        <f t="shared" si="61"/>
        <v>0</v>
      </c>
      <c r="AQ163" s="42">
        <f t="shared" si="62"/>
        <v>1268</v>
      </c>
      <c r="AR163" s="90" t="str">
        <f t="shared" si="63"/>
        <v/>
      </c>
      <c r="AS163" s="90">
        <f t="shared" si="73"/>
        <v>0.98</v>
      </c>
      <c r="AT163" s="90">
        <f t="shared" si="73"/>
        <v>0.98</v>
      </c>
      <c r="AU163" s="14">
        <f t="shared" si="64"/>
        <v>0</v>
      </c>
      <c r="AV163" s="14">
        <f>IF($C163="&lt;01",ROUND(INDEX(EID!$N:$N,MATCH($B163,EID!$B:$B,0))/2,0),IF(SUM($AT163)=0,"",ROUND((SUM($AP163)-(SUM($O163)*SUM($AS163)))/$AT163,0)))</f>
        <v>0</v>
      </c>
      <c r="AW163" s="90">
        <f t="shared" si="65"/>
        <v>1</v>
      </c>
      <c r="AX163" s="42">
        <f t="shared" si="66"/>
        <v>0</v>
      </c>
      <c r="AY163" s="116">
        <f t="shared" si="67"/>
        <v>0.7</v>
      </c>
      <c r="AZ163" s="93">
        <f>IF($C163="&lt;01",ROUND(INDEX(EID!$R:$R,MATCH($B163,EID!$B:$B,0))/2,0),ROUND(SUM($O163)+(SUM($AV163)*$AY163),0))</f>
        <v>0</v>
      </c>
      <c r="BA163" s="89">
        <f t="shared" si="68"/>
        <v>0.95</v>
      </c>
      <c r="BB163" s="9">
        <f>IF($C163="&lt;01",ROUND(INDEX(EID!$T:$T,MATCH($B163,EID!$B:$B,0))/2,0),ROUND($AZ163*$BA163,0))</f>
        <v>0</v>
      </c>
      <c r="BC163" s="93">
        <f t="shared" si="69"/>
        <v>0</v>
      </c>
      <c r="BD163" s="90">
        <f t="shared" si="70"/>
        <v>0.95</v>
      </c>
      <c r="BE163" s="42">
        <f>IF($C163="&lt;01",ROUND(INDEX(EID!$V:$V,MATCH($B163,EID!$B:$B,0))/2,0),ROUND($BD163*$BB163,0))</f>
        <v>0</v>
      </c>
      <c r="BF163" s="42">
        <f t="shared" si="71"/>
        <v>0</v>
      </c>
      <c r="BG163" s="116">
        <f t="shared" si="72"/>
        <v>0.95</v>
      </c>
      <c r="BH163" s="9">
        <f>IF($C163="&lt;01",ROUND(INDEX(EID!$L:$L,MATCH($B163,EID!$B:$B,0)),0)/2,IF(SUM($BG163)=0,"",ROUND($AX163/$BG163,0)))</f>
        <v>0</v>
      </c>
    </row>
    <row r="164" spans="1:60" x14ac:dyDescent="0.2">
      <c r="A164" t="str">
        <f>INDEX(Prioritization!$D:$D,MATCH($B164,Prioritization!$A:$A,0))</f>
        <v>1 - Scale-up: Saturation</v>
      </c>
      <c r="B164" t="s">
        <v>203</v>
      </c>
      <c r="C164" t="s">
        <v>365</v>
      </c>
      <c r="D164" t="s">
        <v>47</v>
      </c>
      <c r="E164" t="str">
        <f t="shared" si="51"/>
        <v>Chitipa District [GkIwZrXy1h2]|25-34|Male</v>
      </c>
      <c r="F164" s="14"/>
      <c r="G164" s="14"/>
      <c r="H164" s="14"/>
      <c r="I164" s="14"/>
      <c r="J164" s="14"/>
      <c r="K164" s="14"/>
      <c r="L164" s="14"/>
      <c r="M164" s="14"/>
      <c r="N164" s="14"/>
      <c r="O164" s="14" t="str">
        <f t="shared" si="52"/>
        <v/>
      </c>
      <c r="P164" s="14"/>
      <c r="Q164" s="14"/>
      <c r="R164" s="14" t="str">
        <f t="shared" si="53"/>
        <v/>
      </c>
      <c r="S164" s="14">
        <f>IF(LEFT($B164,4)="_Mil","",_xlfn.IFNA(ROUND(INDEX(Spectrum!$N:$N,MATCH(RIGHT($B164,13)&amp;"|"&amp;$C164&amp;"|"&amp;$D164&amp;"|"&amp;S$14&amp;"|"&amp;"CY2022Q4",Spectrum!$R:$R,0)),0),""))</f>
        <v>1077</v>
      </c>
      <c r="T164" s="42">
        <f>IF(LEFT($B164,4)="_Mil","",_xlfn.IFNA(ROUND(INDEX(Spectrum!$N:$N,MATCH(RIGHT($B164,13)&amp;"|"&amp;$C164&amp;"|"&amp;$D164&amp;"|"&amp;T$14&amp;"|"&amp;"CY2023Q3",Spectrum!$R:$R,0)),0),""))</f>
        <v>638</v>
      </c>
      <c r="U164" s="42" t="str">
        <f>IF(LEFT($B164,4)="_Mil","",_xlfn.IFNA(ROUND(INDEX(Spectrum!$N:$N,MATCH(RIGHT($B164,13)&amp;"|"&amp;$C164&amp;"|"&amp;$D164&amp;"|"&amp;U$14&amp;"|"&amp;"CY2023Q3",Spectrum!$R:$R,0)),0),""))</f>
        <v/>
      </c>
      <c r="V164" s="14">
        <f>IF(LEFT($B164,4)="_Mil","",_xlfn.IFNA(ROUND(INDEX(Spectrum!$N:$N,MATCH(RIGHT($B164,13)&amp;"|"&amp;$C164&amp;"|"&amp;$D164&amp;"|"&amp;V$14&amp;"|"&amp;"CY2023Q3",Spectrum!$R:$R,0)),0),""))</f>
        <v>1060</v>
      </c>
      <c r="W164" s="115">
        <f>IF(LEFT($B164,4)="_Mil","",_xlfn.IFNA(INDEX(Spectrum!$N:$N,MATCH(RIGHT($B164,13)&amp;"|"&amp;$C164&amp;"|"&amp;$D164&amp;"|"&amp;W$14&amp;"|"&amp;"CY2023Q3",Spectrum!$R:$R,0)),""))</f>
        <v>838</v>
      </c>
      <c r="X164" s="42">
        <f>IF(LEFT($B164,4)="_Mil","",_xlfn.IFNA(ROUND(INDEX(Spectrum!$N:$N,MATCH(RIGHT($B164,13)&amp;"|"&amp;$C164&amp;"|"&amp;$D164&amp;"|"&amp;X$14&amp;"|"&amp;"CY2023Q3",Spectrum!$R:$R,0)),0),""))</f>
        <v>657</v>
      </c>
      <c r="Y164" s="90" t="str">
        <f t="shared" si="54"/>
        <v/>
      </c>
      <c r="Z164" s="42">
        <f>IF(LEFT($B164,4)="_Mil","",_xlfn.IFNA(ROUND(INDEX(Spectrum!$N:$N,MATCH(RIGHT($B164,13)&amp;"|"&amp;$C164&amp;"|"&amp;$D164&amp;"|"&amp;Z$14&amp;"|"&amp;"CY2023Q3",Spectrum!$R:$R,0)),0),""))</f>
        <v>1146</v>
      </c>
      <c r="AA164" s="90">
        <f>IF(LEFT($B164,4)="_Mil","",IFERROR(1/(1/INDEX(Spectrum!$N:$N,MATCH(RIGHT($B164,13)&amp;"|"&amp;$C164&amp;"|"&amp;$D164&amp;"|"&amp;AA$14&amp;"|"&amp;"CY2023Q3",Spectrum!$R:$R,0))),IF(SUM($U164)=0,"",SUM($Z164)/$U164)))</f>
        <v>647</v>
      </c>
      <c r="AB164" s="90">
        <f t="shared" si="55"/>
        <v>1.7442922374429224</v>
      </c>
      <c r="AC164" s="14">
        <f>IF(LEFT($B164,4)="_Mil","",_xlfn.IFNA(ROUND(INDEX(Spectrum!$N:$N,MATCH(RIGHT($B164,13)&amp;"|"&amp;$C164&amp;"|"&amp;$D164&amp;"|"&amp;AC$14&amp;"|"&amp;"CY2023Q3",Spectrum!$R:$R,0)),0),""))</f>
        <v>1940</v>
      </c>
      <c r="AD164" s="14" t="str">
        <f>IF(LEFT($B164,4)="_Mil","",_xlfn.IFNA(ROUND(INDEX(Spectrum!$N:$N,MATCH(RIGHT($B164,13)&amp;"|"&amp;$C164&amp;"|"&amp;$D164&amp;"|"&amp;AD$14&amp;"|"&amp;"CY2023Q3",Spectrum!$R:$R,0)),0),""))</f>
        <v/>
      </c>
      <c r="AE164" s="90">
        <f t="shared" si="56"/>
        <v>0</v>
      </c>
      <c r="AF164" s="42" t="str">
        <f>IF(LEFT($B164,4)="_Mil","",_xlfn.IFNA(ROUND(INDEX(Spectrum!$N:$N,MATCH(RIGHT($B164,13)&amp;"|"&amp;$C164&amp;"|"&amp;$D164&amp;"|"&amp;AF$14&amp;"|"&amp;"CY2023Q3",Spectrum!$R:$R,0)),0),""))</f>
        <v/>
      </c>
      <c r="AG164" s="90" t="str">
        <f t="shared" si="57"/>
        <v/>
      </c>
      <c r="AH164" s="88" t="str">
        <f>IF(LEFT($B164,4)="_Mil","",_xlfn.IFNA(INDEX(Spectrum!$N:$N,MATCH(RIGHT($B164,13)&amp;"|"&amp;$C164&amp;"|"&amp;$D164&amp;"|"&amp;AH$14&amp;"|"&amp;"CY2023Q3",Spectrum!$R:$R,0)),""))</f>
        <v/>
      </c>
      <c r="AI164" s="14" t="str">
        <f>IF(LEFT($B164,4)="_Mil","",_xlfn.IFNA(ROUND(INDEX(Spectrum!$N:$N,MATCH(RIGHT($B164,13)&amp;"|"&amp;$C164&amp;"|"&amp;$D164&amp;"|"&amp;AI$14&amp;"|"&amp;"CY2023Q3",Spectrum!$R:$R,0)),0),""))</f>
        <v/>
      </c>
      <c r="AJ164" s="42">
        <f>IF(LEFT($B164,4)="_Mil","",_xlfn.IFNA(ROUND(INDEX(Spectrum!$N:$N,MATCH(RIGHT($B164,13)&amp;"|"&amp;$C164&amp;"|"&amp;$D164&amp;"|"&amp;AI$14&amp;"|"&amp;"CY2023Q3",Spectrum!$R:$R,0)),0),SUM($U164)+SUM($AI164)))</f>
        <v>0</v>
      </c>
      <c r="AK164" s="14" t="str">
        <f>IF(LEFT($B164,4)="_Mil","",_xlfn.IFNA(ROUND(INDEX(Spectrum!$N:$N,MATCH(RIGHT($B164,13)&amp;"|"&amp;$C164&amp;"|"&amp;$D164&amp;"|"&amp;AK$14&amp;"|"&amp;"CY2023Q3",Spectrum!$R:$R,0)),0),""))</f>
        <v/>
      </c>
      <c r="AL164" s="90">
        <f t="shared" si="58"/>
        <v>647</v>
      </c>
      <c r="AM164" s="14">
        <f t="shared" si="59"/>
        <v>0</v>
      </c>
      <c r="AN164" s="14" t="str">
        <f>IF($C164="&lt;01",ROUND(INDEX(EID!$P:$P,MATCH($B164,EID!$B:$B,0))/2,0),"")</f>
        <v/>
      </c>
      <c r="AO164" s="14">
        <f t="shared" si="60"/>
        <v>0</v>
      </c>
      <c r="AP164" s="42">
        <f t="shared" si="61"/>
        <v>0</v>
      </c>
      <c r="AQ164" s="42">
        <f t="shared" si="62"/>
        <v>1146</v>
      </c>
      <c r="AR164" s="90" t="str">
        <f t="shared" si="63"/>
        <v/>
      </c>
      <c r="AS164" s="90">
        <f t="shared" si="73"/>
        <v>0.98</v>
      </c>
      <c r="AT164" s="90">
        <f t="shared" si="73"/>
        <v>0.98</v>
      </c>
      <c r="AU164" s="14">
        <f t="shared" si="64"/>
        <v>0</v>
      </c>
      <c r="AV164" s="14">
        <f>IF($C164="&lt;01",ROUND(INDEX(EID!$N:$N,MATCH($B164,EID!$B:$B,0))/2,0),IF(SUM($AT164)=0,"",ROUND((SUM($AP164)-(SUM($O164)*SUM($AS164)))/$AT164,0)))</f>
        <v>0</v>
      </c>
      <c r="AW164" s="90">
        <f t="shared" si="65"/>
        <v>1</v>
      </c>
      <c r="AX164" s="42">
        <f t="shared" si="66"/>
        <v>0</v>
      </c>
      <c r="AY164" s="116">
        <f t="shared" si="67"/>
        <v>0.7</v>
      </c>
      <c r="AZ164" s="93">
        <f>IF($C164="&lt;01",ROUND(INDEX(EID!$R:$R,MATCH($B164,EID!$B:$B,0))/2,0),ROUND(SUM($O164)+(SUM($AV164)*$AY164),0))</f>
        <v>0</v>
      </c>
      <c r="BA164" s="89">
        <f t="shared" si="68"/>
        <v>0.95</v>
      </c>
      <c r="BB164" s="9">
        <f>IF($C164="&lt;01",ROUND(INDEX(EID!$T:$T,MATCH($B164,EID!$B:$B,0))/2,0),ROUND($AZ164*$BA164,0))</f>
        <v>0</v>
      </c>
      <c r="BC164" s="93">
        <f t="shared" si="69"/>
        <v>0</v>
      </c>
      <c r="BD164" s="90">
        <f t="shared" si="70"/>
        <v>0.95</v>
      </c>
      <c r="BE164" s="42">
        <f>IF($C164="&lt;01",ROUND(INDEX(EID!$V:$V,MATCH($B164,EID!$B:$B,0))/2,0),ROUND($BD164*$BB164,0))</f>
        <v>0</v>
      </c>
      <c r="BF164" s="42">
        <f t="shared" si="71"/>
        <v>0</v>
      </c>
      <c r="BG164" s="116">
        <f t="shared" si="72"/>
        <v>0.95</v>
      </c>
      <c r="BH164" s="9">
        <f>IF($C164="&lt;01",ROUND(INDEX(EID!$L:$L,MATCH($B164,EID!$B:$B,0)),0)/2,IF(SUM($BG164)=0,"",ROUND($AX164/$BG164,0)))</f>
        <v>0</v>
      </c>
    </row>
    <row r="165" spans="1:60" x14ac:dyDescent="0.2">
      <c r="A165" t="str">
        <f>INDEX(Prioritization!$D:$D,MATCH($B165,Prioritization!$A:$A,0))</f>
        <v>1 - Scale-up: Saturation</v>
      </c>
      <c r="B165" t="s">
        <v>203</v>
      </c>
      <c r="C165" t="s">
        <v>366</v>
      </c>
      <c r="D165" t="s">
        <v>29</v>
      </c>
      <c r="E165" t="str">
        <f t="shared" si="51"/>
        <v>Chitipa District [GkIwZrXy1h2]|35-49|Female</v>
      </c>
      <c r="F165" s="14"/>
      <c r="G165" s="14"/>
      <c r="H165" s="14"/>
      <c r="I165" s="14"/>
      <c r="J165" s="14"/>
      <c r="K165" s="14"/>
      <c r="L165" s="14"/>
      <c r="M165" s="14"/>
      <c r="N165" s="14"/>
      <c r="O165" s="14" t="str">
        <f t="shared" si="52"/>
        <v/>
      </c>
      <c r="P165" s="14"/>
      <c r="Q165" s="14"/>
      <c r="R165" s="14" t="str">
        <f t="shared" si="53"/>
        <v/>
      </c>
      <c r="S165" s="14">
        <f>IF(LEFT($B165,4)="_Mil","",_xlfn.IFNA(ROUND(INDEX(Spectrum!$N:$N,MATCH(RIGHT($B165,13)&amp;"|"&amp;$C165&amp;"|"&amp;$D165&amp;"|"&amp;S$14&amp;"|"&amp;"CY2022Q4",Spectrum!$R:$R,0)),0),""))</f>
        <v>1895</v>
      </c>
      <c r="T165" s="42">
        <f>IF(LEFT($B165,4)="_Mil","",_xlfn.IFNA(ROUND(INDEX(Spectrum!$N:$N,MATCH(RIGHT($B165,13)&amp;"|"&amp;$C165&amp;"|"&amp;$D165&amp;"|"&amp;T$14&amp;"|"&amp;"CY2023Q3",Spectrum!$R:$R,0)),0),""))</f>
        <v>708</v>
      </c>
      <c r="U165" s="42" t="str">
        <f>IF(LEFT($B165,4)="_Mil","",_xlfn.IFNA(ROUND(INDEX(Spectrum!$N:$N,MATCH(RIGHT($B165,13)&amp;"|"&amp;$C165&amp;"|"&amp;$D165&amp;"|"&amp;U$14&amp;"|"&amp;"CY2023Q3",Spectrum!$R:$R,0)),0),""))</f>
        <v/>
      </c>
      <c r="V165" s="14">
        <f>IF(LEFT($B165,4)="_Mil","",_xlfn.IFNA(ROUND(INDEX(Spectrum!$N:$N,MATCH(RIGHT($B165,13)&amp;"|"&amp;$C165&amp;"|"&amp;$D165&amp;"|"&amp;V$14&amp;"|"&amp;"CY2023Q3",Spectrum!$R:$R,0)),0),""))</f>
        <v>1888</v>
      </c>
      <c r="W165" s="115">
        <f>IF(LEFT($B165,4)="_Mil","",_xlfn.IFNA(INDEX(Spectrum!$N:$N,MATCH(RIGHT($B165,13)&amp;"|"&amp;$C165&amp;"|"&amp;$D165&amp;"|"&amp;W$14&amp;"|"&amp;"CY2023Q3",Spectrum!$R:$R,0)),""))</f>
        <v>1179</v>
      </c>
      <c r="X165" s="42">
        <f>IF(LEFT($B165,4)="_Mil","",_xlfn.IFNA(ROUND(INDEX(Spectrum!$N:$N,MATCH(RIGHT($B165,13)&amp;"|"&amp;$C165&amp;"|"&amp;$D165&amp;"|"&amp;X$14&amp;"|"&amp;"CY2023Q3",Spectrum!$R:$R,0)),0),""))</f>
        <v>1359</v>
      </c>
      <c r="Y165" s="90" t="str">
        <f t="shared" si="54"/>
        <v/>
      </c>
      <c r="Z165" s="42">
        <f>IF(LEFT($B165,4)="_Mil","",_xlfn.IFNA(ROUND(INDEX(Spectrum!$N:$N,MATCH(RIGHT($B165,13)&amp;"|"&amp;$C165&amp;"|"&amp;$D165&amp;"|"&amp;Z$14&amp;"|"&amp;"CY2023Q3",Spectrum!$R:$R,0)),0),""))</f>
        <v>786</v>
      </c>
      <c r="AA165" s="90">
        <f>IF(LEFT($B165,4)="_Mil","",IFERROR(1/(1/INDEX(Spectrum!$N:$N,MATCH(RIGHT($B165,13)&amp;"|"&amp;$C165&amp;"|"&amp;$D165&amp;"|"&amp;AA$14&amp;"|"&amp;"CY2023Q3",Spectrum!$R:$R,0))),IF(SUM($U165)=0,"",SUM($Z165)/$U165)))</f>
        <v>1516</v>
      </c>
      <c r="AB165" s="90">
        <f t="shared" si="55"/>
        <v>0.57836644591611475</v>
      </c>
      <c r="AC165" s="14">
        <f>IF(LEFT($B165,4)="_Mil","",_xlfn.IFNA(ROUND(INDEX(Spectrum!$N:$N,MATCH(RIGHT($B165,13)&amp;"|"&amp;$C165&amp;"|"&amp;$D165&amp;"|"&amp;AC$14&amp;"|"&amp;"CY2023Q3",Spectrum!$R:$R,0)),0),""))</f>
        <v>1897</v>
      </c>
      <c r="AD165" s="14" t="str">
        <f>IF(LEFT($B165,4)="_Mil","",_xlfn.IFNA(ROUND(INDEX(Spectrum!$N:$N,MATCH(RIGHT($B165,13)&amp;"|"&amp;$C165&amp;"|"&amp;$D165&amp;"|"&amp;AD$14&amp;"|"&amp;"CY2023Q3",Spectrum!$R:$R,0)),0),""))</f>
        <v/>
      </c>
      <c r="AE165" s="90">
        <f t="shared" si="56"/>
        <v>0</v>
      </c>
      <c r="AF165" s="42" t="str">
        <f>IF(LEFT($B165,4)="_Mil","",_xlfn.IFNA(ROUND(INDEX(Spectrum!$N:$N,MATCH(RIGHT($B165,13)&amp;"|"&amp;$C165&amp;"|"&amp;$D165&amp;"|"&amp;AF$14&amp;"|"&amp;"CY2023Q3",Spectrum!$R:$R,0)),0),""))</f>
        <v/>
      </c>
      <c r="AG165" s="90" t="str">
        <f t="shared" si="57"/>
        <v/>
      </c>
      <c r="AH165" s="88" t="str">
        <f>IF(LEFT($B165,4)="_Mil","",_xlfn.IFNA(INDEX(Spectrum!$N:$N,MATCH(RIGHT($B165,13)&amp;"|"&amp;$C165&amp;"|"&amp;$D165&amp;"|"&amp;AH$14&amp;"|"&amp;"CY2023Q3",Spectrum!$R:$R,0)),""))</f>
        <v/>
      </c>
      <c r="AI165" s="14" t="str">
        <f>IF(LEFT($B165,4)="_Mil","",_xlfn.IFNA(ROUND(INDEX(Spectrum!$N:$N,MATCH(RIGHT($B165,13)&amp;"|"&amp;$C165&amp;"|"&amp;$D165&amp;"|"&amp;AI$14&amp;"|"&amp;"CY2023Q3",Spectrum!$R:$R,0)),0),""))</f>
        <v/>
      </c>
      <c r="AJ165" s="42">
        <f>IF(LEFT($B165,4)="_Mil","",_xlfn.IFNA(ROUND(INDEX(Spectrum!$N:$N,MATCH(RIGHT($B165,13)&amp;"|"&amp;$C165&amp;"|"&amp;$D165&amp;"|"&amp;AI$14&amp;"|"&amp;"CY2023Q3",Spectrum!$R:$R,0)),0),SUM($U165)+SUM($AI165)))</f>
        <v>0</v>
      </c>
      <c r="AK165" s="14" t="str">
        <f>IF(LEFT($B165,4)="_Mil","",_xlfn.IFNA(ROUND(INDEX(Spectrum!$N:$N,MATCH(RIGHT($B165,13)&amp;"|"&amp;$C165&amp;"|"&amp;$D165&amp;"|"&amp;AK$14&amp;"|"&amp;"CY2023Q3",Spectrum!$R:$R,0)),0),""))</f>
        <v/>
      </c>
      <c r="AL165" s="90">
        <f t="shared" si="58"/>
        <v>1516</v>
      </c>
      <c r="AM165" s="14">
        <f t="shared" si="59"/>
        <v>0</v>
      </c>
      <c r="AN165" s="14" t="str">
        <f>IF($C165="&lt;01",ROUND(INDEX(EID!$P:$P,MATCH($B165,EID!$B:$B,0))/2,0),"")</f>
        <v/>
      </c>
      <c r="AO165" s="14">
        <f t="shared" si="60"/>
        <v>0</v>
      </c>
      <c r="AP165" s="42">
        <f t="shared" si="61"/>
        <v>0</v>
      </c>
      <c r="AQ165" s="42">
        <f t="shared" si="62"/>
        <v>786</v>
      </c>
      <c r="AR165" s="90" t="str">
        <f t="shared" si="63"/>
        <v/>
      </c>
      <c r="AS165" s="90">
        <f t="shared" si="73"/>
        <v>0.98</v>
      </c>
      <c r="AT165" s="90">
        <f t="shared" si="73"/>
        <v>0.98</v>
      </c>
      <c r="AU165" s="14">
        <f t="shared" si="64"/>
        <v>0</v>
      </c>
      <c r="AV165" s="14">
        <f>IF($C165="&lt;01",ROUND(INDEX(EID!$N:$N,MATCH($B165,EID!$B:$B,0))/2,0),IF(SUM($AT165)=0,"",ROUND((SUM($AP165)-(SUM($O165)*SUM($AS165)))/$AT165,0)))</f>
        <v>0</v>
      </c>
      <c r="AW165" s="90">
        <f t="shared" si="65"/>
        <v>1</v>
      </c>
      <c r="AX165" s="42">
        <f t="shared" si="66"/>
        <v>0</v>
      </c>
      <c r="AY165" s="116">
        <f t="shared" si="67"/>
        <v>0.7</v>
      </c>
      <c r="AZ165" s="93">
        <f>IF($C165="&lt;01",ROUND(INDEX(EID!$R:$R,MATCH($B165,EID!$B:$B,0))/2,0),ROUND(SUM($O165)+(SUM($AV165)*$AY165),0))</f>
        <v>0</v>
      </c>
      <c r="BA165" s="89">
        <f t="shared" si="68"/>
        <v>0.95</v>
      </c>
      <c r="BB165" s="9">
        <f>IF($C165="&lt;01",ROUND(INDEX(EID!$T:$T,MATCH($B165,EID!$B:$B,0))/2,0),ROUND($AZ165*$BA165,0))</f>
        <v>0</v>
      </c>
      <c r="BC165" s="93">
        <f t="shared" si="69"/>
        <v>0</v>
      </c>
      <c r="BD165" s="90">
        <f t="shared" si="70"/>
        <v>0.95</v>
      </c>
      <c r="BE165" s="42">
        <f>IF($C165="&lt;01",ROUND(INDEX(EID!$V:$V,MATCH($B165,EID!$B:$B,0))/2,0),ROUND($BD165*$BB165,0))</f>
        <v>0</v>
      </c>
      <c r="BF165" s="42">
        <f t="shared" si="71"/>
        <v>0</v>
      </c>
      <c r="BG165" s="116">
        <f t="shared" si="72"/>
        <v>0.95</v>
      </c>
      <c r="BH165" s="9">
        <f>IF($C165="&lt;01",ROUND(INDEX(EID!$L:$L,MATCH($B165,EID!$B:$B,0)),0)/2,IF(SUM($BG165)=0,"",ROUND($AX165/$BG165,0)))</f>
        <v>0</v>
      </c>
    </row>
    <row r="166" spans="1:60" x14ac:dyDescent="0.2">
      <c r="A166" t="str">
        <f>INDEX(Prioritization!$D:$D,MATCH($B166,Prioritization!$A:$A,0))</f>
        <v>1 - Scale-up: Saturation</v>
      </c>
      <c r="B166" t="s">
        <v>203</v>
      </c>
      <c r="C166" t="s">
        <v>366</v>
      </c>
      <c r="D166" t="s">
        <v>47</v>
      </c>
      <c r="E166" t="str">
        <f t="shared" si="51"/>
        <v>Chitipa District [GkIwZrXy1h2]|35-49|Male</v>
      </c>
      <c r="F166" s="14"/>
      <c r="G166" s="14"/>
      <c r="H166" s="14"/>
      <c r="I166" s="14"/>
      <c r="J166" s="14"/>
      <c r="K166" s="14"/>
      <c r="L166" s="14"/>
      <c r="M166" s="14"/>
      <c r="N166" s="14"/>
      <c r="O166" s="14" t="str">
        <f t="shared" si="52"/>
        <v/>
      </c>
      <c r="P166" s="14"/>
      <c r="Q166" s="14"/>
      <c r="R166" s="14" t="str">
        <f t="shared" si="53"/>
        <v/>
      </c>
      <c r="S166" s="14">
        <f>IF(LEFT($B166,4)="_Mil","",_xlfn.IFNA(ROUND(INDEX(Spectrum!$N:$N,MATCH(RIGHT($B166,13)&amp;"|"&amp;$C166&amp;"|"&amp;$D166&amp;"|"&amp;S$14&amp;"|"&amp;"CY2022Q4",Spectrum!$R:$R,0)),0),""))</f>
        <v>1194</v>
      </c>
      <c r="T166" s="42">
        <f>IF(LEFT($B166,4)="_Mil","",_xlfn.IFNA(ROUND(INDEX(Spectrum!$N:$N,MATCH(RIGHT($B166,13)&amp;"|"&amp;$C166&amp;"|"&amp;$D166&amp;"|"&amp;T$14&amp;"|"&amp;"CY2023Q3",Spectrum!$R:$R,0)),0),""))</f>
        <v>687</v>
      </c>
      <c r="U166" s="42" t="str">
        <f>IF(LEFT($B166,4)="_Mil","",_xlfn.IFNA(ROUND(INDEX(Spectrum!$N:$N,MATCH(RIGHT($B166,13)&amp;"|"&amp;$C166&amp;"|"&amp;$D166&amp;"|"&amp;U$14&amp;"|"&amp;"CY2023Q3",Spectrum!$R:$R,0)),0),""))</f>
        <v/>
      </c>
      <c r="V166" s="14">
        <f>IF(LEFT($B166,4)="_Mil","",_xlfn.IFNA(ROUND(INDEX(Spectrum!$N:$N,MATCH(RIGHT($B166,13)&amp;"|"&amp;$C166&amp;"|"&amp;$D166&amp;"|"&amp;V$14&amp;"|"&amp;"CY2023Q3",Spectrum!$R:$R,0)),0),""))</f>
        <v>1221</v>
      </c>
      <c r="W166" s="115">
        <f>IF(LEFT($B166,4)="_Mil","",_xlfn.IFNA(INDEX(Spectrum!$N:$N,MATCH(RIGHT($B166,13)&amp;"|"&amp;$C166&amp;"|"&amp;$D166&amp;"|"&amp;W$14&amp;"|"&amp;"CY2023Q3",Spectrum!$R:$R,0)),""))</f>
        <v>987</v>
      </c>
      <c r="X166" s="42">
        <f>IF(LEFT($B166,4)="_Mil","",_xlfn.IFNA(ROUND(INDEX(Spectrum!$N:$N,MATCH(RIGHT($B166,13)&amp;"|"&amp;$C166&amp;"|"&amp;$D166&amp;"|"&amp;X$14&amp;"|"&amp;"CY2023Q3",Spectrum!$R:$R,0)),0),""))</f>
        <v>748</v>
      </c>
      <c r="Y166" s="90" t="str">
        <f t="shared" si="54"/>
        <v/>
      </c>
      <c r="Z166" s="42">
        <f>IF(LEFT($B166,4)="_Mil","",_xlfn.IFNA(ROUND(INDEX(Spectrum!$N:$N,MATCH(RIGHT($B166,13)&amp;"|"&amp;$C166&amp;"|"&amp;$D166&amp;"|"&amp;Z$14&amp;"|"&amp;"CY2023Q3",Spectrum!$R:$R,0)),0),""))</f>
        <v>1938</v>
      </c>
      <c r="AA166" s="90">
        <f>IF(LEFT($B166,4)="_Mil","",IFERROR(1/(1/INDEX(Spectrum!$N:$N,MATCH(RIGHT($B166,13)&amp;"|"&amp;$C166&amp;"|"&amp;$D166&amp;"|"&amp;AA$14&amp;"|"&amp;"CY2023Q3",Spectrum!$R:$R,0))),IF(SUM($U166)=0,"",SUM($Z166)/$U166)))</f>
        <v>1192</v>
      </c>
      <c r="AB166" s="90">
        <f t="shared" si="55"/>
        <v>2.5909090909090908</v>
      </c>
      <c r="AC166" s="14">
        <f>IF(LEFT($B166,4)="_Mil","",_xlfn.IFNA(ROUND(INDEX(Spectrum!$N:$N,MATCH(RIGHT($B166,13)&amp;"|"&amp;$C166&amp;"|"&amp;$D166&amp;"|"&amp;AC$14&amp;"|"&amp;"CY2023Q3",Spectrum!$R:$R,0)),0),""))</f>
        <v>1369</v>
      </c>
      <c r="AD166" s="14" t="str">
        <f>IF(LEFT($B166,4)="_Mil","",_xlfn.IFNA(ROUND(INDEX(Spectrum!$N:$N,MATCH(RIGHT($B166,13)&amp;"|"&amp;$C166&amp;"|"&amp;$D166&amp;"|"&amp;AD$14&amp;"|"&amp;"CY2023Q3",Spectrum!$R:$R,0)),0),""))</f>
        <v/>
      </c>
      <c r="AE166" s="90">
        <f t="shared" si="56"/>
        <v>0</v>
      </c>
      <c r="AF166" s="42" t="str">
        <f>IF(LEFT($B166,4)="_Mil","",_xlfn.IFNA(ROUND(INDEX(Spectrum!$N:$N,MATCH(RIGHT($B166,13)&amp;"|"&amp;$C166&amp;"|"&amp;$D166&amp;"|"&amp;AF$14&amp;"|"&amp;"CY2023Q3",Spectrum!$R:$R,0)),0),""))</f>
        <v/>
      </c>
      <c r="AG166" s="90" t="str">
        <f t="shared" si="57"/>
        <v/>
      </c>
      <c r="AH166" s="88" t="str">
        <f>IF(LEFT($B166,4)="_Mil","",_xlfn.IFNA(INDEX(Spectrum!$N:$N,MATCH(RIGHT($B166,13)&amp;"|"&amp;$C166&amp;"|"&amp;$D166&amp;"|"&amp;AH$14&amp;"|"&amp;"CY2023Q3",Spectrum!$R:$R,0)),""))</f>
        <v/>
      </c>
      <c r="AI166" s="14" t="str">
        <f>IF(LEFT($B166,4)="_Mil","",_xlfn.IFNA(ROUND(INDEX(Spectrum!$N:$N,MATCH(RIGHT($B166,13)&amp;"|"&amp;$C166&amp;"|"&amp;$D166&amp;"|"&amp;AI$14&amp;"|"&amp;"CY2023Q3",Spectrum!$R:$R,0)),0),""))</f>
        <v/>
      </c>
      <c r="AJ166" s="42">
        <f>IF(LEFT($B166,4)="_Mil","",_xlfn.IFNA(ROUND(INDEX(Spectrum!$N:$N,MATCH(RIGHT($B166,13)&amp;"|"&amp;$C166&amp;"|"&amp;$D166&amp;"|"&amp;AI$14&amp;"|"&amp;"CY2023Q3",Spectrum!$R:$R,0)),0),SUM($U166)+SUM($AI166)))</f>
        <v>0</v>
      </c>
      <c r="AK166" s="14" t="str">
        <f>IF(LEFT($B166,4)="_Mil","",_xlfn.IFNA(ROUND(INDEX(Spectrum!$N:$N,MATCH(RIGHT($B166,13)&amp;"|"&amp;$C166&amp;"|"&amp;$D166&amp;"|"&amp;AK$14&amp;"|"&amp;"CY2023Q3",Spectrum!$R:$R,0)),0),""))</f>
        <v/>
      </c>
      <c r="AL166" s="90">
        <f t="shared" si="58"/>
        <v>1192</v>
      </c>
      <c r="AM166" s="14">
        <f t="shared" si="59"/>
        <v>0</v>
      </c>
      <c r="AN166" s="14" t="str">
        <f>IF($C166="&lt;01",ROUND(INDEX(EID!$P:$P,MATCH($B166,EID!$B:$B,0))/2,0),"")</f>
        <v/>
      </c>
      <c r="AO166" s="14">
        <f t="shared" si="60"/>
        <v>0</v>
      </c>
      <c r="AP166" s="42">
        <f t="shared" si="61"/>
        <v>0</v>
      </c>
      <c r="AQ166" s="42">
        <f t="shared" si="62"/>
        <v>1938</v>
      </c>
      <c r="AR166" s="90" t="str">
        <f t="shared" si="63"/>
        <v/>
      </c>
      <c r="AS166" s="90">
        <f t="shared" si="73"/>
        <v>0.98</v>
      </c>
      <c r="AT166" s="90">
        <f t="shared" si="73"/>
        <v>0.98</v>
      </c>
      <c r="AU166" s="14">
        <f t="shared" si="64"/>
        <v>0</v>
      </c>
      <c r="AV166" s="14">
        <f>IF($C166="&lt;01",ROUND(INDEX(EID!$N:$N,MATCH($B166,EID!$B:$B,0))/2,0),IF(SUM($AT166)=0,"",ROUND((SUM($AP166)-(SUM($O166)*SUM($AS166)))/$AT166,0)))</f>
        <v>0</v>
      </c>
      <c r="AW166" s="90">
        <f t="shared" si="65"/>
        <v>1</v>
      </c>
      <c r="AX166" s="42">
        <f t="shared" si="66"/>
        <v>0</v>
      </c>
      <c r="AY166" s="116">
        <f t="shared" si="67"/>
        <v>0.7</v>
      </c>
      <c r="AZ166" s="93">
        <f>IF($C166="&lt;01",ROUND(INDEX(EID!$R:$R,MATCH($B166,EID!$B:$B,0))/2,0),ROUND(SUM($O166)+(SUM($AV166)*$AY166),0))</f>
        <v>0</v>
      </c>
      <c r="BA166" s="89">
        <f t="shared" si="68"/>
        <v>0.95</v>
      </c>
      <c r="BB166" s="9">
        <f>IF($C166="&lt;01",ROUND(INDEX(EID!$T:$T,MATCH($B166,EID!$B:$B,0))/2,0),ROUND($AZ166*$BA166,0))</f>
        <v>0</v>
      </c>
      <c r="BC166" s="93">
        <f t="shared" si="69"/>
        <v>0</v>
      </c>
      <c r="BD166" s="90">
        <f t="shared" si="70"/>
        <v>0.95</v>
      </c>
      <c r="BE166" s="42">
        <f>IF($C166="&lt;01",ROUND(INDEX(EID!$V:$V,MATCH($B166,EID!$B:$B,0))/2,0),ROUND($BD166*$BB166,0))</f>
        <v>0</v>
      </c>
      <c r="BF166" s="42">
        <f t="shared" si="71"/>
        <v>0</v>
      </c>
      <c r="BG166" s="116">
        <f t="shared" si="72"/>
        <v>0.95</v>
      </c>
      <c r="BH166" s="9">
        <f>IF($C166="&lt;01",ROUND(INDEX(EID!$L:$L,MATCH($B166,EID!$B:$B,0)),0)/2,IF(SUM($BG166)=0,"",ROUND($AX166/$BG166,0)))</f>
        <v>0</v>
      </c>
    </row>
    <row r="167" spans="1:60" x14ac:dyDescent="0.2">
      <c r="A167" t="str">
        <f>INDEX(Prioritization!$D:$D,MATCH($B167,Prioritization!$A:$A,0))</f>
        <v>1 - Scale-up: Saturation</v>
      </c>
      <c r="B167" t="s">
        <v>203</v>
      </c>
      <c r="C167" t="s">
        <v>367</v>
      </c>
      <c r="D167" t="s">
        <v>29</v>
      </c>
      <c r="E167" t="str">
        <f t="shared" si="51"/>
        <v>Chitipa District [GkIwZrXy1h2]|50+|Female</v>
      </c>
      <c r="F167" s="14"/>
      <c r="G167" s="14"/>
      <c r="H167" s="14"/>
      <c r="I167" s="14"/>
      <c r="J167" s="14"/>
      <c r="K167" s="14"/>
      <c r="L167" s="14"/>
      <c r="M167" s="14"/>
      <c r="N167" s="14"/>
      <c r="O167" s="14" t="str">
        <f t="shared" si="52"/>
        <v/>
      </c>
      <c r="P167" s="14"/>
      <c r="Q167" s="14"/>
      <c r="R167" s="14" t="str">
        <f t="shared" si="53"/>
        <v/>
      </c>
      <c r="S167" s="14">
        <f>IF(LEFT($B167,4)="_Mil","",_xlfn.IFNA(ROUND(INDEX(Spectrum!$N:$N,MATCH(RIGHT($B167,13)&amp;"|"&amp;$C167&amp;"|"&amp;$D167&amp;"|"&amp;S$14&amp;"|"&amp;"CY2022Q4",Spectrum!$R:$R,0)),0),""))</f>
        <v>1853</v>
      </c>
      <c r="T167" s="42">
        <f>IF(LEFT($B167,4)="_Mil","",_xlfn.IFNA(ROUND(INDEX(Spectrum!$N:$N,MATCH(RIGHT($B167,13)&amp;"|"&amp;$C167&amp;"|"&amp;$D167&amp;"|"&amp;T$14&amp;"|"&amp;"CY2023Q3",Spectrum!$R:$R,0)),0),""))</f>
        <v>1175</v>
      </c>
      <c r="U167" s="42" t="str">
        <f>IF(LEFT($B167,4)="_Mil","",_xlfn.IFNA(ROUND(INDEX(Spectrum!$N:$N,MATCH(RIGHT($B167,13)&amp;"|"&amp;$C167&amp;"|"&amp;$D167&amp;"|"&amp;U$14&amp;"|"&amp;"CY2023Q3",Spectrum!$R:$R,0)),0),""))</f>
        <v/>
      </c>
      <c r="V167" s="14">
        <f>IF(LEFT($B167,4)="_Mil","",_xlfn.IFNA(ROUND(INDEX(Spectrum!$N:$N,MATCH(RIGHT($B167,13)&amp;"|"&amp;$C167&amp;"|"&amp;$D167&amp;"|"&amp;V$14&amp;"|"&amp;"CY2023Q3",Spectrum!$R:$R,0)),0),""))</f>
        <v>971</v>
      </c>
      <c r="W167" s="115">
        <f>IF(LEFT($B167,4)="_Mil","",_xlfn.IFNA(INDEX(Spectrum!$N:$N,MATCH(RIGHT($B167,13)&amp;"|"&amp;$C167&amp;"|"&amp;$D167&amp;"|"&amp;W$14&amp;"|"&amp;"CY2023Q3",Spectrum!$R:$R,0)),""))</f>
        <v>1183</v>
      </c>
      <c r="X167" s="42">
        <f>IF(LEFT($B167,4)="_Mil","",_xlfn.IFNA(ROUND(INDEX(Spectrum!$N:$N,MATCH(RIGHT($B167,13)&amp;"|"&amp;$C167&amp;"|"&amp;$D167&amp;"|"&amp;X$14&amp;"|"&amp;"CY2023Q3",Spectrum!$R:$R,0)),0),""))</f>
        <v>674</v>
      </c>
      <c r="Y167" s="90" t="str">
        <f t="shared" si="54"/>
        <v/>
      </c>
      <c r="Z167" s="42">
        <f>IF(LEFT($B167,4)="_Mil","",_xlfn.IFNA(ROUND(INDEX(Spectrum!$N:$N,MATCH(RIGHT($B167,13)&amp;"|"&amp;$C167&amp;"|"&amp;$D167&amp;"|"&amp;Z$14&amp;"|"&amp;"CY2023Q3",Spectrum!$R:$R,0)),0),""))</f>
        <v>1050</v>
      </c>
      <c r="AA167" s="90">
        <f>IF(LEFT($B167,4)="_Mil","",IFERROR(1/(1/INDEX(Spectrum!$N:$N,MATCH(RIGHT($B167,13)&amp;"|"&amp;$C167&amp;"|"&amp;$D167&amp;"|"&amp;AA$14&amp;"|"&amp;"CY2023Q3",Spectrum!$R:$R,0))),IF(SUM($U167)=0,"",SUM($Z167)/$U167)))</f>
        <v>868</v>
      </c>
      <c r="AB167" s="90">
        <f t="shared" si="55"/>
        <v>1.5578635014836795</v>
      </c>
      <c r="AC167" s="14">
        <f>IF(LEFT($B167,4)="_Mil","",_xlfn.IFNA(ROUND(INDEX(Spectrum!$N:$N,MATCH(RIGHT($B167,13)&amp;"|"&amp;$C167&amp;"|"&amp;$D167&amp;"|"&amp;AC$14&amp;"|"&amp;"CY2023Q3",Spectrum!$R:$R,0)),0),""))</f>
        <v>586</v>
      </c>
      <c r="AD167" s="14" t="str">
        <f>IF(LEFT($B167,4)="_Mil","",_xlfn.IFNA(ROUND(INDEX(Spectrum!$N:$N,MATCH(RIGHT($B167,13)&amp;"|"&amp;$C167&amp;"|"&amp;$D167&amp;"|"&amp;AD$14&amp;"|"&amp;"CY2023Q3",Spectrum!$R:$R,0)),0),""))</f>
        <v/>
      </c>
      <c r="AE167" s="90">
        <f t="shared" si="56"/>
        <v>0</v>
      </c>
      <c r="AF167" s="42" t="str">
        <f>IF(LEFT($B167,4)="_Mil","",_xlfn.IFNA(ROUND(INDEX(Spectrum!$N:$N,MATCH(RIGHT($B167,13)&amp;"|"&amp;$C167&amp;"|"&amp;$D167&amp;"|"&amp;AF$14&amp;"|"&amp;"CY2023Q3",Spectrum!$R:$R,0)),0),""))</f>
        <v/>
      </c>
      <c r="AG167" s="90" t="str">
        <f t="shared" si="57"/>
        <v/>
      </c>
      <c r="AH167" s="88" t="str">
        <f>IF(LEFT($B167,4)="_Mil","",_xlfn.IFNA(INDEX(Spectrum!$N:$N,MATCH(RIGHT($B167,13)&amp;"|"&amp;$C167&amp;"|"&amp;$D167&amp;"|"&amp;AH$14&amp;"|"&amp;"CY2023Q3",Spectrum!$R:$R,0)),""))</f>
        <v/>
      </c>
      <c r="AI167" s="14" t="str">
        <f>IF(LEFT($B167,4)="_Mil","",_xlfn.IFNA(ROUND(INDEX(Spectrum!$N:$N,MATCH(RIGHT($B167,13)&amp;"|"&amp;$C167&amp;"|"&amp;$D167&amp;"|"&amp;AI$14&amp;"|"&amp;"CY2023Q3",Spectrum!$R:$R,0)),0),""))</f>
        <v/>
      </c>
      <c r="AJ167" s="42">
        <f>IF(LEFT($B167,4)="_Mil","",_xlfn.IFNA(ROUND(INDEX(Spectrum!$N:$N,MATCH(RIGHT($B167,13)&amp;"|"&amp;$C167&amp;"|"&amp;$D167&amp;"|"&amp;AI$14&amp;"|"&amp;"CY2023Q3",Spectrum!$R:$R,0)),0),SUM($U167)+SUM($AI167)))</f>
        <v>0</v>
      </c>
      <c r="AK167" s="14" t="str">
        <f>IF(LEFT($B167,4)="_Mil","",_xlfn.IFNA(ROUND(INDEX(Spectrum!$N:$N,MATCH(RIGHT($B167,13)&amp;"|"&amp;$C167&amp;"|"&amp;$D167&amp;"|"&amp;AK$14&amp;"|"&amp;"CY2023Q3",Spectrum!$R:$R,0)),0),""))</f>
        <v/>
      </c>
      <c r="AL167" s="90">
        <f t="shared" si="58"/>
        <v>868</v>
      </c>
      <c r="AM167" s="14">
        <f t="shared" si="59"/>
        <v>0</v>
      </c>
      <c r="AN167" s="14" t="str">
        <f>IF($C167="&lt;01",ROUND(INDEX(EID!$P:$P,MATCH($B167,EID!$B:$B,0))/2,0),"")</f>
        <v/>
      </c>
      <c r="AO167" s="14">
        <f t="shared" si="60"/>
        <v>0</v>
      </c>
      <c r="AP167" s="42">
        <f t="shared" si="61"/>
        <v>0</v>
      </c>
      <c r="AQ167" s="42">
        <f t="shared" si="62"/>
        <v>1050</v>
      </c>
      <c r="AR167" s="90" t="str">
        <f t="shared" si="63"/>
        <v/>
      </c>
      <c r="AS167" s="90">
        <f t="shared" si="73"/>
        <v>0.98</v>
      </c>
      <c r="AT167" s="90">
        <f t="shared" si="73"/>
        <v>0.98</v>
      </c>
      <c r="AU167" s="14">
        <f t="shared" si="64"/>
        <v>0</v>
      </c>
      <c r="AV167" s="14">
        <f>IF($C167="&lt;01",ROUND(INDEX(EID!$N:$N,MATCH($B167,EID!$B:$B,0))/2,0),IF(SUM($AT167)=0,"",ROUND((SUM($AP167)-(SUM($O167)*SUM($AS167)))/$AT167,0)))</f>
        <v>0</v>
      </c>
      <c r="AW167" s="90">
        <f t="shared" si="65"/>
        <v>1</v>
      </c>
      <c r="AX167" s="42">
        <f t="shared" si="66"/>
        <v>0</v>
      </c>
      <c r="AY167" s="116">
        <f t="shared" si="67"/>
        <v>0.7</v>
      </c>
      <c r="AZ167" s="93">
        <f>IF($C167="&lt;01",ROUND(INDEX(EID!$R:$R,MATCH($B167,EID!$B:$B,0))/2,0),ROUND(SUM($O167)+(SUM($AV167)*$AY167),0))</f>
        <v>0</v>
      </c>
      <c r="BA167" s="89">
        <f t="shared" si="68"/>
        <v>0.95</v>
      </c>
      <c r="BB167" s="9">
        <f>IF($C167="&lt;01",ROUND(INDEX(EID!$T:$T,MATCH($B167,EID!$B:$B,0))/2,0),ROUND($AZ167*$BA167,0))</f>
        <v>0</v>
      </c>
      <c r="BC167" s="93">
        <f t="shared" si="69"/>
        <v>0</v>
      </c>
      <c r="BD167" s="90">
        <f t="shared" si="70"/>
        <v>0.95</v>
      </c>
      <c r="BE167" s="42">
        <f>IF($C167="&lt;01",ROUND(INDEX(EID!$V:$V,MATCH($B167,EID!$B:$B,0))/2,0),ROUND($BD167*$BB167,0))</f>
        <v>0</v>
      </c>
      <c r="BF167" s="42">
        <f t="shared" si="71"/>
        <v>0</v>
      </c>
      <c r="BG167" s="116">
        <f t="shared" si="72"/>
        <v>0.95</v>
      </c>
      <c r="BH167" s="9">
        <f>IF($C167="&lt;01",ROUND(INDEX(EID!$L:$L,MATCH($B167,EID!$B:$B,0)),0)/2,IF(SUM($BG167)=0,"",ROUND($AX167/$BG167,0)))</f>
        <v>0</v>
      </c>
    </row>
    <row r="168" spans="1:60" x14ac:dyDescent="0.2">
      <c r="A168" t="str">
        <f>INDEX(Prioritization!$D:$D,MATCH($B168,Prioritization!$A:$A,0))</f>
        <v>1 - Scale-up: Saturation</v>
      </c>
      <c r="B168" t="s">
        <v>203</v>
      </c>
      <c r="C168" t="s">
        <v>367</v>
      </c>
      <c r="D168" t="s">
        <v>47</v>
      </c>
      <c r="E168" t="str">
        <f t="shared" si="51"/>
        <v>Chitipa District [GkIwZrXy1h2]|50+|Male</v>
      </c>
      <c r="F168" s="14"/>
      <c r="G168" s="14"/>
      <c r="H168" s="14"/>
      <c r="I168" s="14"/>
      <c r="J168" s="14"/>
      <c r="K168" s="14"/>
      <c r="L168" s="14"/>
      <c r="M168" s="14"/>
      <c r="N168" s="14"/>
      <c r="O168" s="14" t="str">
        <f t="shared" si="52"/>
        <v/>
      </c>
      <c r="P168" s="14"/>
      <c r="Q168" s="14"/>
      <c r="R168" s="14" t="str">
        <f t="shared" si="53"/>
        <v/>
      </c>
      <c r="S168" s="14">
        <f>IF(LEFT($B168,4)="_Mil","",_xlfn.IFNA(ROUND(INDEX(Spectrum!$N:$N,MATCH(RIGHT($B168,13)&amp;"|"&amp;$C168&amp;"|"&amp;$D168&amp;"|"&amp;S$14&amp;"|"&amp;"CY2022Q4",Spectrum!$R:$R,0)),0),""))</f>
        <v>679</v>
      </c>
      <c r="T168" s="42">
        <f>IF(LEFT($B168,4)="_Mil","",_xlfn.IFNA(ROUND(INDEX(Spectrum!$N:$N,MATCH(RIGHT($B168,13)&amp;"|"&amp;$C168&amp;"|"&amp;$D168&amp;"|"&amp;T$14&amp;"|"&amp;"CY2023Q3",Spectrum!$R:$R,0)),0),""))</f>
        <v>696</v>
      </c>
      <c r="U168" s="42" t="str">
        <f>IF(LEFT($B168,4)="_Mil","",_xlfn.IFNA(ROUND(INDEX(Spectrum!$N:$N,MATCH(RIGHT($B168,13)&amp;"|"&amp;$C168&amp;"|"&amp;$D168&amp;"|"&amp;U$14&amp;"|"&amp;"CY2023Q3",Spectrum!$R:$R,0)),0),""))</f>
        <v/>
      </c>
      <c r="V168" s="14">
        <f>IF(LEFT($B168,4)="_Mil","",_xlfn.IFNA(ROUND(INDEX(Spectrum!$N:$N,MATCH(RIGHT($B168,13)&amp;"|"&amp;$C168&amp;"|"&amp;$D168&amp;"|"&amp;V$14&amp;"|"&amp;"CY2023Q3",Spectrum!$R:$R,0)),0),""))</f>
        <v>1375</v>
      </c>
      <c r="W168" s="115">
        <f>IF(LEFT($B168,4)="_Mil","",_xlfn.IFNA(INDEX(Spectrum!$N:$N,MATCH(RIGHT($B168,13)&amp;"|"&amp;$C168&amp;"|"&amp;$D168&amp;"|"&amp;W$14&amp;"|"&amp;"CY2023Q3",Spectrum!$R:$R,0)),""))</f>
        <v>1130</v>
      </c>
      <c r="X168" s="42">
        <f>IF(LEFT($B168,4)="_Mil","",_xlfn.IFNA(ROUND(INDEX(Spectrum!$N:$N,MATCH(RIGHT($B168,13)&amp;"|"&amp;$C168&amp;"|"&amp;$D168&amp;"|"&amp;X$14&amp;"|"&amp;"CY2023Q3",Spectrum!$R:$R,0)),0),""))</f>
        <v>1089</v>
      </c>
      <c r="Y168" s="90" t="str">
        <f t="shared" si="54"/>
        <v/>
      </c>
      <c r="Z168" s="42">
        <f>IF(LEFT($B168,4)="_Mil","",_xlfn.IFNA(ROUND(INDEX(Spectrum!$N:$N,MATCH(RIGHT($B168,13)&amp;"|"&amp;$C168&amp;"|"&amp;$D168&amp;"|"&amp;Z$14&amp;"|"&amp;"CY2023Q3",Spectrum!$R:$R,0)),0),""))</f>
        <v>1126</v>
      </c>
      <c r="AA168" s="90">
        <f>IF(LEFT($B168,4)="_Mil","",IFERROR(1/(1/INDEX(Spectrum!$N:$N,MATCH(RIGHT($B168,13)&amp;"|"&amp;$C168&amp;"|"&amp;$D168&amp;"|"&amp;AA$14&amp;"|"&amp;"CY2023Q3",Spectrum!$R:$R,0))),IF(SUM($U168)=0,"",SUM($Z168)/$U168)))</f>
        <v>1815.9999999999998</v>
      </c>
      <c r="AB168" s="90">
        <f t="shared" si="55"/>
        <v>1.0339761248852157</v>
      </c>
      <c r="AC168" s="14">
        <f>IF(LEFT($B168,4)="_Mil","",_xlfn.IFNA(ROUND(INDEX(Spectrum!$N:$N,MATCH(RIGHT($B168,13)&amp;"|"&amp;$C168&amp;"|"&amp;$D168&amp;"|"&amp;AC$14&amp;"|"&amp;"CY2023Q3",Spectrum!$R:$R,0)),0),""))</f>
        <v>1415</v>
      </c>
      <c r="AD168" s="14" t="str">
        <f>IF(LEFT($B168,4)="_Mil","",_xlfn.IFNA(ROUND(INDEX(Spectrum!$N:$N,MATCH(RIGHT($B168,13)&amp;"|"&amp;$C168&amp;"|"&amp;$D168&amp;"|"&amp;AD$14&amp;"|"&amp;"CY2023Q3",Spectrum!$R:$R,0)),0),""))</f>
        <v/>
      </c>
      <c r="AE168" s="90">
        <f t="shared" si="56"/>
        <v>0</v>
      </c>
      <c r="AF168" s="42" t="str">
        <f>IF(LEFT($B168,4)="_Mil","",_xlfn.IFNA(ROUND(INDEX(Spectrum!$N:$N,MATCH(RIGHT($B168,13)&amp;"|"&amp;$C168&amp;"|"&amp;$D168&amp;"|"&amp;AF$14&amp;"|"&amp;"CY2023Q3",Spectrum!$R:$R,0)),0),""))</f>
        <v/>
      </c>
      <c r="AG168" s="90" t="str">
        <f t="shared" si="57"/>
        <v/>
      </c>
      <c r="AH168" s="88" t="str">
        <f>IF(LEFT($B168,4)="_Mil","",_xlfn.IFNA(INDEX(Spectrum!$N:$N,MATCH(RIGHT($B168,13)&amp;"|"&amp;$C168&amp;"|"&amp;$D168&amp;"|"&amp;AH$14&amp;"|"&amp;"CY2023Q3",Spectrum!$R:$R,0)),""))</f>
        <v/>
      </c>
      <c r="AI168" s="14" t="str">
        <f>IF(LEFT($B168,4)="_Mil","",_xlfn.IFNA(ROUND(INDEX(Spectrum!$N:$N,MATCH(RIGHT($B168,13)&amp;"|"&amp;$C168&amp;"|"&amp;$D168&amp;"|"&amp;AI$14&amp;"|"&amp;"CY2023Q3",Spectrum!$R:$R,0)),0),""))</f>
        <v/>
      </c>
      <c r="AJ168" s="42">
        <f>IF(LEFT($B168,4)="_Mil","",_xlfn.IFNA(ROUND(INDEX(Spectrum!$N:$N,MATCH(RIGHT($B168,13)&amp;"|"&amp;$C168&amp;"|"&amp;$D168&amp;"|"&amp;AI$14&amp;"|"&amp;"CY2023Q3",Spectrum!$R:$R,0)),0),SUM($U168)+SUM($AI168)))</f>
        <v>0</v>
      </c>
      <c r="AK168" s="14" t="str">
        <f>IF(LEFT($B168,4)="_Mil","",_xlfn.IFNA(ROUND(INDEX(Spectrum!$N:$N,MATCH(RIGHT($B168,13)&amp;"|"&amp;$C168&amp;"|"&amp;$D168&amp;"|"&amp;AK$14&amp;"|"&amp;"CY2023Q3",Spectrum!$R:$R,0)),0),""))</f>
        <v/>
      </c>
      <c r="AL168" s="90">
        <f t="shared" si="58"/>
        <v>1815.9999999999998</v>
      </c>
      <c r="AM168" s="14">
        <f t="shared" si="59"/>
        <v>0</v>
      </c>
      <c r="AN168" s="14" t="str">
        <f>IF($C168="&lt;01",ROUND(INDEX(EID!$P:$P,MATCH($B168,EID!$B:$B,0))/2,0),"")</f>
        <v/>
      </c>
      <c r="AO168" s="14">
        <f t="shared" si="60"/>
        <v>0</v>
      </c>
      <c r="AP168" s="42">
        <f t="shared" si="61"/>
        <v>0</v>
      </c>
      <c r="AQ168" s="42">
        <f t="shared" si="62"/>
        <v>1126</v>
      </c>
      <c r="AR168" s="90" t="str">
        <f t="shared" si="63"/>
        <v/>
      </c>
      <c r="AS168" s="90">
        <f t="shared" si="73"/>
        <v>0.98</v>
      </c>
      <c r="AT168" s="90">
        <f t="shared" si="73"/>
        <v>0.98</v>
      </c>
      <c r="AU168" s="14">
        <f t="shared" si="64"/>
        <v>0</v>
      </c>
      <c r="AV168" s="14">
        <f>IF($C168="&lt;01",ROUND(INDEX(EID!$N:$N,MATCH($B168,EID!$B:$B,0))/2,0),IF(SUM($AT168)=0,"",ROUND((SUM($AP168)-(SUM($O168)*SUM($AS168)))/$AT168,0)))</f>
        <v>0</v>
      </c>
      <c r="AW168" s="90">
        <f t="shared" si="65"/>
        <v>1</v>
      </c>
      <c r="AX168" s="42">
        <f t="shared" si="66"/>
        <v>0</v>
      </c>
      <c r="AY168" s="116">
        <f t="shared" si="67"/>
        <v>0.7</v>
      </c>
      <c r="AZ168" s="93">
        <f>IF($C168="&lt;01",ROUND(INDEX(EID!$R:$R,MATCH($B168,EID!$B:$B,0))/2,0),ROUND(SUM($O168)+(SUM($AV168)*$AY168),0))</f>
        <v>0</v>
      </c>
      <c r="BA168" s="89">
        <f t="shared" si="68"/>
        <v>0.95</v>
      </c>
      <c r="BB168" s="9">
        <f>IF($C168="&lt;01",ROUND(INDEX(EID!$T:$T,MATCH($B168,EID!$B:$B,0))/2,0),ROUND($AZ168*$BA168,0))</f>
        <v>0</v>
      </c>
      <c r="BC168" s="93">
        <f t="shared" si="69"/>
        <v>0</v>
      </c>
      <c r="BD168" s="90">
        <f t="shared" si="70"/>
        <v>0.95</v>
      </c>
      <c r="BE168" s="42">
        <f>IF($C168="&lt;01",ROUND(INDEX(EID!$V:$V,MATCH($B168,EID!$B:$B,0))/2,0),ROUND($BD168*$BB168,0))</f>
        <v>0</v>
      </c>
      <c r="BF168" s="42">
        <f t="shared" si="71"/>
        <v>0</v>
      </c>
      <c r="BG168" s="116">
        <f t="shared" si="72"/>
        <v>0.95</v>
      </c>
      <c r="BH168" s="9">
        <f>IF($C168="&lt;01",ROUND(INDEX(EID!$L:$L,MATCH($B168,EID!$B:$B,0)),0)/2,IF(SUM($BG168)=0,"",ROUND($AX168/$BG168,0)))</f>
        <v>0</v>
      </c>
    </row>
    <row r="169" spans="1:60" x14ac:dyDescent="0.2">
      <c r="A169" t="str">
        <f>INDEX(Prioritization!$D:$D,MATCH($B169,Prioritization!$A:$A,0))</f>
        <v>INVALID</v>
      </c>
      <c r="B169" t="s">
        <v>204</v>
      </c>
      <c r="C169" t="s">
        <v>315</v>
      </c>
      <c r="D169" t="s">
        <v>29</v>
      </c>
      <c r="E169" t="str">
        <f t="shared" si="51"/>
        <v>Karonga District [cPtvxaZqXIH]|&lt;01|Female</v>
      </c>
      <c r="F169" s="14"/>
      <c r="G169" s="14">
        <v>9</v>
      </c>
      <c r="H169" s="14">
        <v>4</v>
      </c>
      <c r="I169" s="14">
        <v>1</v>
      </c>
      <c r="J169" s="14">
        <v>1</v>
      </c>
      <c r="K169" s="14">
        <v>1</v>
      </c>
      <c r="L169" s="14"/>
      <c r="M169" s="14">
        <v>0</v>
      </c>
      <c r="N169" s="14">
        <v>1</v>
      </c>
      <c r="O169" s="14">
        <f t="shared" si="52"/>
        <v>1</v>
      </c>
      <c r="P169" s="14">
        <v>0</v>
      </c>
      <c r="Q169" s="14">
        <v>1</v>
      </c>
      <c r="R169" s="14">
        <f t="shared" si="53"/>
        <v>0</v>
      </c>
      <c r="S169" s="14">
        <f>IF(LEFT($B169,4)="_Mil","",_xlfn.IFNA(ROUND(INDEX(Spectrum!$N:$N,MATCH(RIGHT($B169,13)&amp;"|"&amp;$C169&amp;"|"&amp;$D169&amp;"|"&amp;S$14&amp;"|"&amp;"CY2022Q4",Spectrum!$R:$R,0)),0),""))</f>
        <v>620</v>
      </c>
      <c r="T169" s="42">
        <f>IF(LEFT($B169,4)="_Mil","",_xlfn.IFNA(ROUND(INDEX(Spectrum!$N:$N,MATCH(RIGHT($B169,13)&amp;"|"&amp;$C169&amp;"|"&amp;$D169&amp;"|"&amp;T$14&amp;"|"&amp;"CY2023Q3",Spectrum!$R:$R,0)),0),""))</f>
        <v>1038</v>
      </c>
      <c r="U169" s="42" t="str">
        <f>IF(LEFT($B169,4)="_Mil","",_xlfn.IFNA(ROUND(INDEX(Spectrum!$N:$N,MATCH(RIGHT($B169,13)&amp;"|"&amp;$C169&amp;"|"&amp;$D169&amp;"|"&amp;U$14&amp;"|"&amp;"CY2023Q3",Spectrum!$R:$R,0)),0),""))</f>
        <v/>
      </c>
      <c r="V169" s="14">
        <f>IF(LEFT($B169,4)="_Mil","",_xlfn.IFNA(ROUND(INDEX(Spectrum!$N:$N,MATCH(RIGHT($B169,13)&amp;"|"&amp;$C169&amp;"|"&amp;$D169&amp;"|"&amp;V$14&amp;"|"&amp;"CY2023Q3",Spectrum!$R:$R,0)),0),""))</f>
        <v>1846</v>
      </c>
      <c r="W169" s="115">
        <f>IF(LEFT($B169,4)="_Mil","",_xlfn.IFNA(INDEX(Spectrum!$N:$N,MATCH(RIGHT($B169,13)&amp;"|"&amp;$C169&amp;"|"&amp;$D169&amp;"|"&amp;W$14&amp;"|"&amp;"CY2023Q3",Spectrum!$R:$R,0)),""))</f>
        <v>578</v>
      </c>
      <c r="X169" s="42">
        <f>IF(LEFT($B169,4)="_Mil","",_xlfn.IFNA(ROUND(INDEX(Spectrum!$N:$N,MATCH(RIGHT($B169,13)&amp;"|"&amp;$C169&amp;"|"&amp;$D169&amp;"|"&amp;X$14&amp;"|"&amp;"CY2023Q3",Spectrum!$R:$R,0)),0),""))</f>
        <v>1270</v>
      </c>
      <c r="Y169" s="90" t="str">
        <f t="shared" si="54"/>
        <v/>
      </c>
      <c r="Z169" s="42">
        <f>IF(LEFT($B169,4)="_Mil","",_xlfn.IFNA(ROUND(INDEX(Spectrum!$N:$N,MATCH(RIGHT($B169,13)&amp;"|"&amp;$C169&amp;"|"&amp;$D169&amp;"|"&amp;Z$14&amp;"|"&amp;"CY2023Q3",Spectrum!$R:$R,0)),0),""))</f>
        <v>1761</v>
      </c>
      <c r="AA169" s="90">
        <f>IF(LEFT($B169,4)="_Mil","",IFERROR(1/(1/INDEX(Spectrum!$N:$N,MATCH(RIGHT($B169,13)&amp;"|"&amp;$C169&amp;"|"&amp;$D169&amp;"|"&amp;AA$14&amp;"|"&amp;"CY2023Q3",Spectrum!$R:$R,0))),IF(SUM($U169)=0,"",SUM($Z169)/$U169)))</f>
        <v>1144</v>
      </c>
      <c r="AB169" s="90">
        <f t="shared" si="55"/>
        <v>1.3866141732283463</v>
      </c>
      <c r="AC169" s="14">
        <f>IF(LEFT($B169,4)="_Mil","",_xlfn.IFNA(ROUND(INDEX(Spectrum!$N:$N,MATCH(RIGHT($B169,13)&amp;"|"&amp;$C169&amp;"|"&amp;$D169&amp;"|"&amp;AC$14&amp;"|"&amp;"CY2023Q3",Spectrum!$R:$R,0)),0),""))</f>
        <v>1577</v>
      </c>
      <c r="AD169" s="14" t="str">
        <f>IF(LEFT($B169,4)="_Mil","",_xlfn.IFNA(ROUND(INDEX(Spectrum!$N:$N,MATCH(RIGHT($B169,13)&amp;"|"&amp;$C169&amp;"|"&amp;$D169&amp;"|"&amp;AD$14&amp;"|"&amp;"CY2023Q3",Spectrum!$R:$R,0)),0),""))</f>
        <v/>
      </c>
      <c r="AE169" s="90">
        <f t="shared" si="56"/>
        <v>0</v>
      </c>
      <c r="AF169" s="42" t="str">
        <f>IF(LEFT($B169,4)="_Mil","",_xlfn.IFNA(ROUND(INDEX(Spectrum!$N:$N,MATCH(RIGHT($B169,13)&amp;"|"&amp;$C169&amp;"|"&amp;$D169&amp;"|"&amp;AF$14&amp;"|"&amp;"CY2023Q3",Spectrum!$R:$R,0)),0),""))</f>
        <v/>
      </c>
      <c r="AG169" s="90" t="str">
        <f t="shared" si="57"/>
        <v/>
      </c>
      <c r="AH169" s="88" t="str">
        <f>IF(LEFT($B169,4)="_Mil","",_xlfn.IFNA(INDEX(Spectrum!$N:$N,MATCH(RIGHT($B169,13)&amp;"|"&amp;$C169&amp;"|"&amp;$D169&amp;"|"&amp;AH$14&amp;"|"&amp;"CY2023Q3",Spectrum!$R:$R,0)),""))</f>
        <v/>
      </c>
      <c r="AI169" s="14" t="str">
        <f>IF(LEFT($B169,4)="_Mil","",_xlfn.IFNA(ROUND(INDEX(Spectrum!$N:$N,MATCH(RIGHT($B169,13)&amp;"|"&amp;$C169&amp;"|"&amp;$D169&amp;"|"&amp;AI$14&amp;"|"&amp;"CY2023Q3",Spectrum!$R:$R,0)),0),""))</f>
        <v/>
      </c>
      <c r="AJ169" s="42">
        <f>IF(LEFT($B169,4)="_Mil","",_xlfn.IFNA(ROUND(INDEX(Spectrum!$N:$N,MATCH(RIGHT($B169,13)&amp;"|"&amp;$C169&amp;"|"&amp;$D169&amp;"|"&amp;AI$14&amp;"|"&amp;"CY2023Q3",Spectrum!$R:$R,0)),0),SUM($U169)+SUM($AI169)))</f>
        <v>0</v>
      </c>
      <c r="AK169" s="14" t="str">
        <f>IF(LEFT($B169,4)="_Mil","",_xlfn.IFNA(ROUND(INDEX(Spectrum!$N:$N,MATCH(RIGHT($B169,13)&amp;"|"&amp;$C169&amp;"|"&amp;$D169&amp;"|"&amp;AK$14&amp;"|"&amp;"CY2023Q3",Spectrum!$R:$R,0)),0),""))</f>
        <v/>
      </c>
      <c r="AL169" s="90" t="str">
        <f t="shared" si="58"/>
        <v/>
      </c>
      <c r="AM169" s="14" t="str">
        <f t="shared" si="59"/>
        <v/>
      </c>
      <c r="AN169" s="14">
        <f>IF($C169="&lt;01",ROUND(INDEX(EID!$P:$P,MATCH($B169,EID!$B:$B,0))/2,0),"")</f>
        <v>0</v>
      </c>
      <c r="AO169" s="14">
        <f t="shared" si="60"/>
        <v>0</v>
      </c>
      <c r="AP169" s="42">
        <f t="shared" si="61"/>
        <v>0</v>
      </c>
      <c r="AQ169" s="42">
        <f t="shared" si="62"/>
        <v>1761</v>
      </c>
      <c r="AR169" s="90" t="str">
        <f t="shared" si="63"/>
        <v/>
      </c>
      <c r="AS169" s="90" t="str">
        <f t="shared" si="73"/>
        <v/>
      </c>
      <c r="AT169" s="90" t="str">
        <f t="shared" si="73"/>
        <v/>
      </c>
      <c r="AU169" s="14" t="str">
        <f t="shared" si="64"/>
        <v/>
      </c>
      <c r="AV169" s="14">
        <f>IF($C169="&lt;01",ROUND(INDEX(EID!$N:$N,MATCH($B169,EID!$B:$B,0))/2,0),IF(SUM($AT169)=0,"",ROUND((SUM($AP169)-(SUM($O169)*SUM($AS169)))/$AT169,0)))</f>
        <v>0</v>
      </c>
      <c r="AW169" s="90" t="str">
        <f t="shared" si="65"/>
        <v/>
      </c>
      <c r="AX169" s="42">
        <f t="shared" si="66"/>
        <v>0</v>
      </c>
      <c r="AY169" s="116" t="str">
        <f t="shared" si="67"/>
        <v/>
      </c>
      <c r="AZ169" s="93">
        <f>IF($C169="&lt;01",ROUND(INDEX(EID!$R:$R,MATCH($B169,EID!$B:$B,0))/2,0),ROUND(SUM($O169)+(SUM($AV169)*$AY169),0))</f>
        <v>0</v>
      </c>
      <c r="BA169" s="89" t="str">
        <f t="shared" si="68"/>
        <v/>
      </c>
      <c r="BB169" s="9">
        <f>IF($C169="&lt;01",ROUND(INDEX(EID!$T:$T,MATCH($B169,EID!$B:$B,0))/2,0),ROUND($AZ169*$BA169,0))</f>
        <v>0</v>
      </c>
      <c r="BC169" s="93">
        <f t="shared" si="69"/>
        <v>0</v>
      </c>
      <c r="BD169" s="90" t="str">
        <f t="shared" si="70"/>
        <v/>
      </c>
      <c r="BE169" s="42">
        <f>IF($C169="&lt;01",ROUND(INDEX(EID!$V:$V,MATCH($B169,EID!$B:$B,0))/2,0),ROUND($BD169*$BB169,0))</f>
        <v>0</v>
      </c>
      <c r="BF169" s="42">
        <f t="shared" si="71"/>
        <v>0</v>
      </c>
      <c r="BG169" s="116" t="str">
        <f t="shared" si="72"/>
        <v/>
      </c>
      <c r="BH169" s="9">
        <f>IF($C169="&lt;01",ROUND(INDEX(EID!$L:$L,MATCH($B169,EID!$B:$B,0)),0)/2,IF(SUM($BG169)=0,"",ROUND($AX169/$BG169,0)))</f>
        <v>0</v>
      </c>
    </row>
    <row r="170" spans="1:60" x14ac:dyDescent="0.2">
      <c r="A170" t="str">
        <f>INDEX(Prioritization!$D:$D,MATCH($B170,Prioritization!$A:$A,0))</f>
        <v>INVALID</v>
      </c>
      <c r="B170" t="s">
        <v>204</v>
      </c>
      <c r="C170" t="s">
        <v>315</v>
      </c>
      <c r="D170" t="s">
        <v>47</v>
      </c>
      <c r="E170" t="str">
        <f t="shared" si="51"/>
        <v>Karonga District [cPtvxaZqXIH]|&lt;01|Male</v>
      </c>
      <c r="F170" s="14"/>
      <c r="G170" s="14">
        <v>4</v>
      </c>
      <c r="H170" s="14">
        <v>5</v>
      </c>
      <c r="I170" s="14">
        <v>0</v>
      </c>
      <c r="J170" s="14">
        <v>0</v>
      </c>
      <c r="K170" s="14">
        <v>0</v>
      </c>
      <c r="L170" s="14"/>
      <c r="M170" s="14">
        <v>1</v>
      </c>
      <c r="N170" s="14">
        <v>0</v>
      </c>
      <c r="O170" s="14" t="str">
        <f t="shared" si="52"/>
        <v/>
      </c>
      <c r="P170" s="14">
        <v>0</v>
      </c>
      <c r="Q170" s="14">
        <v>1</v>
      </c>
      <c r="R170" s="14" t="str">
        <f t="shared" si="53"/>
        <v/>
      </c>
      <c r="S170" s="14">
        <f>IF(LEFT($B170,4)="_Mil","",_xlfn.IFNA(ROUND(INDEX(Spectrum!$N:$N,MATCH(RIGHT($B170,13)&amp;"|"&amp;$C170&amp;"|"&amp;$D170&amp;"|"&amp;S$14&amp;"|"&amp;"CY2022Q4",Spectrum!$R:$R,0)),0),""))</f>
        <v>1176</v>
      </c>
      <c r="T170" s="42">
        <f>IF(LEFT($B170,4)="_Mil","",_xlfn.IFNA(ROUND(INDEX(Spectrum!$N:$N,MATCH(RIGHT($B170,13)&amp;"|"&amp;$C170&amp;"|"&amp;$D170&amp;"|"&amp;T$14&amp;"|"&amp;"CY2023Q3",Spectrum!$R:$R,0)),0),""))</f>
        <v>1937</v>
      </c>
      <c r="U170" s="42" t="str">
        <f>IF(LEFT($B170,4)="_Mil","",_xlfn.IFNA(ROUND(INDEX(Spectrum!$N:$N,MATCH(RIGHT($B170,13)&amp;"|"&amp;$C170&amp;"|"&amp;$D170&amp;"|"&amp;U$14&amp;"|"&amp;"CY2023Q3",Spectrum!$R:$R,0)),0),""))</f>
        <v/>
      </c>
      <c r="V170" s="14">
        <f>IF(LEFT($B170,4)="_Mil","",_xlfn.IFNA(ROUND(INDEX(Spectrum!$N:$N,MATCH(RIGHT($B170,13)&amp;"|"&amp;$C170&amp;"|"&amp;$D170&amp;"|"&amp;V$14&amp;"|"&amp;"CY2023Q3",Spectrum!$R:$R,0)),0),""))</f>
        <v>1829</v>
      </c>
      <c r="W170" s="115">
        <f>IF(LEFT($B170,4)="_Mil","",_xlfn.IFNA(INDEX(Spectrum!$N:$N,MATCH(RIGHT($B170,13)&amp;"|"&amp;$C170&amp;"|"&amp;$D170&amp;"|"&amp;W$14&amp;"|"&amp;"CY2023Q3",Spectrum!$R:$R,0)),""))</f>
        <v>1009</v>
      </c>
      <c r="X170" s="42">
        <f>IF(LEFT($B170,4)="_Mil","",_xlfn.IFNA(ROUND(INDEX(Spectrum!$N:$N,MATCH(RIGHT($B170,13)&amp;"|"&amp;$C170&amp;"|"&amp;$D170&amp;"|"&amp;X$14&amp;"|"&amp;"CY2023Q3",Spectrum!$R:$R,0)),0),""))</f>
        <v>541</v>
      </c>
      <c r="Y170" s="90" t="str">
        <f t="shared" si="54"/>
        <v/>
      </c>
      <c r="Z170" s="42">
        <f>IF(LEFT($B170,4)="_Mil","",_xlfn.IFNA(ROUND(INDEX(Spectrum!$N:$N,MATCH(RIGHT($B170,13)&amp;"|"&amp;$C170&amp;"|"&amp;$D170&amp;"|"&amp;Z$14&amp;"|"&amp;"CY2023Q3",Spectrum!$R:$R,0)),0),""))</f>
        <v>1520</v>
      </c>
      <c r="AA170" s="90">
        <f>IF(LEFT($B170,4)="_Mil","",IFERROR(1/(1/INDEX(Spectrum!$N:$N,MATCH(RIGHT($B170,13)&amp;"|"&amp;$C170&amp;"|"&amp;$D170&amp;"|"&amp;AA$14&amp;"|"&amp;"CY2023Q3",Spectrum!$R:$R,0))),IF(SUM($U170)=0,"",SUM($Z170)/$U170)))</f>
        <v>1489</v>
      </c>
      <c r="AB170" s="90">
        <f t="shared" si="55"/>
        <v>2.8096118299445472</v>
      </c>
      <c r="AC170" s="14">
        <f>IF(LEFT($B170,4)="_Mil","",_xlfn.IFNA(ROUND(INDEX(Spectrum!$N:$N,MATCH(RIGHT($B170,13)&amp;"|"&amp;$C170&amp;"|"&amp;$D170&amp;"|"&amp;AC$14&amp;"|"&amp;"CY2023Q3",Spectrum!$R:$R,0)),0),""))</f>
        <v>746</v>
      </c>
      <c r="AD170" s="14" t="str">
        <f>IF(LEFT($B170,4)="_Mil","",_xlfn.IFNA(ROUND(INDEX(Spectrum!$N:$N,MATCH(RIGHT($B170,13)&amp;"|"&amp;$C170&amp;"|"&amp;$D170&amp;"|"&amp;AD$14&amp;"|"&amp;"CY2023Q3",Spectrum!$R:$R,0)),0),""))</f>
        <v/>
      </c>
      <c r="AE170" s="90">
        <f t="shared" si="56"/>
        <v>0</v>
      </c>
      <c r="AF170" s="42" t="str">
        <f>IF(LEFT($B170,4)="_Mil","",_xlfn.IFNA(ROUND(INDEX(Spectrum!$N:$N,MATCH(RIGHT($B170,13)&amp;"|"&amp;$C170&amp;"|"&amp;$D170&amp;"|"&amp;AF$14&amp;"|"&amp;"CY2023Q3",Spectrum!$R:$R,0)),0),""))</f>
        <v/>
      </c>
      <c r="AG170" s="90" t="str">
        <f t="shared" si="57"/>
        <v/>
      </c>
      <c r="AH170" s="88" t="str">
        <f>IF(LEFT($B170,4)="_Mil","",_xlfn.IFNA(INDEX(Spectrum!$N:$N,MATCH(RIGHT($B170,13)&amp;"|"&amp;$C170&amp;"|"&amp;$D170&amp;"|"&amp;AH$14&amp;"|"&amp;"CY2023Q3",Spectrum!$R:$R,0)),""))</f>
        <v/>
      </c>
      <c r="AI170" s="14" t="str">
        <f>IF(LEFT($B170,4)="_Mil","",_xlfn.IFNA(ROUND(INDEX(Spectrum!$N:$N,MATCH(RIGHT($B170,13)&amp;"|"&amp;$C170&amp;"|"&amp;$D170&amp;"|"&amp;AI$14&amp;"|"&amp;"CY2023Q3",Spectrum!$R:$R,0)),0),""))</f>
        <v/>
      </c>
      <c r="AJ170" s="42">
        <f>IF(LEFT($B170,4)="_Mil","",_xlfn.IFNA(ROUND(INDEX(Spectrum!$N:$N,MATCH(RIGHT($B170,13)&amp;"|"&amp;$C170&amp;"|"&amp;$D170&amp;"|"&amp;AI$14&amp;"|"&amp;"CY2023Q3",Spectrum!$R:$R,0)),0),SUM($U170)+SUM($AI170)))</f>
        <v>0</v>
      </c>
      <c r="AK170" s="14" t="str">
        <f>IF(LEFT($B170,4)="_Mil","",_xlfn.IFNA(ROUND(INDEX(Spectrum!$N:$N,MATCH(RIGHT($B170,13)&amp;"|"&amp;$C170&amp;"|"&amp;$D170&amp;"|"&amp;AK$14&amp;"|"&amp;"CY2023Q3",Spectrum!$R:$R,0)),0),""))</f>
        <v/>
      </c>
      <c r="AL170" s="90" t="str">
        <f t="shared" si="58"/>
        <v/>
      </c>
      <c r="AM170" s="14" t="str">
        <f t="shared" si="59"/>
        <v/>
      </c>
      <c r="AN170" s="14">
        <f>IF($C170="&lt;01",ROUND(INDEX(EID!$P:$P,MATCH($B170,EID!$B:$B,0))/2,0),"")</f>
        <v>0</v>
      </c>
      <c r="AO170" s="14">
        <f t="shared" si="60"/>
        <v>0</v>
      </c>
      <c r="AP170" s="42">
        <f t="shared" si="61"/>
        <v>0</v>
      </c>
      <c r="AQ170" s="42">
        <f t="shared" si="62"/>
        <v>1520</v>
      </c>
      <c r="AR170" s="90" t="str">
        <f t="shared" si="63"/>
        <v/>
      </c>
      <c r="AS170" s="90" t="str">
        <f t="shared" si="73"/>
        <v/>
      </c>
      <c r="AT170" s="90" t="str">
        <f t="shared" si="73"/>
        <v/>
      </c>
      <c r="AU170" s="14" t="str">
        <f t="shared" si="64"/>
        <v/>
      </c>
      <c r="AV170" s="14">
        <f>IF($C170="&lt;01",ROUND(INDEX(EID!$N:$N,MATCH($B170,EID!$B:$B,0))/2,0),IF(SUM($AT170)=0,"",ROUND((SUM($AP170)-(SUM($O170)*SUM($AS170)))/$AT170,0)))</f>
        <v>0</v>
      </c>
      <c r="AW170" s="90" t="str">
        <f t="shared" si="65"/>
        <v/>
      </c>
      <c r="AX170" s="42">
        <f t="shared" si="66"/>
        <v>0</v>
      </c>
      <c r="AY170" s="116" t="str">
        <f t="shared" si="67"/>
        <v/>
      </c>
      <c r="AZ170" s="93">
        <f>IF($C170="&lt;01",ROUND(INDEX(EID!$R:$R,MATCH($B170,EID!$B:$B,0))/2,0),ROUND(SUM($O170)+(SUM($AV170)*$AY170),0))</f>
        <v>0</v>
      </c>
      <c r="BA170" s="89" t="str">
        <f t="shared" si="68"/>
        <v/>
      </c>
      <c r="BB170" s="9">
        <f>IF($C170="&lt;01",ROUND(INDEX(EID!$T:$T,MATCH($B170,EID!$B:$B,0))/2,0),ROUND($AZ170*$BA170,0))</f>
        <v>0</v>
      </c>
      <c r="BC170" s="93">
        <f t="shared" si="69"/>
        <v>0</v>
      </c>
      <c r="BD170" s="90" t="str">
        <f t="shared" si="70"/>
        <v/>
      </c>
      <c r="BE170" s="42">
        <f>IF($C170="&lt;01",ROUND(INDEX(EID!$V:$V,MATCH($B170,EID!$B:$B,0))/2,0),ROUND($BD170*$BB170,0))</f>
        <v>0</v>
      </c>
      <c r="BF170" s="42">
        <f t="shared" si="71"/>
        <v>0</v>
      </c>
      <c r="BG170" s="116" t="str">
        <f t="shared" si="72"/>
        <v/>
      </c>
      <c r="BH170" s="9">
        <f>IF($C170="&lt;01",ROUND(INDEX(EID!$L:$L,MATCH($B170,EID!$B:$B,0)),0)/2,IF(SUM($BG170)=0,"",ROUND($AX170/$BG170,0)))</f>
        <v>0</v>
      </c>
    </row>
    <row r="171" spans="1:60" x14ac:dyDescent="0.2">
      <c r="A171" t="str">
        <f>INDEX(Prioritization!$D:$D,MATCH($B171,Prioritization!$A:$A,0))</f>
        <v>INVALID</v>
      </c>
      <c r="B171" t="s">
        <v>204</v>
      </c>
      <c r="C171" t="s">
        <v>362</v>
      </c>
      <c r="D171" t="s">
        <v>29</v>
      </c>
      <c r="E171" t="str">
        <f t="shared" si="51"/>
        <v>Karonga District [cPtvxaZqXIH]|01-09|Female</v>
      </c>
      <c r="F171" s="14"/>
      <c r="G171" s="14"/>
      <c r="H171" s="14"/>
      <c r="I171" s="14"/>
      <c r="J171" s="14"/>
      <c r="K171" s="14"/>
      <c r="L171" s="14"/>
      <c r="M171" s="14"/>
      <c r="N171" s="14"/>
      <c r="O171" s="14" t="str">
        <f t="shared" si="52"/>
        <v/>
      </c>
      <c r="P171" s="14"/>
      <c r="Q171" s="14"/>
      <c r="R171" s="14" t="str">
        <f t="shared" si="53"/>
        <v/>
      </c>
      <c r="S171" s="14">
        <f>IF(LEFT($B171,4)="_Mil","",_xlfn.IFNA(ROUND(INDEX(Spectrum!$N:$N,MATCH(RIGHT($B171,13)&amp;"|"&amp;$C171&amp;"|"&amp;$D171&amp;"|"&amp;S$14&amp;"|"&amp;"CY2022Q4",Spectrum!$R:$R,0)),0),""))</f>
        <v>1166</v>
      </c>
      <c r="T171" s="42">
        <f>IF(LEFT($B171,4)="_Mil","",_xlfn.IFNA(ROUND(INDEX(Spectrum!$N:$N,MATCH(RIGHT($B171,13)&amp;"|"&amp;$C171&amp;"|"&amp;$D171&amp;"|"&amp;T$14&amp;"|"&amp;"CY2023Q3",Spectrum!$R:$R,0)),0),""))</f>
        <v>1446</v>
      </c>
      <c r="U171" s="42" t="str">
        <f>IF(LEFT($B171,4)="_Mil","",_xlfn.IFNA(ROUND(INDEX(Spectrum!$N:$N,MATCH(RIGHT($B171,13)&amp;"|"&amp;$C171&amp;"|"&amp;$D171&amp;"|"&amp;U$14&amp;"|"&amp;"CY2023Q3",Spectrum!$R:$R,0)),0),""))</f>
        <v/>
      </c>
      <c r="V171" s="14">
        <f>IF(LEFT($B171,4)="_Mil","",_xlfn.IFNA(ROUND(INDEX(Spectrum!$N:$N,MATCH(RIGHT($B171,13)&amp;"|"&amp;$C171&amp;"|"&amp;$D171&amp;"|"&amp;V$14&amp;"|"&amp;"CY2023Q3",Spectrum!$R:$R,0)),0),""))</f>
        <v>902</v>
      </c>
      <c r="W171" s="115">
        <f>IF(LEFT($B171,4)="_Mil","",_xlfn.IFNA(INDEX(Spectrum!$N:$N,MATCH(RIGHT($B171,13)&amp;"|"&amp;$C171&amp;"|"&amp;$D171&amp;"|"&amp;W$14&amp;"|"&amp;"CY2023Q3",Spectrum!$R:$R,0)),""))</f>
        <v>1364</v>
      </c>
      <c r="X171" s="42">
        <f>IF(LEFT($B171,4)="_Mil","",_xlfn.IFNA(ROUND(INDEX(Spectrum!$N:$N,MATCH(RIGHT($B171,13)&amp;"|"&amp;$C171&amp;"|"&amp;$D171&amp;"|"&amp;X$14&amp;"|"&amp;"CY2023Q3",Spectrum!$R:$R,0)),0),""))</f>
        <v>1755</v>
      </c>
      <c r="Y171" s="90" t="str">
        <f t="shared" si="54"/>
        <v/>
      </c>
      <c r="Z171" s="42">
        <f>IF(LEFT($B171,4)="_Mil","",_xlfn.IFNA(ROUND(INDEX(Spectrum!$N:$N,MATCH(RIGHT($B171,13)&amp;"|"&amp;$C171&amp;"|"&amp;$D171&amp;"|"&amp;Z$14&amp;"|"&amp;"CY2023Q3",Spectrum!$R:$R,0)),0),""))</f>
        <v>651</v>
      </c>
      <c r="AA171" s="90">
        <f>IF(LEFT($B171,4)="_Mil","",IFERROR(1/(1/INDEX(Spectrum!$N:$N,MATCH(RIGHT($B171,13)&amp;"|"&amp;$C171&amp;"|"&amp;$D171&amp;"|"&amp;AA$14&amp;"|"&amp;"CY2023Q3",Spectrum!$R:$R,0))),IF(SUM($U171)=0,"",SUM($Z171)/$U171)))</f>
        <v>1171</v>
      </c>
      <c r="AB171" s="90">
        <f t="shared" si="55"/>
        <v>0.37094017094017095</v>
      </c>
      <c r="AC171" s="14">
        <f>IF(LEFT($B171,4)="_Mil","",_xlfn.IFNA(ROUND(INDEX(Spectrum!$N:$N,MATCH(RIGHT($B171,13)&amp;"|"&amp;$C171&amp;"|"&amp;$D171&amp;"|"&amp;AC$14&amp;"|"&amp;"CY2023Q3",Spectrum!$R:$R,0)),0),""))</f>
        <v>1603</v>
      </c>
      <c r="AD171" s="14" t="str">
        <f>IF(LEFT($B171,4)="_Mil","",_xlfn.IFNA(ROUND(INDEX(Spectrum!$N:$N,MATCH(RIGHT($B171,13)&amp;"|"&amp;$C171&amp;"|"&amp;$D171&amp;"|"&amp;AD$14&amp;"|"&amp;"CY2023Q3",Spectrum!$R:$R,0)),0),""))</f>
        <v/>
      </c>
      <c r="AE171" s="90">
        <f t="shared" si="56"/>
        <v>0</v>
      </c>
      <c r="AF171" s="42" t="str">
        <f>IF(LEFT($B171,4)="_Mil","",_xlfn.IFNA(ROUND(INDEX(Spectrum!$N:$N,MATCH(RIGHT($B171,13)&amp;"|"&amp;$C171&amp;"|"&amp;$D171&amp;"|"&amp;AF$14&amp;"|"&amp;"CY2023Q3",Spectrum!$R:$R,0)),0),""))</f>
        <v/>
      </c>
      <c r="AG171" s="90" t="str">
        <f t="shared" si="57"/>
        <v/>
      </c>
      <c r="AH171" s="88" t="str">
        <f>IF(LEFT($B171,4)="_Mil","",_xlfn.IFNA(INDEX(Spectrum!$N:$N,MATCH(RIGHT($B171,13)&amp;"|"&amp;$C171&amp;"|"&amp;$D171&amp;"|"&amp;AH$14&amp;"|"&amp;"CY2023Q3",Spectrum!$R:$R,0)),""))</f>
        <v/>
      </c>
      <c r="AI171" s="14" t="str">
        <f>IF(LEFT($B171,4)="_Mil","",_xlfn.IFNA(ROUND(INDEX(Spectrum!$N:$N,MATCH(RIGHT($B171,13)&amp;"|"&amp;$C171&amp;"|"&amp;$D171&amp;"|"&amp;AI$14&amp;"|"&amp;"CY2023Q3",Spectrum!$R:$R,0)),0),""))</f>
        <v/>
      </c>
      <c r="AJ171" s="42">
        <f>IF(LEFT($B171,4)="_Mil","",_xlfn.IFNA(ROUND(INDEX(Spectrum!$N:$N,MATCH(RIGHT($B171,13)&amp;"|"&amp;$C171&amp;"|"&amp;$D171&amp;"|"&amp;AI$14&amp;"|"&amp;"CY2023Q3",Spectrum!$R:$R,0)),0),SUM($U171)+SUM($AI171)))</f>
        <v>0</v>
      </c>
      <c r="AK171" s="14" t="str">
        <f>IF(LEFT($B171,4)="_Mil","",_xlfn.IFNA(ROUND(INDEX(Spectrum!$N:$N,MATCH(RIGHT($B171,13)&amp;"|"&amp;$C171&amp;"|"&amp;$D171&amp;"|"&amp;AK$14&amp;"|"&amp;"CY2023Q3",Spectrum!$R:$R,0)),0),""))</f>
        <v/>
      </c>
      <c r="AL171" s="90">
        <f t="shared" si="58"/>
        <v>1171</v>
      </c>
      <c r="AM171" s="14">
        <f t="shared" si="59"/>
        <v>0</v>
      </c>
      <c r="AN171" s="14" t="str">
        <f>IF($C171="&lt;01",ROUND(INDEX(EID!$P:$P,MATCH($B171,EID!$B:$B,0))/2,0),"")</f>
        <v/>
      </c>
      <c r="AO171" s="14">
        <f t="shared" si="60"/>
        <v>0</v>
      </c>
      <c r="AP171" s="42">
        <f t="shared" si="61"/>
        <v>0</v>
      </c>
      <c r="AQ171" s="42">
        <f t="shared" si="62"/>
        <v>651</v>
      </c>
      <c r="AR171" s="90" t="str">
        <f t="shared" si="63"/>
        <v/>
      </c>
      <c r="AS171" s="90">
        <f t="shared" si="73"/>
        <v>0.98</v>
      </c>
      <c r="AT171" s="90">
        <f t="shared" si="73"/>
        <v>0.98</v>
      </c>
      <c r="AU171" s="14">
        <f t="shared" si="64"/>
        <v>0</v>
      </c>
      <c r="AV171" s="14">
        <f>IF($C171="&lt;01",ROUND(INDEX(EID!$N:$N,MATCH($B171,EID!$B:$B,0))/2,0),IF(SUM($AT171)=0,"",ROUND((SUM($AP171)-(SUM($O171)*SUM($AS171)))/$AT171,0)))</f>
        <v>0</v>
      </c>
      <c r="AW171" s="90">
        <f t="shared" si="65"/>
        <v>1</v>
      </c>
      <c r="AX171" s="42">
        <f t="shared" si="66"/>
        <v>0</v>
      </c>
      <c r="AY171" s="116">
        <f t="shared" si="67"/>
        <v>0.7</v>
      </c>
      <c r="AZ171" s="93">
        <f>IF($C171="&lt;01",ROUND(INDEX(EID!$R:$R,MATCH($B171,EID!$B:$B,0))/2,0),ROUND(SUM($O171)+(SUM($AV171)*$AY171),0))</f>
        <v>0</v>
      </c>
      <c r="BA171" s="89">
        <f t="shared" si="68"/>
        <v>0.95</v>
      </c>
      <c r="BB171" s="9">
        <f>IF($C171="&lt;01",ROUND(INDEX(EID!$T:$T,MATCH($B171,EID!$B:$B,0))/2,0),ROUND($AZ171*$BA171,0))</f>
        <v>0</v>
      </c>
      <c r="BC171" s="93">
        <f t="shared" si="69"/>
        <v>0</v>
      </c>
      <c r="BD171" s="90">
        <f t="shared" si="70"/>
        <v>0.95</v>
      </c>
      <c r="BE171" s="42">
        <f>IF($C171="&lt;01",ROUND(INDEX(EID!$V:$V,MATCH($B171,EID!$B:$B,0))/2,0),ROUND($BD171*$BB171,0))</f>
        <v>0</v>
      </c>
      <c r="BF171" s="42">
        <f t="shared" si="71"/>
        <v>0</v>
      </c>
      <c r="BG171" s="116">
        <f t="shared" si="72"/>
        <v>0.95</v>
      </c>
      <c r="BH171" s="9">
        <f>IF($C171="&lt;01",ROUND(INDEX(EID!$L:$L,MATCH($B171,EID!$B:$B,0)),0)/2,IF(SUM($BG171)=0,"",ROUND($AX171/$BG171,0)))</f>
        <v>0</v>
      </c>
    </row>
    <row r="172" spans="1:60" x14ac:dyDescent="0.2">
      <c r="A172" t="str">
        <f>INDEX(Prioritization!$D:$D,MATCH($B172,Prioritization!$A:$A,0))</f>
        <v>INVALID</v>
      </c>
      <c r="B172" t="s">
        <v>204</v>
      </c>
      <c r="C172" t="s">
        <v>362</v>
      </c>
      <c r="D172" t="s">
        <v>47</v>
      </c>
      <c r="E172" t="str">
        <f t="shared" si="51"/>
        <v>Karonga District [cPtvxaZqXIH]|01-09|Male</v>
      </c>
      <c r="F172" s="14"/>
      <c r="G172" s="14"/>
      <c r="H172" s="14"/>
      <c r="I172" s="14"/>
      <c r="J172" s="14"/>
      <c r="K172" s="14"/>
      <c r="L172" s="14"/>
      <c r="M172" s="14"/>
      <c r="N172" s="14"/>
      <c r="O172" s="14" t="str">
        <f t="shared" si="52"/>
        <v/>
      </c>
      <c r="P172" s="14"/>
      <c r="Q172" s="14"/>
      <c r="R172" s="14" t="str">
        <f t="shared" si="53"/>
        <v/>
      </c>
      <c r="S172" s="14">
        <f>IF(LEFT($B172,4)="_Mil","",_xlfn.IFNA(ROUND(INDEX(Spectrum!$N:$N,MATCH(RIGHT($B172,13)&amp;"|"&amp;$C172&amp;"|"&amp;$D172&amp;"|"&amp;S$14&amp;"|"&amp;"CY2022Q4",Spectrum!$R:$R,0)),0),""))</f>
        <v>1500</v>
      </c>
      <c r="T172" s="42">
        <f>IF(LEFT($B172,4)="_Mil","",_xlfn.IFNA(ROUND(INDEX(Spectrum!$N:$N,MATCH(RIGHT($B172,13)&amp;"|"&amp;$C172&amp;"|"&amp;$D172&amp;"|"&amp;T$14&amp;"|"&amp;"CY2023Q3",Spectrum!$R:$R,0)),0),""))</f>
        <v>1601</v>
      </c>
      <c r="U172" s="42" t="str">
        <f>IF(LEFT($B172,4)="_Mil","",_xlfn.IFNA(ROUND(INDEX(Spectrum!$N:$N,MATCH(RIGHT($B172,13)&amp;"|"&amp;$C172&amp;"|"&amp;$D172&amp;"|"&amp;U$14&amp;"|"&amp;"CY2023Q3",Spectrum!$R:$R,0)),0),""))</f>
        <v/>
      </c>
      <c r="V172" s="14">
        <f>IF(LEFT($B172,4)="_Mil","",_xlfn.IFNA(ROUND(INDEX(Spectrum!$N:$N,MATCH(RIGHT($B172,13)&amp;"|"&amp;$C172&amp;"|"&amp;$D172&amp;"|"&amp;V$14&amp;"|"&amp;"CY2023Q3",Spectrum!$R:$R,0)),0),""))</f>
        <v>1758</v>
      </c>
      <c r="W172" s="115">
        <f>IF(LEFT($B172,4)="_Mil","",_xlfn.IFNA(INDEX(Spectrum!$N:$N,MATCH(RIGHT($B172,13)&amp;"|"&amp;$C172&amp;"|"&amp;$D172&amp;"|"&amp;W$14&amp;"|"&amp;"CY2023Q3",Spectrum!$R:$R,0)),""))</f>
        <v>793</v>
      </c>
      <c r="X172" s="42">
        <f>IF(LEFT($B172,4)="_Mil","",_xlfn.IFNA(ROUND(INDEX(Spectrum!$N:$N,MATCH(RIGHT($B172,13)&amp;"|"&amp;$C172&amp;"|"&amp;$D172&amp;"|"&amp;X$14&amp;"|"&amp;"CY2023Q3",Spectrum!$R:$R,0)),0),""))</f>
        <v>1140</v>
      </c>
      <c r="Y172" s="90" t="str">
        <f t="shared" si="54"/>
        <v/>
      </c>
      <c r="Z172" s="42">
        <f>IF(LEFT($B172,4)="_Mil","",_xlfn.IFNA(ROUND(INDEX(Spectrum!$N:$N,MATCH(RIGHT($B172,13)&amp;"|"&amp;$C172&amp;"|"&amp;$D172&amp;"|"&amp;Z$14&amp;"|"&amp;"CY2023Q3",Spectrum!$R:$R,0)),0),""))</f>
        <v>1242</v>
      </c>
      <c r="AA172" s="90">
        <f>IF(LEFT($B172,4)="_Mil","",IFERROR(1/(1/INDEX(Spectrum!$N:$N,MATCH(RIGHT($B172,13)&amp;"|"&amp;$C172&amp;"|"&amp;$D172&amp;"|"&amp;AA$14&amp;"|"&amp;"CY2023Q3",Spectrum!$R:$R,0))),IF(SUM($U172)=0,"",SUM($Z172)/$U172)))</f>
        <v>1417</v>
      </c>
      <c r="AB172" s="90">
        <f t="shared" si="55"/>
        <v>1.0894736842105264</v>
      </c>
      <c r="AC172" s="14">
        <f>IF(LEFT($B172,4)="_Mil","",_xlfn.IFNA(ROUND(INDEX(Spectrum!$N:$N,MATCH(RIGHT($B172,13)&amp;"|"&amp;$C172&amp;"|"&amp;$D172&amp;"|"&amp;AC$14&amp;"|"&amp;"CY2023Q3",Spectrum!$R:$R,0)),0),""))</f>
        <v>1522</v>
      </c>
      <c r="AD172" s="14" t="str">
        <f>IF(LEFT($B172,4)="_Mil","",_xlfn.IFNA(ROUND(INDEX(Spectrum!$N:$N,MATCH(RIGHT($B172,13)&amp;"|"&amp;$C172&amp;"|"&amp;$D172&amp;"|"&amp;AD$14&amp;"|"&amp;"CY2023Q3",Spectrum!$R:$R,0)),0),""))</f>
        <v/>
      </c>
      <c r="AE172" s="90">
        <f t="shared" si="56"/>
        <v>0</v>
      </c>
      <c r="AF172" s="42" t="str">
        <f>IF(LEFT($B172,4)="_Mil","",_xlfn.IFNA(ROUND(INDEX(Spectrum!$N:$N,MATCH(RIGHT($B172,13)&amp;"|"&amp;$C172&amp;"|"&amp;$D172&amp;"|"&amp;AF$14&amp;"|"&amp;"CY2023Q3",Spectrum!$R:$R,0)),0),""))</f>
        <v/>
      </c>
      <c r="AG172" s="90" t="str">
        <f t="shared" si="57"/>
        <v/>
      </c>
      <c r="AH172" s="88" t="str">
        <f>IF(LEFT($B172,4)="_Mil","",_xlfn.IFNA(INDEX(Spectrum!$N:$N,MATCH(RIGHT($B172,13)&amp;"|"&amp;$C172&amp;"|"&amp;$D172&amp;"|"&amp;AH$14&amp;"|"&amp;"CY2023Q3",Spectrum!$R:$R,0)),""))</f>
        <v/>
      </c>
      <c r="AI172" s="14" t="str">
        <f>IF(LEFT($B172,4)="_Mil","",_xlfn.IFNA(ROUND(INDEX(Spectrum!$N:$N,MATCH(RIGHT($B172,13)&amp;"|"&amp;$C172&amp;"|"&amp;$D172&amp;"|"&amp;AI$14&amp;"|"&amp;"CY2023Q3",Spectrum!$R:$R,0)),0),""))</f>
        <v/>
      </c>
      <c r="AJ172" s="42">
        <f>IF(LEFT($B172,4)="_Mil","",_xlfn.IFNA(ROUND(INDEX(Spectrum!$N:$N,MATCH(RIGHT($B172,13)&amp;"|"&amp;$C172&amp;"|"&amp;$D172&amp;"|"&amp;AI$14&amp;"|"&amp;"CY2023Q3",Spectrum!$R:$R,0)),0),SUM($U172)+SUM($AI172)))</f>
        <v>0</v>
      </c>
      <c r="AK172" s="14" t="str">
        <f>IF(LEFT($B172,4)="_Mil","",_xlfn.IFNA(ROUND(INDEX(Spectrum!$N:$N,MATCH(RIGHT($B172,13)&amp;"|"&amp;$C172&amp;"|"&amp;$D172&amp;"|"&amp;AK$14&amp;"|"&amp;"CY2023Q3",Spectrum!$R:$R,0)),0),""))</f>
        <v/>
      </c>
      <c r="AL172" s="90">
        <f t="shared" si="58"/>
        <v>1417</v>
      </c>
      <c r="AM172" s="14">
        <f t="shared" si="59"/>
        <v>0</v>
      </c>
      <c r="AN172" s="14" t="str">
        <f>IF($C172="&lt;01",ROUND(INDEX(EID!$P:$P,MATCH($B172,EID!$B:$B,0))/2,0),"")</f>
        <v/>
      </c>
      <c r="AO172" s="14">
        <f t="shared" si="60"/>
        <v>0</v>
      </c>
      <c r="AP172" s="42">
        <f t="shared" si="61"/>
        <v>0</v>
      </c>
      <c r="AQ172" s="42">
        <f t="shared" si="62"/>
        <v>1242</v>
      </c>
      <c r="AR172" s="90" t="str">
        <f t="shared" si="63"/>
        <v/>
      </c>
      <c r="AS172" s="90">
        <f t="shared" si="73"/>
        <v>0.98</v>
      </c>
      <c r="AT172" s="90">
        <f t="shared" si="73"/>
        <v>0.98</v>
      </c>
      <c r="AU172" s="14">
        <f t="shared" si="64"/>
        <v>0</v>
      </c>
      <c r="AV172" s="14">
        <f>IF($C172="&lt;01",ROUND(INDEX(EID!$N:$N,MATCH($B172,EID!$B:$B,0))/2,0),IF(SUM($AT172)=0,"",ROUND((SUM($AP172)-(SUM($O172)*SUM($AS172)))/$AT172,0)))</f>
        <v>0</v>
      </c>
      <c r="AW172" s="90">
        <f t="shared" si="65"/>
        <v>1</v>
      </c>
      <c r="AX172" s="42">
        <f t="shared" si="66"/>
        <v>0</v>
      </c>
      <c r="AY172" s="116">
        <f t="shared" si="67"/>
        <v>0.7</v>
      </c>
      <c r="AZ172" s="93">
        <f>IF($C172="&lt;01",ROUND(INDEX(EID!$R:$R,MATCH($B172,EID!$B:$B,0))/2,0),ROUND(SUM($O172)+(SUM($AV172)*$AY172),0))</f>
        <v>0</v>
      </c>
      <c r="BA172" s="89">
        <f t="shared" si="68"/>
        <v>0.95</v>
      </c>
      <c r="BB172" s="9">
        <f>IF($C172="&lt;01",ROUND(INDEX(EID!$T:$T,MATCH($B172,EID!$B:$B,0))/2,0),ROUND($AZ172*$BA172,0))</f>
        <v>0</v>
      </c>
      <c r="BC172" s="93">
        <f t="shared" si="69"/>
        <v>0</v>
      </c>
      <c r="BD172" s="90">
        <f t="shared" si="70"/>
        <v>0.95</v>
      </c>
      <c r="BE172" s="42">
        <f>IF($C172="&lt;01",ROUND(INDEX(EID!$V:$V,MATCH($B172,EID!$B:$B,0))/2,0),ROUND($BD172*$BB172,0))</f>
        <v>0</v>
      </c>
      <c r="BF172" s="42">
        <f t="shared" si="71"/>
        <v>0</v>
      </c>
      <c r="BG172" s="116">
        <f t="shared" si="72"/>
        <v>0.95</v>
      </c>
      <c r="BH172" s="9">
        <f>IF($C172="&lt;01",ROUND(INDEX(EID!$L:$L,MATCH($B172,EID!$B:$B,0)),0)/2,IF(SUM($BG172)=0,"",ROUND($AX172/$BG172,0)))</f>
        <v>0</v>
      </c>
    </row>
    <row r="173" spans="1:60" x14ac:dyDescent="0.2">
      <c r="A173" t="str">
        <f>INDEX(Prioritization!$D:$D,MATCH($B173,Prioritization!$A:$A,0))</f>
        <v>INVALID</v>
      </c>
      <c r="B173" t="s">
        <v>204</v>
      </c>
      <c r="C173" t="s">
        <v>363</v>
      </c>
      <c r="D173" t="s">
        <v>29</v>
      </c>
      <c r="E173" t="str">
        <f t="shared" si="51"/>
        <v>Karonga District [cPtvxaZqXIH]|10-14|Female</v>
      </c>
      <c r="F173" s="14"/>
      <c r="G173" s="14">
        <v>9</v>
      </c>
      <c r="H173" s="14">
        <v>9</v>
      </c>
      <c r="I173" s="14">
        <v>42</v>
      </c>
      <c r="J173" s="14">
        <v>90</v>
      </c>
      <c r="K173" s="14">
        <v>25</v>
      </c>
      <c r="L173" s="14">
        <v>8</v>
      </c>
      <c r="M173" s="14">
        <v>2</v>
      </c>
      <c r="N173" s="14">
        <v>91</v>
      </c>
      <c r="O173" s="14">
        <f t="shared" si="52"/>
        <v>91</v>
      </c>
      <c r="P173" s="14">
        <v>73</v>
      </c>
      <c r="Q173" s="14">
        <v>12</v>
      </c>
      <c r="R173" s="14">
        <f t="shared" si="53"/>
        <v>49</v>
      </c>
      <c r="S173" s="14">
        <f>IF(LEFT($B173,4)="_Mil","",_xlfn.IFNA(ROUND(INDEX(Spectrum!$N:$N,MATCH(RIGHT($B173,13)&amp;"|"&amp;$C173&amp;"|"&amp;$D173&amp;"|"&amp;S$14&amp;"|"&amp;"CY2022Q4",Spectrum!$R:$R,0)),0),""))</f>
        <v>1687</v>
      </c>
      <c r="T173" s="42">
        <f>IF(LEFT($B173,4)="_Mil","",_xlfn.IFNA(ROUND(INDEX(Spectrum!$N:$N,MATCH(RIGHT($B173,13)&amp;"|"&amp;$C173&amp;"|"&amp;$D173&amp;"|"&amp;T$14&amp;"|"&amp;"CY2023Q3",Spectrum!$R:$R,0)),0),""))</f>
        <v>1865</v>
      </c>
      <c r="U173" s="42" t="str">
        <f>IF(LEFT($B173,4)="_Mil","",_xlfn.IFNA(ROUND(INDEX(Spectrum!$N:$N,MATCH(RIGHT($B173,13)&amp;"|"&amp;$C173&amp;"|"&amp;$D173&amp;"|"&amp;U$14&amp;"|"&amp;"CY2023Q3",Spectrum!$R:$R,0)),0),""))</f>
        <v/>
      </c>
      <c r="V173" s="14">
        <f>IF(LEFT($B173,4)="_Mil","",_xlfn.IFNA(ROUND(INDEX(Spectrum!$N:$N,MATCH(RIGHT($B173,13)&amp;"|"&amp;$C173&amp;"|"&amp;$D173&amp;"|"&amp;V$14&amp;"|"&amp;"CY2023Q3",Spectrum!$R:$R,0)),0),""))</f>
        <v>1267</v>
      </c>
      <c r="W173" s="115">
        <f>IF(LEFT($B173,4)="_Mil","",_xlfn.IFNA(INDEX(Spectrum!$N:$N,MATCH(RIGHT($B173,13)&amp;"|"&amp;$C173&amp;"|"&amp;$D173&amp;"|"&amp;W$14&amp;"|"&amp;"CY2023Q3",Spectrum!$R:$R,0)),""))</f>
        <v>1834</v>
      </c>
      <c r="X173" s="42">
        <f>IF(LEFT($B173,4)="_Mil","",_xlfn.IFNA(ROUND(INDEX(Spectrum!$N:$N,MATCH(RIGHT($B173,13)&amp;"|"&amp;$C173&amp;"|"&amp;$D173&amp;"|"&amp;X$14&amp;"|"&amp;"CY2023Q3",Spectrum!$R:$R,0)),0),""))</f>
        <v>750</v>
      </c>
      <c r="Y173" s="90" t="str">
        <f t="shared" si="54"/>
        <v/>
      </c>
      <c r="Z173" s="42">
        <f>IF(LEFT($B173,4)="_Mil","",_xlfn.IFNA(ROUND(INDEX(Spectrum!$N:$N,MATCH(RIGHT($B173,13)&amp;"|"&amp;$C173&amp;"|"&amp;$D173&amp;"|"&amp;Z$14&amp;"|"&amp;"CY2023Q3",Spectrum!$R:$R,0)),0),""))</f>
        <v>1850</v>
      </c>
      <c r="AA173" s="90">
        <f>IF(LEFT($B173,4)="_Mil","",IFERROR(1/(1/INDEX(Spectrum!$N:$N,MATCH(RIGHT($B173,13)&amp;"|"&amp;$C173&amp;"|"&amp;$D173&amp;"|"&amp;AA$14&amp;"|"&amp;"CY2023Q3",Spectrum!$R:$R,0))),IF(SUM($U173)=0,"",SUM($Z173)/$U173)))</f>
        <v>1487</v>
      </c>
      <c r="AB173" s="90">
        <f t="shared" si="55"/>
        <v>2.4666666666666668</v>
      </c>
      <c r="AC173" s="14">
        <f>IF(LEFT($B173,4)="_Mil","",_xlfn.IFNA(ROUND(INDEX(Spectrum!$N:$N,MATCH(RIGHT($B173,13)&amp;"|"&amp;$C173&amp;"|"&amp;$D173&amp;"|"&amp;AC$14&amp;"|"&amp;"CY2023Q3",Spectrum!$R:$R,0)),0),""))</f>
        <v>750</v>
      </c>
      <c r="AD173" s="14" t="str">
        <f>IF(LEFT($B173,4)="_Mil","",_xlfn.IFNA(ROUND(INDEX(Spectrum!$N:$N,MATCH(RIGHT($B173,13)&amp;"|"&amp;$C173&amp;"|"&amp;$D173&amp;"|"&amp;AD$14&amp;"|"&amp;"CY2023Q3",Spectrum!$R:$R,0)),0),""))</f>
        <v/>
      </c>
      <c r="AE173" s="90">
        <f t="shared" si="56"/>
        <v>0</v>
      </c>
      <c r="AF173" s="42" t="str">
        <f>IF(LEFT($B173,4)="_Mil","",_xlfn.IFNA(ROUND(INDEX(Spectrum!$N:$N,MATCH(RIGHT($B173,13)&amp;"|"&amp;$C173&amp;"|"&amp;$D173&amp;"|"&amp;AF$14&amp;"|"&amp;"CY2023Q3",Spectrum!$R:$R,0)),0),""))</f>
        <v/>
      </c>
      <c r="AG173" s="90" t="str">
        <f t="shared" si="57"/>
        <v/>
      </c>
      <c r="AH173" s="88" t="str">
        <f>IF(LEFT($B173,4)="_Mil","",_xlfn.IFNA(INDEX(Spectrum!$N:$N,MATCH(RIGHT($B173,13)&amp;"|"&amp;$C173&amp;"|"&amp;$D173&amp;"|"&amp;AH$14&amp;"|"&amp;"CY2023Q3",Spectrum!$R:$R,0)),""))</f>
        <v/>
      </c>
      <c r="AI173" s="14" t="str">
        <f>IF(LEFT($B173,4)="_Mil","",_xlfn.IFNA(ROUND(INDEX(Spectrum!$N:$N,MATCH(RIGHT($B173,13)&amp;"|"&amp;$C173&amp;"|"&amp;$D173&amp;"|"&amp;AI$14&amp;"|"&amp;"CY2023Q3",Spectrum!$R:$R,0)),0),""))</f>
        <v/>
      </c>
      <c r="AJ173" s="42">
        <f>IF(LEFT($B173,4)="_Mil","",_xlfn.IFNA(ROUND(INDEX(Spectrum!$N:$N,MATCH(RIGHT($B173,13)&amp;"|"&amp;$C173&amp;"|"&amp;$D173&amp;"|"&amp;AI$14&amp;"|"&amp;"CY2023Q3",Spectrum!$R:$R,0)),0),SUM($U173)+SUM($AI173)))</f>
        <v>0</v>
      </c>
      <c r="AK173" s="14" t="str">
        <f>IF(LEFT($B173,4)="_Mil","",_xlfn.IFNA(ROUND(INDEX(Spectrum!$N:$N,MATCH(RIGHT($B173,13)&amp;"|"&amp;$C173&amp;"|"&amp;$D173&amp;"|"&amp;AK$14&amp;"|"&amp;"CY2023Q3",Spectrum!$R:$R,0)),0),""))</f>
        <v/>
      </c>
      <c r="AL173" s="90">
        <f t="shared" si="58"/>
        <v>1487</v>
      </c>
      <c r="AM173" s="14">
        <f t="shared" si="59"/>
        <v>0</v>
      </c>
      <c r="AN173" s="14" t="str">
        <f>IF($C173="&lt;01",ROUND(INDEX(EID!$P:$P,MATCH($B173,EID!$B:$B,0))/2,0),"")</f>
        <v/>
      </c>
      <c r="AO173" s="14">
        <f t="shared" si="60"/>
        <v>0</v>
      </c>
      <c r="AP173" s="42">
        <f t="shared" si="61"/>
        <v>0</v>
      </c>
      <c r="AQ173" s="42">
        <f t="shared" si="62"/>
        <v>1850</v>
      </c>
      <c r="AR173" s="90" t="str">
        <f t="shared" si="63"/>
        <v/>
      </c>
      <c r="AS173" s="90">
        <f t="shared" si="73"/>
        <v>0.98</v>
      </c>
      <c r="AT173" s="90">
        <f t="shared" si="73"/>
        <v>0.98</v>
      </c>
      <c r="AU173" s="14">
        <f t="shared" si="64"/>
        <v>-91</v>
      </c>
      <c r="AV173" s="14">
        <f>IF($C173="&lt;01",ROUND(INDEX(EID!$N:$N,MATCH($B173,EID!$B:$B,0))/2,0),IF(SUM($AT173)=0,"",ROUND((SUM($AP173)-(SUM($O173)*SUM($AS173)))/$AT173,0)))</f>
        <v>-91</v>
      </c>
      <c r="AW173" s="90">
        <f t="shared" si="65"/>
        <v>1</v>
      </c>
      <c r="AX173" s="42">
        <f t="shared" si="66"/>
        <v>-91</v>
      </c>
      <c r="AY173" s="116">
        <f t="shared" si="67"/>
        <v>0.7</v>
      </c>
      <c r="AZ173" s="93">
        <f>IF($C173="&lt;01",ROUND(INDEX(EID!$R:$R,MATCH($B173,EID!$B:$B,0))/2,0),ROUND(SUM($O173)+(SUM($AV173)*$AY173),0))</f>
        <v>27</v>
      </c>
      <c r="BA173" s="89">
        <f t="shared" si="68"/>
        <v>0.95</v>
      </c>
      <c r="BB173" s="9">
        <f>IF($C173="&lt;01",ROUND(INDEX(EID!$T:$T,MATCH($B173,EID!$B:$B,0))/2,0),ROUND($AZ173*$BA173,0))</f>
        <v>26</v>
      </c>
      <c r="BC173" s="93">
        <f t="shared" si="69"/>
        <v>26</v>
      </c>
      <c r="BD173" s="90">
        <f t="shared" si="70"/>
        <v>0.95</v>
      </c>
      <c r="BE173" s="42">
        <f>IF($C173="&lt;01",ROUND(INDEX(EID!$V:$V,MATCH($B173,EID!$B:$B,0))/2,0),ROUND($BD173*$BB173,0))</f>
        <v>25</v>
      </c>
      <c r="BF173" s="42">
        <f t="shared" si="71"/>
        <v>25</v>
      </c>
      <c r="BG173" s="116">
        <f t="shared" si="72"/>
        <v>0.95</v>
      </c>
      <c r="BH173" s="9">
        <f>IF($C173="&lt;01",ROUND(INDEX(EID!$L:$L,MATCH($B173,EID!$B:$B,0)),0)/2,IF(SUM($BG173)=0,"",ROUND($AX173/$BG173,0)))</f>
        <v>-96</v>
      </c>
    </row>
    <row r="174" spans="1:60" x14ac:dyDescent="0.2">
      <c r="A174" t="str">
        <f>INDEX(Prioritization!$D:$D,MATCH($B174,Prioritization!$A:$A,0))</f>
        <v>INVALID</v>
      </c>
      <c r="B174" t="s">
        <v>204</v>
      </c>
      <c r="C174" t="s">
        <v>363</v>
      </c>
      <c r="D174" t="s">
        <v>47</v>
      </c>
      <c r="E174" t="str">
        <f t="shared" si="51"/>
        <v>Karonga District [cPtvxaZqXIH]|10-14|Male</v>
      </c>
      <c r="F174" s="14"/>
      <c r="G174" s="14">
        <v>6</v>
      </c>
      <c r="H174" s="14">
        <v>1</v>
      </c>
      <c r="I174" s="14">
        <v>81</v>
      </c>
      <c r="J174" s="14">
        <v>90</v>
      </c>
      <c r="K174" s="14">
        <v>5</v>
      </c>
      <c r="L174" s="14">
        <v>2</v>
      </c>
      <c r="M174" s="14">
        <v>5</v>
      </c>
      <c r="N174" s="14">
        <v>57</v>
      </c>
      <c r="O174" s="14">
        <f t="shared" si="52"/>
        <v>81</v>
      </c>
      <c r="P174" s="14">
        <v>35</v>
      </c>
      <c r="Q174" s="14">
        <v>69</v>
      </c>
      <c r="R174" s="14">
        <f t="shared" si="53"/>
        <v>0</v>
      </c>
      <c r="S174" s="14">
        <f>IF(LEFT($B174,4)="_Mil","",_xlfn.IFNA(ROUND(INDEX(Spectrum!$N:$N,MATCH(RIGHT($B174,13)&amp;"|"&amp;$C174&amp;"|"&amp;$D174&amp;"|"&amp;S$14&amp;"|"&amp;"CY2022Q4",Spectrum!$R:$R,0)),0),""))</f>
        <v>1802</v>
      </c>
      <c r="T174" s="42">
        <f>IF(LEFT($B174,4)="_Mil","",_xlfn.IFNA(ROUND(INDEX(Spectrum!$N:$N,MATCH(RIGHT($B174,13)&amp;"|"&amp;$C174&amp;"|"&amp;$D174&amp;"|"&amp;T$14&amp;"|"&amp;"CY2023Q3",Spectrum!$R:$R,0)),0),""))</f>
        <v>1978</v>
      </c>
      <c r="U174" s="42" t="str">
        <f>IF(LEFT($B174,4)="_Mil","",_xlfn.IFNA(ROUND(INDEX(Spectrum!$N:$N,MATCH(RIGHT($B174,13)&amp;"|"&amp;$C174&amp;"|"&amp;$D174&amp;"|"&amp;U$14&amp;"|"&amp;"CY2023Q3",Spectrum!$R:$R,0)),0),""))</f>
        <v/>
      </c>
      <c r="V174" s="14">
        <f>IF(LEFT($B174,4)="_Mil","",_xlfn.IFNA(ROUND(INDEX(Spectrum!$N:$N,MATCH(RIGHT($B174,13)&amp;"|"&amp;$C174&amp;"|"&amp;$D174&amp;"|"&amp;V$14&amp;"|"&amp;"CY2023Q3",Spectrum!$R:$R,0)),0),""))</f>
        <v>1950</v>
      </c>
      <c r="W174" s="115">
        <f>IF(LEFT($B174,4)="_Mil","",_xlfn.IFNA(INDEX(Spectrum!$N:$N,MATCH(RIGHT($B174,13)&amp;"|"&amp;$C174&amp;"|"&amp;$D174&amp;"|"&amp;W$14&amp;"|"&amp;"CY2023Q3",Spectrum!$R:$R,0)),""))</f>
        <v>1837</v>
      </c>
      <c r="X174" s="42">
        <f>IF(LEFT($B174,4)="_Mil","",_xlfn.IFNA(ROUND(INDEX(Spectrum!$N:$N,MATCH(RIGHT($B174,13)&amp;"|"&amp;$C174&amp;"|"&amp;$D174&amp;"|"&amp;X$14&amp;"|"&amp;"CY2023Q3",Spectrum!$R:$R,0)),0),""))</f>
        <v>1906</v>
      </c>
      <c r="Y174" s="90" t="str">
        <f t="shared" si="54"/>
        <v/>
      </c>
      <c r="Z174" s="42">
        <f>IF(LEFT($B174,4)="_Mil","",_xlfn.IFNA(ROUND(INDEX(Spectrum!$N:$N,MATCH(RIGHT($B174,13)&amp;"|"&amp;$C174&amp;"|"&amp;$D174&amp;"|"&amp;Z$14&amp;"|"&amp;"CY2023Q3",Spectrum!$R:$R,0)),0),""))</f>
        <v>1447</v>
      </c>
      <c r="AA174" s="90">
        <f>IF(LEFT($B174,4)="_Mil","",IFERROR(1/(1/INDEX(Spectrum!$N:$N,MATCH(RIGHT($B174,13)&amp;"|"&amp;$C174&amp;"|"&amp;$D174&amp;"|"&amp;AA$14&amp;"|"&amp;"CY2023Q3",Spectrum!$R:$R,0))),IF(SUM($U174)=0,"",SUM($Z174)/$U174)))</f>
        <v>1518</v>
      </c>
      <c r="AB174" s="90">
        <f t="shared" si="55"/>
        <v>0.75918153200419725</v>
      </c>
      <c r="AC174" s="14">
        <f>IF(LEFT($B174,4)="_Mil","",_xlfn.IFNA(ROUND(INDEX(Spectrum!$N:$N,MATCH(RIGHT($B174,13)&amp;"|"&amp;$C174&amp;"|"&amp;$D174&amp;"|"&amp;AC$14&amp;"|"&amp;"CY2023Q3",Spectrum!$R:$R,0)),0),""))</f>
        <v>1802</v>
      </c>
      <c r="AD174" s="14" t="str">
        <f>IF(LEFT($B174,4)="_Mil","",_xlfn.IFNA(ROUND(INDEX(Spectrum!$N:$N,MATCH(RIGHT($B174,13)&amp;"|"&amp;$C174&amp;"|"&amp;$D174&amp;"|"&amp;AD$14&amp;"|"&amp;"CY2023Q3",Spectrum!$R:$R,0)),0),""))</f>
        <v/>
      </c>
      <c r="AE174" s="90">
        <f t="shared" si="56"/>
        <v>0</v>
      </c>
      <c r="AF174" s="42" t="str">
        <f>IF(LEFT($B174,4)="_Mil","",_xlfn.IFNA(ROUND(INDEX(Spectrum!$N:$N,MATCH(RIGHT($B174,13)&amp;"|"&amp;$C174&amp;"|"&amp;$D174&amp;"|"&amp;AF$14&amp;"|"&amp;"CY2023Q3",Spectrum!$R:$R,0)),0),""))</f>
        <v/>
      </c>
      <c r="AG174" s="90" t="str">
        <f t="shared" si="57"/>
        <v/>
      </c>
      <c r="AH174" s="88" t="str">
        <f>IF(LEFT($B174,4)="_Mil","",_xlfn.IFNA(INDEX(Spectrum!$N:$N,MATCH(RIGHT($B174,13)&amp;"|"&amp;$C174&amp;"|"&amp;$D174&amp;"|"&amp;AH$14&amp;"|"&amp;"CY2023Q3",Spectrum!$R:$R,0)),""))</f>
        <v/>
      </c>
      <c r="AI174" s="14" t="str">
        <f>IF(LEFT($B174,4)="_Mil","",_xlfn.IFNA(ROUND(INDEX(Spectrum!$N:$N,MATCH(RIGHT($B174,13)&amp;"|"&amp;$C174&amp;"|"&amp;$D174&amp;"|"&amp;AI$14&amp;"|"&amp;"CY2023Q3",Spectrum!$R:$R,0)),0),""))</f>
        <v/>
      </c>
      <c r="AJ174" s="42">
        <f>IF(LEFT($B174,4)="_Mil","",_xlfn.IFNA(ROUND(INDEX(Spectrum!$N:$N,MATCH(RIGHT($B174,13)&amp;"|"&amp;$C174&amp;"|"&amp;$D174&amp;"|"&amp;AI$14&amp;"|"&amp;"CY2023Q3",Spectrum!$R:$R,0)),0),SUM($U174)+SUM($AI174)))</f>
        <v>0</v>
      </c>
      <c r="AK174" s="14" t="str">
        <f>IF(LEFT($B174,4)="_Mil","",_xlfn.IFNA(ROUND(INDEX(Spectrum!$N:$N,MATCH(RIGHT($B174,13)&amp;"|"&amp;$C174&amp;"|"&amp;$D174&amp;"|"&amp;AK$14&amp;"|"&amp;"CY2023Q3",Spectrum!$R:$R,0)),0),""))</f>
        <v/>
      </c>
      <c r="AL174" s="90">
        <f t="shared" si="58"/>
        <v>1518</v>
      </c>
      <c r="AM174" s="14">
        <f t="shared" si="59"/>
        <v>0</v>
      </c>
      <c r="AN174" s="14" t="str">
        <f>IF($C174="&lt;01",ROUND(INDEX(EID!$P:$P,MATCH($B174,EID!$B:$B,0))/2,0),"")</f>
        <v/>
      </c>
      <c r="AO174" s="14">
        <f t="shared" si="60"/>
        <v>0</v>
      </c>
      <c r="AP174" s="42">
        <f t="shared" si="61"/>
        <v>0</v>
      </c>
      <c r="AQ174" s="42">
        <f t="shared" si="62"/>
        <v>1447</v>
      </c>
      <c r="AR174" s="90" t="str">
        <f t="shared" si="63"/>
        <v/>
      </c>
      <c r="AS174" s="90">
        <f t="shared" si="73"/>
        <v>0.98</v>
      </c>
      <c r="AT174" s="90">
        <f t="shared" si="73"/>
        <v>0.98</v>
      </c>
      <c r="AU174" s="14">
        <f t="shared" si="64"/>
        <v>-81</v>
      </c>
      <c r="AV174" s="14">
        <f>IF($C174="&lt;01",ROUND(INDEX(EID!$N:$N,MATCH($B174,EID!$B:$B,0))/2,0),IF(SUM($AT174)=0,"",ROUND((SUM($AP174)-(SUM($O174)*SUM($AS174)))/$AT174,0)))</f>
        <v>-81</v>
      </c>
      <c r="AW174" s="90">
        <f t="shared" si="65"/>
        <v>1</v>
      </c>
      <c r="AX174" s="42">
        <f t="shared" si="66"/>
        <v>-81</v>
      </c>
      <c r="AY174" s="116">
        <f t="shared" si="67"/>
        <v>0.7</v>
      </c>
      <c r="AZ174" s="93">
        <f>IF($C174="&lt;01",ROUND(INDEX(EID!$R:$R,MATCH($B174,EID!$B:$B,0))/2,0),ROUND(SUM($O174)+(SUM($AV174)*$AY174),0))</f>
        <v>24</v>
      </c>
      <c r="BA174" s="89">
        <f t="shared" si="68"/>
        <v>0.95</v>
      </c>
      <c r="BB174" s="9">
        <f>IF($C174="&lt;01",ROUND(INDEX(EID!$T:$T,MATCH($B174,EID!$B:$B,0))/2,0),ROUND($AZ174*$BA174,0))</f>
        <v>23</v>
      </c>
      <c r="BC174" s="93">
        <f t="shared" si="69"/>
        <v>23</v>
      </c>
      <c r="BD174" s="90">
        <f t="shared" si="70"/>
        <v>0.95</v>
      </c>
      <c r="BE174" s="42">
        <f>IF($C174="&lt;01",ROUND(INDEX(EID!$V:$V,MATCH($B174,EID!$B:$B,0))/2,0),ROUND($BD174*$BB174,0))</f>
        <v>22</v>
      </c>
      <c r="BF174" s="42">
        <f t="shared" si="71"/>
        <v>22</v>
      </c>
      <c r="BG174" s="116">
        <f t="shared" si="72"/>
        <v>0.95</v>
      </c>
      <c r="BH174" s="9">
        <f>IF($C174="&lt;01",ROUND(INDEX(EID!$L:$L,MATCH($B174,EID!$B:$B,0)),0)/2,IF(SUM($BG174)=0,"",ROUND($AX174/$BG174,0)))</f>
        <v>-85</v>
      </c>
    </row>
    <row r="175" spans="1:60" x14ac:dyDescent="0.2">
      <c r="A175" t="str">
        <f>INDEX(Prioritization!$D:$D,MATCH($B175,Prioritization!$A:$A,0))</f>
        <v>INVALID</v>
      </c>
      <c r="B175" t="s">
        <v>204</v>
      </c>
      <c r="C175" t="s">
        <v>364</v>
      </c>
      <c r="D175" t="s">
        <v>29</v>
      </c>
      <c r="E175" t="str">
        <f t="shared" si="51"/>
        <v>Karonga District [cPtvxaZqXIH]|15-24|Female</v>
      </c>
      <c r="F175" s="14"/>
      <c r="G175" s="14"/>
      <c r="H175" s="14"/>
      <c r="I175" s="14"/>
      <c r="J175" s="14"/>
      <c r="K175" s="14"/>
      <c r="L175" s="14"/>
      <c r="M175" s="14"/>
      <c r="N175" s="14"/>
      <c r="O175" s="14" t="str">
        <f t="shared" si="52"/>
        <v/>
      </c>
      <c r="P175" s="14"/>
      <c r="Q175" s="14"/>
      <c r="R175" s="14" t="str">
        <f t="shared" si="53"/>
        <v/>
      </c>
      <c r="S175" s="14">
        <f>IF(LEFT($B175,4)="_Mil","",_xlfn.IFNA(ROUND(INDEX(Spectrum!$N:$N,MATCH(RIGHT($B175,13)&amp;"|"&amp;$C175&amp;"|"&amp;$D175&amp;"|"&amp;S$14&amp;"|"&amp;"CY2022Q4",Spectrum!$R:$R,0)),0),""))</f>
        <v>1556</v>
      </c>
      <c r="T175" s="42">
        <f>IF(LEFT($B175,4)="_Mil","",_xlfn.IFNA(ROUND(INDEX(Spectrum!$N:$N,MATCH(RIGHT($B175,13)&amp;"|"&amp;$C175&amp;"|"&amp;$D175&amp;"|"&amp;T$14&amp;"|"&amp;"CY2023Q3",Spectrum!$R:$R,0)),0),""))</f>
        <v>1202</v>
      </c>
      <c r="U175" s="42" t="str">
        <f>IF(LEFT($B175,4)="_Mil","",_xlfn.IFNA(ROUND(INDEX(Spectrum!$N:$N,MATCH(RIGHT($B175,13)&amp;"|"&amp;$C175&amp;"|"&amp;$D175&amp;"|"&amp;U$14&amp;"|"&amp;"CY2023Q3",Spectrum!$R:$R,0)),0),""))</f>
        <v/>
      </c>
      <c r="V175" s="14">
        <f>IF(LEFT($B175,4)="_Mil","",_xlfn.IFNA(ROUND(INDEX(Spectrum!$N:$N,MATCH(RIGHT($B175,13)&amp;"|"&amp;$C175&amp;"|"&amp;$D175&amp;"|"&amp;V$14&amp;"|"&amp;"CY2023Q3",Spectrum!$R:$R,0)),0),""))</f>
        <v>1552</v>
      </c>
      <c r="W175" s="115">
        <f>IF(LEFT($B175,4)="_Mil","",_xlfn.IFNA(INDEX(Spectrum!$N:$N,MATCH(RIGHT($B175,13)&amp;"|"&amp;$C175&amp;"|"&amp;$D175&amp;"|"&amp;W$14&amp;"|"&amp;"CY2023Q3",Spectrum!$R:$R,0)),""))</f>
        <v>1330</v>
      </c>
      <c r="X175" s="42">
        <f>IF(LEFT($B175,4)="_Mil","",_xlfn.IFNA(ROUND(INDEX(Spectrum!$N:$N,MATCH(RIGHT($B175,13)&amp;"|"&amp;$C175&amp;"|"&amp;$D175&amp;"|"&amp;X$14&amp;"|"&amp;"CY2023Q3",Spectrum!$R:$R,0)),0),""))</f>
        <v>1529</v>
      </c>
      <c r="Y175" s="90" t="str">
        <f t="shared" si="54"/>
        <v/>
      </c>
      <c r="Z175" s="42">
        <f>IF(LEFT($B175,4)="_Mil","",_xlfn.IFNA(ROUND(INDEX(Spectrum!$N:$N,MATCH(RIGHT($B175,13)&amp;"|"&amp;$C175&amp;"|"&amp;$D175&amp;"|"&amp;Z$14&amp;"|"&amp;"CY2023Q3",Spectrum!$R:$R,0)),0),""))</f>
        <v>1627</v>
      </c>
      <c r="AA175" s="90">
        <f>IF(LEFT($B175,4)="_Mil","",IFERROR(1/(1/INDEX(Spectrum!$N:$N,MATCH(RIGHT($B175,13)&amp;"|"&amp;$C175&amp;"|"&amp;$D175&amp;"|"&amp;AA$14&amp;"|"&amp;"CY2023Q3",Spectrum!$R:$R,0))),IF(SUM($U175)=0,"",SUM($Z175)/$U175)))</f>
        <v>1022</v>
      </c>
      <c r="AB175" s="90">
        <f t="shared" si="55"/>
        <v>1.0640941792020928</v>
      </c>
      <c r="AC175" s="14">
        <f>IF(LEFT($B175,4)="_Mil","",_xlfn.IFNA(ROUND(INDEX(Spectrum!$N:$N,MATCH(RIGHT($B175,13)&amp;"|"&amp;$C175&amp;"|"&amp;$D175&amp;"|"&amp;AC$14&amp;"|"&amp;"CY2023Q3",Spectrum!$R:$R,0)),0),""))</f>
        <v>1548</v>
      </c>
      <c r="AD175" s="14" t="str">
        <f>IF(LEFT($B175,4)="_Mil","",_xlfn.IFNA(ROUND(INDEX(Spectrum!$N:$N,MATCH(RIGHT($B175,13)&amp;"|"&amp;$C175&amp;"|"&amp;$D175&amp;"|"&amp;AD$14&amp;"|"&amp;"CY2023Q3",Spectrum!$R:$R,0)),0),""))</f>
        <v/>
      </c>
      <c r="AE175" s="90">
        <f t="shared" si="56"/>
        <v>0</v>
      </c>
      <c r="AF175" s="42" t="str">
        <f>IF(LEFT($B175,4)="_Mil","",_xlfn.IFNA(ROUND(INDEX(Spectrum!$N:$N,MATCH(RIGHT($B175,13)&amp;"|"&amp;$C175&amp;"|"&amp;$D175&amp;"|"&amp;AF$14&amp;"|"&amp;"CY2023Q3",Spectrum!$R:$R,0)),0),""))</f>
        <v/>
      </c>
      <c r="AG175" s="90" t="str">
        <f t="shared" si="57"/>
        <v/>
      </c>
      <c r="AH175" s="88" t="str">
        <f>IF(LEFT($B175,4)="_Mil","",_xlfn.IFNA(INDEX(Spectrum!$N:$N,MATCH(RIGHT($B175,13)&amp;"|"&amp;$C175&amp;"|"&amp;$D175&amp;"|"&amp;AH$14&amp;"|"&amp;"CY2023Q3",Spectrum!$R:$R,0)),""))</f>
        <v/>
      </c>
      <c r="AI175" s="14" t="str">
        <f>IF(LEFT($B175,4)="_Mil","",_xlfn.IFNA(ROUND(INDEX(Spectrum!$N:$N,MATCH(RIGHT($B175,13)&amp;"|"&amp;$C175&amp;"|"&amp;$D175&amp;"|"&amp;AI$14&amp;"|"&amp;"CY2023Q3",Spectrum!$R:$R,0)),0),""))</f>
        <v/>
      </c>
      <c r="AJ175" s="42">
        <f>IF(LEFT($B175,4)="_Mil","",_xlfn.IFNA(ROUND(INDEX(Spectrum!$N:$N,MATCH(RIGHT($B175,13)&amp;"|"&amp;$C175&amp;"|"&amp;$D175&amp;"|"&amp;AI$14&amp;"|"&amp;"CY2023Q3",Spectrum!$R:$R,0)),0),SUM($U175)+SUM($AI175)))</f>
        <v>0</v>
      </c>
      <c r="AK175" s="14" t="str">
        <f>IF(LEFT($B175,4)="_Mil","",_xlfn.IFNA(ROUND(INDEX(Spectrum!$N:$N,MATCH(RIGHT($B175,13)&amp;"|"&amp;$C175&amp;"|"&amp;$D175&amp;"|"&amp;AK$14&amp;"|"&amp;"CY2023Q3",Spectrum!$R:$R,0)),0),""))</f>
        <v/>
      </c>
      <c r="AL175" s="90">
        <f t="shared" si="58"/>
        <v>1022</v>
      </c>
      <c r="AM175" s="14">
        <f t="shared" si="59"/>
        <v>0</v>
      </c>
      <c r="AN175" s="14" t="str">
        <f>IF($C175="&lt;01",ROUND(INDEX(EID!$P:$P,MATCH($B175,EID!$B:$B,0))/2,0),"")</f>
        <v/>
      </c>
      <c r="AO175" s="14">
        <f t="shared" si="60"/>
        <v>0</v>
      </c>
      <c r="AP175" s="42">
        <f t="shared" si="61"/>
        <v>0</v>
      </c>
      <c r="AQ175" s="42">
        <f t="shared" si="62"/>
        <v>1627</v>
      </c>
      <c r="AR175" s="90" t="str">
        <f t="shared" si="63"/>
        <v/>
      </c>
      <c r="AS175" s="90">
        <f t="shared" ref="AS175:AT194" si="74">IF($C175="&lt;01","",98%)</f>
        <v>0.98</v>
      </c>
      <c r="AT175" s="90">
        <f t="shared" si="74"/>
        <v>0.98</v>
      </c>
      <c r="AU175" s="14">
        <f t="shared" si="64"/>
        <v>0</v>
      </c>
      <c r="AV175" s="14">
        <f>IF($C175="&lt;01",ROUND(INDEX(EID!$N:$N,MATCH($B175,EID!$B:$B,0))/2,0),IF(SUM($AT175)=0,"",ROUND((SUM($AP175)-(SUM($O175)*SUM($AS175)))/$AT175,0)))</f>
        <v>0</v>
      </c>
      <c r="AW175" s="90">
        <f t="shared" si="65"/>
        <v>1</v>
      </c>
      <c r="AX175" s="42">
        <f t="shared" si="66"/>
        <v>0</v>
      </c>
      <c r="AY175" s="116">
        <f t="shared" si="67"/>
        <v>0.7</v>
      </c>
      <c r="AZ175" s="93">
        <f>IF($C175="&lt;01",ROUND(INDEX(EID!$R:$R,MATCH($B175,EID!$B:$B,0))/2,0),ROUND(SUM($O175)+(SUM($AV175)*$AY175),0))</f>
        <v>0</v>
      </c>
      <c r="BA175" s="89">
        <f t="shared" si="68"/>
        <v>0.95</v>
      </c>
      <c r="BB175" s="9">
        <f>IF($C175="&lt;01",ROUND(INDEX(EID!$T:$T,MATCH($B175,EID!$B:$B,0))/2,0),ROUND($AZ175*$BA175,0))</f>
        <v>0</v>
      </c>
      <c r="BC175" s="93">
        <f t="shared" si="69"/>
        <v>0</v>
      </c>
      <c r="BD175" s="90">
        <f t="shared" si="70"/>
        <v>0.95</v>
      </c>
      <c r="BE175" s="42">
        <f>IF($C175="&lt;01",ROUND(INDEX(EID!$V:$V,MATCH($B175,EID!$B:$B,0))/2,0),ROUND($BD175*$BB175,0))</f>
        <v>0</v>
      </c>
      <c r="BF175" s="42">
        <f t="shared" si="71"/>
        <v>0</v>
      </c>
      <c r="BG175" s="116">
        <f t="shared" si="72"/>
        <v>0.95</v>
      </c>
      <c r="BH175" s="9">
        <f>IF($C175="&lt;01",ROUND(INDEX(EID!$L:$L,MATCH($B175,EID!$B:$B,0)),0)/2,IF(SUM($BG175)=0,"",ROUND($AX175/$BG175,0)))</f>
        <v>0</v>
      </c>
    </row>
    <row r="176" spans="1:60" x14ac:dyDescent="0.2">
      <c r="A176" t="str">
        <f>INDEX(Prioritization!$D:$D,MATCH($B176,Prioritization!$A:$A,0))</f>
        <v>INVALID</v>
      </c>
      <c r="B176" t="s">
        <v>204</v>
      </c>
      <c r="C176" t="s">
        <v>364</v>
      </c>
      <c r="D176" t="s">
        <v>47</v>
      </c>
      <c r="E176" t="str">
        <f t="shared" si="51"/>
        <v>Karonga District [cPtvxaZqXIH]|15-24|Male</v>
      </c>
      <c r="F176" s="14"/>
      <c r="G176" s="14"/>
      <c r="H176" s="14"/>
      <c r="I176" s="14"/>
      <c r="J176" s="14"/>
      <c r="K176" s="14"/>
      <c r="L176" s="14"/>
      <c r="M176" s="14"/>
      <c r="N176" s="14"/>
      <c r="O176" s="14" t="str">
        <f t="shared" si="52"/>
        <v/>
      </c>
      <c r="P176" s="14"/>
      <c r="Q176" s="14"/>
      <c r="R176" s="14" t="str">
        <f t="shared" si="53"/>
        <v/>
      </c>
      <c r="S176" s="14">
        <f>IF(LEFT($B176,4)="_Mil","",_xlfn.IFNA(ROUND(INDEX(Spectrum!$N:$N,MATCH(RIGHT($B176,13)&amp;"|"&amp;$C176&amp;"|"&amp;$D176&amp;"|"&amp;S$14&amp;"|"&amp;"CY2022Q4",Spectrum!$R:$R,0)),0),""))</f>
        <v>1562</v>
      </c>
      <c r="T176" s="42">
        <f>IF(LEFT($B176,4)="_Mil","",_xlfn.IFNA(ROUND(INDEX(Spectrum!$N:$N,MATCH(RIGHT($B176,13)&amp;"|"&amp;$C176&amp;"|"&amp;$D176&amp;"|"&amp;T$14&amp;"|"&amp;"CY2023Q3",Spectrum!$R:$R,0)),0),""))</f>
        <v>1477</v>
      </c>
      <c r="U176" s="42" t="str">
        <f>IF(LEFT($B176,4)="_Mil","",_xlfn.IFNA(ROUND(INDEX(Spectrum!$N:$N,MATCH(RIGHT($B176,13)&amp;"|"&amp;$C176&amp;"|"&amp;$D176&amp;"|"&amp;U$14&amp;"|"&amp;"CY2023Q3",Spectrum!$R:$R,0)),0),""))</f>
        <v/>
      </c>
      <c r="V176" s="14">
        <f>IF(LEFT($B176,4)="_Mil","",_xlfn.IFNA(ROUND(INDEX(Spectrum!$N:$N,MATCH(RIGHT($B176,13)&amp;"|"&amp;$C176&amp;"|"&amp;$D176&amp;"|"&amp;V$14&amp;"|"&amp;"CY2023Q3",Spectrum!$R:$R,0)),0),""))</f>
        <v>855</v>
      </c>
      <c r="W176" s="115">
        <f>IF(LEFT($B176,4)="_Mil","",_xlfn.IFNA(INDEX(Spectrum!$N:$N,MATCH(RIGHT($B176,13)&amp;"|"&amp;$C176&amp;"|"&amp;$D176&amp;"|"&amp;W$14&amp;"|"&amp;"CY2023Q3",Spectrum!$R:$R,0)),""))</f>
        <v>803</v>
      </c>
      <c r="X176" s="42">
        <f>IF(LEFT($B176,4)="_Mil","",_xlfn.IFNA(ROUND(INDEX(Spectrum!$N:$N,MATCH(RIGHT($B176,13)&amp;"|"&amp;$C176&amp;"|"&amp;$D176&amp;"|"&amp;X$14&amp;"|"&amp;"CY2023Q3",Spectrum!$R:$R,0)),0),""))</f>
        <v>1571</v>
      </c>
      <c r="Y176" s="90" t="str">
        <f t="shared" si="54"/>
        <v/>
      </c>
      <c r="Z176" s="42">
        <f>IF(LEFT($B176,4)="_Mil","",_xlfn.IFNA(ROUND(INDEX(Spectrum!$N:$N,MATCH(RIGHT($B176,13)&amp;"|"&amp;$C176&amp;"|"&amp;$D176&amp;"|"&amp;Z$14&amp;"|"&amp;"CY2023Q3",Spectrum!$R:$R,0)),0),""))</f>
        <v>1129</v>
      </c>
      <c r="AA176" s="90">
        <f>IF(LEFT($B176,4)="_Mil","",IFERROR(1/(1/INDEX(Spectrum!$N:$N,MATCH(RIGHT($B176,13)&amp;"|"&amp;$C176&amp;"|"&amp;$D176&amp;"|"&amp;AA$14&amp;"|"&amp;"CY2023Q3",Spectrum!$R:$R,0))),IF(SUM($U176)=0,"",SUM($Z176)/$U176)))</f>
        <v>569</v>
      </c>
      <c r="AB176" s="90">
        <f t="shared" si="55"/>
        <v>0.71865054105665183</v>
      </c>
      <c r="AC176" s="14">
        <f>IF(LEFT($B176,4)="_Mil","",_xlfn.IFNA(ROUND(INDEX(Spectrum!$N:$N,MATCH(RIGHT($B176,13)&amp;"|"&amp;$C176&amp;"|"&amp;$D176&amp;"|"&amp;AC$14&amp;"|"&amp;"CY2023Q3",Spectrum!$R:$R,0)),0),""))</f>
        <v>1753</v>
      </c>
      <c r="AD176" s="14" t="str">
        <f>IF(LEFT($B176,4)="_Mil","",_xlfn.IFNA(ROUND(INDEX(Spectrum!$N:$N,MATCH(RIGHT($B176,13)&amp;"|"&amp;$C176&amp;"|"&amp;$D176&amp;"|"&amp;AD$14&amp;"|"&amp;"CY2023Q3",Spectrum!$R:$R,0)),0),""))</f>
        <v/>
      </c>
      <c r="AE176" s="90">
        <f t="shared" si="56"/>
        <v>0</v>
      </c>
      <c r="AF176" s="42" t="str">
        <f>IF(LEFT($B176,4)="_Mil","",_xlfn.IFNA(ROUND(INDEX(Spectrum!$N:$N,MATCH(RIGHT($B176,13)&amp;"|"&amp;$C176&amp;"|"&amp;$D176&amp;"|"&amp;AF$14&amp;"|"&amp;"CY2023Q3",Spectrum!$R:$R,0)),0),""))</f>
        <v/>
      </c>
      <c r="AG176" s="90" t="str">
        <f t="shared" si="57"/>
        <v/>
      </c>
      <c r="AH176" s="88" t="str">
        <f>IF(LEFT($B176,4)="_Mil","",_xlfn.IFNA(INDEX(Spectrum!$N:$N,MATCH(RIGHT($B176,13)&amp;"|"&amp;$C176&amp;"|"&amp;$D176&amp;"|"&amp;AH$14&amp;"|"&amp;"CY2023Q3",Spectrum!$R:$R,0)),""))</f>
        <v/>
      </c>
      <c r="AI176" s="14" t="str">
        <f>IF(LEFT($B176,4)="_Mil","",_xlfn.IFNA(ROUND(INDEX(Spectrum!$N:$N,MATCH(RIGHT($B176,13)&amp;"|"&amp;$C176&amp;"|"&amp;$D176&amp;"|"&amp;AI$14&amp;"|"&amp;"CY2023Q3",Spectrum!$R:$R,0)),0),""))</f>
        <v/>
      </c>
      <c r="AJ176" s="42">
        <f>IF(LEFT($B176,4)="_Mil","",_xlfn.IFNA(ROUND(INDEX(Spectrum!$N:$N,MATCH(RIGHT($B176,13)&amp;"|"&amp;$C176&amp;"|"&amp;$D176&amp;"|"&amp;AI$14&amp;"|"&amp;"CY2023Q3",Spectrum!$R:$R,0)),0),SUM($U176)+SUM($AI176)))</f>
        <v>0</v>
      </c>
      <c r="AK176" s="14" t="str">
        <f>IF(LEFT($B176,4)="_Mil","",_xlfn.IFNA(ROUND(INDEX(Spectrum!$N:$N,MATCH(RIGHT($B176,13)&amp;"|"&amp;$C176&amp;"|"&amp;$D176&amp;"|"&amp;AK$14&amp;"|"&amp;"CY2023Q3",Spectrum!$R:$R,0)),0),""))</f>
        <v/>
      </c>
      <c r="AL176" s="90">
        <f t="shared" si="58"/>
        <v>569</v>
      </c>
      <c r="AM176" s="14">
        <f t="shared" si="59"/>
        <v>0</v>
      </c>
      <c r="AN176" s="14" t="str">
        <f>IF($C176="&lt;01",ROUND(INDEX(EID!$P:$P,MATCH($B176,EID!$B:$B,0))/2,0),"")</f>
        <v/>
      </c>
      <c r="AO176" s="14">
        <f t="shared" si="60"/>
        <v>0</v>
      </c>
      <c r="AP176" s="42">
        <f t="shared" si="61"/>
        <v>0</v>
      </c>
      <c r="AQ176" s="42">
        <f t="shared" si="62"/>
        <v>1129</v>
      </c>
      <c r="AR176" s="90" t="str">
        <f t="shared" si="63"/>
        <v/>
      </c>
      <c r="AS176" s="90">
        <f t="shared" si="74"/>
        <v>0.98</v>
      </c>
      <c r="AT176" s="90">
        <f t="shared" si="74"/>
        <v>0.98</v>
      </c>
      <c r="AU176" s="14">
        <f t="shared" si="64"/>
        <v>0</v>
      </c>
      <c r="AV176" s="14">
        <f>IF($C176="&lt;01",ROUND(INDEX(EID!$N:$N,MATCH($B176,EID!$B:$B,0))/2,0),IF(SUM($AT176)=0,"",ROUND((SUM($AP176)-(SUM($O176)*SUM($AS176)))/$AT176,0)))</f>
        <v>0</v>
      </c>
      <c r="AW176" s="90">
        <f t="shared" si="65"/>
        <v>1</v>
      </c>
      <c r="AX176" s="42">
        <f t="shared" si="66"/>
        <v>0</v>
      </c>
      <c r="AY176" s="116">
        <f t="shared" si="67"/>
        <v>0.7</v>
      </c>
      <c r="AZ176" s="93">
        <f>IF($C176="&lt;01",ROUND(INDEX(EID!$R:$R,MATCH($B176,EID!$B:$B,0))/2,0),ROUND(SUM($O176)+(SUM($AV176)*$AY176),0))</f>
        <v>0</v>
      </c>
      <c r="BA176" s="89">
        <f t="shared" si="68"/>
        <v>0.95</v>
      </c>
      <c r="BB176" s="9">
        <f>IF($C176="&lt;01",ROUND(INDEX(EID!$T:$T,MATCH($B176,EID!$B:$B,0))/2,0),ROUND($AZ176*$BA176,0))</f>
        <v>0</v>
      </c>
      <c r="BC176" s="93">
        <f t="shared" si="69"/>
        <v>0</v>
      </c>
      <c r="BD176" s="90">
        <f t="shared" si="70"/>
        <v>0.95</v>
      </c>
      <c r="BE176" s="42">
        <f>IF($C176="&lt;01",ROUND(INDEX(EID!$V:$V,MATCH($B176,EID!$B:$B,0))/2,0),ROUND($BD176*$BB176,0))</f>
        <v>0</v>
      </c>
      <c r="BF176" s="42">
        <f t="shared" si="71"/>
        <v>0</v>
      </c>
      <c r="BG176" s="116">
        <f t="shared" si="72"/>
        <v>0.95</v>
      </c>
      <c r="BH176" s="9">
        <f>IF($C176="&lt;01",ROUND(INDEX(EID!$L:$L,MATCH($B176,EID!$B:$B,0)),0)/2,IF(SUM($BG176)=0,"",ROUND($AX176/$BG176,0)))</f>
        <v>0</v>
      </c>
    </row>
    <row r="177" spans="1:60" x14ac:dyDescent="0.2">
      <c r="A177" t="str">
        <f>INDEX(Prioritization!$D:$D,MATCH($B177,Prioritization!$A:$A,0))</f>
        <v>INVALID</v>
      </c>
      <c r="B177" t="s">
        <v>204</v>
      </c>
      <c r="C177" t="s">
        <v>365</v>
      </c>
      <c r="D177" t="s">
        <v>29</v>
      </c>
      <c r="E177" t="str">
        <f t="shared" si="51"/>
        <v>Karonga District [cPtvxaZqXIH]|25-34|Female</v>
      </c>
      <c r="F177" s="14"/>
      <c r="G177" s="14"/>
      <c r="H177" s="14"/>
      <c r="I177" s="14"/>
      <c r="J177" s="14"/>
      <c r="K177" s="14"/>
      <c r="L177" s="14"/>
      <c r="M177" s="14"/>
      <c r="N177" s="14"/>
      <c r="O177" s="14" t="str">
        <f t="shared" si="52"/>
        <v/>
      </c>
      <c r="P177" s="14"/>
      <c r="Q177" s="14"/>
      <c r="R177" s="14" t="str">
        <f t="shared" si="53"/>
        <v/>
      </c>
      <c r="S177" s="14">
        <f>IF(LEFT($B177,4)="_Mil","",_xlfn.IFNA(ROUND(INDEX(Spectrum!$N:$N,MATCH(RIGHT($B177,13)&amp;"|"&amp;$C177&amp;"|"&amp;$D177&amp;"|"&amp;S$14&amp;"|"&amp;"CY2022Q4",Spectrum!$R:$R,0)),0),""))</f>
        <v>1049</v>
      </c>
      <c r="T177" s="42">
        <f>IF(LEFT($B177,4)="_Mil","",_xlfn.IFNA(ROUND(INDEX(Spectrum!$N:$N,MATCH(RIGHT($B177,13)&amp;"|"&amp;$C177&amp;"|"&amp;$D177&amp;"|"&amp;T$14&amp;"|"&amp;"CY2023Q3",Spectrum!$R:$R,0)),0),""))</f>
        <v>905</v>
      </c>
      <c r="U177" s="42" t="str">
        <f>IF(LEFT($B177,4)="_Mil","",_xlfn.IFNA(ROUND(INDEX(Spectrum!$N:$N,MATCH(RIGHT($B177,13)&amp;"|"&amp;$C177&amp;"|"&amp;$D177&amp;"|"&amp;U$14&amp;"|"&amp;"CY2023Q3",Spectrum!$R:$R,0)),0),""))</f>
        <v/>
      </c>
      <c r="V177" s="14">
        <f>IF(LEFT($B177,4)="_Mil","",_xlfn.IFNA(ROUND(INDEX(Spectrum!$N:$N,MATCH(RIGHT($B177,13)&amp;"|"&amp;$C177&amp;"|"&amp;$D177&amp;"|"&amp;V$14&amp;"|"&amp;"CY2023Q3",Spectrum!$R:$R,0)),0),""))</f>
        <v>500</v>
      </c>
      <c r="W177" s="115">
        <f>IF(LEFT($B177,4)="_Mil","",_xlfn.IFNA(INDEX(Spectrum!$N:$N,MATCH(RIGHT($B177,13)&amp;"|"&amp;$C177&amp;"|"&amp;$D177&amp;"|"&amp;W$14&amp;"|"&amp;"CY2023Q3",Spectrum!$R:$R,0)),""))</f>
        <v>1493</v>
      </c>
      <c r="X177" s="42">
        <f>IF(LEFT($B177,4)="_Mil","",_xlfn.IFNA(ROUND(INDEX(Spectrum!$N:$N,MATCH(RIGHT($B177,13)&amp;"|"&amp;$C177&amp;"|"&amp;$D177&amp;"|"&amp;X$14&amp;"|"&amp;"CY2023Q3",Spectrum!$R:$R,0)),0),""))</f>
        <v>1447</v>
      </c>
      <c r="Y177" s="90" t="str">
        <f t="shared" si="54"/>
        <v/>
      </c>
      <c r="Z177" s="42">
        <f>IF(LEFT($B177,4)="_Mil","",_xlfn.IFNA(ROUND(INDEX(Spectrum!$N:$N,MATCH(RIGHT($B177,13)&amp;"|"&amp;$C177&amp;"|"&amp;$D177&amp;"|"&amp;Z$14&amp;"|"&amp;"CY2023Q3",Spectrum!$R:$R,0)),0),""))</f>
        <v>1672</v>
      </c>
      <c r="AA177" s="90">
        <f>IF(LEFT($B177,4)="_Mil","",IFERROR(1/(1/INDEX(Spectrum!$N:$N,MATCH(RIGHT($B177,13)&amp;"|"&amp;$C177&amp;"|"&amp;$D177&amp;"|"&amp;AA$14&amp;"|"&amp;"CY2023Q3",Spectrum!$R:$R,0))),IF(SUM($U177)=0,"",SUM($Z177)/$U177)))</f>
        <v>1236</v>
      </c>
      <c r="AB177" s="90">
        <f t="shared" si="55"/>
        <v>1.1554941257774707</v>
      </c>
      <c r="AC177" s="14">
        <f>IF(LEFT($B177,4)="_Mil","",_xlfn.IFNA(ROUND(INDEX(Spectrum!$N:$N,MATCH(RIGHT($B177,13)&amp;"|"&amp;$C177&amp;"|"&amp;$D177&amp;"|"&amp;AC$14&amp;"|"&amp;"CY2023Q3",Spectrum!$R:$R,0)),0),""))</f>
        <v>1501</v>
      </c>
      <c r="AD177" s="14" t="str">
        <f>IF(LEFT($B177,4)="_Mil","",_xlfn.IFNA(ROUND(INDEX(Spectrum!$N:$N,MATCH(RIGHT($B177,13)&amp;"|"&amp;$C177&amp;"|"&amp;$D177&amp;"|"&amp;AD$14&amp;"|"&amp;"CY2023Q3",Spectrum!$R:$R,0)),0),""))</f>
        <v/>
      </c>
      <c r="AE177" s="90">
        <f t="shared" si="56"/>
        <v>0</v>
      </c>
      <c r="AF177" s="42" t="str">
        <f>IF(LEFT($B177,4)="_Mil","",_xlfn.IFNA(ROUND(INDEX(Spectrum!$N:$N,MATCH(RIGHT($B177,13)&amp;"|"&amp;$C177&amp;"|"&amp;$D177&amp;"|"&amp;AF$14&amp;"|"&amp;"CY2023Q3",Spectrum!$R:$R,0)),0),""))</f>
        <v/>
      </c>
      <c r="AG177" s="90" t="str">
        <f t="shared" si="57"/>
        <v/>
      </c>
      <c r="AH177" s="88" t="str">
        <f>IF(LEFT($B177,4)="_Mil","",_xlfn.IFNA(INDEX(Spectrum!$N:$N,MATCH(RIGHT($B177,13)&amp;"|"&amp;$C177&amp;"|"&amp;$D177&amp;"|"&amp;AH$14&amp;"|"&amp;"CY2023Q3",Spectrum!$R:$R,0)),""))</f>
        <v/>
      </c>
      <c r="AI177" s="14" t="str">
        <f>IF(LEFT($B177,4)="_Mil","",_xlfn.IFNA(ROUND(INDEX(Spectrum!$N:$N,MATCH(RIGHT($B177,13)&amp;"|"&amp;$C177&amp;"|"&amp;$D177&amp;"|"&amp;AI$14&amp;"|"&amp;"CY2023Q3",Spectrum!$R:$R,0)),0),""))</f>
        <v/>
      </c>
      <c r="AJ177" s="42">
        <f>IF(LEFT($B177,4)="_Mil","",_xlfn.IFNA(ROUND(INDEX(Spectrum!$N:$N,MATCH(RIGHT($B177,13)&amp;"|"&amp;$C177&amp;"|"&amp;$D177&amp;"|"&amp;AI$14&amp;"|"&amp;"CY2023Q3",Spectrum!$R:$R,0)),0),SUM($U177)+SUM($AI177)))</f>
        <v>0</v>
      </c>
      <c r="AK177" s="14" t="str">
        <f>IF(LEFT($B177,4)="_Mil","",_xlfn.IFNA(ROUND(INDEX(Spectrum!$N:$N,MATCH(RIGHT($B177,13)&amp;"|"&amp;$C177&amp;"|"&amp;$D177&amp;"|"&amp;AK$14&amp;"|"&amp;"CY2023Q3",Spectrum!$R:$R,0)),0),""))</f>
        <v/>
      </c>
      <c r="AL177" s="90">
        <f t="shared" si="58"/>
        <v>1236</v>
      </c>
      <c r="AM177" s="14">
        <f t="shared" si="59"/>
        <v>0</v>
      </c>
      <c r="AN177" s="14" t="str">
        <f>IF($C177="&lt;01",ROUND(INDEX(EID!$P:$P,MATCH($B177,EID!$B:$B,0))/2,0),"")</f>
        <v/>
      </c>
      <c r="AO177" s="14">
        <f t="shared" si="60"/>
        <v>0</v>
      </c>
      <c r="AP177" s="42">
        <f t="shared" si="61"/>
        <v>0</v>
      </c>
      <c r="AQ177" s="42">
        <f t="shared" si="62"/>
        <v>1672</v>
      </c>
      <c r="AR177" s="90" t="str">
        <f t="shared" si="63"/>
        <v/>
      </c>
      <c r="AS177" s="90">
        <f t="shared" si="74"/>
        <v>0.98</v>
      </c>
      <c r="AT177" s="90">
        <f t="shared" si="74"/>
        <v>0.98</v>
      </c>
      <c r="AU177" s="14">
        <f t="shared" si="64"/>
        <v>0</v>
      </c>
      <c r="AV177" s="14">
        <f>IF($C177="&lt;01",ROUND(INDEX(EID!$N:$N,MATCH($B177,EID!$B:$B,0))/2,0),IF(SUM($AT177)=0,"",ROUND((SUM($AP177)-(SUM($O177)*SUM($AS177)))/$AT177,0)))</f>
        <v>0</v>
      </c>
      <c r="AW177" s="90">
        <f t="shared" si="65"/>
        <v>1</v>
      </c>
      <c r="AX177" s="42">
        <f t="shared" si="66"/>
        <v>0</v>
      </c>
      <c r="AY177" s="116">
        <f t="shared" si="67"/>
        <v>0.7</v>
      </c>
      <c r="AZ177" s="93">
        <f>IF($C177="&lt;01",ROUND(INDEX(EID!$R:$R,MATCH($B177,EID!$B:$B,0))/2,0),ROUND(SUM($O177)+(SUM($AV177)*$AY177),0))</f>
        <v>0</v>
      </c>
      <c r="BA177" s="89">
        <f t="shared" si="68"/>
        <v>0.95</v>
      </c>
      <c r="BB177" s="9">
        <f>IF($C177="&lt;01",ROUND(INDEX(EID!$T:$T,MATCH($B177,EID!$B:$B,0))/2,0),ROUND($AZ177*$BA177,0))</f>
        <v>0</v>
      </c>
      <c r="BC177" s="93">
        <f t="shared" si="69"/>
        <v>0</v>
      </c>
      <c r="BD177" s="90">
        <f t="shared" si="70"/>
        <v>0.95</v>
      </c>
      <c r="BE177" s="42">
        <f>IF($C177="&lt;01",ROUND(INDEX(EID!$V:$V,MATCH($B177,EID!$B:$B,0))/2,0),ROUND($BD177*$BB177,0))</f>
        <v>0</v>
      </c>
      <c r="BF177" s="42">
        <f t="shared" si="71"/>
        <v>0</v>
      </c>
      <c r="BG177" s="116">
        <f t="shared" si="72"/>
        <v>0.95</v>
      </c>
      <c r="BH177" s="9">
        <f>IF($C177="&lt;01",ROUND(INDEX(EID!$L:$L,MATCH($B177,EID!$B:$B,0)),0)/2,IF(SUM($BG177)=0,"",ROUND($AX177/$BG177,0)))</f>
        <v>0</v>
      </c>
    </row>
    <row r="178" spans="1:60" x14ac:dyDescent="0.2">
      <c r="A178" t="str">
        <f>INDEX(Prioritization!$D:$D,MATCH($B178,Prioritization!$A:$A,0))</f>
        <v>INVALID</v>
      </c>
      <c r="B178" t="s">
        <v>204</v>
      </c>
      <c r="C178" t="s">
        <v>365</v>
      </c>
      <c r="D178" t="s">
        <v>47</v>
      </c>
      <c r="E178" t="str">
        <f t="shared" si="51"/>
        <v>Karonga District [cPtvxaZqXIH]|25-34|Male</v>
      </c>
      <c r="F178" s="14"/>
      <c r="G178" s="14"/>
      <c r="H178" s="14"/>
      <c r="I178" s="14"/>
      <c r="J178" s="14"/>
      <c r="K178" s="14"/>
      <c r="L178" s="14"/>
      <c r="M178" s="14"/>
      <c r="N178" s="14"/>
      <c r="O178" s="14" t="str">
        <f t="shared" si="52"/>
        <v/>
      </c>
      <c r="P178" s="14"/>
      <c r="Q178" s="14"/>
      <c r="R178" s="14" t="str">
        <f t="shared" si="53"/>
        <v/>
      </c>
      <c r="S178" s="14">
        <f>IF(LEFT($B178,4)="_Mil","",_xlfn.IFNA(ROUND(INDEX(Spectrum!$N:$N,MATCH(RIGHT($B178,13)&amp;"|"&amp;$C178&amp;"|"&amp;$D178&amp;"|"&amp;S$14&amp;"|"&amp;"CY2022Q4",Spectrum!$R:$R,0)),0),""))</f>
        <v>1782</v>
      </c>
      <c r="T178" s="42">
        <f>IF(LEFT($B178,4)="_Mil","",_xlfn.IFNA(ROUND(INDEX(Spectrum!$N:$N,MATCH(RIGHT($B178,13)&amp;"|"&amp;$C178&amp;"|"&amp;$D178&amp;"|"&amp;T$14&amp;"|"&amp;"CY2023Q3",Spectrum!$R:$R,0)),0),""))</f>
        <v>896</v>
      </c>
      <c r="U178" s="42" t="str">
        <f>IF(LEFT($B178,4)="_Mil","",_xlfn.IFNA(ROUND(INDEX(Spectrum!$N:$N,MATCH(RIGHT($B178,13)&amp;"|"&amp;$C178&amp;"|"&amp;$D178&amp;"|"&amp;U$14&amp;"|"&amp;"CY2023Q3",Spectrum!$R:$R,0)),0),""))</f>
        <v/>
      </c>
      <c r="V178" s="14">
        <f>IF(LEFT($B178,4)="_Mil","",_xlfn.IFNA(ROUND(INDEX(Spectrum!$N:$N,MATCH(RIGHT($B178,13)&amp;"|"&amp;$C178&amp;"|"&amp;$D178&amp;"|"&amp;V$14&amp;"|"&amp;"CY2023Q3",Spectrum!$R:$R,0)),0),""))</f>
        <v>914</v>
      </c>
      <c r="W178" s="115">
        <f>IF(LEFT($B178,4)="_Mil","",_xlfn.IFNA(INDEX(Spectrum!$N:$N,MATCH(RIGHT($B178,13)&amp;"|"&amp;$C178&amp;"|"&amp;$D178&amp;"|"&amp;W$14&amp;"|"&amp;"CY2023Q3",Spectrum!$R:$R,0)),""))</f>
        <v>660</v>
      </c>
      <c r="X178" s="42">
        <f>IF(LEFT($B178,4)="_Mil","",_xlfn.IFNA(ROUND(INDEX(Spectrum!$N:$N,MATCH(RIGHT($B178,13)&amp;"|"&amp;$C178&amp;"|"&amp;$D178&amp;"|"&amp;X$14&amp;"|"&amp;"CY2023Q3",Spectrum!$R:$R,0)),0),""))</f>
        <v>619</v>
      </c>
      <c r="Y178" s="90" t="str">
        <f t="shared" si="54"/>
        <v/>
      </c>
      <c r="Z178" s="42">
        <f>IF(LEFT($B178,4)="_Mil","",_xlfn.IFNA(ROUND(INDEX(Spectrum!$N:$N,MATCH(RIGHT($B178,13)&amp;"|"&amp;$C178&amp;"|"&amp;$D178&amp;"|"&amp;Z$14&amp;"|"&amp;"CY2023Q3",Spectrum!$R:$R,0)),0),""))</f>
        <v>1639</v>
      </c>
      <c r="AA178" s="90">
        <f>IF(LEFT($B178,4)="_Mil","",IFERROR(1/(1/INDEX(Spectrum!$N:$N,MATCH(RIGHT($B178,13)&amp;"|"&amp;$C178&amp;"|"&amp;$D178&amp;"|"&amp;AA$14&amp;"|"&amp;"CY2023Q3",Spectrum!$R:$R,0))),IF(SUM($U178)=0,"",SUM($Z178)/$U178)))</f>
        <v>751</v>
      </c>
      <c r="AB178" s="90">
        <f t="shared" si="55"/>
        <v>2.6478190630048464</v>
      </c>
      <c r="AC178" s="14">
        <f>IF(LEFT($B178,4)="_Mil","",_xlfn.IFNA(ROUND(INDEX(Spectrum!$N:$N,MATCH(RIGHT($B178,13)&amp;"|"&amp;$C178&amp;"|"&amp;$D178&amp;"|"&amp;AC$14&amp;"|"&amp;"CY2023Q3",Spectrum!$R:$R,0)),0),""))</f>
        <v>1215</v>
      </c>
      <c r="AD178" s="14" t="str">
        <f>IF(LEFT($B178,4)="_Mil","",_xlfn.IFNA(ROUND(INDEX(Spectrum!$N:$N,MATCH(RIGHT($B178,13)&amp;"|"&amp;$C178&amp;"|"&amp;$D178&amp;"|"&amp;AD$14&amp;"|"&amp;"CY2023Q3",Spectrum!$R:$R,0)),0),""))</f>
        <v/>
      </c>
      <c r="AE178" s="90">
        <f t="shared" si="56"/>
        <v>0</v>
      </c>
      <c r="AF178" s="42" t="str">
        <f>IF(LEFT($B178,4)="_Mil","",_xlfn.IFNA(ROUND(INDEX(Spectrum!$N:$N,MATCH(RIGHT($B178,13)&amp;"|"&amp;$C178&amp;"|"&amp;$D178&amp;"|"&amp;AF$14&amp;"|"&amp;"CY2023Q3",Spectrum!$R:$R,0)),0),""))</f>
        <v/>
      </c>
      <c r="AG178" s="90" t="str">
        <f t="shared" si="57"/>
        <v/>
      </c>
      <c r="AH178" s="88" t="str">
        <f>IF(LEFT($B178,4)="_Mil","",_xlfn.IFNA(INDEX(Spectrum!$N:$N,MATCH(RIGHT($B178,13)&amp;"|"&amp;$C178&amp;"|"&amp;$D178&amp;"|"&amp;AH$14&amp;"|"&amp;"CY2023Q3",Spectrum!$R:$R,0)),""))</f>
        <v/>
      </c>
      <c r="AI178" s="14" t="str">
        <f>IF(LEFT($B178,4)="_Mil","",_xlfn.IFNA(ROUND(INDEX(Spectrum!$N:$N,MATCH(RIGHT($B178,13)&amp;"|"&amp;$C178&amp;"|"&amp;$D178&amp;"|"&amp;AI$14&amp;"|"&amp;"CY2023Q3",Spectrum!$R:$R,0)),0),""))</f>
        <v/>
      </c>
      <c r="AJ178" s="42">
        <f>IF(LEFT($B178,4)="_Mil","",_xlfn.IFNA(ROUND(INDEX(Spectrum!$N:$N,MATCH(RIGHT($B178,13)&amp;"|"&amp;$C178&amp;"|"&amp;$D178&amp;"|"&amp;AI$14&amp;"|"&amp;"CY2023Q3",Spectrum!$R:$R,0)),0),SUM($U178)+SUM($AI178)))</f>
        <v>0</v>
      </c>
      <c r="AK178" s="14" t="str">
        <f>IF(LEFT($B178,4)="_Mil","",_xlfn.IFNA(ROUND(INDEX(Spectrum!$N:$N,MATCH(RIGHT($B178,13)&amp;"|"&amp;$C178&amp;"|"&amp;$D178&amp;"|"&amp;AK$14&amp;"|"&amp;"CY2023Q3",Spectrum!$R:$R,0)),0),""))</f>
        <v/>
      </c>
      <c r="AL178" s="90">
        <f t="shared" si="58"/>
        <v>751</v>
      </c>
      <c r="AM178" s="14">
        <f t="shared" si="59"/>
        <v>0</v>
      </c>
      <c r="AN178" s="14" t="str">
        <f>IF($C178="&lt;01",ROUND(INDEX(EID!$P:$P,MATCH($B178,EID!$B:$B,0))/2,0),"")</f>
        <v/>
      </c>
      <c r="AO178" s="14">
        <f t="shared" si="60"/>
        <v>0</v>
      </c>
      <c r="AP178" s="42">
        <f t="shared" si="61"/>
        <v>0</v>
      </c>
      <c r="AQ178" s="42">
        <f t="shared" si="62"/>
        <v>1639</v>
      </c>
      <c r="AR178" s="90" t="str">
        <f t="shared" si="63"/>
        <v/>
      </c>
      <c r="AS178" s="90">
        <f t="shared" si="74"/>
        <v>0.98</v>
      </c>
      <c r="AT178" s="90">
        <f t="shared" si="74"/>
        <v>0.98</v>
      </c>
      <c r="AU178" s="14">
        <f t="shared" si="64"/>
        <v>0</v>
      </c>
      <c r="AV178" s="14">
        <f>IF($C178="&lt;01",ROUND(INDEX(EID!$N:$N,MATCH($B178,EID!$B:$B,0))/2,0),IF(SUM($AT178)=0,"",ROUND((SUM($AP178)-(SUM($O178)*SUM($AS178)))/$AT178,0)))</f>
        <v>0</v>
      </c>
      <c r="AW178" s="90">
        <f t="shared" si="65"/>
        <v>1</v>
      </c>
      <c r="AX178" s="42">
        <f t="shared" si="66"/>
        <v>0</v>
      </c>
      <c r="AY178" s="116">
        <f t="shared" si="67"/>
        <v>0.7</v>
      </c>
      <c r="AZ178" s="93">
        <f>IF($C178="&lt;01",ROUND(INDEX(EID!$R:$R,MATCH($B178,EID!$B:$B,0))/2,0),ROUND(SUM($O178)+(SUM($AV178)*$AY178),0))</f>
        <v>0</v>
      </c>
      <c r="BA178" s="89">
        <f t="shared" si="68"/>
        <v>0.95</v>
      </c>
      <c r="BB178" s="9">
        <f>IF($C178="&lt;01",ROUND(INDEX(EID!$T:$T,MATCH($B178,EID!$B:$B,0))/2,0),ROUND($AZ178*$BA178,0))</f>
        <v>0</v>
      </c>
      <c r="BC178" s="93">
        <f t="shared" si="69"/>
        <v>0</v>
      </c>
      <c r="BD178" s="90">
        <f t="shared" si="70"/>
        <v>0.95</v>
      </c>
      <c r="BE178" s="42">
        <f>IF($C178="&lt;01",ROUND(INDEX(EID!$V:$V,MATCH($B178,EID!$B:$B,0))/2,0),ROUND($BD178*$BB178,0))</f>
        <v>0</v>
      </c>
      <c r="BF178" s="42">
        <f t="shared" si="71"/>
        <v>0</v>
      </c>
      <c r="BG178" s="116">
        <f t="shared" si="72"/>
        <v>0.95</v>
      </c>
      <c r="BH178" s="9">
        <f>IF($C178="&lt;01",ROUND(INDEX(EID!$L:$L,MATCH($B178,EID!$B:$B,0)),0)/2,IF(SUM($BG178)=0,"",ROUND($AX178/$BG178,0)))</f>
        <v>0</v>
      </c>
    </row>
    <row r="179" spans="1:60" x14ac:dyDescent="0.2">
      <c r="A179" t="str">
        <f>INDEX(Prioritization!$D:$D,MATCH($B179,Prioritization!$A:$A,0))</f>
        <v>INVALID</v>
      </c>
      <c r="B179" t="s">
        <v>204</v>
      </c>
      <c r="C179" t="s">
        <v>366</v>
      </c>
      <c r="D179" t="s">
        <v>29</v>
      </c>
      <c r="E179" t="str">
        <f t="shared" si="51"/>
        <v>Karonga District [cPtvxaZqXIH]|35-49|Female</v>
      </c>
      <c r="F179" s="14"/>
      <c r="G179" s="14"/>
      <c r="H179" s="14"/>
      <c r="I179" s="14"/>
      <c r="J179" s="14"/>
      <c r="K179" s="14"/>
      <c r="L179" s="14"/>
      <c r="M179" s="14"/>
      <c r="N179" s="14"/>
      <c r="O179" s="14" t="str">
        <f t="shared" si="52"/>
        <v/>
      </c>
      <c r="P179" s="14"/>
      <c r="Q179" s="14"/>
      <c r="R179" s="14" t="str">
        <f t="shared" si="53"/>
        <v/>
      </c>
      <c r="S179" s="14">
        <f>IF(LEFT($B179,4)="_Mil","",_xlfn.IFNA(ROUND(INDEX(Spectrum!$N:$N,MATCH(RIGHT($B179,13)&amp;"|"&amp;$C179&amp;"|"&amp;$D179&amp;"|"&amp;S$14&amp;"|"&amp;"CY2022Q4",Spectrum!$R:$R,0)),0),""))</f>
        <v>1741</v>
      </c>
      <c r="T179" s="42">
        <f>IF(LEFT($B179,4)="_Mil","",_xlfn.IFNA(ROUND(INDEX(Spectrum!$N:$N,MATCH(RIGHT($B179,13)&amp;"|"&amp;$C179&amp;"|"&amp;$D179&amp;"|"&amp;T$14&amp;"|"&amp;"CY2023Q3",Spectrum!$R:$R,0)),0),""))</f>
        <v>1416</v>
      </c>
      <c r="U179" s="42" t="str">
        <f>IF(LEFT($B179,4)="_Mil","",_xlfn.IFNA(ROUND(INDEX(Spectrum!$N:$N,MATCH(RIGHT($B179,13)&amp;"|"&amp;$C179&amp;"|"&amp;$D179&amp;"|"&amp;U$14&amp;"|"&amp;"CY2023Q3",Spectrum!$R:$R,0)),0),""))</f>
        <v/>
      </c>
      <c r="V179" s="14">
        <f>IF(LEFT($B179,4)="_Mil","",_xlfn.IFNA(ROUND(INDEX(Spectrum!$N:$N,MATCH(RIGHT($B179,13)&amp;"|"&amp;$C179&amp;"|"&amp;$D179&amp;"|"&amp;V$14&amp;"|"&amp;"CY2023Q3",Spectrum!$R:$R,0)),0),""))</f>
        <v>1115</v>
      </c>
      <c r="W179" s="115">
        <f>IF(LEFT($B179,4)="_Mil","",_xlfn.IFNA(INDEX(Spectrum!$N:$N,MATCH(RIGHT($B179,13)&amp;"|"&amp;$C179&amp;"|"&amp;$D179&amp;"|"&amp;W$14&amp;"|"&amp;"CY2023Q3",Spectrum!$R:$R,0)),""))</f>
        <v>1992</v>
      </c>
      <c r="X179" s="42">
        <f>IF(LEFT($B179,4)="_Mil","",_xlfn.IFNA(ROUND(INDEX(Spectrum!$N:$N,MATCH(RIGHT($B179,13)&amp;"|"&amp;$C179&amp;"|"&amp;$D179&amp;"|"&amp;X$14&amp;"|"&amp;"CY2023Q3",Spectrum!$R:$R,0)),0),""))</f>
        <v>1360</v>
      </c>
      <c r="Y179" s="90" t="str">
        <f t="shared" si="54"/>
        <v/>
      </c>
      <c r="Z179" s="42">
        <f>IF(LEFT($B179,4)="_Mil","",_xlfn.IFNA(ROUND(INDEX(Spectrum!$N:$N,MATCH(RIGHT($B179,13)&amp;"|"&amp;$C179&amp;"|"&amp;$D179&amp;"|"&amp;Z$14&amp;"|"&amp;"CY2023Q3",Spectrum!$R:$R,0)),0),""))</f>
        <v>1315</v>
      </c>
      <c r="AA179" s="90">
        <f>IF(LEFT($B179,4)="_Mil","",IFERROR(1/(1/INDEX(Spectrum!$N:$N,MATCH(RIGHT($B179,13)&amp;"|"&amp;$C179&amp;"|"&amp;$D179&amp;"|"&amp;AA$14&amp;"|"&amp;"CY2023Q3",Spectrum!$R:$R,0))),IF(SUM($U179)=0,"",SUM($Z179)/$U179)))</f>
        <v>1838</v>
      </c>
      <c r="AB179" s="90">
        <f t="shared" si="55"/>
        <v>0.96691176470588236</v>
      </c>
      <c r="AC179" s="14">
        <f>IF(LEFT($B179,4)="_Mil","",_xlfn.IFNA(ROUND(INDEX(Spectrum!$N:$N,MATCH(RIGHT($B179,13)&amp;"|"&amp;$C179&amp;"|"&amp;$D179&amp;"|"&amp;AC$14&amp;"|"&amp;"CY2023Q3",Spectrum!$R:$R,0)),0),""))</f>
        <v>978</v>
      </c>
      <c r="AD179" s="14" t="str">
        <f>IF(LEFT($B179,4)="_Mil","",_xlfn.IFNA(ROUND(INDEX(Spectrum!$N:$N,MATCH(RIGHT($B179,13)&amp;"|"&amp;$C179&amp;"|"&amp;$D179&amp;"|"&amp;AD$14&amp;"|"&amp;"CY2023Q3",Spectrum!$R:$R,0)),0),""))</f>
        <v/>
      </c>
      <c r="AE179" s="90">
        <f t="shared" si="56"/>
        <v>0</v>
      </c>
      <c r="AF179" s="42" t="str">
        <f>IF(LEFT($B179,4)="_Mil","",_xlfn.IFNA(ROUND(INDEX(Spectrum!$N:$N,MATCH(RIGHT($B179,13)&amp;"|"&amp;$C179&amp;"|"&amp;$D179&amp;"|"&amp;AF$14&amp;"|"&amp;"CY2023Q3",Spectrum!$R:$R,0)),0),""))</f>
        <v/>
      </c>
      <c r="AG179" s="90" t="str">
        <f t="shared" si="57"/>
        <v/>
      </c>
      <c r="AH179" s="88" t="str">
        <f>IF(LEFT($B179,4)="_Mil","",_xlfn.IFNA(INDEX(Spectrum!$N:$N,MATCH(RIGHT($B179,13)&amp;"|"&amp;$C179&amp;"|"&amp;$D179&amp;"|"&amp;AH$14&amp;"|"&amp;"CY2023Q3",Spectrum!$R:$R,0)),""))</f>
        <v/>
      </c>
      <c r="AI179" s="14" t="str">
        <f>IF(LEFT($B179,4)="_Mil","",_xlfn.IFNA(ROUND(INDEX(Spectrum!$N:$N,MATCH(RIGHT($B179,13)&amp;"|"&amp;$C179&amp;"|"&amp;$D179&amp;"|"&amp;AI$14&amp;"|"&amp;"CY2023Q3",Spectrum!$R:$R,0)),0),""))</f>
        <v/>
      </c>
      <c r="AJ179" s="42">
        <f>IF(LEFT($B179,4)="_Mil","",_xlfn.IFNA(ROUND(INDEX(Spectrum!$N:$N,MATCH(RIGHT($B179,13)&amp;"|"&amp;$C179&amp;"|"&amp;$D179&amp;"|"&amp;AI$14&amp;"|"&amp;"CY2023Q3",Spectrum!$R:$R,0)),0),SUM($U179)+SUM($AI179)))</f>
        <v>0</v>
      </c>
      <c r="AK179" s="14" t="str">
        <f>IF(LEFT($B179,4)="_Mil","",_xlfn.IFNA(ROUND(INDEX(Spectrum!$N:$N,MATCH(RIGHT($B179,13)&amp;"|"&amp;$C179&amp;"|"&amp;$D179&amp;"|"&amp;AK$14&amp;"|"&amp;"CY2023Q3",Spectrum!$R:$R,0)),0),""))</f>
        <v/>
      </c>
      <c r="AL179" s="90">
        <f t="shared" si="58"/>
        <v>1838</v>
      </c>
      <c r="AM179" s="14">
        <f t="shared" si="59"/>
        <v>0</v>
      </c>
      <c r="AN179" s="14" t="str">
        <f>IF($C179="&lt;01",ROUND(INDEX(EID!$P:$P,MATCH($B179,EID!$B:$B,0))/2,0),"")</f>
        <v/>
      </c>
      <c r="AO179" s="14">
        <f t="shared" si="60"/>
        <v>0</v>
      </c>
      <c r="AP179" s="42">
        <f t="shared" si="61"/>
        <v>0</v>
      </c>
      <c r="AQ179" s="42">
        <f t="shared" si="62"/>
        <v>1315</v>
      </c>
      <c r="AR179" s="90" t="str">
        <f t="shared" si="63"/>
        <v/>
      </c>
      <c r="AS179" s="90">
        <f t="shared" si="74"/>
        <v>0.98</v>
      </c>
      <c r="AT179" s="90">
        <f t="shared" si="74"/>
        <v>0.98</v>
      </c>
      <c r="AU179" s="14">
        <f t="shared" si="64"/>
        <v>0</v>
      </c>
      <c r="AV179" s="14">
        <f>IF($C179="&lt;01",ROUND(INDEX(EID!$N:$N,MATCH($B179,EID!$B:$B,0))/2,0),IF(SUM($AT179)=0,"",ROUND((SUM($AP179)-(SUM($O179)*SUM($AS179)))/$AT179,0)))</f>
        <v>0</v>
      </c>
      <c r="AW179" s="90">
        <f t="shared" si="65"/>
        <v>1</v>
      </c>
      <c r="AX179" s="42">
        <f t="shared" si="66"/>
        <v>0</v>
      </c>
      <c r="AY179" s="116">
        <f t="shared" si="67"/>
        <v>0.7</v>
      </c>
      <c r="AZ179" s="93">
        <f>IF($C179="&lt;01",ROUND(INDEX(EID!$R:$R,MATCH($B179,EID!$B:$B,0))/2,0),ROUND(SUM($O179)+(SUM($AV179)*$AY179),0))</f>
        <v>0</v>
      </c>
      <c r="BA179" s="89">
        <f t="shared" si="68"/>
        <v>0.95</v>
      </c>
      <c r="BB179" s="9">
        <f>IF($C179="&lt;01",ROUND(INDEX(EID!$T:$T,MATCH($B179,EID!$B:$B,0))/2,0),ROUND($AZ179*$BA179,0))</f>
        <v>0</v>
      </c>
      <c r="BC179" s="93">
        <f t="shared" si="69"/>
        <v>0</v>
      </c>
      <c r="BD179" s="90">
        <f t="shared" si="70"/>
        <v>0.95</v>
      </c>
      <c r="BE179" s="42">
        <f>IF($C179="&lt;01",ROUND(INDEX(EID!$V:$V,MATCH($B179,EID!$B:$B,0))/2,0),ROUND($BD179*$BB179,0))</f>
        <v>0</v>
      </c>
      <c r="BF179" s="42">
        <f t="shared" si="71"/>
        <v>0</v>
      </c>
      <c r="BG179" s="116">
        <f t="shared" si="72"/>
        <v>0.95</v>
      </c>
      <c r="BH179" s="9">
        <f>IF($C179="&lt;01",ROUND(INDEX(EID!$L:$L,MATCH($B179,EID!$B:$B,0)),0)/2,IF(SUM($BG179)=0,"",ROUND($AX179/$BG179,0)))</f>
        <v>0</v>
      </c>
    </row>
    <row r="180" spans="1:60" x14ac:dyDescent="0.2">
      <c r="A180" t="str">
        <f>INDEX(Prioritization!$D:$D,MATCH($B180,Prioritization!$A:$A,0))</f>
        <v>INVALID</v>
      </c>
      <c r="B180" t="s">
        <v>204</v>
      </c>
      <c r="C180" t="s">
        <v>366</v>
      </c>
      <c r="D180" t="s">
        <v>47</v>
      </c>
      <c r="E180" t="str">
        <f t="shared" si="51"/>
        <v>Karonga District [cPtvxaZqXIH]|35-49|Male</v>
      </c>
      <c r="F180" s="14"/>
      <c r="G180" s="14"/>
      <c r="H180" s="14"/>
      <c r="I180" s="14"/>
      <c r="J180" s="14"/>
      <c r="K180" s="14"/>
      <c r="L180" s="14"/>
      <c r="M180" s="14"/>
      <c r="N180" s="14"/>
      <c r="O180" s="14" t="str">
        <f t="shared" si="52"/>
        <v/>
      </c>
      <c r="P180" s="14"/>
      <c r="Q180" s="14"/>
      <c r="R180" s="14" t="str">
        <f t="shared" si="53"/>
        <v/>
      </c>
      <c r="S180" s="14">
        <f>IF(LEFT($B180,4)="_Mil","",_xlfn.IFNA(ROUND(INDEX(Spectrum!$N:$N,MATCH(RIGHT($B180,13)&amp;"|"&amp;$C180&amp;"|"&amp;$D180&amp;"|"&amp;S$14&amp;"|"&amp;"CY2022Q4",Spectrum!$R:$R,0)),0),""))</f>
        <v>958</v>
      </c>
      <c r="T180" s="42">
        <f>IF(LEFT($B180,4)="_Mil","",_xlfn.IFNA(ROUND(INDEX(Spectrum!$N:$N,MATCH(RIGHT($B180,13)&amp;"|"&amp;$C180&amp;"|"&amp;$D180&amp;"|"&amp;T$14&amp;"|"&amp;"CY2023Q3",Spectrum!$R:$R,0)),0),""))</f>
        <v>1038</v>
      </c>
      <c r="U180" s="42" t="str">
        <f>IF(LEFT($B180,4)="_Mil","",_xlfn.IFNA(ROUND(INDEX(Spectrum!$N:$N,MATCH(RIGHT($B180,13)&amp;"|"&amp;$C180&amp;"|"&amp;$D180&amp;"|"&amp;U$14&amp;"|"&amp;"CY2023Q3",Spectrum!$R:$R,0)),0),""))</f>
        <v/>
      </c>
      <c r="V180" s="14">
        <f>IF(LEFT($B180,4)="_Mil","",_xlfn.IFNA(ROUND(INDEX(Spectrum!$N:$N,MATCH(RIGHT($B180,13)&amp;"|"&amp;$C180&amp;"|"&amp;$D180&amp;"|"&amp;V$14&amp;"|"&amp;"CY2023Q3",Spectrum!$R:$R,0)),0),""))</f>
        <v>1376</v>
      </c>
      <c r="W180" s="115">
        <f>IF(LEFT($B180,4)="_Mil","",_xlfn.IFNA(INDEX(Spectrum!$N:$N,MATCH(RIGHT($B180,13)&amp;"|"&amp;$C180&amp;"|"&amp;$D180&amp;"|"&amp;W$14&amp;"|"&amp;"CY2023Q3",Spectrum!$R:$R,0)),""))</f>
        <v>1738</v>
      </c>
      <c r="X180" s="42">
        <f>IF(LEFT($B180,4)="_Mil","",_xlfn.IFNA(ROUND(INDEX(Spectrum!$N:$N,MATCH(RIGHT($B180,13)&amp;"|"&amp;$C180&amp;"|"&amp;$D180&amp;"|"&amp;X$14&amp;"|"&amp;"CY2023Q3",Spectrum!$R:$R,0)),0),""))</f>
        <v>1510</v>
      </c>
      <c r="Y180" s="90" t="str">
        <f t="shared" si="54"/>
        <v/>
      </c>
      <c r="Z180" s="42">
        <f>IF(LEFT($B180,4)="_Mil","",_xlfn.IFNA(ROUND(INDEX(Spectrum!$N:$N,MATCH(RIGHT($B180,13)&amp;"|"&amp;$C180&amp;"|"&amp;$D180&amp;"|"&amp;Z$14&amp;"|"&amp;"CY2023Q3",Spectrum!$R:$R,0)),0),""))</f>
        <v>1607</v>
      </c>
      <c r="AA180" s="90">
        <f>IF(LEFT($B180,4)="_Mil","",IFERROR(1/(1/INDEX(Spectrum!$N:$N,MATCH(RIGHT($B180,13)&amp;"|"&amp;$C180&amp;"|"&amp;$D180&amp;"|"&amp;AA$14&amp;"|"&amp;"CY2023Q3",Spectrum!$R:$R,0))),IF(SUM($U180)=0,"",SUM($Z180)/$U180)))</f>
        <v>771</v>
      </c>
      <c r="AB180" s="90">
        <f t="shared" si="55"/>
        <v>1.0642384105960265</v>
      </c>
      <c r="AC180" s="14">
        <f>IF(LEFT($B180,4)="_Mil","",_xlfn.IFNA(ROUND(INDEX(Spectrum!$N:$N,MATCH(RIGHT($B180,13)&amp;"|"&amp;$C180&amp;"|"&amp;$D180&amp;"|"&amp;AC$14&amp;"|"&amp;"CY2023Q3",Spectrum!$R:$R,0)),0),""))</f>
        <v>1628</v>
      </c>
      <c r="AD180" s="14" t="str">
        <f>IF(LEFT($B180,4)="_Mil","",_xlfn.IFNA(ROUND(INDEX(Spectrum!$N:$N,MATCH(RIGHT($B180,13)&amp;"|"&amp;$C180&amp;"|"&amp;$D180&amp;"|"&amp;AD$14&amp;"|"&amp;"CY2023Q3",Spectrum!$R:$R,0)),0),""))</f>
        <v/>
      </c>
      <c r="AE180" s="90">
        <f t="shared" si="56"/>
        <v>0</v>
      </c>
      <c r="AF180" s="42" t="str">
        <f>IF(LEFT($B180,4)="_Mil","",_xlfn.IFNA(ROUND(INDEX(Spectrum!$N:$N,MATCH(RIGHT($B180,13)&amp;"|"&amp;$C180&amp;"|"&amp;$D180&amp;"|"&amp;AF$14&amp;"|"&amp;"CY2023Q3",Spectrum!$R:$R,0)),0),""))</f>
        <v/>
      </c>
      <c r="AG180" s="90" t="str">
        <f t="shared" si="57"/>
        <v/>
      </c>
      <c r="AH180" s="88" t="str">
        <f>IF(LEFT($B180,4)="_Mil","",_xlfn.IFNA(INDEX(Spectrum!$N:$N,MATCH(RIGHT($B180,13)&amp;"|"&amp;$C180&amp;"|"&amp;$D180&amp;"|"&amp;AH$14&amp;"|"&amp;"CY2023Q3",Spectrum!$R:$R,0)),""))</f>
        <v/>
      </c>
      <c r="AI180" s="14" t="str">
        <f>IF(LEFT($B180,4)="_Mil","",_xlfn.IFNA(ROUND(INDEX(Spectrum!$N:$N,MATCH(RIGHT($B180,13)&amp;"|"&amp;$C180&amp;"|"&amp;$D180&amp;"|"&amp;AI$14&amp;"|"&amp;"CY2023Q3",Spectrum!$R:$R,0)),0),""))</f>
        <v/>
      </c>
      <c r="AJ180" s="42">
        <f>IF(LEFT($B180,4)="_Mil","",_xlfn.IFNA(ROUND(INDEX(Spectrum!$N:$N,MATCH(RIGHT($B180,13)&amp;"|"&amp;$C180&amp;"|"&amp;$D180&amp;"|"&amp;AI$14&amp;"|"&amp;"CY2023Q3",Spectrum!$R:$R,0)),0),SUM($U180)+SUM($AI180)))</f>
        <v>0</v>
      </c>
      <c r="AK180" s="14" t="str">
        <f>IF(LEFT($B180,4)="_Mil","",_xlfn.IFNA(ROUND(INDEX(Spectrum!$N:$N,MATCH(RIGHT($B180,13)&amp;"|"&amp;$C180&amp;"|"&amp;$D180&amp;"|"&amp;AK$14&amp;"|"&amp;"CY2023Q3",Spectrum!$R:$R,0)),0),""))</f>
        <v/>
      </c>
      <c r="AL180" s="90">
        <f t="shared" si="58"/>
        <v>771</v>
      </c>
      <c r="AM180" s="14">
        <f t="shared" si="59"/>
        <v>0</v>
      </c>
      <c r="AN180" s="14" t="str">
        <f>IF($C180="&lt;01",ROUND(INDEX(EID!$P:$P,MATCH($B180,EID!$B:$B,0))/2,0),"")</f>
        <v/>
      </c>
      <c r="AO180" s="14">
        <f t="shared" si="60"/>
        <v>0</v>
      </c>
      <c r="AP180" s="42">
        <f t="shared" si="61"/>
        <v>0</v>
      </c>
      <c r="AQ180" s="42">
        <f t="shared" si="62"/>
        <v>1607</v>
      </c>
      <c r="AR180" s="90" t="str">
        <f t="shared" si="63"/>
        <v/>
      </c>
      <c r="AS180" s="90">
        <f t="shared" si="74"/>
        <v>0.98</v>
      </c>
      <c r="AT180" s="90">
        <f t="shared" si="74"/>
        <v>0.98</v>
      </c>
      <c r="AU180" s="14">
        <f t="shared" si="64"/>
        <v>0</v>
      </c>
      <c r="AV180" s="14">
        <f>IF($C180="&lt;01",ROUND(INDEX(EID!$N:$N,MATCH($B180,EID!$B:$B,0))/2,0),IF(SUM($AT180)=0,"",ROUND((SUM($AP180)-(SUM($O180)*SUM($AS180)))/$AT180,0)))</f>
        <v>0</v>
      </c>
      <c r="AW180" s="90">
        <f t="shared" si="65"/>
        <v>1</v>
      </c>
      <c r="AX180" s="42">
        <f t="shared" si="66"/>
        <v>0</v>
      </c>
      <c r="AY180" s="116">
        <f t="shared" si="67"/>
        <v>0.7</v>
      </c>
      <c r="AZ180" s="93">
        <f>IF($C180="&lt;01",ROUND(INDEX(EID!$R:$R,MATCH($B180,EID!$B:$B,0))/2,0),ROUND(SUM($O180)+(SUM($AV180)*$AY180),0))</f>
        <v>0</v>
      </c>
      <c r="BA180" s="89">
        <f t="shared" si="68"/>
        <v>0.95</v>
      </c>
      <c r="BB180" s="9">
        <f>IF($C180="&lt;01",ROUND(INDEX(EID!$T:$T,MATCH($B180,EID!$B:$B,0))/2,0),ROUND($AZ180*$BA180,0))</f>
        <v>0</v>
      </c>
      <c r="BC180" s="93">
        <f t="shared" si="69"/>
        <v>0</v>
      </c>
      <c r="BD180" s="90">
        <f t="shared" si="70"/>
        <v>0.95</v>
      </c>
      <c r="BE180" s="42">
        <f>IF($C180="&lt;01",ROUND(INDEX(EID!$V:$V,MATCH($B180,EID!$B:$B,0))/2,0),ROUND($BD180*$BB180,0))</f>
        <v>0</v>
      </c>
      <c r="BF180" s="42">
        <f t="shared" si="71"/>
        <v>0</v>
      </c>
      <c r="BG180" s="116">
        <f t="shared" si="72"/>
        <v>0.95</v>
      </c>
      <c r="BH180" s="9">
        <f>IF($C180="&lt;01",ROUND(INDEX(EID!$L:$L,MATCH($B180,EID!$B:$B,0)),0)/2,IF(SUM($BG180)=0,"",ROUND($AX180/$BG180,0)))</f>
        <v>0</v>
      </c>
    </row>
    <row r="181" spans="1:60" x14ac:dyDescent="0.2">
      <c r="A181" t="str">
        <f>INDEX(Prioritization!$D:$D,MATCH($B181,Prioritization!$A:$A,0))</f>
        <v>INVALID</v>
      </c>
      <c r="B181" t="s">
        <v>204</v>
      </c>
      <c r="C181" t="s">
        <v>367</v>
      </c>
      <c r="D181" t="s">
        <v>29</v>
      </c>
      <c r="E181" t="str">
        <f t="shared" si="51"/>
        <v>Karonga District [cPtvxaZqXIH]|50+|Female</v>
      </c>
      <c r="F181" s="14"/>
      <c r="G181" s="14"/>
      <c r="H181" s="14"/>
      <c r="I181" s="14"/>
      <c r="J181" s="14"/>
      <c r="K181" s="14"/>
      <c r="L181" s="14"/>
      <c r="M181" s="14"/>
      <c r="N181" s="14"/>
      <c r="O181" s="14" t="str">
        <f t="shared" si="52"/>
        <v/>
      </c>
      <c r="P181" s="14"/>
      <c r="Q181" s="14"/>
      <c r="R181" s="14" t="str">
        <f t="shared" si="53"/>
        <v/>
      </c>
      <c r="S181" s="14">
        <f>IF(LEFT($B181,4)="_Mil","",_xlfn.IFNA(ROUND(INDEX(Spectrum!$N:$N,MATCH(RIGHT($B181,13)&amp;"|"&amp;$C181&amp;"|"&amp;$D181&amp;"|"&amp;S$14&amp;"|"&amp;"CY2022Q4",Spectrum!$R:$R,0)),0),""))</f>
        <v>826</v>
      </c>
      <c r="T181" s="42">
        <f>IF(LEFT($B181,4)="_Mil","",_xlfn.IFNA(ROUND(INDEX(Spectrum!$N:$N,MATCH(RIGHT($B181,13)&amp;"|"&amp;$C181&amp;"|"&amp;$D181&amp;"|"&amp;T$14&amp;"|"&amp;"CY2023Q3",Spectrum!$R:$R,0)),0),""))</f>
        <v>1745</v>
      </c>
      <c r="U181" s="42" t="str">
        <f>IF(LEFT($B181,4)="_Mil","",_xlfn.IFNA(ROUND(INDEX(Spectrum!$N:$N,MATCH(RIGHT($B181,13)&amp;"|"&amp;$C181&amp;"|"&amp;$D181&amp;"|"&amp;U$14&amp;"|"&amp;"CY2023Q3",Spectrum!$R:$R,0)),0),""))</f>
        <v/>
      </c>
      <c r="V181" s="14">
        <f>IF(LEFT($B181,4)="_Mil","",_xlfn.IFNA(ROUND(INDEX(Spectrum!$N:$N,MATCH(RIGHT($B181,13)&amp;"|"&amp;$C181&amp;"|"&amp;$D181&amp;"|"&amp;V$14&amp;"|"&amp;"CY2023Q3",Spectrum!$R:$R,0)),0),""))</f>
        <v>1797</v>
      </c>
      <c r="W181" s="115">
        <f>IF(LEFT($B181,4)="_Mil","",_xlfn.IFNA(INDEX(Spectrum!$N:$N,MATCH(RIGHT($B181,13)&amp;"|"&amp;$C181&amp;"|"&amp;$D181&amp;"|"&amp;W$14&amp;"|"&amp;"CY2023Q3",Spectrum!$R:$R,0)),""))</f>
        <v>1324</v>
      </c>
      <c r="X181" s="42">
        <f>IF(LEFT($B181,4)="_Mil","",_xlfn.IFNA(ROUND(INDEX(Spectrum!$N:$N,MATCH(RIGHT($B181,13)&amp;"|"&amp;$C181&amp;"|"&amp;$D181&amp;"|"&amp;X$14&amp;"|"&amp;"CY2023Q3",Spectrum!$R:$R,0)),0),""))</f>
        <v>1898</v>
      </c>
      <c r="Y181" s="90" t="str">
        <f t="shared" si="54"/>
        <v/>
      </c>
      <c r="Z181" s="42">
        <f>IF(LEFT($B181,4)="_Mil","",_xlfn.IFNA(ROUND(INDEX(Spectrum!$N:$N,MATCH(RIGHT($B181,13)&amp;"|"&amp;$C181&amp;"|"&amp;$D181&amp;"|"&amp;Z$14&amp;"|"&amp;"CY2023Q3",Spectrum!$R:$R,0)),0),""))</f>
        <v>526</v>
      </c>
      <c r="AA181" s="90">
        <f>IF(LEFT($B181,4)="_Mil","",IFERROR(1/(1/INDEX(Spectrum!$N:$N,MATCH(RIGHT($B181,13)&amp;"|"&amp;$C181&amp;"|"&amp;$D181&amp;"|"&amp;AA$14&amp;"|"&amp;"CY2023Q3",Spectrum!$R:$R,0))),IF(SUM($U181)=0,"",SUM($Z181)/$U181)))</f>
        <v>1027</v>
      </c>
      <c r="AB181" s="90">
        <f t="shared" si="55"/>
        <v>0.27713382507903056</v>
      </c>
      <c r="AC181" s="14">
        <f>IF(LEFT($B181,4)="_Mil","",_xlfn.IFNA(ROUND(INDEX(Spectrum!$N:$N,MATCH(RIGHT($B181,13)&amp;"|"&amp;$C181&amp;"|"&amp;$D181&amp;"|"&amp;AC$14&amp;"|"&amp;"CY2023Q3",Spectrum!$R:$R,0)),0),""))</f>
        <v>560</v>
      </c>
      <c r="AD181" s="14" t="str">
        <f>IF(LEFT($B181,4)="_Mil","",_xlfn.IFNA(ROUND(INDEX(Spectrum!$N:$N,MATCH(RIGHT($B181,13)&amp;"|"&amp;$C181&amp;"|"&amp;$D181&amp;"|"&amp;AD$14&amp;"|"&amp;"CY2023Q3",Spectrum!$R:$R,0)),0),""))</f>
        <v/>
      </c>
      <c r="AE181" s="90">
        <f t="shared" si="56"/>
        <v>0</v>
      </c>
      <c r="AF181" s="42" t="str">
        <f>IF(LEFT($B181,4)="_Mil","",_xlfn.IFNA(ROUND(INDEX(Spectrum!$N:$N,MATCH(RIGHT($B181,13)&amp;"|"&amp;$C181&amp;"|"&amp;$D181&amp;"|"&amp;AF$14&amp;"|"&amp;"CY2023Q3",Spectrum!$R:$R,0)),0),""))</f>
        <v/>
      </c>
      <c r="AG181" s="90" t="str">
        <f t="shared" si="57"/>
        <v/>
      </c>
      <c r="AH181" s="88" t="str">
        <f>IF(LEFT($B181,4)="_Mil","",_xlfn.IFNA(INDEX(Spectrum!$N:$N,MATCH(RIGHT($B181,13)&amp;"|"&amp;$C181&amp;"|"&amp;$D181&amp;"|"&amp;AH$14&amp;"|"&amp;"CY2023Q3",Spectrum!$R:$R,0)),""))</f>
        <v/>
      </c>
      <c r="AI181" s="14" t="str">
        <f>IF(LEFT($B181,4)="_Mil","",_xlfn.IFNA(ROUND(INDEX(Spectrum!$N:$N,MATCH(RIGHT($B181,13)&amp;"|"&amp;$C181&amp;"|"&amp;$D181&amp;"|"&amp;AI$14&amp;"|"&amp;"CY2023Q3",Spectrum!$R:$R,0)),0),""))</f>
        <v/>
      </c>
      <c r="AJ181" s="42">
        <f>IF(LEFT($B181,4)="_Mil","",_xlfn.IFNA(ROUND(INDEX(Spectrum!$N:$N,MATCH(RIGHT($B181,13)&amp;"|"&amp;$C181&amp;"|"&amp;$D181&amp;"|"&amp;AI$14&amp;"|"&amp;"CY2023Q3",Spectrum!$R:$R,0)),0),SUM($U181)+SUM($AI181)))</f>
        <v>0</v>
      </c>
      <c r="AK181" s="14" t="str">
        <f>IF(LEFT($B181,4)="_Mil","",_xlfn.IFNA(ROUND(INDEX(Spectrum!$N:$N,MATCH(RIGHT($B181,13)&amp;"|"&amp;$C181&amp;"|"&amp;$D181&amp;"|"&amp;AK$14&amp;"|"&amp;"CY2023Q3",Spectrum!$R:$R,0)),0),""))</f>
        <v/>
      </c>
      <c r="AL181" s="90">
        <f t="shared" si="58"/>
        <v>1027</v>
      </c>
      <c r="AM181" s="14">
        <f t="shared" si="59"/>
        <v>0</v>
      </c>
      <c r="AN181" s="14" t="str">
        <f>IF($C181="&lt;01",ROUND(INDEX(EID!$P:$P,MATCH($B181,EID!$B:$B,0))/2,0),"")</f>
        <v/>
      </c>
      <c r="AO181" s="14">
        <f t="shared" si="60"/>
        <v>0</v>
      </c>
      <c r="AP181" s="42">
        <f t="shared" si="61"/>
        <v>0</v>
      </c>
      <c r="AQ181" s="42">
        <f t="shared" si="62"/>
        <v>526</v>
      </c>
      <c r="AR181" s="90" t="str">
        <f t="shared" si="63"/>
        <v/>
      </c>
      <c r="AS181" s="90">
        <f t="shared" si="74"/>
        <v>0.98</v>
      </c>
      <c r="AT181" s="90">
        <f t="shared" si="74"/>
        <v>0.98</v>
      </c>
      <c r="AU181" s="14">
        <f t="shared" si="64"/>
        <v>0</v>
      </c>
      <c r="AV181" s="14">
        <f>IF($C181="&lt;01",ROUND(INDEX(EID!$N:$N,MATCH($B181,EID!$B:$B,0))/2,0),IF(SUM($AT181)=0,"",ROUND((SUM($AP181)-(SUM($O181)*SUM($AS181)))/$AT181,0)))</f>
        <v>0</v>
      </c>
      <c r="AW181" s="90">
        <f t="shared" si="65"/>
        <v>1</v>
      </c>
      <c r="AX181" s="42">
        <f t="shared" si="66"/>
        <v>0</v>
      </c>
      <c r="AY181" s="116">
        <f t="shared" si="67"/>
        <v>0.7</v>
      </c>
      <c r="AZ181" s="93">
        <f>IF($C181="&lt;01",ROUND(INDEX(EID!$R:$R,MATCH($B181,EID!$B:$B,0))/2,0),ROUND(SUM($O181)+(SUM($AV181)*$AY181),0))</f>
        <v>0</v>
      </c>
      <c r="BA181" s="89">
        <f t="shared" si="68"/>
        <v>0.95</v>
      </c>
      <c r="BB181" s="9">
        <f>IF($C181="&lt;01",ROUND(INDEX(EID!$T:$T,MATCH($B181,EID!$B:$B,0))/2,0),ROUND($AZ181*$BA181,0))</f>
        <v>0</v>
      </c>
      <c r="BC181" s="93">
        <f t="shared" si="69"/>
        <v>0</v>
      </c>
      <c r="BD181" s="90">
        <f t="shared" si="70"/>
        <v>0.95</v>
      </c>
      <c r="BE181" s="42">
        <f>IF($C181="&lt;01",ROUND(INDEX(EID!$V:$V,MATCH($B181,EID!$B:$B,0))/2,0),ROUND($BD181*$BB181,0))</f>
        <v>0</v>
      </c>
      <c r="BF181" s="42">
        <f t="shared" si="71"/>
        <v>0</v>
      </c>
      <c r="BG181" s="116">
        <f t="shared" si="72"/>
        <v>0.95</v>
      </c>
      <c r="BH181" s="9">
        <f>IF($C181="&lt;01",ROUND(INDEX(EID!$L:$L,MATCH($B181,EID!$B:$B,0)),0)/2,IF(SUM($BG181)=0,"",ROUND($AX181/$BG181,0)))</f>
        <v>0</v>
      </c>
    </row>
    <row r="182" spans="1:60" x14ac:dyDescent="0.2">
      <c r="A182" t="str">
        <f>INDEX(Prioritization!$D:$D,MATCH($B182,Prioritization!$A:$A,0))</f>
        <v>INVALID</v>
      </c>
      <c r="B182" t="s">
        <v>204</v>
      </c>
      <c r="C182" t="s">
        <v>367</v>
      </c>
      <c r="D182" t="s">
        <v>47</v>
      </c>
      <c r="E182" t="str">
        <f t="shared" si="51"/>
        <v>Karonga District [cPtvxaZqXIH]|50+|Male</v>
      </c>
      <c r="F182" s="14"/>
      <c r="G182" s="14"/>
      <c r="H182" s="14"/>
      <c r="I182" s="14"/>
      <c r="J182" s="14"/>
      <c r="K182" s="14"/>
      <c r="L182" s="14"/>
      <c r="M182" s="14"/>
      <c r="N182" s="14"/>
      <c r="O182" s="14" t="str">
        <f t="shared" si="52"/>
        <v/>
      </c>
      <c r="P182" s="14"/>
      <c r="Q182" s="14"/>
      <c r="R182" s="14" t="str">
        <f t="shared" si="53"/>
        <v/>
      </c>
      <c r="S182" s="14">
        <f>IF(LEFT($B182,4)="_Mil","",_xlfn.IFNA(ROUND(INDEX(Spectrum!$N:$N,MATCH(RIGHT($B182,13)&amp;"|"&amp;$C182&amp;"|"&amp;$D182&amp;"|"&amp;S$14&amp;"|"&amp;"CY2022Q4",Spectrum!$R:$R,0)),0),""))</f>
        <v>1914</v>
      </c>
      <c r="T182" s="42">
        <f>IF(LEFT($B182,4)="_Mil","",_xlfn.IFNA(ROUND(INDEX(Spectrum!$N:$N,MATCH(RIGHT($B182,13)&amp;"|"&amp;$C182&amp;"|"&amp;$D182&amp;"|"&amp;T$14&amp;"|"&amp;"CY2023Q3",Spectrum!$R:$R,0)),0),""))</f>
        <v>891</v>
      </c>
      <c r="U182" s="42" t="str">
        <f>IF(LEFT($B182,4)="_Mil","",_xlfn.IFNA(ROUND(INDEX(Spectrum!$N:$N,MATCH(RIGHT($B182,13)&amp;"|"&amp;$C182&amp;"|"&amp;$D182&amp;"|"&amp;U$14&amp;"|"&amp;"CY2023Q3",Spectrum!$R:$R,0)),0),""))</f>
        <v/>
      </c>
      <c r="V182" s="14">
        <f>IF(LEFT($B182,4)="_Mil","",_xlfn.IFNA(ROUND(INDEX(Spectrum!$N:$N,MATCH(RIGHT($B182,13)&amp;"|"&amp;$C182&amp;"|"&amp;$D182&amp;"|"&amp;V$14&amp;"|"&amp;"CY2023Q3",Spectrum!$R:$R,0)),0),""))</f>
        <v>1843</v>
      </c>
      <c r="W182" s="115">
        <f>IF(LEFT($B182,4)="_Mil","",_xlfn.IFNA(INDEX(Spectrum!$N:$N,MATCH(RIGHT($B182,13)&amp;"|"&amp;$C182&amp;"|"&amp;$D182&amp;"|"&amp;W$14&amp;"|"&amp;"CY2023Q3",Spectrum!$R:$R,0)),""))</f>
        <v>1344</v>
      </c>
      <c r="X182" s="42">
        <f>IF(LEFT($B182,4)="_Mil","",_xlfn.IFNA(ROUND(INDEX(Spectrum!$N:$N,MATCH(RIGHT($B182,13)&amp;"|"&amp;$C182&amp;"|"&amp;$D182&amp;"|"&amp;X$14&amp;"|"&amp;"CY2023Q3",Spectrum!$R:$R,0)),0),""))</f>
        <v>853</v>
      </c>
      <c r="Y182" s="90" t="str">
        <f t="shared" si="54"/>
        <v/>
      </c>
      <c r="Z182" s="42">
        <f>IF(LEFT($B182,4)="_Mil","",_xlfn.IFNA(ROUND(INDEX(Spectrum!$N:$N,MATCH(RIGHT($B182,13)&amp;"|"&amp;$C182&amp;"|"&amp;$D182&amp;"|"&amp;Z$14&amp;"|"&amp;"CY2023Q3",Spectrum!$R:$R,0)),0),""))</f>
        <v>1025</v>
      </c>
      <c r="AA182" s="90">
        <f>IF(LEFT($B182,4)="_Mil","",IFERROR(1/(1/INDEX(Spectrum!$N:$N,MATCH(RIGHT($B182,13)&amp;"|"&amp;$C182&amp;"|"&amp;$D182&amp;"|"&amp;AA$14&amp;"|"&amp;"CY2023Q3",Spectrum!$R:$R,0))),IF(SUM($U182)=0,"",SUM($Z182)/$U182)))</f>
        <v>1897</v>
      </c>
      <c r="AB182" s="90">
        <f t="shared" si="55"/>
        <v>1.2016412661195779</v>
      </c>
      <c r="AC182" s="14">
        <f>IF(LEFT($B182,4)="_Mil","",_xlfn.IFNA(ROUND(INDEX(Spectrum!$N:$N,MATCH(RIGHT($B182,13)&amp;"|"&amp;$C182&amp;"|"&amp;$D182&amp;"|"&amp;AC$14&amp;"|"&amp;"CY2023Q3",Spectrum!$R:$R,0)),0),""))</f>
        <v>1070</v>
      </c>
      <c r="AD182" s="14" t="str">
        <f>IF(LEFT($B182,4)="_Mil","",_xlfn.IFNA(ROUND(INDEX(Spectrum!$N:$N,MATCH(RIGHT($B182,13)&amp;"|"&amp;$C182&amp;"|"&amp;$D182&amp;"|"&amp;AD$14&amp;"|"&amp;"CY2023Q3",Spectrum!$R:$R,0)),0),""))</f>
        <v/>
      </c>
      <c r="AE182" s="90">
        <f t="shared" si="56"/>
        <v>0</v>
      </c>
      <c r="AF182" s="42" t="str">
        <f>IF(LEFT($B182,4)="_Mil","",_xlfn.IFNA(ROUND(INDEX(Spectrum!$N:$N,MATCH(RIGHT($B182,13)&amp;"|"&amp;$C182&amp;"|"&amp;$D182&amp;"|"&amp;AF$14&amp;"|"&amp;"CY2023Q3",Spectrum!$R:$R,0)),0),""))</f>
        <v/>
      </c>
      <c r="AG182" s="90" t="str">
        <f t="shared" si="57"/>
        <v/>
      </c>
      <c r="AH182" s="88" t="str">
        <f>IF(LEFT($B182,4)="_Mil","",_xlfn.IFNA(INDEX(Spectrum!$N:$N,MATCH(RIGHT($B182,13)&amp;"|"&amp;$C182&amp;"|"&amp;$D182&amp;"|"&amp;AH$14&amp;"|"&amp;"CY2023Q3",Spectrum!$R:$R,0)),""))</f>
        <v/>
      </c>
      <c r="AI182" s="14" t="str">
        <f>IF(LEFT($B182,4)="_Mil","",_xlfn.IFNA(ROUND(INDEX(Spectrum!$N:$N,MATCH(RIGHT($B182,13)&amp;"|"&amp;$C182&amp;"|"&amp;$D182&amp;"|"&amp;AI$14&amp;"|"&amp;"CY2023Q3",Spectrum!$R:$R,0)),0),""))</f>
        <v/>
      </c>
      <c r="AJ182" s="42">
        <f>IF(LEFT($B182,4)="_Mil","",_xlfn.IFNA(ROUND(INDEX(Spectrum!$N:$N,MATCH(RIGHT($B182,13)&amp;"|"&amp;$C182&amp;"|"&amp;$D182&amp;"|"&amp;AI$14&amp;"|"&amp;"CY2023Q3",Spectrum!$R:$R,0)),0),SUM($U182)+SUM($AI182)))</f>
        <v>0</v>
      </c>
      <c r="AK182" s="14" t="str">
        <f>IF(LEFT($B182,4)="_Mil","",_xlfn.IFNA(ROUND(INDEX(Spectrum!$N:$N,MATCH(RIGHT($B182,13)&amp;"|"&amp;$C182&amp;"|"&amp;$D182&amp;"|"&amp;AK$14&amp;"|"&amp;"CY2023Q3",Spectrum!$R:$R,0)),0),""))</f>
        <v/>
      </c>
      <c r="AL182" s="90">
        <f t="shared" si="58"/>
        <v>1897</v>
      </c>
      <c r="AM182" s="14">
        <f t="shared" si="59"/>
        <v>0</v>
      </c>
      <c r="AN182" s="14" t="str">
        <f>IF($C182="&lt;01",ROUND(INDEX(EID!$P:$P,MATCH($B182,EID!$B:$B,0))/2,0),"")</f>
        <v/>
      </c>
      <c r="AO182" s="14">
        <f t="shared" si="60"/>
        <v>0</v>
      </c>
      <c r="AP182" s="42">
        <f t="shared" si="61"/>
        <v>0</v>
      </c>
      <c r="AQ182" s="42">
        <f t="shared" si="62"/>
        <v>1025</v>
      </c>
      <c r="AR182" s="90" t="str">
        <f t="shared" si="63"/>
        <v/>
      </c>
      <c r="AS182" s="90">
        <f t="shared" si="74"/>
        <v>0.98</v>
      </c>
      <c r="AT182" s="90">
        <f t="shared" si="74"/>
        <v>0.98</v>
      </c>
      <c r="AU182" s="14">
        <f t="shared" si="64"/>
        <v>0</v>
      </c>
      <c r="AV182" s="14">
        <f>IF($C182="&lt;01",ROUND(INDEX(EID!$N:$N,MATCH($B182,EID!$B:$B,0))/2,0),IF(SUM($AT182)=0,"",ROUND((SUM($AP182)-(SUM($O182)*SUM($AS182)))/$AT182,0)))</f>
        <v>0</v>
      </c>
      <c r="AW182" s="90">
        <f t="shared" si="65"/>
        <v>1</v>
      </c>
      <c r="AX182" s="42">
        <f t="shared" si="66"/>
        <v>0</v>
      </c>
      <c r="AY182" s="116">
        <f t="shared" si="67"/>
        <v>0.7</v>
      </c>
      <c r="AZ182" s="93">
        <f>IF($C182="&lt;01",ROUND(INDEX(EID!$R:$R,MATCH($B182,EID!$B:$B,0))/2,0),ROUND(SUM($O182)+(SUM($AV182)*$AY182),0))</f>
        <v>0</v>
      </c>
      <c r="BA182" s="89">
        <f t="shared" si="68"/>
        <v>0.95</v>
      </c>
      <c r="BB182" s="9">
        <f>IF($C182="&lt;01",ROUND(INDEX(EID!$T:$T,MATCH($B182,EID!$B:$B,0))/2,0),ROUND($AZ182*$BA182,0))</f>
        <v>0</v>
      </c>
      <c r="BC182" s="93">
        <f t="shared" si="69"/>
        <v>0</v>
      </c>
      <c r="BD182" s="90">
        <f t="shared" si="70"/>
        <v>0.95</v>
      </c>
      <c r="BE182" s="42">
        <f>IF($C182="&lt;01",ROUND(INDEX(EID!$V:$V,MATCH($B182,EID!$B:$B,0))/2,0),ROUND($BD182*$BB182,0))</f>
        <v>0</v>
      </c>
      <c r="BF182" s="42">
        <f t="shared" si="71"/>
        <v>0</v>
      </c>
      <c r="BG182" s="116">
        <f t="shared" si="72"/>
        <v>0.95</v>
      </c>
      <c r="BH182" s="9">
        <f>IF($C182="&lt;01",ROUND(INDEX(EID!$L:$L,MATCH($B182,EID!$B:$B,0)),0)/2,IF(SUM($BG182)=0,"",ROUND($AX182/$BG182,0)))</f>
        <v>0</v>
      </c>
    </row>
    <row r="183" spans="1:60" x14ac:dyDescent="0.2">
      <c r="A183" t="str">
        <f>INDEX(Prioritization!$D:$D,MATCH($B183,Prioritization!$A:$A,0))</f>
        <v>INVALID</v>
      </c>
      <c r="B183" t="s">
        <v>205</v>
      </c>
      <c r="C183" t="s">
        <v>315</v>
      </c>
      <c r="D183" t="s">
        <v>29</v>
      </c>
      <c r="E183" t="str">
        <f t="shared" si="51"/>
        <v>Likoma District [ZCjuwgaMB9u]|&lt;01|Female</v>
      </c>
      <c r="F183" s="14"/>
      <c r="G183" s="14">
        <v>0</v>
      </c>
      <c r="H183" s="14">
        <v>1</v>
      </c>
      <c r="I183" s="14">
        <v>0</v>
      </c>
      <c r="J183" s="14">
        <v>1</v>
      </c>
      <c r="K183" s="14">
        <v>0.29057236225344202</v>
      </c>
      <c r="L183" s="14"/>
      <c r="M183" s="14"/>
      <c r="N183" s="14"/>
      <c r="O183" s="14" t="str">
        <f t="shared" si="52"/>
        <v/>
      </c>
      <c r="P183" s="14"/>
      <c r="Q183" s="14"/>
      <c r="R183" s="14" t="str">
        <f t="shared" si="53"/>
        <v/>
      </c>
      <c r="S183" s="14">
        <f>IF(LEFT($B183,4)="_Mil","",_xlfn.IFNA(ROUND(INDEX(Spectrum!$N:$N,MATCH(RIGHT($B183,13)&amp;"|"&amp;$C183&amp;"|"&amp;$D183&amp;"|"&amp;S$14&amp;"|"&amp;"CY2022Q4",Spectrum!$R:$R,0)),0),""))</f>
        <v>1838</v>
      </c>
      <c r="T183" s="42">
        <f>IF(LEFT($B183,4)="_Mil","",_xlfn.IFNA(ROUND(INDEX(Spectrum!$N:$N,MATCH(RIGHT($B183,13)&amp;"|"&amp;$C183&amp;"|"&amp;$D183&amp;"|"&amp;T$14&amp;"|"&amp;"CY2023Q3",Spectrum!$R:$R,0)),0),""))</f>
        <v>916</v>
      </c>
      <c r="U183" s="42" t="str">
        <f>IF(LEFT($B183,4)="_Mil","",_xlfn.IFNA(ROUND(INDEX(Spectrum!$N:$N,MATCH(RIGHT($B183,13)&amp;"|"&amp;$C183&amp;"|"&amp;$D183&amp;"|"&amp;U$14&amp;"|"&amp;"CY2023Q3",Spectrum!$R:$R,0)),0),""))</f>
        <v/>
      </c>
      <c r="V183" s="14">
        <f>IF(LEFT($B183,4)="_Mil","",_xlfn.IFNA(ROUND(INDEX(Spectrum!$N:$N,MATCH(RIGHT($B183,13)&amp;"|"&amp;$C183&amp;"|"&amp;$D183&amp;"|"&amp;V$14&amp;"|"&amp;"CY2023Q3",Spectrum!$R:$R,0)),0),""))</f>
        <v>1935</v>
      </c>
      <c r="W183" s="115">
        <f>IF(LEFT($B183,4)="_Mil","",_xlfn.IFNA(INDEX(Spectrum!$N:$N,MATCH(RIGHT($B183,13)&amp;"|"&amp;$C183&amp;"|"&amp;$D183&amp;"|"&amp;W$14&amp;"|"&amp;"CY2023Q3",Spectrum!$R:$R,0)),""))</f>
        <v>1045</v>
      </c>
      <c r="X183" s="42">
        <f>IF(LEFT($B183,4)="_Mil","",_xlfn.IFNA(ROUND(INDEX(Spectrum!$N:$N,MATCH(RIGHT($B183,13)&amp;"|"&amp;$C183&amp;"|"&amp;$D183&amp;"|"&amp;X$14&amp;"|"&amp;"CY2023Q3",Spectrum!$R:$R,0)),0),""))</f>
        <v>1646</v>
      </c>
      <c r="Y183" s="90" t="str">
        <f t="shared" si="54"/>
        <v/>
      </c>
      <c r="Z183" s="42">
        <f>IF(LEFT($B183,4)="_Mil","",_xlfn.IFNA(ROUND(INDEX(Spectrum!$N:$N,MATCH(RIGHT($B183,13)&amp;"|"&amp;$C183&amp;"|"&amp;$D183&amp;"|"&amp;Z$14&amp;"|"&amp;"CY2023Q3",Spectrum!$R:$R,0)),0),""))</f>
        <v>1553</v>
      </c>
      <c r="AA183" s="90">
        <f>IF(LEFT($B183,4)="_Mil","",IFERROR(1/(1/INDEX(Spectrum!$N:$N,MATCH(RIGHT($B183,13)&amp;"|"&amp;$C183&amp;"|"&amp;$D183&amp;"|"&amp;AA$14&amp;"|"&amp;"CY2023Q3",Spectrum!$R:$R,0))),IF(SUM($U183)=0,"",SUM($Z183)/$U183)))</f>
        <v>1383</v>
      </c>
      <c r="AB183" s="90">
        <f t="shared" si="55"/>
        <v>0.94349939246658565</v>
      </c>
      <c r="AC183" s="14">
        <f>IF(LEFT($B183,4)="_Mil","",_xlfn.IFNA(ROUND(INDEX(Spectrum!$N:$N,MATCH(RIGHT($B183,13)&amp;"|"&amp;$C183&amp;"|"&amp;$D183&amp;"|"&amp;AC$14&amp;"|"&amp;"CY2023Q3",Spectrum!$R:$R,0)),0),""))</f>
        <v>607</v>
      </c>
      <c r="AD183" s="14" t="str">
        <f>IF(LEFT($B183,4)="_Mil","",_xlfn.IFNA(ROUND(INDEX(Spectrum!$N:$N,MATCH(RIGHT($B183,13)&amp;"|"&amp;$C183&amp;"|"&amp;$D183&amp;"|"&amp;AD$14&amp;"|"&amp;"CY2023Q3",Spectrum!$R:$R,0)),0),""))</f>
        <v/>
      </c>
      <c r="AE183" s="90">
        <f t="shared" si="56"/>
        <v>0</v>
      </c>
      <c r="AF183" s="42" t="str">
        <f>IF(LEFT($B183,4)="_Mil","",_xlfn.IFNA(ROUND(INDEX(Spectrum!$N:$N,MATCH(RIGHT($B183,13)&amp;"|"&amp;$C183&amp;"|"&amp;$D183&amp;"|"&amp;AF$14&amp;"|"&amp;"CY2023Q3",Spectrum!$R:$R,0)),0),""))</f>
        <v/>
      </c>
      <c r="AG183" s="90" t="str">
        <f t="shared" si="57"/>
        <v/>
      </c>
      <c r="AH183" s="88" t="str">
        <f>IF(LEFT($B183,4)="_Mil","",_xlfn.IFNA(INDEX(Spectrum!$N:$N,MATCH(RIGHT($B183,13)&amp;"|"&amp;$C183&amp;"|"&amp;$D183&amp;"|"&amp;AH$14&amp;"|"&amp;"CY2023Q3",Spectrum!$R:$R,0)),""))</f>
        <v/>
      </c>
      <c r="AI183" s="14" t="str">
        <f>IF(LEFT($B183,4)="_Mil","",_xlfn.IFNA(ROUND(INDEX(Spectrum!$N:$N,MATCH(RIGHT($B183,13)&amp;"|"&amp;$C183&amp;"|"&amp;$D183&amp;"|"&amp;AI$14&amp;"|"&amp;"CY2023Q3",Spectrum!$R:$R,0)),0),""))</f>
        <v/>
      </c>
      <c r="AJ183" s="42">
        <f>IF(LEFT($B183,4)="_Mil","",_xlfn.IFNA(ROUND(INDEX(Spectrum!$N:$N,MATCH(RIGHT($B183,13)&amp;"|"&amp;$C183&amp;"|"&amp;$D183&amp;"|"&amp;AI$14&amp;"|"&amp;"CY2023Q3",Spectrum!$R:$R,0)),0),SUM($U183)+SUM($AI183)))</f>
        <v>0</v>
      </c>
      <c r="AK183" s="14" t="str">
        <f>IF(LEFT($B183,4)="_Mil","",_xlfn.IFNA(ROUND(INDEX(Spectrum!$N:$N,MATCH(RIGHT($B183,13)&amp;"|"&amp;$C183&amp;"|"&amp;$D183&amp;"|"&amp;AK$14&amp;"|"&amp;"CY2023Q3",Spectrum!$R:$R,0)),0),""))</f>
        <v/>
      </c>
      <c r="AL183" s="90" t="str">
        <f t="shared" si="58"/>
        <v/>
      </c>
      <c r="AM183" s="14" t="str">
        <f t="shared" si="59"/>
        <v/>
      </c>
      <c r="AN183" s="14">
        <f>IF($C183="&lt;01",ROUND(INDEX(EID!$P:$P,MATCH($B183,EID!$B:$B,0))/2,0),"")</f>
        <v>0</v>
      </c>
      <c r="AO183" s="14">
        <f t="shared" si="60"/>
        <v>0</v>
      </c>
      <c r="AP183" s="42">
        <f t="shared" si="61"/>
        <v>0</v>
      </c>
      <c r="AQ183" s="42">
        <f t="shared" si="62"/>
        <v>1553</v>
      </c>
      <c r="AR183" s="90" t="str">
        <f t="shared" si="63"/>
        <v/>
      </c>
      <c r="AS183" s="90" t="str">
        <f t="shared" si="74"/>
        <v/>
      </c>
      <c r="AT183" s="90" t="str">
        <f t="shared" si="74"/>
        <v/>
      </c>
      <c r="AU183" s="14" t="str">
        <f t="shared" si="64"/>
        <v/>
      </c>
      <c r="AV183" s="14">
        <f>IF($C183="&lt;01",ROUND(INDEX(EID!$N:$N,MATCH($B183,EID!$B:$B,0))/2,0),IF(SUM($AT183)=0,"",ROUND((SUM($AP183)-(SUM($O183)*SUM($AS183)))/$AT183,0)))</f>
        <v>0</v>
      </c>
      <c r="AW183" s="90" t="str">
        <f t="shared" si="65"/>
        <v/>
      </c>
      <c r="AX183" s="42">
        <f t="shared" si="66"/>
        <v>0</v>
      </c>
      <c r="AY183" s="116" t="str">
        <f t="shared" si="67"/>
        <v/>
      </c>
      <c r="AZ183" s="93">
        <f>IF($C183="&lt;01",ROUND(INDEX(EID!$R:$R,MATCH($B183,EID!$B:$B,0))/2,0),ROUND(SUM($O183)+(SUM($AV183)*$AY183),0))</f>
        <v>0</v>
      </c>
      <c r="BA183" s="89" t="str">
        <f t="shared" si="68"/>
        <v/>
      </c>
      <c r="BB183" s="9">
        <f>IF($C183="&lt;01",ROUND(INDEX(EID!$T:$T,MATCH($B183,EID!$B:$B,0))/2,0),ROUND($AZ183*$BA183,0))</f>
        <v>0</v>
      </c>
      <c r="BC183" s="93">
        <f t="shared" si="69"/>
        <v>0</v>
      </c>
      <c r="BD183" s="90" t="str">
        <f t="shared" si="70"/>
        <v/>
      </c>
      <c r="BE183" s="42">
        <f>IF($C183="&lt;01",ROUND(INDEX(EID!$V:$V,MATCH($B183,EID!$B:$B,0))/2,0),ROUND($BD183*$BB183,0))</f>
        <v>0</v>
      </c>
      <c r="BF183" s="42">
        <f t="shared" si="71"/>
        <v>0</v>
      </c>
      <c r="BG183" s="116" t="str">
        <f t="shared" si="72"/>
        <v/>
      </c>
      <c r="BH183" s="9">
        <f>IF($C183="&lt;01",ROUND(INDEX(EID!$L:$L,MATCH($B183,EID!$B:$B,0)),0)/2,IF(SUM($BG183)=0,"",ROUND($AX183/$BG183,0)))</f>
        <v>0</v>
      </c>
    </row>
    <row r="184" spans="1:60" x14ac:dyDescent="0.2">
      <c r="A184" t="str">
        <f>INDEX(Prioritization!$D:$D,MATCH($B184,Prioritization!$A:$A,0))</f>
        <v>INVALID</v>
      </c>
      <c r="B184" t="s">
        <v>205</v>
      </c>
      <c r="C184" t="s">
        <v>315</v>
      </c>
      <c r="D184" t="s">
        <v>47</v>
      </c>
      <c r="E184" t="str">
        <f t="shared" si="51"/>
        <v>Likoma District [ZCjuwgaMB9u]|&lt;01|Male</v>
      </c>
      <c r="F184" s="14"/>
      <c r="G184" s="14">
        <v>1</v>
      </c>
      <c r="H184" s="14">
        <v>1</v>
      </c>
      <c r="I184" s="14">
        <v>0</v>
      </c>
      <c r="J184" s="14">
        <v>1</v>
      </c>
      <c r="K184" s="14">
        <v>0</v>
      </c>
      <c r="L184" s="14"/>
      <c r="M184" s="14"/>
      <c r="N184" s="14"/>
      <c r="O184" s="14" t="str">
        <f t="shared" si="52"/>
        <v/>
      </c>
      <c r="P184" s="14"/>
      <c r="Q184" s="14"/>
      <c r="R184" s="14" t="str">
        <f t="shared" si="53"/>
        <v/>
      </c>
      <c r="S184" s="14">
        <f>IF(LEFT($B184,4)="_Mil","",_xlfn.IFNA(ROUND(INDEX(Spectrum!$N:$N,MATCH(RIGHT($B184,13)&amp;"|"&amp;$C184&amp;"|"&amp;$D184&amp;"|"&amp;S$14&amp;"|"&amp;"CY2022Q4",Spectrum!$R:$R,0)),0),""))</f>
        <v>1391</v>
      </c>
      <c r="T184" s="42">
        <f>IF(LEFT($B184,4)="_Mil","",_xlfn.IFNA(ROUND(INDEX(Spectrum!$N:$N,MATCH(RIGHT($B184,13)&amp;"|"&amp;$C184&amp;"|"&amp;$D184&amp;"|"&amp;T$14&amp;"|"&amp;"CY2023Q3",Spectrum!$R:$R,0)),0),""))</f>
        <v>1984</v>
      </c>
      <c r="U184" s="42" t="str">
        <f>IF(LEFT($B184,4)="_Mil","",_xlfn.IFNA(ROUND(INDEX(Spectrum!$N:$N,MATCH(RIGHT($B184,13)&amp;"|"&amp;$C184&amp;"|"&amp;$D184&amp;"|"&amp;U$14&amp;"|"&amp;"CY2023Q3",Spectrum!$R:$R,0)),0),""))</f>
        <v/>
      </c>
      <c r="V184" s="14">
        <f>IF(LEFT($B184,4)="_Mil","",_xlfn.IFNA(ROUND(INDEX(Spectrum!$N:$N,MATCH(RIGHT($B184,13)&amp;"|"&amp;$C184&amp;"|"&amp;$D184&amp;"|"&amp;V$14&amp;"|"&amp;"CY2023Q3",Spectrum!$R:$R,0)),0),""))</f>
        <v>1652</v>
      </c>
      <c r="W184" s="115">
        <f>IF(LEFT($B184,4)="_Mil","",_xlfn.IFNA(INDEX(Spectrum!$N:$N,MATCH(RIGHT($B184,13)&amp;"|"&amp;$C184&amp;"|"&amp;$D184&amp;"|"&amp;W$14&amp;"|"&amp;"CY2023Q3",Spectrum!$R:$R,0)),""))</f>
        <v>1169</v>
      </c>
      <c r="X184" s="42">
        <f>IF(LEFT($B184,4)="_Mil","",_xlfn.IFNA(ROUND(INDEX(Spectrum!$N:$N,MATCH(RIGHT($B184,13)&amp;"|"&amp;$C184&amp;"|"&amp;$D184&amp;"|"&amp;X$14&amp;"|"&amp;"CY2023Q3",Spectrum!$R:$R,0)),0),""))</f>
        <v>1823</v>
      </c>
      <c r="Y184" s="90" t="str">
        <f t="shared" si="54"/>
        <v/>
      </c>
      <c r="Z184" s="42">
        <f>IF(LEFT($B184,4)="_Mil","",_xlfn.IFNA(ROUND(INDEX(Spectrum!$N:$N,MATCH(RIGHT($B184,13)&amp;"|"&amp;$C184&amp;"|"&amp;$D184&amp;"|"&amp;Z$14&amp;"|"&amp;"CY2023Q3",Spectrum!$R:$R,0)),0),""))</f>
        <v>1823</v>
      </c>
      <c r="AA184" s="90">
        <f>IF(LEFT($B184,4)="_Mil","",IFERROR(1/(1/INDEX(Spectrum!$N:$N,MATCH(RIGHT($B184,13)&amp;"|"&amp;$C184&amp;"|"&amp;$D184&amp;"|"&amp;AA$14&amp;"|"&amp;"CY2023Q3",Spectrum!$R:$R,0))),IF(SUM($U184)=0,"",SUM($Z184)/$U184)))</f>
        <v>1685</v>
      </c>
      <c r="AB184" s="90">
        <f t="shared" si="55"/>
        <v>1</v>
      </c>
      <c r="AC184" s="14">
        <f>IF(LEFT($B184,4)="_Mil","",_xlfn.IFNA(ROUND(INDEX(Spectrum!$N:$N,MATCH(RIGHT($B184,13)&amp;"|"&amp;$C184&amp;"|"&amp;$D184&amp;"|"&amp;AC$14&amp;"|"&amp;"CY2023Q3",Spectrum!$R:$R,0)),0),""))</f>
        <v>1069</v>
      </c>
      <c r="AD184" s="14" t="str">
        <f>IF(LEFT($B184,4)="_Mil","",_xlfn.IFNA(ROUND(INDEX(Spectrum!$N:$N,MATCH(RIGHT($B184,13)&amp;"|"&amp;$C184&amp;"|"&amp;$D184&amp;"|"&amp;AD$14&amp;"|"&amp;"CY2023Q3",Spectrum!$R:$R,0)),0),""))</f>
        <v/>
      </c>
      <c r="AE184" s="90">
        <f t="shared" si="56"/>
        <v>0</v>
      </c>
      <c r="AF184" s="42" t="str">
        <f>IF(LEFT($B184,4)="_Mil","",_xlfn.IFNA(ROUND(INDEX(Spectrum!$N:$N,MATCH(RIGHT($B184,13)&amp;"|"&amp;$C184&amp;"|"&amp;$D184&amp;"|"&amp;AF$14&amp;"|"&amp;"CY2023Q3",Spectrum!$R:$R,0)),0),""))</f>
        <v/>
      </c>
      <c r="AG184" s="90" t="str">
        <f t="shared" si="57"/>
        <v/>
      </c>
      <c r="AH184" s="88" t="str">
        <f>IF(LEFT($B184,4)="_Mil","",_xlfn.IFNA(INDEX(Spectrum!$N:$N,MATCH(RIGHT($B184,13)&amp;"|"&amp;$C184&amp;"|"&amp;$D184&amp;"|"&amp;AH$14&amp;"|"&amp;"CY2023Q3",Spectrum!$R:$R,0)),""))</f>
        <v/>
      </c>
      <c r="AI184" s="14" t="str">
        <f>IF(LEFT($B184,4)="_Mil","",_xlfn.IFNA(ROUND(INDEX(Spectrum!$N:$N,MATCH(RIGHT($B184,13)&amp;"|"&amp;$C184&amp;"|"&amp;$D184&amp;"|"&amp;AI$14&amp;"|"&amp;"CY2023Q3",Spectrum!$R:$R,0)),0),""))</f>
        <v/>
      </c>
      <c r="AJ184" s="42">
        <f>IF(LEFT($B184,4)="_Mil","",_xlfn.IFNA(ROUND(INDEX(Spectrum!$N:$N,MATCH(RIGHT($B184,13)&amp;"|"&amp;$C184&amp;"|"&amp;$D184&amp;"|"&amp;AI$14&amp;"|"&amp;"CY2023Q3",Spectrum!$R:$R,0)),0),SUM($U184)+SUM($AI184)))</f>
        <v>0</v>
      </c>
      <c r="AK184" s="14" t="str">
        <f>IF(LEFT($B184,4)="_Mil","",_xlfn.IFNA(ROUND(INDEX(Spectrum!$N:$N,MATCH(RIGHT($B184,13)&amp;"|"&amp;$C184&amp;"|"&amp;$D184&amp;"|"&amp;AK$14&amp;"|"&amp;"CY2023Q3",Spectrum!$R:$R,0)),0),""))</f>
        <v/>
      </c>
      <c r="AL184" s="90" t="str">
        <f t="shared" si="58"/>
        <v/>
      </c>
      <c r="AM184" s="14" t="str">
        <f t="shared" si="59"/>
        <v/>
      </c>
      <c r="AN184" s="14">
        <f>IF($C184="&lt;01",ROUND(INDEX(EID!$P:$P,MATCH($B184,EID!$B:$B,0))/2,0),"")</f>
        <v>0</v>
      </c>
      <c r="AO184" s="14">
        <f t="shared" si="60"/>
        <v>0</v>
      </c>
      <c r="AP184" s="42">
        <f t="shared" si="61"/>
        <v>0</v>
      </c>
      <c r="AQ184" s="42">
        <f t="shared" si="62"/>
        <v>1823</v>
      </c>
      <c r="AR184" s="90" t="str">
        <f t="shared" si="63"/>
        <v/>
      </c>
      <c r="AS184" s="90" t="str">
        <f t="shared" si="74"/>
        <v/>
      </c>
      <c r="AT184" s="90" t="str">
        <f t="shared" si="74"/>
        <v/>
      </c>
      <c r="AU184" s="14" t="str">
        <f t="shared" si="64"/>
        <v/>
      </c>
      <c r="AV184" s="14">
        <f>IF($C184="&lt;01",ROUND(INDEX(EID!$N:$N,MATCH($B184,EID!$B:$B,0))/2,0),IF(SUM($AT184)=0,"",ROUND((SUM($AP184)-(SUM($O184)*SUM($AS184)))/$AT184,0)))</f>
        <v>0</v>
      </c>
      <c r="AW184" s="90" t="str">
        <f t="shared" si="65"/>
        <v/>
      </c>
      <c r="AX184" s="42">
        <f t="shared" si="66"/>
        <v>0</v>
      </c>
      <c r="AY184" s="116" t="str">
        <f t="shared" si="67"/>
        <v/>
      </c>
      <c r="AZ184" s="93">
        <f>IF($C184="&lt;01",ROUND(INDEX(EID!$R:$R,MATCH($B184,EID!$B:$B,0))/2,0),ROUND(SUM($O184)+(SUM($AV184)*$AY184),0))</f>
        <v>0</v>
      </c>
      <c r="BA184" s="89" t="str">
        <f t="shared" si="68"/>
        <v/>
      </c>
      <c r="BB184" s="9">
        <f>IF($C184="&lt;01",ROUND(INDEX(EID!$T:$T,MATCH($B184,EID!$B:$B,0))/2,0),ROUND($AZ184*$BA184,0))</f>
        <v>0</v>
      </c>
      <c r="BC184" s="93">
        <f t="shared" si="69"/>
        <v>0</v>
      </c>
      <c r="BD184" s="90" t="str">
        <f t="shared" si="70"/>
        <v/>
      </c>
      <c r="BE184" s="42">
        <f>IF($C184="&lt;01",ROUND(INDEX(EID!$V:$V,MATCH($B184,EID!$B:$B,0))/2,0),ROUND($BD184*$BB184,0))</f>
        <v>0</v>
      </c>
      <c r="BF184" s="42">
        <f t="shared" si="71"/>
        <v>0</v>
      </c>
      <c r="BG184" s="116" t="str">
        <f t="shared" si="72"/>
        <v/>
      </c>
      <c r="BH184" s="9">
        <f>IF($C184="&lt;01",ROUND(INDEX(EID!$L:$L,MATCH($B184,EID!$B:$B,0)),0)/2,IF(SUM($BG184)=0,"",ROUND($AX184/$BG184,0)))</f>
        <v>0</v>
      </c>
    </row>
    <row r="185" spans="1:60" x14ac:dyDescent="0.2">
      <c r="A185" t="str">
        <f>INDEX(Prioritization!$D:$D,MATCH($B185,Prioritization!$A:$A,0))</f>
        <v>INVALID</v>
      </c>
      <c r="B185" t="s">
        <v>205</v>
      </c>
      <c r="C185" t="s">
        <v>362</v>
      </c>
      <c r="D185" t="s">
        <v>29</v>
      </c>
      <c r="E185" t="str">
        <f t="shared" si="51"/>
        <v>Likoma District [ZCjuwgaMB9u]|01-09|Female</v>
      </c>
      <c r="F185" s="14"/>
      <c r="G185" s="14"/>
      <c r="H185" s="14"/>
      <c r="I185" s="14"/>
      <c r="J185" s="14"/>
      <c r="K185" s="14"/>
      <c r="L185" s="14"/>
      <c r="M185" s="14"/>
      <c r="N185" s="14"/>
      <c r="O185" s="14" t="str">
        <f t="shared" si="52"/>
        <v/>
      </c>
      <c r="P185" s="14"/>
      <c r="Q185" s="14"/>
      <c r="R185" s="14" t="str">
        <f t="shared" si="53"/>
        <v/>
      </c>
      <c r="S185" s="14">
        <f>IF(LEFT($B185,4)="_Mil","",_xlfn.IFNA(ROUND(INDEX(Spectrum!$N:$N,MATCH(RIGHT($B185,13)&amp;"|"&amp;$C185&amp;"|"&amp;$D185&amp;"|"&amp;S$14&amp;"|"&amp;"CY2022Q4",Spectrum!$R:$R,0)),0),""))</f>
        <v>1318</v>
      </c>
      <c r="T185" s="42">
        <f>IF(LEFT($B185,4)="_Mil","",_xlfn.IFNA(ROUND(INDEX(Spectrum!$N:$N,MATCH(RIGHT($B185,13)&amp;"|"&amp;$C185&amp;"|"&amp;$D185&amp;"|"&amp;T$14&amp;"|"&amp;"CY2023Q3",Spectrum!$R:$R,0)),0),""))</f>
        <v>1677</v>
      </c>
      <c r="U185" s="42" t="str">
        <f>IF(LEFT($B185,4)="_Mil","",_xlfn.IFNA(ROUND(INDEX(Spectrum!$N:$N,MATCH(RIGHT($B185,13)&amp;"|"&amp;$C185&amp;"|"&amp;$D185&amp;"|"&amp;U$14&amp;"|"&amp;"CY2023Q3",Spectrum!$R:$R,0)),0),""))</f>
        <v/>
      </c>
      <c r="V185" s="14">
        <f>IF(LEFT($B185,4)="_Mil","",_xlfn.IFNA(ROUND(INDEX(Spectrum!$N:$N,MATCH(RIGHT($B185,13)&amp;"|"&amp;$C185&amp;"|"&amp;$D185&amp;"|"&amp;V$14&amp;"|"&amp;"CY2023Q3",Spectrum!$R:$R,0)),0),""))</f>
        <v>663</v>
      </c>
      <c r="W185" s="115">
        <f>IF(LEFT($B185,4)="_Mil","",_xlfn.IFNA(INDEX(Spectrum!$N:$N,MATCH(RIGHT($B185,13)&amp;"|"&amp;$C185&amp;"|"&amp;$D185&amp;"|"&amp;W$14&amp;"|"&amp;"CY2023Q3",Spectrum!$R:$R,0)),""))</f>
        <v>1468</v>
      </c>
      <c r="X185" s="42">
        <f>IF(LEFT($B185,4)="_Mil","",_xlfn.IFNA(ROUND(INDEX(Spectrum!$N:$N,MATCH(RIGHT($B185,13)&amp;"|"&amp;$C185&amp;"|"&amp;$D185&amp;"|"&amp;X$14&amp;"|"&amp;"CY2023Q3",Spectrum!$R:$R,0)),0),""))</f>
        <v>1576</v>
      </c>
      <c r="Y185" s="90" t="str">
        <f t="shared" si="54"/>
        <v/>
      </c>
      <c r="Z185" s="42">
        <f>IF(LEFT($B185,4)="_Mil","",_xlfn.IFNA(ROUND(INDEX(Spectrum!$N:$N,MATCH(RIGHT($B185,13)&amp;"|"&amp;$C185&amp;"|"&amp;$D185&amp;"|"&amp;Z$14&amp;"|"&amp;"CY2023Q3",Spectrum!$R:$R,0)),0),""))</f>
        <v>632</v>
      </c>
      <c r="AA185" s="90">
        <f>IF(LEFT($B185,4)="_Mil","",IFERROR(1/(1/INDEX(Spectrum!$N:$N,MATCH(RIGHT($B185,13)&amp;"|"&amp;$C185&amp;"|"&amp;$D185&amp;"|"&amp;AA$14&amp;"|"&amp;"CY2023Q3",Spectrum!$R:$R,0))),IF(SUM($U185)=0,"",SUM($Z185)/$U185)))</f>
        <v>827</v>
      </c>
      <c r="AB185" s="90">
        <f t="shared" si="55"/>
        <v>0.40101522842639592</v>
      </c>
      <c r="AC185" s="14">
        <f>IF(LEFT($B185,4)="_Mil","",_xlfn.IFNA(ROUND(INDEX(Spectrum!$N:$N,MATCH(RIGHT($B185,13)&amp;"|"&amp;$C185&amp;"|"&amp;$D185&amp;"|"&amp;AC$14&amp;"|"&amp;"CY2023Q3",Spectrum!$R:$R,0)),0),""))</f>
        <v>983</v>
      </c>
      <c r="AD185" s="14" t="str">
        <f>IF(LEFT($B185,4)="_Mil","",_xlfn.IFNA(ROUND(INDEX(Spectrum!$N:$N,MATCH(RIGHT($B185,13)&amp;"|"&amp;$C185&amp;"|"&amp;$D185&amp;"|"&amp;AD$14&amp;"|"&amp;"CY2023Q3",Spectrum!$R:$R,0)),0),""))</f>
        <v/>
      </c>
      <c r="AE185" s="90">
        <f t="shared" si="56"/>
        <v>0</v>
      </c>
      <c r="AF185" s="42" t="str">
        <f>IF(LEFT($B185,4)="_Mil","",_xlfn.IFNA(ROUND(INDEX(Spectrum!$N:$N,MATCH(RIGHT($B185,13)&amp;"|"&amp;$C185&amp;"|"&amp;$D185&amp;"|"&amp;AF$14&amp;"|"&amp;"CY2023Q3",Spectrum!$R:$R,0)),0),""))</f>
        <v/>
      </c>
      <c r="AG185" s="90" t="str">
        <f t="shared" si="57"/>
        <v/>
      </c>
      <c r="AH185" s="88" t="str">
        <f>IF(LEFT($B185,4)="_Mil","",_xlfn.IFNA(INDEX(Spectrum!$N:$N,MATCH(RIGHT($B185,13)&amp;"|"&amp;$C185&amp;"|"&amp;$D185&amp;"|"&amp;AH$14&amp;"|"&amp;"CY2023Q3",Spectrum!$R:$R,0)),""))</f>
        <v/>
      </c>
      <c r="AI185" s="14" t="str">
        <f>IF(LEFT($B185,4)="_Mil","",_xlfn.IFNA(ROUND(INDEX(Spectrum!$N:$N,MATCH(RIGHT($B185,13)&amp;"|"&amp;$C185&amp;"|"&amp;$D185&amp;"|"&amp;AI$14&amp;"|"&amp;"CY2023Q3",Spectrum!$R:$R,0)),0),""))</f>
        <v/>
      </c>
      <c r="AJ185" s="42">
        <f>IF(LEFT($B185,4)="_Mil","",_xlfn.IFNA(ROUND(INDEX(Spectrum!$N:$N,MATCH(RIGHT($B185,13)&amp;"|"&amp;$C185&amp;"|"&amp;$D185&amp;"|"&amp;AI$14&amp;"|"&amp;"CY2023Q3",Spectrum!$R:$R,0)),0),SUM($U185)+SUM($AI185)))</f>
        <v>0</v>
      </c>
      <c r="AK185" s="14" t="str">
        <f>IF(LEFT($B185,4)="_Mil","",_xlfn.IFNA(ROUND(INDEX(Spectrum!$N:$N,MATCH(RIGHT($B185,13)&amp;"|"&amp;$C185&amp;"|"&amp;$D185&amp;"|"&amp;AK$14&amp;"|"&amp;"CY2023Q3",Spectrum!$R:$R,0)),0),""))</f>
        <v/>
      </c>
      <c r="AL185" s="90">
        <f t="shared" si="58"/>
        <v>827</v>
      </c>
      <c r="AM185" s="14">
        <f t="shared" si="59"/>
        <v>0</v>
      </c>
      <c r="AN185" s="14" t="str">
        <f>IF($C185="&lt;01",ROUND(INDEX(EID!$P:$P,MATCH($B185,EID!$B:$B,0))/2,0),"")</f>
        <v/>
      </c>
      <c r="AO185" s="14">
        <f t="shared" si="60"/>
        <v>0</v>
      </c>
      <c r="AP185" s="42">
        <f t="shared" si="61"/>
        <v>0</v>
      </c>
      <c r="AQ185" s="42">
        <f t="shared" si="62"/>
        <v>632</v>
      </c>
      <c r="AR185" s="90" t="str">
        <f t="shared" si="63"/>
        <v/>
      </c>
      <c r="AS185" s="90">
        <f t="shared" si="74"/>
        <v>0.98</v>
      </c>
      <c r="AT185" s="90">
        <f t="shared" si="74"/>
        <v>0.98</v>
      </c>
      <c r="AU185" s="14">
        <f t="shared" si="64"/>
        <v>0</v>
      </c>
      <c r="AV185" s="14">
        <f>IF($C185="&lt;01",ROUND(INDEX(EID!$N:$N,MATCH($B185,EID!$B:$B,0))/2,0),IF(SUM($AT185)=0,"",ROUND((SUM($AP185)-(SUM($O185)*SUM($AS185)))/$AT185,0)))</f>
        <v>0</v>
      </c>
      <c r="AW185" s="90">
        <f t="shared" si="65"/>
        <v>1</v>
      </c>
      <c r="AX185" s="42">
        <f t="shared" si="66"/>
        <v>0</v>
      </c>
      <c r="AY185" s="116">
        <f t="shared" si="67"/>
        <v>0.7</v>
      </c>
      <c r="AZ185" s="93">
        <f>IF($C185="&lt;01",ROUND(INDEX(EID!$R:$R,MATCH($B185,EID!$B:$B,0))/2,0),ROUND(SUM($O185)+(SUM($AV185)*$AY185),0))</f>
        <v>0</v>
      </c>
      <c r="BA185" s="89">
        <f t="shared" si="68"/>
        <v>0.95</v>
      </c>
      <c r="BB185" s="9">
        <f>IF($C185="&lt;01",ROUND(INDEX(EID!$T:$T,MATCH($B185,EID!$B:$B,0))/2,0),ROUND($AZ185*$BA185,0))</f>
        <v>0</v>
      </c>
      <c r="BC185" s="93">
        <f t="shared" si="69"/>
        <v>0</v>
      </c>
      <c r="BD185" s="90">
        <f t="shared" si="70"/>
        <v>0.95</v>
      </c>
      <c r="BE185" s="42">
        <f>IF($C185="&lt;01",ROUND(INDEX(EID!$V:$V,MATCH($B185,EID!$B:$B,0))/2,0),ROUND($BD185*$BB185,0))</f>
        <v>0</v>
      </c>
      <c r="BF185" s="42">
        <f t="shared" si="71"/>
        <v>0</v>
      </c>
      <c r="BG185" s="116">
        <f t="shared" si="72"/>
        <v>0.95</v>
      </c>
      <c r="BH185" s="9">
        <f>IF($C185="&lt;01",ROUND(INDEX(EID!$L:$L,MATCH($B185,EID!$B:$B,0)),0)/2,IF(SUM($BG185)=0,"",ROUND($AX185/$BG185,0)))</f>
        <v>0</v>
      </c>
    </row>
    <row r="186" spans="1:60" x14ac:dyDescent="0.2">
      <c r="A186" t="str">
        <f>INDEX(Prioritization!$D:$D,MATCH($B186,Prioritization!$A:$A,0))</f>
        <v>INVALID</v>
      </c>
      <c r="B186" t="s">
        <v>205</v>
      </c>
      <c r="C186" t="s">
        <v>362</v>
      </c>
      <c r="D186" t="s">
        <v>47</v>
      </c>
      <c r="E186" t="str">
        <f t="shared" si="51"/>
        <v>Likoma District [ZCjuwgaMB9u]|01-09|Male</v>
      </c>
      <c r="F186" s="14"/>
      <c r="G186" s="14"/>
      <c r="H186" s="14"/>
      <c r="I186" s="14"/>
      <c r="J186" s="14"/>
      <c r="K186" s="14"/>
      <c r="L186" s="14"/>
      <c r="M186" s="14"/>
      <c r="N186" s="14"/>
      <c r="O186" s="14" t="str">
        <f t="shared" si="52"/>
        <v/>
      </c>
      <c r="P186" s="14"/>
      <c r="Q186" s="14"/>
      <c r="R186" s="14" t="str">
        <f t="shared" si="53"/>
        <v/>
      </c>
      <c r="S186" s="14">
        <f>IF(LEFT($B186,4)="_Mil","",_xlfn.IFNA(ROUND(INDEX(Spectrum!$N:$N,MATCH(RIGHT($B186,13)&amp;"|"&amp;$C186&amp;"|"&amp;$D186&amp;"|"&amp;S$14&amp;"|"&amp;"CY2022Q4",Spectrum!$R:$R,0)),0),""))</f>
        <v>1816</v>
      </c>
      <c r="T186" s="42">
        <f>IF(LEFT($B186,4)="_Mil","",_xlfn.IFNA(ROUND(INDEX(Spectrum!$N:$N,MATCH(RIGHT($B186,13)&amp;"|"&amp;$C186&amp;"|"&amp;$D186&amp;"|"&amp;T$14&amp;"|"&amp;"CY2023Q3",Spectrum!$R:$R,0)),0),""))</f>
        <v>1514</v>
      </c>
      <c r="U186" s="42" t="str">
        <f>IF(LEFT($B186,4)="_Mil","",_xlfn.IFNA(ROUND(INDEX(Spectrum!$N:$N,MATCH(RIGHT($B186,13)&amp;"|"&amp;$C186&amp;"|"&amp;$D186&amp;"|"&amp;U$14&amp;"|"&amp;"CY2023Q3",Spectrum!$R:$R,0)),0),""))</f>
        <v/>
      </c>
      <c r="V186" s="14">
        <f>IF(LEFT($B186,4)="_Mil","",_xlfn.IFNA(ROUND(INDEX(Spectrum!$N:$N,MATCH(RIGHT($B186,13)&amp;"|"&amp;$C186&amp;"|"&amp;$D186&amp;"|"&amp;V$14&amp;"|"&amp;"CY2023Q3",Spectrum!$R:$R,0)),0),""))</f>
        <v>1607</v>
      </c>
      <c r="W186" s="115">
        <f>IF(LEFT($B186,4)="_Mil","",_xlfn.IFNA(INDEX(Spectrum!$N:$N,MATCH(RIGHT($B186,13)&amp;"|"&amp;$C186&amp;"|"&amp;$D186&amp;"|"&amp;W$14&amp;"|"&amp;"CY2023Q3",Spectrum!$R:$R,0)),""))</f>
        <v>915</v>
      </c>
      <c r="X186" s="42">
        <f>IF(LEFT($B186,4)="_Mil","",_xlfn.IFNA(ROUND(INDEX(Spectrum!$N:$N,MATCH(RIGHT($B186,13)&amp;"|"&amp;$C186&amp;"|"&amp;$D186&amp;"|"&amp;X$14&amp;"|"&amp;"CY2023Q3",Spectrum!$R:$R,0)),0),""))</f>
        <v>1539</v>
      </c>
      <c r="Y186" s="90" t="str">
        <f t="shared" si="54"/>
        <v/>
      </c>
      <c r="Z186" s="42">
        <f>IF(LEFT($B186,4)="_Mil","",_xlfn.IFNA(ROUND(INDEX(Spectrum!$N:$N,MATCH(RIGHT($B186,13)&amp;"|"&amp;$C186&amp;"|"&amp;$D186&amp;"|"&amp;Z$14&amp;"|"&amp;"CY2023Q3",Spectrum!$R:$R,0)),0),""))</f>
        <v>1944</v>
      </c>
      <c r="AA186" s="90">
        <f>IF(LEFT($B186,4)="_Mil","",IFERROR(1/(1/INDEX(Spectrum!$N:$N,MATCH(RIGHT($B186,13)&amp;"|"&amp;$C186&amp;"|"&amp;$D186&amp;"|"&amp;AA$14&amp;"|"&amp;"CY2023Q3",Spectrum!$R:$R,0))),IF(SUM($U186)=0,"",SUM($Z186)/$U186)))</f>
        <v>1106</v>
      </c>
      <c r="AB186" s="90">
        <f t="shared" si="55"/>
        <v>1.263157894736842</v>
      </c>
      <c r="AC186" s="14">
        <f>IF(LEFT($B186,4)="_Mil","",_xlfn.IFNA(ROUND(INDEX(Spectrum!$N:$N,MATCH(RIGHT($B186,13)&amp;"|"&amp;$C186&amp;"|"&amp;$D186&amp;"|"&amp;AC$14&amp;"|"&amp;"CY2023Q3",Spectrum!$R:$R,0)),0),""))</f>
        <v>1780</v>
      </c>
      <c r="AD186" s="14" t="str">
        <f>IF(LEFT($B186,4)="_Mil","",_xlfn.IFNA(ROUND(INDEX(Spectrum!$N:$N,MATCH(RIGHT($B186,13)&amp;"|"&amp;$C186&amp;"|"&amp;$D186&amp;"|"&amp;AD$14&amp;"|"&amp;"CY2023Q3",Spectrum!$R:$R,0)),0),""))</f>
        <v/>
      </c>
      <c r="AE186" s="90">
        <f t="shared" si="56"/>
        <v>0</v>
      </c>
      <c r="AF186" s="42" t="str">
        <f>IF(LEFT($B186,4)="_Mil","",_xlfn.IFNA(ROUND(INDEX(Spectrum!$N:$N,MATCH(RIGHT($B186,13)&amp;"|"&amp;$C186&amp;"|"&amp;$D186&amp;"|"&amp;AF$14&amp;"|"&amp;"CY2023Q3",Spectrum!$R:$R,0)),0),""))</f>
        <v/>
      </c>
      <c r="AG186" s="90" t="str">
        <f t="shared" si="57"/>
        <v/>
      </c>
      <c r="AH186" s="88" t="str">
        <f>IF(LEFT($B186,4)="_Mil","",_xlfn.IFNA(INDEX(Spectrum!$N:$N,MATCH(RIGHT($B186,13)&amp;"|"&amp;$C186&amp;"|"&amp;$D186&amp;"|"&amp;AH$14&amp;"|"&amp;"CY2023Q3",Spectrum!$R:$R,0)),""))</f>
        <v/>
      </c>
      <c r="AI186" s="14" t="str">
        <f>IF(LEFT($B186,4)="_Mil","",_xlfn.IFNA(ROUND(INDEX(Spectrum!$N:$N,MATCH(RIGHT($B186,13)&amp;"|"&amp;$C186&amp;"|"&amp;$D186&amp;"|"&amp;AI$14&amp;"|"&amp;"CY2023Q3",Spectrum!$R:$R,0)),0),""))</f>
        <v/>
      </c>
      <c r="AJ186" s="42">
        <f>IF(LEFT($B186,4)="_Mil","",_xlfn.IFNA(ROUND(INDEX(Spectrum!$N:$N,MATCH(RIGHT($B186,13)&amp;"|"&amp;$C186&amp;"|"&amp;$D186&amp;"|"&amp;AI$14&amp;"|"&amp;"CY2023Q3",Spectrum!$R:$R,0)),0),SUM($U186)+SUM($AI186)))</f>
        <v>0</v>
      </c>
      <c r="AK186" s="14" t="str">
        <f>IF(LEFT($B186,4)="_Mil","",_xlfn.IFNA(ROUND(INDEX(Spectrum!$N:$N,MATCH(RIGHT($B186,13)&amp;"|"&amp;$C186&amp;"|"&amp;$D186&amp;"|"&amp;AK$14&amp;"|"&amp;"CY2023Q3",Spectrum!$R:$R,0)),0),""))</f>
        <v/>
      </c>
      <c r="AL186" s="90">
        <f t="shared" si="58"/>
        <v>1106</v>
      </c>
      <c r="AM186" s="14">
        <f t="shared" si="59"/>
        <v>0</v>
      </c>
      <c r="AN186" s="14" t="str">
        <f>IF($C186="&lt;01",ROUND(INDEX(EID!$P:$P,MATCH($B186,EID!$B:$B,0))/2,0),"")</f>
        <v/>
      </c>
      <c r="AO186" s="14">
        <f t="shared" si="60"/>
        <v>0</v>
      </c>
      <c r="AP186" s="42">
        <f t="shared" si="61"/>
        <v>0</v>
      </c>
      <c r="AQ186" s="42">
        <f t="shared" si="62"/>
        <v>1944</v>
      </c>
      <c r="AR186" s="90" t="str">
        <f t="shared" si="63"/>
        <v/>
      </c>
      <c r="AS186" s="90">
        <f t="shared" si="74"/>
        <v>0.98</v>
      </c>
      <c r="AT186" s="90">
        <f t="shared" si="74"/>
        <v>0.98</v>
      </c>
      <c r="AU186" s="14">
        <f t="shared" si="64"/>
        <v>0</v>
      </c>
      <c r="AV186" s="14">
        <f>IF($C186="&lt;01",ROUND(INDEX(EID!$N:$N,MATCH($B186,EID!$B:$B,0))/2,0),IF(SUM($AT186)=0,"",ROUND((SUM($AP186)-(SUM($O186)*SUM($AS186)))/$AT186,0)))</f>
        <v>0</v>
      </c>
      <c r="AW186" s="90">
        <f t="shared" si="65"/>
        <v>1</v>
      </c>
      <c r="AX186" s="42">
        <f t="shared" si="66"/>
        <v>0</v>
      </c>
      <c r="AY186" s="116">
        <f t="shared" si="67"/>
        <v>0.7</v>
      </c>
      <c r="AZ186" s="93">
        <f>IF($C186="&lt;01",ROUND(INDEX(EID!$R:$R,MATCH($B186,EID!$B:$B,0))/2,0),ROUND(SUM($O186)+(SUM($AV186)*$AY186),0))</f>
        <v>0</v>
      </c>
      <c r="BA186" s="89">
        <f t="shared" si="68"/>
        <v>0.95</v>
      </c>
      <c r="BB186" s="9">
        <f>IF($C186="&lt;01",ROUND(INDEX(EID!$T:$T,MATCH($B186,EID!$B:$B,0))/2,0),ROUND($AZ186*$BA186,0))</f>
        <v>0</v>
      </c>
      <c r="BC186" s="93">
        <f t="shared" si="69"/>
        <v>0</v>
      </c>
      <c r="BD186" s="90">
        <f t="shared" si="70"/>
        <v>0.95</v>
      </c>
      <c r="BE186" s="42">
        <f>IF($C186="&lt;01",ROUND(INDEX(EID!$V:$V,MATCH($B186,EID!$B:$B,0))/2,0),ROUND($BD186*$BB186,0))</f>
        <v>0</v>
      </c>
      <c r="BF186" s="42">
        <f t="shared" si="71"/>
        <v>0</v>
      </c>
      <c r="BG186" s="116">
        <f t="shared" si="72"/>
        <v>0.95</v>
      </c>
      <c r="BH186" s="9">
        <f>IF($C186="&lt;01",ROUND(INDEX(EID!$L:$L,MATCH($B186,EID!$B:$B,0)),0)/2,IF(SUM($BG186)=0,"",ROUND($AX186/$BG186,0)))</f>
        <v>0</v>
      </c>
    </row>
    <row r="187" spans="1:60" x14ac:dyDescent="0.2">
      <c r="A187" t="str">
        <f>INDEX(Prioritization!$D:$D,MATCH($B187,Prioritization!$A:$A,0))</f>
        <v>INVALID</v>
      </c>
      <c r="B187" t="s">
        <v>205</v>
      </c>
      <c r="C187" t="s">
        <v>363</v>
      </c>
      <c r="D187" t="s">
        <v>29</v>
      </c>
      <c r="E187" t="str">
        <f t="shared" si="51"/>
        <v>Likoma District [ZCjuwgaMB9u]|10-14|Female</v>
      </c>
      <c r="F187" s="14"/>
      <c r="G187" s="14">
        <v>1</v>
      </c>
      <c r="H187" s="14"/>
      <c r="I187" s="14">
        <v>2</v>
      </c>
      <c r="J187" s="14">
        <v>4</v>
      </c>
      <c r="K187" s="14">
        <v>1</v>
      </c>
      <c r="L187" s="14">
        <v>1</v>
      </c>
      <c r="M187" s="14">
        <v>0</v>
      </c>
      <c r="N187" s="14">
        <v>5</v>
      </c>
      <c r="O187" s="14">
        <f t="shared" si="52"/>
        <v>5</v>
      </c>
      <c r="P187" s="14">
        <v>7</v>
      </c>
      <c r="Q187" s="14">
        <v>7</v>
      </c>
      <c r="R187" s="14">
        <f t="shared" si="53"/>
        <v>3</v>
      </c>
      <c r="S187" s="14">
        <f>IF(LEFT($B187,4)="_Mil","",_xlfn.IFNA(ROUND(INDEX(Spectrum!$N:$N,MATCH(RIGHT($B187,13)&amp;"|"&amp;$C187&amp;"|"&amp;$D187&amp;"|"&amp;S$14&amp;"|"&amp;"CY2022Q4",Spectrum!$R:$R,0)),0),""))</f>
        <v>1192</v>
      </c>
      <c r="T187" s="42">
        <f>IF(LEFT($B187,4)="_Mil","",_xlfn.IFNA(ROUND(INDEX(Spectrum!$N:$N,MATCH(RIGHT($B187,13)&amp;"|"&amp;$C187&amp;"|"&amp;$D187&amp;"|"&amp;T$14&amp;"|"&amp;"CY2023Q3",Spectrum!$R:$R,0)),0),""))</f>
        <v>1619</v>
      </c>
      <c r="U187" s="42" t="str">
        <f>IF(LEFT($B187,4)="_Mil","",_xlfn.IFNA(ROUND(INDEX(Spectrum!$N:$N,MATCH(RIGHT($B187,13)&amp;"|"&amp;$C187&amp;"|"&amp;$D187&amp;"|"&amp;U$14&amp;"|"&amp;"CY2023Q3",Spectrum!$R:$R,0)),0),""))</f>
        <v/>
      </c>
      <c r="V187" s="14">
        <f>IF(LEFT($B187,4)="_Mil","",_xlfn.IFNA(ROUND(INDEX(Spectrum!$N:$N,MATCH(RIGHT($B187,13)&amp;"|"&amp;$C187&amp;"|"&amp;$D187&amp;"|"&amp;V$14&amp;"|"&amp;"CY2023Q3",Spectrum!$R:$R,0)),0),""))</f>
        <v>1510</v>
      </c>
      <c r="W187" s="115">
        <f>IF(LEFT($B187,4)="_Mil","",_xlfn.IFNA(INDEX(Spectrum!$N:$N,MATCH(RIGHT($B187,13)&amp;"|"&amp;$C187&amp;"|"&amp;$D187&amp;"|"&amp;W$14&amp;"|"&amp;"CY2023Q3",Spectrum!$R:$R,0)),""))</f>
        <v>1595</v>
      </c>
      <c r="X187" s="42">
        <f>IF(LEFT($B187,4)="_Mil","",_xlfn.IFNA(ROUND(INDEX(Spectrum!$N:$N,MATCH(RIGHT($B187,13)&amp;"|"&amp;$C187&amp;"|"&amp;$D187&amp;"|"&amp;X$14&amp;"|"&amp;"CY2023Q3",Spectrum!$R:$R,0)),0),""))</f>
        <v>940</v>
      </c>
      <c r="Y187" s="90" t="str">
        <f t="shared" si="54"/>
        <v/>
      </c>
      <c r="Z187" s="42">
        <f>IF(LEFT($B187,4)="_Mil","",_xlfn.IFNA(ROUND(INDEX(Spectrum!$N:$N,MATCH(RIGHT($B187,13)&amp;"|"&amp;$C187&amp;"|"&amp;$D187&amp;"|"&amp;Z$14&amp;"|"&amp;"CY2023Q3",Spectrum!$R:$R,0)),0),""))</f>
        <v>1028</v>
      </c>
      <c r="AA187" s="90">
        <f>IF(LEFT($B187,4)="_Mil","",IFERROR(1/(1/INDEX(Spectrum!$N:$N,MATCH(RIGHT($B187,13)&amp;"|"&amp;$C187&amp;"|"&amp;$D187&amp;"|"&amp;AA$14&amp;"|"&amp;"CY2023Q3",Spectrum!$R:$R,0))),IF(SUM($U187)=0,"",SUM($Z187)/$U187)))</f>
        <v>1054</v>
      </c>
      <c r="AB187" s="90">
        <f t="shared" si="55"/>
        <v>1.0936170212765957</v>
      </c>
      <c r="AC187" s="14">
        <f>IF(LEFT($B187,4)="_Mil","",_xlfn.IFNA(ROUND(INDEX(Spectrum!$N:$N,MATCH(RIGHT($B187,13)&amp;"|"&amp;$C187&amp;"|"&amp;$D187&amp;"|"&amp;AC$14&amp;"|"&amp;"CY2023Q3",Spectrum!$R:$R,0)),0),""))</f>
        <v>1829</v>
      </c>
      <c r="AD187" s="14" t="str">
        <f>IF(LEFT($B187,4)="_Mil","",_xlfn.IFNA(ROUND(INDEX(Spectrum!$N:$N,MATCH(RIGHT($B187,13)&amp;"|"&amp;$C187&amp;"|"&amp;$D187&amp;"|"&amp;AD$14&amp;"|"&amp;"CY2023Q3",Spectrum!$R:$R,0)),0),""))</f>
        <v/>
      </c>
      <c r="AE187" s="90">
        <f t="shared" si="56"/>
        <v>0</v>
      </c>
      <c r="AF187" s="42" t="str">
        <f>IF(LEFT($B187,4)="_Mil","",_xlfn.IFNA(ROUND(INDEX(Spectrum!$N:$N,MATCH(RIGHT($B187,13)&amp;"|"&amp;$C187&amp;"|"&amp;$D187&amp;"|"&amp;AF$14&amp;"|"&amp;"CY2023Q3",Spectrum!$R:$R,0)),0),""))</f>
        <v/>
      </c>
      <c r="AG187" s="90" t="str">
        <f t="shared" si="57"/>
        <v/>
      </c>
      <c r="AH187" s="88" t="str">
        <f>IF(LEFT($B187,4)="_Mil","",_xlfn.IFNA(INDEX(Spectrum!$N:$N,MATCH(RIGHT($B187,13)&amp;"|"&amp;$C187&amp;"|"&amp;$D187&amp;"|"&amp;AH$14&amp;"|"&amp;"CY2023Q3",Spectrum!$R:$R,0)),""))</f>
        <v/>
      </c>
      <c r="AI187" s="14" t="str">
        <f>IF(LEFT($B187,4)="_Mil","",_xlfn.IFNA(ROUND(INDEX(Spectrum!$N:$N,MATCH(RIGHT($B187,13)&amp;"|"&amp;$C187&amp;"|"&amp;$D187&amp;"|"&amp;AI$14&amp;"|"&amp;"CY2023Q3",Spectrum!$R:$R,0)),0),""))</f>
        <v/>
      </c>
      <c r="AJ187" s="42">
        <f>IF(LEFT($B187,4)="_Mil","",_xlfn.IFNA(ROUND(INDEX(Spectrum!$N:$N,MATCH(RIGHT($B187,13)&amp;"|"&amp;$C187&amp;"|"&amp;$D187&amp;"|"&amp;AI$14&amp;"|"&amp;"CY2023Q3",Spectrum!$R:$R,0)),0),SUM($U187)+SUM($AI187)))</f>
        <v>0</v>
      </c>
      <c r="AK187" s="14" t="str">
        <f>IF(LEFT($B187,4)="_Mil","",_xlfn.IFNA(ROUND(INDEX(Spectrum!$N:$N,MATCH(RIGHT($B187,13)&amp;"|"&amp;$C187&amp;"|"&amp;$D187&amp;"|"&amp;AK$14&amp;"|"&amp;"CY2023Q3",Spectrum!$R:$R,0)),0),""))</f>
        <v/>
      </c>
      <c r="AL187" s="90">
        <f t="shared" si="58"/>
        <v>1054</v>
      </c>
      <c r="AM187" s="14">
        <f t="shared" si="59"/>
        <v>0</v>
      </c>
      <c r="AN187" s="14" t="str">
        <f>IF($C187="&lt;01",ROUND(INDEX(EID!$P:$P,MATCH($B187,EID!$B:$B,0))/2,0),"")</f>
        <v/>
      </c>
      <c r="AO187" s="14">
        <f t="shared" si="60"/>
        <v>0</v>
      </c>
      <c r="AP187" s="42">
        <f t="shared" si="61"/>
        <v>0</v>
      </c>
      <c r="AQ187" s="42">
        <f t="shared" si="62"/>
        <v>1028</v>
      </c>
      <c r="AR187" s="90" t="str">
        <f t="shared" si="63"/>
        <v/>
      </c>
      <c r="AS187" s="90">
        <f t="shared" si="74"/>
        <v>0.98</v>
      </c>
      <c r="AT187" s="90">
        <f t="shared" si="74"/>
        <v>0.98</v>
      </c>
      <c r="AU187" s="14">
        <f t="shared" si="64"/>
        <v>-5</v>
      </c>
      <c r="AV187" s="14">
        <f>IF($C187="&lt;01",ROUND(INDEX(EID!$N:$N,MATCH($B187,EID!$B:$B,0))/2,0),IF(SUM($AT187)=0,"",ROUND((SUM($AP187)-(SUM($O187)*SUM($AS187)))/$AT187,0)))</f>
        <v>-5</v>
      </c>
      <c r="AW187" s="90">
        <f t="shared" si="65"/>
        <v>1</v>
      </c>
      <c r="AX187" s="42">
        <f t="shared" si="66"/>
        <v>-5</v>
      </c>
      <c r="AY187" s="116">
        <f t="shared" si="67"/>
        <v>0.7</v>
      </c>
      <c r="AZ187" s="93">
        <f>IF($C187="&lt;01",ROUND(INDEX(EID!$R:$R,MATCH($B187,EID!$B:$B,0))/2,0),ROUND(SUM($O187)+(SUM($AV187)*$AY187),0))</f>
        <v>2</v>
      </c>
      <c r="BA187" s="89">
        <f t="shared" si="68"/>
        <v>0.95</v>
      </c>
      <c r="BB187" s="9">
        <f>IF($C187="&lt;01",ROUND(INDEX(EID!$T:$T,MATCH($B187,EID!$B:$B,0))/2,0),ROUND($AZ187*$BA187,0))</f>
        <v>2</v>
      </c>
      <c r="BC187" s="93">
        <f t="shared" si="69"/>
        <v>2</v>
      </c>
      <c r="BD187" s="90">
        <f t="shared" si="70"/>
        <v>0.95</v>
      </c>
      <c r="BE187" s="42">
        <f>IF($C187="&lt;01",ROUND(INDEX(EID!$V:$V,MATCH($B187,EID!$B:$B,0))/2,0),ROUND($BD187*$BB187,0))</f>
        <v>2</v>
      </c>
      <c r="BF187" s="42">
        <f t="shared" si="71"/>
        <v>2</v>
      </c>
      <c r="BG187" s="116">
        <f t="shared" si="72"/>
        <v>0.95</v>
      </c>
      <c r="BH187" s="9">
        <f>IF($C187="&lt;01",ROUND(INDEX(EID!$L:$L,MATCH($B187,EID!$B:$B,0)),0)/2,IF(SUM($BG187)=0,"",ROUND($AX187/$BG187,0)))</f>
        <v>-5</v>
      </c>
    </row>
    <row r="188" spans="1:60" x14ac:dyDescent="0.2">
      <c r="A188" t="str">
        <f>INDEX(Prioritization!$D:$D,MATCH($B188,Prioritization!$A:$A,0))</f>
        <v>INVALID</v>
      </c>
      <c r="B188" t="s">
        <v>205</v>
      </c>
      <c r="C188" t="s">
        <v>363</v>
      </c>
      <c r="D188" t="s">
        <v>47</v>
      </c>
      <c r="E188" t="str">
        <f t="shared" si="51"/>
        <v>Likoma District [ZCjuwgaMB9u]|10-14|Male</v>
      </c>
      <c r="F188" s="14"/>
      <c r="G188" s="14">
        <v>1</v>
      </c>
      <c r="H188" s="14">
        <v>1</v>
      </c>
      <c r="I188" s="14">
        <v>4</v>
      </c>
      <c r="J188" s="14">
        <v>3</v>
      </c>
      <c r="K188" s="14">
        <v>5</v>
      </c>
      <c r="L188" s="14">
        <v>0</v>
      </c>
      <c r="M188" s="14">
        <v>0</v>
      </c>
      <c r="N188" s="14">
        <v>3</v>
      </c>
      <c r="O188" s="14">
        <f t="shared" si="52"/>
        <v>4</v>
      </c>
      <c r="P188" s="14">
        <v>7</v>
      </c>
      <c r="Q188" s="14">
        <v>4</v>
      </c>
      <c r="R188" s="14">
        <f t="shared" si="53"/>
        <v>0</v>
      </c>
      <c r="S188" s="14">
        <f>IF(LEFT($B188,4)="_Mil","",_xlfn.IFNA(ROUND(INDEX(Spectrum!$N:$N,MATCH(RIGHT($B188,13)&amp;"|"&amp;$C188&amp;"|"&amp;$D188&amp;"|"&amp;S$14&amp;"|"&amp;"CY2022Q4",Spectrum!$R:$R,0)),0),""))</f>
        <v>1816</v>
      </c>
      <c r="T188" s="42">
        <f>IF(LEFT($B188,4)="_Mil","",_xlfn.IFNA(ROUND(INDEX(Spectrum!$N:$N,MATCH(RIGHT($B188,13)&amp;"|"&amp;$C188&amp;"|"&amp;$D188&amp;"|"&amp;T$14&amp;"|"&amp;"CY2023Q3",Spectrum!$R:$R,0)),0),""))</f>
        <v>1919</v>
      </c>
      <c r="U188" s="42" t="str">
        <f>IF(LEFT($B188,4)="_Mil","",_xlfn.IFNA(ROUND(INDEX(Spectrum!$N:$N,MATCH(RIGHT($B188,13)&amp;"|"&amp;$C188&amp;"|"&amp;$D188&amp;"|"&amp;U$14&amp;"|"&amp;"CY2023Q3",Spectrum!$R:$R,0)),0),""))</f>
        <v/>
      </c>
      <c r="V188" s="14">
        <f>IF(LEFT($B188,4)="_Mil","",_xlfn.IFNA(ROUND(INDEX(Spectrum!$N:$N,MATCH(RIGHT($B188,13)&amp;"|"&amp;$C188&amp;"|"&amp;$D188&amp;"|"&amp;V$14&amp;"|"&amp;"CY2023Q3",Spectrum!$R:$R,0)),0),""))</f>
        <v>1774</v>
      </c>
      <c r="W188" s="115">
        <f>IF(LEFT($B188,4)="_Mil","",_xlfn.IFNA(INDEX(Spectrum!$N:$N,MATCH(RIGHT($B188,13)&amp;"|"&amp;$C188&amp;"|"&amp;$D188&amp;"|"&amp;W$14&amp;"|"&amp;"CY2023Q3",Spectrum!$R:$R,0)),""))</f>
        <v>919</v>
      </c>
      <c r="X188" s="42">
        <f>IF(LEFT($B188,4)="_Mil","",_xlfn.IFNA(ROUND(INDEX(Spectrum!$N:$N,MATCH(RIGHT($B188,13)&amp;"|"&amp;$C188&amp;"|"&amp;$D188&amp;"|"&amp;X$14&amp;"|"&amp;"CY2023Q3",Spectrum!$R:$R,0)),0),""))</f>
        <v>1652</v>
      </c>
      <c r="Y188" s="90" t="str">
        <f t="shared" si="54"/>
        <v/>
      </c>
      <c r="Z188" s="42">
        <f>IF(LEFT($B188,4)="_Mil","",_xlfn.IFNA(ROUND(INDEX(Spectrum!$N:$N,MATCH(RIGHT($B188,13)&amp;"|"&amp;$C188&amp;"|"&amp;$D188&amp;"|"&amp;Z$14&amp;"|"&amp;"CY2023Q3",Spectrum!$R:$R,0)),0),""))</f>
        <v>1347</v>
      </c>
      <c r="AA188" s="90">
        <f>IF(LEFT($B188,4)="_Mil","",IFERROR(1/(1/INDEX(Spectrum!$N:$N,MATCH(RIGHT($B188,13)&amp;"|"&amp;$C188&amp;"|"&amp;$D188&amp;"|"&amp;AA$14&amp;"|"&amp;"CY2023Q3",Spectrum!$R:$R,0))),IF(SUM($U188)=0,"",SUM($Z188)/$U188)))</f>
        <v>1917</v>
      </c>
      <c r="AB188" s="90">
        <f t="shared" si="55"/>
        <v>0.81537530266343827</v>
      </c>
      <c r="AC188" s="14">
        <f>IF(LEFT($B188,4)="_Mil","",_xlfn.IFNA(ROUND(INDEX(Spectrum!$N:$N,MATCH(RIGHT($B188,13)&amp;"|"&amp;$C188&amp;"|"&amp;$D188&amp;"|"&amp;AC$14&amp;"|"&amp;"CY2023Q3",Spectrum!$R:$R,0)),0),""))</f>
        <v>1867</v>
      </c>
      <c r="AD188" s="14" t="str">
        <f>IF(LEFT($B188,4)="_Mil","",_xlfn.IFNA(ROUND(INDEX(Spectrum!$N:$N,MATCH(RIGHT($B188,13)&amp;"|"&amp;$C188&amp;"|"&amp;$D188&amp;"|"&amp;AD$14&amp;"|"&amp;"CY2023Q3",Spectrum!$R:$R,0)),0),""))</f>
        <v/>
      </c>
      <c r="AE188" s="90">
        <f t="shared" si="56"/>
        <v>0</v>
      </c>
      <c r="AF188" s="42" t="str">
        <f>IF(LEFT($B188,4)="_Mil","",_xlfn.IFNA(ROUND(INDEX(Spectrum!$N:$N,MATCH(RIGHT($B188,13)&amp;"|"&amp;$C188&amp;"|"&amp;$D188&amp;"|"&amp;AF$14&amp;"|"&amp;"CY2023Q3",Spectrum!$R:$R,0)),0),""))</f>
        <v/>
      </c>
      <c r="AG188" s="90" t="str">
        <f t="shared" si="57"/>
        <v/>
      </c>
      <c r="AH188" s="88" t="str">
        <f>IF(LEFT($B188,4)="_Mil","",_xlfn.IFNA(INDEX(Spectrum!$N:$N,MATCH(RIGHT($B188,13)&amp;"|"&amp;$C188&amp;"|"&amp;$D188&amp;"|"&amp;AH$14&amp;"|"&amp;"CY2023Q3",Spectrum!$R:$R,0)),""))</f>
        <v/>
      </c>
      <c r="AI188" s="14" t="str">
        <f>IF(LEFT($B188,4)="_Mil","",_xlfn.IFNA(ROUND(INDEX(Spectrum!$N:$N,MATCH(RIGHT($B188,13)&amp;"|"&amp;$C188&amp;"|"&amp;$D188&amp;"|"&amp;AI$14&amp;"|"&amp;"CY2023Q3",Spectrum!$R:$R,0)),0),""))</f>
        <v/>
      </c>
      <c r="AJ188" s="42">
        <f>IF(LEFT($B188,4)="_Mil","",_xlfn.IFNA(ROUND(INDEX(Spectrum!$N:$N,MATCH(RIGHT($B188,13)&amp;"|"&amp;$C188&amp;"|"&amp;$D188&amp;"|"&amp;AI$14&amp;"|"&amp;"CY2023Q3",Spectrum!$R:$R,0)),0),SUM($U188)+SUM($AI188)))</f>
        <v>0</v>
      </c>
      <c r="AK188" s="14" t="str">
        <f>IF(LEFT($B188,4)="_Mil","",_xlfn.IFNA(ROUND(INDEX(Spectrum!$N:$N,MATCH(RIGHT($B188,13)&amp;"|"&amp;$C188&amp;"|"&amp;$D188&amp;"|"&amp;AK$14&amp;"|"&amp;"CY2023Q3",Spectrum!$R:$R,0)),0),""))</f>
        <v/>
      </c>
      <c r="AL188" s="90">
        <f t="shared" si="58"/>
        <v>1917</v>
      </c>
      <c r="AM188" s="14">
        <f t="shared" si="59"/>
        <v>0</v>
      </c>
      <c r="AN188" s="14" t="str">
        <f>IF($C188="&lt;01",ROUND(INDEX(EID!$P:$P,MATCH($B188,EID!$B:$B,0))/2,0),"")</f>
        <v/>
      </c>
      <c r="AO188" s="14">
        <f t="shared" si="60"/>
        <v>0</v>
      </c>
      <c r="AP188" s="42">
        <f t="shared" si="61"/>
        <v>0</v>
      </c>
      <c r="AQ188" s="42">
        <f t="shared" si="62"/>
        <v>1347</v>
      </c>
      <c r="AR188" s="90" t="str">
        <f t="shared" si="63"/>
        <v/>
      </c>
      <c r="AS188" s="90">
        <f t="shared" si="74"/>
        <v>0.98</v>
      </c>
      <c r="AT188" s="90">
        <f t="shared" si="74"/>
        <v>0.98</v>
      </c>
      <c r="AU188" s="14">
        <f t="shared" si="64"/>
        <v>-4</v>
      </c>
      <c r="AV188" s="14">
        <f>IF($C188="&lt;01",ROUND(INDEX(EID!$N:$N,MATCH($B188,EID!$B:$B,0))/2,0),IF(SUM($AT188)=0,"",ROUND((SUM($AP188)-(SUM($O188)*SUM($AS188)))/$AT188,0)))</f>
        <v>-4</v>
      </c>
      <c r="AW188" s="90">
        <f t="shared" si="65"/>
        <v>1</v>
      </c>
      <c r="AX188" s="42">
        <f t="shared" si="66"/>
        <v>-4</v>
      </c>
      <c r="AY188" s="116">
        <f t="shared" si="67"/>
        <v>0.7</v>
      </c>
      <c r="AZ188" s="93">
        <f>IF($C188="&lt;01",ROUND(INDEX(EID!$R:$R,MATCH($B188,EID!$B:$B,0))/2,0),ROUND(SUM($O188)+(SUM($AV188)*$AY188),0))</f>
        <v>1</v>
      </c>
      <c r="BA188" s="89">
        <f t="shared" si="68"/>
        <v>0.95</v>
      </c>
      <c r="BB188" s="9">
        <f>IF($C188="&lt;01",ROUND(INDEX(EID!$T:$T,MATCH($B188,EID!$B:$B,0))/2,0),ROUND($AZ188*$BA188,0))</f>
        <v>1</v>
      </c>
      <c r="BC188" s="93">
        <f t="shared" si="69"/>
        <v>1</v>
      </c>
      <c r="BD188" s="90">
        <f t="shared" si="70"/>
        <v>0.95</v>
      </c>
      <c r="BE188" s="42">
        <f>IF($C188="&lt;01",ROUND(INDEX(EID!$V:$V,MATCH($B188,EID!$B:$B,0))/2,0),ROUND($BD188*$BB188,0))</f>
        <v>1</v>
      </c>
      <c r="BF188" s="42">
        <f t="shared" si="71"/>
        <v>1</v>
      </c>
      <c r="BG188" s="116">
        <f t="shared" si="72"/>
        <v>0.95</v>
      </c>
      <c r="BH188" s="9">
        <f>IF($C188="&lt;01",ROUND(INDEX(EID!$L:$L,MATCH($B188,EID!$B:$B,0)),0)/2,IF(SUM($BG188)=0,"",ROUND($AX188/$BG188,0)))</f>
        <v>-4</v>
      </c>
    </row>
    <row r="189" spans="1:60" x14ac:dyDescent="0.2">
      <c r="A189" t="str">
        <f>INDEX(Prioritization!$D:$D,MATCH($B189,Prioritization!$A:$A,0))</f>
        <v>INVALID</v>
      </c>
      <c r="B189" t="s">
        <v>205</v>
      </c>
      <c r="C189" t="s">
        <v>364</v>
      </c>
      <c r="D189" t="s">
        <v>29</v>
      </c>
      <c r="E189" t="str">
        <f t="shared" si="51"/>
        <v>Likoma District [ZCjuwgaMB9u]|15-24|Female</v>
      </c>
      <c r="F189" s="14"/>
      <c r="G189" s="14"/>
      <c r="H189" s="14"/>
      <c r="I189" s="14"/>
      <c r="J189" s="14"/>
      <c r="K189" s="14"/>
      <c r="L189" s="14"/>
      <c r="M189" s="14"/>
      <c r="N189" s="14"/>
      <c r="O189" s="14" t="str">
        <f t="shared" si="52"/>
        <v/>
      </c>
      <c r="P189" s="14"/>
      <c r="Q189" s="14"/>
      <c r="R189" s="14" t="str">
        <f t="shared" si="53"/>
        <v/>
      </c>
      <c r="S189" s="14">
        <f>IF(LEFT($B189,4)="_Mil","",_xlfn.IFNA(ROUND(INDEX(Spectrum!$N:$N,MATCH(RIGHT($B189,13)&amp;"|"&amp;$C189&amp;"|"&amp;$D189&amp;"|"&amp;S$14&amp;"|"&amp;"CY2022Q4",Spectrum!$R:$R,0)),0),""))</f>
        <v>1424</v>
      </c>
      <c r="T189" s="42">
        <f>IF(LEFT($B189,4)="_Mil","",_xlfn.IFNA(ROUND(INDEX(Spectrum!$N:$N,MATCH(RIGHT($B189,13)&amp;"|"&amp;$C189&amp;"|"&amp;$D189&amp;"|"&amp;T$14&amp;"|"&amp;"CY2023Q3",Spectrum!$R:$R,0)),0),""))</f>
        <v>1154</v>
      </c>
      <c r="U189" s="42" t="str">
        <f>IF(LEFT($B189,4)="_Mil","",_xlfn.IFNA(ROUND(INDEX(Spectrum!$N:$N,MATCH(RIGHT($B189,13)&amp;"|"&amp;$C189&amp;"|"&amp;$D189&amp;"|"&amp;U$14&amp;"|"&amp;"CY2023Q3",Spectrum!$R:$R,0)),0),""))</f>
        <v/>
      </c>
      <c r="V189" s="14">
        <f>IF(LEFT($B189,4)="_Mil","",_xlfn.IFNA(ROUND(INDEX(Spectrum!$N:$N,MATCH(RIGHT($B189,13)&amp;"|"&amp;$C189&amp;"|"&amp;$D189&amp;"|"&amp;V$14&amp;"|"&amp;"CY2023Q3",Spectrum!$R:$R,0)),0),""))</f>
        <v>653</v>
      </c>
      <c r="W189" s="115">
        <f>IF(LEFT($B189,4)="_Mil","",_xlfn.IFNA(INDEX(Spectrum!$N:$N,MATCH(RIGHT($B189,13)&amp;"|"&amp;$C189&amp;"|"&amp;$D189&amp;"|"&amp;W$14&amp;"|"&amp;"CY2023Q3",Spectrum!$R:$R,0)),""))</f>
        <v>974</v>
      </c>
      <c r="X189" s="42">
        <f>IF(LEFT($B189,4)="_Mil","",_xlfn.IFNA(ROUND(INDEX(Spectrum!$N:$N,MATCH(RIGHT($B189,13)&amp;"|"&amp;$C189&amp;"|"&amp;$D189&amp;"|"&amp;X$14&amp;"|"&amp;"CY2023Q3",Spectrum!$R:$R,0)),0),""))</f>
        <v>1839</v>
      </c>
      <c r="Y189" s="90" t="str">
        <f t="shared" si="54"/>
        <v/>
      </c>
      <c r="Z189" s="42">
        <f>IF(LEFT($B189,4)="_Mil","",_xlfn.IFNA(ROUND(INDEX(Spectrum!$N:$N,MATCH(RIGHT($B189,13)&amp;"|"&amp;$C189&amp;"|"&amp;$D189&amp;"|"&amp;Z$14&amp;"|"&amp;"CY2023Q3",Spectrum!$R:$R,0)),0),""))</f>
        <v>701</v>
      </c>
      <c r="AA189" s="90">
        <f>IF(LEFT($B189,4)="_Mil","",IFERROR(1/(1/INDEX(Spectrum!$N:$N,MATCH(RIGHT($B189,13)&amp;"|"&amp;$C189&amp;"|"&amp;$D189&amp;"|"&amp;AA$14&amp;"|"&amp;"CY2023Q3",Spectrum!$R:$R,0))),IF(SUM($U189)=0,"",SUM($Z189)/$U189)))</f>
        <v>953</v>
      </c>
      <c r="AB189" s="90">
        <f t="shared" si="55"/>
        <v>0.38118542686242524</v>
      </c>
      <c r="AC189" s="14">
        <f>IF(LEFT($B189,4)="_Mil","",_xlfn.IFNA(ROUND(INDEX(Spectrum!$N:$N,MATCH(RIGHT($B189,13)&amp;"|"&amp;$C189&amp;"|"&amp;$D189&amp;"|"&amp;AC$14&amp;"|"&amp;"CY2023Q3",Spectrum!$R:$R,0)),0),""))</f>
        <v>1023</v>
      </c>
      <c r="AD189" s="14" t="str">
        <f>IF(LEFT($B189,4)="_Mil","",_xlfn.IFNA(ROUND(INDEX(Spectrum!$N:$N,MATCH(RIGHT($B189,13)&amp;"|"&amp;$C189&amp;"|"&amp;$D189&amp;"|"&amp;AD$14&amp;"|"&amp;"CY2023Q3",Spectrum!$R:$R,0)),0),""))</f>
        <v/>
      </c>
      <c r="AE189" s="90">
        <f t="shared" si="56"/>
        <v>0</v>
      </c>
      <c r="AF189" s="42" t="str">
        <f>IF(LEFT($B189,4)="_Mil","",_xlfn.IFNA(ROUND(INDEX(Spectrum!$N:$N,MATCH(RIGHT($B189,13)&amp;"|"&amp;$C189&amp;"|"&amp;$D189&amp;"|"&amp;AF$14&amp;"|"&amp;"CY2023Q3",Spectrum!$R:$R,0)),0),""))</f>
        <v/>
      </c>
      <c r="AG189" s="90" t="str">
        <f t="shared" si="57"/>
        <v/>
      </c>
      <c r="AH189" s="88" t="str">
        <f>IF(LEFT($B189,4)="_Mil","",_xlfn.IFNA(INDEX(Spectrum!$N:$N,MATCH(RIGHT($B189,13)&amp;"|"&amp;$C189&amp;"|"&amp;$D189&amp;"|"&amp;AH$14&amp;"|"&amp;"CY2023Q3",Spectrum!$R:$R,0)),""))</f>
        <v/>
      </c>
      <c r="AI189" s="14" t="str">
        <f>IF(LEFT($B189,4)="_Mil","",_xlfn.IFNA(ROUND(INDEX(Spectrum!$N:$N,MATCH(RIGHT($B189,13)&amp;"|"&amp;$C189&amp;"|"&amp;$D189&amp;"|"&amp;AI$14&amp;"|"&amp;"CY2023Q3",Spectrum!$R:$R,0)),0),""))</f>
        <v/>
      </c>
      <c r="AJ189" s="42">
        <f>IF(LEFT($B189,4)="_Mil","",_xlfn.IFNA(ROUND(INDEX(Spectrum!$N:$N,MATCH(RIGHT($B189,13)&amp;"|"&amp;$C189&amp;"|"&amp;$D189&amp;"|"&amp;AI$14&amp;"|"&amp;"CY2023Q3",Spectrum!$R:$R,0)),0),SUM($U189)+SUM($AI189)))</f>
        <v>0</v>
      </c>
      <c r="AK189" s="14" t="str">
        <f>IF(LEFT($B189,4)="_Mil","",_xlfn.IFNA(ROUND(INDEX(Spectrum!$N:$N,MATCH(RIGHT($B189,13)&amp;"|"&amp;$C189&amp;"|"&amp;$D189&amp;"|"&amp;AK$14&amp;"|"&amp;"CY2023Q3",Spectrum!$R:$R,0)),0),""))</f>
        <v/>
      </c>
      <c r="AL189" s="90">
        <f t="shared" si="58"/>
        <v>953</v>
      </c>
      <c r="AM189" s="14">
        <f t="shared" si="59"/>
        <v>0</v>
      </c>
      <c r="AN189" s="14" t="str">
        <f>IF($C189="&lt;01",ROUND(INDEX(EID!$P:$P,MATCH($B189,EID!$B:$B,0))/2,0),"")</f>
        <v/>
      </c>
      <c r="AO189" s="14">
        <f t="shared" si="60"/>
        <v>0</v>
      </c>
      <c r="AP189" s="42">
        <f t="shared" si="61"/>
        <v>0</v>
      </c>
      <c r="AQ189" s="42">
        <f t="shared" si="62"/>
        <v>701</v>
      </c>
      <c r="AR189" s="90" t="str">
        <f t="shared" si="63"/>
        <v/>
      </c>
      <c r="AS189" s="90">
        <f t="shared" si="74"/>
        <v>0.98</v>
      </c>
      <c r="AT189" s="90">
        <f t="shared" si="74"/>
        <v>0.98</v>
      </c>
      <c r="AU189" s="14">
        <f t="shared" si="64"/>
        <v>0</v>
      </c>
      <c r="AV189" s="14">
        <f>IF($C189="&lt;01",ROUND(INDEX(EID!$N:$N,MATCH($B189,EID!$B:$B,0))/2,0),IF(SUM($AT189)=0,"",ROUND((SUM($AP189)-(SUM($O189)*SUM($AS189)))/$AT189,0)))</f>
        <v>0</v>
      </c>
      <c r="AW189" s="90">
        <f t="shared" si="65"/>
        <v>1</v>
      </c>
      <c r="AX189" s="42">
        <f t="shared" si="66"/>
        <v>0</v>
      </c>
      <c r="AY189" s="116">
        <f t="shared" si="67"/>
        <v>0.7</v>
      </c>
      <c r="AZ189" s="93">
        <f>IF($C189="&lt;01",ROUND(INDEX(EID!$R:$R,MATCH($B189,EID!$B:$B,0))/2,0),ROUND(SUM($O189)+(SUM($AV189)*$AY189),0))</f>
        <v>0</v>
      </c>
      <c r="BA189" s="89">
        <f t="shared" si="68"/>
        <v>0.95</v>
      </c>
      <c r="BB189" s="9">
        <f>IF($C189="&lt;01",ROUND(INDEX(EID!$T:$T,MATCH($B189,EID!$B:$B,0))/2,0),ROUND($AZ189*$BA189,0))</f>
        <v>0</v>
      </c>
      <c r="BC189" s="93">
        <f t="shared" si="69"/>
        <v>0</v>
      </c>
      <c r="BD189" s="90">
        <f t="shared" si="70"/>
        <v>0.95</v>
      </c>
      <c r="BE189" s="42">
        <f>IF($C189="&lt;01",ROUND(INDEX(EID!$V:$V,MATCH($B189,EID!$B:$B,0))/2,0),ROUND($BD189*$BB189,0))</f>
        <v>0</v>
      </c>
      <c r="BF189" s="42">
        <f t="shared" si="71"/>
        <v>0</v>
      </c>
      <c r="BG189" s="116">
        <f t="shared" si="72"/>
        <v>0.95</v>
      </c>
      <c r="BH189" s="9">
        <f>IF($C189="&lt;01",ROUND(INDEX(EID!$L:$L,MATCH($B189,EID!$B:$B,0)),0)/2,IF(SUM($BG189)=0,"",ROUND($AX189/$BG189,0)))</f>
        <v>0</v>
      </c>
    </row>
    <row r="190" spans="1:60" x14ac:dyDescent="0.2">
      <c r="A190" t="str">
        <f>INDEX(Prioritization!$D:$D,MATCH($B190,Prioritization!$A:$A,0))</f>
        <v>INVALID</v>
      </c>
      <c r="B190" t="s">
        <v>205</v>
      </c>
      <c r="C190" t="s">
        <v>364</v>
      </c>
      <c r="D190" t="s">
        <v>47</v>
      </c>
      <c r="E190" t="str">
        <f t="shared" si="51"/>
        <v>Likoma District [ZCjuwgaMB9u]|15-24|Male</v>
      </c>
      <c r="F190" s="14"/>
      <c r="G190" s="14"/>
      <c r="H190" s="14"/>
      <c r="I190" s="14"/>
      <c r="J190" s="14"/>
      <c r="K190" s="14"/>
      <c r="L190" s="14"/>
      <c r="M190" s="14"/>
      <c r="N190" s="14"/>
      <c r="O190" s="14" t="str">
        <f t="shared" si="52"/>
        <v/>
      </c>
      <c r="P190" s="14"/>
      <c r="Q190" s="14"/>
      <c r="R190" s="14" t="str">
        <f t="shared" si="53"/>
        <v/>
      </c>
      <c r="S190" s="14">
        <f>IF(LEFT($B190,4)="_Mil","",_xlfn.IFNA(ROUND(INDEX(Spectrum!$N:$N,MATCH(RIGHT($B190,13)&amp;"|"&amp;$C190&amp;"|"&amp;$D190&amp;"|"&amp;S$14&amp;"|"&amp;"CY2022Q4",Spectrum!$R:$R,0)),0),""))</f>
        <v>1973</v>
      </c>
      <c r="T190" s="42">
        <f>IF(LEFT($B190,4)="_Mil","",_xlfn.IFNA(ROUND(INDEX(Spectrum!$N:$N,MATCH(RIGHT($B190,13)&amp;"|"&amp;$C190&amp;"|"&amp;$D190&amp;"|"&amp;T$14&amp;"|"&amp;"CY2023Q3",Spectrum!$R:$R,0)),0),""))</f>
        <v>1645</v>
      </c>
      <c r="U190" s="42" t="str">
        <f>IF(LEFT($B190,4)="_Mil","",_xlfn.IFNA(ROUND(INDEX(Spectrum!$N:$N,MATCH(RIGHT($B190,13)&amp;"|"&amp;$C190&amp;"|"&amp;$D190&amp;"|"&amp;U$14&amp;"|"&amp;"CY2023Q3",Spectrum!$R:$R,0)),0),""))</f>
        <v/>
      </c>
      <c r="V190" s="14">
        <f>IF(LEFT($B190,4)="_Mil","",_xlfn.IFNA(ROUND(INDEX(Spectrum!$N:$N,MATCH(RIGHT($B190,13)&amp;"|"&amp;$C190&amp;"|"&amp;$D190&amp;"|"&amp;V$14&amp;"|"&amp;"CY2023Q3",Spectrum!$R:$R,0)),0),""))</f>
        <v>539</v>
      </c>
      <c r="W190" s="115">
        <f>IF(LEFT($B190,4)="_Mil","",_xlfn.IFNA(INDEX(Spectrum!$N:$N,MATCH(RIGHT($B190,13)&amp;"|"&amp;$C190&amp;"|"&amp;$D190&amp;"|"&amp;W$14&amp;"|"&amp;"CY2023Q3",Spectrum!$R:$R,0)),""))</f>
        <v>1915</v>
      </c>
      <c r="X190" s="42">
        <f>IF(LEFT($B190,4)="_Mil","",_xlfn.IFNA(ROUND(INDEX(Spectrum!$N:$N,MATCH(RIGHT($B190,13)&amp;"|"&amp;$C190&amp;"|"&amp;$D190&amp;"|"&amp;X$14&amp;"|"&amp;"CY2023Q3",Spectrum!$R:$R,0)),0),""))</f>
        <v>929</v>
      </c>
      <c r="Y190" s="90" t="str">
        <f t="shared" si="54"/>
        <v/>
      </c>
      <c r="Z190" s="42">
        <f>IF(LEFT($B190,4)="_Mil","",_xlfn.IFNA(ROUND(INDEX(Spectrum!$N:$N,MATCH(RIGHT($B190,13)&amp;"|"&amp;$C190&amp;"|"&amp;$D190&amp;"|"&amp;Z$14&amp;"|"&amp;"CY2023Q3",Spectrum!$R:$R,0)),0),""))</f>
        <v>1609</v>
      </c>
      <c r="AA190" s="90">
        <f>IF(LEFT($B190,4)="_Mil","",IFERROR(1/(1/INDEX(Spectrum!$N:$N,MATCH(RIGHT($B190,13)&amp;"|"&amp;$C190&amp;"|"&amp;$D190&amp;"|"&amp;AA$14&amp;"|"&amp;"CY2023Q3",Spectrum!$R:$R,0))),IF(SUM($U190)=0,"",SUM($Z190)/$U190)))</f>
        <v>1116</v>
      </c>
      <c r="AB190" s="90">
        <f t="shared" si="55"/>
        <v>1.7319698600645856</v>
      </c>
      <c r="AC190" s="14">
        <f>IF(LEFT($B190,4)="_Mil","",_xlfn.IFNA(ROUND(INDEX(Spectrum!$N:$N,MATCH(RIGHT($B190,13)&amp;"|"&amp;$C190&amp;"|"&amp;$D190&amp;"|"&amp;AC$14&amp;"|"&amp;"CY2023Q3",Spectrum!$R:$R,0)),0),""))</f>
        <v>584</v>
      </c>
      <c r="AD190" s="14" t="str">
        <f>IF(LEFT($B190,4)="_Mil","",_xlfn.IFNA(ROUND(INDEX(Spectrum!$N:$N,MATCH(RIGHT($B190,13)&amp;"|"&amp;$C190&amp;"|"&amp;$D190&amp;"|"&amp;AD$14&amp;"|"&amp;"CY2023Q3",Spectrum!$R:$R,0)),0),""))</f>
        <v/>
      </c>
      <c r="AE190" s="90">
        <f t="shared" si="56"/>
        <v>0</v>
      </c>
      <c r="AF190" s="42" t="str">
        <f>IF(LEFT($B190,4)="_Mil","",_xlfn.IFNA(ROUND(INDEX(Spectrum!$N:$N,MATCH(RIGHT($B190,13)&amp;"|"&amp;$C190&amp;"|"&amp;$D190&amp;"|"&amp;AF$14&amp;"|"&amp;"CY2023Q3",Spectrum!$R:$R,0)),0),""))</f>
        <v/>
      </c>
      <c r="AG190" s="90" t="str">
        <f t="shared" si="57"/>
        <v/>
      </c>
      <c r="AH190" s="88" t="str">
        <f>IF(LEFT($B190,4)="_Mil","",_xlfn.IFNA(INDEX(Spectrum!$N:$N,MATCH(RIGHT($B190,13)&amp;"|"&amp;$C190&amp;"|"&amp;$D190&amp;"|"&amp;AH$14&amp;"|"&amp;"CY2023Q3",Spectrum!$R:$R,0)),""))</f>
        <v/>
      </c>
      <c r="AI190" s="14" t="str">
        <f>IF(LEFT($B190,4)="_Mil","",_xlfn.IFNA(ROUND(INDEX(Spectrum!$N:$N,MATCH(RIGHT($B190,13)&amp;"|"&amp;$C190&amp;"|"&amp;$D190&amp;"|"&amp;AI$14&amp;"|"&amp;"CY2023Q3",Spectrum!$R:$R,0)),0),""))</f>
        <v/>
      </c>
      <c r="AJ190" s="42">
        <f>IF(LEFT($B190,4)="_Mil","",_xlfn.IFNA(ROUND(INDEX(Spectrum!$N:$N,MATCH(RIGHT($B190,13)&amp;"|"&amp;$C190&amp;"|"&amp;$D190&amp;"|"&amp;AI$14&amp;"|"&amp;"CY2023Q3",Spectrum!$R:$R,0)),0),SUM($U190)+SUM($AI190)))</f>
        <v>0</v>
      </c>
      <c r="AK190" s="14" t="str">
        <f>IF(LEFT($B190,4)="_Mil","",_xlfn.IFNA(ROUND(INDEX(Spectrum!$N:$N,MATCH(RIGHT($B190,13)&amp;"|"&amp;$C190&amp;"|"&amp;$D190&amp;"|"&amp;AK$14&amp;"|"&amp;"CY2023Q3",Spectrum!$R:$R,0)),0),""))</f>
        <v/>
      </c>
      <c r="AL190" s="90">
        <f t="shared" si="58"/>
        <v>1116</v>
      </c>
      <c r="AM190" s="14">
        <f t="shared" si="59"/>
        <v>0</v>
      </c>
      <c r="AN190" s="14" t="str">
        <f>IF($C190="&lt;01",ROUND(INDEX(EID!$P:$P,MATCH($B190,EID!$B:$B,0))/2,0),"")</f>
        <v/>
      </c>
      <c r="AO190" s="14">
        <f t="shared" si="60"/>
        <v>0</v>
      </c>
      <c r="AP190" s="42">
        <f t="shared" si="61"/>
        <v>0</v>
      </c>
      <c r="AQ190" s="42">
        <f t="shared" si="62"/>
        <v>1609</v>
      </c>
      <c r="AR190" s="90" t="str">
        <f t="shared" si="63"/>
        <v/>
      </c>
      <c r="AS190" s="90">
        <f t="shared" si="74"/>
        <v>0.98</v>
      </c>
      <c r="AT190" s="90">
        <f t="shared" si="74"/>
        <v>0.98</v>
      </c>
      <c r="AU190" s="14">
        <f t="shared" si="64"/>
        <v>0</v>
      </c>
      <c r="AV190" s="14">
        <f>IF($C190="&lt;01",ROUND(INDEX(EID!$N:$N,MATCH($B190,EID!$B:$B,0))/2,0),IF(SUM($AT190)=0,"",ROUND((SUM($AP190)-(SUM($O190)*SUM($AS190)))/$AT190,0)))</f>
        <v>0</v>
      </c>
      <c r="AW190" s="90">
        <f t="shared" si="65"/>
        <v>1</v>
      </c>
      <c r="AX190" s="42">
        <f t="shared" si="66"/>
        <v>0</v>
      </c>
      <c r="AY190" s="116">
        <f t="shared" si="67"/>
        <v>0.7</v>
      </c>
      <c r="AZ190" s="93">
        <f>IF($C190="&lt;01",ROUND(INDEX(EID!$R:$R,MATCH($B190,EID!$B:$B,0))/2,0),ROUND(SUM($O190)+(SUM($AV190)*$AY190),0))</f>
        <v>0</v>
      </c>
      <c r="BA190" s="89">
        <f t="shared" si="68"/>
        <v>0.95</v>
      </c>
      <c r="BB190" s="9">
        <f>IF($C190="&lt;01",ROUND(INDEX(EID!$T:$T,MATCH($B190,EID!$B:$B,0))/2,0),ROUND($AZ190*$BA190,0))</f>
        <v>0</v>
      </c>
      <c r="BC190" s="93">
        <f t="shared" si="69"/>
        <v>0</v>
      </c>
      <c r="BD190" s="90">
        <f t="shared" si="70"/>
        <v>0.95</v>
      </c>
      <c r="BE190" s="42">
        <f>IF($C190="&lt;01",ROUND(INDEX(EID!$V:$V,MATCH($B190,EID!$B:$B,0))/2,0),ROUND($BD190*$BB190,0))</f>
        <v>0</v>
      </c>
      <c r="BF190" s="42">
        <f t="shared" si="71"/>
        <v>0</v>
      </c>
      <c r="BG190" s="116">
        <f t="shared" si="72"/>
        <v>0.95</v>
      </c>
      <c r="BH190" s="9">
        <f>IF($C190="&lt;01",ROUND(INDEX(EID!$L:$L,MATCH($B190,EID!$B:$B,0)),0)/2,IF(SUM($BG190)=0,"",ROUND($AX190/$BG190,0)))</f>
        <v>0</v>
      </c>
    </row>
    <row r="191" spans="1:60" x14ac:dyDescent="0.2">
      <c r="A191" t="str">
        <f>INDEX(Prioritization!$D:$D,MATCH($B191,Prioritization!$A:$A,0))</f>
        <v>INVALID</v>
      </c>
      <c r="B191" t="s">
        <v>205</v>
      </c>
      <c r="C191" t="s">
        <v>365</v>
      </c>
      <c r="D191" t="s">
        <v>29</v>
      </c>
      <c r="E191" t="str">
        <f t="shared" si="51"/>
        <v>Likoma District [ZCjuwgaMB9u]|25-34|Female</v>
      </c>
      <c r="F191" s="14"/>
      <c r="G191" s="14"/>
      <c r="H191" s="14"/>
      <c r="I191" s="14"/>
      <c r="J191" s="14"/>
      <c r="K191" s="14"/>
      <c r="L191" s="14"/>
      <c r="M191" s="14"/>
      <c r="N191" s="14"/>
      <c r="O191" s="14" t="str">
        <f t="shared" si="52"/>
        <v/>
      </c>
      <c r="P191" s="14"/>
      <c r="Q191" s="14"/>
      <c r="R191" s="14" t="str">
        <f t="shared" si="53"/>
        <v/>
      </c>
      <c r="S191" s="14">
        <f>IF(LEFT($B191,4)="_Mil","",_xlfn.IFNA(ROUND(INDEX(Spectrum!$N:$N,MATCH(RIGHT($B191,13)&amp;"|"&amp;$C191&amp;"|"&amp;$D191&amp;"|"&amp;S$14&amp;"|"&amp;"CY2022Q4",Spectrum!$R:$R,0)),0),""))</f>
        <v>794</v>
      </c>
      <c r="T191" s="42">
        <f>IF(LEFT($B191,4)="_Mil","",_xlfn.IFNA(ROUND(INDEX(Spectrum!$N:$N,MATCH(RIGHT($B191,13)&amp;"|"&amp;$C191&amp;"|"&amp;$D191&amp;"|"&amp;T$14&amp;"|"&amp;"CY2023Q3",Spectrum!$R:$R,0)),0),""))</f>
        <v>865</v>
      </c>
      <c r="U191" s="42" t="str">
        <f>IF(LEFT($B191,4)="_Mil","",_xlfn.IFNA(ROUND(INDEX(Spectrum!$N:$N,MATCH(RIGHT($B191,13)&amp;"|"&amp;$C191&amp;"|"&amp;$D191&amp;"|"&amp;U$14&amp;"|"&amp;"CY2023Q3",Spectrum!$R:$R,0)),0),""))</f>
        <v/>
      </c>
      <c r="V191" s="14">
        <f>IF(LEFT($B191,4)="_Mil","",_xlfn.IFNA(ROUND(INDEX(Spectrum!$N:$N,MATCH(RIGHT($B191,13)&amp;"|"&amp;$C191&amp;"|"&amp;$D191&amp;"|"&amp;V$14&amp;"|"&amp;"CY2023Q3",Spectrum!$R:$R,0)),0),""))</f>
        <v>1047</v>
      </c>
      <c r="W191" s="115">
        <f>IF(LEFT($B191,4)="_Mil","",_xlfn.IFNA(INDEX(Spectrum!$N:$N,MATCH(RIGHT($B191,13)&amp;"|"&amp;$C191&amp;"|"&amp;$D191&amp;"|"&amp;W$14&amp;"|"&amp;"CY2023Q3",Spectrum!$R:$R,0)),""))</f>
        <v>1175</v>
      </c>
      <c r="X191" s="42">
        <f>IF(LEFT($B191,4)="_Mil","",_xlfn.IFNA(ROUND(INDEX(Spectrum!$N:$N,MATCH(RIGHT($B191,13)&amp;"|"&amp;$C191&amp;"|"&amp;$D191&amp;"|"&amp;X$14&amp;"|"&amp;"CY2023Q3",Spectrum!$R:$R,0)),0),""))</f>
        <v>1354</v>
      </c>
      <c r="Y191" s="90" t="str">
        <f t="shared" si="54"/>
        <v/>
      </c>
      <c r="Z191" s="42">
        <f>IF(LEFT($B191,4)="_Mil","",_xlfn.IFNA(ROUND(INDEX(Spectrum!$N:$N,MATCH(RIGHT($B191,13)&amp;"|"&amp;$C191&amp;"|"&amp;$D191&amp;"|"&amp;Z$14&amp;"|"&amp;"CY2023Q3",Spectrum!$R:$R,0)),0),""))</f>
        <v>1199</v>
      </c>
      <c r="AA191" s="90">
        <f>IF(LEFT($B191,4)="_Mil","",IFERROR(1/(1/INDEX(Spectrum!$N:$N,MATCH(RIGHT($B191,13)&amp;"|"&amp;$C191&amp;"|"&amp;$D191&amp;"|"&amp;AA$14&amp;"|"&amp;"CY2023Q3",Spectrum!$R:$R,0))),IF(SUM($U191)=0,"",SUM($Z191)/$U191)))</f>
        <v>507</v>
      </c>
      <c r="AB191" s="90">
        <f t="shared" si="55"/>
        <v>0.88552437223042835</v>
      </c>
      <c r="AC191" s="14">
        <f>IF(LEFT($B191,4)="_Mil","",_xlfn.IFNA(ROUND(INDEX(Spectrum!$N:$N,MATCH(RIGHT($B191,13)&amp;"|"&amp;$C191&amp;"|"&amp;$D191&amp;"|"&amp;AC$14&amp;"|"&amp;"CY2023Q3",Spectrum!$R:$R,0)),0),""))</f>
        <v>728</v>
      </c>
      <c r="AD191" s="14" t="str">
        <f>IF(LEFT($B191,4)="_Mil","",_xlfn.IFNA(ROUND(INDEX(Spectrum!$N:$N,MATCH(RIGHT($B191,13)&amp;"|"&amp;$C191&amp;"|"&amp;$D191&amp;"|"&amp;AD$14&amp;"|"&amp;"CY2023Q3",Spectrum!$R:$R,0)),0),""))</f>
        <v/>
      </c>
      <c r="AE191" s="90">
        <f t="shared" si="56"/>
        <v>0</v>
      </c>
      <c r="AF191" s="42" t="str">
        <f>IF(LEFT($B191,4)="_Mil","",_xlfn.IFNA(ROUND(INDEX(Spectrum!$N:$N,MATCH(RIGHT($B191,13)&amp;"|"&amp;$C191&amp;"|"&amp;$D191&amp;"|"&amp;AF$14&amp;"|"&amp;"CY2023Q3",Spectrum!$R:$R,0)),0),""))</f>
        <v/>
      </c>
      <c r="AG191" s="90" t="str">
        <f t="shared" si="57"/>
        <v/>
      </c>
      <c r="AH191" s="88" t="str">
        <f>IF(LEFT($B191,4)="_Mil","",_xlfn.IFNA(INDEX(Spectrum!$N:$N,MATCH(RIGHT($B191,13)&amp;"|"&amp;$C191&amp;"|"&amp;$D191&amp;"|"&amp;AH$14&amp;"|"&amp;"CY2023Q3",Spectrum!$R:$R,0)),""))</f>
        <v/>
      </c>
      <c r="AI191" s="14" t="str">
        <f>IF(LEFT($B191,4)="_Mil","",_xlfn.IFNA(ROUND(INDEX(Spectrum!$N:$N,MATCH(RIGHT($B191,13)&amp;"|"&amp;$C191&amp;"|"&amp;$D191&amp;"|"&amp;AI$14&amp;"|"&amp;"CY2023Q3",Spectrum!$R:$R,0)),0),""))</f>
        <v/>
      </c>
      <c r="AJ191" s="42">
        <f>IF(LEFT($B191,4)="_Mil","",_xlfn.IFNA(ROUND(INDEX(Spectrum!$N:$N,MATCH(RIGHT($B191,13)&amp;"|"&amp;$C191&amp;"|"&amp;$D191&amp;"|"&amp;AI$14&amp;"|"&amp;"CY2023Q3",Spectrum!$R:$R,0)),0),SUM($U191)+SUM($AI191)))</f>
        <v>0</v>
      </c>
      <c r="AK191" s="14" t="str">
        <f>IF(LEFT($B191,4)="_Mil","",_xlfn.IFNA(ROUND(INDEX(Spectrum!$N:$N,MATCH(RIGHT($B191,13)&amp;"|"&amp;$C191&amp;"|"&amp;$D191&amp;"|"&amp;AK$14&amp;"|"&amp;"CY2023Q3",Spectrum!$R:$R,0)),0),""))</f>
        <v/>
      </c>
      <c r="AL191" s="90">
        <f t="shared" si="58"/>
        <v>507</v>
      </c>
      <c r="AM191" s="14">
        <f t="shared" si="59"/>
        <v>0</v>
      </c>
      <c r="AN191" s="14" t="str">
        <f>IF($C191="&lt;01",ROUND(INDEX(EID!$P:$P,MATCH($B191,EID!$B:$B,0))/2,0),"")</f>
        <v/>
      </c>
      <c r="AO191" s="14">
        <f t="shared" si="60"/>
        <v>0</v>
      </c>
      <c r="AP191" s="42">
        <f t="shared" si="61"/>
        <v>0</v>
      </c>
      <c r="AQ191" s="42">
        <f t="shared" si="62"/>
        <v>1199</v>
      </c>
      <c r="AR191" s="90" t="str">
        <f t="shared" si="63"/>
        <v/>
      </c>
      <c r="AS191" s="90">
        <f t="shared" si="74"/>
        <v>0.98</v>
      </c>
      <c r="AT191" s="90">
        <f t="shared" si="74"/>
        <v>0.98</v>
      </c>
      <c r="AU191" s="14">
        <f t="shared" si="64"/>
        <v>0</v>
      </c>
      <c r="AV191" s="14">
        <f>IF($C191="&lt;01",ROUND(INDEX(EID!$N:$N,MATCH($B191,EID!$B:$B,0))/2,0),IF(SUM($AT191)=0,"",ROUND((SUM($AP191)-(SUM($O191)*SUM($AS191)))/$AT191,0)))</f>
        <v>0</v>
      </c>
      <c r="AW191" s="90">
        <f t="shared" si="65"/>
        <v>1</v>
      </c>
      <c r="AX191" s="42">
        <f t="shared" si="66"/>
        <v>0</v>
      </c>
      <c r="AY191" s="116">
        <f t="shared" si="67"/>
        <v>0.7</v>
      </c>
      <c r="AZ191" s="93">
        <f>IF($C191="&lt;01",ROUND(INDEX(EID!$R:$R,MATCH($B191,EID!$B:$B,0))/2,0),ROUND(SUM($O191)+(SUM($AV191)*$AY191),0))</f>
        <v>0</v>
      </c>
      <c r="BA191" s="89">
        <f t="shared" si="68"/>
        <v>0.95</v>
      </c>
      <c r="BB191" s="9">
        <f>IF($C191="&lt;01",ROUND(INDEX(EID!$T:$T,MATCH($B191,EID!$B:$B,0))/2,0),ROUND($AZ191*$BA191,0))</f>
        <v>0</v>
      </c>
      <c r="BC191" s="93">
        <f t="shared" si="69"/>
        <v>0</v>
      </c>
      <c r="BD191" s="90">
        <f t="shared" si="70"/>
        <v>0.95</v>
      </c>
      <c r="BE191" s="42">
        <f>IF($C191="&lt;01",ROUND(INDEX(EID!$V:$V,MATCH($B191,EID!$B:$B,0))/2,0),ROUND($BD191*$BB191,0))</f>
        <v>0</v>
      </c>
      <c r="BF191" s="42">
        <f t="shared" si="71"/>
        <v>0</v>
      </c>
      <c r="BG191" s="116">
        <f t="shared" si="72"/>
        <v>0.95</v>
      </c>
      <c r="BH191" s="9">
        <f>IF($C191="&lt;01",ROUND(INDEX(EID!$L:$L,MATCH($B191,EID!$B:$B,0)),0)/2,IF(SUM($BG191)=0,"",ROUND($AX191/$BG191,0)))</f>
        <v>0</v>
      </c>
    </row>
    <row r="192" spans="1:60" x14ac:dyDescent="0.2">
      <c r="A192" t="str">
        <f>INDEX(Prioritization!$D:$D,MATCH($B192,Prioritization!$A:$A,0))</f>
        <v>INVALID</v>
      </c>
      <c r="B192" t="s">
        <v>205</v>
      </c>
      <c r="C192" t="s">
        <v>365</v>
      </c>
      <c r="D192" t="s">
        <v>47</v>
      </c>
      <c r="E192" t="str">
        <f t="shared" si="51"/>
        <v>Likoma District [ZCjuwgaMB9u]|25-34|Male</v>
      </c>
      <c r="F192" s="14"/>
      <c r="G192" s="14"/>
      <c r="H192" s="14"/>
      <c r="I192" s="14"/>
      <c r="J192" s="14"/>
      <c r="K192" s="14"/>
      <c r="L192" s="14"/>
      <c r="M192" s="14"/>
      <c r="N192" s="14"/>
      <c r="O192" s="14" t="str">
        <f t="shared" si="52"/>
        <v/>
      </c>
      <c r="P192" s="14"/>
      <c r="Q192" s="14"/>
      <c r="R192" s="14" t="str">
        <f t="shared" si="53"/>
        <v/>
      </c>
      <c r="S192" s="14">
        <f>IF(LEFT($B192,4)="_Mil","",_xlfn.IFNA(ROUND(INDEX(Spectrum!$N:$N,MATCH(RIGHT($B192,13)&amp;"|"&amp;$C192&amp;"|"&amp;$D192&amp;"|"&amp;S$14&amp;"|"&amp;"CY2022Q4",Spectrum!$R:$R,0)),0),""))</f>
        <v>916</v>
      </c>
      <c r="T192" s="42">
        <f>IF(LEFT($B192,4)="_Mil","",_xlfn.IFNA(ROUND(INDEX(Spectrum!$N:$N,MATCH(RIGHT($B192,13)&amp;"|"&amp;$C192&amp;"|"&amp;$D192&amp;"|"&amp;T$14&amp;"|"&amp;"CY2023Q3",Spectrum!$R:$R,0)),0),""))</f>
        <v>506</v>
      </c>
      <c r="U192" s="42" t="str">
        <f>IF(LEFT($B192,4)="_Mil","",_xlfn.IFNA(ROUND(INDEX(Spectrum!$N:$N,MATCH(RIGHT($B192,13)&amp;"|"&amp;$C192&amp;"|"&amp;$D192&amp;"|"&amp;U$14&amp;"|"&amp;"CY2023Q3",Spectrum!$R:$R,0)),0),""))</f>
        <v/>
      </c>
      <c r="V192" s="14">
        <f>IF(LEFT($B192,4)="_Mil","",_xlfn.IFNA(ROUND(INDEX(Spectrum!$N:$N,MATCH(RIGHT($B192,13)&amp;"|"&amp;$C192&amp;"|"&amp;$D192&amp;"|"&amp;V$14&amp;"|"&amp;"CY2023Q3",Spectrum!$R:$R,0)),0),""))</f>
        <v>1531</v>
      </c>
      <c r="W192" s="115">
        <f>IF(LEFT($B192,4)="_Mil","",_xlfn.IFNA(INDEX(Spectrum!$N:$N,MATCH(RIGHT($B192,13)&amp;"|"&amp;$C192&amp;"|"&amp;$D192&amp;"|"&amp;W$14&amp;"|"&amp;"CY2023Q3",Spectrum!$R:$R,0)),""))</f>
        <v>1075</v>
      </c>
      <c r="X192" s="42">
        <f>IF(LEFT($B192,4)="_Mil","",_xlfn.IFNA(ROUND(INDEX(Spectrum!$N:$N,MATCH(RIGHT($B192,13)&amp;"|"&amp;$C192&amp;"|"&amp;$D192&amp;"|"&amp;X$14&amp;"|"&amp;"CY2023Q3",Spectrum!$R:$R,0)),0),""))</f>
        <v>630</v>
      </c>
      <c r="Y192" s="90" t="str">
        <f t="shared" si="54"/>
        <v/>
      </c>
      <c r="Z192" s="42">
        <f>IF(LEFT($B192,4)="_Mil","",_xlfn.IFNA(ROUND(INDEX(Spectrum!$N:$N,MATCH(RIGHT($B192,13)&amp;"|"&amp;$C192&amp;"|"&amp;$D192&amp;"|"&amp;Z$14&amp;"|"&amp;"CY2023Q3",Spectrum!$R:$R,0)),0),""))</f>
        <v>786</v>
      </c>
      <c r="AA192" s="90">
        <f>IF(LEFT($B192,4)="_Mil","",IFERROR(1/(1/INDEX(Spectrum!$N:$N,MATCH(RIGHT($B192,13)&amp;"|"&amp;$C192&amp;"|"&amp;$D192&amp;"|"&amp;AA$14&amp;"|"&amp;"CY2023Q3",Spectrum!$R:$R,0))),IF(SUM($U192)=0,"",SUM($Z192)/$U192)))</f>
        <v>1520</v>
      </c>
      <c r="AB192" s="90">
        <f t="shared" si="55"/>
        <v>1.2476190476190476</v>
      </c>
      <c r="AC192" s="14">
        <f>IF(LEFT($B192,4)="_Mil","",_xlfn.IFNA(ROUND(INDEX(Spectrum!$N:$N,MATCH(RIGHT($B192,13)&amp;"|"&amp;$C192&amp;"|"&amp;$D192&amp;"|"&amp;AC$14&amp;"|"&amp;"CY2023Q3",Spectrum!$R:$R,0)),0),""))</f>
        <v>1502</v>
      </c>
      <c r="AD192" s="14" t="str">
        <f>IF(LEFT($B192,4)="_Mil","",_xlfn.IFNA(ROUND(INDEX(Spectrum!$N:$N,MATCH(RIGHT($B192,13)&amp;"|"&amp;$C192&amp;"|"&amp;$D192&amp;"|"&amp;AD$14&amp;"|"&amp;"CY2023Q3",Spectrum!$R:$R,0)),0),""))</f>
        <v/>
      </c>
      <c r="AE192" s="90">
        <f t="shared" si="56"/>
        <v>0</v>
      </c>
      <c r="AF192" s="42" t="str">
        <f>IF(LEFT($B192,4)="_Mil","",_xlfn.IFNA(ROUND(INDEX(Spectrum!$N:$N,MATCH(RIGHT($B192,13)&amp;"|"&amp;$C192&amp;"|"&amp;$D192&amp;"|"&amp;AF$14&amp;"|"&amp;"CY2023Q3",Spectrum!$R:$R,0)),0),""))</f>
        <v/>
      </c>
      <c r="AG192" s="90" t="str">
        <f t="shared" si="57"/>
        <v/>
      </c>
      <c r="AH192" s="88" t="str">
        <f>IF(LEFT($B192,4)="_Mil","",_xlfn.IFNA(INDEX(Spectrum!$N:$N,MATCH(RIGHT($B192,13)&amp;"|"&amp;$C192&amp;"|"&amp;$D192&amp;"|"&amp;AH$14&amp;"|"&amp;"CY2023Q3",Spectrum!$R:$R,0)),""))</f>
        <v/>
      </c>
      <c r="AI192" s="14" t="str">
        <f>IF(LEFT($B192,4)="_Mil","",_xlfn.IFNA(ROUND(INDEX(Spectrum!$N:$N,MATCH(RIGHT($B192,13)&amp;"|"&amp;$C192&amp;"|"&amp;$D192&amp;"|"&amp;AI$14&amp;"|"&amp;"CY2023Q3",Spectrum!$R:$R,0)),0),""))</f>
        <v/>
      </c>
      <c r="AJ192" s="42">
        <f>IF(LEFT($B192,4)="_Mil","",_xlfn.IFNA(ROUND(INDEX(Spectrum!$N:$N,MATCH(RIGHT($B192,13)&amp;"|"&amp;$C192&amp;"|"&amp;$D192&amp;"|"&amp;AI$14&amp;"|"&amp;"CY2023Q3",Spectrum!$R:$R,0)),0),SUM($U192)+SUM($AI192)))</f>
        <v>0</v>
      </c>
      <c r="AK192" s="14" t="str">
        <f>IF(LEFT($B192,4)="_Mil","",_xlfn.IFNA(ROUND(INDEX(Spectrum!$N:$N,MATCH(RIGHT($B192,13)&amp;"|"&amp;$C192&amp;"|"&amp;$D192&amp;"|"&amp;AK$14&amp;"|"&amp;"CY2023Q3",Spectrum!$R:$R,0)),0),""))</f>
        <v/>
      </c>
      <c r="AL192" s="90">
        <f t="shared" si="58"/>
        <v>1520</v>
      </c>
      <c r="AM192" s="14">
        <f t="shared" si="59"/>
        <v>0</v>
      </c>
      <c r="AN192" s="14" t="str">
        <f>IF($C192="&lt;01",ROUND(INDEX(EID!$P:$P,MATCH($B192,EID!$B:$B,0))/2,0),"")</f>
        <v/>
      </c>
      <c r="AO192" s="14">
        <f t="shared" si="60"/>
        <v>0</v>
      </c>
      <c r="AP192" s="42">
        <f t="shared" si="61"/>
        <v>0</v>
      </c>
      <c r="AQ192" s="42">
        <f t="shared" si="62"/>
        <v>786</v>
      </c>
      <c r="AR192" s="90" t="str">
        <f t="shared" si="63"/>
        <v/>
      </c>
      <c r="AS192" s="90">
        <f t="shared" si="74"/>
        <v>0.98</v>
      </c>
      <c r="AT192" s="90">
        <f t="shared" si="74"/>
        <v>0.98</v>
      </c>
      <c r="AU192" s="14">
        <f t="shared" si="64"/>
        <v>0</v>
      </c>
      <c r="AV192" s="14">
        <f>IF($C192="&lt;01",ROUND(INDEX(EID!$N:$N,MATCH($B192,EID!$B:$B,0))/2,0),IF(SUM($AT192)=0,"",ROUND((SUM($AP192)-(SUM($O192)*SUM($AS192)))/$AT192,0)))</f>
        <v>0</v>
      </c>
      <c r="AW192" s="90">
        <f t="shared" si="65"/>
        <v>1</v>
      </c>
      <c r="AX192" s="42">
        <f t="shared" si="66"/>
        <v>0</v>
      </c>
      <c r="AY192" s="116">
        <f t="shared" si="67"/>
        <v>0.7</v>
      </c>
      <c r="AZ192" s="93">
        <f>IF($C192="&lt;01",ROUND(INDEX(EID!$R:$R,MATCH($B192,EID!$B:$B,0))/2,0),ROUND(SUM($O192)+(SUM($AV192)*$AY192),0))</f>
        <v>0</v>
      </c>
      <c r="BA192" s="89">
        <f t="shared" si="68"/>
        <v>0.95</v>
      </c>
      <c r="BB192" s="9">
        <f>IF($C192="&lt;01",ROUND(INDEX(EID!$T:$T,MATCH($B192,EID!$B:$B,0))/2,0),ROUND($AZ192*$BA192,0))</f>
        <v>0</v>
      </c>
      <c r="BC192" s="93">
        <f t="shared" si="69"/>
        <v>0</v>
      </c>
      <c r="BD192" s="90">
        <f t="shared" si="70"/>
        <v>0.95</v>
      </c>
      <c r="BE192" s="42">
        <f>IF($C192="&lt;01",ROUND(INDEX(EID!$V:$V,MATCH($B192,EID!$B:$B,0))/2,0),ROUND($BD192*$BB192,0))</f>
        <v>0</v>
      </c>
      <c r="BF192" s="42">
        <f t="shared" si="71"/>
        <v>0</v>
      </c>
      <c r="BG192" s="116">
        <f t="shared" si="72"/>
        <v>0.95</v>
      </c>
      <c r="BH192" s="9">
        <f>IF($C192="&lt;01",ROUND(INDEX(EID!$L:$L,MATCH($B192,EID!$B:$B,0)),0)/2,IF(SUM($BG192)=0,"",ROUND($AX192/$BG192,0)))</f>
        <v>0</v>
      </c>
    </row>
    <row r="193" spans="1:60" x14ac:dyDescent="0.2">
      <c r="A193" t="str">
        <f>INDEX(Prioritization!$D:$D,MATCH($B193,Prioritization!$A:$A,0))</f>
        <v>INVALID</v>
      </c>
      <c r="B193" t="s">
        <v>205</v>
      </c>
      <c r="C193" t="s">
        <v>366</v>
      </c>
      <c r="D193" t="s">
        <v>29</v>
      </c>
      <c r="E193" t="str">
        <f t="shared" si="51"/>
        <v>Likoma District [ZCjuwgaMB9u]|35-49|Female</v>
      </c>
      <c r="F193" s="14"/>
      <c r="G193" s="14"/>
      <c r="H193" s="14"/>
      <c r="I193" s="14"/>
      <c r="J193" s="14"/>
      <c r="K193" s="14"/>
      <c r="L193" s="14"/>
      <c r="M193" s="14"/>
      <c r="N193" s="14"/>
      <c r="O193" s="14" t="str">
        <f t="shared" si="52"/>
        <v/>
      </c>
      <c r="P193" s="14"/>
      <c r="Q193" s="14"/>
      <c r="R193" s="14" t="str">
        <f t="shared" si="53"/>
        <v/>
      </c>
      <c r="S193" s="14">
        <f>IF(LEFT($B193,4)="_Mil","",_xlfn.IFNA(ROUND(INDEX(Spectrum!$N:$N,MATCH(RIGHT($B193,13)&amp;"|"&amp;$C193&amp;"|"&amp;$D193&amp;"|"&amp;S$14&amp;"|"&amp;"CY2022Q4",Spectrum!$R:$R,0)),0),""))</f>
        <v>763</v>
      </c>
      <c r="T193" s="42">
        <f>IF(LEFT($B193,4)="_Mil","",_xlfn.IFNA(ROUND(INDEX(Spectrum!$N:$N,MATCH(RIGHT($B193,13)&amp;"|"&amp;$C193&amp;"|"&amp;$D193&amp;"|"&amp;T$14&amp;"|"&amp;"CY2023Q3",Spectrum!$R:$R,0)),0),""))</f>
        <v>1334</v>
      </c>
      <c r="U193" s="42" t="str">
        <f>IF(LEFT($B193,4)="_Mil","",_xlfn.IFNA(ROUND(INDEX(Spectrum!$N:$N,MATCH(RIGHT($B193,13)&amp;"|"&amp;$C193&amp;"|"&amp;$D193&amp;"|"&amp;U$14&amp;"|"&amp;"CY2023Q3",Spectrum!$R:$R,0)),0),""))</f>
        <v/>
      </c>
      <c r="V193" s="14">
        <f>IF(LEFT($B193,4)="_Mil","",_xlfn.IFNA(ROUND(INDEX(Spectrum!$N:$N,MATCH(RIGHT($B193,13)&amp;"|"&amp;$C193&amp;"|"&amp;$D193&amp;"|"&amp;V$14&amp;"|"&amp;"CY2023Q3",Spectrum!$R:$R,0)),0),""))</f>
        <v>603</v>
      </c>
      <c r="W193" s="115">
        <f>IF(LEFT($B193,4)="_Mil","",_xlfn.IFNA(INDEX(Spectrum!$N:$N,MATCH(RIGHT($B193,13)&amp;"|"&amp;$C193&amp;"|"&amp;$D193&amp;"|"&amp;W$14&amp;"|"&amp;"CY2023Q3",Spectrum!$R:$R,0)),""))</f>
        <v>1895</v>
      </c>
      <c r="X193" s="42">
        <f>IF(LEFT($B193,4)="_Mil","",_xlfn.IFNA(ROUND(INDEX(Spectrum!$N:$N,MATCH(RIGHT($B193,13)&amp;"|"&amp;$C193&amp;"|"&amp;$D193&amp;"|"&amp;X$14&amp;"|"&amp;"CY2023Q3",Spectrum!$R:$R,0)),0),""))</f>
        <v>1706</v>
      </c>
      <c r="Y193" s="90" t="str">
        <f t="shared" si="54"/>
        <v/>
      </c>
      <c r="Z193" s="42">
        <f>IF(LEFT($B193,4)="_Mil","",_xlfn.IFNA(ROUND(INDEX(Spectrum!$N:$N,MATCH(RIGHT($B193,13)&amp;"|"&amp;$C193&amp;"|"&amp;$D193&amp;"|"&amp;Z$14&amp;"|"&amp;"CY2023Q3",Spectrum!$R:$R,0)),0),""))</f>
        <v>927</v>
      </c>
      <c r="AA193" s="90">
        <f>IF(LEFT($B193,4)="_Mil","",IFERROR(1/(1/INDEX(Spectrum!$N:$N,MATCH(RIGHT($B193,13)&amp;"|"&amp;$C193&amp;"|"&amp;$D193&amp;"|"&amp;AA$14&amp;"|"&amp;"CY2023Q3",Spectrum!$R:$R,0))),IF(SUM($U193)=0,"",SUM($Z193)/$U193)))</f>
        <v>727</v>
      </c>
      <c r="AB193" s="90">
        <f t="shared" si="55"/>
        <v>0.54337631887456039</v>
      </c>
      <c r="AC193" s="14">
        <f>IF(LEFT($B193,4)="_Mil","",_xlfn.IFNA(ROUND(INDEX(Spectrum!$N:$N,MATCH(RIGHT($B193,13)&amp;"|"&amp;$C193&amp;"|"&amp;$D193&amp;"|"&amp;AC$14&amp;"|"&amp;"CY2023Q3",Spectrum!$R:$R,0)),0),""))</f>
        <v>1510</v>
      </c>
      <c r="AD193" s="14" t="str">
        <f>IF(LEFT($B193,4)="_Mil","",_xlfn.IFNA(ROUND(INDEX(Spectrum!$N:$N,MATCH(RIGHT($B193,13)&amp;"|"&amp;$C193&amp;"|"&amp;$D193&amp;"|"&amp;AD$14&amp;"|"&amp;"CY2023Q3",Spectrum!$R:$R,0)),0),""))</f>
        <v/>
      </c>
      <c r="AE193" s="90">
        <f t="shared" si="56"/>
        <v>0</v>
      </c>
      <c r="AF193" s="42" t="str">
        <f>IF(LEFT($B193,4)="_Mil","",_xlfn.IFNA(ROUND(INDEX(Spectrum!$N:$N,MATCH(RIGHT($B193,13)&amp;"|"&amp;$C193&amp;"|"&amp;$D193&amp;"|"&amp;AF$14&amp;"|"&amp;"CY2023Q3",Spectrum!$R:$R,0)),0),""))</f>
        <v/>
      </c>
      <c r="AG193" s="90" t="str">
        <f t="shared" si="57"/>
        <v/>
      </c>
      <c r="AH193" s="88" t="str">
        <f>IF(LEFT($B193,4)="_Mil","",_xlfn.IFNA(INDEX(Spectrum!$N:$N,MATCH(RIGHT($B193,13)&amp;"|"&amp;$C193&amp;"|"&amp;$D193&amp;"|"&amp;AH$14&amp;"|"&amp;"CY2023Q3",Spectrum!$R:$R,0)),""))</f>
        <v/>
      </c>
      <c r="AI193" s="14" t="str">
        <f>IF(LEFT($B193,4)="_Mil","",_xlfn.IFNA(ROUND(INDEX(Spectrum!$N:$N,MATCH(RIGHT($B193,13)&amp;"|"&amp;$C193&amp;"|"&amp;$D193&amp;"|"&amp;AI$14&amp;"|"&amp;"CY2023Q3",Spectrum!$R:$R,0)),0),""))</f>
        <v/>
      </c>
      <c r="AJ193" s="42">
        <f>IF(LEFT($B193,4)="_Mil","",_xlfn.IFNA(ROUND(INDEX(Spectrum!$N:$N,MATCH(RIGHT($B193,13)&amp;"|"&amp;$C193&amp;"|"&amp;$D193&amp;"|"&amp;AI$14&amp;"|"&amp;"CY2023Q3",Spectrum!$R:$R,0)),0),SUM($U193)+SUM($AI193)))</f>
        <v>0</v>
      </c>
      <c r="AK193" s="14" t="str">
        <f>IF(LEFT($B193,4)="_Mil","",_xlfn.IFNA(ROUND(INDEX(Spectrum!$N:$N,MATCH(RIGHT($B193,13)&amp;"|"&amp;$C193&amp;"|"&amp;$D193&amp;"|"&amp;AK$14&amp;"|"&amp;"CY2023Q3",Spectrum!$R:$R,0)),0),""))</f>
        <v/>
      </c>
      <c r="AL193" s="90">
        <f t="shared" si="58"/>
        <v>727</v>
      </c>
      <c r="AM193" s="14">
        <f t="shared" si="59"/>
        <v>0</v>
      </c>
      <c r="AN193" s="14" t="str">
        <f>IF($C193="&lt;01",ROUND(INDEX(EID!$P:$P,MATCH($B193,EID!$B:$B,0))/2,0),"")</f>
        <v/>
      </c>
      <c r="AO193" s="14">
        <f t="shared" si="60"/>
        <v>0</v>
      </c>
      <c r="AP193" s="42">
        <f t="shared" si="61"/>
        <v>0</v>
      </c>
      <c r="AQ193" s="42">
        <f t="shared" si="62"/>
        <v>927</v>
      </c>
      <c r="AR193" s="90" t="str">
        <f t="shared" si="63"/>
        <v/>
      </c>
      <c r="AS193" s="90">
        <f t="shared" si="74"/>
        <v>0.98</v>
      </c>
      <c r="AT193" s="90">
        <f t="shared" si="74"/>
        <v>0.98</v>
      </c>
      <c r="AU193" s="14">
        <f t="shared" si="64"/>
        <v>0</v>
      </c>
      <c r="AV193" s="14">
        <f>IF($C193="&lt;01",ROUND(INDEX(EID!$N:$N,MATCH($B193,EID!$B:$B,0))/2,0),IF(SUM($AT193)=0,"",ROUND((SUM($AP193)-(SUM($O193)*SUM($AS193)))/$AT193,0)))</f>
        <v>0</v>
      </c>
      <c r="AW193" s="90">
        <f t="shared" si="65"/>
        <v>1</v>
      </c>
      <c r="AX193" s="42">
        <f t="shared" si="66"/>
        <v>0</v>
      </c>
      <c r="AY193" s="116">
        <f t="shared" si="67"/>
        <v>0.7</v>
      </c>
      <c r="AZ193" s="93">
        <f>IF($C193="&lt;01",ROUND(INDEX(EID!$R:$R,MATCH($B193,EID!$B:$B,0))/2,0),ROUND(SUM($O193)+(SUM($AV193)*$AY193),0))</f>
        <v>0</v>
      </c>
      <c r="BA193" s="89">
        <f t="shared" si="68"/>
        <v>0.95</v>
      </c>
      <c r="BB193" s="9">
        <f>IF($C193="&lt;01",ROUND(INDEX(EID!$T:$T,MATCH($B193,EID!$B:$B,0))/2,0),ROUND($AZ193*$BA193,0))</f>
        <v>0</v>
      </c>
      <c r="BC193" s="93">
        <f t="shared" si="69"/>
        <v>0</v>
      </c>
      <c r="BD193" s="90">
        <f t="shared" si="70"/>
        <v>0.95</v>
      </c>
      <c r="BE193" s="42">
        <f>IF($C193="&lt;01",ROUND(INDEX(EID!$V:$V,MATCH($B193,EID!$B:$B,0))/2,0),ROUND($BD193*$BB193,0))</f>
        <v>0</v>
      </c>
      <c r="BF193" s="42">
        <f t="shared" si="71"/>
        <v>0</v>
      </c>
      <c r="BG193" s="116">
        <f t="shared" si="72"/>
        <v>0.95</v>
      </c>
      <c r="BH193" s="9">
        <f>IF($C193="&lt;01",ROUND(INDEX(EID!$L:$L,MATCH($B193,EID!$B:$B,0)),0)/2,IF(SUM($BG193)=0,"",ROUND($AX193/$BG193,0)))</f>
        <v>0</v>
      </c>
    </row>
    <row r="194" spans="1:60" x14ac:dyDescent="0.2">
      <c r="A194" t="str">
        <f>INDEX(Prioritization!$D:$D,MATCH($B194,Prioritization!$A:$A,0))</f>
        <v>INVALID</v>
      </c>
      <c r="B194" t="s">
        <v>205</v>
      </c>
      <c r="C194" t="s">
        <v>366</v>
      </c>
      <c r="D194" t="s">
        <v>47</v>
      </c>
      <c r="E194" t="str">
        <f t="shared" si="51"/>
        <v>Likoma District [ZCjuwgaMB9u]|35-49|Male</v>
      </c>
      <c r="F194" s="14"/>
      <c r="G194" s="14"/>
      <c r="H194" s="14"/>
      <c r="I194" s="14"/>
      <c r="J194" s="14"/>
      <c r="K194" s="14"/>
      <c r="L194" s="14"/>
      <c r="M194" s="14"/>
      <c r="N194" s="14"/>
      <c r="O194" s="14" t="str">
        <f t="shared" si="52"/>
        <v/>
      </c>
      <c r="P194" s="14"/>
      <c r="Q194" s="14"/>
      <c r="R194" s="14" t="str">
        <f t="shared" si="53"/>
        <v/>
      </c>
      <c r="S194" s="14">
        <f>IF(LEFT($B194,4)="_Mil","",_xlfn.IFNA(ROUND(INDEX(Spectrum!$N:$N,MATCH(RIGHT($B194,13)&amp;"|"&amp;$C194&amp;"|"&amp;$D194&amp;"|"&amp;S$14&amp;"|"&amp;"CY2022Q4",Spectrum!$R:$R,0)),0),""))</f>
        <v>1162</v>
      </c>
      <c r="T194" s="42">
        <f>IF(LEFT($B194,4)="_Mil","",_xlfn.IFNA(ROUND(INDEX(Spectrum!$N:$N,MATCH(RIGHT($B194,13)&amp;"|"&amp;$C194&amp;"|"&amp;$D194&amp;"|"&amp;T$14&amp;"|"&amp;"CY2023Q3",Spectrum!$R:$R,0)),0),""))</f>
        <v>1305</v>
      </c>
      <c r="U194" s="42" t="str">
        <f>IF(LEFT($B194,4)="_Mil","",_xlfn.IFNA(ROUND(INDEX(Spectrum!$N:$N,MATCH(RIGHT($B194,13)&amp;"|"&amp;$C194&amp;"|"&amp;$D194&amp;"|"&amp;U$14&amp;"|"&amp;"CY2023Q3",Spectrum!$R:$R,0)),0),""))</f>
        <v/>
      </c>
      <c r="V194" s="14">
        <f>IF(LEFT($B194,4)="_Mil","",_xlfn.IFNA(ROUND(INDEX(Spectrum!$N:$N,MATCH(RIGHT($B194,13)&amp;"|"&amp;$C194&amp;"|"&amp;$D194&amp;"|"&amp;V$14&amp;"|"&amp;"CY2023Q3",Spectrum!$R:$R,0)),0),""))</f>
        <v>1732</v>
      </c>
      <c r="W194" s="115">
        <f>IF(LEFT($B194,4)="_Mil","",_xlfn.IFNA(INDEX(Spectrum!$N:$N,MATCH(RIGHT($B194,13)&amp;"|"&amp;$C194&amp;"|"&amp;$D194&amp;"|"&amp;W$14&amp;"|"&amp;"CY2023Q3",Spectrum!$R:$R,0)),""))</f>
        <v>1845</v>
      </c>
      <c r="X194" s="42">
        <f>IF(LEFT($B194,4)="_Mil","",_xlfn.IFNA(ROUND(INDEX(Spectrum!$N:$N,MATCH(RIGHT($B194,13)&amp;"|"&amp;$C194&amp;"|"&amp;$D194&amp;"|"&amp;X$14&amp;"|"&amp;"CY2023Q3",Spectrum!$R:$R,0)),0),""))</f>
        <v>1270</v>
      </c>
      <c r="Y194" s="90" t="str">
        <f t="shared" si="54"/>
        <v/>
      </c>
      <c r="Z194" s="42">
        <f>IF(LEFT($B194,4)="_Mil","",_xlfn.IFNA(ROUND(INDEX(Spectrum!$N:$N,MATCH(RIGHT($B194,13)&amp;"|"&amp;$C194&amp;"|"&amp;$D194&amp;"|"&amp;Z$14&amp;"|"&amp;"CY2023Q3",Spectrum!$R:$R,0)),0),""))</f>
        <v>1546</v>
      </c>
      <c r="AA194" s="90">
        <f>IF(LEFT($B194,4)="_Mil","",IFERROR(1/(1/INDEX(Spectrum!$N:$N,MATCH(RIGHT($B194,13)&amp;"|"&amp;$C194&amp;"|"&amp;$D194&amp;"|"&amp;AA$14&amp;"|"&amp;"CY2023Q3",Spectrum!$R:$R,0))),IF(SUM($U194)=0,"",SUM($Z194)/$U194)))</f>
        <v>1913</v>
      </c>
      <c r="AB194" s="90">
        <f t="shared" si="55"/>
        <v>1.2173228346456693</v>
      </c>
      <c r="AC194" s="14">
        <f>IF(LEFT($B194,4)="_Mil","",_xlfn.IFNA(ROUND(INDEX(Spectrum!$N:$N,MATCH(RIGHT($B194,13)&amp;"|"&amp;$C194&amp;"|"&amp;$D194&amp;"|"&amp;AC$14&amp;"|"&amp;"CY2023Q3",Spectrum!$R:$R,0)),0),""))</f>
        <v>1317</v>
      </c>
      <c r="AD194" s="14" t="str">
        <f>IF(LEFT($B194,4)="_Mil","",_xlfn.IFNA(ROUND(INDEX(Spectrum!$N:$N,MATCH(RIGHT($B194,13)&amp;"|"&amp;$C194&amp;"|"&amp;$D194&amp;"|"&amp;AD$14&amp;"|"&amp;"CY2023Q3",Spectrum!$R:$R,0)),0),""))</f>
        <v/>
      </c>
      <c r="AE194" s="90">
        <f t="shared" si="56"/>
        <v>0</v>
      </c>
      <c r="AF194" s="42" t="str">
        <f>IF(LEFT($B194,4)="_Mil","",_xlfn.IFNA(ROUND(INDEX(Spectrum!$N:$N,MATCH(RIGHT($B194,13)&amp;"|"&amp;$C194&amp;"|"&amp;$D194&amp;"|"&amp;AF$14&amp;"|"&amp;"CY2023Q3",Spectrum!$R:$R,0)),0),""))</f>
        <v/>
      </c>
      <c r="AG194" s="90" t="str">
        <f t="shared" si="57"/>
        <v/>
      </c>
      <c r="AH194" s="88" t="str">
        <f>IF(LEFT($B194,4)="_Mil","",_xlfn.IFNA(INDEX(Spectrum!$N:$N,MATCH(RIGHT($B194,13)&amp;"|"&amp;$C194&amp;"|"&amp;$D194&amp;"|"&amp;AH$14&amp;"|"&amp;"CY2023Q3",Spectrum!$R:$R,0)),""))</f>
        <v/>
      </c>
      <c r="AI194" s="14" t="str">
        <f>IF(LEFT($B194,4)="_Mil","",_xlfn.IFNA(ROUND(INDEX(Spectrum!$N:$N,MATCH(RIGHT($B194,13)&amp;"|"&amp;$C194&amp;"|"&amp;$D194&amp;"|"&amp;AI$14&amp;"|"&amp;"CY2023Q3",Spectrum!$R:$R,0)),0),""))</f>
        <v/>
      </c>
      <c r="AJ194" s="42">
        <f>IF(LEFT($B194,4)="_Mil","",_xlfn.IFNA(ROUND(INDEX(Spectrum!$N:$N,MATCH(RIGHT($B194,13)&amp;"|"&amp;$C194&amp;"|"&amp;$D194&amp;"|"&amp;AI$14&amp;"|"&amp;"CY2023Q3",Spectrum!$R:$R,0)),0),SUM($U194)+SUM($AI194)))</f>
        <v>0</v>
      </c>
      <c r="AK194" s="14" t="str">
        <f>IF(LEFT($B194,4)="_Mil","",_xlfn.IFNA(ROUND(INDEX(Spectrum!$N:$N,MATCH(RIGHT($B194,13)&amp;"|"&amp;$C194&amp;"|"&amp;$D194&amp;"|"&amp;AK$14&amp;"|"&amp;"CY2023Q3",Spectrum!$R:$R,0)),0),""))</f>
        <v/>
      </c>
      <c r="AL194" s="90">
        <f t="shared" si="58"/>
        <v>1913</v>
      </c>
      <c r="AM194" s="14">
        <f t="shared" si="59"/>
        <v>0</v>
      </c>
      <c r="AN194" s="14" t="str">
        <f>IF($C194="&lt;01",ROUND(INDEX(EID!$P:$P,MATCH($B194,EID!$B:$B,0))/2,0),"")</f>
        <v/>
      </c>
      <c r="AO194" s="14">
        <f t="shared" si="60"/>
        <v>0</v>
      </c>
      <c r="AP194" s="42">
        <f t="shared" si="61"/>
        <v>0</v>
      </c>
      <c r="AQ194" s="42">
        <f t="shared" si="62"/>
        <v>1546</v>
      </c>
      <c r="AR194" s="90" t="str">
        <f t="shared" si="63"/>
        <v/>
      </c>
      <c r="AS194" s="90">
        <f t="shared" si="74"/>
        <v>0.98</v>
      </c>
      <c r="AT194" s="90">
        <f t="shared" si="74"/>
        <v>0.98</v>
      </c>
      <c r="AU194" s="14">
        <f t="shared" si="64"/>
        <v>0</v>
      </c>
      <c r="AV194" s="14">
        <f>IF($C194="&lt;01",ROUND(INDEX(EID!$N:$N,MATCH($B194,EID!$B:$B,0))/2,0),IF(SUM($AT194)=0,"",ROUND((SUM($AP194)-(SUM($O194)*SUM($AS194)))/$AT194,0)))</f>
        <v>0</v>
      </c>
      <c r="AW194" s="90">
        <f t="shared" si="65"/>
        <v>1</v>
      </c>
      <c r="AX194" s="42">
        <f t="shared" si="66"/>
        <v>0</v>
      </c>
      <c r="AY194" s="116">
        <f t="shared" si="67"/>
        <v>0.7</v>
      </c>
      <c r="AZ194" s="93">
        <f>IF($C194="&lt;01",ROUND(INDEX(EID!$R:$R,MATCH($B194,EID!$B:$B,0))/2,0),ROUND(SUM($O194)+(SUM($AV194)*$AY194),0))</f>
        <v>0</v>
      </c>
      <c r="BA194" s="89">
        <f t="shared" si="68"/>
        <v>0.95</v>
      </c>
      <c r="BB194" s="9">
        <f>IF($C194="&lt;01",ROUND(INDEX(EID!$T:$T,MATCH($B194,EID!$B:$B,0))/2,0),ROUND($AZ194*$BA194,0))</f>
        <v>0</v>
      </c>
      <c r="BC194" s="93">
        <f t="shared" si="69"/>
        <v>0</v>
      </c>
      <c r="BD194" s="90">
        <f t="shared" si="70"/>
        <v>0.95</v>
      </c>
      <c r="BE194" s="42">
        <f>IF($C194="&lt;01",ROUND(INDEX(EID!$V:$V,MATCH($B194,EID!$B:$B,0))/2,0),ROUND($BD194*$BB194,0))</f>
        <v>0</v>
      </c>
      <c r="BF194" s="42">
        <f t="shared" si="71"/>
        <v>0</v>
      </c>
      <c r="BG194" s="116">
        <f t="shared" si="72"/>
        <v>0.95</v>
      </c>
      <c r="BH194" s="9">
        <f>IF($C194="&lt;01",ROUND(INDEX(EID!$L:$L,MATCH($B194,EID!$B:$B,0)),0)/2,IF(SUM($BG194)=0,"",ROUND($AX194/$BG194,0)))</f>
        <v>0</v>
      </c>
    </row>
    <row r="195" spans="1:60" x14ac:dyDescent="0.2">
      <c r="A195" t="str">
        <f>INDEX(Prioritization!$D:$D,MATCH($B195,Prioritization!$A:$A,0))</f>
        <v>INVALID</v>
      </c>
      <c r="B195" t="s">
        <v>205</v>
      </c>
      <c r="C195" t="s">
        <v>367</v>
      </c>
      <c r="D195" t="s">
        <v>29</v>
      </c>
      <c r="E195" t="str">
        <f t="shared" si="51"/>
        <v>Likoma District [ZCjuwgaMB9u]|50+|Female</v>
      </c>
      <c r="F195" s="14"/>
      <c r="G195" s="14"/>
      <c r="H195" s="14"/>
      <c r="I195" s="14"/>
      <c r="J195" s="14"/>
      <c r="K195" s="14"/>
      <c r="L195" s="14"/>
      <c r="M195" s="14"/>
      <c r="N195" s="14"/>
      <c r="O195" s="14" t="str">
        <f t="shared" si="52"/>
        <v/>
      </c>
      <c r="P195" s="14"/>
      <c r="Q195" s="14"/>
      <c r="R195" s="14" t="str">
        <f t="shared" si="53"/>
        <v/>
      </c>
      <c r="S195" s="14">
        <f>IF(LEFT($B195,4)="_Mil","",_xlfn.IFNA(ROUND(INDEX(Spectrum!$N:$N,MATCH(RIGHT($B195,13)&amp;"|"&amp;$C195&amp;"|"&amp;$D195&amp;"|"&amp;S$14&amp;"|"&amp;"CY2022Q4",Spectrum!$R:$R,0)),0),""))</f>
        <v>1097</v>
      </c>
      <c r="T195" s="42">
        <f>IF(LEFT($B195,4)="_Mil","",_xlfn.IFNA(ROUND(INDEX(Spectrum!$N:$N,MATCH(RIGHT($B195,13)&amp;"|"&amp;$C195&amp;"|"&amp;$D195&amp;"|"&amp;T$14&amp;"|"&amp;"CY2023Q3",Spectrum!$R:$R,0)),0),""))</f>
        <v>1495</v>
      </c>
      <c r="U195" s="42" t="str">
        <f>IF(LEFT($B195,4)="_Mil","",_xlfn.IFNA(ROUND(INDEX(Spectrum!$N:$N,MATCH(RIGHT($B195,13)&amp;"|"&amp;$C195&amp;"|"&amp;$D195&amp;"|"&amp;U$14&amp;"|"&amp;"CY2023Q3",Spectrum!$R:$R,0)),0),""))</f>
        <v/>
      </c>
      <c r="V195" s="14">
        <f>IF(LEFT($B195,4)="_Mil","",_xlfn.IFNA(ROUND(INDEX(Spectrum!$N:$N,MATCH(RIGHT($B195,13)&amp;"|"&amp;$C195&amp;"|"&amp;$D195&amp;"|"&amp;V$14&amp;"|"&amp;"CY2023Q3",Spectrum!$R:$R,0)),0),""))</f>
        <v>1920</v>
      </c>
      <c r="W195" s="115">
        <f>IF(LEFT($B195,4)="_Mil","",_xlfn.IFNA(INDEX(Spectrum!$N:$N,MATCH(RIGHT($B195,13)&amp;"|"&amp;$C195&amp;"|"&amp;$D195&amp;"|"&amp;W$14&amp;"|"&amp;"CY2023Q3",Spectrum!$R:$R,0)),""))</f>
        <v>1443</v>
      </c>
      <c r="X195" s="42">
        <f>IF(LEFT($B195,4)="_Mil","",_xlfn.IFNA(ROUND(INDEX(Spectrum!$N:$N,MATCH(RIGHT($B195,13)&amp;"|"&amp;$C195&amp;"|"&amp;$D195&amp;"|"&amp;X$14&amp;"|"&amp;"CY2023Q3",Spectrum!$R:$R,0)),0),""))</f>
        <v>1997</v>
      </c>
      <c r="Y195" s="90" t="str">
        <f t="shared" si="54"/>
        <v/>
      </c>
      <c r="Z195" s="42">
        <f>IF(LEFT($B195,4)="_Mil","",_xlfn.IFNA(ROUND(INDEX(Spectrum!$N:$N,MATCH(RIGHT($B195,13)&amp;"|"&amp;$C195&amp;"|"&amp;$D195&amp;"|"&amp;Z$14&amp;"|"&amp;"CY2023Q3",Spectrum!$R:$R,0)),0),""))</f>
        <v>773</v>
      </c>
      <c r="AA195" s="90">
        <f>IF(LEFT($B195,4)="_Mil","",IFERROR(1/(1/INDEX(Spectrum!$N:$N,MATCH(RIGHT($B195,13)&amp;"|"&amp;$C195&amp;"|"&amp;$D195&amp;"|"&amp;AA$14&amp;"|"&amp;"CY2023Q3",Spectrum!$R:$R,0))),IF(SUM($U195)=0,"",SUM($Z195)/$U195)))</f>
        <v>1261</v>
      </c>
      <c r="AB195" s="90">
        <f t="shared" si="55"/>
        <v>0.38708062093139711</v>
      </c>
      <c r="AC195" s="14">
        <f>IF(LEFT($B195,4)="_Mil","",_xlfn.IFNA(ROUND(INDEX(Spectrum!$N:$N,MATCH(RIGHT($B195,13)&amp;"|"&amp;$C195&amp;"|"&amp;$D195&amp;"|"&amp;AC$14&amp;"|"&amp;"CY2023Q3",Spectrum!$R:$R,0)),0),""))</f>
        <v>881</v>
      </c>
      <c r="AD195" s="14" t="str">
        <f>IF(LEFT($B195,4)="_Mil","",_xlfn.IFNA(ROUND(INDEX(Spectrum!$N:$N,MATCH(RIGHT($B195,13)&amp;"|"&amp;$C195&amp;"|"&amp;$D195&amp;"|"&amp;AD$14&amp;"|"&amp;"CY2023Q3",Spectrum!$R:$R,0)),0),""))</f>
        <v/>
      </c>
      <c r="AE195" s="90">
        <f t="shared" si="56"/>
        <v>0</v>
      </c>
      <c r="AF195" s="42" t="str">
        <f>IF(LEFT($B195,4)="_Mil","",_xlfn.IFNA(ROUND(INDEX(Spectrum!$N:$N,MATCH(RIGHT($B195,13)&amp;"|"&amp;$C195&amp;"|"&amp;$D195&amp;"|"&amp;AF$14&amp;"|"&amp;"CY2023Q3",Spectrum!$R:$R,0)),0),""))</f>
        <v/>
      </c>
      <c r="AG195" s="90" t="str">
        <f t="shared" si="57"/>
        <v/>
      </c>
      <c r="AH195" s="88" t="str">
        <f>IF(LEFT($B195,4)="_Mil","",_xlfn.IFNA(INDEX(Spectrum!$N:$N,MATCH(RIGHT($B195,13)&amp;"|"&amp;$C195&amp;"|"&amp;$D195&amp;"|"&amp;AH$14&amp;"|"&amp;"CY2023Q3",Spectrum!$R:$R,0)),""))</f>
        <v/>
      </c>
      <c r="AI195" s="14" t="str">
        <f>IF(LEFT($B195,4)="_Mil","",_xlfn.IFNA(ROUND(INDEX(Spectrum!$N:$N,MATCH(RIGHT($B195,13)&amp;"|"&amp;$C195&amp;"|"&amp;$D195&amp;"|"&amp;AI$14&amp;"|"&amp;"CY2023Q3",Spectrum!$R:$R,0)),0),""))</f>
        <v/>
      </c>
      <c r="AJ195" s="42">
        <f>IF(LEFT($B195,4)="_Mil","",_xlfn.IFNA(ROUND(INDEX(Spectrum!$N:$N,MATCH(RIGHT($B195,13)&amp;"|"&amp;$C195&amp;"|"&amp;$D195&amp;"|"&amp;AI$14&amp;"|"&amp;"CY2023Q3",Spectrum!$R:$R,0)),0),SUM($U195)+SUM($AI195)))</f>
        <v>0</v>
      </c>
      <c r="AK195" s="14" t="str">
        <f>IF(LEFT($B195,4)="_Mil","",_xlfn.IFNA(ROUND(INDEX(Spectrum!$N:$N,MATCH(RIGHT($B195,13)&amp;"|"&amp;$C195&amp;"|"&amp;$D195&amp;"|"&amp;AK$14&amp;"|"&amp;"CY2023Q3",Spectrum!$R:$R,0)),0),""))</f>
        <v/>
      </c>
      <c r="AL195" s="90">
        <f t="shared" si="58"/>
        <v>1261</v>
      </c>
      <c r="AM195" s="14">
        <f t="shared" si="59"/>
        <v>0</v>
      </c>
      <c r="AN195" s="14" t="str">
        <f>IF($C195="&lt;01",ROUND(INDEX(EID!$P:$P,MATCH($B195,EID!$B:$B,0))/2,0),"")</f>
        <v/>
      </c>
      <c r="AO195" s="14">
        <f t="shared" si="60"/>
        <v>0</v>
      </c>
      <c r="AP195" s="42">
        <f t="shared" si="61"/>
        <v>0</v>
      </c>
      <c r="AQ195" s="42">
        <f t="shared" si="62"/>
        <v>773</v>
      </c>
      <c r="AR195" s="90" t="str">
        <f t="shared" si="63"/>
        <v/>
      </c>
      <c r="AS195" s="90">
        <f t="shared" ref="AS195:AT214" si="75">IF($C195="&lt;01","",98%)</f>
        <v>0.98</v>
      </c>
      <c r="AT195" s="90">
        <f t="shared" si="75"/>
        <v>0.98</v>
      </c>
      <c r="AU195" s="14">
        <f t="shared" si="64"/>
        <v>0</v>
      </c>
      <c r="AV195" s="14">
        <f>IF($C195="&lt;01",ROUND(INDEX(EID!$N:$N,MATCH($B195,EID!$B:$B,0))/2,0),IF(SUM($AT195)=0,"",ROUND((SUM($AP195)-(SUM($O195)*SUM($AS195)))/$AT195,0)))</f>
        <v>0</v>
      </c>
      <c r="AW195" s="90">
        <f t="shared" si="65"/>
        <v>1</v>
      </c>
      <c r="AX195" s="42">
        <f t="shared" si="66"/>
        <v>0</v>
      </c>
      <c r="AY195" s="116">
        <f t="shared" si="67"/>
        <v>0.7</v>
      </c>
      <c r="AZ195" s="93">
        <f>IF($C195="&lt;01",ROUND(INDEX(EID!$R:$R,MATCH($B195,EID!$B:$B,0))/2,0),ROUND(SUM($O195)+(SUM($AV195)*$AY195),0))</f>
        <v>0</v>
      </c>
      <c r="BA195" s="89">
        <f t="shared" si="68"/>
        <v>0.95</v>
      </c>
      <c r="BB195" s="9">
        <f>IF($C195="&lt;01",ROUND(INDEX(EID!$T:$T,MATCH($B195,EID!$B:$B,0))/2,0),ROUND($AZ195*$BA195,0))</f>
        <v>0</v>
      </c>
      <c r="BC195" s="93">
        <f t="shared" si="69"/>
        <v>0</v>
      </c>
      <c r="BD195" s="90">
        <f t="shared" si="70"/>
        <v>0.95</v>
      </c>
      <c r="BE195" s="42">
        <f>IF($C195="&lt;01",ROUND(INDEX(EID!$V:$V,MATCH($B195,EID!$B:$B,0))/2,0),ROUND($BD195*$BB195,0))</f>
        <v>0</v>
      </c>
      <c r="BF195" s="42">
        <f t="shared" si="71"/>
        <v>0</v>
      </c>
      <c r="BG195" s="116">
        <f t="shared" si="72"/>
        <v>0.95</v>
      </c>
      <c r="BH195" s="9">
        <f>IF($C195="&lt;01",ROUND(INDEX(EID!$L:$L,MATCH($B195,EID!$B:$B,0)),0)/2,IF(SUM($BG195)=0,"",ROUND($AX195/$BG195,0)))</f>
        <v>0</v>
      </c>
    </row>
    <row r="196" spans="1:60" x14ac:dyDescent="0.2">
      <c r="A196" t="str">
        <f>INDEX(Prioritization!$D:$D,MATCH($B196,Prioritization!$A:$A,0))</f>
        <v>INVALID</v>
      </c>
      <c r="B196" t="s">
        <v>205</v>
      </c>
      <c r="C196" t="s">
        <v>367</v>
      </c>
      <c r="D196" t="s">
        <v>47</v>
      </c>
      <c r="E196" t="str">
        <f t="shared" si="51"/>
        <v>Likoma District [ZCjuwgaMB9u]|50+|Male</v>
      </c>
      <c r="F196" s="14"/>
      <c r="G196" s="14"/>
      <c r="H196" s="14"/>
      <c r="I196" s="14"/>
      <c r="J196" s="14"/>
      <c r="K196" s="14"/>
      <c r="L196" s="14"/>
      <c r="M196" s="14"/>
      <c r="N196" s="14"/>
      <c r="O196" s="14" t="str">
        <f t="shared" si="52"/>
        <v/>
      </c>
      <c r="P196" s="14"/>
      <c r="Q196" s="14"/>
      <c r="R196" s="14" t="str">
        <f t="shared" si="53"/>
        <v/>
      </c>
      <c r="S196" s="14">
        <f>IF(LEFT($B196,4)="_Mil","",_xlfn.IFNA(ROUND(INDEX(Spectrum!$N:$N,MATCH(RIGHT($B196,13)&amp;"|"&amp;$C196&amp;"|"&amp;$D196&amp;"|"&amp;S$14&amp;"|"&amp;"CY2022Q4",Spectrum!$R:$R,0)),0),""))</f>
        <v>1514</v>
      </c>
      <c r="T196" s="42">
        <f>IF(LEFT($B196,4)="_Mil","",_xlfn.IFNA(ROUND(INDEX(Spectrum!$N:$N,MATCH(RIGHT($B196,13)&amp;"|"&amp;$C196&amp;"|"&amp;$D196&amp;"|"&amp;T$14&amp;"|"&amp;"CY2023Q3",Spectrum!$R:$R,0)),0),""))</f>
        <v>534</v>
      </c>
      <c r="U196" s="42" t="str">
        <f>IF(LEFT($B196,4)="_Mil","",_xlfn.IFNA(ROUND(INDEX(Spectrum!$N:$N,MATCH(RIGHT($B196,13)&amp;"|"&amp;$C196&amp;"|"&amp;$D196&amp;"|"&amp;U$14&amp;"|"&amp;"CY2023Q3",Spectrum!$R:$R,0)),0),""))</f>
        <v/>
      </c>
      <c r="V196" s="14">
        <f>IF(LEFT($B196,4)="_Mil","",_xlfn.IFNA(ROUND(INDEX(Spectrum!$N:$N,MATCH(RIGHT($B196,13)&amp;"|"&amp;$C196&amp;"|"&amp;$D196&amp;"|"&amp;V$14&amp;"|"&amp;"CY2023Q3",Spectrum!$R:$R,0)),0),""))</f>
        <v>917</v>
      </c>
      <c r="W196" s="115">
        <f>IF(LEFT($B196,4)="_Mil","",_xlfn.IFNA(INDEX(Spectrum!$N:$N,MATCH(RIGHT($B196,13)&amp;"|"&amp;$C196&amp;"|"&amp;$D196&amp;"|"&amp;W$14&amp;"|"&amp;"CY2023Q3",Spectrum!$R:$R,0)),""))</f>
        <v>1541</v>
      </c>
      <c r="X196" s="42">
        <f>IF(LEFT($B196,4)="_Mil","",_xlfn.IFNA(ROUND(INDEX(Spectrum!$N:$N,MATCH(RIGHT($B196,13)&amp;"|"&amp;$C196&amp;"|"&amp;$D196&amp;"|"&amp;X$14&amp;"|"&amp;"CY2023Q3",Spectrum!$R:$R,0)),0),""))</f>
        <v>574</v>
      </c>
      <c r="Y196" s="90" t="str">
        <f t="shared" si="54"/>
        <v/>
      </c>
      <c r="Z196" s="42">
        <f>IF(LEFT($B196,4)="_Mil","",_xlfn.IFNA(ROUND(INDEX(Spectrum!$N:$N,MATCH(RIGHT($B196,13)&amp;"|"&amp;$C196&amp;"|"&amp;$D196&amp;"|"&amp;Z$14&amp;"|"&amp;"CY2023Q3",Spectrum!$R:$R,0)),0),""))</f>
        <v>1388</v>
      </c>
      <c r="AA196" s="90">
        <f>IF(LEFT($B196,4)="_Mil","",IFERROR(1/(1/INDEX(Spectrum!$N:$N,MATCH(RIGHT($B196,13)&amp;"|"&amp;$C196&amp;"|"&amp;$D196&amp;"|"&amp;AA$14&amp;"|"&amp;"CY2023Q3",Spectrum!$R:$R,0))),IF(SUM($U196)=0,"",SUM($Z196)/$U196)))</f>
        <v>1918</v>
      </c>
      <c r="AB196" s="90">
        <f t="shared" si="55"/>
        <v>2.4181184668989548</v>
      </c>
      <c r="AC196" s="14">
        <f>IF(LEFT($B196,4)="_Mil","",_xlfn.IFNA(ROUND(INDEX(Spectrum!$N:$N,MATCH(RIGHT($B196,13)&amp;"|"&amp;$C196&amp;"|"&amp;$D196&amp;"|"&amp;AC$14&amp;"|"&amp;"CY2023Q3",Spectrum!$R:$R,0)),0),""))</f>
        <v>1794</v>
      </c>
      <c r="AD196" s="14" t="str">
        <f>IF(LEFT($B196,4)="_Mil","",_xlfn.IFNA(ROUND(INDEX(Spectrum!$N:$N,MATCH(RIGHT($B196,13)&amp;"|"&amp;$C196&amp;"|"&amp;$D196&amp;"|"&amp;AD$14&amp;"|"&amp;"CY2023Q3",Spectrum!$R:$R,0)),0),""))</f>
        <v/>
      </c>
      <c r="AE196" s="90">
        <f t="shared" si="56"/>
        <v>0</v>
      </c>
      <c r="AF196" s="42" t="str">
        <f>IF(LEFT($B196,4)="_Mil","",_xlfn.IFNA(ROUND(INDEX(Spectrum!$N:$N,MATCH(RIGHT($B196,13)&amp;"|"&amp;$C196&amp;"|"&amp;$D196&amp;"|"&amp;AF$14&amp;"|"&amp;"CY2023Q3",Spectrum!$R:$R,0)),0),""))</f>
        <v/>
      </c>
      <c r="AG196" s="90" t="str">
        <f t="shared" si="57"/>
        <v/>
      </c>
      <c r="AH196" s="88" t="str">
        <f>IF(LEFT($B196,4)="_Mil","",_xlfn.IFNA(INDEX(Spectrum!$N:$N,MATCH(RIGHT($B196,13)&amp;"|"&amp;$C196&amp;"|"&amp;$D196&amp;"|"&amp;AH$14&amp;"|"&amp;"CY2023Q3",Spectrum!$R:$R,0)),""))</f>
        <v/>
      </c>
      <c r="AI196" s="14" t="str">
        <f>IF(LEFT($B196,4)="_Mil","",_xlfn.IFNA(ROUND(INDEX(Spectrum!$N:$N,MATCH(RIGHT($B196,13)&amp;"|"&amp;$C196&amp;"|"&amp;$D196&amp;"|"&amp;AI$14&amp;"|"&amp;"CY2023Q3",Spectrum!$R:$R,0)),0),""))</f>
        <v/>
      </c>
      <c r="AJ196" s="42">
        <f>IF(LEFT($B196,4)="_Mil","",_xlfn.IFNA(ROUND(INDEX(Spectrum!$N:$N,MATCH(RIGHT($B196,13)&amp;"|"&amp;$C196&amp;"|"&amp;$D196&amp;"|"&amp;AI$14&amp;"|"&amp;"CY2023Q3",Spectrum!$R:$R,0)),0),SUM($U196)+SUM($AI196)))</f>
        <v>0</v>
      </c>
      <c r="AK196" s="14" t="str">
        <f>IF(LEFT($B196,4)="_Mil","",_xlfn.IFNA(ROUND(INDEX(Spectrum!$N:$N,MATCH(RIGHT($B196,13)&amp;"|"&amp;$C196&amp;"|"&amp;$D196&amp;"|"&amp;AK$14&amp;"|"&amp;"CY2023Q3",Spectrum!$R:$R,0)),0),""))</f>
        <v/>
      </c>
      <c r="AL196" s="90">
        <f t="shared" si="58"/>
        <v>1918</v>
      </c>
      <c r="AM196" s="14">
        <f t="shared" si="59"/>
        <v>0</v>
      </c>
      <c r="AN196" s="14" t="str">
        <f>IF($C196="&lt;01",ROUND(INDEX(EID!$P:$P,MATCH($B196,EID!$B:$B,0))/2,0),"")</f>
        <v/>
      </c>
      <c r="AO196" s="14">
        <f t="shared" si="60"/>
        <v>0</v>
      </c>
      <c r="AP196" s="42">
        <f t="shared" si="61"/>
        <v>0</v>
      </c>
      <c r="AQ196" s="42">
        <f t="shared" si="62"/>
        <v>1388</v>
      </c>
      <c r="AR196" s="90" t="str">
        <f t="shared" si="63"/>
        <v/>
      </c>
      <c r="AS196" s="90">
        <f t="shared" si="75"/>
        <v>0.98</v>
      </c>
      <c r="AT196" s="90">
        <f t="shared" si="75"/>
        <v>0.98</v>
      </c>
      <c r="AU196" s="14">
        <f t="shared" si="64"/>
        <v>0</v>
      </c>
      <c r="AV196" s="14">
        <f>IF($C196="&lt;01",ROUND(INDEX(EID!$N:$N,MATCH($B196,EID!$B:$B,0))/2,0),IF(SUM($AT196)=0,"",ROUND((SUM($AP196)-(SUM($O196)*SUM($AS196)))/$AT196,0)))</f>
        <v>0</v>
      </c>
      <c r="AW196" s="90">
        <f t="shared" si="65"/>
        <v>1</v>
      </c>
      <c r="AX196" s="42">
        <f t="shared" si="66"/>
        <v>0</v>
      </c>
      <c r="AY196" s="116">
        <f t="shared" si="67"/>
        <v>0.7</v>
      </c>
      <c r="AZ196" s="93">
        <f>IF($C196="&lt;01",ROUND(INDEX(EID!$R:$R,MATCH($B196,EID!$B:$B,0))/2,0),ROUND(SUM($O196)+(SUM($AV196)*$AY196),0))</f>
        <v>0</v>
      </c>
      <c r="BA196" s="89">
        <f t="shared" si="68"/>
        <v>0.95</v>
      </c>
      <c r="BB196" s="9">
        <f>IF($C196="&lt;01",ROUND(INDEX(EID!$T:$T,MATCH($B196,EID!$B:$B,0))/2,0),ROUND($AZ196*$BA196,0))</f>
        <v>0</v>
      </c>
      <c r="BC196" s="93">
        <f t="shared" si="69"/>
        <v>0</v>
      </c>
      <c r="BD196" s="90">
        <f t="shared" si="70"/>
        <v>0.95</v>
      </c>
      <c r="BE196" s="42">
        <f>IF($C196="&lt;01",ROUND(INDEX(EID!$V:$V,MATCH($B196,EID!$B:$B,0))/2,0),ROUND($BD196*$BB196,0))</f>
        <v>0</v>
      </c>
      <c r="BF196" s="42">
        <f t="shared" si="71"/>
        <v>0</v>
      </c>
      <c r="BG196" s="116">
        <f t="shared" si="72"/>
        <v>0.95</v>
      </c>
      <c r="BH196" s="9">
        <f>IF($C196="&lt;01",ROUND(INDEX(EID!$L:$L,MATCH($B196,EID!$B:$B,0)),0)/2,IF(SUM($BG196)=0,"",ROUND($AX196/$BG196,0)))</f>
        <v>0</v>
      </c>
    </row>
    <row r="197" spans="1:60" x14ac:dyDescent="0.2">
      <c r="A197" t="str">
        <f>INDEX(Prioritization!$D:$D,MATCH($B197,Prioritization!$A:$A,0))</f>
        <v>1 - Scale-up: Saturation</v>
      </c>
      <c r="B197" t="s">
        <v>206</v>
      </c>
      <c r="C197" t="s">
        <v>315</v>
      </c>
      <c r="D197" t="s">
        <v>29</v>
      </c>
      <c r="E197" t="str">
        <f t="shared" si="51"/>
        <v>Mzimba District [vA4NcHxfMBq]|&lt;01|Female</v>
      </c>
      <c r="F197" s="14"/>
      <c r="G197" s="14">
        <v>98</v>
      </c>
      <c r="H197" s="14">
        <v>3</v>
      </c>
      <c r="I197" s="14">
        <v>2</v>
      </c>
      <c r="J197" s="14">
        <v>1</v>
      </c>
      <c r="K197" s="14">
        <v>3</v>
      </c>
      <c r="L197" s="14"/>
      <c r="M197" s="14">
        <v>4</v>
      </c>
      <c r="N197" s="14">
        <v>7</v>
      </c>
      <c r="O197" s="14">
        <f t="shared" si="52"/>
        <v>7</v>
      </c>
      <c r="P197" s="14">
        <v>10</v>
      </c>
      <c r="Q197" s="14">
        <v>7</v>
      </c>
      <c r="R197" s="14">
        <f t="shared" si="53"/>
        <v>5</v>
      </c>
      <c r="S197" s="14">
        <f>IF(LEFT($B197,4)="_Mil","",_xlfn.IFNA(ROUND(INDEX(Spectrum!$N:$N,MATCH(RIGHT($B197,13)&amp;"|"&amp;$C197&amp;"|"&amp;$D197&amp;"|"&amp;S$14&amp;"|"&amp;"CY2022Q4",Spectrum!$R:$R,0)),0),""))</f>
        <v>709</v>
      </c>
      <c r="T197" s="42">
        <f>IF(LEFT($B197,4)="_Mil","",_xlfn.IFNA(ROUND(INDEX(Spectrum!$N:$N,MATCH(RIGHT($B197,13)&amp;"|"&amp;$C197&amp;"|"&amp;$D197&amp;"|"&amp;T$14&amp;"|"&amp;"CY2023Q3",Spectrum!$R:$R,0)),0),""))</f>
        <v>1893</v>
      </c>
      <c r="U197" s="42" t="str">
        <f>IF(LEFT($B197,4)="_Mil","",_xlfn.IFNA(ROUND(INDEX(Spectrum!$N:$N,MATCH(RIGHT($B197,13)&amp;"|"&amp;$C197&amp;"|"&amp;$D197&amp;"|"&amp;U$14&amp;"|"&amp;"CY2023Q3",Spectrum!$R:$R,0)),0),""))</f>
        <v/>
      </c>
      <c r="V197" s="14">
        <f>IF(LEFT($B197,4)="_Mil","",_xlfn.IFNA(ROUND(INDEX(Spectrum!$N:$N,MATCH(RIGHT($B197,13)&amp;"|"&amp;$C197&amp;"|"&amp;$D197&amp;"|"&amp;V$14&amp;"|"&amp;"CY2023Q3",Spectrum!$R:$R,0)),0),""))</f>
        <v>1902</v>
      </c>
      <c r="W197" s="115">
        <f>IF(LEFT($B197,4)="_Mil","",_xlfn.IFNA(INDEX(Spectrum!$N:$N,MATCH(RIGHT($B197,13)&amp;"|"&amp;$C197&amp;"|"&amp;$D197&amp;"|"&amp;W$14&amp;"|"&amp;"CY2023Q3",Spectrum!$R:$R,0)),""))</f>
        <v>1416</v>
      </c>
      <c r="X197" s="42">
        <f>IF(LEFT($B197,4)="_Mil","",_xlfn.IFNA(ROUND(INDEX(Spectrum!$N:$N,MATCH(RIGHT($B197,13)&amp;"|"&amp;$C197&amp;"|"&amp;$D197&amp;"|"&amp;X$14&amp;"|"&amp;"CY2023Q3",Spectrum!$R:$R,0)),0),""))</f>
        <v>1932</v>
      </c>
      <c r="Y197" s="90" t="str">
        <f t="shared" si="54"/>
        <v/>
      </c>
      <c r="Z197" s="42">
        <f>IF(LEFT($B197,4)="_Mil","",_xlfn.IFNA(ROUND(INDEX(Spectrum!$N:$N,MATCH(RIGHT($B197,13)&amp;"|"&amp;$C197&amp;"|"&amp;$D197&amp;"|"&amp;Z$14&amp;"|"&amp;"CY2023Q3",Spectrum!$R:$R,0)),0),""))</f>
        <v>1903</v>
      </c>
      <c r="AA197" s="90">
        <f>IF(LEFT($B197,4)="_Mil","",IFERROR(1/(1/INDEX(Spectrum!$N:$N,MATCH(RIGHT($B197,13)&amp;"|"&amp;$C197&amp;"|"&amp;$D197&amp;"|"&amp;AA$14&amp;"|"&amp;"CY2023Q3",Spectrum!$R:$R,0))),IF(SUM($U197)=0,"",SUM($Z197)/$U197)))</f>
        <v>1980</v>
      </c>
      <c r="AB197" s="90">
        <f t="shared" si="55"/>
        <v>0.98498964803312627</v>
      </c>
      <c r="AC197" s="14">
        <f>IF(LEFT($B197,4)="_Mil","",_xlfn.IFNA(ROUND(INDEX(Spectrum!$N:$N,MATCH(RIGHT($B197,13)&amp;"|"&amp;$C197&amp;"|"&amp;$D197&amp;"|"&amp;AC$14&amp;"|"&amp;"CY2023Q3",Spectrum!$R:$R,0)),0),""))</f>
        <v>1174</v>
      </c>
      <c r="AD197" s="14" t="str">
        <f>IF(LEFT($B197,4)="_Mil","",_xlfn.IFNA(ROUND(INDEX(Spectrum!$N:$N,MATCH(RIGHT($B197,13)&amp;"|"&amp;$C197&amp;"|"&amp;$D197&amp;"|"&amp;AD$14&amp;"|"&amp;"CY2023Q3",Spectrum!$R:$R,0)),0),""))</f>
        <v/>
      </c>
      <c r="AE197" s="90">
        <f t="shared" si="56"/>
        <v>0</v>
      </c>
      <c r="AF197" s="42" t="str">
        <f>IF(LEFT($B197,4)="_Mil","",_xlfn.IFNA(ROUND(INDEX(Spectrum!$N:$N,MATCH(RIGHT($B197,13)&amp;"|"&amp;$C197&amp;"|"&amp;$D197&amp;"|"&amp;AF$14&amp;"|"&amp;"CY2023Q3",Spectrum!$R:$R,0)),0),""))</f>
        <v/>
      </c>
      <c r="AG197" s="90" t="str">
        <f t="shared" si="57"/>
        <v/>
      </c>
      <c r="AH197" s="88" t="str">
        <f>IF(LEFT($B197,4)="_Mil","",_xlfn.IFNA(INDEX(Spectrum!$N:$N,MATCH(RIGHT($B197,13)&amp;"|"&amp;$C197&amp;"|"&amp;$D197&amp;"|"&amp;AH$14&amp;"|"&amp;"CY2023Q3",Spectrum!$R:$R,0)),""))</f>
        <v/>
      </c>
      <c r="AI197" s="14" t="str">
        <f>IF(LEFT($B197,4)="_Mil","",_xlfn.IFNA(ROUND(INDEX(Spectrum!$N:$N,MATCH(RIGHT($B197,13)&amp;"|"&amp;$C197&amp;"|"&amp;$D197&amp;"|"&amp;AI$14&amp;"|"&amp;"CY2023Q3",Spectrum!$R:$R,0)),0),""))</f>
        <v/>
      </c>
      <c r="AJ197" s="42">
        <f>IF(LEFT($B197,4)="_Mil","",_xlfn.IFNA(ROUND(INDEX(Spectrum!$N:$N,MATCH(RIGHT($B197,13)&amp;"|"&amp;$C197&amp;"|"&amp;$D197&amp;"|"&amp;AI$14&amp;"|"&amp;"CY2023Q3",Spectrum!$R:$R,0)),0),SUM($U197)+SUM($AI197)))</f>
        <v>0</v>
      </c>
      <c r="AK197" s="14" t="str">
        <f>IF(LEFT($B197,4)="_Mil","",_xlfn.IFNA(ROUND(INDEX(Spectrum!$N:$N,MATCH(RIGHT($B197,13)&amp;"|"&amp;$C197&amp;"|"&amp;$D197&amp;"|"&amp;AK$14&amp;"|"&amp;"CY2023Q3",Spectrum!$R:$R,0)),0),""))</f>
        <v/>
      </c>
      <c r="AL197" s="90" t="str">
        <f t="shared" si="58"/>
        <v/>
      </c>
      <c r="AM197" s="14" t="str">
        <f t="shared" si="59"/>
        <v/>
      </c>
      <c r="AN197" s="14">
        <f>IF($C197="&lt;01",ROUND(INDEX(EID!$P:$P,MATCH($B197,EID!$B:$B,0))/2,0),"")</f>
        <v>0</v>
      </c>
      <c r="AO197" s="14">
        <f t="shared" si="60"/>
        <v>0</v>
      </c>
      <c r="AP197" s="42">
        <f t="shared" si="61"/>
        <v>0</v>
      </c>
      <c r="AQ197" s="42">
        <f t="shared" si="62"/>
        <v>1903</v>
      </c>
      <c r="AR197" s="90" t="str">
        <f t="shared" si="63"/>
        <v/>
      </c>
      <c r="AS197" s="90" t="str">
        <f t="shared" si="75"/>
        <v/>
      </c>
      <c r="AT197" s="90" t="str">
        <f t="shared" si="75"/>
        <v/>
      </c>
      <c r="AU197" s="14" t="str">
        <f t="shared" si="64"/>
        <v/>
      </c>
      <c r="AV197" s="14">
        <f>IF($C197="&lt;01",ROUND(INDEX(EID!$N:$N,MATCH($B197,EID!$B:$B,0))/2,0),IF(SUM($AT197)=0,"",ROUND((SUM($AP197)-(SUM($O197)*SUM($AS197)))/$AT197,0)))</f>
        <v>0</v>
      </c>
      <c r="AW197" s="90" t="str">
        <f t="shared" si="65"/>
        <v/>
      </c>
      <c r="AX197" s="42">
        <f t="shared" si="66"/>
        <v>0</v>
      </c>
      <c r="AY197" s="116" t="str">
        <f t="shared" si="67"/>
        <v/>
      </c>
      <c r="AZ197" s="93">
        <f>IF($C197="&lt;01",ROUND(INDEX(EID!$R:$R,MATCH($B197,EID!$B:$B,0))/2,0),ROUND(SUM($O197)+(SUM($AV197)*$AY197),0))</f>
        <v>0</v>
      </c>
      <c r="BA197" s="89" t="str">
        <f t="shared" si="68"/>
        <v/>
      </c>
      <c r="BB197" s="9">
        <f>IF($C197="&lt;01",ROUND(INDEX(EID!$T:$T,MATCH($B197,EID!$B:$B,0))/2,0),ROUND($AZ197*$BA197,0))</f>
        <v>0</v>
      </c>
      <c r="BC197" s="93">
        <f t="shared" si="69"/>
        <v>0</v>
      </c>
      <c r="BD197" s="90" t="str">
        <f t="shared" si="70"/>
        <v/>
      </c>
      <c r="BE197" s="42">
        <f>IF($C197="&lt;01",ROUND(INDEX(EID!$V:$V,MATCH($B197,EID!$B:$B,0))/2,0),ROUND($BD197*$BB197,0))</f>
        <v>0</v>
      </c>
      <c r="BF197" s="42">
        <f t="shared" si="71"/>
        <v>0</v>
      </c>
      <c r="BG197" s="116" t="str">
        <f t="shared" si="72"/>
        <v/>
      </c>
      <c r="BH197" s="9">
        <f>IF($C197="&lt;01",ROUND(INDEX(EID!$L:$L,MATCH($B197,EID!$B:$B,0)),0)/2,IF(SUM($BG197)=0,"",ROUND($AX197/$BG197,0)))</f>
        <v>0</v>
      </c>
    </row>
    <row r="198" spans="1:60" x14ac:dyDescent="0.2">
      <c r="A198" t="str">
        <f>INDEX(Prioritization!$D:$D,MATCH($B198,Prioritization!$A:$A,0))</f>
        <v>1 - Scale-up: Saturation</v>
      </c>
      <c r="B198" t="s">
        <v>206</v>
      </c>
      <c r="C198" t="s">
        <v>315</v>
      </c>
      <c r="D198" t="s">
        <v>47</v>
      </c>
      <c r="E198" t="str">
        <f t="shared" si="51"/>
        <v>Mzimba District [vA4NcHxfMBq]|&lt;01|Male</v>
      </c>
      <c r="F198" s="14"/>
      <c r="G198" s="14">
        <v>51</v>
      </c>
      <c r="H198" s="14">
        <v>3</v>
      </c>
      <c r="I198" s="14">
        <v>1</v>
      </c>
      <c r="J198" s="14">
        <v>5</v>
      </c>
      <c r="K198" s="14">
        <v>9</v>
      </c>
      <c r="L198" s="14"/>
      <c r="M198" s="14">
        <v>8</v>
      </c>
      <c r="N198" s="14">
        <v>10</v>
      </c>
      <c r="O198" s="14">
        <f t="shared" si="52"/>
        <v>10</v>
      </c>
      <c r="P198" s="14">
        <v>6</v>
      </c>
      <c r="Q198" s="14">
        <v>10</v>
      </c>
      <c r="R198" s="14">
        <f t="shared" si="53"/>
        <v>9</v>
      </c>
      <c r="S198" s="14">
        <f>IF(LEFT($B198,4)="_Mil","",_xlfn.IFNA(ROUND(INDEX(Spectrum!$N:$N,MATCH(RIGHT($B198,13)&amp;"|"&amp;$C198&amp;"|"&amp;$D198&amp;"|"&amp;S$14&amp;"|"&amp;"CY2022Q4",Spectrum!$R:$R,0)),0),""))</f>
        <v>1266</v>
      </c>
      <c r="T198" s="42">
        <f>IF(LEFT($B198,4)="_Mil","",_xlfn.IFNA(ROUND(INDEX(Spectrum!$N:$N,MATCH(RIGHT($B198,13)&amp;"|"&amp;$C198&amp;"|"&amp;$D198&amp;"|"&amp;T$14&amp;"|"&amp;"CY2023Q3",Spectrum!$R:$R,0)),0),""))</f>
        <v>1917</v>
      </c>
      <c r="U198" s="42" t="str">
        <f>IF(LEFT($B198,4)="_Mil","",_xlfn.IFNA(ROUND(INDEX(Spectrum!$N:$N,MATCH(RIGHT($B198,13)&amp;"|"&amp;$C198&amp;"|"&amp;$D198&amp;"|"&amp;U$14&amp;"|"&amp;"CY2023Q3",Spectrum!$R:$R,0)),0),""))</f>
        <v/>
      </c>
      <c r="V198" s="14">
        <f>IF(LEFT($B198,4)="_Mil","",_xlfn.IFNA(ROUND(INDEX(Spectrum!$N:$N,MATCH(RIGHT($B198,13)&amp;"|"&amp;$C198&amp;"|"&amp;$D198&amp;"|"&amp;V$14&amp;"|"&amp;"CY2023Q3",Spectrum!$R:$R,0)),0),""))</f>
        <v>1868</v>
      </c>
      <c r="W198" s="115">
        <f>IF(LEFT($B198,4)="_Mil","",_xlfn.IFNA(INDEX(Spectrum!$N:$N,MATCH(RIGHT($B198,13)&amp;"|"&amp;$C198&amp;"|"&amp;$D198&amp;"|"&amp;W$14&amp;"|"&amp;"CY2023Q3",Spectrum!$R:$R,0)),""))</f>
        <v>1160</v>
      </c>
      <c r="X198" s="42">
        <f>IF(LEFT($B198,4)="_Mil","",_xlfn.IFNA(ROUND(INDEX(Spectrum!$N:$N,MATCH(RIGHT($B198,13)&amp;"|"&amp;$C198&amp;"|"&amp;$D198&amp;"|"&amp;X$14&amp;"|"&amp;"CY2023Q3",Spectrum!$R:$R,0)),0),""))</f>
        <v>1494</v>
      </c>
      <c r="Y198" s="90" t="str">
        <f t="shared" si="54"/>
        <v/>
      </c>
      <c r="Z198" s="42">
        <f>IF(LEFT($B198,4)="_Mil","",_xlfn.IFNA(ROUND(INDEX(Spectrum!$N:$N,MATCH(RIGHT($B198,13)&amp;"|"&amp;$C198&amp;"|"&amp;$D198&amp;"|"&amp;Z$14&amp;"|"&amp;"CY2023Q3",Spectrum!$R:$R,0)),0),""))</f>
        <v>1822</v>
      </c>
      <c r="AA198" s="90">
        <f>IF(LEFT($B198,4)="_Mil","",IFERROR(1/(1/INDEX(Spectrum!$N:$N,MATCH(RIGHT($B198,13)&amp;"|"&amp;$C198&amp;"|"&amp;$D198&amp;"|"&amp;AA$14&amp;"|"&amp;"CY2023Q3",Spectrum!$R:$R,0))),IF(SUM($U198)=0,"",SUM($Z198)/$U198)))</f>
        <v>1336</v>
      </c>
      <c r="AB198" s="90">
        <f t="shared" si="55"/>
        <v>1.2195448460508702</v>
      </c>
      <c r="AC198" s="14">
        <f>IF(LEFT($B198,4)="_Mil","",_xlfn.IFNA(ROUND(INDEX(Spectrum!$N:$N,MATCH(RIGHT($B198,13)&amp;"|"&amp;$C198&amp;"|"&amp;$D198&amp;"|"&amp;AC$14&amp;"|"&amp;"CY2023Q3",Spectrum!$R:$R,0)),0),""))</f>
        <v>1138</v>
      </c>
      <c r="AD198" s="14" t="str">
        <f>IF(LEFT($B198,4)="_Mil","",_xlfn.IFNA(ROUND(INDEX(Spectrum!$N:$N,MATCH(RIGHT($B198,13)&amp;"|"&amp;$C198&amp;"|"&amp;$D198&amp;"|"&amp;AD$14&amp;"|"&amp;"CY2023Q3",Spectrum!$R:$R,0)),0),""))</f>
        <v/>
      </c>
      <c r="AE198" s="90">
        <f t="shared" si="56"/>
        <v>0</v>
      </c>
      <c r="AF198" s="42" t="str">
        <f>IF(LEFT($B198,4)="_Mil","",_xlfn.IFNA(ROUND(INDEX(Spectrum!$N:$N,MATCH(RIGHT($B198,13)&amp;"|"&amp;$C198&amp;"|"&amp;$D198&amp;"|"&amp;AF$14&amp;"|"&amp;"CY2023Q3",Spectrum!$R:$R,0)),0),""))</f>
        <v/>
      </c>
      <c r="AG198" s="90" t="str">
        <f t="shared" si="57"/>
        <v/>
      </c>
      <c r="AH198" s="88" t="str">
        <f>IF(LEFT($B198,4)="_Mil","",_xlfn.IFNA(INDEX(Spectrum!$N:$N,MATCH(RIGHT($B198,13)&amp;"|"&amp;$C198&amp;"|"&amp;$D198&amp;"|"&amp;AH$14&amp;"|"&amp;"CY2023Q3",Spectrum!$R:$R,0)),""))</f>
        <v/>
      </c>
      <c r="AI198" s="14" t="str">
        <f>IF(LEFT($B198,4)="_Mil","",_xlfn.IFNA(ROUND(INDEX(Spectrum!$N:$N,MATCH(RIGHT($B198,13)&amp;"|"&amp;$C198&amp;"|"&amp;$D198&amp;"|"&amp;AI$14&amp;"|"&amp;"CY2023Q3",Spectrum!$R:$R,0)),0),""))</f>
        <v/>
      </c>
      <c r="AJ198" s="42">
        <f>IF(LEFT($B198,4)="_Mil","",_xlfn.IFNA(ROUND(INDEX(Spectrum!$N:$N,MATCH(RIGHT($B198,13)&amp;"|"&amp;$C198&amp;"|"&amp;$D198&amp;"|"&amp;AI$14&amp;"|"&amp;"CY2023Q3",Spectrum!$R:$R,0)),0),SUM($U198)+SUM($AI198)))</f>
        <v>0</v>
      </c>
      <c r="AK198" s="14" t="str">
        <f>IF(LEFT($B198,4)="_Mil","",_xlfn.IFNA(ROUND(INDEX(Spectrum!$N:$N,MATCH(RIGHT($B198,13)&amp;"|"&amp;$C198&amp;"|"&amp;$D198&amp;"|"&amp;AK$14&amp;"|"&amp;"CY2023Q3",Spectrum!$R:$R,0)),0),""))</f>
        <v/>
      </c>
      <c r="AL198" s="90" t="str">
        <f t="shared" si="58"/>
        <v/>
      </c>
      <c r="AM198" s="14" t="str">
        <f t="shared" si="59"/>
        <v/>
      </c>
      <c r="AN198" s="14">
        <f>IF($C198="&lt;01",ROUND(INDEX(EID!$P:$P,MATCH($B198,EID!$B:$B,0))/2,0),"")</f>
        <v>0</v>
      </c>
      <c r="AO198" s="14">
        <f t="shared" si="60"/>
        <v>0</v>
      </c>
      <c r="AP198" s="42">
        <f t="shared" si="61"/>
        <v>0</v>
      </c>
      <c r="AQ198" s="42">
        <f t="shared" si="62"/>
        <v>1822</v>
      </c>
      <c r="AR198" s="90" t="str">
        <f t="shared" si="63"/>
        <v/>
      </c>
      <c r="AS198" s="90" t="str">
        <f t="shared" si="75"/>
        <v/>
      </c>
      <c r="AT198" s="90" t="str">
        <f t="shared" si="75"/>
        <v/>
      </c>
      <c r="AU198" s="14" t="str">
        <f t="shared" si="64"/>
        <v/>
      </c>
      <c r="AV198" s="14">
        <f>IF($C198="&lt;01",ROUND(INDEX(EID!$N:$N,MATCH($B198,EID!$B:$B,0))/2,0),IF(SUM($AT198)=0,"",ROUND((SUM($AP198)-(SUM($O198)*SUM($AS198)))/$AT198,0)))</f>
        <v>0</v>
      </c>
      <c r="AW198" s="90" t="str">
        <f t="shared" si="65"/>
        <v/>
      </c>
      <c r="AX198" s="42">
        <f t="shared" si="66"/>
        <v>0</v>
      </c>
      <c r="AY198" s="116" t="str">
        <f t="shared" si="67"/>
        <v/>
      </c>
      <c r="AZ198" s="93">
        <f>IF($C198="&lt;01",ROUND(INDEX(EID!$R:$R,MATCH($B198,EID!$B:$B,0))/2,0),ROUND(SUM($O198)+(SUM($AV198)*$AY198),0))</f>
        <v>0</v>
      </c>
      <c r="BA198" s="89" t="str">
        <f t="shared" si="68"/>
        <v/>
      </c>
      <c r="BB198" s="9">
        <f>IF($C198="&lt;01",ROUND(INDEX(EID!$T:$T,MATCH($B198,EID!$B:$B,0))/2,0),ROUND($AZ198*$BA198,0))</f>
        <v>0</v>
      </c>
      <c r="BC198" s="93">
        <f t="shared" si="69"/>
        <v>0</v>
      </c>
      <c r="BD198" s="90" t="str">
        <f t="shared" si="70"/>
        <v/>
      </c>
      <c r="BE198" s="42">
        <f>IF($C198="&lt;01",ROUND(INDEX(EID!$V:$V,MATCH($B198,EID!$B:$B,0))/2,0),ROUND($BD198*$BB198,0))</f>
        <v>0</v>
      </c>
      <c r="BF198" s="42">
        <f t="shared" si="71"/>
        <v>0</v>
      </c>
      <c r="BG198" s="116" t="str">
        <f t="shared" si="72"/>
        <v/>
      </c>
      <c r="BH198" s="9">
        <f>IF($C198="&lt;01",ROUND(INDEX(EID!$L:$L,MATCH($B198,EID!$B:$B,0)),0)/2,IF(SUM($BG198)=0,"",ROUND($AX198/$BG198,0)))</f>
        <v>0</v>
      </c>
    </row>
    <row r="199" spans="1:60" x14ac:dyDescent="0.2">
      <c r="A199" t="str">
        <f>INDEX(Prioritization!$D:$D,MATCH($B199,Prioritization!$A:$A,0))</f>
        <v>1 - Scale-up: Saturation</v>
      </c>
      <c r="B199" t="s">
        <v>206</v>
      </c>
      <c r="C199" t="s">
        <v>362</v>
      </c>
      <c r="D199" t="s">
        <v>29</v>
      </c>
      <c r="E199" t="str">
        <f t="shared" si="51"/>
        <v>Mzimba District [vA4NcHxfMBq]|01-09|Female</v>
      </c>
      <c r="F199" s="14"/>
      <c r="G199" s="14"/>
      <c r="H199" s="14"/>
      <c r="I199" s="14"/>
      <c r="J199" s="14"/>
      <c r="K199" s="14"/>
      <c r="L199" s="14"/>
      <c r="M199" s="14"/>
      <c r="N199" s="14"/>
      <c r="O199" s="14" t="str">
        <f t="shared" si="52"/>
        <v/>
      </c>
      <c r="P199" s="14"/>
      <c r="Q199" s="14"/>
      <c r="R199" s="14" t="str">
        <f t="shared" si="53"/>
        <v/>
      </c>
      <c r="S199" s="14">
        <f>IF(LEFT($B199,4)="_Mil","",_xlfn.IFNA(ROUND(INDEX(Spectrum!$N:$N,MATCH(RIGHT($B199,13)&amp;"|"&amp;$C199&amp;"|"&amp;$D199&amp;"|"&amp;S$14&amp;"|"&amp;"CY2022Q4",Spectrum!$R:$R,0)),0),""))</f>
        <v>944</v>
      </c>
      <c r="T199" s="42">
        <f>IF(LEFT($B199,4)="_Mil","",_xlfn.IFNA(ROUND(INDEX(Spectrum!$N:$N,MATCH(RIGHT($B199,13)&amp;"|"&amp;$C199&amp;"|"&amp;$D199&amp;"|"&amp;T$14&amp;"|"&amp;"CY2023Q3",Spectrum!$R:$R,0)),0),""))</f>
        <v>1356</v>
      </c>
      <c r="U199" s="42" t="str">
        <f>IF(LEFT($B199,4)="_Mil","",_xlfn.IFNA(ROUND(INDEX(Spectrum!$N:$N,MATCH(RIGHT($B199,13)&amp;"|"&amp;$C199&amp;"|"&amp;$D199&amp;"|"&amp;U$14&amp;"|"&amp;"CY2023Q3",Spectrum!$R:$R,0)),0),""))</f>
        <v/>
      </c>
      <c r="V199" s="14">
        <f>IF(LEFT($B199,4)="_Mil","",_xlfn.IFNA(ROUND(INDEX(Spectrum!$N:$N,MATCH(RIGHT($B199,13)&amp;"|"&amp;$C199&amp;"|"&amp;$D199&amp;"|"&amp;V$14&amp;"|"&amp;"CY2023Q3",Spectrum!$R:$R,0)),0),""))</f>
        <v>1054</v>
      </c>
      <c r="W199" s="115">
        <f>IF(LEFT($B199,4)="_Mil","",_xlfn.IFNA(INDEX(Spectrum!$N:$N,MATCH(RIGHT($B199,13)&amp;"|"&amp;$C199&amp;"|"&amp;$D199&amp;"|"&amp;W$14&amp;"|"&amp;"CY2023Q3",Spectrum!$R:$R,0)),""))</f>
        <v>813</v>
      </c>
      <c r="X199" s="42">
        <f>IF(LEFT($B199,4)="_Mil","",_xlfn.IFNA(ROUND(INDEX(Spectrum!$N:$N,MATCH(RIGHT($B199,13)&amp;"|"&amp;$C199&amp;"|"&amp;$D199&amp;"|"&amp;X$14&amp;"|"&amp;"CY2023Q3",Spectrum!$R:$R,0)),0),""))</f>
        <v>1264</v>
      </c>
      <c r="Y199" s="90" t="str">
        <f t="shared" si="54"/>
        <v/>
      </c>
      <c r="Z199" s="42">
        <f>IF(LEFT($B199,4)="_Mil","",_xlfn.IFNA(ROUND(INDEX(Spectrum!$N:$N,MATCH(RIGHT($B199,13)&amp;"|"&amp;$C199&amp;"|"&amp;$D199&amp;"|"&amp;Z$14&amp;"|"&amp;"CY2023Q3",Spectrum!$R:$R,0)),0),""))</f>
        <v>1669</v>
      </c>
      <c r="AA199" s="90">
        <f>IF(LEFT($B199,4)="_Mil","",IFERROR(1/(1/INDEX(Spectrum!$N:$N,MATCH(RIGHT($B199,13)&amp;"|"&amp;$C199&amp;"|"&amp;$D199&amp;"|"&amp;AA$14&amp;"|"&amp;"CY2023Q3",Spectrum!$R:$R,0))),IF(SUM($U199)=0,"",SUM($Z199)/$U199)))</f>
        <v>1960.9999999999998</v>
      </c>
      <c r="AB199" s="90">
        <f t="shared" si="55"/>
        <v>1.3204113924050633</v>
      </c>
      <c r="AC199" s="14">
        <f>IF(LEFT($B199,4)="_Mil","",_xlfn.IFNA(ROUND(INDEX(Spectrum!$N:$N,MATCH(RIGHT($B199,13)&amp;"|"&amp;$C199&amp;"|"&amp;$D199&amp;"|"&amp;AC$14&amp;"|"&amp;"CY2023Q3",Spectrum!$R:$R,0)),0),""))</f>
        <v>976</v>
      </c>
      <c r="AD199" s="14" t="str">
        <f>IF(LEFT($B199,4)="_Mil","",_xlfn.IFNA(ROUND(INDEX(Spectrum!$N:$N,MATCH(RIGHT($B199,13)&amp;"|"&amp;$C199&amp;"|"&amp;$D199&amp;"|"&amp;AD$14&amp;"|"&amp;"CY2023Q3",Spectrum!$R:$R,0)),0),""))</f>
        <v/>
      </c>
      <c r="AE199" s="90">
        <f t="shared" si="56"/>
        <v>0</v>
      </c>
      <c r="AF199" s="42" t="str">
        <f>IF(LEFT($B199,4)="_Mil","",_xlfn.IFNA(ROUND(INDEX(Spectrum!$N:$N,MATCH(RIGHT($B199,13)&amp;"|"&amp;$C199&amp;"|"&amp;$D199&amp;"|"&amp;AF$14&amp;"|"&amp;"CY2023Q3",Spectrum!$R:$R,0)),0),""))</f>
        <v/>
      </c>
      <c r="AG199" s="90" t="str">
        <f t="shared" si="57"/>
        <v/>
      </c>
      <c r="AH199" s="88" t="str">
        <f>IF(LEFT($B199,4)="_Mil","",_xlfn.IFNA(INDEX(Spectrum!$N:$N,MATCH(RIGHT($B199,13)&amp;"|"&amp;$C199&amp;"|"&amp;$D199&amp;"|"&amp;AH$14&amp;"|"&amp;"CY2023Q3",Spectrum!$R:$R,0)),""))</f>
        <v/>
      </c>
      <c r="AI199" s="14" t="str">
        <f>IF(LEFT($B199,4)="_Mil","",_xlfn.IFNA(ROUND(INDEX(Spectrum!$N:$N,MATCH(RIGHT($B199,13)&amp;"|"&amp;$C199&amp;"|"&amp;$D199&amp;"|"&amp;AI$14&amp;"|"&amp;"CY2023Q3",Spectrum!$R:$R,0)),0),""))</f>
        <v/>
      </c>
      <c r="AJ199" s="42">
        <f>IF(LEFT($B199,4)="_Mil","",_xlfn.IFNA(ROUND(INDEX(Spectrum!$N:$N,MATCH(RIGHT($B199,13)&amp;"|"&amp;$C199&amp;"|"&amp;$D199&amp;"|"&amp;AI$14&amp;"|"&amp;"CY2023Q3",Spectrum!$R:$R,0)),0),SUM($U199)+SUM($AI199)))</f>
        <v>0</v>
      </c>
      <c r="AK199" s="14" t="str">
        <f>IF(LEFT($B199,4)="_Mil","",_xlfn.IFNA(ROUND(INDEX(Spectrum!$N:$N,MATCH(RIGHT($B199,13)&amp;"|"&amp;$C199&amp;"|"&amp;$D199&amp;"|"&amp;AK$14&amp;"|"&amp;"CY2023Q3",Spectrum!$R:$R,0)),0),""))</f>
        <v/>
      </c>
      <c r="AL199" s="90">
        <f t="shared" si="58"/>
        <v>1960.9999999999998</v>
      </c>
      <c r="AM199" s="14">
        <f t="shared" si="59"/>
        <v>0</v>
      </c>
      <c r="AN199" s="14" t="str">
        <f>IF($C199="&lt;01",ROUND(INDEX(EID!$P:$P,MATCH($B199,EID!$B:$B,0))/2,0),"")</f>
        <v/>
      </c>
      <c r="AO199" s="14">
        <f t="shared" si="60"/>
        <v>0</v>
      </c>
      <c r="AP199" s="42">
        <f t="shared" si="61"/>
        <v>0</v>
      </c>
      <c r="AQ199" s="42">
        <f t="shared" si="62"/>
        <v>1669</v>
      </c>
      <c r="AR199" s="90" t="str">
        <f t="shared" si="63"/>
        <v/>
      </c>
      <c r="AS199" s="90">
        <f t="shared" si="75"/>
        <v>0.98</v>
      </c>
      <c r="AT199" s="90">
        <f t="shared" si="75"/>
        <v>0.98</v>
      </c>
      <c r="AU199" s="14">
        <f t="shared" si="64"/>
        <v>0</v>
      </c>
      <c r="AV199" s="14">
        <f>IF($C199="&lt;01",ROUND(INDEX(EID!$N:$N,MATCH($B199,EID!$B:$B,0))/2,0),IF(SUM($AT199)=0,"",ROUND((SUM($AP199)-(SUM($O199)*SUM($AS199)))/$AT199,0)))</f>
        <v>0</v>
      </c>
      <c r="AW199" s="90">
        <f t="shared" si="65"/>
        <v>1</v>
      </c>
      <c r="AX199" s="42">
        <f t="shared" si="66"/>
        <v>0</v>
      </c>
      <c r="AY199" s="116">
        <f t="shared" si="67"/>
        <v>0.7</v>
      </c>
      <c r="AZ199" s="93">
        <f>IF($C199="&lt;01",ROUND(INDEX(EID!$R:$R,MATCH($B199,EID!$B:$B,0))/2,0),ROUND(SUM($O199)+(SUM($AV199)*$AY199),0))</f>
        <v>0</v>
      </c>
      <c r="BA199" s="89">
        <f t="shared" si="68"/>
        <v>0.95</v>
      </c>
      <c r="BB199" s="9">
        <f>IF($C199="&lt;01",ROUND(INDEX(EID!$T:$T,MATCH($B199,EID!$B:$B,0))/2,0),ROUND($AZ199*$BA199,0))</f>
        <v>0</v>
      </c>
      <c r="BC199" s="93">
        <f t="shared" si="69"/>
        <v>0</v>
      </c>
      <c r="BD199" s="90">
        <f t="shared" si="70"/>
        <v>0.95</v>
      </c>
      <c r="BE199" s="42">
        <f>IF($C199="&lt;01",ROUND(INDEX(EID!$V:$V,MATCH($B199,EID!$B:$B,0))/2,0),ROUND($BD199*$BB199,0))</f>
        <v>0</v>
      </c>
      <c r="BF199" s="42">
        <f t="shared" si="71"/>
        <v>0</v>
      </c>
      <c r="BG199" s="116">
        <f t="shared" si="72"/>
        <v>0.95</v>
      </c>
      <c r="BH199" s="9">
        <f>IF($C199="&lt;01",ROUND(INDEX(EID!$L:$L,MATCH($B199,EID!$B:$B,0)),0)/2,IF(SUM($BG199)=0,"",ROUND($AX199/$BG199,0)))</f>
        <v>0</v>
      </c>
    </row>
    <row r="200" spans="1:60" x14ac:dyDescent="0.2">
      <c r="A200" t="str">
        <f>INDEX(Prioritization!$D:$D,MATCH($B200,Prioritization!$A:$A,0))</f>
        <v>1 - Scale-up: Saturation</v>
      </c>
      <c r="B200" t="s">
        <v>206</v>
      </c>
      <c r="C200" t="s">
        <v>362</v>
      </c>
      <c r="D200" t="s">
        <v>47</v>
      </c>
      <c r="E200" t="str">
        <f t="shared" si="51"/>
        <v>Mzimba District [vA4NcHxfMBq]|01-09|Male</v>
      </c>
      <c r="F200" s="14"/>
      <c r="G200" s="14"/>
      <c r="H200" s="14"/>
      <c r="I200" s="14"/>
      <c r="J200" s="14"/>
      <c r="K200" s="14"/>
      <c r="L200" s="14"/>
      <c r="M200" s="14"/>
      <c r="N200" s="14"/>
      <c r="O200" s="14" t="str">
        <f t="shared" si="52"/>
        <v/>
      </c>
      <c r="P200" s="14"/>
      <c r="Q200" s="14"/>
      <c r="R200" s="14" t="str">
        <f t="shared" si="53"/>
        <v/>
      </c>
      <c r="S200" s="14">
        <f>IF(LEFT($B200,4)="_Mil","",_xlfn.IFNA(ROUND(INDEX(Spectrum!$N:$N,MATCH(RIGHT($B200,13)&amp;"|"&amp;$C200&amp;"|"&amp;$D200&amp;"|"&amp;S$14&amp;"|"&amp;"CY2022Q4",Spectrum!$R:$R,0)),0),""))</f>
        <v>735</v>
      </c>
      <c r="T200" s="42">
        <f>IF(LEFT($B200,4)="_Mil","",_xlfn.IFNA(ROUND(INDEX(Spectrum!$N:$N,MATCH(RIGHT($B200,13)&amp;"|"&amp;$C200&amp;"|"&amp;$D200&amp;"|"&amp;T$14&amp;"|"&amp;"CY2023Q3",Spectrum!$R:$R,0)),0),""))</f>
        <v>1021</v>
      </c>
      <c r="U200" s="42" t="str">
        <f>IF(LEFT($B200,4)="_Mil","",_xlfn.IFNA(ROUND(INDEX(Spectrum!$N:$N,MATCH(RIGHT($B200,13)&amp;"|"&amp;$C200&amp;"|"&amp;$D200&amp;"|"&amp;U$14&amp;"|"&amp;"CY2023Q3",Spectrum!$R:$R,0)),0),""))</f>
        <v/>
      </c>
      <c r="V200" s="14">
        <f>IF(LEFT($B200,4)="_Mil","",_xlfn.IFNA(ROUND(INDEX(Spectrum!$N:$N,MATCH(RIGHT($B200,13)&amp;"|"&amp;$C200&amp;"|"&amp;$D200&amp;"|"&amp;V$14&amp;"|"&amp;"CY2023Q3",Spectrum!$R:$R,0)),0),""))</f>
        <v>925</v>
      </c>
      <c r="W200" s="115">
        <f>IF(LEFT($B200,4)="_Mil","",_xlfn.IFNA(INDEX(Spectrum!$N:$N,MATCH(RIGHT($B200,13)&amp;"|"&amp;$C200&amp;"|"&amp;$D200&amp;"|"&amp;W$14&amp;"|"&amp;"CY2023Q3",Spectrum!$R:$R,0)),""))</f>
        <v>1960</v>
      </c>
      <c r="X200" s="42">
        <f>IF(LEFT($B200,4)="_Mil","",_xlfn.IFNA(ROUND(INDEX(Spectrum!$N:$N,MATCH(RIGHT($B200,13)&amp;"|"&amp;$C200&amp;"|"&amp;$D200&amp;"|"&amp;X$14&amp;"|"&amp;"CY2023Q3",Spectrum!$R:$R,0)),0),""))</f>
        <v>1471</v>
      </c>
      <c r="Y200" s="90" t="str">
        <f t="shared" si="54"/>
        <v/>
      </c>
      <c r="Z200" s="42">
        <f>IF(LEFT($B200,4)="_Mil","",_xlfn.IFNA(ROUND(INDEX(Spectrum!$N:$N,MATCH(RIGHT($B200,13)&amp;"|"&amp;$C200&amp;"|"&amp;$D200&amp;"|"&amp;Z$14&amp;"|"&amp;"CY2023Q3",Spectrum!$R:$R,0)),0),""))</f>
        <v>1417</v>
      </c>
      <c r="AA200" s="90">
        <f>IF(LEFT($B200,4)="_Mil","",IFERROR(1/(1/INDEX(Spectrum!$N:$N,MATCH(RIGHT($B200,13)&amp;"|"&amp;$C200&amp;"|"&amp;$D200&amp;"|"&amp;AA$14&amp;"|"&amp;"CY2023Q3",Spectrum!$R:$R,0))),IF(SUM($U200)=0,"",SUM($Z200)/$U200)))</f>
        <v>996.00000000000011</v>
      </c>
      <c r="AB200" s="90">
        <f t="shared" si="55"/>
        <v>0.96329027872195783</v>
      </c>
      <c r="AC200" s="14">
        <f>IF(LEFT($B200,4)="_Mil","",_xlfn.IFNA(ROUND(INDEX(Spectrum!$N:$N,MATCH(RIGHT($B200,13)&amp;"|"&amp;$C200&amp;"|"&amp;$D200&amp;"|"&amp;AC$14&amp;"|"&amp;"CY2023Q3",Spectrum!$R:$R,0)),0),""))</f>
        <v>1443</v>
      </c>
      <c r="AD200" s="14" t="str">
        <f>IF(LEFT($B200,4)="_Mil","",_xlfn.IFNA(ROUND(INDEX(Spectrum!$N:$N,MATCH(RIGHT($B200,13)&amp;"|"&amp;$C200&amp;"|"&amp;$D200&amp;"|"&amp;AD$14&amp;"|"&amp;"CY2023Q3",Spectrum!$R:$R,0)),0),""))</f>
        <v/>
      </c>
      <c r="AE200" s="90">
        <f t="shared" si="56"/>
        <v>0</v>
      </c>
      <c r="AF200" s="42" t="str">
        <f>IF(LEFT($B200,4)="_Mil","",_xlfn.IFNA(ROUND(INDEX(Spectrum!$N:$N,MATCH(RIGHT($B200,13)&amp;"|"&amp;$C200&amp;"|"&amp;$D200&amp;"|"&amp;AF$14&amp;"|"&amp;"CY2023Q3",Spectrum!$R:$R,0)),0),""))</f>
        <v/>
      </c>
      <c r="AG200" s="90" t="str">
        <f t="shared" si="57"/>
        <v/>
      </c>
      <c r="AH200" s="88" t="str">
        <f>IF(LEFT($B200,4)="_Mil","",_xlfn.IFNA(INDEX(Spectrum!$N:$N,MATCH(RIGHT($B200,13)&amp;"|"&amp;$C200&amp;"|"&amp;$D200&amp;"|"&amp;AH$14&amp;"|"&amp;"CY2023Q3",Spectrum!$R:$R,0)),""))</f>
        <v/>
      </c>
      <c r="AI200" s="14" t="str">
        <f>IF(LEFT($B200,4)="_Mil","",_xlfn.IFNA(ROUND(INDEX(Spectrum!$N:$N,MATCH(RIGHT($B200,13)&amp;"|"&amp;$C200&amp;"|"&amp;$D200&amp;"|"&amp;AI$14&amp;"|"&amp;"CY2023Q3",Spectrum!$R:$R,0)),0),""))</f>
        <v/>
      </c>
      <c r="AJ200" s="42">
        <f>IF(LEFT($B200,4)="_Mil","",_xlfn.IFNA(ROUND(INDEX(Spectrum!$N:$N,MATCH(RIGHT($B200,13)&amp;"|"&amp;$C200&amp;"|"&amp;$D200&amp;"|"&amp;AI$14&amp;"|"&amp;"CY2023Q3",Spectrum!$R:$R,0)),0),SUM($U200)+SUM($AI200)))</f>
        <v>0</v>
      </c>
      <c r="AK200" s="14" t="str">
        <f>IF(LEFT($B200,4)="_Mil","",_xlfn.IFNA(ROUND(INDEX(Spectrum!$N:$N,MATCH(RIGHT($B200,13)&amp;"|"&amp;$C200&amp;"|"&amp;$D200&amp;"|"&amp;AK$14&amp;"|"&amp;"CY2023Q3",Spectrum!$R:$R,0)),0),""))</f>
        <v/>
      </c>
      <c r="AL200" s="90">
        <f t="shared" si="58"/>
        <v>996.00000000000011</v>
      </c>
      <c r="AM200" s="14">
        <f t="shared" si="59"/>
        <v>0</v>
      </c>
      <c r="AN200" s="14" t="str">
        <f>IF($C200="&lt;01",ROUND(INDEX(EID!$P:$P,MATCH($B200,EID!$B:$B,0))/2,0),"")</f>
        <v/>
      </c>
      <c r="AO200" s="14">
        <f t="shared" si="60"/>
        <v>0</v>
      </c>
      <c r="AP200" s="42">
        <f t="shared" si="61"/>
        <v>0</v>
      </c>
      <c r="AQ200" s="42">
        <f t="shared" si="62"/>
        <v>1417</v>
      </c>
      <c r="AR200" s="90" t="str">
        <f t="shared" si="63"/>
        <v/>
      </c>
      <c r="AS200" s="90">
        <f t="shared" si="75"/>
        <v>0.98</v>
      </c>
      <c r="AT200" s="90">
        <f t="shared" si="75"/>
        <v>0.98</v>
      </c>
      <c r="AU200" s="14">
        <f t="shared" si="64"/>
        <v>0</v>
      </c>
      <c r="AV200" s="14">
        <f>IF($C200="&lt;01",ROUND(INDEX(EID!$N:$N,MATCH($B200,EID!$B:$B,0))/2,0),IF(SUM($AT200)=0,"",ROUND((SUM($AP200)-(SUM($O200)*SUM($AS200)))/$AT200,0)))</f>
        <v>0</v>
      </c>
      <c r="AW200" s="90">
        <f t="shared" si="65"/>
        <v>1</v>
      </c>
      <c r="AX200" s="42">
        <f t="shared" si="66"/>
        <v>0</v>
      </c>
      <c r="AY200" s="116">
        <f t="shared" si="67"/>
        <v>0.7</v>
      </c>
      <c r="AZ200" s="93">
        <f>IF($C200="&lt;01",ROUND(INDEX(EID!$R:$R,MATCH($B200,EID!$B:$B,0))/2,0),ROUND(SUM($O200)+(SUM($AV200)*$AY200),0))</f>
        <v>0</v>
      </c>
      <c r="BA200" s="89">
        <f t="shared" si="68"/>
        <v>0.95</v>
      </c>
      <c r="BB200" s="9">
        <f>IF($C200="&lt;01",ROUND(INDEX(EID!$T:$T,MATCH($B200,EID!$B:$B,0))/2,0),ROUND($AZ200*$BA200,0))</f>
        <v>0</v>
      </c>
      <c r="BC200" s="93">
        <f t="shared" si="69"/>
        <v>0</v>
      </c>
      <c r="BD200" s="90">
        <f t="shared" si="70"/>
        <v>0.95</v>
      </c>
      <c r="BE200" s="42">
        <f>IF($C200="&lt;01",ROUND(INDEX(EID!$V:$V,MATCH($B200,EID!$B:$B,0))/2,0),ROUND($BD200*$BB200,0))</f>
        <v>0</v>
      </c>
      <c r="BF200" s="42">
        <f t="shared" si="71"/>
        <v>0</v>
      </c>
      <c r="BG200" s="116">
        <f t="shared" si="72"/>
        <v>0.95</v>
      </c>
      <c r="BH200" s="9">
        <f>IF($C200="&lt;01",ROUND(INDEX(EID!$L:$L,MATCH($B200,EID!$B:$B,0)),0)/2,IF(SUM($BG200)=0,"",ROUND($AX200/$BG200,0)))</f>
        <v>0</v>
      </c>
    </row>
    <row r="201" spans="1:60" x14ac:dyDescent="0.2">
      <c r="A201" t="str">
        <f>INDEX(Prioritization!$D:$D,MATCH($B201,Prioritization!$A:$A,0))</f>
        <v>1 - Scale-up: Saturation</v>
      </c>
      <c r="B201" t="s">
        <v>206</v>
      </c>
      <c r="C201" t="s">
        <v>363</v>
      </c>
      <c r="D201" t="s">
        <v>29</v>
      </c>
      <c r="E201" t="str">
        <f t="shared" si="51"/>
        <v>Mzimba District [vA4NcHxfMBq]|10-14|Female</v>
      </c>
      <c r="F201" s="14"/>
      <c r="G201" s="14">
        <v>70</v>
      </c>
      <c r="H201" s="14">
        <v>2</v>
      </c>
      <c r="I201" s="14">
        <v>70</v>
      </c>
      <c r="J201" s="14">
        <v>64</v>
      </c>
      <c r="K201" s="14">
        <v>17</v>
      </c>
      <c r="L201" s="14">
        <v>5</v>
      </c>
      <c r="M201" s="14">
        <v>10</v>
      </c>
      <c r="N201" s="14">
        <v>93</v>
      </c>
      <c r="O201" s="14">
        <f t="shared" si="52"/>
        <v>92.999999999999986</v>
      </c>
      <c r="P201" s="14">
        <v>51</v>
      </c>
      <c r="Q201" s="14">
        <v>22</v>
      </c>
      <c r="R201" s="14">
        <f t="shared" si="53"/>
        <v>22.999999999999986</v>
      </c>
      <c r="S201" s="14">
        <f>IF(LEFT($B201,4)="_Mil","",_xlfn.IFNA(ROUND(INDEX(Spectrum!$N:$N,MATCH(RIGHT($B201,13)&amp;"|"&amp;$C201&amp;"|"&amp;$D201&amp;"|"&amp;S$14&amp;"|"&amp;"CY2022Q4",Spectrum!$R:$R,0)),0),""))</f>
        <v>1715</v>
      </c>
      <c r="T201" s="42">
        <f>IF(LEFT($B201,4)="_Mil","",_xlfn.IFNA(ROUND(INDEX(Spectrum!$N:$N,MATCH(RIGHT($B201,13)&amp;"|"&amp;$C201&amp;"|"&amp;$D201&amp;"|"&amp;T$14&amp;"|"&amp;"CY2023Q3",Spectrum!$R:$R,0)),0),""))</f>
        <v>1909</v>
      </c>
      <c r="U201" s="42" t="str">
        <f>IF(LEFT($B201,4)="_Mil","",_xlfn.IFNA(ROUND(INDEX(Spectrum!$N:$N,MATCH(RIGHT($B201,13)&amp;"|"&amp;$C201&amp;"|"&amp;$D201&amp;"|"&amp;U$14&amp;"|"&amp;"CY2023Q3",Spectrum!$R:$R,0)),0),""))</f>
        <v/>
      </c>
      <c r="V201" s="14">
        <f>IF(LEFT($B201,4)="_Mil","",_xlfn.IFNA(ROUND(INDEX(Spectrum!$N:$N,MATCH(RIGHT($B201,13)&amp;"|"&amp;$C201&amp;"|"&amp;$D201&amp;"|"&amp;V$14&amp;"|"&amp;"CY2023Q3",Spectrum!$R:$R,0)),0),""))</f>
        <v>1045</v>
      </c>
      <c r="W201" s="115">
        <f>IF(LEFT($B201,4)="_Mil","",_xlfn.IFNA(INDEX(Spectrum!$N:$N,MATCH(RIGHT($B201,13)&amp;"|"&amp;$C201&amp;"|"&amp;$D201&amp;"|"&amp;W$14&amp;"|"&amp;"CY2023Q3",Spectrum!$R:$R,0)),""))</f>
        <v>1365</v>
      </c>
      <c r="X201" s="42">
        <f>IF(LEFT($B201,4)="_Mil","",_xlfn.IFNA(ROUND(INDEX(Spectrum!$N:$N,MATCH(RIGHT($B201,13)&amp;"|"&amp;$C201&amp;"|"&amp;$D201&amp;"|"&amp;X$14&amp;"|"&amp;"CY2023Q3",Spectrum!$R:$R,0)),0),""))</f>
        <v>744</v>
      </c>
      <c r="Y201" s="90" t="str">
        <f t="shared" si="54"/>
        <v/>
      </c>
      <c r="Z201" s="42">
        <f>IF(LEFT($B201,4)="_Mil","",_xlfn.IFNA(ROUND(INDEX(Spectrum!$N:$N,MATCH(RIGHT($B201,13)&amp;"|"&amp;$C201&amp;"|"&amp;$D201&amp;"|"&amp;Z$14&amp;"|"&amp;"CY2023Q3",Spectrum!$R:$R,0)),0),""))</f>
        <v>1213</v>
      </c>
      <c r="AA201" s="90">
        <f>IF(LEFT($B201,4)="_Mil","",IFERROR(1/(1/INDEX(Spectrum!$N:$N,MATCH(RIGHT($B201,13)&amp;"|"&amp;$C201&amp;"|"&amp;$D201&amp;"|"&amp;AA$14&amp;"|"&amp;"CY2023Q3",Spectrum!$R:$R,0))),IF(SUM($U201)=0,"",SUM($Z201)/$U201)))</f>
        <v>1946</v>
      </c>
      <c r="AB201" s="90">
        <f t="shared" si="55"/>
        <v>1.6303763440860215</v>
      </c>
      <c r="AC201" s="14">
        <f>IF(LEFT($B201,4)="_Mil","",_xlfn.IFNA(ROUND(INDEX(Spectrum!$N:$N,MATCH(RIGHT($B201,13)&amp;"|"&amp;$C201&amp;"|"&amp;$D201&amp;"|"&amp;AC$14&amp;"|"&amp;"CY2023Q3",Spectrum!$R:$R,0)),0),""))</f>
        <v>1557</v>
      </c>
      <c r="AD201" s="14" t="str">
        <f>IF(LEFT($B201,4)="_Mil","",_xlfn.IFNA(ROUND(INDEX(Spectrum!$N:$N,MATCH(RIGHT($B201,13)&amp;"|"&amp;$C201&amp;"|"&amp;$D201&amp;"|"&amp;AD$14&amp;"|"&amp;"CY2023Q3",Spectrum!$R:$R,0)),0),""))</f>
        <v/>
      </c>
      <c r="AE201" s="90">
        <f t="shared" si="56"/>
        <v>0</v>
      </c>
      <c r="AF201" s="42" t="str">
        <f>IF(LEFT($B201,4)="_Mil","",_xlfn.IFNA(ROUND(INDEX(Spectrum!$N:$N,MATCH(RIGHT($B201,13)&amp;"|"&amp;$C201&amp;"|"&amp;$D201&amp;"|"&amp;AF$14&amp;"|"&amp;"CY2023Q3",Spectrum!$R:$R,0)),0),""))</f>
        <v/>
      </c>
      <c r="AG201" s="90" t="str">
        <f t="shared" si="57"/>
        <v/>
      </c>
      <c r="AH201" s="88" t="str">
        <f>IF(LEFT($B201,4)="_Mil","",_xlfn.IFNA(INDEX(Spectrum!$N:$N,MATCH(RIGHT($B201,13)&amp;"|"&amp;$C201&amp;"|"&amp;$D201&amp;"|"&amp;AH$14&amp;"|"&amp;"CY2023Q3",Spectrum!$R:$R,0)),""))</f>
        <v/>
      </c>
      <c r="AI201" s="14" t="str">
        <f>IF(LEFT($B201,4)="_Mil","",_xlfn.IFNA(ROUND(INDEX(Spectrum!$N:$N,MATCH(RIGHT($B201,13)&amp;"|"&amp;$C201&amp;"|"&amp;$D201&amp;"|"&amp;AI$14&amp;"|"&amp;"CY2023Q3",Spectrum!$R:$R,0)),0),""))</f>
        <v/>
      </c>
      <c r="AJ201" s="42">
        <f>IF(LEFT($B201,4)="_Mil","",_xlfn.IFNA(ROUND(INDEX(Spectrum!$N:$N,MATCH(RIGHT($B201,13)&amp;"|"&amp;$C201&amp;"|"&amp;$D201&amp;"|"&amp;AI$14&amp;"|"&amp;"CY2023Q3",Spectrum!$R:$R,0)),0),SUM($U201)+SUM($AI201)))</f>
        <v>0</v>
      </c>
      <c r="AK201" s="14" t="str">
        <f>IF(LEFT($B201,4)="_Mil","",_xlfn.IFNA(ROUND(INDEX(Spectrum!$N:$N,MATCH(RIGHT($B201,13)&amp;"|"&amp;$C201&amp;"|"&amp;$D201&amp;"|"&amp;AK$14&amp;"|"&amp;"CY2023Q3",Spectrum!$R:$R,0)),0),""))</f>
        <v/>
      </c>
      <c r="AL201" s="90">
        <f t="shared" si="58"/>
        <v>1946</v>
      </c>
      <c r="AM201" s="14">
        <f t="shared" si="59"/>
        <v>0</v>
      </c>
      <c r="AN201" s="14" t="str">
        <f>IF($C201="&lt;01",ROUND(INDEX(EID!$P:$P,MATCH($B201,EID!$B:$B,0))/2,0),"")</f>
        <v/>
      </c>
      <c r="AO201" s="14">
        <f t="shared" si="60"/>
        <v>0</v>
      </c>
      <c r="AP201" s="42">
        <f t="shared" si="61"/>
        <v>0</v>
      </c>
      <c r="AQ201" s="42">
        <f t="shared" si="62"/>
        <v>1213</v>
      </c>
      <c r="AR201" s="90" t="str">
        <f t="shared" si="63"/>
        <v/>
      </c>
      <c r="AS201" s="90">
        <f t="shared" si="75"/>
        <v>0.98</v>
      </c>
      <c r="AT201" s="90">
        <f t="shared" si="75"/>
        <v>0.98</v>
      </c>
      <c r="AU201" s="14">
        <f t="shared" si="64"/>
        <v>-92.999999999999986</v>
      </c>
      <c r="AV201" s="14">
        <f>IF($C201="&lt;01",ROUND(INDEX(EID!$N:$N,MATCH($B201,EID!$B:$B,0))/2,0),IF(SUM($AT201)=0,"",ROUND((SUM($AP201)-(SUM($O201)*SUM($AS201)))/$AT201,0)))</f>
        <v>-93</v>
      </c>
      <c r="AW201" s="90">
        <f t="shared" si="65"/>
        <v>1</v>
      </c>
      <c r="AX201" s="42">
        <f t="shared" si="66"/>
        <v>-93</v>
      </c>
      <c r="AY201" s="116">
        <f t="shared" si="67"/>
        <v>0.7</v>
      </c>
      <c r="AZ201" s="93">
        <f>IF($C201="&lt;01",ROUND(INDEX(EID!$R:$R,MATCH($B201,EID!$B:$B,0))/2,0),ROUND(SUM($O201)+(SUM($AV201)*$AY201),0))</f>
        <v>28</v>
      </c>
      <c r="BA201" s="89">
        <f t="shared" si="68"/>
        <v>0.95</v>
      </c>
      <c r="BB201" s="9">
        <f>IF($C201="&lt;01",ROUND(INDEX(EID!$T:$T,MATCH($B201,EID!$B:$B,0))/2,0),ROUND($AZ201*$BA201,0))</f>
        <v>27</v>
      </c>
      <c r="BC201" s="93">
        <f t="shared" si="69"/>
        <v>27</v>
      </c>
      <c r="BD201" s="90">
        <f t="shared" si="70"/>
        <v>0.95</v>
      </c>
      <c r="BE201" s="42">
        <f>IF($C201="&lt;01",ROUND(INDEX(EID!$V:$V,MATCH($B201,EID!$B:$B,0))/2,0),ROUND($BD201*$BB201,0))</f>
        <v>26</v>
      </c>
      <c r="BF201" s="42">
        <f t="shared" si="71"/>
        <v>26</v>
      </c>
      <c r="BG201" s="116">
        <f t="shared" si="72"/>
        <v>0.95</v>
      </c>
      <c r="BH201" s="9">
        <f>IF($C201="&lt;01",ROUND(INDEX(EID!$L:$L,MATCH($B201,EID!$B:$B,0)),0)/2,IF(SUM($BG201)=0,"",ROUND($AX201/$BG201,0)))</f>
        <v>-98</v>
      </c>
    </row>
    <row r="202" spans="1:60" x14ac:dyDescent="0.2">
      <c r="A202" t="str">
        <f>INDEX(Prioritization!$D:$D,MATCH($B202,Prioritization!$A:$A,0))</f>
        <v>1 - Scale-up: Saturation</v>
      </c>
      <c r="B202" t="s">
        <v>206</v>
      </c>
      <c r="C202" t="s">
        <v>363</v>
      </c>
      <c r="D202" t="s">
        <v>47</v>
      </c>
      <c r="E202" t="str">
        <f t="shared" si="51"/>
        <v>Mzimba District [vA4NcHxfMBq]|10-14|Male</v>
      </c>
      <c r="F202" s="14"/>
      <c r="G202" s="14">
        <v>65</v>
      </c>
      <c r="H202" s="14">
        <v>6</v>
      </c>
      <c r="I202" s="14">
        <v>15</v>
      </c>
      <c r="J202" s="14">
        <v>69</v>
      </c>
      <c r="K202" s="14">
        <v>56</v>
      </c>
      <c r="L202" s="14">
        <v>2</v>
      </c>
      <c r="M202" s="14">
        <v>9</v>
      </c>
      <c r="N202" s="14">
        <v>94</v>
      </c>
      <c r="O202" s="14">
        <f t="shared" si="52"/>
        <v>94</v>
      </c>
      <c r="P202" s="14">
        <v>53</v>
      </c>
      <c r="Q202" s="14">
        <v>38</v>
      </c>
      <c r="R202" s="14">
        <f t="shared" si="53"/>
        <v>79</v>
      </c>
      <c r="S202" s="14">
        <f>IF(LEFT($B202,4)="_Mil","",_xlfn.IFNA(ROUND(INDEX(Spectrum!$N:$N,MATCH(RIGHT($B202,13)&amp;"|"&amp;$C202&amp;"|"&amp;$D202&amp;"|"&amp;S$14&amp;"|"&amp;"CY2022Q4",Spectrum!$R:$R,0)),0),""))</f>
        <v>1498</v>
      </c>
      <c r="T202" s="42">
        <f>IF(LEFT($B202,4)="_Mil","",_xlfn.IFNA(ROUND(INDEX(Spectrum!$N:$N,MATCH(RIGHT($B202,13)&amp;"|"&amp;$C202&amp;"|"&amp;$D202&amp;"|"&amp;T$14&amp;"|"&amp;"CY2023Q3",Spectrum!$R:$R,0)),0),""))</f>
        <v>1149</v>
      </c>
      <c r="U202" s="42" t="str">
        <f>IF(LEFT($B202,4)="_Mil","",_xlfn.IFNA(ROUND(INDEX(Spectrum!$N:$N,MATCH(RIGHT($B202,13)&amp;"|"&amp;$C202&amp;"|"&amp;$D202&amp;"|"&amp;U$14&amp;"|"&amp;"CY2023Q3",Spectrum!$R:$R,0)),0),""))</f>
        <v/>
      </c>
      <c r="V202" s="14">
        <f>IF(LEFT($B202,4)="_Mil","",_xlfn.IFNA(ROUND(INDEX(Spectrum!$N:$N,MATCH(RIGHT($B202,13)&amp;"|"&amp;$C202&amp;"|"&amp;$D202&amp;"|"&amp;V$14&amp;"|"&amp;"CY2023Q3",Spectrum!$R:$R,0)),0),""))</f>
        <v>1800</v>
      </c>
      <c r="W202" s="115">
        <f>IF(LEFT($B202,4)="_Mil","",_xlfn.IFNA(INDEX(Spectrum!$N:$N,MATCH(RIGHT($B202,13)&amp;"|"&amp;$C202&amp;"|"&amp;$D202&amp;"|"&amp;W$14&amp;"|"&amp;"CY2023Q3",Spectrum!$R:$R,0)),""))</f>
        <v>601</v>
      </c>
      <c r="X202" s="42">
        <f>IF(LEFT($B202,4)="_Mil","",_xlfn.IFNA(ROUND(INDEX(Spectrum!$N:$N,MATCH(RIGHT($B202,13)&amp;"|"&amp;$C202&amp;"|"&amp;$D202&amp;"|"&amp;X$14&amp;"|"&amp;"CY2023Q3",Spectrum!$R:$R,0)),0),""))</f>
        <v>853</v>
      </c>
      <c r="Y202" s="90" t="str">
        <f t="shared" si="54"/>
        <v/>
      </c>
      <c r="Z202" s="42">
        <f>IF(LEFT($B202,4)="_Mil","",_xlfn.IFNA(ROUND(INDEX(Spectrum!$N:$N,MATCH(RIGHT($B202,13)&amp;"|"&amp;$C202&amp;"|"&amp;$D202&amp;"|"&amp;Z$14&amp;"|"&amp;"CY2023Q3",Spectrum!$R:$R,0)),0),""))</f>
        <v>705</v>
      </c>
      <c r="AA202" s="90">
        <f>IF(LEFT($B202,4)="_Mil","",IFERROR(1/(1/INDEX(Spectrum!$N:$N,MATCH(RIGHT($B202,13)&amp;"|"&amp;$C202&amp;"|"&amp;$D202&amp;"|"&amp;AA$14&amp;"|"&amp;"CY2023Q3",Spectrum!$R:$R,0))),IF(SUM($U202)=0,"",SUM($Z202)/$U202)))</f>
        <v>802</v>
      </c>
      <c r="AB202" s="90">
        <f t="shared" si="55"/>
        <v>0.82649472450175854</v>
      </c>
      <c r="AC202" s="14">
        <f>IF(LEFT($B202,4)="_Mil","",_xlfn.IFNA(ROUND(INDEX(Spectrum!$N:$N,MATCH(RIGHT($B202,13)&amp;"|"&amp;$C202&amp;"|"&amp;$D202&amp;"|"&amp;AC$14&amp;"|"&amp;"CY2023Q3",Spectrum!$R:$R,0)),0),""))</f>
        <v>1345</v>
      </c>
      <c r="AD202" s="14" t="str">
        <f>IF(LEFT($B202,4)="_Mil","",_xlfn.IFNA(ROUND(INDEX(Spectrum!$N:$N,MATCH(RIGHT($B202,13)&amp;"|"&amp;$C202&amp;"|"&amp;$D202&amp;"|"&amp;AD$14&amp;"|"&amp;"CY2023Q3",Spectrum!$R:$R,0)),0),""))</f>
        <v/>
      </c>
      <c r="AE202" s="90">
        <f t="shared" si="56"/>
        <v>0</v>
      </c>
      <c r="AF202" s="42" t="str">
        <f>IF(LEFT($B202,4)="_Mil","",_xlfn.IFNA(ROUND(INDEX(Spectrum!$N:$N,MATCH(RIGHT($B202,13)&amp;"|"&amp;$C202&amp;"|"&amp;$D202&amp;"|"&amp;AF$14&amp;"|"&amp;"CY2023Q3",Spectrum!$R:$R,0)),0),""))</f>
        <v/>
      </c>
      <c r="AG202" s="90" t="str">
        <f t="shared" si="57"/>
        <v/>
      </c>
      <c r="AH202" s="88" t="str">
        <f>IF(LEFT($B202,4)="_Mil","",_xlfn.IFNA(INDEX(Spectrum!$N:$N,MATCH(RIGHT($B202,13)&amp;"|"&amp;$C202&amp;"|"&amp;$D202&amp;"|"&amp;AH$14&amp;"|"&amp;"CY2023Q3",Spectrum!$R:$R,0)),""))</f>
        <v/>
      </c>
      <c r="AI202" s="14" t="str">
        <f>IF(LEFT($B202,4)="_Mil","",_xlfn.IFNA(ROUND(INDEX(Spectrum!$N:$N,MATCH(RIGHT($B202,13)&amp;"|"&amp;$C202&amp;"|"&amp;$D202&amp;"|"&amp;AI$14&amp;"|"&amp;"CY2023Q3",Spectrum!$R:$R,0)),0),""))</f>
        <v/>
      </c>
      <c r="AJ202" s="42">
        <f>IF(LEFT($B202,4)="_Mil","",_xlfn.IFNA(ROUND(INDEX(Spectrum!$N:$N,MATCH(RIGHT($B202,13)&amp;"|"&amp;$C202&amp;"|"&amp;$D202&amp;"|"&amp;AI$14&amp;"|"&amp;"CY2023Q3",Spectrum!$R:$R,0)),0),SUM($U202)+SUM($AI202)))</f>
        <v>0</v>
      </c>
      <c r="AK202" s="14" t="str">
        <f>IF(LEFT($B202,4)="_Mil","",_xlfn.IFNA(ROUND(INDEX(Spectrum!$N:$N,MATCH(RIGHT($B202,13)&amp;"|"&amp;$C202&amp;"|"&amp;$D202&amp;"|"&amp;AK$14&amp;"|"&amp;"CY2023Q3",Spectrum!$R:$R,0)),0),""))</f>
        <v/>
      </c>
      <c r="AL202" s="90">
        <f t="shared" si="58"/>
        <v>802</v>
      </c>
      <c r="AM202" s="14">
        <f t="shared" si="59"/>
        <v>0</v>
      </c>
      <c r="AN202" s="14" t="str">
        <f>IF($C202="&lt;01",ROUND(INDEX(EID!$P:$P,MATCH($B202,EID!$B:$B,0))/2,0),"")</f>
        <v/>
      </c>
      <c r="AO202" s="14">
        <f t="shared" si="60"/>
        <v>0</v>
      </c>
      <c r="AP202" s="42">
        <f t="shared" si="61"/>
        <v>0</v>
      </c>
      <c r="AQ202" s="42">
        <f t="shared" si="62"/>
        <v>705</v>
      </c>
      <c r="AR202" s="90" t="str">
        <f t="shared" si="63"/>
        <v/>
      </c>
      <c r="AS202" s="90">
        <f t="shared" si="75"/>
        <v>0.98</v>
      </c>
      <c r="AT202" s="90">
        <f t="shared" si="75"/>
        <v>0.98</v>
      </c>
      <c r="AU202" s="14">
        <f t="shared" si="64"/>
        <v>-94</v>
      </c>
      <c r="AV202" s="14">
        <f>IF($C202="&lt;01",ROUND(INDEX(EID!$N:$N,MATCH($B202,EID!$B:$B,0))/2,0),IF(SUM($AT202)=0,"",ROUND((SUM($AP202)-(SUM($O202)*SUM($AS202)))/$AT202,0)))</f>
        <v>-94</v>
      </c>
      <c r="AW202" s="90">
        <f t="shared" si="65"/>
        <v>1</v>
      </c>
      <c r="AX202" s="42">
        <f t="shared" si="66"/>
        <v>-94</v>
      </c>
      <c r="AY202" s="116">
        <f t="shared" si="67"/>
        <v>0.7</v>
      </c>
      <c r="AZ202" s="93">
        <f>IF($C202="&lt;01",ROUND(INDEX(EID!$R:$R,MATCH($B202,EID!$B:$B,0))/2,0),ROUND(SUM($O202)+(SUM($AV202)*$AY202),0))</f>
        <v>28</v>
      </c>
      <c r="BA202" s="89">
        <f t="shared" si="68"/>
        <v>0.95</v>
      </c>
      <c r="BB202" s="9">
        <f>IF($C202="&lt;01",ROUND(INDEX(EID!$T:$T,MATCH($B202,EID!$B:$B,0))/2,0),ROUND($AZ202*$BA202,0))</f>
        <v>27</v>
      </c>
      <c r="BC202" s="93">
        <f t="shared" si="69"/>
        <v>27</v>
      </c>
      <c r="BD202" s="90">
        <f t="shared" si="70"/>
        <v>0.95</v>
      </c>
      <c r="BE202" s="42">
        <f>IF($C202="&lt;01",ROUND(INDEX(EID!$V:$V,MATCH($B202,EID!$B:$B,0))/2,0),ROUND($BD202*$BB202,0))</f>
        <v>26</v>
      </c>
      <c r="BF202" s="42">
        <f t="shared" si="71"/>
        <v>26</v>
      </c>
      <c r="BG202" s="116">
        <f t="shared" si="72"/>
        <v>0.95</v>
      </c>
      <c r="BH202" s="9">
        <f>IF($C202="&lt;01",ROUND(INDEX(EID!$L:$L,MATCH($B202,EID!$B:$B,0)),0)/2,IF(SUM($BG202)=0,"",ROUND($AX202/$BG202,0)))</f>
        <v>-99</v>
      </c>
    </row>
    <row r="203" spans="1:60" x14ac:dyDescent="0.2">
      <c r="A203" t="str">
        <f>INDEX(Prioritization!$D:$D,MATCH($B203,Prioritization!$A:$A,0))</f>
        <v>1 - Scale-up: Saturation</v>
      </c>
      <c r="B203" t="s">
        <v>206</v>
      </c>
      <c r="C203" t="s">
        <v>364</v>
      </c>
      <c r="D203" t="s">
        <v>29</v>
      </c>
      <c r="E203" t="str">
        <f t="shared" si="51"/>
        <v>Mzimba District [vA4NcHxfMBq]|15-24|Female</v>
      </c>
      <c r="F203" s="14"/>
      <c r="G203" s="14"/>
      <c r="H203" s="14"/>
      <c r="I203" s="14"/>
      <c r="J203" s="14"/>
      <c r="K203" s="14"/>
      <c r="L203" s="14"/>
      <c r="M203" s="14"/>
      <c r="N203" s="14"/>
      <c r="O203" s="14" t="str">
        <f t="shared" si="52"/>
        <v/>
      </c>
      <c r="P203" s="14"/>
      <c r="Q203" s="14"/>
      <c r="R203" s="14" t="str">
        <f t="shared" si="53"/>
        <v/>
      </c>
      <c r="S203" s="14">
        <f>IF(LEFT($B203,4)="_Mil","",_xlfn.IFNA(ROUND(INDEX(Spectrum!$N:$N,MATCH(RIGHT($B203,13)&amp;"|"&amp;$C203&amp;"|"&amp;$D203&amp;"|"&amp;S$14&amp;"|"&amp;"CY2022Q4",Spectrum!$R:$R,0)),0),""))</f>
        <v>933</v>
      </c>
      <c r="T203" s="42">
        <f>IF(LEFT($B203,4)="_Mil","",_xlfn.IFNA(ROUND(INDEX(Spectrum!$N:$N,MATCH(RIGHT($B203,13)&amp;"|"&amp;$C203&amp;"|"&amp;$D203&amp;"|"&amp;T$14&amp;"|"&amp;"CY2023Q3",Spectrum!$R:$R,0)),0),""))</f>
        <v>1732</v>
      </c>
      <c r="U203" s="42" t="str">
        <f>IF(LEFT($B203,4)="_Mil","",_xlfn.IFNA(ROUND(INDEX(Spectrum!$N:$N,MATCH(RIGHT($B203,13)&amp;"|"&amp;$C203&amp;"|"&amp;$D203&amp;"|"&amp;U$14&amp;"|"&amp;"CY2023Q3",Spectrum!$R:$R,0)),0),""))</f>
        <v/>
      </c>
      <c r="V203" s="14">
        <f>IF(LEFT($B203,4)="_Mil","",_xlfn.IFNA(ROUND(INDEX(Spectrum!$N:$N,MATCH(RIGHT($B203,13)&amp;"|"&amp;$C203&amp;"|"&amp;$D203&amp;"|"&amp;V$14&amp;"|"&amp;"CY2023Q3",Spectrum!$R:$R,0)),0),""))</f>
        <v>580</v>
      </c>
      <c r="W203" s="115">
        <f>IF(LEFT($B203,4)="_Mil","",_xlfn.IFNA(INDEX(Spectrum!$N:$N,MATCH(RIGHT($B203,13)&amp;"|"&amp;$C203&amp;"|"&amp;$D203&amp;"|"&amp;W$14&amp;"|"&amp;"CY2023Q3",Spectrum!$R:$R,0)),""))</f>
        <v>1095</v>
      </c>
      <c r="X203" s="42">
        <f>IF(LEFT($B203,4)="_Mil","",_xlfn.IFNA(ROUND(INDEX(Spectrum!$N:$N,MATCH(RIGHT($B203,13)&amp;"|"&amp;$C203&amp;"|"&amp;$D203&amp;"|"&amp;X$14&amp;"|"&amp;"CY2023Q3",Spectrum!$R:$R,0)),0),""))</f>
        <v>1209</v>
      </c>
      <c r="Y203" s="90" t="str">
        <f t="shared" si="54"/>
        <v/>
      </c>
      <c r="Z203" s="42">
        <f>IF(LEFT($B203,4)="_Mil","",_xlfn.IFNA(ROUND(INDEX(Spectrum!$N:$N,MATCH(RIGHT($B203,13)&amp;"|"&amp;$C203&amp;"|"&amp;$D203&amp;"|"&amp;Z$14&amp;"|"&amp;"CY2023Q3",Spectrum!$R:$R,0)),0),""))</f>
        <v>1827</v>
      </c>
      <c r="AA203" s="90">
        <f>IF(LEFT($B203,4)="_Mil","",IFERROR(1/(1/INDEX(Spectrum!$N:$N,MATCH(RIGHT($B203,13)&amp;"|"&amp;$C203&amp;"|"&amp;$D203&amp;"|"&amp;AA$14&amp;"|"&amp;"CY2023Q3",Spectrum!$R:$R,0))),IF(SUM($U203)=0,"",SUM($Z203)/$U203)))</f>
        <v>765</v>
      </c>
      <c r="AB203" s="90">
        <f t="shared" si="55"/>
        <v>1.5111662531017369</v>
      </c>
      <c r="AC203" s="14">
        <f>IF(LEFT($B203,4)="_Mil","",_xlfn.IFNA(ROUND(INDEX(Spectrum!$N:$N,MATCH(RIGHT($B203,13)&amp;"|"&amp;$C203&amp;"|"&amp;$D203&amp;"|"&amp;AC$14&amp;"|"&amp;"CY2023Q3",Spectrum!$R:$R,0)),0),""))</f>
        <v>919</v>
      </c>
      <c r="AD203" s="14" t="str">
        <f>IF(LEFT($B203,4)="_Mil","",_xlfn.IFNA(ROUND(INDEX(Spectrum!$N:$N,MATCH(RIGHT($B203,13)&amp;"|"&amp;$C203&amp;"|"&amp;$D203&amp;"|"&amp;AD$14&amp;"|"&amp;"CY2023Q3",Spectrum!$R:$R,0)),0),""))</f>
        <v/>
      </c>
      <c r="AE203" s="90">
        <f t="shared" si="56"/>
        <v>0</v>
      </c>
      <c r="AF203" s="42" t="str">
        <f>IF(LEFT($B203,4)="_Mil","",_xlfn.IFNA(ROUND(INDEX(Spectrum!$N:$N,MATCH(RIGHT($B203,13)&amp;"|"&amp;$C203&amp;"|"&amp;$D203&amp;"|"&amp;AF$14&amp;"|"&amp;"CY2023Q3",Spectrum!$R:$R,0)),0),""))</f>
        <v/>
      </c>
      <c r="AG203" s="90" t="str">
        <f t="shared" si="57"/>
        <v/>
      </c>
      <c r="AH203" s="88" t="str">
        <f>IF(LEFT($B203,4)="_Mil","",_xlfn.IFNA(INDEX(Spectrum!$N:$N,MATCH(RIGHT($B203,13)&amp;"|"&amp;$C203&amp;"|"&amp;$D203&amp;"|"&amp;AH$14&amp;"|"&amp;"CY2023Q3",Spectrum!$R:$R,0)),""))</f>
        <v/>
      </c>
      <c r="AI203" s="14" t="str">
        <f>IF(LEFT($B203,4)="_Mil","",_xlfn.IFNA(ROUND(INDEX(Spectrum!$N:$N,MATCH(RIGHT($B203,13)&amp;"|"&amp;$C203&amp;"|"&amp;$D203&amp;"|"&amp;AI$14&amp;"|"&amp;"CY2023Q3",Spectrum!$R:$R,0)),0),""))</f>
        <v/>
      </c>
      <c r="AJ203" s="42">
        <f>IF(LEFT($B203,4)="_Mil","",_xlfn.IFNA(ROUND(INDEX(Spectrum!$N:$N,MATCH(RIGHT($B203,13)&amp;"|"&amp;$C203&amp;"|"&amp;$D203&amp;"|"&amp;AI$14&amp;"|"&amp;"CY2023Q3",Spectrum!$R:$R,0)),0),SUM($U203)+SUM($AI203)))</f>
        <v>0</v>
      </c>
      <c r="AK203" s="14" t="str">
        <f>IF(LEFT($B203,4)="_Mil","",_xlfn.IFNA(ROUND(INDEX(Spectrum!$N:$N,MATCH(RIGHT($B203,13)&amp;"|"&amp;$C203&amp;"|"&amp;$D203&amp;"|"&amp;AK$14&amp;"|"&amp;"CY2023Q3",Spectrum!$R:$R,0)),0),""))</f>
        <v/>
      </c>
      <c r="AL203" s="90">
        <f t="shared" si="58"/>
        <v>765</v>
      </c>
      <c r="AM203" s="14">
        <f t="shared" si="59"/>
        <v>0</v>
      </c>
      <c r="AN203" s="14" t="str">
        <f>IF($C203="&lt;01",ROUND(INDEX(EID!$P:$P,MATCH($B203,EID!$B:$B,0))/2,0),"")</f>
        <v/>
      </c>
      <c r="AO203" s="14">
        <f t="shared" si="60"/>
        <v>0</v>
      </c>
      <c r="AP203" s="42">
        <f t="shared" si="61"/>
        <v>0</v>
      </c>
      <c r="AQ203" s="42">
        <f t="shared" si="62"/>
        <v>1827</v>
      </c>
      <c r="AR203" s="90" t="str">
        <f t="shared" si="63"/>
        <v/>
      </c>
      <c r="AS203" s="90">
        <f t="shared" si="75"/>
        <v>0.98</v>
      </c>
      <c r="AT203" s="90">
        <f t="shared" si="75"/>
        <v>0.98</v>
      </c>
      <c r="AU203" s="14">
        <f t="shared" si="64"/>
        <v>0</v>
      </c>
      <c r="AV203" s="14">
        <f>IF($C203="&lt;01",ROUND(INDEX(EID!$N:$N,MATCH($B203,EID!$B:$B,0))/2,0),IF(SUM($AT203)=0,"",ROUND((SUM($AP203)-(SUM($O203)*SUM($AS203)))/$AT203,0)))</f>
        <v>0</v>
      </c>
      <c r="AW203" s="90">
        <f t="shared" si="65"/>
        <v>1</v>
      </c>
      <c r="AX203" s="42">
        <f t="shared" si="66"/>
        <v>0</v>
      </c>
      <c r="AY203" s="116">
        <f t="shared" si="67"/>
        <v>0.7</v>
      </c>
      <c r="AZ203" s="93">
        <f>IF($C203="&lt;01",ROUND(INDEX(EID!$R:$R,MATCH($B203,EID!$B:$B,0))/2,0),ROUND(SUM($O203)+(SUM($AV203)*$AY203),0))</f>
        <v>0</v>
      </c>
      <c r="BA203" s="89">
        <f t="shared" si="68"/>
        <v>0.95</v>
      </c>
      <c r="BB203" s="9">
        <f>IF($C203="&lt;01",ROUND(INDEX(EID!$T:$T,MATCH($B203,EID!$B:$B,0))/2,0),ROUND($AZ203*$BA203,0))</f>
        <v>0</v>
      </c>
      <c r="BC203" s="93">
        <f t="shared" si="69"/>
        <v>0</v>
      </c>
      <c r="BD203" s="90">
        <f t="shared" si="70"/>
        <v>0.95</v>
      </c>
      <c r="BE203" s="42">
        <f>IF($C203="&lt;01",ROUND(INDEX(EID!$V:$V,MATCH($B203,EID!$B:$B,0))/2,0),ROUND($BD203*$BB203,0))</f>
        <v>0</v>
      </c>
      <c r="BF203" s="42">
        <f t="shared" si="71"/>
        <v>0</v>
      </c>
      <c r="BG203" s="116">
        <f t="shared" si="72"/>
        <v>0.95</v>
      </c>
      <c r="BH203" s="9">
        <f>IF($C203="&lt;01",ROUND(INDEX(EID!$L:$L,MATCH($B203,EID!$B:$B,0)),0)/2,IF(SUM($BG203)=0,"",ROUND($AX203/$BG203,0)))</f>
        <v>0</v>
      </c>
    </row>
    <row r="204" spans="1:60" x14ac:dyDescent="0.2">
      <c r="A204" t="str">
        <f>INDEX(Prioritization!$D:$D,MATCH($B204,Prioritization!$A:$A,0))</f>
        <v>1 - Scale-up: Saturation</v>
      </c>
      <c r="B204" t="s">
        <v>206</v>
      </c>
      <c r="C204" t="s">
        <v>364</v>
      </c>
      <c r="D204" t="s">
        <v>47</v>
      </c>
      <c r="E204" t="str">
        <f t="shared" si="51"/>
        <v>Mzimba District [vA4NcHxfMBq]|15-24|Male</v>
      </c>
      <c r="F204" s="14"/>
      <c r="G204" s="14"/>
      <c r="H204" s="14"/>
      <c r="I204" s="14"/>
      <c r="J204" s="14"/>
      <c r="K204" s="14"/>
      <c r="L204" s="14"/>
      <c r="M204" s="14"/>
      <c r="N204" s="14"/>
      <c r="O204" s="14" t="str">
        <f t="shared" si="52"/>
        <v/>
      </c>
      <c r="P204" s="14"/>
      <c r="Q204" s="14"/>
      <c r="R204" s="14" t="str">
        <f t="shared" si="53"/>
        <v/>
      </c>
      <c r="S204" s="14">
        <f>IF(LEFT($B204,4)="_Mil","",_xlfn.IFNA(ROUND(INDEX(Spectrum!$N:$N,MATCH(RIGHT($B204,13)&amp;"|"&amp;$C204&amp;"|"&amp;$D204&amp;"|"&amp;S$14&amp;"|"&amp;"CY2022Q4",Spectrum!$R:$R,0)),0),""))</f>
        <v>968</v>
      </c>
      <c r="T204" s="42">
        <f>IF(LEFT($B204,4)="_Mil","",_xlfn.IFNA(ROUND(INDEX(Spectrum!$N:$N,MATCH(RIGHT($B204,13)&amp;"|"&amp;$C204&amp;"|"&amp;$D204&amp;"|"&amp;T$14&amp;"|"&amp;"CY2023Q3",Spectrum!$R:$R,0)),0),""))</f>
        <v>734</v>
      </c>
      <c r="U204" s="42" t="str">
        <f>IF(LEFT($B204,4)="_Mil","",_xlfn.IFNA(ROUND(INDEX(Spectrum!$N:$N,MATCH(RIGHT($B204,13)&amp;"|"&amp;$C204&amp;"|"&amp;$D204&amp;"|"&amp;U$14&amp;"|"&amp;"CY2023Q3",Spectrum!$R:$R,0)),0),""))</f>
        <v/>
      </c>
      <c r="V204" s="14">
        <f>IF(LEFT($B204,4)="_Mil","",_xlfn.IFNA(ROUND(INDEX(Spectrum!$N:$N,MATCH(RIGHT($B204,13)&amp;"|"&amp;$C204&amp;"|"&amp;$D204&amp;"|"&amp;V$14&amp;"|"&amp;"CY2023Q3",Spectrum!$R:$R,0)),0),""))</f>
        <v>1090</v>
      </c>
      <c r="W204" s="115">
        <f>IF(LEFT($B204,4)="_Mil","",_xlfn.IFNA(INDEX(Spectrum!$N:$N,MATCH(RIGHT($B204,13)&amp;"|"&amp;$C204&amp;"|"&amp;$D204&amp;"|"&amp;W$14&amp;"|"&amp;"CY2023Q3",Spectrum!$R:$R,0)),""))</f>
        <v>1106</v>
      </c>
      <c r="X204" s="42">
        <f>IF(LEFT($B204,4)="_Mil","",_xlfn.IFNA(ROUND(INDEX(Spectrum!$N:$N,MATCH(RIGHT($B204,13)&amp;"|"&amp;$C204&amp;"|"&amp;$D204&amp;"|"&amp;X$14&amp;"|"&amp;"CY2023Q3",Spectrum!$R:$R,0)),0),""))</f>
        <v>983</v>
      </c>
      <c r="Y204" s="90" t="str">
        <f t="shared" si="54"/>
        <v/>
      </c>
      <c r="Z204" s="42">
        <f>IF(LEFT($B204,4)="_Mil","",_xlfn.IFNA(ROUND(INDEX(Spectrum!$N:$N,MATCH(RIGHT($B204,13)&amp;"|"&amp;$C204&amp;"|"&amp;$D204&amp;"|"&amp;Z$14&amp;"|"&amp;"CY2023Q3",Spectrum!$R:$R,0)),0),""))</f>
        <v>630</v>
      </c>
      <c r="AA204" s="90">
        <f>IF(LEFT($B204,4)="_Mil","",IFERROR(1/(1/INDEX(Spectrum!$N:$N,MATCH(RIGHT($B204,13)&amp;"|"&amp;$C204&amp;"|"&amp;$D204&amp;"|"&amp;AA$14&amp;"|"&amp;"CY2023Q3",Spectrum!$R:$R,0))),IF(SUM($U204)=0,"",SUM($Z204)/$U204)))</f>
        <v>1946</v>
      </c>
      <c r="AB204" s="90">
        <f t="shared" si="55"/>
        <v>0.64089521871820954</v>
      </c>
      <c r="AC204" s="14">
        <f>IF(LEFT($B204,4)="_Mil","",_xlfn.IFNA(ROUND(INDEX(Spectrum!$N:$N,MATCH(RIGHT($B204,13)&amp;"|"&amp;$C204&amp;"|"&amp;$D204&amp;"|"&amp;AC$14&amp;"|"&amp;"CY2023Q3",Spectrum!$R:$R,0)),0),""))</f>
        <v>972</v>
      </c>
      <c r="AD204" s="14" t="str">
        <f>IF(LEFT($B204,4)="_Mil","",_xlfn.IFNA(ROUND(INDEX(Spectrum!$N:$N,MATCH(RIGHT($B204,13)&amp;"|"&amp;$C204&amp;"|"&amp;$D204&amp;"|"&amp;AD$14&amp;"|"&amp;"CY2023Q3",Spectrum!$R:$R,0)),0),""))</f>
        <v/>
      </c>
      <c r="AE204" s="90">
        <f t="shared" si="56"/>
        <v>0</v>
      </c>
      <c r="AF204" s="42" t="str">
        <f>IF(LEFT($B204,4)="_Mil","",_xlfn.IFNA(ROUND(INDEX(Spectrum!$N:$N,MATCH(RIGHT($B204,13)&amp;"|"&amp;$C204&amp;"|"&amp;$D204&amp;"|"&amp;AF$14&amp;"|"&amp;"CY2023Q3",Spectrum!$R:$R,0)),0),""))</f>
        <v/>
      </c>
      <c r="AG204" s="90" t="str">
        <f t="shared" si="57"/>
        <v/>
      </c>
      <c r="AH204" s="88" t="str">
        <f>IF(LEFT($B204,4)="_Mil","",_xlfn.IFNA(INDEX(Spectrum!$N:$N,MATCH(RIGHT($B204,13)&amp;"|"&amp;$C204&amp;"|"&amp;$D204&amp;"|"&amp;AH$14&amp;"|"&amp;"CY2023Q3",Spectrum!$R:$R,0)),""))</f>
        <v/>
      </c>
      <c r="AI204" s="14" t="str">
        <f>IF(LEFT($B204,4)="_Mil","",_xlfn.IFNA(ROUND(INDEX(Spectrum!$N:$N,MATCH(RIGHT($B204,13)&amp;"|"&amp;$C204&amp;"|"&amp;$D204&amp;"|"&amp;AI$14&amp;"|"&amp;"CY2023Q3",Spectrum!$R:$R,0)),0),""))</f>
        <v/>
      </c>
      <c r="AJ204" s="42">
        <f>IF(LEFT($B204,4)="_Mil","",_xlfn.IFNA(ROUND(INDEX(Spectrum!$N:$N,MATCH(RIGHT($B204,13)&amp;"|"&amp;$C204&amp;"|"&amp;$D204&amp;"|"&amp;AI$14&amp;"|"&amp;"CY2023Q3",Spectrum!$R:$R,0)),0),SUM($U204)+SUM($AI204)))</f>
        <v>0</v>
      </c>
      <c r="AK204" s="14" t="str">
        <f>IF(LEFT($B204,4)="_Mil","",_xlfn.IFNA(ROUND(INDEX(Spectrum!$N:$N,MATCH(RIGHT($B204,13)&amp;"|"&amp;$C204&amp;"|"&amp;$D204&amp;"|"&amp;AK$14&amp;"|"&amp;"CY2023Q3",Spectrum!$R:$R,0)),0),""))</f>
        <v/>
      </c>
      <c r="AL204" s="90">
        <f t="shared" si="58"/>
        <v>1946</v>
      </c>
      <c r="AM204" s="14">
        <f t="shared" si="59"/>
        <v>0</v>
      </c>
      <c r="AN204" s="14" t="str">
        <f>IF($C204="&lt;01",ROUND(INDEX(EID!$P:$P,MATCH($B204,EID!$B:$B,0))/2,0),"")</f>
        <v/>
      </c>
      <c r="AO204" s="14">
        <f t="shared" si="60"/>
        <v>0</v>
      </c>
      <c r="AP204" s="42">
        <f t="shared" si="61"/>
        <v>0</v>
      </c>
      <c r="AQ204" s="42">
        <f t="shared" si="62"/>
        <v>630</v>
      </c>
      <c r="AR204" s="90" t="str">
        <f t="shared" si="63"/>
        <v/>
      </c>
      <c r="AS204" s="90">
        <f t="shared" si="75"/>
        <v>0.98</v>
      </c>
      <c r="AT204" s="90">
        <f t="shared" si="75"/>
        <v>0.98</v>
      </c>
      <c r="AU204" s="14">
        <f t="shared" si="64"/>
        <v>0</v>
      </c>
      <c r="AV204" s="14">
        <f>IF($C204="&lt;01",ROUND(INDEX(EID!$N:$N,MATCH($B204,EID!$B:$B,0))/2,0),IF(SUM($AT204)=0,"",ROUND((SUM($AP204)-(SUM($O204)*SUM($AS204)))/$AT204,0)))</f>
        <v>0</v>
      </c>
      <c r="AW204" s="90">
        <f t="shared" si="65"/>
        <v>1</v>
      </c>
      <c r="AX204" s="42">
        <f t="shared" si="66"/>
        <v>0</v>
      </c>
      <c r="AY204" s="116">
        <f t="shared" si="67"/>
        <v>0.7</v>
      </c>
      <c r="AZ204" s="93">
        <f>IF($C204="&lt;01",ROUND(INDEX(EID!$R:$R,MATCH($B204,EID!$B:$B,0))/2,0),ROUND(SUM($O204)+(SUM($AV204)*$AY204),0))</f>
        <v>0</v>
      </c>
      <c r="BA204" s="89">
        <f t="shared" si="68"/>
        <v>0.95</v>
      </c>
      <c r="BB204" s="9">
        <f>IF($C204="&lt;01",ROUND(INDEX(EID!$T:$T,MATCH($B204,EID!$B:$B,0))/2,0),ROUND($AZ204*$BA204,0))</f>
        <v>0</v>
      </c>
      <c r="BC204" s="93">
        <f t="shared" si="69"/>
        <v>0</v>
      </c>
      <c r="BD204" s="90">
        <f t="shared" si="70"/>
        <v>0.95</v>
      </c>
      <c r="BE204" s="42">
        <f>IF($C204="&lt;01",ROUND(INDEX(EID!$V:$V,MATCH($B204,EID!$B:$B,0))/2,0),ROUND($BD204*$BB204,0))</f>
        <v>0</v>
      </c>
      <c r="BF204" s="42">
        <f t="shared" si="71"/>
        <v>0</v>
      </c>
      <c r="BG204" s="116">
        <f t="shared" si="72"/>
        <v>0.95</v>
      </c>
      <c r="BH204" s="9">
        <f>IF($C204="&lt;01",ROUND(INDEX(EID!$L:$L,MATCH($B204,EID!$B:$B,0)),0)/2,IF(SUM($BG204)=0,"",ROUND($AX204/$BG204,0)))</f>
        <v>0</v>
      </c>
    </row>
    <row r="205" spans="1:60" x14ac:dyDescent="0.2">
      <c r="A205" t="str">
        <f>INDEX(Prioritization!$D:$D,MATCH($B205,Prioritization!$A:$A,0))</f>
        <v>1 - Scale-up: Saturation</v>
      </c>
      <c r="B205" t="s">
        <v>206</v>
      </c>
      <c r="C205" t="s">
        <v>365</v>
      </c>
      <c r="D205" t="s">
        <v>29</v>
      </c>
      <c r="E205" t="str">
        <f t="shared" si="51"/>
        <v>Mzimba District [vA4NcHxfMBq]|25-34|Female</v>
      </c>
      <c r="F205" s="14"/>
      <c r="G205" s="14"/>
      <c r="H205" s="14"/>
      <c r="I205" s="14"/>
      <c r="J205" s="14"/>
      <c r="K205" s="14"/>
      <c r="L205" s="14"/>
      <c r="M205" s="14"/>
      <c r="N205" s="14"/>
      <c r="O205" s="14" t="str">
        <f t="shared" si="52"/>
        <v/>
      </c>
      <c r="P205" s="14"/>
      <c r="Q205" s="14"/>
      <c r="R205" s="14" t="str">
        <f t="shared" si="53"/>
        <v/>
      </c>
      <c r="S205" s="14">
        <f>IF(LEFT($B205,4)="_Mil","",_xlfn.IFNA(ROUND(INDEX(Spectrum!$N:$N,MATCH(RIGHT($B205,13)&amp;"|"&amp;$C205&amp;"|"&amp;$D205&amp;"|"&amp;S$14&amp;"|"&amp;"CY2022Q4",Spectrum!$R:$R,0)),0),""))</f>
        <v>1921</v>
      </c>
      <c r="T205" s="42">
        <f>IF(LEFT($B205,4)="_Mil","",_xlfn.IFNA(ROUND(INDEX(Spectrum!$N:$N,MATCH(RIGHT($B205,13)&amp;"|"&amp;$C205&amp;"|"&amp;$D205&amp;"|"&amp;T$14&amp;"|"&amp;"CY2023Q3",Spectrum!$R:$R,0)),0),""))</f>
        <v>593</v>
      </c>
      <c r="U205" s="42" t="str">
        <f>IF(LEFT($B205,4)="_Mil","",_xlfn.IFNA(ROUND(INDEX(Spectrum!$N:$N,MATCH(RIGHT($B205,13)&amp;"|"&amp;$C205&amp;"|"&amp;$D205&amp;"|"&amp;U$14&amp;"|"&amp;"CY2023Q3",Spectrum!$R:$R,0)),0),""))</f>
        <v/>
      </c>
      <c r="V205" s="14">
        <f>IF(LEFT($B205,4)="_Mil","",_xlfn.IFNA(ROUND(INDEX(Spectrum!$N:$N,MATCH(RIGHT($B205,13)&amp;"|"&amp;$C205&amp;"|"&amp;$D205&amp;"|"&amp;V$14&amp;"|"&amp;"CY2023Q3",Spectrum!$R:$R,0)),0),""))</f>
        <v>930</v>
      </c>
      <c r="W205" s="115">
        <f>IF(LEFT($B205,4)="_Mil","",_xlfn.IFNA(INDEX(Spectrum!$N:$N,MATCH(RIGHT($B205,13)&amp;"|"&amp;$C205&amp;"|"&amp;$D205&amp;"|"&amp;W$14&amp;"|"&amp;"CY2023Q3",Spectrum!$R:$R,0)),""))</f>
        <v>1543</v>
      </c>
      <c r="X205" s="42">
        <f>IF(LEFT($B205,4)="_Mil","",_xlfn.IFNA(ROUND(INDEX(Spectrum!$N:$N,MATCH(RIGHT($B205,13)&amp;"|"&amp;$C205&amp;"|"&amp;$D205&amp;"|"&amp;X$14&amp;"|"&amp;"CY2023Q3",Spectrum!$R:$R,0)),0),""))</f>
        <v>1058</v>
      </c>
      <c r="Y205" s="90" t="str">
        <f t="shared" si="54"/>
        <v/>
      </c>
      <c r="Z205" s="42">
        <f>IF(LEFT($B205,4)="_Mil","",_xlfn.IFNA(ROUND(INDEX(Spectrum!$N:$N,MATCH(RIGHT($B205,13)&amp;"|"&amp;$C205&amp;"|"&amp;$D205&amp;"|"&amp;Z$14&amp;"|"&amp;"CY2023Q3",Spectrum!$R:$R,0)),0),""))</f>
        <v>1917</v>
      </c>
      <c r="AA205" s="90">
        <f>IF(LEFT($B205,4)="_Mil","",IFERROR(1/(1/INDEX(Spectrum!$N:$N,MATCH(RIGHT($B205,13)&amp;"|"&amp;$C205&amp;"|"&amp;$D205&amp;"|"&amp;AA$14&amp;"|"&amp;"CY2023Q3",Spectrum!$R:$R,0))),IF(SUM($U205)=0,"",SUM($Z205)/$U205)))</f>
        <v>1569</v>
      </c>
      <c r="AB205" s="90">
        <f t="shared" si="55"/>
        <v>1.8119092627599245</v>
      </c>
      <c r="AC205" s="14">
        <f>IF(LEFT($B205,4)="_Mil","",_xlfn.IFNA(ROUND(INDEX(Spectrum!$N:$N,MATCH(RIGHT($B205,13)&amp;"|"&amp;$C205&amp;"|"&amp;$D205&amp;"|"&amp;AC$14&amp;"|"&amp;"CY2023Q3",Spectrum!$R:$R,0)),0),""))</f>
        <v>1446</v>
      </c>
      <c r="AD205" s="14" t="str">
        <f>IF(LEFT($B205,4)="_Mil","",_xlfn.IFNA(ROUND(INDEX(Spectrum!$N:$N,MATCH(RIGHT($B205,13)&amp;"|"&amp;$C205&amp;"|"&amp;$D205&amp;"|"&amp;AD$14&amp;"|"&amp;"CY2023Q3",Spectrum!$R:$R,0)),0),""))</f>
        <v/>
      </c>
      <c r="AE205" s="90">
        <f t="shared" si="56"/>
        <v>0</v>
      </c>
      <c r="AF205" s="42" t="str">
        <f>IF(LEFT($B205,4)="_Mil","",_xlfn.IFNA(ROUND(INDEX(Spectrum!$N:$N,MATCH(RIGHT($B205,13)&amp;"|"&amp;$C205&amp;"|"&amp;$D205&amp;"|"&amp;AF$14&amp;"|"&amp;"CY2023Q3",Spectrum!$R:$R,0)),0),""))</f>
        <v/>
      </c>
      <c r="AG205" s="90" t="str">
        <f t="shared" si="57"/>
        <v/>
      </c>
      <c r="AH205" s="88" t="str">
        <f>IF(LEFT($B205,4)="_Mil","",_xlfn.IFNA(INDEX(Spectrum!$N:$N,MATCH(RIGHT($B205,13)&amp;"|"&amp;$C205&amp;"|"&amp;$D205&amp;"|"&amp;AH$14&amp;"|"&amp;"CY2023Q3",Spectrum!$R:$R,0)),""))</f>
        <v/>
      </c>
      <c r="AI205" s="14" t="str">
        <f>IF(LEFT($B205,4)="_Mil","",_xlfn.IFNA(ROUND(INDEX(Spectrum!$N:$N,MATCH(RIGHT($B205,13)&amp;"|"&amp;$C205&amp;"|"&amp;$D205&amp;"|"&amp;AI$14&amp;"|"&amp;"CY2023Q3",Spectrum!$R:$R,0)),0),""))</f>
        <v/>
      </c>
      <c r="AJ205" s="42">
        <f>IF(LEFT($B205,4)="_Mil","",_xlfn.IFNA(ROUND(INDEX(Spectrum!$N:$N,MATCH(RIGHT($B205,13)&amp;"|"&amp;$C205&amp;"|"&amp;$D205&amp;"|"&amp;AI$14&amp;"|"&amp;"CY2023Q3",Spectrum!$R:$R,0)),0),SUM($U205)+SUM($AI205)))</f>
        <v>0</v>
      </c>
      <c r="AK205" s="14" t="str">
        <f>IF(LEFT($B205,4)="_Mil","",_xlfn.IFNA(ROUND(INDEX(Spectrum!$N:$N,MATCH(RIGHT($B205,13)&amp;"|"&amp;$C205&amp;"|"&amp;$D205&amp;"|"&amp;AK$14&amp;"|"&amp;"CY2023Q3",Spectrum!$R:$R,0)),0),""))</f>
        <v/>
      </c>
      <c r="AL205" s="90">
        <f t="shared" si="58"/>
        <v>1569</v>
      </c>
      <c r="AM205" s="14">
        <f t="shared" si="59"/>
        <v>0</v>
      </c>
      <c r="AN205" s="14" t="str">
        <f>IF($C205="&lt;01",ROUND(INDEX(EID!$P:$P,MATCH($B205,EID!$B:$B,0))/2,0),"")</f>
        <v/>
      </c>
      <c r="AO205" s="14">
        <f t="shared" si="60"/>
        <v>0</v>
      </c>
      <c r="AP205" s="42">
        <f t="shared" si="61"/>
        <v>0</v>
      </c>
      <c r="AQ205" s="42">
        <f t="shared" si="62"/>
        <v>1917</v>
      </c>
      <c r="AR205" s="90" t="str">
        <f t="shared" si="63"/>
        <v/>
      </c>
      <c r="AS205" s="90">
        <f t="shared" si="75"/>
        <v>0.98</v>
      </c>
      <c r="AT205" s="90">
        <f t="shared" si="75"/>
        <v>0.98</v>
      </c>
      <c r="AU205" s="14">
        <f t="shared" si="64"/>
        <v>0</v>
      </c>
      <c r="AV205" s="14">
        <f>IF($C205="&lt;01",ROUND(INDEX(EID!$N:$N,MATCH($B205,EID!$B:$B,0))/2,0),IF(SUM($AT205)=0,"",ROUND((SUM($AP205)-(SUM($O205)*SUM($AS205)))/$AT205,0)))</f>
        <v>0</v>
      </c>
      <c r="AW205" s="90">
        <f t="shared" si="65"/>
        <v>1</v>
      </c>
      <c r="AX205" s="42">
        <f t="shared" si="66"/>
        <v>0</v>
      </c>
      <c r="AY205" s="116">
        <f t="shared" si="67"/>
        <v>0.7</v>
      </c>
      <c r="AZ205" s="93">
        <f>IF($C205="&lt;01",ROUND(INDEX(EID!$R:$R,MATCH($B205,EID!$B:$B,0))/2,0),ROUND(SUM($O205)+(SUM($AV205)*$AY205),0))</f>
        <v>0</v>
      </c>
      <c r="BA205" s="89">
        <f t="shared" si="68"/>
        <v>0.95</v>
      </c>
      <c r="BB205" s="9">
        <f>IF($C205="&lt;01",ROUND(INDEX(EID!$T:$T,MATCH($B205,EID!$B:$B,0))/2,0),ROUND($AZ205*$BA205,0))</f>
        <v>0</v>
      </c>
      <c r="BC205" s="93">
        <f t="shared" si="69"/>
        <v>0</v>
      </c>
      <c r="BD205" s="90">
        <f t="shared" si="70"/>
        <v>0.95</v>
      </c>
      <c r="BE205" s="42">
        <f>IF($C205="&lt;01",ROUND(INDEX(EID!$V:$V,MATCH($B205,EID!$B:$B,0))/2,0),ROUND($BD205*$BB205,0))</f>
        <v>0</v>
      </c>
      <c r="BF205" s="42">
        <f t="shared" si="71"/>
        <v>0</v>
      </c>
      <c r="BG205" s="116">
        <f t="shared" si="72"/>
        <v>0.95</v>
      </c>
      <c r="BH205" s="9">
        <f>IF($C205="&lt;01",ROUND(INDEX(EID!$L:$L,MATCH($B205,EID!$B:$B,0)),0)/2,IF(SUM($BG205)=0,"",ROUND($AX205/$BG205,0)))</f>
        <v>0</v>
      </c>
    </row>
    <row r="206" spans="1:60" x14ac:dyDescent="0.2">
      <c r="A206" t="str">
        <f>INDEX(Prioritization!$D:$D,MATCH($B206,Prioritization!$A:$A,0))</f>
        <v>1 - Scale-up: Saturation</v>
      </c>
      <c r="B206" t="s">
        <v>206</v>
      </c>
      <c r="C206" t="s">
        <v>365</v>
      </c>
      <c r="D206" t="s">
        <v>47</v>
      </c>
      <c r="E206" t="str">
        <f t="shared" si="51"/>
        <v>Mzimba District [vA4NcHxfMBq]|25-34|Male</v>
      </c>
      <c r="F206" s="14"/>
      <c r="G206" s="14"/>
      <c r="H206" s="14"/>
      <c r="I206" s="14"/>
      <c r="J206" s="14"/>
      <c r="K206" s="14"/>
      <c r="L206" s="14"/>
      <c r="M206" s="14"/>
      <c r="N206" s="14"/>
      <c r="O206" s="14" t="str">
        <f t="shared" si="52"/>
        <v/>
      </c>
      <c r="P206" s="14"/>
      <c r="Q206" s="14"/>
      <c r="R206" s="14" t="str">
        <f t="shared" si="53"/>
        <v/>
      </c>
      <c r="S206" s="14">
        <f>IF(LEFT($B206,4)="_Mil","",_xlfn.IFNA(ROUND(INDEX(Spectrum!$N:$N,MATCH(RIGHT($B206,13)&amp;"|"&amp;$C206&amp;"|"&amp;$D206&amp;"|"&amp;S$14&amp;"|"&amp;"CY2022Q4",Spectrum!$R:$R,0)),0),""))</f>
        <v>1938</v>
      </c>
      <c r="T206" s="42">
        <f>IF(LEFT($B206,4)="_Mil","",_xlfn.IFNA(ROUND(INDEX(Spectrum!$N:$N,MATCH(RIGHT($B206,13)&amp;"|"&amp;$C206&amp;"|"&amp;$D206&amp;"|"&amp;T$14&amp;"|"&amp;"CY2023Q3",Spectrum!$R:$R,0)),0),""))</f>
        <v>1328</v>
      </c>
      <c r="U206" s="42" t="str">
        <f>IF(LEFT($B206,4)="_Mil","",_xlfn.IFNA(ROUND(INDEX(Spectrum!$N:$N,MATCH(RIGHT($B206,13)&amp;"|"&amp;$C206&amp;"|"&amp;$D206&amp;"|"&amp;U$14&amp;"|"&amp;"CY2023Q3",Spectrum!$R:$R,0)),0),""))</f>
        <v/>
      </c>
      <c r="V206" s="14">
        <f>IF(LEFT($B206,4)="_Mil","",_xlfn.IFNA(ROUND(INDEX(Spectrum!$N:$N,MATCH(RIGHT($B206,13)&amp;"|"&amp;$C206&amp;"|"&amp;$D206&amp;"|"&amp;V$14&amp;"|"&amp;"CY2023Q3",Spectrum!$R:$R,0)),0),""))</f>
        <v>775</v>
      </c>
      <c r="W206" s="115">
        <f>IF(LEFT($B206,4)="_Mil","",_xlfn.IFNA(INDEX(Spectrum!$N:$N,MATCH(RIGHT($B206,13)&amp;"|"&amp;$C206&amp;"|"&amp;$D206&amp;"|"&amp;W$14&amp;"|"&amp;"CY2023Q3",Spectrum!$R:$R,0)),""))</f>
        <v>1558</v>
      </c>
      <c r="X206" s="42">
        <f>IF(LEFT($B206,4)="_Mil","",_xlfn.IFNA(ROUND(INDEX(Spectrum!$N:$N,MATCH(RIGHT($B206,13)&amp;"|"&amp;$C206&amp;"|"&amp;$D206&amp;"|"&amp;X$14&amp;"|"&amp;"CY2023Q3",Spectrum!$R:$R,0)),0),""))</f>
        <v>1245</v>
      </c>
      <c r="Y206" s="90" t="str">
        <f t="shared" si="54"/>
        <v/>
      </c>
      <c r="Z206" s="42">
        <f>IF(LEFT($B206,4)="_Mil","",_xlfn.IFNA(ROUND(INDEX(Spectrum!$N:$N,MATCH(RIGHT($B206,13)&amp;"|"&amp;$C206&amp;"|"&amp;$D206&amp;"|"&amp;Z$14&amp;"|"&amp;"CY2023Q3",Spectrum!$R:$R,0)),0),""))</f>
        <v>1580</v>
      </c>
      <c r="AA206" s="90">
        <f>IF(LEFT($B206,4)="_Mil","",IFERROR(1/(1/INDEX(Spectrum!$N:$N,MATCH(RIGHT($B206,13)&amp;"|"&amp;$C206&amp;"|"&amp;$D206&amp;"|"&amp;AA$14&amp;"|"&amp;"CY2023Q3",Spectrum!$R:$R,0))),IF(SUM($U206)=0,"",SUM($Z206)/$U206)))</f>
        <v>1023</v>
      </c>
      <c r="AB206" s="90">
        <f t="shared" si="55"/>
        <v>1.2690763052208835</v>
      </c>
      <c r="AC206" s="14">
        <f>IF(LEFT($B206,4)="_Mil","",_xlfn.IFNA(ROUND(INDEX(Spectrum!$N:$N,MATCH(RIGHT($B206,13)&amp;"|"&amp;$C206&amp;"|"&amp;$D206&amp;"|"&amp;AC$14&amp;"|"&amp;"CY2023Q3",Spectrum!$R:$R,0)),0),""))</f>
        <v>812</v>
      </c>
      <c r="AD206" s="14" t="str">
        <f>IF(LEFT($B206,4)="_Mil","",_xlfn.IFNA(ROUND(INDEX(Spectrum!$N:$N,MATCH(RIGHT($B206,13)&amp;"|"&amp;$C206&amp;"|"&amp;$D206&amp;"|"&amp;AD$14&amp;"|"&amp;"CY2023Q3",Spectrum!$R:$R,0)),0),""))</f>
        <v/>
      </c>
      <c r="AE206" s="90">
        <f t="shared" si="56"/>
        <v>0</v>
      </c>
      <c r="AF206" s="42" t="str">
        <f>IF(LEFT($B206,4)="_Mil","",_xlfn.IFNA(ROUND(INDEX(Spectrum!$N:$N,MATCH(RIGHT($B206,13)&amp;"|"&amp;$C206&amp;"|"&amp;$D206&amp;"|"&amp;AF$14&amp;"|"&amp;"CY2023Q3",Spectrum!$R:$R,0)),0),""))</f>
        <v/>
      </c>
      <c r="AG206" s="90" t="str">
        <f t="shared" si="57"/>
        <v/>
      </c>
      <c r="AH206" s="88" t="str">
        <f>IF(LEFT($B206,4)="_Mil","",_xlfn.IFNA(INDEX(Spectrum!$N:$N,MATCH(RIGHT($B206,13)&amp;"|"&amp;$C206&amp;"|"&amp;$D206&amp;"|"&amp;AH$14&amp;"|"&amp;"CY2023Q3",Spectrum!$R:$R,0)),""))</f>
        <v/>
      </c>
      <c r="AI206" s="14" t="str">
        <f>IF(LEFT($B206,4)="_Mil","",_xlfn.IFNA(ROUND(INDEX(Spectrum!$N:$N,MATCH(RIGHT($B206,13)&amp;"|"&amp;$C206&amp;"|"&amp;$D206&amp;"|"&amp;AI$14&amp;"|"&amp;"CY2023Q3",Spectrum!$R:$R,0)),0),""))</f>
        <v/>
      </c>
      <c r="AJ206" s="42">
        <f>IF(LEFT($B206,4)="_Mil","",_xlfn.IFNA(ROUND(INDEX(Spectrum!$N:$N,MATCH(RIGHT($B206,13)&amp;"|"&amp;$C206&amp;"|"&amp;$D206&amp;"|"&amp;AI$14&amp;"|"&amp;"CY2023Q3",Spectrum!$R:$R,0)),0),SUM($U206)+SUM($AI206)))</f>
        <v>0</v>
      </c>
      <c r="AK206" s="14" t="str">
        <f>IF(LEFT($B206,4)="_Mil","",_xlfn.IFNA(ROUND(INDEX(Spectrum!$N:$N,MATCH(RIGHT($B206,13)&amp;"|"&amp;$C206&amp;"|"&amp;$D206&amp;"|"&amp;AK$14&amp;"|"&amp;"CY2023Q3",Spectrum!$R:$R,0)),0),""))</f>
        <v/>
      </c>
      <c r="AL206" s="90">
        <f t="shared" si="58"/>
        <v>1023</v>
      </c>
      <c r="AM206" s="14">
        <f t="shared" si="59"/>
        <v>0</v>
      </c>
      <c r="AN206" s="14" t="str">
        <f>IF($C206="&lt;01",ROUND(INDEX(EID!$P:$P,MATCH($B206,EID!$B:$B,0))/2,0),"")</f>
        <v/>
      </c>
      <c r="AO206" s="14">
        <f t="shared" si="60"/>
        <v>0</v>
      </c>
      <c r="AP206" s="42">
        <f t="shared" si="61"/>
        <v>0</v>
      </c>
      <c r="AQ206" s="42">
        <f t="shared" si="62"/>
        <v>1580</v>
      </c>
      <c r="AR206" s="90" t="str">
        <f t="shared" si="63"/>
        <v/>
      </c>
      <c r="AS206" s="90">
        <f t="shared" si="75"/>
        <v>0.98</v>
      </c>
      <c r="AT206" s="90">
        <f t="shared" si="75"/>
        <v>0.98</v>
      </c>
      <c r="AU206" s="14">
        <f t="shared" si="64"/>
        <v>0</v>
      </c>
      <c r="AV206" s="14">
        <f>IF($C206="&lt;01",ROUND(INDEX(EID!$N:$N,MATCH($B206,EID!$B:$B,0))/2,0),IF(SUM($AT206)=0,"",ROUND((SUM($AP206)-(SUM($O206)*SUM($AS206)))/$AT206,0)))</f>
        <v>0</v>
      </c>
      <c r="AW206" s="90">
        <f t="shared" si="65"/>
        <v>1</v>
      </c>
      <c r="AX206" s="42">
        <f t="shared" si="66"/>
        <v>0</v>
      </c>
      <c r="AY206" s="116">
        <f t="shared" si="67"/>
        <v>0.7</v>
      </c>
      <c r="AZ206" s="93">
        <f>IF($C206="&lt;01",ROUND(INDEX(EID!$R:$R,MATCH($B206,EID!$B:$B,0))/2,0),ROUND(SUM($O206)+(SUM($AV206)*$AY206),0))</f>
        <v>0</v>
      </c>
      <c r="BA206" s="89">
        <f t="shared" si="68"/>
        <v>0.95</v>
      </c>
      <c r="BB206" s="9">
        <f>IF($C206="&lt;01",ROUND(INDEX(EID!$T:$T,MATCH($B206,EID!$B:$B,0))/2,0),ROUND($AZ206*$BA206,0))</f>
        <v>0</v>
      </c>
      <c r="BC206" s="93">
        <f t="shared" si="69"/>
        <v>0</v>
      </c>
      <c r="BD206" s="90">
        <f t="shared" si="70"/>
        <v>0.95</v>
      </c>
      <c r="BE206" s="42">
        <f>IF($C206="&lt;01",ROUND(INDEX(EID!$V:$V,MATCH($B206,EID!$B:$B,0))/2,0),ROUND($BD206*$BB206,0))</f>
        <v>0</v>
      </c>
      <c r="BF206" s="42">
        <f t="shared" si="71"/>
        <v>0</v>
      </c>
      <c r="BG206" s="116">
        <f t="shared" si="72"/>
        <v>0.95</v>
      </c>
      <c r="BH206" s="9">
        <f>IF($C206="&lt;01",ROUND(INDEX(EID!$L:$L,MATCH($B206,EID!$B:$B,0)),0)/2,IF(SUM($BG206)=0,"",ROUND($AX206/$BG206,0)))</f>
        <v>0</v>
      </c>
    </row>
    <row r="207" spans="1:60" x14ac:dyDescent="0.2">
      <c r="A207" t="str">
        <f>INDEX(Prioritization!$D:$D,MATCH($B207,Prioritization!$A:$A,0))</f>
        <v>1 - Scale-up: Saturation</v>
      </c>
      <c r="B207" t="s">
        <v>206</v>
      </c>
      <c r="C207" t="s">
        <v>366</v>
      </c>
      <c r="D207" t="s">
        <v>29</v>
      </c>
      <c r="E207" t="str">
        <f t="shared" ref="E207:E270" si="76">$B207&amp;"|"&amp;$C207&amp;"|"&amp;$D207</f>
        <v>Mzimba District [vA4NcHxfMBq]|35-49|Female</v>
      </c>
      <c r="F207" s="14"/>
      <c r="G207" s="14"/>
      <c r="H207" s="14"/>
      <c r="I207" s="14"/>
      <c r="J207" s="14"/>
      <c r="K207" s="14"/>
      <c r="L207" s="14"/>
      <c r="M207" s="14"/>
      <c r="N207" s="14"/>
      <c r="O207" s="14" t="str">
        <f t="shared" ref="O207:O270" si="77">IFERROR(1/(1/MAX($I207,$N207)),"")</f>
        <v/>
      </c>
      <c r="P207" s="14"/>
      <c r="Q207" s="14"/>
      <c r="R207" s="14" t="str">
        <f t="shared" ref="R207:R270" si="78">IF(AND(SUM($I207)=0,SUM($O207)=0),"",SUM($O207)-$I207)</f>
        <v/>
      </c>
      <c r="S207" s="14">
        <f>IF(LEFT($B207,4)="_Mil","",_xlfn.IFNA(ROUND(INDEX(Spectrum!$N:$N,MATCH(RIGHT($B207,13)&amp;"|"&amp;$C207&amp;"|"&amp;$D207&amp;"|"&amp;S$14&amp;"|"&amp;"CY2022Q4",Spectrum!$R:$R,0)),0),""))</f>
        <v>1947</v>
      </c>
      <c r="T207" s="42">
        <f>IF(LEFT($B207,4)="_Mil","",_xlfn.IFNA(ROUND(INDEX(Spectrum!$N:$N,MATCH(RIGHT($B207,13)&amp;"|"&amp;$C207&amp;"|"&amp;$D207&amp;"|"&amp;T$14&amp;"|"&amp;"CY2023Q3",Spectrum!$R:$R,0)),0),""))</f>
        <v>1178</v>
      </c>
      <c r="U207" s="42" t="str">
        <f>IF(LEFT($B207,4)="_Mil","",_xlfn.IFNA(ROUND(INDEX(Spectrum!$N:$N,MATCH(RIGHT($B207,13)&amp;"|"&amp;$C207&amp;"|"&amp;$D207&amp;"|"&amp;U$14&amp;"|"&amp;"CY2023Q3",Spectrum!$R:$R,0)),0),""))</f>
        <v/>
      </c>
      <c r="V207" s="14">
        <f>IF(LEFT($B207,4)="_Mil","",_xlfn.IFNA(ROUND(INDEX(Spectrum!$N:$N,MATCH(RIGHT($B207,13)&amp;"|"&amp;$C207&amp;"|"&amp;$D207&amp;"|"&amp;V$14&amp;"|"&amp;"CY2023Q3",Spectrum!$R:$R,0)),0),""))</f>
        <v>1427</v>
      </c>
      <c r="W207" s="115">
        <f>IF(LEFT($B207,4)="_Mil","",_xlfn.IFNA(INDEX(Spectrum!$N:$N,MATCH(RIGHT($B207,13)&amp;"|"&amp;$C207&amp;"|"&amp;$D207&amp;"|"&amp;W$14&amp;"|"&amp;"CY2023Q3",Spectrum!$R:$R,0)),""))</f>
        <v>1121</v>
      </c>
      <c r="X207" s="42">
        <f>IF(LEFT($B207,4)="_Mil","",_xlfn.IFNA(ROUND(INDEX(Spectrum!$N:$N,MATCH(RIGHT($B207,13)&amp;"|"&amp;$C207&amp;"|"&amp;$D207&amp;"|"&amp;X$14&amp;"|"&amp;"CY2023Q3",Spectrum!$R:$R,0)),0),""))</f>
        <v>824</v>
      </c>
      <c r="Y207" s="90" t="str">
        <f t="shared" ref="Y207:Y270" si="79">IF(OR(SUM($U207)=0,LEFT($B207,4)="_Mil"),"",SUM($X207)/$U207)</f>
        <v/>
      </c>
      <c r="Z207" s="42">
        <f>IF(LEFT($B207,4)="_Mil","",_xlfn.IFNA(ROUND(INDEX(Spectrum!$N:$N,MATCH(RIGHT($B207,13)&amp;"|"&amp;$C207&amp;"|"&amp;$D207&amp;"|"&amp;Z$14&amp;"|"&amp;"CY2023Q3",Spectrum!$R:$R,0)),0),""))</f>
        <v>1804</v>
      </c>
      <c r="AA207" s="90">
        <f>IF(LEFT($B207,4)="_Mil","",IFERROR(1/(1/INDEX(Spectrum!$N:$N,MATCH(RIGHT($B207,13)&amp;"|"&amp;$C207&amp;"|"&amp;$D207&amp;"|"&amp;AA$14&amp;"|"&amp;"CY2023Q3",Spectrum!$R:$R,0))),IF(SUM($U207)=0,"",SUM($Z207)/$U207)))</f>
        <v>917.99999999999989</v>
      </c>
      <c r="AB207" s="90">
        <f t="shared" ref="AB207:AB270" si="80">IF(OR(LEFT($B207,4)="_Mil",SUM($X207)=0),"",SUM($Z207)/$X207)</f>
        <v>2.1893203883495147</v>
      </c>
      <c r="AC207" s="14">
        <f>IF(LEFT($B207,4)="_Mil","",_xlfn.IFNA(ROUND(INDEX(Spectrum!$N:$N,MATCH(RIGHT($B207,13)&amp;"|"&amp;$C207&amp;"|"&amp;$D207&amp;"|"&amp;AC$14&amp;"|"&amp;"CY2023Q3",Spectrum!$R:$R,0)),0),""))</f>
        <v>1754</v>
      </c>
      <c r="AD207" s="14" t="str">
        <f>IF(LEFT($B207,4)="_Mil","",_xlfn.IFNA(ROUND(INDEX(Spectrum!$N:$N,MATCH(RIGHT($B207,13)&amp;"|"&amp;$C207&amp;"|"&amp;$D207&amp;"|"&amp;AD$14&amp;"|"&amp;"CY2023Q3",Spectrum!$R:$R,0)),0),""))</f>
        <v/>
      </c>
      <c r="AE207" s="90">
        <f t="shared" ref="AE207:AE270" si="81">IF(OR(LEFT($B207,4)="_Mil",SUM($Z207)=0),"",SUM($AD207)/$Z207)</f>
        <v>0</v>
      </c>
      <c r="AF207" s="42" t="str">
        <f>IF(LEFT($B207,4)="_Mil","",_xlfn.IFNA(ROUND(INDEX(Spectrum!$N:$N,MATCH(RIGHT($B207,13)&amp;"|"&amp;$C207&amp;"|"&amp;$D207&amp;"|"&amp;AF$14&amp;"|"&amp;"CY2023Q3",Spectrum!$R:$R,0)),0),""))</f>
        <v/>
      </c>
      <c r="AG207" s="90" t="str">
        <f t="shared" ref="AG207:AG270" si="82">IF(OR(LEFT($B207,4)="_Mil",SUM($AD207)=0),"",SUM($AF207)/$AD207)</f>
        <v/>
      </c>
      <c r="AH207" s="88" t="str">
        <f>IF(LEFT($B207,4)="_Mil","",_xlfn.IFNA(INDEX(Spectrum!$N:$N,MATCH(RIGHT($B207,13)&amp;"|"&amp;$C207&amp;"|"&amp;$D207&amp;"|"&amp;AH$14&amp;"|"&amp;"CY2023Q3",Spectrum!$R:$R,0)),""))</f>
        <v/>
      </c>
      <c r="AI207" s="14" t="str">
        <f>IF(LEFT($B207,4)="_Mil","",_xlfn.IFNA(ROUND(INDEX(Spectrum!$N:$N,MATCH(RIGHT($B207,13)&amp;"|"&amp;$C207&amp;"|"&amp;$D207&amp;"|"&amp;AI$14&amp;"|"&amp;"CY2023Q3",Spectrum!$R:$R,0)),0),""))</f>
        <v/>
      </c>
      <c r="AJ207" s="42">
        <f>IF(LEFT($B207,4)="_Mil","",_xlfn.IFNA(ROUND(INDEX(Spectrum!$N:$N,MATCH(RIGHT($B207,13)&amp;"|"&amp;$C207&amp;"|"&amp;$D207&amp;"|"&amp;AI$14&amp;"|"&amp;"CY2023Q3",Spectrum!$R:$R,0)),0),SUM($U207)+SUM($AI207)))</f>
        <v>0</v>
      </c>
      <c r="AK207" s="14" t="str">
        <f>IF(LEFT($B207,4)="_Mil","",_xlfn.IFNA(ROUND(INDEX(Spectrum!$N:$N,MATCH(RIGHT($B207,13)&amp;"|"&amp;$C207&amp;"|"&amp;$D207&amp;"|"&amp;AK$14&amp;"|"&amp;"CY2023Q3",Spectrum!$R:$R,0)),0),""))</f>
        <v/>
      </c>
      <c r="AL207" s="90">
        <f t="shared" ref="AL207:AL270" si="83">IF(OR(LEFT($B207,4)="_Mil",$C207="&lt;01"),"",MAX(SUM($AA207),90%))</f>
        <v>917.99999999999989</v>
      </c>
      <c r="AM207" s="14">
        <f t="shared" ref="AM207:AM270" si="84">IF(OR(LEFT($B207,4)="_Mil",$C207="&lt;01"),"",ROUND(SUM($AJ207)*SUM($AL207),0))</f>
        <v>0</v>
      </c>
      <c r="AN207" s="14" t="str">
        <f>IF($C207="&lt;01",ROUND(INDEX(EID!$P:$P,MATCH($B207,EID!$B:$B,0))/2,0),"")</f>
        <v/>
      </c>
      <c r="AO207" s="14">
        <f t="shared" ref="AO207:AO270" si="85">IF($C207="&lt;01",SUM($AN207),ROUND(SUM($AM207)*SUM($O207)/IF(SUM($Z207)=0,1,$Z207),0))</f>
        <v>0</v>
      </c>
      <c r="AP207" s="42">
        <f t="shared" ref="AP207:AP270" si="86">IF(OR($F207="",$C207="&lt;01"),$AO207,$F207)</f>
        <v>0</v>
      </c>
      <c r="AQ207" s="42">
        <f t="shared" ref="AQ207:AQ270" si="87">IF(LEFT($B207,4)="_Mil","",IF(SUM($AP207)=0,SUM($Z207),IF(OR(SUM($Z207)=0,SUM($O207)=0),MAX($AP207,$Z207),$AP207*$Z207/$O207)))</f>
        <v>1804</v>
      </c>
      <c r="AR207" s="90" t="str">
        <f t="shared" ref="AR207:AR270" si="88">IF(OR(LEFT($B207,4)="_Mil",SUM($AJ207)=0),"",SUM($AQ207)/$AJ207)</f>
        <v/>
      </c>
      <c r="AS207" s="90">
        <f t="shared" si="75"/>
        <v>0.98</v>
      </c>
      <c r="AT207" s="90">
        <f t="shared" si="75"/>
        <v>0.98</v>
      </c>
      <c r="AU207" s="14">
        <f t="shared" ref="AU207:AU270" si="89">IF($C207="&lt;01","",SUM($AP207)-SUM($O207))</f>
        <v>0</v>
      </c>
      <c r="AV207" s="14">
        <f>IF($C207="&lt;01",ROUND(INDEX(EID!$N:$N,MATCH($B207,EID!$B:$B,0))/2,0),IF(SUM($AT207)=0,"",ROUND((SUM($AP207)-(SUM($O207)*SUM($AS207)))/$AT207,0)))</f>
        <v>0</v>
      </c>
      <c r="AW207" s="90">
        <f t="shared" ref="AW207:AW270" si="90">IF($C207="&lt;01","",100%)</f>
        <v>1</v>
      </c>
      <c r="AX207" s="42">
        <f t="shared" ref="AX207:AX270" si="91">IF($C207="&lt;01",SUM($AV207),ROUND(SUM($AV207)*SUM($AW207),0))</f>
        <v>0</v>
      </c>
      <c r="AY207" s="116">
        <f t="shared" ref="AY207:AY270" si="92">IF($C207="&lt;01","",70%)</f>
        <v>0.7</v>
      </c>
      <c r="AZ207" s="93">
        <f>IF($C207="&lt;01",ROUND(INDEX(EID!$R:$R,MATCH($B207,EID!$B:$B,0))/2,0),ROUND(SUM($O207)+(SUM($AV207)*$AY207),0))</f>
        <v>0</v>
      </c>
      <c r="BA207" s="89">
        <f t="shared" ref="BA207:BA270" si="93">IF($C207="&lt;01","",95%)</f>
        <v>0.95</v>
      </c>
      <c r="BB207" s="9">
        <f>IF($C207="&lt;01",ROUND(INDEX(EID!$T:$T,MATCH($B207,EID!$B:$B,0))/2,0),ROUND($AZ207*$BA207,0))</f>
        <v>0</v>
      </c>
      <c r="BC207" s="93">
        <f t="shared" ref="BC207:BC270" si="94">IF(LEFT($B207,4)="_Mil","",IF(SUM($BB207)=0,SUM($AD207),IF(OR(SUM($AP207)=0,SUM($AQ207)=0),MAX($BB207,$AD207),ROUND($BB207*$AQ207/$AP207,0))))</f>
        <v>0</v>
      </c>
      <c r="BD207" s="90">
        <f t="shared" ref="BD207:BD270" si="95">IF($C207="&lt;01","",95%)</f>
        <v>0.95</v>
      </c>
      <c r="BE207" s="42">
        <f>IF($C207="&lt;01",ROUND(INDEX(EID!$V:$V,MATCH($B207,EID!$B:$B,0))/2,0),ROUND($BD207*$BB207,0))</f>
        <v>0</v>
      </c>
      <c r="BF207" s="42">
        <f t="shared" ref="BF207:BF270" si="96">IF(LEFT($B207,4)="_Mil","",IF(SUM($BE207)=0,SUM($AF207),IF(OR(SUM($AP207)=0,SUM($AQ207)=0),MAX($BE207,$AF207),ROUND($BE207*$AQ207/$AP207,0))))</f>
        <v>0</v>
      </c>
      <c r="BG207" s="116">
        <f t="shared" ref="BG207:BG270" si="97">IF($C207="&lt;01","",95%)</f>
        <v>0.95</v>
      </c>
      <c r="BH207" s="9">
        <f>IF($C207="&lt;01",ROUND(INDEX(EID!$L:$L,MATCH($B207,EID!$B:$B,0)),0)/2,IF(SUM($BG207)=0,"",ROUND($AX207/$BG207,0)))</f>
        <v>0</v>
      </c>
    </row>
    <row r="208" spans="1:60" x14ac:dyDescent="0.2">
      <c r="A208" t="str">
        <f>INDEX(Prioritization!$D:$D,MATCH($B208,Prioritization!$A:$A,0))</f>
        <v>1 - Scale-up: Saturation</v>
      </c>
      <c r="B208" t="s">
        <v>206</v>
      </c>
      <c r="C208" t="s">
        <v>366</v>
      </c>
      <c r="D208" t="s">
        <v>47</v>
      </c>
      <c r="E208" t="str">
        <f t="shared" si="76"/>
        <v>Mzimba District [vA4NcHxfMBq]|35-49|Male</v>
      </c>
      <c r="F208" s="14"/>
      <c r="G208" s="14"/>
      <c r="H208" s="14"/>
      <c r="I208" s="14"/>
      <c r="J208" s="14"/>
      <c r="K208" s="14"/>
      <c r="L208" s="14"/>
      <c r="M208" s="14"/>
      <c r="N208" s="14"/>
      <c r="O208" s="14" t="str">
        <f t="shared" si="77"/>
        <v/>
      </c>
      <c r="P208" s="14"/>
      <c r="Q208" s="14"/>
      <c r="R208" s="14" t="str">
        <f t="shared" si="78"/>
        <v/>
      </c>
      <c r="S208" s="14">
        <f>IF(LEFT($B208,4)="_Mil","",_xlfn.IFNA(ROUND(INDEX(Spectrum!$N:$N,MATCH(RIGHT($B208,13)&amp;"|"&amp;$C208&amp;"|"&amp;$D208&amp;"|"&amp;S$14&amp;"|"&amp;"CY2022Q4",Spectrum!$R:$R,0)),0),""))</f>
        <v>1274</v>
      </c>
      <c r="T208" s="42">
        <f>IF(LEFT($B208,4)="_Mil","",_xlfn.IFNA(ROUND(INDEX(Spectrum!$N:$N,MATCH(RIGHT($B208,13)&amp;"|"&amp;$C208&amp;"|"&amp;$D208&amp;"|"&amp;T$14&amp;"|"&amp;"CY2023Q3",Spectrum!$R:$R,0)),0),""))</f>
        <v>1395</v>
      </c>
      <c r="U208" s="42" t="str">
        <f>IF(LEFT($B208,4)="_Mil","",_xlfn.IFNA(ROUND(INDEX(Spectrum!$N:$N,MATCH(RIGHT($B208,13)&amp;"|"&amp;$C208&amp;"|"&amp;$D208&amp;"|"&amp;U$14&amp;"|"&amp;"CY2023Q3",Spectrum!$R:$R,0)),0),""))</f>
        <v/>
      </c>
      <c r="V208" s="14">
        <f>IF(LEFT($B208,4)="_Mil","",_xlfn.IFNA(ROUND(INDEX(Spectrum!$N:$N,MATCH(RIGHT($B208,13)&amp;"|"&amp;$C208&amp;"|"&amp;$D208&amp;"|"&amp;V$14&amp;"|"&amp;"CY2023Q3",Spectrum!$R:$R,0)),0),""))</f>
        <v>711</v>
      </c>
      <c r="W208" s="115">
        <f>IF(LEFT($B208,4)="_Mil","",_xlfn.IFNA(INDEX(Spectrum!$N:$N,MATCH(RIGHT($B208,13)&amp;"|"&amp;$C208&amp;"|"&amp;$D208&amp;"|"&amp;W$14&amp;"|"&amp;"CY2023Q3",Spectrum!$R:$R,0)),""))</f>
        <v>952</v>
      </c>
      <c r="X208" s="42">
        <f>IF(LEFT($B208,4)="_Mil","",_xlfn.IFNA(ROUND(INDEX(Spectrum!$N:$N,MATCH(RIGHT($B208,13)&amp;"|"&amp;$C208&amp;"|"&amp;$D208&amp;"|"&amp;X$14&amp;"|"&amp;"CY2023Q3",Spectrum!$R:$R,0)),0),""))</f>
        <v>1261</v>
      </c>
      <c r="Y208" s="90" t="str">
        <f t="shared" si="79"/>
        <v/>
      </c>
      <c r="Z208" s="42">
        <f>IF(LEFT($B208,4)="_Mil","",_xlfn.IFNA(ROUND(INDEX(Spectrum!$N:$N,MATCH(RIGHT($B208,13)&amp;"|"&amp;$C208&amp;"|"&amp;$D208&amp;"|"&amp;Z$14&amp;"|"&amp;"CY2023Q3",Spectrum!$R:$R,0)),0),""))</f>
        <v>1401</v>
      </c>
      <c r="AA208" s="90">
        <f>IF(LEFT($B208,4)="_Mil","",IFERROR(1/(1/INDEX(Spectrum!$N:$N,MATCH(RIGHT($B208,13)&amp;"|"&amp;$C208&amp;"|"&amp;$D208&amp;"|"&amp;AA$14&amp;"|"&amp;"CY2023Q3",Spectrum!$R:$R,0))),IF(SUM($U208)=0,"",SUM($Z208)/$U208)))</f>
        <v>1021</v>
      </c>
      <c r="AB208" s="90">
        <f t="shared" si="80"/>
        <v>1.1110229976209358</v>
      </c>
      <c r="AC208" s="14">
        <f>IF(LEFT($B208,4)="_Mil","",_xlfn.IFNA(ROUND(INDEX(Spectrum!$N:$N,MATCH(RIGHT($B208,13)&amp;"|"&amp;$C208&amp;"|"&amp;$D208&amp;"|"&amp;AC$14&amp;"|"&amp;"CY2023Q3",Spectrum!$R:$R,0)),0),""))</f>
        <v>1300</v>
      </c>
      <c r="AD208" s="14" t="str">
        <f>IF(LEFT($B208,4)="_Mil","",_xlfn.IFNA(ROUND(INDEX(Spectrum!$N:$N,MATCH(RIGHT($B208,13)&amp;"|"&amp;$C208&amp;"|"&amp;$D208&amp;"|"&amp;AD$14&amp;"|"&amp;"CY2023Q3",Spectrum!$R:$R,0)),0),""))</f>
        <v/>
      </c>
      <c r="AE208" s="90">
        <f t="shared" si="81"/>
        <v>0</v>
      </c>
      <c r="AF208" s="42" t="str">
        <f>IF(LEFT($B208,4)="_Mil","",_xlfn.IFNA(ROUND(INDEX(Spectrum!$N:$N,MATCH(RIGHT($B208,13)&amp;"|"&amp;$C208&amp;"|"&amp;$D208&amp;"|"&amp;AF$14&amp;"|"&amp;"CY2023Q3",Spectrum!$R:$R,0)),0),""))</f>
        <v/>
      </c>
      <c r="AG208" s="90" t="str">
        <f t="shared" si="82"/>
        <v/>
      </c>
      <c r="AH208" s="88" t="str">
        <f>IF(LEFT($B208,4)="_Mil","",_xlfn.IFNA(INDEX(Spectrum!$N:$N,MATCH(RIGHT($B208,13)&amp;"|"&amp;$C208&amp;"|"&amp;$D208&amp;"|"&amp;AH$14&amp;"|"&amp;"CY2023Q3",Spectrum!$R:$R,0)),""))</f>
        <v/>
      </c>
      <c r="AI208" s="14" t="str">
        <f>IF(LEFT($B208,4)="_Mil","",_xlfn.IFNA(ROUND(INDEX(Spectrum!$N:$N,MATCH(RIGHT($B208,13)&amp;"|"&amp;$C208&amp;"|"&amp;$D208&amp;"|"&amp;AI$14&amp;"|"&amp;"CY2023Q3",Spectrum!$R:$R,0)),0),""))</f>
        <v/>
      </c>
      <c r="AJ208" s="42">
        <f>IF(LEFT($B208,4)="_Mil","",_xlfn.IFNA(ROUND(INDEX(Spectrum!$N:$N,MATCH(RIGHT($B208,13)&amp;"|"&amp;$C208&amp;"|"&amp;$D208&amp;"|"&amp;AI$14&amp;"|"&amp;"CY2023Q3",Spectrum!$R:$R,0)),0),SUM($U208)+SUM($AI208)))</f>
        <v>0</v>
      </c>
      <c r="AK208" s="14" t="str">
        <f>IF(LEFT($B208,4)="_Mil","",_xlfn.IFNA(ROUND(INDEX(Spectrum!$N:$N,MATCH(RIGHT($B208,13)&amp;"|"&amp;$C208&amp;"|"&amp;$D208&amp;"|"&amp;AK$14&amp;"|"&amp;"CY2023Q3",Spectrum!$R:$R,0)),0),""))</f>
        <v/>
      </c>
      <c r="AL208" s="90">
        <f t="shared" si="83"/>
        <v>1021</v>
      </c>
      <c r="AM208" s="14">
        <f t="shared" si="84"/>
        <v>0</v>
      </c>
      <c r="AN208" s="14" t="str">
        <f>IF($C208="&lt;01",ROUND(INDEX(EID!$P:$P,MATCH($B208,EID!$B:$B,0))/2,0),"")</f>
        <v/>
      </c>
      <c r="AO208" s="14">
        <f t="shared" si="85"/>
        <v>0</v>
      </c>
      <c r="AP208" s="42">
        <f t="shared" si="86"/>
        <v>0</v>
      </c>
      <c r="AQ208" s="42">
        <f t="shared" si="87"/>
        <v>1401</v>
      </c>
      <c r="AR208" s="90" t="str">
        <f t="shared" si="88"/>
        <v/>
      </c>
      <c r="AS208" s="90">
        <f t="shared" si="75"/>
        <v>0.98</v>
      </c>
      <c r="AT208" s="90">
        <f t="shared" si="75"/>
        <v>0.98</v>
      </c>
      <c r="AU208" s="14">
        <f t="shared" si="89"/>
        <v>0</v>
      </c>
      <c r="AV208" s="14">
        <f>IF($C208="&lt;01",ROUND(INDEX(EID!$N:$N,MATCH($B208,EID!$B:$B,0))/2,0),IF(SUM($AT208)=0,"",ROUND((SUM($AP208)-(SUM($O208)*SUM($AS208)))/$AT208,0)))</f>
        <v>0</v>
      </c>
      <c r="AW208" s="90">
        <f t="shared" si="90"/>
        <v>1</v>
      </c>
      <c r="AX208" s="42">
        <f t="shared" si="91"/>
        <v>0</v>
      </c>
      <c r="AY208" s="116">
        <f t="shared" si="92"/>
        <v>0.7</v>
      </c>
      <c r="AZ208" s="93">
        <f>IF($C208="&lt;01",ROUND(INDEX(EID!$R:$R,MATCH($B208,EID!$B:$B,0))/2,0),ROUND(SUM($O208)+(SUM($AV208)*$AY208),0))</f>
        <v>0</v>
      </c>
      <c r="BA208" s="89">
        <f t="shared" si="93"/>
        <v>0.95</v>
      </c>
      <c r="BB208" s="9">
        <f>IF($C208="&lt;01",ROUND(INDEX(EID!$T:$T,MATCH($B208,EID!$B:$B,0))/2,0),ROUND($AZ208*$BA208,0))</f>
        <v>0</v>
      </c>
      <c r="BC208" s="93">
        <f t="shared" si="94"/>
        <v>0</v>
      </c>
      <c r="BD208" s="90">
        <f t="shared" si="95"/>
        <v>0.95</v>
      </c>
      <c r="BE208" s="42">
        <f>IF($C208="&lt;01",ROUND(INDEX(EID!$V:$V,MATCH($B208,EID!$B:$B,0))/2,0),ROUND($BD208*$BB208,0))</f>
        <v>0</v>
      </c>
      <c r="BF208" s="42">
        <f t="shared" si="96"/>
        <v>0</v>
      </c>
      <c r="BG208" s="116">
        <f t="shared" si="97"/>
        <v>0.95</v>
      </c>
      <c r="BH208" s="9">
        <f>IF($C208="&lt;01",ROUND(INDEX(EID!$L:$L,MATCH($B208,EID!$B:$B,0)),0)/2,IF(SUM($BG208)=0,"",ROUND($AX208/$BG208,0)))</f>
        <v>0</v>
      </c>
    </row>
    <row r="209" spans="1:60" x14ac:dyDescent="0.2">
      <c r="A209" t="str">
        <f>INDEX(Prioritization!$D:$D,MATCH($B209,Prioritization!$A:$A,0))</f>
        <v>1 - Scale-up: Saturation</v>
      </c>
      <c r="B209" t="s">
        <v>206</v>
      </c>
      <c r="C209" t="s">
        <v>367</v>
      </c>
      <c r="D209" t="s">
        <v>29</v>
      </c>
      <c r="E209" t="str">
        <f t="shared" si="76"/>
        <v>Mzimba District [vA4NcHxfMBq]|50+|Female</v>
      </c>
      <c r="F209" s="14"/>
      <c r="G209" s="14"/>
      <c r="H209" s="14"/>
      <c r="I209" s="14"/>
      <c r="J209" s="14"/>
      <c r="K209" s="14"/>
      <c r="L209" s="14"/>
      <c r="M209" s="14"/>
      <c r="N209" s="14"/>
      <c r="O209" s="14" t="str">
        <f t="shared" si="77"/>
        <v/>
      </c>
      <c r="P209" s="14"/>
      <c r="Q209" s="14"/>
      <c r="R209" s="14" t="str">
        <f t="shared" si="78"/>
        <v/>
      </c>
      <c r="S209" s="14">
        <f>IF(LEFT($B209,4)="_Mil","",_xlfn.IFNA(ROUND(INDEX(Spectrum!$N:$N,MATCH(RIGHT($B209,13)&amp;"|"&amp;$C209&amp;"|"&amp;$D209&amp;"|"&amp;S$14&amp;"|"&amp;"CY2022Q4",Spectrum!$R:$R,0)),0),""))</f>
        <v>591</v>
      </c>
      <c r="T209" s="42">
        <f>IF(LEFT($B209,4)="_Mil","",_xlfn.IFNA(ROUND(INDEX(Spectrum!$N:$N,MATCH(RIGHT($B209,13)&amp;"|"&amp;$C209&amp;"|"&amp;$D209&amp;"|"&amp;T$14&amp;"|"&amp;"CY2023Q3",Spectrum!$R:$R,0)),0),""))</f>
        <v>1385</v>
      </c>
      <c r="U209" s="42" t="str">
        <f>IF(LEFT($B209,4)="_Mil","",_xlfn.IFNA(ROUND(INDEX(Spectrum!$N:$N,MATCH(RIGHT($B209,13)&amp;"|"&amp;$C209&amp;"|"&amp;$D209&amp;"|"&amp;U$14&amp;"|"&amp;"CY2023Q3",Spectrum!$R:$R,0)),0),""))</f>
        <v/>
      </c>
      <c r="V209" s="14">
        <f>IF(LEFT($B209,4)="_Mil","",_xlfn.IFNA(ROUND(INDEX(Spectrum!$N:$N,MATCH(RIGHT($B209,13)&amp;"|"&amp;$C209&amp;"|"&amp;$D209&amp;"|"&amp;V$14&amp;"|"&amp;"CY2023Q3",Spectrum!$R:$R,0)),0),""))</f>
        <v>806</v>
      </c>
      <c r="W209" s="115">
        <f>IF(LEFT($B209,4)="_Mil","",_xlfn.IFNA(INDEX(Spectrum!$N:$N,MATCH(RIGHT($B209,13)&amp;"|"&amp;$C209&amp;"|"&amp;$D209&amp;"|"&amp;W$14&amp;"|"&amp;"CY2023Q3",Spectrum!$R:$R,0)),""))</f>
        <v>1596</v>
      </c>
      <c r="X209" s="42">
        <f>IF(LEFT($B209,4)="_Mil","",_xlfn.IFNA(ROUND(INDEX(Spectrum!$N:$N,MATCH(RIGHT($B209,13)&amp;"|"&amp;$C209&amp;"|"&amp;$D209&amp;"|"&amp;X$14&amp;"|"&amp;"CY2023Q3",Spectrum!$R:$R,0)),0),""))</f>
        <v>914</v>
      </c>
      <c r="Y209" s="90" t="str">
        <f t="shared" si="79"/>
        <v/>
      </c>
      <c r="Z209" s="42">
        <f>IF(LEFT($B209,4)="_Mil","",_xlfn.IFNA(ROUND(INDEX(Spectrum!$N:$N,MATCH(RIGHT($B209,13)&amp;"|"&amp;$C209&amp;"|"&amp;$D209&amp;"|"&amp;Z$14&amp;"|"&amp;"CY2023Q3",Spectrum!$R:$R,0)),0),""))</f>
        <v>1051</v>
      </c>
      <c r="AA209" s="90">
        <f>IF(LEFT($B209,4)="_Mil","",IFERROR(1/(1/INDEX(Spectrum!$N:$N,MATCH(RIGHT($B209,13)&amp;"|"&amp;$C209&amp;"|"&amp;$D209&amp;"|"&amp;AA$14&amp;"|"&amp;"CY2023Q3",Spectrum!$R:$R,0))),IF(SUM($U209)=0,"",SUM($Z209)/$U209)))</f>
        <v>1687.0000000000002</v>
      </c>
      <c r="AB209" s="90">
        <f t="shared" si="80"/>
        <v>1.149890590809628</v>
      </c>
      <c r="AC209" s="14">
        <f>IF(LEFT($B209,4)="_Mil","",_xlfn.IFNA(ROUND(INDEX(Spectrum!$N:$N,MATCH(RIGHT($B209,13)&amp;"|"&amp;$C209&amp;"|"&amp;$D209&amp;"|"&amp;AC$14&amp;"|"&amp;"CY2023Q3",Spectrum!$R:$R,0)),0),""))</f>
        <v>1661</v>
      </c>
      <c r="AD209" s="14" t="str">
        <f>IF(LEFT($B209,4)="_Mil","",_xlfn.IFNA(ROUND(INDEX(Spectrum!$N:$N,MATCH(RIGHT($B209,13)&amp;"|"&amp;$C209&amp;"|"&amp;$D209&amp;"|"&amp;AD$14&amp;"|"&amp;"CY2023Q3",Spectrum!$R:$R,0)),0),""))</f>
        <v/>
      </c>
      <c r="AE209" s="90">
        <f t="shared" si="81"/>
        <v>0</v>
      </c>
      <c r="AF209" s="42" t="str">
        <f>IF(LEFT($B209,4)="_Mil","",_xlfn.IFNA(ROUND(INDEX(Spectrum!$N:$N,MATCH(RIGHT($B209,13)&amp;"|"&amp;$C209&amp;"|"&amp;$D209&amp;"|"&amp;AF$14&amp;"|"&amp;"CY2023Q3",Spectrum!$R:$R,0)),0),""))</f>
        <v/>
      </c>
      <c r="AG209" s="90" t="str">
        <f t="shared" si="82"/>
        <v/>
      </c>
      <c r="AH209" s="88" t="str">
        <f>IF(LEFT($B209,4)="_Mil","",_xlfn.IFNA(INDEX(Spectrum!$N:$N,MATCH(RIGHT($B209,13)&amp;"|"&amp;$C209&amp;"|"&amp;$D209&amp;"|"&amp;AH$14&amp;"|"&amp;"CY2023Q3",Spectrum!$R:$R,0)),""))</f>
        <v/>
      </c>
      <c r="AI209" s="14" t="str">
        <f>IF(LEFT($B209,4)="_Mil","",_xlfn.IFNA(ROUND(INDEX(Spectrum!$N:$N,MATCH(RIGHT($B209,13)&amp;"|"&amp;$C209&amp;"|"&amp;$D209&amp;"|"&amp;AI$14&amp;"|"&amp;"CY2023Q3",Spectrum!$R:$R,0)),0),""))</f>
        <v/>
      </c>
      <c r="AJ209" s="42">
        <f>IF(LEFT($B209,4)="_Mil","",_xlfn.IFNA(ROUND(INDEX(Spectrum!$N:$N,MATCH(RIGHT($B209,13)&amp;"|"&amp;$C209&amp;"|"&amp;$D209&amp;"|"&amp;AI$14&amp;"|"&amp;"CY2023Q3",Spectrum!$R:$R,0)),0),SUM($U209)+SUM($AI209)))</f>
        <v>0</v>
      </c>
      <c r="AK209" s="14" t="str">
        <f>IF(LEFT($B209,4)="_Mil","",_xlfn.IFNA(ROUND(INDEX(Spectrum!$N:$N,MATCH(RIGHT($B209,13)&amp;"|"&amp;$C209&amp;"|"&amp;$D209&amp;"|"&amp;AK$14&amp;"|"&amp;"CY2023Q3",Spectrum!$R:$R,0)),0),""))</f>
        <v/>
      </c>
      <c r="AL209" s="90">
        <f t="shared" si="83"/>
        <v>1687.0000000000002</v>
      </c>
      <c r="AM209" s="14">
        <f t="shared" si="84"/>
        <v>0</v>
      </c>
      <c r="AN209" s="14" t="str">
        <f>IF($C209="&lt;01",ROUND(INDEX(EID!$P:$P,MATCH($B209,EID!$B:$B,0))/2,0),"")</f>
        <v/>
      </c>
      <c r="AO209" s="14">
        <f t="shared" si="85"/>
        <v>0</v>
      </c>
      <c r="AP209" s="42">
        <f t="shared" si="86"/>
        <v>0</v>
      </c>
      <c r="AQ209" s="42">
        <f t="shared" si="87"/>
        <v>1051</v>
      </c>
      <c r="AR209" s="90" t="str">
        <f t="shared" si="88"/>
        <v/>
      </c>
      <c r="AS209" s="90">
        <f t="shared" si="75"/>
        <v>0.98</v>
      </c>
      <c r="AT209" s="90">
        <f t="shared" si="75"/>
        <v>0.98</v>
      </c>
      <c r="AU209" s="14">
        <f t="shared" si="89"/>
        <v>0</v>
      </c>
      <c r="AV209" s="14">
        <f>IF($C209="&lt;01",ROUND(INDEX(EID!$N:$N,MATCH($B209,EID!$B:$B,0))/2,0),IF(SUM($AT209)=0,"",ROUND((SUM($AP209)-(SUM($O209)*SUM($AS209)))/$AT209,0)))</f>
        <v>0</v>
      </c>
      <c r="AW209" s="90">
        <f t="shared" si="90"/>
        <v>1</v>
      </c>
      <c r="AX209" s="42">
        <f t="shared" si="91"/>
        <v>0</v>
      </c>
      <c r="AY209" s="116">
        <f t="shared" si="92"/>
        <v>0.7</v>
      </c>
      <c r="AZ209" s="93">
        <f>IF($C209="&lt;01",ROUND(INDEX(EID!$R:$R,MATCH($B209,EID!$B:$B,0))/2,0),ROUND(SUM($O209)+(SUM($AV209)*$AY209),0))</f>
        <v>0</v>
      </c>
      <c r="BA209" s="89">
        <f t="shared" si="93"/>
        <v>0.95</v>
      </c>
      <c r="BB209" s="9">
        <f>IF($C209="&lt;01",ROUND(INDEX(EID!$T:$T,MATCH($B209,EID!$B:$B,0))/2,0),ROUND($AZ209*$BA209,0))</f>
        <v>0</v>
      </c>
      <c r="BC209" s="93">
        <f t="shared" si="94"/>
        <v>0</v>
      </c>
      <c r="BD209" s="90">
        <f t="shared" si="95"/>
        <v>0.95</v>
      </c>
      <c r="BE209" s="42">
        <f>IF($C209="&lt;01",ROUND(INDEX(EID!$V:$V,MATCH($B209,EID!$B:$B,0))/2,0),ROUND($BD209*$BB209,0))</f>
        <v>0</v>
      </c>
      <c r="BF209" s="42">
        <f t="shared" si="96"/>
        <v>0</v>
      </c>
      <c r="BG209" s="116">
        <f t="shared" si="97"/>
        <v>0.95</v>
      </c>
      <c r="BH209" s="9">
        <f>IF($C209="&lt;01",ROUND(INDEX(EID!$L:$L,MATCH($B209,EID!$B:$B,0)),0)/2,IF(SUM($BG209)=0,"",ROUND($AX209/$BG209,0)))</f>
        <v>0</v>
      </c>
    </row>
    <row r="210" spans="1:60" x14ac:dyDescent="0.2">
      <c r="A210" t="str">
        <f>INDEX(Prioritization!$D:$D,MATCH($B210,Prioritization!$A:$A,0))</f>
        <v>1 - Scale-up: Saturation</v>
      </c>
      <c r="B210" t="s">
        <v>206</v>
      </c>
      <c r="C210" t="s">
        <v>367</v>
      </c>
      <c r="D210" t="s">
        <v>47</v>
      </c>
      <c r="E210" t="str">
        <f t="shared" si="76"/>
        <v>Mzimba District [vA4NcHxfMBq]|50+|Male</v>
      </c>
      <c r="F210" s="14"/>
      <c r="G210" s="14"/>
      <c r="H210" s="14"/>
      <c r="I210" s="14"/>
      <c r="J210" s="14"/>
      <c r="K210" s="14"/>
      <c r="L210" s="14"/>
      <c r="M210" s="14"/>
      <c r="N210" s="14"/>
      <c r="O210" s="14" t="str">
        <f t="shared" si="77"/>
        <v/>
      </c>
      <c r="P210" s="14"/>
      <c r="Q210" s="14"/>
      <c r="R210" s="14" t="str">
        <f t="shared" si="78"/>
        <v/>
      </c>
      <c r="S210" s="14">
        <f>IF(LEFT($B210,4)="_Mil","",_xlfn.IFNA(ROUND(INDEX(Spectrum!$N:$N,MATCH(RIGHT($B210,13)&amp;"|"&amp;$C210&amp;"|"&amp;$D210&amp;"|"&amp;S$14&amp;"|"&amp;"CY2022Q4",Spectrum!$R:$R,0)),0),""))</f>
        <v>638</v>
      </c>
      <c r="T210" s="42">
        <f>IF(LEFT($B210,4)="_Mil","",_xlfn.IFNA(ROUND(INDEX(Spectrum!$N:$N,MATCH(RIGHT($B210,13)&amp;"|"&amp;$C210&amp;"|"&amp;$D210&amp;"|"&amp;T$14&amp;"|"&amp;"CY2023Q3",Spectrum!$R:$R,0)),0),""))</f>
        <v>1270</v>
      </c>
      <c r="U210" s="42" t="str">
        <f>IF(LEFT($B210,4)="_Mil","",_xlfn.IFNA(ROUND(INDEX(Spectrum!$N:$N,MATCH(RIGHT($B210,13)&amp;"|"&amp;$C210&amp;"|"&amp;$D210&amp;"|"&amp;U$14&amp;"|"&amp;"CY2023Q3",Spectrum!$R:$R,0)),0),""))</f>
        <v/>
      </c>
      <c r="V210" s="14">
        <f>IF(LEFT($B210,4)="_Mil","",_xlfn.IFNA(ROUND(INDEX(Spectrum!$N:$N,MATCH(RIGHT($B210,13)&amp;"|"&amp;$C210&amp;"|"&amp;$D210&amp;"|"&amp;V$14&amp;"|"&amp;"CY2023Q3",Spectrum!$R:$R,0)),0),""))</f>
        <v>780</v>
      </c>
      <c r="W210" s="115">
        <f>IF(LEFT($B210,4)="_Mil","",_xlfn.IFNA(INDEX(Spectrum!$N:$N,MATCH(RIGHT($B210,13)&amp;"|"&amp;$C210&amp;"|"&amp;$D210&amp;"|"&amp;W$14&amp;"|"&amp;"CY2023Q3",Spectrum!$R:$R,0)),""))</f>
        <v>678</v>
      </c>
      <c r="X210" s="42">
        <f>IF(LEFT($B210,4)="_Mil","",_xlfn.IFNA(ROUND(INDEX(Spectrum!$N:$N,MATCH(RIGHT($B210,13)&amp;"|"&amp;$C210&amp;"|"&amp;$D210&amp;"|"&amp;X$14&amp;"|"&amp;"CY2023Q3",Spectrum!$R:$R,0)),0),""))</f>
        <v>1190</v>
      </c>
      <c r="Y210" s="90" t="str">
        <f t="shared" si="79"/>
        <v/>
      </c>
      <c r="Z210" s="42">
        <f>IF(LEFT($B210,4)="_Mil","",_xlfn.IFNA(ROUND(INDEX(Spectrum!$N:$N,MATCH(RIGHT($B210,13)&amp;"|"&amp;$C210&amp;"|"&amp;$D210&amp;"|"&amp;Z$14&amp;"|"&amp;"CY2023Q3",Spectrum!$R:$R,0)),0),""))</f>
        <v>1516</v>
      </c>
      <c r="AA210" s="90">
        <f>IF(LEFT($B210,4)="_Mil","",IFERROR(1/(1/INDEX(Spectrum!$N:$N,MATCH(RIGHT($B210,13)&amp;"|"&amp;$C210&amp;"|"&amp;$D210&amp;"|"&amp;AA$14&amp;"|"&amp;"CY2023Q3",Spectrum!$R:$R,0))),IF(SUM($U210)=0,"",SUM($Z210)/$U210)))</f>
        <v>1119</v>
      </c>
      <c r="AB210" s="90">
        <f t="shared" si="80"/>
        <v>1.2739495798319327</v>
      </c>
      <c r="AC210" s="14">
        <f>IF(LEFT($B210,4)="_Mil","",_xlfn.IFNA(ROUND(INDEX(Spectrum!$N:$N,MATCH(RIGHT($B210,13)&amp;"|"&amp;$C210&amp;"|"&amp;$D210&amp;"|"&amp;AC$14&amp;"|"&amp;"CY2023Q3",Spectrum!$R:$R,0)),0),""))</f>
        <v>902</v>
      </c>
      <c r="AD210" s="14" t="str">
        <f>IF(LEFT($B210,4)="_Mil","",_xlfn.IFNA(ROUND(INDEX(Spectrum!$N:$N,MATCH(RIGHT($B210,13)&amp;"|"&amp;$C210&amp;"|"&amp;$D210&amp;"|"&amp;AD$14&amp;"|"&amp;"CY2023Q3",Spectrum!$R:$R,0)),0),""))</f>
        <v/>
      </c>
      <c r="AE210" s="90">
        <f t="shared" si="81"/>
        <v>0</v>
      </c>
      <c r="AF210" s="42" t="str">
        <f>IF(LEFT($B210,4)="_Mil","",_xlfn.IFNA(ROUND(INDEX(Spectrum!$N:$N,MATCH(RIGHT($B210,13)&amp;"|"&amp;$C210&amp;"|"&amp;$D210&amp;"|"&amp;AF$14&amp;"|"&amp;"CY2023Q3",Spectrum!$R:$R,0)),0),""))</f>
        <v/>
      </c>
      <c r="AG210" s="90" t="str">
        <f t="shared" si="82"/>
        <v/>
      </c>
      <c r="AH210" s="88" t="str">
        <f>IF(LEFT($B210,4)="_Mil","",_xlfn.IFNA(INDEX(Spectrum!$N:$N,MATCH(RIGHT($B210,13)&amp;"|"&amp;$C210&amp;"|"&amp;$D210&amp;"|"&amp;AH$14&amp;"|"&amp;"CY2023Q3",Spectrum!$R:$R,0)),""))</f>
        <v/>
      </c>
      <c r="AI210" s="14" t="str">
        <f>IF(LEFT($B210,4)="_Mil","",_xlfn.IFNA(ROUND(INDEX(Spectrum!$N:$N,MATCH(RIGHT($B210,13)&amp;"|"&amp;$C210&amp;"|"&amp;$D210&amp;"|"&amp;AI$14&amp;"|"&amp;"CY2023Q3",Spectrum!$R:$R,0)),0),""))</f>
        <v/>
      </c>
      <c r="AJ210" s="42">
        <f>IF(LEFT($B210,4)="_Mil","",_xlfn.IFNA(ROUND(INDEX(Spectrum!$N:$N,MATCH(RIGHT($B210,13)&amp;"|"&amp;$C210&amp;"|"&amp;$D210&amp;"|"&amp;AI$14&amp;"|"&amp;"CY2023Q3",Spectrum!$R:$R,0)),0),SUM($U210)+SUM($AI210)))</f>
        <v>0</v>
      </c>
      <c r="AK210" s="14" t="str">
        <f>IF(LEFT($B210,4)="_Mil","",_xlfn.IFNA(ROUND(INDEX(Spectrum!$N:$N,MATCH(RIGHT($B210,13)&amp;"|"&amp;$C210&amp;"|"&amp;$D210&amp;"|"&amp;AK$14&amp;"|"&amp;"CY2023Q3",Spectrum!$R:$R,0)),0),""))</f>
        <v/>
      </c>
      <c r="AL210" s="90">
        <f t="shared" si="83"/>
        <v>1119</v>
      </c>
      <c r="AM210" s="14">
        <f t="shared" si="84"/>
        <v>0</v>
      </c>
      <c r="AN210" s="14" t="str">
        <f>IF($C210="&lt;01",ROUND(INDEX(EID!$P:$P,MATCH($B210,EID!$B:$B,0))/2,0),"")</f>
        <v/>
      </c>
      <c r="AO210" s="14">
        <f t="shared" si="85"/>
        <v>0</v>
      </c>
      <c r="AP210" s="42">
        <f t="shared" si="86"/>
        <v>0</v>
      </c>
      <c r="AQ210" s="42">
        <f t="shared" si="87"/>
        <v>1516</v>
      </c>
      <c r="AR210" s="90" t="str">
        <f t="shared" si="88"/>
        <v/>
      </c>
      <c r="AS210" s="90">
        <f t="shared" si="75"/>
        <v>0.98</v>
      </c>
      <c r="AT210" s="90">
        <f t="shared" si="75"/>
        <v>0.98</v>
      </c>
      <c r="AU210" s="14">
        <f t="shared" si="89"/>
        <v>0</v>
      </c>
      <c r="AV210" s="14">
        <f>IF($C210="&lt;01",ROUND(INDEX(EID!$N:$N,MATCH($B210,EID!$B:$B,0))/2,0),IF(SUM($AT210)=0,"",ROUND((SUM($AP210)-(SUM($O210)*SUM($AS210)))/$AT210,0)))</f>
        <v>0</v>
      </c>
      <c r="AW210" s="90">
        <f t="shared" si="90"/>
        <v>1</v>
      </c>
      <c r="AX210" s="42">
        <f t="shared" si="91"/>
        <v>0</v>
      </c>
      <c r="AY210" s="116">
        <f t="shared" si="92"/>
        <v>0.7</v>
      </c>
      <c r="AZ210" s="93">
        <f>IF($C210="&lt;01",ROUND(INDEX(EID!$R:$R,MATCH($B210,EID!$B:$B,0))/2,0),ROUND(SUM($O210)+(SUM($AV210)*$AY210),0))</f>
        <v>0</v>
      </c>
      <c r="BA210" s="89">
        <f t="shared" si="93"/>
        <v>0.95</v>
      </c>
      <c r="BB210" s="9">
        <f>IF($C210="&lt;01",ROUND(INDEX(EID!$T:$T,MATCH($B210,EID!$B:$B,0))/2,0),ROUND($AZ210*$BA210,0))</f>
        <v>0</v>
      </c>
      <c r="BC210" s="93">
        <f t="shared" si="94"/>
        <v>0</v>
      </c>
      <c r="BD210" s="90">
        <f t="shared" si="95"/>
        <v>0.95</v>
      </c>
      <c r="BE210" s="42">
        <f>IF($C210="&lt;01",ROUND(INDEX(EID!$V:$V,MATCH($B210,EID!$B:$B,0))/2,0),ROUND($BD210*$BB210,0))</f>
        <v>0</v>
      </c>
      <c r="BF210" s="42">
        <f t="shared" si="96"/>
        <v>0</v>
      </c>
      <c r="BG210" s="116">
        <f t="shared" si="97"/>
        <v>0.95</v>
      </c>
      <c r="BH210" s="9">
        <f>IF($C210="&lt;01",ROUND(INDEX(EID!$L:$L,MATCH($B210,EID!$B:$B,0)),0)/2,IF(SUM($BG210)=0,"",ROUND($AX210/$BG210,0)))</f>
        <v>0</v>
      </c>
    </row>
    <row r="211" spans="1:60" x14ac:dyDescent="0.2">
      <c r="A211" t="str">
        <f>INDEX(Prioritization!$D:$D,MATCH($B211,Prioritization!$A:$A,0))</f>
        <v>INVALID</v>
      </c>
      <c r="B211" t="s">
        <v>207</v>
      </c>
      <c r="C211" t="s">
        <v>315</v>
      </c>
      <c r="D211" t="s">
        <v>29</v>
      </c>
      <c r="E211" t="str">
        <f t="shared" si="76"/>
        <v>Nkhata Bay District [E7zpfyBt7Tw]|&lt;01|Female</v>
      </c>
      <c r="F211" s="14"/>
      <c r="G211" s="14">
        <v>2</v>
      </c>
      <c r="H211" s="14">
        <v>0</v>
      </c>
      <c r="I211" s="14">
        <v>0</v>
      </c>
      <c r="J211" s="14">
        <v>1</v>
      </c>
      <c r="K211" s="14">
        <v>0</v>
      </c>
      <c r="L211" s="14"/>
      <c r="M211" s="14">
        <v>0</v>
      </c>
      <c r="N211" s="14">
        <v>0</v>
      </c>
      <c r="O211" s="14" t="str">
        <f t="shared" si="77"/>
        <v/>
      </c>
      <c r="P211" s="14">
        <v>1</v>
      </c>
      <c r="Q211" s="14">
        <v>1</v>
      </c>
      <c r="R211" s="14" t="str">
        <f t="shared" si="78"/>
        <v/>
      </c>
      <c r="S211" s="14">
        <f>IF(LEFT($B211,4)="_Mil","",_xlfn.IFNA(ROUND(INDEX(Spectrum!$N:$N,MATCH(RIGHT($B211,13)&amp;"|"&amp;$C211&amp;"|"&amp;$D211&amp;"|"&amp;S$14&amp;"|"&amp;"CY2022Q4",Spectrum!$R:$R,0)),0),""))</f>
        <v>962</v>
      </c>
      <c r="T211" s="42">
        <f>IF(LEFT($B211,4)="_Mil","",_xlfn.IFNA(ROUND(INDEX(Spectrum!$N:$N,MATCH(RIGHT($B211,13)&amp;"|"&amp;$C211&amp;"|"&amp;$D211&amp;"|"&amp;T$14&amp;"|"&amp;"CY2023Q3",Spectrum!$R:$R,0)),0),""))</f>
        <v>1955</v>
      </c>
      <c r="U211" s="42" t="str">
        <f>IF(LEFT($B211,4)="_Mil","",_xlfn.IFNA(ROUND(INDEX(Spectrum!$N:$N,MATCH(RIGHT($B211,13)&amp;"|"&amp;$C211&amp;"|"&amp;$D211&amp;"|"&amp;U$14&amp;"|"&amp;"CY2023Q3",Spectrum!$R:$R,0)),0),""))</f>
        <v/>
      </c>
      <c r="V211" s="14">
        <f>IF(LEFT($B211,4)="_Mil","",_xlfn.IFNA(ROUND(INDEX(Spectrum!$N:$N,MATCH(RIGHT($B211,13)&amp;"|"&amp;$C211&amp;"|"&amp;$D211&amp;"|"&amp;V$14&amp;"|"&amp;"CY2023Q3",Spectrum!$R:$R,0)),0),""))</f>
        <v>1004</v>
      </c>
      <c r="W211" s="115">
        <f>IF(LEFT($B211,4)="_Mil","",_xlfn.IFNA(INDEX(Spectrum!$N:$N,MATCH(RIGHT($B211,13)&amp;"|"&amp;$C211&amp;"|"&amp;$D211&amp;"|"&amp;W$14&amp;"|"&amp;"CY2023Q3",Spectrum!$R:$R,0)),""))</f>
        <v>1522</v>
      </c>
      <c r="X211" s="42">
        <f>IF(LEFT($B211,4)="_Mil","",_xlfn.IFNA(ROUND(INDEX(Spectrum!$N:$N,MATCH(RIGHT($B211,13)&amp;"|"&amp;$C211&amp;"|"&amp;$D211&amp;"|"&amp;X$14&amp;"|"&amp;"CY2023Q3",Spectrum!$R:$R,0)),0),""))</f>
        <v>1835</v>
      </c>
      <c r="Y211" s="90" t="str">
        <f t="shared" si="79"/>
        <v/>
      </c>
      <c r="Z211" s="42">
        <f>IF(LEFT($B211,4)="_Mil","",_xlfn.IFNA(ROUND(INDEX(Spectrum!$N:$N,MATCH(RIGHT($B211,13)&amp;"|"&amp;$C211&amp;"|"&amp;$D211&amp;"|"&amp;Z$14&amp;"|"&amp;"CY2023Q3",Spectrum!$R:$R,0)),0),""))</f>
        <v>550</v>
      </c>
      <c r="AA211" s="90">
        <f>IF(LEFT($B211,4)="_Mil","",IFERROR(1/(1/INDEX(Spectrum!$N:$N,MATCH(RIGHT($B211,13)&amp;"|"&amp;$C211&amp;"|"&amp;$D211&amp;"|"&amp;AA$14&amp;"|"&amp;"CY2023Q3",Spectrum!$R:$R,0))),IF(SUM($U211)=0,"",SUM($Z211)/$U211)))</f>
        <v>1328</v>
      </c>
      <c r="AB211" s="90">
        <f t="shared" si="80"/>
        <v>0.29972752043596729</v>
      </c>
      <c r="AC211" s="14">
        <f>IF(LEFT($B211,4)="_Mil","",_xlfn.IFNA(ROUND(INDEX(Spectrum!$N:$N,MATCH(RIGHT($B211,13)&amp;"|"&amp;$C211&amp;"|"&amp;$D211&amp;"|"&amp;AC$14&amp;"|"&amp;"CY2023Q3",Spectrum!$R:$R,0)),0),""))</f>
        <v>1668</v>
      </c>
      <c r="AD211" s="14" t="str">
        <f>IF(LEFT($B211,4)="_Mil","",_xlfn.IFNA(ROUND(INDEX(Spectrum!$N:$N,MATCH(RIGHT($B211,13)&amp;"|"&amp;$C211&amp;"|"&amp;$D211&amp;"|"&amp;AD$14&amp;"|"&amp;"CY2023Q3",Spectrum!$R:$R,0)),0),""))</f>
        <v/>
      </c>
      <c r="AE211" s="90">
        <f t="shared" si="81"/>
        <v>0</v>
      </c>
      <c r="AF211" s="42" t="str">
        <f>IF(LEFT($B211,4)="_Mil","",_xlfn.IFNA(ROUND(INDEX(Spectrum!$N:$N,MATCH(RIGHT($B211,13)&amp;"|"&amp;$C211&amp;"|"&amp;$D211&amp;"|"&amp;AF$14&amp;"|"&amp;"CY2023Q3",Spectrum!$R:$R,0)),0),""))</f>
        <v/>
      </c>
      <c r="AG211" s="90" t="str">
        <f t="shared" si="82"/>
        <v/>
      </c>
      <c r="AH211" s="88" t="str">
        <f>IF(LEFT($B211,4)="_Mil","",_xlfn.IFNA(INDEX(Spectrum!$N:$N,MATCH(RIGHT($B211,13)&amp;"|"&amp;$C211&amp;"|"&amp;$D211&amp;"|"&amp;AH$14&amp;"|"&amp;"CY2023Q3",Spectrum!$R:$R,0)),""))</f>
        <v/>
      </c>
      <c r="AI211" s="14" t="str">
        <f>IF(LEFT($B211,4)="_Mil","",_xlfn.IFNA(ROUND(INDEX(Spectrum!$N:$N,MATCH(RIGHT($B211,13)&amp;"|"&amp;$C211&amp;"|"&amp;$D211&amp;"|"&amp;AI$14&amp;"|"&amp;"CY2023Q3",Spectrum!$R:$R,0)),0),""))</f>
        <v/>
      </c>
      <c r="AJ211" s="42">
        <f>IF(LEFT($B211,4)="_Mil","",_xlfn.IFNA(ROUND(INDEX(Spectrum!$N:$N,MATCH(RIGHT($B211,13)&amp;"|"&amp;$C211&amp;"|"&amp;$D211&amp;"|"&amp;AI$14&amp;"|"&amp;"CY2023Q3",Spectrum!$R:$R,0)),0),SUM($U211)+SUM($AI211)))</f>
        <v>0</v>
      </c>
      <c r="AK211" s="14" t="str">
        <f>IF(LEFT($B211,4)="_Mil","",_xlfn.IFNA(ROUND(INDEX(Spectrum!$N:$N,MATCH(RIGHT($B211,13)&amp;"|"&amp;$C211&amp;"|"&amp;$D211&amp;"|"&amp;AK$14&amp;"|"&amp;"CY2023Q3",Spectrum!$R:$R,0)),0),""))</f>
        <v/>
      </c>
      <c r="AL211" s="90" t="str">
        <f t="shared" si="83"/>
        <v/>
      </c>
      <c r="AM211" s="14" t="str">
        <f t="shared" si="84"/>
        <v/>
      </c>
      <c r="AN211" s="14">
        <f>IF($C211="&lt;01",ROUND(INDEX(EID!$P:$P,MATCH($B211,EID!$B:$B,0))/2,0),"")</f>
        <v>0</v>
      </c>
      <c r="AO211" s="14">
        <f t="shared" si="85"/>
        <v>0</v>
      </c>
      <c r="AP211" s="42">
        <f t="shared" si="86"/>
        <v>0</v>
      </c>
      <c r="AQ211" s="42">
        <f t="shared" si="87"/>
        <v>550</v>
      </c>
      <c r="AR211" s="90" t="str">
        <f t="shared" si="88"/>
        <v/>
      </c>
      <c r="AS211" s="90" t="str">
        <f t="shared" si="75"/>
        <v/>
      </c>
      <c r="AT211" s="90" t="str">
        <f t="shared" si="75"/>
        <v/>
      </c>
      <c r="AU211" s="14" t="str">
        <f t="shared" si="89"/>
        <v/>
      </c>
      <c r="AV211" s="14">
        <f>IF($C211="&lt;01",ROUND(INDEX(EID!$N:$N,MATCH($B211,EID!$B:$B,0))/2,0),IF(SUM($AT211)=0,"",ROUND((SUM($AP211)-(SUM($O211)*SUM($AS211)))/$AT211,0)))</f>
        <v>0</v>
      </c>
      <c r="AW211" s="90" t="str">
        <f t="shared" si="90"/>
        <v/>
      </c>
      <c r="AX211" s="42">
        <f t="shared" si="91"/>
        <v>0</v>
      </c>
      <c r="AY211" s="116" t="str">
        <f t="shared" si="92"/>
        <v/>
      </c>
      <c r="AZ211" s="93">
        <f>IF($C211="&lt;01",ROUND(INDEX(EID!$R:$R,MATCH($B211,EID!$B:$B,0))/2,0),ROUND(SUM($O211)+(SUM($AV211)*$AY211),0))</f>
        <v>0</v>
      </c>
      <c r="BA211" s="89" t="str">
        <f t="shared" si="93"/>
        <v/>
      </c>
      <c r="BB211" s="9">
        <f>IF($C211="&lt;01",ROUND(INDEX(EID!$T:$T,MATCH($B211,EID!$B:$B,0))/2,0),ROUND($AZ211*$BA211,0))</f>
        <v>0</v>
      </c>
      <c r="BC211" s="93">
        <f t="shared" si="94"/>
        <v>0</v>
      </c>
      <c r="BD211" s="90" t="str">
        <f t="shared" si="95"/>
        <v/>
      </c>
      <c r="BE211" s="42">
        <f>IF($C211="&lt;01",ROUND(INDEX(EID!$V:$V,MATCH($B211,EID!$B:$B,0))/2,0),ROUND($BD211*$BB211,0))</f>
        <v>0</v>
      </c>
      <c r="BF211" s="42">
        <f t="shared" si="96"/>
        <v>0</v>
      </c>
      <c r="BG211" s="116" t="str">
        <f t="shared" si="97"/>
        <v/>
      </c>
      <c r="BH211" s="9">
        <f>IF($C211="&lt;01",ROUND(INDEX(EID!$L:$L,MATCH($B211,EID!$B:$B,0)),0)/2,IF(SUM($BG211)=0,"",ROUND($AX211/$BG211,0)))</f>
        <v>0</v>
      </c>
    </row>
    <row r="212" spans="1:60" x14ac:dyDescent="0.2">
      <c r="A212" t="str">
        <f>INDEX(Prioritization!$D:$D,MATCH($B212,Prioritization!$A:$A,0))</f>
        <v>INVALID</v>
      </c>
      <c r="B212" t="s">
        <v>207</v>
      </c>
      <c r="C212" t="s">
        <v>315</v>
      </c>
      <c r="D212" t="s">
        <v>47</v>
      </c>
      <c r="E212" t="str">
        <f t="shared" si="76"/>
        <v>Nkhata Bay District [E7zpfyBt7Tw]|&lt;01|Male</v>
      </c>
      <c r="F212" s="14"/>
      <c r="G212" s="14">
        <v>4</v>
      </c>
      <c r="H212" s="14">
        <v>0</v>
      </c>
      <c r="I212" s="14">
        <v>0</v>
      </c>
      <c r="J212" s="14">
        <v>1</v>
      </c>
      <c r="K212" s="14">
        <v>0</v>
      </c>
      <c r="L212" s="14"/>
      <c r="M212" s="14">
        <v>1</v>
      </c>
      <c r="N212" s="14">
        <v>0</v>
      </c>
      <c r="O212" s="14" t="str">
        <f t="shared" si="77"/>
        <v/>
      </c>
      <c r="P212" s="14">
        <v>1</v>
      </c>
      <c r="Q212" s="14">
        <v>0</v>
      </c>
      <c r="R212" s="14" t="str">
        <f t="shared" si="78"/>
        <v/>
      </c>
      <c r="S212" s="14">
        <f>IF(LEFT($B212,4)="_Mil","",_xlfn.IFNA(ROUND(INDEX(Spectrum!$N:$N,MATCH(RIGHT($B212,13)&amp;"|"&amp;$C212&amp;"|"&amp;$D212&amp;"|"&amp;S$14&amp;"|"&amp;"CY2022Q4",Spectrum!$R:$R,0)),0),""))</f>
        <v>547</v>
      </c>
      <c r="T212" s="42">
        <f>IF(LEFT($B212,4)="_Mil","",_xlfn.IFNA(ROUND(INDEX(Spectrum!$N:$N,MATCH(RIGHT($B212,13)&amp;"|"&amp;$C212&amp;"|"&amp;$D212&amp;"|"&amp;T$14&amp;"|"&amp;"CY2023Q3",Spectrum!$R:$R,0)),0),""))</f>
        <v>1695</v>
      </c>
      <c r="U212" s="42" t="str">
        <f>IF(LEFT($B212,4)="_Mil","",_xlfn.IFNA(ROUND(INDEX(Spectrum!$N:$N,MATCH(RIGHT($B212,13)&amp;"|"&amp;$C212&amp;"|"&amp;$D212&amp;"|"&amp;U$14&amp;"|"&amp;"CY2023Q3",Spectrum!$R:$R,0)),0),""))</f>
        <v/>
      </c>
      <c r="V212" s="14">
        <f>IF(LEFT($B212,4)="_Mil","",_xlfn.IFNA(ROUND(INDEX(Spectrum!$N:$N,MATCH(RIGHT($B212,13)&amp;"|"&amp;$C212&amp;"|"&amp;$D212&amp;"|"&amp;V$14&amp;"|"&amp;"CY2023Q3",Spectrum!$R:$R,0)),0),""))</f>
        <v>1682</v>
      </c>
      <c r="W212" s="115">
        <f>IF(LEFT($B212,4)="_Mil","",_xlfn.IFNA(INDEX(Spectrum!$N:$N,MATCH(RIGHT($B212,13)&amp;"|"&amp;$C212&amp;"|"&amp;$D212&amp;"|"&amp;W$14&amp;"|"&amp;"CY2023Q3",Spectrum!$R:$R,0)),""))</f>
        <v>1201</v>
      </c>
      <c r="X212" s="42">
        <f>IF(LEFT($B212,4)="_Mil","",_xlfn.IFNA(ROUND(INDEX(Spectrum!$N:$N,MATCH(RIGHT($B212,13)&amp;"|"&amp;$C212&amp;"|"&amp;$D212&amp;"|"&amp;X$14&amp;"|"&amp;"CY2023Q3",Spectrum!$R:$R,0)),0),""))</f>
        <v>527</v>
      </c>
      <c r="Y212" s="90" t="str">
        <f t="shared" si="79"/>
        <v/>
      </c>
      <c r="Z212" s="42">
        <f>IF(LEFT($B212,4)="_Mil","",_xlfn.IFNA(ROUND(INDEX(Spectrum!$N:$N,MATCH(RIGHT($B212,13)&amp;"|"&amp;$C212&amp;"|"&amp;$D212&amp;"|"&amp;Z$14&amp;"|"&amp;"CY2023Q3",Spectrum!$R:$R,0)),0),""))</f>
        <v>1173</v>
      </c>
      <c r="AA212" s="90">
        <f>IF(LEFT($B212,4)="_Mil","",IFERROR(1/(1/INDEX(Spectrum!$N:$N,MATCH(RIGHT($B212,13)&amp;"|"&amp;$C212&amp;"|"&amp;$D212&amp;"|"&amp;AA$14&amp;"|"&amp;"CY2023Q3",Spectrum!$R:$R,0))),IF(SUM($U212)=0,"",SUM($Z212)/$U212)))</f>
        <v>1561</v>
      </c>
      <c r="AB212" s="90">
        <f t="shared" si="80"/>
        <v>2.225806451612903</v>
      </c>
      <c r="AC212" s="14">
        <f>IF(LEFT($B212,4)="_Mil","",_xlfn.IFNA(ROUND(INDEX(Spectrum!$N:$N,MATCH(RIGHT($B212,13)&amp;"|"&amp;$C212&amp;"|"&amp;$D212&amp;"|"&amp;AC$14&amp;"|"&amp;"CY2023Q3",Spectrum!$R:$R,0)),0),""))</f>
        <v>1002</v>
      </c>
      <c r="AD212" s="14" t="str">
        <f>IF(LEFT($B212,4)="_Mil","",_xlfn.IFNA(ROUND(INDEX(Spectrum!$N:$N,MATCH(RIGHT($B212,13)&amp;"|"&amp;$C212&amp;"|"&amp;$D212&amp;"|"&amp;AD$14&amp;"|"&amp;"CY2023Q3",Spectrum!$R:$R,0)),0),""))</f>
        <v/>
      </c>
      <c r="AE212" s="90">
        <f t="shared" si="81"/>
        <v>0</v>
      </c>
      <c r="AF212" s="42" t="str">
        <f>IF(LEFT($B212,4)="_Mil","",_xlfn.IFNA(ROUND(INDEX(Spectrum!$N:$N,MATCH(RIGHT($B212,13)&amp;"|"&amp;$C212&amp;"|"&amp;$D212&amp;"|"&amp;AF$14&amp;"|"&amp;"CY2023Q3",Spectrum!$R:$R,0)),0),""))</f>
        <v/>
      </c>
      <c r="AG212" s="90" t="str">
        <f t="shared" si="82"/>
        <v/>
      </c>
      <c r="AH212" s="88" t="str">
        <f>IF(LEFT($B212,4)="_Mil","",_xlfn.IFNA(INDEX(Spectrum!$N:$N,MATCH(RIGHT($B212,13)&amp;"|"&amp;$C212&amp;"|"&amp;$D212&amp;"|"&amp;AH$14&amp;"|"&amp;"CY2023Q3",Spectrum!$R:$R,0)),""))</f>
        <v/>
      </c>
      <c r="AI212" s="14" t="str">
        <f>IF(LEFT($B212,4)="_Mil","",_xlfn.IFNA(ROUND(INDEX(Spectrum!$N:$N,MATCH(RIGHT($B212,13)&amp;"|"&amp;$C212&amp;"|"&amp;$D212&amp;"|"&amp;AI$14&amp;"|"&amp;"CY2023Q3",Spectrum!$R:$R,0)),0),""))</f>
        <v/>
      </c>
      <c r="AJ212" s="42">
        <f>IF(LEFT($B212,4)="_Mil","",_xlfn.IFNA(ROUND(INDEX(Spectrum!$N:$N,MATCH(RIGHT($B212,13)&amp;"|"&amp;$C212&amp;"|"&amp;$D212&amp;"|"&amp;AI$14&amp;"|"&amp;"CY2023Q3",Spectrum!$R:$R,0)),0),SUM($U212)+SUM($AI212)))</f>
        <v>0</v>
      </c>
      <c r="AK212" s="14" t="str">
        <f>IF(LEFT($B212,4)="_Mil","",_xlfn.IFNA(ROUND(INDEX(Spectrum!$N:$N,MATCH(RIGHT($B212,13)&amp;"|"&amp;$C212&amp;"|"&amp;$D212&amp;"|"&amp;AK$14&amp;"|"&amp;"CY2023Q3",Spectrum!$R:$R,0)),0),""))</f>
        <v/>
      </c>
      <c r="AL212" s="90" t="str">
        <f t="shared" si="83"/>
        <v/>
      </c>
      <c r="AM212" s="14" t="str">
        <f t="shared" si="84"/>
        <v/>
      </c>
      <c r="AN212" s="14">
        <f>IF($C212="&lt;01",ROUND(INDEX(EID!$P:$P,MATCH($B212,EID!$B:$B,0))/2,0),"")</f>
        <v>0</v>
      </c>
      <c r="AO212" s="14">
        <f t="shared" si="85"/>
        <v>0</v>
      </c>
      <c r="AP212" s="42">
        <f t="shared" si="86"/>
        <v>0</v>
      </c>
      <c r="AQ212" s="42">
        <f t="shared" si="87"/>
        <v>1173</v>
      </c>
      <c r="AR212" s="90" t="str">
        <f t="shared" si="88"/>
        <v/>
      </c>
      <c r="AS212" s="90" t="str">
        <f t="shared" si="75"/>
        <v/>
      </c>
      <c r="AT212" s="90" t="str">
        <f t="shared" si="75"/>
        <v/>
      </c>
      <c r="AU212" s="14" t="str">
        <f t="shared" si="89"/>
        <v/>
      </c>
      <c r="AV212" s="14">
        <f>IF($C212="&lt;01",ROUND(INDEX(EID!$N:$N,MATCH($B212,EID!$B:$B,0))/2,0),IF(SUM($AT212)=0,"",ROUND((SUM($AP212)-(SUM($O212)*SUM($AS212)))/$AT212,0)))</f>
        <v>0</v>
      </c>
      <c r="AW212" s="90" t="str">
        <f t="shared" si="90"/>
        <v/>
      </c>
      <c r="AX212" s="42">
        <f t="shared" si="91"/>
        <v>0</v>
      </c>
      <c r="AY212" s="116" t="str">
        <f t="shared" si="92"/>
        <v/>
      </c>
      <c r="AZ212" s="93">
        <f>IF($C212="&lt;01",ROUND(INDEX(EID!$R:$R,MATCH($B212,EID!$B:$B,0))/2,0),ROUND(SUM($O212)+(SUM($AV212)*$AY212),0))</f>
        <v>0</v>
      </c>
      <c r="BA212" s="89" t="str">
        <f t="shared" si="93"/>
        <v/>
      </c>
      <c r="BB212" s="9">
        <f>IF($C212="&lt;01",ROUND(INDEX(EID!$T:$T,MATCH($B212,EID!$B:$B,0))/2,0),ROUND($AZ212*$BA212,0))</f>
        <v>0</v>
      </c>
      <c r="BC212" s="93">
        <f t="shared" si="94"/>
        <v>0</v>
      </c>
      <c r="BD212" s="90" t="str">
        <f t="shared" si="95"/>
        <v/>
      </c>
      <c r="BE212" s="42">
        <f>IF($C212="&lt;01",ROUND(INDEX(EID!$V:$V,MATCH($B212,EID!$B:$B,0))/2,0),ROUND($BD212*$BB212,0))</f>
        <v>0</v>
      </c>
      <c r="BF212" s="42">
        <f t="shared" si="96"/>
        <v>0</v>
      </c>
      <c r="BG212" s="116" t="str">
        <f t="shared" si="97"/>
        <v/>
      </c>
      <c r="BH212" s="9">
        <f>IF($C212="&lt;01",ROUND(INDEX(EID!$L:$L,MATCH($B212,EID!$B:$B,0)),0)/2,IF(SUM($BG212)=0,"",ROUND($AX212/$BG212,0)))</f>
        <v>0</v>
      </c>
    </row>
    <row r="213" spans="1:60" x14ac:dyDescent="0.2">
      <c r="A213" t="str">
        <f>INDEX(Prioritization!$D:$D,MATCH($B213,Prioritization!$A:$A,0))</f>
        <v>INVALID</v>
      </c>
      <c r="B213" t="s">
        <v>207</v>
      </c>
      <c r="C213" t="s">
        <v>362</v>
      </c>
      <c r="D213" t="s">
        <v>29</v>
      </c>
      <c r="E213" t="str">
        <f t="shared" si="76"/>
        <v>Nkhata Bay District [E7zpfyBt7Tw]|01-09|Female</v>
      </c>
      <c r="F213" s="14"/>
      <c r="G213" s="14"/>
      <c r="H213" s="14"/>
      <c r="I213" s="14"/>
      <c r="J213" s="14"/>
      <c r="K213" s="14"/>
      <c r="L213" s="14"/>
      <c r="M213" s="14"/>
      <c r="N213" s="14"/>
      <c r="O213" s="14" t="str">
        <f t="shared" si="77"/>
        <v/>
      </c>
      <c r="P213" s="14"/>
      <c r="Q213" s="14"/>
      <c r="R213" s="14" t="str">
        <f t="shared" si="78"/>
        <v/>
      </c>
      <c r="S213" s="14">
        <f>IF(LEFT($B213,4)="_Mil","",_xlfn.IFNA(ROUND(INDEX(Spectrum!$N:$N,MATCH(RIGHT($B213,13)&amp;"|"&amp;$C213&amp;"|"&amp;$D213&amp;"|"&amp;S$14&amp;"|"&amp;"CY2022Q4",Spectrum!$R:$R,0)),0),""))</f>
        <v>1536</v>
      </c>
      <c r="T213" s="42">
        <f>IF(LEFT($B213,4)="_Mil","",_xlfn.IFNA(ROUND(INDEX(Spectrum!$N:$N,MATCH(RIGHT($B213,13)&amp;"|"&amp;$C213&amp;"|"&amp;$D213&amp;"|"&amp;T$14&amp;"|"&amp;"CY2023Q3",Spectrum!$R:$R,0)),0),""))</f>
        <v>945</v>
      </c>
      <c r="U213" s="42" t="str">
        <f>IF(LEFT($B213,4)="_Mil","",_xlfn.IFNA(ROUND(INDEX(Spectrum!$N:$N,MATCH(RIGHT($B213,13)&amp;"|"&amp;$C213&amp;"|"&amp;$D213&amp;"|"&amp;U$14&amp;"|"&amp;"CY2023Q3",Spectrum!$R:$R,0)),0),""))</f>
        <v/>
      </c>
      <c r="V213" s="14">
        <f>IF(LEFT($B213,4)="_Mil","",_xlfn.IFNA(ROUND(INDEX(Spectrum!$N:$N,MATCH(RIGHT($B213,13)&amp;"|"&amp;$C213&amp;"|"&amp;$D213&amp;"|"&amp;V$14&amp;"|"&amp;"CY2023Q3",Spectrum!$R:$R,0)),0),""))</f>
        <v>1854</v>
      </c>
      <c r="W213" s="115">
        <f>IF(LEFT($B213,4)="_Mil","",_xlfn.IFNA(INDEX(Spectrum!$N:$N,MATCH(RIGHT($B213,13)&amp;"|"&amp;$C213&amp;"|"&amp;$D213&amp;"|"&amp;W$14&amp;"|"&amp;"CY2023Q3",Spectrum!$R:$R,0)),""))</f>
        <v>1397</v>
      </c>
      <c r="X213" s="42">
        <f>IF(LEFT($B213,4)="_Mil","",_xlfn.IFNA(ROUND(INDEX(Spectrum!$N:$N,MATCH(RIGHT($B213,13)&amp;"|"&amp;$C213&amp;"|"&amp;$D213&amp;"|"&amp;X$14&amp;"|"&amp;"CY2023Q3",Spectrum!$R:$R,0)),0),""))</f>
        <v>1322</v>
      </c>
      <c r="Y213" s="90" t="str">
        <f t="shared" si="79"/>
        <v/>
      </c>
      <c r="Z213" s="42">
        <f>IF(LEFT($B213,4)="_Mil","",_xlfn.IFNA(ROUND(INDEX(Spectrum!$N:$N,MATCH(RIGHT($B213,13)&amp;"|"&amp;$C213&amp;"|"&amp;$D213&amp;"|"&amp;Z$14&amp;"|"&amp;"CY2023Q3",Spectrum!$R:$R,0)),0),""))</f>
        <v>1674</v>
      </c>
      <c r="AA213" s="90">
        <f>IF(LEFT($B213,4)="_Mil","",IFERROR(1/(1/INDEX(Spectrum!$N:$N,MATCH(RIGHT($B213,13)&amp;"|"&amp;$C213&amp;"|"&amp;$D213&amp;"|"&amp;AA$14&amp;"|"&amp;"CY2023Q3",Spectrum!$R:$R,0))),IF(SUM($U213)=0,"",SUM($Z213)/$U213)))</f>
        <v>675</v>
      </c>
      <c r="AB213" s="90">
        <f t="shared" si="80"/>
        <v>1.2662632375189107</v>
      </c>
      <c r="AC213" s="14">
        <f>IF(LEFT($B213,4)="_Mil","",_xlfn.IFNA(ROUND(INDEX(Spectrum!$N:$N,MATCH(RIGHT($B213,13)&amp;"|"&amp;$C213&amp;"|"&amp;$D213&amp;"|"&amp;AC$14&amp;"|"&amp;"CY2023Q3",Spectrum!$R:$R,0)),0),""))</f>
        <v>503</v>
      </c>
      <c r="AD213" s="14" t="str">
        <f>IF(LEFT($B213,4)="_Mil","",_xlfn.IFNA(ROUND(INDEX(Spectrum!$N:$N,MATCH(RIGHT($B213,13)&amp;"|"&amp;$C213&amp;"|"&amp;$D213&amp;"|"&amp;AD$14&amp;"|"&amp;"CY2023Q3",Spectrum!$R:$R,0)),0),""))</f>
        <v/>
      </c>
      <c r="AE213" s="90">
        <f t="shared" si="81"/>
        <v>0</v>
      </c>
      <c r="AF213" s="42" t="str">
        <f>IF(LEFT($B213,4)="_Mil","",_xlfn.IFNA(ROUND(INDEX(Spectrum!$N:$N,MATCH(RIGHT($B213,13)&amp;"|"&amp;$C213&amp;"|"&amp;$D213&amp;"|"&amp;AF$14&amp;"|"&amp;"CY2023Q3",Spectrum!$R:$R,0)),0),""))</f>
        <v/>
      </c>
      <c r="AG213" s="90" t="str">
        <f t="shared" si="82"/>
        <v/>
      </c>
      <c r="AH213" s="88" t="str">
        <f>IF(LEFT($B213,4)="_Mil","",_xlfn.IFNA(INDEX(Spectrum!$N:$N,MATCH(RIGHT($B213,13)&amp;"|"&amp;$C213&amp;"|"&amp;$D213&amp;"|"&amp;AH$14&amp;"|"&amp;"CY2023Q3",Spectrum!$R:$R,0)),""))</f>
        <v/>
      </c>
      <c r="AI213" s="14" t="str">
        <f>IF(LEFT($B213,4)="_Mil","",_xlfn.IFNA(ROUND(INDEX(Spectrum!$N:$N,MATCH(RIGHT($B213,13)&amp;"|"&amp;$C213&amp;"|"&amp;$D213&amp;"|"&amp;AI$14&amp;"|"&amp;"CY2023Q3",Spectrum!$R:$R,0)),0),""))</f>
        <v/>
      </c>
      <c r="AJ213" s="42">
        <f>IF(LEFT($B213,4)="_Mil","",_xlfn.IFNA(ROUND(INDEX(Spectrum!$N:$N,MATCH(RIGHT($B213,13)&amp;"|"&amp;$C213&amp;"|"&amp;$D213&amp;"|"&amp;AI$14&amp;"|"&amp;"CY2023Q3",Spectrum!$R:$R,0)),0),SUM($U213)+SUM($AI213)))</f>
        <v>0</v>
      </c>
      <c r="AK213" s="14" t="str">
        <f>IF(LEFT($B213,4)="_Mil","",_xlfn.IFNA(ROUND(INDEX(Spectrum!$N:$N,MATCH(RIGHT($B213,13)&amp;"|"&amp;$C213&amp;"|"&amp;$D213&amp;"|"&amp;AK$14&amp;"|"&amp;"CY2023Q3",Spectrum!$R:$R,0)),0),""))</f>
        <v/>
      </c>
      <c r="AL213" s="90">
        <f t="shared" si="83"/>
        <v>675</v>
      </c>
      <c r="AM213" s="14">
        <f t="shared" si="84"/>
        <v>0</v>
      </c>
      <c r="AN213" s="14" t="str">
        <f>IF($C213="&lt;01",ROUND(INDEX(EID!$P:$P,MATCH($B213,EID!$B:$B,0))/2,0),"")</f>
        <v/>
      </c>
      <c r="AO213" s="14">
        <f t="shared" si="85"/>
        <v>0</v>
      </c>
      <c r="AP213" s="42">
        <f t="shared" si="86"/>
        <v>0</v>
      </c>
      <c r="AQ213" s="42">
        <f t="shared" si="87"/>
        <v>1674</v>
      </c>
      <c r="AR213" s="90" t="str">
        <f t="shared" si="88"/>
        <v/>
      </c>
      <c r="AS213" s="90">
        <f t="shared" si="75"/>
        <v>0.98</v>
      </c>
      <c r="AT213" s="90">
        <f t="shared" si="75"/>
        <v>0.98</v>
      </c>
      <c r="AU213" s="14">
        <f t="shared" si="89"/>
        <v>0</v>
      </c>
      <c r="AV213" s="14">
        <f>IF($C213="&lt;01",ROUND(INDEX(EID!$N:$N,MATCH($B213,EID!$B:$B,0))/2,0),IF(SUM($AT213)=0,"",ROUND((SUM($AP213)-(SUM($O213)*SUM($AS213)))/$AT213,0)))</f>
        <v>0</v>
      </c>
      <c r="AW213" s="90">
        <f t="shared" si="90"/>
        <v>1</v>
      </c>
      <c r="AX213" s="42">
        <f t="shared" si="91"/>
        <v>0</v>
      </c>
      <c r="AY213" s="116">
        <f t="shared" si="92"/>
        <v>0.7</v>
      </c>
      <c r="AZ213" s="93">
        <f>IF($C213="&lt;01",ROUND(INDEX(EID!$R:$R,MATCH($B213,EID!$B:$B,0))/2,0),ROUND(SUM($O213)+(SUM($AV213)*$AY213),0))</f>
        <v>0</v>
      </c>
      <c r="BA213" s="89">
        <f t="shared" si="93"/>
        <v>0.95</v>
      </c>
      <c r="BB213" s="9">
        <f>IF($C213="&lt;01",ROUND(INDEX(EID!$T:$T,MATCH($B213,EID!$B:$B,0))/2,0),ROUND($AZ213*$BA213,0))</f>
        <v>0</v>
      </c>
      <c r="BC213" s="93">
        <f t="shared" si="94"/>
        <v>0</v>
      </c>
      <c r="BD213" s="90">
        <f t="shared" si="95"/>
        <v>0.95</v>
      </c>
      <c r="BE213" s="42">
        <f>IF($C213="&lt;01",ROUND(INDEX(EID!$V:$V,MATCH($B213,EID!$B:$B,0))/2,0),ROUND($BD213*$BB213,0))</f>
        <v>0</v>
      </c>
      <c r="BF213" s="42">
        <f t="shared" si="96"/>
        <v>0</v>
      </c>
      <c r="BG213" s="116">
        <f t="shared" si="97"/>
        <v>0.95</v>
      </c>
      <c r="BH213" s="9">
        <f>IF($C213="&lt;01",ROUND(INDEX(EID!$L:$L,MATCH($B213,EID!$B:$B,0)),0)/2,IF(SUM($BG213)=0,"",ROUND($AX213/$BG213,0)))</f>
        <v>0</v>
      </c>
    </row>
    <row r="214" spans="1:60" x14ac:dyDescent="0.2">
      <c r="A214" t="str">
        <f>INDEX(Prioritization!$D:$D,MATCH($B214,Prioritization!$A:$A,0))</f>
        <v>INVALID</v>
      </c>
      <c r="B214" t="s">
        <v>207</v>
      </c>
      <c r="C214" t="s">
        <v>362</v>
      </c>
      <c r="D214" t="s">
        <v>47</v>
      </c>
      <c r="E214" t="str">
        <f t="shared" si="76"/>
        <v>Nkhata Bay District [E7zpfyBt7Tw]|01-09|Male</v>
      </c>
      <c r="F214" s="14"/>
      <c r="G214" s="14"/>
      <c r="H214" s="14"/>
      <c r="I214" s="14"/>
      <c r="J214" s="14"/>
      <c r="K214" s="14"/>
      <c r="L214" s="14"/>
      <c r="M214" s="14"/>
      <c r="N214" s="14"/>
      <c r="O214" s="14" t="str">
        <f t="shared" si="77"/>
        <v/>
      </c>
      <c r="P214" s="14"/>
      <c r="Q214" s="14"/>
      <c r="R214" s="14" t="str">
        <f t="shared" si="78"/>
        <v/>
      </c>
      <c r="S214" s="14">
        <f>IF(LEFT($B214,4)="_Mil","",_xlfn.IFNA(ROUND(INDEX(Spectrum!$N:$N,MATCH(RIGHT($B214,13)&amp;"|"&amp;$C214&amp;"|"&amp;$D214&amp;"|"&amp;S$14&amp;"|"&amp;"CY2022Q4",Spectrum!$R:$R,0)),0),""))</f>
        <v>1088</v>
      </c>
      <c r="T214" s="42">
        <f>IF(LEFT($B214,4)="_Mil","",_xlfn.IFNA(ROUND(INDEX(Spectrum!$N:$N,MATCH(RIGHT($B214,13)&amp;"|"&amp;$C214&amp;"|"&amp;$D214&amp;"|"&amp;T$14&amp;"|"&amp;"CY2023Q3",Spectrum!$R:$R,0)),0),""))</f>
        <v>562</v>
      </c>
      <c r="U214" s="42" t="str">
        <f>IF(LEFT($B214,4)="_Mil","",_xlfn.IFNA(ROUND(INDEX(Spectrum!$N:$N,MATCH(RIGHT($B214,13)&amp;"|"&amp;$C214&amp;"|"&amp;$D214&amp;"|"&amp;U$14&amp;"|"&amp;"CY2023Q3",Spectrum!$R:$R,0)),0),""))</f>
        <v/>
      </c>
      <c r="V214" s="14">
        <f>IF(LEFT($B214,4)="_Mil","",_xlfn.IFNA(ROUND(INDEX(Spectrum!$N:$N,MATCH(RIGHT($B214,13)&amp;"|"&amp;$C214&amp;"|"&amp;$D214&amp;"|"&amp;V$14&amp;"|"&amp;"CY2023Q3",Spectrum!$R:$R,0)),0),""))</f>
        <v>1948</v>
      </c>
      <c r="W214" s="115">
        <f>IF(LEFT($B214,4)="_Mil","",_xlfn.IFNA(INDEX(Spectrum!$N:$N,MATCH(RIGHT($B214,13)&amp;"|"&amp;$C214&amp;"|"&amp;$D214&amp;"|"&amp;W$14&amp;"|"&amp;"CY2023Q3",Spectrum!$R:$R,0)),""))</f>
        <v>1950</v>
      </c>
      <c r="X214" s="42">
        <f>IF(LEFT($B214,4)="_Mil","",_xlfn.IFNA(ROUND(INDEX(Spectrum!$N:$N,MATCH(RIGHT($B214,13)&amp;"|"&amp;$C214&amp;"|"&amp;$D214&amp;"|"&amp;X$14&amp;"|"&amp;"CY2023Q3",Spectrum!$R:$R,0)),0),""))</f>
        <v>1611</v>
      </c>
      <c r="Y214" s="90" t="str">
        <f t="shared" si="79"/>
        <v/>
      </c>
      <c r="Z214" s="42">
        <f>IF(LEFT($B214,4)="_Mil","",_xlfn.IFNA(ROUND(INDEX(Spectrum!$N:$N,MATCH(RIGHT($B214,13)&amp;"|"&amp;$C214&amp;"|"&amp;$D214&amp;"|"&amp;Z$14&amp;"|"&amp;"CY2023Q3",Spectrum!$R:$R,0)),0),""))</f>
        <v>1706</v>
      </c>
      <c r="AA214" s="90">
        <f>IF(LEFT($B214,4)="_Mil","",IFERROR(1/(1/INDEX(Spectrum!$N:$N,MATCH(RIGHT($B214,13)&amp;"|"&amp;$C214&amp;"|"&amp;$D214&amp;"|"&amp;AA$14&amp;"|"&amp;"CY2023Q3",Spectrum!$R:$R,0))),IF(SUM($U214)=0,"",SUM($Z214)/$U214)))</f>
        <v>1609</v>
      </c>
      <c r="AB214" s="90">
        <f t="shared" si="80"/>
        <v>1.058969584109249</v>
      </c>
      <c r="AC214" s="14">
        <f>IF(LEFT($B214,4)="_Mil","",_xlfn.IFNA(ROUND(INDEX(Spectrum!$N:$N,MATCH(RIGHT($B214,13)&amp;"|"&amp;$C214&amp;"|"&amp;$D214&amp;"|"&amp;AC$14&amp;"|"&amp;"CY2023Q3",Spectrum!$R:$R,0)),0),""))</f>
        <v>1382</v>
      </c>
      <c r="AD214" s="14" t="str">
        <f>IF(LEFT($B214,4)="_Mil","",_xlfn.IFNA(ROUND(INDEX(Spectrum!$N:$N,MATCH(RIGHT($B214,13)&amp;"|"&amp;$C214&amp;"|"&amp;$D214&amp;"|"&amp;AD$14&amp;"|"&amp;"CY2023Q3",Spectrum!$R:$R,0)),0),""))</f>
        <v/>
      </c>
      <c r="AE214" s="90">
        <f t="shared" si="81"/>
        <v>0</v>
      </c>
      <c r="AF214" s="42" t="str">
        <f>IF(LEFT($B214,4)="_Mil","",_xlfn.IFNA(ROUND(INDEX(Spectrum!$N:$N,MATCH(RIGHT($B214,13)&amp;"|"&amp;$C214&amp;"|"&amp;$D214&amp;"|"&amp;AF$14&amp;"|"&amp;"CY2023Q3",Spectrum!$R:$R,0)),0),""))</f>
        <v/>
      </c>
      <c r="AG214" s="90" t="str">
        <f t="shared" si="82"/>
        <v/>
      </c>
      <c r="AH214" s="88" t="str">
        <f>IF(LEFT($B214,4)="_Mil","",_xlfn.IFNA(INDEX(Spectrum!$N:$N,MATCH(RIGHT($B214,13)&amp;"|"&amp;$C214&amp;"|"&amp;$D214&amp;"|"&amp;AH$14&amp;"|"&amp;"CY2023Q3",Spectrum!$R:$R,0)),""))</f>
        <v/>
      </c>
      <c r="AI214" s="14" t="str">
        <f>IF(LEFT($B214,4)="_Mil","",_xlfn.IFNA(ROUND(INDEX(Spectrum!$N:$N,MATCH(RIGHT($B214,13)&amp;"|"&amp;$C214&amp;"|"&amp;$D214&amp;"|"&amp;AI$14&amp;"|"&amp;"CY2023Q3",Spectrum!$R:$R,0)),0),""))</f>
        <v/>
      </c>
      <c r="AJ214" s="42">
        <f>IF(LEFT($B214,4)="_Mil","",_xlfn.IFNA(ROUND(INDEX(Spectrum!$N:$N,MATCH(RIGHT($B214,13)&amp;"|"&amp;$C214&amp;"|"&amp;$D214&amp;"|"&amp;AI$14&amp;"|"&amp;"CY2023Q3",Spectrum!$R:$R,0)),0),SUM($U214)+SUM($AI214)))</f>
        <v>0</v>
      </c>
      <c r="AK214" s="14" t="str">
        <f>IF(LEFT($B214,4)="_Mil","",_xlfn.IFNA(ROUND(INDEX(Spectrum!$N:$N,MATCH(RIGHT($B214,13)&amp;"|"&amp;$C214&amp;"|"&amp;$D214&amp;"|"&amp;AK$14&amp;"|"&amp;"CY2023Q3",Spectrum!$R:$R,0)),0),""))</f>
        <v/>
      </c>
      <c r="AL214" s="90">
        <f t="shared" si="83"/>
        <v>1609</v>
      </c>
      <c r="AM214" s="14">
        <f t="shared" si="84"/>
        <v>0</v>
      </c>
      <c r="AN214" s="14" t="str">
        <f>IF($C214="&lt;01",ROUND(INDEX(EID!$P:$P,MATCH($B214,EID!$B:$B,0))/2,0),"")</f>
        <v/>
      </c>
      <c r="AO214" s="14">
        <f t="shared" si="85"/>
        <v>0</v>
      </c>
      <c r="AP214" s="42">
        <f t="shared" si="86"/>
        <v>0</v>
      </c>
      <c r="AQ214" s="42">
        <f t="shared" si="87"/>
        <v>1706</v>
      </c>
      <c r="AR214" s="90" t="str">
        <f t="shared" si="88"/>
        <v/>
      </c>
      <c r="AS214" s="90">
        <f t="shared" si="75"/>
        <v>0.98</v>
      </c>
      <c r="AT214" s="90">
        <f t="shared" si="75"/>
        <v>0.98</v>
      </c>
      <c r="AU214" s="14">
        <f t="shared" si="89"/>
        <v>0</v>
      </c>
      <c r="AV214" s="14">
        <f>IF($C214="&lt;01",ROUND(INDEX(EID!$N:$N,MATCH($B214,EID!$B:$B,0))/2,0),IF(SUM($AT214)=0,"",ROUND((SUM($AP214)-(SUM($O214)*SUM($AS214)))/$AT214,0)))</f>
        <v>0</v>
      </c>
      <c r="AW214" s="90">
        <f t="shared" si="90"/>
        <v>1</v>
      </c>
      <c r="AX214" s="42">
        <f t="shared" si="91"/>
        <v>0</v>
      </c>
      <c r="AY214" s="116">
        <f t="shared" si="92"/>
        <v>0.7</v>
      </c>
      <c r="AZ214" s="93">
        <f>IF($C214="&lt;01",ROUND(INDEX(EID!$R:$R,MATCH($B214,EID!$B:$B,0))/2,0),ROUND(SUM($O214)+(SUM($AV214)*$AY214),0))</f>
        <v>0</v>
      </c>
      <c r="BA214" s="89">
        <f t="shared" si="93"/>
        <v>0.95</v>
      </c>
      <c r="BB214" s="9">
        <f>IF($C214="&lt;01",ROUND(INDEX(EID!$T:$T,MATCH($B214,EID!$B:$B,0))/2,0),ROUND($AZ214*$BA214,0))</f>
        <v>0</v>
      </c>
      <c r="BC214" s="93">
        <f t="shared" si="94"/>
        <v>0</v>
      </c>
      <c r="BD214" s="90">
        <f t="shared" si="95"/>
        <v>0.95</v>
      </c>
      <c r="BE214" s="42">
        <f>IF($C214="&lt;01",ROUND(INDEX(EID!$V:$V,MATCH($B214,EID!$B:$B,0))/2,0),ROUND($BD214*$BB214,0))</f>
        <v>0</v>
      </c>
      <c r="BF214" s="42">
        <f t="shared" si="96"/>
        <v>0</v>
      </c>
      <c r="BG214" s="116">
        <f t="shared" si="97"/>
        <v>0.95</v>
      </c>
      <c r="BH214" s="9">
        <f>IF($C214="&lt;01",ROUND(INDEX(EID!$L:$L,MATCH($B214,EID!$B:$B,0)),0)/2,IF(SUM($BG214)=0,"",ROUND($AX214/$BG214,0)))</f>
        <v>0</v>
      </c>
    </row>
    <row r="215" spans="1:60" x14ac:dyDescent="0.2">
      <c r="A215" t="str">
        <f>INDEX(Prioritization!$D:$D,MATCH($B215,Prioritization!$A:$A,0))</f>
        <v>INVALID</v>
      </c>
      <c r="B215" t="s">
        <v>207</v>
      </c>
      <c r="C215" t="s">
        <v>363</v>
      </c>
      <c r="D215" t="s">
        <v>29</v>
      </c>
      <c r="E215" t="str">
        <f t="shared" si="76"/>
        <v>Nkhata Bay District [E7zpfyBt7Tw]|10-14|Female</v>
      </c>
      <c r="F215" s="14"/>
      <c r="G215" s="14">
        <v>7</v>
      </c>
      <c r="H215" s="14">
        <v>8</v>
      </c>
      <c r="I215" s="14">
        <v>72</v>
      </c>
      <c r="J215" s="14">
        <v>4</v>
      </c>
      <c r="K215" s="14">
        <v>5</v>
      </c>
      <c r="L215" s="14">
        <v>5</v>
      </c>
      <c r="M215" s="14">
        <v>3</v>
      </c>
      <c r="N215" s="14">
        <v>22</v>
      </c>
      <c r="O215" s="14">
        <f t="shared" si="77"/>
        <v>72</v>
      </c>
      <c r="P215" s="14">
        <v>44</v>
      </c>
      <c r="Q215" s="14">
        <v>63</v>
      </c>
      <c r="R215" s="14">
        <f t="shared" si="78"/>
        <v>0</v>
      </c>
      <c r="S215" s="14">
        <f>IF(LEFT($B215,4)="_Mil","",_xlfn.IFNA(ROUND(INDEX(Spectrum!$N:$N,MATCH(RIGHT($B215,13)&amp;"|"&amp;$C215&amp;"|"&amp;$D215&amp;"|"&amp;S$14&amp;"|"&amp;"CY2022Q4",Spectrum!$R:$R,0)),0),""))</f>
        <v>1894</v>
      </c>
      <c r="T215" s="42">
        <f>IF(LEFT($B215,4)="_Mil","",_xlfn.IFNA(ROUND(INDEX(Spectrum!$N:$N,MATCH(RIGHT($B215,13)&amp;"|"&amp;$C215&amp;"|"&amp;$D215&amp;"|"&amp;T$14&amp;"|"&amp;"CY2023Q3",Spectrum!$R:$R,0)),0),""))</f>
        <v>830</v>
      </c>
      <c r="U215" s="42" t="str">
        <f>IF(LEFT($B215,4)="_Mil","",_xlfn.IFNA(ROUND(INDEX(Spectrum!$N:$N,MATCH(RIGHT($B215,13)&amp;"|"&amp;$C215&amp;"|"&amp;$D215&amp;"|"&amp;U$14&amp;"|"&amp;"CY2023Q3",Spectrum!$R:$R,0)),0),""))</f>
        <v/>
      </c>
      <c r="V215" s="14">
        <f>IF(LEFT($B215,4)="_Mil","",_xlfn.IFNA(ROUND(INDEX(Spectrum!$N:$N,MATCH(RIGHT($B215,13)&amp;"|"&amp;$C215&amp;"|"&amp;$D215&amp;"|"&amp;V$14&amp;"|"&amp;"CY2023Q3",Spectrum!$R:$R,0)),0),""))</f>
        <v>854</v>
      </c>
      <c r="W215" s="115">
        <f>IF(LEFT($B215,4)="_Mil","",_xlfn.IFNA(INDEX(Spectrum!$N:$N,MATCH(RIGHT($B215,13)&amp;"|"&amp;$C215&amp;"|"&amp;$D215&amp;"|"&amp;W$14&amp;"|"&amp;"CY2023Q3",Spectrum!$R:$R,0)),""))</f>
        <v>744</v>
      </c>
      <c r="X215" s="42">
        <f>IF(LEFT($B215,4)="_Mil","",_xlfn.IFNA(ROUND(INDEX(Spectrum!$N:$N,MATCH(RIGHT($B215,13)&amp;"|"&amp;$C215&amp;"|"&amp;$D215&amp;"|"&amp;X$14&amp;"|"&amp;"CY2023Q3",Spectrum!$R:$R,0)),0),""))</f>
        <v>1092</v>
      </c>
      <c r="Y215" s="90" t="str">
        <f t="shared" si="79"/>
        <v/>
      </c>
      <c r="Z215" s="42">
        <f>IF(LEFT($B215,4)="_Mil","",_xlfn.IFNA(ROUND(INDEX(Spectrum!$N:$N,MATCH(RIGHT($B215,13)&amp;"|"&amp;$C215&amp;"|"&amp;$D215&amp;"|"&amp;Z$14&amp;"|"&amp;"CY2023Q3",Spectrum!$R:$R,0)),0),""))</f>
        <v>1560</v>
      </c>
      <c r="AA215" s="90">
        <f>IF(LEFT($B215,4)="_Mil","",IFERROR(1/(1/INDEX(Spectrum!$N:$N,MATCH(RIGHT($B215,13)&amp;"|"&amp;$C215&amp;"|"&amp;$D215&amp;"|"&amp;AA$14&amp;"|"&amp;"CY2023Q3",Spectrum!$R:$R,0))),IF(SUM($U215)=0,"",SUM($Z215)/$U215)))</f>
        <v>1348</v>
      </c>
      <c r="AB215" s="90">
        <f t="shared" si="80"/>
        <v>1.4285714285714286</v>
      </c>
      <c r="AC215" s="14">
        <f>IF(LEFT($B215,4)="_Mil","",_xlfn.IFNA(ROUND(INDEX(Spectrum!$N:$N,MATCH(RIGHT($B215,13)&amp;"|"&amp;$C215&amp;"|"&amp;$D215&amp;"|"&amp;AC$14&amp;"|"&amp;"CY2023Q3",Spectrum!$R:$R,0)),0),""))</f>
        <v>979</v>
      </c>
      <c r="AD215" s="14" t="str">
        <f>IF(LEFT($B215,4)="_Mil","",_xlfn.IFNA(ROUND(INDEX(Spectrum!$N:$N,MATCH(RIGHT($B215,13)&amp;"|"&amp;$C215&amp;"|"&amp;$D215&amp;"|"&amp;AD$14&amp;"|"&amp;"CY2023Q3",Spectrum!$R:$R,0)),0),""))</f>
        <v/>
      </c>
      <c r="AE215" s="90">
        <f t="shared" si="81"/>
        <v>0</v>
      </c>
      <c r="AF215" s="42" t="str">
        <f>IF(LEFT($B215,4)="_Mil","",_xlfn.IFNA(ROUND(INDEX(Spectrum!$N:$N,MATCH(RIGHT($B215,13)&amp;"|"&amp;$C215&amp;"|"&amp;$D215&amp;"|"&amp;AF$14&amp;"|"&amp;"CY2023Q3",Spectrum!$R:$R,0)),0),""))</f>
        <v/>
      </c>
      <c r="AG215" s="90" t="str">
        <f t="shared" si="82"/>
        <v/>
      </c>
      <c r="AH215" s="88" t="str">
        <f>IF(LEFT($B215,4)="_Mil","",_xlfn.IFNA(INDEX(Spectrum!$N:$N,MATCH(RIGHT($B215,13)&amp;"|"&amp;$C215&amp;"|"&amp;$D215&amp;"|"&amp;AH$14&amp;"|"&amp;"CY2023Q3",Spectrum!$R:$R,0)),""))</f>
        <v/>
      </c>
      <c r="AI215" s="14" t="str">
        <f>IF(LEFT($B215,4)="_Mil","",_xlfn.IFNA(ROUND(INDEX(Spectrum!$N:$N,MATCH(RIGHT($B215,13)&amp;"|"&amp;$C215&amp;"|"&amp;$D215&amp;"|"&amp;AI$14&amp;"|"&amp;"CY2023Q3",Spectrum!$R:$R,0)),0),""))</f>
        <v/>
      </c>
      <c r="AJ215" s="42">
        <f>IF(LEFT($B215,4)="_Mil","",_xlfn.IFNA(ROUND(INDEX(Spectrum!$N:$N,MATCH(RIGHT($B215,13)&amp;"|"&amp;$C215&amp;"|"&amp;$D215&amp;"|"&amp;AI$14&amp;"|"&amp;"CY2023Q3",Spectrum!$R:$R,0)),0),SUM($U215)+SUM($AI215)))</f>
        <v>0</v>
      </c>
      <c r="AK215" s="14" t="str">
        <f>IF(LEFT($B215,4)="_Mil","",_xlfn.IFNA(ROUND(INDEX(Spectrum!$N:$N,MATCH(RIGHT($B215,13)&amp;"|"&amp;$C215&amp;"|"&amp;$D215&amp;"|"&amp;AK$14&amp;"|"&amp;"CY2023Q3",Spectrum!$R:$R,0)),0),""))</f>
        <v/>
      </c>
      <c r="AL215" s="90">
        <f t="shared" si="83"/>
        <v>1348</v>
      </c>
      <c r="AM215" s="14">
        <f t="shared" si="84"/>
        <v>0</v>
      </c>
      <c r="AN215" s="14" t="str">
        <f>IF($C215="&lt;01",ROUND(INDEX(EID!$P:$P,MATCH($B215,EID!$B:$B,0))/2,0),"")</f>
        <v/>
      </c>
      <c r="AO215" s="14">
        <f t="shared" si="85"/>
        <v>0</v>
      </c>
      <c r="AP215" s="42">
        <f t="shared" si="86"/>
        <v>0</v>
      </c>
      <c r="AQ215" s="42">
        <f t="shared" si="87"/>
        <v>1560</v>
      </c>
      <c r="AR215" s="90" t="str">
        <f t="shared" si="88"/>
        <v/>
      </c>
      <c r="AS215" s="90">
        <f t="shared" ref="AS215:AT234" si="98">IF($C215="&lt;01","",98%)</f>
        <v>0.98</v>
      </c>
      <c r="AT215" s="90">
        <f t="shared" si="98"/>
        <v>0.98</v>
      </c>
      <c r="AU215" s="14">
        <f t="shared" si="89"/>
        <v>-72</v>
      </c>
      <c r="AV215" s="14">
        <f>IF($C215="&lt;01",ROUND(INDEX(EID!$N:$N,MATCH($B215,EID!$B:$B,0))/2,0),IF(SUM($AT215)=0,"",ROUND((SUM($AP215)-(SUM($O215)*SUM($AS215)))/$AT215,0)))</f>
        <v>-72</v>
      </c>
      <c r="AW215" s="90">
        <f t="shared" si="90"/>
        <v>1</v>
      </c>
      <c r="AX215" s="42">
        <f t="shared" si="91"/>
        <v>-72</v>
      </c>
      <c r="AY215" s="116">
        <f t="shared" si="92"/>
        <v>0.7</v>
      </c>
      <c r="AZ215" s="93">
        <f>IF($C215="&lt;01",ROUND(INDEX(EID!$R:$R,MATCH($B215,EID!$B:$B,0))/2,0),ROUND(SUM($O215)+(SUM($AV215)*$AY215),0))</f>
        <v>22</v>
      </c>
      <c r="BA215" s="89">
        <f t="shared" si="93"/>
        <v>0.95</v>
      </c>
      <c r="BB215" s="9">
        <f>IF($C215="&lt;01",ROUND(INDEX(EID!$T:$T,MATCH($B215,EID!$B:$B,0))/2,0),ROUND($AZ215*$BA215,0))</f>
        <v>21</v>
      </c>
      <c r="BC215" s="93">
        <f t="shared" si="94"/>
        <v>21</v>
      </c>
      <c r="BD215" s="90">
        <f t="shared" si="95"/>
        <v>0.95</v>
      </c>
      <c r="BE215" s="42">
        <f>IF($C215="&lt;01",ROUND(INDEX(EID!$V:$V,MATCH($B215,EID!$B:$B,0))/2,0),ROUND($BD215*$BB215,0))</f>
        <v>20</v>
      </c>
      <c r="BF215" s="42">
        <f t="shared" si="96"/>
        <v>20</v>
      </c>
      <c r="BG215" s="116">
        <f t="shared" si="97"/>
        <v>0.95</v>
      </c>
      <c r="BH215" s="9">
        <f>IF($C215="&lt;01",ROUND(INDEX(EID!$L:$L,MATCH($B215,EID!$B:$B,0)),0)/2,IF(SUM($BG215)=0,"",ROUND($AX215/$BG215,0)))</f>
        <v>-76</v>
      </c>
    </row>
    <row r="216" spans="1:60" x14ac:dyDescent="0.2">
      <c r="A216" t="str">
        <f>INDEX(Prioritization!$D:$D,MATCH($B216,Prioritization!$A:$A,0))</f>
        <v>INVALID</v>
      </c>
      <c r="B216" t="s">
        <v>207</v>
      </c>
      <c r="C216" t="s">
        <v>363</v>
      </c>
      <c r="D216" t="s">
        <v>47</v>
      </c>
      <c r="E216" t="str">
        <f t="shared" si="76"/>
        <v>Nkhata Bay District [E7zpfyBt7Tw]|10-14|Male</v>
      </c>
      <c r="F216" s="14"/>
      <c r="G216" s="14">
        <v>10</v>
      </c>
      <c r="H216" s="14">
        <v>1</v>
      </c>
      <c r="I216" s="14">
        <v>83</v>
      </c>
      <c r="J216" s="14">
        <v>7</v>
      </c>
      <c r="K216" s="14">
        <v>6</v>
      </c>
      <c r="L216" s="14">
        <v>6</v>
      </c>
      <c r="M216" s="14">
        <v>2</v>
      </c>
      <c r="N216" s="14">
        <v>38</v>
      </c>
      <c r="O216" s="14">
        <f t="shared" si="77"/>
        <v>83</v>
      </c>
      <c r="P216" s="14">
        <v>28</v>
      </c>
      <c r="Q216" s="14">
        <v>90</v>
      </c>
      <c r="R216" s="14">
        <f t="shared" si="78"/>
        <v>0</v>
      </c>
      <c r="S216" s="14">
        <f>IF(LEFT($B216,4)="_Mil","",_xlfn.IFNA(ROUND(INDEX(Spectrum!$N:$N,MATCH(RIGHT($B216,13)&amp;"|"&amp;$C216&amp;"|"&amp;$D216&amp;"|"&amp;S$14&amp;"|"&amp;"CY2022Q4",Spectrum!$R:$R,0)),0),""))</f>
        <v>768</v>
      </c>
      <c r="T216" s="42">
        <f>IF(LEFT($B216,4)="_Mil","",_xlfn.IFNA(ROUND(INDEX(Spectrum!$N:$N,MATCH(RIGHT($B216,13)&amp;"|"&amp;$C216&amp;"|"&amp;$D216&amp;"|"&amp;T$14&amp;"|"&amp;"CY2023Q3",Spectrum!$R:$R,0)),0),""))</f>
        <v>882</v>
      </c>
      <c r="U216" s="42" t="str">
        <f>IF(LEFT($B216,4)="_Mil","",_xlfn.IFNA(ROUND(INDEX(Spectrum!$N:$N,MATCH(RIGHT($B216,13)&amp;"|"&amp;$C216&amp;"|"&amp;$D216&amp;"|"&amp;U$14&amp;"|"&amp;"CY2023Q3",Spectrum!$R:$R,0)),0),""))</f>
        <v/>
      </c>
      <c r="V216" s="14">
        <f>IF(LEFT($B216,4)="_Mil","",_xlfn.IFNA(ROUND(INDEX(Spectrum!$N:$N,MATCH(RIGHT($B216,13)&amp;"|"&amp;$C216&amp;"|"&amp;$D216&amp;"|"&amp;V$14&amp;"|"&amp;"CY2023Q3",Spectrum!$R:$R,0)),0),""))</f>
        <v>1227</v>
      </c>
      <c r="W216" s="115">
        <f>IF(LEFT($B216,4)="_Mil","",_xlfn.IFNA(INDEX(Spectrum!$N:$N,MATCH(RIGHT($B216,13)&amp;"|"&amp;$C216&amp;"|"&amp;$D216&amp;"|"&amp;W$14&amp;"|"&amp;"CY2023Q3",Spectrum!$R:$R,0)),""))</f>
        <v>992</v>
      </c>
      <c r="X216" s="42">
        <f>IF(LEFT($B216,4)="_Mil","",_xlfn.IFNA(ROUND(INDEX(Spectrum!$N:$N,MATCH(RIGHT($B216,13)&amp;"|"&amp;$C216&amp;"|"&amp;$D216&amp;"|"&amp;X$14&amp;"|"&amp;"CY2023Q3",Spectrum!$R:$R,0)),0),""))</f>
        <v>1320</v>
      </c>
      <c r="Y216" s="90" t="str">
        <f t="shared" si="79"/>
        <v/>
      </c>
      <c r="Z216" s="42">
        <f>IF(LEFT($B216,4)="_Mil","",_xlfn.IFNA(ROUND(INDEX(Spectrum!$N:$N,MATCH(RIGHT($B216,13)&amp;"|"&amp;$C216&amp;"|"&amp;$D216&amp;"|"&amp;Z$14&amp;"|"&amp;"CY2023Q3",Spectrum!$R:$R,0)),0),""))</f>
        <v>1639</v>
      </c>
      <c r="AA216" s="90">
        <f>IF(LEFT($B216,4)="_Mil","",IFERROR(1/(1/INDEX(Spectrum!$N:$N,MATCH(RIGHT($B216,13)&amp;"|"&amp;$C216&amp;"|"&amp;$D216&amp;"|"&amp;AA$14&amp;"|"&amp;"CY2023Q3",Spectrum!$R:$R,0))),IF(SUM($U216)=0,"",SUM($Z216)/$U216)))</f>
        <v>1570</v>
      </c>
      <c r="AB216" s="90">
        <f t="shared" si="80"/>
        <v>1.2416666666666667</v>
      </c>
      <c r="AC216" s="14">
        <f>IF(LEFT($B216,4)="_Mil","",_xlfn.IFNA(ROUND(INDEX(Spectrum!$N:$N,MATCH(RIGHT($B216,13)&amp;"|"&amp;$C216&amp;"|"&amp;$D216&amp;"|"&amp;AC$14&amp;"|"&amp;"CY2023Q3",Spectrum!$R:$R,0)),0),""))</f>
        <v>982</v>
      </c>
      <c r="AD216" s="14" t="str">
        <f>IF(LEFT($B216,4)="_Mil","",_xlfn.IFNA(ROUND(INDEX(Spectrum!$N:$N,MATCH(RIGHT($B216,13)&amp;"|"&amp;$C216&amp;"|"&amp;$D216&amp;"|"&amp;AD$14&amp;"|"&amp;"CY2023Q3",Spectrum!$R:$R,0)),0),""))</f>
        <v/>
      </c>
      <c r="AE216" s="90">
        <f t="shared" si="81"/>
        <v>0</v>
      </c>
      <c r="AF216" s="42" t="str">
        <f>IF(LEFT($B216,4)="_Mil","",_xlfn.IFNA(ROUND(INDEX(Spectrum!$N:$N,MATCH(RIGHT($B216,13)&amp;"|"&amp;$C216&amp;"|"&amp;$D216&amp;"|"&amp;AF$14&amp;"|"&amp;"CY2023Q3",Spectrum!$R:$R,0)),0),""))</f>
        <v/>
      </c>
      <c r="AG216" s="90" t="str">
        <f t="shared" si="82"/>
        <v/>
      </c>
      <c r="AH216" s="88" t="str">
        <f>IF(LEFT($B216,4)="_Mil","",_xlfn.IFNA(INDEX(Spectrum!$N:$N,MATCH(RIGHT($B216,13)&amp;"|"&amp;$C216&amp;"|"&amp;$D216&amp;"|"&amp;AH$14&amp;"|"&amp;"CY2023Q3",Spectrum!$R:$R,0)),""))</f>
        <v/>
      </c>
      <c r="AI216" s="14" t="str">
        <f>IF(LEFT($B216,4)="_Mil","",_xlfn.IFNA(ROUND(INDEX(Spectrum!$N:$N,MATCH(RIGHT($B216,13)&amp;"|"&amp;$C216&amp;"|"&amp;$D216&amp;"|"&amp;AI$14&amp;"|"&amp;"CY2023Q3",Spectrum!$R:$R,0)),0),""))</f>
        <v/>
      </c>
      <c r="AJ216" s="42">
        <f>IF(LEFT($B216,4)="_Mil","",_xlfn.IFNA(ROUND(INDEX(Spectrum!$N:$N,MATCH(RIGHT($B216,13)&amp;"|"&amp;$C216&amp;"|"&amp;$D216&amp;"|"&amp;AI$14&amp;"|"&amp;"CY2023Q3",Spectrum!$R:$R,0)),0),SUM($U216)+SUM($AI216)))</f>
        <v>0</v>
      </c>
      <c r="AK216" s="14" t="str">
        <f>IF(LEFT($B216,4)="_Mil","",_xlfn.IFNA(ROUND(INDEX(Spectrum!$N:$N,MATCH(RIGHT($B216,13)&amp;"|"&amp;$C216&amp;"|"&amp;$D216&amp;"|"&amp;AK$14&amp;"|"&amp;"CY2023Q3",Spectrum!$R:$R,0)),0),""))</f>
        <v/>
      </c>
      <c r="AL216" s="90">
        <f t="shared" si="83"/>
        <v>1570</v>
      </c>
      <c r="AM216" s="14">
        <f t="shared" si="84"/>
        <v>0</v>
      </c>
      <c r="AN216" s="14" t="str">
        <f>IF($C216="&lt;01",ROUND(INDEX(EID!$P:$P,MATCH($B216,EID!$B:$B,0))/2,0),"")</f>
        <v/>
      </c>
      <c r="AO216" s="14">
        <f t="shared" si="85"/>
        <v>0</v>
      </c>
      <c r="AP216" s="42">
        <f t="shared" si="86"/>
        <v>0</v>
      </c>
      <c r="AQ216" s="42">
        <f t="shared" si="87"/>
        <v>1639</v>
      </c>
      <c r="AR216" s="90" t="str">
        <f t="shared" si="88"/>
        <v/>
      </c>
      <c r="AS216" s="90">
        <f t="shared" si="98"/>
        <v>0.98</v>
      </c>
      <c r="AT216" s="90">
        <f t="shared" si="98"/>
        <v>0.98</v>
      </c>
      <c r="AU216" s="14">
        <f t="shared" si="89"/>
        <v>-83</v>
      </c>
      <c r="AV216" s="14">
        <f>IF($C216="&lt;01",ROUND(INDEX(EID!$N:$N,MATCH($B216,EID!$B:$B,0))/2,0),IF(SUM($AT216)=0,"",ROUND((SUM($AP216)-(SUM($O216)*SUM($AS216)))/$AT216,0)))</f>
        <v>-83</v>
      </c>
      <c r="AW216" s="90">
        <f t="shared" si="90"/>
        <v>1</v>
      </c>
      <c r="AX216" s="42">
        <f t="shared" si="91"/>
        <v>-83</v>
      </c>
      <c r="AY216" s="116">
        <f t="shared" si="92"/>
        <v>0.7</v>
      </c>
      <c r="AZ216" s="93">
        <f>IF($C216="&lt;01",ROUND(INDEX(EID!$R:$R,MATCH($B216,EID!$B:$B,0))/2,0),ROUND(SUM($O216)+(SUM($AV216)*$AY216),0))</f>
        <v>25</v>
      </c>
      <c r="BA216" s="89">
        <f t="shared" si="93"/>
        <v>0.95</v>
      </c>
      <c r="BB216" s="9">
        <f>IF($C216="&lt;01",ROUND(INDEX(EID!$T:$T,MATCH($B216,EID!$B:$B,0))/2,0),ROUND($AZ216*$BA216,0))</f>
        <v>24</v>
      </c>
      <c r="BC216" s="93">
        <f t="shared" si="94"/>
        <v>24</v>
      </c>
      <c r="BD216" s="90">
        <f t="shared" si="95"/>
        <v>0.95</v>
      </c>
      <c r="BE216" s="42">
        <f>IF($C216="&lt;01",ROUND(INDEX(EID!$V:$V,MATCH($B216,EID!$B:$B,0))/2,0),ROUND($BD216*$BB216,0))</f>
        <v>23</v>
      </c>
      <c r="BF216" s="42">
        <f t="shared" si="96"/>
        <v>23</v>
      </c>
      <c r="BG216" s="116">
        <f t="shared" si="97"/>
        <v>0.95</v>
      </c>
      <c r="BH216" s="9">
        <f>IF($C216="&lt;01",ROUND(INDEX(EID!$L:$L,MATCH($B216,EID!$B:$B,0)),0)/2,IF(SUM($BG216)=0,"",ROUND($AX216/$BG216,0)))</f>
        <v>-87</v>
      </c>
    </row>
    <row r="217" spans="1:60" x14ac:dyDescent="0.2">
      <c r="A217" t="str">
        <f>INDEX(Prioritization!$D:$D,MATCH($B217,Prioritization!$A:$A,0))</f>
        <v>INVALID</v>
      </c>
      <c r="B217" t="s">
        <v>207</v>
      </c>
      <c r="C217" t="s">
        <v>364</v>
      </c>
      <c r="D217" t="s">
        <v>29</v>
      </c>
      <c r="E217" t="str">
        <f t="shared" si="76"/>
        <v>Nkhata Bay District [E7zpfyBt7Tw]|15-24|Female</v>
      </c>
      <c r="F217" s="14"/>
      <c r="G217" s="14"/>
      <c r="H217" s="14"/>
      <c r="I217" s="14"/>
      <c r="J217" s="14"/>
      <c r="K217" s="14"/>
      <c r="L217" s="14"/>
      <c r="M217" s="14"/>
      <c r="N217" s="14"/>
      <c r="O217" s="14" t="str">
        <f t="shared" si="77"/>
        <v/>
      </c>
      <c r="P217" s="14"/>
      <c r="Q217" s="14"/>
      <c r="R217" s="14" t="str">
        <f t="shared" si="78"/>
        <v/>
      </c>
      <c r="S217" s="14">
        <f>IF(LEFT($B217,4)="_Mil","",_xlfn.IFNA(ROUND(INDEX(Spectrum!$N:$N,MATCH(RIGHT($B217,13)&amp;"|"&amp;$C217&amp;"|"&amp;$D217&amp;"|"&amp;S$14&amp;"|"&amp;"CY2022Q4",Spectrum!$R:$R,0)),0),""))</f>
        <v>1936</v>
      </c>
      <c r="T217" s="42">
        <f>IF(LEFT($B217,4)="_Mil","",_xlfn.IFNA(ROUND(INDEX(Spectrum!$N:$N,MATCH(RIGHT($B217,13)&amp;"|"&amp;$C217&amp;"|"&amp;$D217&amp;"|"&amp;T$14&amp;"|"&amp;"CY2023Q3",Spectrum!$R:$R,0)),0),""))</f>
        <v>1878</v>
      </c>
      <c r="U217" s="42" t="str">
        <f>IF(LEFT($B217,4)="_Mil","",_xlfn.IFNA(ROUND(INDEX(Spectrum!$N:$N,MATCH(RIGHT($B217,13)&amp;"|"&amp;$C217&amp;"|"&amp;$D217&amp;"|"&amp;U$14&amp;"|"&amp;"CY2023Q3",Spectrum!$R:$R,0)),0),""))</f>
        <v/>
      </c>
      <c r="V217" s="14">
        <f>IF(LEFT($B217,4)="_Mil","",_xlfn.IFNA(ROUND(INDEX(Spectrum!$N:$N,MATCH(RIGHT($B217,13)&amp;"|"&amp;$C217&amp;"|"&amp;$D217&amp;"|"&amp;V$14&amp;"|"&amp;"CY2023Q3",Spectrum!$R:$R,0)),0),""))</f>
        <v>1061</v>
      </c>
      <c r="W217" s="115">
        <f>IF(LEFT($B217,4)="_Mil","",_xlfn.IFNA(INDEX(Spectrum!$N:$N,MATCH(RIGHT($B217,13)&amp;"|"&amp;$C217&amp;"|"&amp;$D217&amp;"|"&amp;W$14&amp;"|"&amp;"CY2023Q3",Spectrum!$R:$R,0)),""))</f>
        <v>717</v>
      </c>
      <c r="X217" s="42">
        <f>IF(LEFT($B217,4)="_Mil","",_xlfn.IFNA(ROUND(INDEX(Spectrum!$N:$N,MATCH(RIGHT($B217,13)&amp;"|"&amp;$C217&amp;"|"&amp;$D217&amp;"|"&amp;X$14&amp;"|"&amp;"CY2023Q3",Spectrum!$R:$R,0)),0),""))</f>
        <v>992</v>
      </c>
      <c r="Y217" s="90" t="str">
        <f t="shared" si="79"/>
        <v/>
      </c>
      <c r="Z217" s="42">
        <f>IF(LEFT($B217,4)="_Mil","",_xlfn.IFNA(ROUND(INDEX(Spectrum!$N:$N,MATCH(RIGHT($B217,13)&amp;"|"&amp;$C217&amp;"|"&amp;$D217&amp;"|"&amp;Z$14&amp;"|"&amp;"CY2023Q3",Spectrum!$R:$R,0)),0),""))</f>
        <v>1439</v>
      </c>
      <c r="AA217" s="90">
        <f>IF(LEFT($B217,4)="_Mil","",IFERROR(1/(1/INDEX(Spectrum!$N:$N,MATCH(RIGHT($B217,13)&amp;"|"&amp;$C217&amp;"|"&amp;$D217&amp;"|"&amp;AA$14&amp;"|"&amp;"CY2023Q3",Spectrum!$R:$R,0))),IF(SUM($U217)=0,"",SUM($Z217)/$U217)))</f>
        <v>1731</v>
      </c>
      <c r="AB217" s="90">
        <f t="shared" si="80"/>
        <v>1.4506048387096775</v>
      </c>
      <c r="AC217" s="14">
        <f>IF(LEFT($B217,4)="_Mil","",_xlfn.IFNA(ROUND(INDEX(Spectrum!$N:$N,MATCH(RIGHT($B217,13)&amp;"|"&amp;$C217&amp;"|"&amp;$D217&amp;"|"&amp;AC$14&amp;"|"&amp;"CY2023Q3",Spectrum!$R:$R,0)),0),""))</f>
        <v>521</v>
      </c>
      <c r="AD217" s="14" t="str">
        <f>IF(LEFT($B217,4)="_Mil","",_xlfn.IFNA(ROUND(INDEX(Spectrum!$N:$N,MATCH(RIGHT($B217,13)&amp;"|"&amp;$C217&amp;"|"&amp;$D217&amp;"|"&amp;AD$14&amp;"|"&amp;"CY2023Q3",Spectrum!$R:$R,0)),0),""))</f>
        <v/>
      </c>
      <c r="AE217" s="90">
        <f t="shared" si="81"/>
        <v>0</v>
      </c>
      <c r="AF217" s="42" t="str">
        <f>IF(LEFT($B217,4)="_Mil","",_xlfn.IFNA(ROUND(INDEX(Spectrum!$N:$N,MATCH(RIGHT($B217,13)&amp;"|"&amp;$C217&amp;"|"&amp;$D217&amp;"|"&amp;AF$14&amp;"|"&amp;"CY2023Q3",Spectrum!$R:$R,0)),0),""))</f>
        <v/>
      </c>
      <c r="AG217" s="90" t="str">
        <f t="shared" si="82"/>
        <v/>
      </c>
      <c r="AH217" s="88" t="str">
        <f>IF(LEFT($B217,4)="_Mil","",_xlfn.IFNA(INDEX(Spectrum!$N:$N,MATCH(RIGHT($B217,13)&amp;"|"&amp;$C217&amp;"|"&amp;$D217&amp;"|"&amp;AH$14&amp;"|"&amp;"CY2023Q3",Spectrum!$R:$R,0)),""))</f>
        <v/>
      </c>
      <c r="AI217" s="14" t="str">
        <f>IF(LEFT($B217,4)="_Mil","",_xlfn.IFNA(ROUND(INDEX(Spectrum!$N:$N,MATCH(RIGHT($B217,13)&amp;"|"&amp;$C217&amp;"|"&amp;$D217&amp;"|"&amp;AI$14&amp;"|"&amp;"CY2023Q3",Spectrum!$R:$R,0)),0),""))</f>
        <v/>
      </c>
      <c r="AJ217" s="42">
        <f>IF(LEFT($B217,4)="_Mil","",_xlfn.IFNA(ROUND(INDEX(Spectrum!$N:$N,MATCH(RIGHT($B217,13)&amp;"|"&amp;$C217&amp;"|"&amp;$D217&amp;"|"&amp;AI$14&amp;"|"&amp;"CY2023Q3",Spectrum!$R:$R,0)),0),SUM($U217)+SUM($AI217)))</f>
        <v>0</v>
      </c>
      <c r="AK217" s="14" t="str">
        <f>IF(LEFT($B217,4)="_Mil","",_xlfn.IFNA(ROUND(INDEX(Spectrum!$N:$N,MATCH(RIGHT($B217,13)&amp;"|"&amp;$C217&amp;"|"&amp;$D217&amp;"|"&amp;AK$14&amp;"|"&amp;"CY2023Q3",Spectrum!$R:$R,0)),0),""))</f>
        <v/>
      </c>
      <c r="AL217" s="90">
        <f t="shared" si="83"/>
        <v>1731</v>
      </c>
      <c r="AM217" s="14">
        <f t="shared" si="84"/>
        <v>0</v>
      </c>
      <c r="AN217" s="14" t="str">
        <f>IF($C217="&lt;01",ROUND(INDEX(EID!$P:$P,MATCH($B217,EID!$B:$B,0))/2,0),"")</f>
        <v/>
      </c>
      <c r="AO217" s="14">
        <f t="shared" si="85"/>
        <v>0</v>
      </c>
      <c r="AP217" s="42">
        <f t="shared" si="86"/>
        <v>0</v>
      </c>
      <c r="AQ217" s="42">
        <f t="shared" si="87"/>
        <v>1439</v>
      </c>
      <c r="AR217" s="90" t="str">
        <f t="shared" si="88"/>
        <v/>
      </c>
      <c r="AS217" s="90">
        <f t="shared" si="98"/>
        <v>0.98</v>
      </c>
      <c r="AT217" s="90">
        <f t="shared" si="98"/>
        <v>0.98</v>
      </c>
      <c r="AU217" s="14">
        <f t="shared" si="89"/>
        <v>0</v>
      </c>
      <c r="AV217" s="14">
        <f>IF($C217="&lt;01",ROUND(INDEX(EID!$N:$N,MATCH($B217,EID!$B:$B,0))/2,0),IF(SUM($AT217)=0,"",ROUND((SUM($AP217)-(SUM($O217)*SUM($AS217)))/$AT217,0)))</f>
        <v>0</v>
      </c>
      <c r="AW217" s="90">
        <f t="shared" si="90"/>
        <v>1</v>
      </c>
      <c r="AX217" s="42">
        <f t="shared" si="91"/>
        <v>0</v>
      </c>
      <c r="AY217" s="116">
        <f t="shared" si="92"/>
        <v>0.7</v>
      </c>
      <c r="AZ217" s="93">
        <f>IF($C217="&lt;01",ROUND(INDEX(EID!$R:$R,MATCH($B217,EID!$B:$B,0))/2,0),ROUND(SUM($O217)+(SUM($AV217)*$AY217),0))</f>
        <v>0</v>
      </c>
      <c r="BA217" s="89">
        <f t="shared" si="93"/>
        <v>0.95</v>
      </c>
      <c r="BB217" s="9">
        <f>IF($C217="&lt;01",ROUND(INDEX(EID!$T:$T,MATCH($B217,EID!$B:$B,0))/2,0),ROUND($AZ217*$BA217,0))</f>
        <v>0</v>
      </c>
      <c r="BC217" s="93">
        <f t="shared" si="94"/>
        <v>0</v>
      </c>
      <c r="BD217" s="90">
        <f t="shared" si="95"/>
        <v>0.95</v>
      </c>
      <c r="BE217" s="42">
        <f>IF($C217="&lt;01",ROUND(INDEX(EID!$V:$V,MATCH($B217,EID!$B:$B,0))/2,0),ROUND($BD217*$BB217,0))</f>
        <v>0</v>
      </c>
      <c r="BF217" s="42">
        <f t="shared" si="96"/>
        <v>0</v>
      </c>
      <c r="BG217" s="116">
        <f t="shared" si="97"/>
        <v>0.95</v>
      </c>
      <c r="BH217" s="9">
        <f>IF($C217="&lt;01",ROUND(INDEX(EID!$L:$L,MATCH($B217,EID!$B:$B,0)),0)/2,IF(SUM($BG217)=0,"",ROUND($AX217/$BG217,0)))</f>
        <v>0</v>
      </c>
    </row>
    <row r="218" spans="1:60" x14ac:dyDescent="0.2">
      <c r="A218" t="str">
        <f>INDEX(Prioritization!$D:$D,MATCH($B218,Prioritization!$A:$A,0))</f>
        <v>INVALID</v>
      </c>
      <c r="B218" t="s">
        <v>207</v>
      </c>
      <c r="C218" t="s">
        <v>364</v>
      </c>
      <c r="D218" t="s">
        <v>47</v>
      </c>
      <c r="E218" t="str">
        <f t="shared" si="76"/>
        <v>Nkhata Bay District [E7zpfyBt7Tw]|15-24|Male</v>
      </c>
      <c r="F218" s="14"/>
      <c r="G218" s="14"/>
      <c r="H218" s="14"/>
      <c r="I218" s="14"/>
      <c r="J218" s="14"/>
      <c r="K218" s="14"/>
      <c r="L218" s="14"/>
      <c r="M218" s="14"/>
      <c r="N218" s="14"/>
      <c r="O218" s="14" t="str">
        <f t="shared" si="77"/>
        <v/>
      </c>
      <c r="P218" s="14"/>
      <c r="Q218" s="14"/>
      <c r="R218" s="14" t="str">
        <f t="shared" si="78"/>
        <v/>
      </c>
      <c r="S218" s="14">
        <f>IF(LEFT($B218,4)="_Mil","",_xlfn.IFNA(ROUND(INDEX(Spectrum!$N:$N,MATCH(RIGHT($B218,13)&amp;"|"&amp;$C218&amp;"|"&amp;$D218&amp;"|"&amp;S$14&amp;"|"&amp;"CY2022Q4",Spectrum!$R:$R,0)),0),""))</f>
        <v>1142</v>
      </c>
      <c r="T218" s="42">
        <f>IF(LEFT($B218,4)="_Mil","",_xlfn.IFNA(ROUND(INDEX(Spectrum!$N:$N,MATCH(RIGHT($B218,13)&amp;"|"&amp;$C218&amp;"|"&amp;$D218&amp;"|"&amp;T$14&amp;"|"&amp;"CY2023Q3",Spectrum!$R:$R,0)),0),""))</f>
        <v>1481</v>
      </c>
      <c r="U218" s="42" t="str">
        <f>IF(LEFT($B218,4)="_Mil","",_xlfn.IFNA(ROUND(INDEX(Spectrum!$N:$N,MATCH(RIGHT($B218,13)&amp;"|"&amp;$C218&amp;"|"&amp;$D218&amp;"|"&amp;U$14&amp;"|"&amp;"CY2023Q3",Spectrum!$R:$R,0)),0),""))</f>
        <v/>
      </c>
      <c r="V218" s="14">
        <f>IF(LEFT($B218,4)="_Mil","",_xlfn.IFNA(ROUND(INDEX(Spectrum!$N:$N,MATCH(RIGHT($B218,13)&amp;"|"&amp;$C218&amp;"|"&amp;$D218&amp;"|"&amp;V$14&amp;"|"&amp;"CY2023Q3",Spectrum!$R:$R,0)),0),""))</f>
        <v>613</v>
      </c>
      <c r="W218" s="115">
        <f>IF(LEFT($B218,4)="_Mil","",_xlfn.IFNA(INDEX(Spectrum!$N:$N,MATCH(RIGHT($B218,13)&amp;"|"&amp;$C218&amp;"|"&amp;$D218&amp;"|"&amp;W$14&amp;"|"&amp;"CY2023Q3",Spectrum!$R:$R,0)),""))</f>
        <v>1363</v>
      </c>
      <c r="X218" s="42">
        <f>IF(LEFT($B218,4)="_Mil","",_xlfn.IFNA(ROUND(INDEX(Spectrum!$N:$N,MATCH(RIGHT($B218,13)&amp;"|"&amp;$C218&amp;"|"&amp;$D218&amp;"|"&amp;X$14&amp;"|"&amp;"CY2023Q3",Spectrum!$R:$R,0)),0),""))</f>
        <v>1232</v>
      </c>
      <c r="Y218" s="90" t="str">
        <f t="shared" si="79"/>
        <v/>
      </c>
      <c r="Z218" s="42">
        <f>IF(LEFT($B218,4)="_Mil","",_xlfn.IFNA(ROUND(INDEX(Spectrum!$N:$N,MATCH(RIGHT($B218,13)&amp;"|"&amp;$C218&amp;"|"&amp;$D218&amp;"|"&amp;Z$14&amp;"|"&amp;"CY2023Q3",Spectrum!$R:$R,0)),0),""))</f>
        <v>1364</v>
      </c>
      <c r="AA218" s="90">
        <f>IF(LEFT($B218,4)="_Mil","",IFERROR(1/(1/INDEX(Spectrum!$N:$N,MATCH(RIGHT($B218,13)&amp;"|"&amp;$C218&amp;"|"&amp;$D218&amp;"|"&amp;AA$14&amp;"|"&amp;"CY2023Q3",Spectrum!$R:$R,0))),IF(SUM($U218)=0,"",SUM($Z218)/$U218)))</f>
        <v>953</v>
      </c>
      <c r="AB218" s="90">
        <f t="shared" si="80"/>
        <v>1.1071428571428572</v>
      </c>
      <c r="AC218" s="14">
        <f>IF(LEFT($B218,4)="_Mil","",_xlfn.IFNA(ROUND(INDEX(Spectrum!$N:$N,MATCH(RIGHT($B218,13)&amp;"|"&amp;$C218&amp;"|"&amp;$D218&amp;"|"&amp;AC$14&amp;"|"&amp;"CY2023Q3",Spectrum!$R:$R,0)),0),""))</f>
        <v>1932</v>
      </c>
      <c r="AD218" s="14" t="str">
        <f>IF(LEFT($B218,4)="_Mil","",_xlfn.IFNA(ROUND(INDEX(Spectrum!$N:$N,MATCH(RIGHT($B218,13)&amp;"|"&amp;$C218&amp;"|"&amp;$D218&amp;"|"&amp;AD$14&amp;"|"&amp;"CY2023Q3",Spectrum!$R:$R,0)),0),""))</f>
        <v/>
      </c>
      <c r="AE218" s="90">
        <f t="shared" si="81"/>
        <v>0</v>
      </c>
      <c r="AF218" s="42" t="str">
        <f>IF(LEFT($B218,4)="_Mil","",_xlfn.IFNA(ROUND(INDEX(Spectrum!$N:$N,MATCH(RIGHT($B218,13)&amp;"|"&amp;$C218&amp;"|"&amp;$D218&amp;"|"&amp;AF$14&amp;"|"&amp;"CY2023Q3",Spectrum!$R:$R,0)),0),""))</f>
        <v/>
      </c>
      <c r="AG218" s="90" t="str">
        <f t="shared" si="82"/>
        <v/>
      </c>
      <c r="AH218" s="88" t="str">
        <f>IF(LEFT($B218,4)="_Mil","",_xlfn.IFNA(INDEX(Spectrum!$N:$N,MATCH(RIGHT($B218,13)&amp;"|"&amp;$C218&amp;"|"&amp;$D218&amp;"|"&amp;AH$14&amp;"|"&amp;"CY2023Q3",Spectrum!$R:$R,0)),""))</f>
        <v/>
      </c>
      <c r="AI218" s="14" t="str">
        <f>IF(LEFT($B218,4)="_Mil","",_xlfn.IFNA(ROUND(INDEX(Spectrum!$N:$N,MATCH(RIGHT($B218,13)&amp;"|"&amp;$C218&amp;"|"&amp;$D218&amp;"|"&amp;AI$14&amp;"|"&amp;"CY2023Q3",Spectrum!$R:$R,0)),0),""))</f>
        <v/>
      </c>
      <c r="AJ218" s="42">
        <f>IF(LEFT($B218,4)="_Mil","",_xlfn.IFNA(ROUND(INDEX(Spectrum!$N:$N,MATCH(RIGHT($B218,13)&amp;"|"&amp;$C218&amp;"|"&amp;$D218&amp;"|"&amp;AI$14&amp;"|"&amp;"CY2023Q3",Spectrum!$R:$R,0)),0),SUM($U218)+SUM($AI218)))</f>
        <v>0</v>
      </c>
      <c r="AK218" s="14" t="str">
        <f>IF(LEFT($B218,4)="_Mil","",_xlfn.IFNA(ROUND(INDEX(Spectrum!$N:$N,MATCH(RIGHT($B218,13)&amp;"|"&amp;$C218&amp;"|"&amp;$D218&amp;"|"&amp;AK$14&amp;"|"&amp;"CY2023Q3",Spectrum!$R:$R,0)),0),""))</f>
        <v/>
      </c>
      <c r="AL218" s="90">
        <f t="shared" si="83"/>
        <v>953</v>
      </c>
      <c r="AM218" s="14">
        <f t="shared" si="84"/>
        <v>0</v>
      </c>
      <c r="AN218" s="14" t="str">
        <f>IF($C218="&lt;01",ROUND(INDEX(EID!$P:$P,MATCH($B218,EID!$B:$B,0))/2,0),"")</f>
        <v/>
      </c>
      <c r="AO218" s="14">
        <f t="shared" si="85"/>
        <v>0</v>
      </c>
      <c r="AP218" s="42">
        <f t="shared" si="86"/>
        <v>0</v>
      </c>
      <c r="AQ218" s="42">
        <f t="shared" si="87"/>
        <v>1364</v>
      </c>
      <c r="AR218" s="90" t="str">
        <f t="shared" si="88"/>
        <v/>
      </c>
      <c r="AS218" s="90">
        <f t="shared" si="98"/>
        <v>0.98</v>
      </c>
      <c r="AT218" s="90">
        <f t="shared" si="98"/>
        <v>0.98</v>
      </c>
      <c r="AU218" s="14">
        <f t="shared" si="89"/>
        <v>0</v>
      </c>
      <c r="AV218" s="14">
        <f>IF($C218="&lt;01",ROUND(INDEX(EID!$N:$N,MATCH($B218,EID!$B:$B,0))/2,0),IF(SUM($AT218)=0,"",ROUND((SUM($AP218)-(SUM($O218)*SUM($AS218)))/$AT218,0)))</f>
        <v>0</v>
      </c>
      <c r="AW218" s="90">
        <f t="shared" si="90"/>
        <v>1</v>
      </c>
      <c r="AX218" s="42">
        <f t="shared" si="91"/>
        <v>0</v>
      </c>
      <c r="AY218" s="116">
        <f t="shared" si="92"/>
        <v>0.7</v>
      </c>
      <c r="AZ218" s="93">
        <f>IF($C218="&lt;01",ROUND(INDEX(EID!$R:$R,MATCH($B218,EID!$B:$B,0))/2,0),ROUND(SUM($O218)+(SUM($AV218)*$AY218),0))</f>
        <v>0</v>
      </c>
      <c r="BA218" s="89">
        <f t="shared" si="93"/>
        <v>0.95</v>
      </c>
      <c r="BB218" s="9">
        <f>IF($C218="&lt;01",ROUND(INDEX(EID!$T:$T,MATCH($B218,EID!$B:$B,0))/2,0),ROUND($AZ218*$BA218,0))</f>
        <v>0</v>
      </c>
      <c r="BC218" s="93">
        <f t="shared" si="94"/>
        <v>0</v>
      </c>
      <c r="BD218" s="90">
        <f t="shared" si="95"/>
        <v>0.95</v>
      </c>
      <c r="BE218" s="42">
        <f>IF($C218="&lt;01",ROUND(INDEX(EID!$V:$V,MATCH($B218,EID!$B:$B,0))/2,0),ROUND($BD218*$BB218,0))</f>
        <v>0</v>
      </c>
      <c r="BF218" s="42">
        <f t="shared" si="96"/>
        <v>0</v>
      </c>
      <c r="BG218" s="116">
        <f t="shared" si="97"/>
        <v>0.95</v>
      </c>
      <c r="BH218" s="9">
        <f>IF($C218="&lt;01",ROUND(INDEX(EID!$L:$L,MATCH($B218,EID!$B:$B,0)),0)/2,IF(SUM($BG218)=0,"",ROUND($AX218/$BG218,0)))</f>
        <v>0</v>
      </c>
    </row>
    <row r="219" spans="1:60" x14ac:dyDescent="0.2">
      <c r="A219" t="str">
        <f>INDEX(Prioritization!$D:$D,MATCH($B219,Prioritization!$A:$A,0))</f>
        <v>INVALID</v>
      </c>
      <c r="B219" t="s">
        <v>207</v>
      </c>
      <c r="C219" t="s">
        <v>365</v>
      </c>
      <c r="D219" t="s">
        <v>29</v>
      </c>
      <c r="E219" t="str">
        <f t="shared" si="76"/>
        <v>Nkhata Bay District [E7zpfyBt7Tw]|25-34|Female</v>
      </c>
      <c r="F219" s="14"/>
      <c r="G219" s="14"/>
      <c r="H219" s="14"/>
      <c r="I219" s="14"/>
      <c r="J219" s="14"/>
      <c r="K219" s="14"/>
      <c r="L219" s="14"/>
      <c r="M219" s="14"/>
      <c r="N219" s="14"/>
      <c r="O219" s="14" t="str">
        <f t="shared" si="77"/>
        <v/>
      </c>
      <c r="P219" s="14"/>
      <c r="Q219" s="14"/>
      <c r="R219" s="14" t="str">
        <f t="shared" si="78"/>
        <v/>
      </c>
      <c r="S219" s="14">
        <f>IF(LEFT($B219,4)="_Mil","",_xlfn.IFNA(ROUND(INDEX(Spectrum!$N:$N,MATCH(RIGHT($B219,13)&amp;"|"&amp;$C219&amp;"|"&amp;$D219&amp;"|"&amp;S$14&amp;"|"&amp;"CY2022Q4",Spectrum!$R:$R,0)),0),""))</f>
        <v>1709</v>
      </c>
      <c r="T219" s="42">
        <f>IF(LEFT($B219,4)="_Mil","",_xlfn.IFNA(ROUND(INDEX(Spectrum!$N:$N,MATCH(RIGHT($B219,13)&amp;"|"&amp;$C219&amp;"|"&amp;$D219&amp;"|"&amp;T$14&amp;"|"&amp;"CY2023Q3",Spectrum!$R:$R,0)),0),""))</f>
        <v>795</v>
      </c>
      <c r="U219" s="42" t="str">
        <f>IF(LEFT($B219,4)="_Mil","",_xlfn.IFNA(ROUND(INDEX(Spectrum!$N:$N,MATCH(RIGHT($B219,13)&amp;"|"&amp;$C219&amp;"|"&amp;$D219&amp;"|"&amp;U$14&amp;"|"&amp;"CY2023Q3",Spectrum!$R:$R,0)),0),""))</f>
        <v/>
      </c>
      <c r="V219" s="14">
        <f>IF(LEFT($B219,4)="_Mil","",_xlfn.IFNA(ROUND(INDEX(Spectrum!$N:$N,MATCH(RIGHT($B219,13)&amp;"|"&amp;$C219&amp;"|"&amp;$D219&amp;"|"&amp;V$14&amp;"|"&amp;"CY2023Q3",Spectrum!$R:$R,0)),0),""))</f>
        <v>1647</v>
      </c>
      <c r="W219" s="115">
        <f>IF(LEFT($B219,4)="_Mil","",_xlfn.IFNA(INDEX(Spectrum!$N:$N,MATCH(RIGHT($B219,13)&amp;"|"&amp;$C219&amp;"|"&amp;$D219&amp;"|"&amp;W$14&amp;"|"&amp;"CY2023Q3",Spectrum!$R:$R,0)),""))</f>
        <v>1859</v>
      </c>
      <c r="X219" s="42">
        <f>IF(LEFT($B219,4)="_Mil","",_xlfn.IFNA(ROUND(INDEX(Spectrum!$N:$N,MATCH(RIGHT($B219,13)&amp;"|"&amp;$C219&amp;"|"&amp;$D219&amp;"|"&amp;X$14&amp;"|"&amp;"CY2023Q3",Spectrum!$R:$R,0)),0),""))</f>
        <v>1074</v>
      </c>
      <c r="Y219" s="90" t="str">
        <f t="shared" si="79"/>
        <v/>
      </c>
      <c r="Z219" s="42">
        <f>IF(LEFT($B219,4)="_Mil","",_xlfn.IFNA(ROUND(INDEX(Spectrum!$N:$N,MATCH(RIGHT($B219,13)&amp;"|"&amp;$C219&amp;"|"&amp;$D219&amp;"|"&amp;Z$14&amp;"|"&amp;"CY2023Q3",Spectrum!$R:$R,0)),0),""))</f>
        <v>1692</v>
      </c>
      <c r="AA219" s="90">
        <f>IF(LEFT($B219,4)="_Mil","",IFERROR(1/(1/INDEX(Spectrum!$N:$N,MATCH(RIGHT($B219,13)&amp;"|"&amp;$C219&amp;"|"&amp;$D219&amp;"|"&amp;AA$14&amp;"|"&amp;"CY2023Q3",Spectrum!$R:$R,0))),IF(SUM($U219)=0,"",SUM($Z219)/$U219)))</f>
        <v>2000</v>
      </c>
      <c r="AB219" s="90">
        <f t="shared" si="80"/>
        <v>1.5754189944134078</v>
      </c>
      <c r="AC219" s="14">
        <f>IF(LEFT($B219,4)="_Mil","",_xlfn.IFNA(ROUND(INDEX(Spectrum!$N:$N,MATCH(RIGHT($B219,13)&amp;"|"&amp;$C219&amp;"|"&amp;$D219&amp;"|"&amp;AC$14&amp;"|"&amp;"CY2023Q3",Spectrum!$R:$R,0)),0),""))</f>
        <v>1477</v>
      </c>
      <c r="AD219" s="14" t="str">
        <f>IF(LEFT($B219,4)="_Mil","",_xlfn.IFNA(ROUND(INDEX(Spectrum!$N:$N,MATCH(RIGHT($B219,13)&amp;"|"&amp;$C219&amp;"|"&amp;$D219&amp;"|"&amp;AD$14&amp;"|"&amp;"CY2023Q3",Spectrum!$R:$R,0)),0),""))</f>
        <v/>
      </c>
      <c r="AE219" s="90">
        <f t="shared" si="81"/>
        <v>0</v>
      </c>
      <c r="AF219" s="42" t="str">
        <f>IF(LEFT($B219,4)="_Mil","",_xlfn.IFNA(ROUND(INDEX(Spectrum!$N:$N,MATCH(RIGHT($B219,13)&amp;"|"&amp;$C219&amp;"|"&amp;$D219&amp;"|"&amp;AF$14&amp;"|"&amp;"CY2023Q3",Spectrum!$R:$R,0)),0),""))</f>
        <v/>
      </c>
      <c r="AG219" s="90" t="str">
        <f t="shared" si="82"/>
        <v/>
      </c>
      <c r="AH219" s="88" t="str">
        <f>IF(LEFT($B219,4)="_Mil","",_xlfn.IFNA(INDEX(Spectrum!$N:$N,MATCH(RIGHT($B219,13)&amp;"|"&amp;$C219&amp;"|"&amp;$D219&amp;"|"&amp;AH$14&amp;"|"&amp;"CY2023Q3",Spectrum!$R:$R,0)),""))</f>
        <v/>
      </c>
      <c r="AI219" s="14" t="str">
        <f>IF(LEFT($B219,4)="_Mil","",_xlfn.IFNA(ROUND(INDEX(Spectrum!$N:$N,MATCH(RIGHT($B219,13)&amp;"|"&amp;$C219&amp;"|"&amp;$D219&amp;"|"&amp;AI$14&amp;"|"&amp;"CY2023Q3",Spectrum!$R:$R,0)),0),""))</f>
        <v/>
      </c>
      <c r="AJ219" s="42">
        <f>IF(LEFT($B219,4)="_Mil","",_xlfn.IFNA(ROUND(INDEX(Spectrum!$N:$N,MATCH(RIGHT($B219,13)&amp;"|"&amp;$C219&amp;"|"&amp;$D219&amp;"|"&amp;AI$14&amp;"|"&amp;"CY2023Q3",Spectrum!$R:$R,0)),0),SUM($U219)+SUM($AI219)))</f>
        <v>0</v>
      </c>
      <c r="AK219" s="14" t="str">
        <f>IF(LEFT($B219,4)="_Mil","",_xlfn.IFNA(ROUND(INDEX(Spectrum!$N:$N,MATCH(RIGHT($B219,13)&amp;"|"&amp;$C219&amp;"|"&amp;$D219&amp;"|"&amp;AK$14&amp;"|"&amp;"CY2023Q3",Spectrum!$R:$R,0)),0),""))</f>
        <v/>
      </c>
      <c r="AL219" s="90">
        <f t="shared" si="83"/>
        <v>2000</v>
      </c>
      <c r="AM219" s="14">
        <f t="shared" si="84"/>
        <v>0</v>
      </c>
      <c r="AN219" s="14" t="str">
        <f>IF($C219="&lt;01",ROUND(INDEX(EID!$P:$P,MATCH($B219,EID!$B:$B,0))/2,0),"")</f>
        <v/>
      </c>
      <c r="AO219" s="14">
        <f t="shared" si="85"/>
        <v>0</v>
      </c>
      <c r="AP219" s="42">
        <f t="shared" si="86"/>
        <v>0</v>
      </c>
      <c r="AQ219" s="42">
        <f t="shared" si="87"/>
        <v>1692</v>
      </c>
      <c r="AR219" s="90" t="str">
        <f t="shared" si="88"/>
        <v/>
      </c>
      <c r="AS219" s="90">
        <f t="shared" si="98"/>
        <v>0.98</v>
      </c>
      <c r="AT219" s="90">
        <f t="shared" si="98"/>
        <v>0.98</v>
      </c>
      <c r="AU219" s="14">
        <f t="shared" si="89"/>
        <v>0</v>
      </c>
      <c r="AV219" s="14">
        <f>IF($C219="&lt;01",ROUND(INDEX(EID!$N:$N,MATCH($B219,EID!$B:$B,0))/2,0),IF(SUM($AT219)=0,"",ROUND((SUM($AP219)-(SUM($O219)*SUM($AS219)))/$AT219,0)))</f>
        <v>0</v>
      </c>
      <c r="AW219" s="90">
        <f t="shared" si="90"/>
        <v>1</v>
      </c>
      <c r="AX219" s="42">
        <f t="shared" si="91"/>
        <v>0</v>
      </c>
      <c r="AY219" s="116">
        <f t="shared" si="92"/>
        <v>0.7</v>
      </c>
      <c r="AZ219" s="93">
        <f>IF($C219="&lt;01",ROUND(INDEX(EID!$R:$R,MATCH($B219,EID!$B:$B,0))/2,0),ROUND(SUM($O219)+(SUM($AV219)*$AY219),0))</f>
        <v>0</v>
      </c>
      <c r="BA219" s="89">
        <f t="shared" si="93"/>
        <v>0.95</v>
      </c>
      <c r="BB219" s="9">
        <f>IF($C219="&lt;01",ROUND(INDEX(EID!$T:$T,MATCH($B219,EID!$B:$B,0))/2,0),ROUND($AZ219*$BA219,0))</f>
        <v>0</v>
      </c>
      <c r="BC219" s="93">
        <f t="shared" si="94"/>
        <v>0</v>
      </c>
      <c r="BD219" s="90">
        <f t="shared" si="95"/>
        <v>0.95</v>
      </c>
      <c r="BE219" s="42">
        <f>IF($C219="&lt;01",ROUND(INDEX(EID!$V:$V,MATCH($B219,EID!$B:$B,0))/2,0),ROUND($BD219*$BB219,0))</f>
        <v>0</v>
      </c>
      <c r="BF219" s="42">
        <f t="shared" si="96"/>
        <v>0</v>
      </c>
      <c r="BG219" s="116">
        <f t="shared" si="97"/>
        <v>0.95</v>
      </c>
      <c r="BH219" s="9">
        <f>IF($C219="&lt;01",ROUND(INDEX(EID!$L:$L,MATCH($B219,EID!$B:$B,0)),0)/2,IF(SUM($BG219)=0,"",ROUND($AX219/$BG219,0)))</f>
        <v>0</v>
      </c>
    </row>
    <row r="220" spans="1:60" x14ac:dyDescent="0.2">
      <c r="A220" t="str">
        <f>INDEX(Prioritization!$D:$D,MATCH($B220,Prioritization!$A:$A,0))</f>
        <v>INVALID</v>
      </c>
      <c r="B220" t="s">
        <v>207</v>
      </c>
      <c r="C220" t="s">
        <v>365</v>
      </c>
      <c r="D220" t="s">
        <v>47</v>
      </c>
      <c r="E220" t="str">
        <f t="shared" si="76"/>
        <v>Nkhata Bay District [E7zpfyBt7Tw]|25-34|Male</v>
      </c>
      <c r="F220" s="14"/>
      <c r="G220" s="14"/>
      <c r="H220" s="14"/>
      <c r="I220" s="14"/>
      <c r="J220" s="14"/>
      <c r="K220" s="14"/>
      <c r="L220" s="14"/>
      <c r="M220" s="14"/>
      <c r="N220" s="14"/>
      <c r="O220" s="14" t="str">
        <f t="shared" si="77"/>
        <v/>
      </c>
      <c r="P220" s="14"/>
      <c r="Q220" s="14"/>
      <c r="R220" s="14" t="str">
        <f t="shared" si="78"/>
        <v/>
      </c>
      <c r="S220" s="14">
        <f>IF(LEFT($B220,4)="_Mil","",_xlfn.IFNA(ROUND(INDEX(Spectrum!$N:$N,MATCH(RIGHT($B220,13)&amp;"|"&amp;$C220&amp;"|"&amp;$D220&amp;"|"&amp;S$14&amp;"|"&amp;"CY2022Q4",Spectrum!$R:$R,0)),0),""))</f>
        <v>1211</v>
      </c>
      <c r="T220" s="42">
        <f>IF(LEFT($B220,4)="_Mil","",_xlfn.IFNA(ROUND(INDEX(Spectrum!$N:$N,MATCH(RIGHT($B220,13)&amp;"|"&amp;$C220&amp;"|"&amp;$D220&amp;"|"&amp;T$14&amp;"|"&amp;"CY2023Q3",Spectrum!$R:$R,0)),0),""))</f>
        <v>646</v>
      </c>
      <c r="U220" s="42" t="str">
        <f>IF(LEFT($B220,4)="_Mil","",_xlfn.IFNA(ROUND(INDEX(Spectrum!$N:$N,MATCH(RIGHT($B220,13)&amp;"|"&amp;$C220&amp;"|"&amp;$D220&amp;"|"&amp;U$14&amp;"|"&amp;"CY2023Q3",Spectrum!$R:$R,0)),0),""))</f>
        <v/>
      </c>
      <c r="V220" s="14">
        <f>IF(LEFT($B220,4)="_Mil","",_xlfn.IFNA(ROUND(INDEX(Spectrum!$N:$N,MATCH(RIGHT($B220,13)&amp;"|"&amp;$C220&amp;"|"&amp;$D220&amp;"|"&amp;V$14&amp;"|"&amp;"CY2023Q3",Spectrum!$R:$R,0)),0),""))</f>
        <v>794</v>
      </c>
      <c r="W220" s="115">
        <f>IF(LEFT($B220,4)="_Mil","",_xlfn.IFNA(INDEX(Spectrum!$N:$N,MATCH(RIGHT($B220,13)&amp;"|"&amp;$C220&amp;"|"&amp;$D220&amp;"|"&amp;W$14&amp;"|"&amp;"CY2023Q3",Spectrum!$R:$R,0)),""))</f>
        <v>743</v>
      </c>
      <c r="X220" s="42">
        <f>IF(LEFT($B220,4)="_Mil","",_xlfn.IFNA(ROUND(INDEX(Spectrum!$N:$N,MATCH(RIGHT($B220,13)&amp;"|"&amp;$C220&amp;"|"&amp;$D220&amp;"|"&amp;X$14&amp;"|"&amp;"CY2023Q3",Spectrum!$R:$R,0)),0),""))</f>
        <v>1284</v>
      </c>
      <c r="Y220" s="90" t="str">
        <f t="shared" si="79"/>
        <v/>
      </c>
      <c r="Z220" s="42">
        <f>IF(LEFT($B220,4)="_Mil","",_xlfn.IFNA(ROUND(INDEX(Spectrum!$N:$N,MATCH(RIGHT($B220,13)&amp;"|"&amp;$C220&amp;"|"&amp;$D220&amp;"|"&amp;Z$14&amp;"|"&amp;"CY2023Q3",Spectrum!$R:$R,0)),0),""))</f>
        <v>771</v>
      </c>
      <c r="AA220" s="90">
        <f>IF(LEFT($B220,4)="_Mil","",IFERROR(1/(1/INDEX(Spectrum!$N:$N,MATCH(RIGHT($B220,13)&amp;"|"&amp;$C220&amp;"|"&amp;$D220&amp;"|"&amp;AA$14&amp;"|"&amp;"CY2023Q3",Spectrum!$R:$R,0))),IF(SUM($U220)=0,"",SUM($Z220)/$U220)))</f>
        <v>1023</v>
      </c>
      <c r="AB220" s="90">
        <f t="shared" si="80"/>
        <v>0.60046728971962615</v>
      </c>
      <c r="AC220" s="14">
        <f>IF(LEFT($B220,4)="_Mil","",_xlfn.IFNA(ROUND(INDEX(Spectrum!$N:$N,MATCH(RIGHT($B220,13)&amp;"|"&amp;$C220&amp;"|"&amp;$D220&amp;"|"&amp;AC$14&amp;"|"&amp;"CY2023Q3",Spectrum!$R:$R,0)),0),""))</f>
        <v>1918</v>
      </c>
      <c r="AD220" s="14" t="str">
        <f>IF(LEFT($B220,4)="_Mil","",_xlfn.IFNA(ROUND(INDEX(Spectrum!$N:$N,MATCH(RIGHT($B220,13)&amp;"|"&amp;$C220&amp;"|"&amp;$D220&amp;"|"&amp;AD$14&amp;"|"&amp;"CY2023Q3",Spectrum!$R:$R,0)),0),""))</f>
        <v/>
      </c>
      <c r="AE220" s="90">
        <f t="shared" si="81"/>
        <v>0</v>
      </c>
      <c r="AF220" s="42" t="str">
        <f>IF(LEFT($B220,4)="_Mil","",_xlfn.IFNA(ROUND(INDEX(Spectrum!$N:$N,MATCH(RIGHT($B220,13)&amp;"|"&amp;$C220&amp;"|"&amp;$D220&amp;"|"&amp;AF$14&amp;"|"&amp;"CY2023Q3",Spectrum!$R:$R,0)),0),""))</f>
        <v/>
      </c>
      <c r="AG220" s="90" t="str">
        <f t="shared" si="82"/>
        <v/>
      </c>
      <c r="AH220" s="88" t="str">
        <f>IF(LEFT($B220,4)="_Mil","",_xlfn.IFNA(INDEX(Spectrum!$N:$N,MATCH(RIGHT($B220,13)&amp;"|"&amp;$C220&amp;"|"&amp;$D220&amp;"|"&amp;AH$14&amp;"|"&amp;"CY2023Q3",Spectrum!$R:$R,0)),""))</f>
        <v/>
      </c>
      <c r="AI220" s="14" t="str">
        <f>IF(LEFT($B220,4)="_Mil","",_xlfn.IFNA(ROUND(INDEX(Spectrum!$N:$N,MATCH(RIGHT($B220,13)&amp;"|"&amp;$C220&amp;"|"&amp;$D220&amp;"|"&amp;AI$14&amp;"|"&amp;"CY2023Q3",Spectrum!$R:$R,0)),0),""))</f>
        <v/>
      </c>
      <c r="AJ220" s="42">
        <f>IF(LEFT($B220,4)="_Mil","",_xlfn.IFNA(ROUND(INDEX(Spectrum!$N:$N,MATCH(RIGHT($B220,13)&amp;"|"&amp;$C220&amp;"|"&amp;$D220&amp;"|"&amp;AI$14&amp;"|"&amp;"CY2023Q3",Spectrum!$R:$R,0)),0),SUM($U220)+SUM($AI220)))</f>
        <v>0</v>
      </c>
      <c r="AK220" s="14" t="str">
        <f>IF(LEFT($B220,4)="_Mil","",_xlfn.IFNA(ROUND(INDEX(Spectrum!$N:$N,MATCH(RIGHT($B220,13)&amp;"|"&amp;$C220&amp;"|"&amp;$D220&amp;"|"&amp;AK$14&amp;"|"&amp;"CY2023Q3",Spectrum!$R:$R,0)),0),""))</f>
        <v/>
      </c>
      <c r="AL220" s="90">
        <f t="shared" si="83"/>
        <v>1023</v>
      </c>
      <c r="AM220" s="14">
        <f t="shared" si="84"/>
        <v>0</v>
      </c>
      <c r="AN220" s="14" t="str">
        <f>IF($C220="&lt;01",ROUND(INDEX(EID!$P:$P,MATCH($B220,EID!$B:$B,0))/2,0),"")</f>
        <v/>
      </c>
      <c r="AO220" s="14">
        <f t="shared" si="85"/>
        <v>0</v>
      </c>
      <c r="AP220" s="42">
        <f t="shared" si="86"/>
        <v>0</v>
      </c>
      <c r="AQ220" s="42">
        <f t="shared" si="87"/>
        <v>771</v>
      </c>
      <c r="AR220" s="90" t="str">
        <f t="shared" si="88"/>
        <v/>
      </c>
      <c r="AS220" s="90">
        <f t="shared" si="98"/>
        <v>0.98</v>
      </c>
      <c r="AT220" s="90">
        <f t="shared" si="98"/>
        <v>0.98</v>
      </c>
      <c r="AU220" s="14">
        <f t="shared" si="89"/>
        <v>0</v>
      </c>
      <c r="AV220" s="14">
        <f>IF($C220="&lt;01",ROUND(INDEX(EID!$N:$N,MATCH($B220,EID!$B:$B,0))/2,0),IF(SUM($AT220)=0,"",ROUND((SUM($AP220)-(SUM($O220)*SUM($AS220)))/$AT220,0)))</f>
        <v>0</v>
      </c>
      <c r="AW220" s="90">
        <f t="shared" si="90"/>
        <v>1</v>
      </c>
      <c r="AX220" s="42">
        <f t="shared" si="91"/>
        <v>0</v>
      </c>
      <c r="AY220" s="116">
        <f t="shared" si="92"/>
        <v>0.7</v>
      </c>
      <c r="AZ220" s="93">
        <f>IF($C220="&lt;01",ROUND(INDEX(EID!$R:$R,MATCH($B220,EID!$B:$B,0))/2,0),ROUND(SUM($O220)+(SUM($AV220)*$AY220),0))</f>
        <v>0</v>
      </c>
      <c r="BA220" s="89">
        <f t="shared" si="93"/>
        <v>0.95</v>
      </c>
      <c r="BB220" s="9">
        <f>IF($C220="&lt;01",ROUND(INDEX(EID!$T:$T,MATCH($B220,EID!$B:$B,0))/2,0),ROUND($AZ220*$BA220,0))</f>
        <v>0</v>
      </c>
      <c r="BC220" s="93">
        <f t="shared" si="94"/>
        <v>0</v>
      </c>
      <c r="BD220" s="90">
        <f t="shared" si="95"/>
        <v>0.95</v>
      </c>
      <c r="BE220" s="42">
        <f>IF($C220="&lt;01",ROUND(INDEX(EID!$V:$V,MATCH($B220,EID!$B:$B,0))/2,0),ROUND($BD220*$BB220,0))</f>
        <v>0</v>
      </c>
      <c r="BF220" s="42">
        <f t="shared" si="96"/>
        <v>0</v>
      </c>
      <c r="BG220" s="116">
        <f t="shared" si="97"/>
        <v>0.95</v>
      </c>
      <c r="BH220" s="9">
        <f>IF($C220="&lt;01",ROUND(INDEX(EID!$L:$L,MATCH($B220,EID!$B:$B,0)),0)/2,IF(SUM($BG220)=0,"",ROUND($AX220/$BG220,0)))</f>
        <v>0</v>
      </c>
    </row>
    <row r="221" spans="1:60" x14ac:dyDescent="0.2">
      <c r="A221" t="str">
        <f>INDEX(Prioritization!$D:$D,MATCH($B221,Prioritization!$A:$A,0))</f>
        <v>INVALID</v>
      </c>
      <c r="B221" t="s">
        <v>207</v>
      </c>
      <c r="C221" t="s">
        <v>366</v>
      </c>
      <c r="D221" t="s">
        <v>29</v>
      </c>
      <c r="E221" t="str">
        <f t="shared" si="76"/>
        <v>Nkhata Bay District [E7zpfyBt7Tw]|35-49|Female</v>
      </c>
      <c r="F221" s="14"/>
      <c r="G221" s="14"/>
      <c r="H221" s="14"/>
      <c r="I221" s="14"/>
      <c r="J221" s="14"/>
      <c r="K221" s="14"/>
      <c r="L221" s="14"/>
      <c r="M221" s="14"/>
      <c r="N221" s="14"/>
      <c r="O221" s="14" t="str">
        <f t="shared" si="77"/>
        <v/>
      </c>
      <c r="P221" s="14"/>
      <c r="Q221" s="14"/>
      <c r="R221" s="14" t="str">
        <f t="shared" si="78"/>
        <v/>
      </c>
      <c r="S221" s="14">
        <f>IF(LEFT($B221,4)="_Mil","",_xlfn.IFNA(ROUND(INDEX(Spectrum!$N:$N,MATCH(RIGHT($B221,13)&amp;"|"&amp;$C221&amp;"|"&amp;$D221&amp;"|"&amp;S$14&amp;"|"&amp;"CY2022Q4",Spectrum!$R:$R,0)),0),""))</f>
        <v>893</v>
      </c>
      <c r="T221" s="42">
        <f>IF(LEFT($B221,4)="_Mil","",_xlfn.IFNA(ROUND(INDEX(Spectrum!$N:$N,MATCH(RIGHT($B221,13)&amp;"|"&amp;$C221&amp;"|"&amp;$D221&amp;"|"&amp;T$14&amp;"|"&amp;"CY2023Q3",Spectrum!$R:$R,0)),0),""))</f>
        <v>1315</v>
      </c>
      <c r="U221" s="42" t="str">
        <f>IF(LEFT($B221,4)="_Mil","",_xlfn.IFNA(ROUND(INDEX(Spectrum!$N:$N,MATCH(RIGHT($B221,13)&amp;"|"&amp;$C221&amp;"|"&amp;$D221&amp;"|"&amp;U$14&amp;"|"&amp;"CY2023Q3",Spectrum!$R:$R,0)),0),""))</f>
        <v/>
      </c>
      <c r="V221" s="14">
        <f>IF(LEFT($B221,4)="_Mil","",_xlfn.IFNA(ROUND(INDEX(Spectrum!$N:$N,MATCH(RIGHT($B221,13)&amp;"|"&amp;$C221&amp;"|"&amp;$D221&amp;"|"&amp;V$14&amp;"|"&amp;"CY2023Q3",Spectrum!$R:$R,0)),0),""))</f>
        <v>1748</v>
      </c>
      <c r="W221" s="115">
        <f>IF(LEFT($B221,4)="_Mil","",_xlfn.IFNA(INDEX(Spectrum!$N:$N,MATCH(RIGHT($B221,13)&amp;"|"&amp;$C221&amp;"|"&amp;$D221&amp;"|"&amp;W$14&amp;"|"&amp;"CY2023Q3",Spectrum!$R:$R,0)),""))</f>
        <v>811</v>
      </c>
      <c r="X221" s="42">
        <f>IF(LEFT($B221,4)="_Mil","",_xlfn.IFNA(ROUND(INDEX(Spectrum!$N:$N,MATCH(RIGHT($B221,13)&amp;"|"&amp;$C221&amp;"|"&amp;$D221&amp;"|"&amp;X$14&amp;"|"&amp;"CY2023Q3",Spectrum!$R:$R,0)),0),""))</f>
        <v>882</v>
      </c>
      <c r="Y221" s="90" t="str">
        <f t="shared" si="79"/>
        <v/>
      </c>
      <c r="Z221" s="42">
        <f>IF(LEFT($B221,4)="_Mil","",_xlfn.IFNA(ROUND(INDEX(Spectrum!$N:$N,MATCH(RIGHT($B221,13)&amp;"|"&amp;$C221&amp;"|"&amp;$D221&amp;"|"&amp;Z$14&amp;"|"&amp;"CY2023Q3",Spectrum!$R:$R,0)),0),""))</f>
        <v>1275</v>
      </c>
      <c r="AA221" s="90">
        <f>IF(LEFT($B221,4)="_Mil","",IFERROR(1/(1/INDEX(Spectrum!$N:$N,MATCH(RIGHT($B221,13)&amp;"|"&amp;$C221&amp;"|"&amp;$D221&amp;"|"&amp;AA$14&amp;"|"&amp;"CY2023Q3",Spectrum!$R:$R,0))),IF(SUM($U221)=0,"",SUM($Z221)/$U221)))</f>
        <v>665</v>
      </c>
      <c r="AB221" s="90">
        <f t="shared" si="80"/>
        <v>1.4455782312925169</v>
      </c>
      <c r="AC221" s="14">
        <f>IF(LEFT($B221,4)="_Mil","",_xlfn.IFNA(ROUND(INDEX(Spectrum!$N:$N,MATCH(RIGHT($B221,13)&amp;"|"&amp;$C221&amp;"|"&amp;$D221&amp;"|"&amp;AC$14&amp;"|"&amp;"CY2023Q3",Spectrum!$R:$R,0)),0),""))</f>
        <v>984</v>
      </c>
      <c r="AD221" s="14" t="str">
        <f>IF(LEFT($B221,4)="_Mil","",_xlfn.IFNA(ROUND(INDEX(Spectrum!$N:$N,MATCH(RIGHT($B221,13)&amp;"|"&amp;$C221&amp;"|"&amp;$D221&amp;"|"&amp;AD$14&amp;"|"&amp;"CY2023Q3",Spectrum!$R:$R,0)),0),""))</f>
        <v/>
      </c>
      <c r="AE221" s="90">
        <f t="shared" si="81"/>
        <v>0</v>
      </c>
      <c r="AF221" s="42" t="str">
        <f>IF(LEFT($B221,4)="_Mil","",_xlfn.IFNA(ROUND(INDEX(Spectrum!$N:$N,MATCH(RIGHT($B221,13)&amp;"|"&amp;$C221&amp;"|"&amp;$D221&amp;"|"&amp;AF$14&amp;"|"&amp;"CY2023Q3",Spectrum!$R:$R,0)),0),""))</f>
        <v/>
      </c>
      <c r="AG221" s="90" t="str">
        <f t="shared" si="82"/>
        <v/>
      </c>
      <c r="AH221" s="88" t="str">
        <f>IF(LEFT($B221,4)="_Mil","",_xlfn.IFNA(INDEX(Spectrum!$N:$N,MATCH(RIGHT($B221,13)&amp;"|"&amp;$C221&amp;"|"&amp;$D221&amp;"|"&amp;AH$14&amp;"|"&amp;"CY2023Q3",Spectrum!$R:$R,0)),""))</f>
        <v/>
      </c>
      <c r="AI221" s="14" t="str">
        <f>IF(LEFT($B221,4)="_Mil","",_xlfn.IFNA(ROUND(INDEX(Spectrum!$N:$N,MATCH(RIGHT($B221,13)&amp;"|"&amp;$C221&amp;"|"&amp;$D221&amp;"|"&amp;AI$14&amp;"|"&amp;"CY2023Q3",Spectrum!$R:$R,0)),0),""))</f>
        <v/>
      </c>
      <c r="AJ221" s="42">
        <f>IF(LEFT($B221,4)="_Mil","",_xlfn.IFNA(ROUND(INDEX(Spectrum!$N:$N,MATCH(RIGHT($B221,13)&amp;"|"&amp;$C221&amp;"|"&amp;$D221&amp;"|"&amp;AI$14&amp;"|"&amp;"CY2023Q3",Spectrum!$R:$R,0)),0),SUM($U221)+SUM($AI221)))</f>
        <v>0</v>
      </c>
      <c r="AK221" s="14" t="str">
        <f>IF(LEFT($B221,4)="_Mil","",_xlfn.IFNA(ROUND(INDEX(Spectrum!$N:$N,MATCH(RIGHT($B221,13)&amp;"|"&amp;$C221&amp;"|"&amp;$D221&amp;"|"&amp;AK$14&amp;"|"&amp;"CY2023Q3",Spectrum!$R:$R,0)),0),""))</f>
        <v/>
      </c>
      <c r="AL221" s="90">
        <f t="shared" si="83"/>
        <v>665</v>
      </c>
      <c r="AM221" s="14">
        <f t="shared" si="84"/>
        <v>0</v>
      </c>
      <c r="AN221" s="14" t="str">
        <f>IF($C221="&lt;01",ROUND(INDEX(EID!$P:$P,MATCH($B221,EID!$B:$B,0))/2,0),"")</f>
        <v/>
      </c>
      <c r="AO221" s="14">
        <f t="shared" si="85"/>
        <v>0</v>
      </c>
      <c r="AP221" s="42">
        <f t="shared" si="86"/>
        <v>0</v>
      </c>
      <c r="AQ221" s="42">
        <f t="shared" si="87"/>
        <v>1275</v>
      </c>
      <c r="AR221" s="90" t="str">
        <f t="shared" si="88"/>
        <v/>
      </c>
      <c r="AS221" s="90">
        <f t="shared" si="98"/>
        <v>0.98</v>
      </c>
      <c r="AT221" s="90">
        <f t="shared" si="98"/>
        <v>0.98</v>
      </c>
      <c r="AU221" s="14">
        <f t="shared" si="89"/>
        <v>0</v>
      </c>
      <c r="AV221" s="14">
        <f>IF($C221="&lt;01",ROUND(INDEX(EID!$N:$N,MATCH($B221,EID!$B:$B,0))/2,0),IF(SUM($AT221)=0,"",ROUND((SUM($AP221)-(SUM($O221)*SUM($AS221)))/$AT221,0)))</f>
        <v>0</v>
      </c>
      <c r="AW221" s="90">
        <f t="shared" si="90"/>
        <v>1</v>
      </c>
      <c r="AX221" s="42">
        <f t="shared" si="91"/>
        <v>0</v>
      </c>
      <c r="AY221" s="116">
        <f t="shared" si="92"/>
        <v>0.7</v>
      </c>
      <c r="AZ221" s="93">
        <f>IF($C221="&lt;01",ROUND(INDEX(EID!$R:$R,MATCH($B221,EID!$B:$B,0))/2,0),ROUND(SUM($O221)+(SUM($AV221)*$AY221),0))</f>
        <v>0</v>
      </c>
      <c r="BA221" s="89">
        <f t="shared" si="93"/>
        <v>0.95</v>
      </c>
      <c r="BB221" s="9">
        <f>IF($C221="&lt;01",ROUND(INDEX(EID!$T:$T,MATCH($B221,EID!$B:$B,0))/2,0),ROUND($AZ221*$BA221,0))</f>
        <v>0</v>
      </c>
      <c r="BC221" s="93">
        <f t="shared" si="94"/>
        <v>0</v>
      </c>
      <c r="BD221" s="90">
        <f t="shared" si="95"/>
        <v>0.95</v>
      </c>
      <c r="BE221" s="42">
        <f>IF($C221="&lt;01",ROUND(INDEX(EID!$V:$V,MATCH($B221,EID!$B:$B,0))/2,0),ROUND($BD221*$BB221,0))</f>
        <v>0</v>
      </c>
      <c r="BF221" s="42">
        <f t="shared" si="96"/>
        <v>0</v>
      </c>
      <c r="BG221" s="116">
        <f t="shared" si="97"/>
        <v>0.95</v>
      </c>
      <c r="BH221" s="9">
        <f>IF($C221="&lt;01",ROUND(INDEX(EID!$L:$L,MATCH($B221,EID!$B:$B,0)),0)/2,IF(SUM($BG221)=0,"",ROUND($AX221/$BG221,0)))</f>
        <v>0</v>
      </c>
    </row>
    <row r="222" spans="1:60" x14ac:dyDescent="0.2">
      <c r="A222" t="str">
        <f>INDEX(Prioritization!$D:$D,MATCH($B222,Prioritization!$A:$A,0))</f>
        <v>INVALID</v>
      </c>
      <c r="B222" t="s">
        <v>207</v>
      </c>
      <c r="C222" t="s">
        <v>366</v>
      </c>
      <c r="D222" t="s">
        <v>47</v>
      </c>
      <c r="E222" t="str">
        <f t="shared" si="76"/>
        <v>Nkhata Bay District [E7zpfyBt7Tw]|35-49|Male</v>
      </c>
      <c r="F222" s="14"/>
      <c r="G222" s="14"/>
      <c r="H222" s="14"/>
      <c r="I222" s="14"/>
      <c r="J222" s="14"/>
      <c r="K222" s="14"/>
      <c r="L222" s="14"/>
      <c r="M222" s="14"/>
      <c r="N222" s="14"/>
      <c r="O222" s="14" t="str">
        <f t="shared" si="77"/>
        <v/>
      </c>
      <c r="P222" s="14"/>
      <c r="Q222" s="14"/>
      <c r="R222" s="14" t="str">
        <f t="shared" si="78"/>
        <v/>
      </c>
      <c r="S222" s="14">
        <f>IF(LEFT($B222,4)="_Mil","",_xlfn.IFNA(ROUND(INDEX(Spectrum!$N:$N,MATCH(RIGHT($B222,13)&amp;"|"&amp;$C222&amp;"|"&amp;$D222&amp;"|"&amp;S$14&amp;"|"&amp;"CY2022Q4",Spectrum!$R:$R,0)),0),""))</f>
        <v>805</v>
      </c>
      <c r="T222" s="42">
        <f>IF(LEFT($B222,4)="_Mil","",_xlfn.IFNA(ROUND(INDEX(Spectrum!$N:$N,MATCH(RIGHT($B222,13)&amp;"|"&amp;$C222&amp;"|"&amp;$D222&amp;"|"&amp;T$14&amp;"|"&amp;"CY2023Q3",Spectrum!$R:$R,0)),0),""))</f>
        <v>1335</v>
      </c>
      <c r="U222" s="42" t="str">
        <f>IF(LEFT($B222,4)="_Mil","",_xlfn.IFNA(ROUND(INDEX(Spectrum!$N:$N,MATCH(RIGHT($B222,13)&amp;"|"&amp;$C222&amp;"|"&amp;$D222&amp;"|"&amp;U$14&amp;"|"&amp;"CY2023Q3",Spectrum!$R:$R,0)),0),""))</f>
        <v/>
      </c>
      <c r="V222" s="14">
        <f>IF(LEFT($B222,4)="_Mil","",_xlfn.IFNA(ROUND(INDEX(Spectrum!$N:$N,MATCH(RIGHT($B222,13)&amp;"|"&amp;$C222&amp;"|"&amp;$D222&amp;"|"&amp;V$14&amp;"|"&amp;"CY2023Q3",Spectrum!$R:$R,0)),0),""))</f>
        <v>1098</v>
      </c>
      <c r="W222" s="115">
        <f>IF(LEFT($B222,4)="_Mil","",_xlfn.IFNA(INDEX(Spectrum!$N:$N,MATCH(RIGHT($B222,13)&amp;"|"&amp;$C222&amp;"|"&amp;$D222&amp;"|"&amp;W$14&amp;"|"&amp;"CY2023Q3",Spectrum!$R:$R,0)),""))</f>
        <v>940</v>
      </c>
      <c r="X222" s="42">
        <f>IF(LEFT($B222,4)="_Mil","",_xlfn.IFNA(ROUND(INDEX(Spectrum!$N:$N,MATCH(RIGHT($B222,13)&amp;"|"&amp;$C222&amp;"|"&amp;$D222&amp;"|"&amp;X$14&amp;"|"&amp;"CY2023Q3",Spectrum!$R:$R,0)),0),""))</f>
        <v>1183</v>
      </c>
      <c r="Y222" s="90" t="str">
        <f t="shared" si="79"/>
        <v/>
      </c>
      <c r="Z222" s="42">
        <f>IF(LEFT($B222,4)="_Mil","",_xlfn.IFNA(ROUND(INDEX(Spectrum!$N:$N,MATCH(RIGHT($B222,13)&amp;"|"&amp;$C222&amp;"|"&amp;$D222&amp;"|"&amp;Z$14&amp;"|"&amp;"CY2023Q3",Spectrum!$R:$R,0)),0),""))</f>
        <v>1091</v>
      </c>
      <c r="AA222" s="90">
        <f>IF(LEFT($B222,4)="_Mil","",IFERROR(1/(1/INDEX(Spectrum!$N:$N,MATCH(RIGHT($B222,13)&amp;"|"&amp;$C222&amp;"|"&amp;$D222&amp;"|"&amp;AA$14&amp;"|"&amp;"CY2023Q3",Spectrum!$R:$R,0))),IF(SUM($U222)=0,"",SUM($Z222)/$U222)))</f>
        <v>1819</v>
      </c>
      <c r="AB222" s="90">
        <f t="shared" si="80"/>
        <v>0.9222316145393068</v>
      </c>
      <c r="AC222" s="14">
        <f>IF(LEFT($B222,4)="_Mil","",_xlfn.IFNA(ROUND(INDEX(Spectrum!$N:$N,MATCH(RIGHT($B222,13)&amp;"|"&amp;$C222&amp;"|"&amp;$D222&amp;"|"&amp;AC$14&amp;"|"&amp;"CY2023Q3",Spectrum!$R:$R,0)),0),""))</f>
        <v>1551</v>
      </c>
      <c r="AD222" s="14" t="str">
        <f>IF(LEFT($B222,4)="_Mil","",_xlfn.IFNA(ROUND(INDEX(Spectrum!$N:$N,MATCH(RIGHT($B222,13)&amp;"|"&amp;$C222&amp;"|"&amp;$D222&amp;"|"&amp;AD$14&amp;"|"&amp;"CY2023Q3",Spectrum!$R:$R,0)),0),""))</f>
        <v/>
      </c>
      <c r="AE222" s="90">
        <f t="shared" si="81"/>
        <v>0</v>
      </c>
      <c r="AF222" s="42" t="str">
        <f>IF(LEFT($B222,4)="_Mil","",_xlfn.IFNA(ROUND(INDEX(Spectrum!$N:$N,MATCH(RIGHT($B222,13)&amp;"|"&amp;$C222&amp;"|"&amp;$D222&amp;"|"&amp;AF$14&amp;"|"&amp;"CY2023Q3",Spectrum!$R:$R,0)),0),""))</f>
        <v/>
      </c>
      <c r="AG222" s="90" t="str">
        <f t="shared" si="82"/>
        <v/>
      </c>
      <c r="AH222" s="88" t="str">
        <f>IF(LEFT($B222,4)="_Mil","",_xlfn.IFNA(INDEX(Spectrum!$N:$N,MATCH(RIGHT($B222,13)&amp;"|"&amp;$C222&amp;"|"&amp;$D222&amp;"|"&amp;AH$14&amp;"|"&amp;"CY2023Q3",Spectrum!$R:$R,0)),""))</f>
        <v/>
      </c>
      <c r="AI222" s="14" t="str">
        <f>IF(LEFT($B222,4)="_Mil","",_xlfn.IFNA(ROUND(INDEX(Spectrum!$N:$N,MATCH(RIGHT($B222,13)&amp;"|"&amp;$C222&amp;"|"&amp;$D222&amp;"|"&amp;AI$14&amp;"|"&amp;"CY2023Q3",Spectrum!$R:$R,0)),0),""))</f>
        <v/>
      </c>
      <c r="AJ222" s="42">
        <f>IF(LEFT($B222,4)="_Mil","",_xlfn.IFNA(ROUND(INDEX(Spectrum!$N:$N,MATCH(RIGHT($B222,13)&amp;"|"&amp;$C222&amp;"|"&amp;$D222&amp;"|"&amp;AI$14&amp;"|"&amp;"CY2023Q3",Spectrum!$R:$R,0)),0),SUM($U222)+SUM($AI222)))</f>
        <v>0</v>
      </c>
      <c r="AK222" s="14" t="str">
        <f>IF(LEFT($B222,4)="_Mil","",_xlfn.IFNA(ROUND(INDEX(Spectrum!$N:$N,MATCH(RIGHT($B222,13)&amp;"|"&amp;$C222&amp;"|"&amp;$D222&amp;"|"&amp;AK$14&amp;"|"&amp;"CY2023Q3",Spectrum!$R:$R,0)),0),""))</f>
        <v/>
      </c>
      <c r="AL222" s="90">
        <f t="shared" si="83"/>
        <v>1819</v>
      </c>
      <c r="AM222" s="14">
        <f t="shared" si="84"/>
        <v>0</v>
      </c>
      <c r="AN222" s="14" t="str">
        <f>IF($C222="&lt;01",ROUND(INDEX(EID!$P:$P,MATCH($B222,EID!$B:$B,0))/2,0),"")</f>
        <v/>
      </c>
      <c r="AO222" s="14">
        <f t="shared" si="85"/>
        <v>0</v>
      </c>
      <c r="AP222" s="42">
        <f t="shared" si="86"/>
        <v>0</v>
      </c>
      <c r="AQ222" s="42">
        <f t="shared" si="87"/>
        <v>1091</v>
      </c>
      <c r="AR222" s="90" t="str">
        <f t="shared" si="88"/>
        <v/>
      </c>
      <c r="AS222" s="90">
        <f t="shared" si="98"/>
        <v>0.98</v>
      </c>
      <c r="AT222" s="90">
        <f t="shared" si="98"/>
        <v>0.98</v>
      </c>
      <c r="AU222" s="14">
        <f t="shared" si="89"/>
        <v>0</v>
      </c>
      <c r="AV222" s="14">
        <f>IF($C222="&lt;01",ROUND(INDEX(EID!$N:$N,MATCH($B222,EID!$B:$B,0))/2,0),IF(SUM($AT222)=0,"",ROUND((SUM($AP222)-(SUM($O222)*SUM($AS222)))/$AT222,0)))</f>
        <v>0</v>
      </c>
      <c r="AW222" s="90">
        <f t="shared" si="90"/>
        <v>1</v>
      </c>
      <c r="AX222" s="42">
        <f t="shared" si="91"/>
        <v>0</v>
      </c>
      <c r="AY222" s="116">
        <f t="shared" si="92"/>
        <v>0.7</v>
      </c>
      <c r="AZ222" s="93">
        <f>IF($C222="&lt;01",ROUND(INDEX(EID!$R:$R,MATCH($B222,EID!$B:$B,0))/2,0),ROUND(SUM($O222)+(SUM($AV222)*$AY222),0))</f>
        <v>0</v>
      </c>
      <c r="BA222" s="89">
        <f t="shared" si="93"/>
        <v>0.95</v>
      </c>
      <c r="BB222" s="9">
        <f>IF($C222="&lt;01",ROUND(INDEX(EID!$T:$T,MATCH($B222,EID!$B:$B,0))/2,0),ROUND($AZ222*$BA222,0))</f>
        <v>0</v>
      </c>
      <c r="BC222" s="93">
        <f t="shared" si="94"/>
        <v>0</v>
      </c>
      <c r="BD222" s="90">
        <f t="shared" si="95"/>
        <v>0.95</v>
      </c>
      <c r="BE222" s="42">
        <f>IF($C222="&lt;01",ROUND(INDEX(EID!$V:$V,MATCH($B222,EID!$B:$B,0))/2,0),ROUND($BD222*$BB222,0))</f>
        <v>0</v>
      </c>
      <c r="BF222" s="42">
        <f t="shared" si="96"/>
        <v>0</v>
      </c>
      <c r="BG222" s="116">
        <f t="shared" si="97"/>
        <v>0.95</v>
      </c>
      <c r="BH222" s="9">
        <f>IF($C222="&lt;01",ROUND(INDEX(EID!$L:$L,MATCH($B222,EID!$B:$B,0)),0)/2,IF(SUM($BG222)=0,"",ROUND($AX222/$BG222,0)))</f>
        <v>0</v>
      </c>
    </row>
    <row r="223" spans="1:60" x14ac:dyDescent="0.2">
      <c r="A223" t="str">
        <f>INDEX(Prioritization!$D:$D,MATCH($B223,Prioritization!$A:$A,0))</f>
        <v>INVALID</v>
      </c>
      <c r="B223" t="s">
        <v>207</v>
      </c>
      <c r="C223" t="s">
        <v>367</v>
      </c>
      <c r="D223" t="s">
        <v>29</v>
      </c>
      <c r="E223" t="str">
        <f t="shared" si="76"/>
        <v>Nkhata Bay District [E7zpfyBt7Tw]|50+|Female</v>
      </c>
      <c r="F223" s="14"/>
      <c r="G223" s="14"/>
      <c r="H223" s="14"/>
      <c r="I223" s="14"/>
      <c r="J223" s="14"/>
      <c r="K223" s="14"/>
      <c r="L223" s="14"/>
      <c r="M223" s="14"/>
      <c r="N223" s="14"/>
      <c r="O223" s="14" t="str">
        <f t="shared" si="77"/>
        <v/>
      </c>
      <c r="P223" s="14"/>
      <c r="Q223" s="14"/>
      <c r="R223" s="14" t="str">
        <f t="shared" si="78"/>
        <v/>
      </c>
      <c r="S223" s="14">
        <f>IF(LEFT($B223,4)="_Mil","",_xlfn.IFNA(ROUND(INDEX(Spectrum!$N:$N,MATCH(RIGHT($B223,13)&amp;"|"&amp;$C223&amp;"|"&amp;$D223&amp;"|"&amp;S$14&amp;"|"&amp;"CY2022Q4",Spectrum!$R:$R,0)),0),""))</f>
        <v>911</v>
      </c>
      <c r="T223" s="42">
        <f>IF(LEFT($B223,4)="_Mil","",_xlfn.IFNA(ROUND(INDEX(Spectrum!$N:$N,MATCH(RIGHT($B223,13)&amp;"|"&amp;$C223&amp;"|"&amp;$D223&amp;"|"&amp;T$14&amp;"|"&amp;"CY2023Q3",Spectrum!$R:$R,0)),0),""))</f>
        <v>1406</v>
      </c>
      <c r="U223" s="42" t="str">
        <f>IF(LEFT($B223,4)="_Mil","",_xlfn.IFNA(ROUND(INDEX(Spectrum!$N:$N,MATCH(RIGHT($B223,13)&amp;"|"&amp;$C223&amp;"|"&amp;$D223&amp;"|"&amp;U$14&amp;"|"&amp;"CY2023Q3",Spectrum!$R:$R,0)),0),""))</f>
        <v/>
      </c>
      <c r="V223" s="14">
        <f>IF(LEFT($B223,4)="_Mil","",_xlfn.IFNA(ROUND(INDEX(Spectrum!$N:$N,MATCH(RIGHT($B223,13)&amp;"|"&amp;$C223&amp;"|"&amp;$D223&amp;"|"&amp;V$14&amp;"|"&amp;"CY2023Q3",Spectrum!$R:$R,0)),0),""))</f>
        <v>974</v>
      </c>
      <c r="W223" s="115">
        <f>IF(LEFT($B223,4)="_Mil","",_xlfn.IFNA(INDEX(Spectrum!$N:$N,MATCH(RIGHT($B223,13)&amp;"|"&amp;$C223&amp;"|"&amp;$D223&amp;"|"&amp;W$14&amp;"|"&amp;"CY2023Q3",Spectrum!$R:$R,0)),""))</f>
        <v>1237</v>
      </c>
      <c r="X223" s="42">
        <f>IF(LEFT($B223,4)="_Mil","",_xlfn.IFNA(ROUND(INDEX(Spectrum!$N:$N,MATCH(RIGHT($B223,13)&amp;"|"&amp;$C223&amp;"|"&amp;$D223&amp;"|"&amp;X$14&amp;"|"&amp;"CY2023Q3",Spectrum!$R:$R,0)),0),""))</f>
        <v>1866</v>
      </c>
      <c r="Y223" s="90" t="str">
        <f t="shared" si="79"/>
        <v/>
      </c>
      <c r="Z223" s="42">
        <f>IF(LEFT($B223,4)="_Mil","",_xlfn.IFNA(ROUND(INDEX(Spectrum!$N:$N,MATCH(RIGHT($B223,13)&amp;"|"&amp;$C223&amp;"|"&amp;$D223&amp;"|"&amp;Z$14&amp;"|"&amp;"CY2023Q3",Spectrum!$R:$R,0)),0),""))</f>
        <v>591</v>
      </c>
      <c r="AA223" s="90">
        <f>IF(LEFT($B223,4)="_Mil","",IFERROR(1/(1/INDEX(Spectrum!$N:$N,MATCH(RIGHT($B223,13)&amp;"|"&amp;$C223&amp;"|"&amp;$D223&amp;"|"&amp;AA$14&amp;"|"&amp;"CY2023Q3",Spectrum!$R:$R,0))),IF(SUM($U223)=0,"",SUM($Z223)/$U223)))</f>
        <v>1563.9999999999998</v>
      </c>
      <c r="AB223" s="90">
        <f t="shared" si="80"/>
        <v>0.31672025723472669</v>
      </c>
      <c r="AC223" s="14">
        <f>IF(LEFT($B223,4)="_Mil","",_xlfn.IFNA(ROUND(INDEX(Spectrum!$N:$N,MATCH(RIGHT($B223,13)&amp;"|"&amp;$C223&amp;"|"&amp;$D223&amp;"|"&amp;AC$14&amp;"|"&amp;"CY2023Q3",Spectrum!$R:$R,0)),0),""))</f>
        <v>1067</v>
      </c>
      <c r="AD223" s="14" t="str">
        <f>IF(LEFT($B223,4)="_Mil","",_xlfn.IFNA(ROUND(INDEX(Spectrum!$N:$N,MATCH(RIGHT($B223,13)&amp;"|"&amp;$C223&amp;"|"&amp;$D223&amp;"|"&amp;AD$14&amp;"|"&amp;"CY2023Q3",Spectrum!$R:$R,0)),0),""))</f>
        <v/>
      </c>
      <c r="AE223" s="90">
        <f t="shared" si="81"/>
        <v>0</v>
      </c>
      <c r="AF223" s="42" t="str">
        <f>IF(LEFT($B223,4)="_Mil","",_xlfn.IFNA(ROUND(INDEX(Spectrum!$N:$N,MATCH(RIGHT($B223,13)&amp;"|"&amp;$C223&amp;"|"&amp;$D223&amp;"|"&amp;AF$14&amp;"|"&amp;"CY2023Q3",Spectrum!$R:$R,0)),0),""))</f>
        <v/>
      </c>
      <c r="AG223" s="90" t="str">
        <f t="shared" si="82"/>
        <v/>
      </c>
      <c r="AH223" s="88" t="str">
        <f>IF(LEFT($B223,4)="_Mil","",_xlfn.IFNA(INDEX(Spectrum!$N:$N,MATCH(RIGHT($B223,13)&amp;"|"&amp;$C223&amp;"|"&amp;$D223&amp;"|"&amp;AH$14&amp;"|"&amp;"CY2023Q3",Spectrum!$R:$R,0)),""))</f>
        <v/>
      </c>
      <c r="AI223" s="14" t="str">
        <f>IF(LEFT($B223,4)="_Mil","",_xlfn.IFNA(ROUND(INDEX(Spectrum!$N:$N,MATCH(RIGHT($B223,13)&amp;"|"&amp;$C223&amp;"|"&amp;$D223&amp;"|"&amp;AI$14&amp;"|"&amp;"CY2023Q3",Spectrum!$R:$R,0)),0),""))</f>
        <v/>
      </c>
      <c r="AJ223" s="42">
        <f>IF(LEFT($B223,4)="_Mil","",_xlfn.IFNA(ROUND(INDEX(Spectrum!$N:$N,MATCH(RIGHT($B223,13)&amp;"|"&amp;$C223&amp;"|"&amp;$D223&amp;"|"&amp;AI$14&amp;"|"&amp;"CY2023Q3",Spectrum!$R:$R,0)),0),SUM($U223)+SUM($AI223)))</f>
        <v>0</v>
      </c>
      <c r="AK223" s="14" t="str">
        <f>IF(LEFT($B223,4)="_Mil","",_xlfn.IFNA(ROUND(INDEX(Spectrum!$N:$N,MATCH(RIGHT($B223,13)&amp;"|"&amp;$C223&amp;"|"&amp;$D223&amp;"|"&amp;AK$14&amp;"|"&amp;"CY2023Q3",Spectrum!$R:$R,0)),0),""))</f>
        <v/>
      </c>
      <c r="AL223" s="90">
        <f t="shared" si="83"/>
        <v>1563.9999999999998</v>
      </c>
      <c r="AM223" s="14">
        <f t="shared" si="84"/>
        <v>0</v>
      </c>
      <c r="AN223" s="14" t="str">
        <f>IF($C223="&lt;01",ROUND(INDEX(EID!$P:$P,MATCH($B223,EID!$B:$B,0))/2,0),"")</f>
        <v/>
      </c>
      <c r="AO223" s="14">
        <f t="shared" si="85"/>
        <v>0</v>
      </c>
      <c r="AP223" s="42">
        <f t="shared" si="86"/>
        <v>0</v>
      </c>
      <c r="AQ223" s="42">
        <f t="shared" si="87"/>
        <v>591</v>
      </c>
      <c r="AR223" s="90" t="str">
        <f t="shared" si="88"/>
        <v/>
      </c>
      <c r="AS223" s="90">
        <f t="shared" si="98"/>
        <v>0.98</v>
      </c>
      <c r="AT223" s="90">
        <f t="shared" si="98"/>
        <v>0.98</v>
      </c>
      <c r="AU223" s="14">
        <f t="shared" si="89"/>
        <v>0</v>
      </c>
      <c r="AV223" s="14">
        <f>IF($C223="&lt;01",ROUND(INDEX(EID!$N:$N,MATCH($B223,EID!$B:$B,0))/2,0),IF(SUM($AT223)=0,"",ROUND((SUM($AP223)-(SUM($O223)*SUM($AS223)))/$AT223,0)))</f>
        <v>0</v>
      </c>
      <c r="AW223" s="90">
        <f t="shared" si="90"/>
        <v>1</v>
      </c>
      <c r="AX223" s="42">
        <f t="shared" si="91"/>
        <v>0</v>
      </c>
      <c r="AY223" s="116">
        <f t="shared" si="92"/>
        <v>0.7</v>
      </c>
      <c r="AZ223" s="93">
        <f>IF($C223="&lt;01",ROUND(INDEX(EID!$R:$R,MATCH($B223,EID!$B:$B,0))/2,0),ROUND(SUM($O223)+(SUM($AV223)*$AY223),0))</f>
        <v>0</v>
      </c>
      <c r="BA223" s="89">
        <f t="shared" si="93"/>
        <v>0.95</v>
      </c>
      <c r="BB223" s="9">
        <f>IF($C223="&lt;01",ROUND(INDEX(EID!$T:$T,MATCH($B223,EID!$B:$B,0))/2,0),ROUND($AZ223*$BA223,0))</f>
        <v>0</v>
      </c>
      <c r="BC223" s="93">
        <f t="shared" si="94"/>
        <v>0</v>
      </c>
      <c r="BD223" s="90">
        <f t="shared" si="95"/>
        <v>0.95</v>
      </c>
      <c r="BE223" s="42">
        <f>IF($C223="&lt;01",ROUND(INDEX(EID!$V:$V,MATCH($B223,EID!$B:$B,0))/2,0),ROUND($BD223*$BB223,0))</f>
        <v>0</v>
      </c>
      <c r="BF223" s="42">
        <f t="shared" si="96"/>
        <v>0</v>
      </c>
      <c r="BG223" s="116">
        <f t="shared" si="97"/>
        <v>0.95</v>
      </c>
      <c r="BH223" s="9">
        <f>IF($C223="&lt;01",ROUND(INDEX(EID!$L:$L,MATCH($B223,EID!$B:$B,0)),0)/2,IF(SUM($BG223)=0,"",ROUND($AX223/$BG223,0)))</f>
        <v>0</v>
      </c>
    </row>
    <row r="224" spans="1:60" x14ac:dyDescent="0.2">
      <c r="A224" t="str">
        <f>INDEX(Prioritization!$D:$D,MATCH($B224,Prioritization!$A:$A,0))</f>
        <v>INVALID</v>
      </c>
      <c r="B224" t="s">
        <v>207</v>
      </c>
      <c r="C224" t="s">
        <v>367</v>
      </c>
      <c r="D224" t="s">
        <v>47</v>
      </c>
      <c r="E224" t="str">
        <f t="shared" si="76"/>
        <v>Nkhata Bay District [E7zpfyBt7Tw]|50+|Male</v>
      </c>
      <c r="F224" s="14"/>
      <c r="G224" s="14"/>
      <c r="H224" s="14"/>
      <c r="I224" s="14"/>
      <c r="J224" s="14"/>
      <c r="K224" s="14"/>
      <c r="L224" s="14"/>
      <c r="M224" s="14"/>
      <c r="N224" s="14"/>
      <c r="O224" s="14" t="str">
        <f t="shared" si="77"/>
        <v/>
      </c>
      <c r="P224" s="14"/>
      <c r="Q224" s="14"/>
      <c r="R224" s="14" t="str">
        <f t="shared" si="78"/>
        <v/>
      </c>
      <c r="S224" s="14">
        <f>IF(LEFT($B224,4)="_Mil","",_xlfn.IFNA(ROUND(INDEX(Spectrum!$N:$N,MATCH(RIGHT($B224,13)&amp;"|"&amp;$C224&amp;"|"&amp;$D224&amp;"|"&amp;S$14&amp;"|"&amp;"CY2022Q4",Spectrum!$R:$R,0)),0),""))</f>
        <v>1303</v>
      </c>
      <c r="T224" s="42">
        <f>IF(LEFT($B224,4)="_Mil","",_xlfn.IFNA(ROUND(INDEX(Spectrum!$N:$N,MATCH(RIGHT($B224,13)&amp;"|"&amp;$C224&amp;"|"&amp;$D224&amp;"|"&amp;T$14&amp;"|"&amp;"CY2023Q3",Spectrum!$R:$R,0)),0),""))</f>
        <v>1684</v>
      </c>
      <c r="U224" s="42" t="str">
        <f>IF(LEFT($B224,4)="_Mil","",_xlfn.IFNA(ROUND(INDEX(Spectrum!$N:$N,MATCH(RIGHT($B224,13)&amp;"|"&amp;$C224&amp;"|"&amp;$D224&amp;"|"&amp;U$14&amp;"|"&amp;"CY2023Q3",Spectrum!$R:$R,0)),0),""))</f>
        <v/>
      </c>
      <c r="V224" s="14">
        <f>IF(LEFT($B224,4)="_Mil","",_xlfn.IFNA(ROUND(INDEX(Spectrum!$N:$N,MATCH(RIGHT($B224,13)&amp;"|"&amp;$C224&amp;"|"&amp;$D224&amp;"|"&amp;V$14&amp;"|"&amp;"CY2023Q3",Spectrum!$R:$R,0)),0),""))</f>
        <v>1097</v>
      </c>
      <c r="W224" s="115">
        <f>IF(LEFT($B224,4)="_Mil","",_xlfn.IFNA(INDEX(Spectrum!$N:$N,MATCH(RIGHT($B224,13)&amp;"|"&amp;$C224&amp;"|"&amp;$D224&amp;"|"&amp;W$14&amp;"|"&amp;"CY2023Q3",Spectrum!$R:$R,0)),""))</f>
        <v>575</v>
      </c>
      <c r="X224" s="42">
        <f>IF(LEFT($B224,4)="_Mil","",_xlfn.IFNA(ROUND(INDEX(Spectrum!$N:$N,MATCH(RIGHT($B224,13)&amp;"|"&amp;$C224&amp;"|"&amp;$D224&amp;"|"&amp;X$14&amp;"|"&amp;"CY2023Q3",Spectrum!$R:$R,0)),0),""))</f>
        <v>1399</v>
      </c>
      <c r="Y224" s="90" t="str">
        <f t="shared" si="79"/>
        <v/>
      </c>
      <c r="Z224" s="42">
        <f>IF(LEFT($B224,4)="_Mil","",_xlfn.IFNA(ROUND(INDEX(Spectrum!$N:$N,MATCH(RIGHT($B224,13)&amp;"|"&amp;$C224&amp;"|"&amp;$D224&amp;"|"&amp;Z$14&amp;"|"&amp;"CY2023Q3",Spectrum!$R:$R,0)),0),""))</f>
        <v>1170</v>
      </c>
      <c r="AA224" s="90">
        <f>IF(LEFT($B224,4)="_Mil","",IFERROR(1/(1/INDEX(Spectrum!$N:$N,MATCH(RIGHT($B224,13)&amp;"|"&amp;$C224&amp;"|"&amp;$D224&amp;"|"&amp;AA$14&amp;"|"&amp;"CY2023Q3",Spectrum!$R:$R,0))),IF(SUM($U224)=0,"",SUM($Z224)/$U224)))</f>
        <v>1677</v>
      </c>
      <c r="AB224" s="90">
        <f t="shared" si="80"/>
        <v>0.83631165117941386</v>
      </c>
      <c r="AC224" s="14">
        <f>IF(LEFT($B224,4)="_Mil","",_xlfn.IFNA(ROUND(INDEX(Spectrum!$N:$N,MATCH(RIGHT($B224,13)&amp;"|"&amp;$C224&amp;"|"&amp;$D224&amp;"|"&amp;AC$14&amp;"|"&amp;"CY2023Q3",Spectrum!$R:$R,0)),0),""))</f>
        <v>1143</v>
      </c>
      <c r="AD224" s="14" t="str">
        <f>IF(LEFT($B224,4)="_Mil","",_xlfn.IFNA(ROUND(INDEX(Spectrum!$N:$N,MATCH(RIGHT($B224,13)&amp;"|"&amp;$C224&amp;"|"&amp;$D224&amp;"|"&amp;AD$14&amp;"|"&amp;"CY2023Q3",Spectrum!$R:$R,0)),0),""))</f>
        <v/>
      </c>
      <c r="AE224" s="90">
        <f t="shared" si="81"/>
        <v>0</v>
      </c>
      <c r="AF224" s="42" t="str">
        <f>IF(LEFT($B224,4)="_Mil","",_xlfn.IFNA(ROUND(INDEX(Spectrum!$N:$N,MATCH(RIGHT($B224,13)&amp;"|"&amp;$C224&amp;"|"&amp;$D224&amp;"|"&amp;AF$14&amp;"|"&amp;"CY2023Q3",Spectrum!$R:$R,0)),0),""))</f>
        <v/>
      </c>
      <c r="AG224" s="90" t="str">
        <f t="shared" si="82"/>
        <v/>
      </c>
      <c r="AH224" s="88" t="str">
        <f>IF(LEFT($B224,4)="_Mil","",_xlfn.IFNA(INDEX(Spectrum!$N:$N,MATCH(RIGHT($B224,13)&amp;"|"&amp;$C224&amp;"|"&amp;$D224&amp;"|"&amp;AH$14&amp;"|"&amp;"CY2023Q3",Spectrum!$R:$R,0)),""))</f>
        <v/>
      </c>
      <c r="AI224" s="14" t="str">
        <f>IF(LEFT($B224,4)="_Mil","",_xlfn.IFNA(ROUND(INDEX(Spectrum!$N:$N,MATCH(RIGHT($B224,13)&amp;"|"&amp;$C224&amp;"|"&amp;$D224&amp;"|"&amp;AI$14&amp;"|"&amp;"CY2023Q3",Spectrum!$R:$R,0)),0),""))</f>
        <v/>
      </c>
      <c r="AJ224" s="42">
        <f>IF(LEFT($B224,4)="_Mil","",_xlfn.IFNA(ROUND(INDEX(Spectrum!$N:$N,MATCH(RIGHT($B224,13)&amp;"|"&amp;$C224&amp;"|"&amp;$D224&amp;"|"&amp;AI$14&amp;"|"&amp;"CY2023Q3",Spectrum!$R:$R,0)),0),SUM($U224)+SUM($AI224)))</f>
        <v>0</v>
      </c>
      <c r="AK224" s="14" t="str">
        <f>IF(LEFT($B224,4)="_Mil","",_xlfn.IFNA(ROUND(INDEX(Spectrum!$N:$N,MATCH(RIGHT($B224,13)&amp;"|"&amp;$C224&amp;"|"&amp;$D224&amp;"|"&amp;AK$14&amp;"|"&amp;"CY2023Q3",Spectrum!$R:$R,0)),0),""))</f>
        <v/>
      </c>
      <c r="AL224" s="90">
        <f t="shared" si="83"/>
        <v>1677</v>
      </c>
      <c r="AM224" s="14">
        <f t="shared" si="84"/>
        <v>0</v>
      </c>
      <c r="AN224" s="14" t="str">
        <f>IF($C224="&lt;01",ROUND(INDEX(EID!$P:$P,MATCH($B224,EID!$B:$B,0))/2,0),"")</f>
        <v/>
      </c>
      <c r="AO224" s="14">
        <f t="shared" si="85"/>
        <v>0</v>
      </c>
      <c r="AP224" s="42">
        <f t="shared" si="86"/>
        <v>0</v>
      </c>
      <c r="AQ224" s="42">
        <f t="shared" si="87"/>
        <v>1170</v>
      </c>
      <c r="AR224" s="90" t="str">
        <f t="shared" si="88"/>
        <v/>
      </c>
      <c r="AS224" s="90">
        <f t="shared" si="98"/>
        <v>0.98</v>
      </c>
      <c r="AT224" s="90">
        <f t="shared" si="98"/>
        <v>0.98</v>
      </c>
      <c r="AU224" s="14">
        <f t="shared" si="89"/>
        <v>0</v>
      </c>
      <c r="AV224" s="14">
        <f>IF($C224="&lt;01",ROUND(INDEX(EID!$N:$N,MATCH($B224,EID!$B:$B,0))/2,0),IF(SUM($AT224)=0,"",ROUND((SUM($AP224)-(SUM($O224)*SUM($AS224)))/$AT224,0)))</f>
        <v>0</v>
      </c>
      <c r="AW224" s="90">
        <f t="shared" si="90"/>
        <v>1</v>
      </c>
      <c r="AX224" s="42">
        <f t="shared" si="91"/>
        <v>0</v>
      </c>
      <c r="AY224" s="116">
        <f t="shared" si="92"/>
        <v>0.7</v>
      </c>
      <c r="AZ224" s="93">
        <f>IF($C224="&lt;01",ROUND(INDEX(EID!$R:$R,MATCH($B224,EID!$B:$B,0))/2,0),ROUND(SUM($O224)+(SUM($AV224)*$AY224),0))</f>
        <v>0</v>
      </c>
      <c r="BA224" s="89">
        <f t="shared" si="93"/>
        <v>0.95</v>
      </c>
      <c r="BB224" s="9">
        <f>IF($C224="&lt;01",ROUND(INDEX(EID!$T:$T,MATCH($B224,EID!$B:$B,0))/2,0),ROUND($AZ224*$BA224,0))</f>
        <v>0</v>
      </c>
      <c r="BC224" s="93">
        <f t="shared" si="94"/>
        <v>0</v>
      </c>
      <c r="BD224" s="90">
        <f t="shared" si="95"/>
        <v>0.95</v>
      </c>
      <c r="BE224" s="42">
        <f>IF($C224="&lt;01",ROUND(INDEX(EID!$V:$V,MATCH($B224,EID!$B:$B,0))/2,0),ROUND($BD224*$BB224,0))</f>
        <v>0</v>
      </c>
      <c r="BF224" s="42">
        <f t="shared" si="96"/>
        <v>0</v>
      </c>
      <c r="BG224" s="116">
        <f t="shared" si="97"/>
        <v>0.95</v>
      </c>
      <c r="BH224" s="9">
        <f>IF($C224="&lt;01",ROUND(INDEX(EID!$L:$L,MATCH($B224,EID!$B:$B,0)),0)/2,IF(SUM($BG224)=0,"",ROUND($AX224/$BG224,0)))</f>
        <v>0</v>
      </c>
    </row>
    <row r="225" spans="1:60" x14ac:dyDescent="0.2">
      <c r="A225" t="str">
        <f>INDEX(Prioritization!$D:$D,MATCH($B225,Prioritization!$A:$A,0))</f>
        <v>INVALID</v>
      </c>
      <c r="B225" t="s">
        <v>208</v>
      </c>
      <c r="C225" t="s">
        <v>315</v>
      </c>
      <c r="D225" t="s">
        <v>29</v>
      </c>
      <c r="E225" t="str">
        <f t="shared" si="76"/>
        <v>Rumphi District [lPTyjLi4w3d]|&lt;01|Female</v>
      </c>
      <c r="F225" s="14"/>
      <c r="G225" s="14">
        <v>6</v>
      </c>
      <c r="H225" s="14">
        <v>0</v>
      </c>
      <c r="I225" s="14">
        <v>1</v>
      </c>
      <c r="J225" s="14">
        <v>1</v>
      </c>
      <c r="K225" s="14">
        <v>1</v>
      </c>
      <c r="L225" s="14"/>
      <c r="M225" s="14">
        <v>0</v>
      </c>
      <c r="N225" s="14">
        <v>0</v>
      </c>
      <c r="O225" s="14">
        <f t="shared" si="77"/>
        <v>1</v>
      </c>
      <c r="P225" s="14">
        <v>1</v>
      </c>
      <c r="Q225" s="14">
        <v>1</v>
      </c>
      <c r="R225" s="14">
        <f t="shared" si="78"/>
        <v>0</v>
      </c>
      <c r="S225" s="14">
        <f>IF(LEFT($B225,4)="_Mil","",_xlfn.IFNA(ROUND(INDEX(Spectrum!$N:$N,MATCH(RIGHT($B225,13)&amp;"|"&amp;$C225&amp;"|"&amp;$D225&amp;"|"&amp;S$14&amp;"|"&amp;"CY2022Q4",Spectrum!$R:$R,0)),0),""))</f>
        <v>1946</v>
      </c>
      <c r="T225" s="42">
        <f>IF(LEFT($B225,4)="_Mil","",_xlfn.IFNA(ROUND(INDEX(Spectrum!$N:$N,MATCH(RIGHT($B225,13)&amp;"|"&amp;$C225&amp;"|"&amp;$D225&amp;"|"&amp;T$14&amp;"|"&amp;"CY2023Q3",Spectrum!$R:$R,0)),0),""))</f>
        <v>665</v>
      </c>
      <c r="U225" s="42" t="str">
        <f>IF(LEFT($B225,4)="_Mil","",_xlfn.IFNA(ROUND(INDEX(Spectrum!$N:$N,MATCH(RIGHT($B225,13)&amp;"|"&amp;$C225&amp;"|"&amp;$D225&amp;"|"&amp;U$14&amp;"|"&amp;"CY2023Q3",Spectrum!$R:$R,0)),0),""))</f>
        <v/>
      </c>
      <c r="V225" s="14">
        <f>IF(LEFT($B225,4)="_Mil","",_xlfn.IFNA(ROUND(INDEX(Spectrum!$N:$N,MATCH(RIGHT($B225,13)&amp;"|"&amp;$C225&amp;"|"&amp;$D225&amp;"|"&amp;V$14&amp;"|"&amp;"CY2023Q3",Spectrum!$R:$R,0)),0),""))</f>
        <v>1788</v>
      </c>
      <c r="W225" s="115">
        <f>IF(LEFT($B225,4)="_Mil","",_xlfn.IFNA(INDEX(Spectrum!$N:$N,MATCH(RIGHT($B225,13)&amp;"|"&amp;$C225&amp;"|"&amp;$D225&amp;"|"&amp;W$14&amp;"|"&amp;"CY2023Q3",Spectrum!$R:$R,0)),""))</f>
        <v>1453</v>
      </c>
      <c r="X225" s="42">
        <f>IF(LEFT($B225,4)="_Mil","",_xlfn.IFNA(ROUND(INDEX(Spectrum!$N:$N,MATCH(RIGHT($B225,13)&amp;"|"&amp;$C225&amp;"|"&amp;$D225&amp;"|"&amp;X$14&amp;"|"&amp;"CY2023Q3",Spectrum!$R:$R,0)),0),""))</f>
        <v>1277</v>
      </c>
      <c r="Y225" s="90" t="str">
        <f t="shared" si="79"/>
        <v/>
      </c>
      <c r="Z225" s="42">
        <f>IF(LEFT($B225,4)="_Mil","",_xlfn.IFNA(ROUND(INDEX(Spectrum!$N:$N,MATCH(RIGHT($B225,13)&amp;"|"&amp;$C225&amp;"|"&amp;$D225&amp;"|"&amp;Z$14&amp;"|"&amp;"CY2023Q3",Spectrum!$R:$R,0)),0),""))</f>
        <v>675</v>
      </c>
      <c r="AA225" s="90">
        <f>IF(LEFT($B225,4)="_Mil","",IFERROR(1/(1/INDEX(Spectrum!$N:$N,MATCH(RIGHT($B225,13)&amp;"|"&amp;$C225&amp;"|"&amp;$D225&amp;"|"&amp;AA$14&amp;"|"&amp;"CY2023Q3",Spectrum!$R:$R,0))),IF(SUM($U225)=0,"",SUM($Z225)/$U225)))</f>
        <v>858</v>
      </c>
      <c r="AB225" s="90">
        <f t="shared" si="80"/>
        <v>0.52858261550509</v>
      </c>
      <c r="AC225" s="14">
        <f>IF(LEFT($B225,4)="_Mil","",_xlfn.IFNA(ROUND(INDEX(Spectrum!$N:$N,MATCH(RIGHT($B225,13)&amp;"|"&amp;$C225&amp;"|"&amp;$D225&amp;"|"&amp;AC$14&amp;"|"&amp;"CY2023Q3",Spectrum!$R:$R,0)),0),""))</f>
        <v>1974</v>
      </c>
      <c r="AD225" s="14" t="str">
        <f>IF(LEFT($B225,4)="_Mil","",_xlfn.IFNA(ROUND(INDEX(Spectrum!$N:$N,MATCH(RIGHT($B225,13)&amp;"|"&amp;$C225&amp;"|"&amp;$D225&amp;"|"&amp;AD$14&amp;"|"&amp;"CY2023Q3",Spectrum!$R:$R,0)),0),""))</f>
        <v/>
      </c>
      <c r="AE225" s="90">
        <f t="shared" si="81"/>
        <v>0</v>
      </c>
      <c r="AF225" s="42" t="str">
        <f>IF(LEFT($B225,4)="_Mil","",_xlfn.IFNA(ROUND(INDEX(Spectrum!$N:$N,MATCH(RIGHT($B225,13)&amp;"|"&amp;$C225&amp;"|"&amp;$D225&amp;"|"&amp;AF$14&amp;"|"&amp;"CY2023Q3",Spectrum!$R:$R,0)),0),""))</f>
        <v/>
      </c>
      <c r="AG225" s="90" t="str">
        <f t="shared" si="82"/>
        <v/>
      </c>
      <c r="AH225" s="88" t="str">
        <f>IF(LEFT($B225,4)="_Mil","",_xlfn.IFNA(INDEX(Spectrum!$N:$N,MATCH(RIGHT($B225,13)&amp;"|"&amp;$C225&amp;"|"&amp;$D225&amp;"|"&amp;AH$14&amp;"|"&amp;"CY2023Q3",Spectrum!$R:$R,0)),""))</f>
        <v/>
      </c>
      <c r="AI225" s="14" t="str">
        <f>IF(LEFT($B225,4)="_Mil","",_xlfn.IFNA(ROUND(INDEX(Spectrum!$N:$N,MATCH(RIGHT($B225,13)&amp;"|"&amp;$C225&amp;"|"&amp;$D225&amp;"|"&amp;AI$14&amp;"|"&amp;"CY2023Q3",Spectrum!$R:$R,0)),0),""))</f>
        <v/>
      </c>
      <c r="AJ225" s="42">
        <f>IF(LEFT($B225,4)="_Mil","",_xlfn.IFNA(ROUND(INDEX(Spectrum!$N:$N,MATCH(RIGHT($B225,13)&amp;"|"&amp;$C225&amp;"|"&amp;$D225&amp;"|"&amp;AI$14&amp;"|"&amp;"CY2023Q3",Spectrum!$R:$R,0)),0),SUM($U225)+SUM($AI225)))</f>
        <v>0</v>
      </c>
      <c r="AK225" s="14" t="str">
        <f>IF(LEFT($B225,4)="_Mil","",_xlfn.IFNA(ROUND(INDEX(Spectrum!$N:$N,MATCH(RIGHT($B225,13)&amp;"|"&amp;$C225&amp;"|"&amp;$D225&amp;"|"&amp;AK$14&amp;"|"&amp;"CY2023Q3",Spectrum!$R:$R,0)),0),""))</f>
        <v/>
      </c>
      <c r="AL225" s="90" t="str">
        <f t="shared" si="83"/>
        <v/>
      </c>
      <c r="AM225" s="14" t="str">
        <f t="shared" si="84"/>
        <v/>
      </c>
      <c r="AN225" s="14">
        <f>IF($C225="&lt;01",ROUND(INDEX(EID!$P:$P,MATCH($B225,EID!$B:$B,0))/2,0),"")</f>
        <v>0</v>
      </c>
      <c r="AO225" s="14">
        <f t="shared" si="85"/>
        <v>0</v>
      </c>
      <c r="AP225" s="42">
        <f t="shared" si="86"/>
        <v>0</v>
      </c>
      <c r="AQ225" s="42">
        <f t="shared" si="87"/>
        <v>675</v>
      </c>
      <c r="AR225" s="90" t="str">
        <f t="shared" si="88"/>
        <v/>
      </c>
      <c r="AS225" s="90" t="str">
        <f t="shared" si="98"/>
        <v/>
      </c>
      <c r="AT225" s="90" t="str">
        <f t="shared" si="98"/>
        <v/>
      </c>
      <c r="AU225" s="14" t="str">
        <f t="shared" si="89"/>
        <v/>
      </c>
      <c r="AV225" s="14">
        <f>IF($C225="&lt;01",ROUND(INDEX(EID!$N:$N,MATCH($B225,EID!$B:$B,0))/2,0),IF(SUM($AT225)=0,"",ROUND((SUM($AP225)-(SUM($O225)*SUM($AS225)))/$AT225,0)))</f>
        <v>0</v>
      </c>
      <c r="AW225" s="90" t="str">
        <f t="shared" si="90"/>
        <v/>
      </c>
      <c r="AX225" s="42">
        <f t="shared" si="91"/>
        <v>0</v>
      </c>
      <c r="AY225" s="116" t="str">
        <f t="shared" si="92"/>
        <v/>
      </c>
      <c r="AZ225" s="93">
        <f>IF($C225="&lt;01",ROUND(INDEX(EID!$R:$R,MATCH($B225,EID!$B:$B,0))/2,0),ROUND(SUM($O225)+(SUM($AV225)*$AY225),0))</f>
        <v>0</v>
      </c>
      <c r="BA225" s="89" t="str">
        <f t="shared" si="93"/>
        <v/>
      </c>
      <c r="BB225" s="9">
        <f>IF($C225="&lt;01",ROUND(INDEX(EID!$T:$T,MATCH($B225,EID!$B:$B,0))/2,0),ROUND($AZ225*$BA225,0))</f>
        <v>0</v>
      </c>
      <c r="BC225" s="93">
        <f t="shared" si="94"/>
        <v>0</v>
      </c>
      <c r="BD225" s="90" t="str">
        <f t="shared" si="95"/>
        <v/>
      </c>
      <c r="BE225" s="42">
        <f>IF($C225="&lt;01",ROUND(INDEX(EID!$V:$V,MATCH($B225,EID!$B:$B,0))/2,0),ROUND($BD225*$BB225,0))</f>
        <v>0</v>
      </c>
      <c r="BF225" s="42">
        <f t="shared" si="96"/>
        <v>0</v>
      </c>
      <c r="BG225" s="116" t="str">
        <f t="shared" si="97"/>
        <v/>
      </c>
      <c r="BH225" s="9">
        <f>IF($C225="&lt;01",ROUND(INDEX(EID!$L:$L,MATCH($B225,EID!$B:$B,0)),0)/2,IF(SUM($BG225)=0,"",ROUND($AX225/$BG225,0)))</f>
        <v>0</v>
      </c>
    </row>
    <row r="226" spans="1:60" x14ac:dyDescent="0.2">
      <c r="A226" t="str">
        <f>INDEX(Prioritization!$D:$D,MATCH($B226,Prioritization!$A:$A,0))</f>
        <v>INVALID</v>
      </c>
      <c r="B226" t="s">
        <v>208</v>
      </c>
      <c r="C226" t="s">
        <v>315</v>
      </c>
      <c r="D226" t="s">
        <v>47</v>
      </c>
      <c r="E226" t="str">
        <f t="shared" si="76"/>
        <v>Rumphi District [lPTyjLi4w3d]|&lt;01|Male</v>
      </c>
      <c r="F226" s="14"/>
      <c r="G226" s="14">
        <v>4</v>
      </c>
      <c r="H226" s="14">
        <v>1</v>
      </c>
      <c r="I226" s="14">
        <v>1</v>
      </c>
      <c r="J226" s="14">
        <v>0</v>
      </c>
      <c r="K226" s="14">
        <v>0</v>
      </c>
      <c r="L226" s="14"/>
      <c r="M226" s="14">
        <v>0</v>
      </c>
      <c r="N226" s="14">
        <v>1</v>
      </c>
      <c r="O226" s="14">
        <f t="shared" si="77"/>
        <v>1</v>
      </c>
      <c r="P226" s="14">
        <v>0</v>
      </c>
      <c r="Q226" s="14">
        <v>1</v>
      </c>
      <c r="R226" s="14">
        <f t="shared" si="78"/>
        <v>0</v>
      </c>
      <c r="S226" s="14">
        <f>IF(LEFT($B226,4)="_Mil","",_xlfn.IFNA(ROUND(INDEX(Spectrum!$N:$N,MATCH(RIGHT($B226,13)&amp;"|"&amp;$C226&amp;"|"&amp;$D226&amp;"|"&amp;S$14&amp;"|"&amp;"CY2022Q4",Spectrum!$R:$R,0)),0),""))</f>
        <v>1391</v>
      </c>
      <c r="T226" s="42">
        <f>IF(LEFT($B226,4)="_Mil","",_xlfn.IFNA(ROUND(INDEX(Spectrum!$N:$N,MATCH(RIGHT($B226,13)&amp;"|"&amp;$C226&amp;"|"&amp;$D226&amp;"|"&amp;T$14&amp;"|"&amp;"CY2023Q3",Spectrum!$R:$R,0)),0),""))</f>
        <v>924</v>
      </c>
      <c r="U226" s="42" t="str">
        <f>IF(LEFT($B226,4)="_Mil","",_xlfn.IFNA(ROUND(INDEX(Spectrum!$N:$N,MATCH(RIGHT($B226,13)&amp;"|"&amp;$C226&amp;"|"&amp;$D226&amp;"|"&amp;U$14&amp;"|"&amp;"CY2023Q3",Spectrum!$R:$R,0)),0),""))</f>
        <v/>
      </c>
      <c r="V226" s="14">
        <f>IF(LEFT($B226,4)="_Mil","",_xlfn.IFNA(ROUND(INDEX(Spectrum!$N:$N,MATCH(RIGHT($B226,13)&amp;"|"&amp;$C226&amp;"|"&amp;$D226&amp;"|"&amp;V$14&amp;"|"&amp;"CY2023Q3",Spectrum!$R:$R,0)),0),""))</f>
        <v>786</v>
      </c>
      <c r="W226" s="115">
        <f>IF(LEFT($B226,4)="_Mil","",_xlfn.IFNA(INDEX(Spectrum!$N:$N,MATCH(RIGHT($B226,13)&amp;"|"&amp;$C226&amp;"|"&amp;$D226&amp;"|"&amp;W$14&amp;"|"&amp;"CY2023Q3",Spectrum!$R:$R,0)),""))</f>
        <v>1271</v>
      </c>
      <c r="X226" s="42">
        <f>IF(LEFT($B226,4)="_Mil","",_xlfn.IFNA(ROUND(INDEX(Spectrum!$N:$N,MATCH(RIGHT($B226,13)&amp;"|"&amp;$C226&amp;"|"&amp;$D226&amp;"|"&amp;X$14&amp;"|"&amp;"CY2023Q3",Spectrum!$R:$R,0)),0),""))</f>
        <v>1000</v>
      </c>
      <c r="Y226" s="90" t="str">
        <f t="shared" si="79"/>
        <v/>
      </c>
      <c r="Z226" s="42">
        <f>IF(LEFT($B226,4)="_Mil","",_xlfn.IFNA(ROUND(INDEX(Spectrum!$N:$N,MATCH(RIGHT($B226,13)&amp;"|"&amp;$C226&amp;"|"&amp;$D226&amp;"|"&amp;Z$14&amp;"|"&amp;"CY2023Q3",Spectrum!$R:$R,0)),0),""))</f>
        <v>1884</v>
      </c>
      <c r="AA226" s="90">
        <f>IF(LEFT($B226,4)="_Mil","",IFERROR(1/(1/INDEX(Spectrum!$N:$N,MATCH(RIGHT($B226,13)&amp;"|"&amp;$C226&amp;"|"&amp;$D226&amp;"|"&amp;AA$14&amp;"|"&amp;"CY2023Q3",Spectrum!$R:$R,0))),IF(SUM($U226)=0,"",SUM($Z226)/$U226)))</f>
        <v>1472</v>
      </c>
      <c r="AB226" s="90">
        <f t="shared" si="80"/>
        <v>1.8839999999999999</v>
      </c>
      <c r="AC226" s="14">
        <f>IF(LEFT($B226,4)="_Mil","",_xlfn.IFNA(ROUND(INDEX(Spectrum!$N:$N,MATCH(RIGHT($B226,13)&amp;"|"&amp;$C226&amp;"|"&amp;$D226&amp;"|"&amp;AC$14&amp;"|"&amp;"CY2023Q3",Spectrum!$R:$R,0)),0),""))</f>
        <v>533</v>
      </c>
      <c r="AD226" s="14" t="str">
        <f>IF(LEFT($B226,4)="_Mil","",_xlfn.IFNA(ROUND(INDEX(Spectrum!$N:$N,MATCH(RIGHT($B226,13)&amp;"|"&amp;$C226&amp;"|"&amp;$D226&amp;"|"&amp;AD$14&amp;"|"&amp;"CY2023Q3",Spectrum!$R:$R,0)),0),""))</f>
        <v/>
      </c>
      <c r="AE226" s="90">
        <f t="shared" si="81"/>
        <v>0</v>
      </c>
      <c r="AF226" s="42" t="str">
        <f>IF(LEFT($B226,4)="_Mil","",_xlfn.IFNA(ROUND(INDEX(Spectrum!$N:$N,MATCH(RIGHT($B226,13)&amp;"|"&amp;$C226&amp;"|"&amp;$D226&amp;"|"&amp;AF$14&amp;"|"&amp;"CY2023Q3",Spectrum!$R:$R,0)),0),""))</f>
        <v/>
      </c>
      <c r="AG226" s="90" t="str">
        <f t="shared" si="82"/>
        <v/>
      </c>
      <c r="AH226" s="88" t="str">
        <f>IF(LEFT($B226,4)="_Mil","",_xlfn.IFNA(INDEX(Spectrum!$N:$N,MATCH(RIGHT($B226,13)&amp;"|"&amp;$C226&amp;"|"&amp;$D226&amp;"|"&amp;AH$14&amp;"|"&amp;"CY2023Q3",Spectrum!$R:$R,0)),""))</f>
        <v/>
      </c>
      <c r="AI226" s="14" t="str">
        <f>IF(LEFT($B226,4)="_Mil","",_xlfn.IFNA(ROUND(INDEX(Spectrum!$N:$N,MATCH(RIGHT($B226,13)&amp;"|"&amp;$C226&amp;"|"&amp;$D226&amp;"|"&amp;AI$14&amp;"|"&amp;"CY2023Q3",Spectrum!$R:$R,0)),0),""))</f>
        <v/>
      </c>
      <c r="AJ226" s="42">
        <f>IF(LEFT($B226,4)="_Mil","",_xlfn.IFNA(ROUND(INDEX(Spectrum!$N:$N,MATCH(RIGHT($B226,13)&amp;"|"&amp;$C226&amp;"|"&amp;$D226&amp;"|"&amp;AI$14&amp;"|"&amp;"CY2023Q3",Spectrum!$R:$R,0)),0),SUM($U226)+SUM($AI226)))</f>
        <v>0</v>
      </c>
      <c r="AK226" s="14" t="str">
        <f>IF(LEFT($B226,4)="_Mil","",_xlfn.IFNA(ROUND(INDEX(Spectrum!$N:$N,MATCH(RIGHT($B226,13)&amp;"|"&amp;$C226&amp;"|"&amp;$D226&amp;"|"&amp;AK$14&amp;"|"&amp;"CY2023Q3",Spectrum!$R:$R,0)),0),""))</f>
        <v/>
      </c>
      <c r="AL226" s="90" t="str">
        <f t="shared" si="83"/>
        <v/>
      </c>
      <c r="AM226" s="14" t="str">
        <f t="shared" si="84"/>
        <v/>
      </c>
      <c r="AN226" s="14">
        <f>IF($C226="&lt;01",ROUND(INDEX(EID!$P:$P,MATCH($B226,EID!$B:$B,0))/2,0),"")</f>
        <v>0</v>
      </c>
      <c r="AO226" s="14">
        <f t="shared" si="85"/>
        <v>0</v>
      </c>
      <c r="AP226" s="42">
        <f t="shared" si="86"/>
        <v>0</v>
      </c>
      <c r="AQ226" s="42">
        <f t="shared" si="87"/>
        <v>1884</v>
      </c>
      <c r="AR226" s="90" t="str">
        <f t="shared" si="88"/>
        <v/>
      </c>
      <c r="AS226" s="90" t="str">
        <f t="shared" si="98"/>
        <v/>
      </c>
      <c r="AT226" s="90" t="str">
        <f t="shared" si="98"/>
        <v/>
      </c>
      <c r="AU226" s="14" t="str">
        <f t="shared" si="89"/>
        <v/>
      </c>
      <c r="AV226" s="14">
        <f>IF($C226="&lt;01",ROUND(INDEX(EID!$N:$N,MATCH($B226,EID!$B:$B,0))/2,0),IF(SUM($AT226)=0,"",ROUND((SUM($AP226)-(SUM($O226)*SUM($AS226)))/$AT226,0)))</f>
        <v>0</v>
      </c>
      <c r="AW226" s="90" t="str">
        <f t="shared" si="90"/>
        <v/>
      </c>
      <c r="AX226" s="42">
        <f t="shared" si="91"/>
        <v>0</v>
      </c>
      <c r="AY226" s="116" t="str">
        <f t="shared" si="92"/>
        <v/>
      </c>
      <c r="AZ226" s="93">
        <f>IF($C226="&lt;01",ROUND(INDEX(EID!$R:$R,MATCH($B226,EID!$B:$B,0))/2,0),ROUND(SUM($O226)+(SUM($AV226)*$AY226),0))</f>
        <v>0</v>
      </c>
      <c r="BA226" s="89" t="str">
        <f t="shared" si="93"/>
        <v/>
      </c>
      <c r="BB226" s="9">
        <f>IF($C226="&lt;01",ROUND(INDEX(EID!$T:$T,MATCH($B226,EID!$B:$B,0))/2,0),ROUND($AZ226*$BA226,0))</f>
        <v>0</v>
      </c>
      <c r="BC226" s="93">
        <f t="shared" si="94"/>
        <v>0</v>
      </c>
      <c r="BD226" s="90" t="str">
        <f t="shared" si="95"/>
        <v/>
      </c>
      <c r="BE226" s="42">
        <f>IF($C226="&lt;01",ROUND(INDEX(EID!$V:$V,MATCH($B226,EID!$B:$B,0))/2,0),ROUND($BD226*$BB226,0))</f>
        <v>0</v>
      </c>
      <c r="BF226" s="42">
        <f t="shared" si="96"/>
        <v>0</v>
      </c>
      <c r="BG226" s="116" t="str">
        <f t="shared" si="97"/>
        <v/>
      </c>
      <c r="BH226" s="9">
        <f>IF($C226="&lt;01",ROUND(INDEX(EID!$L:$L,MATCH($B226,EID!$B:$B,0)),0)/2,IF(SUM($BG226)=0,"",ROUND($AX226/$BG226,0)))</f>
        <v>0</v>
      </c>
    </row>
    <row r="227" spans="1:60" x14ac:dyDescent="0.2">
      <c r="A227" t="str">
        <f>INDEX(Prioritization!$D:$D,MATCH($B227,Prioritization!$A:$A,0))</f>
        <v>INVALID</v>
      </c>
      <c r="B227" t="s">
        <v>208</v>
      </c>
      <c r="C227" t="s">
        <v>362</v>
      </c>
      <c r="D227" t="s">
        <v>29</v>
      </c>
      <c r="E227" t="str">
        <f t="shared" si="76"/>
        <v>Rumphi District [lPTyjLi4w3d]|01-09|Female</v>
      </c>
      <c r="F227" s="14"/>
      <c r="G227" s="14"/>
      <c r="H227" s="14"/>
      <c r="I227" s="14"/>
      <c r="J227" s="14"/>
      <c r="K227" s="14"/>
      <c r="L227" s="14"/>
      <c r="M227" s="14"/>
      <c r="N227" s="14"/>
      <c r="O227" s="14" t="str">
        <f t="shared" si="77"/>
        <v/>
      </c>
      <c r="P227" s="14"/>
      <c r="Q227" s="14"/>
      <c r="R227" s="14" t="str">
        <f t="shared" si="78"/>
        <v/>
      </c>
      <c r="S227" s="14">
        <f>IF(LEFT($B227,4)="_Mil","",_xlfn.IFNA(ROUND(INDEX(Spectrum!$N:$N,MATCH(RIGHT($B227,13)&amp;"|"&amp;$C227&amp;"|"&amp;$D227&amp;"|"&amp;S$14&amp;"|"&amp;"CY2022Q4",Spectrum!$R:$R,0)),0),""))</f>
        <v>1210</v>
      </c>
      <c r="T227" s="42">
        <f>IF(LEFT($B227,4)="_Mil","",_xlfn.IFNA(ROUND(INDEX(Spectrum!$N:$N,MATCH(RIGHT($B227,13)&amp;"|"&amp;$C227&amp;"|"&amp;$D227&amp;"|"&amp;T$14&amp;"|"&amp;"CY2023Q3",Spectrum!$R:$R,0)),0),""))</f>
        <v>618</v>
      </c>
      <c r="U227" s="42" t="str">
        <f>IF(LEFT($B227,4)="_Mil","",_xlfn.IFNA(ROUND(INDEX(Spectrum!$N:$N,MATCH(RIGHT($B227,13)&amp;"|"&amp;$C227&amp;"|"&amp;$D227&amp;"|"&amp;U$14&amp;"|"&amp;"CY2023Q3",Spectrum!$R:$R,0)),0),""))</f>
        <v/>
      </c>
      <c r="V227" s="14">
        <f>IF(LEFT($B227,4)="_Mil","",_xlfn.IFNA(ROUND(INDEX(Spectrum!$N:$N,MATCH(RIGHT($B227,13)&amp;"|"&amp;$C227&amp;"|"&amp;$D227&amp;"|"&amp;V$14&amp;"|"&amp;"CY2023Q3",Spectrum!$R:$R,0)),0),""))</f>
        <v>980</v>
      </c>
      <c r="W227" s="115">
        <f>IF(LEFT($B227,4)="_Mil","",_xlfn.IFNA(INDEX(Spectrum!$N:$N,MATCH(RIGHT($B227,13)&amp;"|"&amp;$C227&amp;"|"&amp;$D227&amp;"|"&amp;W$14&amp;"|"&amp;"CY2023Q3",Spectrum!$R:$R,0)),""))</f>
        <v>660</v>
      </c>
      <c r="X227" s="42">
        <f>IF(LEFT($B227,4)="_Mil","",_xlfn.IFNA(ROUND(INDEX(Spectrum!$N:$N,MATCH(RIGHT($B227,13)&amp;"|"&amp;$C227&amp;"|"&amp;$D227&amp;"|"&amp;X$14&amp;"|"&amp;"CY2023Q3",Spectrum!$R:$R,0)),0),""))</f>
        <v>1181</v>
      </c>
      <c r="Y227" s="90" t="str">
        <f t="shared" si="79"/>
        <v/>
      </c>
      <c r="Z227" s="42">
        <f>IF(LEFT($B227,4)="_Mil","",_xlfn.IFNA(ROUND(INDEX(Spectrum!$N:$N,MATCH(RIGHT($B227,13)&amp;"|"&amp;$C227&amp;"|"&amp;$D227&amp;"|"&amp;Z$14&amp;"|"&amp;"CY2023Q3",Spectrum!$R:$R,0)),0),""))</f>
        <v>1393</v>
      </c>
      <c r="AA227" s="90">
        <f>IF(LEFT($B227,4)="_Mil","",IFERROR(1/(1/INDEX(Spectrum!$N:$N,MATCH(RIGHT($B227,13)&amp;"|"&amp;$C227&amp;"|"&amp;$D227&amp;"|"&amp;AA$14&amp;"|"&amp;"CY2023Q3",Spectrum!$R:$R,0))),IF(SUM($U227)=0,"",SUM($Z227)/$U227)))</f>
        <v>754</v>
      </c>
      <c r="AB227" s="90">
        <f t="shared" si="80"/>
        <v>1.1795088907705333</v>
      </c>
      <c r="AC227" s="14">
        <f>IF(LEFT($B227,4)="_Mil","",_xlfn.IFNA(ROUND(INDEX(Spectrum!$N:$N,MATCH(RIGHT($B227,13)&amp;"|"&amp;$C227&amp;"|"&amp;$D227&amp;"|"&amp;AC$14&amp;"|"&amp;"CY2023Q3",Spectrum!$R:$R,0)),0),""))</f>
        <v>1424</v>
      </c>
      <c r="AD227" s="14" t="str">
        <f>IF(LEFT($B227,4)="_Mil","",_xlfn.IFNA(ROUND(INDEX(Spectrum!$N:$N,MATCH(RIGHT($B227,13)&amp;"|"&amp;$C227&amp;"|"&amp;$D227&amp;"|"&amp;AD$14&amp;"|"&amp;"CY2023Q3",Spectrum!$R:$R,0)),0),""))</f>
        <v/>
      </c>
      <c r="AE227" s="90">
        <f t="shared" si="81"/>
        <v>0</v>
      </c>
      <c r="AF227" s="42" t="str">
        <f>IF(LEFT($B227,4)="_Mil","",_xlfn.IFNA(ROUND(INDEX(Spectrum!$N:$N,MATCH(RIGHT($B227,13)&amp;"|"&amp;$C227&amp;"|"&amp;$D227&amp;"|"&amp;AF$14&amp;"|"&amp;"CY2023Q3",Spectrum!$R:$R,0)),0),""))</f>
        <v/>
      </c>
      <c r="AG227" s="90" t="str">
        <f t="shared" si="82"/>
        <v/>
      </c>
      <c r="AH227" s="88" t="str">
        <f>IF(LEFT($B227,4)="_Mil","",_xlfn.IFNA(INDEX(Spectrum!$N:$N,MATCH(RIGHT($B227,13)&amp;"|"&amp;$C227&amp;"|"&amp;$D227&amp;"|"&amp;AH$14&amp;"|"&amp;"CY2023Q3",Spectrum!$R:$R,0)),""))</f>
        <v/>
      </c>
      <c r="AI227" s="14" t="str">
        <f>IF(LEFT($B227,4)="_Mil","",_xlfn.IFNA(ROUND(INDEX(Spectrum!$N:$N,MATCH(RIGHT($B227,13)&amp;"|"&amp;$C227&amp;"|"&amp;$D227&amp;"|"&amp;AI$14&amp;"|"&amp;"CY2023Q3",Spectrum!$R:$R,0)),0),""))</f>
        <v/>
      </c>
      <c r="AJ227" s="42">
        <f>IF(LEFT($B227,4)="_Mil","",_xlfn.IFNA(ROUND(INDEX(Spectrum!$N:$N,MATCH(RIGHT($B227,13)&amp;"|"&amp;$C227&amp;"|"&amp;$D227&amp;"|"&amp;AI$14&amp;"|"&amp;"CY2023Q3",Spectrum!$R:$R,0)),0),SUM($U227)+SUM($AI227)))</f>
        <v>0</v>
      </c>
      <c r="AK227" s="14" t="str">
        <f>IF(LEFT($B227,4)="_Mil","",_xlfn.IFNA(ROUND(INDEX(Spectrum!$N:$N,MATCH(RIGHT($B227,13)&amp;"|"&amp;$C227&amp;"|"&amp;$D227&amp;"|"&amp;AK$14&amp;"|"&amp;"CY2023Q3",Spectrum!$R:$R,0)),0),""))</f>
        <v/>
      </c>
      <c r="AL227" s="90">
        <f t="shared" si="83"/>
        <v>754</v>
      </c>
      <c r="AM227" s="14">
        <f t="shared" si="84"/>
        <v>0</v>
      </c>
      <c r="AN227" s="14" t="str">
        <f>IF($C227="&lt;01",ROUND(INDEX(EID!$P:$P,MATCH($B227,EID!$B:$B,0))/2,0),"")</f>
        <v/>
      </c>
      <c r="AO227" s="14">
        <f t="shared" si="85"/>
        <v>0</v>
      </c>
      <c r="AP227" s="42">
        <f t="shared" si="86"/>
        <v>0</v>
      </c>
      <c r="AQ227" s="42">
        <f t="shared" si="87"/>
        <v>1393</v>
      </c>
      <c r="AR227" s="90" t="str">
        <f t="shared" si="88"/>
        <v/>
      </c>
      <c r="AS227" s="90">
        <f t="shared" si="98"/>
        <v>0.98</v>
      </c>
      <c r="AT227" s="90">
        <f t="shared" si="98"/>
        <v>0.98</v>
      </c>
      <c r="AU227" s="14">
        <f t="shared" si="89"/>
        <v>0</v>
      </c>
      <c r="AV227" s="14">
        <f>IF($C227="&lt;01",ROUND(INDEX(EID!$N:$N,MATCH($B227,EID!$B:$B,0))/2,0),IF(SUM($AT227)=0,"",ROUND((SUM($AP227)-(SUM($O227)*SUM($AS227)))/$AT227,0)))</f>
        <v>0</v>
      </c>
      <c r="AW227" s="90">
        <f t="shared" si="90"/>
        <v>1</v>
      </c>
      <c r="AX227" s="42">
        <f t="shared" si="91"/>
        <v>0</v>
      </c>
      <c r="AY227" s="116">
        <f t="shared" si="92"/>
        <v>0.7</v>
      </c>
      <c r="AZ227" s="93">
        <f>IF($C227="&lt;01",ROUND(INDEX(EID!$R:$R,MATCH($B227,EID!$B:$B,0))/2,0),ROUND(SUM($O227)+(SUM($AV227)*$AY227),0))</f>
        <v>0</v>
      </c>
      <c r="BA227" s="89">
        <f t="shared" si="93"/>
        <v>0.95</v>
      </c>
      <c r="BB227" s="9">
        <f>IF($C227="&lt;01",ROUND(INDEX(EID!$T:$T,MATCH($B227,EID!$B:$B,0))/2,0),ROUND($AZ227*$BA227,0))</f>
        <v>0</v>
      </c>
      <c r="BC227" s="93">
        <f t="shared" si="94"/>
        <v>0</v>
      </c>
      <c r="BD227" s="90">
        <f t="shared" si="95"/>
        <v>0.95</v>
      </c>
      <c r="BE227" s="42">
        <f>IF($C227="&lt;01",ROUND(INDEX(EID!$V:$V,MATCH($B227,EID!$B:$B,0))/2,0),ROUND($BD227*$BB227,0))</f>
        <v>0</v>
      </c>
      <c r="BF227" s="42">
        <f t="shared" si="96"/>
        <v>0</v>
      </c>
      <c r="BG227" s="116">
        <f t="shared" si="97"/>
        <v>0.95</v>
      </c>
      <c r="BH227" s="9">
        <f>IF($C227="&lt;01",ROUND(INDEX(EID!$L:$L,MATCH($B227,EID!$B:$B,0)),0)/2,IF(SUM($BG227)=0,"",ROUND($AX227/$BG227,0)))</f>
        <v>0</v>
      </c>
    </row>
    <row r="228" spans="1:60" x14ac:dyDescent="0.2">
      <c r="A228" t="str">
        <f>INDEX(Prioritization!$D:$D,MATCH($B228,Prioritization!$A:$A,0))</f>
        <v>INVALID</v>
      </c>
      <c r="B228" t="s">
        <v>208</v>
      </c>
      <c r="C228" t="s">
        <v>362</v>
      </c>
      <c r="D228" t="s">
        <v>47</v>
      </c>
      <c r="E228" t="str">
        <f t="shared" si="76"/>
        <v>Rumphi District [lPTyjLi4w3d]|01-09|Male</v>
      </c>
      <c r="F228" s="14"/>
      <c r="G228" s="14"/>
      <c r="H228" s="14"/>
      <c r="I228" s="14"/>
      <c r="J228" s="14"/>
      <c r="K228" s="14"/>
      <c r="L228" s="14"/>
      <c r="M228" s="14"/>
      <c r="N228" s="14"/>
      <c r="O228" s="14" t="str">
        <f t="shared" si="77"/>
        <v/>
      </c>
      <c r="P228" s="14"/>
      <c r="Q228" s="14"/>
      <c r="R228" s="14" t="str">
        <f t="shared" si="78"/>
        <v/>
      </c>
      <c r="S228" s="14">
        <f>IF(LEFT($B228,4)="_Mil","",_xlfn.IFNA(ROUND(INDEX(Spectrum!$N:$N,MATCH(RIGHT($B228,13)&amp;"|"&amp;$C228&amp;"|"&amp;$D228&amp;"|"&amp;S$14&amp;"|"&amp;"CY2022Q4",Spectrum!$R:$R,0)),0),""))</f>
        <v>624</v>
      </c>
      <c r="T228" s="42">
        <f>IF(LEFT($B228,4)="_Mil","",_xlfn.IFNA(ROUND(INDEX(Spectrum!$N:$N,MATCH(RIGHT($B228,13)&amp;"|"&amp;$C228&amp;"|"&amp;$D228&amp;"|"&amp;T$14&amp;"|"&amp;"CY2023Q3",Spectrum!$R:$R,0)),0),""))</f>
        <v>1338</v>
      </c>
      <c r="U228" s="42" t="str">
        <f>IF(LEFT($B228,4)="_Mil","",_xlfn.IFNA(ROUND(INDEX(Spectrum!$N:$N,MATCH(RIGHT($B228,13)&amp;"|"&amp;$C228&amp;"|"&amp;$D228&amp;"|"&amp;U$14&amp;"|"&amp;"CY2023Q3",Spectrum!$R:$R,0)),0),""))</f>
        <v/>
      </c>
      <c r="V228" s="14">
        <f>IF(LEFT($B228,4)="_Mil","",_xlfn.IFNA(ROUND(INDEX(Spectrum!$N:$N,MATCH(RIGHT($B228,13)&amp;"|"&amp;$C228&amp;"|"&amp;$D228&amp;"|"&amp;V$14&amp;"|"&amp;"CY2023Q3",Spectrum!$R:$R,0)),0),""))</f>
        <v>1732</v>
      </c>
      <c r="W228" s="115">
        <f>IF(LEFT($B228,4)="_Mil","",_xlfn.IFNA(INDEX(Spectrum!$N:$N,MATCH(RIGHT($B228,13)&amp;"|"&amp;$C228&amp;"|"&amp;$D228&amp;"|"&amp;W$14&amp;"|"&amp;"CY2023Q3",Spectrum!$R:$R,0)),""))</f>
        <v>1049</v>
      </c>
      <c r="X228" s="42">
        <f>IF(LEFT($B228,4)="_Mil","",_xlfn.IFNA(ROUND(INDEX(Spectrum!$N:$N,MATCH(RIGHT($B228,13)&amp;"|"&amp;$C228&amp;"|"&amp;$D228&amp;"|"&amp;X$14&amp;"|"&amp;"CY2023Q3",Spectrum!$R:$R,0)),0),""))</f>
        <v>1927</v>
      </c>
      <c r="Y228" s="90" t="str">
        <f t="shared" si="79"/>
        <v/>
      </c>
      <c r="Z228" s="42">
        <f>IF(LEFT($B228,4)="_Mil","",_xlfn.IFNA(ROUND(INDEX(Spectrum!$N:$N,MATCH(RIGHT($B228,13)&amp;"|"&amp;$C228&amp;"|"&amp;$D228&amp;"|"&amp;Z$14&amp;"|"&amp;"CY2023Q3",Spectrum!$R:$R,0)),0),""))</f>
        <v>1760</v>
      </c>
      <c r="AA228" s="90">
        <f>IF(LEFT($B228,4)="_Mil","",IFERROR(1/(1/INDEX(Spectrum!$N:$N,MATCH(RIGHT($B228,13)&amp;"|"&amp;$C228&amp;"|"&amp;$D228&amp;"|"&amp;AA$14&amp;"|"&amp;"CY2023Q3",Spectrum!$R:$R,0))),IF(SUM($U228)=0,"",SUM($Z228)/$U228)))</f>
        <v>796</v>
      </c>
      <c r="AB228" s="90">
        <f t="shared" si="80"/>
        <v>0.91333679294239756</v>
      </c>
      <c r="AC228" s="14">
        <f>IF(LEFT($B228,4)="_Mil","",_xlfn.IFNA(ROUND(INDEX(Spectrum!$N:$N,MATCH(RIGHT($B228,13)&amp;"|"&amp;$C228&amp;"|"&amp;$D228&amp;"|"&amp;AC$14&amp;"|"&amp;"CY2023Q3",Spectrum!$R:$R,0)),0),""))</f>
        <v>1415</v>
      </c>
      <c r="AD228" s="14" t="str">
        <f>IF(LEFT($B228,4)="_Mil","",_xlfn.IFNA(ROUND(INDEX(Spectrum!$N:$N,MATCH(RIGHT($B228,13)&amp;"|"&amp;$C228&amp;"|"&amp;$D228&amp;"|"&amp;AD$14&amp;"|"&amp;"CY2023Q3",Spectrum!$R:$R,0)),0),""))</f>
        <v/>
      </c>
      <c r="AE228" s="90">
        <f t="shared" si="81"/>
        <v>0</v>
      </c>
      <c r="AF228" s="42" t="str">
        <f>IF(LEFT($B228,4)="_Mil","",_xlfn.IFNA(ROUND(INDEX(Spectrum!$N:$N,MATCH(RIGHT($B228,13)&amp;"|"&amp;$C228&amp;"|"&amp;$D228&amp;"|"&amp;AF$14&amp;"|"&amp;"CY2023Q3",Spectrum!$R:$R,0)),0),""))</f>
        <v/>
      </c>
      <c r="AG228" s="90" t="str">
        <f t="shared" si="82"/>
        <v/>
      </c>
      <c r="AH228" s="88" t="str">
        <f>IF(LEFT($B228,4)="_Mil","",_xlfn.IFNA(INDEX(Spectrum!$N:$N,MATCH(RIGHT($B228,13)&amp;"|"&amp;$C228&amp;"|"&amp;$D228&amp;"|"&amp;AH$14&amp;"|"&amp;"CY2023Q3",Spectrum!$R:$R,0)),""))</f>
        <v/>
      </c>
      <c r="AI228" s="14" t="str">
        <f>IF(LEFT($B228,4)="_Mil","",_xlfn.IFNA(ROUND(INDEX(Spectrum!$N:$N,MATCH(RIGHT($B228,13)&amp;"|"&amp;$C228&amp;"|"&amp;$D228&amp;"|"&amp;AI$14&amp;"|"&amp;"CY2023Q3",Spectrum!$R:$R,0)),0),""))</f>
        <v/>
      </c>
      <c r="AJ228" s="42">
        <f>IF(LEFT($B228,4)="_Mil","",_xlfn.IFNA(ROUND(INDEX(Spectrum!$N:$N,MATCH(RIGHT($B228,13)&amp;"|"&amp;$C228&amp;"|"&amp;$D228&amp;"|"&amp;AI$14&amp;"|"&amp;"CY2023Q3",Spectrum!$R:$R,0)),0),SUM($U228)+SUM($AI228)))</f>
        <v>0</v>
      </c>
      <c r="AK228" s="14" t="str">
        <f>IF(LEFT($B228,4)="_Mil","",_xlfn.IFNA(ROUND(INDEX(Spectrum!$N:$N,MATCH(RIGHT($B228,13)&amp;"|"&amp;$C228&amp;"|"&amp;$D228&amp;"|"&amp;AK$14&amp;"|"&amp;"CY2023Q3",Spectrum!$R:$R,0)),0),""))</f>
        <v/>
      </c>
      <c r="AL228" s="90">
        <f t="shared" si="83"/>
        <v>796</v>
      </c>
      <c r="AM228" s="14">
        <f t="shared" si="84"/>
        <v>0</v>
      </c>
      <c r="AN228" s="14" t="str">
        <f>IF($C228="&lt;01",ROUND(INDEX(EID!$P:$P,MATCH($B228,EID!$B:$B,0))/2,0),"")</f>
        <v/>
      </c>
      <c r="AO228" s="14">
        <f t="shared" si="85"/>
        <v>0</v>
      </c>
      <c r="AP228" s="42">
        <f t="shared" si="86"/>
        <v>0</v>
      </c>
      <c r="AQ228" s="42">
        <f t="shared" si="87"/>
        <v>1760</v>
      </c>
      <c r="AR228" s="90" t="str">
        <f t="shared" si="88"/>
        <v/>
      </c>
      <c r="AS228" s="90">
        <f t="shared" si="98"/>
        <v>0.98</v>
      </c>
      <c r="AT228" s="90">
        <f t="shared" si="98"/>
        <v>0.98</v>
      </c>
      <c r="AU228" s="14">
        <f t="shared" si="89"/>
        <v>0</v>
      </c>
      <c r="AV228" s="14">
        <f>IF($C228="&lt;01",ROUND(INDEX(EID!$N:$N,MATCH($B228,EID!$B:$B,0))/2,0),IF(SUM($AT228)=0,"",ROUND((SUM($AP228)-(SUM($O228)*SUM($AS228)))/$AT228,0)))</f>
        <v>0</v>
      </c>
      <c r="AW228" s="90">
        <f t="shared" si="90"/>
        <v>1</v>
      </c>
      <c r="AX228" s="42">
        <f t="shared" si="91"/>
        <v>0</v>
      </c>
      <c r="AY228" s="116">
        <f t="shared" si="92"/>
        <v>0.7</v>
      </c>
      <c r="AZ228" s="93">
        <f>IF($C228="&lt;01",ROUND(INDEX(EID!$R:$R,MATCH($B228,EID!$B:$B,0))/2,0),ROUND(SUM($O228)+(SUM($AV228)*$AY228),0))</f>
        <v>0</v>
      </c>
      <c r="BA228" s="89">
        <f t="shared" si="93"/>
        <v>0.95</v>
      </c>
      <c r="BB228" s="9">
        <f>IF($C228="&lt;01",ROUND(INDEX(EID!$T:$T,MATCH($B228,EID!$B:$B,0))/2,0),ROUND($AZ228*$BA228,0))</f>
        <v>0</v>
      </c>
      <c r="BC228" s="93">
        <f t="shared" si="94"/>
        <v>0</v>
      </c>
      <c r="BD228" s="90">
        <f t="shared" si="95"/>
        <v>0.95</v>
      </c>
      <c r="BE228" s="42">
        <f>IF($C228="&lt;01",ROUND(INDEX(EID!$V:$V,MATCH($B228,EID!$B:$B,0))/2,0),ROUND($BD228*$BB228,0))</f>
        <v>0</v>
      </c>
      <c r="BF228" s="42">
        <f t="shared" si="96"/>
        <v>0</v>
      </c>
      <c r="BG228" s="116">
        <f t="shared" si="97"/>
        <v>0.95</v>
      </c>
      <c r="BH228" s="9">
        <f>IF($C228="&lt;01",ROUND(INDEX(EID!$L:$L,MATCH($B228,EID!$B:$B,0)),0)/2,IF(SUM($BG228)=0,"",ROUND($AX228/$BG228,0)))</f>
        <v>0</v>
      </c>
    </row>
    <row r="229" spans="1:60" x14ac:dyDescent="0.2">
      <c r="A229" t="str">
        <f>INDEX(Prioritization!$D:$D,MATCH($B229,Prioritization!$A:$A,0))</f>
        <v>INVALID</v>
      </c>
      <c r="B229" t="s">
        <v>208</v>
      </c>
      <c r="C229" t="s">
        <v>363</v>
      </c>
      <c r="D229" t="s">
        <v>29</v>
      </c>
      <c r="E229" t="str">
        <f t="shared" si="76"/>
        <v>Rumphi District [lPTyjLi4w3d]|10-14|Female</v>
      </c>
      <c r="F229" s="14"/>
      <c r="G229" s="14">
        <v>9</v>
      </c>
      <c r="H229" s="14">
        <v>1</v>
      </c>
      <c r="I229" s="14">
        <v>15</v>
      </c>
      <c r="J229" s="14">
        <v>2</v>
      </c>
      <c r="K229" s="14">
        <v>5</v>
      </c>
      <c r="L229" s="14">
        <v>8</v>
      </c>
      <c r="M229" s="14">
        <v>3</v>
      </c>
      <c r="N229" s="14">
        <v>60</v>
      </c>
      <c r="O229" s="14">
        <f t="shared" si="77"/>
        <v>60</v>
      </c>
      <c r="P229" s="14">
        <v>89</v>
      </c>
      <c r="Q229" s="14">
        <v>88</v>
      </c>
      <c r="R229" s="14">
        <f t="shared" si="78"/>
        <v>45</v>
      </c>
      <c r="S229" s="14">
        <f>IF(LEFT($B229,4)="_Mil","",_xlfn.IFNA(ROUND(INDEX(Spectrum!$N:$N,MATCH(RIGHT($B229,13)&amp;"|"&amp;$C229&amp;"|"&amp;$D229&amp;"|"&amp;S$14&amp;"|"&amp;"CY2022Q4",Spectrum!$R:$R,0)),0),""))</f>
        <v>1172</v>
      </c>
      <c r="T229" s="42">
        <f>IF(LEFT($B229,4)="_Mil","",_xlfn.IFNA(ROUND(INDEX(Spectrum!$N:$N,MATCH(RIGHT($B229,13)&amp;"|"&amp;$C229&amp;"|"&amp;$D229&amp;"|"&amp;T$14&amp;"|"&amp;"CY2023Q3",Spectrum!$R:$R,0)),0),""))</f>
        <v>767</v>
      </c>
      <c r="U229" s="42" t="str">
        <f>IF(LEFT($B229,4)="_Mil","",_xlfn.IFNA(ROUND(INDEX(Spectrum!$N:$N,MATCH(RIGHT($B229,13)&amp;"|"&amp;$C229&amp;"|"&amp;$D229&amp;"|"&amp;U$14&amp;"|"&amp;"CY2023Q3",Spectrum!$R:$R,0)),0),""))</f>
        <v/>
      </c>
      <c r="V229" s="14">
        <f>IF(LEFT($B229,4)="_Mil","",_xlfn.IFNA(ROUND(INDEX(Spectrum!$N:$N,MATCH(RIGHT($B229,13)&amp;"|"&amp;$C229&amp;"|"&amp;$D229&amp;"|"&amp;V$14&amp;"|"&amp;"CY2023Q3",Spectrum!$R:$R,0)),0),""))</f>
        <v>1412</v>
      </c>
      <c r="W229" s="115">
        <f>IF(LEFT($B229,4)="_Mil","",_xlfn.IFNA(INDEX(Spectrum!$N:$N,MATCH(RIGHT($B229,13)&amp;"|"&amp;$C229&amp;"|"&amp;$D229&amp;"|"&amp;W$14&amp;"|"&amp;"CY2023Q3",Spectrum!$R:$R,0)),""))</f>
        <v>1983</v>
      </c>
      <c r="X229" s="42">
        <f>IF(LEFT($B229,4)="_Mil","",_xlfn.IFNA(ROUND(INDEX(Spectrum!$N:$N,MATCH(RIGHT($B229,13)&amp;"|"&amp;$C229&amp;"|"&amp;$D229&amp;"|"&amp;X$14&amp;"|"&amp;"CY2023Q3",Spectrum!$R:$R,0)),0),""))</f>
        <v>1092</v>
      </c>
      <c r="Y229" s="90" t="str">
        <f t="shared" si="79"/>
        <v/>
      </c>
      <c r="Z229" s="42">
        <f>IF(LEFT($B229,4)="_Mil","",_xlfn.IFNA(ROUND(INDEX(Spectrum!$N:$N,MATCH(RIGHT($B229,13)&amp;"|"&amp;$C229&amp;"|"&amp;$D229&amp;"|"&amp;Z$14&amp;"|"&amp;"CY2023Q3",Spectrum!$R:$R,0)),0),""))</f>
        <v>546</v>
      </c>
      <c r="AA229" s="90">
        <f>IF(LEFT($B229,4)="_Mil","",IFERROR(1/(1/INDEX(Spectrum!$N:$N,MATCH(RIGHT($B229,13)&amp;"|"&amp;$C229&amp;"|"&amp;$D229&amp;"|"&amp;AA$14&amp;"|"&amp;"CY2023Q3",Spectrum!$R:$R,0))),IF(SUM($U229)=0,"",SUM($Z229)/$U229)))</f>
        <v>1448</v>
      </c>
      <c r="AB229" s="90">
        <f t="shared" si="80"/>
        <v>0.5</v>
      </c>
      <c r="AC229" s="14">
        <f>IF(LEFT($B229,4)="_Mil","",_xlfn.IFNA(ROUND(INDEX(Spectrum!$N:$N,MATCH(RIGHT($B229,13)&amp;"|"&amp;$C229&amp;"|"&amp;$D229&amp;"|"&amp;AC$14&amp;"|"&amp;"CY2023Q3",Spectrum!$R:$R,0)),0),""))</f>
        <v>1656</v>
      </c>
      <c r="AD229" s="14" t="str">
        <f>IF(LEFT($B229,4)="_Mil","",_xlfn.IFNA(ROUND(INDEX(Spectrum!$N:$N,MATCH(RIGHT($B229,13)&amp;"|"&amp;$C229&amp;"|"&amp;$D229&amp;"|"&amp;AD$14&amp;"|"&amp;"CY2023Q3",Spectrum!$R:$R,0)),0),""))</f>
        <v/>
      </c>
      <c r="AE229" s="90">
        <f t="shared" si="81"/>
        <v>0</v>
      </c>
      <c r="AF229" s="42" t="str">
        <f>IF(LEFT($B229,4)="_Mil","",_xlfn.IFNA(ROUND(INDEX(Spectrum!$N:$N,MATCH(RIGHT($B229,13)&amp;"|"&amp;$C229&amp;"|"&amp;$D229&amp;"|"&amp;AF$14&amp;"|"&amp;"CY2023Q3",Spectrum!$R:$R,0)),0),""))</f>
        <v/>
      </c>
      <c r="AG229" s="90" t="str">
        <f t="shared" si="82"/>
        <v/>
      </c>
      <c r="AH229" s="88" t="str">
        <f>IF(LEFT($B229,4)="_Mil","",_xlfn.IFNA(INDEX(Spectrum!$N:$N,MATCH(RIGHT($B229,13)&amp;"|"&amp;$C229&amp;"|"&amp;$D229&amp;"|"&amp;AH$14&amp;"|"&amp;"CY2023Q3",Spectrum!$R:$R,0)),""))</f>
        <v/>
      </c>
      <c r="AI229" s="14" t="str">
        <f>IF(LEFT($B229,4)="_Mil","",_xlfn.IFNA(ROUND(INDEX(Spectrum!$N:$N,MATCH(RIGHT($B229,13)&amp;"|"&amp;$C229&amp;"|"&amp;$D229&amp;"|"&amp;AI$14&amp;"|"&amp;"CY2023Q3",Spectrum!$R:$R,0)),0),""))</f>
        <v/>
      </c>
      <c r="AJ229" s="42">
        <f>IF(LEFT($B229,4)="_Mil","",_xlfn.IFNA(ROUND(INDEX(Spectrum!$N:$N,MATCH(RIGHT($B229,13)&amp;"|"&amp;$C229&amp;"|"&amp;$D229&amp;"|"&amp;AI$14&amp;"|"&amp;"CY2023Q3",Spectrum!$R:$R,0)),0),SUM($U229)+SUM($AI229)))</f>
        <v>0</v>
      </c>
      <c r="AK229" s="14" t="str">
        <f>IF(LEFT($B229,4)="_Mil","",_xlfn.IFNA(ROUND(INDEX(Spectrum!$N:$N,MATCH(RIGHT($B229,13)&amp;"|"&amp;$C229&amp;"|"&amp;$D229&amp;"|"&amp;AK$14&amp;"|"&amp;"CY2023Q3",Spectrum!$R:$R,0)),0),""))</f>
        <v/>
      </c>
      <c r="AL229" s="90">
        <f t="shared" si="83"/>
        <v>1448</v>
      </c>
      <c r="AM229" s="14">
        <f t="shared" si="84"/>
        <v>0</v>
      </c>
      <c r="AN229" s="14" t="str">
        <f>IF($C229="&lt;01",ROUND(INDEX(EID!$P:$P,MATCH($B229,EID!$B:$B,0))/2,0),"")</f>
        <v/>
      </c>
      <c r="AO229" s="14">
        <f t="shared" si="85"/>
        <v>0</v>
      </c>
      <c r="AP229" s="42">
        <f t="shared" si="86"/>
        <v>0</v>
      </c>
      <c r="AQ229" s="42">
        <f t="shared" si="87"/>
        <v>546</v>
      </c>
      <c r="AR229" s="90" t="str">
        <f t="shared" si="88"/>
        <v/>
      </c>
      <c r="AS229" s="90">
        <f t="shared" si="98"/>
        <v>0.98</v>
      </c>
      <c r="AT229" s="90">
        <f t="shared" si="98"/>
        <v>0.98</v>
      </c>
      <c r="AU229" s="14">
        <f t="shared" si="89"/>
        <v>-60</v>
      </c>
      <c r="AV229" s="14">
        <f>IF($C229="&lt;01",ROUND(INDEX(EID!$N:$N,MATCH($B229,EID!$B:$B,0))/2,0),IF(SUM($AT229)=0,"",ROUND((SUM($AP229)-(SUM($O229)*SUM($AS229)))/$AT229,0)))</f>
        <v>-60</v>
      </c>
      <c r="AW229" s="90">
        <f t="shared" si="90"/>
        <v>1</v>
      </c>
      <c r="AX229" s="42">
        <f t="shared" si="91"/>
        <v>-60</v>
      </c>
      <c r="AY229" s="116">
        <f t="shared" si="92"/>
        <v>0.7</v>
      </c>
      <c r="AZ229" s="93">
        <f>IF($C229="&lt;01",ROUND(INDEX(EID!$R:$R,MATCH($B229,EID!$B:$B,0))/2,0),ROUND(SUM($O229)+(SUM($AV229)*$AY229),0))</f>
        <v>18</v>
      </c>
      <c r="BA229" s="89">
        <f t="shared" si="93"/>
        <v>0.95</v>
      </c>
      <c r="BB229" s="9">
        <f>IF($C229="&lt;01",ROUND(INDEX(EID!$T:$T,MATCH($B229,EID!$B:$B,0))/2,0),ROUND($AZ229*$BA229,0))</f>
        <v>17</v>
      </c>
      <c r="BC229" s="93">
        <f t="shared" si="94"/>
        <v>17</v>
      </c>
      <c r="BD229" s="90">
        <f t="shared" si="95"/>
        <v>0.95</v>
      </c>
      <c r="BE229" s="42">
        <f>IF($C229="&lt;01",ROUND(INDEX(EID!$V:$V,MATCH($B229,EID!$B:$B,0))/2,0),ROUND($BD229*$BB229,0))</f>
        <v>16</v>
      </c>
      <c r="BF229" s="42">
        <f t="shared" si="96"/>
        <v>16</v>
      </c>
      <c r="BG229" s="116">
        <f t="shared" si="97"/>
        <v>0.95</v>
      </c>
      <c r="BH229" s="9">
        <f>IF($C229="&lt;01",ROUND(INDEX(EID!$L:$L,MATCH($B229,EID!$B:$B,0)),0)/2,IF(SUM($BG229)=0,"",ROUND($AX229/$BG229,0)))</f>
        <v>-63</v>
      </c>
    </row>
    <row r="230" spans="1:60" x14ac:dyDescent="0.2">
      <c r="A230" t="str">
        <f>INDEX(Prioritization!$D:$D,MATCH($B230,Prioritization!$A:$A,0))</f>
        <v>INVALID</v>
      </c>
      <c r="B230" t="s">
        <v>208</v>
      </c>
      <c r="C230" t="s">
        <v>363</v>
      </c>
      <c r="D230" t="s">
        <v>47</v>
      </c>
      <c r="E230" t="str">
        <f t="shared" si="76"/>
        <v>Rumphi District [lPTyjLi4w3d]|10-14|Male</v>
      </c>
      <c r="F230" s="14"/>
      <c r="G230" s="14">
        <v>3</v>
      </c>
      <c r="H230" s="14">
        <v>1</v>
      </c>
      <c r="I230" s="14">
        <v>14</v>
      </c>
      <c r="J230" s="14">
        <v>10</v>
      </c>
      <c r="K230" s="14">
        <v>2</v>
      </c>
      <c r="L230" s="14">
        <v>3</v>
      </c>
      <c r="M230" s="14">
        <v>7</v>
      </c>
      <c r="N230" s="14">
        <v>93</v>
      </c>
      <c r="O230" s="14">
        <f t="shared" si="77"/>
        <v>92.999999999999986</v>
      </c>
      <c r="P230" s="14">
        <v>70</v>
      </c>
      <c r="Q230" s="14">
        <v>23</v>
      </c>
      <c r="R230" s="14">
        <f t="shared" si="78"/>
        <v>78.999999999999986</v>
      </c>
      <c r="S230" s="14">
        <f>IF(LEFT($B230,4)="_Mil","",_xlfn.IFNA(ROUND(INDEX(Spectrum!$N:$N,MATCH(RIGHT($B230,13)&amp;"|"&amp;$C230&amp;"|"&amp;$D230&amp;"|"&amp;S$14&amp;"|"&amp;"CY2022Q4",Spectrum!$R:$R,0)),0),""))</f>
        <v>1127</v>
      </c>
      <c r="T230" s="42">
        <f>IF(LEFT($B230,4)="_Mil","",_xlfn.IFNA(ROUND(INDEX(Spectrum!$N:$N,MATCH(RIGHT($B230,13)&amp;"|"&amp;$C230&amp;"|"&amp;$D230&amp;"|"&amp;T$14&amp;"|"&amp;"CY2023Q3",Spectrum!$R:$R,0)),0),""))</f>
        <v>1126</v>
      </c>
      <c r="U230" s="42" t="str">
        <f>IF(LEFT($B230,4)="_Mil","",_xlfn.IFNA(ROUND(INDEX(Spectrum!$N:$N,MATCH(RIGHT($B230,13)&amp;"|"&amp;$C230&amp;"|"&amp;$D230&amp;"|"&amp;U$14&amp;"|"&amp;"CY2023Q3",Spectrum!$R:$R,0)),0),""))</f>
        <v/>
      </c>
      <c r="V230" s="14">
        <f>IF(LEFT($B230,4)="_Mil","",_xlfn.IFNA(ROUND(INDEX(Spectrum!$N:$N,MATCH(RIGHT($B230,13)&amp;"|"&amp;$C230&amp;"|"&amp;$D230&amp;"|"&amp;V$14&amp;"|"&amp;"CY2023Q3",Spectrum!$R:$R,0)),0),""))</f>
        <v>1199</v>
      </c>
      <c r="W230" s="115">
        <f>IF(LEFT($B230,4)="_Mil","",_xlfn.IFNA(INDEX(Spectrum!$N:$N,MATCH(RIGHT($B230,13)&amp;"|"&amp;$C230&amp;"|"&amp;$D230&amp;"|"&amp;W$14&amp;"|"&amp;"CY2023Q3",Spectrum!$R:$R,0)),""))</f>
        <v>1509</v>
      </c>
      <c r="X230" s="42">
        <f>IF(LEFT($B230,4)="_Mil","",_xlfn.IFNA(ROUND(INDEX(Spectrum!$N:$N,MATCH(RIGHT($B230,13)&amp;"|"&amp;$C230&amp;"|"&amp;$D230&amp;"|"&amp;X$14&amp;"|"&amp;"CY2023Q3",Spectrum!$R:$R,0)),0),""))</f>
        <v>1088</v>
      </c>
      <c r="Y230" s="90" t="str">
        <f t="shared" si="79"/>
        <v/>
      </c>
      <c r="Z230" s="42">
        <f>IF(LEFT($B230,4)="_Mil","",_xlfn.IFNA(ROUND(INDEX(Spectrum!$N:$N,MATCH(RIGHT($B230,13)&amp;"|"&amp;$C230&amp;"|"&amp;$D230&amp;"|"&amp;Z$14&amp;"|"&amp;"CY2023Q3",Spectrum!$R:$R,0)),0),""))</f>
        <v>1345</v>
      </c>
      <c r="AA230" s="90">
        <f>IF(LEFT($B230,4)="_Mil","",IFERROR(1/(1/INDEX(Spectrum!$N:$N,MATCH(RIGHT($B230,13)&amp;"|"&amp;$C230&amp;"|"&amp;$D230&amp;"|"&amp;AA$14&amp;"|"&amp;"CY2023Q3",Spectrum!$R:$R,0))),IF(SUM($U230)=0,"",SUM($Z230)/$U230)))</f>
        <v>1149</v>
      </c>
      <c r="AB230" s="90">
        <f t="shared" si="80"/>
        <v>1.2362132352941178</v>
      </c>
      <c r="AC230" s="14">
        <f>IF(LEFT($B230,4)="_Mil","",_xlfn.IFNA(ROUND(INDEX(Spectrum!$N:$N,MATCH(RIGHT($B230,13)&amp;"|"&amp;$C230&amp;"|"&amp;$D230&amp;"|"&amp;AC$14&amp;"|"&amp;"CY2023Q3",Spectrum!$R:$R,0)),0),""))</f>
        <v>1636</v>
      </c>
      <c r="AD230" s="14" t="str">
        <f>IF(LEFT($B230,4)="_Mil","",_xlfn.IFNA(ROUND(INDEX(Spectrum!$N:$N,MATCH(RIGHT($B230,13)&amp;"|"&amp;$C230&amp;"|"&amp;$D230&amp;"|"&amp;AD$14&amp;"|"&amp;"CY2023Q3",Spectrum!$R:$R,0)),0),""))</f>
        <v/>
      </c>
      <c r="AE230" s="90">
        <f t="shared" si="81"/>
        <v>0</v>
      </c>
      <c r="AF230" s="42" t="str">
        <f>IF(LEFT($B230,4)="_Mil","",_xlfn.IFNA(ROUND(INDEX(Spectrum!$N:$N,MATCH(RIGHT($B230,13)&amp;"|"&amp;$C230&amp;"|"&amp;$D230&amp;"|"&amp;AF$14&amp;"|"&amp;"CY2023Q3",Spectrum!$R:$R,0)),0),""))</f>
        <v/>
      </c>
      <c r="AG230" s="90" t="str">
        <f t="shared" si="82"/>
        <v/>
      </c>
      <c r="AH230" s="88" t="str">
        <f>IF(LEFT($B230,4)="_Mil","",_xlfn.IFNA(INDEX(Spectrum!$N:$N,MATCH(RIGHT($B230,13)&amp;"|"&amp;$C230&amp;"|"&amp;$D230&amp;"|"&amp;AH$14&amp;"|"&amp;"CY2023Q3",Spectrum!$R:$R,0)),""))</f>
        <v/>
      </c>
      <c r="AI230" s="14" t="str">
        <f>IF(LEFT($B230,4)="_Mil","",_xlfn.IFNA(ROUND(INDEX(Spectrum!$N:$N,MATCH(RIGHT($B230,13)&amp;"|"&amp;$C230&amp;"|"&amp;$D230&amp;"|"&amp;AI$14&amp;"|"&amp;"CY2023Q3",Spectrum!$R:$R,0)),0),""))</f>
        <v/>
      </c>
      <c r="AJ230" s="42">
        <f>IF(LEFT($B230,4)="_Mil","",_xlfn.IFNA(ROUND(INDEX(Spectrum!$N:$N,MATCH(RIGHT($B230,13)&amp;"|"&amp;$C230&amp;"|"&amp;$D230&amp;"|"&amp;AI$14&amp;"|"&amp;"CY2023Q3",Spectrum!$R:$R,0)),0),SUM($U230)+SUM($AI230)))</f>
        <v>0</v>
      </c>
      <c r="AK230" s="14" t="str">
        <f>IF(LEFT($B230,4)="_Mil","",_xlfn.IFNA(ROUND(INDEX(Spectrum!$N:$N,MATCH(RIGHT($B230,13)&amp;"|"&amp;$C230&amp;"|"&amp;$D230&amp;"|"&amp;AK$14&amp;"|"&amp;"CY2023Q3",Spectrum!$R:$R,0)),0),""))</f>
        <v/>
      </c>
      <c r="AL230" s="90">
        <f t="shared" si="83"/>
        <v>1149</v>
      </c>
      <c r="AM230" s="14">
        <f t="shared" si="84"/>
        <v>0</v>
      </c>
      <c r="AN230" s="14" t="str">
        <f>IF($C230="&lt;01",ROUND(INDEX(EID!$P:$P,MATCH($B230,EID!$B:$B,0))/2,0),"")</f>
        <v/>
      </c>
      <c r="AO230" s="14">
        <f t="shared" si="85"/>
        <v>0</v>
      </c>
      <c r="AP230" s="42">
        <f t="shared" si="86"/>
        <v>0</v>
      </c>
      <c r="AQ230" s="42">
        <f t="shared" si="87"/>
        <v>1345</v>
      </c>
      <c r="AR230" s="90" t="str">
        <f t="shared" si="88"/>
        <v/>
      </c>
      <c r="AS230" s="90">
        <f t="shared" si="98"/>
        <v>0.98</v>
      </c>
      <c r="AT230" s="90">
        <f t="shared" si="98"/>
        <v>0.98</v>
      </c>
      <c r="AU230" s="14">
        <f t="shared" si="89"/>
        <v>-92.999999999999986</v>
      </c>
      <c r="AV230" s="14">
        <f>IF($C230="&lt;01",ROUND(INDEX(EID!$N:$N,MATCH($B230,EID!$B:$B,0))/2,0),IF(SUM($AT230)=0,"",ROUND((SUM($AP230)-(SUM($O230)*SUM($AS230)))/$AT230,0)))</f>
        <v>-93</v>
      </c>
      <c r="AW230" s="90">
        <f t="shared" si="90"/>
        <v>1</v>
      </c>
      <c r="AX230" s="42">
        <f t="shared" si="91"/>
        <v>-93</v>
      </c>
      <c r="AY230" s="116">
        <f t="shared" si="92"/>
        <v>0.7</v>
      </c>
      <c r="AZ230" s="93">
        <f>IF($C230="&lt;01",ROUND(INDEX(EID!$R:$R,MATCH($B230,EID!$B:$B,0))/2,0),ROUND(SUM($O230)+(SUM($AV230)*$AY230),0))</f>
        <v>28</v>
      </c>
      <c r="BA230" s="89">
        <f t="shared" si="93"/>
        <v>0.95</v>
      </c>
      <c r="BB230" s="9">
        <f>IF($C230="&lt;01",ROUND(INDEX(EID!$T:$T,MATCH($B230,EID!$B:$B,0))/2,0),ROUND($AZ230*$BA230,0))</f>
        <v>27</v>
      </c>
      <c r="BC230" s="93">
        <f t="shared" si="94"/>
        <v>27</v>
      </c>
      <c r="BD230" s="90">
        <f t="shared" si="95"/>
        <v>0.95</v>
      </c>
      <c r="BE230" s="42">
        <f>IF($C230="&lt;01",ROUND(INDEX(EID!$V:$V,MATCH($B230,EID!$B:$B,0))/2,0),ROUND($BD230*$BB230,0))</f>
        <v>26</v>
      </c>
      <c r="BF230" s="42">
        <f t="shared" si="96"/>
        <v>26</v>
      </c>
      <c r="BG230" s="116">
        <f t="shared" si="97"/>
        <v>0.95</v>
      </c>
      <c r="BH230" s="9">
        <f>IF($C230="&lt;01",ROUND(INDEX(EID!$L:$L,MATCH($B230,EID!$B:$B,0)),0)/2,IF(SUM($BG230)=0,"",ROUND($AX230/$BG230,0)))</f>
        <v>-98</v>
      </c>
    </row>
    <row r="231" spans="1:60" x14ac:dyDescent="0.2">
      <c r="A231" t="str">
        <f>INDEX(Prioritization!$D:$D,MATCH($B231,Prioritization!$A:$A,0))</f>
        <v>INVALID</v>
      </c>
      <c r="B231" t="s">
        <v>208</v>
      </c>
      <c r="C231" t="s">
        <v>364</v>
      </c>
      <c r="D231" t="s">
        <v>29</v>
      </c>
      <c r="E231" t="str">
        <f t="shared" si="76"/>
        <v>Rumphi District [lPTyjLi4w3d]|15-24|Female</v>
      </c>
      <c r="F231" s="14"/>
      <c r="G231" s="14"/>
      <c r="H231" s="14"/>
      <c r="I231" s="14"/>
      <c r="J231" s="14"/>
      <c r="K231" s="14"/>
      <c r="L231" s="14"/>
      <c r="M231" s="14"/>
      <c r="N231" s="14"/>
      <c r="O231" s="14" t="str">
        <f t="shared" si="77"/>
        <v/>
      </c>
      <c r="P231" s="14"/>
      <c r="Q231" s="14"/>
      <c r="R231" s="14" t="str">
        <f t="shared" si="78"/>
        <v/>
      </c>
      <c r="S231" s="14">
        <f>IF(LEFT($B231,4)="_Mil","",_xlfn.IFNA(ROUND(INDEX(Spectrum!$N:$N,MATCH(RIGHT($B231,13)&amp;"|"&amp;$C231&amp;"|"&amp;$D231&amp;"|"&amp;S$14&amp;"|"&amp;"CY2022Q4",Spectrum!$R:$R,0)),0),""))</f>
        <v>1318</v>
      </c>
      <c r="T231" s="42">
        <f>IF(LEFT($B231,4)="_Mil","",_xlfn.IFNA(ROUND(INDEX(Spectrum!$N:$N,MATCH(RIGHT($B231,13)&amp;"|"&amp;$C231&amp;"|"&amp;$D231&amp;"|"&amp;T$14&amp;"|"&amp;"CY2023Q3",Spectrum!$R:$R,0)),0),""))</f>
        <v>896</v>
      </c>
      <c r="U231" s="42" t="str">
        <f>IF(LEFT($B231,4)="_Mil","",_xlfn.IFNA(ROUND(INDEX(Spectrum!$N:$N,MATCH(RIGHT($B231,13)&amp;"|"&amp;$C231&amp;"|"&amp;$D231&amp;"|"&amp;U$14&amp;"|"&amp;"CY2023Q3",Spectrum!$R:$R,0)),0),""))</f>
        <v/>
      </c>
      <c r="V231" s="14">
        <f>IF(LEFT($B231,4)="_Mil","",_xlfn.IFNA(ROUND(INDEX(Spectrum!$N:$N,MATCH(RIGHT($B231,13)&amp;"|"&amp;$C231&amp;"|"&amp;$D231&amp;"|"&amp;V$14&amp;"|"&amp;"CY2023Q3",Spectrum!$R:$R,0)),0),""))</f>
        <v>1717</v>
      </c>
      <c r="W231" s="115">
        <f>IF(LEFT($B231,4)="_Mil","",_xlfn.IFNA(INDEX(Spectrum!$N:$N,MATCH(RIGHT($B231,13)&amp;"|"&amp;$C231&amp;"|"&amp;$D231&amp;"|"&amp;W$14&amp;"|"&amp;"CY2023Q3",Spectrum!$R:$R,0)),""))</f>
        <v>647</v>
      </c>
      <c r="X231" s="42">
        <f>IF(LEFT($B231,4)="_Mil","",_xlfn.IFNA(ROUND(INDEX(Spectrum!$N:$N,MATCH(RIGHT($B231,13)&amp;"|"&amp;$C231&amp;"|"&amp;$D231&amp;"|"&amp;X$14&amp;"|"&amp;"CY2023Q3",Spectrum!$R:$R,0)),0),""))</f>
        <v>766</v>
      </c>
      <c r="Y231" s="90" t="str">
        <f t="shared" si="79"/>
        <v/>
      </c>
      <c r="Z231" s="42">
        <f>IF(LEFT($B231,4)="_Mil","",_xlfn.IFNA(ROUND(INDEX(Spectrum!$N:$N,MATCH(RIGHT($B231,13)&amp;"|"&amp;$C231&amp;"|"&amp;$D231&amp;"|"&amp;Z$14&amp;"|"&amp;"CY2023Q3",Spectrum!$R:$R,0)),0),""))</f>
        <v>1189</v>
      </c>
      <c r="AA231" s="90">
        <f>IF(LEFT($B231,4)="_Mil","",IFERROR(1/(1/INDEX(Spectrum!$N:$N,MATCH(RIGHT($B231,13)&amp;"|"&amp;$C231&amp;"|"&amp;$D231&amp;"|"&amp;AA$14&amp;"|"&amp;"CY2023Q3",Spectrum!$R:$R,0))),IF(SUM($U231)=0,"",SUM($Z231)/$U231)))</f>
        <v>1175</v>
      </c>
      <c r="AB231" s="90">
        <f t="shared" si="80"/>
        <v>1.5522193211488251</v>
      </c>
      <c r="AC231" s="14">
        <f>IF(LEFT($B231,4)="_Mil","",_xlfn.IFNA(ROUND(INDEX(Spectrum!$N:$N,MATCH(RIGHT($B231,13)&amp;"|"&amp;$C231&amp;"|"&amp;$D231&amp;"|"&amp;AC$14&amp;"|"&amp;"CY2023Q3",Spectrum!$R:$R,0)),0),""))</f>
        <v>947</v>
      </c>
      <c r="AD231" s="14" t="str">
        <f>IF(LEFT($B231,4)="_Mil","",_xlfn.IFNA(ROUND(INDEX(Spectrum!$N:$N,MATCH(RIGHT($B231,13)&amp;"|"&amp;$C231&amp;"|"&amp;$D231&amp;"|"&amp;AD$14&amp;"|"&amp;"CY2023Q3",Spectrum!$R:$R,0)),0),""))</f>
        <v/>
      </c>
      <c r="AE231" s="90">
        <f t="shared" si="81"/>
        <v>0</v>
      </c>
      <c r="AF231" s="42" t="str">
        <f>IF(LEFT($B231,4)="_Mil","",_xlfn.IFNA(ROUND(INDEX(Spectrum!$N:$N,MATCH(RIGHT($B231,13)&amp;"|"&amp;$C231&amp;"|"&amp;$D231&amp;"|"&amp;AF$14&amp;"|"&amp;"CY2023Q3",Spectrum!$R:$R,0)),0),""))</f>
        <v/>
      </c>
      <c r="AG231" s="90" t="str">
        <f t="shared" si="82"/>
        <v/>
      </c>
      <c r="AH231" s="88" t="str">
        <f>IF(LEFT($B231,4)="_Mil","",_xlfn.IFNA(INDEX(Spectrum!$N:$N,MATCH(RIGHT($B231,13)&amp;"|"&amp;$C231&amp;"|"&amp;$D231&amp;"|"&amp;AH$14&amp;"|"&amp;"CY2023Q3",Spectrum!$R:$R,0)),""))</f>
        <v/>
      </c>
      <c r="AI231" s="14" t="str">
        <f>IF(LEFT($B231,4)="_Mil","",_xlfn.IFNA(ROUND(INDEX(Spectrum!$N:$N,MATCH(RIGHT($B231,13)&amp;"|"&amp;$C231&amp;"|"&amp;$D231&amp;"|"&amp;AI$14&amp;"|"&amp;"CY2023Q3",Spectrum!$R:$R,0)),0),""))</f>
        <v/>
      </c>
      <c r="AJ231" s="42">
        <f>IF(LEFT($B231,4)="_Mil","",_xlfn.IFNA(ROUND(INDEX(Spectrum!$N:$N,MATCH(RIGHT($B231,13)&amp;"|"&amp;$C231&amp;"|"&amp;$D231&amp;"|"&amp;AI$14&amp;"|"&amp;"CY2023Q3",Spectrum!$R:$R,0)),0),SUM($U231)+SUM($AI231)))</f>
        <v>0</v>
      </c>
      <c r="AK231" s="14" t="str">
        <f>IF(LEFT($B231,4)="_Mil","",_xlfn.IFNA(ROUND(INDEX(Spectrum!$N:$N,MATCH(RIGHT($B231,13)&amp;"|"&amp;$C231&amp;"|"&amp;$D231&amp;"|"&amp;AK$14&amp;"|"&amp;"CY2023Q3",Spectrum!$R:$R,0)),0),""))</f>
        <v/>
      </c>
      <c r="AL231" s="90">
        <f t="shared" si="83"/>
        <v>1175</v>
      </c>
      <c r="AM231" s="14">
        <f t="shared" si="84"/>
        <v>0</v>
      </c>
      <c r="AN231" s="14" t="str">
        <f>IF($C231="&lt;01",ROUND(INDEX(EID!$P:$P,MATCH($B231,EID!$B:$B,0))/2,0),"")</f>
        <v/>
      </c>
      <c r="AO231" s="14">
        <f t="shared" si="85"/>
        <v>0</v>
      </c>
      <c r="AP231" s="42">
        <f t="shared" si="86"/>
        <v>0</v>
      </c>
      <c r="AQ231" s="42">
        <f t="shared" si="87"/>
        <v>1189</v>
      </c>
      <c r="AR231" s="90" t="str">
        <f t="shared" si="88"/>
        <v/>
      </c>
      <c r="AS231" s="90">
        <f t="shared" si="98"/>
        <v>0.98</v>
      </c>
      <c r="AT231" s="90">
        <f t="shared" si="98"/>
        <v>0.98</v>
      </c>
      <c r="AU231" s="14">
        <f t="shared" si="89"/>
        <v>0</v>
      </c>
      <c r="AV231" s="14">
        <f>IF($C231="&lt;01",ROUND(INDEX(EID!$N:$N,MATCH($B231,EID!$B:$B,0))/2,0),IF(SUM($AT231)=0,"",ROUND((SUM($AP231)-(SUM($O231)*SUM($AS231)))/$AT231,0)))</f>
        <v>0</v>
      </c>
      <c r="AW231" s="90">
        <f t="shared" si="90"/>
        <v>1</v>
      </c>
      <c r="AX231" s="42">
        <f t="shared" si="91"/>
        <v>0</v>
      </c>
      <c r="AY231" s="116">
        <f t="shared" si="92"/>
        <v>0.7</v>
      </c>
      <c r="AZ231" s="93">
        <f>IF($C231="&lt;01",ROUND(INDEX(EID!$R:$R,MATCH($B231,EID!$B:$B,0))/2,0),ROUND(SUM($O231)+(SUM($AV231)*$AY231),0))</f>
        <v>0</v>
      </c>
      <c r="BA231" s="89">
        <f t="shared" si="93"/>
        <v>0.95</v>
      </c>
      <c r="BB231" s="9">
        <f>IF($C231="&lt;01",ROUND(INDEX(EID!$T:$T,MATCH($B231,EID!$B:$B,0))/2,0),ROUND($AZ231*$BA231,0))</f>
        <v>0</v>
      </c>
      <c r="BC231" s="93">
        <f t="shared" si="94"/>
        <v>0</v>
      </c>
      <c r="BD231" s="90">
        <f t="shared" si="95"/>
        <v>0.95</v>
      </c>
      <c r="BE231" s="42">
        <f>IF($C231="&lt;01",ROUND(INDEX(EID!$V:$V,MATCH($B231,EID!$B:$B,0))/2,0),ROUND($BD231*$BB231,0))</f>
        <v>0</v>
      </c>
      <c r="BF231" s="42">
        <f t="shared" si="96"/>
        <v>0</v>
      </c>
      <c r="BG231" s="116">
        <f t="shared" si="97"/>
        <v>0.95</v>
      </c>
      <c r="BH231" s="9">
        <f>IF($C231="&lt;01",ROUND(INDEX(EID!$L:$L,MATCH($B231,EID!$B:$B,0)),0)/2,IF(SUM($BG231)=0,"",ROUND($AX231/$BG231,0)))</f>
        <v>0</v>
      </c>
    </row>
    <row r="232" spans="1:60" x14ac:dyDescent="0.2">
      <c r="A232" t="str">
        <f>INDEX(Prioritization!$D:$D,MATCH($B232,Prioritization!$A:$A,0))</f>
        <v>INVALID</v>
      </c>
      <c r="B232" t="s">
        <v>208</v>
      </c>
      <c r="C232" t="s">
        <v>364</v>
      </c>
      <c r="D232" t="s">
        <v>47</v>
      </c>
      <c r="E232" t="str">
        <f t="shared" si="76"/>
        <v>Rumphi District [lPTyjLi4w3d]|15-24|Male</v>
      </c>
      <c r="F232" s="14"/>
      <c r="G232" s="14"/>
      <c r="H232" s="14"/>
      <c r="I232" s="14"/>
      <c r="J232" s="14"/>
      <c r="K232" s="14"/>
      <c r="L232" s="14"/>
      <c r="M232" s="14"/>
      <c r="N232" s="14"/>
      <c r="O232" s="14" t="str">
        <f t="shared" si="77"/>
        <v/>
      </c>
      <c r="P232" s="14"/>
      <c r="Q232" s="14"/>
      <c r="R232" s="14" t="str">
        <f t="shared" si="78"/>
        <v/>
      </c>
      <c r="S232" s="14">
        <f>IF(LEFT($B232,4)="_Mil","",_xlfn.IFNA(ROUND(INDEX(Spectrum!$N:$N,MATCH(RIGHT($B232,13)&amp;"|"&amp;$C232&amp;"|"&amp;$D232&amp;"|"&amp;S$14&amp;"|"&amp;"CY2022Q4",Spectrum!$R:$R,0)),0),""))</f>
        <v>1070</v>
      </c>
      <c r="T232" s="42">
        <f>IF(LEFT($B232,4)="_Mil","",_xlfn.IFNA(ROUND(INDEX(Spectrum!$N:$N,MATCH(RIGHT($B232,13)&amp;"|"&amp;$C232&amp;"|"&amp;$D232&amp;"|"&amp;T$14&amp;"|"&amp;"CY2023Q3",Spectrum!$R:$R,0)),0),""))</f>
        <v>687</v>
      </c>
      <c r="U232" s="42" t="str">
        <f>IF(LEFT($B232,4)="_Mil","",_xlfn.IFNA(ROUND(INDEX(Spectrum!$N:$N,MATCH(RIGHT($B232,13)&amp;"|"&amp;$C232&amp;"|"&amp;$D232&amp;"|"&amp;U$14&amp;"|"&amp;"CY2023Q3",Spectrum!$R:$R,0)),0),""))</f>
        <v/>
      </c>
      <c r="V232" s="14">
        <f>IF(LEFT($B232,4)="_Mil","",_xlfn.IFNA(ROUND(INDEX(Spectrum!$N:$N,MATCH(RIGHT($B232,13)&amp;"|"&amp;$C232&amp;"|"&amp;$D232&amp;"|"&amp;V$14&amp;"|"&amp;"CY2023Q3",Spectrum!$R:$R,0)),0),""))</f>
        <v>1751</v>
      </c>
      <c r="W232" s="115">
        <f>IF(LEFT($B232,4)="_Mil","",_xlfn.IFNA(INDEX(Spectrum!$N:$N,MATCH(RIGHT($B232,13)&amp;"|"&amp;$C232&amp;"|"&amp;$D232&amp;"|"&amp;W$14&amp;"|"&amp;"CY2023Q3",Spectrum!$R:$R,0)),""))</f>
        <v>677</v>
      </c>
      <c r="X232" s="42">
        <f>IF(LEFT($B232,4)="_Mil","",_xlfn.IFNA(ROUND(INDEX(Spectrum!$N:$N,MATCH(RIGHT($B232,13)&amp;"|"&amp;$C232&amp;"|"&amp;$D232&amp;"|"&amp;X$14&amp;"|"&amp;"CY2023Q3",Spectrum!$R:$R,0)),0),""))</f>
        <v>1880</v>
      </c>
      <c r="Y232" s="90" t="str">
        <f t="shared" si="79"/>
        <v/>
      </c>
      <c r="Z232" s="42">
        <f>IF(LEFT($B232,4)="_Mil","",_xlfn.IFNA(ROUND(INDEX(Spectrum!$N:$N,MATCH(RIGHT($B232,13)&amp;"|"&amp;$C232&amp;"|"&amp;$D232&amp;"|"&amp;Z$14&amp;"|"&amp;"CY2023Q3",Spectrum!$R:$R,0)),0),""))</f>
        <v>530</v>
      </c>
      <c r="AA232" s="90">
        <f>IF(LEFT($B232,4)="_Mil","",IFERROR(1/(1/INDEX(Spectrum!$N:$N,MATCH(RIGHT($B232,13)&amp;"|"&amp;$C232&amp;"|"&amp;$D232&amp;"|"&amp;AA$14&amp;"|"&amp;"CY2023Q3",Spectrum!$R:$R,0))),IF(SUM($U232)=0,"",SUM($Z232)/$U232)))</f>
        <v>1548</v>
      </c>
      <c r="AB232" s="90">
        <f t="shared" si="80"/>
        <v>0.28191489361702127</v>
      </c>
      <c r="AC232" s="14">
        <f>IF(LEFT($B232,4)="_Mil","",_xlfn.IFNA(ROUND(INDEX(Spectrum!$N:$N,MATCH(RIGHT($B232,13)&amp;"|"&amp;$C232&amp;"|"&amp;$D232&amp;"|"&amp;AC$14&amp;"|"&amp;"CY2023Q3",Spectrum!$R:$R,0)),0),""))</f>
        <v>1932</v>
      </c>
      <c r="AD232" s="14" t="str">
        <f>IF(LEFT($B232,4)="_Mil","",_xlfn.IFNA(ROUND(INDEX(Spectrum!$N:$N,MATCH(RIGHT($B232,13)&amp;"|"&amp;$C232&amp;"|"&amp;$D232&amp;"|"&amp;AD$14&amp;"|"&amp;"CY2023Q3",Spectrum!$R:$R,0)),0),""))</f>
        <v/>
      </c>
      <c r="AE232" s="90">
        <f t="shared" si="81"/>
        <v>0</v>
      </c>
      <c r="AF232" s="42" t="str">
        <f>IF(LEFT($B232,4)="_Mil","",_xlfn.IFNA(ROUND(INDEX(Spectrum!$N:$N,MATCH(RIGHT($B232,13)&amp;"|"&amp;$C232&amp;"|"&amp;$D232&amp;"|"&amp;AF$14&amp;"|"&amp;"CY2023Q3",Spectrum!$R:$R,0)),0),""))</f>
        <v/>
      </c>
      <c r="AG232" s="90" t="str">
        <f t="shared" si="82"/>
        <v/>
      </c>
      <c r="AH232" s="88" t="str">
        <f>IF(LEFT($B232,4)="_Mil","",_xlfn.IFNA(INDEX(Spectrum!$N:$N,MATCH(RIGHT($B232,13)&amp;"|"&amp;$C232&amp;"|"&amp;$D232&amp;"|"&amp;AH$14&amp;"|"&amp;"CY2023Q3",Spectrum!$R:$R,0)),""))</f>
        <v/>
      </c>
      <c r="AI232" s="14" t="str">
        <f>IF(LEFT($B232,4)="_Mil","",_xlfn.IFNA(ROUND(INDEX(Spectrum!$N:$N,MATCH(RIGHT($B232,13)&amp;"|"&amp;$C232&amp;"|"&amp;$D232&amp;"|"&amp;AI$14&amp;"|"&amp;"CY2023Q3",Spectrum!$R:$R,0)),0),""))</f>
        <v/>
      </c>
      <c r="AJ232" s="42">
        <f>IF(LEFT($B232,4)="_Mil","",_xlfn.IFNA(ROUND(INDEX(Spectrum!$N:$N,MATCH(RIGHT($B232,13)&amp;"|"&amp;$C232&amp;"|"&amp;$D232&amp;"|"&amp;AI$14&amp;"|"&amp;"CY2023Q3",Spectrum!$R:$R,0)),0),SUM($U232)+SUM($AI232)))</f>
        <v>0</v>
      </c>
      <c r="AK232" s="14" t="str">
        <f>IF(LEFT($B232,4)="_Mil","",_xlfn.IFNA(ROUND(INDEX(Spectrum!$N:$N,MATCH(RIGHT($B232,13)&amp;"|"&amp;$C232&amp;"|"&amp;$D232&amp;"|"&amp;AK$14&amp;"|"&amp;"CY2023Q3",Spectrum!$R:$R,0)),0),""))</f>
        <v/>
      </c>
      <c r="AL232" s="90">
        <f t="shared" si="83"/>
        <v>1548</v>
      </c>
      <c r="AM232" s="14">
        <f t="shared" si="84"/>
        <v>0</v>
      </c>
      <c r="AN232" s="14" t="str">
        <f>IF($C232="&lt;01",ROUND(INDEX(EID!$P:$P,MATCH($B232,EID!$B:$B,0))/2,0),"")</f>
        <v/>
      </c>
      <c r="AO232" s="14">
        <f t="shared" si="85"/>
        <v>0</v>
      </c>
      <c r="AP232" s="42">
        <f t="shared" si="86"/>
        <v>0</v>
      </c>
      <c r="AQ232" s="42">
        <f t="shared" si="87"/>
        <v>530</v>
      </c>
      <c r="AR232" s="90" t="str">
        <f t="shared" si="88"/>
        <v/>
      </c>
      <c r="AS232" s="90">
        <f t="shared" si="98"/>
        <v>0.98</v>
      </c>
      <c r="AT232" s="90">
        <f t="shared" si="98"/>
        <v>0.98</v>
      </c>
      <c r="AU232" s="14">
        <f t="shared" si="89"/>
        <v>0</v>
      </c>
      <c r="AV232" s="14">
        <f>IF($C232="&lt;01",ROUND(INDEX(EID!$N:$N,MATCH($B232,EID!$B:$B,0))/2,0),IF(SUM($AT232)=0,"",ROUND((SUM($AP232)-(SUM($O232)*SUM($AS232)))/$AT232,0)))</f>
        <v>0</v>
      </c>
      <c r="AW232" s="90">
        <f t="shared" si="90"/>
        <v>1</v>
      </c>
      <c r="AX232" s="42">
        <f t="shared" si="91"/>
        <v>0</v>
      </c>
      <c r="AY232" s="116">
        <f t="shared" si="92"/>
        <v>0.7</v>
      </c>
      <c r="AZ232" s="93">
        <f>IF($C232="&lt;01",ROUND(INDEX(EID!$R:$R,MATCH($B232,EID!$B:$B,0))/2,0),ROUND(SUM($O232)+(SUM($AV232)*$AY232),0))</f>
        <v>0</v>
      </c>
      <c r="BA232" s="89">
        <f t="shared" si="93"/>
        <v>0.95</v>
      </c>
      <c r="BB232" s="9">
        <f>IF($C232="&lt;01",ROUND(INDEX(EID!$T:$T,MATCH($B232,EID!$B:$B,0))/2,0),ROUND($AZ232*$BA232,0))</f>
        <v>0</v>
      </c>
      <c r="BC232" s="93">
        <f t="shared" si="94"/>
        <v>0</v>
      </c>
      <c r="BD232" s="90">
        <f t="shared" si="95"/>
        <v>0.95</v>
      </c>
      <c r="BE232" s="42">
        <f>IF($C232="&lt;01",ROUND(INDEX(EID!$V:$V,MATCH($B232,EID!$B:$B,0))/2,0),ROUND($BD232*$BB232,0))</f>
        <v>0</v>
      </c>
      <c r="BF232" s="42">
        <f t="shared" si="96"/>
        <v>0</v>
      </c>
      <c r="BG232" s="116">
        <f t="shared" si="97"/>
        <v>0.95</v>
      </c>
      <c r="BH232" s="9">
        <f>IF($C232="&lt;01",ROUND(INDEX(EID!$L:$L,MATCH($B232,EID!$B:$B,0)),0)/2,IF(SUM($BG232)=0,"",ROUND($AX232/$BG232,0)))</f>
        <v>0</v>
      </c>
    </row>
    <row r="233" spans="1:60" x14ac:dyDescent="0.2">
      <c r="A233" t="str">
        <f>INDEX(Prioritization!$D:$D,MATCH($B233,Prioritization!$A:$A,0))</f>
        <v>INVALID</v>
      </c>
      <c r="B233" t="s">
        <v>208</v>
      </c>
      <c r="C233" t="s">
        <v>365</v>
      </c>
      <c r="D233" t="s">
        <v>29</v>
      </c>
      <c r="E233" t="str">
        <f t="shared" si="76"/>
        <v>Rumphi District [lPTyjLi4w3d]|25-34|Female</v>
      </c>
      <c r="F233" s="14"/>
      <c r="G233" s="14"/>
      <c r="H233" s="14"/>
      <c r="I233" s="14"/>
      <c r="J233" s="14"/>
      <c r="K233" s="14"/>
      <c r="L233" s="14"/>
      <c r="M233" s="14"/>
      <c r="N233" s="14"/>
      <c r="O233" s="14" t="str">
        <f t="shared" si="77"/>
        <v/>
      </c>
      <c r="P233" s="14"/>
      <c r="Q233" s="14"/>
      <c r="R233" s="14" t="str">
        <f t="shared" si="78"/>
        <v/>
      </c>
      <c r="S233" s="14">
        <f>IF(LEFT($B233,4)="_Mil","",_xlfn.IFNA(ROUND(INDEX(Spectrum!$N:$N,MATCH(RIGHT($B233,13)&amp;"|"&amp;$C233&amp;"|"&amp;$D233&amp;"|"&amp;S$14&amp;"|"&amp;"CY2022Q4",Spectrum!$R:$R,0)),0),""))</f>
        <v>1948</v>
      </c>
      <c r="T233" s="42">
        <f>IF(LEFT($B233,4)="_Mil","",_xlfn.IFNA(ROUND(INDEX(Spectrum!$N:$N,MATCH(RIGHT($B233,13)&amp;"|"&amp;$C233&amp;"|"&amp;$D233&amp;"|"&amp;T$14&amp;"|"&amp;"CY2023Q3",Spectrum!$R:$R,0)),0),""))</f>
        <v>1885</v>
      </c>
      <c r="U233" s="42" t="str">
        <f>IF(LEFT($B233,4)="_Mil","",_xlfn.IFNA(ROUND(INDEX(Spectrum!$N:$N,MATCH(RIGHT($B233,13)&amp;"|"&amp;$C233&amp;"|"&amp;$D233&amp;"|"&amp;U$14&amp;"|"&amp;"CY2023Q3",Spectrum!$R:$R,0)),0),""))</f>
        <v/>
      </c>
      <c r="V233" s="14">
        <f>IF(LEFT($B233,4)="_Mil","",_xlfn.IFNA(ROUND(INDEX(Spectrum!$N:$N,MATCH(RIGHT($B233,13)&amp;"|"&amp;$C233&amp;"|"&amp;$D233&amp;"|"&amp;V$14&amp;"|"&amp;"CY2023Q3",Spectrum!$R:$R,0)),0),""))</f>
        <v>1768</v>
      </c>
      <c r="W233" s="115">
        <f>IF(LEFT($B233,4)="_Mil","",_xlfn.IFNA(INDEX(Spectrum!$N:$N,MATCH(RIGHT($B233,13)&amp;"|"&amp;$C233&amp;"|"&amp;$D233&amp;"|"&amp;W$14&amp;"|"&amp;"CY2023Q3",Spectrum!$R:$R,0)),""))</f>
        <v>986</v>
      </c>
      <c r="X233" s="42">
        <f>IF(LEFT($B233,4)="_Mil","",_xlfn.IFNA(ROUND(INDEX(Spectrum!$N:$N,MATCH(RIGHT($B233,13)&amp;"|"&amp;$C233&amp;"|"&amp;$D233&amp;"|"&amp;X$14&amp;"|"&amp;"CY2023Q3",Spectrum!$R:$R,0)),0),""))</f>
        <v>1177</v>
      </c>
      <c r="Y233" s="90" t="str">
        <f t="shared" si="79"/>
        <v/>
      </c>
      <c r="Z233" s="42">
        <f>IF(LEFT($B233,4)="_Mil","",_xlfn.IFNA(ROUND(INDEX(Spectrum!$N:$N,MATCH(RIGHT($B233,13)&amp;"|"&amp;$C233&amp;"|"&amp;$D233&amp;"|"&amp;Z$14&amp;"|"&amp;"CY2023Q3",Spectrum!$R:$R,0)),0),""))</f>
        <v>1882</v>
      </c>
      <c r="AA233" s="90">
        <f>IF(LEFT($B233,4)="_Mil","",IFERROR(1/(1/INDEX(Spectrum!$N:$N,MATCH(RIGHT($B233,13)&amp;"|"&amp;$C233&amp;"|"&amp;$D233&amp;"|"&amp;AA$14&amp;"|"&amp;"CY2023Q3",Spectrum!$R:$R,0))),IF(SUM($U233)=0,"",SUM($Z233)/$U233)))</f>
        <v>1520</v>
      </c>
      <c r="AB233" s="90">
        <f t="shared" si="80"/>
        <v>1.598980458793543</v>
      </c>
      <c r="AC233" s="14">
        <f>IF(LEFT($B233,4)="_Mil","",_xlfn.IFNA(ROUND(INDEX(Spectrum!$N:$N,MATCH(RIGHT($B233,13)&amp;"|"&amp;$C233&amp;"|"&amp;$D233&amp;"|"&amp;AC$14&amp;"|"&amp;"CY2023Q3",Spectrum!$R:$R,0)),0),""))</f>
        <v>1411</v>
      </c>
      <c r="AD233" s="14" t="str">
        <f>IF(LEFT($B233,4)="_Mil","",_xlfn.IFNA(ROUND(INDEX(Spectrum!$N:$N,MATCH(RIGHT($B233,13)&amp;"|"&amp;$C233&amp;"|"&amp;$D233&amp;"|"&amp;AD$14&amp;"|"&amp;"CY2023Q3",Spectrum!$R:$R,0)),0),""))</f>
        <v/>
      </c>
      <c r="AE233" s="90">
        <f t="shared" si="81"/>
        <v>0</v>
      </c>
      <c r="AF233" s="42" t="str">
        <f>IF(LEFT($B233,4)="_Mil","",_xlfn.IFNA(ROUND(INDEX(Spectrum!$N:$N,MATCH(RIGHT($B233,13)&amp;"|"&amp;$C233&amp;"|"&amp;$D233&amp;"|"&amp;AF$14&amp;"|"&amp;"CY2023Q3",Spectrum!$R:$R,0)),0),""))</f>
        <v/>
      </c>
      <c r="AG233" s="90" t="str">
        <f t="shared" si="82"/>
        <v/>
      </c>
      <c r="AH233" s="88" t="str">
        <f>IF(LEFT($B233,4)="_Mil","",_xlfn.IFNA(INDEX(Spectrum!$N:$N,MATCH(RIGHT($B233,13)&amp;"|"&amp;$C233&amp;"|"&amp;$D233&amp;"|"&amp;AH$14&amp;"|"&amp;"CY2023Q3",Spectrum!$R:$R,0)),""))</f>
        <v/>
      </c>
      <c r="AI233" s="14" t="str">
        <f>IF(LEFT($B233,4)="_Mil","",_xlfn.IFNA(ROUND(INDEX(Spectrum!$N:$N,MATCH(RIGHT($B233,13)&amp;"|"&amp;$C233&amp;"|"&amp;$D233&amp;"|"&amp;AI$14&amp;"|"&amp;"CY2023Q3",Spectrum!$R:$R,0)),0),""))</f>
        <v/>
      </c>
      <c r="AJ233" s="42">
        <f>IF(LEFT($B233,4)="_Mil","",_xlfn.IFNA(ROUND(INDEX(Spectrum!$N:$N,MATCH(RIGHT($B233,13)&amp;"|"&amp;$C233&amp;"|"&amp;$D233&amp;"|"&amp;AI$14&amp;"|"&amp;"CY2023Q3",Spectrum!$R:$R,0)),0),SUM($U233)+SUM($AI233)))</f>
        <v>0</v>
      </c>
      <c r="AK233" s="14" t="str">
        <f>IF(LEFT($B233,4)="_Mil","",_xlfn.IFNA(ROUND(INDEX(Spectrum!$N:$N,MATCH(RIGHT($B233,13)&amp;"|"&amp;$C233&amp;"|"&amp;$D233&amp;"|"&amp;AK$14&amp;"|"&amp;"CY2023Q3",Spectrum!$R:$R,0)),0),""))</f>
        <v/>
      </c>
      <c r="AL233" s="90">
        <f t="shared" si="83"/>
        <v>1520</v>
      </c>
      <c r="AM233" s="14">
        <f t="shared" si="84"/>
        <v>0</v>
      </c>
      <c r="AN233" s="14" t="str">
        <f>IF($C233="&lt;01",ROUND(INDEX(EID!$P:$P,MATCH($B233,EID!$B:$B,0))/2,0),"")</f>
        <v/>
      </c>
      <c r="AO233" s="14">
        <f t="shared" si="85"/>
        <v>0</v>
      </c>
      <c r="AP233" s="42">
        <f t="shared" si="86"/>
        <v>0</v>
      </c>
      <c r="AQ233" s="42">
        <f t="shared" si="87"/>
        <v>1882</v>
      </c>
      <c r="AR233" s="90" t="str">
        <f t="shared" si="88"/>
        <v/>
      </c>
      <c r="AS233" s="90">
        <f t="shared" si="98"/>
        <v>0.98</v>
      </c>
      <c r="AT233" s="90">
        <f t="shared" si="98"/>
        <v>0.98</v>
      </c>
      <c r="AU233" s="14">
        <f t="shared" si="89"/>
        <v>0</v>
      </c>
      <c r="AV233" s="14">
        <f>IF($C233="&lt;01",ROUND(INDEX(EID!$N:$N,MATCH($B233,EID!$B:$B,0))/2,0),IF(SUM($AT233)=0,"",ROUND((SUM($AP233)-(SUM($O233)*SUM($AS233)))/$AT233,0)))</f>
        <v>0</v>
      </c>
      <c r="AW233" s="90">
        <f t="shared" si="90"/>
        <v>1</v>
      </c>
      <c r="AX233" s="42">
        <f t="shared" si="91"/>
        <v>0</v>
      </c>
      <c r="AY233" s="116">
        <f t="shared" si="92"/>
        <v>0.7</v>
      </c>
      <c r="AZ233" s="93">
        <f>IF($C233="&lt;01",ROUND(INDEX(EID!$R:$R,MATCH($B233,EID!$B:$B,0))/2,0),ROUND(SUM($O233)+(SUM($AV233)*$AY233),0))</f>
        <v>0</v>
      </c>
      <c r="BA233" s="89">
        <f t="shared" si="93"/>
        <v>0.95</v>
      </c>
      <c r="BB233" s="9">
        <f>IF($C233="&lt;01",ROUND(INDEX(EID!$T:$T,MATCH($B233,EID!$B:$B,0))/2,0),ROUND($AZ233*$BA233,0))</f>
        <v>0</v>
      </c>
      <c r="BC233" s="93">
        <f t="shared" si="94"/>
        <v>0</v>
      </c>
      <c r="BD233" s="90">
        <f t="shared" si="95"/>
        <v>0.95</v>
      </c>
      <c r="BE233" s="42">
        <f>IF($C233="&lt;01",ROUND(INDEX(EID!$V:$V,MATCH($B233,EID!$B:$B,0))/2,0),ROUND($BD233*$BB233,0))</f>
        <v>0</v>
      </c>
      <c r="BF233" s="42">
        <f t="shared" si="96"/>
        <v>0</v>
      </c>
      <c r="BG233" s="116">
        <f t="shared" si="97"/>
        <v>0.95</v>
      </c>
      <c r="BH233" s="9">
        <f>IF($C233="&lt;01",ROUND(INDEX(EID!$L:$L,MATCH($B233,EID!$B:$B,0)),0)/2,IF(SUM($BG233)=0,"",ROUND($AX233/$BG233,0)))</f>
        <v>0</v>
      </c>
    </row>
    <row r="234" spans="1:60" x14ac:dyDescent="0.2">
      <c r="A234" t="str">
        <f>INDEX(Prioritization!$D:$D,MATCH($B234,Prioritization!$A:$A,0))</f>
        <v>INVALID</v>
      </c>
      <c r="B234" t="s">
        <v>208</v>
      </c>
      <c r="C234" t="s">
        <v>365</v>
      </c>
      <c r="D234" t="s">
        <v>47</v>
      </c>
      <c r="E234" t="str">
        <f t="shared" si="76"/>
        <v>Rumphi District [lPTyjLi4w3d]|25-34|Male</v>
      </c>
      <c r="F234" s="14"/>
      <c r="G234" s="14"/>
      <c r="H234" s="14"/>
      <c r="I234" s="14"/>
      <c r="J234" s="14"/>
      <c r="K234" s="14"/>
      <c r="L234" s="14"/>
      <c r="M234" s="14"/>
      <c r="N234" s="14"/>
      <c r="O234" s="14" t="str">
        <f t="shared" si="77"/>
        <v/>
      </c>
      <c r="P234" s="14"/>
      <c r="Q234" s="14"/>
      <c r="R234" s="14" t="str">
        <f t="shared" si="78"/>
        <v/>
      </c>
      <c r="S234" s="14">
        <f>IF(LEFT($B234,4)="_Mil","",_xlfn.IFNA(ROUND(INDEX(Spectrum!$N:$N,MATCH(RIGHT($B234,13)&amp;"|"&amp;$C234&amp;"|"&amp;$D234&amp;"|"&amp;S$14&amp;"|"&amp;"CY2022Q4",Spectrum!$R:$R,0)),0),""))</f>
        <v>946</v>
      </c>
      <c r="T234" s="42">
        <f>IF(LEFT($B234,4)="_Mil","",_xlfn.IFNA(ROUND(INDEX(Spectrum!$N:$N,MATCH(RIGHT($B234,13)&amp;"|"&amp;$C234&amp;"|"&amp;$D234&amp;"|"&amp;T$14&amp;"|"&amp;"CY2023Q3",Spectrum!$R:$R,0)),0),""))</f>
        <v>1661</v>
      </c>
      <c r="U234" s="42" t="str">
        <f>IF(LEFT($B234,4)="_Mil","",_xlfn.IFNA(ROUND(INDEX(Spectrum!$N:$N,MATCH(RIGHT($B234,13)&amp;"|"&amp;$C234&amp;"|"&amp;$D234&amp;"|"&amp;U$14&amp;"|"&amp;"CY2023Q3",Spectrum!$R:$R,0)),0),""))</f>
        <v/>
      </c>
      <c r="V234" s="14">
        <f>IF(LEFT($B234,4)="_Mil","",_xlfn.IFNA(ROUND(INDEX(Spectrum!$N:$N,MATCH(RIGHT($B234,13)&amp;"|"&amp;$C234&amp;"|"&amp;$D234&amp;"|"&amp;V$14&amp;"|"&amp;"CY2023Q3",Spectrum!$R:$R,0)),0),""))</f>
        <v>1514</v>
      </c>
      <c r="W234" s="115">
        <f>IF(LEFT($B234,4)="_Mil","",_xlfn.IFNA(INDEX(Spectrum!$N:$N,MATCH(RIGHT($B234,13)&amp;"|"&amp;$C234&amp;"|"&amp;$D234&amp;"|"&amp;W$14&amp;"|"&amp;"CY2023Q3",Spectrum!$R:$R,0)),""))</f>
        <v>1858</v>
      </c>
      <c r="X234" s="42">
        <f>IF(LEFT($B234,4)="_Mil","",_xlfn.IFNA(ROUND(INDEX(Spectrum!$N:$N,MATCH(RIGHT($B234,13)&amp;"|"&amp;$C234&amp;"|"&amp;$D234&amp;"|"&amp;X$14&amp;"|"&amp;"CY2023Q3",Spectrum!$R:$R,0)),0),""))</f>
        <v>1021</v>
      </c>
      <c r="Y234" s="90" t="str">
        <f t="shared" si="79"/>
        <v/>
      </c>
      <c r="Z234" s="42">
        <f>IF(LEFT($B234,4)="_Mil","",_xlfn.IFNA(ROUND(INDEX(Spectrum!$N:$N,MATCH(RIGHT($B234,13)&amp;"|"&amp;$C234&amp;"|"&amp;$D234&amp;"|"&amp;Z$14&amp;"|"&amp;"CY2023Q3",Spectrum!$R:$R,0)),0),""))</f>
        <v>502</v>
      </c>
      <c r="AA234" s="90">
        <f>IF(LEFT($B234,4)="_Mil","",IFERROR(1/(1/INDEX(Spectrum!$N:$N,MATCH(RIGHT($B234,13)&amp;"|"&amp;$C234&amp;"|"&amp;$D234&amp;"|"&amp;AA$14&amp;"|"&amp;"CY2023Q3",Spectrum!$R:$R,0))),IF(SUM($U234)=0,"",SUM($Z234)/$U234)))</f>
        <v>1048</v>
      </c>
      <c r="AB234" s="90">
        <f t="shared" si="80"/>
        <v>0.49167482859941236</v>
      </c>
      <c r="AC234" s="14">
        <f>IF(LEFT($B234,4)="_Mil","",_xlfn.IFNA(ROUND(INDEX(Spectrum!$N:$N,MATCH(RIGHT($B234,13)&amp;"|"&amp;$C234&amp;"|"&amp;$D234&amp;"|"&amp;AC$14&amp;"|"&amp;"CY2023Q3",Spectrum!$R:$R,0)),0),""))</f>
        <v>1431</v>
      </c>
      <c r="AD234" s="14" t="str">
        <f>IF(LEFT($B234,4)="_Mil","",_xlfn.IFNA(ROUND(INDEX(Spectrum!$N:$N,MATCH(RIGHT($B234,13)&amp;"|"&amp;$C234&amp;"|"&amp;$D234&amp;"|"&amp;AD$14&amp;"|"&amp;"CY2023Q3",Spectrum!$R:$R,0)),0),""))</f>
        <v/>
      </c>
      <c r="AE234" s="90">
        <f t="shared" si="81"/>
        <v>0</v>
      </c>
      <c r="AF234" s="42" t="str">
        <f>IF(LEFT($B234,4)="_Mil","",_xlfn.IFNA(ROUND(INDEX(Spectrum!$N:$N,MATCH(RIGHT($B234,13)&amp;"|"&amp;$C234&amp;"|"&amp;$D234&amp;"|"&amp;AF$14&amp;"|"&amp;"CY2023Q3",Spectrum!$R:$R,0)),0),""))</f>
        <v/>
      </c>
      <c r="AG234" s="90" t="str">
        <f t="shared" si="82"/>
        <v/>
      </c>
      <c r="AH234" s="88" t="str">
        <f>IF(LEFT($B234,4)="_Mil","",_xlfn.IFNA(INDEX(Spectrum!$N:$N,MATCH(RIGHT($B234,13)&amp;"|"&amp;$C234&amp;"|"&amp;$D234&amp;"|"&amp;AH$14&amp;"|"&amp;"CY2023Q3",Spectrum!$R:$R,0)),""))</f>
        <v/>
      </c>
      <c r="AI234" s="14" t="str">
        <f>IF(LEFT($B234,4)="_Mil","",_xlfn.IFNA(ROUND(INDEX(Spectrum!$N:$N,MATCH(RIGHT($B234,13)&amp;"|"&amp;$C234&amp;"|"&amp;$D234&amp;"|"&amp;AI$14&amp;"|"&amp;"CY2023Q3",Spectrum!$R:$R,0)),0),""))</f>
        <v/>
      </c>
      <c r="AJ234" s="42">
        <f>IF(LEFT($B234,4)="_Mil","",_xlfn.IFNA(ROUND(INDEX(Spectrum!$N:$N,MATCH(RIGHT($B234,13)&amp;"|"&amp;$C234&amp;"|"&amp;$D234&amp;"|"&amp;AI$14&amp;"|"&amp;"CY2023Q3",Spectrum!$R:$R,0)),0),SUM($U234)+SUM($AI234)))</f>
        <v>0</v>
      </c>
      <c r="AK234" s="14" t="str">
        <f>IF(LEFT($B234,4)="_Mil","",_xlfn.IFNA(ROUND(INDEX(Spectrum!$N:$N,MATCH(RIGHT($B234,13)&amp;"|"&amp;$C234&amp;"|"&amp;$D234&amp;"|"&amp;AK$14&amp;"|"&amp;"CY2023Q3",Spectrum!$R:$R,0)),0),""))</f>
        <v/>
      </c>
      <c r="AL234" s="90">
        <f t="shared" si="83"/>
        <v>1048</v>
      </c>
      <c r="AM234" s="14">
        <f t="shared" si="84"/>
        <v>0</v>
      </c>
      <c r="AN234" s="14" t="str">
        <f>IF($C234="&lt;01",ROUND(INDEX(EID!$P:$P,MATCH($B234,EID!$B:$B,0))/2,0),"")</f>
        <v/>
      </c>
      <c r="AO234" s="14">
        <f t="shared" si="85"/>
        <v>0</v>
      </c>
      <c r="AP234" s="42">
        <f t="shared" si="86"/>
        <v>0</v>
      </c>
      <c r="AQ234" s="42">
        <f t="shared" si="87"/>
        <v>502</v>
      </c>
      <c r="AR234" s="90" t="str">
        <f t="shared" si="88"/>
        <v/>
      </c>
      <c r="AS234" s="90">
        <f t="shared" si="98"/>
        <v>0.98</v>
      </c>
      <c r="AT234" s="90">
        <f t="shared" si="98"/>
        <v>0.98</v>
      </c>
      <c r="AU234" s="14">
        <f t="shared" si="89"/>
        <v>0</v>
      </c>
      <c r="AV234" s="14">
        <f>IF($C234="&lt;01",ROUND(INDEX(EID!$N:$N,MATCH($B234,EID!$B:$B,0))/2,0),IF(SUM($AT234)=0,"",ROUND((SUM($AP234)-(SUM($O234)*SUM($AS234)))/$AT234,0)))</f>
        <v>0</v>
      </c>
      <c r="AW234" s="90">
        <f t="shared" si="90"/>
        <v>1</v>
      </c>
      <c r="AX234" s="42">
        <f t="shared" si="91"/>
        <v>0</v>
      </c>
      <c r="AY234" s="116">
        <f t="shared" si="92"/>
        <v>0.7</v>
      </c>
      <c r="AZ234" s="93">
        <f>IF($C234="&lt;01",ROUND(INDEX(EID!$R:$R,MATCH($B234,EID!$B:$B,0))/2,0),ROUND(SUM($O234)+(SUM($AV234)*$AY234),0))</f>
        <v>0</v>
      </c>
      <c r="BA234" s="89">
        <f t="shared" si="93"/>
        <v>0.95</v>
      </c>
      <c r="BB234" s="9">
        <f>IF($C234="&lt;01",ROUND(INDEX(EID!$T:$T,MATCH($B234,EID!$B:$B,0))/2,0),ROUND($AZ234*$BA234,0))</f>
        <v>0</v>
      </c>
      <c r="BC234" s="93">
        <f t="shared" si="94"/>
        <v>0</v>
      </c>
      <c r="BD234" s="90">
        <f t="shared" si="95"/>
        <v>0.95</v>
      </c>
      <c r="BE234" s="42">
        <f>IF($C234="&lt;01",ROUND(INDEX(EID!$V:$V,MATCH($B234,EID!$B:$B,0))/2,0),ROUND($BD234*$BB234,0))</f>
        <v>0</v>
      </c>
      <c r="BF234" s="42">
        <f t="shared" si="96"/>
        <v>0</v>
      </c>
      <c r="BG234" s="116">
        <f t="shared" si="97"/>
        <v>0.95</v>
      </c>
      <c r="BH234" s="9">
        <f>IF($C234="&lt;01",ROUND(INDEX(EID!$L:$L,MATCH($B234,EID!$B:$B,0)),0)/2,IF(SUM($BG234)=0,"",ROUND($AX234/$BG234,0)))</f>
        <v>0</v>
      </c>
    </row>
    <row r="235" spans="1:60" x14ac:dyDescent="0.2">
      <c r="A235" t="str">
        <f>INDEX(Prioritization!$D:$D,MATCH($B235,Prioritization!$A:$A,0))</f>
        <v>INVALID</v>
      </c>
      <c r="B235" t="s">
        <v>208</v>
      </c>
      <c r="C235" t="s">
        <v>366</v>
      </c>
      <c r="D235" t="s">
        <v>29</v>
      </c>
      <c r="E235" t="str">
        <f t="shared" si="76"/>
        <v>Rumphi District [lPTyjLi4w3d]|35-49|Female</v>
      </c>
      <c r="F235" s="14"/>
      <c r="G235" s="14"/>
      <c r="H235" s="14"/>
      <c r="I235" s="14"/>
      <c r="J235" s="14"/>
      <c r="K235" s="14"/>
      <c r="L235" s="14"/>
      <c r="M235" s="14"/>
      <c r="N235" s="14"/>
      <c r="O235" s="14" t="str">
        <f t="shared" si="77"/>
        <v/>
      </c>
      <c r="P235" s="14"/>
      <c r="Q235" s="14"/>
      <c r="R235" s="14" t="str">
        <f t="shared" si="78"/>
        <v/>
      </c>
      <c r="S235" s="14">
        <f>IF(LEFT($B235,4)="_Mil","",_xlfn.IFNA(ROUND(INDEX(Spectrum!$N:$N,MATCH(RIGHT($B235,13)&amp;"|"&amp;$C235&amp;"|"&amp;$D235&amp;"|"&amp;S$14&amp;"|"&amp;"CY2022Q4",Spectrum!$R:$R,0)),0),""))</f>
        <v>1236</v>
      </c>
      <c r="T235" s="42">
        <f>IF(LEFT($B235,4)="_Mil","",_xlfn.IFNA(ROUND(INDEX(Spectrum!$N:$N,MATCH(RIGHT($B235,13)&amp;"|"&amp;$C235&amp;"|"&amp;$D235&amp;"|"&amp;T$14&amp;"|"&amp;"CY2023Q3",Spectrum!$R:$R,0)),0),""))</f>
        <v>870</v>
      </c>
      <c r="U235" s="42" t="str">
        <f>IF(LEFT($B235,4)="_Mil","",_xlfn.IFNA(ROUND(INDEX(Spectrum!$N:$N,MATCH(RIGHT($B235,13)&amp;"|"&amp;$C235&amp;"|"&amp;$D235&amp;"|"&amp;U$14&amp;"|"&amp;"CY2023Q3",Spectrum!$R:$R,0)),0),""))</f>
        <v/>
      </c>
      <c r="V235" s="14">
        <f>IF(LEFT($B235,4)="_Mil","",_xlfn.IFNA(ROUND(INDEX(Spectrum!$N:$N,MATCH(RIGHT($B235,13)&amp;"|"&amp;$C235&amp;"|"&amp;$D235&amp;"|"&amp;V$14&amp;"|"&amp;"CY2023Q3",Spectrum!$R:$R,0)),0),""))</f>
        <v>1518</v>
      </c>
      <c r="W235" s="115">
        <f>IF(LEFT($B235,4)="_Mil","",_xlfn.IFNA(INDEX(Spectrum!$N:$N,MATCH(RIGHT($B235,13)&amp;"|"&amp;$C235&amp;"|"&amp;$D235&amp;"|"&amp;W$14&amp;"|"&amp;"CY2023Q3",Spectrum!$R:$R,0)),""))</f>
        <v>1716</v>
      </c>
      <c r="X235" s="42">
        <f>IF(LEFT($B235,4)="_Mil","",_xlfn.IFNA(ROUND(INDEX(Spectrum!$N:$N,MATCH(RIGHT($B235,13)&amp;"|"&amp;$C235&amp;"|"&amp;$D235&amp;"|"&amp;X$14&amp;"|"&amp;"CY2023Q3",Spectrum!$R:$R,0)),0),""))</f>
        <v>1678</v>
      </c>
      <c r="Y235" s="90" t="str">
        <f t="shared" si="79"/>
        <v/>
      </c>
      <c r="Z235" s="42">
        <f>IF(LEFT($B235,4)="_Mil","",_xlfn.IFNA(ROUND(INDEX(Spectrum!$N:$N,MATCH(RIGHT($B235,13)&amp;"|"&amp;$C235&amp;"|"&amp;$D235&amp;"|"&amp;Z$14&amp;"|"&amp;"CY2023Q3",Spectrum!$R:$R,0)),0),""))</f>
        <v>653</v>
      </c>
      <c r="AA235" s="90">
        <f>IF(LEFT($B235,4)="_Mil","",IFERROR(1/(1/INDEX(Spectrum!$N:$N,MATCH(RIGHT($B235,13)&amp;"|"&amp;$C235&amp;"|"&amp;$D235&amp;"|"&amp;AA$14&amp;"|"&amp;"CY2023Q3",Spectrum!$R:$R,0))),IF(SUM($U235)=0,"",SUM($Z235)/$U235)))</f>
        <v>971</v>
      </c>
      <c r="AB235" s="90">
        <f t="shared" si="80"/>
        <v>0.38915375446960665</v>
      </c>
      <c r="AC235" s="14">
        <f>IF(LEFT($B235,4)="_Mil","",_xlfn.IFNA(ROUND(INDEX(Spectrum!$N:$N,MATCH(RIGHT($B235,13)&amp;"|"&amp;$C235&amp;"|"&amp;$D235&amp;"|"&amp;AC$14&amp;"|"&amp;"CY2023Q3",Spectrum!$R:$R,0)),0),""))</f>
        <v>1456</v>
      </c>
      <c r="AD235" s="14" t="str">
        <f>IF(LEFT($B235,4)="_Mil","",_xlfn.IFNA(ROUND(INDEX(Spectrum!$N:$N,MATCH(RIGHT($B235,13)&amp;"|"&amp;$C235&amp;"|"&amp;$D235&amp;"|"&amp;AD$14&amp;"|"&amp;"CY2023Q3",Spectrum!$R:$R,0)),0),""))</f>
        <v/>
      </c>
      <c r="AE235" s="90">
        <f t="shared" si="81"/>
        <v>0</v>
      </c>
      <c r="AF235" s="42" t="str">
        <f>IF(LEFT($B235,4)="_Mil","",_xlfn.IFNA(ROUND(INDEX(Spectrum!$N:$N,MATCH(RIGHT($B235,13)&amp;"|"&amp;$C235&amp;"|"&amp;$D235&amp;"|"&amp;AF$14&amp;"|"&amp;"CY2023Q3",Spectrum!$R:$R,0)),0),""))</f>
        <v/>
      </c>
      <c r="AG235" s="90" t="str">
        <f t="shared" si="82"/>
        <v/>
      </c>
      <c r="AH235" s="88" t="str">
        <f>IF(LEFT($B235,4)="_Mil","",_xlfn.IFNA(INDEX(Spectrum!$N:$N,MATCH(RIGHT($B235,13)&amp;"|"&amp;$C235&amp;"|"&amp;$D235&amp;"|"&amp;AH$14&amp;"|"&amp;"CY2023Q3",Spectrum!$R:$R,0)),""))</f>
        <v/>
      </c>
      <c r="AI235" s="14" t="str">
        <f>IF(LEFT($B235,4)="_Mil","",_xlfn.IFNA(ROUND(INDEX(Spectrum!$N:$N,MATCH(RIGHT($B235,13)&amp;"|"&amp;$C235&amp;"|"&amp;$D235&amp;"|"&amp;AI$14&amp;"|"&amp;"CY2023Q3",Spectrum!$R:$R,0)),0),""))</f>
        <v/>
      </c>
      <c r="AJ235" s="42">
        <f>IF(LEFT($B235,4)="_Mil","",_xlfn.IFNA(ROUND(INDEX(Spectrum!$N:$N,MATCH(RIGHT($B235,13)&amp;"|"&amp;$C235&amp;"|"&amp;$D235&amp;"|"&amp;AI$14&amp;"|"&amp;"CY2023Q3",Spectrum!$R:$R,0)),0),SUM($U235)+SUM($AI235)))</f>
        <v>0</v>
      </c>
      <c r="AK235" s="14" t="str">
        <f>IF(LEFT($B235,4)="_Mil","",_xlfn.IFNA(ROUND(INDEX(Spectrum!$N:$N,MATCH(RIGHT($B235,13)&amp;"|"&amp;$C235&amp;"|"&amp;$D235&amp;"|"&amp;AK$14&amp;"|"&amp;"CY2023Q3",Spectrum!$R:$R,0)),0),""))</f>
        <v/>
      </c>
      <c r="AL235" s="90">
        <f t="shared" si="83"/>
        <v>971</v>
      </c>
      <c r="AM235" s="14">
        <f t="shared" si="84"/>
        <v>0</v>
      </c>
      <c r="AN235" s="14" t="str">
        <f>IF($C235="&lt;01",ROUND(INDEX(EID!$P:$P,MATCH($B235,EID!$B:$B,0))/2,0),"")</f>
        <v/>
      </c>
      <c r="AO235" s="14">
        <f t="shared" si="85"/>
        <v>0</v>
      </c>
      <c r="AP235" s="42">
        <f t="shared" si="86"/>
        <v>0</v>
      </c>
      <c r="AQ235" s="42">
        <f t="shared" si="87"/>
        <v>653</v>
      </c>
      <c r="AR235" s="90" t="str">
        <f t="shared" si="88"/>
        <v/>
      </c>
      <c r="AS235" s="90">
        <f t="shared" ref="AS235:AT254" si="99">IF($C235="&lt;01","",98%)</f>
        <v>0.98</v>
      </c>
      <c r="AT235" s="90">
        <f t="shared" si="99"/>
        <v>0.98</v>
      </c>
      <c r="AU235" s="14">
        <f t="shared" si="89"/>
        <v>0</v>
      </c>
      <c r="AV235" s="14">
        <f>IF($C235="&lt;01",ROUND(INDEX(EID!$N:$N,MATCH($B235,EID!$B:$B,0))/2,0),IF(SUM($AT235)=0,"",ROUND((SUM($AP235)-(SUM($O235)*SUM($AS235)))/$AT235,0)))</f>
        <v>0</v>
      </c>
      <c r="AW235" s="90">
        <f t="shared" si="90"/>
        <v>1</v>
      </c>
      <c r="AX235" s="42">
        <f t="shared" si="91"/>
        <v>0</v>
      </c>
      <c r="AY235" s="116">
        <f t="shared" si="92"/>
        <v>0.7</v>
      </c>
      <c r="AZ235" s="93">
        <f>IF($C235="&lt;01",ROUND(INDEX(EID!$R:$R,MATCH($B235,EID!$B:$B,0))/2,0),ROUND(SUM($O235)+(SUM($AV235)*$AY235),0))</f>
        <v>0</v>
      </c>
      <c r="BA235" s="89">
        <f t="shared" si="93"/>
        <v>0.95</v>
      </c>
      <c r="BB235" s="9">
        <f>IF($C235="&lt;01",ROUND(INDEX(EID!$T:$T,MATCH($B235,EID!$B:$B,0))/2,0),ROUND($AZ235*$BA235,0))</f>
        <v>0</v>
      </c>
      <c r="BC235" s="93">
        <f t="shared" si="94"/>
        <v>0</v>
      </c>
      <c r="BD235" s="90">
        <f t="shared" si="95"/>
        <v>0.95</v>
      </c>
      <c r="BE235" s="42">
        <f>IF($C235="&lt;01",ROUND(INDEX(EID!$V:$V,MATCH($B235,EID!$B:$B,0))/2,0),ROUND($BD235*$BB235,0))</f>
        <v>0</v>
      </c>
      <c r="BF235" s="42">
        <f t="shared" si="96"/>
        <v>0</v>
      </c>
      <c r="BG235" s="116">
        <f t="shared" si="97"/>
        <v>0.95</v>
      </c>
      <c r="BH235" s="9">
        <f>IF($C235="&lt;01",ROUND(INDEX(EID!$L:$L,MATCH($B235,EID!$B:$B,0)),0)/2,IF(SUM($BG235)=0,"",ROUND($AX235/$BG235,0)))</f>
        <v>0</v>
      </c>
    </row>
    <row r="236" spans="1:60" x14ac:dyDescent="0.2">
      <c r="A236" t="str">
        <f>INDEX(Prioritization!$D:$D,MATCH($B236,Prioritization!$A:$A,0))</f>
        <v>INVALID</v>
      </c>
      <c r="B236" t="s">
        <v>208</v>
      </c>
      <c r="C236" t="s">
        <v>366</v>
      </c>
      <c r="D236" t="s">
        <v>47</v>
      </c>
      <c r="E236" t="str">
        <f t="shared" si="76"/>
        <v>Rumphi District [lPTyjLi4w3d]|35-49|Male</v>
      </c>
      <c r="F236" s="14"/>
      <c r="G236" s="14"/>
      <c r="H236" s="14"/>
      <c r="I236" s="14"/>
      <c r="J236" s="14"/>
      <c r="K236" s="14"/>
      <c r="L236" s="14"/>
      <c r="M236" s="14"/>
      <c r="N236" s="14"/>
      <c r="O236" s="14" t="str">
        <f t="shared" si="77"/>
        <v/>
      </c>
      <c r="P236" s="14"/>
      <c r="Q236" s="14"/>
      <c r="R236" s="14" t="str">
        <f t="shared" si="78"/>
        <v/>
      </c>
      <c r="S236" s="14">
        <f>IF(LEFT($B236,4)="_Mil","",_xlfn.IFNA(ROUND(INDEX(Spectrum!$N:$N,MATCH(RIGHT($B236,13)&amp;"|"&amp;$C236&amp;"|"&amp;$D236&amp;"|"&amp;S$14&amp;"|"&amp;"CY2022Q4",Spectrum!$R:$R,0)),0),""))</f>
        <v>1648</v>
      </c>
      <c r="T236" s="42">
        <f>IF(LEFT($B236,4)="_Mil","",_xlfn.IFNA(ROUND(INDEX(Spectrum!$N:$N,MATCH(RIGHT($B236,13)&amp;"|"&amp;$C236&amp;"|"&amp;$D236&amp;"|"&amp;T$14&amp;"|"&amp;"CY2023Q3",Spectrum!$R:$R,0)),0),""))</f>
        <v>1605</v>
      </c>
      <c r="U236" s="42" t="str">
        <f>IF(LEFT($B236,4)="_Mil","",_xlfn.IFNA(ROUND(INDEX(Spectrum!$N:$N,MATCH(RIGHT($B236,13)&amp;"|"&amp;$C236&amp;"|"&amp;$D236&amp;"|"&amp;U$14&amp;"|"&amp;"CY2023Q3",Spectrum!$R:$R,0)),0),""))</f>
        <v/>
      </c>
      <c r="V236" s="14">
        <f>IF(LEFT($B236,4)="_Mil","",_xlfn.IFNA(ROUND(INDEX(Spectrum!$N:$N,MATCH(RIGHT($B236,13)&amp;"|"&amp;$C236&amp;"|"&amp;$D236&amp;"|"&amp;V$14&amp;"|"&amp;"CY2023Q3",Spectrum!$R:$R,0)),0),""))</f>
        <v>1819</v>
      </c>
      <c r="W236" s="115">
        <f>IF(LEFT($B236,4)="_Mil","",_xlfn.IFNA(INDEX(Spectrum!$N:$N,MATCH(RIGHT($B236,13)&amp;"|"&amp;$C236&amp;"|"&amp;$D236&amp;"|"&amp;W$14&amp;"|"&amp;"CY2023Q3",Spectrum!$R:$R,0)),""))</f>
        <v>1212</v>
      </c>
      <c r="X236" s="42">
        <f>IF(LEFT($B236,4)="_Mil","",_xlfn.IFNA(ROUND(INDEX(Spectrum!$N:$N,MATCH(RIGHT($B236,13)&amp;"|"&amp;$C236&amp;"|"&amp;$D236&amp;"|"&amp;X$14&amp;"|"&amp;"CY2023Q3",Spectrum!$R:$R,0)),0),""))</f>
        <v>1424</v>
      </c>
      <c r="Y236" s="90" t="str">
        <f t="shared" si="79"/>
        <v/>
      </c>
      <c r="Z236" s="42">
        <f>IF(LEFT($B236,4)="_Mil","",_xlfn.IFNA(ROUND(INDEX(Spectrum!$N:$N,MATCH(RIGHT($B236,13)&amp;"|"&amp;$C236&amp;"|"&amp;$D236&amp;"|"&amp;Z$14&amp;"|"&amp;"CY2023Q3",Spectrum!$R:$R,0)),0),""))</f>
        <v>1051</v>
      </c>
      <c r="AA236" s="90">
        <f>IF(LEFT($B236,4)="_Mil","",IFERROR(1/(1/INDEX(Spectrum!$N:$N,MATCH(RIGHT($B236,13)&amp;"|"&amp;$C236&amp;"|"&amp;$D236&amp;"|"&amp;AA$14&amp;"|"&amp;"CY2023Q3",Spectrum!$R:$R,0))),IF(SUM($U236)=0,"",SUM($Z236)/$U236)))</f>
        <v>1835.9999999999998</v>
      </c>
      <c r="AB236" s="90">
        <f t="shared" si="80"/>
        <v>0.738061797752809</v>
      </c>
      <c r="AC236" s="14">
        <f>IF(LEFT($B236,4)="_Mil","",_xlfn.IFNA(ROUND(INDEX(Spectrum!$N:$N,MATCH(RIGHT($B236,13)&amp;"|"&amp;$C236&amp;"|"&amp;$D236&amp;"|"&amp;AC$14&amp;"|"&amp;"CY2023Q3",Spectrum!$R:$R,0)),0),""))</f>
        <v>1663</v>
      </c>
      <c r="AD236" s="14" t="str">
        <f>IF(LEFT($B236,4)="_Mil","",_xlfn.IFNA(ROUND(INDEX(Spectrum!$N:$N,MATCH(RIGHT($B236,13)&amp;"|"&amp;$C236&amp;"|"&amp;$D236&amp;"|"&amp;AD$14&amp;"|"&amp;"CY2023Q3",Spectrum!$R:$R,0)),0),""))</f>
        <v/>
      </c>
      <c r="AE236" s="90">
        <f t="shared" si="81"/>
        <v>0</v>
      </c>
      <c r="AF236" s="42" t="str">
        <f>IF(LEFT($B236,4)="_Mil","",_xlfn.IFNA(ROUND(INDEX(Spectrum!$N:$N,MATCH(RIGHT($B236,13)&amp;"|"&amp;$C236&amp;"|"&amp;$D236&amp;"|"&amp;AF$14&amp;"|"&amp;"CY2023Q3",Spectrum!$R:$R,0)),0),""))</f>
        <v/>
      </c>
      <c r="AG236" s="90" t="str">
        <f t="shared" si="82"/>
        <v/>
      </c>
      <c r="AH236" s="88" t="str">
        <f>IF(LEFT($B236,4)="_Mil","",_xlfn.IFNA(INDEX(Spectrum!$N:$N,MATCH(RIGHT($B236,13)&amp;"|"&amp;$C236&amp;"|"&amp;$D236&amp;"|"&amp;AH$14&amp;"|"&amp;"CY2023Q3",Spectrum!$R:$R,0)),""))</f>
        <v/>
      </c>
      <c r="AI236" s="14" t="str">
        <f>IF(LEFT($B236,4)="_Mil","",_xlfn.IFNA(ROUND(INDEX(Spectrum!$N:$N,MATCH(RIGHT($B236,13)&amp;"|"&amp;$C236&amp;"|"&amp;$D236&amp;"|"&amp;AI$14&amp;"|"&amp;"CY2023Q3",Spectrum!$R:$R,0)),0),""))</f>
        <v/>
      </c>
      <c r="AJ236" s="42">
        <f>IF(LEFT($B236,4)="_Mil","",_xlfn.IFNA(ROUND(INDEX(Spectrum!$N:$N,MATCH(RIGHT($B236,13)&amp;"|"&amp;$C236&amp;"|"&amp;$D236&amp;"|"&amp;AI$14&amp;"|"&amp;"CY2023Q3",Spectrum!$R:$R,0)),0),SUM($U236)+SUM($AI236)))</f>
        <v>0</v>
      </c>
      <c r="AK236" s="14" t="str">
        <f>IF(LEFT($B236,4)="_Mil","",_xlfn.IFNA(ROUND(INDEX(Spectrum!$N:$N,MATCH(RIGHT($B236,13)&amp;"|"&amp;$C236&amp;"|"&amp;$D236&amp;"|"&amp;AK$14&amp;"|"&amp;"CY2023Q3",Spectrum!$R:$R,0)),0),""))</f>
        <v/>
      </c>
      <c r="AL236" s="90">
        <f t="shared" si="83"/>
        <v>1835.9999999999998</v>
      </c>
      <c r="AM236" s="14">
        <f t="shared" si="84"/>
        <v>0</v>
      </c>
      <c r="AN236" s="14" t="str">
        <f>IF($C236="&lt;01",ROUND(INDEX(EID!$P:$P,MATCH($B236,EID!$B:$B,0))/2,0),"")</f>
        <v/>
      </c>
      <c r="AO236" s="14">
        <f t="shared" si="85"/>
        <v>0</v>
      </c>
      <c r="AP236" s="42">
        <f t="shared" si="86"/>
        <v>0</v>
      </c>
      <c r="AQ236" s="42">
        <f t="shared" si="87"/>
        <v>1051</v>
      </c>
      <c r="AR236" s="90" t="str">
        <f t="shared" si="88"/>
        <v/>
      </c>
      <c r="AS236" s="90">
        <f t="shared" si="99"/>
        <v>0.98</v>
      </c>
      <c r="AT236" s="90">
        <f t="shared" si="99"/>
        <v>0.98</v>
      </c>
      <c r="AU236" s="14">
        <f t="shared" si="89"/>
        <v>0</v>
      </c>
      <c r="AV236" s="14">
        <f>IF($C236="&lt;01",ROUND(INDEX(EID!$N:$N,MATCH($B236,EID!$B:$B,0))/2,0),IF(SUM($AT236)=0,"",ROUND((SUM($AP236)-(SUM($O236)*SUM($AS236)))/$AT236,0)))</f>
        <v>0</v>
      </c>
      <c r="AW236" s="90">
        <f t="shared" si="90"/>
        <v>1</v>
      </c>
      <c r="AX236" s="42">
        <f t="shared" si="91"/>
        <v>0</v>
      </c>
      <c r="AY236" s="116">
        <f t="shared" si="92"/>
        <v>0.7</v>
      </c>
      <c r="AZ236" s="93">
        <f>IF($C236="&lt;01",ROUND(INDEX(EID!$R:$R,MATCH($B236,EID!$B:$B,0))/2,0),ROUND(SUM($O236)+(SUM($AV236)*$AY236),0))</f>
        <v>0</v>
      </c>
      <c r="BA236" s="89">
        <f t="shared" si="93"/>
        <v>0.95</v>
      </c>
      <c r="BB236" s="9">
        <f>IF($C236="&lt;01",ROUND(INDEX(EID!$T:$T,MATCH($B236,EID!$B:$B,0))/2,0),ROUND($AZ236*$BA236,0))</f>
        <v>0</v>
      </c>
      <c r="BC236" s="93">
        <f t="shared" si="94"/>
        <v>0</v>
      </c>
      <c r="BD236" s="90">
        <f t="shared" si="95"/>
        <v>0.95</v>
      </c>
      <c r="BE236" s="42">
        <f>IF($C236="&lt;01",ROUND(INDEX(EID!$V:$V,MATCH($B236,EID!$B:$B,0))/2,0),ROUND($BD236*$BB236,0))</f>
        <v>0</v>
      </c>
      <c r="BF236" s="42">
        <f t="shared" si="96"/>
        <v>0</v>
      </c>
      <c r="BG236" s="116">
        <f t="shared" si="97"/>
        <v>0.95</v>
      </c>
      <c r="BH236" s="9">
        <f>IF($C236="&lt;01",ROUND(INDEX(EID!$L:$L,MATCH($B236,EID!$B:$B,0)),0)/2,IF(SUM($BG236)=0,"",ROUND($AX236/$BG236,0)))</f>
        <v>0</v>
      </c>
    </row>
    <row r="237" spans="1:60" x14ac:dyDescent="0.2">
      <c r="A237" t="str">
        <f>INDEX(Prioritization!$D:$D,MATCH($B237,Prioritization!$A:$A,0))</f>
        <v>INVALID</v>
      </c>
      <c r="B237" t="s">
        <v>208</v>
      </c>
      <c r="C237" t="s">
        <v>367</v>
      </c>
      <c r="D237" t="s">
        <v>29</v>
      </c>
      <c r="E237" t="str">
        <f t="shared" si="76"/>
        <v>Rumphi District [lPTyjLi4w3d]|50+|Female</v>
      </c>
      <c r="F237" s="14"/>
      <c r="G237" s="14"/>
      <c r="H237" s="14"/>
      <c r="I237" s="14"/>
      <c r="J237" s="14"/>
      <c r="K237" s="14"/>
      <c r="L237" s="14"/>
      <c r="M237" s="14"/>
      <c r="N237" s="14"/>
      <c r="O237" s="14" t="str">
        <f t="shared" si="77"/>
        <v/>
      </c>
      <c r="P237" s="14"/>
      <c r="Q237" s="14"/>
      <c r="R237" s="14" t="str">
        <f t="shared" si="78"/>
        <v/>
      </c>
      <c r="S237" s="14">
        <f>IF(LEFT($B237,4)="_Mil","",_xlfn.IFNA(ROUND(INDEX(Spectrum!$N:$N,MATCH(RIGHT($B237,13)&amp;"|"&amp;$C237&amp;"|"&amp;$D237&amp;"|"&amp;S$14&amp;"|"&amp;"CY2022Q4",Spectrum!$R:$R,0)),0),""))</f>
        <v>979</v>
      </c>
      <c r="T237" s="42">
        <f>IF(LEFT($B237,4)="_Mil","",_xlfn.IFNA(ROUND(INDEX(Spectrum!$N:$N,MATCH(RIGHT($B237,13)&amp;"|"&amp;$C237&amp;"|"&amp;$D237&amp;"|"&amp;T$14&amp;"|"&amp;"CY2023Q3",Spectrum!$R:$R,0)),0),""))</f>
        <v>1895</v>
      </c>
      <c r="U237" s="42" t="str">
        <f>IF(LEFT($B237,4)="_Mil","",_xlfn.IFNA(ROUND(INDEX(Spectrum!$N:$N,MATCH(RIGHT($B237,13)&amp;"|"&amp;$C237&amp;"|"&amp;$D237&amp;"|"&amp;U$14&amp;"|"&amp;"CY2023Q3",Spectrum!$R:$R,0)),0),""))</f>
        <v/>
      </c>
      <c r="V237" s="14">
        <f>IF(LEFT($B237,4)="_Mil","",_xlfn.IFNA(ROUND(INDEX(Spectrum!$N:$N,MATCH(RIGHT($B237,13)&amp;"|"&amp;$C237&amp;"|"&amp;$D237&amp;"|"&amp;V$14&amp;"|"&amp;"CY2023Q3",Spectrum!$R:$R,0)),0),""))</f>
        <v>1779</v>
      </c>
      <c r="W237" s="115">
        <f>IF(LEFT($B237,4)="_Mil","",_xlfn.IFNA(INDEX(Spectrum!$N:$N,MATCH(RIGHT($B237,13)&amp;"|"&amp;$C237&amp;"|"&amp;$D237&amp;"|"&amp;W$14&amp;"|"&amp;"CY2023Q3",Spectrum!$R:$R,0)),""))</f>
        <v>932</v>
      </c>
      <c r="X237" s="42">
        <f>IF(LEFT($B237,4)="_Mil","",_xlfn.IFNA(ROUND(INDEX(Spectrum!$N:$N,MATCH(RIGHT($B237,13)&amp;"|"&amp;$C237&amp;"|"&amp;$D237&amp;"|"&amp;X$14&amp;"|"&amp;"CY2023Q3",Spectrum!$R:$R,0)),0),""))</f>
        <v>947</v>
      </c>
      <c r="Y237" s="90" t="str">
        <f t="shared" si="79"/>
        <v/>
      </c>
      <c r="Z237" s="42">
        <f>IF(LEFT($B237,4)="_Mil","",_xlfn.IFNA(ROUND(INDEX(Spectrum!$N:$N,MATCH(RIGHT($B237,13)&amp;"|"&amp;$C237&amp;"|"&amp;$D237&amp;"|"&amp;Z$14&amp;"|"&amp;"CY2023Q3",Spectrum!$R:$R,0)),0),""))</f>
        <v>895</v>
      </c>
      <c r="AA237" s="90">
        <f>IF(LEFT($B237,4)="_Mil","",IFERROR(1/(1/INDEX(Spectrum!$N:$N,MATCH(RIGHT($B237,13)&amp;"|"&amp;$C237&amp;"|"&amp;$D237&amp;"|"&amp;AA$14&amp;"|"&amp;"CY2023Q3",Spectrum!$R:$R,0))),IF(SUM($U237)=0,"",SUM($Z237)/$U237)))</f>
        <v>1370</v>
      </c>
      <c r="AB237" s="90">
        <f t="shared" si="80"/>
        <v>0.94508975712777188</v>
      </c>
      <c r="AC237" s="14">
        <f>IF(LEFT($B237,4)="_Mil","",_xlfn.IFNA(ROUND(INDEX(Spectrum!$N:$N,MATCH(RIGHT($B237,13)&amp;"|"&amp;$C237&amp;"|"&amp;$D237&amp;"|"&amp;AC$14&amp;"|"&amp;"CY2023Q3",Spectrum!$R:$R,0)),0),""))</f>
        <v>1475</v>
      </c>
      <c r="AD237" s="14" t="str">
        <f>IF(LEFT($B237,4)="_Mil","",_xlfn.IFNA(ROUND(INDEX(Spectrum!$N:$N,MATCH(RIGHT($B237,13)&amp;"|"&amp;$C237&amp;"|"&amp;$D237&amp;"|"&amp;AD$14&amp;"|"&amp;"CY2023Q3",Spectrum!$R:$R,0)),0),""))</f>
        <v/>
      </c>
      <c r="AE237" s="90">
        <f t="shared" si="81"/>
        <v>0</v>
      </c>
      <c r="AF237" s="42" t="str">
        <f>IF(LEFT($B237,4)="_Mil","",_xlfn.IFNA(ROUND(INDEX(Spectrum!$N:$N,MATCH(RIGHT($B237,13)&amp;"|"&amp;$C237&amp;"|"&amp;$D237&amp;"|"&amp;AF$14&amp;"|"&amp;"CY2023Q3",Spectrum!$R:$R,0)),0),""))</f>
        <v/>
      </c>
      <c r="AG237" s="90" t="str">
        <f t="shared" si="82"/>
        <v/>
      </c>
      <c r="AH237" s="88" t="str">
        <f>IF(LEFT($B237,4)="_Mil","",_xlfn.IFNA(INDEX(Spectrum!$N:$N,MATCH(RIGHT($B237,13)&amp;"|"&amp;$C237&amp;"|"&amp;$D237&amp;"|"&amp;AH$14&amp;"|"&amp;"CY2023Q3",Spectrum!$R:$R,0)),""))</f>
        <v/>
      </c>
      <c r="AI237" s="14" t="str">
        <f>IF(LEFT($B237,4)="_Mil","",_xlfn.IFNA(ROUND(INDEX(Spectrum!$N:$N,MATCH(RIGHT($B237,13)&amp;"|"&amp;$C237&amp;"|"&amp;$D237&amp;"|"&amp;AI$14&amp;"|"&amp;"CY2023Q3",Spectrum!$R:$R,0)),0),""))</f>
        <v/>
      </c>
      <c r="AJ237" s="42">
        <f>IF(LEFT($B237,4)="_Mil","",_xlfn.IFNA(ROUND(INDEX(Spectrum!$N:$N,MATCH(RIGHT($B237,13)&amp;"|"&amp;$C237&amp;"|"&amp;$D237&amp;"|"&amp;AI$14&amp;"|"&amp;"CY2023Q3",Spectrum!$R:$R,0)),0),SUM($U237)+SUM($AI237)))</f>
        <v>0</v>
      </c>
      <c r="AK237" s="14" t="str">
        <f>IF(LEFT($B237,4)="_Mil","",_xlfn.IFNA(ROUND(INDEX(Spectrum!$N:$N,MATCH(RIGHT($B237,13)&amp;"|"&amp;$C237&amp;"|"&amp;$D237&amp;"|"&amp;AK$14&amp;"|"&amp;"CY2023Q3",Spectrum!$R:$R,0)),0),""))</f>
        <v/>
      </c>
      <c r="AL237" s="90">
        <f t="shared" si="83"/>
        <v>1370</v>
      </c>
      <c r="AM237" s="14">
        <f t="shared" si="84"/>
        <v>0</v>
      </c>
      <c r="AN237" s="14" t="str">
        <f>IF($C237="&lt;01",ROUND(INDEX(EID!$P:$P,MATCH($B237,EID!$B:$B,0))/2,0),"")</f>
        <v/>
      </c>
      <c r="AO237" s="14">
        <f t="shared" si="85"/>
        <v>0</v>
      </c>
      <c r="AP237" s="42">
        <f t="shared" si="86"/>
        <v>0</v>
      </c>
      <c r="AQ237" s="42">
        <f t="shared" si="87"/>
        <v>895</v>
      </c>
      <c r="AR237" s="90" t="str">
        <f t="shared" si="88"/>
        <v/>
      </c>
      <c r="AS237" s="90">
        <f t="shared" si="99"/>
        <v>0.98</v>
      </c>
      <c r="AT237" s="90">
        <f t="shared" si="99"/>
        <v>0.98</v>
      </c>
      <c r="AU237" s="14">
        <f t="shared" si="89"/>
        <v>0</v>
      </c>
      <c r="AV237" s="14">
        <f>IF($C237="&lt;01",ROUND(INDEX(EID!$N:$N,MATCH($B237,EID!$B:$B,0))/2,0),IF(SUM($AT237)=0,"",ROUND((SUM($AP237)-(SUM($O237)*SUM($AS237)))/$AT237,0)))</f>
        <v>0</v>
      </c>
      <c r="AW237" s="90">
        <f t="shared" si="90"/>
        <v>1</v>
      </c>
      <c r="AX237" s="42">
        <f t="shared" si="91"/>
        <v>0</v>
      </c>
      <c r="AY237" s="116">
        <f t="shared" si="92"/>
        <v>0.7</v>
      </c>
      <c r="AZ237" s="93">
        <f>IF($C237="&lt;01",ROUND(INDEX(EID!$R:$R,MATCH($B237,EID!$B:$B,0))/2,0),ROUND(SUM($O237)+(SUM($AV237)*$AY237),0))</f>
        <v>0</v>
      </c>
      <c r="BA237" s="89">
        <f t="shared" si="93"/>
        <v>0.95</v>
      </c>
      <c r="BB237" s="9">
        <f>IF($C237="&lt;01",ROUND(INDEX(EID!$T:$T,MATCH($B237,EID!$B:$B,0))/2,0),ROUND($AZ237*$BA237,0))</f>
        <v>0</v>
      </c>
      <c r="BC237" s="93">
        <f t="shared" si="94"/>
        <v>0</v>
      </c>
      <c r="BD237" s="90">
        <f t="shared" si="95"/>
        <v>0.95</v>
      </c>
      <c r="BE237" s="42">
        <f>IF($C237="&lt;01",ROUND(INDEX(EID!$V:$V,MATCH($B237,EID!$B:$B,0))/2,0),ROUND($BD237*$BB237,0))</f>
        <v>0</v>
      </c>
      <c r="BF237" s="42">
        <f t="shared" si="96"/>
        <v>0</v>
      </c>
      <c r="BG237" s="116">
        <f t="shared" si="97"/>
        <v>0.95</v>
      </c>
      <c r="BH237" s="9">
        <f>IF($C237="&lt;01",ROUND(INDEX(EID!$L:$L,MATCH($B237,EID!$B:$B,0)),0)/2,IF(SUM($BG237)=0,"",ROUND($AX237/$BG237,0)))</f>
        <v>0</v>
      </c>
    </row>
    <row r="238" spans="1:60" x14ac:dyDescent="0.2">
      <c r="A238" t="str">
        <f>INDEX(Prioritization!$D:$D,MATCH($B238,Prioritization!$A:$A,0))</f>
        <v>INVALID</v>
      </c>
      <c r="B238" t="s">
        <v>208</v>
      </c>
      <c r="C238" t="s">
        <v>367</v>
      </c>
      <c r="D238" t="s">
        <v>47</v>
      </c>
      <c r="E238" t="str">
        <f t="shared" si="76"/>
        <v>Rumphi District [lPTyjLi4w3d]|50+|Male</v>
      </c>
      <c r="F238" s="14"/>
      <c r="G238" s="14"/>
      <c r="H238" s="14"/>
      <c r="I238" s="14"/>
      <c r="J238" s="14"/>
      <c r="K238" s="14"/>
      <c r="L238" s="14"/>
      <c r="M238" s="14"/>
      <c r="N238" s="14"/>
      <c r="O238" s="14" t="str">
        <f t="shared" si="77"/>
        <v/>
      </c>
      <c r="P238" s="14"/>
      <c r="Q238" s="14"/>
      <c r="R238" s="14" t="str">
        <f t="shared" si="78"/>
        <v/>
      </c>
      <c r="S238" s="14">
        <f>IF(LEFT($B238,4)="_Mil","",_xlfn.IFNA(ROUND(INDEX(Spectrum!$N:$N,MATCH(RIGHT($B238,13)&amp;"|"&amp;$C238&amp;"|"&amp;$D238&amp;"|"&amp;S$14&amp;"|"&amp;"CY2022Q4",Spectrum!$R:$R,0)),0),""))</f>
        <v>1371</v>
      </c>
      <c r="T238" s="42">
        <f>IF(LEFT($B238,4)="_Mil","",_xlfn.IFNA(ROUND(INDEX(Spectrum!$N:$N,MATCH(RIGHT($B238,13)&amp;"|"&amp;$C238&amp;"|"&amp;$D238&amp;"|"&amp;T$14&amp;"|"&amp;"CY2023Q3",Spectrum!$R:$R,0)),0),""))</f>
        <v>527</v>
      </c>
      <c r="U238" s="42" t="str">
        <f>IF(LEFT($B238,4)="_Mil","",_xlfn.IFNA(ROUND(INDEX(Spectrum!$N:$N,MATCH(RIGHT($B238,13)&amp;"|"&amp;$C238&amp;"|"&amp;$D238&amp;"|"&amp;U$14&amp;"|"&amp;"CY2023Q3",Spectrum!$R:$R,0)),0),""))</f>
        <v/>
      </c>
      <c r="V238" s="14">
        <f>IF(LEFT($B238,4)="_Mil","",_xlfn.IFNA(ROUND(INDEX(Spectrum!$N:$N,MATCH(RIGHT($B238,13)&amp;"|"&amp;$C238&amp;"|"&amp;$D238&amp;"|"&amp;V$14&amp;"|"&amp;"CY2023Q3",Spectrum!$R:$R,0)),0),""))</f>
        <v>992</v>
      </c>
      <c r="W238" s="115">
        <f>IF(LEFT($B238,4)="_Mil","",_xlfn.IFNA(INDEX(Spectrum!$N:$N,MATCH(RIGHT($B238,13)&amp;"|"&amp;$C238&amp;"|"&amp;$D238&amp;"|"&amp;W$14&amp;"|"&amp;"CY2023Q3",Spectrum!$R:$R,0)),""))</f>
        <v>726</v>
      </c>
      <c r="X238" s="42">
        <f>IF(LEFT($B238,4)="_Mil","",_xlfn.IFNA(ROUND(INDEX(Spectrum!$N:$N,MATCH(RIGHT($B238,13)&amp;"|"&amp;$C238&amp;"|"&amp;$D238&amp;"|"&amp;X$14&amp;"|"&amp;"CY2023Q3",Spectrum!$R:$R,0)),0),""))</f>
        <v>848</v>
      </c>
      <c r="Y238" s="90" t="str">
        <f t="shared" si="79"/>
        <v/>
      </c>
      <c r="Z238" s="42">
        <f>IF(LEFT($B238,4)="_Mil","",_xlfn.IFNA(ROUND(INDEX(Spectrum!$N:$N,MATCH(RIGHT($B238,13)&amp;"|"&amp;$C238&amp;"|"&amp;$D238&amp;"|"&amp;Z$14&amp;"|"&amp;"CY2023Q3",Spectrum!$R:$R,0)),0),""))</f>
        <v>1221</v>
      </c>
      <c r="AA238" s="90">
        <f>IF(LEFT($B238,4)="_Mil","",IFERROR(1/(1/INDEX(Spectrum!$N:$N,MATCH(RIGHT($B238,13)&amp;"|"&amp;$C238&amp;"|"&amp;$D238&amp;"|"&amp;AA$14&amp;"|"&amp;"CY2023Q3",Spectrum!$R:$R,0))),IF(SUM($U238)=0,"",SUM($Z238)/$U238)))</f>
        <v>1898.0000000000002</v>
      </c>
      <c r="AB238" s="90">
        <f t="shared" si="80"/>
        <v>1.4398584905660377</v>
      </c>
      <c r="AC238" s="14">
        <f>IF(LEFT($B238,4)="_Mil","",_xlfn.IFNA(ROUND(INDEX(Spectrum!$N:$N,MATCH(RIGHT($B238,13)&amp;"|"&amp;$C238&amp;"|"&amp;$D238&amp;"|"&amp;AC$14&amp;"|"&amp;"CY2023Q3",Spectrum!$R:$R,0)),0),""))</f>
        <v>1467</v>
      </c>
      <c r="AD238" s="14" t="str">
        <f>IF(LEFT($B238,4)="_Mil","",_xlfn.IFNA(ROUND(INDEX(Spectrum!$N:$N,MATCH(RIGHT($B238,13)&amp;"|"&amp;$C238&amp;"|"&amp;$D238&amp;"|"&amp;AD$14&amp;"|"&amp;"CY2023Q3",Spectrum!$R:$R,0)),0),""))</f>
        <v/>
      </c>
      <c r="AE238" s="90">
        <f t="shared" si="81"/>
        <v>0</v>
      </c>
      <c r="AF238" s="42" t="str">
        <f>IF(LEFT($B238,4)="_Mil","",_xlfn.IFNA(ROUND(INDEX(Spectrum!$N:$N,MATCH(RIGHT($B238,13)&amp;"|"&amp;$C238&amp;"|"&amp;$D238&amp;"|"&amp;AF$14&amp;"|"&amp;"CY2023Q3",Spectrum!$R:$R,0)),0),""))</f>
        <v/>
      </c>
      <c r="AG238" s="90" t="str">
        <f t="shared" si="82"/>
        <v/>
      </c>
      <c r="AH238" s="88" t="str">
        <f>IF(LEFT($B238,4)="_Mil","",_xlfn.IFNA(INDEX(Spectrum!$N:$N,MATCH(RIGHT($B238,13)&amp;"|"&amp;$C238&amp;"|"&amp;$D238&amp;"|"&amp;AH$14&amp;"|"&amp;"CY2023Q3",Spectrum!$R:$R,0)),""))</f>
        <v/>
      </c>
      <c r="AI238" s="14" t="str">
        <f>IF(LEFT($B238,4)="_Mil","",_xlfn.IFNA(ROUND(INDEX(Spectrum!$N:$N,MATCH(RIGHT($B238,13)&amp;"|"&amp;$C238&amp;"|"&amp;$D238&amp;"|"&amp;AI$14&amp;"|"&amp;"CY2023Q3",Spectrum!$R:$R,0)),0),""))</f>
        <v/>
      </c>
      <c r="AJ238" s="42">
        <f>IF(LEFT($B238,4)="_Mil","",_xlfn.IFNA(ROUND(INDEX(Spectrum!$N:$N,MATCH(RIGHT($B238,13)&amp;"|"&amp;$C238&amp;"|"&amp;$D238&amp;"|"&amp;AI$14&amp;"|"&amp;"CY2023Q3",Spectrum!$R:$R,0)),0),SUM($U238)+SUM($AI238)))</f>
        <v>0</v>
      </c>
      <c r="AK238" s="14" t="str">
        <f>IF(LEFT($B238,4)="_Mil","",_xlfn.IFNA(ROUND(INDEX(Spectrum!$N:$N,MATCH(RIGHT($B238,13)&amp;"|"&amp;$C238&amp;"|"&amp;$D238&amp;"|"&amp;AK$14&amp;"|"&amp;"CY2023Q3",Spectrum!$R:$R,0)),0),""))</f>
        <v/>
      </c>
      <c r="AL238" s="90">
        <f t="shared" si="83"/>
        <v>1898.0000000000002</v>
      </c>
      <c r="AM238" s="14">
        <f t="shared" si="84"/>
        <v>0</v>
      </c>
      <c r="AN238" s="14" t="str">
        <f>IF($C238="&lt;01",ROUND(INDEX(EID!$P:$P,MATCH($B238,EID!$B:$B,0))/2,0),"")</f>
        <v/>
      </c>
      <c r="AO238" s="14">
        <f t="shared" si="85"/>
        <v>0</v>
      </c>
      <c r="AP238" s="42">
        <f t="shared" si="86"/>
        <v>0</v>
      </c>
      <c r="AQ238" s="42">
        <f t="shared" si="87"/>
        <v>1221</v>
      </c>
      <c r="AR238" s="90" t="str">
        <f t="shared" si="88"/>
        <v/>
      </c>
      <c r="AS238" s="90">
        <f t="shared" si="99"/>
        <v>0.98</v>
      </c>
      <c r="AT238" s="90">
        <f t="shared" si="99"/>
        <v>0.98</v>
      </c>
      <c r="AU238" s="14">
        <f t="shared" si="89"/>
        <v>0</v>
      </c>
      <c r="AV238" s="14">
        <f>IF($C238="&lt;01",ROUND(INDEX(EID!$N:$N,MATCH($B238,EID!$B:$B,0))/2,0),IF(SUM($AT238)=0,"",ROUND((SUM($AP238)-(SUM($O238)*SUM($AS238)))/$AT238,0)))</f>
        <v>0</v>
      </c>
      <c r="AW238" s="90">
        <f t="shared" si="90"/>
        <v>1</v>
      </c>
      <c r="AX238" s="42">
        <f t="shared" si="91"/>
        <v>0</v>
      </c>
      <c r="AY238" s="116">
        <f t="shared" si="92"/>
        <v>0.7</v>
      </c>
      <c r="AZ238" s="93">
        <f>IF($C238="&lt;01",ROUND(INDEX(EID!$R:$R,MATCH($B238,EID!$B:$B,0))/2,0),ROUND(SUM($O238)+(SUM($AV238)*$AY238),0))</f>
        <v>0</v>
      </c>
      <c r="BA238" s="89">
        <f t="shared" si="93"/>
        <v>0.95</v>
      </c>
      <c r="BB238" s="9">
        <f>IF($C238="&lt;01",ROUND(INDEX(EID!$T:$T,MATCH($B238,EID!$B:$B,0))/2,0),ROUND($AZ238*$BA238,0))</f>
        <v>0</v>
      </c>
      <c r="BC238" s="93">
        <f t="shared" si="94"/>
        <v>0</v>
      </c>
      <c r="BD238" s="90">
        <f t="shared" si="95"/>
        <v>0.95</v>
      </c>
      <c r="BE238" s="42">
        <f>IF($C238="&lt;01",ROUND(INDEX(EID!$V:$V,MATCH($B238,EID!$B:$B,0))/2,0),ROUND($BD238*$BB238,0))</f>
        <v>0</v>
      </c>
      <c r="BF238" s="42">
        <f t="shared" si="96"/>
        <v>0</v>
      </c>
      <c r="BG238" s="116">
        <f t="shared" si="97"/>
        <v>0.95</v>
      </c>
      <c r="BH238" s="9">
        <f>IF($C238="&lt;01",ROUND(INDEX(EID!$L:$L,MATCH($B238,EID!$B:$B,0)),0)/2,IF(SUM($BG238)=0,"",ROUND($AX238/$BG238,0)))</f>
        <v>0</v>
      </c>
    </row>
    <row r="239" spans="1:60" x14ac:dyDescent="0.2">
      <c r="A239" t="str">
        <f>INDEX(Prioritization!$D:$D,MATCH($B239,Prioritization!$A:$A,0))</f>
        <v>1 - Scale-up: Saturation</v>
      </c>
      <c r="B239" t="s">
        <v>209</v>
      </c>
      <c r="C239" t="s">
        <v>315</v>
      </c>
      <c r="D239" t="s">
        <v>29</v>
      </c>
      <c r="E239" t="str">
        <f t="shared" si="76"/>
        <v>Balaka District [ir8wuHHzoSs]|&lt;01|Female</v>
      </c>
      <c r="F239" s="14"/>
      <c r="G239" s="14">
        <v>4</v>
      </c>
      <c r="H239" s="14">
        <v>3</v>
      </c>
      <c r="I239" s="14">
        <v>1</v>
      </c>
      <c r="J239" s="14">
        <v>7</v>
      </c>
      <c r="K239" s="14">
        <v>3</v>
      </c>
      <c r="L239" s="14"/>
      <c r="M239" s="14">
        <v>1</v>
      </c>
      <c r="N239" s="14">
        <v>1</v>
      </c>
      <c r="O239" s="14">
        <f t="shared" si="77"/>
        <v>1</v>
      </c>
      <c r="P239" s="14">
        <v>1</v>
      </c>
      <c r="Q239" s="14">
        <v>0</v>
      </c>
      <c r="R239" s="14">
        <f t="shared" si="78"/>
        <v>0</v>
      </c>
      <c r="S239" s="14">
        <f>IF(LEFT($B239,4)="_Mil","",_xlfn.IFNA(ROUND(INDEX(Spectrum!$N:$N,MATCH(RIGHT($B239,13)&amp;"|"&amp;$C239&amp;"|"&amp;$D239&amp;"|"&amp;S$14&amp;"|"&amp;"CY2022Q4",Spectrum!$R:$R,0)),0),""))</f>
        <v>950</v>
      </c>
      <c r="T239" s="42">
        <f>IF(LEFT($B239,4)="_Mil","",_xlfn.IFNA(ROUND(INDEX(Spectrum!$N:$N,MATCH(RIGHT($B239,13)&amp;"|"&amp;$C239&amp;"|"&amp;$D239&amp;"|"&amp;T$14&amp;"|"&amp;"CY2023Q3",Spectrum!$R:$R,0)),0),""))</f>
        <v>999</v>
      </c>
      <c r="U239" s="42" t="str">
        <f>IF(LEFT($B239,4)="_Mil","",_xlfn.IFNA(ROUND(INDEX(Spectrum!$N:$N,MATCH(RIGHT($B239,13)&amp;"|"&amp;$C239&amp;"|"&amp;$D239&amp;"|"&amp;U$14&amp;"|"&amp;"CY2023Q3",Spectrum!$R:$R,0)),0),""))</f>
        <v/>
      </c>
      <c r="V239" s="14">
        <f>IF(LEFT($B239,4)="_Mil","",_xlfn.IFNA(ROUND(INDEX(Spectrum!$N:$N,MATCH(RIGHT($B239,13)&amp;"|"&amp;$C239&amp;"|"&amp;$D239&amp;"|"&amp;V$14&amp;"|"&amp;"CY2023Q3",Spectrum!$R:$R,0)),0),""))</f>
        <v>1336</v>
      </c>
      <c r="W239" s="115">
        <f>IF(LEFT($B239,4)="_Mil","",_xlfn.IFNA(INDEX(Spectrum!$N:$N,MATCH(RIGHT($B239,13)&amp;"|"&amp;$C239&amp;"|"&amp;$D239&amp;"|"&amp;W$14&amp;"|"&amp;"CY2023Q3",Spectrum!$R:$R,0)),""))</f>
        <v>1428</v>
      </c>
      <c r="X239" s="42">
        <f>IF(LEFT($B239,4)="_Mil","",_xlfn.IFNA(ROUND(INDEX(Spectrum!$N:$N,MATCH(RIGHT($B239,13)&amp;"|"&amp;$C239&amp;"|"&amp;$D239&amp;"|"&amp;X$14&amp;"|"&amp;"CY2023Q3",Spectrum!$R:$R,0)),0),""))</f>
        <v>1811</v>
      </c>
      <c r="Y239" s="90" t="str">
        <f t="shared" si="79"/>
        <v/>
      </c>
      <c r="Z239" s="42">
        <f>IF(LEFT($B239,4)="_Mil","",_xlfn.IFNA(ROUND(INDEX(Spectrum!$N:$N,MATCH(RIGHT($B239,13)&amp;"|"&amp;$C239&amp;"|"&amp;$D239&amp;"|"&amp;Z$14&amp;"|"&amp;"CY2023Q3",Spectrum!$R:$R,0)),0),""))</f>
        <v>647</v>
      </c>
      <c r="AA239" s="90">
        <f>IF(LEFT($B239,4)="_Mil","",IFERROR(1/(1/INDEX(Spectrum!$N:$N,MATCH(RIGHT($B239,13)&amp;"|"&amp;$C239&amp;"|"&amp;$D239&amp;"|"&amp;AA$14&amp;"|"&amp;"CY2023Q3",Spectrum!$R:$R,0))),IF(SUM($U239)=0,"",SUM($Z239)/$U239)))</f>
        <v>1856</v>
      </c>
      <c r="AB239" s="90">
        <f t="shared" si="80"/>
        <v>0.35726118166758697</v>
      </c>
      <c r="AC239" s="14">
        <f>IF(LEFT($B239,4)="_Mil","",_xlfn.IFNA(ROUND(INDEX(Spectrum!$N:$N,MATCH(RIGHT($B239,13)&amp;"|"&amp;$C239&amp;"|"&amp;$D239&amp;"|"&amp;AC$14&amp;"|"&amp;"CY2023Q3",Spectrum!$R:$R,0)),0),""))</f>
        <v>1379</v>
      </c>
      <c r="AD239" s="14" t="str">
        <f>IF(LEFT($B239,4)="_Mil","",_xlfn.IFNA(ROUND(INDEX(Spectrum!$N:$N,MATCH(RIGHT($B239,13)&amp;"|"&amp;$C239&amp;"|"&amp;$D239&amp;"|"&amp;AD$14&amp;"|"&amp;"CY2023Q3",Spectrum!$R:$R,0)),0),""))</f>
        <v/>
      </c>
      <c r="AE239" s="90">
        <f t="shared" si="81"/>
        <v>0</v>
      </c>
      <c r="AF239" s="42" t="str">
        <f>IF(LEFT($B239,4)="_Mil","",_xlfn.IFNA(ROUND(INDEX(Spectrum!$N:$N,MATCH(RIGHT($B239,13)&amp;"|"&amp;$C239&amp;"|"&amp;$D239&amp;"|"&amp;AF$14&amp;"|"&amp;"CY2023Q3",Spectrum!$R:$R,0)),0),""))</f>
        <v/>
      </c>
      <c r="AG239" s="90" t="str">
        <f t="shared" si="82"/>
        <v/>
      </c>
      <c r="AH239" s="88" t="str">
        <f>IF(LEFT($B239,4)="_Mil","",_xlfn.IFNA(INDEX(Spectrum!$N:$N,MATCH(RIGHT($B239,13)&amp;"|"&amp;$C239&amp;"|"&amp;$D239&amp;"|"&amp;AH$14&amp;"|"&amp;"CY2023Q3",Spectrum!$R:$R,0)),""))</f>
        <v/>
      </c>
      <c r="AI239" s="14" t="str">
        <f>IF(LEFT($B239,4)="_Mil","",_xlfn.IFNA(ROUND(INDEX(Spectrum!$N:$N,MATCH(RIGHT($B239,13)&amp;"|"&amp;$C239&amp;"|"&amp;$D239&amp;"|"&amp;AI$14&amp;"|"&amp;"CY2023Q3",Spectrum!$R:$R,0)),0),""))</f>
        <v/>
      </c>
      <c r="AJ239" s="42">
        <f>IF(LEFT($B239,4)="_Mil","",_xlfn.IFNA(ROUND(INDEX(Spectrum!$N:$N,MATCH(RIGHT($B239,13)&amp;"|"&amp;$C239&amp;"|"&amp;$D239&amp;"|"&amp;AI$14&amp;"|"&amp;"CY2023Q3",Spectrum!$R:$R,0)),0),SUM($U239)+SUM($AI239)))</f>
        <v>0</v>
      </c>
      <c r="AK239" s="14" t="str">
        <f>IF(LEFT($B239,4)="_Mil","",_xlfn.IFNA(ROUND(INDEX(Spectrum!$N:$N,MATCH(RIGHT($B239,13)&amp;"|"&amp;$C239&amp;"|"&amp;$D239&amp;"|"&amp;AK$14&amp;"|"&amp;"CY2023Q3",Spectrum!$R:$R,0)),0),""))</f>
        <v/>
      </c>
      <c r="AL239" s="90" t="str">
        <f t="shared" si="83"/>
        <v/>
      </c>
      <c r="AM239" s="14" t="str">
        <f t="shared" si="84"/>
        <v/>
      </c>
      <c r="AN239" s="14">
        <f>IF($C239="&lt;01",ROUND(INDEX(EID!$P:$P,MATCH($B239,EID!$B:$B,0))/2,0),"")</f>
        <v>1</v>
      </c>
      <c r="AO239" s="14">
        <f t="shared" si="85"/>
        <v>1</v>
      </c>
      <c r="AP239" s="42">
        <f t="shared" si="86"/>
        <v>1</v>
      </c>
      <c r="AQ239" s="42">
        <f t="shared" si="87"/>
        <v>647</v>
      </c>
      <c r="AR239" s="90" t="str">
        <f t="shared" si="88"/>
        <v/>
      </c>
      <c r="AS239" s="90" t="str">
        <f t="shared" si="99"/>
        <v/>
      </c>
      <c r="AT239" s="90" t="str">
        <f t="shared" si="99"/>
        <v/>
      </c>
      <c r="AU239" s="14" t="str">
        <f t="shared" si="89"/>
        <v/>
      </c>
      <c r="AV239" s="14">
        <f>IF($C239="&lt;01",ROUND(INDEX(EID!$N:$N,MATCH($B239,EID!$B:$B,0))/2,0),IF(SUM($AT239)=0,"",ROUND((SUM($AP239)-(SUM($O239)*SUM($AS239)))/$AT239,0)))</f>
        <v>1</v>
      </c>
      <c r="AW239" s="90" t="str">
        <f t="shared" si="90"/>
        <v/>
      </c>
      <c r="AX239" s="42">
        <f t="shared" si="91"/>
        <v>1</v>
      </c>
      <c r="AY239" s="116" t="str">
        <f t="shared" si="92"/>
        <v/>
      </c>
      <c r="AZ239" s="93">
        <f>IF($C239="&lt;01",ROUND(INDEX(EID!$R:$R,MATCH($B239,EID!$B:$B,0))/2,0),ROUND(SUM($O239)+(SUM($AV239)*$AY239),0))</f>
        <v>1</v>
      </c>
      <c r="BA239" s="89" t="str">
        <f t="shared" si="93"/>
        <v/>
      </c>
      <c r="BB239" s="9">
        <f>IF($C239="&lt;01",ROUND(INDEX(EID!$T:$T,MATCH($B239,EID!$B:$B,0))/2,0),ROUND($AZ239*$BA239,0))</f>
        <v>1</v>
      </c>
      <c r="BC239" s="93">
        <f t="shared" si="94"/>
        <v>647</v>
      </c>
      <c r="BD239" s="90" t="str">
        <f t="shared" si="95"/>
        <v/>
      </c>
      <c r="BE239" s="42">
        <f>IF($C239="&lt;01",ROUND(INDEX(EID!$V:$V,MATCH($B239,EID!$B:$B,0))/2,0),ROUND($BD239*$BB239,0))</f>
        <v>1</v>
      </c>
      <c r="BF239" s="42">
        <f t="shared" si="96"/>
        <v>647</v>
      </c>
      <c r="BG239" s="116" t="str">
        <f t="shared" si="97"/>
        <v/>
      </c>
      <c r="BH239" s="9">
        <f>IF($C239="&lt;01",ROUND(INDEX(EID!$L:$L,MATCH($B239,EID!$B:$B,0)),0)/2,IF(SUM($BG239)=0,"",ROUND($AX239/$BG239,0)))</f>
        <v>1</v>
      </c>
    </row>
    <row r="240" spans="1:60" x14ac:dyDescent="0.2">
      <c r="A240" t="str">
        <f>INDEX(Prioritization!$D:$D,MATCH($B240,Prioritization!$A:$A,0))</f>
        <v>1 - Scale-up: Saturation</v>
      </c>
      <c r="B240" t="s">
        <v>209</v>
      </c>
      <c r="C240" t="s">
        <v>315</v>
      </c>
      <c r="D240" t="s">
        <v>47</v>
      </c>
      <c r="E240" t="str">
        <f t="shared" si="76"/>
        <v>Balaka District [ir8wuHHzoSs]|&lt;01|Male</v>
      </c>
      <c r="F240" s="14"/>
      <c r="G240" s="14">
        <v>7</v>
      </c>
      <c r="H240" s="14">
        <v>4</v>
      </c>
      <c r="I240" s="14">
        <v>1</v>
      </c>
      <c r="J240" s="14">
        <v>3</v>
      </c>
      <c r="K240" s="14">
        <v>6</v>
      </c>
      <c r="L240" s="14"/>
      <c r="M240" s="14">
        <v>0</v>
      </c>
      <c r="N240" s="14">
        <v>1</v>
      </c>
      <c r="O240" s="14">
        <f t="shared" si="77"/>
        <v>1</v>
      </c>
      <c r="P240" s="14">
        <v>0</v>
      </c>
      <c r="Q240" s="14">
        <v>0</v>
      </c>
      <c r="R240" s="14">
        <f t="shared" si="78"/>
        <v>0</v>
      </c>
      <c r="S240" s="14">
        <f>IF(LEFT($B240,4)="_Mil","",_xlfn.IFNA(ROUND(INDEX(Spectrum!$N:$N,MATCH(RIGHT($B240,13)&amp;"|"&amp;$C240&amp;"|"&amp;$D240&amp;"|"&amp;S$14&amp;"|"&amp;"CY2022Q4",Spectrum!$R:$R,0)),0),""))</f>
        <v>912</v>
      </c>
      <c r="T240" s="42">
        <f>IF(LEFT($B240,4)="_Mil","",_xlfn.IFNA(ROUND(INDEX(Spectrum!$N:$N,MATCH(RIGHT($B240,13)&amp;"|"&amp;$C240&amp;"|"&amp;$D240&amp;"|"&amp;T$14&amp;"|"&amp;"CY2023Q3",Spectrum!$R:$R,0)),0),""))</f>
        <v>1880</v>
      </c>
      <c r="U240" s="42" t="str">
        <f>IF(LEFT($B240,4)="_Mil","",_xlfn.IFNA(ROUND(INDEX(Spectrum!$N:$N,MATCH(RIGHT($B240,13)&amp;"|"&amp;$C240&amp;"|"&amp;$D240&amp;"|"&amp;U$14&amp;"|"&amp;"CY2023Q3",Spectrum!$R:$R,0)),0),""))</f>
        <v/>
      </c>
      <c r="V240" s="14">
        <f>IF(LEFT($B240,4)="_Mil","",_xlfn.IFNA(ROUND(INDEX(Spectrum!$N:$N,MATCH(RIGHT($B240,13)&amp;"|"&amp;$C240&amp;"|"&amp;$D240&amp;"|"&amp;V$14&amp;"|"&amp;"CY2023Q3",Spectrum!$R:$R,0)),0),""))</f>
        <v>1849</v>
      </c>
      <c r="W240" s="115">
        <f>IF(LEFT($B240,4)="_Mil","",_xlfn.IFNA(INDEX(Spectrum!$N:$N,MATCH(RIGHT($B240,13)&amp;"|"&amp;$C240&amp;"|"&amp;$D240&amp;"|"&amp;W$14&amp;"|"&amp;"CY2023Q3",Spectrum!$R:$R,0)),""))</f>
        <v>1569</v>
      </c>
      <c r="X240" s="42">
        <f>IF(LEFT($B240,4)="_Mil","",_xlfn.IFNA(ROUND(INDEX(Spectrum!$N:$N,MATCH(RIGHT($B240,13)&amp;"|"&amp;$C240&amp;"|"&amp;$D240&amp;"|"&amp;X$14&amp;"|"&amp;"CY2023Q3",Spectrum!$R:$R,0)),0),""))</f>
        <v>1634</v>
      </c>
      <c r="Y240" s="90" t="str">
        <f t="shared" si="79"/>
        <v/>
      </c>
      <c r="Z240" s="42">
        <f>IF(LEFT($B240,4)="_Mil","",_xlfn.IFNA(ROUND(INDEX(Spectrum!$N:$N,MATCH(RIGHT($B240,13)&amp;"|"&amp;$C240&amp;"|"&amp;$D240&amp;"|"&amp;Z$14&amp;"|"&amp;"CY2023Q3",Spectrum!$R:$R,0)),0),""))</f>
        <v>954</v>
      </c>
      <c r="AA240" s="90">
        <f>IF(LEFT($B240,4)="_Mil","",IFERROR(1/(1/INDEX(Spectrum!$N:$N,MATCH(RIGHT($B240,13)&amp;"|"&amp;$C240&amp;"|"&amp;$D240&amp;"|"&amp;AA$14&amp;"|"&amp;"CY2023Q3",Spectrum!$R:$R,0))),IF(SUM($U240)=0,"",SUM($Z240)/$U240)))</f>
        <v>1942</v>
      </c>
      <c r="AB240" s="90">
        <f t="shared" si="80"/>
        <v>0.58384332925336602</v>
      </c>
      <c r="AC240" s="14">
        <f>IF(LEFT($B240,4)="_Mil","",_xlfn.IFNA(ROUND(INDEX(Spectrum!$N:$N,MATCH(RIGHT($B240,13)&amp;"|"&amp;$C240&amp;"|"&amp;$D240&amp;"|"&amp;AC$14&amp;"|"&amp;"CY2023Q3",Spectrum!$R:$R,0)),0),""))</f>
        <v>665</v>
      </c>
      <c r="AD240" s="14" t="str">
        <f>IF(LEFT($B240,4)="_Mil","",_xlfn.IFNA(ROUND(INDEX(Spectrum!$N:$N,MATCH(RIGHT($B240,13)&amp;"|"&amp;$C240&amp;"|"&amp;$D240&amp;"|"&amp;AD$14&amp;"|"&amp;"CY2023Q3",Spectrum!$R:$R,0)),0),""))</f>
        <v/>
      </c>
      <c r="AE240" s="90">
        <f t="shared" si="81"/>
        <v>0</v>
      </c>
      <c r="AF240" s="42" t="str">
        <f>IF(LEFT($B240,4)="_Mil","",_xlfn.IFNA(ROUND(INDEX(Spectrum!$N:$N,MATCH(RIGHT($B240,13)&amp;"|"&amp;$C240&amp;"|"&amp;$D240&amp;"|"&amp;AF$14&amp;"|"&amp;"CY2023Q3",Spectrum!$R:$R,0)),0),""))</f>
        <v/>
      </c>
      <c r="AG240" s="90" t="str">
        <f t="shared" si="82"/>
        <v/>
      </c>
      <c r="AH240" s="88" t="str">
        <f>IF(LEFT($B240,4)="_Mil","",_xlfn.IFNA(INDEX(Spectrum!$N:$N,MATCH(RIGHT($B240,13)&amp;"|"&amp;$C240&amp;"|"&amp;$D240&amp;"|"&amp;AH$14&amp;"|"&amp;"CY2023Q3",Spectrum!$R:$R,0)),""))</f>
        <v/>
      </c>
      <c r="AI240" s="14" t="str">
        <f>IF(LEFT($B240,4)="_Mil","",_xlfn.IFNA(ROUND(INDEX(Spectrum!$N:$N,MATCH(RIGHT($B240,13)&amp;"|"&amp;$C240&amp;"|"&amp;$D240&amp;"|"&amp;AI$14&amp;"|"&amp;"CY2023Q3",Spectrum!$R:$R,0)),0),""))</f>
        <v/>
      </c>
      <c r="AJ240" s="42">
        <f>IF(LEFT($B240,4)="_Mil","",_xlfn.IFNA(ROUND(INDEX(Spectrum!$N:$N,MATCH(RIGHT($B240,13)&amp;"|"&amp;$C240&amp;"|"&amp;$D240&amp;"|"&amp;AI$14&amp;"|"&amp;"CY2023Q3",Spectrum!$R:$R,0)),0),SUM($U240)+SUM($AI240)))</f>
        <v>0</v>
      </c>
      <c r="AK240" s="14" t="str">
        <f>IF(LEFT($B240,4)="_Mil","",_xlfn.IFNA(ROUND(INDEX(Spectrum!$N:$N,MATCH(RIGHT($B240,13)&amp;"|"&amp;$C240&amp;"|"&amp;$D240&amp;"|"&amp;AK$14&amp;"|"&amp;"CY2023Q3",Spectrum!$R:$R,0)),0),""))</f>
        <v/>
      </c>
      <c r="AL240" s="90" t="str">
        <f t="shared" si="83"/>
        <v/>
      </c>
      <c r="AM240" s="14" t="str">
        <f t="shared" si="84"/>
        <v/>
      </c>
      <c r="AN240" s="14">
        <f>IF($C240="&lt;01",ROUND(INDEX(EID!$P:$P,MATCH($B240,EID!$B:$B,0))/2,0),"")</f>
        <v>1</v>
      </c>
      <c r="AO240" s="14">
        <f t="shared" si="85"/>
        <v>1</v>
      </c>
      <c r="AP240" s="42">
        <f t="shared" si="86"/>
        <v>1</v>
      </c>
      <c r="AQ240" s="42">
        <f t="shared" si="87"/>
        <v>954</v>
      </c>
      <c r="AR240" s="90" t="str">
        <f t="shared" si="88"/>
        <v/>
      </c>
      <c r="AS240" s="90" t="str">
        <f t="shared" si="99"/>
        <v/>
      </c>
      <c r="AT240" s="90" t="str">
        <f t="shared" si="99"/>
        <v/>
      </c>
      <c r="AU240" s="14" t="str">
        <f t="shared" si="89"/>
        <v/>
      </c>
      <c r="AV240" s="14">
        <f>IF($C240="&lt;01",ROUND(INDEX(EID!$N:$N,MATCH($B240,EID!$B:$B,0))/2,0),IF(SUM($AT240)=0,"",ROUND((SUM($AP240)-(SUM($O240)*SUM($AS240)))/$AT240,0)))</f>
        <v>1</v>
      </c>
      <c r="AW240" s="90" t="str">
        <f t="shared" si="90"/>
        <v/>
      </c>
      <c r="AX240" s="42">
        <f t="shared" si="91"/>
        <v>1</v>
      </c>
      <c r="AY240" s="116" t="str">
        <f t="shared" si="92"/>
        <v/>
      </c>
      <c r="AZ240" s="93">
        <f>IF($C240="&lt;01",ROUND(INDEX(EID!$R:$R,MATCH($B240,EID!$B:$B,0))/2,0),ROUND(SUM($O240)+(SUM($AV240)*$AY240),0))</f>
        <v>1</v>
      </c>
      <c r="BA240" s="89" t="str">
        <f t="shared" si="93"/>
        <v/>
      </c>
      <c r="BB240" s="9">
        <f>IF($C240="&lt;01",ROUND(INDEX(EID!$T:$T,MATCH($B240,EID!$B:$B,0))/2,0),ROUND($AZ240*$BA240,0))</f>
        <v>1</v>
      </c>
      <c r="BC240" s="93">
        <f t="shared" si="94"/>
        <v>954</v>
      </c>
      <c r="BD240" s="90" t="str">
        <f t="shared" si="95"/>
        <v/>
      </c>
      <c r="BE240" s="42">
        <f>IF($C240="&lt;01",ROUND(INDEX(EID!$V:$V,MATCH($B240,EID!$B:$B,0))/2,0),ROUND($BD240*$BB240,0))</f>
        <v>1</v>
      </c>
      <c r="BF240" s="42">
        <f t="shared" si="96"/>
        <v>954</v>
      </c>
      <c r="BG240" s="116" t="str">
        <f t="shared" si="97"/>
        <v/>
      </c>
      <c r="BH240" s="9">
        <f>IF($C240="&lt;01",ROUND(INDEX(EID!$L:$L,MATCH($B240,EID!$B:$B,0)),0)/2,IF(SUM($BG240)=0,"",ROUND($AX240/$BG240,0)))</f>
        <v>1</v>
      </c>
    </row>
    <row r="241" spans="1:60" x14ac:dyDescent="0.2">
      <c r="A241" t="str">
        <f>INDEX(Prioritization!$D:$D,MATCH($B241,Prioritization!$A:$A,0))</f>
        <v>1 - Scale-up: Saturation</v>
      </c>
      <c r="B241" t="s">
        <v>209</v>
      </c>
      <c r="C241" t="s">
        <v>362</v>
      </c>
      <c r="D241" t="s">
        <v>29</v>
      </c>
      <c r="E241" t="str">
        <f t="shared" si="76"/>
        <v>Balaka District [ir8wuHHzoSs]|01-09|Female</v>
      </c>
      <c r="F241" s="14"/>
      <c r="G241" s="14"/>
      <c r="H241" s="14"/>
      <c r="I241" s="14"/>
      <c r="J241" s="14"/>
      <c r="K241" s="14"/>
      <c r="L241" s="14"/>
      <c r="M241" s="14"/>
      <c r="N241" s="14"/>
      <c r="O241" s="14" t="str">
        <f t="shared" si="77"/>
        <v/>
      </c>
      <c r="P241" s="14"/>
      <c r="Q241" s="14"/>
      <c r="R241" s="14" t="str">
        <f t="shared" si="78"/>
        <v/>
      </c>
      <c r="S241" s="14">
        <f>IF(LEFT($B241,4)="_Mil","",_xlfn.IFNA(ROUND(INDEX(Spectrum!$N:$N,MATCH(RIGHT($B241,13)&amp;"|"&amp;$C241&amp;"|"&amp;$D241&amp;"|"&amp;S$14&amp;"|"&amp;"CY2022Q4",Spectrum!$R:$R,0)),0),""))</f>
        <v>1811</v>
      </c>
      <c r="T241" s="42">
        <f>IF(LEFT($B241,4)="_Mil","",_xlfn.IFNA(ROUND(INDEX(Spectrum!$N:$N,MATCH(RIGHT($B241,13)&amp;"|"&amp;$C241&amp;"|"&amp;$D241&amp;"|"&amp;T$14&amp;"|"&amp;"CY2023Q3",Spectrum!$R:$R,0)),0),""))</f>
        <v>1197</v>
      </c>
      <c r="U241" s="42" t="str">
        <f>IF(LEFT($B241,4)="_Mil","",_xlfn.IFNA(ROUND(INDEX(Spectrum!$N:$N,MATCH(RIGHT($B241,13)&amp;"|"&amp;$C241&amp;"|"&amp;$D241&amp;"|"&amp;U$14&amp;"|"&amp;"CY2023Q3",Spectrum!$R:$R,0)),0),""))</f>
        <v/>
      </c>
      <c r="V241" s="14">
        <f>IF(LEFT($B241,4)="_Mil","",_xlfn.IFNA(ROUND(INDEX(Spectrum!$N:$N,MATCH(RIGHT($B241,13)&amp;"|"&amp;$C241&amp;"|"&amp;$D241&amp;"|"&amp;V$14&amp;"|"&amp;"CY2023Q3",Spectrum!$R:$R,0)),0),""))</f>
        <v>1269</v>
      </c>
      <c r="W241" s="115">
        <f>IF(LEFT($B241,4)="_Mil","",_xlfn.IFNA(INDEX(Spectrum!$N:$N,MATCH(RIGHT($B241,13)&amp;"|"&amp;$C241&amp;"|"&amp;$D241&amp;"|"&amp;W$14&amp;"|"&amp;"CY2023Q3",Spectrum!$R:$R,0)),""))</f>
        <v>1601</v>
      </c>
      <c r="X241" s="42">
        <f>IF(LEFT($B241,4)="_Mil","",_xlfn.IFNA(ROUND(INDEX(Spectrum!$N:$N,MATCH(RIGHT($B241,13)&amp;"|"&amp;$C241&amp;"|"&amp;$D241&amp;"|"&amp;X$14&amp;"|"&amp;"CY2023Q3",Spectrum!$R:$R,0)),0),""))</f>
        <v>1492</v>
      </c>
      <c r="Y241" s="90" t="str">
        <f t="shared" si="79"/>
        <v/>
      </c>
      <c r="Z241" s="42">
        <f>IF(LEFT($B241,4)="_Mil","",_xlfn.IFNA(ROUND(INDEX(Spectrum!$N:$N,MATCH(RIGHT($B241,13)&amp;"|"&amp;$C241&amp;"|"&amp;$D241&amp;"|"&amp;Z$14&amp;"|"&amp;"CY2023Q3",Spectrum!$R:$R,0)),0),""))</f>
        <v>1959</v>
      </c>
      <c r="AA241" s="90">
        <f>IF(LEFT($B241,4)="_Mil","",IFERROR(1/(1/INDEX(Spectrum!$N:$N,MATCH(RIGHT($B241,13)&amp;"|"&amp;$C241&amp;"|"&amp;$D241&amp;"|"&amp;AA$14&amp;"|"&amp;"CY2023Q3",Spectrum!$R:$R,0))),IF(SUM($U241)=0,"",SUM($Z241)/$U241)))</f>
        <v>670</v>
      </c>
      <c r="AB241" s="90">
        <f t="shared" si="80"/>
        <v>1.3130026809651474</v>
      </c>
      <c r="AC241" s="14">
        <f>IF(LEFT($B241,4)="_Mil","",_xlfn.IFNA(ROUND(INDEX(Spectrum!$N:$N,MATCH(RIGHT($B241,13)&amp;"|"&amp;$C241&amp;"|"&amp;$D241&amp;"|"&amp;AC$14&amp;"|"&amp;"CY2023Q3",Spectrum!$R:$R,0)),0),""))</f>
        <v>1073</v>
      </c>
      <c r="AD241" s="14" t="str">
        <f>IF(LEFT($B241,4)="_Mil","",_xlfn.IFNA(ROUND(INDEX(Spectrum!$N:$N,MATCH(RIGHT($B241,13)&amp;"|"&amp;$C241&amp;"|"&amp;$D241&amp;"|"&amp;AD$14&amp;"|"&amp;"CY2023Q3",Spectrum!$R:$R,0)),0),""))</f>
        <v/>
      </c>
      <c r="AE241" s="90">
        <f t="shared" si="81"/>
        <v>0</v>
      </c>
      <c r="AF241" s="42" t="str">
        <f>IF(LEFT($B241,4)="_Mil","",_xlfn.IFNA(ROUND(INDEX(Spectrum!$N:$N,MATCH(RIGHT($B241,13)&amp;"|"&amp;$C241&amp;"|"&amp;$D241&amp;"|"&amp;AF$14&amp;"|"&amp;"CY2023Q3",Spectrum!$R:$R,0)),0),""))</f>
        <v/>
      </c>
      <c r="AG241" s="90" t="str">
        <f t="shared" si="82"/>
        <v/>
      </c>
      <c r="AH241" s="88" t="str">
        <f>IF(LEFT($B241,4)="_Mil","",_xlfn.IFNA(INDEX(Spectrum!$N:$N,MATCH(RIGHT($B241,13)&amp;"|"&amp;$C241&amp;"|"&amp;$D241&amp;"|"&amp;AH$14&amp;"|"&amp;"CY2023Q3",Spectrum!$R:$R,0)),""))</f>
        <v/>
      </c>
      <c r="AI241" s="14" t="str">
        <f>IF(LEFT($B241,4)="_Mil","",_xlfn.IFNA(ROUND(INDEX(Spectrum!$N:$N,MATCH(RIGHT($B241,13)&amp;"|"&amp;$C241&amp;"|"&amp;$D241&amp;"|"&amp;AI$14&amp;"|"&amp;"CY2023Q3",Spectrum!$R:$R,0)),0),""))</f>
        <v/>
      </c>
      <c r="AJ241" s="42">
        <f>IF(LEFT($B241,4)="_Mil","",_xlfn.IFNA(ROUND(INDEX(Spectrum!$N:$N,MATCH(RIGHT($B241,13)&amp;"|"&amp;$C241&amp;"|"&amp;$D241&amp;"|"&amp;AI$14&amp;"|"&amp;"CY2023Q3",Spectrum!$R:$R,0)),0),SUM($U241)+SUM($AI241)))</f>
        <v>0</v>
      </c>
      <c r="AK241" s="14" t="str">
        <f>IF(LEFT($B241,4)="_Mil","",_xlfn.IFNA(ROUND(INDEX(Spectrum!$N:$N,MATCH(RIGHT($B241,13)&amp;"|"&amp;$C241&amp;"|"&amp;$D241&amp;"|"&amp;AK$14&amp;"|"&amp;"CY2023Q3",Spectrum!$R:$R,0)),0),""))</f>
        <v/>
      </c>
      <c r="AL241" s="90">
        <f t="shared" si="83"/>
        <v>670</v>
      </c>
      <c r="AM241" s="14">
        <f t="shared" si="84"/>
        <v>0</v>
      </c>
      <c r="AN241" s="14" t="str">
        <f>IF($C241="&lt;01",ROUND(INDEX(EID!$P:$P,MATCH($B241,EID!$B:$B,0))/2,0),"")</f>
        <v/>
      </c>
      <c r="AO241" s="14">
        <f t="shared" si="85"/>
        <v>0</v>
      </c>
      <c r="AP241" s="42">
        <f t="shared" si="86"/>
        <v>0</v>
      </c>
      <c r="AQ241" s="42">
        <f t="shared" si="87"/>
        <v>1959</v>
      </c>
      <c r="AR241" s="90" t="str">
        <f t="shared" si="88"/>
        <v/>
      </c>
      <c r="AS241" s="90">
        <f t="shared" si="99"/>
        <v>0.98</v>
      </c>
      <c r="AT241" s="90">
        <f t="shared" si="99"/>
        <v>0.98</v>
      </c>
      <c r="AU241" s="14">
        <f t="shared" si="89"/>
        <v>0</v>
      </c>
      <c r="AV241" s="14">
        <f>IF($C241="&lt;01",ROUND(INDEX(EID!$N:$N,MATCH($B241,EID!$B:$B,0))/2,0),IF(SUM($AT241)=0,"",ROUND((SUM($AP241)-(SUM($O241)*SUM($AS241)))/$AT241,0)))</f>
        <v>0</v>
      </c>
      <c r="AW241" s="90">
        <f t="shared" si="90"/>
        <v>1</v>
      </c>
      <c r="AX241" s="42">
        <f t="shared" si="91"/>
        <v>0</v>
      </c>
      <c r="AY241" s="116">
        <f t="shared" si="92"/>
        <v>0.7</v>
      </c>
      <c r="AZ241" s="93">
        <f>IF($C241="&lt;01",ROUND(INDEX(EID!$R:$R,MATCH($B241,EID!$B:$B,0))/2,0),ROUND(SUM($O241)+(SUM($AV241)*$AY241),0))</f>
        <v>0</v>
      </c>
      <c r="BA241" s="89">
        <f t="shared" si="93"/>
        <v>0.95</v>
      </c>
      <c r="BB241" s="9">
        <f>IF($C241="&lt;01",ROUND(INDEX(EID!$T:$T,MATCH($B241,EID!$B:$B,0))/2,0),ROUND($AZ241*$BA241,0))</f>
        <v>0</v>
      </c>
      <c r="BC241" s="93">
        <f t="shared" si="94"/>
        <v>0</v>
      </c>
      <c r="BD241" s="90">
        <f t="shared" si="95"/>
        <v>0.95</v>
      </c>
      <c r="BE241" s="42">
        <f>IF($C241="&lt;01",ROUND(INDEX(EID!$V:$V,MATCH($B241,EID!$B:$B,0))/2,0),ROUND($BD241*$BB241,0))</f>
        <v>0</v>
      </c>
      <c r="BF241" s="42">
        <f t="shared" si="96"/>
        <v>0</v>
      </c>
      <c r="BG241" s="116">
        <f t="shared" si="97"/>
        <v>0.95</v>
      </c>
      <c r="BH241" s="9">
        <f>IF($C241="&lt;01",ROUND(INDEX(EID!$L:$L,MATCH($B241,EID!$B:$B,0)),0)/2,IF(SUM($BG241)=0,"",ROUND($AX241/$BG241,0)))</f>
        <v>0</v>
      </c>
    </row>
    <row r="242" spans="1:60" x14ac:dyDescent="0.2">
      <c r="A242" t="str">
        <f>INDEX(Prioritization!$D:$D,MATCH($B242,Prioritization!$A:$A,0))</f>
        <v>1 - Scale-up: Saturation</v>
      </c>
      <c r="B242" t="s">
        <v>209</v>
      </c>
      <c r="C242" t="s">
        <v>362</v>
      </c>
      <c r="D242" t="s">
        <v>47</v>
      </c>
      <c r="E242" t="str">
        <f t="shared" si="76"/>
        <v>Balaka District [ir8wuHHzoSs]|01-09|Male</v>
      </c>
      <c r="F242" s="14"/>
      <c r="G242" s="14"/>
      <c r="H242" s="14"/>
      <c r="I242" s="14"/>
      <c r="J242" s="14"/>
      <c r="K242" s="14"/>
      <c r="L242" s="14"/>
      <c r="M242" s="14"/>
      <c r="N242" s="14"/>
      <c r="O242" s="14" t="str">
        <f t="shared" si="77"/>
        <v/>
      </c>
      <c r="P242" s="14"/>
      <c r="Q242" s="14"/>
      <c r="R242" s="14" t="str">
        <f t="shared" si="78"/>
        <v/>
      </c>
      <c r="S242" s="14">
        <f>IF(LEFT($B242,4)="_Mil","",_xlfn.IFNA(ROUND(INDEX(Spectrum!$N:$N,MATCH(RIGHT($B242,13)&amp;"|"&amp;$C242&amp;"|"&amp;$D242&amp;"|"&amp;S$14&amp;"|"&amp;"CY2022Q4",Spectrum!$R:$R,0)),0),""))</f>
        <v>943</v>
      </c>
      <c r="T242" s="42">
        <f>IF(LEFT($B242,4)="_Mil","",_xlfn.IFNA(ROUND(INDEX(Spectrum!$N:$N,MATCH(RIGHT($B242,13)&amp;"|"&amp;$C242&amp;"|"&amp;$D242&amp;"|"&amp;T$14&amp;"|"&amp;"CY2023Q3",Spectrum!$R:$R,0)),0),""))</f>
        <v>1326</v>
      </c>
      <c r="U242" s="42" t="str">
        <f>IF(LEFT($B242,4)="_Mil","",_xlfn.IFNA(ROUND(INDEX(Spectrum!$N:$N,MATCH(RIGHT($B242,13)&amp;"|"&amp;$C242&amp;"|"&amp;$D242&amp;"|"&amp;U$14&amp;"|"&amp;"CY2023Q3",Spectrum!$R:$R,0)),0),""))</f>
        <v/>
      </c>
      <c r="V242" s="14">
        <f>IF(LEFT($B242,4)="_Mil","",_xlfn.IFNA(ROUND(INDEX(Spectrum!$N:$N,MATCH(RIGHT($B242,13)&amp;"|"&amp;$C242&amp;"|"&amp;$D242&amp;"|"&amp;V$14&amp;"|"&amp;"CY2023Q3",Spectrum!$R:$R,0)),0),""))</f>
        <v>1670</v>
      </c>
      <c r="W242" s="115">
        <f>IF(LEFT($B242,4)="_Mil","",_xlfn.IFNA(INDEX(Spectrum!$N:$N,MATCH(RIGHT($B242,13)&amp;"|"&amp;$C242&amp;"|"&amp;$D242&amp;"|"&amp;W$14&amp;"|"&amp;"CY2023Q3",Spectrum!$R:$R,0)),""))</f>
        <v>1534</v>
      </c>
      <c r="X242" s="42">
        <f>IF(LEFT($B242,4)="_Mil","",_xlfn.IFNA(ROUND(INDEX(Spectrum!$N:$N,MATCH(RIGHT($B242,13)&amp;"|"&amp;$C242&amp;"|"&amp;$D242&amp;"|"&amp;X$14&amp;"|"&amp;"CY2023Q3",Spectrum!$R:$R,0)),0),""))</f>
        <v>1437</v>
      </c>
      <c r="Y242" s="90" t="str">
        <f t="shared" si="79"/>
        <v/>
      </c>
      <c r="Z242" s="42">
        <f>IF(LEFT($B242,4)="_Mil","",_xlfn.IFNA(ROUND(INDEX(Spectrum!$N:$N,MATCH(RIGHT($B242,13)&amp;"|"&amp;$C242&amp;"|"&amp;$D242&amp;"|"&amp;Z$14&amp;"|"&amp;"CY2023Q3",Spectrum!$R:$R,0)),0),""))</f>
        <v>1651</v>
      </c>
      <c r="AA242" s="90">
        <f>IF(LEFT($B242,4)="_Mil","",IFERROR(1/(1/INDEX(Spectrum!$N:$N,MATCH(RIGHT($B242,13)&amp;"|"&amp;$C242&amp;"|"&amp;$D242&amp;"|"&amp;AA$14&amp;"|"&amp;"CY2023Q3",Spectrum!$R:$R,0))),IF(SUM($U242)=0,"",SUM($Z242)/$U242)))</f>
        <v>602</v>
      </c>
      <c r="AB242" s="90">
        <f t="shared" si="80"/>
        <v>1.1489213639526792</v>
      </c>
      <c r="AC242" s="14">
        <f>IF(LEFT($B242,4)="_Mil","",_xlfn.IFNA(ROUND(INDEX(Spectrum!$N:$N,MATCH(RIGHT($B242,13)&amp;"|"&amp;$C242&amp;"|"&amp;$D242&amp;"|"&amp;AC$14&amp;"|"&amp;"CY2023Q3",Spectrum!$R:$R,0)),0),""))</f>
        <v>1501</v>
      </c>
      <c r="AD242" s="14" t="str">
        <f>IF(LEFT($B242,4)="_Mil","",_xlfn.IFNA(ROUND(INDEX(Spectrum!$N:$N,MATCH(RIGHT($B242,13)&amp;"|"&amp;$C242&amp;"|"&amp;$D242&amp;"|"&amp;AD$14&amp;"|"&amp;"CY2023Q3",Spectrum!$R:$R,0)),0),""))</f>
        <v/>
      </c>
      <c r="AE242" s="90">
        <f t="shared" si="81"/>
        <v>0</v>
      </c>
      <c r="AF242" s="42" t="str">
        <f>IF(LEFT($B242,4)="_Mil","",_xlfn.IFNA(ROUND(INDEX(Spectrum!$N:$N,MATCH(RIGHT($B242,13)&amp;"|"&amp;$C242&amp;"|"&amp;$D242&amp;"|"&amp;AF$14&amp;"|"&amp;"CY2023Q3",Spectrum!$R:$R,0)),0),""))</f>
        <v/>
      </c>
      <c r="AG242" s="90" t="str">
        <f t="shared" si="82"/>
        <v/>
      </c>
      <c r="AH242" s="88" t="str">
        <f>IF(LEFT($B242,4)="_Mil","",_xlfn.IFNA(INDEX(Spectrum!$N:$N,MATCH(RIGHT($B242,13)&amp;"|"&amp;$C242&amp;"|"&amp;$D242&amp;"|"&amp;AH$14&amp;"|"&amp;"CY2023Q3",Spectrum!$R:$R,0)),""))</f>
        <v/>
      </c>
      <c r="AI242" s="14" t="str">
        <f>IF(LEFT($B242,4)="_Mil","",_xlfn.IFNA(ROUND(INDEX(Spectrum!$N:$N,MATCH(RIGHT($B242,13)&amp;"|"&amp;$C242&amp;"|"&amp;$D242&amp;"|"&amp;AI$14&amp;"|"&amp;"CY2023Q3",Spectrum!$R:$R,0)),0),""))</f>
        <v/>
      </c>
      <c r="AJ242" s="42">
        <f>IF(LEFT($B242,4)="_Mil","",_xlfn.IFNA(ROUND(INDEX(Spectrum!$N:$N,MATCH(RIGHT($B242,13)&amp;"|"&amp;$C242&amp;"|"&amp;$D242&amp;"|"&amp;AI$14&amp;"|"&amp;"CY2023Q3",Spectrum!$R:$R,0)),0),SUM($U242)+SUM($AI242)))</f>
        <v>0</v>
      </c>
      <c r="AK242" s="14" t="str">
        <f>IF(LEFT($B242,4)="_Mil","",_xlfn.IFNA(ROUND(INDEX(Spectrum!$N:$N,MATCH(RIGHT($B242,13)&amp;"|"&amp;$C242&amp;"|"&amp;$D242&amp;"|"&amp;AK$14&amp;"|"&amp;"CY2023Q3",Spectrum!$R:$R,0)),0),""))</f>
        <v/>
      </c>
      <c r="AL242" s="90">
        <f t="shared" si="83"/>
        <v>602</v>
      </c>
      <c r="AM242" s="14">
        <f t="shared" si="84"/>
        <v>0</v>
      </c>
      <c r="AN242" s="14" t="str">
        <f>IF($C242="&lt;01",ROUND(INDEX(EID!$P:$P,MATCH($B242,EID!$B:$B,0))/2,0),"")</f>
        <v/>
      </c>
      <c r="AO242" s="14">
        <f t="shared" si="85"/>
        <v>0</v>
      </c>
      <c r="AP242" s="42">
        <f t="shared" si="86"/>
        <v>0</v>
      </c>
      <c r="AQ242" s="42">
        <f t="shared" si="87"/>
        <v>1651</v>
      </c>
      <c r="AR242" s="90" t="str">
        <f t="shared" si="88"/>
        <v/>
      </c>
      <c r="AS242" s="90">
        <f t="shared" si="99"/>
        <v>0.98</v>
      </c>
      <c r="AT242" s="90">
        <f t="shared" si="99"/>
        <v>0.98</v>
      </c>
      <c r="AU242" s="14">
        <f t="shared" si="89"/>
        <v>0</v>
      </c>
      <c r="AV242" s="14">
        <f>IF($C242="&lt;01",ROUND(INDEX(EID!$N:$N,MATCH($B242,EID!$B:$B,0))/2,0),IF(SUM($AT242)=0,"",ROUND((SUM($AP242)-(SUM($O242)*SUM($AS242)))/$AT242,0)))</f>
        <v>0</v>
      </c>
      <c r="AW242" s="90">
        <f t="shared" si="90"/>
        <v>1</v>
      </c>
      <c r="AX242" s="42">
        <f t="shared" si="91"/>
        <v>0</v>
      </c>
      <c r="AY242" s="116">
        <f t="shared" si="92"/>
        <v>0.7</v>
      </c>
      <c r="AZ242" s="93">
        <f>IF($C242="&lt;01",ROUND(INDEX(EID!$R:$R,MATCH($B242,EID!$B:$B,0))/2,0),ROUND(SUM($O242)+(SUM($AV242)*$AY242),0))</f>
        <v>0</v>
      </c>
      <c r="BA242" s="89">
        <f t="shared" si="93"/>
        <v>0.95</v>
      </c>
      <c r="BB242" s="9">
        <f>IF($C242="&lt;01",ROUND(INDEX(EID!$T:$T,MATCH($B242,EID!$B:$B,0))/2,0),ROUND($AZ242*$BA242,0))</f>
        <v>0</v>
      </c>
      <c r="BC242" s="93">
        <f t="shared" si="94"/>
        <v>0</v>
      </c>
      <c r="BD242" s="90">
        <f t="shared" si="95"/>
        <v>0.95</v>
      </c>
      <c r="BE242" s="42">
        <f>IF($C242="&lt;01",ROUND(INDEX(EID!$V:$V,MATCH($B242,EID!$B:$B,0))/2,0),ROUND($BD242*$BB242,0))</f>
        <v>0</v>
      </c>
      <c r="BF242" s="42">
        <f t="shared" si="96"/>
        <v>0</v>
      </c>
      <c r="BG242" s="116">
        <f t="shared" si="97"/>
        <v>0.95</v>
      </c>
      <c r="BH242" s="9">
        <f>IF($C242="&lt;01",ROUND(INDEX(EID!$L:$L,MATCH($B242,EID!$B:$B,0)),0)/2,IF(SUM($BG242)=0,"",ROUND($AX242/$BG242,0)))</f>
        <v>0</v>
      </c>
    </row>
    <row r="243" spans="1:60" x14ac:dyDescent="0.2">
      <c r="A243" t="str">
        <f>INDEX(Prioritization!$D:$D,MATCH($B243,Prioritization!$A:$A,0))</f>
        <v>1 - Scale-up: Saturation</v>
      </c>
      <c r="B243" t="s">
        <v>209</v>
      </c>
      <c r="C243" t="s">
        <v>363</v>
      </c>
      <c r="D243" t="s">
        <v>29</v>
      </c>
      <c r="E243" t="str">
        <f t="shared" si="76"/>
        <v>Balaka District [ir8wuHHzoSs]|10-14|Female</v>
      </c>
      <c r="F243" s="14"/>
      <c r="G243" s="14">
        <v>10</v>
      </c>
      <c r="H243" s="14">
        <v>6</v>
      </c>
      <c r="I243" s="14">
        <v>85</v>
      </c>
      <c r="J243" s="14">
        <v>69</v>
      </c>
      <c r="K243" s="14">
        <v>39</v>
      </c>
      <c r="L243" s="14">
        <v>4</v>
      </c>
      <c r="M243" s="14">
        <v>3</v>
      </c>
      <c r="N243" s="14">
        <v>92</v>
      </c>
      <c r="O243" s="14">
        <f t="shared" si="77"/>
        <v>92</v>
      </c>
      <c r="P243" s="14">
        <v>26</v>
      </c>
      <c r="Q243" s="14">
        <v>42</v>
      </c>
      <c r="R243" s="14">
        <f t="shared" si="78"/>
        <v>7</v>
      </c>
      <c r="S243" s="14">
        <f>IF(LEFT($B243,4)="_Mil","",_xlfn.IFNA(ROUND(INDEX(Spectrum!$N:$N,MATCH(RIGHT($B243,13)&amp;"|"&amp;$C243&amp;"|"&amp;$D243&amp;"|"&amp;S$14&amp;"|"&amp;"CY2022Q4",Spectrum!$R:$R,0)),0),""))</f>
        <v>867</v>
      </c>
      <c r="T243" s="42">
        <f>IF(LEFT($B243,4)="_Mil","",_xlfn.IFNA(ROUND(INDEX(Spectrum!$N:$N,MATCH(RIGHT($B243,13)&amp;"|"&amp;$C243&amp;"|"&amp;$D243&amp;"|"&amp;T$14&amp;"|"&amp;"CY2023Q3",Spectrum!$R:$R,0)),0),""))</f>
        <v>819</v>
      </c>
      <c r="U243" s="42" t="str">
        <f>IF(LEFT($B243,4)="_Mil","",_xlfn.IFNA(ROUND(INDEX(Spectrum!$N:$N,MATCH(RIGHT($B243,13)&amp;"|"&amp;$C243&amp;"|"&amp;$D243&amp;"|"&amp;U$14&amp;"|"&amp;"CY2023Q3",Spectrum!$R:$R,0)),0),""))</f>
        <v/>
      </c>
      <c r="V243" s="14">
        <f>IF(LEFT($B243,4)="_Mil","",_xlfn.IFNA(ROUND(INDEX(Spectrum!$N:$N,MATCH(RIGHT($B243,13)&amp;"|"&amp;$C243&amp;"|"&amp;$D243&amp;"|"&amp;V$14&amp;"|"&amp;"CY2023Q3",Spectrum!$R:$R,0)),0),""))</f>
        <v>625</v>
      </c>
      <c r="W243" s="115">
        <f>IF(LEFT($B243,4)="_Mil","",_xlfn.IFNA(INDEX(Spectrum!$N:$N,MATCH(RIGHT($B243,13)&amp;"|"&amp;$C243&amp;"|"&amp;$D243&amp;"|"&amp;W$14&amp;"|"&amp;"CY2023Q3",Spectrum!$R:$R,0)),""))</f>
        <v>1085</v>
      </c>
      <c r="X243" s="42">
        <f>IF(LEFT($B243,4)="_Mil","",_xlfn.IFNA(ROUND(INDEX(Spectrum!$N:$N,MATCH(RIGHT($B243,13)&amp;"|"&amp;$C243&amp;"|"&amp;$D243&amp;"|"&amp;X$14&amp;"|"&amp;"CY2023Q3",Spectrum!$R:$R,0)),0),""))</f>
        <v>1991</v>
      </c>
      <c r="Y243" s="90" t="str">
        <f t="shared" si="79"/>
        <v/>
      </c>
      <c r="Z243" s="42">
        <f>IF(LEFT($B243,4)="_Mil","",_xlfn.IFNA(ROUND(INDEX(Spectrum!$N:$N,MATCH(RIGHT($B243,13)&amp;"|"&amp;$C243&amp;"|"&amp;$D243&amp;"|"&amp;Z$14&amp;"|"&amp;"CY2023Q3",Spectrum!$R:$R,0)),0),""))</f>
        <v>1579</v>
      </c>
      <c r="AA243" s="90">
        <f>IF(LEFT($B243,4)="_Mil","",IFERROR(1/(1/INDEX(Spectrum!$N:$N,MATCH(RIGHT($B243,13)&amp;"|"&amp;$C243&amp;"|"&amp;$D243&amp;"|"&amp;AA$14&amp;"|"&amp;"CY2023Q3",Spectrum!$R:$R,0))),IF(SUM($U243)=0,"",SUM($Z243)/$U243)))</f>
        <v>698</v>
      </c>
      <c r="AB243" s="90">
        <f t="shared" si="80"/>
        <v>0.79306880964339532</v>
      </c>
      <c r="AC243" s="14">
        <f>IF(LEFT($B243,4)="_Mil","",_xlfn.IFNA(ROUND(INDEX(Spectrum!$N:$N,MATCH(RIGHT($B243,13)&amp;"|"&amp;$C243&amp;"|"&amp;$D243&amp;"|"&amp;AC$14&amp;"|"&amp;"CY2023Q3",Spectrum!$R:$R,0)),0),""))</f>
        <v>1259</v>
      </c>
      <c r="AD243" s="14" t="str">
        <f>IF(LEFT($B243,4)="_Mil","",_xlfn.IFNA(ROUND(INDEX(Spectrum!$N:$N,MATCH(RIGHT($B243,13)&amp;"|"&amp;$C243&amp;"|"&amp;$D243&amp;"|"&amp;AD$14&amp;"|"&amp;"CY2023Q3",Spectrum!$R:$R,0)),0),""))</f>
        <v/>
      </c>
      <c r="AE243" s="90">
        <f t="shared" si="81"/>
        <v>0</v>
      </c>
      <c r="AF243" s="42" t="str">
        <f>IF(LEFT($B243,4)="_Mil","",_xlfn.IFNA(ROUND(INDEX(Spectrum!$N:$N,MATCH(RIGHT($B243,13)&amp;"|"&amp;$C243&amp;"|"&amp;$D243&amp;"|"&amp;AF$14&amp;"|"&amp;"CY2023Q3",Spectrum!$R:$R,0)),0),""))</f>
        <v/>
      </c>
      <c r="AG243" s="90" t="str">
        <f t="shared" si="82"/>
        <v/>
      </c>
      <c r="AH243" s="88" t="str">
        <f>IF(LEFT($B243,4)="_Mil","",_xlfn.IFNA(INDEX(Spectrum!$N:$N,MATCH(RIGHT($B243,13)&amp;"|"&amp;$C243&amp;"|"&amp;$D243&amp;"|"&amp;AH$14&amp;"|"&amp;"CY2023Q3",Spectrum!$R:$R,0)),""))</f>
        <v/>
      </c>
      <c r="AI243" s="14" t="str">
        <f>IF(LEFT($B243,4)="_Mil","",_xlfn.IFNA(ROUND(INDEX(Spectrum!$N:$N,MATCH(RIGHT($B243,13)&amp;"|"&amp;$C243&amp;"|"&amp;$D243&amp;"|"&amp;AI$14&amp;"|"&amp;"CY2023Q3",Spectrum!$R:$R,0)),0),""))</f>
        <v/>
      </c>
      <c r="AJ243" s="42">
        <f>IF(LEFT($B243,4)="_Mil","",_xlfn.IFNA(ROUND(INDEX(Spectrum!$N:$N,MATCH(RIGHT($B243,13)&amp;"|"&amp;$C243&amp;"|"&amp;$D243&amp;"|"&amp;AI$14&amp;"|"&amp;"CY2023Q3",Spectrum!$R:$R,0)),0),SUM($U243)+SUM($AI243)))</f>
        <v>0</v>
      </c>
      <c r="AK243" s="14" t="str">
        <f>IF(LEFT($B243,4)="_Mil","",_xlfn.IFNA(ROUND(INDEX(Spectrum!$N:$N,MATCH(RIGHT($B243,13)&amp;"|"&amp;$C243&amp;"|"&amp;$D243&amp;"|"&amp;AK$14&amp;"|"&amp;"CY2023Q3",Spectrum!$R:$R,0)),0),""))</f>
        <v/>
      </c>
      <c r="AL243" s="90">
        <f t="shared" si="83"/>
        <v>698</v>
      </c>
      <c r="AM243" s="14">
        <f t="shared" si="84"/>
        <v>0</v>
      </c>
      <c r="AN243" s="14" t="str">
        <f>IF($C243="&lt;01",ROUND(INDEX(EID!$P:$P,MATCH($B243,EID!$B:$B,0))/2,0),"")</f>
        <v/>
      </c>
      <c r="AO243" s="14">
        <f t="shared" si="85"/>
        <v>0</v>
      </c>
      <c r="AP243" s="42">
        <f t="shared" si="86"/>
        <v>0</v>
      </c>
      <c r="AQ243" s="42">
        <f t="shared" si="87"/>
        <v>1579</v>
      </c>
      <c r="AR243" s="90" t="str">
        <f t="shared" si="88"/>
        <v/>
      </c>
      <c r="AS243" s="90">
        <f t="shared" si="99"/>
        <v>0.98</v>
      </c>
      <c r="AT243" s="90">
        <f t="shared" si="99"/>
        <v>0.98</v>
      </c>
      <c r="AU243" s="14">
        <f t="shared" si="89"/>
        <v>-92</v>
      </c>
      <c r="AV243" s="14">
        <f>IF($C243="&lt;01",ROUND(INDEX(EID!$N:$N,MATCH($B243,EID!$B:$B,0))/2,0),IF(SUM($AT243)=0,"",ROUND((SUM($AP243)-(SUM($O243)*SUM($AS243)))/$AT243,0)))</f>
        <v>-92</v>
      </c>
      <c r="AW243" s="90">
        <f t="shared" si="90"/>
        <v>1</v>
      </c>
      <c r="AX243" s="42">
        <f t="shared" si="91"/>
        <v>-92</v>
      </c>
      <c r="AY243" s="116">
        <f t="shared" si="92"/>
        <v>0.7</v>
      </c>
      <c r="AZ243" s="93">
        <f>IF($C243="&lt;01",ROUND(INDEX(EID!$R:$R,MATCH($B243,EID!$B:$B,0))/2,0),ROUND(SUM($O243)+(SUM($AV243)*$AY243),0))</f>
        <v>28</v>
      </c>
      <c r="BA243" s="89">
        <f t="shared" si="93"/>
        <v>0.95</v>
      </c>
      <c r="BB243" s="9">
        <f>IF($C243="&lt;01",ROUND(INDEX(EID!$T:$T,MATCH($B243,EID!$B:$B,0))/2,0),ROUND($AZ243*$BA243,0))</f>
        <v>27</v>
      </c>
      <c r="BC243" s="93">
        <f t="shared" si="94"/>
        <v>27</v>
      </c>
      <c r="BD243" s="90">
        <f t="shared" si="95"/>
        <v>0.95</v>
      </c>
      <c r="BE243" s="42">
        <f>IF($C243="&lt;01",ROUND(INDEX(EID!$V:$V,MATCH($B243,EID!$B:$B,0))/2,0),ROUND($BD243*$BB243,0))</f>
        <v>26</v>
      </c>
      <c r="BF243" s="42">
        <f t="shared" si="96"/>
        <v>26</v>
      </c>
      <c r="BG243" s="116">
        <f t="shared" si="97"/>
        <v>0.95</v>
      </c>
      <c r="BH243" s="9">
        <f>IF($C243="&lt;01",ROUND(INDEX(EID!$L:$L,MATCH($B243,EID!$B:$B,0)),0)/2,IF(SUM($BG243)=0,"",ROUND($AX243/$BG243,0)))</f>
        <v>-97</v>
      </c>
    </row>
    <row r="244" spans="1:60" x14ac:dyDescent="0.2">
      <c r="A244" t="str">
        <f>INDEX(Prioritization!$D:$D,MATCH($B244,Prioritization!$A:$A,0))</f>
        <v>1 - Scale-up: Saturation</v>
      </c>
      <c r="B244" t="s">
        <v>209</v>
      </c>
      <c r="C244" t="s">
        <v>363</v>
      </c>
      <c r="D244" t="s">
        <v>47</v>
      </c>
      <c r="E244" t="str">
        <f t="shared" si="76"/>
        <v>Balaka District [ir8wuHHzoSs]|10-14|Male</v>
      </c>
      <c r="F244" s="14"/>
      <c r="G244" s="14">
        <v>1</v>
      </c>
      <c r="H244" s="14">
        <v>9</v>
      </c>
      <c r="I244" s="14">
        <v>19</v>
      </c>
      <c r="J244" s="14">
        <v>65</v>
      </c>
      <c r="K244" s="14">
        <v>50</v>
      </c>
      <c r="L244" s="14">
        <v>1</v>
      </c>
      <c r="M244" s="14">
        <v>1</v>
      </c>
      <c r="N244" s="14">
        <v>38</v>
      </c>
      <c r="O244" s="14">
        <f t="shared" si="77"/>
        <v>38</v>
      </c>
      <c r="P244" s="14">
        <v>53</v>
      </c>
      <c r="Q244" s="14">
        <v>57</v>
      </c>
      <c r="R244" s="14">
        <f t="shared" si="78"/>
        <v>19</v>
      </c>
      <c r="S244" s="14">
        <f>IF(LEFT($B244,4)="_Mil","",_xlfn.IFNA(ROUND(INDEX(Spectrum!$N:$N,MATCH(RIGHT($B244,13)&amp;"|"&amp;$C244&amp;"|"&amp;$D244&amp;"|"&amp;S$14&amp;"|"&amp;"CY2022Q4",Spectrum!$R:$R,0)),0),""))</f>
        <v>1588</v>
      </c>
      <c r="T244" s="42">
        <f>IF(LEFT($B244,4)="_Mil","",_xlfn.IFNA(ROUND(INDEX(Spectrum!$N:$N,MATCH(RIGHT($B244,13)&amp;"|"&amp;$C244&amp;"|"&amp;$D244&amp;"|"&amp;T$14&amp;"|"&amp;"CY2023Q3",Spectrum!$R:$R,0)),0),""))</f>
        <v>812</v>
      </c>
      <c r="U244" s="42" t="str">
        <f>IF(LEFT($B244,4)="_Mil","",_xlfn.IFNA(ROUND(INDEX(Spectrum!$N:$N,MATCH(RIGHT($B244,13)&amp;"|"&amp;$C244&amp;"|"&amp;$D244&amp;"|"&amp;U$14&amp;"|"&amp;"CY2023Q3",Spectrum!$R:$R,0)),0),""))</f>
        <v/>
      </c>
      <c r="V244" s="14">
        <f>IF(LEFT($B244,4)="_Mil","",_xlfn.IFNA(ROUND(INDEX(Spectrum!$N:$N,MATCH(RIGHT($B244,13)&amp;"|"&amp;$C244&amp;"|"&amp;$D244&amp;"|"&amp;V$14&amp;"|"&amp;"CY2023Q3",Spectrum!$R:$R,0)),0),""))</f>
        <v>622</v>
      </c>
      <c r="W244" s="115">
        <f>IF(LEFT($B244,4)="_Mil","",_xlfn.IFNA(INDEX(Spectrum!$N:$N,MATCH(RIGHT($B244,13)&amp;"|"&amp;$C244&amp;"|"&amp;$D244&amp;"|"&amp;W$14&amp;"|"&amp;"CY2023Q3",Spectrum!$R:$R,0)),""))</f>
        <v>1481</v>
      </c>
      <c r="X244" s="42">
        <f>IF(LEFT($B244,4)="_Mil","",_xlfn.IFNA(ROUND(INDEX(Spectrum!$N:$N,MATCH(RIGHT($B244,13)&amp;"|"&amp;$C244&amp;"|"&amp;$D244&amp;"|"&amp;X$14&amp;"|"&amp;"CY2023Q3",Spectrum!$R:$R,0)),0),""))</f>
        <v>893</v>
      </c>
      <c r="Y244" s="90" t="str">
        <f t="shared" si="79"/>
        <v/>
      </c>
      <c r="Z244" s="42">
        <f>IF(LEFT($B244,4)="_Mil","",_xlfn.IFNA(ROUND(INDEX(Spectrum!$N:$N,MATCH(RIGHT($B244,13)&amp;"|"&amp;$C244&amp;"|"&amp;$D244&amp;"|"&amp;Z$14&amp;"|"&amp;"CY2023Q3",Spectrum!$R:$R,0)),0),""))</f>
        <v>1419</v>
      </c>
      <c r="AA244" s="90">
        <f>IF(LEFT($B244,4)="_Mil","",IFERROR(1/(1/INDEX(Spectrum!$N:$N,MATCH(RIGHT($B244,13)&amp;"|"&amp;$C244&amp;"|"&amp;$D244&amp;"|"&amp;AA$14&amp;"|"&amp;"CY2023Q3",Spectrum!$R:$R,0))),IF(SUM($U244)=0,"",SUM($Z244)/$U244)))</f>
        <v>1493</v>
      </c>
      <c r="AB244" s="90">
        <f t="shared" si="80"/>
        <v>1.5890257558790593</v>
      </c>
      <c r="AC244" s="14">
        <f>IF(LEFT($B244,4)="_Mil","",_xlfn.IFNA(ROUND(INDEX(Spectrum!$N:$N,MATCH(RIGHT($B244,13)&amp;"|"&amp;$C244&amp;"|"&amp;$D244&amp;"|"&amp;AC$14&amp;"|"&amp;"CY2023Q3",Spectrum!$R:$R,0)),0),""))</f>
        <v>1729</v>
      </c>
      <c r="AD244" s="14" t="str">
        <f>IF(LEFT($B244,4)="_Mil","",_xlfn.IFNA(ROUND(INDEX(Spectrum!$N:$N,MATCH(RIGHT($B244,13)&amp;"|"&amp;$C244&amp;"|"&amp;$D244&amp;"|"&amp;AD$14&amp;"|"&amp;"CY2023Q3",Spectrum!$R:$R,0)),0),""))</f>
        <v/>
      </c>
      <c r="AE244" s="90">
        <f t="shared" si="81"/>
        <v>0</v>
      </c>
      <c r="AF244" s="42" t="str">
        <f>IF(LEFT($B244,4)="_Mil","",_xlfn.IFNA(ROUND(INDEX(Spectrum!$N:$N,MATCH(RIGHT($B244,13)&amp;"|"&amp;$C244&amp;"|"&amp;$D244&amp;"|"&amp;AF$14&amp;"|"&amp;"CY2023Q3",Spectrum!$R:$R,0)),0),""))</f>
        <v/>
      </c>
      <c r="AG244" s="90" t="str">
        <f t="shared" si="82"/>
        <v/>
      </c>
      <c r="AH244" s="88" t="str">
        <f>IF(LEFT($B244,4)="_Mil","",_xlfn.IFNA(INDEX(Spectrum!$N:$N,MATCH(RIGHT($B244,13)&amp;"|"&amp;$C244&amp;"|"&amp;$D244&amp;"|"&amp;AH$14&amp;"|"&amp;"CY2023Q3",Spectrum!$R:$R,0)),""))</f>
        <v/>
      </c>
      <c r="AI244" s="14" t="str">
        <f>IF(LEFT($B244,4)="_Mil","",_xlfn.IFNA(ROUND(INDEX(Spectrum!$N:$N,MATCH(RIGHT($B244,13)&amp;"|"&amp;$C244&amp;"|"&amp;$D244&amp;"|"&amp;AI$14&amp;"|"&amp;"CY2023Q3",Spectrum!$R:$R,0)),0),""))</f>
        <v/>
      </c>
      <c r="AJ244" s="42">
        <f>IF(LEFT($B244,4)="_Mil","",_xlfn.IFNA(ROUND(INDEX(Spectrum!$N:$N,MATCH(RIGHT($B244,13)&amp;"|"&amp;$C244&amp;"|"&amp;$D244&amp;"|"&amp;AI$14&amp;"|"&amp;"CY2023Q3",Spectrum!$R:$R,0)),0),SUM($U244)+SUM($AI244)))</f>
        <v>0</v>
      </c>
      <c r="AK244" s="14" t="str">
        <f>IF(LEFT($B244,4)="_Mil","",_xlfn.IFNA(ROUND(INDEX(Spectrum!$N:$N,MATCH(RIGHT($B244,13)&amp;"|"&amp;$C244&amp;"|"&amp;$D244&amp;"|"&amp;AK$14&amp;"|"&amp;"CY2023Q3",Spectrum!$R:$R,0)),0),""))</f>
        <v/>
      </c>
      <c r="AL244" s="90">
        <f t="shared" si="83"/>
        <v>1493</v>
      </c>
      <c r="AM244" s="14">
        <f t="shared" si="84"/>
        <v>0</v>
      </c>
      <c r="AN244" s="14" t="str">
        <f>IF($C244="&lt;01",ROUND(INDEX(EID!$P:$P,MATCH($B244,EID!$B:$B,0))/2,0),"")</f>
        <v/>
      </c>
      <c r="AO244" s="14">
        <f t="shared" si="85"/>
        <v>0</v>
      </c>
      <c r="AP244" s="42">
        <f t="shared" si="86"/>
        <v>0</v>
      </c>
      <c r="AQ244" s="42">
        <f t="shared" si="87"/>
        <v>1419</v>
      </c>
      <c r="AR244" s="90" t="str">
        <f t="shared" si="88"/>
        <v/>
      </c>
      <c r="AS244" s="90">
        <f t="shared" si="99"/>
        <v>0.98</v>
      </c>
      <c r="AT244" s="90">
        <f t="shared" si="99"/>
        <v>0.98</v>
      </c>
      <c r="AU244" s="14">
        <f t="shared" si="89"/>
        <v>-38</v>
      </c>
      <c r="AV244" s="14">
        <f>IF($C244="&lt;01",ROUND(INDEX(EID!$N:$N,MATCH($B244,EID!$B:$B,0))/2,0),IF(SUM($AT244)=0,"",ROUND((SUM($AP244)-(SUM($O244)*SUM($AS244)))/$AT244,0)))</f>
        <v>-38</v>
      </c>
      <c r="AW244" s="90">
        <f t="shared" si="90"/>
        <v>1</v>
      </c>
      <c r="AX244" s="42">
        <f t="shared" si="91"/>
        <v>-38</v>
      </c>
      <c r="AY244" s="116">
        <f t="shared" si="92"/>
        <v>0.7</v>
      </c>
      <c r="AZ244" s="93">
        <f>IF($C244="&lt;01",ROUND(INDEX(EID!$R:$R,MATCH($B244,EID!$B:$B,0))/2,0),ROUND(SUM($O244)+(SUM($AV244)*$AY244),0))</f>
        <v>11</v>
      </c>
      <c r="BA244" s="89">
        <f t="shared" si="93"/>
        <v>0.95</v>
      </c>
      <c r="BB244" s="9">
        <f>IF($C244="&lt;01",ROUND(INDEX(EID!$T:$T,MATCH($B244,EID!$B:$B,0))/2,0),ROUND($AZ244*$BA244,0))</f>
        <v>10</v>
      </c>
      <c r="BC244" s="93">
        <f t="shared" si="94"/>
        <v>10</v>
      </c>
      <c r="BD244" s="90">
        <f t="shared" si="95"/>
        <v>0.95</v>
      </c>
      <c r="BE244" s="42">
        <f>IF($C244="&lt;01",ROUND(INDEX(EID!$V:$V,MATCH($B244,EID!$B:$B,0))/2,0),ROUND($BD244*$BB244,0))</f>
        <v>10</v>
      </c>
      <c r="BF244" s="42">
        <f t="shared" si="96"/>
        <v>10</v>
      </c>
      <c r="BG244" s="116">
        <f t="shared" si="97"/>
        <v>0.95</v>
      </c>
      <c r="BH244" s="9">
        <f>IF($C244="&lt;01",ROUND(INDEX(EID!$L:$L,MATCH($B244,EID!$B:$B,0)),0)/2,IF(SUM($BG244)=0,"",ROUND($AX244/$BG244,0)))</f>
        <v>-40</v>
      </c>
    </row>
    <row r="245" spans="1:60" x14ac:dyDescent="0.2">
      <c r="A245" t="str">
        <f>INDEX(Prioritization!$D:$D,MATCH($B245,Prioritization!$A:$A,0))</f>
        <v>1 - Scale-up: Saturation</v>
      </c>
      <c r="B245" t="s">
        <v>209</v>
      </c>
      <c r="C245" t="s">
        <v>364</v>
      </c>
      <c r="D245" t="s">
        <v>29</v>
      </c>
      <c r="E245" t="str">
        <f t="shared" si="76"/>
        <v>Balaka District [ir8wuHHzoSs]|15-24|Female</v>
      </c>
      <c r="F245" s="14"/>
      <c r="G245" s="14"/>
      <c r="H245" s="14"/>
      <c r="I245" s="14"/>
      <c r="J245" s="14"/>
      <c r="K245" s="14"/>
      <c r="L245" s="14"/>
      <c r="M245" s="14"/>
      <c r="N245" s="14"/>
      <c r="O245" s="14" t="str">
        <f t="shared" si="77"/>
        <v/>
      </c>
      <c r="P245" s="14"/>
      <c r="Q245" s="14"/>
      <c r="R245" s="14" t="str">
        <f t="shared" si="78"/>
        <v/>
      </c>
      <c r="S245" s="14">
        <f>IF(LEFT($B245,4)="_Mil","",_xlfn.IFNA(ROUND(INDEX(Spectrum!$N:$N,MATCH(RIGHT($B245,13)&amp;"|"&amp;$C245&amp;"|"&amp;$D245&amp;"|"&amp;S$14&amp;"|"&amp;"CY2022Q4",Spectrum!$R:$R,0)),0),""))</f>
        <v>928</v>
      </c>
      <c r="T245" s="42">
        <f>IF(LEFT($B245,4)="_Mil","",_xlfn.IFNA(ROUND(INDEX(Spectrum!$N:$N,MATCH(RIGHT($B245,13)&amp;"|"&amp;$C245&amp;"|"&amp;$D245&amp;"|"&amp;T$14&amp;"|"&amp;"CY2023Q3",Spectrum!$R:$R,0)),0),""))</f>
        <v>957</v>
      </c>
      <c r="U245" s="42" t="str">
        <f>IF(LEFT($B245,4)="_Mil","",_xlfn.IFNA(ROUND(INDEX(Spectrum!$N:$N,MATCH(RIGHT($B245,13)&amp;"|"&amp;$C245&amp;"|"&amp;$D245&amp;"|"&amp;U$14&amp;"|"&amp;"CY2023Q3",Spectrum!$R:$R,0)),0),""))</f>
        <v/>
      </c>
      <c r="V245" s="14">
        <f>IF(LEFT($B245,4)="_Mil","",_xlfn.IFNA(ROUND(INDEX(Spectrum!$N:$N,MATCH(RIGHT($B245,13)&amp;"|"&amp;$C245&amp;"|"&amp;$D245&amp;"|"&amp;V$14&amp;"|"&amp;"CY2023Q3",Spectrum!$R:$R,0)),0),""))</f>
        <v>1675</v>
      </c>
      <c r="W245" s="115">
        <f>IF(LEFT($B245,4)="_Mil","",_xlfn.IFNA(INDEX(Spectrum!$N:$N,MATCH(RIGHT($B245,13)&amp;"|"&amp;$C245&amp;"|"&amp;$D245&amp;"|"&amp;W$14&amp;"|"&amp;"CY2023Q3",Spectrum!$R:$R,0)),""))</f>
        <v>1392</v>
      </c>
      <c r="X245" s="42">
        <f>IF(LEFT($B245,4)="_Mil","",_xlfn.IFNA(ROUND(INDEX(Spectrum!$N:$N,MATCH(RIGHT($B245,13)&amp;"|"&amp;$C245&amp;"|"&amp;$D245&amp;"|"&amp;X$14&amp;"|"&amp;"CY2023Q3",Spectrum!$R:$R,0)),0),""))</f>
        <v>1983</v>
      </c>
      <c r="Y245" s="90" t="str">
        <f t="shared" si="79"/>
        <v/>
      </c>
      <c r="Z245" s="42">
        <f>IF(LEFT($B245,4)="_Mil","",_xlfn.IFNA(ROUND(INDEX(Spectrum!$N:$N,MATCH(RIGHT($B245,13)&amp;"|"&amp;$C245&amp;"|"&amp;$D245&amp;"|"&amp;Z$14&amp;"|"&amp;"CY2023Q3",Spectrum!$R:$R,0)),0),""))</f>
        <v>1718</v>
      </c>
      <c r="AA245" s="90">
        <f>IF(LEFT($B245,4)="_Mil","",IFERROR(1/(1/INDEX(Spectrum!$N:$N,MATCH(RIGHT($B245,13)&amp;"|"&amp;$C245&amp;"|"&amp;$D245&amp;"|"&amp;AA$14&amp;"|"&amp;"CY2023Q3",Spectrum!$R:$R,0))),IF(SUM($U245)=0,"",SUM($Z245)/$U245)))</f>
        <v>1157</v>
      </c>
      <c r="AB245" s="90">
        <f t="shared" si="80"/>
        <v>0.86636409480584975</v>
      </c>
      <c r="AC245" s="14">
        <f>IF(LEFT($B245,4)="_Mil","",_xlfn.IFNA(ROUND(INDEX(Spectrum!$N:$N,MATCH(RIGHT($B245,13)&amp;"|"&amp;$C245&amp;"|"&amp;$D245&amp;"|"&amp;AC$14&amp;"|"&amp;"CY2023Q3",Spectrum!$R:$R,0)),0),""))</f>
        <v>1760</v>
      </c>
      <c r="AD245" s="14" t="str">
        <f>IF(LEFT($B245,4)="_Mil","",_xlfn.IFNA(ROUND(INDEX(Spectrum!$N:$N,MATCH(RIGHT($B245,13)&amp;"|"&amp;$C245&amp;"|"&amp;$D245&amp;"|"&amp;AD$14&amp;"|"&amp;"CY2023Q3",Spectrum!$R:$R,0)),0),""))</f>
        <v/>
      </c>
      <c r="AE245" s="90">
        <f t="shared" si="81"/>
        <v>0</v>
      </c>
      <c r="AF245" s="42" t="str">
        <f>IF(LEFT($B245,4)="_Mil","",_xlfn.IFNA(ROUND(INDEX(Spectrum!$N:$N,MATCH(RIGHT($B245,13)&amp;"|"&amp;$C245&amp;"|"&amp;$D245&amp;"|"&amp;AF$14&amp;"|"&amp;"CY2023Q3",Spectrum!$R:$R,0)),0),""))</f>
        <v/>
      </c>
      <c r="AG245" s="90" t="str">
        <f t="shared" si="82"/>
        <v/>
      </c>
      <c r="AH245" s="88" t="str">
        <f>IF(LEFT($B245,4)="_Mil","",_xlfn.IFNA(INDEX(Spectrum!$N:$N,MATCH(RIGHT($B245,13)&amp;"|"&amp;$C245&amp;"|"&amp;$D245&amp;"|"&amp;AH$14&amp;"|"&amp;"CY2023Q3",Spectrum!$R:$R,0)),""))</f>
        <v/>
      </c>
      <c r="AI245" s="14" t="str">
        <f>IF(LEFT($B245,4)="_Mil","",_xlfn.IFNA(ROUND(INDEX(Spectrum!$N:$N,MATCH(RIGHT($B245,13)&amp;"|"&amp;$C245&amp;"|"&amp;$D245&amp;"|"&amp;AI$14&amp;"|"&amp;"CY2023Q3",Spectrum!$R:$R,0)),0),""))</f>
        <v/>
      </c>
      <c r="AJ245" s="42">
        <f>IF(LEFT($B245,4)="_Mil","",_xlfn.IFNA(ROUND(INDEX(Spectrum!$N:$N,MATCH(RIGHT($B245,13)&amp;"|"&amp;$C245&amp;"|"&amp;$D245&amp;"|"&amp;AI$14&amp;"|"&amp;"CY2023Q3",Spectrum!$R:$R,0)),0),SUM($U245)+SUM($AI245)))</f>
        <v>0</v>
      </c>
      <c r="AK245" s="14" t="str">
        <f>IF(LEFT($B245,4)="_Mil","",_xlfn.IFNA(ROUND(INDEX(Spectrum!$N:$N,MATCH(RIGHT($B245,13)&amp;"|"&amp;$C245&amp;"|"&amp;$D245&amp;"|"&amp;AK$14&amp;"|"&amp;"CY2023Q3",Spectrum!$R:$R,0)),0),""))</f>
        <v/>
      </c>
      <c r="AL245" s="90">
        <f t="shared" si="83"/>
        <v>1157</v>
      </c>
      <c r="AM245" s="14">
        <f t="shared" si="84"/>
        <v>0</v>
      </c>
      <c r="AN245" s="14" t="str">
        <f>IF($C245="&lt;01",ROUND(INDEX(EID!$P:$P,MATCH($B245,EID!$B:$B,0))/2,0),"")</f>
        <v/>
      </c>
      <c r="AO245" s="14">
        <f t="shared" si="85"/>
        <v>0</v>
      </c>
      <c r="AP245" s="42">
        <f t="shared" si="86"/>
        <v>0</v>
      </c>
      <c r="AQ245" s="42">
        <f t="shared" si="87"/>
        <v>1718</v>
      </c>
      <c r="AR245" s="90" t="str">
        <f t="shared" si="88"/>
        <v/>
      </c>
      <c r="AS245" s="90">
        <f t="shared" si="99"/>
        <v>0.98</v>
      </c>
      <c r="AT245" s="90">
        <f t="shared" si="99"/>
        <v>0.98</v>
      </c>
      <c r="AU245" s="14">
        <f t="shared" si="89"/>
        <v>0</v>
      </c>
      <c r="AV245" s="14">
        <f>IF($C245="&lt;01",ROUND(INDEX(EID!$N:$N,MATCH($B245,EID!$B:$B,0))/2,0),IF(SUM($AT245)=0,"",ROUND((SUM($AP245)-(SUM($O245)*SUM($AS245)))/$AT245,0)))</f>
        <v>0</v>
      </c>
      <c r="AW245" s="90">
        <f t="shared" si="90"/>
        <v>1</v>
      </c>
      <c r="AX245" s="42">
        <f t="shared" si="91"/>
        <v>0</v>
      </c>
      <c r="AY245" s="116">
        <f t="shared" si="92"/>
        <v>0.7</v>
      </c>
      <c r="AZ245" s="93">
        <f>IF($C245="&lt;01",ROUND(INDEX(EID!$R:$R,MATCH($B245,EID!$B:$B,0))/2,0),ROUND(SUM($O245)+(SUM($AV245)*$AY245),0))</f>
        <v>0</v>
      </c>
      <c r="BA245" s="89">
        <f t="shared" si="93"/>
        <v>0.95</v>
      </c>
      <c r="BB245" s="9">
        <f>IF($C245="&lt;01",ROUND(INDEX(EID!$T:$T,MATCH($B245,EID!$B:$B,0))/2,0),ROUND($AZ245*$BA245,0))</f>
        <v>0</v>
      </c>
      <c r="BC245" s="93">
        <f t="shared" si="94"/>
        <v>0</v>
      </c>
      <c r="BD245" s="90">
        <f t="shared" si="95"/>
        <v>0.95</v>
      </c>
      <c r="BE245" s="42">
        <f>IF($C245="&lt;01",ROUND(INDEX(EID!$V:$V,MATCH($B245,EID!$B:$B,0))/2,0),ROUND($BD245*$BB245,0))</f>
        <v>0</v>
      </c>
      <c r="BF245" s="42">
        <f t="shared" si="96"/>
        <v>0</v>
      </c>
      <c r="BG245" s="116">
        <f t="shared" si="97"/>
        <v>0.95</v>
      </c>
      <c r="BH245" s="9">
        <f>IF($C245="&lt;01",ROUND(INDEX(EID!$L:$L,MATCH($B245,EID!$B:$B,0)),0)/2,IF(SUM($BG245)=0,"",ROUND($AX245/$BG245,0)))</f>
        <v>0</v>
      </c>
    </row>
    <row r="246" spans="1:60" x14ac:dyDescent="0.2">
      <c r="A246" t="str">
        <f>INDEX(Prioritization!$D:$D,MATCH($B246,Prioritization!$A:$A,0))</f>
        <v>1 - Scale-up: Saturation</v>
      </c>
      <c r="B246" t="s">
        <v>209</v>
      </c>
      <c r="C246" t="s">
        <v>364</v>
      </c>
      <c r="D246" t="s">
        <v>47</v>
      </c>
      <c r="E246" t="str">
        <f t="shared" si="76"/>
        <v>Balaka District [ir8wuHHzoSs]|15-24|Male</v>
      </c>
      <c r="F246" s="14"/>
      <c r="G246" s="14"/>
      <c r="H246" s="14"/>
      <c r="I246" s="14"/>
      <c r="J246" s="14"/>
      <c r="K246" s="14"/>
      <c r="L246" s="14"/>
      <c r="M246" s="14"/>
      <c r="N246" s="14"/>
      <c r="O246" s="14" t="str">
        <f t="shared" si="77"/>
        <v/>
      </c>
      <c r="P246" s="14"/>
      <c r="Q246" s="14"/>
      <c r="R246" s="14" t="str">
        <f t="shared" si="78"/>
        <v/>
      </c>
      <c r="S246" s="14">
        <f>IF(LEFT($B246,4)="_Mil","",_xlfn.IFNA(ROUND(INDEX(Spectrum!$N:$N,MATCH(RIGHT($B246,13)&amp;"|"&amp;$C246&amp;"|"&amp;$D246&amp;"|"&amp;S$14&amp;"|"&amp;"CY2022Q4",Spectrum!$R:$R,0)),0),""))</f>
        <v>1773</v>
      </c>
      <c r="T246" s="42">
        <f>IF(LEFT($B246,4)="_Mil","",_xlfn.IFNA(ROUND(INDEX(Spectrum!$N:$N,MATCH(RIGHT($B246,13)&amp;"|"&amp;$C246&amp;"|"&amp;$D246&amp;"|"&amp;T$14&amp;"|"&amp;"CY2023Q3",Spectrum!$R:$R,0)),0),""))</f>
        <v>1527</v>
      </c>
      <c r="U246" s="42" t="str">
        <f>IF(LEFT($B246,4)="_Mil","",_xlfn.IFNA(ROUND(INDEX(Spectrum!$N:$N,MATCH(RIGHT($B246,13)&amp;"|"&amp;$C246&amp;"|"&amp;$D246&amp;"|"&amp;U$14&amp;"|"&amp;"CY2023Q3",Spectrum!$R:$R,0)),0),""))</f>
        <v/>
      </c>
      <c r="V246" s="14">
        <f>IF(LEFT($B246,4)="_Mil","",_xlfn.IFNA(ROUND(INDEX(Spectrum!$N:$N,MATCH(RIGHT($B246,13)&amp;"|"&amp;$C246&amp;"|"&amp;$D246&amp;"|"&amp;V$14&amp;"|"&amp;"CY2023Q3",Spectrum!$R:$R,0)),0),""))</f>
        <v>1069</v>
      </c>
      <c r="W246" s="115">
        <f>IF(LEFT($B246,4)="_Mil","",_xlfn.IFNA(INDEX(Spectrum!$N:$N,MATCH(RIGHT($B246,13)&amp;"|"&amp;$C246&amp;"|"&amp;$D246&amp;"|"&amp;W$14&amp;"|"&amp;"CY2023Q3",Spectrum!$R:$R,0)),""))</f>
        <v>1455</v>
      </c>
      <c r="X246" s="42">
        <f>IF(LEFT($B246,4)="_Mil","",_xlfn.IFNA(ROUND(INDEX(Spectrum!$N:$N,MATCH(RIGHT($B246,13)&amp;"|"&amp;$C246&amp;"|"&amp;$D246&amp;"|"&amp;X$14&amp;"|"&amp;"CY2023Q3",Spectrum!$R:$R,0)),0),""))</f>
        <v>800</v>
      </c>
      <c r="Y246" s="90" t="str">
        <f t="shared" si="79"/>
        <v/>
      </c>
      <c r="Z246" s="42">
        <f>IF(LEFT($B246,4)="_Mil","",_xlfn.IFNA(ROUND(INDEX(Spectrum!$N:$N,MATCH(RIGHT($B246,13)&amp;"|"&amp;$C246&amp;"|"&amp;$D246&amp;"|"&amp;Z$14&amp;"|"&amp;"CY2023Q3",Spectrum!$R:$R,0)),0),""))</f>
        <v>1401</v>
      </c>
      <c r="AA246" s="90">
        <f>IF(LEFT($B246,4)="_Mil","",IFERROR(1/(1/INDEX(Spectrum!$N:$N,MATCH(RIGHT($B246,13)&amp;"|"&amp;$C246&amp;"|"&amp;$D246&amp;"|"&amp;AA$14&amp;"|"&amp;"CY2023Q3",Spectrum!$R:$R,0))),IF(SUM($U246)=0,"",SUM($Z246)/$U246)))</f>
        <v>802</v>
      </c>
      <c r="AB246" s="90">
        <f t="shared" si="80"/>
        <v>1.75125</v>
      </c>
      <c r="AC246" s="14">
        <f>IF(LEFT($B246,4)="_Mil","",_xlfn.IFNA(ROUND(INDEX(Spectrum!$N:$N,MATCH(RIGHT($B246,13)&amp;"|"&amp;$C246&amp;"|"&amp;$D246&amp;"|"&amp;AC$14&amp;"|"&amp;"CY2023Q3",Spectrum!$R:$R,0)),0),""))</f>
        <v>1709</v>
      </c>
      <c r="AD246" s="14" t="str">
        <f>IF(LEFT($B246,4)="_Mil","",_xlfn.IFNA(ROUND(INDEX(Spectrum!$N:$N,MATCH(RIGHT($B246,13)&amp;"|"&amp;$C246&amp;"|"&amp;$D246&amp;"|"&amp;AD$14&amp;"|"&amp;"CY2023Q3",Spectrum!$R:$R,0)),0),""))</f>
        <v/>
      </c>
      <c r="AE246" s="90">
        <f t="shared" si="81"/>
        <v>0</v>
      </c>
      <c r="AF246" s="42" t="str">
        <f>IF(LEFT($B246,4)="_Mil","",_xlfn.IFNA(ROUND(INDEX(Spectrum!$N:$N,MATCH(RIGHT($B246,13)&amp;"|"&amp;$C246&amp;"|"&amp;$D246&amp;"|"&amp;AF$14&amp;"|"&amp;"CY2023Q3",Spectrum!$R:$R,0)),0),""))</f>
        <v/>
      </c>
      <c r="AG246" s="90" t="str">
        <f t="shared" si="82"/>
        <v/>
      </c>
      <c r="AH246" s="88" t="str">
        <f>IF(LEFT($B246,4)="_Mil","",_xlfn.IFNA(INDEX(Spectrum!$N:$N,MATCH(RIGHT($B246,13)&amp;"|"&amp;$C246&amp;"|"&amp;$D246&amp;"|"&amp;AH$14&amp;"|"&amp;"CY2023Q3",Spectrum!$R:$R,0)),""))</f>
        <v/>
      </c>
      <c r="AI246" s="14" t="str">
        <f>IF(LEFT($B246,4)="_Mil","",_xlfn.IFNA(ROUND(INDEX(Spectrum!$N:$N,MATCH(RIGHT($B246,13)&amp;"|"&amp;$C246&amp;"|"&amp;$D246&amp;"|"&amp;AI$14&amp;"|"&amp;"CY2023Q3",Spectrum!$R:$R,0)),0),""))</f>
        <v/>
      </c>
      <c r="AJ246" s="42">
        <f>IF(LEFT($B246,4)="_Mil","",_xlfn.IFNA(ROUND(INDEX(Spectrum!$N:$N,MATCH(RIGHT($B246,13)&amp;"|"&amp;$C246&amp;"|"&amp;$D246&amp;"|"&amp;AI$14&amp;"|"&amp;"CY2023Q3",Spectrum!$R:$R,0)),0),SUM($U246)+SUM($AI246)))</f>
        <v>0</v>
      </c>
      <c r="AK246" s="14" t="str">
        <f>IF(LEFT($B246,4)="_Mil","",_xlfn.IFNA(ROUND(INDEX(Spectrum!$N:$N,MATCH(RIGHT($B246,13)&amp;"|"&amp;$C246&amp;"|"&amp;$D246&amp;"|"&amp;AK$14&amp;"|"&amp;"CY2023Q3",Spectrum!$R:$R,0)),0),""))</f>
        <v/>
      </c>
      <c r="AL246" s="90">
        <f t="shared" si="83"/>
        <v>802</v>
      </c>
      <c r="AM246" s="14">
        <f t="shared" si="84"/>
        <v>0</v>
      </c>
      <c r="AN246" s="14" t="str">
        <f>IF($C246="&lt;01",ROUND(INDEX(EID!$P:$P,MATCH($B246,EID!$B:$B,0))/2,0),"")</f>
        <v/>
      </c>
      <c r="AO246" s="14">
        <f t="shared" si="85"/>
        <v>0</v>
      </c>
      <c r="AP246" s="42">
        <f t="shared" si="86"/>
        <v>0</v>
      </c>
      <c r="AQ246" s="42">
        <f t="shared" si="87"/>
        <v>1401</v>
      </c>
      <c r="AR246" s="90" t="str">
        <f t="shared" si="88"/>
        <v/>
      </c>
      <c r="AS246" s="90">
        <f t="shared" si="99"/>
        <v>0.98</v>
      </c>
      <c r="AT246" s="90">
        <f t="shared" si="99"/>
        <v>0.98</v>
      </c>
      <c r="AU246" s="14">
        <f t="shared" si="89"/>
        <v>0</v>
      </c>
      <c r="AV246" s="14">
        <f>IF($C246="&lt;01",ROUND(INDEX(EID!$N:$N,MATCH($B246,EID!$B:$B,0))/2,0),IF(SUM($AT246)=0,"",ROUND((SUM($AP246)-(SUM($O246)*SUM($AS246)))/$AT246,0)))</f>
        <v>0</v>
      </c>
      <c r="AW246" s="90">
        <f t="shared" si="90"/>
        <v>1</v>
      </c>
      <c r="AX246" s="42">
        <f t="shared" si="91"/>
        <v>0</v>
      </c>
      <c r="AY246" s="116">
        <f t="shared" si="92"/>
        <v>0.7</v>
      </c>
      <c r="AZ246" s="93">
        <f>IF($C246="&lt;01",ROUND(INDEX(EID!$R:$R,MATCH($B246,EID!$B:$B,0))/2,0),ROUND(SUM($O246)+(SUM($AV246)*$AY246),0))</f>
        <v>0</v>
      </c>
      <c r="BA246" s="89">
        <f t="shared" si="93"/>
        <v>0.95</v>
      </c>
      <c r="BB246" s="9">
        <f>IF($C246="&lt;01",ROUND(INDEX(EID!$T:$T,MATCH($B246,EID!$B:$B,0))/2,0),ROUND($AZ246*$BA246,0))</f>
        <v>0</v>
      </c>
      <c r="BC246" s="93">
        <f t="shared" si="94"/>
        <v>0</v>
      </c>
      <c r="BD246" s="90">
        <f t="shared" si="95"/>
        <v>0.95</v>
      </c>
      <c r="BE246" s="42">
        <f>IF($C246="&lt;01",ROUND(INDEX(EID!$V:$V,MATCH($B246,EID!$B:$B,0))/2,0),ROUND($BD246*$BB246,0))</f>
        <v>0</v>
      </c>
      <c r="BF246" s="42">
        <f t="shared" si="96"/>
        <v>0</v>
      </c>
      <c r="BG246" s="116">
        <f t="shared" si="97"/>
        <v>0.95</v>
      </c>
      <c r="BH246" s="9">
        <f>IF($C246="&lt;01",ROUND(INDEX(EID!$L:$L,MATCH($B246,EID!$B:$B,0)),0)/2,IF(SUM($BG246)=0,"",ROUND($AX246/$BG246,0)))</f>
        <v>0</v>
      </c>
    </row>
    <row r="247" spans="1:60" x14ac:dyDescent="0.2">
      <c r="A247" t="str">
        <f>INDEX(Prioritization!$D:$D,MATCH($B247,Prioritization!$A:$A,0))</f>
        <v>1 - Scale-up: Saturation</v>
      </c>
      <c r="B247" t="s">
        <v>209</v>
      </c>
      <c r="C247" t="s">
        <v>365</v>
      </c>
      <c r="D247" t="s">
        <v>29</v>
      </c>
      <c r="E247" t="str">
        <f t="shared" si="76"/>
        <v>Balaka District [ir8wuHHzoSs]|25-34|Female</v>
      </c>
      <c r="F247" s="14"/>
      <c r="G247" s="14"/>
      <c r="H247" s="14"/>
      <c r="I247" s="14"/>
      <c r="J247" s="14"/>
      <c r="K247" s="14"/>
      <c r="L247" s="14"/>
      <c r="M247" s="14"/>
      <c r="N247" s="14"/>
      <c r="O247" s="14" t="str">
        <f t="shared" si="77"/>
        <v/>
      </c>
      <c r="P247" s="14"/>
      <c r="Q247" s="14"/>
      <c r="R247" s="14" t="str">
        <f t="shared" si="78"/>
        <v/>
      </c>
      <c r="S247" s="14">
        <f>IF(LEFT($B247,4)="_Mil","",_xlfn.IFNA(ROUND(INDEX(Spectrum!$N:$N,MATCH(RIGHT($B247,13)&amp;"|"&amp;$C247&amp;"|"&amp;$D247&amp;"|"&amp;S$14&amp;"|"&amp;"CY2022Q4",Spectrum!$R:$R,0)),0),""))</f>
        <v>1866</v>
      </c>
      <c r="T247" s="42">
        <f>IF(LEFT($B247,4)="_Mil","",_xlfn.IFNA(ROUND(INDEX(Spectrum!$N:$N,MATCH(RIGHT($B247,13)&amp;"|"&amp;$C247&amp;"|"&amp;$D247&amp;"|"&amp;T$14&amp;"|"&amp;"CY2023Q3",Spectrum!$R:$R,0)),0),""))</f>
        <v>1592</v>
      </c>
      <c r="U247" s="42" t="str">
        <f>IF(LEFT($B247,4)="_Mil","",_xlfn.IFNA(ROUND(INDEX(Spectrum!$N:$N,MATCH(RIGHT($B247,13)&amp;"|"&amp;$C247&amp;"|"&amp;$D247&amp;"|"&amp;U$14&amp;"|"&amp;"CY2023Q3",Spectrum!$R:$R,0)),0),""))</f>
        <v/>
      </c>
      <c r="V247" s="14">
        <f>IF(LEFT($B247,4)="_Mil","",_xlfn.IFNA(ROUND(INDEX(Spectrum!$N:$N,MATCH(RIGHT($B247,13)&amp;"|"&amp;$C247&amp;"|"&amp;$D247&amp;"|"&amp;V$14&amp;"|"&amp;"CY2023Q3",Spectrum!$R:$R,0)),0),""))</f>
        <v>616</v>
      </c>
      <c r="W247" s="115">
        <f>IF(LEFT($B247,4)="_Mil","",_xlfn.IFNA(INDEX(Spectrum!$N:$N,MATCH(RIGHT($B247,13)&amp;"|"&amp;$C247&amp;"|"&amp;$D247&amp;"|"&amp;W$14&amp;"|"&amp;"CY2023Q3",Spectrum!$R:$R,0)),""))</f>
        <v>1233</v>
      </c>
      <c r="X247" s="42">
        <f>IF(LEFT($B247,4)="_Mil","",_xlfn.IFNA(ROUND(INDEX(Spectrum!$N:$N,MATCH(RIGHT($B247,13)&amp;"|"&amp;$C247&amp;"|"&amp;$D247&amp;"|"&amp;X$14&amp;"|"&amp;"CY2023Q3",Spectrum!$R:$R,0)),0),""))</f>
        <v>919</v>
      </c>
      <c r="Y247" s="90" t="str">
        <f t="shared" si="79"/>
        <v/>
      </c>
      <c r="Z247" s="42">
        <f>IF(LEFT($B247,4)="_Mil","",_xlfn.IFNA(ROUND(INDEX(Spectrum!$N:$N,MATCH(RIGHT($B247,13)&amp;"|"&amp;$C247&amp;"|"&amp;$D247&amp;"|"&amp;Z$14&amp;"|"&amp;"CY2023Q3",Spectrum!$R:$R,0)),0),""))</f>
        <v>577</v>
      </c>
      <c r="AA247" s="90">
        <f>IF(LEFT($B247,4)="_Mil","",IFERROR(1/(1/INDEX(Spectrum!$N:$N,MATCH(RIGHT($B247,13)&amp;"|"&amp;$C247&amp;"|"&amp;$D247&amp;"|"&amp;AA$14&amp;"|"&amp;"CY2023Q3",Spectrum!$R:$R,0))),IF(SUM($U247)=0,"",SUM($Z247)/$U247)))</f>
        <v>1496</v>
      </c>
      <c r="AB247" s="90">
        <f t="shared" si="80"/>
        <v>0.62785636561479874</v>
      </c>
      <c r="AC247" s="14">
        <f>IF(LEFT($B247,4)="_Mil","",_xlfn.IFNA(ROUND(INDEX(Spectrum!$N:$N,MATCH(RIGHT($B247,13)&amp;"|"&amp;$C247&amp;"|"&amp;$D247&amp;"|"&amp;AC$14&amp;"|"&amp;"CY2023Q3",Spectrum!$R:$R,0)),0),""))</f>
        <v>1382</v>
      </c>
      <c r="AD247" s="14" t="str">
        <f>IF(LEFT($B247,4)="_Mil","",_xlfn.IFNA(ROUND(INDEX(Spectrum!$N:$N,MATCH(RIGHT($B247,13)&amp;"|"&amp;$C247&amp;"|"&amp;$D247&amp;"|"&amp;AD$14&amp;"|"&amp;"CY2023Q3",Spectrum!$R:$R,0)),0),""))</f>
        <v/>
      </c>
      <c r="AE247" s="90">
        <f t="shared" si="81"/>
        <v>0</v>
      </c>
      <c r="AF247" s="42" t="str">
        <f>IF(LEFT($B247,4)="_Mil","",_xlfn.IFNA(ROUND(INDEX(Spectrum!$N:$N,MATCH(RIGHT($B247,13)&amp;"|"&amp;$C247&amp;"|"&amp;$D247&amp;"|"&amp;AF$14&amp;"|"&amp;"CY2023Q3",Spectrum!$R:$R,0)),0),""))</f>
        <v/>
      </c>
      <c r="AG247" s="90" t="str">
        <f t="shared" si="82"/>
        <v/>
      </c>
      <c r="AH247" s="88" t="str">
        <f>IF(LEFT($B247,4)="_Mil","",_xlfn.IFNA(INDEX(Spectrum!$N:$N,MATCH(RIGHT($B247,13)&amp;"|"&amp;$C247&amp;"|"&amp;$D247&amp;"|"&amp;AH$14&amp;"|"&amp;"CY2023Q3",Spectrum!$R:$R,0)),""))</f>
        <v/>
      </c>
      <c r="AI247" s="14" t="str">
        <f>IF(LEFT($B247,4)="_Mil","",_xlfn.IFNA(ROUND(INDEX(Spectrum!$N:$N,MATCH(RIGHT($B247,13)&amp;"|"&amp;$C247&amp;"|"&amp;$D247&amp;"|"&amp;AI$14&amp;"|"&amp;"CY2023Q3",Spectrum!$R:$R,0)),0),""))</f>
        <v/>
      </c>
      <c r="AJ247" s="42">
        <f>IF(LEFT($B247,4)="_Mil","",_xlfn.IFNA(ROUND(INDEX(Spectrum!$N:$N,MATCH(RIGHT($B247,13)&amp;"|"&amp;$C247&amp;"|"&amp;$D247&amp;"|"&amp;AI$14&amp;"|"&amp;"CY2023Q3",Spectrum!$R:$R,0)),0),SUM($U247)+SUM($AI247)))</f>
        <v>0</v>
      </c>
      <c r="AK247" s="14" t="str">
        <f>IF(LEFT($B247,4)="_Mil","",_xlfn.IFNA(ROUND(INDEX(Spectrum!$N:$N,MATCH(RIGHT($B247,13)&amp;"|"&amp;$C247&amp;"|"&amp;$D247&amp;"|"&amp;AK$14&amp;"|"&amp;"CY2023Q3",Spectrum!$R:$R,0)),0),""))</f>
        <v/>
      </c>
      <c r="AL247" s="90">
        <f t="shared" si="83"/>
        <v>1496</v>
      </c>
      <c r="AM247" s="14">
        <f t="shared" si="84"/>
        <v>0</v>
      </c>
      <c r="AN247" s="14" t="str">
        <f>IF($C247="&lt;01",ROUND(INDEX(EID!$P:$P,MATCH($B247,EID!$B:$B,0))/2,0),"")</f>
        <v/>
      </c>
      <c r="AO247" s="14">
        <f t="shared" si="85"/>
        <v>0</v>
      </c>
      <c r="AP247" s="42">
        <f t="shared" si="86"/>
        <v>0</v>
      </c>
      <c r="AQ247" s="42">
        <f t="shared" si="87"/>
        <v>577</v>
      </c>
      <c r="AR247" s="90" t="str">
        <f t="shared" si="88"/>
        <v/>
      </c>
      <c r="AS247" s="90">
        <f t="shared" si="99"/>
        <v>0.98</v>
      </c>
      <c r="AT247" s="90">
        <f t="shared" si="99"/>
        <v>0.98</v>
      </c>
      <c r="AU247" s="14">
        <f t="shared" si="89"/>
        <v>0</v>
      </c>
      <c r="AV247" s="14">
        <f>IF($C247="&lt;01",ROUND(INDEX(EID!$N:$N,MATCH($B247,EID!$B:$B,0))/2,0),IF(SUM($AT247)=0,"",ROUND((SUM($AP247)-(SUM($O247)*SUM($AS247)))/$AT247,0)))</f>
        <v>0</v>
      </c>
      <c r="AW247" s="90">
        <f t="shared" si="90"/>
        <v>1</v>
      </c>
      <c r="AX247" s="42">
        <f t="shared" si="91"/>
        <v>0</v>
      </c>
      <c r="AY247" s="116">
        <f t="shared" si="92"/>
        <v>0.7</v>
      </c>
      <c r="AZ247" s="93">
        <f>IF($C247="&lt;01",ROUND(INDEX(EID!$R:$R,MATCH($B247,EID!$B:$B,0))/2,0),ROUND(SUM($O247)+(SUM($AV247)*$AY247),0))</f>
        <v>0</v>
      </c>
      <c r="BA247" s="89">
        <f t="shared" si="93"/>
        <v>0.95</v>
      </c>
      <c r="BB247" s="9">
        <f>IF($C247="&lt;01",ROUND(INDEX(EID!$T:$T,MATCH($B247,EID!$B:$B,0))/2,0),ROUND($AZ247*$BA247,0))</f>
        <v>0</v>
      </c>
      <c r="BC247" s="93">
        <f t="shared" si="94"/>
        <v>0</v>
      </c>
      <c r="BD247" s="90">
        <f t="shared" si="95"/>
        <v>0.95</v>
      </c>
      <c r="BE247" s="42">
        <f>IF($C247="&lt;01",ROUND(INDEX(EID!$V:$V,MATCH($B247,EID!$B:$B,0))/2,0),ROUND($BD247*$BB247,0))</f>
        <v>0</v>
      </c>
      <c r="BF247" s="42">
        <f t="shared" si="96"/>
        <v>0</v>
      </c>
      <c r="BG247" s="116">
        <f t="shared" si="97"/>
        <v>0.95</v>
      </c>
      <c r="BH247" s="9">
        <f>IF($C247="&lt;01",ROUND(INDEX(EID!$L:$L,MATCH($B247,EID!$B:$B,0)),0)/2,IF(SUM($BG247)=0,"",ROUND($AX247/$BG247,0)))</f>
        <v>0</v>
      </c>
    </row>
    <row r="248" spans="1:60" x14ac:dyDescent="0.2">
      <c r="A248" t="str">
        <f>INDEX(Prioritization!$D:$D,MATCH($B248,Prioritization!$A:$A,0))</f>
        <v>1 - Scale-up: Saturation</v>
      </c>
      <c r="B248" t="s">
        <v>209</v>
      </c>
      <c r="C248" t="s">
        <v>365</v>
      </c>
      <c r="D248" t="s">
        <v>47</v>
      </c>
      <c r="E248" t="str">
        <f t="shared" si="76"/>
        <v>Balaka District [ir8wuHHzoSs]|25-34|Male</v>
      </c>
      <c r="F248" s="14"/>
      <c r="G248" s="14"/>
      <c r="H248" s="14"/>
      <c r="I248" s="14"/>
      <c r="J248" s="14"/>
      <c r="K248" s="14"/>
      <c r="L248" s="14"/>
      <c r="M248" s="14"/>
      <c r="N248" s="14"/>
      <c r="O248" s="14" t="str">
        <f t="shared" si="77"/>
        <v/>
      </c>
      <c r="P248" s="14"/>
      <c r="Q248" s="14"/>
      <c r="R248" s="14" t="str">
        <f t="shared" si="78"/>
        <v/>
      </c>
      <c r="S248" s="14">
        <f>IF(LEFT($B248,4)="_Mil","",_xlfn.IFNA(ROUND(INDEX(Spectrum!$N:$N,MATCH(RIGHT($B248,13)&amp;"|"&amp;$C248&amp;"|"&amp;$D248&amp;"|"&amp;S$14&amp;"|"&amp;"CY2022Q4",Spectrum!$R:$R,0)),0),""))</f>
        <v>1770</v>
      </c>
      <c r="T248" s="42">
        <f>IF(LEFT($B248,4)="_Mil","",_xlfn.IFNA(ROUND(INDEX(Spectrum!$N:$N,MATCH(RIGHT($B248,13)&amp;"|"&amp;$C248&amp;"|"&amp;$D248&amp;"|"&amp;T$14&amp;"|"&amp;"CY2023Q3",Spectrum!$R:$R,0)),0),""))</f>
        <v>712</v>
      </c>
      <c r="U248" s="42" t="str">
        <f>IF(LEFT($B248,4)="_Mil","",_xlfn.IFNA(ROUND(INDEX(Spectrum!$N:$N,MATCH(RIGHT($B248,13)&amp;"|"&amp;$C248&amp;"|"&amp;$D248&amp;"|"&amp;U$14&amp;"|"&amp;"CY2023Q3",Spectrum!$R:$R,0)),0),""))</f>
        <v/>
      </c>
      <c r="V248" s="14">
        <f>IF(LEFT($B248,4)="_Mil","",_xlfn.IFNA(ROUND(INDEX(Spectrum!$N:$N,MATCH(RIGHT($B248,13)&amp;"|"&amp;$C248&amp;"|"&amp;$D248&amp;"|"&amp;V$14&amp;"|"&amp;"CY2023Q3",Spectrum!$R:$R,0)),0),""))</f>
        <v>1782</v>
      </c>
      <c r="W248" s="115">
        <f>IF(LEFT($B248,4)="_Mil","",_xlfn.IFNA(INDEX(Spectrum!$N:$N,MATCH(RIGHT($B248,13)&amp;"|"&amp;$C248&amp;"|"&amp;$D248&amp;"|"&amp;W$14&amp;"|"&amp;"CY2023Q3",Spectrum!$R:$R,0)),""))</f>
        <v>1125</v>
      </c>
      <c r="X248" s="42">
        <f>IF(LEFT($B248,4)="_Mil","",_xlfn.IFNA(ROUND(INDEX(Spectrum!$N:$N,MATCH(RIGHT($B248,13)&amp;"|"&amp;$C248&amp;"|"&amp;$D248&amp;"|"&amp;X$14&amp;"|"&amp;"CY2023Q3",Spectrum!$R:$R,0)),0),""))</f>
        <v>1803</v>
      </c>
      <c r="Y248" s="90" t="str">
        <f t="shared" si="79"/>
        <v/>
      </c>
      <c r="Z248" s="42">
        <f>IF(LEFT($B248,4)="_Mil","",_xlfn.IFNA(ROUND(INDEX(Spectrum!$N:$N,MATCH(RIGHT($B248,13)&amp;"|"&amp;$C248&amp;"|"&amp;$D248&amp;"|"&amp;Z$14&amp;"|"&amp;"CY2023Q3",Spectrum!$R:$R,0)),0),""))</f>
        <v>991</v>
      </c>
      <c r="AA248" s="90">
        <f>IF(LEFT($B248,4)="_Mil","",IFERROR(1/(1/INDEX(Spectrum!$N:$N,MATCH(RIGHT($B248,13)&amp;"|"&amp;$C248&amp;"|"&amp;$D248&amp;"|"&amp;AA$14&amp;"|"&amp;"CY2023Q3",Spectrum!$R:$R,0))),IF(SUM($U248)=0,"",SUM($Z248)/$U248)))</f>
        <v>1361</v>
      </c>
      <c r="AB248" s="90">
        <f t="shared" si="80"/>
        <v>0.54963948973932331</v>
      </c>
      <c r="AC248" s="14">
        <f>IF(LEFT($B248,4)="_Mil","",_xlfn.IFNA(ROUND(INDEX(Spectrum!$N:$N,MATCH(RIGHT($B248,13)&amp;"|"&amp;$C248&amp;"|"&amp;$D248&amp;"|"&amp;AC$14&amp;"|"&amp;"CY2023Q3",Spectrum!$R:$R,0)),0),""))</f>
        <v>1886</v>
      </c>
      <c r="AD248" s="14" t="str">
        <f>IF(LEFT($B248,4)="_Mil","",_xlfn.IFNA(ROUND(INDEX(Spectrum!$N:$N,MATCH(RIGHT($B248,13)&amp;"|"&amp;$C248&amp;"|"&amp;$D248&amp;"|"&amp;AD$14&amp;"|"&amp;"CY2023Q3",Spectrum!$R:$R,0)),0),""))</f>
        <v/>
      </c>
      <c r="AE248" s="90">
        <f t="shared" si="81"/>
        <v>0</v>
      </c>
      <c r="AF248" s="42" t="str">
        <f>IF(LEFT($B248,4)="_Mil","",_xlfn.IFNA(ROUND(INDEX(Spectrum!$N:$N,MATCH(RIGHT($B248,13)&amp;"|"&amp;$C248&amp;"|"&amp;$D248&amp;"|"&amp;AF$14&amp;"|"&amp;"CY2023Q3",Spectrum!$R:$R,0)),0),""))</f>
        <v/>
      </c>
      <c r="AG248" s="90" t="str">
        <f t="shared" si="82"/>
        <v/>
      </c>
      <c r="AH248" s="88" t="str">
        <f>IF(LEFT($B248,4)="_Mil","",_xlfn.IFNA(INDEX(Spectrum!$N:$N,MATCH(RIGHT($B248,13)&amp;"|"&amp;$C248&amp;"|"&amp;$D248&amp;"|"&amp;AH$14&amp;"|"&amp;"CY2023Q3",Spectrum!$R:$R,0)),""))</f>
        <v/>
      </c>
      <c r="AI248" s="14" t="str">
        <f>IF(LEFT($B248,4)="_Mil","",_xlfn.IFNA(ROUND(INDEX(Spectrum!$N:$N,MATCH(RIGHT($B248,13)&amp;"|"&amp;$C248&amp;"|"&amp;$D248&amp;"|"&amp;AI$14&amp;"|"&amp;"CY2023Q3",Spectrum!$R:$R,0)),0),""))</f>
        <v/>
      </c>
      <c r="AJ248" s="42">
        <f>IF(LEFT($B248,4)="_Mil","",_xlfn.IFNA(ROUND(INDEX(Spectrum!$N:$N,MATCH(RIGHT($B248,13)&amp;"|"&amp;$C248&amp;"|"&amp;$D248&amp;"|"&amp;AI$14&amp;"|"&amp;"CY2023Q3",Spectrum!$R:$R,0)),0),SUM($U248)+SUM($AI248)))</f>
        <v>0</v>
      </c>
      <c r="AK248" s="14" t="str">
        <f>IF(LEFT($B248,4)="_Mil","",_xlfn.IFNA(ROUND(INDEX(Spectrum!$N:$N,MATCH(RIGHT($B248,13)&amp;"|"&amp;$C248&amp;"|"&amp;$D248&amp;"|"&amp;AK$14&amp;"|"&amp;"CY2023Q3",Spectrum!$R:$R,0)),0),""))</f>
        <v/>
      </c>
      <c r="AL248" s="90">
        <f t="shared" si="83"/>
        <v>1361</v>
      </c>
      <c r="AM248" s="14">
        <f t="shared" si="84"/>
        <v>0</v>
      </c>
      <c r="AN248" s="14" t="str">
        <f>IF($C248="&lt;01",ROUND(INDEX(EID!$P:$P,MATCH($B248,EID!$B:$B,0))/2,0),"")</f>
        <v/>
      </c>
      <c r="AO248" s="14">
        <f t="shared" si="85"/>
        <v>0</v>
      </c>
      <c r="AP248" s="42">
        <f t="shared" si="86"/>
        <v>0</v>
      </c>
      <c r="AQ248" s="42">
        <f t="shared" si="87"/>
        <v>991</v>
      </c>
      <c r="AR248" s="90" t="str">
        <f t="shared" si="88"/>
        <v/>
      </c>
      <c r="AS248" s="90">
        <f t="shared" si="99"/>
        <v>0.98</v>
      </c>
      <c r="AT248" s="90">
        <f t="shared" si="99"/>
        <v>0.98</v>
      </c>
      <c r="AU248" s="14">
        <f t="shared" si="89"/>
        <v>0</v>
      </c>
      <c r="AV248" s="14">
        <f>IF($C248="&lt;01",ROUND(INDEX(EID!$N:$N,MATCH($B248,EID!$B:$B,0))/2,0),IF(SUM($AT248)=0,"",ROUND((SUM($AP248)-(SUM($O248)*SUM($AS248)))/$AT248,0)))</f>
        <v>0</v>
      </c>
      <c r="AW248" s="90">
        <f t="shared" si="90"/>
        <v>1</v>
      </c>
      <c r="AX248" s="42">
        <f t="shared" si="91"/>
        <v>0</v>
      </c>
      <c r="AY248" s="116">
        <f t="shared" si="92"/>
        <v>0.7</v>
      </c>
      <c r="AZ248" s="93">
        <f>IF($C248="&lt;01",ROUND(INDEX(EID!$R:$R,MATCH($B248,EID!$B:$B,0))/2,0),ROUND(SUM($O248)+(SUM($AV248)*$AY248),0))</f>
        <v>0</v>
      </c>
      <c r="BA248" s="89">
        <f t="shared" si="93"/>
        <v>0.95</v>
      </c>
      <c r="BB248" s="9">
        <f>IF($C248="&lt;01",ROUND(INDEX(EID!$T:$T,MATCH($B248,EID!$B:$B,0))/2,0),ROUND($AZ248*$BA248,0))</f>
        <v>0</v>
      </c>
      <c r="BC248" s="93">
        <f t="shared" si="94"/>
        <v>0</v>
      </c>
      <c r="BD248" s="90">
        <f t="shared" si="95"/>
        <v>0.95</v>
      </c>
      <c r="BE248" s="42">
        <f>IF($C248="&lt;01",ROUND(INDEX(EID!$V:$V,MATCH($B248,EID!$B:$B,0))/2,0),ROUND($BD248*$BB248,0))</f>
        <v>0</v>
      </c>
      <c r="BF248" s="42">
        <f t="shared" si="96"/>
        <v>0</v>
      </c>
      <c r="BG248" s="116">
        <f t="shared" si="97"/>
        <v>0.95</v>
      </c>
      <c r="BH248" s="9">
        <f>IF($C248="&lt;01",ROUND(INDEX(EID!$L:$L,MATCH($B248,EID!$B:$B,0)),0)/2,IF(SUM($BG248)=0,"",ROUND($AX248/$BG248,0)))</f>
        <v>0</v>
      </c>
    </row>
    <row r="249" spans="1:60" x14ac:dyDescent="0.2">
      <c r="A249" t="str">
        <f>INDEX(Prioritization!$D:$D,MATCH($B249,Prioritization!$A:$A,0))</f>
        <v>1 - Scale-up: Saturation</v>
      </c>
      <c r="B249" t="s">
        <v>209</v>
      </c>
      <c r="C249" t="s">
        <v>366</v>
      </c>
      <c r="D249" t="s">
        <v>29</v>
      </c>
      <c r="E249" t="str">
        <f t="shared" si="76"/>
        <v>Balaka District [ir8wuHHzoSs]|35-49|Female</v>
      </c>
      <c r="F249" s="14"/>
      <c r="G249" s="14"/>
      <c r="H249" s="14"/>
      <c r="I249" s="14"/>
      <c r="J249" s="14"/>
      <c r="K249" s="14"/>
      <c r="L249" s="14"/>
      <c r="M249" s="14"/>
      <c r="N249" s="14"/>
      <c r="O249" s="14" t="str">
        <f t="shared" si="77"/>
        <v/>
      </c>
      <c r="P249" s="14"/>
      <c r="Q249" s="14"/>
      <c r="R249" s="14" t="str">
        <f t="shared" si="78"/>
        <v/>
      </c>
      <c r="S249" s="14">
        <f>IF(LEFT($B249,4)="_Mil","",_xlfn.IFNA(ROUND(INDEX(Spectrum!$N:$N,MATCH(RIGHT($B249,13)&amp;"|"&amp;$C249&amp;"|"&amp;$D249&amp;"|"&amp;S$14&amp;"|"&amp;"CY2022Q4",Spectrum!$R:$R,0)),0),""))</f>
        <v>784</v>
      </c>
      <c r="T249" s="42">
        <f>IF(LEFT($B249,4)="_Mil","",_xlfn.IFNA(ROUND(INDEX(Spectrum!$N:$N,MATCH(RIGHT($B249,13)&amp;"|"&amp;$C249&amp;"|"&amp;$D249&amp;"|"&amp;T$14&amp;"|"&amp;"CY2023Q3",Spectrum!$R:$R,0)),0),""))</f>
        <v>1224</v>
      </c>
      <c r="U249" s="42" t="str">
        <f>IF(LEFT($B249,4)="_Mil","",_xlfn.IFNA(ROUND(INDEX(Spectrum!$N:$N,MATCH(RIGHT($B249,13)&amp;"|"&amp;$C249&amp;"|"&amp;$D249&amp;"|"&amp;U$14&amp;"|"&amp;"CY2023Q3",Spectrum!$R:$R,0)),0),""))</f>
        <v/>
      </c>
      <c r="V249" s="14">
        <f>IF(LEFT($B249,4)="_Mil","",_xlfn.IFNA(ROUND(INDEX(Spectrum!$N:$N,MATCH(RIGHT($B249,13)&amp;"|"&amp;$C249&amp;"|"&amp;$D249&amp;"|"&amp;V$14&amp;"|"&amp;"CY2023Q3",Spectrum!$R:$R,0)),0),""))</f>
        <v>1927</v>
      </c>
      <c r="W249" s="115">
        <f>IF(LEFT($B249,4)="_Mil","",_xlfn.IFNA(INDEX(Spectrum!$N:$N,MATCH(RIGHT($B249,13)&amp;"|"&amp;$C249&amp;"|"&amp;$D249&amp;"|"&amp;W$14&amp;"|"&amp;"CY2023Q3",Spectrum!$R:$R,0)),""))</f>
        <v>1757</v>
      </c>
      <c r="X249" s="42">
        <f>IF(LEFT($B249,4)="_Mil","",_xlfn.IFNA(ROUND(INDEX(Spectrum!$N:$N,MATCH(RIGHT($B249,13)&amp;"|"&amp;$C249&amp;"|"&amp;$D249&amp;"|"&amp;X$14&amp;"|"&amp;"CY2023Q3",Spectrum!$R:$R,0)),0),""))</f>
        <v>809</v>
      </c>
      <c r="Y249" s="90" t="str">
        <f t="shared" si="79"/>
        <v/>
      </c>
      <c r="Z249" s="42">
        <f>IF(LEFT($B249,4)="_Mil","",_xlfn.IFNA(ROUND(INDEX(Spectrum!$N:$N,MATCH(RIGHT($B249,13)&amp;"|"&amp;$C249&amp;"|"&amp;$D249&amp;"|"&amp;Z$14&amp;"|"&amp;"CY2023Q3",Spectrum!$R:$R,0)),0),""))</f>
        <v>1095</v>
      </c>
      <c r="AA249" s="90">
        <f>IF(LEFT($B249,4)="_Mil","",IFERROR(1/(1/INDEX(Spectrum!$N:$N,MATCH(RIGHT($B249,13)&amp;"|"&amp;$C249&amp;"|"&amp;$D249&amp;"|"&amp;AA$14&amp;"|"&amp;"CY2023Q3",Spectrum!$R:$R,0))),IF(SUM($U249)=0,"",SUM($Z249)/$U249)))</f>
        <v>522</v>
      </c>
      <c r="AB249" s="90">
        <f t="shared" si="80"/>
        <v>1.3535228677379481</v>
      </c>
      <c r="AC249" s="14">
        <f>IF(LEFT($B249,4)="_Mil","",_xlfn.IFNA(ROUND(INDEX(Spectrum!$N:$N,MATCH(RIGHT($B249,13)&amp;"|"&amp;$C249&amp;"|"&amp;$D249&amp;"|"&amp;AC$14&amp;"|"&amp;"CY2023Q3",Spectrum!$R:$R,0)),0),""))</f>
        <v>1852</v>
      </c>
      <c r="AD249" s="14" t="str">
        <f>IF(LEFT($B249,4)="_Mil","",_xlfn.IFNA(ROUND(INDEX(Spectrum!$N:$N,MATCH(RIGHT($B249,13)&amp;"|"&amp;$C249&amp;"|"&amp;$D249&amp;"|"&amp;AD$14&amp;"|"&amp;"CY2023Q3",Spectrum!$R:$R,0)),0),""))</f>
        <v/>
      </c>
      <c r="AE249" s="90">
        <f t="shared" si="81"/>
        <v>0</v>
      </c>
      <c r="AF249" s="42" t="str">
        <f>IF(LEFT($B249,4)="_Mil","",_xlfn.IFNA(ROUND(INDEX(Spectrum!$N:$N,MATCH(RIGHT($B249,13)&amp;"|"&amp;$C249&amp;"|"&amp;$D249&amp;"|"&amp;AF$14&amp;"|"&amp;"CY2023Q3",Spectrum!$R:$R,0)),0),""))</f>
        <v/>
      </c>
      <c r="AG249" s="90" t="str">
        <f t="shared" si="82"/>
        <v/>
      </c>
      <c r="AH249" s="88" t="str">
        <f>IF(LEFT($B249,4)="_Mil","",_xlfn.IFNA(INDEX(Spectrum!$N:$N,MATCH(RIGHT($B249,13)&amp;"|"&amp;$C249&amp;"|"&amp;$D249&amp;"|"&amp;AH$14&amp;"|"&amp;"CY2023Q3",Spectrum!$R:$R,0)),""))</f>
        <v/>
      </c>
      <c r="AI249" s="14" t="str">
        <f>IF(LEFT($B249,4)="_Mil","",_xlfn.IFNA(ROUND(INDEX(Spectrum!$N:$N,MATCH(RIGHT($B249,13)&amp;"|"&amp;$C249&amp;"|"&amp;$D249&amp;"|"&amp;AI$14&amp;"|"&amp;"CY2023Q3",Spectrum!$R:$R,0)),0),""))</f>
        <v/>
      </c>
      <c r="AJ249" s="42">
        <f>IF(LEFT($B249,4)="_Mil","",_xlfn.IFNA(ROUND(INDEX(Spectrum!$N:$N,MATCH(RIGHT($B249,13)&amp;"|"&amp;$C249&amp;"|"&amp;$D249&amp;"|"&amp;AI$14&amp;"|"&amp;"CY2023Q3",Spectrum!$R:$R,0)),0),SUM($U249)+SUM($AI249)))</f>
        <v>0</v>
      </c>
      <c r="AK249" s="14" t="str">
        <f>IF(LEFT($B249,4)="_Mil","",_xlfn.IFNA(ROUND(INDEX(Spectrum!$N:$N,MATCH(RIGHT($B249,13)&amp;"|"&amp;$C249&amp;"|"&amp;$D249&amp;"|"&amp;AK$14&amp;"|"&amp;"CY2023Q3",Spectrum!$R:$R,0)),0),""))</f>
        <v/>
      </c>
      <c r="AL249" s="90">
        <f t="shared" si="83"/>
        <v>522</v>
      </c>
      <c r="AM249" s="14">
        <f t="shared" si="84"/>
        <v>0</v>
      </c>
      <c r="AN249" s="14" t="str">
        <f>IF($C249="&lt;01",ROUND(INDEX(EID!$P:$P,MATCH($B249,EID!$B:$B,0))/2,0),"")</f>
        <v/>
      </c>
      <c r="AO249" s="14">
        <f t="shared" si="85"/>
        <v>0</v>
      </c>
      <c r="AP249" s="42">
        <f t="shared" si="86"/>
        <v>0</v>
      </c>
      <c r="AQ249" s="42">
        <f t="shared" si="87"/>
        <v>1095</v>
      </c>
      <c r="AR249" s="90" t="str">
        <f t="shared" si="88"/>
        <v/>
      </c>
      <c r="AS249" s="90">
        <f t="shared" si="99"/>
        <v>0.98</v>
      </c>
      <c r="AT249" s="90">
        <f t="shared" si="99"/>
        <v>0.98</v>
      </c>
      <c r="AU249" s="14">
        <f t="shared" si="89"/>
        <v>0</v>
      </c>
      <c r="AV249" s="14">
        <f>IF($C249="&lt;01",ROUND(INDEX(EID!$N:$N,MATCH($B249,EID!$B:$B,0))/2,0),IF(SUM($AT249)=0,"",ROUND((SUM($AP249)-(SUM($O249)*SUM($AS249)))/$AT249,0)))</f>
        <v>0</v>
      </c>
      <c r="AW249" s="90">
        <f t="shared" si="90"/>
        <v>1</v>
      </c>
      <c r="AX249" s="42">
        <f t="shared" si="91"/>
        <v>0</v>
      </c>
      <c r="AY249" s="116">
        <f t="shared" si="92"/>
        <v>0.7</v>
      </c>
      <c r="AZ249" s="93">
        <f>IF($C249="&lt;01",ROUND(INDEX(EID!$R:$R,MATCH($B249,EID!$B:$B,0))/2,0),ROUND(SUM($O249)+(SUM($AV249)*$AY249),0))</f>
        <v>0</v>
      </c>
      <c r="BA249" s="89">
        <f t="shared" si="93"/>
        <v>0.95</v>
      </c>
      <c r="BB249" s="9">
        <f>IF($C249="&lt;01",ROUND(INDEX(EID!$T:$T,MATCH($B249,EID!$B:$B,0))/2,0),ROUND($AZ249*$BA249,0))</f>
        <v>0</v>
      </c>
      <c r="BC249" s="93">
        <f t="shared" si="94"/>
        <v>0</v>
      </c>
      <c r="BD249" s="90">
        <f t="shared" si="95"/>
        <v>0.95</v>
      </c>
      <c r="BE249" s="42">
        <f>IF($C249="&lt;01",ROUND(INDEX(EID!$V:$V,MATCH($B249,EID!$B:$B,0))/2,0),ROUND($BD249*$BB249,0))</f>
        <v>0</v>
      </c>
      <c r="BF249" s="42">
        <f t="shared" si="96"/>
        <v>0</v>
      </c>
      <c r="BG249" s="116">
        <f t="shared" si="97"/>
        <v>0.95</v>
      </c>
      <c r="BH249" s="9">
        <f>IF($C249="&lt;01",ROUND(INDEX(EID!$L:$L,MATCH($B249,EID!$B:$B,0)),0)/2,IF(SUM($BG249)=0,"",ROUND($AX249/$BG249,0)))</f>
        <v>0</v>
      </c>
    </row>
    <row r="250" spans="1:60" x14ac:dyDescent="0.2">
      <c r="A250" t="str">
        <f>INDEX(Prioritization!$D:$D,MATCH($B250,Prioritization!$A:$A,0))</f>
        <v>1 - Scale-up: Saturation</v>
      </c>
      <c r="B250" t="s">
        <v>209</v>
      </c>
      <c r="C250" t="s">
        <v>366</v>
      </c>
      <c r="D250" t="s">
        <v>47</v>
      </c>
      <c r="E250" t="str">
        <f t="shared" si="76"/>
        <v>Balaka District [ir8wuHHzoSs]|35-49|Male</v>
      </c>
      <c r="F250" s="14"/>
      <c r="G250" s="14"/>
      <c r="H250" s="14"/>
      <c r="I250" s="14"/>
      <c r="J250" s="14"/>
      <c r="K250" s="14"/>
      <c r="L250" s="14"/>
      <c r="M250" s="14"/>
      <c r="N250" s="14"/>
      <c r="O250" s="14" t="str">
        <f t="shared" si="77"/>
        <v/>
      </c>
      <c r="P250" s="14"/>
      <c r="Q250" s="14"/>
      <c r="R250" s="14" t="str">
        <f t="shared" si="78"/>
        <v/>
      </c>
      <c r="S250" s="14">
        <f>IF(LEFT($B250,4)="_Mil","",_xlfn.IFNA(ROUND(INDEX(Spectrum!$N:$N,MATCH(RIGHT($B250,13)&amp;"|"&amp;$C250&amp;"|"&amp;$D250&amp;"|"&amp;S$14&amp;"|"&amp;"CY2022Q4",Spectrum!$R:$R,0)),0),""))</f>
        <v>1925</v>
      </c>
      <c r="T250" s="42">
        <f>IF(LEFT($B250,4)="_Mil","",_xlfn.IFNA(ROUND(INDEX(Spectrum!$N:$N,MATCH(RIGHT($B250,13)&amp;"|"&amp;$C250&amp;"|"&amp;$D250&amp;"|"&amp;T$14&amp;"|"&amp;"CY2023Q3",Spectrum!$R:$R,0)),0),""))</f>
        <v>1960</v>
      </c>
      <c r="U250" s="42" t="str">
        <f>IF(LEFT($B250,4)="_Mil","",_xlfn.IFNA(ROUND(INDEX(Spectrum!$N:$N,MATCH(RIGHT($B250,13)&amp;"|"&amp;$C250&amp;"|"&amp;$D250&amp;"|"&amp;U$14&amp;"|"&amp;"CY2023Q3",Spectrum!$R:$R,0)),0),""))</f>
        <v/>
      </c>
      <c r="V250" s="14">
        <f>IF(LEFT($B250,4)="_Mil","",_xlfn.IFNA(ROUND(INDEX(Spectrum!$N:$N,MATCH(RIGHT($B250,13)&amp;"|"&amp;$C250&amp;"|"&amp;$D250&amp;"|"&amp;V$14&amp;"|"&amp;"CY2023Q3",Spectrum!$R:$R,0)),0),""))</f>
        <v>1220</v>
      </c>
      <c r="W250" s="115">
        <f>IF(LEFT($B250,4)="_Mil","",_xlfn.IFNA(INDEX(Spectrum!$N:$N,MATCH(RIGHT($B250,13)&amp;"|"&amp;$C250&amp;"|"&amp;$D250&amp;"|"&amp;W$14&amp;"|"&amp;"CY2023Q3",Spectrum!$R:$R,0)),""))</f>
        <v>1724</v>
      </c>
      <c r="X250" s="42">
        <f>IF(LEFT($B250,4)="_Mil","",_xlfn.IFNA(ROUND(INDEX(Spectrum!$N:$N,MATCH(RIGHT($B250,13)&amp;"|"&amp;$C250&amp;"|"&amp;$D250&amp;"|"&amp;X$14&amp;"|"&amp;"CY2023Q3",Spectrum!$R:$R,0)),0),""))</f>
        <v>894</v>
      </c>
      <c r="Y250" s="90" t="str">
        <f t="shared" si="79"/>
        <v/>
      </c>
      <c r="Z250" s="42">
        <f>IF(LEFT($B250,4)="_Mil","",_xlfn.IFNA(ROUND(INDEX(Spectrum!$N:$N,MATCH(RIGHT($B250,13)&amp;"|"&amp;$C250&amp;"|"&amp;$D250&amp;"|"&amp;Z$14&amp;"|"&amp;"CY2023Q3",Spectrum!$R:$R,0)),0),""))</f>
        <v>1985</v>
      </c>
      <c r="AA250" s="90">
        <f>IF(LEFT($B250,4)="_Mil","",IFERROR(1/(1/INDEX(Spectrum!$N:$N,MATCH(RIGHT($B250,13)&amp;"|"&amp;$C250&amp;"|"&amp;$D250&amp;"|"&amp;AA$14&amp;"|"&amp;"CY2023Q3",Spectrum!$R:$R,0))),IF(SUM($U250)=0,"",SUM($Z250)/$U250)))</f>
        <v>1800</v>
      </c>
      <c r="AB250" s="90">
        <f t="shared" si="80"/>
        <v>2.2203579418344521</v>
      </c>
      <c r="AC250" s="14">
        <f>IF(LEFT($B250,4)="_Mil","",_xlfn.IFNA(ROUND(INDEX(Spectrum!$N:$N,MATCH(RIGHT($B250,13)&amp;"|"&amp;$C250&amp;"|"&amp;$D250&amp;"|"&amp;AC$14&amp;"|"&amp;"CY2023Q3",Spectrum!$R:$R,0)),0),""))</f>
        <v>1672</v>
      </c>
      <c r="AD250" s="14" t="str">
        <f>IF(LEFT($B250,4)="_Mil","",_xlfn.IFNA(ROUND(INDEX(Spectrum!$N:$N,MATCH(RIGHT($B250,13)&amp;"|"&amp;$C250&amp;"|"&amp;$D250&amp;"|"&amp;AD$14&amp;"|"&amp;"CY2023Q3",Spectrum!$R:$R,0)),0),""))</f>
        <v/>
      </c>
      <c r="AE250" s="90">
        <f t="shared" si="81"/>
        <v>0</v>
      </c>
      <c r="AF250" s="42" t="str">
        <f>IF(LEFT($B250,4)="_Mil","",_xlfn.IFNA(ROUND(INDEX(Spectrum!$N:$N,MATCH(RIGHT($B250,13)&amp;"|"&amp;$C250&amp;"|"&amp;$D250&amp;"|"&amp;AF$14&amp;"|"&amp;"CY2023Q3",Spectrum!$R:$R,0)),0),""))</f>
        <v/>
      </c>
      <c r="AG250" s="90" t="str">
        <f t="shared" si="82"/>
        <v/>
      </c>
      <c r="AH250" s="88" t="str">
        <f>IF(LEFT($B250,4)="_Mil","",_xlfn.IFNA(INDEX(Spectrum!$N:$N,MATCH(RIGHT($B250,13)&amp;"|"&amp;$C250&amp;"|"&amp;$D250&amp;"|"&amp;AH$14&amp;"|"&amp;"CY2023Q3",Spectrum!$R:$R,0)),""))</f>
        <v/>
      </c>
      <c r="AI250" s="14" t="str">
        <f>IF(LEFT($B250,4)="_Mil","",_xlfn.IFNA(ROUND(INDEX(Spectrum!$N:$N,MATCH(RIGHT($B250,13)&amp;"|"&amp;$C250&amp;"|"&amp;$D250&amp;"|"&amp;AI$14&amp;"|"&amp;"CY2023Q3",Spectrum!$R:$R,0)),0),""))</f>
        <v/>
      </c>
      <c r="AJ250" s="42">
        <f>IF(LEFT($B250,4)="_Mil","",_xlfn.IFNA(ROUND(INDEX(Spectrum!$N:$N,MATCH(RIGHT($B250,13)&amp;"|"&amp;$C250&amp;"|"&amp;$D250&amp;"|"&amp;AI$14&amp;"|"&amp;"CY2023Q3",Spectrum!$R:$R,0)),0),SUM($U250)+SUM($AI250)))</f>
        <v>0</v>
      </c>
      <c r="AK250" s="14" t="str">
        <f>IF(LEFT($B250,4)="_Mil","",_xlfn.IFNA(ROUND(INDEX(Spectrum!$N:$N,MATCH(RIGHT($B250,13)&amp;"|"&amp;$C250&amp;"|"&amp;$D250&amp;"|"&amp;AK$14&amp;"|"&amp;"CY2023Q3",Spectrum!$R:$R,0)),0),""))</f>
        <v/>
      </c>
      <c r="AL250" s="90">
        <f t="shared" si="83"/>
        <v>1800</v>
      </c>
      <c r="AM250" s="14">
        <f t="shared" si="84"/>
        <v>0</v>
      </c>
      <c r="AN250" s="14" t="str">
        <f>IF($C250="&lt;01",ROUND(INDEX(EID!$P:$P,MATCH($B250,EID!$B:$B,0))/2,0),"")</f>
        <v/>
      </c>
      <c r="AO250" s="14">
        <f t="shared" si="85"/>
        <v>0</v>
      </c>
      <c r="AP250" s="42">
        <f t="shared" si="86"/>
        <v>0</v>
      </c>
      <c r="AQ250" s="42">
        <f t="shared" si="87"/>
        <v>1985</v>
      </c>
      <c r="AR250" s="90" t="str">
        <f t="shared" si="88"/>
        <v/>
      </c>
      <c r="AS250" s="90">
        <f t="shared" si="99"/>
        <v>0.98</v>
      </c>
      <c r="AT250" s="90">
        <f t="shared" si="99"/>
        <v>0.98</v>
      </c>
      <c r="AU250" s="14">
        <f t="shared" si="89"/>
        <v>0</v>
      </c>
      <c r="AV250" s="14">
        <f>IF($C250="&lt;01",ROUND(INDEX(EID!$N:$N,MATCH($B250,EID!$B:$B,0))/2,0),IF(SUM($AT250)=0,"",ROUND((SUM($AP250)-(SUM($O250)*SUM($AS250)))/$AT250,0)))</f>
        <v>0</v>
      </c>
      <c r="AW250" s="90">
        <f t="shared" si="90"/>
        <v>1</v>
      </c>
      <c r="AX250" s="42">
        <f t="shared" si="91"/>
        <v>0</v>
      </c>
      <c r="AY250" s="116">
        <f t="shared" si="92"/>
        <v>0.7</v>
      </c>
      <c r="AZ250" s="93">
        <f>IF($C250="&lt;01",ROUND(INDEX(EID!$R:$R,MATCH($B250,EID!$B:$B,0))/2,0),ROUND(SUM($O250)+(SUM($AV250)*$AY250),0))</f>
        <v>0</v>
      </c>
      <c r="BA250" s="89">
        <f t="shared" si="93"/>
        <v>0.95</v>
      </c>
      <c r="BB250" s="9">
        <f>IF($C250="&lt;01",ROUND(INDEX(EID!$T:$T,MATCH($B250,EID!$B:$B,0))/2,0),ROUND($AZ250*$BA250,0))</f>
        <v>0</v>
      </c>
      <c r="BC250" s="93">
        <f t="shared" si="94"/>
        <v>0</v>
      </c>
      <c r="BD250" s="90">
        <f t="shared" si="95"/>
        <v>0.95</v>
      </c>
      <c r="BE250" s="42">
        <f>IF($C250="&lt;01",ROUND(INDEX(EID!$V:$V,MATCH($B250,EID!$B:$B,0))/2,0),ROUND($BD250*$BB250,0))</f>
        <v>0</v>
      </c>
      <c r="BF250" s="42">
        <f t="shared" si="96"/>
        <v>0</v>
      </c>
      <c r="BG250" s="116">
        <f t="shared" si="97"/>
        <v>0.95</v>
      </c>
      <c r="BH250" s="9">
        <f>IF($C250="&lt;01",ROUND(INDEX(EID!$L:$L,MATCH($B250,EID!$B:$B,0)),0)/2,IF(SUM($BG250)=0,"",ROUND($AX250/$BG250,0)))</f>
        <v>0</v>
      </c>
    </row>
    <row r="251" spans="1:60" x14ac:dyDescent="0.2">
      <c r="A251" t="str">
        <f>INDEX(Prioritization!$D:$D,MATCH($B251,Prioritization!$A:$A,0))</f>
        <v>1 - Scale-up: Saturation</v>
      </c>
      <c r="B251" t="s">
        <v>209</v>
      </c>
      <c r="C251" t="s">
        <v>367</v>
      </c>
      <c r="D251" t="s">
        <v>29</v>
      </c>
      <c r="E251" t="str">
        <f t="shared" si="76"/>
        <v>Balaka District [ir8wuHHzoSs]|50+|Female</v>
      </c>
      <c r="F251" s="14"/>
      <c r="G251" s="14"/>
      <c r="H251" s="14"/>
      <c r="I251" s="14"/>
      <c r="J251" s="14"/>
      <c r="K251" s="14"/>
      <c r="L251" s="14"/>
      <c r="M251" s="14"/>
      <c r="N251" s="14"/>
      <c r="O251" s="14" t="str">
        <f t="shared" si="77"/>
        <v/>
      </c>
      <c r="P251" s="14"/>
      <c r="Q251" s="14"/>
      <c r="R251" s="14" t="str">
        <f t="shared" si="78"/>
        <v/>
      </c>
      <c r="S251" s="14">
        <f>IF(LEFT($B251,4)="_Mil","",_xlfn.IFNA(ROUND(INDEX(Spectrum!$N:$N,MATCH(RIGHT($B251,13)&amp;"|"&amp;$C251&amp;"|"&amp;$D251&amp;"|"&amp;S$14&amp;"|"&amp;"CY2022Q4",Spectrum!$R:$R,0)),0),""))</f>
        <v>937</v>
      </c>
      <c r="T251" s="42">
        <f>IF(LEFT($B251,4)="_Mil","",_xlfn.IFNA(ROUND(INDEX(Spectrum!$N:$N,MATCH(RIGHT($B251,13)&amp;"|"&amp;$C251&amp;"|"&amp;$D251&amp;"|"&amp;T$14&amp;"|"&amp;"CY2023Q3",Spectrum!$R:$R,0)),0),""))</f>
        <v>1618</v>
      </c>
      <c r="U251" s="42" t="str">
        <f>IF(LEFT($B251,4)="_Mil","",_xlfn.IFNA(ROUND(INDEX(Spectrum!$N:$N,MATCH(RIGHT($B251,13)&amp;"|"&amp;$C251&amp;"|"&amp;$D251&amp;"|"&amp;U$14&amp;"|"&amp;"CY2023Q3",Spectrum!$R:$R,0)),0),""))</f>
        <v/>
      </c>
      <c r="V251" s="14">
        <f>IF(LEFT($B251,4)="_Mil","",_xlfn.IFNA(ROUND(INDEX(Spectrum!$N:$N,MATCH(RIGHT($B251,13)&amp;"|"&amp;$C251&amp;"|"&amp;$D251&amp;"|"&amp;V$14&amp;"|"&amp;"CY2023Q3",Spectrum!$R:$R,0)),0),""))</f>
        <v>615</v>
      </c>
      <c r="W251" s="115">
        <f>IF(LEFT($B251,4)="_Mil","",_xlfn.IFNA(INDEX(Spectrum!$N:$N,MATCH(RIGHT($B251,13)&amp;"|"&amp;$C251&amp;"|"&amp;$D251&amp;"|"&amp;W$14&amp;"|"&amp;"CY2023Q3",Spectrum!$R:$R,0)),""))</f>
        <v>1737</v>
      </c>
      <c r="X251" s="42">
        <f>IF(LEFT($B251,4)="_Mil","",_xlfn.IFNA(ROUND(INDEX(Spectrum!$N:$N,MATCH(RIGHT($B251,13)&amp;"|"&amp;$C251&amp;"|"&amp;$D251&amp;"|"&amp;X$14&amp;"|"&amp;"CY2023Q3",Spectrum!$R:$R,0)),0),""))</f>
        <v>1334</v>
      </c>
      <c r="Y251" s="90" t="str">
        <f t="shared" si="79"/>
        <v/>
      </c>
      <c r="Z251" s="42">
        <f>IF(LEFT($B251,4)="_Mil","",_xlfn.IFNA(ROUND(INDEX(Spectrum!$N:$N,MATCH(RIGHT($B251,13)&amp;"|"&amp;$C251&amp;"|"&amp;$D251&amp;"|"&amp;Z$14&amp;"|"&amp;"CY2023Q3",Spectrum!$R:$R,0)),0),""))</f>
        <v>1236</v>
      </c>
      <c r="AA251" s="90">
        <f>IF(LEFT($B251,4)="_Mil","",IFERROR(1/(1/INDEX(Spectrum!$N:$N,MATCH(RIGHT($B251,13)&amp;"|"&amp;$C251&amp;"|"&amp;$D251&amp;"|"&amp;AA$14&amp;"|"&amp;"CY2023Q3",Spectrum!$R:$R,0))),IF(SUM($U251)=0,"",SUM($Z251)/$U251)))</f>
        <v>1762.9999999999998</v>
      </c>
      <c r="AB251" s="90">
        <f t="shared" si="80"/>
        <v>0.92653673163418293</v>
      </c>
      <c r="AC251" s="14">
        <f>IF(LEFT($B251,4)="_Mil","",_xlfn.IFNA(ROUND(INDEX(Spectrum!$N:$N,MATCH(RIGHT($B251,13)&amp;"|"&amp;$C251&amp;"|"&amp;$D251&amp;"|"&amp;AC$14&amp;"|"&amp;"CY2023Q3",Spectrum!$R:$R,0)),0),""))</f>
        <v>857</v>
      </c>
      <c r="AD251" s="14" t="str">
        <f>IF(LEFT($B251,4)="_Mil","",_xlfn.IFNA(ROUND(INDEX(Spectrum!$N:$N,MATCH(RIGHT($B251,13)&amp;"|"&amp;$C251&amp;"|"&amp;$D251&amp;"|"&amp;AD$14&amp;"|"&amp;"CY2023Q3",Spectrum!$R:$R,0)),0),""))</f>
        <v/>
      </c>
      <c r="AE251" s="90">
        <f t="shared" si="81"/>
        <v>0</v>
      </c>
      <c r="AF251" s="42" t="str">
        <f>IF(LEFT($B251,4)="_Mil","",_xlfn.IFNA(ROUND(INDEX(Spectrum!$N:$N,MATCH(RIGHT($B251,13)&amp;"|"&amp;$C251&amp;"|"&amp;$D251&amp;"|"&amp;AF$14&amp;"|"&amp;"CY2023Q3",Spectrum!$R:$R,0)),0),""))</f>
        <v/>
      </c>
      <c r="AG251" s="90" t="str">
        <f t="shared" si="82"/>
        <v/>
      </c>
      <c r="AH251" s="88" t="str">
        <f>IF(LEFT($B251,4)="_Mil","",_xlfn.IFNA(INDEX(Spectrum!$N:$N,MATCH(RIGHT($B251,13)&amp;"|"&amp;$C251&amp;"|"&amp;$D251&amp;"|"&amp;AH$14&amp;"|"&amp;"CY2023Q3",Spectrum!$R:$R,0)),""))</f>
        <v/>
      </c>
      <c r="AI251" s="14" t="str">
        <f>IF(LEFT($B251,4)="_Mil","",_xlfn.IFNA(ROUND(INDEX(Spectrum!$N:$N,MATCH(RIGHT($B251,13)&amp;"|"&amp;$C251&amp;"|"&amp;$D251&amp;"|"&amp;AI$14&amp;"|"&amp;"CY2023Q3",Spectrum!$R:$R,0)),0),""))</f>
        <v/>
      </c>
      <c r="AJ251" s="42">
        <f>IF(LEFT($B251,4)="_Mil","",_xlfn.IFNA(ROUND(INDEX(Spectrum!$N:$N,MATCH(RIGHT($B251,13)&amp;"|"&amp;$C251&amp;"|"&amp;$D251&amp;"|"&amp;AI$14&amp;"|"&amp;"CY2023Q3",Spectrum!$R:$R,0)),0),SUM($U251)+SUM($AI251)))</f>
        <v>0</v>
      </c>
      <c r="AK251" s="14" t="str">
        <f>IF(LEFT($B251,4)="_Mil","",_xlfn.IFNA(ROUND(INDEX(Spectrum!$N:$N,MATCH(RIGHT($B251,13)&amp;"|"&amp;$C251&amp;"|"&amp;$D251&amp;"|"&amp;AK$14&amp;"|"&amp;"CY2023Q3",Spectrum!$R:$R,0)),0),""))</f>
        <v/>
      </c>
      <c r="AL251" s="90">
        <f t="shared" si="83"/>
        <v>1762.9999999999998</v>
      </c>
      <c r="AM251" s="14">
        <f t="shared" si="84"/>
        <v>0</v>
      </c>
      <c r="AN251" s="14" t="str">
        <f>IF($C251="&lt;01",ROUND(INDEX(EID!$P:$P,MATCH($B251,EID!$B:$B,0))/2,0),"")</f>
        <v/>
      </c>
      <c r="AO251" s="14">
        <f t="shared" si="85"/>
        <v>0</v>
      </c>
      <c r="AP251" s="42">
        <f t="shared" si="86"/>
        <v>0</v>
      </c>
      <c r="AQ251" s="42">
        <f t="shared" si="87"/>
        <v>1236</v>
      </c>
      <c r="AR251" s="90" t="str">
        <f t="shared" si="88"/>
        <v/>
      </c>
      <c r="AS251" s="90">
        <f t="shared" si="99"/>
        <v>0.98</v>
      </c>
      <c r="AT251" s="90">
        <f t="shared" si="99"/>
        <v>0.98</v>
      </c>
      <c r="AU251" s="14">
        <f t="shared" si="89"/>
        <v>0</v>
      </c>
      <c r="AV251" s="14">
        <f>IF($C251="&lt;01",ROUND(INDEX(EID!$N:$N,MATCH($B251,EID!$B:$B,0))/2,0),IF(SUM($AT251)=0,"",ROUND((SUM($AP251)-(SUM($O251)*SUM($AS251)))/$AT251,0)))</f>
        <v>0</v>
      </c>
      <c r="AW251" s="90">
        <f t="shared" si="90"/>
        <v>1</v>
      </c>
      <c r="AX251" s="42">
        <f t="shared" si="91"/>
        <v>0</v>
      </c>
      <c r="AY251" s="116">
        <f t="shared" si="92"/>
        <v>0.7</v>
      </c>
      <c r="AZ251" s="93">
        <f>IF($C251="&lt;01",ROUND(INDEX(EID!$R:$R,MATCH($B251,EID!$B:$B,0))/2,0),ROUND(SUM($O251)+(SUM($AV251)*$AY251),0))</f>
        <v>0</v>
      </c>
      <c r="BA251" s="89">
        <f t="shared" si="93"/>
        <v>0.95</v>
      </c>
      <c r="BB251" s="9">
        <f>IF($C251="&lt;01",ROUND(INDEX(EID!$T:$T,MATCH($B251,EID!$B:$B,0))/2,0),ROUND($AZ251*$BA251,0))</f>
        <v>0</v>
      </c>
      <c r="BC251" s="93">
        <f t="shared" si="94"/>
        <v>0</v>
      </c>
      <c r="BD251" s="90">
        <f t="shared" si="95"/>
        <v>0.95</v>
      </c>
      <c r="BE251" s="42">
        <f>IF($C251="&lt;01",ROUND(INDEX(EID!$V:$V,MATCH($B251,EID!$B:$B,0))/2,0),ROUND($BD251*$BB251,0))</f>
        <v>0</v>
      </c>
      <c r="BF251" s="42">
        <f t="shared" si="96"/>
        <v>0</v>
      </c>
      <c r="BG251" s="116">
        <f t="shared" si="97"/>
        <v>0.95</v>
      </c>
      <c r="BH251" s="9">
        <f>IF($C251="&lt;01",ROUND(INDEX(EID!$L:$L,MATCH($B251,EID!$B:$B,0)),0)/2,IF(SUM($BG251)=0,"",ROUND($AX251/$BG251,0)))</f>
        <v>0</v>
      </c>
    </row>
    <row r="252" spans="1:60" x14ac:dyDescent="0.2">
      <c r="A252" t="str">
        <f>INDEX(Prioritization!$D:$D,MATCH($B252,Prioritization!$A:$A,0))</f>
        <v>1 - Scale-up: Saturation</v>
      </c>
      <c r="B252" t="s">
        <v>209</v>
      </c>
      <c r="C252" t="s">
        <v>367</v>
      </c>
      <c r="D252" t="s">
        <v>47</v>
      </c>
      <c r="E252" t="str">
        <f t="shared" si="76"/>
        <v>Balaka District [ir8wuHHzoSs]|50+|Male</v>
      </c>
      <c r="F252" s="14"/>
      <c r="G252" s="14"/>
      <c r="H252" s="14"/>
      <c r="I252" s="14"/>
      <c r="J252" s="14"/>
      <c r="K252" s="14"/>
      <c r="L252" s="14"/>
      <c r="M252" s="14"/>
      <c r="N252" s="14"/>
      <c r="O252" s="14" t="str">
        <f t="shared" si="77"/>
        <v/>
      </c>
      <c r="P252" s="14"/>
      <c r="Q252" s="14"/>
      <c r="R252" s="14" t="str">
        <f t="shared" si="78"/>
        <v/>
      </c>
      <c r="S252" s="14">
        <f>IF(LEFT($B252,4)="_Mil","",_xlfn.IFNA(ROUND(INDEX(Spectrum!$N:$N,MATCH(RIGHT($B252,13)&amp;"|"&amp;$C252&amp;"|"&amp;$D252&amp;"|"&amp;S$14&amp;"|"&amp;"CY2022Q4",Spectrum!$R:$R,0)),0),""))</f>
        <v>789</v>
      </c>
      <c r="T252" s="42">
        <f>IF(LEFT($B252,4)="_Mil","",_xlfn.IFNA(ROUND(INDEX(Spectrum!$N:$N,MATCH(RIGHT($B252,13)&amp;"|"&amp;$C252&amp;"|"&amp;$D252&amp;"|"&amp;T$14&amp;"|"&amp;"CY2023Q3",Spectrum!$R:$R,0)),0),""))</f>
        <v>517</v>
      </c>
      <c r="U252" s="42" t="str">
        <f>IF(LEFT($B252,4)="_Mil","",_xlfn.IFNA(ROUND(INDEX(Spectrum!$N:$N,MATCH(RIGHT($B252,13)&amp;"|"&amp;$C252&amp;"|"&amp;$D252&amp;"|"&amp;U$14&amp;"|"&amp;"CY2023Q3",Spectrum!$R:$R,0)),0),""))</f>
        <v/>
      </c>
      <c r="V252" s="14">
        <f>IF(LEFT($B252,4)="_Mil","",_xlfn.IFNA(ROUND(INDEX(Spectrum!$N:$N,MATCH(RIGHT($B252,13)&amp;"|"&amp;$C252&amp;"|"&amp;$D252&amp;"|"&amp;V$14&amp;"|"&amp;"CY2023Q3",Spectrum!$R:$R,0)),0),""))</f>
        <v>787</v>
      </c>
      <c r="W252" s="115">
        <f>IF(LEFT($B252,4)="_Mil","",_xlfn.IFNA(INDEX(Spectrum!$N:$N,MATCH(RIGHT($B252,13)&amp;"|"&amp;$C252&amp;"|"&amp;$D252&amp;"|"&amp;W$14&amp;"|"&amp;"CY2023Q3",Spectrum!$R:$R,0)),""))</f>
        <v>666</v>
      </c>
      <c r="X252" s="42">
        <f>IF(LEFT($B252,4)="_Mil","",_xlfn.IFNA(ROUND(INDEX(Spectrum!$N:$N,MATCH(RIGHT($B252,13)&amp;"|"&amp;$C252&amp;"|"&amp;$D252&amp;"|"&amp;X$14&amp;"|"&amp;"CY2023Q3",Spectrum!$R:$R,0)),0),""))</f>
        <v>1836</v>
      </c>
      <c r="Y252" s="90" t="str">
        <f t="shared" si="79"/>
        <v/>
      </c>
      <c r="Z252" s="42">
        <f>IF(LEFT($B252,4)="_Mil","",_xlfn.IFNA(ROUND(INDEX(Spectrum!$N:$N,MATCH(RIGHT($B252,13)&amp;"|"&amp;$C252&amp;"|"&amp;$D252&amp;"|"&amp;Z$14&amp;"|"&amp;"CY2023Q3",Spectrum!$R:$R,0)),0),""))</f>
        <v>1557</v>
      </c>
      <c r="AA252" s="90">
        <f>IF(LEFT($B252,4)="_Mil","",IFERROR(1/(1/INDEX(Spectrum!$N:$N,MATCH(RIGHT($B252,13)&amp;"|"&amp;$C252&amp;"|"&amp;$D252&amp;"|"&amp;AA$14&amp;"|"&amp;"CY2023Q3",Spectrum!$R:$R,0))),IF(SUM($U252)=0,"",SUM($Z252)/$U252)))</f>
        <v>1036</v>
      </c>
      <c r="AB252" s="90">
        <f t="shared" si="80"/>
        <v>0.84803921568627449</v>
      </c>
      <c r="AC252" s="14">
        <f>IF(LEFT($B252,4)="_Mil","",_xlfn.IFNA(ROUND(INDEX(Spectrum!$N:$N,MATCH(RIGHT($B252,13)&amp;"|"&amp;$C252&amp;"|"&amp;$D252&amp;"|"&amp;AC$14&amp;"|"&amp;"CY2023Q3",Spectrum!$R:$R,0)),0),""))</f>
        <v>1418</v>
      </c>
      <c r="AD252" s="14" t="str">
        <f>IF(LEFT($B252,4)="_Mil","",_xlfn.IFNA(ROUND(INDEX(Spectrum!$N:$N,MATCH(RIGHT($B252,13)&amp;"|"&amp;$C252&amp;"|"&amp;$D252&amp;"|"&amp;AD$14&amp;"|"&amp;"CY2023Q3",Spectrum!$R:$R,0)),0),""))</f>
        <v/>
      </c>
      <c r="AE252" s="90">
        <f t="shared" si="81"/>
        <v>0</v>
      </c>
      <c r="AF252" s="42" t="str">
        <f>IF(LEFT($B252,4)="_Mil","",_xlfn.IFNA(ROUND(INDEX(Spectrum!$N:$N,MATCH(RIGHT($B252,13)&amp;"|"&amp;$C252&amp;"|"&amp;$D252&amp;"|"&amp;AF$14&amp;"|"&amp;"CY2023Q3",Spectrum!$R:$R,0)),0),""))</f>
        <v/>
      </c>
      <c r="AG252" s="90" t="str">
        <f t="shared" si="82"/>
        <v/>
      </c>
      <c r="AH252" s="88" t="str">
        <f>IF(LEFT($B252,4)="_Mil","",_xlfn.IFNA(INDEX(Spectrum!$N:$N,MATCH(RIGHT($B252,13)&amp;"|"&amp;$C252&amp;"|"&amp;$D252&amp;"|"&amp;AH$14&amp;"|"&amp;"CY2023Q3",Spectrum!$R:$R,0)),""))</f>
        <v/>
      </c>
      <c r="AI252" s="14" t="str">
        <f>IF(LEFT($B252,4)="_Mil","",_xlfn.IFNA(ROUND(INDEX(Spectrum!$N:$N,MATCH(RIGHT($B252,13)&amp;"|"&amp;$C252&amp;"|"&amp;$D252&amp;"|"&amp;AI$14&amp;"|"&amp;"CY2023Q3",Spectrum!$R:$R,0)),0),""))</f>
        <v/>
      </c>
      <c r="AJ252" s="42">
        <f>IF(LEFT($B252,4)="_Mil","",_xlfn.IFNA(ROUND(INDEX(Spectrum!$N:$N,MATCH(RIGHT($B252,13)&amp;"|"&amp;$C252&amp;"|"&amp;$D252&amp;"|"&amp;AI$14&amp;"|"&amp;"CY2023Q3",Spectrum!$R:$R,0)),0),SUM($U252)+SUM($AI252)))</f>
        <v>0</v>
      </c>
      <c r="AK252" s="14" t="str">
        <f>IF(LEFT($B252,4)="_Mil","",_xlfn.IFNA(ROUND(INDEX(Spectrum!$N:$N,MATCH(RIGHT($B252,13)&amp;"|"&amp;$C252&amp;"|"&amp;$D252&amp;"|"&amp;AK$14&amp;"|"&amp;"CY2023Q3",Spectrum!$R:$R,0)),0),""))</f>
        <v/>
      </c>
      <c r="AL252" s="90">
        <f t="shared" si="83"/>
        <v>1036</v>
      </c>
      <c r="AM252" s="14">
        <f t="shared" si="84"/>
        <v>0</v>
      </c>
      <c r="AN252" s="14" t="str">
        <f>IF($C252="&lt;01",ROUND(INDEX(EID!$P:$P,MATCH($B252,EID!$B:$B,0))/2,0),"")</f>
        <v/>
      </c>
      <c r="AO252" s="14">
        <f t="shared" si="85"/>
        <v>0</v>
      </c>
      <c r="AP252" s="42">
        <f t="shared" si="86"/>
        <v>0</v>
      </c>
      <c r="AQ252" s="42">
        <f t="shared" si="87"/>
        <v>1557</v>
      </c>
      <c r="AR252" s="90" t="str">
        <f t="shared" si="88"/>
        <v/>
      </c>
      <c r="AS252" s="90">
        <f t="shared" si="99"/>
        <v>0.98</v>
      </c>
      <c r="AT252" s="90">
        <f t="shared" si="99"/>
        <v>0.98</v>
      </c>
      <c r="AU252" s="14">
        <f t="shared" si="89"/>
        <v>0</v>
      </c>
      <c r="AV252" s="14">
        <f>IF($C252="&lt;01",ROUND(INDEX(EID!$N:$N,MATCH($B252,EID!$B:$B,0))/2,0),IF(SUM($AT252)=0,"",ROUND((SUM($AP252)-(SUM($O252)*SUM($AS252)))/$AT252,0)))</f>
        <v>0</v>
      </c>
      <c r="AW252" s="90">
        <f t="shared" si="90"/>
        <v>1</v>
      </c>
      <c r="AX252" s="42">
        <f t="shared" si="91"/>
        <v>0</v>
      </c>
      <c r="AY252" s="116">
        <f t="shared" si="92"/>
        <v>0.7</v>
      </c>
      <c r="AZ252" s="93">
        <f>IF($C252="&lt;01",ROUND(INDEX(EID!$R:$R,MATCH($B252,EID!$B:$B,0))/2,0),ROUND(SUM($O252)+(SUM($AV252)*$AY252),0))</f>
        <v>0</v>
      </c>
      <c r="BA252" s="89">
        <f t="shared" si="93"/>
        <v>0.95</v>
      </c>
      <c r="BB252" s="9">
        <f>IF($C252="&lt;01",ROUND(INDEX(EID!$T:$T,MATCH($B252,EID!$B:$B,0))/2,0),ROUND($AZ252*$BA252,0))</f>
        <v>0</v>
      </c>
      <c r="BC252" s="93">
        <f t="shared" si="94"/>
        <v>0</v>
      </c>
      <c r="BD252" s="90">
        <f t="shared" si="95"/>
        <v>0.95</v>
      </c>
      <c r="BE252" s="42">
        <f>IF($C252="&lt;01",ROUND(INDEX(EID!$V:$V,MATCH($B252,EID!$B:$B,0))/2,0),ROUND($BD252*$BB252,0))</f>
        <v>0</v>
      </c>
      <c r="BF252" s="42">
        <f t="shared" si="96"/>
        <v>0</v>
      </c>
      <c r="BG252" s="116">
        <f t="shared" si="97"/>
        <v>0.95</v>
      </c>
      <c r="BH252" s="9">
        <f>IF($C252="&lt;01",ROUND(INDEX(EID!$L:$L,MATCH($B252,EID!$B:$B,0)),0)/2,IF(SUM($BG252)=0,"",ROUND($AX252/$BG252,0)))</f>
        <v>0</v>
      </c>
    </row>
    <row r="253" spans="1:60" x14ac:dyDescent="0.2">
      <c r="A253" t="str">
        <f>INDEX(Prioritization!$D:$D,MATCH($B253,Prioritization!$A:$A,0))</f>
        <v>1 - Scale-up: Saturation</v>
      </c>
      <c r="B253" t="s">
        <v>210</v>
      </c>
      <c r="C253" t="s">
        <v>315</v>
      </c>
      <c r="D253" t="s">
        <v>29</v>
      </c>
      <c r="E253" t="str">
        <f t="shared" si="76"/>
        <v>Blantyre District [mxqa3CDFmIT]|&lt;01|Female</v>
      </c>
      <c r="F253" s="14"/>
      <c r="G253" s="14">
        <v>84</v>
      </c>
      <c r="H253" s="14">
        <v>3</v>
      </c>
      <c r="I253" s="14">
        <v>5</v>
      </c>
      <c r="J253" s="14">
        <v>21</v>
      </c>
      <c r="K253" s="14">
        <v>58</v>
      </c>
      <c r="L253" s="14"/>
      <c r="M253" s="14">
        <v>5</v>
      </c>
      <c r="N253" s="14">
        <v>4</v>
      </c>
      <c r="O253" s="14">
        <f t="shared" si="77"/>
        <v>5</v>
      </c>
      <c r="P253" s="14">
        <v>7</v>
      </c>
      <c r="Q253" s="14">
        <v>5</v>
      </c>
      <c r="R253" s="14">
        <f t="shared" si="78"/>
        <v>0</v>
      </c>
      <c r="S253" s="14">
        <f>IF(LEFT($B253,4)="_Mil","",_xlfn.IFNA(ROUND(INDEX(Spectrum!$N:$N,MATCH(RIGHT($B253,13)&amp;"|"&amp;$C253&amp;"|"&amp;$D253&amp;"|"&amp;S$14&amp;"|"&amp;"CY2022Q4",Spectrum!$R:$R,0)),0),""))</f>
        <v>1506</v>
      </c>
      <c r="T253" s="42">
        <f>IF(LEFT($B253,4)="_Mil","",_xlfn.IFNA(ROUND(INDEX(Spectrum!$N:$N,MATCH(RIGHT($B253,13)&amp;"|"&amp;$C253&amp;"|"&amp;$D253&amp;"|"&amp;T$14&amp;"|"&amp;"CY2023Q3",Spectrum!$R:$R,0)),0),""))</f>
        <v>806</v>
      </c>
      <c r="U253" s="42" t="str">
        <f>IF(LEFT($B253,4)="_Mil","",_xlfn.IFNA(ROUND(INDEX(Spectrum!$N:$N,MATCH(RIGHT($B253,13)&amp;"|"&amp;$C253&amp;"|"&amp;$D253&amp;"|"&amp;U$14&amp;"|"&amp;"CY2023Q3",Spectrum!$R:$R,0)),0),""))</f>
        <v/>
      </c>
      <c r="V253" s="14">
        <f>IF(LEFT($B253,4)="_Mil","",_xlfn.IFNA(ROUND(INDEX(Spectrum!$N:$N,MATCH(RIGHT($B253,13)&amp;"|"&amp;$C253&amp;"|"&amp;$D253&amp;"|"&amp;V$14&amp;"|"&amp;"CY2023Q3",Spectrum!$R:$R,0)),0),""))</f>
        <v>1386</v>
      </c>
      <c r="W253" s="115">
        <f>IF(LEFT($B253,4)="_Mil","",_xlfn.IFNA(INDEX(Spectrum!$N:$N,MATCH(RIGHT($B253,13)&amp;"|"&amp;$C253&amp;"|"&amp;$D253&amp;"|"&amp;W$14&amp;"|"&amp;"CY2023Q3",Spectrum!$R:$R,0)),""))</f>
        <v>1961</v>
      </c>
      <c r="X253" s="42">
        <f>IF(LEFT($B253,4)="_Mil","",_xlfn.IFNA(ROUND(INDEX(Spectrum!$N:$N,MATCH(RIGHT($B253,13)&amp;"|"&amp;$C253&amp;"|"&amp;$D253&amp;"|"&amp;X$14&amp;"|"&amp;"CY2023Q3",Spectrum!$R:$R,0)),0),""))</f>
        <v>1204</v>
      </c>
      <c r="Y253" s="90" t="str">
        <f t="shared" si="79"/>
        <v/>
      </c>
      <c r="Z253" s="42">
        <f>IF(LEFT($B253,4)="_Mil","",_xlfn.IFNA(ROUND(INDEX(Spectrum!$N:$N,MATCH(RIGHT($B253,13)&amp;"|"&amp;$C253&amp;"|"&amp;$D253&amp;"|"&amp;Z$14&amp;"|"&amp;"CY2023Q3",Spectrum!$R:$R,0)),0),""))</f>
        <v>572</v>
      </c>
      <c r="AA253" s="90">
        <f>IF(LEFT($B253,4)="_Mil","",IFERROR(1/(1/INDEX(Spectrum!$N:$N,MATCH(RIGHT($B253,13)&amp;"|"&amp;$C253&amp;"|"&amp;$D253&amp;"|"&amp;AA$14&amp;"|"&amp;"CY2023Q3",Spectrum!$R:$R,0))),IF(SUM($U253)=0,"",SUM($Z253)/$U253)))</f>
        <v>1198</v>
      </c>
      <c r="AB253" s="90">
        <f t="shared" si="80"/>
        <v>0.47508305647840532</v>
      </c>
      <c r="AC253" s="14">
        <f>IF(LEFT($B253,4)="_Mil","",_xlfn.IFNA(ROUND(INDEX(Spectrum!$N:$N,MATCH(RIGHT($B253,13)&amp;"|"&amp;$C253&amp;"|"&amp;$D253&amp;"|"&amp;AC$14&amp;"|"&amp;"CY2023Q3",Spectrum!$R:$R,0)),0),""))</f>
        <v>783</v>
      </c>
      <c r="AD253" s="14" t="str">
        <f>IF(LEFT($B253,4)="_Mil","",_xlfn.IFNA(ROUND(INDEX(Spectrum!$N:$N,MATCH(RIGHT($B253,13)&amp;"|"&amp;$C253&amp;"|"&amp;$D253&amp;"|"&amp;AD$14&amp;"|"&amp;"CY2023Q3",Spectrum!$R:$R,0)),0),""))</f>
        <v/>
      </c>
      <c r="AE253" s="90">
        <f t="shared" si="81"/>
        <v>0</v>
      </c>
      <c r="AF253" s="42" t="str">
        <f>IF(LEFT($B253,4)="_Mil","",_xlfn.IFNA(ROUND(INDEX(Spectrum!$N:$N,MATCH(RIGHT($B253,13)&amp;"|"&amp;$C253&amp;"|"&amp;$D253&amp;"|"&amp;AF$14&amp;"|"&amp;"CY2023Q3",Spectrum!$R:$R,0)),0),""))</f>
        <v/>
      </c>
      <c r="AG253" s="90" t="str">
        <f t="shared" si="82"/>
        <v/>
      </c>
      <c r="AH253" s="88" t="str">
        <f>IF(LEFT($B253,4)="_Mil","",_xlfn.IFNA(INDEX(Spectrum!$N:$N,MATCH(RIGHT($B253,13)&amp;"|"&amp;$C253&amp;"|"&amp;$D253&amp;"|"&amp;AH$14&amp;"|"&amp;"CY2023Q3",Spectrum!$R:$R,0)),""))</f>
        <v/>
      </c>
      <c r="AI253" s="14" t="str">
        <f>IF(LEFT($B253,4)="_Mil","",_xlfn.IFNA(ROUND(INDEX(Spectrum!$N:$N,MATCH(RIGHT($B253,13)&amp;"|"&amp;$C253&amp;"|"&amp;$D253&amp;"|"&amp;AI$14&amp;"|"&amp;"CY2023Q3",Spectrum!$R:$R,0)),0),""))</f>
        <v/>
      </c>
      <c r="AJ253" s="42">
        <f>IF(LEFT($B253,4)="_Mil","",_xlfn.IFNA(ROUND(INDEX(Spectrum!$N:$N,MATCH(RIGHT($B253,13)&amp;"|"&amp;$C253&amp;"|"&amp;$D253&amp;"|"&amp;AI$14&amp;"|"&amp;"CY2023Q3",Spectrum!$R:$R,0)),0),SUM($U253)+SUM($AI253)))</f>
        <v>0</v>
      </c>
      <c r="AK253" s="14" t="str">
        <f>IF(LEFT($B253,4)="_Mil","",_xlfn.IFNA(ROUND(INDEX(Spectrum!$N:$N,MATCH(RIGHT($B253,13)&amp;"|"&amp;$C253&amp;"|"&amp;$D253&amp;"|"&amp;AK$14&amp;"|"&amp;"CY2023Q3",Spectrum!$R:$R,0)),0),""))</f>
        <v/>
      </c>
      <c r="AL253" s="90" t="str">
        <f t="shared" si="83"/>
        <v/>
      </c>
      <c r="AM253" s="14" t="str">
        <f t="shared" si="84"/>
        <v/>
      </c>
      <c r="AN253" s="14">
        <f>IF($C253="&lt;01",ROUND(INDEX(EID!$P:$P,MATCH($B253,EID!$B:$B,0))/2,0),"")</f>
        <v>1</v>
      </c>
      <c r="AO253" s="14">
        <f t="shared" si="85"/>
        <v>1</v>
      </c>
      <c r="AP253" s="42">
        <f t="shared" si="86"/>
        <v>1</v>
      </c>
      <c r="AQ253" s="42">
        <f t="shared" si="87"/>
        <v>114.4</v>
      </c>
      <c r="AR253" s="90" t="str">
        <f t="shared" si="88"/>
        <v/>
      </c>
      <c r="AS253" s="90" t="str">
        <f t="shared" si="99"/>
        <v/>
      </c>
      <c r="AT253" s="90" t="str">
        <f t="shared" si="99"/>
        <v/>
      </c>
      <c r="AU253" s="14" t="str">
        <f t="shared" si="89"/>
        <v/>
      </c>
      <c r="AV253" s="14">
        <f>IF($C253="&lt;01",ROUND(INDEX(EID!$N:$N,MATCH($B253,EID!$B:$B,0))/2,0),IF(SUM($AT253)=0,"",ROUND((SUM($AP253)-(SUM($O253)*SUM($AS253)))/$AT253,0)))</f>
        <v>1</v>
      </c>
      <c r="AW253" s="90" t="str">
        <f t="shared" si="90"/>
        <v/>
      </c>
      <c r="AX253" s="42">
        <f t="shared" si="91"/>
        <v>1</v>
      </c>
      <c r="AY253" s="116" t="str">
        <f t="shared" si="92"/>
        <v/>
      </c>
      <c r="AZ253" s="93">
        <f>IF($C253="&lt;01",ROUND(INDEX(EID!$R:$R,MATCH($B253,EID!$B:$B,0))/2,0),ROUND(SUM($O253)+(SUM($AV253)*$AY253),0))</f>
        <v>1</v>
      </c>
      <c r="BA253" s="89" t="str">
        <f t="shared" si="93"/>
        <v/>
      </c>
      <c r="BB253" s="9">
        <f>IF($C253="&lt;01",ROUND(INDEX(EID!$T:$T,MATCH($B253,EID!$B:$B,0))/2,0),ROUND($AZ253*$BA253,0))</f>
        <v>1</v>
      </c>
      <c r="BC253" s="93">
        <f t="shared" si="94"/>
        <v>114</v>
      </c>
      <c r="BD253" s="90" t="str">
        <f t="shared" si="95"/>
        <v/>
      </c>
      <c r="BE253" s="42">
        <f>IF($C253="&lt;01",ROUND(INDEX(EID!$V:$V,MATCH($B253,EID!$B:$B,0))/2,0),ROUND($BD253*$BB253,0))</f>
        <v>1</v>
      </c>
      <c r="BF253" s="42">
        <f t="shared" si="96"/>
        <v>114</v>
      </c>
      <c r="BG253" s="116" t="str">
        <f t="shared" si="97"/>
        <v/>
      </c>
      <c r="BH253" s="9">
        <f>IF($C253="&lt;01",ROUND(INDEX(EID!$L:$L,MATCH($B253,EID!$B:$B,0)),0)/2,IF(SUM($BG253)=0,"",ROUND($AX253/$BG253,0)))</f>
        <v>0.5</v>
      </c>
    </row>
    <row r="254" spans="1:60" x14ac:dyDescent="0.2">
      <c r="A254" t="str">
        <f>INDEX(Prioritization!$D:$D,MATCH($B254,Prioritization!$A:$A,0))</f>
        <v>1 - Scale-up: Saturation</v>
      </c>
      <c r="B254" t="s">
        <v>210</v>
      </c>
      <c r="C254" t="s">
        <v>315</v>
      </c>
      <c r="D254" t="s">
        <v>47</v>
      </c>
      <c r="E254" t="str">
        <f t="shared" si="76"/>
        <v>Blantyre District [mxqa3CDFmIT]|&lt;01|Male</v>
      </c>
      <c r="F254" s="14"/>
      <c r="G254" s="14">
        <v>8</v>
      </c>
      <c r="H254" s="14">
        <v>3</v>
      </c>
      <c r="I254" s="14">
        <v>5</v>
      </c>
      <c r="J254" s="14">
        <v>10</v>
      </c>
      <c r="K254" s="14">
        <v>5</v>
      </c>
      <c r="L254" s="14"/>
      <c r="M254" s="14">
        <v>9</v>
      </c>
      <c r="N254" s="14">
        <v>5</v>
      </c>
      <c r="O254" s="14">
        <f t="shared" si="77"/>
        <v>5</v>
      </c>
      <c r="P254" s="14">
        <v>10</v>
      </c>
      <c r="Q254" s="14">
        <v>3</v>
      </c>
      <c r="R254" s="14">
        <f t="shared" si="78"/>
        <v>0</v>
      </c>
      <c r="S254" s="14">
        <f>IF(LEFT($B254,4)="_Mil","",_xlfn.IFNA(ROUND(INDEX(Spectrum!$N:$N,MATCH(RIGHT($B254,13)&amp;"|"&amp;$C254&amp;"|"&amp;$D254&amp;"|"&amp;S$14&amp;"|"&amp;"CY2022Q4",Spectrum!$R:$R,0)),0),""))</f>
        <v>1283</v>
      </c>
      <c r="T254" s="42">
        <f>IF(LEFT($B254,4)="_Mil","",_xlfn.IFNA(ROUND(INDEX(Spectrum!$N:$N,MATCH(RIGHT($B254,13)&amp;"|"&amp;$C254&amp;"|"&amp;$D254&amp;"|"&amp;T$14&amp;"|"&amp;"CY2023Q3",Spectrum!$R:$R,0)),0),""))</f>
        <v>1511</v>
      </c>
      <c r="U254" s="42" t="str">
        <f>IF(LEFT($B254,4)="_Mil","",_xlfn.IFNA(ROUND(INDEX(Spectrum!$N:$N,MATCH(RIGHT($B254,13)&amp;"|"&amp;$C254&amp;"|"&amp;$D254&amp;"|"&amp;U$14&amp;"|"&amp;"CY2023Q3",Spectrum!$R:$R,0)),0),""))</f>
        <v/>
      </c>
      <c r="V254" s="14">
        <f>IF(LEFT($B254,4)="_Mil","",_xlfn.IFNA(ROUND(INDEX(Spectrum!$N:$N,MATCH(RIGHT($B254,13)&amp;"|"&amp;$C254&amp;"|"&amp;$D254&amp;"|"&amp;V$14&amp;"|"&amp;"CY2023Q3",Spectrum!$R:$R,0)),0),""))</f>
        <v>1397</v>
      </c>
      <c r="W254" s="115">
        <f>IF(LEFT($B254,4)="_Mil","",_xlfn.IFNA(INDEX(Spectrum!$N:$N,MATCH(RIGHT($B254,13)&amp;"|"&amp;$C254&amp;"|"&amp;$D254&amp;"|"&amp;W$14&amp;"|"&amp;"CY2023Q3",Spectrum!$R:$R,0)),""))</f>
        <v>1642</v>
      </c>
      <c r="X254" s="42">
        <f>IF(LEFT($B254,4)="_Mil","",_xlfn.IFNA(ROUND(INDEX(Spectrum!$N:$N,MATCH(RIGHT($B254,13)&amp;"|"&amp;$C254&amp;"|"&amp;$D254&amp;"|"&amp;X$14&amp;"|"&amp;"CY2023Q3",Spectrum!$R:$R,0)),0),""))</f>
        <v>531</v>
      </c>
      <c r="Y254" s="90" t="str">
        <f t="shared" si="79"/>
        <v/>
      </c>
      <c r="Z254" s="42">
        <f>IF(LEFT($B254,4)="_Mil","",_xlfn.IFNA(ROUND(INDEX(Spectrum!$N:$N,MATCH(RIGHT($B254,13)&amp;"|"&amp;$C254&amp;"|"&amp;$D254&amp;"|"&amp;Z$14&amp;"|"&amp;"CY2023Q3",Spectrum!$R:$R,0)),0),""))</f>
        <v>1703</v>
      </c>
      <c r="AA254" s="90">
        <f>IF(LEFT($B254,4)="_Mil","",IFERROR(1/(1/INDEX(Spectrum!$N:$N,MATCH(RIGHT($B254,13)&amp;"|"&amp;$C254&amp;"|"&amp;$D254&amp;"|"&amp;AA$14&amp;"|"&amp;"CY2023Q3",Spectrum!$R:$R,0))),IF(SUM($U254)=0,"",SUM($Z254)/$U254)))</f>
        <v>993</v>
      </c>
      <c r="AB254" s="90">
        <f t="shared" si="80"/>
        <v>3.207156308851224</v>
      </c>
      <c r="AC254" s="14">
        <f>IF(LEFT($B254,4)="_Mil","",_xlfn.IFNA(ROUND(INDEX(Spectrum!$N:$N,MATCH(RIGHT($B254,13)&amp;"|"&amp;$C254&amp;"|"&amp;$D254&amp;"|"&amp;AC$14&amp;"|"&amp;"CY2023Q3",Spectrum!$R:$R,0)),0),""))</f>
        <v>1586</v>
      </c>
      <c r="AD254" s="14" t="str">
        <f>IF(LEFT($B254,4)="_Mil","",_xlfn.IFNA(ROUND(INDEX(Spectrum!$N:$N,MATCH(RIGHT($B254,13)&amp;"|"&amp;$C254&amp;"|"&amp;$D254&amp;"|"&amp;AD$14&amp;"|"&amp;"CY2023Q3",Spectrum!$R:$R,0)),0),""))</f>
        <v/>
      </c>
      <c r="AE254" s="90">
        <f t="shared" si="81"/>
        <v>0</v>
      </c>
      <c r="AF254" s="42" t="str">
        <f>IF(LEFT($B254,4)="_Mil","",_xlfn.IFNA(ROUND(INDEX(Spectrum!$N:$N,MATCH(RIGHT($B254,13)&amp;"|"&amp;$C254&amp;"|"&amp;$D254&amp;"|"&amp;AF$14&amp;"|"&amp;"CY2023Q3",Spectrum!$R:$R,0)),0),""))</f>
        <v/>
      </c>
      <c r="AG254" s="90" t="str">
        <f t="shared" si="82"/>
        <v/>
      </c>
      <c r="AH254" s="88" t="str">
        <f>IF(LEFT($B254,4)="_Mil","",_xlfn.IFNA(INDEX(Spectrum!$N:$N,MATCH(RIGHT($B254,13)&amp;"|"&amp;$C254&amp;"|"&amp;$D254&amp;"|"&amp;AH$14&amp;"|"&amp;"CY2023Q3",Spectrum!$R:$R,0)),""))</f>
        <v/>
      </c>
      <c r="AI254" s="14" t="str">
        <f>IF(LEFT($B254,4)="_Mil","",_xlfn.IFNA(ROUND(INDEX(Spectrum!$N:$N,MATCH(RIGHT($B254,13)&amp;"|"&amp;$C254&amp;"|"&amp;$D254&amp;"|"&amp;AI$14&amp;"|"&amp;"CY2023Q3",Spectrum!$R:$R,0)),0),""))</f>
        <v/>
      </c>
      <c r="AJ254" s="42">
        <f>IF(LEFT($B254,4)="_Mil","",_xlfn.IFNA(ROUND(INDEX(Spectrum!$N:$N,MATCH(RIGHT($B254,13)&amp;"|"&amp;$C254&amp;"|"&amp;$D254&amp;"|"&amp;AI$14&amp;"|"&amp;"CY2023Q3",Spectrum!$R:$R,0)),0),SUM($U254)+SUM($AI254)))</f>
        <v>0</v>
      </c>
      <c r="AK254" s="14" t="str">
        <f>IF(LEFT($B254,4)="_Mil","",_xlfn.IFNA(ROUND(INDEX(Spectrum!$N:$N,MATCH(RIGHT($B254,13)&amp;"|"&amp;$C254&amp;"|"&amp;$D254&amp;"|"&amp;AK$14&amp;"|"&amp;"CY2023Q3",Spectrum!$R:$R,0)),0),""))</f>
        <v/>
      </c>
      <c r="AL254" s="90" t="str">
        <f t="shared" si="83"/>
        <v/>
      </c>
      <c r="AM254" s="14" t="str">
        <f t="shared" si="84"/>
        <v/>
      </c>
      <c r="AN254" s="14">
        <f>IF($C254="&lt;01",ROUND(INDEX(EID!$P:$P,MATCH($B254,EID!$B:$B,0))/2,0),"")</f>
        <v>1</v>
      </c>
      <c r="AO254" s="14">
        <f t="shared" si="85"/>
        <v>1</v>
      </c>
      <c r="AP254" s="42">
        <f t="shared" si="86"/>
        <v>1</v>
      </c>
      <c r="AQ254" s="42">
        <f t="shared" si="87"/>
        <v>340.6</v>
      </c>
      <c r="AR254" s="90" t="str">
        <f t="shared" si="88"/>
        <v/>
      </c>
      <c r="AS254" s="90" t="str">
        <f t="shared" si="99"/>
        <v/>
      </c>
      <c r="AT254" s="90" t="str">
        <f t="shared" si="99"/>
        <v/>
      </c>
      <c r="AU254" s="14" t="str">
        <f t="shared" si="89"/>
        <v/>
      </c>
      <c r="AV254" s="14">
        <f>IF($C254="&lt;01",ROUND(INDEX(EID!$N:$N,MATCH($B254,EID!$B:$B,0))/2,0),IF(SUM($AT254)=0,"",ROUND((SUM($AP254)-(SUM($O254)*SUM($AS254)))/$AT254,0)))</f>
        <v>1</v>
      </c>
      <c r="AW254" s="90" t="str">
        <f t="shared" si="90"/>
        <v/>
      </c>
      <c r="AX254" s="42">
        <f t="shared" si="91"/>
        <v>1</v>
      </c>
      <c r="AY254" s="116" t="str">
        <f t="shared" si="92"/>
        <v/>
      </c>
      <c r="AZ254" s="93">
        <f>IF($C254="&lt;01",ROUND(INDEX(EID!$R:$R,MATCH($B254,EID!$B:$B,0))/2,0),ROUND(SUM($O254)+(SUM($AV254)*$AY254),0))</f>
        <v>1</v>
      </c>
      <c r="BA254" s="89" t="str">
        <f t="shared" si="93"/>
        <v/>
      </c>
      <c r="BB254" s="9">
        <f>IF($C254="&lt;01",ROUND(INDEX(EID!$T:$T,MATCH($B254,EID!$B:$B,0))/2,0),ROUND($AZ254*$BA254,0))</f>
        <v>1</v>
      </c>
      <c r="BC254" s="93">
        <f t="shared" si="94"/>
        <v>341</v>
      </c>
      <c r="BD254" s="90" t="str">
        <f t="shared" si="95"/>
        <v/>
      </c>
      <c r="BE254" s="42">
        <f>IF($C254="&lt;01",ROUND(INDEX(EID!$V:$V,MATCH($B254,EID!$B:$B,0))/2,0),ROUND($BD254*$BB254,0))</f>
        <v>1</v>
      </c>
      <c r="BF254" s="42">
        <f t="shared" si="96"/>
        <v>341</v>
      </c>
      <c r="BG254" s="116" t="str">
        <f t="shared" si="97"/>
        <v/>
      </c>
      <c r="BH254" s="9">
        <f>IF($C254="&lt;01",ROUND(INDEX(EID!$L:$L,MATCH($B254,EID!$B:$B,0)),0)/2,IF(SUM($BG254)=0,"",ROUND($AX254/$BG254,0)))</f>
        <v>0.5</v>
      </c>
    </row>
    <row r="255" spans="1:60" x14ac:dyDescent="0.2">
      <c r="A255" t="str">
        <f>INDEX(Prioritization!$D:$D,MATCH($B255,Prioritization!$A:$A,0))</f>
        <v>1 - Scale-up: Saturation</v>
      </c>
      <c r="B255" t="s">
        <v>210</v>
      </c>
      <c r="C255" t="s">
        <v>362</v>
      </c>
      <c r="D255" t="s">
        <v>29</v>
      </c>
      <c r="E255" t="str">
        <f t="shared" si="76"/>
        <v>Blantyre District [mxqa3CDFmIT]|01-09|Female</v>
      </c>
      <c r="F255" s="14"/>
      <c r="G255" s="14"/>
      <c r="H255" s="14"/>
      <c r="I255" s="14"/>
      <c r="J255" s="14"/>
      <c r="K255" s="14"/>
      <c r="L255" s="14"/>
      <c r="M255" s="14"/>
      <c r="N255" s="14"/>
      <c r="O255" s="14" t="str">
        <f t="shared" si="77"/>
        <v/>
      </c>
      <c r="P255" s="14"/>
      <c r="Q255" s="14"/>
      <c r="R255" s="14" t="str">
        <f t="shared" si="78"/>
        <v/>
      </c>
      <c r="S255" s="14">
        <f>IF(LEFT($B255,4)="_Mil","",_xlfn.IFNA(ROUND(INDEX(Spectrum!$N:$N,MATCH(RIGHT($B255,13)&amp;"|"&amp;$C255&amp;"|"&amp;$D255&amp;"|"&amp;S$14&amp;"|"&amp;"CY2022Q4",Spectrum!$R:$R,0)),0),""))</f>
        <v>840</v>
      </c>
      <c r="T255" s="42">
        <f>IF(LEFT($B255,4)="_Mil","",_xlfn.IFNA(ROUND(INDEX(Spectrum!$N:$N,MATCH(RIGHT($B255,13)&amp;"|"&amp;$C255&amp;"|"&amp;$D255&amp;"|"&amp;T$14&amp;"|"&amp;"CY2023Q3",Spectrum!$R:$R,0)),0),""))</f>
        <v>1697</v>
      </c>
      <c r="U255" s="42" t="str">
        <f>IF(LEFT($B255,4)="_Mil","",_xlfn.IFNA(ROUND(INDEX(Spectrum!$N:$N,MATCH(RIGHT($B255,13)&amp;"|"&amp;$C255&amp;"|"&amp;$D255&amp;"|"&amp;U$14&amp;"|"&amp;"CY2023Q3",Spectrum!$R:$R,0)),0),""))</f>
        <v/>
      </c>
      <c r="V255" s="14">
        <f>IF(LEFT($B255,4)="_Mil","",_xlfn.IFNA(ROUND(INDEX(Spectrum!$N:$N,MATCH(RIGHT($B255,13)&amp;"|"&amp;$C255&amp;"|"&amp;$D255&amp;"|"&amp;V$14&amp;"|"&amp;"CY2023Q3",Spectrum!$R:$R,0)),0),""))</f>
        <v>530</v>
      </c>
      <c r="W255" s="115">
        <f>IF(LEFT($B255,4)="_Mil","",_xlfn.IFNA(INDEX(Spectrum!$N:$N,MATCH(RIGHT($B255,13)&amp;"|"&amp;$C255&amp;"|"&amp;$D255&amp;"|"&amp;W$14&amp;"|"&amp;"CY2023Q3",Spectrum!$R:$R,0)),""))</f>
        <v>1237</v>
      </c>
      <c r="X255" s="42">
        <f>IF(LEFT($B255,4)="_Mil","",_xlfn.IFNA(ROUND(INDEX(Spectrum!$N:$N,MATCH(RIGHT($B255,13)&amp;"|"&amp;$C255&amp;"|"&amp;$D255&amp;"|"&amp;X$14&amp;"|"&amp;"CY2023Q3",Spectrum!$R:$R,0)),0),""))</f>
        <v>1544</v>
      </c>
      <c r="Y255" s="90" t="str">
        <f t="shared" si="79"/>
        <v/>
      </c>
      <c r="Z255" s="42">
        <f>IF(LEFT($B255,4)="_Mil","",_xlfn.IFNA(ROUND(INDEX(Spectrum!$N:$N,MATCH(RIGHT($B255,13)&amp;"|"&amp;$C255&amp;"|"&amp;$D255&amp;"|"&amp;Z$14&amp;"|"&amp;"CY2023Q3",Spectrum!$R:$R,0)),0),""))</f>
        <v>1308</v>
      </c>
      <c r="AA255" s="90">
        <f>IF(LEFT($B255,4)="_Mil","",IFERROR(1/(1/INDEX(Spectrum!$N:$N,MATCH(RIGHT($B255,13)&amp;"|"&amp;$C255&amp;"|"&amp;$D255&amp;"|"&amp;AA$14&amp;"|"&amp;"CY2023Q3",Spectrum!$R:$R,0))),IF(SUM($U255)=0,"",SUM($Z255)/$U255)))</f>
        <v>1393</v>
      </c>
      <c r="AB255" s="90">
        <f t="shared" si="80"/>
        <v>0.84715025906735753</v>
      </c>
      <c r="AC255" s="14">
        <f>IF(LEFT($B255,4)="_Mil","",_xlfn.IFNA(ROUND(INDEX(Spectrum!$N:$N,MATCH(RIGHT($B255,13)&amp;"|"&amp;$C255&amp;"|"&amp;$D255&amp;"|"&amp;AC$14&amp;"|"&amp;"CY2023Q3",Spectrum!$R:$R,0)),0),""))</f>
        <v>1678</v>
      </c>
      <c r="AD255" s="14" t="str">
        <f>IF(LEFT($B255,4)="_Mil","",_xlfn.IFNA(ROUND(INDEX(Spectrum!$N:$N,MATCH(RIGHT($B255,13)&amp;"|"&amp;$C255&amp;"|"&amp;$D255&amp;"|"&amp;AD$14&amp;"|"&amp;"CY2023Q3",Spectrum!$R:$R,0)),0),""))</f>
        <v/>
      </c>
      <c r="AE255" s="90">
        <f t="shared" si="81"/>
        <v>0</v>
      </c>
      <c r="AF255" s="42" t="str">
        <f>IF(LEFT($B255,4)="_Mil","",_xlfn.IFNA(ROUND(INDEX(Spectrum!$N:$N,MATCH(RIGHT($B255,13)&amp;"|"&amp;$C255&amp;"|"&amp;$D255&amp;"|"&amp;AF$14&amp;"|"&amp;"CY2023Q3",Spectrum!$R:$R,0)),0),""))</f>
        <v/>
      </c>
      <c r="AG255" s="90" t="str">
        <f t="shared" si="82"/>
        <v/>
      </c>
      <c r="AH255" s="88" t="str">
        <f>IF(LEFT($B255,4)="_Mil","",_xlfn.IFNA(INDEX(Spectrum!$N:$N,MATCH(RIGHT($B255,13)&amp;"|"&amp;$C255&amp;"|"&amp;$D255&amp;"|"&amp;AH$14&amp;"|"&amp;"CY2023Q3",Spectrum!$R:$R,0)),""))</f>
        <v/>
      </c>
      <c r="AI255" s="14" t="str">
        <f>IF(LEFT($B255,4)="_Mil","",_xlfn.IFNA(ROUND(INDEX(Spectrum!$N:$N,MATCH(RIGHT($B255,13)&amp;"|"&amp;$C255&amp;"|"&amp;$D255&amp;"|"&amp;AI$14&amp;"|"&amp;"CY2023Q3",Spectrum!$R:$R,0)),0),""))</f>
        <v/>
      </c>
      <c r="AJ255" s="42">
        <f>IF(LEFT($B255,4)="_Mil","",_xlfn.IFNA(ROUND(INDEX(Spectrum!$N:$N,MATCH(RIGHT($B255,13)&amp;"|"&amp;$C255&amp;"|"&amp;$D255&amp;"|"&amp;AI$14&amp;"|"&amp;"CY2023Q3",Spectrum!$R:$R,0)),0),SUM($U255)+SUM($AI255)))</f>
        <v>0</v>
      </c>
      <c r="AK255" s="14" t="str">
        <f>IF(LEFT($B255,4)="_Mil","",_xlfn.IFNA(ROUND(INDEX(Spectrum!$N:$N,MATCH(RIGHT($B255,13)&amp;"|"&amp;$C255&amp;"|"&amp;$D255&amp;"|"&amp;AK$14&amp;"|"&amp;"CY2023Q3",Spectrum!$R:$R,0)),0),""))</f>
        <v/>
      </c>
      <c r="AL255" s="90">
        <f t="shared" si="83"/>
        <v>1393</v>
      </c>
      <c r="AM255" s="14">
        <f t="shared" si="84"/>
        <v>0</v>
      </c>
      <c r="AN255" s="14" t="str">
        <f>IF($C255="&lt;01",ROUND(INDEX(EID!$P:$P,MATCH($B255,EID!$B:$B,0))/2,0),"")</f>
        <v/>
      </c>
      <c r="AO255" s="14">
        <f t="shared" si="85"/>
        <v>0</v>
      </c>
      <c r="AP255" s="42">
        <f t="shared" si="86"/>
        <v>0</v>
      </c>
      <c r="AQ255" s="42">
        <f t="shared" si="87"/>
        <v>1308</v>
      </c>
      <c r="AR255" s="90" t="str">
        <f t="shared" si="88"/>
        <v/>
      </c>
      <c r="AS255" s="90">
        <f t="shared" ref="AS255:AT274" si="100">IF($C255="&lt;01","",98%)</f>
        <v>0.98</v>
      </c>
      <c r="AT255" s="90">
        <f t="shared" si="100"/>
        <v>0.98</v>
      </c>
      <c r="AU255" s="14">
        <f t="shared" si="89"/>
        <v>0</v>
      </c>
      <c r="AV255" s="14">
        <f>IF($C255="&lt;01",ROUND(INDEX(EID!$N:$N,MATCH($B255,EID!$B:$B,0))/2,0),IF(SUM($AT255)=0,"",ROUND((SUM($AP255)-(SUM($O255)*SUM($AS255)))/$AT255,0)))</f>
        <v>0</v>
      </c>
      <c r="AW255" s="90">
        <f t="shared" si="90"/>
        <v>1</v>
      </c>
      <c r="AX255" s="42">
        <f t="shared" si="91"/>
        <v>0</v>
      </c>
      <c r="AY255" s="116">
        <f t="shared" si="92"/>
        <v>0.7</v>
      </c>
      <c r="AZ255" s="93">
        <f>IF($C255="&lt;01",ROUND(INDEX(EID!$R:$R,MATCH($B255,EID!$B:$B,0))/2,0),ROUND(SUM($O255)+(SUM($AV255)*$AY255),0))</f>
        <v>0</v>
      </c>
      <c r="BA255" s="89">
        <f t="shared" si="93"/>
        <v>0.95</v>
      </c>
      <c r="BB255" s="9">
        <f>IF($C255="&lt;01",ROUND(INDEX(EID!$T:$T,MATCH($B255,EID!$B:$B,0))/2,0),ROUND($AZ255*$BA255,0))</f>
        <v>0</v>
      </c>
      <c r="BC255" s="93">
        <f t="shared" si="94"/>
        <v>0</v>
      </c>
      <c r="BD255" s="90">
        <f t="shared" si="95"/>
        <v>0.95</v>
      </c>
      <c r="BE255" s="42">
        <f>IF($C255="&lt;01",ROUND(INDEX(EID!$V:$V,MATCH($B255,EID!$B:$B,0))/2,0),ROUND($BD255*$BB255,0))</f>
        <v>0</v>
      </c>
      <c r="BF255" s="42">
        <f t="shared" si="96"/>
        <v>0</v>
      </c>
      <c r="BG255" s="116">
        <f t="shared" si="97"/>
        <v>0.95</v>
      </c>
      <c r="BH255" s="9">
        <f>IF($C255="&lt;01",ROUND(INDEX(EID!$L:$L,MATCH($B255,EID!$B:$B,0)),0)/2,IF(SUM($BG255)=0,"",ROUND($AX255/$BG255,0)))</f>
        <v>0</v>
      </c>
    </row>
    <row r="256" spans="1:60" x14ac:dyDescent="0.2">
      <c r="A256" t="str">
        <f>INDEX(Prioritization!$D:$D,MATCH($B256,Prioritization!$A:$A,0))</f>
        <v>1 - Scale-up: Saturation</v>
      </c>
      <c r="B256" t="s">
        <v>210</v>
      </c>
      <c r="C256" t="s">
        <v>362</v>
      </c>
      <c r="D256" t="s">
        <v>47</v>
      </c>
      <c r="E256" t="str">
        <f t="shared" si="76"/>
        <v>Blantyre District [mxqa3CDFmIT]|01-09|Male</v>
      </c>
      <c r="F256" s="14"/>
      <c r="G256" s="14"/>
      <c r="H256" s="14"/>
      <c r="I256" s="14"/>
      <c r="J256" s="14"/>
      <c r="K256" s="14"/>
      <c r="L256" s="14"/>
      <c r="M256" s="14"/>
      <c r="N256" s="14"/>
      <c r="O256" s="14" t="str">
        <f t="shared" si="77"/>
        <v/>
      </c>
      <c r="P256" s="14"/>
      <c r="Q256" s="14"/>
      <c r="R256" s="14" t="str">
        <f t="shared" si="78"/>
        <v/>
      </c>
      <c r="S256" s="14">
        <f>IF(LEFT($B256,4)="_Mil","",_xlfn.IFNA(ROUND(INDEX(Spectrum!$N:$N,MATCH(RIGHT($B256,13)&amp;"|"&amp;$C256&amp;"|"&amp;$D256&amp;"|"&amp;S$14&amp;"|"&amp;"CY2022Q4",Spectrum!$R:$R,0)),0),""))</f>
        <v>1680</v>
      </c>
      <c r="T256" s="42">
        <f>IF(LEFT($B256,4)="_Mil","",_xlfn.IFNA(ROUND(INDEX(Spectrum!$N:$N,MATCH(RIGHT($B256,13)&amp;"|"&amp;$C256&amp;"|"&amp;$D256&amp;"|"&amp;T$14&amp;"|"&amp;"CY2023Q3",Spectrum!$R:$R,0)),0),""))</f>
        <v>1619</v>
      </c>
      <c r="U256" s="42" t="str">
        <f>IF(LEFT($B256,4)="_Mil","",_xlfn.IFNA(ROUND(INDEX(Spectrum!$N:$N,MATCH(RIGHT($B256,13)&amp;"|"&amp;$C256&amp;"|"&amp;$D256&amp;"|"&amp;U$14&amp;"|"&amp;"CY2023Q3",Spectrum!$R:$R,0)),0),""))</f>
        <v/>
      </c>
      <c r="V256" s="14">
        <f>IF(LEFT($B256,4)="_Mil","",_xlfn.IFNA(ROUND(INDEX(Spectrum!$N:$N,MATCH(RIGHT($B256,13)&amp;"|"&amp;$C256&amp;"|"&amp;$D256&amp;"|"&amp;V$14&amp;"|"&amp;"CY2023Q3",Spectrum!$R:$R,0)),0),""))</f>
        <v>852</v>
      </c>
      <c r="W256" s="115">
        <f>IF(LEFT($B256,4)="_Mil","",_xlfn.IFNA(INDEX(Spectrum!$N:$N,MATCH(RIGHT($B256,13)&amp;"|"&amp;$C256&amp;"|"&amp;$D256&amp;"|"&amp;W$14&amp;"|"&amp;"CY2023Q3",Spectrum!$R:$R,0)),""))</f>
        <v>1387</v>
      </c>
      <c r="X256" s="42">
        <f>IF(LEFT($B256,4)="_Mil","",_xlfn.IFNA(ROUND(INDEX(Spectrum!$N:$N,MATCH(RIGHT($B256,13)&amp;"|"&amp;$C256&amp;"|"&amp;$D256&amp;"|"&amp;X$14&amp;"|"&amp;"CY2023Q3",Spectrum!$R:$R,0)),0),""))</f>
        <v>1314</v>
      </c>
      <c r="Y256" s="90" t="str">
        <f t="shared" si="79"/>
        <v/>
      </c>
      <c r="Z256" s="42">
        <f>IF(LEFT($B256,4)="_Mil","",_xlfn.IFNA(ROUND(INDEX(Spectrum!$N:$N,MATCH(RIGHT($B256,13)&amp;"|"&amp;$C256&amp;"|"&amp;$D256&amp;"|"&amp;Z$14&amp;"|"&amp;"CY2023Q3",Spectrum!$R:$R,0)),0),""))</f>
        <v>1484</v>
      </c>
      <c r="AA256" s="90">
        <f>IF(LEFT($B256,4)="_Mil","",IFERROR(1/(1/INDEX(Spectrum!$N:$N,MATCH(RIGHT($B256,13)&amp;"|"&amp;$C256&amp;"|"&amp;$D256&amp;"|"&amp;AA$14&amp;"|"&amp;"CY2023Q3",Spectrum!$R:$R,0))),IF(SUM($U256)=0,"",SUM($Z256)/$U256)))</f>
        <v>1471</v>
      </c>
      <c r="AB256" s="90">
        <f t="shared" si="80"/>
        <v>1.1293759512937596</v>
      </c>
      <c r="AC256" s="14">
        <f>IF(LEFT($B256,4)="_Mil","",_xlfn.IFNA(ROUND(INDEX(Spectrum!$N:$N,MATCH(RIGHT($B256,13)&amp;"|"&amp;$C256&amp;"|"&amp;$D256&amp;"|"&amp;AC$14&amp;"|"&amp;"CY2023Q3",Spectrum!$R:$R,0)),0),""))</f>
        <v>609</v>
      </c>
      <c r="AD256" s="14" t="str">
        <f>IF(LEFT($B256,4)="_Mil","",_xlfn.IFNA(ROUND(INDEX(Spectrum!$N:$N,MATCH(RIGHT($B256,13)&amp;"|"&amp;$C256&amp;"|"&amp;$D256&amp;"|"&amp;AD$14&amp;"|"&amp;"CY2023Q3",Spectrum!$R:$R,0)),0),""))</f>
        <v/>
      </c>
      <c r="AE256" s="90">
        <f t="shared" si="81"/>
        <v>0</v>
      </c>
      <c r="AF256" s="42" t="str">
        <f>IF(LEFT($B256,4)="_Mil","",_xlfn.IFNA(ROUND(INDEX(Spectrum!$N:$N,MATCH(RIGHT($B256,13)&amp;"|"&amp;$C256&amp;"|"&amp;$D256&amp;"|"&amp;AF$14&amp;"|"&amp;"CY2023Q3",Spectrum!$R:$R,0)),0),""))</f>
        <v/>
      </c>
      <c r="AG256" s="90" t="str">
        <f t="shared" si="82"/>
        <v/>
      </c>
      <c r="AH256" s="88" t="str">
        <f>IF(LEFT($B256,4)="_Mil","",_xlfn.IFNA(INDEX(Spectrum!$N:$N,MATCH(RIGHT($B256,13)&amp;"|"&amp;$C256&amp;"|"&amp;$D256&amp;"|"&amp;AH$14&amp;"|"&amp;"CY2023Q3",Spectrum!$R:$R,0)),""))</f>
        <v/>
      </c>
      <c r="AI256" s="14" t="str">
        <f>IF(LEFT($B256,4)="_Mil","",_xlfn.IFNA(ROUND(INDEX(Spectrum!$N:$N,MATCH(RIGHT($B256,13)&amp;"|"&amp;$C256&amp;"|"&amp;$D256&amp;"|"&amp;AI$14&amp;"|"&amp;"CY2023Q3",Spectrum!$R:$R,0)),0),""))</f>
        <v/>
      </c>
      <c r="AJ256" s="42">
        <f>IF(LEFT($B256,4)="_Mil","",_xlfn.IFNA(ROUND(INDEX(Spectrum!$N:$N,MATCH(RIGHT($B256,13)&amp;"|"&amp;$C256&amp;"|"&amp;$D256&amp;"|"&amp;AI$14&amp;"|"&amp;"CY2023Q3",Spectrum!$R:$R,0)),0),SUM($U256)+SUM($AI256)))</f>
        <v>0</v>
      </c>
      <c r="AK256" s="14" t="str">
        <f>IF(LEFT($B256,4)="_Mil","",_xlfn.IFNA(ROUND(INDEX(Spectrum!$N:$N,MATCH(RIGHT($B256,13)&amp;"|"&amp;$C256&amp;"|"&amp;$D256&amp;"|"&amp;AK$14&amp;"|"&amp;"CY2023Q3",Spectrum!$R:$R,0)),0),""))</f>
        <v/>
      </c>
      <c r="AL256" s="90">
        <f t="shared" si="83"/>
        <v>1471</v>
      </c>
      <c r="AM256" s="14">
        <f t="shared" si="84"/>
        <v>0</v>
      </c>
      <c r="AN256" s="14" t="str">
        <f>IF($C256="&lt;01",ROUND(INDEX(EID!$P:$P,MATCH($B256,EID!$B:$B,0))/2,0),"")</f>
        <v/>
      </c>
      <c r="AO256" s="14">
        <f t="shared" si="85"/>
        <v>0</v>
      </c>
      <c r="AP256" s="42">
        <f t="shared" si="86"/>
        <v>0</v>
      </c>
      <c r="AQ256" s="42">
        <f t="shared" si="87"/>
        <v>1484</v>
      </c>
      <c r="AR256" s="90" t="str">
        <f t="shared" si="88"/>
        <v/>
      </c>
      <c r="AS256" s="90">
        <f t="shared" si="100"/>
        <v>0.98</v>
      </c>
      <c r="AT256" s="90">
        <f t="shared" si="100"/>
        <v>0.98</v>
      </c>
      <c r="AU256" s="14">
        <f t="shared" si="89"/>
        <v>0</v>
      </c>
      <c r="AV256" s="14">
        <f>IF($C256="&lt;01",ROUND(INDEX(EID!$N:$N,MATCH($B256,EID!$B:$B,0))/2,0),IF(SUM($AT256)=0,"",ROUND((SUM($AP256)-(SUM($O256)*SUM($AS256)))/$AT256,0)))</f>
        <v>0</v>
      </c>
      <c r="AW256" s="90">
        <f t="shared" si="90"/>
        <v>1</v>
      </c>
      <c r="AX256" s="42">
        <f t="shared" si="91"/>
        <v>0</v>
      </c>
      <c r="AY256" s="116">
        <f t="shared" si="92"/>
        <v>0.7</v>
      </c>
      <c r="AZ256" s="93">
        <f>IF($C256="&lt;01",ROUND(INDEX(EID!$R:$R,MATCH($B256,EID!$B:$B,0))/2,0),ROUND(SUM($O256)+(SUM($AV256)*$AY256),0))</f>
        <v>0</v>
      </c>
      <c r="BA256" s="89">
        <f t="shared" si="93"/>
        <v>0.95</v>
      </c>
      <c r="BB256" s="9">
        <f>IF($C256="&lt;01",ROUND(INDEX(EID!$T:$T,MATCH($B256,EID!$B:$B,0))/2,0),ROUND($AZ256*$BA256,0))</f>
        <v>0</v>
      </c>
      <c r="BC256" s="93">
        <f t="shared" si="94"/>
        <v>0</v>
      </c>
      <c r="BD256" s="90">
        <f t="shared" si="95"/>
        <v>0.95</v>
      </c>
      <c r="BE256" s="42">
        <f>IF($C256="&lt;01",ROUND(INDEX(EID!$V:$V,MATCH($B256,EID!$B:$B,0))/2,0),ROUND($BD256*$BB256,0))</f>
        <v>0</v>
      </c>
      <c r="BF256" s="42">
        <f t="shared" si="96"/>
        <v>0</v>
      </c>
      <c r="BG256" s="116">
        <f t="shared" si="97"/>
        <v>0.95</v>
      </c>
      <c r="BH256" s="9">
        <f>IF($C256="&lt;01",ROUND(INDEX(EID!$L:$L,MATCH($B256,EID!$B:$B,0)),0)/2,IF(SUM($BG256)=0,"",ROUND($AX256/$BG256,0)))</f>
        <v>0</v>
      </c>
    </row>
    <row r="257" spans="1:60" x14ac:dyDescent="0.2">
      <c r="A257" t="str">
        <f>INDEX(Prioritization!$D:$D,MATCH($B257,Prioritization!$A:$A,0))</f>
        <v>1 - Scale-up: Saturation</v>
      </c>
      <c r="B257" t="s">
        <v>210</v>
      </c>
      <c r="C257" t="s">
        <v>363</v>
      </c>
      <c r="D257" t="s">
        <v>29</v>
      </c>
      <c r="E257" t="str">
        <f t="shared" si="76"/>
        <v>Blantyre District [mxqa3CDFmIT]|10-14|Female</v>
      </c>
      <c r="F257" s="14"/>
      <c r="G257" s="14">
        <v>78</v>
      </c>
      <c r="H257" s="14">
        <v>4</v>
      </c>
      <c r="I257" s="14">
        <v>198</v>
      </c>
      <c r="J257" s="14">
        <v>89</v>
      </c>
      <c r="K257" s="14">
        <v>18</v>
      </c>
      <c r="L257" s="14">
        <v>99</v>
      </c>
      <c r="M257" s="14">
        <v>99</v>
      </c>
      <c r="N257" s="14">
        <v>130</v>
      </c>
      <c r="O257" s="14">
        <f t="shared" si="77"/>
        <v>197.99999999999997</v>
      </c>
      <c r="P257" s="14">
        <v>738</v>
      </c>
      <c r="Q257" s="14">
        <v>461</v>
      </c>
      <c r="R257" s="14">
        <f t="shared" si="78"/>
        <v>-2.8421709430404007E-14</v>
      </c>
      <c r="S257" s="14">
        <f>IF(LEFT($B257,4)="_Mil","",_xlfn.IFNA(ROUND(INDEX(Spectrum!$N:$N,MATCH(RIGHT($B257,13)&amp;"|"&amp;$C257&amp;"|"&amp;$D257&amp;"|"&amp;S$14&amp;"|"&amp;"CY2022Q4",Spectrum!$R:$R,0)),0),""))</f>
        <v>1444</v>
      </c>
      <c r="T257" s="42">
        <f>IF(LEFT($B257,4)="_Mil","",_xlfn.IFNA(ROUND(INDEX(Spectrum!$N:$N,MATCH(RIGHT($B257,13)&amp;"|"&amp;$C257&amp;"|"&amp;$D257&amp;"|"&amp;T$14&amp;"|"&amp;"CY2023Q3",Spectrum!$R:$R,0)),0),""))</f>
        <v>1508</v>
      </c>
      <c r="U257" s="42" t="str">
        <f>IF(LEFT($B257,4)="_Mil","",_xlfn.IFNA(ROUND(INDEX(Spectrum!$N:$N,MATCH(RIGHT($B257,13)&amp;"|"&amp;$C257&amp;"|"&amp;$D257&amp;"|"&amp;U$14&amp;"|"&amp;"CY2023Q3",Spectrum!$R:$R,0)),0),""))</f>
        <v/>
      </c>
      <c r="V257" s="14">
        <f>IF(LEFT($B257,4)="_Mil","",_xlfn.IFNA(ROUND(INDEX(Spectrum!$N:$N,MATCH(RIGHT($B257,13)&amp;"|"&amp;$C257&amp;"|"&amp;$D257&amp;"|"&amp;V$14&amp;"|"&amp;"CY2023Q3",Spectrum!$R:$R,0)),0),""))</f>
        <v>1174</v>
      </c>
      <c r="W257" s="115">
        <f>IF(LEFT($B257,4)="_Mil","",_xlfn.IFNA(INDEX(Spectrum!$N:$N,MATCH(RIGHT($B257,13)&amp;"|"&amp;$C257&amp;"|"&amp;$D257&amp;"|"&amp;W$14&amp;"|"&amp;"CY2023Q3",Spectrum!$R:$R,0)),""))</f>
        <v>849</v>
      </c>
      <c r="X257" s="42">
        <f>IF(LEFT($B257,4)="_Mil","",_xlfn.IFNA(ROUND(INDEX(Spectrum!$N:$N,MATCH(RIGHT($B257,13)&amp;"|"&amp;$C257&amp;"|"&amp;$D257&amp;"|"&amp;X$14&amp;"|"&amp;"CY2023Q3",Spectrum!$R:$R,0)),0),""))</f>
        <v>918</v>
      </c>
      <c r="Y257" s="90" t="str">
        <f t="shared" si="79"/>
        <v/>
      </c>
      <c r="Z257" s="42">
        <f>IF(LEFT($B257,4)="_Mil","",_xlfn.IFNA(ROUND(INDEX(Spectrum!$N:$N,MATCH(RIGHT($B257,13)&amp;"|"&amp;$C257&amp;"|"&amp;$D257&amp;"|"&amp;Z$14&amp;"|"&amp;"CY2023Q3",Spectrum!$R:$R,0)),0),""))</f>
        <v>1168</v>
      </c>
      <c r="AA257" s="90">
        <f>IF(LEFT($B257,4)="_Mil","",IFERROR(1/(1/INDEX(Spectrum!$N:$N,MATCH(RIGHT($B257,13)&amp;"|"&amp;$C257&amp;"|"&amp;$D257&amp;"|"&amp;AA$14&amp;"|"&amp;"CY2023Q3",Spectrum!$R:$R,0))),IF(SUM($U257)=0,"",SUM($Z257)/$U257)))</f>
        <v>628</v>
      </c>
      <c r="AB257" s="90">
        <f t="shared" si="80"/>
        <v>1.2723311546840959</v>
      </c>
      <c r="AC257" s="14">
        <f>IF(LEFT($B257,4)="_Mil","",_xlfn.IFNA(ROUND(INDEX(Spectrum!$N:$N,MATCH(RIGHT($B257,13)&amp;"|"&amp;$C257&amp;"|"&amp;$D257&amp;"|"&amp;AC$14&amp;"|"&amp;"CY2023Q3",Spectrum!$R:$R,0)),0),""))</f>
        <v>749</v>
      </c>
      <c r="AD257" s="14" t="str">
        <f>IF(LEFT($B257,4)="_Mil","",_xlfn.IFNA(ROUND(INDEX(Spectrum!$N:$N,MATCH(RIGHT($B257,13)&amp;"|"&amp;$C257&amp;"|"&amp;$D257&amp;"|"&amp;AD$14&amp;"|"&amp;"CY2023Q3",Spectrum!$R:$R,0)),0),""))</f>
        <v/>
      </c>
      <c r="AE257" s="90">
        <f t="shared" si="81"/>
        <v>0</v>
      </c>
      <c r="AF257" s="42" t="str">
        <f>IF(LEFT($B257,4)="_Mil","",_xlfn.IFNA(ROUND(INDEX(Spectrum!$N:$N,MATCH(RIGHT($B257,13)&amp;"|"&amp;$C257&amp;"|"&amp;$D257&amp;"|"&amp;AF$14&amp;"|"&amp;"CY2023Q3",Spectrum!$R:$R,0)),0),""))</f>
        <v/>
      </c>
      <c r="AG257" s="90" t="str">
        <f t="shared" si="82"/>
        <v/>
      </c>
      <c r="AH257" s="88" t="str">
        <f>IF(LEFT($B257,4)="_Mil","",_xlfn.IFNA(INDEX(Spectrum!$N:$N,MATCH(RIGHT($B257,13)&amp;"|"&amp;$C257&amp;"|"&amp;$D257&amp;"|"&amp;AH$14&amp;"|"&amp;"CY2023Q3",Spectrum!$R:$R,0)),""))</f>
        <v/>
      </c>
      <c r="AI257" s="14" t="str">
        <f>IF(LEFT($B257,4)="_Mil","",_xlfn.IFNA(ROUND(INDEX(Spectrum!$N:$N,MATCH(RIGHT($B257,13)&amp;"|"&amp;$C257&amp;"|"&amp;$D257&amp;"|"&amp;AI$14&amp;"|"&amp;"CY2023Q3",Spectrum!$R:$R,0)),0),""))</f>
        <v/>
      </c>
      <c r="AJ257" s="42">
        <f>IF(LEFT($B257,4)="_Mil","",_xlfn.IFNA(ROUND(INDEX(Spectrum!$N:$N,MATCH(RIGHT($B257,13)&amp;"|"&amp;$C257&amp;"|"&amp;$D257&amp;"|"&amp;AI$14&amp;"|"&amp;"CY2023Q3",Spectrum!$R:$R,0)),0),SUM($U257)+SUM($AI257)))</f>
        <v>0</v>
      </c>
      <c r="AK257" s="14" t="str">
        <f>IF(LEFT($B257,4)="_Mil","",_xlfn.IFNA(ROUND(INDEX(Spectrum!$N:$N,MATCH(RIGHT($B257,13)&amp;"|"&amp;$C257&amp;"|"&amp;$D257&amp;"|"&amp;AK$14&amp;"|"&amp;"CY2023Q3",Spectrum!$R:$R,0)),0),""))</f>
        <v/>
      </c>
      <c r="AL257" s="90">
        <f t="shared" si="83"/>
        <v>628</v>
      </c>
      <c r="AM257" s="14">
        <f t="shared" si="84"/>
        <v>0</v>
      </c>
      <c r="AN257" s="14" t="str">
        <f>IF($C257="&lt;01",ROUND(INDEX(EID!$P:$P,MATCH($B257,EID!$B:$B,0))/2,0),"")</f>
        <v/>
      </c>
      <c r="AO257" s="14">
        <f t="shared" si="85"/>
        <v>0</v>
      </c>
      <c r="AP257" s="42">
        <f t="shared" si="86"/>
        <v>0</v>
      </c>
      <c r="AQ257" s="42">
        <f t="shared" si="87"/>
        <v>1168</v>
      </c>
      <c r="AR257" s="90" t="str">
        <f t="shared" si="88"/>
        <v/>
      </c>
      <c r="AS257" s="90">
        <f t="shared" si="100"/>
        <v>0.98</v>
      </c>
      <c r="AT257" s="90">
        <f t="shared" si="100"/>
        <v>0.98</v>
      </c>
      <c r="AU257" s="14">
        <f t="shared" si="89"/>
        <v>-197.99999999999997</v>
      </c>
      <c r="AV257" s="14">
        <f>IF($C257="&lt;01",ROUND(INDEX(EID!$N:$N,MATCH($B257,EID!$B:$B,0))/2,0),IF(SUM($AT257)=0,"",ROUND((SUM($AP257)-(SUM($O257)*SUM($AS257)))/$AT257,0)))</f>
        <v>-198</v>
      </c>
      <c r="AW257" s="90">
        <f t="shared" si="90"/>
        <v>1</v>
      </c>
      <c r="AX257" s="42">
        <f t="shared" si="91"/>
        <v>-198</v>
      </c>
      <c r="AY257" s="116">
        <f t="shared" si="92"/>
        <v>0.7</v>
      </c>
      <c r="AZ257" s="93">
        <f>IF($C257="&lt;01",ROUND(INDEX(EID!$R:$R,MATCH($B257,EID!$B:$B,0))/2,0),ROUND(SUM($O257)+(SUM($AV257)*$AY257),0))</f>
        <v>59</v>
      </c>
      <c r="BA257" s="89">
        <f t="shared" si="93"/>
        <v>0.95</v>
      </c>
      <c r="BB257" s="9">
        <f>IF($C257="&lt;01",ROUND(INDEX(EID!$T:$T,MATCH($B257,EID!$B:$B,0))/2,0),ROUND($AZ257*$BA257,0))</f>
        <v>56</v>
      </c>
      <c r="BC257" s="93">
        <f t="shared" si="94"/>
        <v>56</v>
      </c>
      <c r="BD257" s="90">
        <f t="shared" si="95"/>
        <v>0.95</v>
      </c>
      <c r="BE257" s="42">
        <f>IF($C257="&lt;01",ROUND(INDEX(EID!$V:$V,MATCH($B257,EID!$B:$B,0))/2,0),ROUND($BD257*$BB257,0))</f>
        <v>53</v>
      </c>
      <c r="BF257" s="42">
        <f t="shared" si="96"/>
        <v>53</v>
      </c>
      <c r="BG257" s="116">
        <f t="shared" si="97"/>
        <v>0.95</v>
      </c>
      <c r="BH257" s="9">
        <f>IF($C257="&lt;01",ROUND(INDEX(EID!$L:$L,MATCH($B257,EID!$B:$B,0)),0)/2,IF(SUM($BG257)=0,"",ROUND($AX257/$BG257,0)))</f>
        <v>-208</v>
      </c>
    </row>
    <row r="258" spans="1:60" x14ac:dyDescent="0.2">
      <c r="A258" t="str">
        <f>INDEX(Prioritization!$D:$D,MATCH($B258,Prioritization!$A:$A,0))</f>
        <v>1 - Scale-up: Saturation</v>
      </c>
      <c r="B258" t="s">
        <v>210</v>
      </c>
      <c r="C258" t="s">
        <v>363</v>
      </c>
      <c r="D258" t="s">
        <v>47</v>
      </c>
      <c r="E258" t="str">
        <f t="shared" si="76"/>
        <v>Blantyre District [mxqa3CDFmIT]|10-14|Male</v>
      </c>
      <c r="F258" s="14"/>
      <c r="G258" s="14">
        <v>92</v>
      </c>
      <c r="H258" s="14">
        <v>4</v>
      </c>
      <c r="I258" s="14">
        <v>570</v>
      </c>
      <c r="J258" s="14">
        <v>88</v>
      </c>
      <c r="K258" s="14">
        <v>83</v>
      </c>
      <c r="L258" s="14">
        <v>30</v>
      </c>
      <c r="M258" s="14">
        <v>97</v>
      </c>
      <c r="N258" s="14">
        <v>519</v>
      </c>
      <c r="O258" s="14">
        <f t="shared" si="77"/>
        <v>570</v>
      </c>
      <c r="P258" s="14">
        <v>285</v>
      </c>
      <c r="Q258" s="14">
        <v>659</v>
      </c>
      <c r="R258" s="14">
        <f t="shared" si="78"/>
        <v>0</v>
      </c>
      <c r="S258" s="14">
        <f>IF(LEFT($B258,4)="_Mil","",_xlfn.IFNA(ROUND(INDEX(Spectrum!$N:$N,MATCH(RIGHT($B258,13)&amp;"|"&amp;$C258&amp;"|"&amp;$D258&amp;"|"&amp;S$14&amp;"|"&amp;"CY2022Q4",Spectrum!$R:$R,0)),0),""))</f>
        <v>1305</v>
      </c>
      <c r="T258" s="42">
        <f>IF(LEFT($B258,4)="_Mil","",_xlfn.IFNA(ROUND(INDEX(Spectrum!$N:$N,MATCH(RIGHT($B258,13)&amp;"|"&amp;$C258&amp;"|"&amp;$D258&amp;"|"&amp;T$14&amp;"|"&amp;"CY2023Q3",Spectrum!$R:$R,0)),0),""))</f>
        <v>1528</v>
      </c>
      <c r="U258" s="42" t="str">
        <f>IF(LEFT($B258,4)="_Mil","",_xlfn.IFNA(ROUND(INDEX(Spectrum!$N:$N,MATCH(RIGHT($B258,13)&amp;"|"&amp;$C258&amp;"|"&amp;$D258&amp;"|"&amp;U$14&amp;"|"&amp;"CY2023Q3",Spectrum!$R:$R,0)),0),""))</f>
        <v/>
      </c>
      <c r="V258" s="14">
        <f>IF(LEFT($B258,4)="_Mil","",_xlfn.IFNA(ROUND(INDEX(Spectrum!$N:$N,MATCH(RIGHT($B258,13)&amp;"|"&amp;$C258&amp;"|"&amp;$D258&amp;"|"&amp;V$14&amp;"|"&amp;"CY2023Q3",Spectrum!$R:$R,0)),0),""))</f>
        <v>1805</v>
      </c>
      <c r="W258" s="115">
        <f>IF(LEFT($B258,4)="_Mil","",_xlfn.IFNA(INDEX(Spectrum!$N:$N,MATCH(RIGHT($B258,13)&amp;"|"&amp;$C258&amp;"|"&amp;$D258&amp;"|"&amp;W$14&amp;"|"&amp;"CY2023Q3",Spectrum!$R:$R,0)),""))</f>
        <v>1528</v>
      </c>
      <c r="X258" s="42">
        <f>IF(LEFT($B258,4)="_Mil","",_xlfn.IFNA(ROUND(INDEX(Spectrum!$N:$N,MATCH(RIGHT($B258,13)&amp;"|"&amp;$C258&amp;"|"&amp;$D258&amp;"|"&amp;X$14&amp;"|"&amp;"CY2023Q3",Spectrum!$R:$R,0)),0),""))</f>
        <v>786</v>
      </c>
      <c r="Y258" s="90" t="str">
        <f t="shared" si="79"/>
        <v/>
      </c>
      <c r="Z258" s="42">
        <f>IF(LEFT($B258,4)="_Mil","",_xlfn.IFNA(ROUND(INDEX(Spectrum!$N:$N,MATCH(RIGHT($B258,13)&amp;"|"&amp;$C258&amp;"|"&amp;$D258&amp;"|"&amp;Z$14&amp;"|"&amp;"CY2023Q3",Spectrum!$R:$R,0)),0),""))</f>
        <v>1540</v>
      </c>
      <c r="AA258" s="90">
        <f>IF(LEFT($B258,4)="_Mil","",IFERROR(1/(1/INDEX(Spectrum!$N:$N,MATCH(RIGHT($B258,13)&amp;"|"&amp;$C258&amp;"|"&amp;$D258&amp;"|"&amp;AA$14&amp;"|"&amp;"CY2023Q3",Spectrum!$R:$R,0))),IF(SUM($U258)=0,"",SUM($Z258)/$U258)))</f>
        <v>935.99999999999989</v>
      </c>
      <c r="AB258" s="90">
        <f t="shared" si="80"/>
        <v>1.9592875318066159</v>
      </c>
      <c r="AC258" s="14">
        <f>IF(LEFT($B258,4)="_Mil","",_xlfn.IFNA(ROUND(INDEX(Spectrum!$N:$N,MATCH(RIGHT($B258,13)&amp;"|"&amp;$C258&amp;"|"&amp;$D258&amp;"|"&amp;AC$14&amp;"|"&amp;"CY2023Q3",Spectrum!$R:$R,0)),0),""))</f>
        <v>1700</v>
      </c>
      <c r="AD258" s="14" t="str">
        <f>IF(LEFT($B258,4)="_Mil","",_xlfn.IFNA(ROUND(INDEX(Spectrum!$N:$N,MATCH(RIGHT($B258,13)&amp;"|"&amp;$C258&amp;"|"&amp;$D258&amp;"|"&amp;AD$14&amp;"|"&amp;"CY2023Q3",Spectrum!$R:$R,0)),0),""))</f>
        <v/>
      </c>
      <c r="AE258" s="90">
        <f t="shared" si="81"/>
        <v>0</v>
      </c>
      <c r="AF258" s="42" t="str">
        <f>IF(LEFT($B258,4)="_Mil","",_xlfn.IFNA(ROUND(INDEX(Spectrum!$N:$N,MATCH(RIGHT($B258,13)&amp;"|"&amp;$C258&amp;"|"&amp;$D258&amp;"|"&amp;AF$14&amp;"|"&amp;"CY2023Q3",Spectrum!$R:$R,0)),0),""))</f>
        <v/>
      </c>
      <c r="AG258" s="90" t="str">
        <f t="shared" si="82"/>
        <v/>
      </c>
      <c r="AH258" s="88" t="str">
        <f>IF(LEFT($B258,4)="_Mil","",_xlfn.IFNA(INDEX(Spectrum!$N:$N,MATCH(RIGHT($B258,13)&amp;"|"&amp;$C258&amp;"|"&amp;$D258&amp;"|"&amp;AH$14&amp;"|"&amp;"CY2023Q3",Spectrum!$R:$R,0)),""))</f>
        <v/>
      </c>
      <c r="AI258" s="14" t="str">
        <f>IF(LEFT($B258,4)="_Mil","",_xlfn.IFNA(ROUND(INDEX(Spectrum!$N:$N,MATCH(RIGHT($B258,13)&amp;"|"&amp;$C258&amp;"|"&amp;$D258&amp;"|"&amp;AI$14&amp;"|"&amp;"CY2023Q3",Spectrum!$R:$R,0)),0),""))</f>
        <v/>
      </c>
      <c r="AJ258" s="42">
        <f>IF(LEFT($B258,4)="_Mil","",_xlfn.IFNA(ROUND(INDEX(Spectrum!$N:$N,MATCH(RIGHT($B258,13)&amp;"|"&amp;$C258&amp;"|"&amp;$D258&amp;"|"&amp;AI$14&amp;"|"&amp;"CY2023Q3",Spectrum!$R:$R,0)),0),SUM($U258)+SUM($AI258)))</f>
        <v>0</v>
      </c>
      <c r="AK258" s="14" t="str">
        <f>IF(LEFT($B258,4)="_Mil","",_xlfn.IFNA(ROUND(INDEX(Spectrum!$N:$N,MATCH(RIGHT($B258,13)&amp;"|"&amp;$C258&amp;"|"&amp;$D258&amp;"|"&amp;AK$14&amp;"|"&amp;"CY2023Q3",Spectrum!$R:$R,0)),0),""))</f>
        <v/>
      </c>
      <c r="AL258" s="90">
        <f t="shared" si="83"/>
        <v>935.99999999999989</v>
      </c>
      <c r="AM258" s="14">
        <f t="shared" si="84"/>
        <v>0</v>
      </c>
      <c r="AN258" s="14" t="str">
        <f>IF($C258="&lt;01",ROUND(INDEX(EID!$P:$P,MATCH($B258,EID!$B:$B,0))/2,0),"")</f>
        <v/>
      </c>
      <c r="AO258" s="14">
        <f t="shared" si="85"/>
        <v>0</v>
      </c>
      <c r="AP258" s="42">
        <f t="shared" si="86"/>
        <v>0</v>
      </c>
      <c r="AQ258" s="42">
        <f t="shared" si="87"/>
        <v>1540</v>
      </c>
      <c r="AR258" s="90" t="str">
        <f t="shared" si="88"/>
        <v/>
      </c>
      <c r="AS258" s="90">
        <f t="shared" si="100"/>
        <v>0.98</v>
      </c>
      <c r="AT258" s="90">
        <f t="shared" si="100"/>
        <v>0.98</v>
      </c>
      <c r="AU258" s="14">
        <f t="shared" si="89"/>
        <v>-570</v>
      </c>
      <c r="AV258" s="14">
        <f>IF($C258="&lt;01",ROUND(INDEX(EID!$N:$N,MATCH($B258,EID!$B:$B,0))/2,0),IF(SUM($AT258)=0,"",ROUND((SUM($AP258)-(SUM($O258)*SUM($AS258)))/$AT258,0)))</f>
        <v>-570</v>
      </c>
      <c r="AW258" s="90">
        <f t="shared" si="90"/>
        <v>1</v>
      </c>
      <c r="AX258" s="42">
        <f t="shared" si="91"/>
        <v>-570</v>
      </c>
      <c r="AY258" s="116">
        <f t="shared" si="92"/>
        <v>0.7</v>
      </c>
      <c r="AZ258" s="93">
        <f>IF($C258="&lt;01",ROUND(INDEX(EID!$R:$R,MATCH($B258,EID!$B:$B,0))/2,0),ROUND(SUM($O258)+(SUM($AV258)*$AY258),0))</f>
        <v>171</v>
      </c>
      <c r="BA258" s="89">
        <f t="shared" si="93"/>
        <v>0.95</v>
      </c>
      <c r="BB258" s="9">
        <f>IF($C258="&lt;01",ROUND(INDEX(EID!$T:$T,MATCH($B258,EID!$B:$B,0))/2,0),ROUND($AZ258*$BA258,0))</f>
        <v>162</v>
      </c>
      <c r="BC258" s="93">
        <f t="shared" si="94"/>
        <v>162</v>
      </c>
      <c r="BD258" s="90">
        <f t="shared" si="95"/>
        <v>0.95</v>
      </c>
      <c r="BE258" s="42">
        <f>IF($C258="&lt;01",ROUND(INDEX(EID!$V:$V,MATCH($B258,EID!$B:$B,0))/2,0),ROUND($BD258*$BB258,0))</f>
        <v>154</v>
      </c>
      <c r="BF258" s="42">
        <f t="shared" si="96"/>
        <v>154</v>
      </c>
      <c r="BG258" s="116">
        <f t="shared" si="97"/>
        <v>0.95</v>
      </c>
      <c r="BH258" s="9">
        <f>IF($C258="&lt;01",ROUND(INDEX(EID!$L:$L,MATCH($B258,EID!$B:$B,0)),0)/2,IF(SUM($BG258)=0,"",ROUND($AX258/$BG258,0)))</f>
        <v>-600</v>
      </c>
    </row>
    <row r="259" spans="1:60" x14ac:dyDescent="0.2">
      <c r="A259" t="str">
        <f>INDEX(Prioritization!$D:$D,MATCH($B259,Prioritization!$A:$A,0))</f>
        <v>1 - Scale-up: Saturation</v>
      </c>
      <c r="B259" t="s">
        <v>210</v>
      </c>
      <c r="C259" t="s">
        <v>364</v>
      </c>
      <c r="D259" t="s">
        <v>29</v>
      </c>
      <c r="E259" t="str">
        <f t="shared" si="76"/>
        <v>Blantyre District [mxqa3CDFmIT]|15-24|Female</v>
      </c>
      <c r="F259" s="14"/>
      <c r="G259" s="14"/>
      <c r="H259" s="14"/>
      <c r="I259" s="14"/>
      <c r="J259" s="14"/>
      <c r="K259" s="14"/>
      <c r="L259" s="14"/>
      <c r="M259" s="14"/>
      <c r="N259" s="14"/>
      <c r="O259" s="14" t="str">
        <f t="shared" si="77"/>
        <v/>
      </c>
      <c r="P259" s="14"/>
      <c r="Q259" s="14"/>
      <c r="R259" s="14" t="str">
        <f t="shared" si="78"/>
        <v/>
      </c>
      <c r="S259" s="14">
        <f>IF(LEFT($B259,4)="_Mil","",_xlfn.IFNA(ROUND(INDEX(Spectrum!$N:$N,MATCH(RIGHT($B259,13)&amp;"|"&amp;$C259&amp;"|"&amp;$D259&amp;"|"&amp;S$14&amp;"|"&amp;"CY2022Q4",Spectrum!$R:$R,0)),0),""))</f>
        <v>1279</v>
      </c>
      <c r="T259" s="42">
        <f>IF(LEFT($B259,4)="_Mil","",_xlfn.IFNA(ROUND(INDEX(Spectrum!$N:$N,MATCH(RIGHT($B259,13)&amp;"|"&amp;$C259&amp;"|"&amp;$D259&amp;"|"&amp;T$14&amp;"|"&amp;"CY2023Q3",Spectrum!$R:$R,0)),0),""))</f>
        <v>1328</v>
      </c>
      <c r="U259" s="42" t="str">
        <f>IF(LEFT($B259,4)="_Mil","",_xlfn.IFNA(ROUND(INDEX(Spectrum!$N:$N,MATCH(RIGHT($B259,13)&amp;"|"&amp;$C259&amp;"|"&amp;$D259&amp;"|"&amp;U$14&amp;"|"&amp;"CY2023Q3",Spectrum!$R:$R,0)),0),""))</f>
        <v/>
      </c>
      <c r="V259" s="14">
        <f>IF(LEFT($B259,4)="_Mil","",_xlfn.IFNA(ROUND(INDEX(Spectrum!$N:$N,MATCH(RIGHT($B259,13)&amp;"|"&amp;$C259&amp;"|"&amp;$D259&amp;"|"&amp;V$14&amp;"|"&amp;"CY2023Q3",Spectrum!$R:$R,0)),0),""))</f>
        <v>837</v>
      </c>
      <c r="W259" s="115">
        <f>IF(LEFT($B259,4)="_Mil","",_xlfn.IFNA(INDEX(Spectrum!$N:$N,MATCH(RIGHT($B259,13)&amp;"|"&amp;$C259&amp;"|"&amp;$D259&amp;"|"&amp;W$14&amp;"|"&amp;"CY2023Q3",Spectrum!$R:$R,0)),""))</f>
        <v>1376</v>
      </c>
      <c r="X259" s="42">
        <f>IF(LEFT($B259,4)="_Mil","",_xlfn.IFNA(ROUND(INDEX(Spectrum!$N:$N,MATCH(RIGHT($B259,13)&amp;"|"&amp;$C259&amp;"|"&amp;$D259&amp;"|"&amp;X$14&amp;"|"&amp;"CY2023Q3",Spectrum!$R:$R,0)),0),""))</f>
        <v>1140</v>
      </c>
      <c r="Y259" s="90" t="str">
        <f t="shared" si="79"/>
        <v/>
      </c>
      <c r="Z259" s="42">
        <f>IF(LEFT($B259,4)="_Mil","",_xlfn.IFNA(ROUND(INDEX(Spectrum!$N:$N,MATCH(RIGHT($B259,13)&amp;"|"&amp;$C259&amp;"|"&amp;$D259&amp;"|"&amp;Z$14&amp;"|"&amp;"CY2023Q3",Spectrum!$R:$R,0)),0),""))</f>
        <v>1435</v>
      </c>
      <c r="AA259" s="90">
        <f>IF(LEFT($B259,4)="_Mil","",IFERROR(1/(1/INDEX(Spectrum!$N:$N,MATCH(RIGHT($B259,13)&amp;"|"&amp;$C259&amp;"|"&amp;$D259&amp;"|"&amp;AA$14&amp;"|"&amp;"CY2023Q3",Spectrum!$R:$R,0))),IF(SUM($U259)=0,"",SUM($Z259)/$U259)))</f>
        <v>534</v>
      </c>
      <c r="AB259" s="90">
        <f t="shared" si="80"/>
        <v>1.2587719298245614</v>
      </c>
      <c r="AC259" s="14">
        <f>IF(LEFT($B259,4)="_Mil","",_xlfn.IFNA(ROUND(INDEX(Spectrum!$N:$N,MATCH(RIGHT($B259,13)&amp;"|"&amp;$C259&amp;"|"&amp;$D259&amp;"|"&amp;AC$14&amp;"|"&amp;"CY2023Q3",Spectrum!$R:$R,0)),0),""))</f>
        <v>1844</v>
      </c>
      <c r="AD259" s="14" t="str">
        <f>IF(LEFT($B259,4)="_Mil","",_xlfn.IFNA(ROUND(INDEX(Spectrum!$N:$N,MATCH(RIGHT($B259,13)&amp;"|"&amp;$C259&amp;"|"&amp;$D259&amp;"|"&amp;AD$14&amp;"|"&amp;"CY2023Q3",Spectrum!$R:$R,0)),0),""))</f>
        <v/>
      </c>
      <c r="AE259" s="90">
        <f t="shared" si="81"/>
        <v>0</v>
      </c>
      <c r="AF259" s="42" t="str">
        <f>IF(LEFT($B259,4)="_Mil","",_xlfn.IFNA(ROUND(INDEX(Spectrum!$N:$N,MATCH(RIGHT($B259,13)&amp;"|"&amp;$C259&amp;"|"&amp;$D259&amp;"|"&amp;AF$14&amp;"|"&amp;"CY2023Q3",Spectrum!$R:$R,0)),0),""))</f>
        <v/>
      </c>
      <c r="AG259" s="90" t="str">
        <f t="shared" si="82"/>
        <v/>
      </c>
      <c r="AH259" s="88" t="str">
        <f>IF(LEFT($B259,4)="_Mil","",_xlfn.IFNA(INDEX(Spectrum!$N:$N,MATCH(RIGHT($B259,13)&amp;"|"&amp;$C259&amp;"|"&amp;$D259&amp;"|"&amp;AH$14&amp;"|"&amp;"CY2023Q3",Spectrum!$R:$R,0)),""))</f>
        <v/>
      </c>
      <c r="AI259" s="14" t="str">
        <f>IF(LEFT($B259,4)="_Mil","",_xlfn.IFNA(ROUND(INDEX(Spectrum!$N:$N,MATCH(RIGHT($B259,13)&amp;"|"&amp;$C259&amp;"|"&amp;$D259&amp;"|"&amp;AI$14&amp;"|"&amp;"CY2023Q3",Spectrum!$R:$R,0)),0),""))</f>
        <v/>
      </c>
      <c r="AJ259" s="42">
        <f>IF(LEFT($B259,4)="_Mil","",_xlfn.IFNA(ROUND(INDEX(Spectrum!$N:$N,MATCH(RIGHT($B259,13)&amp;"|"&amp;$C259&amp;"|"&amp;$D259&amp;"|"&amp;AI$14&amp;"|"&amp;"CY2023Q3",Spectrum!$R:$R,0)),0),SUM($U259)+SUM($AI259)))</f>
        <v>0</v>
      </c>
      <c r="AK259" s="14" t="str">
        <f>IF(LEFT($B259,4)="_Mil","",_xlfn.IFNA(ROUND(INDEX(Spectrum!$N:$N,MATCH(RIGHT($B259,13)&amp;"|"&amp;$C259&amp;"|"&amp;$D259&amp;"|"&amp;AK$14&amp;"|"&amp;"CY2023Q3",Spectrum!$R:$R,0)),0),""))</f>
        <v/>
      </c>
      <c r="AL259" s="90">
        <f t="shared" si="83"/>
        <v>534</v>
      </c>
      <c r="AM259" s="14">
        <f t="shared" si="84"/>
        <v>0</v>
      </c>
      <c r="AN259" s="14" t="str">
        <f>IF($C259="&lt;01",ROUND(INDEX(EID!$P:$P,MATCH($B259,EID!$B:$B,0))/2,0),"")</f>
        <v/>
      </c>
      <c r="AO259" s="14">
        <f t="shared" si="85"/>
        <v>0</v>
      </c>
      <c r="AP259" s="42">
        <f t="shared" si="86"/>
        <v>0</v>
      </c>
      <c r="AQ259" s="42">
        <f t="shared" si="87"/>
        <v>1435</v>
      </c>
      <c r="AR259" s="90" t="str">
        <f t="shared" si="88"/>
        <v/>
      </c>
      <c r="AS259" s="90">
        <f t="shared" si="100"/>
        <v>0.98</v>
      </c>
      <c r="AT259" s="90">
        <f t="shared" si="100"/>
        <v>0.98</v>
      </c>
      <c r="AU259" s="14">
        <f t="shared" si="89"/>
        <v>0</v>
      </c>
      <c r="AV259" s="14">
        <f>IF($C259="&lt;01",ROUND(INDEX(EID!$N:$N,MATCH($B259,EID!$B:$B,0))/2,0),IF(SUM($AT259)=0,"",ROUND((SUM($AP259)-(SUM($O259)*SUM($AS259)))/$AT259,0)))</f>
        <v>0</v>
      </c>
      <c r="AW259" s="90">
        <f t="shared" si="90"/>
        <v>1</v>
      </c>
      <c r="AX259" s="42">
        <f t="shared" si="91"/>
        <v>0</v>
      </c>
      <c r="AY259" s="116">
        <f t="shared" si="92"/>
        <v>0.7</v>
      </c>
      <c r="AZ259" s="93">
        <f>IF($C259="&lt;01",ROUND(INDEX(EID!$R:$R,MATCH($B259,EID!$B:$B,0))/2,0),ROUND(SUM($O259)+(SUM($AV259)*$AY259),0))</f>
        <v>0</v>
      </c>
      <c r="BA259" s="89">
        <f t="shared" si="93"/>
        <v>0.95</v>
      </c>
      <c r="BB259" s="9">
        <f>IF($C259="&lt;01",ROUND(INDEX(EID!$T:$T,MATCH($B259,EID!$B:$B,0))/2,0),ROUND($AZ259*$BA259,0))</f>
        <v>0</v>
      </c>
      <c r="BC259" s="93">
        <f t="shared" si="94"/>
        <v>0</v>
      </c>
      <c r="BD259" s="90">
        <f t="shared" si="95"/>
        <v>0.95</v>
      </c>
      <c r="BE259" s="42">
        <f>IF($C259="&lt;01",ROUND(INDEX(EID!$V:$V,MATCH($B259,EID!$B:$B,0))/2,0),ROUND($BD259*$BB259,0))</f>
        <v>0</v>
      </c>
      <c r="BF259" s="42">
        <f t="shared" si="96"/>
        <v>0</v>
      </c>
      <c r="BG259" s="116">
        <f t="shared" si="97"/>
        <v>0.95</v>
      </c>
      <c r="BH259" s="9">
        <f>IF($C259="&lt;01",ROUND(INDEX(EID!$L:$L,MATCH($B259,EID!$B:$B,0)),0)/2,IF(SUM($BG259)=0,"",ROUND($AX259/$BG259,0)))</f>
        <v>0</v>
      </c>
    </row>
    <row r="260" spans="1:60" x14ac:dyDescent="0.2">
      <c r="A260" t="str">
        <f>INDEX(Prioritization!$D:$D,MATCH($B260,Prioritization!$A:$A,0))</f>
        <v>1 - Scale-up: Saturation</v>
      </c>
      <c r="B260" t="s">
        <v>210</v>
      </c>
      <c r="C260" t="s">
        <v>364</v>
      </c>
      <c r="D260" t="s">
        <v>47</v>
      </c>
      <c r="E260" t="str">
        <f t="shared" si="76"/>
        <v>Blantyre District [mxqa3CDFmIT]|15-24|Male</v>
      </c>
      <c r="F260" s="14"/>
      <c r="G260" s="14"/>
      <c r="H260" s="14"/>
      <c r="I260" s="14"/>
      <c r="J260" s="14"/>
      <c r="K260" s="14"/>
      <c r="L260" s="14"/>
      <c r="M260" s="14"/>
      <c r="N260" s="14"/>
      <c r="O260" s="14" t="str">
        <f t="shared" si="77"/>
        <v/>
      </c>
      <c r="P260" s="14"/>
      <c r="Q260" s="14"/>
      <c r="R260" s="14" t="str">
        <f t="shared" si="78"/>
        <v/>
      </c>
      <c r="S260" s="14">
        <f>IF(LEFT($B260,4)="_Mil","",_xlfn.IFNA(ROUND(INDEX(Spectrum!$N:$N,MATCH(RIGHT($B260,13)&amp;"|"&amp;$C260&amp;"|"&amp;$D260&amp;"|"&amp;S$14&amp;"|"&amp;"CY2022Q4",Spectrum!$R:$R,0)),0),""))</f>
        <v>1197</v>
      </c>
      <c r="T260" s="42">
        <f>IF(LEFT($B260,4)="_Mil","",_xlfn.IFNA(ROUND(INDEX(Spectrum!$N:$N,MATCH(RIGHT($B260,13)&amp;"|"&amp;$C260&amp;"|"&amp;$D260&amp;"|"&amp;T$14&amp;"|"&amp;"CY2023Q3",Spectrum!$R:$R,0)),0),""))</f>
        <v>1726</v>
      </c>
      <c r="U260" s="42" t="str">
        <f>IF(LEFT($B260,4)="_Mil","",_xlfn.IFNA(ROUND(INDEX(Spectrum!$N:$N,MATCH(RIGHT($B260,13)&amp;"|"&amp;$C260&amp;"|"&amp;$D260&amp;"|"&amp;U$14&amp;"|"&amp;"CY2023Q3",Spectrum!$R:$R,0)),0),""))</f>
        <v/>
      </c>
      <c r="V260" s="14">
        <f>IF(LEFT($B260,4)="_Mil","",_xlfn.IFNA(ROUND(INDEX(Spectrum!$N:$N,MATCH(RIGHT($B260,13)&amp;"|"&amp;$C260&amp;"|"&amp;$D260&amp;"|"&amp;V$14&amp;"|"&amp;"CY2023Q3",Spectrum!$R:$R,0)),0),""))</f>
        <v>1218</v>
      </c>
      <c r="W260" s="115">
        <f>IF(LEFT($B260,4)="_Mil","",_xlfn.IFNA(INDEX(Spectrum!$N:$N,MATCH(RIGHT($B260,13)&amp;"|"&amp;$C260&amp;"|"&amp;$D260&amp;"|"&amp;W$14&amp;"|"&amp;"CY2023Q3",Spectrum!$R:$R,0)),""))</f>
        <v>1282</v>
      </c>
      <c r="X260" s="42">
        <f>IF(LEFT($B260,4)="_Mil","",_xlfn.IFNA(ROUND(INDEX(Spectrum!$N:$N,MATCH(RIGHT($B260,13)&amp;"|"&amp;$C260&amp;"|"&amp;$D260&amp;"|"&amp;X$14&amp;"|"&amp;"CY2023Q3",Spectrum!$R:$R,0)),0),""))</f>
        <v>634</v>
      </c>
      <c r="Y260" s="90" t="str">
        <f t="shared" si="79"/>
        <v/>
      </c>
      <c r="Z260" s="42">
        <f>IF(LEFT($B260,4)="_Mil","",_xlfn.IFNA(ROUND(INDEX(Spectrum!$N:$N,MATCH(RIGHT($B260,13)&amp;"|"&amp;$C260&amp;"|"&amp;$D260&amp;"|"&amp;Z$14&amp;"|"&amp;"CY2023Q3",Spectrum!$R:$R,0)),0),""))</f>
        <v>510</v>
      </c>
      <c r="AA260" s="90">
        <f>IF(LEFT($B260,4)="_Mil","",IFERROR(1/(1/INDEX(Spectrum!$N:$N,MATCH(RIGHT($B260,13)&amp;"|"&amp;$C260&amp;"|"&amp;$D260&amp;"|"&amp;AA$14&amp;"|"&amp;"CY2023Q3",Spectrum!$R:$R,0))),IF(SUM($U260)=0,"",SUM($Z260)/$U260)))</f>
        <v>1085</v>
      </c>
      <c r="AB260" s="90">
        <f t="shared" si="80"/>
        <v>0.80441640378548895</v>
      </c>
      <c r="AC260" s="14">
        <f>IF(LEFT($B260,4)="_Mil","",_xlfn.IFNA(ROUND(INDEX(Spectrum!$N:$N,MATCH(RIGHT($B260,13)&amp;"|"&amp;$C260&amp;"|"&amp;$D260&amp;"|"&amp;AC$14&amp;"|"&amp;"CY2023Q3",Spectrum!$R:$R,0)),0),""))</f>
        <v>618</v>
      </c>
      <c r="AD260" s="14" t="str">
        <f>IF(LEFT($B260,4)="_Mil","",_xlfn.IFNA(ROUND(INDEX(Spectrum!$N:$N,MATCH(RIGHT($B260,13)&amp;"|"&amp;$C260&amp;"|"&amp;$D260&amp;"|"&amp;AD$14&amp;"|"&amp;"CY2023Q3",Spectrum!$R:$R,0)),0),""))</f>
        <v/>
      </c>
      <c r="AE260" s="90">
        <f t="shared" si="81"/>
        <v>0</v>
      </c>
      <c r="AF260" s="42" t="str">
        <f>IF(LEFT($B260,4)="_Mil","",_xlfn.IFNA(ROUND(INDEX(Spectrum!$N:$N,MATCH(RIGHT($B260,13)&amp;"|"&amp;$C260&amp;"|"&amp;$D260&amp;"|"&amp;AF$14&amp;"|"&amp;"CY2023Q3",Spectrum!$R:$R,0)),0),""))</f>
        <v/>
      </c>
      <c r="AG260" s="90" t="str">
        <f t="shared" si="82"/>
        <v/>
      </c>
      <c r="AH260" s="88" t="str">
        <f>IF(LEFT($B260,4)="_Mil","",_xlfn.IFNA(INDEX(Spectrum!$N:$N,MATCH(RIGHT($B260,13)&amp;"|"&amp;$C260&amp;"|"&amp;$D260&amp;"|"&amp;AH$14&amp;"|"&amp;"CY2023Q3",Spectrum!$R:$R,0)),""))</f>
        <v/>
      </c>
      <c r="AI260" s="14" t="str">
        <f>IF(LEFT($B260,4)="_Mil","",_xlfn.IFNA(ROUND(INDEX(Spectrum!$N:$N,MATCH(RIGHT($B260,13)&amp;"|"&amp;$C260&amp;"|"&amp;$D260&amp;"|"&amp;AI$14&amp;"|"&amp;"CY2023Q3",Spectrum!$R:$R,0)),0),""))</f>
        <v/>
      </c>
      <c r="AJ260" s="42">
        <f>IF(LEFT($B260,4)="_Mil","",_xlfn.IFNA(ROUND(INDEX(Spectrum!$N:$N,MATCH(RIGHT($B260,13)&amp;"|"&amp;$C260&amp;"|"&amp;$D260&amp;"|"&amp;AI$14&amp;"|"&amp;"CY2023Q3",Spectrum!$R:$R,0)),0),SUM($U260)+SUM($AI260)))</f>
        <v>0</v>
      </c>
      <c r="AK260" s="14" t="str">
        <f>IF(LEFT($B260,4)="_Mil","",_xlfn.IFNA(ROUND(INDEX(Spectrum!$N:$N,MATCH(RIGHT($B260,13)&amp;"|"&amp;$C260&amp;"|"&amp;$D260&amp;"|"&amp;AK$14&amp;"|"&amp;"CY2023Q3",Spectrum!$R:$R,0)),0),""))</f>
        <v/>
      </c>
      <c r="AL260" s="90">
        <f t="shared" si="83"/>
        <v>1085</v>
      </c>
      <c r="AM260" s="14">
        <f t="shared" si="84"/>
        <v>0</v>
      </c>
      <c r="AN260" s="14" t="str">
        <f>IF($C260="&lt;01",ROUND(INDEX(EID!$P:$P,MATCH($B260,EID!$B:$B,0))/2,0),"")</f>
        <v/>
      </c>
      <c r="AO260" s="14">
        <f t="shared" si="85"/>
        <v>0</v>
      </c>
      <c r="AP260" s="42">
        <f t="shared" si="86"/>
        <v>0</v>
      </c>
      <c r="AQ260" s="42">
        <f t="shared" si="87"/>
        <v>510</v>
      </c>
      <c r="AR260" s="90" t="str">
        <f t="shared" si="88"/>
        <v/>
      </c>
      <c r="AS260" s="90">
        <f t="shared" si="100"/>
        <v>0.98</v>
      </c>
      <c r="AT260" s="90">
        <f t="shared" si="100"/>
        <v>0.98</v>
      </c>
      <c r="AU260" s="14">
        <f t="shared" si="89"/>
        <v>0</v>
      </c>
      <c r="AV260" s="14">
        <f>IF($C260="&lt;01",ROUND(INDEX(EID!$N:$N,MATCH($B260,EID!$B:$B,0))/2,0),IF(SUM($AT260)=0,"",ROUND((SUM($AP260)-(SUM($O260)*SUM($AS260)))/$AT260,0)))</f>
        <v>0</v>
      </c>
      <c r="AW260" s="90">
        <f t="shared" si="90"/>
        <v>1</v>
      </c>
      <c r="AX260" s="42">
        <f t="shared" si="91"/>
        <v>0</v>
      </c>
      <c r="AY260" s="116">
        <f t="shared" si="92"/>
        <v>0.7</v>
      </c>
      <c r="AZ260" s="93">
        <f>IF($C260="&lt;01",ROUND(INDEX(EID!$R:$R,MATCH($B260,EID!$B:$B,0))/2,0),ROUND(SUM($O260)+(SUM($AV260)*$AY260),0))</f>
        <v>0</v>
      </c>
      <c r="BA260" s="89">
        <f t="shared" si="93"/>
        <v>0.95</v>
      </c>
      <c r="BB260" s="9">
        <f>IF($C260="&lt;01",ROUND(INDEX(EID!$T:$T,MATCH($B260,EID!$B:$B,0))/2,0),ROUND($AZ260*$BA260,0))</f>
        <v>0</v>
      </c>
      <c r="BC260" s="93">
        <f t="shared" si="94"/>
        <v>0</v>
      </c>
      <c r="BD260" s="90">
        <f t="shared" si="95"/>
        <v>0.95</v>
      </c>
      <c r="BE260" s="42">
        <f>IF($C260="&lt;01",ROUND(INDEX(EID!$V:$V,MATCH($B260,EID!$B:$B,0))/2,0),ROUND($BD260*$BB260,0))</f>
        <v>0</v>
      </c>
      <c r="BF260" s="42">
        <f t="shared" si="96"/>
        <v>0</v>
      </c>
      <c r="BG260" s="116">
        <f t="shared" si="97"/>
        <v>0.95</v>
      </c>
      <c r="BH260" s="9">
        <f>IF($C260="&lt;01",ROUND(INDEX(EID!$L:$L,MATCH($B260,EID!$B:$B,0)),0)/2,IF(SUM($BG260)=0,"",ROUND($AX260/$BG260,0)))</f>
        <v>0</v>
      </c>
    </row>
    <row r="261" spans="1:60" x14ac:dyDescent="0.2">
      <c r="A261" t="str">
        <f>INDEX(Prioritization!$D:$D,MATCH($B261,Prioritization!$A:$A,0))</f>
        <v>1 - Scale-up: Saturation</v>
      </c>
      <c r="B261" t="s">
        <v>210</v>
      </c>
      <c r="C261" t="s">
        <v>365</v>
      </c>
      <c r="D261" t="s">
        <v>29</v>
      </c>
      <c r="E261" t="str">
        <f t="shared" si="76"/>
        <v>Blantyre District [mxqa3CDFmIT]|25-34|Female</v>
      </c>
      <c r="F261" s="14"/>
      <c r="G261" s="14"/>
      <c r="H261" s="14"/>
      <c r="I261" s="14"/>
      <c r="J261" s="14"/>
      <c r="K261" s="14"/>
      <c r="L261" s="14"/>
      <c r="M261" s="14"/>
      <c r="N261" s="14"/>
      <c r="O261" s="14" t="str">
        <f t="shared" si="77"/>
        <v/>
      </c>
      <c r="P261" s="14"/>
      <c r="Q261" s="14"/>
      <c r="R261" s="14" t="str">
        <f t="shared" si="78"/>
        <v/>
      </c>
      <c r="S261" s="14">
        <f>IF(LEFT($B261,4)="_Mil","",_xlfn.IFNA(ROUND(INDEX(Spectrum!$N:$N,MATCH(RIGHT($B261,13)&amp;"|"&amp;$C261&amp;"|"&amp;$D261&amp;"|"&amp;S$14&amp;"|"&amp;"CY2022Q4",Spectrum!$R:$R,0)),0),""))</f>
        <v>946</v>
      </c>
      <c r="T261" s="42">
        <f>IF(LEFT($B261,4)="_Mil","",_xlfn.IFNA(ROUND(INDEX(Spectrum!$N:$N,MATCH(RIGHT($B261,13)&amp;"|"&amp;$C261&amp;"|"&amp;$D261&amp;"|"&amp;T$14&amp;"|"&amp;"CY2023Q3",Spectrum!$R:$R,0)),0),""))</f>
        <v>1285</v>
      </c>
      <c r="U261" s="42" t="str">
        <f>IF(LEFT($B261,4)="_Mil","",_xlfn.IFNA(ROUND(INDEX(Spectrum!$N:$N,MATCH(RIGHT($B261,13)&amp;"|"&amp;$C261&amp;"|"&amp;$D261&amp;"|"&amp;U$14&amp;"|"&amp;"CY2023Q3",Spectrum!$R:$R,0)),0),""))</f>
        <v/>
      </c>
      <c r="V261" s="14">
        <f>IF(LEFT($B261,4)="_Mil","",_xlfn.IFNA(ROUND(INDEX(Spectrum!$N:$N,MATCH(RIGHT($B261,13)&amp;"|"&amp;$C261&amp;"|"&amp;$D261&amp;"|"&amp;V$14&amp;"|"&amp;"CY2023Q3",Spectrum!$R:$R,0)),0),""))</f>
        <v>719</v>
      </c>
      <c r="W261" s="115">
        <f>IF(LEFT($B261,4)="_Mil","",_xlfn.IFNA(INDEX(Spectrum!$N:$N,MATCH(RIGHT($B261,13)&amp;"|"&amp;$C261&amp;"|"&amp;$D261&amp;"|"&amp;W$14&amp;"|"&amp;"CY2023Q3",Spectrum!$R:$R,0)),""))</f>
        <v>1300</v>
      </c>
      <c r="X261" s="42">
        <f>IF(LEFT($B261,4)="_Mil","",_xlfn.IFNA(ROUND(INDEX(Spectrum!$N:$N,MATCH(RIGHT($B261,13)&amp;"|"&amp;$C261&amp;"|"&amp;$D261&amp;"|"&amp;X$14&amp;"|"&amp;"CY2023Q3",Spectrum!$R:$R,0)),0),""))</f>
        <v>1464</v>
      </c>
      <c r="Y261" s="90" t="str">
        <f t="shared" si="79"/>
        <v/>
      </c>
      <c r="Z261" s="42">
        <f>IF(LEFT($B261,4)="_Mil","",_xlfn.IFNA(ROUND(INDEX(Spectrum!$N:$N,MATCH(RIGHT($B261,13)&amp;"|"&amp;$C261&amp;"|"&amp;$D261&amp;"|"&amp;Z$14&amp;"|"&amp;"CY2023Q3",Spectrum!$R:$R,0)),0),""))</f>
        <v>1381</v>
      </c>
      <c r="AA261" s="90">
        <f>IF(LEFT($B261,4)="_Mil","",IFERROR(1/(1/INDEX(Spectrum!$N:$N,MATCH(RIGHT($B261,13)&amp;"|"&amp;$C261&amp;"|"&amp;$D261&amp;"|"&amp;AA$14&amp;"|"&amp;"CY2023Q3",Spectrum!$R:$R,0))),IF(SUM($U261)=0,"",SUM($Z261)/$U261)))</f>
        <v>553</v>
      </c>
      <c r="AB261" s="90">
        <f t="shared" si="80"/>
        <v>0.94330601092896171</v>
      </c>
      <c r="AC261" s="14">
        <f>IF(LEFT($B261,4)="_Mil","",_xlfn.IFNA(ROUND(INDEX(Spectrum!$N:$N,MATCH(RIGHT($B261,13)&amp;"|"&amp;$C261&amp;"|"&amp;$D261&amp;"|"&amp;AC$14&amp;"|"&amp;"CY2023Q3",Spectrum!$R:$R,0)),0),""))</f>
        <v>1577</v>
      </c>
      <c r="AD261" s="14" t="str">
        <f>IF(LEFT($B261,4)="_Mil","",_xlfn.IFNA(ROUND(INDEX(Spectrum!$N:$N,MATCH(RIGHT($B261,13)&amp;"|"&amp;$C261&amp;"|"&amp;$D261&amp;"|"&amp;AD$14&amp;"|"&amp;"CY2023Q3",Spectrum!$R:$R,0)),0),""))</f>
        <v/>
      </c>
      <c r="AE261" s="90">
        <f t="shared" si="81"/>
        <v>0</v>
      </c>
      <c r="AF261" s="42" t="str">
        <f>IF(LEFT($B261,4)="_Mil","",_xlfn.IFNA(ROUND(INDEX(Spectrum!$N:$N,MATCH(RIGHT($B261,13)&amp;"|"&amp;$C261&amp;"|"&amp;$D261&amp;"|"&amp;AF$14&amp;"|"&amp;"CY2023Q3",Spectrum!$R:$R,0)),0),""))</f>
        <v/>
      </c>
      <c r="AG261" s="90" t="str">
        <f t="shared" si="82"/>
        <v/>
      </c>
      <c r="AH261" s="88" t="str">
        <f>IF(LEFT($B261,4)="_Mil","",_xlfn.IFNA(INDEX(Spectrum!$N:$N,MATCH(RIGHT($B261,13)&amp;"|"&amp;$C261&amp;"|"&amp;$D261&amp;"|"&amp;AH$14&amp;"|"&amp;"CY2023Q3",Spectrum!$R:$R,0)),""))</f>
        <v/>
      </c>
      <c r="AI261" s="14" t="str">
        <f>IF(LEFT($B261,4)="_Mil","",_xlfn.IFNA(ROUND(INDEX(Spectrum!$N:$N,MATCH(RIGHT($B261,13)&amp;"|"&amp;$C261&amp;"|"&amp;$D261&amp;"|"&amp;AI$14&amp;"|"&amp;"CY2023Q3",Spectrum!$R:$R,0)),0),""))</f>
        <v/>
      </c>
      <c r="AJ261" s="42">
        <f>IF(LEFT($B261,4)="_Mil","",_xlfn.IFNA(ROUND(INDEX(Spectrum!$N:$N,MATCH(RIGHT($B261,13)&amp;"|"&amp;$C261&amp;"|"&amp;$D261&amp;"|"&amp;AI$14&amp;"|"&amp;"CY2023Q3",Spectrum!$R:$R,0)),0),SUM($U261)+SUM($AI261)))</f>
        <v>0</v>
      </c>
      <c r="AK261" s="14" t="str">
        <f>IF(LEFT($B261,4)="_Mil","",_xlfn.IFNA(ROUND(INDEX(Spectrum!$N:$N,MATCH(RIGHT($B261,13)&amp;"|"&amp;$C261&amp;"|"&amp;$D261&amp;"|"&amp;AK$14&amp;"|"&amp;"CY2023Q3",Spectrum!$R:$R,0)),0),""))</f>
        <v/>
      </c>
      <c r="AL261" s="90">
        <f t="shared" si="83"/>
        <v>553</v>
      </c>
      <c r="AM261" s="14">
        <f t="shared" si="84"/>
        <v>0</v>
      </c>
      <c r="AN261" s="14" t="str">
        <f>IF($C261="&lt;01",ROUND(INDEX(EID!$P:$P,MATCH($B261,EID!$B:$B,0))/2,0),"")</f>
        <v/>
      </c>
      <c r="AO261" s="14">
        <f t="shared" si="85"/>
        <v>0</v>
      </c>
      <c r="AP261" s="42">
        <f t="shared" si="86"/>
        <v>0</v>
      </c>
      <c r="AQ261" s="42">
        <f t="shared" si="87"/>
        <v>1381</v>
      </c>
      <c r="AR261" s="90" t="str">
        <f t="shared" si="88"/>
        <v/>
      </c>
      <c r="AS261" s="90">
        <f t="shared" si="100"/>
        <v>0.98</v>
      </c>
      <c r="AT261" s="90">
        <f t="shared" si="100"/>
        <v>0.98</v>
      </c>
      <c r="AU261" s="14">
        <f t="shared" si="89"/>
        <v>0</v>
      </c>
      <c r="AV261" s="14">
        <f>IF($C261="&lt;01",ROUND(INDEX(EID!$N:$N,MATCH($B261,EID!$B:$B,0))/2,0),IF(SUM($AT261)=0,"",ROUND((SUM($AP261)-(SUM($O261)*SUM($AS261)))/$AT261,0)))</f>
        <v>0</v>
      </c>
      <c r="AW261" s="90">
        <f t="shared" si="90"/>
        <v>1</v>
      </c>
      <c r="AX261" s="42">
        <f t="shared" si="91"/>
        <v>0</v>
      </c>
      <c r="AY261" s="116">
        <f t="shared" si="92"/>
        <v>0.7</v>
      </c>
      <c r="AZ261" s="93">
        <f>IF($C261="&lt;01",ROUND(INDEX(EID!$R:$R,MATCH($B261,EID!$B:$B,0))/2,0),ROUND(SUM($O261)+(SUM($AV261)*$AY261),0))</f>
        <v>0</v>
      </c>
      <c r="BA261" s="89">
        <f t="shared" si="93"/>
        <v>0.95</v>
      </c>
      <c r="BB261" s="9">
        <f>IF($C261="&lt;01",ROUND(INDEX(EID!$T:$T,MATCH($B261,EID!$B:$B,0))/2,0),ROUND($AZ261*$BA261,0))</f>
        <v>0</v>
      </c>
      <c r="BC261" s="93">
        <f t="shared" si="94"/>
        <v>0</v>
      </c>
      <c r="BD261" s="90">
        <f t="shared" si="95"/>
        <v>0.95</v>
      </c>
      <c r="BE261" s="42">
        <f>IF($C261="&lt;01",ROUND(INDEX(EID!$V:$V,MATCH($B261,EID!$B:$B,0))/2,0),ROUND($BD261*$BB261,0))</f>
        <v>0</v>
      </c>
      <c r="BF261" s="42">
        <f t="shared" si="96"/>
        <v>0</v>
      </c>
      <c r="BG261" s="116">
        <f t="shared" si="97"/>
        <v>0.95</v>
      </c>
      <c r="BH261" s="9">
        <f>IF($C261="&lt;01",ROUND(INDEX(EID!$L:$L,MATCH($B261,EID!$B:$B,0)),0)/2,IF(SUM($BG261)=0,"",ROUND($AX261/$BG261,0)))</f>
        <v>0</v>
      </c>
    </row>
    <row r="262" spans="1:60" x14ac:dyDescent="0.2">
      <c r="A262" t="str">
        <f>INDEX(Prioritization!$D:$D,MATCH($B262,Prioritization!$A:$A,0))</f>
        <v>1 - Scale-up: Saturation</v>
      </c>
      <c r="B262" t="s">
        <v>210</v>
      </c>
      <c r="C262" t="s">
        <v>365</v>
      </c>
      <c r="D262" t="s">
        <v>47</v>
      </c>
      <c r="E262" t="str">
        <f t="shared" si="76"/>
        <v>Blantyre District [mxqa3CDFmIT]|25-34|Male</v>
      </c>
      <c r="F262" s="14"/>
      <c r="G262" s="14"/>
      <c r="H262" s="14"/>
      <c r="I262" s="14"/>
      <c r="J262" s="14"/>
      <c r="K262" s="14"/>
      <c r="L262" s="14"/>
      <c r="M262" s="14"/>
      <c r="N262" s="14"/>
      <c r="O262" s="14" t="str">
        <f t="shared" si="77"/>
        <v/>
      </c>
      <c r="P262" s="14"/>
      <c r="Q262" s="14"/>
      <c r="R262" s="14" t="str">
        <f t="shared" si="78"/>
        <v/>
      </c>
      <c r="S262" s="14">
        <f>IF(LEFT($B262,4)="_Mil","",_xlfn.IFNA(ROUND(INDEX(Spectrum!$N:$N,MATCH(RIGHT($B262,13)&amp;"|"&amp;$C262&amp;"|"&amp;$D262&amp;"|"&amp;S$14&amp;"|"&amp;"CY2022Q4",Spectrum!$R:$R,0)),0),""))</f>
        <v>1504</v>
      </c>
      <c r="T262" s="42">
        <f>IF(LEFT($B262,4)="_Mil","",_xlfn.IFNA(ROUND(INDEX(Spectrum!$N:$N,MATCH(RIGHT($B262,13)&amp;"|"&amp;$C262&amp;"|"&amp;$D262&amp;"|"&amp;T$14&amp;"|"&amp;"CY2023Q3",Spectrum!$R:$R,0)),0),""))</f>
        <v>1625</v>
      </c>
      <c r="U262" s="42" t="str">
        <f>IF(LEFT($B262,4)="_Mil","",_xlfn.IFNA(ROUND(INDEX(Spectrum!$N:$N,MATCH(RIGHT($B262,13)&amp;"|"&amp;$C262&amp;"|"&amp;$D262&amp;"|"&amp;U$14&amp;"|"&amp;"CY2023Q3",Spectrum!$R:$R,0)),0),""))</f>
        <v/>
      </c>
      <c r="V262" s="14">
        <f>IF(LEFT($B262,4)="_Mil","",_xlfn.IFNA(ROUND(INDEX(Spectrum!$N:$N,MATCH(RIGHT($B262,13)&amp;"|"&amp;$C262&amp;"|"&amp;$D262&amp;"|"&amp;V$14&amp;"|"&amp;"CY2023Q3",Spectrum!$R:$R,0)),0),""))</f>
        <v>1654</v>
      </c>
      <c r="W262" s="115">
        <f>IF(LEFT($B262,4)="_Mil","",_xlfn.IFNA(INDEX(Spectrum!$N:$N,MATCH(RIGHT($B262,13)&amp;"|"&amp;$C262&amp;"|"&amp;$D262&amp;"|"&amp;W$14&amp;"|"&amp;"CY2023Q3",Spectrum!$R:$R,0)),""))</f>
        <v>1886</v>
      </c>
      <c r="X262" s="42">
        <f>IF(LEFT($B262,4)="_Mil","",_xlfn.IFNA(ROUND(INDEX(Spectrum!$N:$N,MATCH(RIGHT($B262,13)&amp;"|"&amp;$C262&amp;"|"&amp;$D262&amp;"|"&amp;X$14&amp;"|"&amp;"CY2023Q3",Spectrum!$R:$R,0)),0),""))</f>
        <v>835</v>
      </c>
      <c r="Y262" s="90" t="str">
        <f t="shared" si="79"/>
        <v/>
      </c>
      <c r="Z262" s="42">
        <f>IF(LEFT($B262,4)="_Mil","",_xlfn.IFNA(ROUND(INDEX(Spectrum!$N:$N,MATCH(RIGHT($B262,13)&amp;"|"&amp;$C262&amp;"|"&amp;$D262&amp;"|"&amp;Z$14&amp;"|"&amp;"CY2023Q3",Spectrum!$R:$R,0)),0),""))</f>
        <v>925</v>
      </c>
      <c r="AA262" s="90">
        <f>IF(LEFT($B262,4)="_Mil","",IFERROR(1/(1/INDEX(Spectrum!$N:$N,MATCH(RIGHT($B262,13)&amp;"|"&amp;$C262&amp;"|"&amp;$D262&amp;"|"&amp;AA$14&amp;"|"&amp;"CY2023Q3",Spectrum!$R:$R,0))),IF(SUM($U262)=0,"",SUM($Z262)/$U262)))</f>
        <v>1673.0000000000002</v>
      </c>
      <c r="AB262" s="90">
        <f t="shared" si="80"/>
        <v>1.1077844311377245</v>
      </c>
      <c r="AC262" s="14">
        <f>IF(LEFT($B262,4)="_Mil","",_xlfn.IFNA(ROUND(INDEX(Spectrum!$N:$N,MATCH(RIGHT($B262,13)&amp;"|"&amp;$C262&amp;"|"&amp;$D262&amp;"|"&amp;AC$14&amp;"|"&amp;"CY2023Q3",Spectrum!$R:$R,0)),0),""))</f>
        <v>1969</v>
      </c>
      <c r="AD262" s="14" t="str">
        <f>IF(LEFT($B262,4)="_Mil","",_xlfn.IFNA(ROUND(INDEX(Spectrum!$N:$N,MATCH(RIGHT($B262,13)&amp;"|"&amp;$C262&amp;"|"&amp;$D262&amp;"|"&amp;AD$14&amp;"|"&amp;"CY2023Q3",Spectrum!$R:$R,0)),0),""))</f>
        <v/>
      </c>
      <c r="AE262" s="90">
        <f t="shared" si="81"/>
        <v>0</v>
      </c>
      <c r="AF262" s="42" t="str">
        <f>IF(LEFT($B262,4)="_Mil","",_xlfn.IFNA(ROUND(INDEX(Spectrum!$N:$N,MATCH(RIGHT($B262,13)&amp;"|"&amp;$C262&amp;"|"&amp;$D262&amp;"|"&amp;AF$14&amp;"|"&amp;"CY2023Q3",Spectrum!$R:$R,0)),0),""))</f>
        <v/>
      </c>
      <c r="AG262" s="90" t="str">
        <f t="shared" si="82"/>
        <v/>
      </c>
      <c r="AH262" s="88" t="str">
        <f>IF(LEFT($B262,4)="_Mil","",_xlfn.IFNA(INDEX(Spectrum!$N:$N,MATCH(RIGHT($B262,13)&amp;"|"&amp;$C262&amp;"|"&amp;$D262&amp;"|"&amp;AH$14&amp;"|"&amp;"CY2023Q3",Spectrum!$R:$R,0)),""))</f>
        <v/>
      </c>
      <c r="AI262" s="14" t="str">
        <f>IF(LEFT($B262,4)="_Mil","",_xlfn.IFNA(ROUND(INDEX(Spectrum!$N:$N,MATCH(RIGHT($B262,13)&amp;"|"&amp;$C262&amp;"|"&amp;$D262&amp;"|"&amp;AI$14&amp;"|"&amp;"CY2023Q3",Spectrum!$R:$R,0)),0),""))</f>
        <v/>
      </c>
      <c r="AJ262" s="42">
        <f>IF(LEFT($B262,4)="_Mil","",_xlfn.IFNA(ROUND(INDEX(Spectrum!$N:$N,MATCH(RIGHT($B262,13)&amp;"|"&amp;$C262&amp;"|"&amp;$D262&amp;"|"&amp;AI$14&amp;"|"&amp;"CY2023Q3",Spectrum!$R:$R,0)),0),SUM($U262)+SUM($AI262)))</f>
        <v>0</v>
      </c>
      <c r="AK262" s="14" t="str">
        <f>IF(LEFT($B262,4)="_Mil","",_xlfn.IFNA(ROUND(INDEX(Spectrum!$N:$N,MATCH(RIGHT($B262,13)&amp;"|"&amp;$C262&amp;"|"&amp;$D262&amp;"|"&amp;AK$14&amp;"|"&amp;"CY2023Q3",Spectrum!$R:$R,0)),0),""))</f>
        <v/>
      </c>
      <c r="AL262" s="90">
        <f t="shared" si="83"/>
        <v>1673.0000000000002</v>
      </c>
      <c r="AM262" s="14">
        <f t="shared" si="84"/>
        <v>0</v>
      </c>
      <c r="AN262" s="14" t="str">
        <f>IF($C262="&lt;01",ROUND(INDEX(EID!$P:$P,MATCH($B262,EID!$B:$B,0))/2,0),"")</f>
        <v/>
      </c>
      <c r="AO262" s="14">
        <f t="shared" si="85"/>
        <v>0</v>
      </c>
      <c r="AP262" s="42">
        <f t="shared" si="86"/>
        <v>0</v>
      </c>
      <c r="AQ262" s="42">
        <f t="shared" si="87"/>
        <v>925</v>
      </c>
      <c r="AR262" s="90" t="str">
        <f t="shared" si="88"/>
        <v/>
      </c>
      <c r="AS262" s="90">
        <f t="shared" si="100"/>
        <v>0.98</v>
      </c>
      <c r="AT262" s="90">
        <f t="shared" si="100"/>
        <v>0.98</v>
      </c>
      <c r="AU262" s="14">
        <f t="shared" si="89"/>
        <v>0</v>
      </c>
      <c r="AV262" s="14">
        <f>IF($C262="&lt;01",ROUND(INDEX(EID!$N:$N,MATCH($B262,EID!$B:$B,0))/2,0),IF(SUM($AT262)=0,"",ROUND((SUM($AP262)-(SUM($O262)*SUM($AS262)))/$AT262,0)))</f>
        <v>0</v>
      </c>
      <c r="AW262" s="90">
        <f t="shared" si="90"/>
        <v>1</v>
      </c>
      <c r="AX262" s="42">
        <f t="shared" si="91"/>
        <v>0</v>
      </c>
      <c r="AY262" s="116">
        <f t="shared" si="92"/>
        <v>0.7</v>
      </c>
      <c r="AZ262" s="93">
        <f>IF($C262="&lt;01",ROUND(INDEX(EID!$R:$R,MATCH($B262,EID!$B:$B,0))/2,0),ROUND(SUM($O262)+(SUM($AV262)*$AY262),0))</f>
        <v>0</v>
      </c>
      <c r="BA262" s="89">
        <f t="shared" si="93"/>
        <v>0.95</v>
      </c>
      <c r="BB262" s="9">
        <f>IF($C262="&lt;01",ROUND(INDEX(EID!$T:$T,MATCH($B262,EID!$B:$B,0))/2,0),ROUND($AZ262*$BA262,0))</f>
        <v>0</v>
      </c>
      <c r="BC262" s="93">
        <f t="shared" si="94"/>
        <v>0</v>
      </c>
      <c r="BD262" s="90">
        <f t="shared" si="95"/>
        <v>0.95</v>
      </c>
      <c r="BE262" s="42">
        <f>IF($C262="&lt;01",ROUND(INDEX(EID!$V:$V,MATCH($B262,EID!$B:$B,0))/2,0),ROUND($BD262*$BB262,0))</f>
        <v>0</v>
      </c>
      <c r="BF262" s="42">
        <f t="shared" si="96"/>
        <v>0</v>
      </c>
      <c r="BG262" s="116">
        <f t="shared" si="97"/>
        <v>0.95</v>
      </c>
      <c r="BH262" s="9">
        <f>IF($C262="&lt;01",ROUND(INDEX(EID!$L:$L,MATCH($B262,EID!$B:$B,0)),0)/2,IF(SUM($BG262)=0,"",ROUND($AX262/$BG262,0)))</f>
        <v>0</v>
      </c>
    </row>
    <row r="263" spans="1:60" x14ac:dyDescent="0.2">
      <c r="A263" t="str">
        <f>INDEX(Prioritization!$D:$D,MATCH($B263,Prioritization!$A:$A,0))</f>
        <v>1 - Scale-up: Saturation</v>
      </c>
      <c r="B263" t="s">
        <v>210</v>
      </c>
      <c r="C263" t="s">
        <v>366</v>
      </c>
      <c r="D263" t="s">
        <v>29</v>
      </c>
      <c r="E263" t="str">
        <f t="shared" si="76"/>
        <v>Blantyre District [mxqa3CDFmIT]|35-49|Female</v>
      </c>
      <c r="F263" s="14"/>
      <c r="G263" s="14"/>
      <c r="H263" s="14"/>
      <c r="I263" s="14"/>
      <c r="J263" s="14"/>
      <c r="K263" s="14"/>
      <c r="L263" s="14"/>
      <c r="M263" s="14"/>
      <c r="N263" s="14"/>
      <c r="O263" s="14" t="str">
        <f t="shared" si="77"/>
        <v/>
      </c>
      <c r="P263" s="14"/>
      <c r="Q263" s="14"/>
      <c r="R263" s="14" t="str">
        <f t="shared" si="78"/>
        <v/>
      </c>
      <c r="S263" s="14">
        <f>IF(LEFT($B263,4)="_Mil","",_xlfn.IFNA(ROUND(INDEX(Spectrum!$N:$N,MATCH(RIGHT($B263,13)&amp;"|"&amp;$C263&amp;"|"&amp;$D263&amp;"|"&amp;S$14&amp;"|"&amp;"CY2022Q4",Spectrum!$R:$R,0)),0),""))</f>
        <v>1999</v>
      </c>
      <c r="T263" s="42">
        <f>IF(LEFT($B263,4)="_Mil","",_xlfn.IFNA(ROUND(INDEX(Spectrum!$N:$N,MATCH(RIGHT($B263,13)&amp;"|"&amp;$C263&amp;"|"&amp;$D263&amp;"|"&amp;T$14&amp;"|"&amp;"CY2023Q3",Spectrum!$R:$R,0)),0),""))</f>
        <v>1860</v>
      </c>
      <c r="U263" s="42" t="str">
        <f>IF(LEFT($B263,4)="_Mil","",_xlfn.IFNA(ROUND(INDEX(Spectrum!$N:$N,MATCH(RIGHT($B263,13)&amp;"|"&amp;$C263&amp;"|"&amp;$D263&amp;"|"&amp;U$14&amp;"|"&amp;"CY2023Q3",Spectrum!$R:$R,0)),0),""))</f>
        <v/>
      </c>
      <c r="V263" s="14">
        <f>IF(LEFT($B263,4)="_Mil","",_xlfn.IFNA(ROUND(INDEX(Spectrum!$N:$N,MATCH(RIGHT($B263,13)&amp;"|"&amp;$C263&amp;"|"&amp;$D263&amp;"|"&amp;V$14&amp;"|"&amp;"CY2023Q3",Spectrum!$R:$R,0)),0),""))</f>
        <v>1427</v>
      </c>
      <c r="W263" s="115">
        <f>IF(LEFT($B263,4)="_Mil","",_xlfn.IFNA(INDEX(Spectrum!$N:$N,MATCH(RIGHT($B263,13)&amp;"|"&amp;$C263&amp;"|"&amp;$D263&amp;"|"&amp;W$14&amp;"|"&amp;"CY2023Q3",Spectrum!$R:$R,0)),""))</f>
        <v>1101</v>
      </c>
      <c r="X263" s="42">
        <f>IF(LEFT($B263,4)="_Mil","",_xlfn.IFNA(ROUND(INDEX(Spectrum!$N:$N,MATCH(RIGHT($B263,13)&amp;"|"&amp;$C263&amp;"|"&amp;$D263&amp;"|"&amp;X$14&amp;"|"&amp;"CY2023Q3",Spectrum!$R:$R,0)),0),""))</f>
        <v>1023</v>
      </c>
      <c r="Y263" s="90" t="str">
        <f t="shared" si="79"/>
        <v/>
      </c>
      <c r="Z263" s="42">
        <f>IF(LEFT($B263,4)="_Mil","",_xlfn.IFNA(ROUND(INDEX(Spectrum!$N:$N,MATCH(RIGHT($B263,13)&amp;"|"&amp;$C263&amp;"|"&amp;$D263&amp;"|"&amp;Z$14&amp;"|"&amp;"CY2023Q3",Spectrum!$R:$R,0)),0),""))</f>
        <v>1388</v>
      </c>
      <c r="AA263" s="90">
        <f>IF(LEFT($B263,4)="_Mil","",IFERROR(1/(1/INDEX(Spectrum!$N:$N,MATCH(RIGHT($B263,13)&amp;"|"&amp;$C263&amp;"|"&amp;$D263&amp;"|"&amp;AA$14&amp;"|"&amp;"CY2023Q3",Spectrum!$R:$R,0))),IF(SUM($U263)=0,"",SUM($Z263)/$U263)))</f>
        <v>1227</v>
      </c>
      <c r="AB263" s="90">
        <f t="shared" si="80"/>
        <v>1.356793743890518</v>
      </c>
      <c r="AC263" s="14">
        <f>IF(LEFT($B263,4)="_Mil","",_xlfn.IFNA(ROUND(INDEX(Spectrum!$N:$N,MATCH(RIGHT($B263,13)&amp;"|"&amp;$C263&amp;"|"&amp;$D263&amp;"|"&amp;AC$14&amp;"|"&amp;"CY2023Q3",Spectrum!$R:$R,0)),0),""))</f>
        <v>1881</v>
      </c>
      <c r="AD263" s="14" t="str">
        <f>IF(LEFT($B263,4)="_Mil","",_xlfn.IFNA(ROUND(INDEX(Spectrum!$N:$N,MATCH(RIGHT($B263,13)&amp;"|"&amp;$C263&amp;"|"&amp;$D263&amp;"|"&amp;AD$14&amp;"|"&amp;"CY2023Q3",Spectrum!$R:$R,0)),0),""))</f>
        <v/>
      </c>
      <c r="AE263" s="90">
        <f t="shared" si="81"/>
        <v>0</v>
      </c>
      <c r="AF263" s="42" t="str">
        <f>IF(LEFT($B263,4)="_Mil","",_xlfn.IFNA(ROUND(INDEX(Spectrum!$N:$N,MATCH(RIGHT($B263,13)&amp;"|"&amp;$C263&amp;"|"&amp;$D263&amp;"|"&amp;AF$14&amp;"|"&amp;"CY2023Q3",Spectrum!$R:$R,0)),0),""))</f>
        <v/>
      </c>
      <c r="AG263" s="90" t="str">
        <f t="shared" si="82"/>
        <v/>
      </c>
      <c r="AH263" s="88" t="str">
        <f>IF(LEFT($B263,4)="_Mil","",_xlfn.IFNA(INDEX(Spectrum!$N:$N,MATCH(RIGHT($B263,13)&amp;"|"&amp;$C263&amp;"|"&amp;$D263&amp;"|"&amp;AH$14&amp;"|"&amp;"CY2023Q3",Spectrum!$R:$R,0)),""))</f>
        <v/>
      </c>
      <c r="AI263" s="14" t="str">
        <f>IF(LEFT($B263,4)="_Mil","",_xlfn.IFNA(ROUND(INDEX(Spectrum!$N:$N,MATCH(RIGHT($B263,13)&amp;"|"&amp;$C263&amp;"|"&amp;$D263&amp;"|"&amp;AI$14&amp;"|"&amp;"CY2023Q3",Spectrum!$R:$R,0)),0),""))</f>
        <v/>
      </c>
      <c r="AJ263" s="42">
        <f>IF(LEFT($B263,4)="_Mil","",_xlfn.IFNA(ROUND(INDEX(Spectrum!$N:$N,MATCH(RIGHT($B263,13)&amp;"|"&amp;$C263&amp;"|"&amp;$D263&amp;"|"&amp;AI$14&amp;"|"&amp;"CY2023Q3",Spectrum!$R:$R,0)),0),SUM($U263)+SUM($AI263)))</f>
        <v>0</v>
      </c>
      <c r="AK263" s="14" t="str">
        <f>IF(LEFT($B263,4)="_Mil","",_xlfn.IFNA(ROUND(INDEX(Spectrum!$N:$N,MATCH(RIGHT($B263,13)&amp;"|"&amp;$C263&amp;"|"&amp;$D263&amp;"|"&amp;AK$14&amp;"|"&amp;"CY2023Q3",Spectrum!$R:$R,0)),0),""))</f>
        <v/>
      </c>
      <c r="AL263" s="90">
        <f t="shared" si="83"/>
        <v>1227</v>
      </c>
      <c r="AM263" s="14">
        <f t="shared" si="84"/>
        <v>0</v>
      </c>
      <c r="AN263" s="14" t="str">
        <f>IF($C263="&lt;01",ROUND(INDEX(EID!$P:$P,MATCH($B263,EID!$B:$B,0))/2,0),"")</f>
        <v/>
      </c>
      <c r="AO263" s="14">
        <f t="shared" si="85"/>
        <v>0</v>
      </c>
      <c r="AP263" s="42">
        <f t="shared" si="86"/>
        <v>0</v>
      </c>
      <c r="AQ263" s="42">
        <f t="shared" si="87"/>
        <v>1388</v>
      </c>
      <c r="AR263" s="90" t="str">
        <f t="shared" si="88"/>
        <v/>
      </c>
      <c r="AS263" s="90">
        <f t="shared" si="100"/>
        <v>0.98</v>
      </c>
      <c r="AT263" s="90">
        <f t="shared" si="100"/>
        <v>0.98</v>
      </c>
      <c r="AU263" s="14">
        <f t="shared" si="89"/>
        <v>0</v>
      </c>
      <c r="AV263" s="14">
        <f>IF($C263="&lt;01",ROUND(INDEX(EID!$N:$N,MATCH($B263,EID!$B:$B,0))/2,0),IF(SUM($AT263)=0,"",ROUND((SUM($AP263)-(SUM($O263)*SUM($AS263)))/$AT263,0)))</f>
        <v>0</v>
      </c>
      <c r="AW263" s="90">
        <f t="shared" si="90"/>
        <v>1</v>
      </c>
      <c r="AX263" s="42">
        <f t="shared" si="91"/>
        <v>0</v>
      </c>
      <c r="AY263" s="116">
        <f t="shared" si="92"/>
        <v>0.7</v>
      </c>
      <c r="AZ263" s="93">
        <f>IF($C263="&lt;01",ROUND(INDEX(EID!$R:$R,MATCH($B263,EID!$B:$B,0))/2,0),ROUND(SUM($O263)+(SUM($AV263)*$AY263),0))</f>
        <v>0</v>
      </c>
      <c r="BA263" s="89">
        <f t="shared" si="93"/>
        <v>0.95</v>
      </c>
      <c r="BB263" s="9">
        <f>IF($C263="&lt;01",ROUND(INDEX(EID!$T:$T,MATCH($B263,EID!$B:$B,0))/2,0),ROUND($AZ263*$BA263,0))</f>
        <v>0</v>
      </c>
      <c r="BC263" s="93">
        <f t="shared" si="94"/>
        <v>0</v>
      </c>
      <c r="BD263" s="90">
        <f t="shared" si="95"/>
        <v>0.95</v>
      </c>
      <c r="BE263" s="42">
        <f>IF($C263="&lt;01",ROUND(INDEX(EID!$V:$V,MATCH($B263,EID!$B:$B,0))/2,0),ROUND($BD263*$BB263,0))</f>
        <v>0</v>
      </c>
      <c r="BF263" s="42">
        <f t="shared" si="96"/>
        <v>0</v>
      </c>
      <c r="BG263" s="116">
        <f t="shared" si="97"/>
        <v>0.95</v>
      </c>
      <c r="BH263" s="9">
        <f>IF($C263="&lt;01",ROUND(INDEX(EID!$L:$L,MATCH($B263,EID!$B:$B,0)),0)/2,IF(SUM($BG263)=0,"",ROUND($AX263/$BG263,0)))</f>
        <v>0</v>
      </c>
    </row>
    <row r="264" spans="1:60" x14ac:dyDescent="0.2">
      <c r="A264" t="str">
        <f>INDEX(Prioritization!$D:$D,MATCH($B264,Prioritization!$A:$A,0))</f>
        <v>1 - Scale-up: Saturation</v>
      </c>
      <c r="B264" t="s">
        <v>210</v>
      </c>
      <c r="C264" t="s">
        <v>366</v>
      </c>
      <c r="D264" t="s">
        <v>47</v>
      </c>
      <c r="E264" t="str">
        <f t="shared" si="76"/>
        <v>Blantyre District [mxqa3CDFmIT]|35-49|Male</v>
      </c>
      <c r="F264" s="14"/>
      <c r="G264" s="14"/>
      <c r="H264" s="14"/>
      <c r="I264" s="14"/>
      <c r="J264" s="14"/>
      <c r="K264" s="14"/>
      <c r="L264" s="14"/>
      <c r="M264" s="14"/>
      <c r="N264" s="14"/>
      <c r="O264" s="14" t="str">
        <f t="shared" si="77"/>
        <v/>
      </c>
      <c r="P264" s="14"/>
      <c r="Q264" s="14"/>
      <c r="R264" s="14" t="str">
        <f t="shared" si="78"/>
        <v/>
      </c>
      <c r="S264" s="14">
        <f>IF(LEFT($B264,4)="_Mil","",_xlfn.IFNA(ROUND(INDEX(Spectrum!$N:$N,MATCH(RIGHT($B264,13)&amp;"|"&amp;$C264&amp;"|"&amp;$D264&amp;"|"&amp;S$14&amp;"|"&amp;"CY2022Q4",Spectrum!$R:$R,0)),0),""))</f>
        <v>663</v>
      </c>
      <c r="T264" s="42">
        <f>IF(LEFT($B264,4)="_Mil","",_xlfn.IFNA(ROUND(INDEX(Spectrum!$N:$N,MATCH(RIGHT($B264,13)&amp;"|"&amp;$C264&amp;"|"&amp;$D264&amp;"|"&amp;T$14&amp;"|"&amp;"CY2023Q3",Spectrum!$R:$R,0)),0),""))</f>
        <v>1147</v>
      </c>
      <c r="U264" s="42" t="str">
        <f>IF(LEFT($B264,4)="_Mil","",_xlfn.IFNA(ROUND(INDEX(Spectrum!$N:$N,MATCH(RIGHT($B264,13)&amp;"|"&amp;$C264&amp;"|"&amp;$D264&amp;"|"&amp;U$14&amp;"|"&amp;"CY2023Q3",Spectrum!$R:$R,0)),0),""))</f>
        <v/>
      </c>
      <c r="V264" s="14">
        <f>IF(LEFT($B264,4)="_Mil","",_xlfn.IFNA(ROUND(INDEX(Spectrum!$N:$N,MATCH(RIGHT($B264,13)&amp;"|"&amp;$C264&amp;"|"&amp;$D264&amp;"|"&amp;V$14&amp;"|"&amp;"CY2023Q3",Spectrum!$R:$R,0)),0),""))</f>
        <v>760</v>
      </c>
      <c r="W264" s="115">
        <f>IF(LEFT($B264,4)="_Mil","",_xlfn.IFNA(INDEX(Spectrum!$N:$N,MATCH(RIGHT($B264,13)&amp;"|"&amp;$C264&amp;"|"&amp;$D264&amp;"|"&amp;W$14&amp;"|"&amp;"CY2023Q3",Spectrum!$R:$R,0)),""))</f>
        <v>555</v>
      </c>
      <c r="X264" s="42">
        <f>IF(LEFT($B264,4)="_Mil","",_xlfn.IFNA(ROUND(INDEX(Spectrum!$N:$N,MATCH(RIGHT($B264,13)&amp;"|"&amp;$C264&amp;"|"&amp;$D264&amp;"|"&amp;X$14&amp;"|"&amp;"CY2023Q3",Spectrum!$R:$R,0)),0),""))</f>
        <v>1615</v>
      </c>
      <c r="Y264" s="90" t="str">
        <f t="shared" si="79"/>
        <v/>
      </c>
      <c r="Z264" s="42">
        <f>IF(LEFT($B264,4)="_Mil","",_xlfn.IFNA(ROUND(INDEX(Spectrum!$N:$N,MATCH(RIGHT($B264,13)&amp;"|"&amp;$C264&amp;"|"&amp;$D264&amp;"|"&amp;Z$14&amp;"|"&amp;"CY2023Q3",Spectrum!$R:$R,0)),0),""))</f>
        <v>708</v>
      </c>
      <c r="AA264" s="90">
        <f>IF(LEFT($B264,4)="_Mil","",IFERROR(1/(1/INDEX(Spectrum!$N:$N,MATCH(RIGHT($B264,13)&amp;"|"&amp;$C264&amp;"|"&amp;$D264&amp;"|"&amp;AA$14&amp;"|"&amp;"CY2023Q3",Spectrum!$R:$R,0))),IF(SUM($U264)=0,"",SUM($Z264)/$U264)))</f>
        <v>1340</v>
      </c>
      <c r="AB264" s="90">
        <f t="shared" si="80"/>
        <v>0.43839009287925695</v>
      </c>
      <c r="AC264" s="14">
        <f>IF(LEFT($B264,4)="_Mil","",_xlfn.IFNA(ROUND(INDEX(Spectrum!$N:$N,MATCH(RIGHT($B264,13)&amp;"|"&amp;$C264&amp;"|"&amp;$D264&amp;"|"&amp;AC$14&amp;"|"&amp;"CY2023Q3",Spectrum!$R:$R,0)),0),""))</f>
        <v>1701</v>
      </c>
      <c r="AD264" s="14" t="str">
        <f>IF(LEFT($B264,4)="_Mil","",_xlfn.IFNA(ROUND(INDEX(Spectrum!$N:$N,MATCH(RIGHT($B264,13)&amp;"|"&amp;$C264&amp;"|"&amp;$D264&amp;"|"&amp;AD$14&amp;"|"&amp;"CY2023Q3",Spectrum!$R:$R,0)),0),""))</f>
        <v/>
      </c>
      <c r="AE264" s="90">
        <f t="shared" si="81"/>
        <v>0</v>
      </c>
      <c r="AF264" s="42" t="str">
        <f>IF(LEFT($B264,4)="_Mil","",_xlfn.IFNA(ROUND(INDEX(Spectrum!$N:$N,MATCH(RIGHT($B264,13)&amp;"|"&amp;$C264&amp;"|"&amp;$D264&amp;"|"&amp;AF$14&amp;"|"&amp;"CY2023Q3",Spectrum!$R:$R,0)),0),""))</f>
        <v/>
      </c>
      <c r="AG264" s="90" t="str">
        <f t="shared" si="82"/>
        <v/>
      </c>
      <c r="AH264" s="88" t="str">
        <f>IF(LEFT($B264,4)="_Mil","",_xlfn.IFNA(INDEX(Spectrum!$N:$N,MATCH(RIGHT($B264,13)&amp;"|"&amp;$C264&amp;"|"&amp;$D264&amp;"|"&amp;AH$14&amp;"|"&amp;"CY2023Q3",Spectrum!$R:$R,0)),""))</f>
        <v/>
      </c>
      <c r="AI264" s="14" t="str">
        <f>IF(LEFT($B264,4)="_Mil","",_xlfn.IFNA(ROUND(INDEX(Spectrum!$N:$N,MATCH(RIGHT($B264,13)&amp;"|"&amp;$C264&amp;"|"&amp;$D264&amp;"|"&amp;AI$14&amp;"|"&amp;"CY2023Q3",Spectrum!$R:$R,0)),0),""))</f>
        <v/>
      </c>
      <c r="AJ264" s="42">
        <f>IF(LEFT($B264,4)="_Mil","",_xlfn.IFNA(ROUND(INDEX(Spectrum!$N:$N,MATCH(RIGHT($B264,13)&amp;"|"&amp;$C264&amp;"|"&amp;$D264&amp;"|"&amp;AI$14&amp;"|"&amp;"CY2023Q3",Spectrum!$R:$R,0)),0),SUM($U264)+SUM($AI264)))</f>
        <v>0</v>
      </c>
      <c r="AK264" s="14" t="str">
        <f>IF(LEFT($B264,4)="_Mil","",_xlfn.IFNA(ROUND(INDEX(Spectrum!$N:$N,MATCH(RIGHT($B264,13)&amp;"|"&amp;$C264&amp;"|"&amp;$D264&amp;"|"&amp;AK$14&amp;"|"&amp;"CY2023Q3",Spectrum!$R:$R,0)),0),""))</f>
        <v/>
      </c>
      <c r="AL264" s="90">
        <f t="shared" si="83"/>
        <v>1340</v>
      </c>
      <c r="AM264" s="14">
        <f t="shared" si="84"/>
        <v>0</v>
      </c>
      <c r="AN264" s="14" t="str">
        <f>IF($C264="&lt;01",ROUND(INDEX(EID!$P:$P,MATCH($B264,EID!$B:$B,0))/2,0),"")</f>
        <v/>
      </c>
      <c r="AO264" s="14">
        <f t="shared" si="85"/>
        <v>0</v>
      </c>
      <c r="AP264" s="42">
        <f t="shared" si="86"/>
        <v>0</v>
      </c>
      <c r="AQ264" s="42">
        <f t="shared" si="87"/>
        <v>708</v>
      </c>
      <c r="AR264" s="90" t="str">
        <f t="shared" si="88"/>
        <v/>
      </c>
      <c r="AS264" s="90">
        <f t="shared" si="100"/>
        <v>0.98</v>
      </c>
      <c r="AT264" s="90">
        <f t="shared" si="100"/>
        <v>0.98</v>
      </c>
      <c r="AU264" s="14">
        <f t="shared" si="89"/>
        <v>0</v>
      </c>
      <c r="AV264" s="14">
        <f>IF($C264="&lt;01",ROUND(INDEX(EID!$N:$N,MATCH($B264,EID!$B:$B,0))/2,0),IF(SUM($AT264)=0,"",ROUND((SUM($AP264)-(SUM($O264)*SUM($AS264)))/$AT264,0)))</f>
        <v>0</v>
      </c>
      <c r="AW264" s="90">
        <f t="shared" si="90"/>
        <v>1</v>
      </c>
      <c r="AX264" s="42">
        <f t="shared" si="91"/>
        <v>0</v>
      </c>
      <c r="AY264" s="116">
        <f t="shared" si="92"/>
        <v>0.7</v>
      </c>
      <c r="AZ264" s="93">
        <f>IF($C264="&lt;01",ROUND(INDEX(EID!$R:$R,MATCH($B264,EID!$B:$B,0))/2,0),ROUND(SUM($O264)+(SUM($AV264)*$AY264),0))</f>
        <v>0</v>
      </c>
      <c r="BA264" s="89">
        <f t="shared" si="93"/>
        <v>0.95</v>
      </c>
      <c r="BB264" s="9">
        <f>IF($C264="&lt;01",ROUND(INDEX(EID!$T:$T,MATCH($B264,EID!$B:$B,0))/2,0),ROUND($AZ264*$BA264,0))</f>
        <v>0</v>
      </c>
      <c r="BC264" s="93">
        <f t="shared" si="94"/>
        <v>0</v>
      </c>
      <c r="BD264" s="90">
        <f t="shared" si="95"/>
        <v>0.95</v>
      </c>
      <c r="BE264" s="42">
        <f>IF($C264="&lt;01",ROUND(INDEX(EID!$V:$V,MATCH($B264,EID!$B:$B,0))/2,0),ROUND($BD264*$BB264,0))</f>
        <v>0</v>
      </c>
      <c r="BF264" s="42">
        <f t="shared" si="96"/>
        <v>0</v>
      </c>
      <c r="BG264" s="116">
        <f t="shared" si="97"/>
        <v>0.95</v>
      </c>
      <c r="BH264" s="9">
        <f>IF($C264="&lt;01",ROUND(INDEX(EID!$L:$L,MATCH($B264,EID!$B:$B,0)),0)/2,IF(SUM($BG264)=0,"",ROUND($AX264/$BG264,0)))</f>
        <v>0</v>
      </c>
    </row>
    <row r="265" spans="1:60" x14ac:dyDescent="0.2">
      <c r="A265" t="str">
        <f>INDEX(Prioritization!$D:$D,MATCH($B265,Prioritization!$A:$A,0))</f>
        <v>1 - Scale-up: Saturation</v>
      </c>
      <c r="B265" t="s">
        <v>210</v>
      </c>
      <c r="C265" t="s">
        <v>367</v>
      </c>
      <c r="D265" t="s">
        <v>29</v>
      </c>
      <c r="E265" t="str">
        <f t="shared" si="76"/>
        <v>Blantyre District [mxqa3CDFmIT]|50+|Female</v>
      </c>
      <c r="F265" s="14"/>
      <c r="G265" s="14"/>
      <c r="H265" s="14"/>
      <c r="I265" s="14"/>
      <c r="J265" s="14"/>
      <c r="K265" s="14"/>
      <c r="L265" s="14"/>
      <c r="M265" s="14"/>
      <c r="N265" s="14"/>
      <c r="O265" s="14" t="str">
        <f t="shared" si="77"/>
        <v/>
      </c>
      <c r="P265" s="14"/>
      <c r="Q265" s="14"/>
      <c r="R265" s="14" t="str">
        <f t="shared" si="78"/>
        <v/>
      </c>
      <c r="S265" s="14">
        <f>IF(LEFT($B265,4)="_Mil","",_xlfn.IFNA(ROUND(INDEX(Spectrum!$N:$N,MATCH(RIGHT($B265,13)&amp;"|"&amp;$C265&amp;"|"&amp;$D265&amp;"|"&amp;S$14&amp;"|"&amp;"CY2022Q4",Spectrum!$R:$R,0)),0),""))</f>
        <v>503</v>
      </c>
      <c r="T265" s="42">
        <f>IF(LEFT($B265,4)="_Mil","",_xlfn.IFNA(ROUND(INDEX(Spectrum!$N:$N,MATCH(RIGHT($B265,13)&amp;"|"&amp;$C265&amp;"|"&amp;$D265&amp;"|"&amp;T$14&amp;"|"&amp;"CY2023Q3",Spectrum!$R:$R,0)),0),""))</f>
        <v>1918</v>
      </c>
      <c r="U265" s="42" t="str">
        <f>IF(LEFT($B265,4)="_Mil","",_xlfn.IFNA(ROUND(INDEX(Spectrum!$N:$N,MATCH(RIGHT($B265,13)&amp;"|"&amp;$C265&amp;"|"&amp;$D265&amp;"|"&amp;U$14&amp;"|"&amp;"CY2023Q3",Spectrum!$R:$R,0)),0),""))</f>
        <v/>
      </c>
      <c r="V265" s="14">
        <f>IF(LEFT($B265,4)="_Mil","",_xlfn.IFNA(ROUND(INDEX(Spectrum!$N:$N,MATCH(RIGHT($B265,13)&amp;"|"&amp;$C265&amp;"|"&amp;$D265&amp;"|"&amp;V$14&amp;"|"&amp;"CY2023Q3",Spectrum!$R:$R,0)),0),""))</f>
        <v>1838</v>
      </c>
      <c r="W265" s="115">
        <f>IF(LEFT($B265,4)="_Mil","",_xlfn.IFNA(INDEX(Spectrum!$N:$N,MATCH(RIGHT($B265,13)&amp;"|"&amp;$C265&amp;"|"&amp;$D265&amp;"|"&amp;W$14&amp;"|"&amp;"CY2023Q3",Spectrum!$R:$R,0)),""))</f>
        <v>1987</v>
      </c>
      <c r="X265" s="42">
        <f>IF(LEFT($B265,4)="_Mil","",_xlfn.IFNA(ROUND(INDEX(Spectrum!$N:$N,MATCH(RIGHT($B265,13)&amp;"|"&amp;$C265&amp;"|"&amp;$D265&amp;"|"&amp;X$14&amp;"|"&amp;"CY2023Q3",Spectrum!$R:$R,0)),0),""))</f>
        <v>1305</v>
      </c>
      <c r="Y265" s="90" t="str">
        <f t="shared" si="79"/>
        <v/>
      </c>
      <c r="Z265" s="42">
        <f>IF(LEFT($B265,4)="_Mil","",_xlfn.IFNA(ROUND(INDEX(Spectrum!$N:$N,MATCH(RIGHT($B265,13)&amp;"|"&amp;$C265&amp;"|"&amp;$D265&amp;"|"&amp;Z$14&amp;"|"&amp;"CY2023Q3",Spectrum!$R:$R,0)),0),""))</f>
        <v>1496</v>
      </c>
      <c r="AA265" s="90">
        <f>IF(LEFT($B265,4)="_Mil","",IFERROR(1/(1/INDEX(Spectrum!$N:$N,MATCH(RIGHT($B265,13)&amp;"|"&amp;$C265&amp;"|"&amp;$D265&amp;"|"&amp;AA$14&amp;"|"&amp;"CY2023Q3",Spectrum!$R:$R,0))),IF(SUM($U265)=0,"",SUM($Z265)/$U265)))</f>
        <v>673</v>
      </c>
      <c r="AB265" s="90">
        <f t="shared" si="80"/>
        <v>1.1463601532567049</v>
      </c>
      <c r="AC265" s="14">
        <f>IF(LEFT($B265,4)="_Mil","",_xlfn.IFNA(ROUND(INDEX(Spectrum!$N:$N,MATCH(RIGHT($B265,13)&amp;"|"&amp;$C265&amp;"|"&amp;$D265&amp;"|"&amp;AC$14&amp;"|"&amp;"CY2023Q3",Spectrum!$R:$R,0)),0),""))</f>
        <v>1190</v>
      </c>
      <c r="AD265" s="14" t="str">
        <f>IF(LEFT($B265,4)="_Mil","",_xlfn.IFNA(ROUND(INDEX(Spectrum!$N:$N,MATCH(RIGHT($B265,13)&amp;"|"&amp;$C265&amp;"|"&amp;$D265&amp;"|"&amp;AD$14&amp;"|"&amp;"CY2023Q3",Spectrum!$R:$R,0)),0),""))</f>
        <v/>
      </c>
      <c r="AE265" s="90">
        <f t="shared" si="81"/>
        <v>0</v>
      </c>
      <c r="AF265" s="42" t="str">
        <f>IF(LEFT($B265,4)="_Mil","",_xlfn.IFNA(ROUND(INDEX(Spectrum!$N:$N,MATCH(RIGHT($B265,13)&amp;"|"&amp;$C265&amp;"|"&amp;$D265&amp;"|"&amp;AF$14&amp;"|"&amp;"CY2023Q3",Spectrum!$R:$R,0)),0),""))</f>
        <v/>
      </c>
      <c r="AG265" s="90" t="str">
        <f t="shared" si="82"/>
        <v/>
      </c>
      <c r="AH265" s="88" t="str">
        <f>IF(LEFT($B265,4)="_Mil","",_xlfn.IFNA(INDEX(Spectrum!$N:$N,MATCH(RIGHT($B265,13)&amp;"|"&amp;$C265&amp;"|"&amp;$D265&amp;"|"&amp;AH$14&amp;"|"&amp;"CY2023Q3",Spectrum!$R:$R,0)),""))</f>
        <v/>
      </c>
      <c r="AI265" s="14" t="str">
        <f>IF(LEFT($B265,4)="_Mil","",_xlfn.IFNA(ROUND(INDEX(Spectrum!$N:$N,MATCH(RIGHT($B265,13)&amp;"|"&amp;$C265&amp;"|"&amp;$D265&amp;"|"&amp;AI$14&amp;"|"&amp;"CY2023Q3",Spectrum!$R:$R,0)),0),""))</f>
        <v/>
      </c>
      <c r="AJ265" s="42">
        <f>IF(LEFT($B265,4)="_Mil","",_xlfn.IFNA(ROUND(INDEX(Spectrum!$N:$N,MATCH(RIGHT($B265,13)&amp;"|"&amp;$C265&amp;"|"&amp;$D265&amp;"|"&amp;AI$14&amp;"|"&amp;"CY2023Q3",Spectrum!$R:$R,0)),0),SUM($U265)+SUM($AI265)))</f>
        <v>0</v>
      </c>
      <c r="AK265" s="14" t="str">
        <f>IF(LEFT($B265,4)="_Mil","",_xlfn.IFNA(ROUND(INDEX(Spectrum!$N:$N,MATCH(RIGHT($B265,13)&amp;"|"&amp;$C265&amp;"|"&amp;$D265&amp;"|"&amp;AK$14&amp;"|"&amp;"CY2023Q3",Spectrum!$R:$R,0)),0),""))</f>
        <v/>
      </c>
      <c r="AL265" s="90">
        <f t="shared" si="83"/>
        <v>673</v>
      </c>
      <c r="AM265" s="14">
        <f t="shared" si="84"/>
        <v>0</v>
      </c>
      <c r="AN265" s="14" t="str">
        <f>IF($C265="&lt;01",ROUND(INDEX(EID!$P:$P,MATCH($B265,EID!$B:$B,0))/2,0),"")</f>
        <v/>
      </c>
      <c r="AO265" s="14">
        <f t="shared" si="85"/>
        <v>0</v>
      </c>
      <c r="AP265" s="42">
        <f t="shared" si="86"/>
        <v>0</v>
      </c>
      <c r="AQ265" s="42">
        <f t="shared" si="87"/>
        <v>1496</v>
      </c>
      <c r="AR265" s="90" t="str">
        <f t="shared" si="88"/>
        <v/>
      </c>
      <c r="AS265" s="90">
        <f t="shared" si="100"/>
        <v>0.98</v>
      </c>
      <c r="AT265" s="90">
        <f t="shared" si="100"/>
        <v>0.98</v>
      </c>
      <c r="AU265" s="14">
        <f t="shared" si="89"/>
        <v>0</v>
      </c>
      <c r="AV265" s="14">
        <f>IF($C265="&lt;01",ROUND(INDEX(EID!$N:$N,MATCH($B265,EID!$B:$B,0))/2,0),IF(SUM($AT265)=0,"",ROUND((SUM($AP265)-(SUM($O265)*SUM($AS265)))/$AT265,0)))</f>
        <v>0</v>
      </c>
      <c r="AW265" s="90">
        <f t="shared" si="90"/>
        <v>1</v>
      </c>
      <c r="AX265" s="42">
        <f t="shared" si="91"/>
        <v>0</v>
      </c>
      <c r="AY265" s="116">
        <f t="shared" si="92"/>
        <v>0.7</v>
      </c>
      <c r="AZ265" s="93">
        <f>IF($C265="&lt;01",ROUND(INDEX(EID!$R:$R,MATCH($B265,EID!$B:$B,0))/2,0),ROUND(SUM($O265)+(SUM($AV265)*$AY265),0))</f>
        <v>0</v>
      </c>
      <c r="BA265" s="89">
        <f t="shared" si="93"/>
        <v>0.95</v>
      </c>
      <c r="BB265" s="9">
        <f>IF($C265="&lt;01",ROUND(INDEX(EID!$T:$T,MATCH($B265,EID!$B:$B,0))/2,0),ROUND($AZ265*$BA265,0))</f>
        <v>0</v>
      </c>
      <c r="BC265" s="93">
        <f t="shared" si="94"/>
        <v>0</v>
      </c>
      <c r="BD265" s="90">
        <f t="shared" si="95"/>
        <v>0.95</v>
      </c>
      <c r="BE265" s="42">
        <f>IF($C265="&lt;01",ROUND(INDEX(EID!$V:$V,MATCH($B265,EID!$B:$B,0))/2,0),ROUND($BD265*$BB265,0))</f>
        <v>0</v>
      </c>
      <c r="BF265" s="42">
        <f t="shared" si="96"/>
        <v>0</v>
      </c>
      <c r="BG265" s="116">
        <f t="shared" si="97"/>
        <v>0.95</v>
      </c>
      <c r="BH265" s="9">
        <f>IF($C265="&lt;01",ROUND(INDEX(EID!$L:$L,MATCH($B265,EID!$B:$B,0)),0)/2,IF(SUM($BG265)=0,"",ROUND($AX265/$BG265,0)))</f>
        <v>0</v>
      </c>
    </row>
    <row r="266" spans="1:60" x14ac:dyDescent="0.2">
      <c r="A266" t="str">
        <f>INDEX(Prioritization!$D:$D,MATCH($B266,Prioritization!$A:$A,0))</f>
        <v>1 - Scale-up: Saturation</v>
      </c>
      <c r="B266" t="s">
        <v>210</v>
      </c>
      <c r="C266" t="s">
        <v>367</v>
      </c>
      <c r="D266" t="s">
        <v>47</v>
      </c>
      <c r="E266" t="str">
        <f t="shared" si="76"/>
        <v>Blantyre District [mxqa3CDFmIT]|50+|Male</v>
      </c>
      <c r="F266" s="14"/>
      <c r="G266" s="14"/>
      <c r="H266" s="14"/>
      <c r="I266" s="14"/>
      <c r="J266" s="14"/>
      <c r="K266" s="14"/>
      <c r="L266" s="14"/>
      <c r="M266" s="14"/>
      <c r="N266" s="14"/>
      <c r="O266" s="14" t="str">
        <f t="shared" si="77"/>
        <v/>
      </c>
      <c r="P266" s="14"/>
      <c r="Q266" s="14"/>
      <c r="R266" s="14" t="str">
        <f t="shared" si="78"/>
        <v/>
      </c>
      <c r="S266" s="14">
        <f>IF(LEFT($B266,4)="_Mil","",_xlfn.IFNA(ROUND(INDEX(Spectrum!$N:$N,MATCH(RIGHT($B266,13)&amp;"|"&amp;$C266&amp;"|"&amp;$D266&amp;"|"&amp;S$14&amp;"|"&amp;"CY2022Q4",Spectrum!$R:$R,0)),0),""))</f>
        <v>1322</v>
      </c>
      <c r="T266" s="42">
        <f>IF(LEFT($B266,4)="_Mil","",_xlfn.IFNA(ROUND(INDEX(Spectrum!$N:$N,MATCH(RIGHT($B266,13)&amp;"|"&amp;$C266&amp;"|"&amp;$D266&amp;"|"&amp;T$14&amp;"|"&amp;"CY2023Q3",Spectrum!$R:$R,0)),0),""))</f>
        <v>815</v>
      </c>
      <c r="U266" s="42" t="str">
        <f>IF(LEFT($B266,4)="_Mil","",_xlfn.IFNA(ROUND(INDEX(Spectrum!$N:$N,MATCH(RIGHT($B266,13)&amp;"|"&amp;$C266&amp;"|"&amp;$D266&amp;"|"&amp;U$14&amp;"|"&amp;"CY2023Q3",Spectrum!$R:$R,0)),0),""))</f>
        <v/>
      </c>
      <c r="V266" s="14">
        <f>IF(LEFT($B266,4)="_Mil","",_xlfn.IFNA(ROUND(INDEX(Spectrum!$N:$N,MATCH(RIGHT($B266,13)&amp;"|"&amp;$C266&amp;"|"&amp;$D266&amp;"|"&amp;V$14&amp;"|"&amp;"CY2023Q3",Spectrum!$R:$R,0)),0),""))</f>
        <v>828</v>
      </c>
      <c r="W266" s="115">
        <f>IF(LEFT($B266,4)="_Mil","",_xlfn.IFNA(INDEX(Spectrum!$N:$N,MATCH(RIGHT($B266,13)&amp;"|"&amp;$C266&amp;"|"&amp;$D266&amp;"|"&amp;W$14&amp;"|"&amp;"CY2023Q3",Spectrum!$R:$R,0)),""))</f>
        <v>1517</v>
      </c>
      <c r="X266" s="42">
        <f>IF(LEFT($B266,4)="_Mil","",_xlfn.IFNA(ROUND(INDEX(Spectrum!$N:$N,MATCH(RIGHT($B266,13)&amp;"|"&amp;$C266&amp;"|"&amp;$D266&amp;"|"&amp;X$14&amp;"|"&amp;"CY2023Q3",Spectrum!$R:$R,0)),0),""))</f>
        <v>1038</v>
      </c>
      <c r="Y266" s="90" t="str">
        <f t="shared" si="79"/>
        <v/>
      </c>
      <c r="Z266" s="42">
        <f>IF(LEFT($B266,4)="_Mil","",_xlfn.IFNA(ROUND(INDEX(Spectrum!$N:$N,MATCH(RIGHT($B266,13)&amp;"|"&amp;$C266&amp;"|"&amp;$D266&amp;"|"&amp;Z$14&amp;"|"&amp;"CY2023Q3",Spectrum!$R:$R,0)),0),""))</f>
        <v>1916</v>
      </c>
      <c r="AA266" s="90">
        <f>IF(LEFT($B266,4)="_Mil","",IFERROR(1/(1/INDEX(Spectrum!$N:$N,MATCH(RIGHT($B266,13)&amp;"|"&amp;$C266&amp;"|"&amp;$D266&amp;"|"&amp;AA$14&amp;"|"&amp;"CY2023Q3",Spectrum!$R:$R,0))),IF(SUM($U266)=0,"",SUM($Z266)/$U266)))</f>
        <v>747</v>
      </c>
      <c r="AB266" s="90">
        <f t="shared" si="80"/>
        <v>1.8458574181117533</v>
      </c>
      <c r="AC266" s="14">
        <f>IF(LEFT($B266,4)="_Mil","",_xlfn.IFNA(ROUND(INDEX(Spectrum!$N:$N,MATCH(RIGHT($B266,13)&amp;"|"&amp;$C266&amp;"|"&amp;$D266&amp;"|"&amp;AC$14&amp;"|"&amp;"CY2023Q3",Spectrum!$R:$R,0)),0),""))</f>
        <v>1550</v>
      </c>
      <c r="AD266" s="14" t="str">
        <f>IF(LEFT($B266,4)="_Mil","",_xlfn.IFNA(ROUND(INDEX(Spectrum!$N:$N,MATCH(RIGHT($B266,13)&amp;"|"&amp;$C266&amp;"|"&amp;$D266&amp;"|"&amp;AD$14&amp;"|"&amp;"CY2023Q3",Spectrum!$R:$R,0)),0),""))</f>
        <v/>
      </c>
      <c r="AE266" s="90">
        <f t="shared" si="81"/>
        <v>0</v>
      </c>
      <c r="AF266" s="42" t="str">
        <f>IF(LEFT($B266,4)="_Mil","",_xlfn.IFNA(ROUND(INDEX(Spectrum!$N:$N,MATCH(RIGHT($B266,13)&amp;"|"&amp;$C266&amp;"|"&amp;$D266&amp;"|"&amp;AF$14&amp;"|"&amp;"CY2023Q3",Spectrum!$R:$R,0)),0),""))</f>
        <v/>
      </c>
      <c r="AG266" s="90" t="str">
        <f t="shared" si="82"/>
        <v/>
      </c>
      <c r="AH266" s="88" t="str">
        <f>IF(LEFT($B266,4)="_Mil","",_xlfn.IFNA(INDEX(Spectrum!$N:$N,MATCH(RIGHT($B266,13)&amp;"|"&amp;$C266&amp;"|"&amp;$D266&amp;"|"&amp;AH$14&amp;"|"&amp;"CY2023Q3",Spectrum!$R:$R,0)),""))</f>
        <v/>
      </c>
      <c r="AI266" s="14" t="str">
        <f>IF(LEFT($B266,4)="_Mil","",_xlfn.IFNA(ROUND(INDEX(Spectrum!$N:$N,MATCH(RIGHT($B266,13)&amp;"|"&amp;$C266&amp;"|"&amp;$D266&amp;"|"&amp;AI$14&amp;"|"&amp;"CY2023Q3",Spectrum!$R:$R,0)),0),""))</f>
        <v/>
      </c>
      <c r="AJ266" s="42">
        <f>IF(LEFT($B266,4)="_Mil","",_xlfn.IFNA(ROUND(INDEX(Spectrum!$N:$N,MATCH(RIGHT($B266,13)&amp;"|"&amp;$C266&amp;"|"&amp;$D266&amp;"|"&amp;AI$14&amp;"|"&amp;"CY2023Q3",Spectrum!$R:$R,0)),0),SUM($U266)+SUM($AI266)))</f>
        <v>0</v>
      </c>
      <c r="AK266" s="14" t="str">
        <f>IF(LEFT($B266,4)="_Mil","",_xlfn.IFNA(ROUND(INDEX(Spectrum!$N:$N,MATCH(RIGHT($B266,13)&amp;"|"&amp;$C266&amp;"|"&amp;$D266&amp;"|"&amp;AK$14&amp;"|"&amp;"CY2023Q3",Spectrum!$R:$R,0)),0),""))</f>
        <v/>
      </c>
      <c r="AL266" s="90">
        <f t="shared" si="83"/>
        <v>747</v>
      </c>
      <c r="AM266" s="14">
        <f t="shared" si="84"/>
        <v>0</v>
      </c>
      <c r="AN266" s="14" t="str">
        <f>IF($C266="&lt;01",ROUND(INDEX(EID!$P:$P,MATCH($B266,EID!$B:$B,0))/2,0),"")</f>
        <v/>
      </c>
      <c r="AO266" s="14">
        <f t="shared" si="85"/>
        <v>0</v>
      </c>
      <c r="AP266" s="42">
        <f t="shared" si="86"/>
        <v>0</v>
      </c>
      <c r="AQ266" s="42">
        <f t="shared" si="87"/>
        <v>1916</v>
      </c>
      <c r="AR266" s="90" t="str">
        <f t="shared" si="88"/>
        <v/>
      </c>
      <c r="AS266" s="90">
        <f t="shared" si="100"/>
        <v>0.98</v>
      </c>
      <c r="AT266" s="90">
        <f t="shared" si="100"/>
        <v>0.98</v>
      </c>
      <c r="AU266" s="14">
        <f t="shared" si="89"/>
        <v>0</v>
      </c>
      <c r="AV266" s="14">
        <f>IF($C266="&lt;01",ROUND(INDEX(EID!$N:$N,MATCH($B266,EID!$B:$B,0))/2,0),IF(SUM($AT266)=0,"",ROUND((SUM($AP266)-(SUM($O266)*SUM($AS266)))/$AT266,0)))</f>
        <v>0</v>
      </c>
      <c r="AW266" s="90">
        <f t="shared" si="90"/>
        <v>1</v>
      </c>
      <c r="AX266" s="42">
        <f t="shared" si="91"/>
        <v>0</v>
      </c>
      <c r="AY266" s="116">
        <f t="shared" si="92"/>
        <v>0.7</v>
      </c>
      <c r="AZ266" s="93">
        <f>IF($C266="&lt;01",ROUND(INDEX(EID!$R:$R,MATCH($B266,EID!$B:$B,0))/2,0),ROUND(SUM($O266)+(SUM($AV266)*$AY266),0))</f>
        <v>0</v>
      </c>
      <c r="BA266" s="89">
        <f t="shared" si="93"/>
        <v>0.95</v>
      </c>
      <c r="BB266" s="9">
        <f>IF($C266="&lt;01",ROUND(INDEX(EID!$T:$T,MATCH($B266,EID!$B:$B,0))/2,0),ROUND($AZ266*$BA266,0))</f>
        <v>0</v>
      </c>
      <c r="BC266" s="93">
        <f t="shared" si="94"/>
        <v>0</v>
      </c>
      <c r="BD266" s="90">
        <f t="shared" si="95"/>
        <v>0.95</v>
      </c>
      <c r="BE266" s="42">
        <f>IF($C266="&lt;01",ROUND(INDEX(EID!$V:$V,MATCH($B266,EID!$B:$B,0))/2,0),ROUND($BD266*$BB266,0))</f>
        <v>0</v>
      </c>
      <c r="BF266" s="42">
        <f t="shared" si="96"/>
        <v>0</v>
      </c>
      <c r="BG266" s="116">
        <f t="shared" si="97"/>
        <v>0.95</v>
      </c>
      <c r="BH266" s="9">
        <f>IF($C266="&lt;01",ROUND(INDEX(EID!$L:$L,MATCH($B266,EID!$B:$B,0)),0)/2,IF(SUM($BG266)=0,"",ROUND($AX266/$BG266,0)))</f>
        <v>0</v>
      </c>
    </row>
    <row r="267" spans="1:60" x14ac:dyDescent="0.2">
      <c r="A267" t="str">
        <f>INDEX(Prioritization!$D:$D,MATCH($B267,Prioritization!$A:$A,0))</f>
        <v>1 - Scale-up: Saturation</v>
      </c>
      <c r="B267" t="s">
        <v>211</v>
      </c>
      <c r="C267" t="s">
        <v>315</v>
      </c>
      <c r="D267" t="s">
        <v>29</v>
      </c>
      <c r="E267" t="str">
        <f t="shared" si="76"/>
        <v>Chikwawa District [U8c0so51kT6]|&lt;01|Female</v>
      </c>
      <c r="F267" s="14"/>
      <c r="G267" s="14">
        <v>9</v>
      </c>
      <c r="H267" s="14">
        <v>9</v>
      </c>
      <c r="I267" s="14">
        <v>1</v>
      </c>
      <c r="J267" s="14">
        <v>3</v>
      </c>
      <c r="K267" s="14">
        <v>3</v>
      </c>
      <c r="L267" s="14"/>
      <c r="M267" s="14">
        <v>1</v>
      </c>
      <c r="N267" s="14">
        <v>1</v>
      </c>
      <c r="O267" s="14">
        <f t="shared" si="77"/>
        <v>1</v>
      </c>
      <c r="P267" s="14">
        <v>0</v>
      </c>
      <c r="Q267" s="14">
        <v>0</v>
      </c>
      <c r="R267" s="14">
        <f t="shared" si="78"/>
        <v>0</v>
      </c>
      <c r="S267" s="14">
        <f>IF(LEFT($B267,4)="_Mil","",_xlfn.IFNA(ROUND(INDEX(Spectrum!$N:$N,MATCH(RIGHT($B267,13)&amp;"|"&amp;$C267&amp;"|"&amp;$D267&amp;"|"&amp;S$14&amp;"|"&amp;"CY2022Q4",Spectrum!$R:$R,0)),0),""))</f>
        <v>1847</v>
      </c>
      <c r="T267" s="42">
        <f>IF(LEFT($B267,4)="_Mil","",_xlfn.IFNA(ROUND(INDEX(Spectrum!$N:$N,MATCH(RIGHT($B267,13)&amp;"|"&amp;$C267&amp;"|"&amp;$D267&amp;"|"&amp;T$14&amp;"|"&amp;"CY2023Q3",Spectrum!$R:$R,0)),0),""))</f>
        <v>760</v>
      </c>
      <c r="U267" s="42" t="str">
        <f>IF(LEFT($B267,4)="_Mil","",_xlfn.IFNA(ROUND(INDEX(Spectrum!$N:$N,MATCH(RIGHT($B267,13)&amp;"|"&amp;$C267&amp;"|"&amp;$D267&amp;"|"&amp;U$14&amp;"|"&amp;"CY2023Q3",Spectrum!$R:$R,0)),0),""))</f>
        <v/>
      </c>
      <c r="V267" s="14">
        <f>IF(LEFT($B267,4)="_Mil","",_xlfn.IFNA(ROUND(INDEX(Spectrum!$N:$N,MATCH(RIGHT($B267,13)&amp;"|"&amp;$C267&amp;"|"&amp;$D267&amp;"|"&amp;V$14&amp;"|"&amp;"CY2023Q3",Spectrum!$R:$R,0)),0),""))</f>
        <v>1527</v>
      </c>
      <c r="W267" s="115">
        <f>IF(LEFT($B267,4)="_Mil","",_xlfn.IFNA(INDEX(Spectrum!$N:$N,MATCH(RIGHT($B267,13)&amp;"|"&amp;$C267&amp;"|"&amp;$D267&amp;"|"&amp;W$14&amp;"|"&amp;"CY2023Q3",Spectrum!$R:$R,0)),""))</f>
        <v>990</v>
      </c>
      <c r="X267" s="42">
        <f>IF(LEFT($B267,4)="_Mil","",_xlfn.IFNA(ROUND(INDEX(Spectrum!$N:$N,MATCH(RIGHT($B267,13)&amp;"|"&amp;$C267&amp;"|"&amp;$D267&amp;"|"&amp;X$14&amp;"|"&amp;"CY2023Q3",Spectrum!$R:$R,0)),0),""))</f>
        <v>678</v>
      </c>
      <c r="Y267" s="90" t="str">
        <f t="shared" si="79"/>
        <v/>
      </c>
      <c r="Z267" s="42">
        <f>IF(LEFT($B267,4)="_Mil","",_xlfn.IFNA(ROUND(INDEX(Spectrum!$N:$N,MATCH(RIGHT($B267,13)&amp;"|"&amp;$C267&amp;"|"&amp;$D267&amp;"|"&amp;Z$14&amp;"|"&amp;"CY2023Q3",Spectrum!$R:$R,0)),0),""))</f>
        <v>717</v>
      </c>
      <c r="AA267" s="90">
        <f>IF(LEFT($B267,4)="_Mil","",IFERROR(1/(1/INDEX(Spectrum!$N:$N,MATCH(RIGHT($B267,13)&amp;"|"&amp;$C267&amp;"|"&amp;$D267&amp;"|"&amp;AA$14&amp;"|"&amp;"CY2023Q3",Spectrum!$R:$R,0))),IF(SUM($U267)=0,"",SUM($Z267)/$U267)))</f>
        <v>1666.0000000000002</v>
      </c>
      <c r="AB267" s="90">
        <f t="shared" si="80"/>
        <v>1.0575221238938053</v>
      </c>
      <c r="AC267" s="14">
        <f>IF(LEFT($B267,4)="_Mil","",_xlfn.IFNA(ROUND(INDEX(Spectrum!$N:$N,MATCH(RIGHT($B267,13)&amp;"|"&amp;$C267&amp;"|"&amp;$D267&amp;"|"&amp;AC$14&amp;"|"&amp;"CY2023Q3",Spectrum!$R:$R,0)),0),""))</f>
        <v>1652</v>
      </c>
      <c r="AD267" s="14" t="str">
        <f>IF(LEFT($B267,4)="_Mil","",_xlfn.IFNA(ROUND(INDEX(Spectrum!$N:$N,MATCH(RIGHT($B267,13)&amp;"|"&amp;$C267&amp;"|"&amp;$D267&amp;"|"&amp;AD$14&amp;"|"&amp;"CY2023Q3",Spectrum!$R:$R,0)),0),""))</f>
        <v/>
      </c>
      <c r="AE267" s="90">
        <f t="shared" si="81"/>
        <v>0</v>
      </c>
      <c r="AF267" s="42" t="str">
        <f>IF(LEFT($B267,4)="_Mil","",_xlfn.IFNA(ROUND(INDEX(Spectrum!$N:$N,MATCH(RIGHT($B267,13)&amp;"|"&amp;$C267&amp;"|"&amp;$D267&amp;"|"&amp;AF$14&amp;"|"&amp;"CY2023Q3",Spectrum!$R:$R,0)),0),""))</f>
        <v/>
      </c>
      <c r="AG267" s="90" t="str">
        <f t="shared" si="82"/>
        <v/>
      </c>
      <c r="AH267" s="88" t="str">
        <f>IF(LEFT($B267,4)="_Mil","",_xlfn.IFNA(INDEX(Spectrum!$N:$N,MATCH(RIGHT($B267,13)&amp;"|"&amp;$C267&amp;"|"&amp;$D267&amp;"|"&amp;AH$14&amp;"|"&amp;"CY2023Q3",Spectrum!$R:$R,0)),""))</f>
        <v/>
      </c>
      <c r="AI267" s="14" t="str">
        <f>IF(LEFT($B267,4)="_Mil","",_xlfn.IFNA(ROUND(INDEX(Spectrum!$N:$N,MATCH(RIGHT($B267,13)&amp;"|"&amp;$C267&amp;"|"&amp;$D267&amp;"|"&amp;AI$14&amp;"|"&amp;"CY2023Q3",Spectrum!$R:$R,0)),0),""))</f>
        <v/>
      </c>
      <c r="AJ267" s="42">
        <f>IF(LEFT($B267,4)="_Mil","",_xlfn.IFNA(ROUND(INDEX(Spectrum!$N:$N,MATCH(RIGHT($B267,13)&amp;"|"&amp;$C267&amp;"|"&amp;$D267&amp;"|"&amp;AI$14&amp;"|"&amp;"CY2023Q3",Spectrum!$R:$R,0)),0),SUM($U267)+SUM($AI267)))</f>
        <v>0</v>
      </c>
      <c r="AK267" s="14" t="str">
        <f>IF(LEFT($B267,4)="_Mil","",_xlfn.IFNA(ROUND(INDEX(Spectrum!$N:$N,MATCH(RIGHT($B267,13)&amp;"|"&amp;$C267&amp;"|"&amp;$D267&amp;"|"&amp;AK$14&amp;"|"&amp;"CY2023Q3",Spectrum!$R:$R,0)),0),""))</f>
        <v/>
      </c>
      <c r="AL267" s="90" t="str">
        <f t="shared" si="83"/>
        <v/>
      </c>
      <c r="AM267" s="14" t="str">
        <f t="shared" si="84"/>
        <v/>
      </c>
      <c r="AN267" s="14">
        <f>IF($C267="&lt;01",ROUND(INDEX(EID!$P:$P,MATCH($B267,EID!$B:$B,0))/2,0),"")</f>
        <v>4</v>
      </c>
      <c r="AO267" s="14">
        <f t="shared" si="85"/>
        <v>4</v>
      </c>
      <c r="AP267" s="42">
        <f t="shared" si="86"/>
        <v>4</v>
      </c>
      <c r="AQ267" s="42">
        <f t="shared" si="87"/>
        <v>2868</v>
      </c>
      <c r="AR267" s="90" t="str">
        <f t="shared" si="88"/>
        <v/>
      </c>
      <c r="AS267" s="90" t="str">
        <f t="shared" si="100"/>
        <v/>
      </c>
      <c r="AT267" s="90" t="str">
        <f t="shared" si="100"/>
        <v/>
      </c>
      <c r="AU267" s="14" t="str">
        <f t="shared" si="89"/>
        <v/>
      </c>
      <c r="AV267" s="14">
        <f>IF($C267="&lt;01",ROUND(INDEX(EID!$N:$N,MATCH($B267,EID!$B:$B,0))/2,0),IF(SUM($AT267)=0,"",ROUND((SUM($AP267)-(SUM($O267)*SUM($AS267)))/$AT267,0)))</f>
        <v>4</v>
      </c>
      <c r="AW267" s="90" t="str">
        <f t="shared" si="90"/>
        <v/>
      </c>
      <c r="AX267" s="42">
        <f t="shared" si="91"/>
        <v>4</v>
      </c>
      <c r="AY267" s="116" t="str">
        <f t="shared" si="92"/>
        <v/>
      </c>
      <c r="AZ267" s="93">
        <f>IF($C267="&lt;01",ROUND(INDEX(EID!$R:$R,MATCH($B267,EID!$B:$B,0))/2,0),ROUND(SUM($O267)+(SUM($AV267)*$AY267),0))</f>
        <v>3</v>
      </c>
      <c r="BA267" s="89" t="str">
        <f t="shared" si="93"/>
        <v/>
      </c>
      <c r="BB267" s="9">
        <f>IF($C267="&lt;01",ROUND(INDEX(EID!$T:$T,MATCH($B267,EID!$B:$B,0))/2,0),ROUND($AZ267*$BA267,0))</f>
        <v>3</v>
      </c>
      <c r="BC267" s="93">
        <f t="shared" si="94"/>
        <v>2151</v>
      </c>
      <c r="BD267" s="90" t="str">
        <f t="shared" si="95"/>
        <v/>
      </c>
      <c r="BE267" s="42">
        <f>IF($C267="&lt;01",ROUND(INDEX(EID!$V:$V,MATCH($B267,EID!$B:$B,0))/2,0),ROUND($BD267*$BB267,0))</f>
        <v>3</v>
      </c>
      <c r="BF267" s="42">
        <f t="shared" si="96"/>
        <v>2151</v>
      </c>
      <c r="BG267" s="116" t="str">
        <f t="shared" si="97"/>
        <v/>
      </c>
      <c r="BH267" s="9">
        <f>IF($C267="&lt;01",ROUND(INDEX(EID!$L:$L,MATCH($B267,EID!$B:$B,0)),0)/2,IF(SUM($BG267)=0,"",ROUND($AX267/$BG267,0)))</f>
        <v>3.5</v>
      </c>
    </row>
    <row r="268" spans="1:60" x14ac:dyDescent="0.2">
      <c r="A268" t="str">
        <f>INDEX(Prioritization!$D:$D,MATCH($B268,Prioritization!$A:$A,0))</f>
        <v>1 - Scale-up: Saturation</v>
      </c>
      <c r="B268" t="s">
        <v>211</v>
      </c>
      <c r="C268" t="s">
        <v>315</v>
      </c>
      <c r="D268" t="s">
        <v>47</v>
      </c>
      <c r="E268" t="str">
        <f t="shared" si="76"/>
        <v>Chikwawa District [U8c0so51kT6]|&lt;01|Male</v>
      </c>
      <c r="F268" s="14"/>
      <c r="G268" s="14">
        <v>7</v>
      </c>
      <c r="H268" s="14">
        <v>6</v>
      </c>
      <c r="I268" s="14">
        <v>5</v>
      </c>
      <c r="J268" s="14">
        <v>1</v>
      </c>
      <c r="K268" s="14">
        <v>1</v>
      </c>
      <c r="L268" s="14"/>
      <c r="M268" s="14">
        <v>0</v>
      </c>
      <c r="N268" s="14">
        <v>0</v>
      </c>
      <c r="O268" s="14">
        <f t="shared" si="77"/>
        <v>5</v>
      </c>
      <c r="P268" s="14">
        <v>0</v>
      </c>
      <c r="Q268" s="14">
        <v>0</v>
      </c>
      <c r="R268" s="14">
        <f t="shared" si="78"/>
        <v>0</v>
      </c>
      <c r="S268" s="14">
        <f>IF(LEFT($B268,4)="_Mil","",_xlfn.IFNA(ROUND(INDEX(Spectrum!$N:$N,MATCH(RIGHT($B268,13)&amp;"|"&amp;$C268&amp;"|"&amp;$D268&amp;"|"&amp;S$14&amp;"|"&amp;"CY2022Q4",Spectrum!$R:$R,0)),0),""))</f>
        <v>1893</v>
      </c>
      <c r="T268" s="42">
        <f>IF(LEFT($B268,4)="_Mil","",_xlfn.IFNA(ROUND(INDEX(Spectrum!$N:$N,MATCH(RIGHT($B268,13)&amp;"|"&amp;$C268&amp;"|"&amp;$D268&amp;"|"&amp;T$14&amp;"|"&amp;"CY2023Q3",Spectrum!$R:$R,0)),0),""))</f>
        <v>1907</v>
      </c>
      <c r="U268" s="42" t="str">
        <f>IF(LEFT($B268,4)="_Mil","",_xlfn.IFNA(ROUND(INDEX(Spectrum!$N:$N,MATCH(RIGHT($B268,13)&amp;"|"&amp;$C268&amp;"|"&amp;$D268&amp;"|"&amp;U$14&amp;"|"&amp;"CY2023Q3",Spectrum!$R:$R,0)),0),""))</f>
        <v/>
      </c>
      <c r="V268" s="14">
        <f>IF(LEFT($B268,4)="_Mil","",_xlfn.IFNA(ROUND(INDEX(Spectrum!$N:$N,MATCH(RIGHT($B268,13)&amp;"|"&amp;$C268&amp;"|"&amp;$D268&amp;"|"&amp;V$14&amp;"|"&amp;"CY2023Q3",Spectrum!$R:$R,0)),0),""))</f>
        <v>1142</v>
      </c>
      <c r="W268" s="115">
        <f>IF(LEFT($B268,4)="_Mil","",_xlfn.IFNA(INDEX(Spectrum!$N:$N,MATCH(RIGHT($B268,13)&amp;"|"&amp;$C268&amp;"|"&amp;$D268&amp;"|"&amp;W$14&amp;"|"&amp;"CY2023Q3",Spectrum!$R:$R,0)),""))</f>
        <v>1443</v>
      </c>
      <c r="X268" s="42">
        <f>IF(LEFT($B268,4)="_Mil","",_xlfn.IFNA(ROUND(INDEX(Spectrum!$N:$N,MATCH(RIGHT($B268,13)&amp;"|"&amp;$C268&amp;"|"&amp;$D268&amp;"|"&amp;X$14&amp;"|"&amp;"CY2023Q3",Spectrum!$R:$R,0)),0),""))</f>
        <v>1250</v>
      </c>
      <c r="Y268" s="90" t="str">
        <f t="shared" si="79"/>
        <v/>
      </c>
      <c r="Z268" s="42">
        <f>IF(LEFT($B268,4)="_Mil","",_xlfn.IFNA(ROUND(INDEX(Spectrum!$N:$N,MATCH(RIGHT($B268,13)&amp;"|"&amp;$C268&amp;"|"&amp;$D268&amp;"|"&amp;Z$14&amp;"|"&amp;"CY2023Q3",Spectrum!$R:$R,0)),0),""))</f>
        <v>1675</v>
      </c>
      <c r="AA268" s="90">
        <f>IF(LEFT($B268,4)="_Mil","",IFERROR(1/(1/INDEX(Spectrum!$N:$N,MATCH(RIGHT($B268,13)&amp;"|"&amp;$C268&amp;"|"&amp;$D268&amp;"|"&amp;AA$14&amp;"|"&amp;"CY2023Q3",Spectrum!$R:$R,0))),IF(SUM($U268)=0,"",SUM($Z268)/$U268)))</f>
        <v>1378</v>
      </c>
      <c r="AB268" s="90">
        <f t="shared" si="80"/>
        <v>1.34</v>
      </c>
      <c r="AC268" s="14">
        <f>IF(LEFT($B268,4)="_Mil","",_xlfn.IFNA(ROUND(INDEX(Spectrum!$N:$N,MATCH(RIGHT($B268,13)&amp;"|"&amp;$C268&amp;"|"&amp;$D268&amp;"|"&amp;AC$14&amp;"|"&amp;"CY2023Q3",Spectrum!$R:$R,0)),0),""))</f>
        <v>847</v>
      </c>
      <c r="AD268" s="14" t="str">
        <f>IF(LEFT($B268,4)="_Mil","",_xlfn.IFNA(ROUND(INDEX(Spectrum!$N:$N,MATCH(RIGHT($B268,13)&amp;"|"&amp;$C268&amp;"|"&amp;$D268&amp;"|"&amp;AD$14&amp;"|"&amp;"CY2023Q3",Spectrum!$R:$R,0)),0),""))</f>
        <v/>
      </c>
      <c r="AE268" s="90">
        <f t="shared" si="81"/>
        <v>0</v>
      </c>
      <c r="AF268" s="42" t="str">
        <f>IF(LEFT($B268,4)="_Mil","",_xlfn.IFNA(ROUND(INDEX(Spectrum!$N:$N,MATCH(RIGHT($B268,13)&amp;"|"&amp;$C268&amp;"|"&amp;$D268&amp;"|"&amp;AF$14&amp;"|"&amp;"CY2023Q3",Spectrum!$R:$R,0)),0),""))</f>
        <v/>
      </c>
      <c r="AG268" s="90" t="str">
        <f t="shared" si="82"/>
        <v/>
      </c>
      <c r="AH268" s="88" t="str">
        <f>IF(LEFT($B268,4)="_Mil","",_xlfn.IFNA(INDEX(Spectrum!$N:$N,MATCH(RIGHT($B268,13)&amp;"|"&amp;$C268&amp;"|"&amp;$D268&amp;"|"&amp;AH$14&amp;"|"&amp;"CY2023Q3",Spectrum!$R:$R,0)),""))</f>
        <v/>
      </c>
      <c r="AI268" s="14" t="str">
        <f>IF(LEFT($B268,4)="_Mil","",_xlfn.IFNA(ROUND(INDEX(Spectrum!$N:$N,MATCH(RIGHT($B268,13)&amp;"|"&amp;$C268&amp;"|"&amp;$D268&amp;"|"&amp;AI$14&amp;"|"&amp;"CY2023Q3",Spectrum!$R:$R,0)),0),""))</f>
        <v/>
      </c>
      <c r="AJ268" s="42">
        <f>IF(LEFT($B268,4)="_Mil","",_xlfn.IFNA(ROUND(INDEX(Spectrum!$N:$N,MATCH(RIGHT($B268,13)&amp;"|"&amp;$C268&amp;"|"&amp;$D268&amp;"|"&amp;AI$14&amp;"|"&amp;"CY2023Q3",Spectrum!$R:$R,0)),0),SUM($U268)+SUM($AI268)))</f>
        <v>0</v>
      </c>
      <c r="AK268" s="14" t="str">
        <f>IF(LEFT($B268,4)="_Mil","",_xlfn.IFNA(ROUND(INDEX(Spectrum!$N:$N,MATCH(RIGHT($B268,13)&amp;"|"&amp;$C268&amp;"|"&amp;$D268&amp;"|"&amp;AK$14&amp;"|"&amp;"CY2023Q3",Spectrum!$R:$R,0)),0),""))</f>
        <v/>
      </c>
      <c r="AL268" s="90" t="str">
        <f t="shared" si="83"/>
        <v/>
      </c>
      <c r="AM268" s="14" t="str">
        <f t="shared" si="84"/>
        <v/>
      </c>
      <c r="AN268" s="14">
        <f>IF($C268="&lt;01",ROUND(INDEX(EID!$P:$P,MATCH($B268,EID!$B:$B,0))/2,0),"")</f>
        <v>4</v>
      </c>
      <c r="AO268" s="14">
        <f t="shared" si="85"/>
        <v>4</v>
      </c>
      <c r="AP268" s="42">
        <f t="shared" si="86"/>
        <v>4</v>
      </c>
      <c r="AQ268" s="42">
        <f t="shared" si="87"/>
        <v>1340</v>
      </c>
      <c r="AR268" s="90" t="str">
        <f t="shared" si="88"/>
        <v/>
      </c>
      <c r="AS268" s="90" t="str">
        <f t="shared" si="100"/>
        <v/>
      </c>
      <c r="AT268" s="90" t="str">
        <f t="shared" si="100"/>
        <v/>
      </c>
      <c r="AU268" s="14" t="str">
        <f t="shared" si="89"/>
        <v/>
      </c>
      <c r="AV268" s="14">
        <f>IF($C268="&lt;01",ROUND(INDEX(EID!$N:$N,MATCH($B268,EID!$B:$B,0))/2,0),IF(SUM($AT268)=0,"",ROUND((SUM($AP268)-(SUM($O268)*SUM($AS268)))/$AT268,0)))</f>
        <v>4</v>
      </c>
      <c r="AW268" s="90" t="str">
        <f t="shared" si="90"/>
        <v/>
      </c>
      <c r="AX268" s="42">
        <f t="shared" si="91"/>
        <v>4</v>
      </c>
      <c r="AY268" s="116" t="str">
        <f t="shared" si="92"/>
        <v/>
      </c>
      <c r="AZ268" s="93">
        <f>IF($C268="&lt;01",ROUND(INDEX(EID!$R:$R,MATCH($B268,EID!$B:$B,0))/2,0),ROUND(SUM($O268)+(SUM($AV268)*$AY268),0))</f>
        <v>3</v>
      </c>
      <c r="BA268" s="89" t="str">
        <f t="shared" si="93"/>
        <v/>
      </c>
      <c r="BB268" s="9">
        <f>IF($C268="&lt;01",ROUND(INDEX(EID!$T:$T,MATCH($B268,EID!$B:$B,0))/2,0),ROUND($AZ268*$BA268,0))</f>
        <v>3</v>
      </c>
      <c r="BC268" s="93">
        <f t="shared" si="94"/>
        <v>1005</v>
      </c>
      <c r="BD268" s="90" t="str">
        <f t="shared" si="95"/>
        <v/>
      </c>
      <c r="BE268" s="42">
        <f>IF($C268="&lt;01",ROUND(INDEX(EID!$V:$V,MATCH($B268,EID!$B:$B,0))/2,0),ROUND($BD268*$BB268,0))</f>
        <v>3</v>
      </c>
      <c r="BF268" s="42">
        <f t="shared" si="96"/>
        <v>1005</v>
      </c>
      <c r="BG268" s="116" t="str">
        <f t="shared" si="97"/>
        <v/>
      </c>
      <c r="BH268" s="9">
        <f>IF($C268="&lt;01",ROUND(INDEX(EID!$L:$L,MATCH($B268,EID!$B:$B,0)),0)/2,IF(SUM($BG268)=0,"",ROUND($AX268/$BG268,0)))</f>
        <v>3.5</v>
      </c>
    </row>
    <row r="269" spans="1:60" x14ac:dyDescent="0.2">
      <c r="A269" t="str">
        <f>INDEX(Prioritization!$D:$D,MATCH($B269,Prioritization!$A:$A,0))</f>
        <v>1 - Scale-up: Saturation</v>
      </c>
      <c r="B269" t="s">
        <v>211</v>
      </c>
      <c r="C269" t="s">
        <v>362</v>
      </c>
      <c r="D269" t="s">
        <v>29</v>
      </c>
      <c r="E269" t="str">
        <f t="shared" si="76"/>
        <v>Chikwawa District [U8c0so51kT6]|01-09|Female</v>
      </c>
      <c r="F269" s="14"/>
      <c r="G269" s="14"/>
      <c r="H269" s="14"/>
      <c r="I269" s="14"/>
      <c r="J269" s="14"/>
      <c r="K269" s="14"/>
      <c r="L269" s="14"/>
      <c r="M269" s="14"/>
      <c r="N269" s="14"/>
      <c r="O269" s="14" t="str">
        <f t="shared" si="77"/>
        <v/>
      </c>
      <c r="P269" s="14"/>
      <c r="Q269" s="14"/>
      <c r="R269" s="14" t="str">
        <f t="shared" si="78"/>
        <v/>
      </c>
      <c r="S269" s="14">
        <f>IF(LEFT($B269,4)="_Mil","",_xlfn.IFNA(ROUND(INDEX(Spectrum!$N:$N,MATCH(RIGHT($B269,13)&amp;"|"&amp;$C269&amp;"|"&amp;$D269&amp;"|"&amp;S$14&amp;"|"&amp;"CY2022Q4",Spectrum!$R:$R,0)),0),""))</f>
        <v>804</v>
      </c>
      <c r="T269" s="42">
        <f>IF(LEFT($B269,4)="_Mil","",_xlfn.IFNA(ROUND(INDEX(Spectrum!$N:$N,MATCH(RIGHT($B269,13)&amp;"|"&amp;$C269&amp;"|"&amp;$D269&amp;"|"&amp;T$14&amp;"|"&amp;"CY2023Q3",Spectrum!$R:$R,0)),0),""))</f>
        <v>978</v>
      </c>
      <c r="U269" s="42" t="str">
        <f>IF(LEFT($B269,4)="_Mil","",_xlfn.IFNA(ROUND(INDEX(Spectrum!$N:$N,MATCH(RIGHT($B269,13)&amp;"|"&amp;$C269&amp;"|"&amp;$D269&amp;"|"&amp;U$14&amp;"|"&amp;"CY2023Q3",Spectrum!$R:$R,0)),0),""))</f>
        <v/>
      </c>
      <c r="V269" s="14">
        <f>IF(LEFT($B269,4)="_Mil","",_xlfn.IFNA(ROUND(INDEX(Spectrum!$N:$N,MATCH(RIGHT($B269,13)&amp;"|"&amp;$C269&amp;"|"&amp;$D269&amp;"|"&amp;V$14&amp;"|"&amp;"CY2023Q3",Spectrum!$R:$R,0)),0),""))</f>
        <v>1205</v>
      </c>
      <c r="W269" s="115">
        <f>IF(LEFT($B269,4)="_Mil","",_xlfn.IFNA(INDEX(Spectrum!$N:$N,MATCH(RIGHT($B269,13)&amp;"|"&amp;$C269&amp;"|"&amp;$D269&amp;"|"&amp;W$14&amp;"|"&amp;"CY2023Q3",Spectrum!$R:$R,0)),""))</f>
        <v>553</v>
      </c>
      <c r="X269" s="42">
        <f>IF(LEFT($B269,4)="_Mil","",_xlfn.IFNA(ROUND(INDEX(Spectrum!$N:$N,MATCH(RIGHT($B269,13)&amp;"|"&amp;$C269&amp;"|"&amp;$D269&amp;"|"&amp;X$14&amp;"|"&amp;"CY2023Q3",Spectrum!$R:$R,0)),0),""))</f>
        <v>533</v>
      </c>
      <c r="Y269" s="90" t="str">
        <f t="shared" si="79"/>
        <v/>
      </c>
      <c r="Z269" s="42">
        <f>IF(LEFT($B269,4)="_Mil","",_xlfn.IFNA(ROUND(INDEX(Spectrum!$N:$N,MATCH(RIGHT($B269,13)&amp;"|"&amp;$C269&amp;"|"&amp;$D269&amp;"|"&amp;Z$14&amp;"|"&amp;"CY2023Q3",Spectrum!$R:$R,0)),0),""))</f>
        <v>1659</v>
      </c>
      <c r="AA269" s="90">
        <f>IF(LEFT($B269,4)="_Mil","",IFERROR(1/(1/INDEX(Spectrum!$N:$N,MATCH(RIGHT($B269,13)&amp;"|"&amp;$C269&amp;"|"&amp;$D269&amp;"|"&amp;AA$14&amp;"|"&amp;"CY2023Q3",Spectrum!$R:$R,0))),IF(SUM($U269)=0,"",SUM($Z269)/$U269)))</f>
        <v>1437</v>
      </c>
      <c r="AB269" s="90">
        <f t="shared" si="80"/>
        <v>3.1125703564727956</v>
      </c>
      <c r="AC269" s="14">
        <f>IF(LEFT($B269,4)="_Mil","",_xlfn.IFNA(ROUND(INDEX(Spectrum!$N:$N,MATCH(RIGHT($B269,13)&amp;"|"&amp;$C269&amp;"|"&amp;$D269&amp;"|"&amp;AC$14&amp;"|"&amp;"CY2023Q3",Spectrum!$R:$R,0)),0),""))</f>
        <v>582</v>
      </c>
      <c r="AD269" s="14" t="str">
        <f>IF(LEFT($B269,4)="_Mil","",_xlfn.IFNA(ROUND(INDEX(Spectrum!$N:$N,MATCH(RIGHT($B269,13)&amp;"|"&amp;$C269&amp;"|"&amp;$D269&amp;"|"&amp;AD$14&amp;"|"&amp;"CY2023Q3",Spectrum!$R:$R,0)),0),""))</f>
        <v/>
      </c>
      <c r="AE269" s="90">
        <f t="shared" si="81"/>
        <v>0</v>
      </c>
      <c r="AF269" s="42" t="str">
        <f>IF(LEFT($B269,4)="_Mil","",_xlfn.IFNA(ROUND(INDEX(Spectrum!$N:$N,MATCH(RIGHT($B269,13)&amp;"|"&amp;$C269&amp;"|"&amp;$D269&amp;"|"&amp;AF$14&amp;"|"&amp;"CY2023Q3",Spectrum!$R:$R,0)),0),""))</f>
        <v/>
      </c>
      <c r="AG269" s="90" t="str">
        <f t="shared" si="82"/>
        <v/>
      </c>
      <c r="AH269" s="88" t="str">
        <f>IF(LEFT($B269,4)="_Mil","",_xlfn.IFNA(INDEX(Spectrum!$N:$N,MATCH(RIGHT($B269,13)&amp;"|"&amp;$C269&amp;"|"&amp;$D269&amp;"|"&amp;AH$14&amp;"|"&amp;"CY2023Q3",Spectrum!$R:$R,0)),""))</f>
        <v/>
      </c>
      <c r="AI269" s="14" t="str">
        <f>IF(LEFT($B269,4)="_Mil","",_xlfn.IFNA(ROUND(INDEX(Spectrum!$N:$N,MATCH(RIGHT($B269,13)&amp;"|"&amp;$C269&amp;"|"&amp;$D269&amp;"|"&amp;AI$14&amp;"|"&amp;"CY2023Q3",Spectrum!$R:$R,0)),0),""))</f>
        <v/>
      </c>
      <c r="AJ269" s="42">
        <f>IF(LEFT($B269,4)="_Mil","",_xlfn.IFNA(ROUND(INDEX(Spectrum!$N:$N,MATCH(RIGHT($B269,13)&amp;"|"&amp;$C269&amp;"|"&amp;$D269&amp;"|"&amp;AI$14&amp;"|"&amp;"CY2023Q3",Spectrum!$R:$R,0)),0),SUM($U269)+SUM($AI269)))</f>
        <v>0</v>
      </c>
      <c r="AK269" s="14" t="str">
        <f>IF(LEFT($B269,4)="_Mil","",_xlfn.IFNA(ROUND(INDEX(Spectrum!$N:$N,MATCH(RIGHT($B269,13)&amp;"|"&amp;$C269&amp;"|"&amp;$D269&amp;"|"&amp;AK$14&amp;"|"&amp;"CY2023Q3",Spectrum!$R:$R,0)),0),""))</f>
        <v/>
      </c>
      <c r="AL269" s="90">
        <f t="shared" si="83"/>
        <v>1437</v>
      </c>
      <c r="AM269" s="14">
        <f t="shared" si="84"/>
        <v>0</v>
      </c>
      <c r="AN269" s="14" t="str">
        <f>IF($C269="&lt;01",ROUND(INDEX(EID!$P:$P,MATCH($B269,EID!$B:$B,0))/2,0),"")</f>
        <v/>
      </c>
      <c r="AO269" s="14">
        <f t="shared" si="85"/>
        <v>0</v>
      </c>
      <c r="AP269" s="42">
        <f t="shared" si="86"/>
        <v>0</v>
      </c>
      <c r="AQ269" s="42">
        <f t="shared" si="87"/>
        <v>1659</v>
      </c>
      <c r="AR269" s="90" t="str">
        <f t="shared" si="88"/>
        <v/>
      </c>
      <c r="AS269" s="90">
        <f t="shared" si="100"/>
        <v>0.98</v>
      </c>
      <c r="AT269" s="90">
        <f t="shared" si="100"/>
        <v>0.98</v>
      </c>
      <c r="AU269" s="14">
        <f t="shared" si="89"/>
        <v>0</v>
      </c>
      <c r="AV269" s="14">
        <f>IF($C269="&lt;01",ROUND(INDEX(EID!$N:$N,MATCH($B269,EID!$B:$B,0))/2,0),IF(SUM($AT269)=0,"",ROUND((SUM($AP269)-(SUM($O269)*SUM($AS269)))/$AT269,0)))</f>
        <v>0</v>
      </c>
      <c r="AW269" s="90">
        <f t="shared" si="90"/>
        <v>1</v>
      </c>
      <c r="AX269" s="42">
        <f t="shared" si="91"/>
        <v>0</v>
      </c>
      <c r="AY269" s="116">
        <f t="shared" si="92"/>
        <v>0.7</v>
      </c>
      <c r="AZ269" s="93">
        <f>IF($C269="&lt;01",ROUND(INDEX(EID!$R:$R,MATCH($B269,EID!$B:$B,0))/2,0),ROUND(SUM($O269)+(SUM($AV269)*$AY269),0))</f>
        <v>0</v>
      </c>
      <c r="BA269" s="89">
        <f t="shared" si="93"/>
        <v>0.95</v>
      </c>
      <c r="BB269" s="9">
        <f>IF($C269="&lt;01",ROUND(INDEX(EID!$T:$T,MATCH($B269,EID!$B:$B,0))/2,0),ROUND($AZ269*$BA269,0))</f>
        <v>0</v>
      </c>
      <c r="BC269" s="93">
        <f t="shared" si="94"/>
        <v>0</v>
      </c>
      <c r="BD269" s="90">
        <f t="shared" si="95"/>
        <v>0.95</v>
      </c>
      <c r="BE269" s="42">
        <f>IF($C269="&lt;01",ROUND(INDEX(EID!$V:$V,MATCH($B269,EID!$B:$B,0))/2,0),ROUND($BD269*$BB269,0))</f>
        <v>0</v>
      </c>
      <c r="BF269" s="42">
        <f t="shared" si="96"/>
        <v>0</v>
      </c>
      <c r="BG269" s="116">
        <f t="shared" si="97"/>
        <v>0.95</v>
      </c>
      <c r="BH269" s="9">
        <f>IF($C269="&lt;01",ROUND(INDEX(EID!$L:$L,MATCH($B269,EID!$B:$B,0)),0)/2,IF(SUM($BG269)=0,"",ROUND($AX269/$BG269,0)))</f>
        <v>0</v>
      </c>
    </row>
    <row r="270" spans="1:60" x14ac:dyDescent="0.2">
      <c r="A270" t="str">
        <f>INDEX(Prioritization!$D:$D,MATCH($B270,Prioritization!$A:$A,0))</f>
        <v>1 - Scale-up: Saturation</v>
      </c>
      <c r="B270" t="s">
        <v>211</v>
      </c>
      <c r="C270" t="s">
        <v>362</v>
      </c>
      <c r="D270" t="s">
        <v>47</v>
      </c>
      <c r="E270" t="str">
        <f t="shared" si="76"/>
        <v>Chikwawa District [U8c0so51kT6]|01-09|Male</v>
      </c>
      <c r="F270" s="14"/>
      <c r="G270" s="14"/>
      <c r="H270" s="14"/>
      <c r="I270" s="14"/>
      <c r="J270" s="14"/>
      <c r="K270" s="14"/>
      <c r="L270" s="14"/>
      <c r="M270" s="14"/>
      <c r="N270" s="14"/>
      <c r="O270" s="14" t="str">
        <f t="shared" si="77"/>
        <v/>
      </c>
      <c r="P270" s="14"/>
      <c r="Q270" s="14"/>
      <c r="R270" s="14" t="str">
        <f t="shared" si="78"/>
        <v/>
      </c>
      <c r="S270" s="14">
        <f>IF(LEFT($B270,4)="_Mil","",_xlfn.IFNA(ROUND(INDEX(Spectrum!$N:$N,MATCH(RIGHT($B270,13)&amp;"|"&amp;$C270&amp;"|"&amp;$D270&amp;"|"&amp;S$14&amp;"|"&amp;"CY2022Q4",Spectrum!$R:$R,0)),0),""))</f>
        <v>929</v>
      </c>
      <c r="T270" s="42">
        <f>IF(LEFT($B270,4)="_Mil","",_xlfn.IFNA(ROUND(INDEX(Spectrum!$N:$N,MATCH(RIGHT($B270,13)&amp;"|"&amp;$C270&amp;"|"&amp;$D270&amp;"|"&amp;T$14&amp;"|"&amp;"CY2023Q3",Spectrum!$R:$R,0)),0),""))</f>
        <v>1337</v>
      </c>
      <c r="U270" s="42" t="str">
        <f>IF(LEFT($B270,4)="_Mil","",_xlfn.IFNA(ROUND(INDEX(Spectrum!$N:$N,MATCH(RIGHT($B270,13)&amp;"|"&amp;$C270&amp;"|"&amp;$D270&amp;"|"&amp;U$14&amp;"|"&amp;"CY2023Q3",Spectrum!$R:$R,0)),0),""))</f>
        <v/>
      </c>
      <c r="V270" s="14">
        <f>IF(LEFT($B270,4)="_Mil","",_xlfn.IFNA(ROUND(INDEX(Spectrum!$N:$N,MATCH(RIGHT($B270,13)&amp;"|"&amp;$C270&amp;"|"&amp;$D270&amp;"|"&amp;V$14&amp;"|"&amp;"CY2023Q3",Spectrum!$R:$R,0)),0),""))</f>
        <v>715</v>
      </c>
      <c r="W270" s="115">
        <f>IF(LEFT($B270,4)="_Mil","",_xlfn.IFNA(INDEX(Spectrum!$N:$N,MATCH(RIGHT($B270,13)&amp;"|"&amp;$C270&amp;"|"&amp;$D270&amp;"|"&amp;W$14&amp;"|"&amp;"CY2023Q3",Spectrum!$R:$R,0)),""))</f>
        <v>892</v>
      </c>
      <c r="X270" s="42">
        <f>IF(LEFT($B270,4)="_Mil","",_xlfn.IFNA(ROUND(INDEX(Spectrum!$N:$N,MATCH(RIGHT($B270,13)&amp;"|"&amp;$C270&amp;"|"&amp;$D270&amp;"|"&amp;X$14&amp;"|"&amp;"CY2023Q3",Spectrum!$R:$R,0)),0),""))</f>
        <v>716</v>
      </c>
      <c r="Y270" s="90" t="str">
        <f t="shared" si="79"/>
        <v/>
      </c>
      <c r="Z270" s="42">
        <f>IF(LEFT($B270,4)="_Mil","",_xlfn.IFNA(ROUND(INDEX(Spectrum!$N:$N,MATCH(RIGHT($B270,13)&amp;"|"&amp;$C270&amp;"|"&amp;$D270&amp;"|"&amp;Z$14&amp;"|"&amp;"CY2023Q3",Spectrum!$R:$R,0)),0),""))</f>
        <v>1275</v>
      </c>
      <c r="AA270" s="90">
        <f>IF(LEFT($B270,4)="_Mil","",IFERROR(1/(1/INDEX(Spectrum!$N:$N,MATCH(RIGHT($B270,13)&amp;"|"&amp;$C270&amp;"|"&amp;$D270&amp;"|"&amp;AA$14&amp;"|"&amp;"CY2023Q3",Spectrum!$R:$R,0))),IF(SUM($U270)=0,"",SUM($Z270)/$U270)))</f>
        <v>522</v>
      </c>
      <c r="AB270" s="90">
        <f t="shared" si="80"/>
        <v>1.7807262569832403</v>
      </c>
      <c r="AC270" s="14">
        <f>IF(LEFT($B270,4)="_Mil","",_xlfn.IFNA(ROUND(INDEX(Spectrum!$N:$N,MATCH(RIGHT($B270,13)&amp;"|"&amp;$C270&amp;"|"&amp;$D270&amp;"|"&amp;AC$14&amp;"|"&amp;"CY2023Q3",Spectrum!$R:$R,0)),0),""))</f>
        <v>1217</v>
      </c>
      <c r="AD270" s="14" t="str">
        <f>IF(LEFT($B270,4)="_Mil","",_xlfn.IFNA(ROUND(INDEX(Spectrum!$N:$N,MATCH(RIGHT($B270,13)&amp;"|"&amp;$C270&amp;"|"&amp;$D270&amp;"|"&amp;AD$14&amp;"|"&amp;"CY2023Q3",Spectrum!$R:$R,0)),0),""))</f>
        <v/>
      </c>
      <c r="AE270" s="90">
        <f t="shared" si="81"/>
        <v>0</v>
      </c>
      <c r="AF270" s="42" t="str">
        <f>IF(LEFT($B270,4)="_Mil","",_xlfn.IFNA(ROUND(INDEX(Spectrum!$N:$N,MATCH(RIGHT($B270,13)&amp;"|"&amp;$C270&amp;"|"&amp;$D270&amp;"|"&amp;AF$14&amp;"|"&amp;"CY2023Q3",Spectrum!$R:$R,0)),0),""))</f>
        <v/>
      </c>
      <c r="AG270" s="90" t="str">
        <f t="shared" si="82"/>
        <v/>
      </c>
      <c r="AH270" s="88" t="str">
        <f>IF(LEFT($B270,4)="_Mil","",_xlfn.IFNA(INDEX(Spectrum!$N:$N,MATCH(RIGHT($B270,13)&amp;"|"&amp;$C270&amp;"|"&amp;$D270&amp;"|"&amp;AH$14&amp;"|"&amp;"CY2023Q3",Spectrum!$R:$R,0)),""))</f>
        <v/>
      </c>
      <c r="AI270" s="14" t="str">
        <f>IF(LEFT($B270,4)="_Mil","",_xlfn.IFNA(ROUND(INDEX(Spectrum!$N:$N,MATCH(RIGHT($B270,13)&amp;"|"&amp;$C270&amp;"|"&amp;$D270&amp;"|"&amp;AI$14&amp;"|"&amp;"CY2023Q3",Spectrum!$R:$R,0)),0),""))</f>
        <v/>
      </c>
      <c r="AJ270" s="42">
        <f>IF(LEFT($B270,4)="_Mil","",_xlfn.IFNA(ROUND(INDEX(Spectrum!$N:$N,MATCH(RIGHT($B270,13)&amp;"|"&amp;$C270&amp;"|"&amp;$D270&amp;"|"&amp;AI$14&amp;"|"&amp;"CY2023Q3",Spectrum!$R:$R,0)),0),SUM($U270)+SUM($AI270)))</f>
        <v>0</v>
      </c>
      <c r="AK270" s="14" t="str">
        <f>IF(LEFT($B270,4)="_Mil","",_xlfn.IFNA(ROUND(INDEX(Spectrum!$N:$N,MATCH(RIGHT($B270,13)&amp;"|"&amp;$C270&amp;"|"&amp;$D270&amp;"|"&amp;AK$14&amp;"|"&amp;"CY2023Q3",Spectrum!$R:$R,0)),0),""))</f>
        <v/>
      </c>
      <c r="AL270" s="90">
        <f t="shared" si="83"/>
        <v>522</v>
      </c>
      <c r="AM270" s="14">
        <f t="shared" si="84"/>
        <v>0</v>
      </c>
      <c r="AN270" s="14" t="str">
        <f>IF($C270="&lt;01",ROUND(INDEX(EID!$P:$P,MATCH($B270,EID!$B:$B,0))/2,0),"")</f>
        <v/>
      </c>
      <c r="AO270" s="14">
        <f t="shared" si="85"/>
        <v>0</v>
      </c>
      <c r="AP270" s="42">
        <f t="shared" si="86"/>
        <v>0</v>
      </c>
      <c r="AQ270" s="42">
        <f t="shared" si="87"/>
        <v>1275</v>
      </c>
      <c r="AR270" s="90" t="str">
        <f t="shared" si="88"/>
        <v/>
      </c>
      <c r="AS270" s="90">
        <f t="shared" si="100"/>
        <v>0.98</v>
      </c>
      <c r="AT270" s="90">
        <f t="shared" si="100"/>
        <v>0.98</v>
      </c>
      <c r="AU270" s="14">
        <f t="shared" si="89"/>
        <v>0</v>
      </c>
      <c r="AV270" s="14">
        <f>IF($C270="&lt;01",ROUND(INDEX(EID!$N:$N,MATCH($B270,EID!$B:$B,0))/2,0),IF(SUM($AT270)=0,"",ROUND((SUM($AP270)-(SUM($O270)*SUM($AS270)))/$AT270,0)))</f>
        <v>0</v>
      </c>
      <c r="AW270" s="90">
        <f t="shared" si="90"/>
        <v>1</v>
      </c>
      <c r="AX270" s="42">
        <f t="shared" si="91"/>
        <v>0</v>
      </c>
      <c r="AY270" s="116">
        <f t="shared" si="92"/>
        <v>0.7</v>
      </c>
      <c r="AZ270" s="93">
        <f>IF($C270="&lt;01",ROUND(INDEX(EID!$R:$R,MATCH($B270,EID!$B:$B,0))/2,0),ROUND(SUM($O270)+(SUM($AV270)*$AY270),0))</f>
        <v>0</v>
      </c>
      <c r="BA270" s="89">
        <f t="shared" si="93"/>
        <v>0.95</v>
      </c>
      <c r="BB270" s="9">
        <f>IF($C270="&lt;01",ROUND(INDEX(EID!$T:$T,MATCH($B270,EID!$B:$B,0))/2,0),ROUND($AZ270*$BA270,0))</f>
        <v>0</v>
      </c>
      <c r="BC270" s="93">
        <f t="shared" si="94"/>
        <v>0</v>
      </c>
      <c r="BD270" s="90">
        <f t="shared" si="95"/>
        <v>0.95</v>
      </c>
      <c r="BE270" s="42">
        <f>IF($C270="&lt;01",ROUND(INDEX(EID!$V:$V,MATCH($B270,EID!$B:$B,0))/2,0),ROUND($BD270*$BB270,0))</f>
        <v>0</v>
      </c>
      <c r="BF270" s="42">
        <f t="shared" si="96"/>
        <v>0</v>
      </c>
      <c r="BG270" s="116">
        <f t="shared" si="97"/>
        <v>0.95</v>
      </c>
      <c r="BH270" s="9">
        <f>IF($C270="&lt;01",ROUND(INDEX(EID!$L:$L,MATCH($B270,EID!$B:$B,0)),0)/2,IF(SUM($BG270)=0,"",ROUND($AX270/$BG270,0)))</f>
        <v>0</v>
      </c>
    </row>
    <row r="271" spans="1:60" x14ac:dyDescent="0.2">
      <c r="A271" t="str">
        <f>INDEX(Prioritization!$D:$D,MATCH($B271,Prioritization!$A:$A,0))</f>
        <v>1 - Scale-up: Saturation</v>
      </c>
      <c r="B271" t="s">
        <v>211</v>
      </c>
      <c r="C271" t="s">
        <v>363</v>
      </c>
      <c r="D271" t="s">
        <v>29</v>
      </c>
      <c r="E271" t="str">
        <f t="shared" ref="E271:E334" si="101">$B271&amp;"|"&amp;$C271&amp;"|"&amp;$D271</f>
        <v>Chikwawa District [U8c0so51kT6]|10-14|Female</v>
      </c>
      <c r="F271" s="14"/>
      <c r="G271" s="14">
        <v>7</v>
      </c>
      <c r="H271" s="14">
        <v>7</v>
      </c>
      <c r="I271" s="14">
        <v>89</v>
      </c>
      <c r="J271" s="14">
        <v>57</v>
      </c>
      <c r="K271" s="14">
        <v>35</v>
      </c>
      <c r="L271" s="14">
        <v>0</v>
      </c>
      <c r="M271" s="14">
        <v>0</v>
      </c>
      <c r="N271" s="14">
        <v>11</v>
      </c>
      <c r="O271" s="14">
        <f t="shared" ref="O271:O334" si="102">IFERROR(1/(1/MAX($I271,$N271)),"")</f>
        <v>89</v>
      </c>
      <c r="P271" s="14">
        <v>32</v>
      </c>
      <c r="Q271" s="14">
        <v>74</v>
      </c>
      <c r="R271" s="14">
        <f t="shared" ref="R271:R334" si="103">IF(AND(SUM($I271)=0,SUM($O271)=0),"",SUM($O271)-$I271)</f>
        <v>0</v>
      </c>
      <c r="S271" s="14">
        <f>IF(LEFT($B271,4)="_Mil","",_xlfn.IFNA(ROUND(INDEX(Spectrum!$N:$N,MATCH(RIGHT($B271,13)&amp;"|"&amp;$C271&amp;"|"&amp;$D271&amp;"|"&amp;S$14&amp;"|"&amp;"CY2022Q4",Spectrum!$R:$R,0)),0),""))</f>
        <v>889</v>
      </c>
      <c r="T271" s="42">
        <f>IF(LEFT($B271,4)="_Mil","",_xlfn.IFNA(ROUND(INDEX(Spectrum!$N:$N,MATCH(RIGHT($B271,13)&amp;"|"&amp;$C271&amp;"|"&amp;$D271&amp;"|"&amp;T$14&amp;"|"&amp;"CY2023Q3",Spectrum!$R:$R,0)),0),""))</f>
        <v>1063</v>
      </c>
      <c r="U271" s="42" t="str">
        <f>IF(LEFT($B271,4)="_Mil","",_xlfn.IFNA(ROUND(INDEX(Spectrum!$N:$N,MATCH(RIGHT($B271,13)&amp;"|"&amp;$C271&amp;"|"&amp;$D271&amp;"|"&amp;U$14&amp;"|"&amp;"CY2023Q3",Spectrum!$R:$R,0)),0),""))</f>
        <v/>
      </c>
      <c r="V271" s="14">
        <f>IF(LEFT($B271,4)="_Mil","",_xlfn.IFNA(ROUND(INDEX(Spectrum!$N:$N,MATCH(RIGHT($B271,13)&amp;"|"&amp;$C271&amp;"|"&amp;$D271&amp;"|"&amp;V$14&amp;"|"&amp;"CY2023Q3",Spectrum!$R:$R,0)),0),""))</f>
        <v>1504</v>
      </c>
      <c r="W271" s="115">
        <f>IF(LEFT($B271,4)="_Mil","",_xlfn.IFNA(INDEX(Spectrum!$N:$N,MATCH(RIGHT($B271,13)&amp;"|"&amp;$C271&amp;"|"&amp;$D271&amp;"|"&amp;W$14&amp;"|"&amp;"CY2023Q3",Spectrum!$R:$R,0)),""))</f>
        <v>1531</v>
      </c>
      <c r="X271" s="42">
        <f>IF(LEFT($B271,4)="_Mil","",_xlfn.IFNA(ROUND(INDEX(Spectrum!$N:$N,MATCH(RIGHT($B271,13)&amp;"|"&amp;$C271&amp;"|"&amp;$D271&amp;"|"&amp;X$14&amp;"|"&amp;"CY2023Q3",Spectrum!$R:$R,0)),0),""))</f>
        <v>1141</v>
      </c>
      <c r="Y271" s="90" t="str">
        <f t="shared" ref="Y271:Y334" si="104">IF(OR(SUM($U271)=0,LEFT($B271,4)="_Mil"),"",SUM($X271)/$U271)</f>
        <v/>
      </c>
      <c r="Z271" s="42">
        <f>IF(LEFT($B271,4)="_Mil","",_xlfn.IFNA(ROUND(INDEX(Spectrum!$N:$N,MATCH(RIGHT($B271,13)&amp;"|"&amp;$C271&amp;"|"&amp;$D271&amp;"|"&amp;Z$14&amp;"|"&amp;"CY2023Q3",Spectrum!$R:$R,0)),0),""))</f>
        <v>850</v>
      </c>
      <c r="AA271" s="90">
        <f>IF(LEFT($B271,4)="_Mil","",IFERROR(1/(1/INDEX(Spectrum!$N:$N,MATCH(RIGHT($B271,13)&amp;"|"&amp;$C271&amp;"|"&amp;$D271&amp;"|"&amp;AA$14&amp;"|"&amp;"CY2023Q3",Spectrum!$R:$R,0))),IF(SUM($U271)=0,"",SUM($Z271)/$U271)))</f>
        <v>1243</v>
      </c>
      <c r="AB271" s="90">
        <f t="shared" ref="AB271:AB334" si="105">IF(OR(LEFT($B271,4)="_Mil",SUM($X271)=0),"",SUM($Z271)/$X271)</f>
        <v>0.74496056091148111</v>
      </c>
      <c r="AC271" s="14">
        <f>IF(LEFT($B271,4)="_Mil","",_xlfn.IFNA(ROUND(INDEX(Spectrum!$N:$N,MATCH(RIGHT($B271,13)&amp;"|"&amp;$C271&amp;"|"&amp;$D271&amp;"|"&amp;AC$14&amp;"|"&amp;"CY2023Q3",Spectrum!$R:$R,0)),0),""))</f>
        <v>1869</v>
      </c>
      <c r="AD271" s="14" t="str">
        <f>IF(LEFT($B271,4)="_Mil","",_xlfn.IFNA(ROUND(INDEX(Spectrum!$N:$N,MATCH(RIGHT($B271,13)&amp;"|"&amp;$C271&amp;"|"&amp;$D271&amp;"|"&amp;AD$14&amp;"|"&amp;"CY2023Q3",Spectrum!$R:$R,0)),0),""))</f>
        <v/>
      </c>
      <c r="AE271" s="90">
        <f t="shared" ref="AE271:AE334" si="106">IF(OR(LEFT($B271,4)="_Mil",SUM($Z271)=0),"",SUM($AD271)/$Z271)</f>
        <v>0</v>
      </c>
      <c r="AF271" s="42" t="str">
        <f>IF(LEFT($B271,4)="_Mil","",_xlfn.IFNA(ROUND(INDEX(Spectrum!$N:$N,MATCH(RIGHT($B271,13)&amp;"|"&amp;$C271&amp;"|"&amp;$D271&amp;"|"&amp;AF$14&amp;"|"&amp;"CY2023Q3",Spectrum!$R:$R,0)),0),""))</f>
        <v/>
      </c>
      <c r="AG271" s="90" t="str">
        <f t="shared" ref="AG271:AG334" si="107">IF(OR(LEFT($B271,4)="_Mil",SUM($AD271)=0),"",SUM($AF271)/$AD271)</f>
        <v/>
      </c>
      <c r="AH271" s="88" t="str">
        <f>IF(LEFT($B271,4)="_Mil","",_xlfn.IFNA(INDEX(Spectrum!$N:$N,MATCH(RIGHT($B271,13)&amp;"|"&amp;$C271&amp;"|"&amp;$D271&amp;"|"&amp;AH$14&amp;"|"&amp;"CY2023Q3",Spectrum!$R:$R,0)),""))</f>
        <v/>
      </c>
      <c r="AI271" s="14" t="str">
        <f>IF(LEFT($B271,4)="_Mil","",_xlfn.IFNA(ROUND(INDEX(Spectrum!$N:$N,MATCH(RIGHT($B271,13)&amp;"|"&amp;$C271&amp;"|"&amp;$D271&amp;"|"&amp;AI$14&amp;"|"&amp;"CY2023Q3",Spectrum!$R:$R,0)),0),""))</f>
        <v/>
      </c>
      <c r="AJ271" s="42">
        <f>IF(LEFT($B271,4)="_Mil","",_xlfn.IFNA(ROUND(INDEX(Spectrum!$N:$N,MATCH(RIGHT($B271,13)&amp;"|"&amp;$C271&amp;"|"&amp;$D271&amp;"|"&amp;AI$14&amp;"|"&amp;"CY2023Q3",Spectrum!$R:$R,0)),0),SUM($U271)+SUM($AI271)))</f>
        <v>0</v>
      </c>
      <c r="AK271" s="14" t="str">
        <f>IF(LEFT($B271,4)="_Mil","",_xlfn.IFNA(ROUND(INDEX(Spectrum!$N:$N,MATCH(RIGHT($B271,13)&amp;"|"&amp;$C271&amp;"|"&amp;$D271&amp;"|"&amp;AK$14&amp;"|"&amp;"CY2023Q3",Spectrum!$R:$R,0)),0),""))</f>
        <v/>
      </c>
      <c r="AL271" s="90">
        <f t="shared" ref="AL271:AL334" si="108">IF(OR(LEFT($B271,4)="_Mil",$C271="&lt;01"),"",MAX(SUM($AA271),90%))</f>
        <v>1243</v>
      </c>
      <c r="AM271" s="14">
        <f t="shared" ref="AM271:AM334" si="109">IF(OR(LEFT($B271,4)="_Mil",$C271="&lt;01"),"",ROUND(SUM($AJ271)*SUM($AL271),0))</f>
        <v>0</v>
      </c>
      <c r="AN271" s="14" t="str">
        <f>IF($C271="&lt;01",ROUND(INDEX(EID!$P:$P,MATCH($B271,EID!$B:$B,0))/2,0),"")</f>
        <v/>
      </c>
      <c r="AO271" s="14">
        <f t="shared" ref="AO271:AO334" si="110">IF($C271="&lt;01",SUM($AN271),ROUND(SUM($AM271)*SUM($O271)/IF(SUM($Z271)=0,1,$Z271),0))</f>
        <v>0</v>
      </c>
      <c r="AP271" s="42">
        <f t="shared" ref="AP271:AP334" si="111">IF(OR($F271="",$C271="&lt;01"),$AO271,$F271)</f>
        <v>0</v>
      </c>
      <c r="AQ271" s="42">
        <f t="shared" ref="AQ271:AQ334" si="112">IF(LEFT($B271,4)="_Mil","",IF(SUM($AP271)=0,SUM($Z271),IF(OR(SUM($Z271)=0,SUM($O271)=0),MAX($AP271,$Z271),$AP271*$Z271/$O271)))</f>
        <v>850</v>
      </c>
      <c r="AR271" s="90" t="str">
        <f t="shared" ref="AR271:AR334" si="113">IF(OR(LEFT($B271,4)="_Mil",SUM($AJ271)=0),"",SUM($AQ271)/$AJ271)</f>
        <v/>
      </c>
      <c r="AS271" s="90">
        <f t="shared" si="100"/>
        <v>0.98</v>
      </c>
      <c r="AT271" s="90">
        <f t="shared" si="100"/>
        <v>0.98</v>
      </c>
      <c r="AU271" s="14">
        <f t="shared" ref="AU271:AU334" si="114">IF($C271="&lt;01","",SUM($AP271)-SUM($O271))</f>
        <v>-89</v>
      </c>
      <c r="AV271" s="14">
        <f>IF($C271="&lt;01",ROUND(INDEX(EID!$N:$N,MATCH($B271,EID!$B:$B,0))/2,0),IF(SUM($AT271)=0,"",ROUND((SUM($AP271)-(SUM($O271)*SUM($AS271)))/$AT271,0)))</f>
        <v>-89</v>
      </c>
      <c r="AW271" s="90">
        <f t="shared" ref="AW271:AW334" si="115">IF($C271="&lt;01","",100%)</f>
        <v>1</v>
      </c>
      <c r="AX271" s="42">
        <f t="shared" ref="AX271:AX334" si="116">IF($C271="&lt;01",SUM($AV271),ROUND(SUM($AV271)*SUM($AW271),0))</f>
        <v>-89</v>
      </c>
      <c r="AY271" s="116">
        <f t="shared" ref="AY271:AY334" si="117">IF($C271="&lt;01","",70%)</f>
        <v>0.7</v>
      </c>
      <c r="AZ271" s="93">
        <f>IF($C271="&lt;01",ROUND(INDEX(EID!$R:$R,MATCH($B271,EID!$B:$B,0))/2,0),ROUND(SUM($O271)+(SUM($AV271)*$AY271),0))</f>
        <v>27</v>
      </c>
      <c r="BA271" s="89">
        <f t="shared" ref="BA271:BA334" si="118">IF($C271="&lt;01","",95%)</f>
        <v>0.95</v>
      </c>
      <c r="BB271" s="9">
        <f>IF($C271="&lt;01",ROUND(INDEX(EID!$T:$T,MATCH($B271,EID!$B:$B,0))/2,0),ROUND($AZ271*$BA271,0))</f>
        <v>26</v>
      </c>
      <c r="BC271" s="93">
        <f t="shared" ref="BC271:BC334" si="119">IF(LEFT($B271,4)="_Mil","",IF(SUM($BB271)=0,SUM($AD271),IF(OR(SUM($AP271)=0,SUM($AQ271)=0),MAX($BB271,$AD271),ROUND($BB271*$AQ271/$AP271,0))))</f>
        <v>26</v>
      </c>
      <c r="BD271" s="90">
        <f t="shared" ref="BD271:BD334" si="120">IF($C271="&lt;01","",95%)</f>
        <v>0.95</v>
      </c>
      <c r="BE271" s="42">
        <f>IF($C271="&lt;01",ROUND(INDEX(EID!$V:$V,MATCH($B271,EID!$B:$B,0))/2,0),ROUND($BD271*$BB271,0))</f>
        <v>25</v>
      </c>
      <c r="BF271" s="42">
        <f t="shared" ref="BF271:BF334" si="121">IF(LEFT($B271,4)="_Mil","",IF(SUM($BE271)=0,SUM($AF271),IF(OR(SUM($AP271)=0,SUM($AQ271)=0),MAX($BE271,$AF271),ROUND($BE271*$AQ271/$AP271,0))))</f>
        <v>25</v>
      </c>
      <c r="BG271" s="116">
        <f t="shared" ref="BG271:BG334" si="122">IF($C271="&lt;01","",95%)</f>
        <v>0.95</v>
      </c>
      <c r="BH271" s="9">
        <f>IF($C271="&lt;01",ROUND(INDEX(EID!$L:$L,MATCH($B271,EID!$B:$B,0)),0)/2,IF(SUM($BG271)=0,"",ROUND($AX271/$BG271,0)))</f>
        <v>-94</v>
      </c>
    </row>
    <row r="272" spans="1:60" x14ac:dyDescent="0.2">
      <c r="A272" t="str">
        <f>INDEX(Prioritization!$D:$D,MATCH($B272,Prioritization!$A:$A,0))</f>
        <v>1 - Scale-up: Saturation</v>
      </c>
      <c r="B272" t="s">
        <v>211</v>
      </c>
      <c r="C272" t="s">
        <v>363</v>
      </c>
      <c r="D272" t="s">
        <v>47</v>
      </c>
      <c r="E272" t="str">
        <f t="shared" si="101"/>
        <v>Chikwawa District [U8c0so51kT6]|10-14|Male</v>
      </c>
      <c r="F272" s="14"/>
      <c r="G272" s="14">
        <v>7</v>
      </c>
      <c r="H272" s="14">
        <v>5</v>
      </c>
      <c r="I272" s="14">
        <v>15</v>
      </c>
      <c r="J272" s="14">
        <v>24</v>
      </c>
      <c r="K272" s="14">
        <v>29</v>
      </c>
      <c r="L272" s="14">
        <v>1</v>
      </c>
      <c r="M272" s="14">
        <v>1</v>
      </c>
      <c r="N272" s="14">
        <v>91</v>
      </c>
      <c r="O272" s="14">
        <f t="shared" si="102"/>
        <v>91</v>
      </c>
      <c r="P272" s="14">
        <v>20</v>
      </c>
      <c r="Q272" s="14">
        <v>22</v>
      </c>
      <c r="R272" s="14">
        <f t="shared" si="103"/>
        <v>76</v>
      </c>
      <c r="S272" s="14">
        <f>IF(LEFT($B272,4)="_Mil","",_xlfn.IFNA(ROUND(INDEX(Spectrum!$N:$N,MATCH(RIGHT($B272,13)&amp;"|"&amp;$C272&amp;"|"&amp;$D272&amp;"|"&amp;S$14&amp;"|"&amp;"CY2022Q4",Spectrum!$R:$R,0)),0),""))</f>
        <v>1881</v>
      </c>
      <c r="T272" s="42">
        <f>IF(LEFT($B272,4)="_Mil","",_xlfn.IFNA(ROUND(INDEX(Spectrum!$N:$N,MATCH(RIGHT($B272,13)&amp;"|"&amp;$C272&amp;"|"&amp;$D272&amp;"|"&amp;T$14&amp;"|"&amp;"CY2023Q3",Spectrum!$R:$R,0)),0),""))</f>
        <v>828</v>
      </c>
      <c r="U272" s="42" t="str">
        <f>IF(LEFT($B272,4)="_Mil","",_xlfn.IFNA(ROUND(INDEX(Spectrum!$N:$N,MATCH(RIGHT($B272,13)&amp;"|"&amp;$C272&amp;"|"&amp;$D272&amp;"|"&amp;U$14&amp;"|"&amp;"CY2023Q3",Spectrum!$R:$R,0)),0),""))</f>
        <v/>
      </c>
      <c r="V272" s="14">
        <f>IF(LEFT($B272,4)="_Mil","",_xlfn.IFNA(ROUND(INDEX(Spectrum!$N:$N,MATCH(RIGHT($B272,13)&amp;"|"&amp;$C272&amp;"|"&amp;$D272&amp;"|"&amp;V$14&amp;"|"&amp;"CY2023Q3",Spectrum!$R:$R,0)),0),""))</f>
        <v>1120</v>
      </c>
      <c r="W272" s="115">
        <f>IF(LEFT($B272,4)="_Mil","",_xlfn.IFNA(INDEX(Spectrum!$N:$N,MATCH(RIGHT($B272,13)&amp;"|"&amp;$C272&amp;"|"&amp;$D272&amp;"|"&amp;W$14&amp;"|"&amp;"CY2023Q3",Spectrum!$R:$R,0)),""))</f>
        <v>717</v>
      </c>
      <c r="X272" s="42">
        <f>IF(LEFT($B272,4)="_Mil","",_xlfn.IFNA(ROUND(INDEX(Spectrum!$N:$N,MATCH(RIGHT($B272,13)&amp;"|"&amp;$C272&amp;"|"&amp;$D272&amp;"|"&amp;X$14&amp;"|"&amp;"CY2023Q3",Spectrum!$R:$R,0)),0),""))</f>
        <v>1747</v>
      </c>
      <c r="Y272" s="90" t="str">
        <f t="shared" si="104"/>
        <v/>
      </c>
      <c r="Z272" s="42">
        <f>IF(LEFT($B272,4)="_Mil","",_xlfn.IFNA(ROUND(INDEX(Spectrum!$N:$N,MATCH(RIGHT($B272,13)&amp;"|"&amp;$C272&amp;"|"&amp;$D272&amp;"|"&amp;Z$14&amp;"|"&amp;"CY2023Q3",Spectrum!$R:$R,0)),0),""))</f>
        <v>1608</v>
      </c>
      <c r="AA272" s="90">
        <f>IF(LEFT($B272,4)="_Mil","",IFERROR(1/(1/INDEX(Spectrum!$N:$N,MATCH(RIGHT($B272,13)&amp;"|"&amp;$C272&amp;"|"&amp;$D272&amp;"|"&amp;AA$14&amp;"|"&amp;"CY2023Q3",Spectrum!$R:$R,0))),IF(SUM($U272)=0,"",SUM($Z272)/$U272)))</f>
        <v>915</v>
      </c>
      <c r="AB272" s="90">
        <f t="shared" si="105"/>
        <v>0.92043503148254147</v>
      </c>
      <c r="AC272" s="14">
        <f>IF(LEFT($B272,4)="_Mil","",_xlfn.IFNA(ROUND(INDEX(Spectrum!$N:$N,MATCH(RIGHT($B272,13)&amp;"|"&amp;$C272&amp;"|"&amp;$D272&amp;"|"&amp;AC$14&amp;"|"&amp;"CY2023Q3",Spectrum!$R:$R,0)),0),""))</f>
        <v>1730</v>
      </c>
      <c r="AD272" s="14" t="str">
        <f>IF(LEFT($B272,4)="_Mil","",_xlfn.IFNA(ROUND(INDEX(Spectrum!$N:$N,MATCH(RIGHT($B272,13)&amp;"|"&amp;$C272&amp;"|"&amp;$D272&amp;"|"&amp;AD$14&amp;"|"&amp;"CY2023Q3",Spectrum!$R:$R,0)),0),""))</f>
        <v/>
      </c>
      <c r="AE272" s="90">
        <f t="shared" si="106"/>
        <v>0</v>
      </c>
      <c r="AF272" s="42" t="str">
        <f>IF(LEFT($B272,4)="_Mil","",_xlfn.IFNA(ROUND(INDEX(Spectrum!$N:$N,MATCH(RIGHT($B272,13)&amp;"|"&amp;$C272&amp;"|"&amp;$D272&amp;"|"&amp;AF$14&amp;"|"&amp;"CY2023Q3",Spectrum!$R:$R,0)),0),""))</f>
        <v/>
      </c>
      <c r="AG272" s="90" t="str">
        <f t="shared" si="107"/>
        <v/>
      </c>
      <c r="AH272" s="88" t="str">
        <f>IF(LEFT($B272,4)="_Mil","",_xlfn.IFNA(INDEX(Spectrum!$N:$N,MATCH(RIGHT($B272,13)&amp;"|"&amp;$C272&amp;"|"&amp;$D272&amp;"|"&amp;AH$14&amp;"|"&amp;"CY2023Q3",Spectrum!$R:$R,0)),""))</f>
        <v/>
      </c>
      <c r="AI272" s="14" t="str">
        <f>IF(LEFT($B272,4)="_Mil","",_xlfn.IFNA(ROUND(INDEX(Spectrum!$N:$N,MATCH(RIGHT($B272,13)&amp;"|"&amp;$C272&amp;"|"&amp;$D272&amp;"|"&amp;AI$14&amp;"|"&amp;"CY2023Q3",Spectrum!$R:$R,0)),0),""))</f>
        <v/>
      </c>
      <c r="AJ272" s="42">
        <f>IF(LEFT($B272,4)="_Mil","",_xlfn.IFNA(ROUND(INDEX(Spectrum!$N:$N,MATCH(RIGHT($B272,13)&amp;"|"&amp;$C272&amp;"|"&amp;$D272&amp;"|"&amp;AI$14&amp;"|"&amp;"CY2023Q3",Spectrum!$R:$R,0)),0),SUM($U272)+SUM($AI272)))</f>
        <v>0</v>
      </c>
      <c r="AK272" s="14" t="str">
        <f>IF(LEFT($B272,4)="_Mil","",_xlfn.IFNA(ROUND(INDEX(Spectrum!$N:$N,MATCH(RIGHT($B272,13)&amp;"|"&amp;$C272&amp;"|"&amp;$D272&amp;"|"&amp;AK$14&amp;"|"&amp;"CY2023Q3",Spectrum!$R:$R,0)),0),""))</f>
        <v/>
      </c>
      <c r="AL272" s="90">
        <f t="shared" si="108"/>
        <v>915</v>
      </c>
      <c r="AM272" s="14">
        <f t="shared" si="109"/>
        <v>0</v>
      </c>
      <c r="AN272" s="14" t="str">
        <f>IF($C272="&lt;01",ROUND(INDEX(EID!$P:$P,MATCH($B272,EID!$B:$B,0))/2,0),"")</f>
        <v/>
      </c>
      <c r="AO272" s="14">
        <f t="shared" si="110"/>
        <v>0</v>
      </c>
      <c r="AP272" s="42">
        <f t="shared" si="111"/>
        <v>0</v>
      </c>
      <c r="AQ272" s="42">
        <f t="shared" si="112"/>
        <v>1608</v>
      </c>
      <c r="AR272" s="90" t="str">
        <f t="shared" si="113"/>
        <v/>
      </c>
      <c r="AS272" s="90">
        <f t="shared" si="100"/>
        <v>0.98</v>
      </c>
      <c r="AT272" s="90">
        <f t="shared" si="100"/>
        <v>0.98</v>
      </c>
      <c r="AU272" s="14">
        <f t="shared" si="114"/>
        <v>-91</v>
      </c>
      <c r="AV272" s="14">
        <f>IF($C272="&lt;01",ROUND(INDEX(EID!$N:$N,MATCH($B272,EID!$B:$B,0))/2,0),IF(SUM($AT272)=0,"",ROUND((SUM($AP272)-(SUM($O272)*SUM($AS272)))/$AT272,0)))</f>
        <v>-91</v>
      </c>
      <c r="AW272" s="90">
        <f t="shared" si="115"/>
        <v>1</v>
      </c>
      <c r="AX272" s="42">
        <f t="shared" si="116"/>
        <v>-91</v>
      </c>
      <c r="AY272" s="116">
        <f t="shared" si="117"/>
        <v>0.7</v>
      </c>
      <c r="AZ272" s="93">
        <f>IF($C272="&lt;01",ROUND(INDEX(EID!$R:$R,MATCH($B272,EID!$B:$B,0))/2,0),ROUND(SUM($O272)+(SUM($AV272)*$AY272),0))</f>
        <v>27</v>
      </c>
      <c r="BA272" s="89">
        <f t="shared" si="118"/>
        <v>0.95</v>
      </c>
      <c r="BB272" s="9">
        <f>IF($C272="&lt;01",ROUND(INDEX(EID!$T:$T,MATCH($B272,EID!$B:$B,0))/2,0),ROUND($AZ272*$BA272,0))</f>
        <v>26</v>
      </c>
      <c r="BC272" s="93">
        <f t="shared" si="119"/>
        <v>26</v>
      </c>
      <c r="BD272" s="90">
        <f t="shared" si="120"/>
        <v>0.95</v>
      </c>
      <c r="BE272" s="42">
        <f>IF($C272="&lt;01",ROUND(INDEX(EID!$V:$V,MATCH($B272,EID!$B:$B,0))/2,0),ROUND($BD272*$BB272,0))</f>
        <v>25</v>
      </c>
      <c r="BF272" s="42">
        <f t="shared" si="121"/>
        <v>25</v>
      </c>
      <c r="BG272" s="116">
        <f t="shared" si="122"/>
        <v>0.95</v>
      </c>
      <c r="BH272" s="9">
        <f>IF($C272="&lt;01",ROUND(INDEX(EID!$L:$L,MATCH($B272,EID!$B:$B,0)),0)/2,IF(SUM($BG272)=0,"",ROUND($AX272/$BG272,0)))</f>
        <v>-96</v>
      </c>
    </row>
    <row r="273" spans="1:60" x14ac:dyDescent="0.2">
      <c r="A273" t="str">
        <f>INDEX(Prioritization!$D:$D,MATCH($B273,Prioritization!$A:$A,0))</f>
        <v>1 - Scale-up: Saturation</v>
      </c>
      <c r="B273" t="s">
        <v>211</v>
      </c>
      <c r="C273" t="s">
        <v>364</v>
      </c>
      <c r="D273" t="s">
        <v>29</v>
      </c>
      <c r="E273" t="str">
        <f t="shared" si="101"/>
        <v>Chikwawa District [U8c0so51kT6]|15-24|Female</v>
      </c>
      <c r="F273" s="14"/>
      <c r="G273" s="14"/>
      <c r="H273" s="14"/>
      <c r="I273" s="14"/>
      <c r="J273" s="14"/>
      <c r="K273" s="14"/>
      <c r="L273" s="14"/>
      <c r="M273" s="14"/>
      <c r="N273" s="14"/>
      <c r="O273" s="14" t="str">
        <f t="shared" si="102"/>
        <v/>
      </c>
      <c r="P273" s="14"/>
      <c r="Q273" s="14"/>
      <c r="R273" s="14" t="str">
        <f t="shared" si="103"/>
        <v/>
      </c>
      <c r="S273" s="14">
        <f>IF(LEFT($B273,4)="_Mil","",_xlfn.IFNA(ROUND(INDEX(Spectrum!$N:$N,MATCH(RIGHT($B273,13)&amp;"|"&amp;$C273&amp;"|"&amp;$D273&amp;"|"&amp;S$14&amp;"|"&amp;"CY2022Q4",Spectrum!$R:$R,0)),0),""))</f>
        <v>1965</v>
      </c>
      <c r="T273" s="42">
        <f>IF(LEFT($B273,4)="_Mil","",_xlfn.IFNA(ROUND(INDEX(Spectrum!$N:$N,MATCH(RIGHT($B273,13)&amp;"|"&amp;$C273&amp;"|"&amp;$D273&amp;"|"&amp;T$14&amp;"|"&amp;"CY2023Q3",Spectrum!$R:$R,0)),0),""))</f>
        <v>1222</v>
      </c>
      <c r="U273" s="42" t="str">
        <f>IF(LEFT($B273,4)="_Mil","",_xlfn.IFNA(ROUND(INDEX(Spectrum!$N:$N,MATCH(RIGHT($B273,13)&amp;"|"&amp;$C273&amp;"|"&amp;$D273&amp;"|"&amp;U$14&amp;"|"&amp;"CY2023Q3",Spectrum!$R:$R,0)),0),""))</f>
        <v/>
      </c>
      <c r="V273" s="14">
        <f>IF(LEFT($B273,4)="_Mil","",_xlfn.IFNA(ROUND(INDEX(Spectrum!$N:$N,MATCH(RIGHT($B273,13)&amp;"|"&amp;$C273&amp;"|"&amp;$D273&amp;"|"&amp;V$14&amp;"|"&amp;"CY2023Q3",Spectrum!$R:$R,0)),0),""))</f>
        <v>1052</v>
      </c>
      <c r="W273" s="115">
        <f>IF(LEFT($B273,4)="_Mil","",_xlfn.IFNA(INDEX(Spectrum!$N:$N,MATCH(RIGHT($B273,13)&amp;"|"&amp;$C273&amp;"|"&amp;$D273&amp;"|"&amp;W$14&amp;"|"&amp;"CY2023Q3",Spectrum!$R:$R,0)),""))</f>
        <v>956</v>
      </c>
      <c r="X273" s="42">
        <f>IF(LEFT($B273,4)="_Mil","",_xlfn.IFNA(ROUND(INDEX(Spectrum!$N:$N,MATCH(RIGHT($B273,13)&amp;"|"&amp;$C273&amp;"|"&amp;$D273&amp;"|"&amp;X$14&amp;"|"&amp;"CY2023Q3",Spectrum!$R:$R,0)),0),""))</f>
        <v>1886</v>
      </c>
      <c r="Y273" s="90" t="str">
        <f t="shared" si="104"/>
        <v/>
      </c>
      <c r="Z273" s="42">
        <f>IF(LEFT($B273,4)="_Mil","",_xlfn.IFNA(ROUND(INDEX(Spectrum!$N:$N,MATCH(RIGHT($B273,13)&amp;"|"&amp;$C273&amp;"|"&amp;$D273&amp;"|"&amp;Z$14&amp;"|"&amp;"CY2023Q3",Spectrum!$R:$R,0)),0),""))</f>
        <v>1603</v>
      </c>
      <c r="AA273" s="90">
        <f>IF(LEFT($B273,4)="_Mil","",IFERROR(1/(1/INDEX(Spectrum!$N:$N,MATCH(RIGHT($B273,13)&amp;"|"&amp;$C273&amp;"|"&amp;$D273&amp;"|"&amp;AA$14&amp;"|"&amp;"CY2023Q3",Spectrum!$R:$R,0))),IF(SUM($U273)=0,"",SUM($Z273)/$U273)))</f>
        <v>800</v>
      </c>
      <c r="AB273" s="90">
        <f t="shared" si="105"/>
        <v>0.84994697773064687</v>
      </c>
      <c r="AC273" s="14">
        <f>IF(LEFT($B273,4)="_Mil","",_xlfn.IFNA(ROUND(INDEX(Spectrum!$N:$N,MATCH(RIGHT($B273,13)&amp;"|"&amp;$C273&amp;"|"&amp;$D273&amp;"|"&amp;AC$14&amp;"|"&amp;"CY2023Q3",Spectrum!$R:$R,0)),0),""))</f>
        <v>1380</v>
      </c>
      <c r="AD273" s="14" t="str">
        <f>IF(LEFT($B273,4)="_Mil","",_xlfn.IFNA(ROUND(INDEX(Spectrum!$N:$N,MATCH(RIGHT($B273,13)&amp;"|"&amp;$C273&amp;"|"&amp;$D273&amp;"|"&amp;AD$14&amp;"|"&amp;"CY2023Q3",Spectrum!$R:$R,0)),0),""))</f>
        <v/>
      </c>
      <c r="AE273" s="90">
        <f t="shared" si="106"/>
        <v>0</v>
      </c>
      <c r="AF273" s="42" t="str">
        <f>IF(LEFT($B273,4)="_Mil","",_xlfn.IFNA(ROUND(INDEX(Spectrum!$N:$N,MATCH(RIGHT($B273,13)&amp;"|"&amp;$C273&amp;"|"&amp;$D273&amp;"|"&amp;AF$14&amp;"|"&amp;"CY2023Q3",Spectrum!$R:$R,0)),0),""))</f>
        <v/>
      </c>
      <c r="AG273" s="90" t="str">
        <f t="shared" si="107"/>
        <v/>
      </c>
      <c r="AH273" s="88" t="str">
        <f>IF(LEFT($B273,4)="_Mil","",_xlfn.IFNA(INDEX(Spectrum!$N:$N,MATCH(RIGHT($B273,13)&amp;"|"&amp;$C273&amp;"|"&amp;$D273&amp;"|"&amp;AH$14&amp;"|"&amp;"CY2023Q3",Spectrum!$R:$R,0)),""))</f>
        <v/>
      </c>
      <c r="AI273" s="14" t="str">
        <f>IF(LEFT($B273,4)="_Mil","",_xlfn.IFNA(ROUND(INDEX(Spectrum!$N:$N,MATCH(RIGHT($B273,13)&amp;"|"&amp;$C273&amp;"|"&amp;$D273&amp;"|"&amp;AI$14&amp;"|"&amp;"CY2023Q3",Spectrum!$R:$R,0)),0),""))</f>
        <v/>
      </c>
      <c r="AJ273" s="42">
        <f>IF(LEFT($B273,4)="_Mil","",_xlfn.IFNA(ROUND(INDEX(Spectrum!$N:$N,MATCH(RIGHT($B273,13)&amp;"|"&amp;$C273&amp;"|"&amp;$D273&amp;"|"&amp;AI$14&amp;"|"&amp;"CY2023Q3",Spectrum!$R:$R,0)),0),SUM($U273)+SUM($AI273)))</f>
        <v>0</v>
      </c>
      <c r="AK273" s="14" t="str">
        <f>IF(LEFT($B273,4)="_Mil","",_xlfn.IFNA(ROUND(INDEX(Spectrum!$N:$N,MATCH(RIGHT($B273,13)&amp;"|"&amp;$C273&amp;"|"&amp;$D273&amp;"|"&amp;AK$14&amp;"|"&amp;"CY2023Q3",Spectrum!$R:$R,0)),0),""))</f>
        <v/>
      </c>
      <c r="AL273" s="90">
        <f t="shared" si="108"/>
        <v>800</v>
      </c>
      <c r="AM273" s="14">
        <f t="shared" si="109"/>
        <v>0</v>
      </c>
      <c r="AN273" s="14" t="str">
        <f>IF($C273="&lt;01",ROUND(INDEX(EID!$P:$P,MATCH($B273,EID!$B:$B,0))/2,0),"")</f>
        <v/>
      </c>
      <c r="AO273" s="14">
        <f t="shared" si="110"/>
        <v>0</v>
      </c>
      <c r="AP273" s="42">
        <f t="shared" si="111"/>
        <v>0</v>
      </c>
      <c r="AQ273" s="42">
        <f t="shared" si="112"/>
        <v>1603</v>
      </c>
      <c r="AR273" s="90" t="str">
        <f t="shared" si="113"/>
        <v/>
      </c>
      <c r="AS273" s="90">
        <f t="shared" si="100"/>
        <v>0.98</v>
      </c>
      <c r="AT273" s="90">
        <f t="shared" si="100"/>
        <v>0.98</v>
      </c>
      <c r="AU273" s="14">
        <f t="shared" si="114"/>
        <v>0</v>
      </c>
      <c r="AV273" s="14">
        <f>IF($C273="&lt;01",ROUND(INDEX(EID!$N:$N,MATCH($B273,EID!$B:$B,0))/2,0),IF(SUM($AT273)=0,"",ROUND((SUM($AP273)-(SUM($O273)*SUM($AS273)))/$AT273,0)))</f>
        <v>0</v>
      </c>
      <c r="AW273" s="90">
        <f t="shared" si="115"/>
        <v>1</v>
      </c>
      <c r="AX273" s="42">
        <f t="shared" si="116"/>
        <v>0</v>
      </c>
      <c r="AY273" s="116">
        <f t="shared" si="117"/>
        <v>0.7</v>
      </c>
      <c r="AZ273" s="93">
        <f>IF($C273="&lt;01",ROUND(INDEX(EID!$R:$R,MATCH($B273,EID!$B:$B,0))/2,0),ROUND(SUM($O273)+(SUM($AV273)*$AY273),0))</f>
        <v>0</v>
      </c>
      <c r="BA273" s="89">
        <f t="shared" si="118"/>
        <v>0.95</v>
      </c>
      <c r="BB273" s="9">
        <f>IF($C273="&lt;01",ROUND(INDEX(EID!$T:$T,MATCH($B273,EID!$B:$B,0))/2,0),ROUND($AZ273*$BA273,0))</f>
        <v>0</v>
      </c>
      <c r="BC273" s="93">
        <f t="shared" si="119"/>
        <v>0</v>
      </c>
      <c r="BD273" s="90">
        <f t="shared" si="120"/>
        <v>0.95</v>
      </c>
      <c r="BE273" s="42">
        <f>IF($C273="&lt;01",ROUND(INDEX(EID!$V:$V,MATCH($B273,EID!$B:$B,0))/2,0),ROUND($BD273*$BB273,0))</f>
        <v>0</v>
      </c>
      <c r="BF273" s="42">
        <f t="shared" si="121"/>
        <v>0</v>
      </c>
      <c r="BG273" s="116">
        <f t="shared" si="122"/>
        <v>0.95</v>
      </c>
      <c r="BH273" s="9">
        <f>IF($C273="&lt;01",ROUND(INDEX(EID!$L:$L,MATCH($B273,EID!$B:$B,0)),0)/2,IF(SUM($BG273)=0,"",ROUND($AX273/$BG273,0)))</f>
        <v>0</v>
      </c>
    </row>
    <row r="274" spans="1:60" x14ac:dyDescent="0.2">
      <c r="A274" t="str">
        <f>INDEX(Prioritization!$D:$D,MATCH($B274,Prioritization!$A:$A,0))</f>
        <v>1 - Scale-up: Saturation</v>
      </c>
      <c r="B274" t="s">
        <v>211</v>
      </c>
      <c r="C274" t="s">
        <v>364</v>
      </c>
      <c r="D274" t="s">
        <v>47</v>
      </c>
      <c r="E274" t="str">
        <f t="shared" si="101"/>
        <v>Chikwawa District [U8c0so51kT6]|15-24|Male</v>
      </c>
      <c r="F274" s="14"/>
      <c r="G274" s="14"/>
      <c r="H274" s="14"/>
      <c r="I274" s="14"/>
      <c r="J274" s="14"/>
      <c r="K274" s="14"/>
      <c r="L274" s="14"/>
      <c r="M274" s="14"/>
      <c r="N274" s="14"/>
      <c r="O274" s="14" t="str">
        <f t="shared" si="102"/>
        <v/>
      </c>
      <c r="P274" s="14"/>
      <c r="Q274" s="14"/>
      <c r="R274" s="14" t="str">
        <f t="shared" si="103"/>
        <v/>
      </c>
      <c r="S274" s="14">
        <f>IF(LEFT($B274,4)="_Mil","",_xlfn.IFNA(ROUND(INDEX(Spectrum!$N:$N,MATCH(RIGHT($B274,13)&amp;"|"&amp;$C274&amp;"|"&amp;$D274&amp;"|"&amp;S$14&amp;"|"&amp;"CY2022Q4",Spectrum!$R:$R,0)),0),""))</f>
        <v>1734</v>
      </c>
      <c r="T274" s="42">
        <f>IF(LEFT($B274,4)="_Mil","",_xlfn.IFNA(ROUND(INDEX(Spectrum!$N:$N,MATCH(RIGHT($B274,13)&amp;"|"&amp;$C274&amp;"|"&amp;$D274&amp;"|"&amp;T$14&amp;"|"&amp;"CY2023Q3",Spectrum!$R:$R,0)),0),""))</f>
        <v>999</v>
      </c>
      <c r="U274" s="42" t="str">
        <f>IF(LEFT($B274,4)="_Mil","",_xlfn.IFNA(ROUND(INDEX(Spectrum!$N:$N,MATCH(RIGHT($B274,13)&amp;"|"&amp;$C274&amp;"|"&amp;$D274&amp;"|"&amp;U$14&amp;"|"&amp;"CY2023Q3",Spectrum!$R:$R,0)),0),""))</f>
        <v/>
      </c>
      <c r="V274" s="14">
        <f>IF(LEFT($B274,4)="_Mil","",_xlfn.IFNA(ROUND(INDEX(Spectrum!$N:$N,MATCH(RIGHT($B274,13)&amp;"|"&amp;$C274&amp;"|"&amp;$D274&amp;"|"&amp;V$14&amp;"|"&amp;"CY2023Q3",Spectrum!$R:$R,0)),0),""))</f>
        <v>1030</v>
      </c>
      <c r="W274" s="115">
        <f>IF(LEFT($B274,4)="_Mil","",_xlfn.IFNA(INDEX(Spectrum!$N:$N,MATCH(RIGHT($B274,13)&amp;"|"&amp;$C274&amp;"|"&amp;$D274&amp;"|"&amp;W$14&amp;"|"&amp;"CY2023Q3",Spectrum!$R:$R,0)),""))</f>
        <v>1193</v>
      </c>
      <c r="X274" s="42">
        <f>IF(LEFT($B274,4)="_Mil","",_xlfn.IFNA(ROUND(INDEX(Spectrum!$N:$N,MATCH(RIGHT($B274,13)&amp;"|"&amp;$C274&amp;"|"&amp;$D274&amp;"|"&amp;X$14&amp;"|"&amp;"CY2023Q3",Spectrum!$R:$R,0)),0),""))</f>
        <v>1291</v>
      </c>
      <c r="Y274" s="90" t="str">
        <f t="shared" si="104"/>
        <v/>
      </c>
      <c r="Z274" s="42">
        <f>IF(LEFT($B274,4)="_Mil","",_xlfn.IFNA(ROUND(INDEX(Spectrum!$N:$N,MATCH(RIGHT($B274,13)&amp;"|"&amp;$C274&amp;"|"&amp;$D274&amp;"|"&amp;Z$14&amp;"|"&amp;"CY2023Q3",Spectrum!$R:$R,0)),0),""))</f>
        <v>601</v>
      </c>
      <c r="AA274" s="90">
        <f>IF(LEFT($B274,4)="_Mil","",IFERROR(1/(1/INDEX(Spectrum!$N:$N,MATCH(RIGHT($B274,13)&amp;"|"&amp;$C274&amp;"|"&amp;$D274&amp;"|"&amp;AA$14&amp;"|"&amp;"CY2023Q3",Spectrum!$R:$R,0))),IF(SUM($U274)=0,"",SUM($Z274)/$U274)))</f>
        <v>1268</v>
      </c>
      <c r="AB274" s="90">
        <f t="shared" si="105"/>
        <v>0.46553059643687067</v>
      </c>
      <c r="AC274" s="14">
        <f>IF(LEFT($B274,4)="_Mil","",_xlfn.IFNA(ROUND(INDEX(Spectrum!$N:$N,MATCH(RIGHT($B274,13)&amp;"|"&amp;$C274&amp;"|"&amp;$D274&amp;"|"&amp;AC$14&amp;"|"&amp;"CY2023Q3",Spectrum!$R:$R,0)),0),""))</f>
        <v>1254</v>
      </c>
      <c r="AD274" s="14" t="str">
        <f>IF(LEFT($B274,4)="_Mil","",_xlfn.IFNA(ROUND(INDEX(Spectrum!$N:$N,MATCH(RIGHT($B274,13)&amp;"|"&amp;$C274&amp;"|"&amp;$D274&amp;"|"&amp;AD$14&amp;"|"&amp;"CY2023Q3",Spectrum!$R:$R,0)),0),""))</f>
        <v/>
      </c>
      <c r="AE274" s="90">
        <f t="shared" si="106"/>
        <v>0</v>
      </c>
      <c r="AF274" s="42" t="str">
        <f>IF(LEFT($B274,4)="_Mil","",_xlfn.IFNA(ROUND(INDEX(Spectrum!$N:$N,MATCH(RIGHT($B274,13)&amp;"|"&amp;$C274&amp;"|"&amp;$D274&amp;"|"&amp;AF$14&amp;"|"&amp;"CY2023Q3",Spectrum!$R:$R,0)),0),""))</f>
        <v/>
      </c>
      <c r="AG274" s="90" t="str">
        <f t="shared" si="107"/>
        <v/>
      </c>
      <c r="AH274" s="88" t="str">
        <f>IF(LEFT($B274,4)="_Mil","",_xlfn.IFNA(INDEX(Spectrum!$N:$N,MATCH(RIGHT($B274,13)&amp;"|"&amp;$C274&amp;"|"&amp;$D274&amp;"|"&amp;AH$14&amp;"|"&amp;"CY2023Q3",Spectrum!$R:$R,0)),""))</f>
        <v/>
      </c>
      <c r="AI274" s="14" t="str">
        <f>IF(LEFT($B274,4)="_Mil","",_xlfn.IFNA(ROUND(INDEX(Spectrum!$N:$N,MATCH(RIGHT($B274,13)&amp;"|"&amp;$C274&amp;"|"&amp;$D274&amp;"|"&amp;AI$14&amp;"|"&amp;"CY2023Q3",Spectrum!$R:$R,0)),0),""))</f>
        <v/>
      </c>
      <c r="AJ274" s="42">
        <f>IF(LEFT($B274,4)="_Mil","",_xlfn.IFNA(ROUND(INDEX(Spectrum!$N:$N,MATCH(RIGHT($B274,13)&amp;"|"&amp;$C274&amp;"|"&amp;$D274&amp;"|"&amp;AI$14&amp;"|"&amp;"CY2023Q3",Spectrum!$R:$R,0)),0),SUM($U274)+SUM($AI274)))</f>
        <v>0</v>
      </c>
      <c r="AK274" s="14" t="str">
        <f>IF(LEFT($B274,4)="_Mil","",_xlfn.IFNA(ROUND(INDEX(Spectrum!$N:$N,MATCH(RIGHT($B274,13)&amp;"|"&amp;$C274&amp;"|"&amp;$D274&amp;"|"&amp;AK$14&amp;"|"&amp;"CY2023Q3",Spectrum!$R:$R,0)),0),""))</f>
        <v/>
      </c>
      <c r="AL274" s="90">
        <f t="shared" si="108"/>
        <v>1268</v>
      </c>
      <c r="AM274" s="14">
        <f t="shared" si="109"/>
        <v>0</v>
      </c>
      <c r="AN274" s="14" t="str">
        <f>IF($C274="&lt;01",ROUND(INDEX(EID!$P:$P,MATCH($B274,EID!$B:$B,0))/2,0),"")</f>
        <v/>
      </c>
      <c r="AO274" s="14">
        <f t="shared" si="110"/>
        <v>0</v>
      </c>
      <c r="AP274" s="42">
        <f t="shared" si="111"/>
        <v>0</v>
      </c>
      <c r="AQ274" s="42">
        <f t="shared" si="112"/>
        <v>601</v>
      </c>
      <c r="AR274" s="90" t="str">
        <f t="shared" si="113"/>
        <v/>
      </c>
      <c r="AS274" s="90">
        <f t="shared" si="100"/>
        <v>0.98</v>
      </c>
      <c r="AT274" s="90">
        <f t="shared" si="100"/>
        <v>0.98</v>
      </c>
      <c r="AU274" s="14">
        <f t="shared" si="114"/>
        <v>0</v>
      </c>
      <c r="AV274" s="14">
        <f>IF($C274="&lt;01",ROUND(INDEX(EID!$N:$N,MATCH($B274,EID!$B:$B,0))/2,0),IF(SUM($AT274)=0,"",ROUND((SUM($AP274)-(SUM($O274)*SUM($AS274)))/$AT274,0)))</f>
        <v>0</v>
      </c>
      <c r="AW274" s="90">
        <f t="shared" si="115"/>
        <v>1</v>
      </c>
      <c r="AX274" s="42">
        <f t="shared" si="116"/>
        <v>0</v>
      </c>
      <c r="AY274" s="116">
        <f t="shared" si="117"/>
        <v>0.7</v>
      </c>
      <c r="AZ274" s="93">
        <f>IF($C274="&lt;01",ROUND(INDEX(EID!$R:$R,MATCH($B274,EID!$B:$B,0))/2,0),ROUND(SUM($O274)+(SUM($AV274)*$AY274),0))</f>
        <v>0</v>
      </c>
      <c r="BA274" s="89">
        <f t="shared" si="118"/>
        <v>0.95</v>
      </c>
      <c r="BB274" s="9">
        <f>IF($C274="&lt;01",ROUND(INDEX(EID!$T:$T,MATCH($B274,EID!$B:$B,0))/2,0),ROUND($AZ274*$BA274,0))</f>
        <v>0</v>
      </c>
      <c r="BC274" s="93">
        <f t="shared" si="119"/>
        <v>0</v>
      </c>
      <c r="BD274" s="90">
        <f t="shared" si="120"/>
        <v>0.95</v>
      </c>
      <c r="BE274" s="42">
        <f>IF($C274="&lt;01",ROUND(INDEX(EID!$V:$V,MATCH($B274,EID!$B:$B,0))/2,0),ROUND($BD274*$BB274,0))</f>
        <v>0</v>
      </c>
      <c r="BF274" s="42">
        <f t="shared" si="121"/>
        <v>0</v>
      </c>
      <c r="BG274" s="116">
        <f t="shared" si="122"/>
        <v>0.95</v>
      </c>
      <c r="BH274" s="9">
        <f>IF($C274="&lt;01",ROUND(INDEX(EID!$L:$L,MATCH($B274,EID!$B:$B,0)),0)/2,IF(SUM($BG274)=0,"",ROUND($AX274/$BG274,0)))</f>
        <v>0</v>
      </c>
    </row>
    <row r="275" spans="1:60" x14ac:dyDescent="0.2">
      <c r="A275" t="str">
        <f>INDEX(Prioritization!$D:$D,MATCH($B275,Prioritization!$A:$A,0))</f>
        <v>1 - Scale-up: Saturation</v>
      </c>
      <c r="B275" t="s">
        <v>211</v>
      </c>
      <c r="C275" t="s">
        <v>365</v>
      </c>
      <c r="D275" t="s">
        <v>29</v>
      </c>
      <c r="E275" t="str">
        <f t="shared" si="101"/>
        <v>Chikwawa District [U8c0so51kT6]|25-34|Female</v>
      </c>
      <c r="F275" s="14"/>
      <c r="G275" s="14"/>
      <c r="H275" s="14"/>
      <c r="I275" s="14"/>
      <c r="J275" s="14"/>
      <c r="K275" s="14"/>
      <c r="L275" s="14"/>
      <c r="M275" s="14"/>
      <c r="N275" s="14"/>
      <c r="O275" s="14" t="str">
        <f t="shared" si="102"/>
        <v/>
      </c>
      <c r="P275" s="14"/>
      <c r="Q275" s="14"/>
      <c r="R275" s="14" t="str">
        <f t="shared" si="103"/>
        <v/>
      </c>
      <c r="S275" s="14">
        <f>IF(LEFT($B275,4)="_Mil","",_xlfn.IFNA(ROUND(INDEX(Spectrum!$N:$N,MATCH(RIGHT($B275,13)&amp;"|"&amp;$C275&amp;"|"&amp;$D275&amp;"|"&amp;S$14&amp;"|"&amp;"CY2022Q4",Spectrum!$R:$R,0)),0),""))</f>
        <v>1544</v>
      </c>
      <c r="T275" s="42">
        <f>IF(LEFT($B275,4)="_Mil","",_xlfn.IFNA(ROUND(INDEX(Spectrum!$N:$N,MATCH(RIGHT($B275,13)&amp;"|"&amp;$C275&amp;"|"&amp;$D275&amp;"|"&amp;T$14&amp;"|"&amp;"CY2023Q3",Spectrum!$R:$R,0)),0),""))</f>
        <v>1032</v>
      </c>
      <c r="U275" s="42" t="str">
        <f>IF(LEFT($B275,4)="_Mil","",_xlfn.IFNA(ROUND(INDEX(Spectrum!$N:$N,MATCH(RIGHT($B275,13)&amp;"|"&amp;$C275&amp;"|"&amp;$D275&amp;"|"&amp;U$14&amp;"|"&amp;"CY2023Q3",Spectrum!$R:$R,0)),0),""))</f>
        <v/>
      </c>
      <c r="V275" s="14">
        <f>IF(LEFT($B275,4)="_Mil","",_xlfn.IFNA(ROUND(INDEX(Spectrum!$N:$N,MATCH(RIGHT($B275,13)&amp;"|"&amp;$C275&amp;"|"&amp;$D275&amp;"|"&amp;V$14&amp;"|"&amp;"CY2023Q3",Spectrum!$R:$R,0)),0),""))</f>
        <v>1865</v>
      </c>
      <c r="W275" s="115">
        <f>IF(LEFT($B275,4)="_Mil","",_xlfn.IFNA(INDEX(Spectrum!$N:$N,MATCH(RIGHT($B275,13)&amp;"|"&amp;$C275&amp;"|"&amp;$D275&amp;"|"&amp;W$14&amp;"|"&amp;"CY2023Q3",Spectrum!$R:$R,0)),""))</f>
        <v>1086</v>
      </c>
      <c r="X275" s="42">
        <f>IF(LEFT($B275,4)="_Mil","",_xlfn.IFNA(ROUND(INDEX(Spectrum!$N:$N,MATCH(RIGHT($B275,13)&amp;"|"&amp;$C275&amp;"|"&amp;$D275&amp;"|"&amp;X$14&amp;"|"&amp;"CY2023Q3",Spectrum!$R:$R,0)),0),""))</f>
        <v>1599</v>
      </c>
      <c r="Y275" s="90" t="str">
        <f t="shared" si="104"/>
        <v/>
      </c>
      <c r="Z275" s="42">
        <f>IF(LEFT($B275,4)="_Mil","",_xlfn.IFNA(ROUND(INDEX(Spectrum!$N:$N,MATCH(RIGHT($B275,13)&amp;"|"&amp;$C275&amp;"|"&amp;$D275&amp;"|"&amp;Z$14&amp;"|"&amp;"CY2023Q3",Spectrum!$R:$R,0)),0),""))</f>
        <v>793</v>
      </c>
      <c r="AA275" s="90">
        <f>IF(LEFT($B275,4)="_Mil","",IFERROR(1/(1/INDEX(Spectrum!$N:$N,MATCH(RIGHT($B275,13)&amp;"|"&amp;$C275&amp;"|"&amp;$D275&amp;"|"&amp;AA$14&amp;"|"&amp;"CY2023Q3",Spectrum!$R:$R,0))),IF(SUM($U275)=0,"",SUM($Z275)/$U275)))</f>
        <v>885</v>
      </c>
      <c r="AB275" s="90">
        <f t="shared" si="105"/>
        <v>0.49593495934959347</v>
      </c>
      <c r="AC275" s="14">
        <f>IF(LEFT($B275,4)="_Mil","",_xlfn.IFNA(ROUND(INDEX(Spectrum!$N:$N,MATCH(RIGHT($B275,13)&amp;"|"&amp;$C275&amp;"|"&amp;$D275&amp;"|"&amp;AC$14&amp;"|"&amp;"CY2023Q3",Spectrum!$R:$R,0)),0),""))</f>
        <v>641</v>
      </c>
      <c r="AD275" s="14" t="str">
        <f>IF(LEFT($B275,4)="_Mil","",_xlfn.IFNA(ROUND(INDEX(Spectrum!$N:$N,MATCH(RIGHT($B275,13)&amp;"|"&amp;$C275&amp;"|"&amp;$D275&amp;"|"&amp;AD$14&amp;"|"&amp;"CY2023Q3",Spectrum!$R:$R,0)),0),""))</f>
        <v/>
      </c>
      <c r="AE275" s="90">
        <f t="shared" si="106"/>
        <v>0</v>
      </c>
      <c r="AF275" s="42" t="str">
        <f>IF(LEFT($B275,4)="_Mil","",_xlfn.IFNA(ROUND(INDEX(Spectrum!$N:$N,MATCH(RIGHT($B275,13)&amp;"|"&amp;$C275&amp;"|"&amp;$D275&amp;"|"&amp;AF$14&amp;"|"&amp;"CY2023Q3",Spectrum!$R:$R,0)),0),""))</f>
        <v/>
      </c>
      <c r="AG275" s="90" t="str">
        <f t="shared" si="107"/>
        <v/>
      </c>
      <c r="AH275" s="88" t="str">
        <f>IF(LEFT($B275,4)="_Mil","",_xlfn.IFNA(INDEX(Spectrum!$N:$N,MATCH(RIGHT($B275,13)&amp;"|"&amp;$C275&amp;"|"&amp;$D275&amp;"|"&amp;AH$14&amp;"|"&amp;"CY2023Q3",Spectrum!$R:$R,0)),""))</f>
        <v/>
      </c>
      <c r="AI275" s="14" t="str">
        <f>IF(LEFT($B275,4)="_Mil","",_xlfn.IFNA(ROUND(INDEX(Spectrum!$N:$N,MATCH(RIGHT($B275,13)&amp;"|"&amp;$C275&amp;"|"&amp;$D275&amp;"|"&amp;AI$14&amp;"|"&amp;"CY2023Q3",Spectrum!$R:$R,0)),0),""))</f>
        <v/>
      </c>
      <c r="AJ275" s="42">
        <f>IF(LEFT($B275,4)="_Mil","",_xlfn.IFNA(ROUND(INDEX(Spectrum!$N:$N,MATCH(RIGHT($B275,13)&amp;"|"&amp;$C275&amp;"|"&amp;$D275&amp;"|"&amp;AI$14&amp;"|"&amp;"CY2023Q3",Spectrum!$R:$R,0)),0),SUM($U275)+SUM($AI275)))</f>
        <v>0</v>
      </c>
      <c r="AK275" s="14" t="str">
        <f>IF(LEFT($B275,4)="_Mil","",_xlfn.IFNA(ROUND(INDEX(Spectrum!$N:$N,MATCH(RIGHT($B275,13)&amp;"|"&amp;$C275&amp;"|"&amp;$D275&amp;"|"&amp;AK$14&amp;"|"&amp;"CY2023Q3",Spectrum!$R:$R,0)),0),""))</f>
        <v/>
      </c>
      <c r="AL275" s="90">
        <f t="shared" si="108"/>
        <v>885</v>
      </c>
      <c r="AM275" s="14">
        <f t="shared" si="109"/>
        <v>0</v>
      </c>
      <c r="AN275" s="14" t="str">
        <f>IF($C275="&lt;01",ROUND(INDEX(EID!$P:$P,MATCH($B275,EID!$B:$B,0))/2,0),"")</f>
        <v/>
      </c>
      <c r="AO275" s="14">
        <f t="shared" si="110"/>
        <v>0</v>
      </c>
      <c r="AP275" s="42">
        <f t="shared" si="111"/>
        <v>0</v>
      </c>
      <c r="AQ275" s="42">
        <f t="shared" si="112"/>
        <v>793</v>
      </c>
      <c r="AR275" s="90" t="str">
        <f t="shared" si="113"/>
        <v/>
      </c>
      <c r="AS275" s="90">
        <f t="shared" ref="AS275:AT294" si="123">IF($C275="&lt;01","",98%)</f>
        <v>0.98</v>
      </c>
      <c r="AT275" s="90">
        <f t="shared" si="123"/>
        <v>0.98</v>
      </c>
      <c r="AU275" s="14">
        <f t="shared" si="114"/>
        <v>0</v>
      </c>
      <c r="AV275" s="14">
        <f>IF($C275="&lt;01",ROUND(INDEX(EID!$N:$N,MATCH($B275,EID!$B:$B,0))/2,0),IF(SUM($AT275)=0,"",ROUND((SUM($AP275)-(SUM($O275)*SUM($AS275)))/$AT275,0)))</f>
        <v>0</v>
      </c>
      <c r="AW275" s="90">
        <f t="shared" si="115"/>
        <v>1</v>
      </c>
      <c r="AX275" s="42">
        <f t="shared" si="116"/>
        <v>0</v>
      </c>
      <c r="AY275" s="116">
        <f t="shared" si="117"/>
        <v>0.7</v>
      </c>
      <c r="AZ275" s="93">
        <f>IF($C275="&lt;01",ROUND(INDEX(EID!$R:$R,MATCH($B275,EID!$B:$B,0))/2,0),ROUND(SUM($O275)+(SUM($AV275)*$AY275),0))</f>
        <v>0</v>
      </c>
      <c r="BA275" s="89">
        <f t="shared" si="118"/>
        <v>0.95</v>
      </c>
      <c r="BB275" s="9">
        <f>IF($C275="&lt;01",ROUND(INDEX(EID!$T:$T,MATCH($B275,EID!$B:$B,0))/2,0),ROUND($AZ275*$BA275,0))</f>
        <v>0</v>
      </c>
      <c r="BC275" s="93">
        <f t="shared" si="119"/>
        <v>0</v>
      </c>
      <c r="BD275" s="90">
        <f t="shared" si="120"/>
        <v>0.95</v>
      </c>
      <c r="BE275" s="42">
        <f>IF($C275="&lt;01",ROUND(INDEX(EID!$V:$V,MATCH($B275,EID!$B:$B,0))/2,0),ROUND($BD275*$BB275,0))</f>
        <v>0</v>
      </c>
      <c r="BF275" s="42">
        <f t="shared" si="121"/>
        <v>0</v>
      </c>
      <c r="BG275" s="116">
        <f t="shared" si="122"/>
        <v>0.95</v>
      </c>
      <c r="BH275" s="9">
        <f>IF($C275="&lt;01",ROUND(INDEX(EID!$L:$L,MATCH($B275,EID!$B:$B,0)),0)/2,IF(SUM($BG275)=0,"",ROUND($AX275/$BG275,0)))</f>
        <v>0</v>
      </c>
    </row>
    <row r="276" spans="1:60" x14ac:dyDescent="0.2">
      <c r="A276" t="str">
        <f>INDEX(Prioritization!$D:$D,MATCH($B276,Prioritization!$A:$A,0))</f>
        <v>1 - Scale-up: Saturation</v>
      </c>
      <c r="B276" t="s">
        <v>211</v>
      </c>
      <c r="C276" t="s">
        <v>365</v>
      </c>
      <c r="D276" t="s">
        <v>47</v>
      </c>
      <c r="E276" t="str">
        <f t="shared" si="101"/>
        <v>Chikwawa District [U8c0so51kT6]|25-34|Male</v>
      </c>
      <c r="F276" s="14"/>
      <c r="G276" s="14"/>
      <c r="H276" s="14"/>
      <c r="I276" s="14"/>
      <c r="J276" s="14"/>
      <c r="K276" s="14"/>
      <c r="L276" s="14"/>
      <c r="M276" s="14"/>
      <c r="N276" s="14"/>
      <c r="O276" s="14" t="str">
        <f t="shared" si="102"/>
        <v/>
      </c>
      <c r="P276" s="14"/>
      <c r="Q276" s="14"/>
      <c r="R276" s="14" t="str">
        <f t="shared" si="103"/>
        <v/>
      </c>
      <c r="S276" s="14">
        <f>IF(LEFT($B276,4)="_Mil","",_xlfn.IFNA(ROUND(INDEX(Spectrum!$N:$N,MATCH(RIGHT($B276,13)&amp;"|"&amp;$C276&amp;"|"&amp;$D276&amp;"|"&amp;S$14&amp;"|"&amp;"CY2022Q4",Spectrum!$R:$R,0)),0),""))</f>
        <v>1539</v>
      </c>
      <c r="T276" s="42">
        <f>IF(LEFT($B276,4)="_Mil","",_xlfn.IFNA(ROUND(INDEX(Spectrum!$N:$N,MATCH(RIGHT($B276,13)&amp;"|"&amp;$C276&amp;"|"&amp;$D276&amp;"|"&amp;T$14&amp;"|"&amp;"CY2023Q3",Spectrum!$R:$R,0)),0),""))</f>
        <v>870</v>
      </c>
      <c r="U276" s="42" t="str">
        <f>IF(LEFT($B276,4)="_Mil","",_xlfn.IFNA(ROUND(INDEX(Spectrum!$N:$N,MATCH(RIGHT($B276,13)&amp;"|"&amp;$C276&amp;"|"&amp;$D276&amp;"|"&amp;U$14&amp;"|"&amp;"CY2023Q3",Spectrum!$R:$R,0)),0),""))</f>
        <v/>
      </c>
      <c r="V276" s="14">
        <f>IF(LEFT($B276,4)="_Mil","",_xlfn.IFNA(ROUND(INDEX(Spectrum!$N:$N,MATCH(RIGHT($B276,13)&amp;"|"&amp;$C276&amp;"|"&amp;$D276&amp;"|"&amp;V$14&amp;"|"&amp;"CY2023Q3",Spectrum!$R:$R,0)),0),""))</f>
        <v>1538</v>
      </c>
      <c r="W276" s="115">
        <f>IF(LEFT($B276,4)="_Mil","",_xlfn.IFNA(INDEX(Spectrum!$N:$N,MATCH(RIGHT($B276,13)&amp;"|"&amp;$C276&amp;"|"&amp;$D276&amp;"|"&amp;W$14&amp;"|"&amp;"CY2023Q3",Spectrum!$R:$R,0)),""))</f>
        <v>1112</v>
      </c>
      <c r="X276" s="42">
        <f>IF(LEFT($B276,4)="_Mil","",_xlfn.IFNA(ROUND(INDEX(Spectrum!$N:$N,MATCH(RIGHT($B276,13)&amp;"|"&amp;$C276&amp;"|"&amp;$D276&amp;"|"&amp;X$14&amp;"|"&amp;"CY2023Q3",Spectrum!$R:$R,0)),0),""))</f>
        <v>1972</v>
      </c>
      <c r="Y276" s="90" t="str">
        <f t="shared" si="104"/>
        <v/>
      </c>
      <c r="Z276" s="42">
        <f>IF(LEFT($B276,4)="_Mil","",_xlfn.IFNA(ROUND(INDEX(Spectrum!$N:$N,MATCH(RIGHT($B276,13)&amp;"|"&amp;$C276&amp;"|"&amp;$D276&amp;"|"&amp;Z$14&amp;"|"&amp;"CY2023Q3",Spectrum!$R:$R,0)),0),""))</f>
        <v>1916</v>
      </c>
      <c r="AA276" s="90">
        <f>IF(LEFT($B276,4)="_Mil","",IFERROR(1/(1/INDEX(Spectrum!$N:$N,MATCH(RIGHT($B276,13)&amp;"|"&amp;$C276&amp;"|"&amp;$D276&amp;"|"&amp;AA$14&amp;"|"&amp;"CY2023Q3",Spectrum!$R:$R,0))),IF(SUM($U276)=0,"",SUM($Z276)/$U276)))</f>
        <v>1897</v>
      </c>
      <c r="AB276" s="90">
        <f t="shared" si="105"/>
        <v>0.97160243407707914</v>
      </c>
      <c r="AC276" s="14">
        <f>IF(LEFT($B276,4)="_Mil","",_xlfn.IFNA(ROUND(INDEX(Spectrum!$N:$N,MATCH(RIGHT($B276,13)&amp;"|"&amp;$C276&amp;"|"&amp;$D276&amp;"|"&amp;AC$14&amp;"|"&amp;"CY2023Q3",Spectrum!$R:$R,0)),0),""))</f>
        <v>1218</v>
      </c>
      <c r="AD276" s="14" t="str">
        <f>IF(LEFT($B276,4)="_Mil","",_xlfn.IFNA(ROUND(INDEX(Spectrum!$N:$N,MATCH(RIGHT($B276,13)&amp;"|"&amp;$C276&amp;"|"&amp;$D276&amp;"|"&amp;AD$14&amp;"|"&amp;"CY2023Q3",Spectrum!$R:$R,0)),0),""))</f>
        <v/>
      </c>
      <c r="AE276" s="90">
        <f t="shared" si="106"/>
        <v>0</v>
      </c>
      <c r="AF276" s="42" t="str">
        <f>IF(LEFT($B276,4)="_Mil","",_xlfn.IFNA(ROUND(INDEX(Spectrum!$N:$N,MATCH(RIGHT($B276,13)&amp;"|"&amp;$C276&amp;"|"&amp;$D276&amp;"|"&amp;AF$14&amp;"|"&amp;"CY2023Q3",Spectrum!$R:$R,0)),0),""))</f>
        <v/>
      </c>
      <c r="AG276" s="90" t="str">
        <f t="shared" si="107"/>
        <v/>
      </c>
      <c r="AH276" s="88" t="str">
        <f>IF(LEFT($B276,4)="_Mil","",_xlfn.IFNA(INDEX(Spectrum!$N:$N,MATCH(RIGHT($B276,13)&amp;"|"&amp;$C276&amp;"|"&amp;$D276&amp;"|"&amp;AH$14&amp;"|"&amp;"CY2023Q3",Spectrum!$R:$R,0)),""))</f>
        <v/>
      </c>
      <c r="AI276" s="14" t="str">
        <f>IF(LEFT($B276,4)="_Mil","",_xlfn.IFNA(ROUND(INDEX(Spectrum!$N:$N,MATCH(RIGHT($B276,13)&amp;"|"&amp;$C276&amp;"|"&amp;$D276&amp;"|"&amp;AI$14&amp;"|"&amp;"CY2023Q3",Spectrum!$R:$R,0)),0),""))</f>
        <v/>
      </c>
      <c r="AJ276" s="42">
        <f>IF(LEFT($B276,4)="_Mil","",_xlfn.IFNA(ROUND(INDEX(Spectrum!$N:$N,MATCH(RIGHT($B276,13)&amp;"|"&amp;$C276&amp;"|"&amp;$D276&amp;"|"&amp;AI$14&amp;"|"&amp;"CY2023Q3",Spectrum!$R:$R,0)),0),SUM($U276)+SUM($AI276)))</f>
        <v>0</v>
      </c>
      <c r="AK276" s="14" t="str">
        <f>IF(LEFT($B276,4)="_Mil","",_xlfn.IFNA(ROUND(INDEX(Spectrum!$N:$N,MATCH(RIGHT($B276,13)&amp;"|"&amp;$C276&amp;"|"&amp;$D276&amp;"|"&amp;AK$14&amp;"|"&amp;"CY2023Q3",Spectrum!$R:$R,0)),0),""))</f>
        <v/>
      </c>
      <c r="AL276" s="90">
        <f t="shared" si="108"/>
        <v>1897</v>
      </c>
      <c r="AM276" s="14">
        <f t="shared" si="109"/>
        <v>0</v>
      </c>
      <c r="AN276" s="14" t="str">
        <f>IF($C276="&lt;01",ROUND(INDEX(EID!$P:$P,MATCH($B276,EID!$B:$B,0))/2,0),"")</f>
        <v/>
      </c>
      <c r="AO276" s="14">
        <f t="shared" si="110"/>
        <v>0</v>
      </c>
      <c r="AP276" s="42">
        <f t="shared" si="111"/>
        <v>0</v>
      </c>
      <c r="AQ276" s="42">
        <f t="shared" si="112"/>
        <v>1916</v>
      </c>
      <c r="AR276" s="90" t="str">
        <f t="shared" si="113"/>
        <v/>
      </c>
      <c r="AS276" s="90">
        <f t="shared" si="123"/>
        <v>0.98</v>
      </c>
      <c r="AT276" s="90">
        <f t="shared" si="123"/>
        <v>0.98</v>
      </c>
      <c r="AU276" s="14">
        <f t="shared" si="114"/>
        <v>0</v>
      </c>
      <c r="AV276" s="14">
        <f>IF($C276="&lt;01",ROUND(INDEX(EID!$N:$N,MATCH($B276,EID!$B:$B,0))/2,0),IF(SUM($AT276)=0,"",ROUND((SUM($AP276)-(SUM($O276)*SUM($AS276)))/$AT276,0)))</f>
        <v>0</v>
      </c>
      <c r="AW276" s="90">
        <f t="shared" si="115"/>
        <v>1</v>
      </c>
      <c r="AX276" s="42">
        <f t="shared" si="116"/>
        <v>0</v>
      </c>
      <c r="AY276" s="116">
        <f t="shared" si="117"/>
        <v>0.7</v>
      </c>
      <c r="AZ276" s="93">
        <f>IF($C276="&lt;01",ROUND(INDEX(EID!$R:$R,MATCH($B276,EID!$B:$B,0))/2,0),ROUND(SUM($O276)+(SUM($AV276)*$AY276),0))</f>
        <v>0</v>
      </c>
      <c r="BA276" s="89">
        <f t="shared" si="118"/>
        <v>0.95</v>
      </c>
      <c r="BB276" s="9">
        <f>IF($C276="&lt;01",ROUND(INDEX(EID!$T:$T,MATCH($B276,EID!$B:$B,0))/2,0),ROUND($AZ276*$BA276,0))</f>
        <v>0</v>
      </c>
      <c r="BC276" s="93">
        <f t="shared" si="119"/>
        <v>0</v>
      </c>
      <c r="BD276" s="90">
        <f t="shared" si="120"/>
        <v>0.95</v>
      </c>
      <c r="BE276" s="42">
        <f>IF($C276="&lt;01",ROUND(INDEX(EID!$V:$V,MATCH($B276,EID!$B:$B,0))/2,0),ROUND($BD276*$BB276,0))</f>
        <v>0</v>
      </c>
      <c r="BF276" s="42">
        <f t="shared" si="121"/>
        <v>0</v>
      </c>
      <c r="BG276" s="116">
        <f t="shared" si="122"/>
        <v>0.95</v>
      </c>
      <c r="BH276" s="9">
        <f>IF($C276="&lt;01",ROUND(INDEX(EID!$L:$L,MATCH($B276,EID!$B:$B,0)),0)/2,IF(SUM($BG276)=0,"",ROUND($AX276/$BG276,0)))</f>
        <v>0</v>
      </c>
    </row>
    <row r="277" spans="1:60" x14ac:dyDescent="0.2">
      <c r="A277" t="str">
        <f>INDEX(Prioritization!$D:$D,MATCH($B277,Prioritization!$A:$A,0))</f>
        <v>1 - Scale-up: Saturation</v>
      </c>
      <c r="B277" t="s">
        <v>211</v>
      </c>
      <c r="C277" t="s">
        <v>366</v>
      </c>
      <c r="D277" t="s">
        <v>29</v>
      </c>
      <c r="E277" t="str">
        <f t="shared" si="101"/>
        <v>Chikwawa District [U8c0so51kT6]|35-49|Female</v>
      </c>
      <c r="F277" s="14"/>
      <c r="G277" s="14"/>
      <c r="H277" s="14"/>
      <c r="I277" s="14"/>
      <c r="J277" s="14"/>
      <c r="K277" s="14"/>
      <c r="L277" s="14"/>
      <c r="M277" s="14"/>
      <c r="N277" s="14"/>
      <c r="O277" s="14" t="str">
        <f t="shared" si="102"/>
        <v/>
      </c>
      <c r="P277" s="14"/>
      <c r="Q277" s="14"/>
      <c r="R277" s="14" t="str">
        <f t="shared" si="103"/>
        <v/>
      </c>
      <c r="S277" s="14">
        <f>IF(LEFT($B277,4)="_Mil","",_xlfn.IFNA(ROUND(INDEX(Spectrum!$N:$N,MATCH(RIGHT($B277,13)&amp;"|"&amp;$C277&amp;"|"&amp;$D277&amp;"|"&amp;S$14&amp;"|"&amp;"CY2022Q4",Spectrum!$R:$R,0)),0),""))</f>
        <v>1309</v>
      </c>
      <c r="T277" s="42">
        <f>IF(LEFT($B277,4)="_Mil","",_xlfn.IFNA(ROUND(INDEX(Spectrum!$N:$N,MATCH(RIGHT($B277,13)&amp;"|"&amp;$C277&amp;"|"&amp;$D277&amp;"|"&amp;T$14&amp;"|"&amp;"CY2023Q3",Spectrum!$R:$R,0)),0),""))</f>
        <v>1445</v>
      </c>
      <c r="U277" s="42" t="str">
        <f>IF(LEFT($B277,4)="_Mil","",_xlfn.IFNA(ROUND(INDEX(Spectrum!$N:$N,MATCH(RIGHT($B277,13)&amp;"|"&amp;$C277&amp;"|"&amp;$D277&amp;"|"&amp;U$14&amp;"|"&amp;"CY2023Q3",Spectrum!$R:$R,0)),0),""))</f>
        <v/>
      </c>
      <c r="V277" s="14">
        <f>IF(LEFT($B277,4)="_Mil","",_xlfn.IFNA(ROUND(INDEX(Spectrum!$N:$N,MATCH(RIGHT($B277,13)&amp;"|"&amp;$C277&amp;"|"&amp;$D277&amp;"|"&amp;V$14&amp;"|"&amp;"CY2023Q3",Spectrum!$R:$R,0)),0),""))</f>
        <v>1257</v>
      </c>
      <c r="W277" s="115">
        <f>IF(LEFT($B277,4)="_Mil","",_xlfn.IFNA(INDEX(Spectrum!$N:$N,MATCH(RIGHT($B277,13)&amp;"|"&amp;$C277&amp;"|"&amp;$D277&amp;"|"&amp;W$14&amp;"|"&amp;"CY2023Q3",Spectrum!$R:$R,0)),""))</f>
        <v>1441</v>
      </c>
      <c r="X277" s="42">
        <f>IF(LEFT($B277,4)="_Mil","",_xlfn.IFNA(ROUND(INDEX(Spectrum!$N:$N,MATCH(RIGHT($B277,13)&amp;"|"&amp;$C277&amp;"|"&amp;$D277&amp;"|"&amp;X$14&amp;"|"&amp;"CY2023Q3",Spectrum!$R:$R,0)),0),""))</f>
        <v>1518</v>
      </c>
      <c r="Y277" s="90" t="str">
        <f t="shared" si="104"/>
        <v/>
      </c>
      <c r="Z277" s="42">
        <f>IF(LEFT($B277,4)="_Mil","",_xlfn.IFNA(ROUND(INDEX(Spectrum!$N:$N,MATCH(RIGHT($B277,13)&amp;"|"&amp;$C277&amp;"|"&amp;$D277&amp;"|"&amp;Z$14&amp;"|"&amp;"CY2023Q3",Spectrum!$R:$R,0)),0),""))</f>
        <v>1414</v>
      </c>
      <c r="AA277" s="90">
        <f>IF(LEFT($B277,4)="_Mil","",IFERROR(1/(1/INDEX(Spectrum!$N:$N,MATCH(RIGHT($B277,13)&amp;"|"&amp;$C277&amp;"|"&amp;$D277&amp;"|"&amp;AA$14&amp;"|"&amp;"CY2023Q3",Spectrum!$R:$R,0))),IF(SUM($U277)=0,"",SUM($Z277)/$U277)))</f>
        <v>1024</v>
      </c>
      <c r="AB277" s="90">
        <f t="shared" si="105"/>
        <v>0.93148880105401843</v>
      </c>
      <c r="AC277" s="14">
        <f>IF(LEFT($B277,4)="_Mil","",_xlfn.IFNA(ROUND(INDEX(Spectrum!$N:$N,MATCH(RIGHT($B277,13)&amp;"|"&amp;$C277&amp;"|"&amp;$D277&amp;"|"&amp;AC$14&amp;"|"&amp;"CY2023Q3",Spectrum!$R:$R,0)),0),""))</f>
        <v>725</v>
      </c>
      <c r="AD277" s="14" t="str">
        <f>IF(LEFT($B277,4)="_Mil","",_xlfn.IFNA(ROUND(INDEX(Spectrum!$N:$N,MATCH(RIGHT($B277,13)&amp;"|"&amp;$C277&amp;"|"&amp;$D277&amp;"|"&amp;AD$14&amp;"|"&amp;"CY2023Q3",Spectrum!$R:$R,0)),0),""))</f>
        <v/>
      </c>
      <c r="AE277" s="90">
        <f t="shared" si="106"/>
        <v>0</v>
      </c>
      <c r="AF277" s="42" t="str">
        <f>IF(LEFT($B277,4)="_Mil","",_xlfn.IFNA(ROUND(INDEX(Spectrum!$N:$N,MATCH(RIGHT($B277,13)&amp;"|"&amp;$C277&amp;"|"&amp;$D277&amp;"|"&amp;AF$14&amp;"|"&amp;"CY2023Q3",Spectrum!$R:$R,0)),0),""))</f>
        <v/>
      </c>
      <c r="AG277" s="90" t="str">
        <f t="shared" si="107"/>
        <v/>
      </c>
      <c r="AH277" s="88" t="str">
        <f>IF(LEFT($B277,4)="_Mil","",_xlfn.IFNA(INDEX(Spectrum!$N:$N,MATCH(RIGHT($B277,13)&amp;"|"&amp;$C277&amp;"|"&amp;$D277&amp;"|"&amp;AH$14&amp;"|"&amp;"CY2023Q3",Spectrum!$R:$R,0)),""))</f>
        <v/>
      </c>
      <c r="AI277" s="14" t="str">
        <f>IF(LEFT($B277,4)="_Mil","",_xlfn.IFNA(ROUND(INDEX(Spectrum!$N:$N,MATCH(RIGHT($B277,13)&amp;"|"&amp;$C277&amp;"|"&amp;$D277&amp;"|"&amp;AI$14&amp;"|"&amp;"CY2023Q3",Spectrum!$R:$R,0)),0),""))</f>
        <v/>
      </c>
      <c r="AJ277" s="42">
        <f>IF(LEFT($B277,4)="_Mil","",_xlfn.IFNA(ROUND(INDEX(Spectrum!$N:$N,MATCH(RIGHT($B277,13)&amp;"|"&amp;$C277&amp;"|"&amp;$D277&amp;"|"&amp;AI$14&amp;"|"&amp;"CY2023Q3",Spectrum!$R:$R,0)),0),SUM($U277)+SUM($AI277)))</f>
        <v>0</v>
      </c>
      <c r="AK277" s="14" t="str">
        <f>IF(LEFT($B277,4)="_Mil","",_xlfn.IFNA(ROUND(INDEX(Spectrum!$N:$N,MATCH(RIGHT($B277,13)&amp;"|"&amp;$C277&amp;"|"&amp;$D277&amp;"|"&amp;AK$14&amp;"|"&amp;"CY2023Q3",Spectrum!$R:$R,0)),0),""))</f>
        <v/>
      </c>
      <c r="AL277" s="90">
        <f t="shared" si="108"/>
        <v>1024</v>
      </c>
      <c r="AM277" s="14">
        <f t="shared" si="109"/>
        <v>0</v>
      </c>
      <c r="AN277" s="14" t="str">
        <f>IF($C277="&lt;01",ROUND(INDEX(EID!$P:$P,MATCH($B277,EID!$B:$B,0))/2,0),"")</f>
        <v/>
      </c>
      <c r="AO277" s="14">
        <f t="shared" si="110"/>
        <v>0</v>
      </c>
      <c r="AP277" s="42">
        <f t="shared" si="111"/>
        <v>0</v>
      </c>
      <c r="AQ277" s="42">
        <f t="shared" si="112"/>
        <v>1414</v>
      </c>
      <c r="AR277" s="90" t="str">
        <f t="shared" si="113"/>
        <v/>
      </c>
      <c r="AS277" s="90">
        <f t="shared" si="123"/>
        <v>0.98</v>
      </c>
      <c r="AT277" s="90">
        <f t="shared" si="123"/>
        <v>0.98</v>
      </c>
      <c r="AU277" s="14">
        <f t="shared" si="114"/>
        <v>0</v>
      </c>
      <c r="AV277" s="14">
        <f>IF($C277="&lt;01",ROUND(INDEX(EID!$N:$N,MATCH($B277,EID!$B:$B,0))/2,0),IF(SUM($AT277)=0,"",ROUND((SUM($AP277)-(SUM($O277)*SUM($AS277)))/$AT277,0)))</f>
        <v>0</v>
      </c>
      <c r="AW277" s="90">
        <f t="shared" si="115"/>
        <v>1</v>
      </c>
      <c r="AX277" s="42">
        <f t="shared" si="116"/>
        <v>0</v>
      </c>
      <c r="AY277" s="116">
        <f t="shared" si="117"/>
        <v>0.7</v>
      </c>
      <c r="AZ277" s="93">
        <f>IF($C277="&lt;01",ROUND(INDEX(EID!$R:$R,MATCH($B277,EID!$B:$B,0))/2,0),ROUND(SUM($O277)+(SUM($AV277)*$AY277),0))</f>
        <v>0</v>
      </c>
      <c r="BA277" s="89">
        <f t="shared" si="118"/>
        <v>0.95</v>
      </c>
      <c r="BB277" s="9">
        <f>IF($C277="&lt;01",ROUND(INDEX(EID!$T:$T,MATCH($B277,EID!$B:$B,0))/2,0),ROUND($AZ277*$BA277,0))</f>
        <v>0</v>
      </c>
      <c r="BC277" s="93">
        <f t="shared" si="119"/>
        <v>0</v>
      </c>
      <c r="BD277" s="90">
        <f t="shared" si="120"/>
        <v>0.95</v>
      </c>
      <c r="BE277" s="42">
        <f>IF($C277="&lt;01",ROUND(INDEX(EID!$V:$V,MATCH($B277,EID!$B:$B,0))/2,0),ROUND($BD277*$BB277,0))</f>
        <v>0</v>
      </c>
      <c r="BF277" s="42">
        <f t="shared" si="121"/>
        <v>0</v>
      </c>
      <c r="BG277" s="116">
        <f t="shared" si="122"/>
        <v>0.95</v>
      </c>
      <c r="BH277" s="9">
        <f>IF($C277="&lt;01",ROUND(INDEX(EID!$L:$L,MATCH($B277,EID!$B:$B,0)),0)/2,IF(SUM($BG277)=0,"",ROUND($AX277/$BG277,0)))</f>
        <v>0</v>
      </c>
    </row>
    <row r="278" spans="1:60" x14ac:dyDescent="0.2">
      <c r="A278" t="str">
        <f>INDEX(Prioritization!$D:$D,MATCH($B278,Prioritization!$A:$A,0))</f>
        <v>1 - Scale-up: Saturation</v>
      </c>
      <c r="B278" t="s">
        <v>211</v>
      </c>
      <c r="C278" t="s">
        <v>366</v>
      </c>
      <c r="D278" t="s">
        <v>47</v>
      </c>
      <c r="E278" t="str">
        <f t="shared" si="101"/>
        <v>Chikwawa District [U8c0so51kT6]|35-49|Male</v>
      </c>
      <c r="F278" s="14"/>
      <c r="G278" s="14"/>
      <c r="H278" s="14"/>
      <c r="I278" s="14"/>
      <c r="J278" s="14"/>
      <c r="K278" s="14"/>
      <c r="L278" s="14"/>
      <c r="M278" s="14"/>
      <c r="N278" s="14"/>
      <c r="O278" s="14" t="str">
        <f t="shared" si="102"/>
        <v/>
      </c>
      <c r="P278" s="14"/>
      <c r="Q278" s="14"/>
      <c r="R278" s="14" t="str">
        <f t="shared" si="103"/>
        <v/>
      </c>
      <c r="S278" s="14">
        <f>IF(LEFT($B278,4)="_Mil","",_xlfn.IFNA(ROUND(INDEX(Spectrum!$N:$N,MATCH(RIGHT($B278,13)&amp;"|"&amp;$C278&amp;"|"&amp;$D278&amp;"|"&amp;S$14&amp;"|"&amp;"CY2022Q4",Spectrum!$R:$R,0)),0),""))</f>
        <v>1707</v>
      </c>
      <c r="T278" s="42">
        <f>IF(LEFT($B278,4)="_Mil","",_xlfn.IFNA(ROUND(INDEX(Spectrum!$N:$N,MATCH(RIGHT($B278,13)&amp;"|"&amp;$C278&amp;"|"&amp;$D278&amp;"|"&amp;T$14&amp;"|"&amp;"CY2023Q3",Spectrum!$R:$R,0)),0),""))</f>
        <v>1906</v>
      </c>
      <c r="U278" s="42" t="str">
        <f>IF(LEFT($B278,4)="_Mil","",_xlfn.IFNA(ROUND(INDEX(Spectrum!$N:$N,MATCH(RIGHT($B278,13)&amp;"|"&amp;$C278&amp;"|"&amp;$D278&amp;"|"&amp;U$14&amp;"|"&amp;"CY2023Q3",Spectrum!$R:$R,0)),0),""))</f>
        <v/>
      </c>
      <c r="V278" s="14">
        <f>IF(LEFT($B278,4)="_Mil","",_xlfn.IFNA(ROUND(INDEX(Spectrum!$N:$N,MATCH(RIGHT($B278,13)&amp;"|"&amp;$C278&amp;"|"&amp;$D278&amp;"|"&amp;V$14&amp;"|"&amp;"CY2023Q3",Spectrum!$R:$R,0)),0),""))</f>
        <v>1401</v>
      </c>
      <c r="W278" s="115">
        <f>IF(LEFT($B278,4)="_Mil","",_xlfn.IFNA(INDEX(Spectrum!$N:$N,MATCH(RIGHT($B278,13)&amp;"|"&amp;$C278&amp;"|"&amp;$D278&amp;"|"&amp;W$14&amp;"|"&amp;"CY2023Q3",Spectrum!$R:$R,0)),""))</f>
        <v>1035</v>
      </c>
      <c r="X278" s="42">
        <f>IF(LEFT($B278,4)="_Mil","",_xlfn.IFNA(ROUND(INDEX(Spectrum!$N:$N,MATCH(RIGHT($B278,13)&amp;"|"&amp;$C278&amp;"|"&amp;$D278&amp;"|"&amp;X$14&amp;"|"&amp;"CY2023Q3",Spectrum!$R:$R,0)),0),""))</f>
        <v>1868</v>
      </c>
      <c r="Y278" s="90" t="str">
        <f t="shared" si="104"/>
        <v/>
      </c>
      <c r="Z278" s="42">
        <f>IF(LEFT($B278,4)="_Mil","",_xlfn.IFNA(ROUND(INDEX(Spectrum!$N:$N,MATCH(RIGHT($B278,13)&amp;"|"&amp;$C278&amp;"|"&amp;$D278&amp;"|"&amp;Z$14&amp;"|"&amp;"CY2023Q3",Spectrum!$R:$R,0)),0),""))</f>
        <v>629</v>
      </c>
      <c r="AA278" s="90">
        <f>IF(LEFT($B278,4)="_Mil","",IFERROR(1/(1/INDEX(Spectrum!$N:$N,MATCH(RIGHT($B278,13)&amp;"|"&amp;$C278&amp;"|"&amp;$D278&amp;"|"&amp;AA$14&amp;"|"&amp;"CY2023Q3",Spectrum!$R:$R,0))),IF(SUM($U278)=0,"",SUM($Z278)/$U278)))</f>
        <v>506.00000000000006</v>
      </c>
      <c r="AB278" s="90">
        <f t="shared" si="105"/>
        <v>0.33672376873661669</v>
      </c>
      <c r="AC278" s="14">
        <f>IF(LEFT($B278,4)="_Mil","",_xlfn.IFNA(ROUND(INDEX(Spectrum!$N:$N,MATCH(RIGHT($B278,13)&amp;"|"&amp;$C278&amp;"|"&amp;$D278&amp;"|"&amp;AC$14&amp;"|"&amp;"CY2023Q3",Spectrum!$R:$R,0)),0),""))</f>
        <v>797</v>
      </c>
      <c r="AD278" s="14" t="str">
        <f>IF(LEFT($B278,4)="_Mil","",_xlfn.IFNA(ROUND(INDEX(Spectrum!$N:$N,MATCH(RIGHT($B278,13)&amp;"|"&amp;$C278&amp;"|"&amp;$D278&amp;"|"&amp;AD$14&amp;"|"&amp;"CY2023Q3",Spectrum!$R:$R,0)),0),""))</f>
        <v/>
      </c>
      <c r="AE278" s="90">
        <f t="shared" si="106"/>
        <v>0</v>
      </c>
      <c r="AF278" s="42" t="str">
        <f>IF(LEFT($B278,4)="_Mil","",_xlfn.IFNA(ROUND(INDEX(Spectrum!$N:$N,MATCH(RIGHT($B278,13)&amp;"|"&amp;$C278&amp;"|"&amp;$D278&amp;"|"&amp;AF$14&amp;"|"&amp;"CY2023Q3",Spectrum!$R:$R,0)),0),""))</f>
        <v/>
      </c>
      <c r="AG278" s="90" t="str">
        <f t="shared" si="107"/>
        <v/>
      </c>
      <c r="AH278" s="88" t="str">
        <f>IF(LEFT($B278,4)="_Mil","",_xlfn.IFNA(INDEX(Spectrum!$N:$N,MATCH(RIGHT($B278,13)&amp;"|"&amp;$C278&amp;"|"&amp;$D278&amp;"|"&amp;AH$14&amp;"|"&amp;"CY2023Q3",Spectrum!$R:$R,0)),""))</f>
        <v/>
      </c>
      <c r="AI278" s="14" t="str">
        <f>IF(LEFT($B278,4)="_Mil","",_xlfn.IFNA(ROUND(INDEX(Spectrum!$N:$N,MATCH(RIGHT($B278,13)&amp;"|"&amp;$C278&amp;"|"&amp;$D278&amp;"|"&amp;AI$14&amp;"|"&amp;"CY2023Q3",Spectrum!$R:$R,0)),0),""))</f>
        <v/>
      </c>
      <c r="AJ278" s="42">
        <f>IF(LEFT($B278,4)="_Mil","",_xlfn.IFNA(ROUND(INDEX(Spectrum!$N:$N,MATCH(RIGHT($B278,13)&amp;"|"&amp;$C278&amp;"|"&amp;$D278&amp;"|"&amp;AI$14&amp;"|"&amp;"CY2023Q3",Spectrum!$R:$R,0)),0),SUM($U278)+SUM($AI278)))</f>
        <v>0</v>
      </c>
      <c r="AK278" s="14" t="str">
        <f>IF(LEFT($B278,4)="_Mil","",_xlfn.IFNA(ROUND(INDEX(Spectrum!$N:$N,MATCH(RIGHT($B278,13)&amp;"|"&amp;$C278&amp;"|"&amp;$D278&amp;"|"&amp;AK$14&amp;"|"&amp;"CY2023Q3",Spectrum!$R:$R,0)),0),""))</f>
        <v/>
      </c>
      <c r="AL278" s="90">
        <f t="shared" si="108"/>
        <v>506.00000000000006</v>
      </c>
      <c r="AM278" s="14">
        <f t="shared" si="109"/>
        <v>0</v>
      </c>
      <c r="AN278" s="14" t="str">
        <f>IF($C278="&lt;01",ROUND(INDEX(EID!$P:$P,MATCH($B278,EID!$B:$B,0))/2,0),"")</f>
        <v/>
      </c>
      <c r="AO278" s="14">
        <f t="shared" si="110"/>
        <v>0</v>
      </c>
      <c r="AP278" s="42">
        <f t="shared" si="111"/>
        <v>0</v>
      </c>
      <c r="AQ278" s="42">
        <f t="shared" si="112"/>
        <v>629</v>
      </c>
      <c r="AR278" s="90" t="str">
        <f t="shared" si="113"/>
        <v/>
      </c>
      <c r="AS278" s="90">
        <f t="shared" si="123"/>
        <v>0.98</v>
      </c>
      <c r="AT278" s="90">
        <f t="shared" si="123"/>
        <v>0.98</v>
      </c>
      <c r="AU278" s="14">
        <f t="shared" si="114"/>
        <v>0</v>
      </c>
      <c r="AV278" s="14">
        <f>IF($C278="&lt;01",ROUND(INDEX(EID!$N:$N,MATCH($B278,EID!$B:$B,0))/2,0),IF(SUM($AT278)=0,"",ROUND((SUM($AP278)-(SUM($O278)*SUM($AS278)))/$AT278,0)))</f>
        <v>0</v>
      </c>
      <c r="AW278" s="90">
        <f t="shared" si="115"/>
        <v>1</v>
      </c>
      <c r="AX278" s="42">
        <f t="shared" si="116"/>
        <v>0</v>
      </c>
      <c r="AY278" s="116">
        <f t="shared" si="117"/>
        <v>0.7</v>
      </c>
      <c r="AZ278" s="93">
        <f>IF($C278="&lt;01",ROUND(INDEX(EID!$R:$R,MATCH($B278,EID!$B:$B,0))/2,0),ROUND(SUM($O278)+(SUM($AV278)*$AY278),0))</f>
        <v>0</v>
      </c>
      <c r="BA278" s="89">
        <f t="shared" si="118"/>
        <v>0.95</v>
      </c>
      <c r="BB278" s="9">
        <f>IF($C278="&lt;01",ROUND(INDEX(EID!$T:$T,MATCH($B278,EID!$B:$B,0))/2,0),ROUND($AZ278*$BA278,0))</f>
        <v>0</v>
      </c>
      <c r="BC278" s="93">
        <f t="shared" si="119"/>
        <v>0</v>
      </c>
      <c r="BD278" s="90">
        <f t="shared" si="120"/>
        <v>0.95</v>
      </c>
      <c r="BE278" s="42">
        <f>IF($C278="&lt;01",ROUND(INDEX(EID!$V:$V,MATCH($B278,EID!$B:$B,0))/2,0),ROUND($BD278*$BB278,0))</f>
        <v>0</v>
      </c>
      <c r="BF278" s="42">
        <f t="shared" si="121"/>
        <v>0</v>
      </c>
      <c r="BG278" s="116">
        <f t="shared" si="122"/>
        <v>0.95</v>
      </c>
      <c r="BH278" s="9">
        <f>IF($C278="&lt;01",ROUND(INDEX(EID!$L:$L,MATCH($B278,EID!$B:$B,0)),0)/2,IF(SUM($BG278)=0,"",ROUND($AX278/$BG278,0)))</f>
        <v>0</v>
      </c>
    </row>
    <row r="279" spans="1:60" x14ac:dyDescent="0.2">
      <c r="A279" t="str">
        <f>INDEX(Prioritization!$D:$D,MATCH($B279,Prioritization!$A:$A,0))</f>
        <v>1 - Scale-up: Saturation</v>
      </c>
      <c r="B279" t="s">
        <v>211</v>
      </c>
      <c r="C279" t="s">
        <v>367</v>
      </c>
      <c r="D279" t="s">
        <v>29</v>
      </c>
      <c r="E279" t="str">
        <f t="shared" si="101"/>
        <v>Chikwawa District [U8c0so51kT6]|50+|Female</v>
      </c>
      <c r="F279" s="14"/>
      <c r="G279" s="14"/>
      <c r="H279" s="14"/>
      <c r="I279" s="14"/>
      <c r="J279" s="14"/>
      <c r="K279" s="14"/>
      <c r="L279" s="14"/>
      <c r="M279" s="14"/>
      <c r="N279" s="14"/>
      <c r="O279" s="14" t="str">
        <f t="shared" si="102"/>
        <v/>
      </c>
      <c r="P279" s="14"/>
      <c r="Q279" s="14"/>
      <c r="R279" s="14" t="str">
        <f t="shared" si="103"/>
        <v/>
      </c>
      <c r="S279" s="14">
        <f>IF(LEFT($B279,4)="_Mil","",_xlfn.IFNA(ROUND(INDEX(Spectrum!$N:$N,MATCH(RIGHT($B279,13)&amp;"|"&amp;$C279&amp;"|"&amp;$D279&amp;"|"&amp;S$14&amp;"|"&amp;"CY2022Q4",Spectrum!$R:$R,0)),0),""))</f>
        <v>1310</v>
      </c>
      <c r="T279" s="42">
        <f>IF(LEFT($B279,4)="_Mil","",_xlfn.IFNA(ROUND(INDEX(Spectrum!$N:$N,MATCH(RIGHT($B279,13)&amp;"|"&amp;$C279&amp;"|"&amp;$D279&amp;"|"&amp;T$14&amp;"|"&amp;"CY2023Q3",Spectrum!$R:$R,0)),0),""))</f>
        <v>1018</v>
      </c>
      <c r="U279" s="42" t="str">
        <f>IF(LEFT($B279,4)="_Mil","",_xlfn.IFNA(ROUND(INDEX(Spectrum!$N:$N,MATCH(RIGHT($B279,13)&amp;"|"&amp;$C279&amp;"|"&amp;$D279&amp;"|"&amp;U$14&amp;"|"&amp;"CY2023Q3",Spectrum!$R:$R,0)),0),""))</f>
        <v/>
      </c>
      <c r="V279" s="14">
        <f>IF(LEFT($B279,4)="_Mil","",_xlfn.IFNA(ROUND(INDEX(Spectrum!$N:$N,MATCH(RIGHT($B279,13)&amp;"|"&amp;$C279&amp;"|"&amp;$D279&amp;"|"&amp;V$14&amp;"|"&amp;"CY2023Q3",Spectrum!$R:$R,0)),0),""))</f>
        <v>1445</v>
      </c>
      <c r="W279" s="115">
        <f>IF(LEFT($B279,4)="_Mil","",_xlfn.IFNA(INDEX(Spectrum!$N:$N,MATCH(RIGHT($B279,13)&amp;"|"&amp;$C279&amp;"|"&amp;$D279&amp;"|"&amp;W$14&amp;"|"&amp;"CY2023Q3",Spectrum!$R:$R,0)),""))</f>
        <v>1347</v>
      </c>
      <c r="X279" s="42">
        <f>IF(LEFT($B279,4)="_Mil","",_xlfn.IFNA(ROUND(INDEX(Spectrum!$N:$N,MATCH(RIGHT($B279,13)&amp;"|"&amp;$C279&amp;"|"&amp;$D279&amp;"|"&amp;X$14&amp;"|"&amp;"CY2023Q3",Spectrum!$R:$R,0)),0),""))</f>
        <v>1082</v>
      </c>
      <c r="Y279" s="90" t="str">
        <f t="shared" si="104"/>
        <v/>
      </c>
      <c r="Z279" s="42">
        <f>IF(LEFT($B279,4)="_Mil","",_xlfn.IFNA(ROUND(INDEX(Spectrum!$N:$N,MATCH(RIGHT($B279,13)&amp;"|"&amp;$C279&amp;"|"&amp;$D279&amp;"|"&amp;Z$14&amp;"|"&amp;"CY2023Q3",Spectrum!$R:$R,0)),0),""))</f>
        <v>1631</v>
      </c>
      <c r="AA279" s="90">
        <f>IF(LEFT($B279,4)="_Mil","",IFERROR(1/(1/INDEX(Spectrum!$N:$N,MATCH(RIGHT($B279,13)&amp;"|"&amp;$C279&amp;"|"&amp;$D279&amp;"|"&amp;AA$14&amp;"|"&amp;"CY2023Q3",Spectrum!$R:$R,0))),IF(SUM($U279)=0,"",SUM($Z279)/$U279)))</f>
        <v>1469</v>
      </c>
      <c r="AB279" s="90">
        <f t="shared" si="105"/>
        <v>1.5073937153419594</v>
      </c>
      <c r="AC279" s="14">
        <f>IF(LEFT($B279,4)="_Mil","",_xlfn.IFNA(ROUND(INDEX(Spectrum!$N:$N,MATCH(RIGHT($B279,13)&amp;"|"&amp;$C279&amp;"|"&amp;$D279&amp;"|"&amp;AC$14&amp;"|"&amp;"CY2023Q3",Spectrum!$R:$R,0)),0),""))</f>
        <v>651</v>
      </c>
      <c r="AD279" s="14" t="str">
        <f>IF(LEFT($B279,4)="_Mil","",_xlfn.IFNA(ROUND(INDEX(Spectrum!$N:$N,MATCH(RIGHT($B279,13)&amp;"|"&amp;$C279&amp;"|"&amp;$D279&amp;"|"&amp;AD$14&amp;"|"&amp;"CY2023Q3",Spectrum!$R:$R,0)),0),""))</f>
        <v/>
      </c>
      <c r="AE279" s="90">
        <f t="shared" si="106"/>
        <v>0</v>
      </c>
      <c r="AF279" s="42" t="str">
        <f>IF(LEFT($B279,4)="_Mil","",_xlfn.IFNA(ROUND(INDEX(Spectrum!$N:$N,MATCH(RIGHT($B279,13)&amp;"|"&amp;$C279&amp;"|"&amp;$D279&amp;"|"&amp;AF$14&amp;"|"&amp;"CY2023Q3",Spectrum!$R:$R,0)),0),""))</f>
        <v/>
      </c>
      <c r="AG279" s="90" t="str">
        <f t="shared" si="107"/>
        <v/>
      </c>
      <c r="AH279" s="88" t="str">
        <f>IF(LEFT($B279,4)="_Mil","",_xlfn.IFNA(INDEX(Spectrum!$N:$N,MATCH(RIGHT($B279,13)&amp;"|"&amp;$C279&amp;"|"&amp;$D279&amp;"|"&amp;AH$14&amp;"|"&amp;"CY2023Q3",Spectrum!$R:$R,0)),""))</f>
        <v/>
      </c>
      <c r="AI279" s="14" t="str">
        <f>IF(LEFT($B279,4)="_Mil","",_xlfn.IFNA(ROUND(INDEX(Spectrum!$N:$N,MATCH(RIGHT($B279,13)&amp;"|"&amp;$C279&amp;"|"&amp;$D279&amp;"|"&amp;AI$14&amp;"|"&amp;"CY2023Q3",Spectrum!$R:$R,0)),0),""))</f>
        <v/>
      </c>
      <c r="AJ279" s="42">
        <f>IF(LEFT($B279,4)="_Mil","",_xlfn.IFNA(ROUND(INDEX(Spectrum!$N:$N,MATCH(RIGHT($B279,13)&amp;"|"&amp;$C279&amp;"|"&amp;$D279&amp;"|"&amp;AI$14&amp;"|"&amp;"CY2023Q3",Spectrum!$R:$R,0)),0),SUM($U279)+SUM($AI279)))</f>
        <v>0</v>
      </c>
      <c r="AK279" s="14" t="str">
        <f>IF(LEFT($B279,4)="_Mil","",_xlfn.IFNA(ROUND(INDEX(Spectrum!$N:$N,MATCH(RIGHT($B279,13)&amp;"|"&amp;$C279&amp;"|"&amp;$D279&amp;"|"&amp;AK$14&amp;"|"&amp;"CY2023Q3",Spectrum!$R:$R,0)),0),""))</f>
        <v/>
      </c>
      <c r="AL279" s="90">
        <f t="shared" si="108"/>
        <v>1469</v>
      </c>
      <c r="AM279" s="14">
        <f t="shared" si="109"/>
        <v>0</v>
      </c>
      <c r="AN279" s="14" t="str">
        <f>IF($C279="&lt;01",ROUND(INDEX(EID!$P:$P,MATCH($B279,EID!$B:$B,0))/2,0),"")</f>
        <v/>
      </c>
      <c r="AO279" s="14">
        <f t="shared" si="110"/>
        <v>0</v>
      </c>
      <c r="AP279" s="42">
        <f t="shared" si="111"/>
        <v>0</v>
      </c>
      <c r="AQ279" s="42">
        <f t="shared" si="112"/>
        <v>1631</v>
      </c>
      <c r="AR279" s="90" t="str">
        <f t="shared" si="113"/>
        <v/>
      </c>
      <c r="AS279" s="90">
        <f t="shared" si="123"/>
        <v>0.98</v>
      </c>
      <c r="AT279" s="90">
        <f t="shared" si="123"/>
        <v>0.98</v>
      </c>
      <c r="AU279" s="14">
        <f t="shared" si="114"/>
        <v>0</v>
      </c>
      <c r="AV279" s="14">
        <f>IF($C279="&lt;01",ROUND(INDEX(EID!$N:$N,MATCH($B279,EID!$B:$B,0))/2,0),IF(SUM($AT279)=0,"",ROUND((SUM($AP279)-(SUM($O279)*SUM($AS279)))/$AT279,0)))</f>
        <v>0</v>
      </c>
      <c r="AW279" s="90">
        <f t="shared" si="115"/>
        <v>1</v>
      </c>
      <c r="AX279" s="42">
        <f t="shared" si="116"/>
        <v>0</v>
      </c>
      <c r="AY279" s="116">
        <f t="shared" si="117"/>
        <v>0.7</v>
      </c>
      <c r="AZ279" s="93">
        <f>IF($C279="&lt;01",ROUND(INDEX(EID!$R:$R,MATCH($B279,EID!$B:$B,0))/2,0),ROUND(SUM($O279)+(SUM($AV279)*$AY279),0))</f>
        <v>0</v>
      </c>
      <c r="BA279" s="89">
        <f t="shared" si="118"/>
        <v>0.95</v>
      </c>
      <c r="BB279" s="9">
        <f>IF($C279="&lt;01",ROUND(INDEX(EID!$T:$T,MATCH($B279,EID!$B:$B,0))/2,0),ROUND($AZ279*$BA279,0))</f>
        <v>0</v>
      </c>
      <c r="BC279" s="93">
        <f t="shared" si="119"/>
        <v>0</v>
      </c>
      <c r="BD279" s="90">
        <f t="shared" si="120"/>
        <v>0.95</v>
      </c>
      <c r="BE279" s="42">
        <f>IF($C279="&lt;01",ROUND(INDEX(EID!$V:$V,MATCH($B279,EID!$B:$B,0))/2,0),ROUND($BD279*$BB279,0))</f>
        <v>0</v>
      </c>
      <c r="BF279" s="42">
        <f t="shared" si="121"/>
        <v>0</v>
      </c>
      <c r="BG279" s="116">
        <f t="shared" si="122"/>
        <v>0.95</v>
      </c>
      <c r="BH279" s="9">
        <f>IF($C279="&lt;01",ROUND(INDEX(EID!$L:$L,MATCH($B279,EID!$B:$B,0)),0)/2,IF(SUM($BG279)=0,"",ROUND($AX279/$BG279,0)))</f>
        <v>0</v>
      </c>
    </row>
    <row r="280" spans="1:60" x14ac:dyDescent="0.2">
      <c r="A280" t="str">
        <f>INDEX(Prioritization!$D:$D,MATCH($B280,Prioritization!$A:$A,0))</f>
        <v>1 - Scale-up: Saturation</v>
      </c>
      <c r="B280" t="s">
        <v>211</v>
      </c>
      <c r="C280" t="s">
        <v>367</v>
      </c>
      <c r="D280" t="s">
        <v>47</v>
      </c>
      <c r="E280" t="str">
        <f t="shared" si="101"/>
        <v>Chikwawa District [U8c0so51kT6]|50+|Male</v>
      </c>
      <c r="F280" s="14"/>
      <c r="G280" s="14"/>
      <c r="H280" s="14"/>
      <c r="I280" s="14"/>
      <c r="J280" s="14"/>
      <c r="K280" s="14"/>
      <c r="L280" s="14"/>
      <c r="M280" s="14"/>
      <c r="N280" s="14"/>
      <c r="O280" s="14" t="str">
        <f t="shared" si="102"/>
        <v/>
      </c>
      <c r="P280" s="14"/>
      <c r="Q280" s="14"/>
      <c r="R280" s="14" t="str">
        <f t="shared" si="103"/>
        <v/>
      </c>
      <c r="S280" s="14">
        <f>IF(LEFT($B280,4)="_Mil","",_xlfn.IFNA(ROUND(INDEX(Spectrum!$N:$N,MATCH(RIGHT($B280,13)&amp;"|"&amp;$C280&amp;"|"&amp;$D280&amp;"|"&amp;S$14&amp;"|"&amp;"CY2022Q4",Spectrum!$R:$R,0)),0),""))</f>
        <v>1317</v>
      </c>
      <c r="T280" s="42">
        <f>IF(LEFT($B280,4)="_Mil","",_xlfn.IFNA(ROUND(INDEX(Spectrum!$N:$N,MATCH(RIGHT($B280,13)&amp;"|"&amp;$C280&amp;"|"&amp;$D280&amp;"|"&amp;T$14&amp;"|"&amp;"CY2023Q3",Spectrum!$R:$R,0)),0),""))</f>
        <v>1031</v>
      </c>
      <c r="U280" s="42" t="str">
        <f>IF(LEFT($B280,4)="_Mil","",_xlfn.IFNA(ROUND(INDEX(Spectrum!$N:$N,MATCH(RIGHT($B280,13)&amp;"|"&amp;$C280&amp;"|"&amp;$D280&amp;"|"&amp;U$14&amp;"|"&amp;"CY2023Q3",Spectrum!$R:$R,0)),0),""))</f>
        <v/>
      </c>
      <c r="V280" s="14">
        <f>IF(LEFT($B280,4)="_Mil","",_xlfn.IFNA(ROUND(INDEX(Spectrum!$N:$N,MATCH(RIGHT($B280,13)&amp;"|"&amp;$C280&amp;"|"&amp;$D280&amp;"|"&amp;V$14&amp;"|"&amp;"CY2023Q3",Spectrum!$R:$R,0)),0),""))</f>
        <v>1287</v>
      </c>
      <c r="W280" s="115">
        <f>IF(LEFT($B280,4)="_Mil","",_xlfn.IFNA(INDEX(Spectrum!$N:$N,MATCH(RIGHT($B280,13)&amp;"|"&amp;$C280&amp;"|"&amp;$D280&amp;"|"&amp;W$14&amp;"|"&amp;"CY2023Q3",Spectrum!$R:$R,0)),""))</f>
        <v>1776</v>
      </c>
      <c r="X280" s="42">
        <f>IF(LEFT($B280,4)="_Mil","",_xlfn.IFNA(ROUND(INDEX(Spectrum!$N:$N,MATCH(RIGHT($B280,13)&amp;"|"&amp;$C280&amp;"|"&amp;$D280&amp;"|"&amp;X$14&amp;"|"&amp;"CY2023Q3",Spectrum!$R:$R,0)),0),""))</f>
        <v>1716</v>
      </c>
      <c r="Y280" s="90" t="str">
        <f t="shared" si="104"/>
        <v/>
      </c>
      <c r="Z280" s="42">
        <f>IF(LEFT($B280,4)="_Mil","",_xlfn.IFNA(ROUND(INDEX(Spectrum!$N:$N,MATCH(RIGHT($B280,13)&amp;"|"&amp;$C280&amp;"|"&amp;$D280&amp;"|"&amp;Z$14&amp;"|"&amp;"CY2023Q3",Spectrum!$R:$R,0)),0),""))</f>
        <v>1023</v>
      </c>
      <c r="AA280" s="90">
        <f>IF(LEFT($B280,4)="_Mil","",IFERROR(1/(1/INDEX(Spectrum!$N:$N,MATCH(RIGHT($B280,13)&amp;"|"&amp;$C280&amp;"|"&amp;$D280&amp;"|"&amp;AA$14&amp;"|"&amp;"CY2023Q3",Spectrum!$R:$R,0))),IF(SUM($U280)=0,"",SUM($Z280)/$U280)))</f>
        <v>1963</v>
      </c>
      <c r="AB280" s="90">
        <f t="shared" si="105"/>
        <v>0.59615384615384615</v>
      </c>
      <c r="AC280" s="14">
        <f>IF(LEFT($B280,4)="_Mil","",_xlfn.IFNA(ROUND(INDEX(Spectrum!$N:$N,MATCH(RIGHT($B280,13)&amp;"|"&amp;$C280&amp;"|"&amp;$D280&amp;"|"&amp;AC$14&amp;"|"&amp;"CY2023Q3",Spectrum!$R:$R,0)),0),""))</f>
        <v>593</v>
      </c>
      <c r="AD280" s="14" t="str">
        <f>IF(LEFT($B280,4)="_Mil","",_xlfn.IFNA(ROUND(INDEX(Spectrum!$N:$N,MATCH(RIGHT($B280,13)&amp;"|"&amp;$C280&amp;"|"&amp;$D280&amp;"|"&amp;AD$14&amp;"|"&amp;"CY2023Q3",Spectrum!$R:$R,0)),0),""))</f>
        <v/>
      </c>
      <c r="AE280" s="90">
        <f t="shared" si="106"/>
        <v>0</v>
      </c>
      <c r="AF280" s="42" t="str">
        <f>IF(LEFT($B280,4)="_Mil","",_xlfn.IFNA(ROUND(INDEX(Spectrum!$N:$N,MATCH(RIGHT($B280,13)&amp;"|"&amp;$C280&amp;"|"&amp;$D280&amp;"|"&amp;AF$14&amp;"|"&amp;"CY2023Q3",Spectrum!$R:$R,0)),0),""))</f>
        <v/>
      </c>
      <c r="AG280" s="90" t="str">
        <f t="shared" si="107"/>
        <v/>
      </c>
      <c r="AH280" s="88" t="str">
        <f>IF(LEFT($B280,4)="_Mil","",_xlfn.IFNA(INDEX(Spectrum!$N:$N,MATCH(RIGHT($B280,13)&amp;"|"&amp;$C280&amp;"|"&amp;$D280&amp;"|"&amp;AH$14&amp;"|"&amp;"CY2023Q3",Spectrum!$R:$R,0)),""))</f>
        <v/>
      </c>
      <c r="AI280" s="14" t="str">
        <f>IF(LEFT($B280,4)="_Mil","",_xlfn.IFNA(ROUND(INDEX(Spectrum!$N:$N,MATCH(RIGHT($B280,13)&amp;"|"&amp;$C280&amp;"|"&amp;$D280&amp;"|"&amp;AI$14&amp;"|"&amp;"CY2023Q3",Spectrum!$R:$R,0)),0),""))</f>
        <v/>
      </c>
      <c r="AJ280" s="42">
        <f>IF(LEFT($B280,4)="_Mil","",_xlfn.IFNA(ROUND(INDEX(Spectrum!$N:$N,MATCH(RIGHT($B280,13)&amp;"|"&amp;$C280&amp;"|"&amp;$D280&amp;"|"&amp;AI$14&amp;"|"&amp;"CY2023Q3",Spectrum!$R:$R,0)),0),SUM($U280)+SUM($AI280)))</f>
        <v>0</v>
      </c>
      <c r="AK280" s="14" t="str">
        <f>IF(LEFT($B280,4)="_Mil","",_xlfn.IFNA(ROUND(INDEX(Spectrum!$N:$N,MATCH(RIGHT($B280,13)&amp;"|"&amp;$C280&amp;"|"&amp;$D280&amp;"|"&amp;AK$14&amp;"|"&amp;"CY2023Q3",Spectrum!$R:$R,0)),0),""))</f>
        <v/>
      </c>
      <c r="AL280" s="90">
        <f t="shared" si="108"/>
        <v>1963</v>
      </c>
      <c r="AM280" s="14">
        <f t="shared" si="109"/>
        <v>0</v>
      </c>
      <c r="AN280" s="14" t="str">
        <f>IF($C280="&lt;01",ROUND(INDEX(EID!$P:$P,MATCH($B280,EID!$B:$B,0))/2,0),"")</f>
        <v/>
      </c>
      <c r="AO280" s="14">
        <f t="shared" si="110"/>
        <v>0</v>
      </c>
      <c r="AP280" s="42">
        <f t="shared" si="111"/>
        <v>0</v>
      </c>
      <c r="AQ280" s="42">
        <f t="shared" si="112"/>
        <v>1023</v>
      </c>
      <c r="AR280" s="90" t="str">
        <f t="shared" si="113"/>
        <v/>
      </c>
      <c r="AS280" s="90">
        <f t="shared" si="123"/>
        <v>0.98</v>
      </c>
      <c r="AT280" s="90">
        <f t="shared" si="123"/>
        <v>0.98</v>
      </c>
      <c r="AU280" s="14">
        <f t="shared" si="114"/>
        <v>0</v>
      </c>
      <c r="AV280" s="14">
        <f>IF($C280="&lt;01",ROUND(INDEX(EID!$N:$N,MATCH($B280,EID!$B:$B,0))/2,0),IF(SUM($AT280)=0,"",ROUND((SUM($AP280)-(SUM($O280)*SUM($AS280)))/$AT280,0)))</f>
        <v>0</v>
      </c>
      <c r="AW280" s="90">
        <f t="shared" si="115"/>
        <v>1</v>
      </c>
      <c r="AX280" s="42">
        <f t="shared" si="116"/>
        <v>0</v>
      </c>
      <c r="AY280" s="116">
        <f t="shared" si="117"/>
        <v>0.7</v>
      </c>
      <c r="AZ280" s="93">
        <f>IF($C280="&lt;01",ROUND(INDEX(EID!$R:$R,MATCH($B280,EID!$B:$B,0))/2,0),ROUND(SUM($O280)+(SUM($AV280)*$AY280),0))</f>
        <v>0</v>
      </c>
      <c r="BA280" s="89">
        <f t="shared" si="118"/>
        <v>0.95</v>
      </c>
      <c r="BB280" s="9">
        <f>IF($C280="&lt;01",ROUND(INDEX(EID!$T:$T,MATCH($B280,EID!$B:$B,0))/2,0),ROUND($AZ280*$BA280,0))</f>
        <v>0</v>
      </c>
      <c r="BC280" s="93">
        <f t="shared" si="119"/>
        <v>0</v>
      </c>
      <c r="BD280" s="90">
        <f t="shared" si="120"/>
        <v>0.95</v>
      </c>
      <c r="BE280" s="42">
        <f>IF($C280="&lt;01",ROUND(INDEX(EID!$V:$V,MATCH($B280,EID!$B:$B,0))/2,0),ROUND($BD280*$BB280,0))</f>
        <v>0</v>
      </c>
      <c r="BF280" s="42">
        <f t="shared" si="121"/>
        <v>0</v>
      </c>
      <c r="BG280" s="116">
        <f t="shared" si="122"/>
        <v>0.95</v>
      </c>
      <c r="BH280" s="9">
        <f>IF($C280="&lt;01",ROUND(INDEX(EID!$L:$L,MATCH($B280,EID!$B:$B,0)),0)/2,IF(SUM($BG280)=0,"",ROUND($AX280/$BG280,0)))</f>
        <v>0</v>
      </c>
    </row>
    <row r="281" spans="1:60" x14ac:dyDescent="0.2">
      <c r="A281" t="str">
        <f>INDEX(Prioritization!$D:$D,MATCH($B281,Prioritization!$A:$A,0))</f>
        <v>1 - Scale-up: Saturation</v>
      </c>
      <c r="B281" t="s">
        <v>212</v>
      </c>
      <c r="C281" t="s">
        <v>315</v>
      </c>
      <c r="D281" t="s">
        <v>29</v>
      </c>
      <c r="E281" t="str">
        <f t="shared" si="101"/>
        <v>Chiradzulu District [oiPR2CiVJbf]|&lt;01|Female</v>
      </c>
      <c r="F281" s="14"/>
      <c r="G281" s="14">
        <v>8</v>
      </c>
      <c r="H281" s="14">
        <v>3</v>
      </c>
      <c r="I281" s="14">
        <v>1</v>
      </c>
      <c r="J281" s="14">
        <v>5</v>
      </c>
      <c r="K281" s="14">
        <v>8</v>
      </c>
      <c r="L281" s="14"/>
      <c r="M281" s="14">
        <v>1</v>
      </c>
      <c r="N281" s="14">
        <v>1</v>
      </c>
      <c r="O281" s="14">
        <f t="shared" si="102"/>
        <v>1</v>
      </c>
      <c r="P281" s="14">
        <v>0</v>
      </c>
      <c r="Q281" s="14">
        <v>0</v>
      </c>
      <c r="R281" s="14">
        <f t="shared" si="103"/>
        <v>0</v>
      </c>
      <c r="S281" s="14">
        <f>IF(LEFT($B281,4)="_Mil","",_xlfn.IFNA(ROUND(INDEX(Spectrum!$N:$N,MATCH(RIGHT($B281,13)&amp;"|"&amp;$C281&amp;"|"&amp;$D281&amp;"|"&amp;S$14&amp;"|"&amp;"CY2022Q4",Spectrum!$R:$R,0)),0),""))</f>
        <v>884</v>
      </c>
      <c r="T281" s="42">
        <f>IF(LEFT($B281,4)="_Mil","",_xlfn.IFNA(ROUND(INDEX(Spectrum!$N:$N,MATCH(RIGHT($B281,13)&amp;"|"&amp;$C281&amp;"|"&amp;$D281&amp;"|"&amp;T$14&amp;"|"&amp;"CY2023Q3",Spectrum!$R:$R,0)),0),""))</f>
        <v>1863</v>
      </c>
      <c r="U281" s="42" t="str">
        <f>IF(LEFT($B281,4)="_Mil","",_xlfn.IFNA(ROUND(INDEX(Spectrum!$N:$N,MATCH(RIGHT($B281,13)&amp;"|"&amp;$C281&amp;"|"&amp;$D281&amp;"|"&amp;U$14&amp;"|"&amp;"CY2023Q3",Spectrum!$R:$R,0)),0),""))</f>
        <v/>
      </c>
      <c r="V281" s="14">
        <f>IF(LEFT($B281,4)="_Mil","",_xlfn.IFNA(ROUND(INDEX(Spectrum!$N:$N,MATCH(RIGHT($B281,13)&amp;"|"&amp;$C281&amp;"|"&amp;$D281&amp;"|"&amp;V$14&amp;"|"&amp;"CY2023Q3",Spectrum!$R:$R,0)),0),""))</f>
        <v>1127</v>
      </c>
      <c r="W281" s="115">
        <f>IF(LEFT($B281,4)="_Mil","",_xlfn.IFNA(INDEX(Spectrum!$N:$N,MATCH(RIGHT($B281,13)&amp;"|"&amp;$C281&amp;"|"&amp;$D281&amp;"|"&amp;W$14&amp;"|"&amp;"CY2023Q3",Spectrum!$R:$R,0)),""))</f>
        <v>522</v>
      </c>
      <c r="X281" s="42">
        <f>IF(LEFT($B281,4)="_Mil","",_xlfn.IFNA(ROUND(INDEX(Spectrum!$N:$N,MATCH(RIGHT($B281,13)&amp;"|"&amp;$C281&amp;"|"&amp;$D281&amp;"|"&amp;X$14&amp;"|"&amp;"CY2023Q3",Spectrum!$R:$R,0)),0),""))</f>
        <v>1041</v>
      </c>
      <c r="Y281" s="90" t="str">
        <f t="shared" si="104"/>
        <v/>
      </c>
      <c r="Z281" s="42">
        <f>IF(LEFT($B281,4)="_Mil","",_xlfn.IFNA(ROUND(INDEX(Spectrum!$N:$N,MATCH(RIGHT($B281,13)&amp;"|"&amp;$C281&amp;"|"&amp;$D281&amp;"|"&amp;Z$14&amp;"|"&amp;"CY2023Q3",Spectrum!$R:$R,0)),0),""))</f>
        <v>867</v>
      </c>
      <c r="AA281" s="90">
        <f>IF(LEFT($B281,4)="_Mil","",IFERROR(1/(1/INDEX(Spectrum!$N:$N,MATCH(RIGHT($B281,13)&amp;"|"&amp;$C281&amp;"|"&amp;$D281&amp;"|"&amp;AA$14&amp;"|"&amp;"CY2023Q3",Spectrum!$R:$R,0))),IF(SUM($U281)=0,"",SUM($Z281)/$U281)))</f>
        <v>1367</v>
      </c>
      <c r="AB281" s="90">
        <f t="shared" si="105"/>
        <v>0.83285302593659938</v>
      </c>
      <c r="AC281" s="14">
        <f>IF(LEFT($B281,4)="_Mil","",_xlfn.IFNA(ROUND(INDEX(Spectrum!$N:$N,MATCH(RIGHT($B281,13)&amp;"|"&amp;$C281&amp;"|"&amp;$D281&amp;"|"&amp;AC$14&amp;"|"&amp;"CY2023Q3",Spectrum!$R:$R,0)),0),""))</f>
        <v>1227</v>
      </c>
      <c r="AD281" s="14" t="str">
        <f>IF(LEFT($B281,4)="_Mil","",_xlfn.IFNA(ROUND(INDEX(Spectrum!$N:$N,MATCH(RIGHT($B281,13)&amp;"|"&amp;$C281&amp;"|"&amp;$D281&amp;"|"&amp;AD$14&amp;"|"&amp;"CY2023Q3",Spectrum!$R:$R,0)),0),""))</f>
        <v/>
      </c>
      <c r="AE281" s="90">
        <f t="shared" si="106"/>
        <v>0</v>
      </c>
      <c r="AF281" s="42" t="str">
        <f>IF(LEFT($B281,4)="_Mil","",_xlfn.IFNA(ROUND(INDEX(Spectrum!$N:$N,MATCH(RIGHT($B281,13)&amp;"|"&amp;$C281&amp;"|"&amp;$D281&amp;"|"&amp;AF$14&amp;"|"&amp;"CY2023Q3",Spectrum!$R:$R,0)),0),""))</f>
        <v/>
      </c>
      <c r="AG281" s="90" t="str">
        <f t="shared" si="107"/>
        <v/>
      </c>
      <c r="AH281" s="88" t="str">
        <f>IF(LEFT($B281,4)="_Mil","",_xlfn.IFNA(INDEX(Spectrum!$N:$N,MATCH(RIGHT($B281,13)&amp;"|"&amp;$C281&amp;"|"&amp;$D281&amp;"|"&amp;AH$14&amp;"|"&amp;"CY2023Q3",Spectrum!$R:$R,0)),""))</f>
        <v/>
      </c>
      <c r="AI281" s="14" t="str">
        <f>IF(LEFT($B281,4)="_Mil","",_xlfn.IFNA(ROUND(INDEX(Spectrum!$N:$N,MATCH(RIGHT($B281,13)&amp;"|"&amp;$C281&amp;"|"&amp;$D281&amp;"|"&amp;AI$14&amp;"|"&amp;"CY2023Q3",Spectrum!$R:$R,0)),0),""))</f>
        <v/>
      </c>
      <c r="AJ281" s="42">
        <f>IF(LEFT($B281,4)="_Mil","",_xlfn.IFNA(ROUND(INDEX(Spectrum!$N:$N,MATCH(RIGHT($B281,13)&amp;"|"&amp;$C281&amp;"|"&amp;$D281&amp;"|"&amp;AI$14&amp;"|"&amp;"CY2023Q3",Spectrum!$R:$R,0)),0),SUM($U281)+SUM($AI281)))</f>
        <v>0</v>
      </c>
      <c r="AK281" s="14" t="str">
        <f>IF(LEFT($B281,4)="_Mil","",_xlfn.IFNA(ROUND(INDEX(Spectrum!$N:$N,MATCH(RIGHT($B281,13)&amp;"|"&amp;$C281&amp;"|"&amp;$D281&amp;"|"&amp;AK$14&amp;"|"&amp;"CY2023Q3",Spectrum!$R:$R,0)),0),""))</f>
        <v/>
      </c>
      <c r="AL281" s="90" t="str">
        <f t="shared" si="108"/>
        <v/>
      </c>
      <c r="AM281" s="14" t="str">
        <f t="shared" si="109"/>
        <v/>
      </c>
      <c r="AN281" s="14">
        <f>IF($C281="&lt;01",ROUND(INDEX(EID!$P:$P,MATCH($B281,EID!$B:$B,0))/2,0),"")</f>
        <v>0</v>
      </c>
      <c r="AO281" s="14">
        <f t="shared" si="110"/>
        <v>0</v>
      </c>
      <c r="AP281" s="42">
        <f t="shared" si="111"/>
        <v>0</v>
      </c>
      <c r="AQ281" s="42">
        <f t="shared" si="112"/>
        <v>867</v>
      </c>
      <c r="AR281" s="90" t="str">
        <f t="shared" si="113"/>
        <v/>
      </c>
      <c r="AS281" s="90" t="str">
        <f t="shared" si="123"/>
        <v/>
      </c>
      <c r="AT281" s="90" t="str">
        <f t="shared" si="123"/>
        <v/>
      </c>
      <c r="AU281" s="14" t="str">
        <f t="shared" si="114"/>
        <v/>
      </c>
      <c r="AV281" s="14">
        <f>IF($C281="&lt;01",ROUND(INDEX(EID!$N:$N,MATCH($B281,EID!$B:$B,0))/2,0),IF(SUM($AT281)=0,"",ROUND((SUM($AP281)-(SUM($O281)*SUM($AS281)))/$AT281,0)))</f>
        <v>0</v>
      </c>
      <c r="AW281" s="90" t="str">
        <f t="shared" si="115"/>
        <v/>
      </c>
      <c r="AX281" s="42">
        <f t="shared" si="116"/>
        <v>0</v>
      </c>
      <c r="AY281" s="116" t="str">
        <f t="shared" si="117"/>
        <v/>
      </c>
      <c r="AZ281" s="93">
        <f>IF($C281="&lt;01",ROUND(INDEX(EID!$R:$R,MATCH($B281,EID!$B:$B,0))/2,0),ROUND(SUM($O281)+(SUM($AV281)*$AY281),0))</f>
        <v>0</v>
      </c>
      <c r="BA281" s="89" t="str">
        <f t="shared" si="118"/>
        <v/>
      </c>
      <c r="BB281" s="9">
        <f>IF($C281="&lt;01",ROUND(INDEX(EID!$T:$T,MATCH($B281,EID!$B:$B,0))/2,0),ROUND($AZ281*$BA281,0))</f>
        <v>0</v>
      </c>
      <c r="BC281" s="93">
        <f t="shared" si="119"/>
        <v>0</v>
      </c>
      <c r="BD281" s="90" t="str">
        <f t="shared" si="120"/>
        <v/>
      </c>
      <c r="BE281" s="42">
        <f>IF($C281="&lt;01",ROUND(INDEX(EID!$V:$V,MATCH($B281,EID!$B:$B,0))/2,0),ROUND($BD281*$BB281,0))</f>
        <v>0</v>
      </c>
      <c r="BF281" s="42">
        <f t="shared" si="121"/>
        <v>0</v>
      </c>
      <c r="BG281" s="116" t="str">
        <f t="shared" si="122"/>
        <v/>
      </c>
      <c r="BH281" s="9">
        <f>IF($C281="&lt;01",ROUND(INDEX(EID!$L:$L,MATCH($B281,EID!$B:$B,0)),0)/2,IF(SUM($BG281)=0,"",ROUND($AX281/$BG281,0)))</f>
        <v>0</v>
      </c>
    </row>
    <row r="282" spans="1:60" x14ac:dyDescent="0.2">
      <c r="A282" t="str">
        <f>INDEX(Prioritization!$D:$D,MATCH($B282,Prioritization!$A:$A,0))</f>
        <v>1 - Scale-up: Saturation</v>
      </c>
      <c r="B282" t="s">
        <v>212</v>
      </c>
      <c r="C282" t="s">
        <v>315</v>
      </c>
      <c r="D282" t="s">
        <v>47</v>
      </c>
      <c r="E282" t="str">
        <f t="shared" si="101"/>
        <v>Chiradzulu District [oiPR2CiVJbf]|&lt;01|Male</v>
      </c>
      <c r="F282" s="14"/>
      <c r="G282" s="14">
        <v>4</v>
      </c>
      <c r="H282" s="14">
        <v>2</v>
      </c>
      <c r="I282" s="14">
        <v>1</v>
      </c>
      <c r="J282" s="14">
        <v>5</v>
      </c>
      <c r="K282" s="14">
        <v>9</v>
      </c>
      <c r="L282" s="14"/>
      <c r="M282" s="14">
        <v>1</v>
      </c>
      <c r="N282" s="14">
        <v>0</v>
      </c>
      <c r="O282" s="14">
        <f t="shared" si="102"/>
        <v>1</v>
      </c>
      <c r="P282" s="14">
        <v>1</v>
      </c>
      <c r="Q282" s="14">
        <v>0</v>
      </c>
      <c r="R282" s="14">
        <f t="shared" si="103"/>
        <v>0</v>
      </c>
      <c r="S282" s="14">
        <f>IF(LEFT($B282,4)="_Mil","",_xlfn.IFNA(ROUND(INDEX(Spectrum!$N:$N,MATCH(RIGHT($B282,13)&amp;"|"&amp;$C282&amp;"|"&amp;$D282&amp;"|"&amp;S$14&amp;"|"&amp;"CY2022Q4",Spectrum!$R:$R,0)),0),""))</f>
        <v>703</v>
      </c>
      <c r="T282" s="42">
        <f>IF(LEFT($B282,4)="_Mil","",_xlfn.IFNA(ROUND(INDEX(Spectrum!$N:$N,MATCH(RIGHT($B282,13)&amp;"|"&amp;$C282&amp;"|"&amp;$D282&amp;"|"&amp;T$14&amp;"|"&amp;"CY2023Q3",Spectrum!$R:$R,0)),0),""))</f>
        <v>777</v>
      </c>
      <c r="U282" s="42" t="str">
        <f>IF(LEFT($B282,4)="_Mil","",_xlfn.IFNA(ROUND(INDEX(Spectrum!$N:$N,MATCH(RIGHT($B282,13)&amp;"|"&amp;$C282&amp;"|"&amp;$D282&amp;"|"&amp;U$14&amp;"|"&amp;"CY2023Q3",Spectrum!$R:$R,0)),0),""))</f>
        <v/>
      </c>
      <c r="V282" s="14">
        <f>IF(LEFT($B282,4)="_Mil","",_xlfn.IFNA(ROUND(INDEX(Spectrum!$N:$N,MATCH(RIGHT($B282,13)&amp;"|"&amp;$C282&amp;"|"&amp;$D282&amp;"|"&amp;V$14&amp;"|"&amp;"CY2023Q3",Spectrum!$R:$R,0)),0),""))</f>
        <v>1680</v>
      </c>
      <c r="W282" s="115">
        <f>IF(LEFT($B282,4)="_Mil","",_xlfn.IFNA(INDEX(Spectrum!$N:$N,MATCH(RIGHT($B282,13)&amp;"|"&amp;$C282&amp;"|"&amp;$D282&amp;"|"&amp;W$14&amp;"|"&amp;"CY2023Q3",Spectrum!$R:$R,0)),""))</f>
        <v>1228</v>
      </c>
      <c r="X282" s="42">
        <f>IF(LEFT($B282,4)="_Mil","",_xlfn.IFNA(ROUND(INDEX(Spectrum!$N:$N,MATCH(RIGHT($B282,13)&amp;"|"&amp;$C282&amp;"|"&amp;$D282&amp;"|"&amp;X$14&amp;"|"&amp;"CY2023Q3",Spectrum!$R:$R,0)),0),""))</f>
        <v>1565</v>
      </c>
      <c r="Y282" s="90" t="str">
        <f t="shared" si="104"/>
        <v/>
      </c>
      <c r="Z282" s="42">
        <f>IF(LEFT($B282,4)="_Mil","",_xlfn.IFNA(ROUND(INDEX(Spectrum!$N:$N,MATCH(RIGHT($B282,13)&amp;"|"&amp;$C282&amp;"|"&amp;$D282&amp;"|"&amp;Z$14&amp;"|"&amp;"CY2023Q3",Spectrum!$R:$R,0)),0),""))</f>
        <v>1943</v>
      </c>
      <c r="AA282" s="90">
        <f>IF(LEFT($B282,4)="_Mil","",IFERROR(1/(1/INDEX(Spectrum!$N:$N,MATCH(RIGHT($B282,13)&amp;"|"&amp;$C282&amp;"|"&amp;$D282&amp;"|"&amp;AA$14&amp;"|"&amp;"CY2023Q3",Spectrum!$R:$R,0))),IF(SUM($U282)=0,"",SUM($Z282)/$U282)))</f>
        <v>1311</v>
      </c>
      <c r="AB282" s="90">
        <f t="shared" si="105"/>
        <v>1.2415335463258785</v>
      </c>
      <c r="AC282" s="14">
        <f>IF(LEFT($B282,4)="_Mil","",_xlfn.IFNA(ROUND(INDEX(Spectrum!$N:$N,MATCH(RIGHT($B282,13)&amp;"|"&amp;$C282&amp;"|"&amp;$D282&amp;"|"&amp;AC$14&amp;"|"&amp;"CY2023Q3",Spectrum!$R:$R,0)),0),""))</f>
        <v>729</v>
      </c>
      <c r="AD282" s="14" t="str">
        <f>IF(LEFT($B282,4)="_Mil","",_xlfn.IFNA(ROUND(INDEX(Spectrum!$N:$N,MATCH(RIGHT($B282,13)&amp;"|"&amp;$C282&amp;"|"&amp;$D282&amp;"|"&amp;AD$14&amp;"|"&amp;"CY2023Q3",Spectrum!$R:$R,0)),0),""))</f>
        <v/>
      </c>
      <c r="AE282" s="90">
        <f t="shared" si="106"/>
        <v>0</v>
      </c>
      <c r="AF282" s="42" t="str">
        <f>IF(LEFT($B282,4)="_Mil","",_xlfn.IFNA(ROUND(INDEX(Spectrum!$N:$N,MATCH(RIGHT($B282,13)&amp;"|"&amp;$C282&amp;"|"&amp;$D282&amp;"|"&amp;AF$14&amp;"|"&amp;"CY2023Q3",Spectrum!$R:$R,0)),0),""))</f>
        <v/>
      </c>
      <c r="AG282" s="90" t="str">
        <f t="shared" si="107"/>
        <v/>
      </c>
      <c r="AH282" s="88" t="str">
        <f>IF(LEFT($B282,4)="_Mil","",_xlfn.IFNA(INDEX(Spectrum!$N:$N,MATCH(RIGHT($B282,13)&amp;"|"&amp;$C282&amp;"|"&amp;$D282&amp;"|"&amp;AH$14&amp;"|"&amp;"CY2023Q3",Spectrum!$R:$R,0)),""))</f>
        <v/>
      </c>
      <c r="AI282" s="14" t="str">
        <f>IF(LEFT($B282,4)="_Mil","",_xlfn.IFNA(ROUND(INDEX(Spectrum!$N:$N,MATCH(RIGHT($B282,13)&amp;"|"&amp;$C282&amp;"|"&amp;$D282&amp;"|"&amp;AI$14&amp;"|"&amp;"CY2023Q3",Spectrum!$R:$R,0)),0),""))</f>
        <v/>
      </c>
      <c r="AJ282" s="42">
        <f>IF(LEFT($B282,4)="_Mil","",_xlfn.IFNA(ROUND(INDEX(Spectrum!$N:$N,MATCH(RIGHT($B282,13)&amp;"|"&amp;$C282&amp;"|"&amp;$D282&amp;"|"&amp;AI$14&amp;"|"&amp;"CY2023Q3",Spectrum!$R:$R,0)),0),SUM($U282)+SUM($AI282)))</f>
        <v>0</v>
      </c>
      <c r="AK282" s="14" t="str">
        <f>IF(LEFT($B282,4)="_Mil","",_xlfn.IFNA(ROUND(INDEX(Spectrum!$N:$N,MATCH(RIGHT($B282,13)&amp;"|"&amp;$C282&amp;"|"&amp;$D282&amp;"|"&amp;AK$14&amp;"|"&amp;"CY2023Q3",Spectrum!$R:$R,0)),0),""))</f>
        <v/>
      </c>
      <c r="AL282" s="90" t="str">
        <f t="shared" si="108"/>
        <v/>
      </c>
      <c r="AM282" s="14" t="str">
        <f t="shared" si="109"/>
        <v/>
      </c>
      <c r="AN282" s="14">
        <f>IF($C282="&lt;01",ROUND(INDEX(EID!$P:$P,MATCH($B282,EID!$B:$B,0))/2,0),"")</f>
        <v>0</v>
      </c>
      <c r="AO282" s="14">
        <f t="shared" si="110"/>
        <v>0</v>
      </c>
      <c r="AP282" s="42">
        <f t="shared" si="111"/>
        <v>0</v>
      </c>
      <c r="AQ282" s="42">
        <f t="shared" si="112"/>
        <v>1943</v>
      </c>
      <c r="AR282" s="90" t="str">
        <f t="shared" si="113"/>
        <v/>
      </c>
      <c r="AS282" s="90" t="str">
        <f t="shared" si="123"/>
        <v/>
      </c>
      <c r="AT282" s="90" t="str">
        <f t="shared" si="123"/>
        <v/>
      </c>
      <c r="AU282" s="14" t="str">
        <f t="shared" si="114"/>
        <v/>
      </c>
      <c r="AV282" s="14">
        <f>IF($C282="&lt;01",ROUND(INDEX(EID!$N:$N,MATCH($B282,EID!$B:$B,0))/2,0),IF(SUM($AT282)=0,"",ROUND((SUM($AP282)-(SUM($O282)*SUM($AS282)))/$AT282,0)))</f>
        <v>0</v>
      </c>
      <c r="AW282" s="90" t="str">
        <f t="shared" si="115"/>
        <v/>
      </c>
      <c r="AX282" s="42">
        <f t="shared" si="116"/>
        <v>0</v>
      </c>
      <c r="AY282" s="116" t="str">
        <f t="shared" si="117"/>
        <v/>
      </c>
      <c r="AZ282" s="93">
        <f>IF($C282="&lt;01",ROUND(INDEX(EID!$R:$R,MATCH($B282,EID!$B:$B,0))/2,0),ROUND(SUM($O282)+(SUM($AV282)*$AY282),0))</f>
        <v>0</v>
      </c>
      <c r="BA282" s="89" t="str">
        <f t="shared" si="118"/>
        <v/>
      </c>
      <c r="BB282" s="9">
        <f>IF($C282="&lt;01",ROUND(INDEX(EID!$T:$T,MATCH($B282,EID!$B:$B,0))/2,0),ROUND($AZ282*$BA282,0))</f>
        <v>0</v>
      </c>
      <c r="BC282" s="93">
        <f t="shared" si="119"/>
        <v>0</v>
      </c>
      <c r="BD282" s="90" t="str">
        <f t="shared" si="120"/>
        <v/>
      </c>
      <c r="BE282" s="42">
        <f>IF($C282="&lt;01",ROUND(INDEX(EID!$V:$V,MATCH($B282,EID!$B:$B,0))/2,0),ROUND($BD282*$BB282,0))</f>
        <v>0</v>
      </c>
      <c r="BF282" s="42">
        <f t="shared" si="121"/>
        <v>0</v>
      </c>
      <c r="BG282" s="116" t="str">
        <f t="shared" si="122"/>
        <v/>
      </c>
      <c r="BH282" s="9">
        <f>IF($C282="&lt;01",ROUND(INDEX(EID!$L:$L,MATCH($B282,EID!$B:$B,0)),0)/2,IF(SUM($BG282)=0,"",ROUND($AX282/$BG282,0)))</f>
        <v>0</v>
      </c>
    </row>
    <row r="283" spans="1:60" x14ac:dyDescent="0.2">
      <c r="A283" t="str">
        <f>INDEX(Prioritization!$D:$D,MATCH($B283,Prioritization!$A:$A,0))</f>
        <v>1 - Scale-up: Saturation</v>
      </c>
      <c r="B283" t="s">
        <v>212</v>
      </c>
      <c r="C283" t="s">
        <v>362</v>
      </c>
      <c r="D283" t="s">
        <v>29</v>
      </c>
      <c r="E283" t="str">
        <f t="shared" si="101"/>
        <v>Chiradzulu District [oiPR2CiVJbf]|01-09|Female</v>
      </c>
      <c r="F283" s="14"/>
      <c r="G283" s="14"/>
      <c r="H283" s="14"/>
      <c r="I283" s="14"/>
      <c r="J283" s="14"/>
      <c r="K283" s="14"/>
      <c r="L283" s="14"/>
      <c r="M283" s="14"/>
      <c r="N283" s="14"/>
      <c r="O283" s="14" t="str">
        <f t="shared" si="102"/>
        <v/>
      </c>
      <c r="P283" s="14"/>
      <c r="Q283" s="14"/>
      <c r="R283" s="14" t="str">
        <f t="shared" si="103"/>
        <v/>
      </c>
      <c r="S283" s="14">
        <f>IF(LEFT($B283,4)="_Mil","",_xlfn.IFNA(ROUND(INDEX(Spectrum!$N:$N,MATCH(RIGHT($B283,13)&amp;"|"&amp;$C283&amp;"|"&amp;$D283&amp;"|"&amp;S$14&amp;"|"&amp;"CY2022Q4",Spectrum!$R:$R,0)),0),""))</f>
        <v>1333</v>
      </c>
      <c r="T283" s="42">
        <f>IF(LEFT($B283,4)="_Mil","",_xlfn.IFNA(ROUND(INDEX(Spectrum!$N:$N,MATCH(RIGHT($B283,13)&amp;"|"&amp;$C283&amp;"|"&amp;$D283&amp;"|"&amp;T$14&amp;"|"&amp;"CY2023Q3",Spectrum!$R:$R,0)),0),""))</f>
        <v>925</v>
      </c>
      <c r="U283" s="42" t="str">
        <f>IF(LEFT($B283,4)="_Mil","",_xlfn.IFNA(ROUND(INDEX(Spectrum!$N:$N,MATCH(RIGHT($B283,13)&amp;"|"&amp;$C283&amp;"|"&amp;$D283&amp;"|"&amp;U$14&amp;"|"&amp;"CY2023Q3",Spectrum!$R:$R,0)),0),""))</f>
        <v/>
      </c>
      <c r="V283" s="14">
        <f>IF(LEFT($B283,4)="_Mil","",_xlfn.IFNA(ROUND(INDEX(Spectrum!$N:$N,MATCH(RIGHT($B283,13)&amp;"|"&amp;$C283&amp;"|"&amp;$D283&amp;"|"&amp;V$14&amp;"|"&amp;"CY2023Q3",Spectrum!$R:$R,0)),0),""))</f>
        <v>1314</v>
      </c>
      <c r="W283" s="115">
        <f>IF(LEFT($B283,4)="_Mil","",_xlfn.IFNA(INDEX(Spectrum!$N:$N,MATCH(RIGHT($B283,13)&amp;"|"&amp;$C283&amp;"|"&amp;$D283&amp;"|"&amp;W$14&amp;"|"&amp;"CY2023Q3",Spectrum!$R:$R,0)),""))</f>
        <v>1073</v>
      </c>
      <c r="X283" s="42">
        <f>IF(LEFT($B283,4)="_Mil","",_xlfn.IFNA(ROUND(INDEX(Spectrum!$N:$N,MATCH(RIGHT($B283,13)&amp;"|"&amp;$C283&amp;"|"&amp;$D283&amp;"|"&amp;X$14&amp;"|"&amp;"CY2023Q3",Spectrum!$R:$R,0)),0),""))</f>
        <v>803</v>
      </c>
      <c r="Y283" s="90" t="str">
        <f t="shared" si="104"/>
        <v/>
      </c>
      <c r="Z283" s="42">
        <f>IF(LEFT($B283,4)="_Mil","",_xlfn.IFNA(ROUND(INDEX(Spectrum!$N:$N,MATCH(RIGHT($B283,13)&amp;"|"&amp;$C283&amp;"|"&amp;$D283&amp;"|"&amp;Z$14&amp;"|"&amp;"CY2023Q3",Spectrum!$R:$R,0)),0),""))</f>
        <v>1225</v>
      </c>
      <c r="AA283" s="90">
        <f>IF(LEFT($B283,4)="_Mil","",IFERROR(1/(1/INDEX(Spectrum!$N:$N,MATCH(RIGHT($B283,13)&amp;"|"&amp;$C283&amp;"|"&amp;$D283&amp;"|"&amp;AA$14&amp;"|"&amp;"CY2023Q3",Spectrum!$R:$R,0))),IF(SUM($U283)=0,"",SUM($Z283)/$U283)))</f>
        <v>607</v>
      </c>
      <c r="AB283" s="90">
        <f t="shared" si="105"/>
        <v>1.5255292652552928</v>
      </c>
      <c r="AC283" s="14">
        <f>IF(LEFT($B283,4)="_Mil","",_xlfn.IFNA(ROUND(INDEX(Spectrum!$N:$N,MATCH(RIGHT($B283,13)&amp;"|"&amp;$C283&amp;"|"&amp;$D283&amp;"|"&amp;AC$14&amp;"|"&amp;"CY2023Q3",Spectrum!$R:$R,0)),0),""))</f>
        <v>576</v>
      </c>
      <c r="AD283" s="14" t="str">
        <f>IF(LEFT($B283,4)="_Mil","",_xlfn.IFNA(ROUND(INDEX(Spectrum!$N:$N,MATCH(RIGHT($B283,13)&amp;"|"&amp;$C283&amp;"|"&amp;$D283&amp;"|"&amp;AD$14&amp;"|"&amp;"CY2023Q3",Spectrum!$R:$R,0)),0),""))</f>
        <v/>
      </c>
      <c r="AE283" s="90">
        <f t="shared" si="106"/>
        <v>0</v>
      </c>
      <c r="AF283" s="42" t="str">
        <f>IF(LEFT($B283,4)="_Mil","",_xlfn.IFNA(ROUND(INDEX(Spectrum!$N:$N,MATCH(RIGHT($B283,13)&amp;"|"&amp;$C283&amp;"|"&amp;$D283&amp;"|"&amp;AF$14&amp;"|"&amp;"CY2023Q3",Spectrum!$R:$R,0)),0),""))</f>
        <v/>
      </c>
      <c r="AG283" s="90" t="str">
        <f t="shared" si="107"/>
        <v/>
      </c>
      <c r="AH283" s="88" t="str">
        <f>IF(LEFT($B283,4)="_Mil","",_xlfn.IFNA(INDEX(Spectrum!$N:$N,MATCH(RIGHT($B283,13)&amp;"|"&amp;$C283&amp;"|"&amp;$D283&amp;"|"&amp;AH$14&amp;"|"&amp;"CY2023Q3",Spectrum!$R:$R,0)),""))</f>
        <v/>
      </c>
      <c r="AI283" s="14" t="str">
        <f>IF(LEFT($B283,4)="_Mil","",_xlfn.IFNA(ROUND(INDEX(Spectrum!$N:$N,MATCH(RIGHT($B283,13)&amp;"|"&amp;$C283&amp;"|"&amp;$D283&amp;"|"&amp;AI$14&amp;"|"&amp;"CY2023Q3",Spectrum!$R:$R,0)),0),""))</f>
        <v/>
      </c>
      <c r="AJ283" s="42">
        <f>IF(LEFT($B283,4)="_Mil","",_xlfn.IFNA(ROUND(INDEX(Spectrum!$N:$N,MATCH(RIGHT($B283,13)&amp;"|"&amp;$C283&amp;"|"&amp;$D283&amp;"|"&amp;AI$14&amp;"|"&amp;"CY2023Q3",Spectrum!$R:$R,0)),0),SUM($U283)+SUM($AI283)))</f>
        <v>0</v>
      </c>
      <c r="AK283" s="14" t="str">
        <f>IF(LEFT($B283,4)="_Mil","",_xlfn.IFNA(ROUND(INDEX(Spectrum!$N:$N,MATCH(RIGHT($B283,13)&amp;"|"&amp;$C283&amp;"|"&amp;$D283&amp;"|"&amp;AK$14&amp;"|"&amp;"CY2023Q3",Spectrum!$R:$R,0)),0),""))</f>
        <v/>
      </c>
      <c r="AL283" s="90">
        <f t="shared" si="108"/>
        <v>607</v>
      </c>
      <c r="AM283" s="14">
        <f t="shared" si="109"/>
        <v>0</v>
      </c>
      <c r="AN283" s="14" t="str">
        <f>IF($C283="&lt;01",ROUND(INDEX(EID!$P:$P,MATCH($B283,EID!$B:$B,0))/2,0),"")</f>
        <v/>
      </c>
      <c r="AO283" s="14">
        <f t="shared" si="110"/>
        <v>0</v>
      </c>
      <c r="AP283" s="42">
        <f t="shared" si="111"/>
        <v>0</v>
      </c>
      <c r="AQ283" s="42">
        <f t="shared" si="112"/>
        <v>1225</v>
      </c>
      <c r="AR283" s="90" t="str">
        <f t="shared" si="113"/>
        <v/>
      </c>
      <c r="AS283" s="90">
        <f t="shared" si="123"/>
        <v>0.98</v>
      </c>
      <c r="AT283" s="90">
        <f t="shared" si="123"/>
        <v>0.98</v>
      </c>
      <c r="AU283" s="14">
        <f t="shared" si="114"/>
        <v>0</v>
      </c>
      <c r="AV283" s="14">
        <f>IF($C283="&lt;01",ROUND(INDEX(EID!$N:$N,MATCH($B283,EID!$B:$B,0))/2,0),IF(SUM($AT283)=0,"",ROUND((SUM($AP283)-(SUM($O283)*SUM($AS283)))/$AT283,0)))</f>
        <v>0</v>
      </c>
      <c r="AW283" s="90">
        <f t="shared" si="115"/>
        <v>1</v>
      </c>
      <c r="AX283" s="42">
        <f t="shared" si="116"/>
        <v>0</v>
      </c>
      <c r="AY283" s="116">
        <f t="shared" si="117"/>
        <v>0.7</v>
      </c>
      <c r="AZ283" s="93">
        <f>IF($C283="&lt;01",ROUND(INDEX(EID!$R:$R,MATCH($B283,EID!$B:$B,0))/2,0),ROUND(SUM($O283)+(SUM($AV283)*$AY283),0))</f>
        <v>0</v>
      </c>
      <c r="BA283" s="89">
        <f t="shared" si="118"/>
        <v>0.95</v>
      </c>
      <c r="BB283" s="9">
        <f>IF($C283="&lt;01",ROUND(INDEX(EID!$T:$T,MATCH($B283,EID!$B:$B,0))/2,0),ROUND($AZ283*$BA283,0))</f>
        <v>0</v>
      </c>
      <c r="BC283" s="93">
        <f t="shared" si="119"/>
        <v>0</v>
      </c>
      <c r="BD283" s="90">
        <f t="shared" si="120"/>
        <v>0.95</v>
      </c>
      <c r="BE283" s="42">
        <f>IF($C283="&lt;01",ROUND(INDEX(EID!$V:$V,MATCH($B283,EID!$B:$B,0))/2,0),ROUND($BD283*$BB283,0))</f>
        <v>0</v>
      </c>
      <c r="BF283" s="42">
        <f t="shared" si="121"/>
        <v>0</v>
      </c>
      <c r="BG283" s="116">
        <f t="shared" si="122"/>
        <v>0.95</v>
      </c>
      <c r="BH283" s="9">
        <f>IF($C283="&lt;01",ROUND(INDEX(EID!$L:$L,MATCH($B283,EID!$B:$B,0)),0)/2,IF(SUM($BG283)=0,"",ROUND($AX283/$BG283,0)))</f>
        <v>0</v>
      </c>
    </row>
    <row r="284" spans="1:60" x14ac:dyDescent="0.2">
      <c r="A284" t="str">
        <f>INDEX(Prioritization!$D:$D,MATCH($B284,Prioritization!$A:$A,0))</f>
        <v>1 - Scale-up: Saturation</v>
      </c>
      <c r="B284" t="s">
        <v>212</v>
      </c>
      <c r="C284" t="s">
        <v>362</v>
      </c>
      <c r="D284" t="s">
        <v>47</v>
      </c>
      <c r="E284" t="str">
        <f t="shared" si="101"/>
        <v>Chiradzulu District [oiPR2CiVJbf]|01-09|Male</v>
      </c>
      <c r="F284" s="14"/>
      <c r="G284" s="14"/>
      <c r="H284" s="14"/>
      <c r="I284" s="14"/>
      <c r="J284" s="14"/>
      <c r="K284" s="14"/>
      <c r="L284" s="14"/>
      <c r="M284" s="14"/>
      <c r="N284" s="14"/>
      <c r="O284" s="14" t="str">
        <f t="shared" si="102"/>
        <v/>
      </c>
      <c r="P284" s="14"/>
      <c r="Q284" s="14"/>
      <c r="R284" s="14" t="str">
        <f t="shared" si="103"/>
        <v/>
      </c>
      <c r="S284" s="14">
        <f>IF(LEFT($B284,4)="_Mil","",_xlfn.IFNA(ROUND(INDEX(Spectrum!$N:$N,MATCH(RIGHT($B284,13)&amp;"|"&amp;$C284&amp;"|"&amp;$D284&amp;"|"&amp;S$14&amp;"|"&amp;"CY2022Q4",Spectrum!$R:$R,0)),0),""))</f>
        <v>611</v>
      </c>
      <c r="T284" s="42">
        <f>IF(LEFT($B284,4)="_Mil","",_xlfn.IFNA(ROUND(INDEX(Spectrum!$N:$N,MATCH(RIGHT($B284,13)&amp;"|"&amp;$C284&amp;"|"&amp;$D284&amp;"|"&amp;T$14&amp;"|"&amp;"CY2023Q3",Spectrum!$R:$R,0)),0),""))</f>
        <v>1727</v>
      </c>
      <c r="U284" s="42" t="str">
        <f>IF(LEFT($B284,4)="_Mil","",_xlfn.IFNA(ROUND(INDEX(Spectrum!$N:$N,MATCH(RIGHT($B284,13)&amp;"|"&amp;$C284&amp;"|"&amp;$D284&amp;"|"&amp;U$14&amp;"|"&amp;"CY2023Q3",Spectrum!$R:$R,0)),0),""))</f>
        <v/>
      </c>
      <c r="V284" s="14">
        <f>IF(LEFT($B284,4)="_Mil","",_xlfn.IFNA(ROUND(INDEX(Spectrum!$N:$N,MATCH(RIGHT($B284,13)&amp;"|"&amp;$C284&amp;"|"&amp;$D284&amp;"|"&amp;V$14&amp;"|"&amp;"CY2023Q3",Spectrum!$R:$R,0)),0),""))</f>
        <v>1900</v>
      </c>
      <c r="W284" s="115">
        <f>IF(LEFT($B284,4)="_Mil","",_xlfn.IFNA(INDEX(Spectrum!$N:$N,MATCH(RIGHT($B284,13)&amp;"|"&amp;$C284&amp;"|"&amp;$D284&amp;"|"&amp;W$14&amp;"|"&amp;"CY2023Q3",Spectrum!$R:$R,0)),""))</f>
        <v>1874</v>
      </c>
      <c r="X284" s="42">
        <f>IF(LEFT($B284,4)="_Mil","",_xlfn.IFNA(ROUND(INDEX(Spectrum!$N:$N,MATCH(RIGHT($B284,13)&amp;"|"&amp;$C284&amp;"|"&amp;$D284&amp;"|"&amp;X$14&amp;"|"&amp;"CY2023Q3",Spectrum!$R:$R,0)),0),""))</f>
        <v>1710</v>
      </c>
      <c r="Y284" s="90" t="str">
        <f t="shared" si="104"/>
        <v/>
      </c>
      <c r="Z284" s="42">
        <f>IF(LEFT($B284,4)="_Mil","",_xlfn.IFNA(ROUND(INDEX(Spectrum!$N:$N,MATCH(RIGHT($B284,13)&amp;"|"&amp;$C284&amp;"|"&amp;$D284&amp;"|"&amp;Z$14&amp;"|"&amp;"CY2023Q3",Spectrum!$R:$R,0)),0),""))</f>
        <v>1891</v>
      </c>
      <c r="AA284" s="90">
        <f>IF(LEFT($B284,4)="_Mil","",IFERROR(1/(1/INDEX(Spectrum!$N:$N,MATCH(RIGHT($B284,13)&amp;"|"&amp;$C284&amp;"|"&amp;$D284&amp;"|"&amp;AA$14&amp;"|"&amp;"CY2023Q3",Spectrum!$R:$R,0))),IF(SUM($U284)=0,"",SUM($Z284)/$U284)))</f>
        <v>1387</v>
      </c>
      <c r="AB284" s="90">
        <f t="shared" si="105"/>
        <v>1.1058479532163743</v>
      </c>
      <c r="AC284" s="14">
        <f>IF(LEFT($B284,4)="_Mil","",_xlfn.IFNA(ROUND(INDEX(Spectrum!$N:$N,MATCH(RIGHT($B284,13)&amp;"|"&amp;$C284&amp;"|"&amp;$D284&amp;"|"&amp;AC$14&amp;"|"&amp;"CY2023Q3",Spectrum!$R:$R,0)),0),""))</f>
        <v>1298</v>
      </c>
      <c r="AD284" s="14" t="str">
        <f>IF(LEFT($B284,4)="_Mil","",_xlfn.IFNA(ROUND(INDEX(Spectrum!$N:$N,MATCH(RIGHT($B284,13)&amp;"|"&amp;$C284&amp;"|"&amp;$D284&amp;"|"&amp;AD$14&amp;"|"&amp;"CY2023Q3",Spectrum!$R:$R,0)),0),""))</f>
        <v/>
      </c>
      <c r="AE284" s="90">
        <f t="shared" si="106"/>
        <v>0</v>
      </c>
      <c r="AF284" s="42" t="str">
        <f>IF(LEFT($B284,4)="_Mil","",_xlfn.IFNA(ROUND(INDEX(Spectrum!$N:$N,MATCH(RIGHT($B284,13)&amp;"|"&amp;$C284&amp;"|"&amp;$D284&amp;"|"&amp;AF$14&amp;"|"&amp;"CY2023Q3",Spectrum!$R:$R,0)),0),""))</f>
        <v/>
      </c>
      <c r="AG284" s="90" t="str">
        <f t="shared" si="107"/>
        <v/>
      </c>
      <c r="AH284" s="88" t="str">
        <f>IF(LEFT($B284,4)="_Mil","",_xlfn.IFNA(INDEX(Spectrum!$N:$N,MATCH(RIGHT($B284,13)&amp;"|"&amp;$C284&amp;"|"&amp;$D284&amp;"|"&amp;AH$14&amp;"|"&amp;"CY2023Q3",Spectrum!$R:$R,0)),""))</f>
        <v/>
      </c>
      <c r="AI284" s="14" t="str">
        <f>IF(LEFT($B284,4)="_Mil","",_xlfn.IFNA(ROUND(INDEX(Spectrum!$N:$N,MATCH(RIGHT($B284,13)&amp;"|"&amp;$C284&amp;"|"&amp;$D284&amp;"|"&amp;AI$14&amp;"|"&amp;"CY2023Q3",Spectrum!$R:$R,0)),0),""))</f>
        <v/>
      </c>
      <c r="AJ284" s="42">
        <f>IF(LEFT($B284,4)="_Mil","",_xlfn.IFNA(ROUND(INDEX(Spectrum!$N:$N,MATCH(RIGHT($B284,13)&amp;"|"&amp;$C284&amp;"|"&amp;$D284&amp;"|"&amp;AI$14&amp;"|"&amp;"CY2023Q3",Spectrum!$R:$R,0)),0),SUM($U284)+SUM($AI284)))</f>
        <v>0</v>
      </c>
      <c r="AK284" s="14" t="str">
        <f>IF(LEFT($B284,4)="_Mil","",_xlfn.IFNA(ROUND(INDEX(Spectrum!$N:$N,MATCH(RIGHT($B284,13)&amp;"|"&amp;$C284&amp;"|"&amp;$D284&amp;"|"&amp;AK$14&amp;"|"&amp;"CY2023Q3",Spectrum!$R:$R,0)),0),""))</f>
        <v/>
      </c>
      <c r="AL284" s="90">
        <f t="shared" si="108"/>
        <v>1387</v>
      </c>
      <c r="AM284" s="14">
        <f t="shared" si="109"/>
        <v>0</v>
      </c>
      <c r="AN284" s="14" t="str">
        <f>IF($C284="&lt;01",ROUND(INDEX(EID!$P:$P,MATCH($B284,EID!$B:$B,0))/2,0),"")</f>
        <v/>
      </c>
      <c r="AO284" s="14">
        <f t="shared" si="110"/>
        <v>0</v>
      </c>
      <c r="AP284" s="42">
        <f t="shared" si="111"/>
        <v>0</v>
      </c>
      <c r="AQ284" s="42">
        <f t="shared" si="112"/>
        <v>1891</v>
      </c>
      <c r="AR284" s="90" t="str">
        <f t="shared" si="113"/>
        <v/>
      </c>
      <c r="AS284" s="90">
        <f t="shared" si="123"/>
        <v>0.98</v>
      </c>
      <c r="AT284" s="90">
        <f t="shared" si="123"/>
        <v>0.98</v>
      </c>
      <c r="AU284" s="14">
        <f t="shared" si="114"/>
        <v>0</v>
      </c>
      <c r="AV284" s="14">
        <f>IF($C284="&lt;01",ROUND(INDEX(EID!$N:$N,MATCH($B284,EID!$B:$B,0))/2,0),IF(SUM($AT284)=0,"",ROUND((SUM($AP284)-(SUM($O284)*SUM($AS284)))/$AT284,0)))</f>
        <v>0</v>
      </c>
      <c r="AW284" s="90">
        <f t="shared" si="115"/>
        <v>1</v>
      </c>
      <c r="AX284" s="42">
        <f t="shared" si="116"/>
        <v>0</v>
      </c>
      <c r="AY284" s="116">
        <f t="shared" si="117"/>
        <v>0.7</v>
      </c>
      <c r="AZ284" s="93">
        <f>IF($C284="&lt;01",ROUND(INDEX(EID!$R:$R,MATCH($B284,EID!$B:$B,0))/2,0),ROUND(SUM($O284)+(SUM($AV284)*$AY284),0))</f>
        <v>0</v>
      </c>
      <c r="BA284" s="89">
        <f t="shared" si="118"/>
        <v>0.95</v>
      </c>
      <c r="BB284" s="9">
        <f>IF($C284="&lt;01",ROUND(INDEX(EID!$T:$T,MATCH($B284,EID!$B:$B,0))/2,0),ROUND($AZ284*$BA284,0))</f>
        <v>0</v>
      </c>
      <c r="BC284" s="93">
        <f t="shared" si="119"/>
        <v>0</v>
      </c>
      <c r="BD284" s="90">
        <f t="shared" si="120"/>
        <v>0.95</v>
      </c>
      <c r="BE284" s="42">
        <f>IF($C284="&lt;01",ROUND(INDEX(EID!$V:$V,MATCH($B284,EID!$B:$B,0))/2,0),ROUND($BD284*$BB284,0))</f>
        <v>0</v>
      </c>
      <c r="BF284" s="42">
        <f t="shared" si="121"/>
        <v>0</v>
      </c>
      <c r="BG284" s="116">
        <f t="shared" si="122"/>
        <v>0.95</v>
      </c>
      <c r="BH284" s="9">
        <f>IF($C284="&lt;01",ROUND(INDEX(EID!$L:$L,MATCH($B284,EID!$B:$B,0)),0)/2,IF(SUM($BG284)=0,"",ROUND($AX284/$BG284,0)))</f>
        <v>0</v>
      </c>
    </row>
    <row r="285" spans="1:60" x14ac:dyDescent="0.2">
      <c r="A285" t="str">
        <f>INDEX(Prioritization!$D:$D,MATCH($B285,Prioritization!$A:$A,0))</f>
        <v>1 - Scale-up: Saturation</v>
      </c>
      <c r="B285" t="s">
        <v>212</v>
      </c>
      <c r="C285" t="s">
        <v>363</v>
      </c>
      <c r="D285" t="s">
        <v>29</v>
      </c>
      <c r="E285" t="str">
        <f t="shared" si="101"/>
        <v>Chiradzulu District [oiPR2CiVJbf]|10-14|Female</v>
      </c>
      <c r="F285" s="14"/>
      <c r="G285" s="14">
        <v>8</v>
      </c>
      <c r="H285" s="14">
        <v>9</v>
      </c>
      <c r="I285" s="14">
        <v>25</v>
      </c>
      <c r="J285" s="14">
        <v>67</v>
      </c>
      <c r="K285" s="14">
        <v>30</v>
      </c>
      <c r="L285" s="14">
        <v>7</v>
      </c>
      <c r="M285" s="14">
        <v>3</v>
      </c>
      <c r="N285" s="14">
        <v>25</v>
      </c>
      <c r="O285" s="14">
        <f t="shared" si="102"/>
        <v>25</v>
      </c>
      <c r="P285" s="14">
        <v>50</v>
      </c>
      <c r="Q285" s="14">
        <v>22</v>
      </c>
      <c r="R285" s="14">
        <f t="shared" si="103"/>
        <v>0</v>
      </c>
      <c r="S285" s="14">
        <f>IF(LEFT($B285,4)="_Mil","",_xlfn.IFNA(ROUND(INDEX(Spectrum!$N:$N,MATCH(RIGHT($B285,13)&amp;"|"&amp;$C285&amp;"|"&amp;$D285&amp;"|"&amp;S$14&amp;"|"&amp;"CY2022Q4",Spectrum!$R:$R,0)),0),""))</f>
        <v>925</v>
      </c>
      <c r="T285" s="42">
        <f>IF(LEFT($B285,4)="_Mil","",_xlfn.IFNA(ROUND(INDEX(Spectrum!$N:$N,MATCH(RIGHT($B285,13)&amp;"|"&amp;$C285&amp;"|"&amp;$D285&amp;"|"&amp;T$14&amp;"|"&amp;"CY2023Q3",Spectrum!$R:$R,0)),0),""))</f>
        <v>1439</v>
      </c>
      <c r="U285" s="42" t="str">
        <f>IF(LEFT($B285,4)="_Mil","",_xlfn.IFNA(ROUND(INDEX(Spectrum!$N:$N,MATCH(RIGHT($B285,13)&amp;"|"&amp;$C285&amp;"|"&amp;$D285&amp;"|"&amp;U$14&amp;"|"&amp;"CY2023Q3",Spectrum!$R:$R,0)),0),""))</f>
        <v/>
      </c>
      <c r="V285" s="14">
        <f>IF(LEFT($B285,4)="_Mil","",_xlfn.IFNA(ROUND(INDEX(Spectrum!$N:$N,MATCH(RIGHT($B285,13)&amp;"|"&amp;$C285&amp;"|"&amp;$D285&amp;"|"&amp;V$14&amp;"|"&amp;"CY2023Q3",Spectrum!$R:$R,0)),0),""))</f>
        <v>1087</v>
      </c>
      <c r="W285" s="115">
        <f>IF(LEFT($B285,4)="_Mil","",_xlfn.IFNA(INDEX(Spectrum!$N:$N,MATCH(RIGHT($B285,13)&amp;"|"&amp;$C285&amp;"|"&amp;$D285&amp;"|"&amp;W$14&amp;"|"&amp;"CY2023Q3",Spectrum!$R:$R,0)),""))</f>
        <v>1248</v>
      </c>
      <c r="X285" s="42">
        <f>IF(LEFT($B285,4)="_Mil","",_xlfn.IFNA(ROUND(INDEX(Spectrum!$N:$N,MATCH(RIGHT($B285,13)&amp;"|"&amp;$C285&amp;"|"&amp;$D285&amp;"|"&amp;X$14&amp;"|"&amp;"CY2023Q3",Spectrum!$R:$R,0)),0),""))</f>
        <v>1251</v>
      </c>
      <c r="Y285" s="90" t="str">
        <f t="shared" si="104"/>
        <v/>
      </c>
      <c r="Z285" s="42">
        <f>IF(LEFT($B285,4)="_Mil","",_xlfn.IFNA(ROUND(INDEX(Spectrum!$N:$N,MATCH(RIGHT($B285,13)&amp;"|"&amp;$C285&amp;"|"&amp;$D285&amp;"|"&amp;Z$14&amp;"|"&amp;"CY2023Q3",Spectrum!$R:$R,0)),0),""))</f>
        <v>978</v>
      </c>
      <c r="AA285" s="90">
        <f>IF(LEFT($B285,4)="_Mil","",IFERROR(1/(1/INDEX(Spectrum!$N:$N,MATCH(RIGHT($B285,13)&amp;"|"&amp;$C285&amp;"|"&amp;$D285&amp;"|"&amp;AA$14&amp;"|"&amp;"CY2023Q3",Spectrum!$R:$R,0))),IF(SUM($U285)=0,"",SUM($Z285)/$U285)))</f>
        <v>1675</v>
      </c>
      <c r="AB285" s="90">
        <f t="shared" si="105"/>
        <v>0.78177458033573144</v>
      </c>
      <c r="AC285" s="14">
        <f>IF(LEFT($B285,4)="_Mil","",_xlfn.IFNA(ROUND(INDEX(Spectrum!$N:$N,MATCH(RIGHT($B285,13)&amp;"|"&amp;$C285&amp;"|"&amp;$D285&amp;"|"&amp;AC$14&amp;"|"&amp;"CY2023Q3",Spectrum!$R:$R,0)),0),""))</f>
        <v>1683</v>
      </c>
      <c r="AD285" s="14" t="str">
        <f>IF(LEFT($B285,4)="_Mil","",_xlfn.IFNA(ROUND(INDEX(Spectrum!$N:$N,MATCH(RIGHT($B285,13)&amp;"|"&amp;$C285&amp;"|"&amp;$D285&amp;"|"&amp;AD$14&amp;"|"&amp;"CY2023Q3",Spectrum!$R:$R,0)),0),""))</f>
        <v/>
      </c>
      <c r="AE285" s="90">
        <f t="shared" si="106"/>
        <v>0</v>
      </c>
      <c r="AF285" s="42" t="str">
        <f>IF(LEFT($B285,4)="_Mil","",_xlfn.IFNA(ROUND(INDEX(Spectrum!$N:$N,MATCH(RIGHT($B285,13)&amp;"|"&amp;$C285&amp;"|"&amp;$D285&amp;"|"&amp;AF$14&amp;"|"&amp;"CY2023Q3",Spectrum!$R:$R,0)),0),""))</f>
        <v/>
      </c>
      <c r="AG285" s="90" t="str">
        <f t="shared" si="107"/>
        <v/>
      </c>
      <c r="AH285" s="88" t="str">
        <f>IF(LEFT($B285,4)="_Mil","",_xlfn.IFNA(INDEX(Spectrum!$N:$N,MATCH(RIGHT($B285,13)&amp;"|"&amp;$C285&amp;"|"&amp;$D285&amp;"|"&amp;AH$14&amp;"|"&amp;"CY2023Q3",Spectrum!$R:$R,0)),""))</f>
        <v/>
      </c>
      <c r="AI285" s="14" t="str">
        <f>IF(LEFT($B285,4)="_Mil","",_xlfn.IFNA(ROUND(INDEX(Spectrum!$N:$N,MATCH(RIGHT($B285,13)&amp;"|"&amp;$C285&amp;"|"&amp;$D285&amp;"|"&amp;AI$14&amp;"|"&amp;"CY2023Q3",Spectrum!$R:$R,0)),0),""))</f>
        <v/>
      </c>
      <c r="AJ285" s="42">
        <f>IF(LEFT($B285,4)="_Mil","",_xlfn.IFNA(ROUND(INDEX(Spectrum!$N:$N,MATCH(RIGHT($B285,13)&amp;"|"&amp;$C285&amp;"|"&amp;$D285&amp;"|"&amp;AI$14&amp;"|"&amp;"CY2023Q3",Spectrum!$R:$R,0)),0),SUM($U285)+SUM($AI285)))</f>
        <v>0</v>
      </c>
      <c r="AK285" s="14" t="str">
        <f>IF(LEFT($B285,4)="_Mil","",_xlfn.IFNA(ROUND(INDEX(Spectrum!$N:$N,MATCH(RIGHT($B285,13)&amp;"|"&amp;$C285&amp;"|"&amp;$D285&amp;"|"&amp;AK$14&amp;"|"&amp;"CY2023Q3",Spectrum!$R:$R,0)),0),""))</f>
        <v/>
      </c>
      <c r="AL285" s="90">
        <f t="shared" si="108"/>
        <v>1675</v>
      </c>
      <c r="AM285" s="14">
        <f t="shared" si="109"/>
        <v>0</v>
      </c>
      <c r="AN285" s="14" t="str">
        <f>IF($C285="&lt;01",ROUND(INDEX(EID!$P:$P,MATCH($B285,EID!$B:$B,0))/2,0),"")</f>
        <v/>
      </c>
      <c r="AO285" s="14">
        <f t="shared" si="110"/>
        <v>0</v>
      </c>
      <c r="AP285" s="42">
        <f t="shared" si="111"/>
        <v>0</v>
      </c>
      <c r="AQ285" s="42">
        <f t="shared" si="112"/>
        <v>978</v>
      </c>
      <c r="AR285" s="90" t="str">
        <f t="shared" si="113"/>
        <v/>
      </c>
      <c r="AS285" s="90">
        <f t="shared" si="123"/>
        <v>0.98</v>
      </c>
      <c r="AT285" s="90">
        <f t="shared" si="123"/>
        <v>0.98</v>
      </c>
      <c r="AU285" s="14">
        <f t="shared" si="114"/>
        <v>-25</v>
      </c>
      <c r="AV285" s="14">
        <f>IF($C285="&lt;01",ROUND(INDEX(EID!$N:$N,MATCH($B285,EID!$B:$B,0))/2,0),IF(SUM($AT285)=0,"",ROUND((SUM($AP285)-(SUM($O285)*SUM($AS285)))/$AT285,0)))</f>
        <v>-25</v>
      </c>
      <c r="AW285" s="90">
        <f t="shared" si="115"/>
        <v>1</v>
      </c>
      <c r="AX285" s="42">
        <f t="shared" si="116"/>
        <v>-25</v>
      </c>
      <c r="AY285" s="116">
        <f t="shared" si="117"/>
        <v>0.7</v>
      </c>
      <c r="AZ285" s="93">
        <f>IF($C285="&lt;01",ROUND(INDEX(EID!$R:$R,MATCH($B285,EID!$B:$B,0))/2,0),ROUND(SUM($O285)+(SUM($AV285)*$AY285),0))</f>
        <v>8</v>
      </c>
      <c r="BA285" s="89">
        <f t="shared" si="118"/>
        <v>0.95</v>
      </c>
      <c r="BB285" s="9">
        <f>IF($C285="&lt;01",ROUND(INDEX(EID!$T:$T,MATCH($B285,EID!$B:$B,0))/2,0),ROUND($AZ285*$BA285,0))</f>
        <v>8</v>
      </c>
      <c r="BC285" s="93">
        <f t="shared" si="119"/>
        <v>8</v>
      </c>
      <c r="BD285" s="90">
        <f t="shared" si="120"/>
        <v>0.95</v>
      </c>
      <c r="BE285" s="42">
        <f>IF($C285="&lt;01",ROUND(INDEX(EID!$V:$V,MATCH($B285,EID!$B:$B,0))/2,0),ROUND($BD285*$BB285,0))</f>
        <v>8</v>
      </c>
      <c r="BF285" s="42">
        <f t="shared" si="121"/>
        <v>8</v>
      </c>
      <c r="BG285" s="116">
        <f t="shared" si="122"/>
        <v>0.95</v>
      </c>
      <c r="BH285" s="9">
        <f>IF($C285="&lt;01",ROUND(INDEX(EID!$L:$L,MATCH($B285,EID!$B:$B,0)),0)/2,IF(SUM($BG285)=0,"",ROUND($AX285/$BG285,0)))</f>
        <v>-26</v>
      </c>
    </row>
    <row r="286" spans="1:60" x14ac:dyDescent="0.2">
      <c r="A286" t="str">
        <f>INDEX(Prioritization!$D:$D,MATCH($B286,Prioritization!$A:$A,0))</f>
        <v>1 - Scale-up: Saturation</v>
      </c>
      <c r="B286" t="s">
        <v>212</v>
      </c>
      <c r="C286" t="s">
        <v>363</v>
      </c>
      <c r="D286" t="s">
        <v>47</v>
      </c>
      <c r="E286" t="str">
        <f t="shared" si="101"/>
        <v>Chiradzulu District [oiPR2CiVJbf]|10-14|Male</v>
      </c>
      <c r="F286" s="14"/>
      <c r="G286" s="14">
        <v>5</v>
      </c>
      <c r="H286" s="14">
        <v>1</v>
      </c>
      <c r="I286" s="14">
        <v>47</v>
      </c>
      <c r="J286" s="14">
        <v>15</v>
      </c>
      <c r="K286" s="14">
        <v>20</v>
      </c>
      <c r="L286" s="14">
        <v>8</v>
      </c>
      <c r="M286" s="14">
        <v>7</v>
      </c>
      <c r="N286" s="14">
        <v>11</v>
      </c>
      <c r="O286" s="14">
        <f t="shared" si="102"/>
        <v>47</v>
      </c>
      <c r="P286" s="14">
        <v>35</v>
      </c>
      <c r="Q286" s="14">
        <v>44</v>
      </c>
      <c r="R286" s="14">
        <f t="shared" si="103"/>
        <v>0</v>
      </c>
      <c r="S286" s="14">
        <f>IF(LEFT($B286,4)="_Mil","",_xlfn.IFNA(ROUND(INDEX(Spectrum!$N:$N,MATCH(RIGHT($B286,13)&amp;"|"&amp;$C286&amp;"|"&amp;$D286&amp;"|"&amp;S$14&amp;"|"&amp;"CY2022Q4",Spectrum!$R:$R,0)),0),""))</f>
        <v>1618</v>
      </c>
      <c r="T286" s="42">
        <f>IF(LEFT($B286,4)="_Mil","",_xlfn.IFNA(ROUND(INDEX(Spectrum!$N:$N,MATCH(RIGHT($B286,13)&amp;"|"&amp;$C286&amp;"|"&amp;$D286&amp;"|"&amp;T$14&amp;"|"&amp;"CY2023Q3",Spectrum!$R:$R,0)),0),""))</f>
        <v>1962</v>
      </c>
      <c r="U286" s="42" t="str">
        <f>IF(LEFT($B286,4)="_Mil","",_xlfn.IFNA(ROUND(INDEX(Spectrum!$N:$N,MATCH(RIGHT($B286,13)&amp;"|"&amp;$C286&amp;"|"&amp;$D286&amp;"|"&amp;U$14&amp;"|"&amp;"CY2023Q3",Spectrum!$R:$R,0)),0),""))</f>
        <v/>
      </c>
      <c r="V286" s="14">
        <f>IF(LEFT($B286,4)="_Mil","",_xlfn.IFNA(ROUND(INDEX(Spectrum!$N:$N,MATCH(RIGHT($B286,13)&amp;"|"&amp;$C286&amp;"|"&amp;$D286&amp;"|"&amp;V$14&amp;"|"&amp;"CY2023Q3",Spectrum!$R:$R,0)),0),""))</f>
        <v>1119</v>
      </c>
      <c r="W286" s="115">
        <f>IF(LEFT($B286,4)="_Mil","",_xlfn.IFNA(INDEX(Spectrum!$N:$N,MATCH(RIGHT($B286,13)&amp;"|"&amp;$C286&amp;"|"&amp;$D286&amp;"|"&amp;W$14&amp;"|"&amp;"CY2023Q3",Spectrum!$R:$R,0)),""))</f>
        <v>946</v>
      </c>
      <c r="X286" s="42">
        <f>IF(LEFT($B286,4)="_Mil","",_xlfn.IFNA(ROUND(INDEX(Spectrum!$N:$N,MATCH(RIGHT($B286,13)&amp;"|"&amp;$C286&amp;"|"&amp;$D286&amp;"|"&amp;X$14&amp;"|"&amp;"CY2023Q3",Spectrum!$R:$R,0)),0),""))</f>
        <v>1674</v>
      </c>
      <c r="Y286" s="90" t="str">
        <f t="shared" si="104"/>
        <v/>
      </c>
      <c r="Z286" s="42">
        <f>IF(LEFT($B286,4)="_Mil","",_xlfn.IFNA(ROUND(INDEX(Spectrum!$N:$N,MATCH(RIGHT($B286,13)&amp;"|"&amp;$C286&amp;"|"&amp;$D286&amp;"|"&amp;Z$14&amp;"|"&amp;"CY2023Q3",Spectrum!$R:$R,0)),0),""))</f>
        <v>831</v>
      </c>
      <c r="AA286" s="90">
        <f>IF(LEFT($B286,4)="_Mil","",IFERROR(1/(1/INDEX(Spectrum!$N:$N,MATCH(RIGHT($B286,13)&amp;"|"&amp;$C286&amp;"|"&amp;$D286&amp;"|"&amp;AA$14&amp;"|"&amp;"CY2023Q3",Spectrum!$R:$R,0))),IF(SUM($U286)=0,"",SUM($Z286)/$U286)))</f>
        <v>1851</v>
      </c>
      <c r="AB286" s="90">
        <f t="shared" si="105"/>
        <v>0.49641577060931902</v>
      </c>
      <c r="AC286" s="14">
        <f>IF(LEFT($B286,4)="_Mil","",_xlfn.IFNA(ROUND(INDEX(Spectrum!$N:$N,MATCH(RIGHT($B286,13)&amp;"|"&amp;$C286&amp;"|"&amp;$D286&amp;"|"&amp;AC$14&amp;"|"&amp;"CY2023Q3",Spectrum!$R:$R,0)),0),""))</f>
        <v>581</v>
      </c>
      <c r="AD286" s="14" t="str">
        <f>IF(LEFT($B286,4)="_Mil","",_xlfn.IFNA(ROUND(INDEX(Spectrum!$N:$N,MATCH(RIGHT($B286,13)&amp;"|"&amp;$C286&amp;"|"&amp;$D286&amp;"|"&amp;AD$14&amp;"|"&amp;"CY2023Q3",Spectrum!$R:$R,0)),0),""))</f>
        <v/>
      </c>
      <c r="AE286" s="90">
        <f t="shared" si="106"/>
        <v>0</v>
      </c>
      <c r="AF286" s="42" t="str">
        <f>IF(LEFT($B286,4)="_Mil","",_xlfn.IFNA(ROUND(INDEX(Spectrum!$N:$N,MATCH(RIGHT($B286,13)&amp;"|"&amp;$C286&amp;"|"&amp;$D286&amp;"|"&amp;AF$14&amp;"|"&amp;"CY2023Q3",Spectrum!$R:$R,0)),0),""))</f>
        <v/>
      </c>
      <c r="AG286" s="90" t="str">
        <f t="shared" si="107"/>
        <v/>
      </c>
      <c r="AH286" s="88" t="str">
        <f>IF(LEFT($B286,4)="_Mil","",_xlfn.IFNA(INDEX(Spectrum!$N:$N,MATCH(RIGHT($B286,13)&amp;"|"&amp;$C286&amp;"|"&amp;$D286&amp;"|"&amp;AH$14&amp;"|"&amp;"CY2023Q3",Spectrum!$R:$R,0)),""))</f>
        <v/>
      </c>
      <c r="AI286" s="14" t="str">
        <f>IF(LEFT($B286,4)="_Mil","",_xlfn.IFNA(ROUND(INDEX(Spectrum!$N:$N,MATCH(RIGHT($B286,13)&amp;"|"&amp;$C286&amp;"|"&amp;$D286&amp;"|"&amp;AI$14&amp;"|"&amp;"CY2023Q3",Spectrum!$R:$R,0)),0),""))</f>
        <v/>
      </c>
      <c r="AJ286" s="42">
        <f>IF(LEFT($B286,4)="_Mil","",_xlfn.IFNA(ROUND(INDEX(Spectrum!$N:$N,MATCH(RIGHT($B286,13)&amp;"|"&amp;$C286&amp;"|"&amp;$D286&amp;"|"&amp;AI$14&amp;"|"&amp;"CY2023Q3",Spectrum!$R:$R,0)),0),SUM($U286)+SUM($AI286)))</f>
        <v>0</v>
      </c>
      <c r="AK286" s="14" t="str">
        <f>IF(LEFT($B286,4)="_Mil","",_xlfn.IFNA(ROUND(INDEX(Spectrum!$N:$N,MATCH(RIGHT($B286,13)&amp;"|"&amp;$C286&amp;"|"&amp;$D286&amp;"|"&amp;AK$14&amp;"|"&amp;"CY2023Q3",Spectrum!$R:$R,0)),0),""))</f>
        <v/>
      </c>
      <c r="AL286" s="90">
        <f t="shared" si="108"/>
        <v>1851</v>
      </c>
      <c r="AM286" s="14">
        <f t="shared" si="109"/>
        <v>0</v>
      </c>
      <c r="AN286" s="14" t="str">
        <f>IF($C286="&lt;01",ROUND(INDEX(EID!$P:$P,MATCH($B286,EID!$B:$B,0))/2,0),"")</f>
        <v/>
      </c>
      <c r="AO286" s="14">
        <f t="shared" si="110"/>
        <v>0</v>
      </c>
      <c r="AP286" s="42">
        <f t="shared" si="111"/>
        <v>0</v>
      </c>
      <c r="AQ286" s="42">
        <f t="shared" si="112"/>
        <v>831</v>
      </c>
      <c r="AR286" s="90" t="str">
        <f t="shared" si="113"/>
        <v/>
      </c>
      <c r="AS286" s="90">
        <f t="shared" si="123"/>
        <v>0.98</v>
      </c>
      <c r="AT286" s="90">
        <f t="shared" si="123"/>
        <v>0.98</v>
      </c>
      <c r="AU286" s="14">
        <f t="shared" si="114"/>
        <v>-47</v>
      </c>
      <c r="AV286" s="14">
        <f>IF($C286="&lt;01",ROUND(INDEX(EID!$N:$N,MATCH($B286,EID!$B:$B,0))/2,0),IF(SUM($AT286)=0,"",ROUND((SUM($AP286)-(SUM($O286)*SUM($AS286)))/$AT286,0)))</f>
        <v>-47</v>
      </c>
      <c r="AW286" s="90">
        <f t="shared" si="115"/>
        <v>1</v>
      </c>
      <c r="AX286" s="42">
        <f t="shared" si="116"/>
        <v>-47</v>
      </c>
      <c r="AY286" s="116">
        <f t="shared" si="117"/>
        <v>0.7</v>
      </c>
      <c r="AZ286" s="93">
        <f>IF($C286="&lt;01",ROUND(INDEX(EID!$R:$R,MATCH($B286,EID!$B:$B,0))/2,0),ROUND(SUM($O286)+(SUM($AV286)*$AY286),0))</f>
        <v>14</v>
      </c>
      <c r="BA286" s="89">
        <f t="shared" si="118"/>
        <v>0.95</v>
      </c>
      <c r="BB286" s="9">
        <f>IF($C286="&lt;01",ROUND(INDEX(EID!$T:$T,MATCH($B286,EID!$B:$B,0))/2,0),ROUND($AZ286*$BA286,0))</f>
        <v>13</v>
      </c>
      <c r="BC286" s="93">
        <f t="shared" si="119"/>
        <v>13</v>
      </c>
      <c r="BD286" s="90">
        <f t="shared" si="120"/>
        <v>0.95</v>
      </c>
      <c r="BE286" s="42">
        <f>IF($C286="&lt;01",ROUND(INDEX(EID!$V:$V,MATCH($B286,EID!$B:$B,0))/2,0),ROUND($BD286*$BB286,0))</f>
        <v>12</v>
      </c>
      <c r="BF286" s="42">
        <f t="shared" si="121"/>
        <v>12</v>
      </c>
      <c r="BG286" s="116">
        <f t="shared" si="122"/>
        <v>0.95</v>
      </c>
      <c r="BH286" s="9">
        <f>IF($C286="&lt;01",ROUND(INDEX(EID!$L:$L,MATCH($B286,EID!$B:$B,0)),0)/2,IF(SUM($BG286)=0,"",ROUND($AX286/$BG286,0)))</f>
        <v>-49</v>
      </c>
    </row>
    <row r="287" spans="1:60" x14ac:dyDescent="0.2">
      <c r="A287" t="str">
        <f>INDEX(Prioritization!$D:$D,MATCH($B287,Prioritization!$A:$A,0))</f>
        <v>1 - Scale-up: Saturation</v>
      </c>
      <c r="B287" t="s">
        <v>212</v>
      </c>
      <c r="C287" t="s">
        <v>364</v>
      </c>
      <c r="D287" t="s">
        <v>29</v>
      </c>
      <c r="E287" t="str">
        <f t="shared" si="101"/>
        <v>Chiradzulu District [oiPR2CiVJbf]|15-24|Female</v>
      </c>
      <c r="F287" s="14"/>
      <c r="G287" s="14"/>
      <c r="H287" s="14"/>
      <c r="I287" s="14"/>
      <c r="J287" s="14"/>
      <c r="K287" s="14"/>
      <c r="L287" s="14"/>
      <c r="M287" s="14"/>
      <c r="N287" s="14"/>
      <c r="O287" s="14" t="str">
        <f t="shared" si="102"/>
        <v/>
      </c>
      <c r="P287" s="14"/>
      <c r="Q287" s="14"/>
      <c r="R287" s="14" t="str">
        <f t="shared" si="103"/>
        <v/>
      </c>
      <c r="S287" s="14">
        <f>IF(LEFT($B287,4)="_Mil","",_xlfn.IFNA(ROUND(INDEX(Spectrum!$N:$N,MATCH(RIGHT($B287,13)&amp;"|"&amp;$C287&amp;"|"&amp;$D287&amp;"|"&amp;S$14&amp;"|"&amp;"CY2022Q4",Spectrum!$R:$R,0)),0),""))</f>
        <v>1783</v>
      </c>
      <c r="T287" s="42">
        <f>IF(LEFT($B287,4)="_Mil","",_xlfn.IFNA(ROUND(INDEX(Spectrum!$N:$N,MATCH(RIGHT($B287,13)&amp;"|"&amp;$C287&amp;"|"&amp;$D287&amp;"|"&amp;T$14&amp;"|"&amp;"CY2023Q3",Spectrum!$R:$R,0)),0),""))</f>
        <v>873</v>
      </c>
      <c r="U287" s="42" t="str">
        <f>IF(LEFT($B287,4)="_Mil","",_xlfn.IFNA(ROUND(INDEX(Spectrum!$N:$N,MATCH(RIGHT($B287,13)&amp;"|"&amp;$C287&amp;"|"&amp;$D287&amp;"|"&amp;U$14&amp;"|"&amp;"CY2023Q3",Spectrum!$R:$R,0)),0),""))</f>
        <v/>
      </c>
      <c r="V287" s="14">
        <f>IF(LEFT($B287,4)="_Mil","",_xlfn.IFNA(ROUND(INDEX(Spectrum!$N:$N,MATCH(RIGHT($B287,13)&amp;"|"&amp;$C287&amp;"|"&amp;$D287&amp;"|"&amp;V$14&amp;"|"&amp;"CY2023Q3",Spectrum!$R:$R,0)),0),""))</f>
        <v>1450</v>
      </c>
      <c r="W287" s="115">
        <f>IF(LEFT($B287,4)="_Mil","",_xlfn.IFNA(INDEX(Spectrum!$N:$N,MATCH(RIGHT($B287,13)&amp;"|"&amp;$C287&amp;"|"&amp;$D287&amp;"|"&amp;W$14&amp;"|"&amp;"CY2023Q3",Spectrum!$R:$R,0)),""))</f>
        <v>1019</v>
      </c>
      <c r="X287" s="42">
        <f>IF(LEFT($B287,4)="_Mil","",_xlfn.IFNA(ROUND(INDEX(Spectrum!$N:$N,MATCH(RIGHT($B287,13)&amp;"|"&amp;$C287&amp;"|"&amp;$D287&amp;"|"&amp;X$14&amp;"|"&amp;"CY2023Q3",Spectrum!$R:$R,0)),0),""))</f>
        <v>656</v>
      </c>
      <c r="Y287" s="90" t="str">
        <f t="shared" si="104"/>
        <v/>
      </c>
      <c r="Z287" s="42">
        <f>IF(LEFT($B287,4)="_Mil","",_xlfn.IFNA(ROUND(INDEX(Spectrum!$N:$N,MATCH(RIGHT($B287,13)&amp;"|"&amp;$C287&amp;"|"&amp;$D287&amp;"|"&amp;Z$14&amp;"|"&amp;"CY2023Q3",Spectrum!$R:$R,0)),0),""))</f>
        <v>842</v>
      </c>
      <c r="AA287" s="90">
        <f>IF(LEFT($B287,4)="_Mil","",IFERROR(1/(1/INDEX(Spectrum!$N:$N,MATCH(RIGHT($B287,13)&amp;"|"&amp;$C287&amp;"|"&amp;$D287&amp;"|"&amp;AA$14&amp;"|"&amp;"CY2023Q3",Spectrum!$R:$R,0))),IF(SUM($U287)=0,"",SUM($Z287)/$U287)))</f>
        <v>1181</v>
      </c>
      <c r="AB287" s="90">
        <f t="shared" si="105"/>
        <v>1.2835365853658536</v>
      </c>
      <c r="AC287" s="14">
        <f>IF(LEFT($B287,4)="_Mil","",_xlfn.IFNA(ROUND(INDEX(Spectrum!$N:$N,MATCH(RIGHT($B287,13)&amp;"|"&amp;$C287&amp;"|"&amp;$D287&amp;"|"&amp;AC$14&amp;"|"&amp;"CY2023Q3",Spectrum!$R:$R,0)),0),""))</f>
        <v>627</v>
      </c>
      <c r="AD287" s="14" t="str">
        <f>IF(LEFT($B287,4)="_Mil","",_xlfn.IFNA(ROUND(INDEX(Spectrum!$N:$N,MATCH(RIGHT($B287,13)&amp;"|"&amp;$C287&amp;"|"&amp;$D287&amp;"|"&amp;AD$14&amp;"|"&amp;"CY2023Q3",Spectrum!$R:$R,0)),0),""))</f>
        <v/>
      </c>
      <c r="AE287" s="90">
        <f t="shared" si="106"/>
        <v>0</v>
      </c>
      <c r="AF287" s="42" t="str">
        <f>IF(LEFT($B287,4)="_Mil","",_xlfn.IFNA(ROUND(INDEX(Spectrum!$N:$N,MATCH(RIGHT($B287,13)&amp;"|"&amp;$C287&amp;"|"&amp;$D287&amp;"|"&amp;AF$14&amp;"|"&amp;"CY2023Q3",Spectrum!$R:$R,0)),0),""))</f>
        <v/>
      </c>
      <c r="AG287" s="90" t="str">
        <f t="shared" si="107"/>
        <v/>
      </c>
      <c r="AH287" s="88" t="str">
        <f>IF(LEFT($B287,4)="_Mil","",_xlfn.IFNA(INDEX(Spectrum!$N:$N,MATCH(RIGHT($B287,13)&amp;"|"&amp;$C287&amp;"|"&amp;$D287&amp;"|"&amp;AH$14&amp;"|"&amp;"CY2023Q3",Spectrum!$R:$R,0)),""))</f>
        <v/>
      </c>
      <c r="AI287" s="14" t="str">
        <f>IF(LEFT($B287,4)="_Mil","",_xlfn.IFNA(ROUND(INDEX(Spectrum!$N:$N,MATCH(RIGHT($B287,13)&amp;"|"&amp;$C287&amp;"|"&amp;$D287&amp;"|"&amp;AI$14&amp;"|"&amp;"CY2023Q3",Spectrum!$R:$R,0)),0),""))</f>
        <v/>
      </c>
      <c r="AJ287" s="42">
        <f>IF(LEFT($B287,4)="_Mil","",_xlfn.IFNA(ROUND(INDEX(Spectrum!$N:$N,MATCH(RIGHT($B287,13)&amp;"|"&amp;$C287&amp;"|"&amp;$D287&amp;"|"&amp;AI$14&amp;"|"&amp;"CY2023Q3",Spectrum!$R:$R,0)),0),SUM($U287)+SUM($AI287)))</f>
        <v>0</v>
      </c>
      <c r="AK287" s="14" t="str">
        <f>IF(LEFT($B287,4)="_Mil","",_xlfn.IFNA(ROUND(INDEX(Spectrum!$N:$N,MATCH(RIGHT($B287,13)&amp;"|"&amp;$C287&amp;"|"&amp;$D287&amp;"|"&amp;AK$14&amp;"|"&amp;"CY2023Q3",Spectrum!$R:$R,0)),0),""))</f>
        <v/>
      </c>
      <c r="AL287" s="90">
        <f t="shared" si="108"/>
        <v>1181</v>
      </c>
      <c r="AM287" s="14">
        <f t="shared" si="109"/>
        <v>0</v>
      </c>
      <c r="AN287" s="14" t="str">
        <f>IF($C287="&lt;01",ROUND(INDEX(EID!$P:$P,MATCH($B287,EID!$B:$B,0))/2,0),"")</f>
        <v/>
      </c>
      <c r="AO287" s="14">
        <f t="shared" si="110"/>
        <v>0</v>
      </c>
      <c r="AP287" s="42">
        <f t="shared" si="111"/>
        <v>0</v>
      </c>
      <c r="AQ287" s="42">
        <f t="shared" si="112"/>
        <v>842</v>
      </c>
      <c r="AR287" s="90" t="str">
        <f t="shared" si="113"/>
        <v/>
      </c>
      <c r="AS287" s="90">
        <f t="shared" si="123"/>
        <v>0.98</v>
      </c>
      <c r="AT287" s="90">
        <f t="shared" si="123"/>
        <v>0.98</v>
      </c>
      <c r="AU287" s="14">
        <f t="shared" si="114"/>
        <v>0</v>
      </c>
      <c r="AV287" s="14">
        <f>IF($C287="&lt;01",ROUND(INDEX(EID!$N:$N,MATCH($B287,EID!$B:$B,0))/2,0),IF(SUM($AT287)=0,"",ROUND((SUM($AP287)-(SUM($O287)*SUM($AS287)))/$AT287,0)))</f>
        <v>0</v>
      </c>
      <c r="AW287" s="90">
        <f t="shared" si="115"/>
        <v>1</v>
      </c>
      <c r="AX287" s="42">
        <f t="shared" si="116"/>
        <v>0</v>
      </c>
      <c r="AY287" s="116">
        <f t="shared" si="117"/>
        <v>0.7</v>
      </c>
      <c r="AZ287" s="93">
        <f>IF($C287="&lt;01",ROUND(INDEX(EID!$R:$R,MATCH($B287,EID!$B:$B,0))/2,0),ROUND(SUM($O287)+(SUM($AV287)*$AY287),0))</f>
        <v>0</v>
      </c>
      <c r="BA287" s="89">
        <f t="shared" si="118"/>
        <v>0.95</v>
      </c>
      <c r="BB287" s="9">
        <f>IF($C287="&lt;01",ROUND(INDEX(EID!$T:$T,MATCH($B287,EID!$B:$B,0))/2,0),ROUND($AZ287*$BA287,0))</f>
        <v>0</v>
      </c>
      <c r="BC287" s="93">
        <f t="shared" si="119"/>
        <v>0</v>
      </c>
      <c r="BD287" s="90">
        <f t="shared" si="120"/>
        <v>0.95</v>
      </c>
      <c r="BE287" s="42">
        <f>IF($C287="&lt;01",ROUND(INDEX(EID!$V:$V,MATCH($B287,EID!$B:$B,0))/2,0),ROUND($BD287*$BB287,0))</f>
        <v>0</v>
      </c>
      <c r="BF287" s="42">
        <f t="shared" si="121"/>
        <v>0</v>
      </c>
      <c r="BG287" s="116">
        <f t="shared" si="122"/>
        <v>0.95</v>
      </c>
      <c r="BH287" s="9">
        <f>IF($C287="&lt;01",ROUND(INDEX(EID!$L:$L,MATCH($B287,EID!$B:$B,0)),0)/2,IF(SUM($BG287)=0,"",ROUND($AX287/$BG287,0)))</f>
        <v>0</v>
      </c>
    </row>
    <row r="288" spans="1:60" x14ac:dyDescent="0.2">
      <c r="A288" t="str">
        <f>INDEX(Prioritization!$D:$D,MATCH($B288,Prioritization!$A:$A,0))</f>
        <v>1 - Scale-up: Saturation</v>
      </c>
      <c r="B288" t="s">
        <v>212</v>
      </c>
      <c r="C288" t="s">
        <v>364</v>
      </c>
      <c r="D288" t="s">
        <v>47</v>
      </c>
      <c r="E288" t="str">
        <f t="shared" si="101"/>
        <v>Chiradzulu District [oiPR2CiVJbf]|15-24|Male</v>
      </c>
      <c r="F288" s="14"/>
      <c r="G288" s="14"/>
      <c r="H288" s="14"/>
      <c r="I288" s="14"/>
      <c r="J288" s="14"/>
      <c r="K288" s="14"/>
      <c r="L288" s="14"/>
      <c r="M288" s="14"/>
      <c r="N288" s="14"/>
      <c r="O288" s="14" t="str">
        <f t="shared" si="102"/>
        <v/>
      </c>
      <c r="P288" s="14"/>
      <c r="Q288" s="14"/>
      <c r="R288" s="14" t="str">
        <f t="shared" si="103"/>
        <v/>
      </c>
      <c r="S288" s="14">
        <f>IF(LEFT($B288,4)="_Mil","",_xlfn.IFNA(ROUND(INDEX(Spectrum!$N:$N,MATCH(RIGHT($B288,13)&amp;"|"&amp;$C288&amp;"|"&amp;$D288&amp;"|"&amp;S$14&amp;"|"&amp;"CY2022Q4",Spectrum!$R:$R,0)),0),""))</f>
        <v>1088</v>
      </c>
      <c r="T288" s="42">
        <f>IF(LEFT($B288,4)="_Mil","",_xlfn.IFNA(ROUND(INDEX(Spectrum!$N:$N,MATCH(RIGHT($B288,13)&amp;"|"&amp;$C288&amp;"|"&amp;$D288&amp;"|"&amp;T$14&amp;"|"&amp;"CY2023Q3",Spectrum!$R:$R,0)),0),""))</f>
        <v>691</v>
      </c>
      <c r="U288" s="42" t="str">
        <f>IF(LEFT($B288,4)="_Mil","",_xlfn.IFNA(ROUND(INDEX(Spectrum!$N:$N,MATCH(RIGHT($B288,13)&amp;"|"&amp;$C288&amp;"|"&amp;$D288&amp;"|"&amp;U$14&amp;"|"&amp;"CY2023Q3",Spectrum!$R:$R,0)),0),""))</f>
        <v/>
      </c>
      <c r="V288" s="14">
        <f>IF(LEFT($B288,4)="_Mil","",_xlfn.IFNA(ROUND(INDEX(Spectrum!$N:$N,MATCH(RIGHT($B288,13)&amp;"|"&amp;$C288&amp;"|"&amp;$D288&amp;"|"&amp;V$14&amp;"|"&amp;"CY2023Q3",Spectrum!$R:$R,0)),0),""))</f>
        <v>1925</v>
      </c>
      <c r="W288" s="115">
        <f>IF(LEFT($B288,4)="_Mil","",_xlfn.IFNA(INDEX(Spectrum!$N:$N,MATCH(RIGHT($B288,13)&amp;"|"&amp;$C288&amp;"|"&amp;$D288&amp;"|"&amp;W$14&amp;"|"&amp;"CY2023Q3",Spectrum!$R:$R,0)),""))</f>
        <v>952</v>
      </c>
      <c r="X288" s="42">
        <f>IF(LEFT($B288,4)="_Mil","",_xlfn.IFNA(ROUND(INDEX(Spectrum!$N:$N,MATCH(RIGHT($B288,13)&amp;"|"&amp;$C288&amp;"|"&amp;$D288&amp;"|"&amp;X$14&amp;"|"&amp;"CY2023Q3",Spectrum!$R:$R,0)),0),""))</f>
        <v>1424</v>
      </c>
      <c r="Y288" s="90" t="str">
        <f t="shared" si="104"/>
        <v/>
      </c>
      <c r="Z288" s="42">
        <f>IF(LEFT($B288,4)="_Mil","",_xlfn.IFNA(ROUND(INDEX(Spectrum!$N:$N,MATCH(RIGHT($B288,13)&amp;"|"&amp;$C288&amp;"|"&amp;$D288&amp;"|"&amp;Z$14&amp;"|"&amp;"CY2023Q3",Spectrum!$R:$R,0)),0),""))</f>
        <v>525</v>
      </c>
      <c r="AA288" s="90">
        <f>IF(LEFT($B288,4)="_Mil","",IFERROR(1/(1/INDEX(Spectrum!$N:$N,MATCH(RIGHT($B288,13)&amp;"|"&amp;$C288&amp;"|"&amp;$D288&amp;"|"&amp;AA$14&amp;"|"&amp;"CY2023Q3",Spectrum!$R:$R,0))),IF(SUM($U288)=0,"",SUM($Z288)/$U288)))</f>
        <v>1765.0000000000002</v>
      </c>
      <c r="AB288" s="90">
        <f t="shared" si="105"/>
        <v>0.3686797752808989</v>
      </c>
      <c r="AC288" s="14">
        <f>IF(LEFT($B288,4)="_Mil","",_xlfn.IFNA(ROUND(INDEX(Spectrum!$N:$N,MATCH(RIGHT($B288,13)&amp;"|"&amp;$C288&amp;"|"&amp;$D288&amp;"|"&amp;AC$14&amp;"|"&amp;"CY2023Q3",Spectrum!$R:$R,0)),0),""))</f>
        <v>809</v>
      </c>
      <c r="AD288" s="14" t="str">
        <f>IF(LEFT($B288,4)="_Mil","",_xlfn.IFNA(ROUND(INDEX(Spectrum!$N:$N,MATCH(RIGHT($B288,13)&amp;"|"&amp;$C288&amp;"|"&amp;$D288&amp;"|"&amp;AD$14&amp;"|"&amp;"CY2023Q3",Spectrum!$R:$R,0)),0),""))</f>
        <v/>
      </c>
      <c r="AE288" s="90">
        <f t="shared" si="106"/>
        <v>0</v>
      </c>
      <c r="AF288" s="42" t="str">
        <f>IF(LEFT($B288,4)="_Mil","",_xlfn.IFNA(ROUND(INDEX(Spectrum!$N:$N,MATCH(RIGHT($B288,13)&amp;"|"&amp;$C288&amp;"|"&amp;$D288&amp;"|"&amp;AF$14&amp;"|"&amp;"CY2023Q3",Spectrum!$R:$R,0)),0),""))</f>
        <v/>
      </c>
      <c r="AG288" s="90" t="str">
        <f t="shared" si="107"/>
        <v/>
      </c>
      <c r="AH288" s="88" t="str">
        <f>IF(LEFT($B288,4)="_Mil","",_xlfn.IFNA(INDEX(Spectrum!$N:$N,MATCH(RIGHT($B288,13)&amp;"|"&amp;$C288&amp;"|"&amp;$D288&amp;"|"&amp;AH$14&amp;"|"&amp;"CY2023Q3",Spectrum!$R:$R,0)),""))</f>
        <v/>
      </c>
      <c r="AI288" s="14" t="str">
        <f>IF(LEFT($B288,4)="_Mil","",_xlfn.IFNA(ROUND(INDEX(Spectrum!$N:$N,MATCH(RIGHT($B288,13)&amp;"|"&amp;$C288&amp;"|"&amp;$D288&amp;"|"&amp;AI$14&amp;"|"&amp;"CY2023Q3",Spectrum!$R:$R,0)),0),""))</f>
        <v/>
      </c>
      <c r="AJ288" s="42">
        <f>IF(LEFT($B288,4)="_Mil","",_xlfn.IFNA(ROUND(INDEX(Spectrum!$N:$N,MATCH(RIGHT($B288,13)&amp;"|"&amp;$C288&amp;"|"&amp;$D288&amp;"|"&amp;AI$14&amp;"|"&amp;"CY2023Q3",Spectrum!$R:$R,0)),0),SUM($U288)+SUM($AI288)))</f>
        <v>0</v>
      </c>
      <c r="AK288" s="14" t="str">
        <f>IF(LEFT($B288,4)="_Mil","",_xlfn.IFNA(ROUND(INDEX(Spectrum!$N:$N,MATCH(RIGHT($B288,13)&amp;"|"&amp;$C288&amp;"|"&amp;$D288&amp;"|"&amp;AK$14&amp;"|"&amp;"CY2023Q3",Spectrum!$R:$R,0)),0),""))</f>
        <v/>
      </c>
      <c r="AL288" s="90">
        <f t="shared" si="108"/>
        <v>1765.0000000000002</v>
      </c>
      <c r="AM288" s="14">
        <f t="shared" si="109"/>
        <v>0</v>
      </c>
      <c r="AN288" s="14" t="str">
        <f>IF($C288="&lt;01",ROUND(INDEX(EID!$P:$P,MATCH($B288,EID!$B:$B,0))/2,0),"")</f>
        <v/>
      </c>
      <c r="AO288" s="14">
        <f t="shared" si="110"/>
        <v>0</v>
      </c>
      <c r="AP288" s="42">
        <f t="shared" si="111"/>
        <v>0</v>
      </c>
      <c r="AQ288" s="42">
        <f t="shared" si="112"/>
        <v>525</v>
      </c>
      <c r="AR288" s="90" t="str">
        <f t="shared" si="113"/>
        <v/>
      </c>
      <c r="AS288" s="90">
        <f t="shared" si="123"/>
        <v>0.98</v>
      </c>
      <c r="AT288" s="90">
        <f t="shared" si="123"/>
        <v>0.98</v>
      </c>
      <c r="AU288" s="14">
        <f t="shared" si="114"/>
        <v>0</v>
      </c>
      <c r="AV288" s="14">
        <f>IF($C288="&lt;01",ROUND(INDEX(EID!$N:$N,MATCH($B288,EID!$B:$B,0))/2,0),IF(SUM($AT288)=0,"",ROUND((SUM($AP288)-(SUM($O288)*SUM($AS288)))/$AT288,0)))</f>
        <v>0</v>
      </c>
      <c r="AW288" s="90">
        <f t="shared" si="115"/>
        <v>1</v>
      </c>
      <c r="AX288" s="42">
        <f t="shared" si="116"/>
        <v>0</v>
      </c>
      <c r="AY288" s="116">
        <f t="shared" si="117"/>
        <v>0.7</v>
      </c>
      <c r="AZ288" s="93">
        <f>IF($C288="&lt;01",ROUND(INDEX(EID!$R:$R,MATCH($B288,EID!$B:$B,0))/2,0),ROUND(SUM($O288)+(SUM($AV288)*$AY288),0))</f>
        <v>0</v>
      </c>
      <c r="BA288" s="89">
        <f t="shared" si="118"/>
        <v>0.95</v>
      </c>
      <c r="BB288" s="9">
        <f>IF($C288="&lt;01",ROUND(INDEX(EID!$T:$T,MATCH($B288,EID!$B:$B,0))/2,0),ROUND($AZ288*$BA288,0))</f>
        <v>0</v>
      </c>
      <c r="BC288" s="93">
        <f t="shared" si="119"/>
        <v>0</v>
      </c>
      <c r="BD288" s="90">
        <f t="shared" si="120"/>
        <v>0.95</v>
      </c>
      <c r="BE288" s="42">
        <f>IF($C288="&lt;01",ROUND(INDEX(EID!$V:$V,MATCH($B288,EID!$B:$B,0))/2,0),ROUND($BD288*$BB288,0))</f>
        <v>0</v>
      </c>
      <c r="BF288" s="42">
        <f t="shared" si="121"/>
        <v>0</v>
      </c>
      <c r="BG288" s="116">
        <f t="shared" si="122"/>
        <v>0.95</v>
      </c>
      <c r="BH288" s="9">
        <f>IF($C288="&lt;01",ROUND(INDEX(EID!$L:$L,MATCH($B288,EID!$B:$B,0)),0)/2,IF(SUM($BG288)=0,"",ROUND($AX288/$BG288,0)))</f>
        <v>0</v>
      </c>
    </row>
    <row r="289" spans="1:60" x14ac:dyDescent="0.2">
      <c r="A289" t="str">
        <f>INDEX(Prioritization!$D:$D,MATCH($B289,Prioritization!$A:$A,0))</f>
        <v>1 - Scale-up: Saturation</v>
      </c>
      <c r="B289" t="s">
        <v>212</v>
      </c>
      <c r="C289" t="s">
        <v>365</v>
      </c>
      <c r="D289" t="s">
        <v>29</v>
      </c>
      <c r="E289" t="str">
        <f t="shared" si="101"/>
        <v>Chiradzulu District [oiPR2CiVJbf]|25-34|Female</v>
      </c>
      <c r="F289" s="14"/>
      <c r="G289" s="14"/>
      <c r="H289" s="14"/>
      <c r="I289" s="14"/>
      <c r="J289" s="14"/>
      <c r="K289" s="14"/>
      <c r="L289" s="14"/>
      <c r="M289" s="14"/>
      <c r="N289" s="14"/>
      <c r="O289" s="14" t="str">
        <f t="shared" si="102"/>
        <v/>
      </c>
      <c r="P289" s="14"/>
      <c r="Q289" s="14"/>
      <c r="R289" s="14" t="str">
        <f t="shared" si="103"/>
        <v/>
      </c>
      <c r="S289" s="14">
        <f>IF(LEFT($B289,4)="_Mil","",_xlfn.IFNA(ROUND(INDEX(Spectrum!$N:$N,MATCH(RIGHT($B289,13)&amp;"|"&amp;$C289&amp;"|"&amp;$D289&amp;"|"&amp;S$14&amp;"|"&amp;"CY2022Q4",Spectrum!$R:$R,0)),0),""))</f>
        <v>592</v>
      </c>
      <c r="T289" s="42">
        <f>IF(LEFT($B289,4)="_Mil","",_xlfn.IFNA(ROUND(INDEX(Spectrum!$N:$N,MATCH(RIGHT($B289,13)&amp;"|"&amp;$C289&amp;"|"&amp;$D289&amp;"|"&amp;T$14&amp;"|"&amp;"CY2023Q3",Spectrum!$R:$R,0)),0),""))</f>
        <v>1090</v>
      </c>
      <c r="U289" s="42" t="str">
        <f>IF(LEFT($B289,4)="_Mil","",_xlfn.IFNA(ROUND(INDEX(Spectrum!$N:$N,MATCH(RIGHT($B289,13)&amp;"|"&amp;$C289&amp;"|"&amp;$D289&amp;"|"&amp;U$14&amp;"|"&amp;"CY2023Q3",Spectrum!$R:$R,0)),0),""))</f>
        <v/>
      </c>
      <c r="V289" s="14">
        <f>IF(LEFT($B289,4)="_Mil","",_xlfn.IFNA(ROUND(INDEX(Spectrum!$N:$N,MATCH(RIGHT($B289,13)&amp;"|"&amp;$C289&amp;"|"&amp;$D289&amp;"|"&amp;V$14&amp;"|"&amp;"CY2023Q3",Spectrum!$R:$R,0)),0),""))</f>
        <v>690</v>
      </c>
      <c r="W289" s="115">
        <f>IF(LEFT($B289,4)="_Mil","",_xlfn.IFNA(INDEX(Spectrum!$N:$N,MATCH(RIGHT($B289,13)&amp;"|"&amp;$C289&amp;"|"&amp;$D289&amp;"|"&amp;W$14&amp;"|"&amp;"CY2023Q3",Spectrum!$R:$R,0)),""))</f>
        <v>702</v>
      </c>
      <c r="X289" s="42">
        <f>IF(LEFT($B289,4)="_Mil","",_xlfn.IFNA(ROUND(INDEX(Spectrum!$N:$N,MATCH(RIGHT($B289,13)&amp;"|"&amp;$C289&amp;"|"&amp;$D289&amp;"|"&amp;X$14&amp;"|"&amp;"CY2023Q3",Spectrum!$R:$R,0)),0),""))</f>
        <v>1736</v>
      </c>
      <c r="Y289" s="90" t="str">
        <f t="shared" si="104"/>
        <v/>
      </c>
      <c r="Z289" s="42">
        <f>IF(LEFT($B289,4)="_Mil","",_xlfn.IFNA(ROUND(INDEX(Spectrum!$N:$N,MATCH(RIGHT($B289,13)&amp;"|"&amp;$C289&amp;"|"&amp;$D289&amp;"|"&amp;Z$14&amp;"|"&amp;"CY2023Q3",Spectrum!$R:$R,0)),0),""))</f>
        <v>1376</v>
      </c>
      <c r="AA289" s="90">
        <f>IF(LEFT($B289,4)="_Mil","",IFERROR(1/(1/INDEX(Spectrum!$N:$N,MATCH(RIGHT($B289,13)&amp;"|"&amp;$C289&amp;"|"&amp;$D289&amp;"|"&amp;AA$14&amp;"|"&amp;"CY2023Q3",Spectrum!$R:$R,0))),IF(SUM($U289)=0,"",SUM($Z289)/$U289)))</f>
        <v>873</v>
      </c>
      <c r="AB289" s="90">
        <f t="shared" si="105"/>
        <v>0.79262672811059909</v>
      </c>
      <c r="AC289" s="14">
        <f>IF(LEFT($B289,4)="_Mil","",_xlfn.IFNA(ROUND(INDEX(Spectrum!$N:$N,MATCH(RIGHT($B289,13)&amp;"|"&amp;$C289&amp;"|"&amp;$D289&amp;"|"&amp;AC$14&amp;"|"&amp;"CY2023Q3",Spectrum!$R:$R,0)),0),""))</f>
        <v>1883</v>
      </c>
      <c r="AD289" s="14" t="str">
        <f>IF(LEFT($B289,4)="_Mil","",_xlfn.IFNA(ROUND(INDEX(Spectrum!$N:$N,MATCH(RIGHT($B289,13)&amp;"|"&amp;$C289&amp;"|"&amp;$D289&amp;"|"&amp;AD$14&amp;"|"&amp;"CY2023Q3",Spectrum!$R:$R,0)),0),""))</f>
        <v/>
      </c>
      <c r="AE289" s="90">
        <f t="shared" si="106"/>
        <v>0</v>
      </c>
      <c r="AF289" s="42" t="str">
        <f>IF(LEFT($B289,4)="_Mil","",_xlfn.IFNA(ROUND(INDEX(Spectrum!$N:$N,MATCH(RIGHT($B289,13)&amp;"|"&amp;$C289&amp;"|"&amp;$D289&amp;"|"&amp;AF$14&amp;"|"&amp;"CY2023Q3",Spectrum!$R:$R,0)),0),""))</f>
        <v/>
      </c>
      <c r="AG289" s="90" t="str">
        <f t="shared" si="107"/>
        <v/>
      </c>
      <c r="AH289" s="88" t="str">
        <f>IF(LEFT($B289,4)="_Mil","",_xlfn.IFNA(INDEX(Spectrum!$N:$N,MATCH(RIGHT($B289,13)&amp;"|"&amp;$C289&amp;"|"&amp;$D289&amp;"|"&amp;AH$14&amp;"|"&amp;"CY2023Q3",Spectrum!$R:$R,0)),""))</f>
        <v/>
      </c>
      <c r="AI289" s="14" t="str">
        <f>IF(LEFT($B289,4)="_Mil","",_xlfn.IFNA(ROUND(INDEX(Spectrum!$N:$N,MATCH(RIGHT($B289,13)&amp;"|"&amp;$C289&amp;"|"&amp;$D289&amp;"|"&amp;AI$14&amp;"|"&amp;"CY2023Q3",Spectrum!$R:$R,0)),0),""))</f>
        <v/>
      </c>
      <c r="AJ289" s="42">
        <f>IF(LEFT($B289,4)="_Mil","",_xlfn.IFNA(ROUND(INDEX(Spectrum!$N:$N,MATCH(RIGHT($B289,13)&amp;"|"&amp;$C289&amp;"|"&amp;$D289&amp;"|"&amp;AI$14&amp;"|"&amp;"CY2023Q3",Spectrum!$R:$R,0)),0),SUM($U289)+SUM($AI289)))</f>
        <v>0</v>
      </c>
      <c r="AK289" s="14" t="str">
        <f>IF(LEFT($B289,4)="_Mil","",_xlfn.IFNA(ROUND(INDEX(Spectrum!$N:$N,MATCH(RIGHT($B289,13)&amp;"|"&amp;$C289&amp;"|"&amp;$D289&amp;"|"&amp;AK$14&amp;"|"&amp;"CY2023Q3",Spectrum!$R:$R,0)),0),""))</f>
        <v/>
      </c>
      <c r="AL289" s="90">
        <f t="shared" si="108"/>
        <v>873</v>
      </c>
      <c r="AM289" s="14">
        <f t="shared" si="109"/>
        <v>0</v>
      </c>
      <c r="AN289" s="14" t="str">
        <f>IF($C289="&lt;01",ROUND(INDEX(EID!$P:$P,MATCH($B289,EID!$B:$B,0))/2,0),"")</f>
        <v/>
      </c>
      <c r="AO289" s="14">
        <f t="shared" si="110"/>
        <v>0</v>
      </c>
      <c r="AP289" s="42">
        <f t="shared" si="111"/>
        <v>0</v>
      </c>
      <c r="AQ289" s="42">
        <f t="shared" si="112"/>
        <v>1376</v>
      </c>
      <c r="AR289" s="90" t="str">
        <f t="shared" si="113"/>
        <v/>
      </c>
      <c r="AS289" s="90">
        <f t="shared" si="123"/>
        <v>0.98</v>
      </c>
      <c r="AT289" s="90">
        <f t="shared" si="123"/>
        <v>0.98</v>
      </c>
      <c r="AU289" s="14">
        <f t="shared" si="114"/>
        <v>0</v>
      </c>
      <c r="AV289" s="14">
        <f>IF($C289="&lt;01",ROUND(INDEX(EID!$N:$N,MATCH($B289,EID!$B:$B,0))/2,0),IF(SUM($AT289)=0,"",ROUND((SUM($AP289)-(SUM($O289)*SUM($AS289)))/$AT289,0)))</f>
        <v>0</v>
      </c>
      <c r="AW289" s="90">
        <f t="shared" si="115"/>
        <v>1</v>
      </c>
      <c r="AX289" s="42">
        <f t="shared" si="116"/>
        <v>0</v>
      </c>
      <c r="AY289" s="116">
        <f t="shared" si="117"/>
        <v>0.7</v>
      </c>
      <c r="AZ289" s="93">
        <f>IF($C289="&lt;01",ROUND(INDEX(EID!$R:$R,MATCH($B289,EID!$B:$B,0))/2,0),ROUND(SUM($O289)+(SUM($AV289)*$AY289),0))</f>
        <v>0</v>
      </c>
      <c r="BA289" s="89">
        <f t="shared" si="118"/>
        <v>0.95</v>
      </c>
      <c r="BB289" s="9">
        <f>IF($C289="&lt;01",ROUND(INDEX(EID!$T:$T,MATCH($B289,EID!$B:$B,0))/2,0),ROUND($AZ289*$BA289,0))</f>
        <v>0</v>
      </c>
      <c r="BC289" s="93">
        <f t="shared" si="119"/>
        <v>0</v>
      </c>
      <c r="BD289" s="90">
        <f t="shared" si="120"/>
        <v>0.95</v>
      </c>
      <c r="BE289" s="42">
        <f>IF($C289="&lt;01",ROUND(INDEX(EID!$V:$V,MATCH($B289,EID!$B:$B,0))/2,0),ROUND($BD289*$BB289,0))</f>
        <v>0</v>
      </c>
      <c r="BF289" s="42">
        <f t="shared" si="121"/>
        <v>0</v>
      </c>
      <c r="BG289" s="116">
        <f t="shared" si="122"/>
        <v>0.95</v>
      </c>
      <c r="BH289" s="9">
        <f>IF($C289="&lt;01",ROUND(INDEX(EID!$L:$L,MATCH($B289,EID!$B:$B,0)),0)/2,IF(SUM($BG289)=0,"",ROUND($AX289/$BG289,0)))</f>
        <v>0</v>
      </c>
    </row>
    <row r="290" spans="1:60" x14ac:dyDescent="0.2">
      <c r="A290" t="str">
        <f>INDEX(Prioritization!$D:$D,MATCH($B290,Prioritization!$A:$A,0))</f>
        <v>1 - Scale-up: Saturation</v>
      </c>
      <c r="B290" t="s">
        <v>212</v>
      </c>
      <c r="C290" t="s">
        <v>365</v>
      </c>
      <c r="D290" t="s">
        <v>47</v>
      </c>
      <c r="E290" t="str">
        <f t="shared" si="101"/>
        <v>Chiradzulu District [oiPR2CiVJbf]|25-34|Male</v>
      </c>
      <c r="F290" s="14"/>
      <c r="G290" s="14"/>
      <c r="H290" s="14"/>
      <c r="I290" s="14"/>
      <c r="J290" s="14"/>
      <c r="K290" s="14"/>
      <c r="L290" s="14"/>
      <c r="M290" s="14"/>
      <c r="N290" s="14"/>
      <c r="O290" s="14" t="str">
        <f t="shared" si="102"/>
        <v/>
      </c>
      <c r="P290" s="14"/>
      <c r="Q290" s="14"/>
      <c r="R290" s="14" t="str">
        <f t="shared" si="103"/>
        <v/>
      </c>
      <c r="S290" s="14">
        <f>IF(LEFT($B290,4)="_Mil","",_xlfn.IFNA(ROUND(INDEX(Spectrum!$N:$N,MATCH(RIGHT($B290,13)&amp;"|"&amp;$C290&amp;"|"&amp;$D290&amp;"|"&amp;S$14&amp;"|"&amp;"CY2022Q4",Spectrum!$R:$R,0)),0),""))</f>
        <v>1269</v>
      </c>
      <c r="T290" s="42">
        <f>IF(LEFT($B290,4)="_Mil","",_xlfn.IFNA(ROUND(INDEX(Spectrum!$N:$N,MATCH(RIGHT($B290,13)&amp;"|"&amp;$C290&amp;"|"&amp;$D290&amp;"|"&amp;T$14&amp;"|"&amp;"CY2023Q3",Spectrum!$R:$R,0)),0),""))</f>
        <v>788</v>
      </c>
      <c r="U290" s="42" t="str">
        <f>IF(LEFT($B290,4)="_Mil","",_xlfn.IFNA(ROUND(INDEX(Spectrum!$N:$N,MATCH(RIGHT($B290,13)&amp;"|"&amp;$C290&amp;"|"&amp;$D290&amp;"|"&amp;U$14&amp;"|"&amp;"CY2023Q3",Spectrum!$R:$R,0)),0),""))</f>
        <v/>
      </c>
      <c r="V290" s="14">
        <f>IF(LEFT($B290,4)="_Mil","",_xlfn.IFNA(ROUND(INDEX(Spectrum!$N:$N,MATCH(RIGHT($B290,13)&amp;"|"&amp;$C290&amp;"|"&amp;$D290&amp;"|"&amp;V$14&amp;"|"&amp;"CY2023Q3",Spectrum!$R:$R,0)),0),""))</f>
        <v>1803</v>
      </c>
      <c r="W290" s="115">
        <f>IF(LEFT($B290,4)="_Mil","",_xlfn.IFNA(INDEX(Spectrum!$N:$N,MATCH(RIGHT($B290,13)&amp;"|"&amp;$C290&amp;"|"&amp;$D290&amp;"|"&amp;W$14&amp;"|"&amp;"CY2023Q3",Spectrum!$R:$R,0)),""))</f>
        <v>1638</v>
      </c>
      <c r="X290" s="42">
        <f>IF(LEFT($B290,4)="_Mil","",_xlfn.IFNA(ROUND(INDEX(Spectrum!$N:$N,MATCH(RIGHT($B290,13)&amp;"|"&amp;$C290&amp;"|"&amp;$D290&amp;"|"&amp;X$14&amp;"|"&amp;"CY2023Q3",Spectrum!$R:$R,0)),0),""))</f>
        <v>885</v>
      </c>
      <c r="Y290" s="90" t="str">
        <f t="shared" si="104"/>
        <v/>
      </c>
      <c r="Z290" s="42">
        <f>IF(LEFT($B290,4)="_Mil","",_xlfn.IFNA(ROUND(INDEX(Spectrum!$N:$N,MATCH(RIGHT($B290,13)&amp;"|"&amp;$C290&amp;"|"&amp;$D290&amp;"|"&amp;Z$14&amp;"|"&amp;"CY2023Q3",Spectrum!$R:$R,0)),0),""))</f>
        <v>1655</v>
      </c>
      <c r="AA290" s="90">
        <f>IF(LEFT($B290,4)="_Mil","",IFERROR(1/(1/INDEX(Spectrum!$N:$N,MATCH(RIGHT($B290,13)&amp;"|"&amp;$C290&amp;"|"&amp;$D290&amp;"|"&amp;AA$14&amp;"|"&amp;"CY2023Q3",Spectrum!$R:$R,0))),IF(SUM($U290)=0,"",SUM($Z290)/$U290)))</f>
        <v>759</v>
      </c>
      <c r="AB290" s="90">
        <f t="shared" si="105"/>
        <v>1.8700564971751412</v>
      </c>
      <c r="AC290" s="14">
        <f>IF(LEFT($B290,4)="_Mil","",_xlfn.IFNA(ROUND(INDEX(Spectrum!$N:$N,MATCH(RIGHT($B290,13)&amp;"|"&amp;$C290&amp;"|"&amp;$D290&amp;"|"&amp;AC$14&amp;"|"&amp;"CY2023Q3",Spectrum!$R:$R,0)),0),""))</f>
        <v>984</v>
      </c>
      <c r="AD290" s="14" t="str">
        <f>IF(LEFT($B290,4)="_Mil","",_xlfn.IFNA(ROUND(INDEX(Spectrum!$N:$N,MATCH(RIGHT($B290,13)&amp;"|"&amp;$C290&amp;"|"&amp;$D290&amp;"|"&amp;AD$14&amp;"|"&amp;"CY2023Q3",Spectrum!$R:$R,0)),0),""))</f>
        <v/>
      </c>
      <c r="AE290" s="90">
        <f t="shared" si="106"/>
        <v>0</v>
      </c>
      <c r="AF290" s="42" t="str">
        <f>IF(LEFT($B290,4)="_Mil","",_xlfn.IFNA(ROUND(INDEX(Spectrum!$N:$N,MATCH(RIGHT($B290,13)&amp;"|"&amp;$C290&amp;"|"&amp;$D290&amp;"|"&amp;AF$14&amp;"|"&amp;"CY2023Q3",Spectrum!$R:$R,0)),0),""))</f>
        <v/>
      </c>
      <c r="AG290" s="90" t="str">
        <f t="shared" si="107"/>
        <v/>
      </c>
      <c r="AH290" s="88" t="str">
        <f>IF(LEFT($B290,4)="_Mil","",_xlfn.IFNA(INDEX(Spectrum!$N:$N,MATCH(RIGHT($B290,13)&amp;"|"&amp;$C290&amp;"|"&amp;$D290&amp;"|"&amp;AH$14&amp;"|"&amp;"CY2023Q3",Spectrum!$R:$R,0)),""))</f>
        <v/>
      </c>
      <c r="AI290" s="14" t="str">
        <f>IF(LEFT($B290,4)="_Mil","",_xlfn.IFNA(ROUND(INDEX(Spectrum!$N:$N,MATCH(RIGHT($B290,13)&amp;"|"&amp;$C290&amp;"|"&amp;$D290&amp;"|"&amp;AI$14&amp;"|"&amp;"CY2023Q3",Spectrum!$R:$R,0)),0),""))</f>
        <v/>
      </c>
      <c r="AJ290" s="42">
        <f>IF(LEFT($B290,4)="_Mil","",_xlfn.IFNA(ROUND(INDEX(Spectrum!$N:$N,MATCH(RIGHT($B290,13)&amp;"|"&amp;$C290&amp;"|"&amp;$D290&amp;"|"&amp;AI$14&amp;"|"&amp;"CY2023Q3",Spectrum!$R:$R,0)),0),SUM($U290)+SUM($AI290)))</f>
        <v>0</v>
      </c>
      <c r="AK290" s="14" t="str">
        <f>IF(LEFT($B290,4)="_Mil","",_xlfn.IFNA(ROUND(INDEX(Spectrum!$N:$N,MATCH(RIGHT($B290,13)&amp;"|"&amp;$C290&amp;"|"&amp;$D290&amp;"|"&amp;AK$14&amp;"|"&amp;"CY2023Q3",Spectrum!$R:$R,0)),0),""))</f>
        <v/>
      </c>
      <c r="AL290" s="90">
        <f t="shared" si="108"/>
        <v>759</v>
      </c>
      <c r="AM290" s="14">
        <f t="shared" si="109"/>
        <v>0</v>
      </c>
      <c r="AN290" s="14" t="str">
        <f>IF($C290="&lt;01",ROUND(INDEX(EID!$P:$P,MATCH($B290,EID!$B:$B,0))/2,0),"")</f>
        <v/>
      </c>
      <c r="AO290" s="14">
        <f t="shared" si="110"/>
        <v>0</v>
      </c>
      <c r="AP290" s="42">
        <f t="shared" si="111"/>
        <v>0</v>
      </c>
      <c r="AQ290" s="42">
        <f t="shared" si="112"/>
        <v>1655</v>
      </c>
      <c r="AR290" s="90" t="str">
        <f t="shared" si="113"/>
        <v/>
      </c>
      <c r="AS290" s="90">
        <f t="shared" si="123"/>
        <v>0.98</v>
      </c>
      <c r="AT290" s="90">
        <f t="shared" si="123"/>
        <v>0.98</v>
      </c>
      <c r="AU290" s="14">
        <f t="shared" si="114"/>
        <v>0</v>
      </c>
      <c r="AV290" s="14">
        <f>IF($C290="&lt;01",ROUND(INDEX(EID!$N:$N,MATCH($B290,EID!$B:$B,0))/2,0),IF(SUM($AT290)=0,"",ROUND((SUM($AP290)-(SUM($O290)*SUM($AS290)))/$AT290,0)))</f>
        <v>0</v>
      </c>
      <c r="AW290" s="90">
        <f t="shared" si="115"/>
        <v>1</v>
      </c>
      <c r="AX290" s="42">
        <f t="shared" si="116"/>
        <v>0</v>
      </c>
      <c r="AY290" s="116">
        <f t="shared" si="117"/>
        <v>0.7</v>
      </c>
      <c r="AZ290" s="93">
        <f>IF($C290="&lt;01",ROUND(INDEX(EID!$R:$R,MATCH($B290,EID!$B:$B,0))/2,0),ROUND(SUM($O290)+(SUM($AV290)*$AY290),0))</f>
        <v>0</v>
      </c>
      <c r="BA290" s="89">
        <f t="shared" si="118"/>
        <v>0.95</v>
      </c>
      <c r="BB290" s="9">
        <f>IF($C290="&lt;01",ROUND(INDEX(EID!$T:$T,MATCH($B290,EID!$B:$B,0))/2,0),ROUND($AZ290*$BA290,0))</f>
        <v>0</v>
      </c>
      <c r="BC290" s="93">
        <f t="shared" si="119"/>
        <v>0</v>
      </c>
      <c r="BD290" s="90">
        <f t="shared" si="120"/>
        <v>0.95</v>
      </c>
      <c r="BE290" s="42">
        <f>IF($C290="&lt;01",ROUND(INDEX(EID!$V:$V,MATCH($B290,EID!$B:$B,0))/2,0),ROUND($BD290*$BB290,0))</f>
        <v>0</v>
      </c>
      <c r="BF290" s="42">
        <f t="shared" si="121"/>
        <v>0</v>
      </c>
      <c r="BG290" s="116">
        <f t="shared" si="122"/>
        <v>0.95</v>
      </c>
      <c r="BH290" s="9">
        <f>IF($C290="&lt;01",ROUND(INDEX(EID!$L:$L,MATCH($B290,EID!$B:$B,0)),0)/2,IF(SUM($BG290)=0,"",ROUND($AX290/$BG290,0)))</f>
        <v>0</v>
      </c>
    </row>
    <row r="291" spans="1:60" x14ac:dyDescent="0.2">
      <c r="A291" t="str">
        <f>INDEX(Prioritization!$D:$D,MATCH($B291,Prioritization!$A:$A,0))</f>
        <v>1 - Scale-up: Saturation</v>
      </c>
      <c r="B291" t="s">
        <v>212</v>
      </c>
      <c r="C291" t="s">
        <v>366</v>
      </c>
      <c r="D291" t="s">
        <v>29</v>
      </c>
      <c r="E291" t="str">
        <f t="shared" si="101"/>
        <v>Chiradzulu District [oiPR2CiVJbf]|35-49|Female</v>
      </c>
      <c r="F291" s="14"/>
      <c r="G291" s="14"/>
      <c r="H291" s="14"/>
      <c r="I291" s="14"/>
      <c r="J291" s="14"/>
      <c r="K291" s="14"/>
      <c r="L291" s="14"/>
      <c r="M291" s="14"/>
      <c r="N291" s="14"/>
      <c r="O291" s="14" t="str">
        <f t="shared" si="102"/>
        <v/>
      </c>
      <c r="P291" s="14"/>
      <c r="Q291" s="14"/>
      <c r="R291" s="14" t="str">
        <f t="shared" si="103"/>
        <v/>
      </c>
      <c r="S291" s="14">
        <f>IF(LEFT($B291,4)="_Mil","",_xlfn.IFNA(ROUND(INDEX(Spectrum!$N:$N,MATCH(RIGHT($B291,13)&amp;"|"&amp;$C291&amp;"|"&amp;$D291&amp;"|"&amp;S$14&amp;"|"&amp;"CY2022Q4",Spectrum!$R:$R,0)),0),""))</f>
        <v>1999</v>
      </c>
      <c r="T291" s="42">
        <f>IF(LEFT($B291,4)="_Mil","",_xlfn.IFNA(ROUND(INDEX(Spectrum!$N:$N,MATCH(RIGHT($B291,13)&amp;"|"&amp;$C291&amp;"|"&amp;$D291&amp;"|"&amp;T$14&amp;"|"&amp;"CY2023Q3",Spectrum!$R:$R,0)),0),""))</f>
        <v>852</v>
      </c>
      <c r="U291" s="42" t="str">
        <f>IF(LEFT($B291,4)="_Mil","",_xlfn.IFNA(ROUND(INDEX(Spectrum!$N:$N,MATCH(RIGHT($B291,13)&amp;"|"&amp;$C291&amp;"|"&amp;$D291&amp;"|"&amp;U$14&amp;"|"&amp;"CY2023Q3",Spectrum!$R:$R,0)),0),""))</f>
        <v/>
      </c>
      <c r="V291" s="14">
        <f>IF(LEFT($B291,4)="_Mil","",_xlfn.IFNA(ROUND(INDEX(Spectrum!$N:$N,MATCH(RIGHT($B291,13)&amp;"|"&amp;$C291&amp;"|"&amp;$D291&amp;"|"&amp;V$14&amp;"|"&amp;"CY2023Q3",Spectrum!$R:$R,0)),0),""))</f>
        <v>1017</v>
      </c>
      <c r="W291" s="115">
        <f>IF(LEFT($B291,4)="_Mil","",_xlfn.IFNA(INDEX(Spectrum!$N:$N,MATCH(RIGHT($B291,13)&amp;"|"&amp;$C291&amp;"|"&amp;$D291&amp;"|"&amp;W$14&amp;"|"&amp;"CY2023Q3",Spectrum!$R:$R,0)),""))</f>
        <v>948</v>
      </c>
      <c r="X291" s="42">
        <f>IF(LEFT($B291,4)="_Mil","",_xlfn.IFNA(ROUND(INDEX(Spectrum!$N:$N,MATCH(RIGHT($B291,13)&amp;"|"&amp;$C291&amp;"|"&amp;$D291&amp;"|"&amp;X$14&amp;"|"&amp;"CY2023Q3",Spectrum!$R:$R,0)),0),""))</f>
        <v>1851</v>
      </c>
      <c r="Y291" s="90" t="str">
        <f t="shared" si="104"/>
        <v/>
      </c>
      <c r="Z291" s="42">
        <f>IF(LEFT($B291,4)="_Mil","",_xlfn.IFNA(ROUND(INDEX(Spectrum!$N:$N,MATCH(RIGHT($B291,13)&amp;"|"&amp;$C291&amp;"|"&amp;$D291&amp;"|"&amp;Z$14&amp;"|"&amp;"CY2023Q3",Spectrum!$R:$R,0)),0),""))</f>
        <v>1437</v>
      </c>
      <c r="AA291" s="90">
        <f>IF(LEFT($B291,4)="_Mil","",IFERROR(1/(1/INDEX(Spectrum!$N:$N,MATCH(RIGHT($B291,13)&amp;"|"&amp;$C291&amp;"|"&amp;$D291&amp;"|"&amp;AA$14&amp;"|"&amp;"CY2023Q3",Spectrum!$R:$R,0))),IF(SUM($U291)=0,"",SUM($Z291)/$U291)))</f>
        <v>1122</v>
      </c>
      <c r="AB291" s="90">
        <f t="shared" si="105"/>
        <v>0.77633711507293357</v>
      </c>
      <c r="AC291" s="14">
        <f>IF(LEFT($B291,4)="_Mil","",_xlfn.IFNA(ROUND(INDEX(Spectrum!$N:$N,MATCH(RIGHT($B291,13)&amp;"|"&amp;$C291&amp;"|"&amp;$D291&amp;"|"&amp;AC$14&amp;"|"&amp;"CY2023Q3",Spectrum!$R:$R,0)),0),""))</f>
        <v>1515</v>
      </c>
      <c r="AD291" s="14" t="str">
        <f>IF(LEFT($B291,4)="_Mil","",_xlfn.IFNA(ROUND(INDEX(Spectrum!$N:$N,MATCH(RIGHT($B291,13)&amp;"|"&amp;$C291&amp;"|"&amp;$D291&amp;"|"&amp;AD$14&amp;"|"&amp;"CY2023Q3",Spectrum!$R:$R,0)),0),""))</f>
        <v/>
      </c>
      <c r="AE291" s="90">
        <f t="shared" si="106"/>
        <v>0</v>
      </c>
      <c r="AF291" s="42" t="str">
        <f>IF(LEFT($B291,4)="_Mil","",_xlfn.IFNA(ROUND(INDEX(Spectrum!$N:$N,MATCH(RIGHT($B291,13)&amp;"|"&amp;$C291&amp;"|"&amp;$D291&amp;"|"&amp;AF$14&amp;"|"&amp;"CY2023Q3",Spectrum!$R:$R,0)),0),""))</f>
        <v/>
      </c>
      <c r="AG291" s="90" t="str">
        <f t="shared" si="107"/>
        <v/>
      </c>
      <c r="AH291" s="88" t="str">
        <f>IF(LEFT($B291,4)="_Mil","",_xlfn.IFNA(INDEX(Spectrum!$N:$N,MATCH(RIGHT($B291,13)&amp;"|"&amp;$C291&amp;"|"&amp;$D291&amp;"|"&amp;AH$14&amp;"|"&amp;"CY2023Q3",Spectrum!$R:$R,0)),""))</f>
        <v/>
      </c>
      <c r="AI291" s="14" t="str">
        <f>IF(LEFT($B291,4)="_Mil","",_xlfn.IFNA(ROUND(INDEX(Spectrum!$N:$N,MATCH(RIGHT($B291,13)&amp;"|"&amp;$C291&amp;"|"&amp;$D291&amp;"|"&amp;AI$14&amp;"|"&amp;"CY2023Q3",Spectrum!$R:$R,0)),0),""))</f>
        <v/>
      </c>
      <c r="AJ291" s="42">
        <f>IF(LEFT($B291,4)="_Mil","",_xlfn.IFNA(ROUND(INDEX(Spectrum!$N:$N,MATCH(RIGHT($B291,13)&amp;"|"&amp;$C291&amp;"|"&amp;$D291&amp;"|"&amp;AI$14&amp;"|"&amp;"CY2023Q3",Spectrum!$R:$R,0)),0),SUM($U291)+SUM($AI291)))</f>
        <v>0</v>
      </c>
      <c r="AK291" s="14" t="str">
        <f>IF(LEFT($B291,4)="_Mil","",_xlfn.IFNA(ROUND(INDEX(Spectrum!$N:$N,MATCH(RIGHT($B291,13)&amp;"|"&amp;$C291&amp;"|"&amp;$D291&amp;"|"&amp;AK$14&amp;"|"&amp;"CY2023Q3",Spectrum!$R:$R,0)),0),""))</f>
        <v/>
      </c>
      <c r="AL291" s="90">
        <f t="shared" si="108"/>
        <v>1122</v>
      </c>
      <c r="AM291" s="14">
        <f t="shared" si="109"/>
        <v>0</v>
      </c>
      <c r="AN291" s="14" t="str">
        <f>IF($C291="&lt;01",ROUND(INDEX(EID!$P:$P,MATCH($B291,EID!$B:$B,0))/2,0),"")</f>
        <v/>
      </c>
      <c r="AO291" s="14">
        <f t="shared" si="110"/>
        <v>0</v>
      </c>
      <c r="AP291" s="42">
        <f t="shared" si="111"/>
        <v>0</v>
      </c>
      <c r="AQ291" s="42">
        <f t="shared" si="112"/>
        <v>1437</v>
      </c>
      <c r="AR291" s="90" t="str">
        <f t="shared" si="113"/>
        <v/>
      </c>
      <c r="AS291" s="90">
        <f t="shared" si="123"/>
        <v>0.98</v>
      </c>
      <c r="AT291" s="90">
        <f t="shared" si="123"/>
        <v>0.98</v>
      </c>
      <c r="AU291" s="14">
        <f t="shared" si="114"/>
        <v>0</v>
      </c>
      <c r="AV291" s="14">
        <f>IF($C291="&lt;01",ROUND(INDEX(EID!$N:$N,MATCH($B291,EID!$B:$B,0))/2,0),IF(SUM($AT291)=0,"",ROUND((SUM($AP291)-(SUM($O291)*SUM($AS291)))/$AT291,0)))</f>
        <v>0</v>
      </c>
      <c r="AW291" s="90">
        <f t="shared" si="115"/>
        <v>1</v>
      </c>
      <c r="AX291" s="42">
        <f t="shared" si="116"/>
        <v>0</v>
      </c>
      <c r="AY291" s="116">
        <f t="shared" si="117"/>
        <v>0.7</v>
      </c>
      <c r="AZ291" s="93">
        <f>IF($C291="&lt;01",ROUND(INDEX(EID!$R:$R,MATCH($B291,EID!$B:$B,0))/2,0),ROUND(SUM($O291)+(SUM($AV291)*$AY291),0))</f>
        <v>0</v>
      </c>
      <c r="BA291" s="89">
        <f t="shared" si="118"/>
        <v>0.95</v>
      </c>
      <c r="BB291" s="9">
        <f>IF($C291="&lt;01",ROUND(INDEX(EID!$T:$T,MATCH($B291,EID!$B:$B,0))/2,0),ROUND($AZ291*$BA291,0))</f>
        <v>0</v>
      </c>
      <c r="BC291" s="93">
        <f t="shared" si="119"/>
        <v>0</v>
      </c>
      <c r="BD291" s="90">
        <f t="shared" si="120"/>
        <v>0.95</v>
      </c>
      <c r="BE291" s="42">
        <f>IF($C291="&lt;01",ROUND(INDEX(EID!$V:$V,MATCH($B291,EID!$B:$B,0))/2,0),ROUND($BD291*$BB291,0))</f>
        <v>0</v>
      </c>
      <c r="BF291" s="42">
        <f t="shared" si="121"/>
        <v>0</v>
      </c>
      <c r="BG291" s="116">
        <f t="shared" si="122"/>
        <v>0.95</v>
      </c>
      <c r="BH291" s="9">
        <f>IF($C291="&lt;01",ROUND(INDEX(EID!$L:$L,MATCH($B291,EID!$B:$B,0)),0)/2,IF(SUM($BG291)=0,"",ROUND($AX291/$BG291,0)))</f>
        <v>0</v>
      </c>
    </row>
    <row r="292" spans="1:60" x14ac:dyDescent="0.2">
      <c r="A292" t="str">
        <f>INDEX(Prioritization!$D:$D,MATCH($B292,Prioritization!$A:$A,0))</f>
        <v>1 - Scale-up: Saturation</v>
      </c>
      <c r="B292" t="s">
        <v>212</v>
      </c>
      <c r="C292" t="s">
        <v>366</v>
      </c>
      <c r="D292" t="s">
        <v>47</v>
      </c>
      <c r="E292" t="str">
        <f t="shared" si="101"/>
        <v>Chiradzulu District [oiPR2CiVJbf]|35-49|Male</v>
      </c>
      <c r="F292" s="14"/>
      <c r="G292" s="14"/>
      <c r="H292" s="14"/>
      <c r="I292" s="14"/>
      <c r="J292" s="14"/>
      <c r="K292" s="14"/>
      <c r="L292" s="14"/>
      <c r="M292" s="14"/>
      <c r="N292" s="14"/>
      <c r="O292" s="14" t="str">
        <f t="shared" si="102"/>
        <v/>
      </c>
      <c r="P292" s="14"/>
      <c r="Q292" s="14"/>
      <c r="R292" s="14" t="str">
        <f t="shared" si="103"/>
        <v/>
      </c>
      <c r="S292" s="14">
        <f>IF(LEFT($B292,4)="_Mil","",_xlfn.IFNA(ROUND(INDEX(Spectrum!$N:$N,MATCH(RIGHT($B292,13)&amp;"|"&amp;$C292&amp;"|"&amp;$D292&amp;"|"&amp;S$14&amp;"|"&amp;"CY2022Q4",Spectrum!$R:$R,0)),0),""))</f>
        <v>1974</v>
      </c>
      <c r="T292" s="42">
        <f>IF(LEFT($B292,4)="_Mil","",_xlfn.IFNA(ROUND(INDEX(Spectrum!$N:$N,MATCH(RIGHT($B292,13)&amp;"|"&amp;$C292&amp;"|"&amp;$D292&amp;"|"&amp;T$14&amp;"|"&amp;"CY2023Q3",Spectrum!$R:$R,0)),0),""))</f>
        <v>718</v>
      </c>
      <c r="U292" s="42" t="str">
        <f>IF(LEFT($B292,4)="_Mil","",_xlfn.IFNA(ROUND(INDEX(Spectrum!$N:$N,MATCH(RIGHT($B292,13)&amp;"|"&amp;$C292&amp;"|"&amp;$D292&amp;"|"&amp;U$14&amp;"|"&amp;"CY2023Q3",Spectrum!$R:$R,0)),0),""))</f>
        <v/>
      </c>
      <c r="V292" s="14">
        <f>IF(LEFT($B292,4)="_Mil","",_xlfn.IFNA(ROUND(INDEX(Spectrum!$N:$N,MATCH(RIGHT($B292,13)&amp;"|"&amp;$C292&amp;"|"&amp;$D292&amp;"|"&amp;V$14&amp;"|"&amp;"CY2023Q3",Spectrum!$R:$R,0)),0),""))</f>
        <v>501</v>
      </c>
      <c r="W292" s="115">
        <f>IF(LEFT($B292,4)="_Mil","",_xlfn.IFNA(INDEX(Spectrum!$N:$N,MATCH(RIGHT($B292,13)&amp;"|"&amp;$C292&amp;"|"&amp;$D292&amp;"|"&amp;W$14&amp;"|"&amp;"CY2023Q3",Spectrum!$R:$R,0)),""))</f>
        <v>679</v>
      </c>
      <c r="X292" s="42">
        <f>IF(LEFT($B292,4)="_Mil","",_xlfn.IFNA(ROUND(INDEX(Spectrum!$N:$N,MATCH(RIGHT($B292,13)&amp;"|"&amp;$C292&amp;"|"&amp;$D292&amp;"|"&amp;X$14&amp;"|"&amp;"CY2023Q3",Spectrum!$R:$R,0)),0),""))</f>
        <v>984</v>
      </c>
      <c r="Y292" s="90" t="str">
        <f t="shared" si="104"/>
        <v/>
      </c>
      <c r="Z292" s="42">
        <f>IF(LEFT($B292,4)="_Mil","",_xlfn.IFNA(ROUND(INDEX(Spectrum!$N:$N,MATCH(RIGHT($B292,13)&amp;"|"&amp;$C292&amp;"|"&amp;$D292&amp;"|"&amp;Z$14&amp;"|"&amp;"CY2023Q3",Spectrum!$R:$R,0)),0),""))</f>
        <v>1602</v>
      </c>
      <c r="AA292" s="90">
        <f>IF(LEFT($B292,4)="_Mil","",IFERROR(1/(1/INDEX(Spectrum!$N:$N,MATCH(RIGHT($B292,13)&amp;"|"&amp;$C292&amp;"|"&amp;$D292&amp;"|"&amp;AA$14&amp;"|"&amp;"CY2023Q3",Spectrum!$R:$R,0))),IF(SUM($U292)=0,"",SUM($Z292)/$U292)))</f>
        <v>1258</v>
      </c>
      <c r="AB292" s="90">
        <f t="shared" si="105"/>
        <v>1.6280487804878048</v>
      </c>
      <c r="AC292" s="14">
        <f>IF(LEFT($B292,4)="_Mil","",_xlfn.IFNA(ROUND(INDEX(Spectrum!$N:$N,MATCH(RIGHT($B292,13)&amp;"|"&amp;$C292&amp;"|"&amp;$D292&amp;"|"&amp;AC$14&amp;"|"&amp;"CY2023Q3",Spectrum!$R:$R,0)),0),""))</f>
        <v>1923</v>
      </c>
      <c r="AD292" s="14" t="str">
        <f>IF(LEFT($B292,4)="_Mil","",_xlfn.IFNA(ROUND(INDEX(Spectrum!$N:$N,MATCH(RIGHT($B292,13)&amp;"|"&amp;$C292&amp;"|"&amp;$D292&amp;"|"&amp;AD$14&amp;"|"&amp;"CY2023Q3",Spectrum!$R:$R,0)),0),""))</f>
        <v/>
      </c>
      <c r="AE292" s="90">
        <f t="shared" si="106"/>
        <v>0</v>
      </c>
      <c r="AF292" s="42" t="str">
        <f>IF(LEFT($B292,4)="_Mil","",_xlfn.IFNA(ROUND(INDEX(Spectrum!$N:$N,MATCH(RIGHT($B292,13)&amp;"|"&amp;$C292&amp;"|"&amp;$D292&amp;"|"&amp;AF$14&amp;"|"&amp;"CY2023Q3",Spectrum!$R:$R,0)),0),""))</f>
        <v/>
      </c>
      <c r="AG292" s="90" t="str">
        <f t="shared" si="107"/>
        <v/>
      </c>
      <c r="AH292" s="88" t="str">
        <f>IF(LEFT($B292,4)="_Mil","",_xlfn.IFNA(INDEX(Spectrum!$N:$N,MATCH(RIGHT($B292,13)&amp;"|"&amp;$C292&amp;"|"&amp;$D292&amp;"|"&amp;AH$14&amp;"|"&amp;"CY2023Q3",Spectrum!$R:$R,0)),""))</f>
        <v/>
      </c>
      <c r="AI292" s="14" t="str">
        <f>IF(LEFT($B292,4)="_Mil","",_xlfn.IFNA(ROUND(INDEX(Spectrum!$N:$N,MATCH(RIGHT($B292,13)&amp;"|"&amp;$C292&amp;"|"&amp;$D292&amp;"|"&amp;AI$14&amp;"|"&amp;"CY2023Q3",Spectrum!$R:$R,0)),0),""))</f>
        <v/>
      </c>
      <c r="AJ292" s="42">
        <f>IF(LEFT($B292,4)="_Mil","",_xlfn.IFNA(ROUND(INDEX(Spectrum!$N:$N,MATCH(RIGHT($B292,13)&amp;"|"&amp;$C292&amp;"|"&amp;$D292&amp;"|"&amp;AI$14&amp;"|"&amp;"CY2023Q3",Spectrum!$R:$R,0)),0),SUM($U292)+SUM($AI292)))</f>
        <v>0</v>
      </c>
      <c r="AK292" s="14" t="str">
        <f>IF(LEFT($B292,4)="_Mil","",_xlfn.IFNA(ROUND(INDEX(Spectrum!$N:$N,MATCH(RIGHT($B292,13)&amp;"|"&amp;$C292&amp;"|"&amp;$D292&amp;"|"&amp;AK$14&amp;"|"&amp;"CY2023Q3",Spectrum!$R:$R,0)),0),""))</f>
        <v/>
      </c>
      <c r="AL292" s="90">
        <f t="shared" si="108"/>
        <v>1258</v>
      </c>
      <c r="AM292" s="14">
        <f t="shared" si="109"/>
        <v>0</v>
      </c>
      <c r="AN292" s="14" t="str">
        <f>IF($C292="&lt;01",ROUND(INDEX(EID!$P:$P,MATCH($B292,EID!$B:$B,0))/2,0),"")</f>
        <v/>
      </c>
      <c r="AO292" s="14">
        <f t="shared" si="110"/>
        <v>0</v>
      </c>
      <c r="AP292" s="42">
        <f t="shared" si="111"/>
        <v>0</v>
      </c>
      <c r="AQ292" s="42">
        <f t="shared" si="112"/>
        <v>1602</v>
      </c>
      <c r="AR292" s="90" t="str">
        <f t="shared" si="113"/>
        <v/>
      </c>
      <c r="AS292" s="90">
        <f t="shared" si="123"/>
        <v>0.98</v>
      </c>
      <c r="AT292" s="90">
        <f t="shared" si="123"/>
        <v>0.98</v>
      </c>
      <c r="AU292" s="14">
        <f t="shared" si="114"/>
        <v>0</v>
      </c>
      <c r="AV292" s="14">
        <f>IF($C292="&lt;01",ROUND(INDEX(EID!$N:$N,MATCH($B292,EID!$B:$B,0))/2,0),IF(SUM($AT292)=0,"",ROUND((SUM($AP292)-(SUM($O292)*SUM($AS292)))/$AT292,0)))</f>
        <v>0</v>
      </c>
      <c r="AW292" s="90">
        <f t="shared" si="115"/>
        <v>1</v>
      </c>
      <c r="AX292" s="42">
        <f t="shared" si="116"/>
        <v>0</v>
      </c>
      <c r="AY292" s="116">
        <f t="shared" si="117"/>
        <v>0.7</v>
      </c>
      <c r="AZ292" s="93">
        <f>IF($C292="&lt;01",ROUND(INDEX(EID!$R:$R,MATCH($B292,EID!$B:$B,0))/2,0),ROUND(SUM($O292)+(SUM($AV292)*$AY292),0))</f>
        <v>0</v>
      </c>
      <c r="BA292" s="89">
        <f t="shared" si="118"/>
        <v>0.95</v>
      </c>
      <c r="BB292" s="9">
        <f>IF($C292="&lt;01",ROUND(INDEX(EID!$T:$T,MATCH($B292,EID!$B:$B,0))/2,0),ROUND($AZ292*$BA292,0))</f>
        <v>0</v>
      </c>
      <c r="BC292" s="93">
        <f t="shared" si="119"/>
        <v>0</v>
      </c>
      <c r="BD292" s="90">
        <f t="shared" si="120"/>
        <v>0.95</v>
      </c>
      <c r="BE292" s="42">
        <f>IF($C292="&lt;01",ROUND(INDEX(EID!$V:$V,MATCH($B292,EID!$B:$B,0))/2,0),ROUND($BD292*$BB292,0))</f>
        <v>0</v>
      </c>
      <c r="BF292" s="42">
        <f t="shared" si="121"/>
        <v>0</v>
      </c>
      <c r="BG292" s="116">
        <f t="shared" si="122"/>
        <v>0.95</v>
      </c>
      <c r="BH292" s="9">
        <f>IF($C292="&lt;01",ROUND(INDEX(EID!$L:$L,MATCH($B292,EID!$B:$B,0)),0)/2,IF(SUM($BG292)=0,"",ROUND($AX292/$BG292,0)))</f>
        <v>0</v>
      </c>
    </row>
    <row r="293" spans="1:60" x14ac:dyDescent="0.2">
      <c r="A293" t="str">
        <f>INDEX(Prioritization!$D:$D,MATCH($B293,Prioritization!$A:$A,0))</f>
        <v>1 - Scale-up: Saturation</v>
      </c>
      <c r="B293" t="s">
        <v>212</v>
      </c>
      <c r="C293" t="s">
        <v>367</v>
      </c>
      <c r="D293" t="s">
        <v>29</v>
      </c>
      <c r="E293" t="str">
        <f t="shared" si="101"/>
        <v>Chiradzulu District [oiPR2CiVJbf]|50+|Female</v>
      </c>
      <c r="F293" s="14"/>
      <c r="G293" s="14"/>
      <c r="H293" s="14"/>
      <c r="I293" s="14"/>
      <c r="J293" s="14"/>
      <c r="K293" s="14"/>
      <c r="L293" s="14"/>
      <c r="M293" s="14"/>
      <c r="N293" s="14"/>
      <c r="O293" s="14" t="str">
        <f t="shared" si="102"/>
        <v/>
      </c>
      <c r="P293" s="14"/>
      <c r="Q293" s="14"/>
      <c r="R293" s="14" t="str">
        <f t="shared" si="103"/>
        <v/>
      </c>
      <c r="S293" s="14">
        <f>IF(LEFT($B293,4)="_Mil","",_xlfn.IFNA(ROUND(INDEX(Spectrum!$N:$N,MATCH(RIGHT($B293,13)&amp;"|"&amp;$C293&amp;"|"&amp;$D293&amp;"|"&amp;S$14&amp;"|"&amp;"CY2022Q4",Spectrum!$R:$R,0)),0),""))</f>
        <v>638</v>
      </c>
      <c r="T293" s="42">
        <f>IF(LEFT($B293,4)="_Mil","",_xlfn.IFNA(ROUND(INDEX(Spectrum!$N:$N,MATCH(RIGHT($B293,13)&amp;"|"&amp;$C293&amp;"|"&amp;$D293&amp;"|"&amp;T$14&amp;"|"&amp;"CY2023Q3",Spectrum!$R:$R,0)),0),""))</f>
        <v>1061</v>
      </c>
      <c r="U293" s="42" t="str">
        <f>IF(LEFT($B293,4)="_Mil","",_xlfn.IFNA(ROUND(INDEX(Spectrum!$N:$N,MATCH(RIGHT($B293,13)&amp;"|"&amp;$C293&amp;"|"&amp;$D293&amp;"|"&amp;U$14&amp;"|"&amp;"CY2023Q3",Spectrum!$R:$R,0)),0),""))</f>
        <v/>
      </c>
      <c r="V293" s="14">
        <f>IF(LEFT($B293,4)="_Mil","",_xlfn.IFNA(ROUND(INDEX(Spectrum!$N:$N,MATCH(RIGHT($B293,13)&amp;"|"&amp;$C293&amp;"|"&amp;$D293&amp;"|"&amp;V$14&amp;"|"&amp;"CY2023Q3",Spectrum!$R:$R,0)),0),""))</f>
        <v>1974</v>
      </c>
      <c r="W293" s="115">
        <f>IF(LEFT($B293,4)="_Mil","",_xlfn.IFNA(INDEX(Spectrum!$N:$N,MATCH(RIGHT($B293,13)&amp;"|"&amp;$C293&amp;"|"&amp;$D293&amp;"|"&amp;W$14&amp;"|"&amp;"CY2023Q3",Spectrum!$R:$R,0)),""))</f>
        <v>1422</v>
      </c>
      <c r="X293" s="42">
        <f>IF(LEFT($B293,4)="_Mil","",_xlfn.IFNA(ROUND(INDEX(Spectrum!$N:$N,MATCH(RIGHT($B293,13)&amp;"|"&amp;$C293&amp;"|"&amp;$D293&amp;"|"&amp;X$14&amp;"|"&amp;"CY2023Q3",Spectrum!$R:$R,0)),0),""))</f>
        <v>629</v>
      </c>
      <c r="Y293" s="90" t="str">
        <f t="shared" si="104"/>
        <v/>
      </c>
      <c r="Z293" s="42">
        <f>IF(LEFT($B293,4)="_Mil","",_xlfn.IFNA(ROUND(INDEX(Spectrum!$N:$N,MATCH(RIGHT($B293,13)&amp;"|"&amp;$C293&amp;"|"&amp;$D293&amp;"|"&amp;Z$14&amp;"|"&amp;"CY2023Q3",Spectrum!$R:$R,0)),0),""))</f>
        <v>1665</v>
      </c>
      <c r="AA293" s="90">
        <f>IF(LEFT($B293,4)="_Mil","",IFERROR(1/(1/INDEX(Spectrum!$N:$N,MATCH(RIGHT($B293,13)&amp;"|"&amp;$C293&amp;"|"&amp;$D293&amp;"|"&amp;AA$14&amp;"|"&amp;"CY2023Q3",Spectrum!$R:$R,0))),IF(SUM($U293)=0,"",SUM($Z293)/$U293)))</f>
        <v>1159</v>
      </c>
      <c r="AB293" s="90">
        <f t="shared" si="105"/>
        <v>2.6470588235294117</v>
      </c>
      <c r="AC293" s="14">
        <f>IF(LEFT($B293,4)="_Mil","",_xlfn.IFNA(ROUND(INDEX(Spectrum!$N:$N,MATCH(RIGHT($B293,13)&amp;"|"&amp;$C293&amp;"|"&amp;$D293&amp;"|"&amp;AC$14&amp;"|"&amp;"CY2023Q3",Spectrum!$R:$R,0)),0),""))</f>
        <v>1317</v>
      </c>
      <c r="AD293" s="14" t="str">
        <f>IF(LEFT($B293,4)="_Mil","",_xlfn.IFNA(ROUND(INDEX(Spectrum!$N:$N,MATCH(RIGHT($B293,13)&amp;"|"&amp;$C293&amp;"|"&amp;$D293&amp;"|"&amp;AD$14&amp;"|"&amp;"CY2023Q3",Spectrum!$R:$R,0)),0),""))</f>
        <v/>
      </c>
      <c r="AE293" s="90">
        <f t="shared" si="106"/>
        <v>0</v>
      </c>
      <c r="AF293" s="42" t="str">
        <f>IF(LEFT($B293,4)="_Mil","",_xlfn.IFNA(ROUND(INDEX(Spectrum!$N:$N,MATCH(RIGHT($B293,13)&amp;"|"&amp;$C293&amp;"|"&amp;$D293&amp;"|"&amp;AF$14&amp;"|"&amp;"CY2023Q3",Spectrum!$R:$R,0)),0),""))</f>
        <v/>
      </c>
      <c r="AG293" s="90" t="str">
        <f t="shared" si="107"/>
        <v/>
      </c>
      <c r="AH293" s="88" t="str">
        <f>IF(LEFT($B293,4)="_Mil","",_xlfn.IFNA(INDEX(Spectrum!$N:$N,MATCH(RIGHT($B293,13)&amp;"|"&amp;$C293&amp;"|"&amp;$D293&amp;"|"&amp;AH$14&amp;"|"&amp;"CY2023Q3",Spectrum!$R:$R,0)),""))</f>
        <v/>
      </c>
      <c r="AI293" s="14" t="str">
        <f>IF(LEFT($B293,4)="_Mil","",_xlfn.IFNA(ROUND(INDEX(Spectrum!$N:$N,MATCH(RIGHT($B293,13)&amp;"|"&amp;$C293&amp;"|"&amp;$D293&amp;"|"&amp;AI$14&amp;"|"&amp;"CY2023Q3",Spectrum!$R:$R,0)),0),""))</f>
        <v/>
      </c>
      <c r="AJ293" s="42">
        <f>IF(LEFT($B293,4)="_Mil","",_xlfn.IFNA(ROUND(INDEX(Spectrum!$N:$N,MATCH(RIGHT($B293,13)&amp;"|"&amp;$C293&amp;"|"&amp;$D293&amp;"|"&amp;AI$14&amp;"|"&amp;"CY2023Q3",Spectrum!$R:$R,0)),0),SUM($U293)+SUM($AI293)))</f>
        <v>0</v>
      </c>
      <c r="AK293" s="14" t="str">
        <f>IF(LEFT($B293,4)="_Mil","",_xlfn.IFNA(ROUND(INDEX(Spectrum!$N:$N,MATCH(RIGHT($B293,13)&amp;"|"&amp;$C293&amp;"|"&amp;$D293&amp;"|"&amp;AK$14&amp;"|"&amp;"CY2023Q3",Spectrum!$R:$R,0)),0),""))</f>
        <v/>
      </c>
      <c r="AL293" s="90">
        <f t="shared" si="108"/>
        <v>1159</v>
      </c>
      <c r="AM293" s="14">
        <f t="shared" si="109"/>
        <v>0</v>
      </c>
      <c r="AN293" s="14" t="str">
        <f>IF($C293="&lt;01",ROUND(INDEX(EID!$P:$P,MATCH($B293,EID!$B:$B,0))/2,0),"")</f>
        <v/>
      </c>
      <c r="AO293" s="14">
        <f t="shared" si="110"/>
        <v>0</v>
      </c>
      <c r="AP293" s="42">
        <f t="shared" si="111"/>
        <v>0</v>
      </c>
      <c r="AQ293" s="42">
        <f t="shared" si="112"/>
        <v>1665</v>
      </c>
      <c r="AR293" s="90" t="str">
        <f t="shared" si="113"/>
        <v/>
      </c>
      <c r="AS293" s="90">
        <f t="shared" si="123"/>
        <v>0.98</v>
      </c>
      <c r="AT293" s="90">
        <f t="shared" si="123"/>
        <v>0.98</v>
      </c>
      <c r="AU293" s="14">
        <f t="shared" si="114"/>
        <v>0</v>
      </c>
      <c r="AV293" s="14">
        <f>IF($C293="&lt;01",ROUND(INDEX(EID!$N:$N,MATCH($B293,EID!$B:$B,0))/2,0),IF(SUM($AT293)=0,"",ROUND((SUM($AP293)-(SUM($O293)*SUM($AS293)))/$AT293,0)))</f>
        <v>0</v>
      </c>
      <c r="AW293" s="90">
        <f t="shared" si="115"/>
        <v>1</v>
      </c>
      <c r="AX293" s="42">
        <f t="shared" si="116"/>
        <v>0</v>
      </c>
      <c r="AY293" s="116">
        <f t="shared" si="117"/>
        <v>0.7</v>
      </c>
      <c r="AZ293" s="93">
        <f>IF($C293="&lt;01",ROUND(INDEX(EID!$R:$R,MATCH($B293,EID!$B:$B,0))/2,0),ROUND(SUM($O293)+(SUM($AV293)*$AY293),0))</f>
        <v>0</v>
      </c>
      <c r="BA293" s="89">
        <f t="shared" si="118"/>
        <v>0.95</v>
      </c>
      <c r="BB293" s="9">
        <f>IF($C293="&lt;01",ROUND(INDEX(EID!$T:$T,MATCH($B293,EID!$B:$B,0))/2,0),ROUND($AZ293*$BA293,0))</f>
        <v>0</v>
      </c>
      <c r="BC293" s="93">
        <f t="shared" si="119"/>
        <v>0</v>
      </c>
      <c r="BD293" s="90">
        <f t="shared" si="120"/>
        <v>0.95</v>
      </c>
      <c r="BE293" s="42">
        <f>IF($C293="&lt;01",ROUND(INDEX(EID!$V:$V,MATCH($B293,EID!$B:$B,0))/2,0),ROUND($BD293*$BB293,0))</f>
        <v>0</v>
      </c>
      <c r="BF293" s="42">
        <f t="shared" si="121"/>
        <v>0</v>
      </c>
      <c r="BG293" s="116">
        <f t="shared" si="122"/>
        <v>0.95</v>
      </c>
      <c r="BH293" s="9">
        <f>IF($C293="&lt;01",ROUND(INDEX(EID!$L:$L,MATCH($B293,EID!$B:$B,0)),0)/2,IF(SUM($BG293)=0,"",ROUND($AX293/$BG293,0)))</f>
        <v>0</v>
      </c>
    </row>
    <row r="294" spans="1:60" x14ac:dyDescent="0.2">
      <c r="A294" t="str">
        <f>INDEX(Prioritization!$D:$D,MATCH($B294,Prioritization!$A:$A,0))</f>
        <v>1 - Scale-up: Saturation</v>
      </c>
      <c r="B294" t="s">
        <v>212</v>
      </c>
      <c r="C294" t="s">
        <v>367</v>
      </c>
      <c r="D294" t="s">
        <v>47</v>
      </c>
      <c r="E294" t="str">
        <f t="shared" si="101"/>
        <v>Chiradzulu District [oiPR2CiVJbf]|50+|Male</v>
      </c>
      <c r="F294" s="14"/>
      <c r="G294" s="14"/>
      <c r="H294" s="14"/>
      <c r="I294" s="14"/>
      <c r="J294" s="14"/>
      <c r="K294" s="14"/>
      <c r="L294" s="14"/>
      <c r="M294" s="14"/>
      <c r="N294" s="14"/>
      <c r="O294" s="14" t="str">
        <f t="shared" si="102"/>
        <v/>
      </c>
      <c r="P294" s="14"/>
      <c r="Q294" s="14"/>
      <c r="R294" s="14" t="str">
        <f t="shared" si="103"/>
        <v/>
      </c>
      <c r="S294" s="14">
        <f>IF(LEFT($B294,4)="_Mil","",_xlfn.IFNA(ROUND(INDEX(Spectrum!$N:$N,MATCH(RIGHT($B294,13)&amp;"|"&amp;$C294&amp;"|"&amp;$D294&amp;"|"&amp;S$14&amp;"|"&amp;"CY2022Q4",Spectrum!$R:$R,0)),0),""))</f>
        <v>1544</v>
      </c>
      <c r="T294" s="42">
        <f>IF(LEFT($B294,4)="_Mil","",_xlfn.IFNA(ROUND(INDEX(Spectrum!$N:$N,MATCH(RIGHT($B294,13)&amp;"|"&amp;$C294&amp;"|"&amp;$D294&amp;"|"&amp;T$14&amp;"|"&amp;"CY2023Q3",Spectrum!$R:$R,0)),0),""))</f>
        <v>1506</v>
      </c>
      <c r="U294" s="42" t="str">
        <f>IF(LEFT($B294,4)="_Mil","",_xlfn.IFNA(ROUND(INDEX(Spectrum!$N:$N,MATCH(RIGHT($B294,13)&amp;"|"&amp;$C294&amp;"|"&amp;$D294&amp;"|"&amp;U$14&amp;"|"&amp;"CY2023Q3",Spectrum!$R:$R,0)),0),""))</f>
        <v/>
      </c>
      <c r="V294" s="14">
        <f>IF(LEFT($B294,4)="_Mil","",_xlfn.IFNA(ROUND(INDEX(Spectrum!$N:$N,MATCH(RIGHT($B294,13)&amp;"|"&amp;$C294&amp;"|"&amp;$D294&amp;"|"&amp;V$14&amp;"|"&amp;"CY2023Q3",Spectrum!$R:$R,0)),0),""))</f>
        <v>827</v>
      </c>
      <c r="W294" s="115">
        <f>IF(LEFT($B294,4)="_Mil","",_xlfn.IFNA(INDEX(Spectrum!$N:$N,MATCH(RIGHT($B294,13)&amp;"|"&amp;$C294&amp;"|"&amp;$D294&amp;"|"&amp;W$14&amp;"|"&amp;"CY2023Q3",Spectrum!$R:$R,0)),""))</f>
        <v>873</v>
      </c>
      <c r="X294" s="42">
        <f>IF(LEFT($B294,4)="_Mil","",_xlfn.IFNA(ROUND(INDEX(Spectrum!$N:$N,MATCH(RIGHT($B294,13)&amp;"|"&amp;$C294&amp;"|"&amp;$D294&amp;"|"&amp;X$14&amp;"|"&amp;"CY2023Q3",Spectrum!$R:$R,0)),0),""))</f>
        <v>1743</v>
      </c>
      <c r="Y294" s="90" t="str">
        <f t="shared" si="104"/>
        <v/>
      </c>
      <c r="Z294" s="42">
        <f>IF(LEFT($B294,4)="_Mil","",_xlfn.IFNA(ROUND(INDEX(Spectrum!$N:$N,MATCH(RIGHT($B294,13)&amp;"|"&amp;$C294&amp;"|"&amp;$D294&amp;"|"&amp;Z$14&amp;"|"&amp;"CY2023Q3",Spectrum!$R:$R,0)),0),""))</f>
        <v>1566</v>
      </c>
      <c r="AA294" s="90">
        <f>IF(LEFT($B294,4)="_Mil","",IFERROR(1/(1/INDEX(Spectrum!$N:$N,MATCH(RIGHT($B294,13)&amp;"|"&amp;$C294&amp;"|"&amp;$D294&amp;"|"&amp;AA$14&amp;"|"&amp;"CY2023Q3",Spectrum!$R:$R,0))),IF(SUM($U294)=0,"",SUM($Z294)/$U294)))</f>
        <v>1792</v>
      </c>
      <c r="AB294" s="90">
        <f t="shared" si="105"/>
        <v>0.89845094664371772</v>
      </c>
      <c r="AC294" s="14">
        <f>IF(LEFT($B294,4)="_Mil","",_xlfn.IFNA(ROUND(INDEX(Spectrum!$N:$N,MATCH(RIGHT($B294,13)&amp;"|"&amp;$C294&amp;"|"&amp;$D294&amp;"|"&amp;AC$14&amp;"|"&amp;"CY2023Q3",Spectrum!$R:$R,0)),0),""))</f>
        <v>1612</v>
      </c>
      <c r="AD294" s="14" t="str">
        <f>IF(LEFT($B294,4)="_Mil","",_xlfn.IFNA(ROUND(INDEX(Spectrum!$N:$N,MATCH(RIGHT($B294,13)&amp;"|"&amp;$C294&amp;"|"&amp;$D294&amp;"|"&amp;AD$14&amp;"|"&amp;"CY2023Q3",Spectrum!$R:$R,0)),0),""))</f>
        <v/>
      </c>
      <c r="AE294" s="90">
        <f t="shared" si="106"/>
        <v>0</v>
      </c>
      <c r="AF294" s="42" t="str">
        <f>IF(LEFT($B294,4)="_Mil","",_xlfn.IFNA(ROUND(INDEX(Spectrum!$N:$N,MATCH(RIGHT($B294,13)&amp;"|"&amp;$C294&amp;"|"&amp;$D294&amp;"|"&amp;AF$14&amp;"|"&amp;"CY2023Q3",Spectrum!$R:$R,0)),0),""))</f>
        <v/>
      </c>
      <c r="AG294" s="90" t="str">
        <f t="shared" si="107"/>
        <v/>
      </c>
      <c r="AH294" s="88" t="str">
        <f>IF(LEFT($B294,4)="_Mil","",_xlfn.IFNA(INDEX(Spectrum!$N:$N,MATCH(RIGHT($B294,13)&amp;"|"&amp;$C294&amp;"|"&amp;$D294&amp;"|"&amp;AH$14&amp;"|"&amp;"CY2023Q3",Spectrum!$R:$R,0)),""))</f>
        <v/>
      </c>
      <c r="AI294" s="14" t="str">
        <f>IF(LEFT($B294,4)="_Mil","",_xlfn.IFNA(ROUND(INDEX(Spectrum!$N:$N,MATCH(RIGHT($B294,13)&amp;"|"&amp;$C294&amp;"|"&amp;$D294&amp;"|"&amp;AI$14&amp;"|"&amp;"CY2023Q3",Spectrum!$R:$R,0)),0),""))</f>
        <v/>
      </c>
      <c r="AJ294" s="42">
        <f>IF(LEFT($B294,4)="_Mil","",_xlfn.IFNA(ROUND(INDEX(Spectrum!$N:$N,MATCH(RIGHT($B294,13)&amp;"|"&amp;$C294&amp;"|"&amp;$D294&amp;"|"&amp;AI$14&amp;"|"&amp;"CY2023Q3",Spectrum!$R:$R,0)),0),SUM($U294)+SUM($AI294)))</f>
        <v>0</v>
      </c>
      <c r="AK294" s="14" t="str">
        <f>IF(LEFT($B294,4)="_Mil","",_xlfn.IFNA(ROUND(INDEX(Spectrum!$N:$N,MATCH(RIGHT($B294,13)&amp;"|"&amp;$C294&amp;"|"&amp;$D294&amp;"|"&amp;AK$14&amp;"|"&amp;"CY2023Q3",Spectrum!$R:$R,0)),0),""))</f>
        <v/>
      </c>
      <c r="AL294" s="90">
        <f t="shared" si="108"/>
        <v>1792</v>
      </c>
      <c r="AM294" s="14">
        <f t="shared" si="109"/>
        <v>0</v>
      </c>
      <c r="AN294" s="14" t="str">
        <f>IF($C294="&lt;01",ROUND(INDEX(EID!$P:$P,MATCH($B294,EID!$B:$B,0))/2,0),"")</f>
        <v/>
      </c>
      <c r="AO294" s="14">
        <f t="shared" si="110"/>
        <v>0</v>
      </c>
      <c r="AP294" s="42">
        <f t="shared" si="111"/>
        <v>0</v>
      </c>
      <c r="AQ294" s="42">
        <f t="shared" si="112"/>
        <v>1566</v>
      </c>
      <c r="AR294" s="90" t="str">
        <f t="shared" si="113"/>
        <v/>
      </c>
      <c r="AS294" s="90">
        <f t="shared" si="123"/>
        <v>0.98</v>
      </c>
      <c r="AT294" s="90">
        <f t="shared" si="123"/>
        <v>0.98</v>
      </c>
      <c r="AU294" s="14">
        <f t="shared" si="114"/>
        <v>0</v>
      </c>
      <c r="AV294" s="14">
        <f>IF($C294="&lt;01",ROUND(INDEX(EID!$N:$N,MATCH($B294,EID!$B:$B,0))/2,0),IF(SUM($AT294)=0,"",ROUND((SUM($AP294)-(SUM($O294)*SUM($AS294)))/$AT294,0)))</f>
        <v>0</v>
      </c>
      <c r="AW294" s="90">
        <f t="shared" si="115"/>
        <v>1</v>
      </c>
      <c r="AX294" s="42">
        <f t="shared" si="116"/>
        <v>0</v>
      </c>
      <c r="AY294" s="116">
        <f t="shared" si="117"/>
        <v>0.7</v>
      </c>
      <c r="AZ294" s="93">
        <f>IF($C294="&lt;01",ROUND(INDEX(EID!$R:$R,MATCH($B294,EID!$B:$B,0))/2,0),ROUND(SUM($O294)+(SUM($AV294)*$AY294),0))</f>
        <v>0</v>
      </c>
      <c r="BA294" s="89">
        <f t="shared" si="118"/>
        <v>0.95</v>
      </c>
      <c r="BB294" s="9">
        <f>IF($C294="&lt;01",ROUND(INDEX(EID!$T:$T,MATCH($B294,EID!$B:$B,0))/2,0),ROUND($AZ294*$BA294,0))</f>
        <v>0</v>
      </c>
      <c r="BC294" s="93">
        <f t="shared" si="119"/>
        <v>0</v>
      </c>
      <c r="BD294" s="90">
        <f t="shared" si="120"/>
        <v>0.95</v>
      </c>
      <c r="BE294" s="42">
        <f>IF($C294="&lt;01",ROUND(INDEX(EID!$V:$V,MATCH($B294,EID!$B:$B,0))/2,0),ROUND($BD294*$BB294,0))</f>
        <v>0</v>
      </c>
      <c r="BF294" s="42">
        <f t="shared" si="121"/>
        <v>0</v>
      </c>
      <c r="BG294" s="116">
        <f t="shared" si="122"/>
        <v>0.95</v>
      </c>
      <c r="BH294" s="9">
        <f>IF($C294="&lt;01",ROUND(INDEX(EID!$L:$L,MATCH($B294,EID!$B:$B,0)),0)/2,IF(SUM($BG294)=0,"",ROUND($AX294/$BG294,0)))</f>
        <v>0</v>
      </c>
    </row>
    <row r="295" spans="1:60" x14ac:dyDescent="0.2">
      <c r="A295" t="str">
        <f>INDEX(Prioritization!$D:$D,MATCH($B295,Prioritization!$A:$A,0))</f>
        <v>1 - Scale-up: Saturation</v>
      </c>
      <c r="B295" t="s">
        <v>213</v>
      </c>
      <c r="C295" t="s">
        <v>315</v>
      </c>
      <c r="D295" t="s">
        <v>29</v>
      </c>
      <c r="E295" t="str">
        <f t="shared" si="101"/>
        <v>Machinga District [TYnMSwzko3z]|&lt;01|Female</v>
      </c>
      <c r="F295" s="14"/>
      <c r="G295" s="14">
        <v>9</v>
      </c>
      <c r="H295" s="14">
        <v>10</v>
      </c>
      <c r="I295" s="14">
        <v>6</v>
      </c>
      <c r="J295" s="14">
        <v>3</v>
      </c>
      <c r="K295" s="14">
        <v>9</v>
      </c>
      <c r="L295" s="14"/>
      <c r="M295" s="14">
        <v>4</v>
      </c>
      <c r="N295" s="14">
        <v>8</v>
      </c>
      <c r="O295" s="14">
        <f t="shared" si="102"/>
        <v>8</v>
      </c>
      <c r="P295" s="14">
        <v>9</v>
      </c>
      <c r="Q295" s="14">
        <v>10</v>
      </c>
      <c r="R295" s="14">
        <f t="shared" si="103"/>
        <v>2</v>
      </c>
      <c r="S295" s="14">
        <f>IF(LEFT($B295,4)="_Mil","",_xlfn.IFNA(ROUND(INDEX(Spectrum!$N:$N,MATCH(RIGHT($B295,13)&amp;"|"&amp;$C295&amp;"|"&amp;$D295&amp;"|"&amp;S$14&amp;"|"&amp;"CY2022Q4",Spectrum!$R:$R,0)),0),""))</f>
        <v>1625</v>
      </c>
      <c r="T295" s="42">
        <f>IF(LEFT($B295,4)="_Mil","",_xlfn.IFNA(ROUND(INDEX(Spectrum!$N:$N,MATCH(RIGHT($B295,13)&amp;"|"&amp;$C295&amp;"|"&amp;$D295&amp;"|"&amp;T$14&amp;"|"&amp;"CY2023Q3",Spectrum!$R:$R,0)),0),""))</f>
        <v>1334</v>
      </c>
      <c r="U295" s="42" t="str">
        <f>IF(LEFT($B295,4)="_Mil","",_xlfn.IFNA(ROUND(INDEX(Spectrum!$N:$N,MATCH(RIGHT($B295,13)&amp;"|"&amp;$C295&amp;"|"&amp;$D295&amp;"|"&amp;U$14&amp;"|"&amp;"CY2023Q3",Spectrum!$R:$R,0)),0),""))</f>
        <v/>
      </c>
      <c r="V295" s="14">
        <f>IF(LEFT($B295,4)="_Mil","",_xlfn.IFNA(ROUND(INDEX(Spectrum!$N:$N,MATCH(RIGHT($B295,13)&amp;"|"&amp;$C295&amp;"|"&amp;$D295&amp;"|"&amp;V$14&amp;"|"&amp;"CY2023Q3",Spectrum!$R:$R,0)),0),""))</f>
        <v>823</v>
      </c>
      <c r="W295" s="115">
        <f>IF(LEFT($B295,4)="_Mil","",_xlfn.IFNA(INDEX(Spectrum!$N:$N,MATCH(RIGHT($B295,13)&amp;"|"&amp;$C295&amp;"|"&amp;$D295&amp;"|"&amp;W$14&amp;"|"&amp;"CY2023Q3",Spectrum!$R:$R,0)),""))</f>
        <v>1356</v>
      </c>
      <c r="X295" s="42">
        <f>IF(LEFT($B295,4)="_Mil","",_xlfn.IFNA(ROUND(INDEX(Spectrum!$N:$N,MATCH(RIGHT($B295,13)&amp;"|"&amp;$C295&amp;"|"&amp;$D295&amp;"|"&amp;X$14&amp;"|"&amp;"CY2023Q3",Spectrum!$R:$R,0)),0),""))</f>
        <v>1171</v>
      </c>
      <c r="Y295" s="90" t="str">
        <f t="shared" si="104"/>
        <v/>
      </c>
      <c r="Z295" s="42">
        <f>IF(LEFT($B295,4)="_Mil","",_xlfn.IFNA(ROUND(INDEX(Spectrum!$N:$N,MATCH(RIGHT($B295,13)&amp;"|"&amp;$C295&amp;"|"&amp;$D295&amp;"|"&amp;Z$14&amp;"|"&amp;"CY2023Q3",Spectrum!$R:$R,0)),0),""))</f>
        <v>1658</v>
      </c>
      <c r="AA295" s="90">
        <f>IF(LEFT($B295,4)="_Mil","",IFERROR(1/(1/INDEX(Spectrum!$N:$N,MATCH(RIGHT($B295,13)&amp;"|"&amp;$C295&amp;"|"&amp;$D295&amp;"|"&amp;AA$14&amp;"|"&amp;"CY2023Q3",Spectrum!$R:$R,0))),IF(SUM($U295)=0,"",SUM($Z295)/$U295)))</f>
        <v>681</v>
      </c>
      <c r="AB295" s="90">
        <f t="shared" si="105"/>
        <v>1.4158838599487618</v>
      </c>
      <c r="AC295" s="14">
        <f>IF(LEFT($B295,4)="_Mil","",_xlfn.IFNA(ROUND(INDEX(Spectrum!$N:$N,MATCH(RIGHT($B295,13)&amp;"|"&amp;$C295&amp;"|"&amp;$D295&amp;"|"&amp;AC$14&amp;"|"&amp;"CY2023Q3",Spectrum!$R:$R,0)),0),""))</f>
        <v>1238</v>
      </c>
      <c r="AD295" s="14" t="str">
        <f>IF(LEFT($B295,4)="_Mil","",_xlfn.IFNA(ROUND(INDEX(Spectrum!$N:$N,MATCH(RIGHT($B295,13)&amp;"|"&amp;$C295&amp;"|"&amp;$D295&amp;"|"&amp;AD$14&amp;"|"&amp;"CY2023Q3",Spectrum!$R:$R,0)),0),""))</f>
        <v/>
      </c>
      <c r="AE295" s="90">
        <f t="shared" si="106"/>
        <v>0</v>
      </c>
      <c r="AF295" s="42" t="str">
        <f>IF(LEFT($B295,4)="_Mil","",_xlfn.IFNA(ROUND(INDEX(Spectrum!$N:$N,MATCH(RIGHT($B295,13)&amp;"|"&amp;$C295&amp;"|"&amp;$D295&amp;"|"&amp;AF$14&amp;"|"&amp;"CY2023Q3",Spectrum!$R:$R,0)),0),""))</f>
        <v/>
      </c>
      <c r="AG295" s="90" t="str">
        <f t="shared" si="107"/>
        <v/>
      </c>
      <c r="AH295" s="88" t="str">
        <f>IF(LEFT($B295,4)="_Mil","",_xlfn.IFNA(INDEX(Spectrum!$N:$N,MATCH(RIGHT($B295,13)&amp;"|"&amp;$C295&amp;"|"&amp;$D295&amp;"|"&amp;AH$14&amp;"|"&amp;"CY2023Q3",Spectrum!$R:$R,0)),""))</f>
        <v/>
      </c>
      <c r="AI295" s="14" t="str">
        <f>IF(LEFT($B295,4)="_Mil","",_xlfn.IFNA(ROUND(INDEX(Spectrum!$N:$N,MATCH(RIGHT($B295,13)&amp;"|"&amp;$C295&amp;"|"&amp;$D295&amp;"|"&amp;AI$14&amp;"|"&amp;"CY2023Q3",Spectrum!$R:$R,0)),0),""))</f>
        <v/>
      </c>
      <c r="AJ295" s="42">
        <f>IF(LEFT($B295,4)="_Mil","",_xlfn.IFNA(ROUND(INDEX(Spectrum!$N:$N,MATCH(RIGHT($B295,13)&amp;"|"&amp;$C295&amp;"|"&amp;$D295&amp;"|"&amp;AI$14&amp;"|"&amp;"CY2023Q3",Spectrum!$R:$R,0)),0),SUM($U295)+SUM($AI295)))</f>
        <v>0</v>
      </c>
      <c r="AK295" s="14" t="str">
        <f>IF(LEFT($B295,4)="_Mil","",_xlfn.IFNA(ROUND(INDEX(Spectrum!$N:$N,MATCH(RIGHT($B295,13)&amp;"|"&amp;$C295&amp;"|"&amp;$D295&amp;"|"&amp;AK$14&amp;"|"&amp;"CY2023Q3",Spectrum!$R:$R,0)),0),""))</f>
        <v/>
      </c>
      <c r="AL295" s="90" t="str">
        <f t="shared" si="108"/>
        <v/>
      </c>
      <c r="AM295" s="14" t="str">
        <f t="shared" si="109"/>
        <v/>
      </c>
      <c r="AN295" s="14">
        <f>IF($C295="&lt;01",ROUND(INDEX(EID!$P:$P,MATCH($B295,EID!$B:$B,0))/2,0),"")</f>
        <v>0</v>
      </c>
      <c r="AO295" s="14">
        <f t="shared" si="110"/>
        <v>0</v>
      </c>
      <c r="AP295" s="42">
        <f t="shared" si="111"/>
        <v>0</v>
      </c>
      <c r="AQ295" s="42">
        <f t="shared" si="112"/>
        <v>1658</v>
      </c>
      <c r="AR295" s="90" t="str">
        <f t="shared" si="113"/>
        <v/>
      </c>
      <c r="AS295" s="90" t="str">
        <f t="shared" ref="AS295:AT314" si="124">IF($C295="&lt;01","",98%)</f>
        <v/>
      </c>
      <c r="AT295" s="90" t="str">
        <f t="shared" si="124"/>
        <v/>
      </c>
      <c r="AU295" s="14" t="str">
        <f t="shared" si="114"/>
        <v/>
      </c>
      <c r="AV295" s="14">
        <f>IF($C295="&lt;01",ROUND(INDEX(EID!$N:$N,MATCH($B295,EID!$B:$B,0))/2,0),IF(SUM($AT295)=0,"",ROUND((SUM($AP295)-(SUM($O295)*SUM($AS295)))/$AT295,0)))</f>
        <v>0</v>
      </c>
      <c r="AW295" s="90" t="str">
        <f t="shared" si="115"/>
        <v/>
      </c>
      <c r="AX295" s="42">
        <f t="shared" si="116"/>
        <v>0</v>
      </c>
      <c r="AY295" s="116" t="str">
        <f t="shared" si="117"/>
        <v/>
      </c>
      <c r="AZ295" s="93">
        <f>IF($C295="&lt;01",ROUND(INDEX(EID!$R:$R,MATCH($B295,EID!$B:$B,0))/2,0),ROUND(SUM($O295)+(SUM($AV295)*$AY295),0))</f>
        <v>0</v>
      </c>
      <c r="BA295" s="89" t="str">
        <f t="shared" si="118"/>
        <v/>
      </c>
      <c r="BB295" s="9">
        <f>IF($C295="&lt;01",ROUND(INDEX(EID!$T:$T,MATCH($B295,EID!$B:$B,0))/2,0),ROUND($AZ295*$BA295,0))</f>
        <v>0</v>
      </c>
      <c r="BC295" s="93">
        <f t="shared" si="119"/>
        <v>0</v>
      </c>
      <c r="BD295" s="90" t="str">
        <f t="shared" si="120"/>
        <v/>
      </c>
      <c r="BE295" s="42">
        <f>IF($C295="&lt;01",ROUND(INDEX(EID!$V:$V,MATCH($B295,EID!$B:$B,0))/2,0),ROUND($BD295*$BB295,0))</f>
        <v>0</v>
      </c>
      <c r="BF295" s="42">
        <f t="shared" si="121"/>
        <v>0</v>
      </c>
      <c r="BG295" s="116" t="str">
        <f t="shared" si="122"/>
        <v/>
      </c>
      <c r="BH295" s="9">
        <f>IF($C295="&lt;01",ROUND(INDEX(EID!$L:$L,MATCH($B295,EID!$B:$B,0)),0)/2,IF(SUM($BG295)=0,"",ROUND($AX295/$BG295,0)))</f>
        <v>0</v>
      </c>
    </row>
    <row r="296" spans="1:60" x14ac:dyDescent="0.2">
      <c r="A296" t="str">
        <f>INDEX(Prioritization!$D:$D,MATCH($B296,Prioritization!$A:$A,0))</f>
        <v>1 - Scale-up: Saturation</v>
      </c>
      <c r="B296" t="s">
        <v>213</v>
      </c>
      <c r="C296" t="s">
        <v>315</v>
      </c>
      <c r="D296" t="s">
        <v>47</v>
      </c>
      <c r="E296" t="str">
        <f t="shared" si="101"/>
        <v>Machinga District [TYnMSwzko3z]|&lt;01|Male</v>
      </c>
      <c r="F296" s="14"/>
      <c r="G296" s="14">
        <v>9</v>
      </c>
      <c r="H296" s="14">
        <v>10</v>
      </c>
      <c r="I296" s="14">
        <v>4</v>
      </c>
      <c r="J296" s="14">
        <v>8</v>
      </c>
      <c r="K296" s="14">
        <v>6</v>
      </c>
      <c r="L296" s="14"/>
      <c r="M296" s="14">
        <v>8</v>
      </c>
      <c r="N296" s="14">
        <v>8</v>
      </c>
      <c r="O296" s="14">
        <f t="shared" si="102"/>
        <v>8</v>
      </c>
      <c r="P296" s="14">
        <v>9</v>
      </c>
      <c r="Q296" s="14">
        <v>2</v>
      </c>
      <c r="R296" s="14">
        <f t="shared" si="103"/>
        <v>4</v>
      </c>
      <c r="S296" s="14">
        <f>IF(LEFT($B296,4)="_Mil","",_xlfn.IFNA(ROUND(INDEX(Spectrum!$N:$N,MATCH(RIGHT($B296,13)&amp;"|"&amp;$C296&amp;"|"&amp;$D296&amp;"|"&amp;S$14&amp;"|"&amp;"CY2022Q4",Spectrum!$R:$R,0)),0),""))</f>
        <v>694</v>
      </c>
      <c r="T296" s="42">
        <f>IF(LEFT($B296,4)="_Mil","",_xlfn.IFNA(ROUND(INDEX(Spectrum!$N:$N,MATCH(RIGHT($B296,13)&amp;"|"&amp;$C296&amp;"|"&amp;$D296&amp;"|"&amp;T$14&amp;"|"&amp;"CY2023Q3",Spectrum!$R:$R,0)),0),""))</f>
        <v>704</v>
      </c>
      <c r="U296" s="42" t="str">
        <f>IF(LEFT($B296,4)="_Mil","",_xlfn.IFNA(ROUND(INDEX(Spectrum!$N:$N,MATCH(RIGHT($B296,13)&amp;"|"&amp;$C296&amp;"|"&amp;$D296&amp;"|"&amp;U$14&amp;"|"&amp;"CY2023Q3",Spectrum!$R:$R,0)),0),""))</f>
        <v/>
      </c>
      <c r="V296" s="14">
        <f>IF(LEFT($B296,4)="_Mil","",_xlfn.IFNA(ROUND(INDEX(Spectrum!$N:$N,MATCH(RIGHT($B296,13)&amp;"|"&amp;$C296&amp;"|"&amp;$D296&amp;"|"&amp;V$14&amp;"|"&amp;"CY2023Q3",Spectrum!$R:$R,0)),0),""))</f>
        <v>1090</v>
      </c>
      <c r="W296" s="115">
        <f>IF(LEFT($B296,4)="_Mil","",_xlfn.IFNA(INDEX(Spectrum!$N:$N,MATCH(RIGHT($B296,13)&amp;"|"&amp;$C296&amp;"|"&amp;$D296&amp;"|"&amp;W$14&amp;"|"&amp;"CY2023Q3",Spectrum!$R:$R,0)),""))</f>
        <v>1872</v>
      </c>
      <c r="X296" s="42">
        <f>IF(LEFT($B296,4)="_Mil","",_xlfn.IFNA(ROUND(INDEX(Spectrum!$N:$N,MATCH(RIGHT($B296,13)&amp;"|"&amp;$C296&amp;"|"&amp;$D296&amp;"|"&amp;X$14&amp;"|"&amp;"CY2023Q3",Spectrum!$R:$R,0)),0),""))</f>
        <v>1563</v>
      </c>
      <c r="Y296" s="90" t="str">
        <f t="shared" si="104"/>
        <v/>
      </c>
      <c r="Z296" s="42">
        <f>IF(LEFT($B296,4)="_Mil","",_xlfn.IFNA(ROUND(INDEX(Spectrum!$N:$N,MATCH(RIGHT($B296,13)&amp;"|"&amp;$C296&amp;"|"&amp;$D296&amp;"|"&amp;Z$14&amp;"|"&amp;"CY2023Q3",Spectrum!$R:$R,0)),0),""))</f>
        <v>666</v>
      </c>
      <c r="AA296" s="90">
        <f>IF(LEFT($B296,4)="_Mil","",IFERROR(1/(1/INDEX(Spectrum!$N:$N,MATCH(RIGHT($B296,13)&amp;"|"&amp;$C296&amp;"|"&amp;$D296&amp;"|"&amp;AA$14&amp;"|"&amp;"CY2023Q3",Spectrum!$R:$R,0))),IF(SUM($U296)=0,"",SUM($Z296)/$U296)))</f>
        <v>524</v>
      </c>
      <c r="AB296" s="90">
        <f t="shared" si="105"/>
        <v>0.42610364683301344</v>
      </c>
      <c r="AC296" s="14">
        <f>IF(LEFT($B296,4)="_Mil","",_xlfn.IFNA(ROUND(INDEX(Spectrum!$N:$N,MATCH(RIGHT($B296,13)&amp;"|"&amp;$C296&amp;"|"&amp;$D296&amp;"|"&amp;AC$14&amp;"|"&amp;"CY2023Q3",Spectrum!$R:$R,0)),0),""))</f>
        <v>1445</v>
      </c>
      <c r="AD296" s="14" t="str">
        <f>IF(LEFT($B296,4)="_Mil","",_xlfn.IFNA(ROUND(INDEX(Spectrum!$N:$N,MATCH(RIGHT($B296,13)&amp;"|"&amp;$C296&amp;"|"&amp;$D296&amp;"|"&amp;AD$14&amp;"|"&amp;"CY2023Q3",Spectrum!$R:$R,0)),0),""))</f>
        <v/>
      </c>
      <c r="AE296" s="90">
        <f t="shared" si="106"/>
        <v>0</v>
      </c>
      <c r="AF296" s="42" t="str">
        <f>IF(LEFT($B296,4)="_Mil","",_xlfn.IFNA(ROUND(INDEX(Spectrum!$N:$N,MATCH(RIGHT($B296,13)&amp;"|"&amp;$C296&amp;"|"&amp;$D296&amp;"|"&amp;AF$14&amp;"|"&amp;"CY2023Q3",Spectrum!$R:$R,0)),0),""))</f>
        <v/>
      </c>
      <c r="AG296" s="90" t="str">
        <f t="shared" si="107"/>
        <v/>
      </c>
      <c r="AH296" s="88" t="str">
        <f>IF(LEFT($B296,4)="_Mil","",_xlfn.IFNA(INDEX(Spectrum!$N:$N,MATCH(RIGHT($B296,13)&amp;"|"&amp;$C296&amp;"|"&amp;$D296&amp;"|"&amp;AH$14&amp;"|"&amp;"CY2023Q3",Spectrum!$R:$R,0)),""))</f>
        <v/>
      </c>
      <c r="AI296" s="14" t="str">
        <f>IF(LEFT($B296,4)="_Mil","",_xlfn.IFNA(ROUND(INDEX(Spectrum!$N:$N,MATCH(RIGHT($B296,13)&amp;"|"&amp;$C296&amp;"|"&amp;$D296&amp;"|"&amp;AI$14&amp;"|"&amp;"CY2023Q3",Spectrum!$R:$R,0)),0),""))</f>
        <v/>
      </c>
      <c r="AJ296" s="42">
        <f>IF(LEFT($B296,4)="_Mil","",_xlfn.IFNA(ROUND(INDEX(Spectrum!$N:$N,MATCH(RIGHT($B296,13)&amp;"|"&amp;$C296&amp;"|"&amp;$D296&amp;"|"&amp;AI$14&amp;"|"&amp;"CY2023Q3",Spectrum!$R:$R,0)),0),SUM($U296)+SUM($AI296)))</f>
        <v>0</v>
      </c>
      <c r="AK296" s="14" t="str">
        <f>IF(LEFT($B296,4)="_Mil","",_xlfn.IFNA(ROUND(INDEX(Spectrum!$N:$N,MATCH(RIGHT($B296,13)&amp;"|"&amp;$C296&amp;"|"&amp;$D296&amp;"|"&amp;AK$14&amp;"|"&amp;"CY2023Q3",Spectrum!$R:$R,0)),0),""))</f>
        <v/>
      </c>
      <c r="AL296" s="90" t="str">
        <f t="shared" si="108"/>
        <v/>
      </c>
      <c r="AM296" s="14" t="str">
        <f t="shared" si="109"/>
        <v/>
      </c>
      <c r="AN296" s="14">
        <f>IF($C296="&lt;01",ROUND(INDEX(EID!$P:$P,MATCH($B296,EID!$B:$B,0))/2,0),"")</f>
        <v>0</v>
      </c>
      <c r="AO296" s="14">
        <f t="shared" si="110"/>
        <v>0</v>
      </c>
      <c r="AP296" s="42">
        <f t="shared" si="111"/>
        <v>0</v>
      </c>
      <c r="AQ296" s="42">
        <f t="shared" si="112"/>
        <v>666</v>
      </c>
      <c r="AR296" s="90" t="str">
        <f t="shared" si="113"/>
        <v/>
      </c>
      <c r="AS296" s="90" t="str">
        <f t="shared" si="124"/>
        <v/>
      </c>
      <c r="AT296" s="90" t="str">
        <f t="shared" si="124"/>
        <v/>
      </c>
      <c r="AU296" s="14" t="str">
        <f t="shared" si="114"/>
        <v/>
      </c>
      <c r="AV296" s="14">
        <f>IF($C296="&lt;01",ROUND(INDEX(EID!$N:$N,MATCH($B296,EID!$B:$B,0))/2,0),IF(SUM($AT296)=0,"",ROUND((SUM($AP296)-(SUM($O296)*SUM($AS296)))/$AT296,0)))</f>
        <v>0</v>
      </c>
      <c r="AW296" s="90" t="str">
        <f t="shared" si="115"/>
        <v/>
      </c>
      <c r="AX296" s="42">
        <f t="shared" si="116"/>
        <v>0</v>
      </c>
      <c r="AY296" s="116" t="str">
        <f t="shared" si="117"/>
        <v/>
      </c>
      <c r="AZ296" s="93">
        <f>IF($C296="&lt;01",ROUND(INDEX(EID!$R:$R,MATCH($B296,EID!$B:$B,0))/2,0),ROUND(SUM($O296)+(SUM($AV296)*$AY296),0))</f>
        <v>0</v>
      </c>
      <c r="BA296" s="89" t="str">
        <f t="shared" si="118"/>
        <v/>
      </c>
      <c r="BB296" s="9">
        <f>IF($C296="&lt;01",ROUND(INDEX(EID!$T:$T,MATCH($B296,EID!$B:$B,0))/2,0),ROUND($AZ296*$BA296,0))</f>
        <v>0</v>
      </c>
      <c r="BC296" s="93">
        <f t="shared" si="119"/>
        <v>0</v>
      </c>
      <c r="BD296" s="90" t="str">
        <f t="shared" si="120"/>
        <v/>
      </c>
      <c r="BE296" s="42">
        <f>IF($C296="&lt;01",ROUND(INDEX(EID!$V:$V,MATCH($B296,EID!$B:$B,0))/2,0),ROUND($BD296*$BB296,0))</f>
        <v>0</v>
      </c>
      <c r="BF296" s="42">
        <f t="shared" si="121"/>
        <v>0</v>
      </c>
      <c r="BG296" s="116" t="str">
        <f t="shared" si="122"/>
        <v/>
      </c>
      <c r="BH296" s="9">
        <f>IF($C296="&lt;01",ROUND(INDEX(EID!$L:$L,MATCH($B296,EID!$B:$B,0)),0)/2,IF(SUM($BG296)=0,"",ROUND($AX296/$BG296,0)))</f>
        <v>0</v>
      </c>
    </row>
    <row r="297" spans="1:60" x14ac:dyDescent="0.2">
      <c r="A297" t="str">
        <f>INDEX(Prioritization!$D:$D,MATCH($B297,Prioritization!$A:$A,0))</f>
        <v>1 - Scale-up: Saturation</v>
      </c>
      <c r="B297" t="s">
        <v>213</v>
      </c>
      <c r="C297" t="s">
        <v>362</v>
      </c>
      <c r="D297" t="s">
        <v>29</v>
      </c>
      <c r="E297" t="str">
        <f t="shared" si="101"/>
        <v>Machinga District [TYnMSwzko3z]|01-09|Female</v>
      </c>
      <c r="F297" s="14"/>
      <c r="G297" s="14"/>
      <c r="H297" s="14"/>
      <c r="I297" s="14"/>
      <c r="J297" s="14"/>
      <c r="K297" s="14"/>
      <c r="L297" s="14"/>
      <c r="M297" s="14"/>
      <c r="N297" s="14"/>
      <c r="O297" s="14" t="str">
        <f t="shared" si="102"/>
        <v/>
      </c>
      <c r="P297" s="14"/>
      <c r="Q297" s="14"/>
      <c r="R297" s="14" t="str">
        <f t="shared" si="103"/>
        <v/>
      </c>
      <c r="S297" s="14">
        <f>IF(LEFT($B297,4)="_Mil","",_xlfn.IFNA(ROUND(INDEX(Spectrum!$N:$N,MATCH(RIGHT($B297,13)&amp;"|"&amp;$C297&amp;"|"&amp;$D297&amp;"|"&amp;S$14&amp;"|"&amp;"CY2022Q4",Spectrum!$R:$R,0)),0),""))</f>
        <v>1533</v>
      </c>
      <c r="T297" s="42">
        <f>IF(LEFT($B297,4)="_Mil","",_xlfn.IFNA(ROUND(INDEX(Spectrum!$N:$N,MATCH(RIGHT($B297,13)&amp;"|"&amp;$C297&amp;"|"&amp;$D297&amp;"|"&amp;T$14&amp;"|"&amp;"CY2023Q3",Spectrum!$R:$R,0)),0),""))</f>
        <v>1010</v>
      </c>
      <c r="U297" s="42" t="str">
        <f>IF(LEFT($B297,4)="_Mil","",_xlfn.IFNA(ROUND(INDEX(Spectrum!$N:$N,MATCH(RIGHT($B297,13)&amp;"|"&amp;$C297&amp;"|"&amp;$D297&amp;"|"&amp;U$14&amp;"|"&amp;"CY2023Q3",Spectrum!$R:$R,0)),0),""))</f>
        <v/>
      </c>
      <c r="V297" s="14">
        <f>IF(LEFT($B297,4)="_Mil","",_xlfn.IFNA(ROUND(INDEX(Spectrum!$N:$N,MATCH(RIGHT($B297,13)&amp;"|"&amp;$C297&amp;"|"&amp;$D297&amp;"|"&amp;V$14&amp;"|"&amp;"CY2023Q3",Spectrum!$R:$R,0)),0),""))</f>
        <v>967</v>
      </c>
      <c r="W297" s="115">
        <f>IF(LEFT($B297,4)="_Mil","",_xlfn.IFNA(INDEX(Spectrum!$N:$N,MATCH(RIGHT($B297,13)&amp;"|"&amp;$C297&amp;"|"&amp;$D297&amp;"|"&amp;W$14&amp;"|"&amp;"CY2023Q3",Spectrum!$R:$R,0)),""))</f>
        <v>1689</v>
      </c>
      <c r="X297" s="42">
        <f>IF(LEFT($B297,4)="_Mil","",_xlfn.IFNA(ROUND(INDEX(Spectrum!$N:$N,MATCH(RIGHT($B297,13)&amp;"|"&amp;$C297&amp;"|"&amp;$D297&amp;"|"&amp;X$14&amp;"|"&amp;"CY2023Q3",Spectrum!$R:$R,0)),0),""))</f>
        <v>1965</v>
      </c>
      <c r="Y297" s="90" t="str">
        <f t="shared" si="104"/>
        <v/>
      </c>
      <c r="Z297" s="42">
        <f>IF(LEFT($B297,4)="_Mil","",_xlfn.IFNA(ROUND(INDEX(Spectrum!$N:$N,MATCH(RIGHT($B297,13)&amp;"|"&amp;$C297&amp;"|"&amp;$D297&amp;"|"&amp;Z$14&amp;"|"&amp;"CY2023Q3",Spectrum!$R:$R,0)),0),""))</f>
        <v>1993</v>
      </c>
      <c r="AA297" s="90">
        <f>IF(LEFT($B297,4)="_Mil","",IFERROR(1/(1/INDEX(Spectrum!$N:$N,MATCH(RIGHT($B297,13)&amp;"|"&amp;$C297&amp;"|"&amp;$D297&amp;"|"&amp;AA$14&amp;"|"&amp;"CY2023Q3",Spectrum!$R:$R,0))),IF(SUM($U297)=0,"",SUM($Z297)/$U297)))</f>
        <v>885</v>
      </c>
      <c r="AB297" s="90">
        <f t="shared" si="105"/>
        <v>1.0142493638676844</v>
      </c>
      <c r="AC297" s="14">
        <f>IF(LEFT($B297,4)="_Mil","",_xlfn.IFNA(ROUND(INDEX(Spectrum!$N:$N,MATCH(RIGHT($B297,13)&amp;"|"&amp;$C297&amp;"|"&amp;$D297&amp;"|"&amp;AC$14&amp;"|"&amp;"CY2023Q3",Spectrum!$R:$R,0)),0),""))</f>
        <v>1328</v>
      </c>
      <c r="AD297" s="14" t="str">
        <f>IF(LEFT($B297,4)="_Mil","",_xlfn.IFNA(ROUND(INDEX(Spectrum!$N:$N,MATCH(RIGHT($B297,13)&amp;"|"&amp;$C297&amp;"|"&amp;$D297&amp;"|"&amp;AD$14&amp;"|"&amp;"CY2023Q3",Spectrum!$R:$R,0)),0),""))</f>
        <v/>
      </c>
      <c r="AE297" s="90">
        <f t="shared" si="106"/>
        <v>0</v>
      </c>
      <c r="AF297" s="42" t="str">
        <f>IF(LEFT($B297,4)="_Mil","",_xlfn.IFNA(ROUND(INDEX(Spectrum!$N:$N,MATCH(RIGHT($B297,13)&amp;"|"&amp;$C297&amp;"|"&amp;$D297&amp;"|"&amp;AF$14&amp;"|"&amp;"CY2023Q3",Spectrum!$R:$R,0)),0),""))</f>
        <v/>
      </c>
      <c r="AG297" s="90" t="str">
        <f t="shared" si="107"/>
        <v/>
      </c>
      <c r="AH297" s="88" t="str">
        <f>IF(LEFT($B297,4)="_Mil","",_xlfn.IFNA(INDEX(Spectrum!$N:$N,MATCH(RIGHT($B297,13)&amp;"|"&amp;$C297&amp;"|"&amp;$D297&amp;"|"&amp;AH$14&amp;"|"&amp;"CY2023Q3",Spectrum!$R:$R,0)),""))</f>
        <v/>
      </c>
      <c r="AI297" s="14" t="str">
        <f>IF(LEFT($B297,4)="_Mil","",_xlfn.IFNA(ROUND(INDEX(Spectrum!$N:$N,MATCH(RIGHT($B297,13)&amp;"|"&amp;$C297&amp;"|"&amp;$D297&amp;"|"&amp;AI$14&amp;"|"&amp;"CY2023Q3",Spectrum!$R:$R,0)),0),""))</f>
        <v/>
      </c>
      <c r="AJ297" s="42">
        <f>IF(LEFT($B297,4)="_Mil","",_xlfn.IFNA(ROUND(INDEX(Spectrum!$N:$N,MATCH(RIGHT($B297,13)&amp;"|"&amp;$C297&amp;"|"&amp;$D297&amp;"|"&amp;AI$14&amp;"|"&amp;"CY2023Q3",Spectrum!$R:$R,0)),0),SUM($U297)+SUM($AI297)))</f>
        <v>0</v>
      </c>
      <c r="AK297" s="14" t="str">
        <f>IF(LEFT($B297,4)="_Mil","",_xlfn.IFNA(ROUND(INDEX(Spectrum!$N:$N,MATCH(RIGHT($B297,13)&amp;"|"&amp;$C297&amp;"|"&amp;$D297&amp;"|"&amp;AK$14&amp;"|"&amp;"CY2023Q3",Spectrum!$R:$R,0)),0),""))</f>
        <v/>
      </c>
      <c r="AL297" s="90">
        <f t="shared" si="108"/>
        <v>885</v>
      </c>
      <c r="AM297" s="14">
        <f t="shared" si="109"/>
        <v>0</v>
      </c>
      <c r="AN297" s="14" t="str">
        <f>IF($C297="&lt;01",ROUND(INDEX(EID!$P:$P,MATCH($B297,EID!$B:$B,0))/2,0),"")</f>
        <v/>
      </c>
      <c r="AO297" s="14">
        <f t="shared" si="110"/>
        <v>0</v>
      </c>
      <c r="AP297" s="42">
        <f t="shared" si="111"/>
        <v>0</v>
      </c>
      <c r="AQ297" s="42">
        <f t="shared" si="112"/>
        <v>1993</v>
      </c>
      <c r="AR297" s="90" t="str">
        <f t="shared" si="113"/>
        <v/>
      </c>
      <c r="AS297" s="90">
        <f t="shared" si="124"/>
        <v>0.98</v>
      </c>
      <c r="AT297" s="90">
        <f t="shared" si="124"/>
        <v>0.98</v>
      </c>
      <c r="AU297" s="14">
        <f t="shared" si="114"/>
        <v>0</v>
      </c>
      <c r="AV297" s="14">
        <f>IF($C297="&lt;01",ROUND(INDEX(EID!$N:$N,MATCH($B297,EID!$B:$B,0))/2,0),IF(SUM($AT297)=0,"",ROUND((SUM($AP297)-(SUM($O297)*SUM($AS297)))/$AT297,0)))</f>
        <v>0</v>
      </c>
      <c r="AW297" s="90">
        <f t="shared" si="115"/>
        <v>1</v>
      </c>
      <c r="AX297" s="42">
        <f t="shared" si="116"/>
        <v>0</v>
      </c>
      <c r="AY297" s="116">
        <f t="shared" si="117"/>
        <v>0.7</v>
      </c>
      <c r="AZ297" s="93">
        <f>IF($C297="&lt;01",ROUND(INDEX(EID!$R:$R,MATCH($B297,EID!$B:$B,0))/2,0),ROUND(SUM($O297)+(SUM($AV297)*$AY297),0))</f>
        <v>0</v>
      </c>
      <c r="BA297" s="89">
        <f t="shared" si="118"/>
        <v>0.95</v>
      </c>
      <c r="BB297" s="9">
        <f>IF($C297="&lt;01",ROUND(INDEX(EID!$T:$T,MATCH($B297,EID!$B:$B,0))/2,0),ROUND($AZ297*$BA297,0))</f>
        <v>0</v>
      </c>
      <c r="BC297" s="93">
        <f t="shared" si="119"/>
        <v>0</v>
      </c>
      <c r="BD297" s="90">
        <f t="shared" si="120"/>
        <v>0.95</v>
      </c>
      <c r="BE297" s="42">
        <f>IF($C297="&lt;01",ROUND(INDEX(EID!$V:$V,MATCH($B297,EID!$B:$B,0))/2,0),ROUND($BD297*$BB297,0))</f>
        <v>0</v>
      </c>
      <c r="BF297" s="42">
        <f t="shared" si="121"/>
        <v>0</v>
      </c>
      <c r="BG297" s="116">
        <f t="shared" si="122"/>
        <v>0.95</v>
      </c>
      <c r="BH297" s="9">
        <f>IF($C297="&lt;01",ROUND(INDEX(EID!$L:$L,MATCH($B297,EID!$B:$B,0)),0)/2,IF(SUM($BG297)=0,"",ROUND($AX297/$BG297,0)))</f>
        <v>0</v>
      </c>
    </row>
    <row r="298" spans="1:60" x14ac:dyDescent="0.2">
      <c r="A298" t="str">
        <f>INDEX(Prioritization!$D:$D,MATCH($B298,Prioritization!$A:$A,0))</f>
        <v>1 - Scale-up: Saturation</v>
      </c>
      <c r="B298" t="s">
        <v>213</v>
      </c>
      <c r="C298" t="s">
        <v>362</v>
      </c>
      <c r="D298" t="s">
        <v>47</v>
      </c>
      <c r="E298" t="str">
        <f t="shared" si="101"/>
        <v>Machinga District [TYnMSwzko3z]|01-09|Male</v>
      </c>
      <c r="F298" s="14"/>
      <c r="G298" s="14"/>
      <c r="H298" s="14"/>
      <c r="I298" s="14"/>
      <c r="J298" s="14"/>
      <c r="K298" s="14"/>
      <c r="L298" s="14"/>
      <c r="M298" s="14"/>
      <c r="N298" s="14"/>
      <c r="O298" s="14" t="str">
        <f t="shared" si="102"/>
        <v/>
      </c>
      <c r="P298" s="14"/>
      <c r="Q298" s="14"/>
      <c r="R298" s="14" t="str">
        <f t="shared" si="103"/>
        <v/>
      </c>
      <c r="S298" s="14">
        <f>IF(LEFT($B298,4)="_Mil","",_xlfn.IFNA(ROUND(INDEX(Spectrum!$N:$N,MATCH(RIGHT($B298,13)&amp;"|"&amp;$C298&amp;"|"&amp;$D298&amp;"|"&amp;S$14&amp;"|"&amp;"CY2022Q4",Spectrum!$R:$R,0)),0),""))</f>
        <v>1290</v>
      </c>
      <c r="T298" s="42">
        <f>IF(LEFT($B298,4)="_Mil","",_xlfn.IFNA(ROUND(INDEX(Spectrum!$N:$N,MATCH(RIGHT($B298,13)&amp;"|"&amp;$C298&amp;"|"&amp;$D298&amp;"|"&amp;T$14&amp;"|"&amp;"CY2023Q3",Spectrum!$R:$R,0)),0),""))</f>
        <v>512</v>
      </c>
      <c r="U298" s="42" t="str">
        <f>IF(LEFT($B298,4)="_Mil","",_xlfn.IFNA(ROUND(INDEX(Spectrum!$N:$N,MATCH(RIGHT($B298,13)&amp;"|"&amp;$C298&amp;"|"&amp;$D298&amp;"|"&amp;U$14&amp;"|"&amp;"CY2023Q3",Spectrum!$R:$R,0)),0),""))</f>
        <v/>
      </c>
      <c r="V298" s="14">
        <f>IF(LEFT($B298,4)="_Mil","",_xlfn.IFNA(ROUND(INDEX(Spectrum!$N:$N,MATCH(RIGHT($B298,13)&amp;"|"&amp;$C298&amp;"|"&amp;$D298&amp;"|"&amp;V$14&amp;"|"&amp;"CY2023Q3",Spectrum!$R:$R,0)),0),""))</f>
        <v>989</v>
      </c>
      <c r="W298" s="115">
        <f>IF(LEFT($B298,4)="_Mil","",_xlfn.IFNA(INDEX(Spectrum!$N:$N,MATCH(RIGHT($B298,13)&amp;"|"&amp;$C298&amp;"|"&amp;$D298&amp;"|"&amp;W$14&amp;"|"&amp;"CY2023Q3",Spectrum!$R:$R,0)),""))</f>
        <v>1269</v>
      </c>
      <c r="X298" s="42">
        <f>IF(LEFT($B298,4)="_Mil","",_xlfn.IFNA(ROUND(INDEX(Spectrum!$N:$N,MATCH(RIGHT($B298,13)&amp;"|"&amp;$C298&amp;"|"&amp;$D298&amp;"|"&amp;X$14&amp;"|"&amp;"CY2023Q3",Spectrum!$R:$R,0)),0),""))</f>
        <v>1568</v>
      </c>
      <c r="Y298" s="90" t="str">
        <f t="shared" si="104"/>
        <v/>
      </c>
      <c r="Z298" s="42">
        <f>IF(LEFT($B298,4)="_Mil","",_xlfn.IFNA(ROUND(INDEX(Spectrum!$N:$N,MATCH(RIGHT($B298,13)&amp;"|"&amp;$C298&amp;"|"&amp;$D298&amp;"|"&amp;Z$14&amp;"|"&amp;"CY2023Q3",Spectrum!$R:$R,0)),0),""))</f>
        <v>1445</v>
      </c>
      <c r="AA298" s="90">
        <f>IF(LEFT($B298,4)="_Mil","",IFERROR(1/(1/INDEX(Spectrum!$N:$N,MATCH(RIGHT($B298,13)&amp;"|"&amp;$C298&amp;"|"&amp;$D298&amp;"|"&amp;AA$14&amp;"|"&amp;"CY2023Q3",Spectrum!$R:$R,0))),IF(SUM($U298)=0,"",SUM($Z298)/$U298)))</f>
        <v>1751</v>
      </c>
      <c r="AB298" s="90">
        <f t="shared" si="105"/>
        <v>0.92155612244897955</v>
      </c>
      <c r="AC298" s="14">
        <f>IF(LEFT($B298,4)="_Mil","",_xlfn.IFNA(ROUND(INDEX(Spectrum!$N:$N,MATCH(RIGHT($B298,13)&amp;"|"&amp;$C298&amp;"|"&amp;$D298&amp;"|"&amp;AC$14&amp;"|"&amp;"CY2023Q3",Spectrum!$R:$R,0)),0),""))</f>
        <v>637</v>
      </c>
      <c r="AD298" s="14" t="str">
        <f>IF(LEFT($B298,4)="_Mil","",_xlfn.IFNA(ROUND(INDEX(Spectrum!$N:$N,MATCH(RIGHT($B298,13)&amp;"|"&amp;$C298&amp;"|"&amp;$D298&amp;"|"&amp;AD$14&amp;"|"&amp;"CY2023Q3",Spectrum!$R:$R,0)),0),""))</f>
        <v/>
      </c>
      <c r="AE298" s="90">
        <f t="shared" si="106"/>
        <v>0</v>
      </c>
      <c r="AF298" s="42" t="str">
        <f>IF(LEFT($B298,4)="_Mil","",_xlfn.IFNA(ROUND(INDEX(Spectrum!$N:$N,MATCH(RIGHT($B298,13)&amp;"|"&amp;$C298&amp;"|"&amp;$D298&amp;"|"&amp;AF$14&amp;"|"&amp;"CY2023Q3",Spectrum!$R:$R,0)),0),""))</f>
        <v/>
      </c>
      <c r="AG298" s="90" t="str">
        <f t="shared" si="107"/>
        <v/>
      </c>
      <c r="AH298" s="88" t="str">
        <f>IF(LEFT($B298,4)="_Mil","",_xlfn.IFNA(INDEX(Spectrum!$N:$N,MATCH(RIGHT($B298,13)&amp;"|"&amp;$C298&amp;"|"&amp;$D298&amp;"|"&amp;AH$14&amp;"|"&amp;"CY2023Q3",Spectrum!$R:$R,0)),""))</f>
        <v/>
      </c>
      <c r="AI298" s="14" t="str">
        <f>IF(LEFT($B298,4)="_Mil","",_xlfn.IFNA(ROUND(INDEX(Spectrum!$N:$N,MATCH(RIGHT($B298,13)&amp;"|"&amp;$C298&amp;"|"&amp;$D298&amp;"|"&amp;AI$14&amp;"|"&amp;"CY2023Q3",Spectrum!$R:$R,0)),0),""))</f>
        <v/>
      </c>
      <c r="AJ298" s="42">
        <f>IF(LEFT($B298,4)="_Mil","",_xlfn.IFNA(ROUND(INDEX(Spectrum!$N:$N,MATCH(RIGHT($B298,13)&amp;"|"&amp;$C298&amp;"|"&amp;$D298&amp;"|"&amp;AI$14&amp;"|"&amp;"CY2023Q3",Spectrum!$R:$R,0)),0),SUM($U298)+SUM($AI298)))</f>
        <v>0</v>
      </c>
      <c r="AK298" s="14" t="str">
        <f>IF(LEFT($B298,4)="_Mil","",_xlfn.IFNA(ROUND(INDEX(Spectrum!$N:$N,MATCH(RIGHT($B298,13)&amp;"|"&amp;$C298&amp;"|"&amp;$D298&amp;"|"&amp;AK$14&amp;"|"&amp;"CY2023Q3",Spectrum!$R:$R,0)),0),""))</f>
        <v/>
      </c>
      <c r="AL298" s="90">
        <f t="shared" si="108"/>
        <v>1751</v>
      </c>
      <c r="AM298" s="14">
        <f t="shared" si="109"/>
        <v>0</v>
      </c>
      <c r="AN298" s="14" t="str">
        <f>IF($C298="&lt;01",ROUND(INDEX(EID!$P:$P,MATCH($B298,EID!$B:$B,0))/2,0),"")</f>
        <v/>
      </c>
      <c r="AO298" s="14">
        <f t="shared" si="110"/>
        <v>0</v>
      </c>
      <c r="AP298" s="42">
        <f t="shared" si="111"/>
        <v>0</v>
      </c>
      <c r="AQ298" s="42">
        <f t="shared" si="112"/>
        <v>1445</v>
      </c>
      <c r="AR298" s="90" t="str">
        <f t="shared" si="113"/>
        <v/>
      </c>
      <c r="AS298" s="90">
        <f t="shared" si="124"/>
        <v>0.98</v>
      </c>
      <c r="AT298" s="90">
        <f t="shared" si="124"/>
        <v>0.98</v>
      </c>
      <c r="AU298" s="14">
        <f t="shared" si="114"/>
        <v>0</v>
      </c>
      <c r="AV298" s="14">
        <f>IF($C298="&lt;01",ROUND(INDEX(EID!$N:$N,MATCH($B298,EID!$B:$B,0))/2,0),IF(SUM($AT298)=0,"",ROUND((SUM($AP298)-(SUM($O298)*SUM($AS298)))/$AT298,0)))</f>
        <v>0</v>
      </c>
      <c r="AW298" s="90">
        <f t="shared" si="115"/>
        <v>1</v>
      </c>
      <c r="AX298" s="42">
        <f t="shared" si="116"/>
        <v>0</v>
      </c>
      <c r="AY298" s="116">
        <f t="shared" si="117"/>
        <v>0.7</v>
      </c>
      <c r="AZ298" s="93">
        <f>IF($C298="&lt;01",ROUND(INDEX(EID!$R:$R,MATCH($B298,EID!$B:$B,0))/2,0),ROUND(SUM($O298)+(SUM($AV298)*$AY298),0))</f>
        <v>0</v>
      </c>
      <c r="BA298" s="89">
        <f t="shared" si="118"/>
        <v>0.95</v>
      </c>
      <c r="BB298" s="9">
        <f>IF($C298="&lt;01",ROUND(INDEX(EID!$T:$T,MATCH($B298,EID!$B:$B,0))/2,0),ROUND($AZ298*$BA298,0))</f>
        <v>0</v>
      </c>
      <c r="BC298" s="93">
        <f t="shared" si="119"/>
        <v>0</v>
      </c>
      <c r="BD298" s="90">
        <f t="shared" si="120"/>
        <v>0.95</v>
      </c>
      <c r="BE298" s="42">
        <f>IF($C298="&lt;01",ROUND(INDEX(EID!$V:$V,MATCH($B298,EID!$B:$B,0))/2,0),ROUND($BD298*$BB298,0))</f>
        <v>0</v>
      </c>
      <c r="BF298" s="42">
        <f t="shared" si="121"/>
        <v>0</v>
      </c>
      <c r="BG298" s="116">
        <f t="shared" si="122"/>
        <v>0.95</v>
      </c>
      <c r="BH298" s="9">
        <f>IF($C298="&lt;01",ROUND(INDEX(EID!$L:$L,MATCH($B298,EID!$B:$B,0)),0)/2,IF(SUM($BG298)=0,"",ROUND($AX298/$BG298,0)))</f>
        <v>0</v>
      </c>
    </row>
    <row r="299" spans="1:60" x14ac:dyDescent="0.2">
      <c r="A299" t="str">
        <f>INDEX(Prioritization!$D:$D,MATCH($B299,Prioritization!$A:$A,0))</f>
        <v>1 - Scale-up: Saturation</v>
      </c>
      <c r="B299" t="s">
        <v>213</v>
      </c>
      <c r="C299" t="s">
        <v>363</v>
      </c>
      <c r="D299" t="s">
        <v>29</v>
      </c>
      <c r="E299" t="str">
        <f t="shared" si="101"/>
        <v>Machinga District [TYnMSwzko3z]|10-14|Female</v>
      </c>
      <c r="F299" s="14"/>
      <c r="G299" s="14">
        <v>8</v>
      </c>
      <c r="H299" s="14">
        <v>6</v>
      </c>
      <c r="I299" s="14">
        <v>83</v>
      </c>
      <c r="J299" s="14">
        <v>61</v>
      </c>
      <c r="K299" s="14">
        <v>94</v>
      </c>
      <c r="L299" s="14">
        <v>1</v>
      </c>
      <c r="M299" s="14"/>
      <c r="N299" s="14">
        <v>14</v>
      </c>
      <c r="O299" s="14">
        <f t="shared" si="102"/>
        <v>83</v>
      </c>
      <c r="P299" s="14">
        <v>87</v>
      </c>
      <c r="Q299" s="14">
        <v>92</v>
      </c>
      <c r="R299" s="14">
        <f t="shared" si="103"/>
        <v>0</v>
      </c>
      <c r="S299" s="14">
        <f>IF(LEFT($B299,4)="_Mil","",_xlfn.IFNA(ROUND(INDEX(Spectrum!$N:$N,MATCH(RIGHT($B299,13)&amp;"|"&amp;$C299&amp;"|"&amp;$D299&amp;"|"&amp;S$14&amp;"|"&amp;"CY2022Q4",Spectrum!$R:$R,0)),0),""))</f>
        <v>1335</v>
      </c>
      <c r="T299" s="42">
        <f>IF(LEFT($B299,4)="_Mil","",_xlfn.IFNA(ROUND(INDEX(Spectrum!$N:$N,MATCH(RIGHT($B299,13)&amp;"|"&amp;$C299&amp;"|"&amp;$D299&amp;"|"&amp;T$14&amp;"|"&amp;"CY2023Q3",Spectrum!$R:$R,0)),0),""))</f>
        <v>1048</v>
      </c>
      <c r="U299" s="42" t="str">
        <f>IF(LEFT($B299,4)="_Mil","",_xlfn.IFNA(ROUND(INDEX(Spectrum!$N:$N,MATCH(RIGHT($B299,13)&amp;"|"&amp;$C299&amp;"|"&amp;$D299&amp;"|"&amp;U$14&amp;"|"&amp;"CY2023Q3",Spectrum!$R:$R,0)),0),""))</f>
        <v/>
      </c>
      <c r="V299" s="14">
        <f>IF(LEFT($B299,4)="_Mil","",_xlfn.IFNA(ROUND(INDEX(Spectrum!$N:$N,MATCH(RIGHT($B299,13)&amp;"|"&amp;$C299&amp;"|"&amp;$D299&amp;"|"&amp;V$14&amp;"|"&amp;"CY2023Q3",Spectrum!$R:$R,0)),0),""))</f>
        <v>1504</v>
      </c>
      <c r="W299" s="115">
        <f>IF(LEFT($B299,4)="_Mil","",_xlfn.IFNA(INDEX(Spectrum!$N:$N,MATCH(RIGHT($B299,13)&amp;"|"&amp;$C299&amp;"|"&amp;$D299&amp;"|"&amp;W$14&amp;"|"&amp;"CY2023Q3",Spectrum!$R:$R,0)),""))</f>
        <v>1272</v>
      </c>
      <c r="X299" s="42">
        <f>IF(LEFT($B299,4)="_Mil","",_xlfn.IFNA(ROUND(INDEX(Spectrum!$N:$N,MATCH(RIGHT($B299,13)&amp;"|"&amp;$C299&amp;"|"&amp;$D299&amp;"|"&amp;X$14&amp;"|"&amp;"CY2023Q3",Spectrum!$R:$R,0)),0),""))</f>
        <v>1778</v>
      </c>
      <c r="Y299" s="90" t="str">
        <f t="shared" si="104"/>
        <v/>
      </c>
      <c r="Z299" s="42">
        <f>IF(LEFT($B299,4)="_Mil","",_xlfn.IFNA(ROUND(INDEX(Spectrum!$N:$N,MATCH(RIGHT($B299,13)&amp;"|"&amp;$C299&amp;"|"&amp;$D299&amp;"|"&amp;Z$14&amp;"|"&amp;"CY2023Q3",Spectrum!$R:$R,0)),0),""))</f>
        <v>1136</v>
      </c>
      <c r="AA299" s="90">
        <f>IF(LEFT($B299,4)="_Mil","",IFERROR(1/(1/INDEX(Spectrum!$N:$N,MATCH(RIGHT($B299,13)&amp;"|"&amp;$C299&amp;"|"&amp;$D299&amp;"|"&amp;AA$14&amp;"|"&amp;"CY2023Q3",Spectrum!$R:$R,0))),IF(SUM($U299)=0,"",SUM($Z299)/$U299)))</f>
        <v>1635</v>
      </c>
      <c r="AB299" s="90">
        <f t="shared" si="105"/>
        <v>0.63892013498312716</v>
      </c>
      <c r="AC299" s="14">
        <f>IF(LEFT($B299,4)="_Mil","",_xlfn.IFNA(ROUND(INDEX(Spectrum!$N:$N,MATCH(RIGHT($B299,13)&amp;"|"&amp;$C299&amp;"|"&amp;$D299&amp;"|"&amp;AC$14&amp;"|"&amp;"CY2023Q3",Spectrum!$R:$R,0)),0),""))</f>
        <v>1948</v>
      </c>
      <c r="AD299" s="14" t="str">
        <f>IF(LEFT($B299,4)="_Mil","",_xlfn.IFNA(ROUND(INDEX(Spectrum!$N:$N,MATCH(RIGHT($B299,13)&amp;"|"&amp;$C299&amp;"|"&amp;$D299&amp;"|"&amp;AD$14&amp;"|"&amp;"CY2023Q3",Spectrum!$R:$R,0)),0),""))</f>
        <v/>
      </c>
      <c r="AE299" s="90">
        <f t="shared" si="106"/>
        <v>0</v>
      </c>
      <c r="AF299" s="42" t="str">
        <f>IF(LEFT($B299,4)="_Mil","",_xlfn.IFNA(ROUND(INDEX(Spectrum!$N:$N,MATCH(RIGHT($B299,13)&amp;"|"&amp;$C299&amp;"|"&amp;$D299&amp;"|"&amp;AF$14&amp;"|"&amp;"CY2023Q3",Spectrum!$R:$R,0)),0),""))</f>
        <v/>
      </c>
      <c r="AG299" s="90" t="str">
        <f t="shared" si="107"/>
        <v/>
      </c>
      <c r="AH299" s="88" t="str">
        <f>IF(LEFT($B299,4)="_Mil","",_xlfn.IFNA(INDEX(Spectrum!$N:$N,MATCH(RIGHT($B299,13)&amp;"|"&amp;$C299&amp;"|"&amp;$D299&amp;"|"&amp;AH$14&amp;"|"&amp;"CY2023Q3",Spectrum!$R:$R,0)),""))</f>
        <v/>
      </c>
      <c r="AI299" s="14" t="str">
        <f>IF(LEFT($B299,4)="_Mil","",_xlfn.IFNA(ROUND(INDEX(Spectrum!$N:$N,MATCH(RIGHT($B299,13)&amp;"|"&amp;$C299&amp;"|"&amp;$D299&amp;"|"&amp;AI$14&amp;"|"&amp;"CY2023Q3",Spectrum!$R:$R,0)),0),""))</f>
        <v/>
      </c>
      <c r="AJ299" s="42">
        <f>IF(LEFT($B299,4)="_Mil","",_xlfn.IFNA(ROUND(INDEX(Spectrum!$N:$N,MATCH(RIGHT($B299,13)&amp;"|"&amp;$C299&amp;"|"&amp;$D299&amp;"|"&amp;AI$14&amp;"|"&amp;"CY2023Q3",Spectrum!$R:$R,0)),0),SUM($U299)+SUM($AI299)))</f>
        <v>0</v>
      </c>
      <c r="AK299" s="14" t="str">
        <f>IF(LEFT($B299,4)="_Mil","",_xlfn.IFNA(ROUND(INDEX(Spectrum!$N:$N,MATCH(RIGHT($B299,13)&amp;"|"&amp;$C299&amp;"|"&amp;$D299&amp;"|"&amp;AK$14&amp;"|"&amp;"CY2023Q3",Spectrum!$R:$R,0)),0),""))</f>
        <v/>
      </c>
      <c r="AL299" s="90">
        <f t="shared" si="108"/>
        <v>1635</v>
      </c>
      <c r="AM299" s="14">
        <f t="shared" si="109"/>
        <v>0</v>
      </c>
      <c r="AN299" s="14" t="str">
        <f>IF($C299="&lt;01",ROUND(INDEX(EID!$P:$P,MATCH($B299,EID!$B:$B,0))/2,0),"")</f>
        <v/>
      </c>
      <c r="AO299" s="14">
        <f t="shared" si="110"/>
        <v>0</v>
      </c>
      <c r="AP299" s="42">
        <f t="shared" si="111"/>
        <v>0</v>
      </c>
      <c r="AQ299" s="42">
        <f t="shared" si="112"/>
        <v>1136</v>
      </c>
      <c r="AR299" s="90" t="str">
        <f t="shared" si="113"/>
        <v/>
      </c>
      <c r="AS299" s="90">
        <f t="shared" si="124"/>
        <v>0.98</v>
      </c>
      <c r="AT299" s="90">
        <f t="shared" si="124"/>
        <v>0.98</v>
      </c>
      <c r="AU299" s="14">
        <f t="shared" si="114"/>
        <v>-83</v>
      </c>
      <c r="AV299" s="14">
        <f>IF($C299="&lt;01",ROUND(INDEX(EID!$N:$N,MATCH($B299,EID!$B:$B,0))/2,0),IF(SUM($AT299)=0,"",ROUND((SUM($AP299)-(SUM($O299)*SUM($AS299)))/$AT299,0)))</f>
        <v>-83</v>
      </c>
      <c r="AW299" s="90">
        <f t="shared" si="115"/>
        <v>1</v>
      </c>
      <c r="AX299" s="42">
        <f t="shared" si="116"/>
        <v>-83</v>
      </c>
      <c r="AY299" s="116">
        <f t="shared" si="117"/>
        <v>0.7</v>
      </c>
      <c r="AZ299" s="93">
        <f>IF($C299="&lt;01",ROUND(INDEX(EID!$R:$R,MATCH($B299,EID!$B:$B,0))/2,0),ROUND(SUM($O299)+(SUM($AV299)*$AY299),0))</f>
        <v>25</v>
      </c>
      <c r="BA299" s="89">
        <f t="shared" si="118"/>
        <v>0.95</v>
      </c>
      <c r="BB299" s="9">
        <f>IF($C299="&lt;01",ROUND(INDEX(EID!$T:$T,MATCH($B299,EID!$B:$B,0))/2,0),ROUND($AZ299*$BA299,0))</f>
        <v>24</v>
      </c>
      <c r="BC299" s="93">
        <f t="shared" si="119"/>
        <v>24</v>
      </c>
      <c r="BD299" s="90">
        <f t="shared" si="120"/>
        <v>0.95</v>
      </c>
      <c r="BE299" s="42">
        <f>IF($C299="&lt;01",ROUND(INDEX(EID!$V:$V,MATCH($B299,EID!$B:$B,0))/2,0),ROUND($BD299*$BB299,0))</f>
        <v>23</v>
      </c>
      <c r="BF299" s="42">
        <f t="shared" si="121"/>
        <v>23</v>
      </c>
      <c r="BG299" s="116">
        <f t="shared" si="122"/>
        <v>0.95</v>
      </c>
      <c r="BH299" s="9">
        <f>IF($C299="&lt;01",ROUND(INDEX(EID!$L:$L,MATCH($B299,EID!$B:$B,0)),0)/2,IF(SUM($BG299)=0,"",ROUND($AX299/$BG299,0)))</f>
        <v>-87</v>
      </c>
    </row>
    <row r="300" spans="1:60" x14ac:dyDescent="0.2">
      <c r="A300" t="str">
        <f>INDEX(Prioritization!$D:$D,MATCH($B300,Prioritization!$A:$A,0))</f>
        <v>1 - Scale-up: Saturation</v>
      </c>
      <c r="B300" t="s">
        <v>213</v>
      </c>
      <c r="C300" t="s">
        <v>363</v>
      </c>
      <c r="D300" t="s">
        <v>47</v>
      </c>
      <c r="E300" t="str">
        <f t="shared" si="101"/>
        <v>Machinga District [TYnMSwzko3z]|10-14|Male</v>
      </c>
      <c r="F300" s="14"/>
      <c r="G300" s="14">
        <v>5</v>
      </c>
      <c r="H300" s="14">
        <v>2</v>
      </c>
      <c r="I300" s="14">
        <v>28</v>
      </c>
      <c r="J300" s="14">
        <v>58</v>
      </c>
      <c r="K300" s="14">
        <v>22</v>
      </c>
      <c r="L300" s="14"/>
      <c r="M300" s="14"/>
      <c r="N300" s="14">
        <v>52</v>
      </c>
      <c r="O300" s="14">
        <f t="shared" si="102"/>
        <v>52</v>
      </c>
      <c r="P300" s="14">
        <v>57</v>
      </c>
      <c r="Q300" s="14">
        <v>33</v>
      </c>
      <c r="R300" s="14">
        <f t="shared" si="103"/>
        <v>24</v>
      </c>
      <c r="S300" s="14">
        <f>IF(LEFT($B300,4)="_Mil","",_xlfn.IFNA(ROUND(INDEX(Spectrum!$N:$N,MATCH(RIGHT($B300,13)&amp;"|"&amp;$C300&amp;"|"&amp;$D300&amp;"|"&amp;S$14&amp;"|"&amp;"CY2022Q4",Spectrum!$R:$R,0)),0),""))</f>
        <v>1844</v>
      </c>
      <c r="T300" s="42">
        <f>IF(LEFT($B300,4)="_Mil","",_xlfn.IFNA(ROUND(INDEX(Spectrum!$N:$N,MATCH(RIGHT($B300,13)&amp;"|"&amp;$C300&amp;"|"&amp;$D300&amp;"|"&amp;T$14&amp;"|"&amp;"CY2023Q3",Spectrum!$R:$R,0)),0),""))</f>
        <v>1804</v>
      </c>
      <c r="U300" s="42" t="str">
        <f>IF(LEFT($B300,4)="_Mil","",_xlfn.IFNA(ROUND(INDEX(Spectrum!$N:$N,MATCH(RIGHT($B300,13)&amp;"|"&amp;$C300&amp;"|"&amp;$D300&amp;"|"&amp;U$14&amp;"|"&amp;"CY2023Q3",Spectrum!$R:$R,0)),0),""))</f>
        <v/>
      </c>
      <c r="V300" s="14">
        <f>IF(LEFT($B300,4)="_Mil","",_xlfn.IFNA(ROUND(INDEX(Spectrum!$N:$N,MATCH(RIGHT($B300,13)&amp;"|"&amp;$C300&amp;"|"&amp;$D300&amp;"|"&amp;V$14&amp;"|"&amp;"CY2023Q3",Spectrum!$R:$R,0)),0),""))</f>
        <v>1285</v>
      </c>
      <c r="W300" s="115">
        <f>IF(LEFT($B300,4)="_Mil","",_xlfn.IFNA(INDEX(Spectrum!$N:$N,MATCH(RIGHT($B300,13)&amp;"|"&amp;$C300&amp;"|"&amp;$D300&amp;"|"&amp;W$14&amp;"|"&amp;"CY2023Q3",Spectrum!$R:$R,0)),""))</f>
        <v>1500</v>
      </c>
      <c r="X300" s="42">
        <f>IF(LEFT($B300,4)="_Mil","",_xlfn.IFNA(ROUND(INDEX(Spectrum!$N:$N,MATCH(RIGHT($B300,13)&amp;"|"&amp;$C300&amp;"|"&amp;$D300&amp;"|"&amp;X$14&amp;"|"&amp;"CY2023Q3",Spectrum!$R:$R,0)),0),""))</f>
        <v>1282</v>
      </c>
      <c r="Y300" s="90" t="str">
        <f t="shared" si="104"/>
        <v/>
      </c>
      <c r="Z300" s="42">
        <f>IF(LEFT($B300,4)="_Mil","",_xlfn.IFNA(ROUND(INDEX(Spectrum!$N:$N,MATCH(RIGHT($B300,13)&amp;"|"&amp;$C300&amp;"|"&amp;$D300&amp;"|"&amp;Z$14&amp;"|"&amp;"CY2023Q3",Spectrum!$R:$R,0)),0),""))</f>
        <v>1805</v>
      </c>
      <c r="AA300" s="90">
        <f>IF(LEFT($B300,4)="_Mil","",IFERROR(1/(1/INDEX(Spectrum!$N:$N,MATCH(RIGHT($B300,13)&amp;"|"&amp;$C300&amp;"|"&amp;$D300&amp;"|"&amp;AA$14&amp;"|"&amp;"CY2023Q3",Spectrum!$R:$R,0))),IF(SUM($U300)=0,"",SUM($Z300)/$U300)))</f>
        <v>685</v>
      </c>
      <c r="AB300" s="90">
        <f t="shared" si="105"/>
        <v>1.4079563182527302</v>
      </c>
      <c r="AC300" s="14">
        <f>IF(LEFT($B300,4)="_Mil","",_xlfn.IFNA(ROUND(INDEX(Spectrum!$N:$N,MATCH(RIGHT($B300,13)&amp;"|"&amp;$C300&amp;"|"&amp;$D300&amp;"|"&amp;AC$14&amp;"|"&amp;"CY2023Q3",Spectrum!$R:$R,0)),0),""))</f>
        <v>530</v>
      </c>
      <c r="AD300" s="14" t="str">
        <f>IF(LEFT($B300,4)="_Mil","",_xlfn.IFNA(ROUND(INDEX(Spectrum!$N:$N,MATCH(RIGHT($B300,13)&amp;"|"&amp;$C300&amp;"|"&amp;$D300&amp;"|"&amp;AD$14&amp;"|"&amp;"CY2023Q3",Spectrum!$R:$R,0)),0),""))</f>
        <v/>
      </c>
      <c r="AE300" s="90">
        <f t="shared" si="106"/>
        <v>0</v>
      </c>
      <c r="AF300" s="42" t="str">
        <f>IF(LEFT($B300,4)="_Mil","",_xlfn.IFNA(ROUND(INDEX(Spectrum!$N:$N,MATCH(RIGHT($B300,13)&amp;"|"&amp;$C300&amp;"|"&amp;$D300&amp;"|"&amp;AF$14&amp;"|"&amp;"CY2023Q3",Spectrum!$R:$R,0)),0),""))</f>
        <v/>
      </c>
      <c r="AG300" s="90" t="str">
        <f t="shared" si="107"/>
        <v/>
      </c>
      <c r="AH300" s="88" t="str">
        <f>IF(LEFT($B300,4)="_Mil","",_xlfn.IFNA(INDEX(Spectrum!$N:$N,MATCH(RIGHT($B300,13)&amp;"|"&amp;$C300&amp;"|"&amp;$D300&amp;"|"&amp;AH$14&amp;"|"&amp;"CY2023Q3",Spectrum!$R:$R,0)),""))</f>
        <v/>
      </c>
      <c r="AI300" s="14" t="str">
        <f>IF(LEFT($B300,4)="_Mil","",_xlfn.IFNA(ROUND(INDEX(Spectrum!$N:$N,MATCH(RIGHT($B300,13)&amp;"|"&amp;$C300&amp;"|"&amp;$D300&amp;"|"&amp;AI$14&amp;"|"&amp;"CY2023Q3",Spectrum!$R:$R,0)),0),""))</f>
        <v/>
      </c>
      <c r="AJ300" s="42">
        <f>IF(LEFT($B300,4)="_Mil","",_xlfn.IFNA(ROUND(INDEX(Spectrum!$N:$N,MATCH(RIGHT($B300,13)&amp;"|"&amp;$C300&amp;"|"&amp;$D300&amp;"|"&amp;AI$14&amp;"|"&amp;"CY2023Q3",Spectrum!$R:$R,0)),0),SUM($U300)+SUM($AI300)))</f>
        <v>0</v>
      </c>
      <c r="AK300" s="14" t="str">
        <f>IF(LEFT($B300,4)="_Mil","",_xlfn.IFNA(ROUND(INDEX(Spectrum!$N:$N,MATCH(RIGHT($B300,13)&amp;"|"&amp;$C300&amp;"|"&amp;$D300&amp;"|"&amp;AK$14&amp;"|"&amp;"CY2023Q3",Spectrum!$R:$R,0)),0),""))</f>
        <v/>
      </c>
      <c r="AL300" s="90">
        <f t="shared" si="108"/>
        <v>685</v>
      </c>
      <c r="AM300" s="14">
        <f t="shared" si="109"/>
        <v>0</v>
      </c>
      <c r="AN300" s="14" t="str">
        <f>IF($C300="&lt;01",ROUND(INDEX(EID!$P:$P,MATCH($B300,EID!$B:$B,0))/2,0),"")</f>
        <v/>
      </c>
      <c r="AO300" s="14">
        <f t="shared" si="110"/>
        <v>0</v>
      </c>
      <c r="AP300" s="42">
        <f t="shared" si="111"/>
        <v>0</v>
      </c>
      <c r="AQ300" s="42">
        <f t="shared" si="112"/>
        <v>1805</v>
      </c>
      <c r="AR300" s="90" t="str">
        <f t="shared" si="113"/>
        <v/>
      </c>
      <c r="AS300" s="90">
        <f t="shared" si="124"/>
        <v>0.98</v>
      </c>
      <c r="AT300" s="90">
        <f t="shared" si="124"/>
        <v>0.98</v>
      </c>
      <c r="AU300" s="14">
        <f t="shared" si="114"/>
        <v>-52</v>
      </c>
      <c r="AV300" s="14">
        <f>IF($C300="&lt;01",ROUND(INDEX(EID!$N:$N,MATCH($B300,EID!$B:$B,0))/2,0),IF(SUM($AT300)=0,"",ROUND((SUM($AP300)-(SUM($O300)*SUM($AS300)))/$AT300,0)))</f>
        <v>-52</v>
      </c>
      <c r="AW300" s="90">
        <f t="shared" si="115"/>
        <v>1</v>
      </c>
      <c r="AX300" s="42">
        <f t="shared" si="116"/>
        <v>-52</v>
      </c>
      <c r="AY300" s="116">
        <f t="shared" si="117"/>
        <v>0.7</v>
      </c>
      <c r="AZ300" s="93">
        <f>IF($C300="&lt;01",ROUND(INDEX(EID!$R:$R,MATCH($B300,EID!$B:$B,0))/2,0),ROUND(SUM($O300)+(SUM($AV300)*$AY300),0))</f>
        <v>16</v>
      </c>
      <c r="BA300" s="89">
        <f t="shared" si="118"/>
        <v>0.95</v>
      </c>
      <c r="BB300" s="9">
        <f>IF($C300="&lt;01",ROUND(INDEX(EID!$T:$T,MATCH($B300,EID!$B:$B,0))/2,0),ROUND($AZ300*$BA300,0))</f>
        <v>15</v>
      </c>
      <c r="BC300" s="93">
        <f t="shared" si="119"/>
        <v>15</v>
      </c>
      <c r="BD300" s="90">
        <f t="shared" si="120"/>
        <v>0.95</v>
      </c>
      <c r="BE300" s="42">
        <f>IF($C300="&lt;01",ROUND(INDEX(EID!$V:$V,MATCH($B300,EID!$B:$B,0))/2,0),ROUND($BD300*$BB300,0))</f>
        <v>14</v>
      </c>
      <c r="BF300" s="42">
        <f t="shared" si="121"/>
        <v>14</v>
      </c>
      <c r="BG300" s="116">
        <f t="shared" si="122"/>
        <v>0.95</v>
      </c>
      <c r="BH300" s="9">
        <f>IF($C300="&lt;01",ROUND(INDEX(EID!$L:$L,MATCH($B300,EID!$B:$B,0)),0)/2,IF(SUM($BG300)=0,"",ROUND($AX300/$BG300,0)))</f>
        <v>-55</v>
      </c>
    </row>
    <row r="301" spans="1:60" x14ac:dyDescent="0.2">
      <c r="A301" t="str">
        <f>INDEX(Prioritization!$D:$D,MATCH($B301,Prioritization!$A:$A,0))</f>
        <v>1 - Scale-up: Saturation</v>
      </c>
      <c r="B301" t="s">
        <v>213</v>
      </c>
      <c r="C301" t="s">
        <v>364</v>
      </c>
      <c r="D301" t="s">
        <v>29</v>
      </c>
      <c r="E301" t="str">
        <f t="shared" si="101"/>
        <v>Machinga District [TYnMSwzko3z]|15-24|Female</v>
      </c>
      <c r="F301" s="14"/>
      <c r="G301" s="14"/>
      <c r="H301" s="14"/>
      <c r="I301" s="14"/>
      <c r="J301" s="14"/>
      <c r="K301" s="14"/>
      <c r="L301" s="14"/>
      <c r="M301" s="14"/>
      <c r="N301" s="14"/>
      <c r="O301" s="14" t="str">
        <f t="shared" si="102"/>
        <v/>
      </c>
      <c r="P301" s="14"/>
      <c r="Q301" s="14"/>
      <c r="R301" s="14" t="str">
        <f t="shared" si="103"/>
        <v/>
      </c>
      <c r="S301" s="14">
        <f>IF(LEFT($B301,4)="_Mil","",_xlfn.IFNA(ROUND(INDEX(Spectrum!$N:$N,MATCH(RIGHT($B301,13)&amp;"|"&amp;$C301&amp;"|"&amp;$D301&amp;"|"&amp;S$14&amp;"|"&amp;"CY2022Q4",Spectrum!$R:$R,0)),0),""))</f>
        <v>1244</v>
      </c>
      <c r="T301" s="42">
        <f>IF(LEFT($B301,4)="_Mil","",_xlfn.IFNA(ROUND(INDEX(Spectrum!$N:$N,MATCH(RIGHT($B301,13)&amp;"|"&amp;$C301&amp;"|"&amp;$D301&amp;"|"&amp;T$14&amp;"|"&amp;"CY2023Q3",Spectrum!$R:$R,0)),0),""))</f>
        <v>610</v>
      </c>
      <c r="U301" s="42" t="str">
        <f>IF(LEFT($B301,4)="_Mil","",_xlfn.IFNA(ROUND(INDEX(Spectrum!$N:$N,MATCH(RIGHT($B301,13)&amp;"|"&amp;$C301&amp;"|"&amp;$D301&amp;"|"&amp;U$14&amp;"|"&amp;"CY2023Q3",Spectrum!$R:$R,0)),0),""))</f>
        <v/>
      </c>
      <c r="V301" s="14">
        <f>IF(LEFT($B301,4)="_Mil","",_xlfn.IFNA(ROUND(INDEX(Spectrum!$N:$N,MATCH(RIGHT($B301,13)&amp;"|"&amp;$C301&amp;"|"&amp;$D301&amp;"|"&amp;V$14&amp;"|"&amp;"CY2023Q3",Spectrum!$R:$R,0)),0),""))</f>
        <v>617</v>
      </c>
      <c r="W301" s="115">
        <f>IF(LEFT($B301,4)="_Mil","",_xlfn.IFNA(INDEX(Spectrum!$N:$N,MATCH(RIGHT($B301,13)&amp;"|"&amp;$C301&amp;"|"&amp;$D301&amp;"|"&amp;W$14&amp;"|"&amp;"CY2023Q3",Spectrum!$R:$R,0)),""))</f>
        <v>1807</v>
      </c>
      <c r="X301" s="42">
        <f>IF(LEFT($B301,4)="_Mil","",_xlfn.IFNA(ROUND(INDEX(Spectrum!$N:$N,MATCH(RIGHT($B301,13)&amp;"|"&amp;$C301&amp;"|"&amp;$D301&amp;"|"&amp;X$14&amp;"|"&amp;"CY2023Q3",Spectrum!$R:$R,0)),0),""))</f>
        <v>1130</v>
      </c>
      <c r="Y301" s="90" t="str">
        <f t="shared" si="104"/>
        <v/>
      </c>
      <c r="Z301" s="42">
        <f>IF(LEFT($B301,4)="_Mil","",_xlfn.IFNA(ROUND(INDEX(Spectrum!$N:$N,MATCH(RIGHT($B301,13)&amp;"|"&amp;$C301&amp;"|"&amp;$D301&amp;"|"&amp;Z$14&amp;"|"&amp;"CY2023Q3",Spectrum!$R:$R,0)),0),""))</f>
        <v>517</v>
      </c>
      <c r="AA301" s="90">
        <f>IF(LEFT($B301,4)="_Mil","",IFERROR(1/(1/INDEX(Spectrum!$N:$N,MATCH(RIGHT($B301,13)&amp;"|"&amp;$C301&amp;"|"&amp;$D301&amp;"|"&amp;AA$14&amp;"|"&amp;"CY2023Q3",Spectrum!$R:$R,0))),IF(SUM($U301)=0,"",SUM($Z301)/$U301)))</f>
        <v>756</v>
      </c>
      <c r="AB301" s="90">
        <f t="shared" si="105"/>
        <v>0.45752212389380531</v>
      </c>
      <c r="AC301" s="14">
        <f>IF(LEFT($B301,4)="_Mil","",_xlfn.IFNA(ROUND(INDEX(Spectrum!$N:$N,MATCH(RIGHT($B301,13)&amp;"|"&amp;$C301&amp;"|"&amp;$D301&amp;"|"&amp;AC$14&amp;"|"&amp;"CY2023Q3",Spectrum!$R:$R,0)),0),""))</f>
        <v>1743</v>
      </c>
      <c r="AD301" s="14" t="str">
        <f>IF(LEFT($B301,4)="_Mil","",_xlfn.IFNA(ROUND(INDEX(Spectrum!$N:$N,MATCH(RIGHT($B301,13)&amp;"|"&amp;$C301&amp;"|"&amp;$D301&amp;"|"&amp;AD$14&amp;"|"&amp;"CY2023Q3",Spectrum!$R:$R,0)),0),""))</f>
        <v/>
      </c>
      <c r="AE301" s="90">
        <f t="shared" si="106"/>
        <v>0</v>
      </c>
      <c r="AF301" s="42" t="str">
        <f>IF(LEFT($B301,4)="_Mil","",_xlfn.IFNA(ROUND(INDEX(Spectrum!$N:$N,MATCH(RIGHT($B301,13)&amp;"|"&amp;$C301&amp;"|"&amp;$D301&amp;"|"&amp;AF$14&amp;"|"&amp;"CY2023Q3",Spectrum!$R:$R,0)),0),""))</f>
        <v/>
      </c>
      <c r="AG301" s="90" t="str">
        <f t="shared" si="107"/>
        <v/>
      </c>
      <c r="AH301" s="88" t="str">
        <f>IF(LEFT($B301,4)="_Mil","",_xlfn.IFNA(INDEX(Spectrum!$N:$N,MATCH(RIGHT($B301,13)&amp;"|"&amp;$C301&amp;"|"&amp;$D301&amp;"|"&amp;AH$14&amp;"|"&amp;"CY2023Q3",Spectrum!$R:$R,0)),""))</f>
        <v/>
      </c>
      <c r="AI301" s="14" t="str">
        <f>IF(LEFT($B301,4)="_Mil","",_xlfn.IFNA(ROUND(INDEX(Spectrum!$N:$N,MATCH(RIGHT($B301,13)&amp;"|"&amp;$C301&amp;"|"&amp;$D301&amp;"|"&amp;AI$14&amp;"|"&amp;"CY2023Q3",Spectrum!$R:$R,0)),0),""))</f>
        <v/>
      </c>
      <c r="AJ301" s="42">
        <f>IF(LEFT($B301,4)="_Mil","",_xlfn.IFNA(ROUND(INDEX(Spectrum!$N:$N,MATCH(RIGHT($B301,13)&amp;"|"&amp;$C301&amp;"|"&amp;$D301&amp;"|"&amp;AI$14&amp;"|"&amp;"CY2023Q3",Spectrum!$R:$R,0)),0),SUM($U301)+SUM($AI301)))</f>
        <v>0</v>
      </c>
      <c r="AK301" s="14" t="str">
        <f>IF(LEFT($B301,4)="_Mil","",_xlfn.IFNA(ROUND(INDEX(Spectrum!$N:$N,MATCH(RIGHT($B301,13)&amp;"|"&amp;$C301&amp;"|"&amp;$D301&amp;"|"&amp;AK$14&amp;"|"&amp;"CY2023Q3",Spectrum!$R:$R,0)),0),""))</f>
        <v/>
      </c>
      <c r="AL301" s="90">
        <f t="shared" si="108"/>
        <v>756</v>
      </c>
      <c r="AM301" s="14">
        <f t="shared" si="109"/>
        <v>0</v>
      </c>
      <c r="AN301" s="14" t="str">
        <f>IF($C301="&lt;01",ROUND(INDEX(EID!$P:$P,MATCH($B301,EID!$B:$B,0))/2,0),"")</f>
        <v/>
      </c>
      <c r="AO301" s="14">
        <f t="shared" si="110"/>
        <v>0</v>
      </c>
      <c r="AP301" s="42">
        <f t="shared" si="111"/>
        <v>0</v>
      </c>
      <c r="AQ301" s="42">
        <f t="shared" si="112"/>
        <v>517</v>
      </c>
      <c r="AR301" s="90" t="str">
        <f t="shared" si="113"/>
        <v/>
      </c>
      <c r="AS301" s="90">
        <f t="shared" si="124"/>
        <v>0.98</v>
      </c>
      <c r="AT301" s="90">
        <f t="shared" si="124"/>
        <v>0.98</v>
      </c>
      <c r="AU301" s="14">
        <f t="shared" si="114"/>
        <v>0</v>
      </c>
      <c r="AV301" s="14">
        <f>IF($C301="&lt;01",ROUND(INDEX(EID!$N:$N,MATCH($B301,EID!$B:$B,0))/2,0),IF(SUM($AT301)=0,"",ROUND((SUM($AP301)-(SUM($O301)*SUM($AS301)))/$AT301,0)))</f>
        <v>0</v>
      </c>
      <c r="AW301" s="90">
        <f t="shared" si="115"/>
        <v>1</v>
      </c>
      <c r="AX301" s="42">
        <f t="shared" si="116"/>
        <v>0</v>
      </c>
      <c r="AY301" s="116">
        <f t="shared" si="117"/>
        <v>0.7</v>
      </c>
      <c r="AZ301" s="93">
        <f>IF($C301="&lt;01",ROUND(INDEX(EID!$R:$R,MATCH($B301,EID!$B:$B,0))/2,0),ROUND(SUM($O301)+(SUM($AV301)*$AY301),0))</f>
        <v>0</v>
      </c>
      <c r="BA301" s="89">
        <f t="shared" si="118"/>
        <v>0.95</v>
      </c>
      <c r="BB301" s="9">
        <f>IF($C301="&lt;01",ROUND(INDEX(EID!$T:$T,MATCH($B301,EID!$B:$B,0))/2,0),ROUND($AZ301*$BA301,0))</f>
        <v>0</v>
      </c>
      <c r="BC301" s="93">
        <f t="shared" si="119"/>
        <v>0</v>
      </c>
      <c r="BD301" s="90">
        <f t="shared" si="120"/>
        <v>0.95</v>
      </c>
      <c r="BE301" s="42">
        <f>IF($C301="&lt;01",ROUND(INDEX(EID!$V:$V,MATCH($B301,EID!$B:$B,0))/2,0),ROUND($BD301*$BB301,0))</f>
        <v>0</v>
      </c>
      <c r="BF301" s="42">
        <f t="shared" si="121"/>
        <v>0</v>
      </c>
      <c r="BG301" s="116">
        <f t="shared" si="122"/>
        <v>0.95</v>
      </c>
      <c r="BH301" s="9">
        <f>IF($C301="&lt;01",ROUND(INDEX(EID!$L:$L,MATCH($B301,EID!$B:$B,0)),0)/2,IF(SUM($BG301)=0,"",ROUND($AX301/$BG301,0)))</f>
        <v>0</v>
      </c>
    </row>
    <row r="302" spans="1:60" x14ac:dyDescent="0.2">
      <c r="A302" t="str">
        <f>INDEX(Prioritization!$D:$D,MATCH($B302,Prioritization!$A:$A,0))</f>
        <v>1 - Scale-up: Saturation</v>
      </c>
      <c r="B302" t="s">
        <v>213</v>
      </c>
      <c r="C302" t="s">
        <v>364</v>
      </c>
      <c r="D302" t="s">
        <v>47</v>
      </c>
      <c r="E302" t="str">
        <f t="shared" si="101"/>
        <v>Machinga District [TYnMSwzko3z]|15-24|Male</v>
      </c>
      <c r="F302" s="14"/>
      <c r="G302" s="14"/>
      <c r="H302" s="14"/>
      <c r="I302" s="14"/>
      <c r="J302" s="14"/>
      <c r="K302" s="14"/>
      <c r="L302" s="14"/>
      <c r="M302" s="14"/>
      <c r="N302" s="14"/>
      <c r="O302" s="14" t="str">
        <f t="shared" si="102"/>
        <v/>
      </c>
      <c r="P302" s="14"/>
      <c r="Q302" s="14"/>
      <c r="R302" s="14" t="str">
        <f t="shared" si="103"/>
        <v/>
      </c>
      <c r="S302" s="14">
        <f>IF(LEFT($B302,4)="_Mil","",_xlfn.IFNA(ROUND(INDEX(Spectrum!$N:$N,MATCH(RIGHT($B302,13)&amp;"|"&amp;$C302&amp;"|"&amp;$D302&amp;"|"&amp;S$14&amp;"|"&amp;"CY2022Q4",Spectrum!$R:$R,0)),0),""))</f>
        <v>532</v>
      </c>
      <c r="T302" s="42">
        <f>IF(LEFT($B302,4)="_Mil","",_xlfn.IFNA(ROUND(INDEX(Spectrum!$N:$N,MATCH(RIGHT($B302,13)&amp;"|"&amp;$C302&amp;"|"&amp;$D302&amp;"|"&amp;T$14&amp;"|"&amp;"CY2023Q3",Spectrum!$R:$R,0)),0),""))</f>
        <v>1199</v>
      </c>
      <c r="U302" s="42" t="str">
        <f>IF(LEFT($B302,4)="_Mil","",_xlfn.IFNA(ROUND(INDEX(Spectrum!$N:$N,MATCH(RIGHT($B302,13)&amp;"|"&amp;$C302&amp;"|"&amp;$D302&amp;"|"&amp;U$14&amp;"|"&amp;"CY2023Q3",Spectrum!$R:$R,0)),0),""))</f>
        <v/>
      </c>
      <c r="V302" s="14">
        <f>IF(LEFT($B302,4)="_Mil","",_xlfn.IFNA(ROUND(INDEX(Spectrum!$N:$N,MATCH(RIGHT($B302,13)&amp;"|"&amp;$C302&amp;"|"&amp;$D302&amp;"|"&amp;V$14&amp;"|"&amp;"CY2023Q3",Spectrum!$R:$R,0)),0),""))</f>
        <v>1933</v>
      </c>
      <c r="W302" s="115">
        <f>IF(LEFT($B302,4)="_Mil","",_xlfn.IFNA(INDEX(Spectrum!$N:$N,MATCH(RIGHT($B302,13)&amp;"|"&amp;$C302&amp;"|"&amp;$D302&amp;"|"&amp;W$14&amp;"|"&amp;"CY2023Q3",Spectrum!$R:$R,0)),""))</f>
        <v>1194</v>
      </c>
      <c r="X302" s="42">
        <f>IF(LEFT($B302,4)="_Mil","",_xlfn.IFNA(ROUND(INDEX(Spectrum!$N:$N,MATCH(RIGHT($B302,13)&amp;"|"&amp;$C302&amp;"|"&amp;$D302&amp;"|"&amp;X$14&amp;"|"&amp;"CY2023Q3",Spectrum!$R:$R,0)),0),""))</f>
        <v>924</v>
      </c>
      <c r="Y302" s="90" t="str">
        <f t="shared" si="104"/>
        <v/>
      </c>
      <c r="Z302" s="42">
        <f>IF(LEFT($B302,4)="_Mil","",_xlfn.IFNA(ROUND(INDEX(Spectrum!$N:$N,MATCH(RIGHT($B302,13)&amp;"|"&amp;$C302&amp;"|"&amp;$D302&amp;"|"&amp;Z$14&amp;"|"&amp;"CY2023Q3",Spectrum!$R:$R,0)),0),""))</f>
        <v>856</v>
      </c>
      <c r="AA302" s="90">
        <f>IF(LEFT($B302,4)="_Mil","",IFERROR(1/(1/INDEX(Spectrum!$N:$N,MATCH(RIGHT($B302,13)&amp;"|"&amp;$C302&amp;"|"&amp;$D302&amp;"|"&amp;AA$14&amp;"|"&amp;"CY2023Q3",Spectrum!$R:$R,0))),IF(SUM($U302)=0,"",SUM($Z302)/$U302)))</f>
        <v>1565</v>
      </c>
      <c r="AB302" s="90">
        <f t="shared" si="105"/>
        <v>0.92640692640692646</v>
      </c>
      <c r="AC302" s="14">
        <f>IF(LEFT($B302,4)="_Mil","",_xlfn.IFNA(ROUND(INDEX(Spectrum!$N:$N,MATCH(RIGHT($B302,13)&amp;"|"&amp;$C302&amp;"|"&amp;$D302&amp;"|"&amp;AC$14&amp;"|"&amp;"CY2023Q3",Spectrum!$R:$R,0)),0),""))</f>
        <v>763</v>
      </c>
      <c r="AD302" s="14" t="str">
        <f>IF(LEFT($B302,4)="_Mil","",_xlfn.IFNA(ROUND(INDEX(Spectrum!$N:$N,MATCH(RIGHT($B302,13)&amp;"|"&amp;$C302&amp;"|"&amp;$D302&amp;"|"&amp;AD$14&amp;"|"&amp;"CY2023Q3",Spectrum!$R:$R,0)),0),""))</f>
        <v/>
      </c>
      <c r="AE302" s="90">
        <f t="shared" si="106"/>
        <v>0</v>
      </c>
      <c r="AF302" s="42" t="str">
        <f>IF(LEFT($B302,4)="_Mil","",_xlfn.IFNA(ROUND(INDEX(Spectrum!$N:$N,MATCH(RIGHT($B302,13)&amp;"|"&amp;$C302&amp;"|"&amp;$D302&amp;"|"&amp;AF$14&amp;"|"&amp;"CY2023Q3",Spectrum!$R:$R,0)),0),""))</f>
        <v/>
      </c>
      <c r="AG302" s="90" t="str">
        <f t="shared" si="107"/>
        <v/>
      </c>
      <c r="AH302" s="88" t="str">
        <f>IF(LEFT($B302,4)="_Mil","",_xlfn.IFNA(INDEX(Spectrum!$N:$N,MATCH(RIGHT($B302,13)&amp;"|"&amp;$C302&amp;"|"&amp;$D302&amp;"|"&amp;AH$14&amp;"|"&amp;"CY2023Q3",Spectrum!$R:$R,0)),""))</f>
        <v/>
      </c>
      <c r="AI302" s="14" t="str">
        <f>IF(LEFT($B302,4)="_Mil","",_xlfn.IFNA(ROUND(INDEX(Spectrum!$N:$N,MATCH(RIGHT($B302,13)&amp;"|"&amp;$C302&amp;"|"&amp;$D302&amp;"|"&amp;AI$14&amp;"|"&amp;"CY2023Q3",Spectrum!$R:$R,0)),0),""))</f>
        <v/>
      </c>
      <c r="AJ302" s="42">
        <f>IF(LEFT($B302,4)="_Mil","",_xlfn.IFNA(ROUND(INDEX(Spectrum!$N:$N,MATCH(RIGHT($B302,13)&amp;"|"&amp;$C302&amp;"|"&amp;$D302&amp;"|"&amp;AI$14&amp;"|"&amp;"CY2023Q3",Spectrum!$R:$R,0)),0),SUM($U302)+SUM($AI302)))</f>
        <v>0</v>
      </c>
      <c r="AK302" s="14" t="str">
        <f>IF(LEFT($B302,4)="_Mil","",_xlfn.IFNA(ROUND(INDEX(Spectrum!$N:$N,MATCH(RIGHT($B302,13)&amp;"|"&amp;$C302&amp;"|"&amp;$D302&amp;"|"&amp;AK$14&amp;"|"&amp;"CY2023Q3",Spectrum!$R:$R,0)),0),""))</f>
        <v/>
      </c>
      <c r="AL302" s="90">
        <f t="shared" si="108"/>
        <v>1565</v>
      </c>
      <c r="AM302" s="14">
        <f t="shared" si="109"/>
        <v>0</v>
      </c>
      <c r="AN302" s="14" t="str">
        <f>IF($C302="&lt;01",ROUND(INDEX(EID!$P:$P,MATCH($B302,EID!$B:$B,0))/2,0),"")</f>
        <v/>
      </c>
      <c r="AO302" s="14">
        <f t="shared" si="110"/>
        <v>0</v>
      </c>
      <c r="AP302" s="42">
        <f t="shared" si="111"/>
        <v>0</v>
      </c>
      <c r="AQ302" s="42">
        <f t="shared" si="112"/>
        <v>856</v>
      </c>
      <c r="AR302" s="90" t="str">
        <f t="shared" si="113"/>
        <v/>
      </c>
      <c r="AS302" s="90">
        <f t="shared" si="124"/>
        <v>0.98</v>
      </c>
      <c r="AT302" s="90">
        <f t="shared" si="124"/>
        <v>0.98</v>
      </c>
      <c r="AU302" s="14">
        <f t="shared" si="114"/>
        <v>0</v>
      </c>
      <c r="AV302" s="14">
        <f>IF($C302="&lt;01",ROUND(INDEX(EID!$N:$N,MATCH($B302,EID!$B:$B,0))/2,0),IF(SUM($AT302)=0,"",ROUND((SUM($AP302)-(SUM($O302)*SUM($AS302)))/$AT302,0)))</f>
        <v>0</v>
      </c>
      <c r="AW302" s="90">
        <f t="shared" si="115"/>
        <v>1</v>
      </c>
      <c r="AX302" s="42">
        <f t="shared" si="116"/>
        <v>0</v>
      </c>
      <c r="AY302" s="116">
        <f t="shared" si="117"/>
        <v>0.7</v>
      </c>
      <c r="AZ302" s="93">
        <f>IF($C302="&lt;01",ROUND(INDEX(EID!$R:$R,MATCH($B302,EID!$B:$B,0))/2,0),ROUND(SUM($O302)+(SUM($AV302)*$AY302),0))</f>
        <v>0</v>
      </c>
      <c r="BA302" s="89">
        <f t="shared" si="118"/>
        <v>0.95</v>
      </c>
      <c r="BB302" s="9">
        <f>IF($C302="&lt;01",ROUND(INDEX(EID!$T:$T,MATCH($B302,EID!$B:$B,0))/2,0),ROUND($AZ302*$BA302,0))</f>
        <v>0</v>
      </c>
      <c r="BC302" s="93">
        <f t="shared" si="119"/>
        <v>0</v>
      </c>
      <c r="BD302" s="90">
        <f t="shared" si="120"/>
        <v>0.95</v>
      </c>
      <c r="BE302" s="42">
        <f>IF($C302="&lt;01",ROUND(INDEX(EID!$V:$V,MATCH($B302,EID!$B:$B,0))/2,0),ROUND($BD302*$BB302,0))</f>
        <v>0</v>
      </c>
      <c r="BF302" s="42">
        <f t="shared" si="121"/>
        <v>0</v>
      </c>
      <c r="BG302" s="116">
        <f t="shared" si="122"/>
        <v>0.95</v>
      </c>
      <c r="BH302" s="9">
        <f>IF($C302="&lt;01",ROUND(INDEX(EID!$L:$L,MATCH($B302,EID!$B:$B,0)),0)/2,IF(SUM($BG302)=0,"",ROUND($AX302/$BG302,0)))</f>
        <v>0</v>
      </c>
    </row>
    <row r="303" spans="1:60" x14ac:dyDescent="0.2">
      <c r="A303" t="str">
        <f>INDEX(Prioritization!$D:$D,MATCH($B303,Prioritization!$A:$A,0))</f>
        <v>1 - Scale-up: Saturation</v>
      </c>
      <c r="B303" t="s">
        <v>213</v>
      </c>
      <c r="C303" t="s">
        <v>365</v>
      </c>
      <c r="D303" t="s">
        <v>29</v>
      </c>
      <c r="E303" t="str">
        <f t="shared" si="101"/>
        <v>Machinga District [TYnMSwzko3z]|25-34|Female</v>
      </c>
      <c r="F303" s="14"/>
      <c r="G303" s="14"/>
      <c r="H303" s="14"/>
      <c r="I303" s="14"/>
      <c r="J303" s="14"/>
      <c r="K303" s="14"/>
      <c r="L303" s="14"/>
      <c r="M303" s="14"/>
      <c r="N303" s="14"/>
      <c r="O303" s="14" t="str">
        <f t="shared" si="102"/>
        <v/>
      </c>
      <c r="P303" s="14"/>
      <c r="Q303" s="14"/>
      <c r="R303" s="14" t="str">
        <f t="shared" si="103"/>
        <v/>
      </c>
      <c r="S303" s="14">
        <f>IF(LEFT($B303,4)="_Mil","",_xlfn.IFNA(ROUND(INDEX(Spectrum!$N:$N,MATCH(RIGHT($B303,13)&amp;"|"&amp;$C303&amp;"|"&amp;$D303&amp;"|"&amp;S$14&amp;"|"&amp;"CY2022Q4",Spectrum!$R:$R,0)),0),""))</f>
        <v>1585</v>
      </c>
      <c r="T303" s="42">
        <f>IF(LEFT($B303,4)="_Mil","",_xlfn.IFNA(ROUND(INDEX(Spectrum!$N:$N,MATCH(RIGHT($B303,13)&amp;"|"&amp;$C303&amp;"|"&amp;$D303&amp;"|"&amp;T$14&amp;"|"&amp;"CY2023Q3",Spectrum!$R:$R,0)),0),""))</f>
        <v>1209</v>
      </c>
      <c r="U303" s="42" t="str">
        <f>IF(LEFT($B303,4)="_Mil","",_xlfn.IFNA(ROUND(INDEX(Spectrum!$N:$N,MATCH(RIGHT($B303,13)&amp;"|"&amp;$C303&amp;"|"&amp;$D303&amp;"|"&amp;U$14&amp;"|"&amp;"CY2023Q3",Spectrum!$R:$R,0)),0),""))</f>
        <v/>
      </c>
      <c r="V303" s="14">
        <f>IF(LEFT($B303,4)="_Mil","",_xlfn.IFNA(ROUND(INDEX(Spectrum!$N:$N,MATCH(RIGHT($B303,13)&amp;"|"&amp;$C303&amp;"|"&amp;$D303&amp;"|"&amp;V$14&amp;"|"&amp;"CY2023Q3",Spectrum!$R:$R,0)),0),""))</f>
        <v>1098</v>
      </c>
      <c r="W303" s="115">
        <f>IF(LEFT($B303,4)="_Mil","",_xlfn.IFNA(INDEX(Spectrum!$N:$N,MATCH(RIGHT($B303,13)&amp;"|"&amp;$C303&amp;"|"&amp;$D303&amp;"|"&amp;W$14&amp;"|"&amp;"CY2023Q3",Spectrum!$R:$R,0)),""))</f>
        <v>535</v>
      </c>
      <c r="X303" s="42">
        <f>IF(LEFT($B303,4)="_Mil","",_xlfn.IFNA(ROUND(INDEX(Spectrum!$N:$N,MATCH(RIGHT($B303,13)&amp;"|"&amp;$C303&amp;"|"&amp;$D303&amp;"|"&amp;X$14&amp;"|"&amp;"CY2023Q3",Spectrum!$R:$R,0)),0),""))</f>
        <v>1693</v>
      </c>
      <c r="Y303" s="90" t="str">
        <f t="shared" si="104"/>
        <v/>
      </c>
      <c r="Z303" s="42">
        <f>IF(LEFT($B303,4)="_Mil","",_xlfn.IFNA(ROUND(INDEX(Spectrum!$N:$N,MATCH(RIGHT($B303,13)&amp;"|"&amp;$C303&amp;"|"&amp;$D303&amp;"|"&amp;Z$14&amp;"|"&amp;"CY2023Q3",Spectrum!$R:$R,0)),0),""))</f>
        <v>1140</v>
      </c>
      <c r="AA303" s="90">
        <f>IF(LEFT($B303,4)="_Mil","",IFERROR(1/(1/INDEX(Spectrum!$N:$N,MATCH(RIGHT($B303,13)&amp;"|"&amp;$C303&amp;"|"&amp;$D303&amp;"|"&amp;AA$14&amp;"|"&amp;"CY2023Q3",Spectrum!$R:$R,0))),IF(SUM($U303)=0,"",SUM($Z303)/$U303)))</f>
        <v>742</v>
      </c>
      <c r="AB303" s="90">
        <f t="shared" si="105"/>
        <v>0.67336089781453046</v>
      </c>
      <c r="AC303" s="14">
        <f>IF(LEFT($B303,4)="_Mil","",_xlfn.IFNA(ROUND(INDEX(Spectrum!$N:$N,MATCH(RIGHT($B303,13)&amp;"|"&amp;$C303&amp;"|"&amp;$D303&amp;"|"&amp;AC$14&amp;"|"&amp;"CY2023Q3",Spectrum!$R:$R,0)),0),""))</f>
        <v>1619</v>
      </c>
      <c r="AD303" s="14" t="str">
        <f>IF(LEFT($B303,4)="_Mil","",_xlfn.IFNA(ROUND(INDEX(Spectrum!$N:$N,MATCH(RIGHT($B303,13)&amp;"|"&amp;$C303&amp;"|"&amp;$D303&amp;"|"&amp;AD$14&amp;"|"&amp;"CY2023Q3",Spectrum!$R:$R,0)),0),""))</f>
        <v/>
      </c>
      <c r="AE303" s="90">
        <f t="shared" si="106"/>
        <v>0</v>
      </c>
      <c r="AF303" s="42" t="str">
        <f>IF(LEFT($B303,4)="_Mil","",_xlfn.IFNA(ROUND(INDEX(Spectrum!$N:$N,MATCH(RIGHT($B303,13)&amp;"|"&amp;$C303&amp;"|"&amp;$D303&amp;"|"&amp;AF$14&amp;"|"&amp;"CY2023Q3",Spectrum!$R:$R,0)),0),""))</f>
        <v/>
      </c>
      <c r="AG303" s="90" t="str">
        <f t="shared" si="107"/>
        <v/>
      </c>
      <c r="AH303" s="88" t="str">
        <f>IF(LEFT($B303,4)="_Mil","",_xlfn.IFNA(INDEX(Spectrum!$N:$N,MATCH(RIGHT($B303,13)&amp;"|"&amp;$C303&amp;"|"&amp;$D303&amp;"|"&amp;AH$14&amp;"|"&amp;"CY2023Q3",Spectrum!$R:$R,0)),""))</f>
        <v/>
      </c>
      <c r="AI303" s="14" t="str">
        <f>IF(LEFT($B303,4)="_Mil","",_xlfn.IFNA(ROUND(INDEX(Spectrum!$N:$N,MATCH(RIGHT($B303,13)&amp;"|"&amp;$C303&amp;"|"&amp;$D303&amp;"|"&amp;AI$14&amp;"|"&amp;"CY2023Q3",Spectrum!$R:$R,0)),0),""))</f>
        <v/>
      </c>
      <c r="AJ303" s="42">
        <f>IF(LEFT($B303,4)="_Mil","",_xlfn.IFNA(ROUND(INDEX(Spectrum!$N:$N,MATCH(RIGHT($B303,13)&amp;"|"&amp;$C303&amp;"|"&amp;$D303&amp;"|"&amp;AI$14&amp;"|"&amp;"CY2023Q3",Spectrum!$R:$R,0)),0),SUM($U303)+SUM($AI303)))</f>
        <v>0</v>
      </c>
      <c r="AK303" s="14" t="str">
        <f>IF(LEFT($B303,4)="_Mil","",_xlfn.IFNA(ROUND(INDEX(Spectrum!$N:$N,MATCH(RIGHT($B303,13)&amp;"|"&amp;$C303&amp;"|"&amp;$D303&amp;"|"&amp;AK$14&amp;"|"&amp;"CY2023Q3",Spectrum!$R:$R,0)),0),""))</f>
        <v/>
      </c>
      <c r="AL303" s="90">
        <f t="shared" si="108"/>
        <v>742</v>
      </c>
      <c r="AM303" s="14">
        <f t="shared" si="109"/>
        <v>0</v>
      </c>
      <c r="AN303" s="14" t="str">
        <f>IF($C303="&lt;01",ROUND(INDEX(EID!$P:$P,MATCH($B303,EID!$B:$B,0))/2,0),"")</f>
        <v/>
      </c>
      <c r="AO303" s="14">
        <f t="shared" si="110"/>
        <v>0</v>
      </c>
      <c r="AP303" s="42">
        <f t="shared" si="111"/>
        <v>0</v>
      </c>
      <c r="AQ303" s="42">
        <f t="shared" si="112"/>
        <v>1140</v>
      </c>
      <c r="AR303" s="90" t="str">
        <f t="shared" si="113"/>
        <v/>
      </c>
      <c r="AS303" s="90">
        <f t="shared" si="124"/>
        <v>0.98</v>
      </c>
      <c r="AT303" s="90">
        <f t="shared" si="124"/>
        <v>0.98</v>
      </c>
      <c r="AU303" s="14">
        <f t="shared" si="114"/>
        <v>0</v>
      </c>
      <c r="AV303" s="14">
        <f>IF($C303="&lt;01",ROUND(INDEX(EID!$N:$N,MATCH($B303,EID!$B:$B,0))/2,0),IF(SUM($AT303)=0,"",ROUND((SUM($AP303)-(SUM($O303)*SUM($AS303)))/$AT303,0)))</f>
        <v>0</v>
      </c>
      <c r="AW303" s="90">
        <f t="shared" si="115"/>
        <v>1</v>
      </c>
      <c r="AX303" s="42">
        <f t="shared" si="116"/>
        <v>0</v>
      </c>
      <c r="AY303" s="116">
        <f t="shared" si="117"/>
        <v>0.7</v>
      </c>
      <c r="AZ303" s="93">
        <f>IF($C303="&lt;01",ROUND(INDEX(EID!$R:$R,MATCH($B303,EID!$B:$B,0))/2,0),ROUND(SUM($O303)+(SUM($AV303)*$AY303),0))</f>
        <v>0</v>
      </c>
      <c r="BA303" s="89">
        <f t="shared" si="118"/>
        <v>0.95</v>
      </c>
      <c r="BB303" s="9">
        <f>IF($C303="&lt;01",ROUND(INDEX(EID!$T:$T,MATCH($B303,EID!$B:$B,0))/2,0),ROUND($AZ303*$BA303,0))</f>
        <v>0</v>
      </c>
      <c r="BC303" s="93">
        <f t="shared" si="119"/>
        <v>0</v>
      </c>
      <c r="BD303" s="90">
        <f t="shared" si="120"/>
        <v>0.95</v>
      </c>
      <c r="BE303" s="42">
        <f>IF($C303="&lt;01",ROUND(INDEX(EID!$V:$V,MATCH($B303,EID!$B:$B,0))/2,0),ROUND($BD303*$BB303,0))</f>
        <v>0</v>
      </c>
      <c r="BF303" s="42">
        <f t="shared" si="121"/>
        <v>0</v>
      </c>
      <c r="BG303" s="116">
        <f t="shared" si="122"/>
        <v>0.95</v>
      </c>
      <c r="BH303" s="9">
        <f>IF($C303="&lt;01",ROUND(INDEX(EID!$L:$L,MATCH($B303,EID!$B:$B,0)),0)/2,IF(SUM($BG303)=0,"",ROUND($AX303/$BG303,0)))</f>
        <v>0</v>
      </c>
    </row>
    <row r="304" spans="1:60" x14ac:dyDescent="0.2">
      <c r="A304" t="str">
        <f>INDEX(Prioritization!$D:$D,MATCH($B304,Prioritization!$A:$A,0))</f>
        <v>1 - Scale-up: Saturation</v>
      </c>
      <c r="B304" t="s">
        <v>213</v>
      </c>
      <c r="C304" t="s">
        <v>365</v>
      </c>
      <c r="D304" t="s">
        <v>47</v>
      </c>
      <c r="E304" t="str">
        <f t="shared" si="101"/>
        <v>Machinga District [TYnMSwzko3z]|25-34|Male</v>
      </c>
      <c r="F304" s="14"/>
      <c r="G304" s="14"/>
      <c r="H304" s="14"/>
      <c r="I304" s="14"/>
      <c r="J304" s="14"/>
      <c r="K304" s="14"/>
      <c r="L304" s="14"/>
      <c r="M304" s="14"/>
      <c r="N304" s="14"/>
      <c r="O304" s="14" t="str">
        <f t="shared" si="102"/>
        <v/>
      </c>
      <c r="P304" s="14"/>
      <c r="Q304" s="14"/>
      <c r="R304" s="14" t="str">
        <f t="shared" si="103"/>
        <v/>
      </c>
      <c r="S304" s="14">
        <f>IF(LEFT($B304,4)="_Mil","",_xlfn.IFNA(ROUND(INDEX(Spectrum!$N:$N,MATCH(RIGHT($B304,13)&amp;"|"&amp;$C304&amp;"|"&amp;$D304&amp;"|"&amp;S$14&amp;"|"&amp;"CY2022Q4",Spectrum!$R:$R,0)),0),""))</f>
        <v>1653</v>
      </c>
      <c r="T304" s="42">
        <f>IF(LEFT($B304,4)="_Mil","",_xlfn.IFNA(ROUND(INDEX(Spectrum!$N:$N,MATCH(RIGHT($B304,13)&amp;"|"&amp;$C304&amp;"|"&amp;$D304&amp;"|"&amp;T$14&amp;"|"&amp;"CY2023Q3",Spectrum!$R:$R,0)),0),""))</f>
        <v>1565</v>
      </c>
      <c r="U304" s="42" t="str">
        <f>IF(LEFT($B304,4)="_Mil","",_xlfn.IFNA(ROUND(INDEX(Spectrum!$N:$N,MATCH(RIGHT($B304,13)&amp;"|"&amp;$C304&amp;"|"&amp;$D304&amp;"|"&amp;U$14&amp;"|"&amp;"CY2023Q3",Spectrum!$R:$R,0)),0),""))</f>
        <v/>
      </c>
      <c r="V304" s="14">
        <f>IF(LEFT($B304,4)="_Mil","",_xlfn.IFNA(ROUND(INDEX(Spectrum!$N:$N,MATCH(RIGHT($B304,13)&amp;"|"&amp;$C304&amp;"|"&amp;$D304&amp;"|"&amp;V$14&amp;"|"&amp;"CY2023Q3",Spectrum!$R:$R,0)),0),""))</f>
        <v>1766</v>
      </c>
      <c r="W304" s="115">
        <f>IF(LEFT($B304,4)="_Mil","",_xlfn.IFNA(INDEX(Spectrum!$N:$N,MATCH(RIGHT($B304,13)&amp;"|"&amp;$C304&amp;"|"&amp;$D304&amp;"|"&amp;W$14&amp;"|"&amp;"CY2023Q3",Spectrum!$R:$R,0)),""))</f>
        <v>1382</v>
      </c>
      <c r="X304" s="42">
        <f>IF(LEFT($B304,4)="_Mil","",_xlfn.IFNA(ROUND(INDEX(Spectrum!$N:$N,MATCH(RIGHT($B304,13)&amp;"|"&amp;$C304&amp;"|"&amp;$D304&amp;"|"&amp;X$14&amp;"|"&amp;"CY2023Q3",Spectrum!$R:$R,0)),0),""))</f>
        <v>1047</v>
      </c>
      <c r="Y304" s="90" t="str">
        <f t="shared" si="104"/>
        <v/>
      </c>
      <c r="Z304" s="42">
        <f>IF(LEFT($B304,4)="_Mil","",_xlfn.IFNA(ROUND(INDEX(Spectrum!$N:$N,MATCH(RIGHT($B304,13)&amp;"|"&amp;$C304&amp;"|"&amp;$D304&amp;"|"&amp;Z$14&amp;"|"&amp;"CY2023Q3",Spectrum!$R:$R,0)),0),""))</f>
        <v>575</v>
      </c>
      <c r="AA304" s="90">
        <f>IF(LEFT($B304,4)="_Mil","",IFERROR(1/(1/INDEX(Spectrum!$N:$N,MATCH(RIGHT($B304,13)&amp;"|"&amp;$C304&amp;"|"&amp;$D304&amp;"|"&amp;AA$14&amp;"|"&amp;"CY2023Q3",Spectrum!$R:$R,0))),IF(SUM($U304)=0,"",SUM($Z304)/$U304)))</f>
        <v>1897</v>
      </c>
      <c r="AB304" s="90">
        <f t="shared" si="105"/>
        <v>0.54918815663801335</v>
      </c>
      <c r="AC304" s="14">
        <f>IF(LEFT($B304,4)="_Mil","",_xlfn.IFNA(ROUND(INDEX(Spectrum!$N:$N,MATCH(RIGHT($B304,13)&amp;"|"&amp;$C304&amp;"|"&amp;$D304&amp;"|"&amp;AC$14&amp;"|"&amp;"CY2023Q3",Spectrum!$R:$R,0)),0),""))</f>
        <v>519</v>
      </c>
      <c r="AD304" s="14" t="str">
        <f>IF(LEFT($B304,4)="_Mil","",_xlfn.IFNA(ROUND(INDEX(Spectrum!$N:$N,MATCH(RIGHT($B304,13)&amp;"|"&amp;$C304&amp;"|"&amp;$D304&amp;"|"&amp;AD$14&amp;"|"&amp;"CY2023Q3",Spectrum!$R:$R,0)),0),""))</f>
        <v/>
      </c>
      <c r="AE304" s="90">
        <f t="shared" si="106"/>
        <v>0</v>
      </c>
      <c r="AF304" s="42" t="str">
        <f>IF(LEFT($B304,4)="_Mil","",_xlfn.IFNA(ROUND(INDEX(Spectrum!$N:$N,MATCH(RIGHT($B304,13)&amp;"|"&amp;$C304&amp;"|"&amp;$D304&amp;"|"&amp;AF$14&amp;"|"&amp;"CY2023Q3",Spectrum!$R:$R,0)),0),""))</f>
        <v/>
      </c>
      <c r="AG304" s="90" t="str">
        <f t="shared" si="107"/>
        <v/>
      </c>
      <c r="AH304" s="88" t="str">
        <f>IF(LEFT($B304,4)="_Mil","",_xlfn.IFNA(INDEX(Spectrum!$N:$N,MATCH(RIGHT($B304,13)&amp;"|"&amp;$C304&amp;"|"&amp;$D304&amp;"|"&amp;AH$14&amp;"|"&amp;"CY2023Q3",Spectrum!$R:$R,0)),""))</f>
        <v/>
      </c>
      <c r="AI304" s="14" t="str">
        <f>IF(LEFT($B304,4)="_Mil","",_xlfn.IFNA(ROUND(INDEX(Spectrum!$N:$N,MATCH(RIGHT($B304,13)&amp;"|"&amp;$C304&amp;"|"&amp;$D304&amp;"|"&amp;AI$14&amp;"|"&amp;"CY2023Q3",Spectrum!$R:$R,0)),0),""))</f>
        <v/>
      </c>
      <c r="AJ304" s="42">
        <f>IF(LEFT($B304,4)="_Mil","",_xlfn.IFNA(ROUND(INDEX(Spectrum!$N:$N,MATCH(RIGHT($B304,13)&amp;"|"&amp;$C304&amp;"|"&amp;$D304&amp;"|"&amp;AI$14&amp;"|"&amp;"CY2023Q3",Spectrum!$R:$R,0)),0),SUM($U304)+SUM($AI304)))</f>
        <v>0</v>
      </c>
      <c r="AK304" s="14" t="str">
        <f>IF(LEFT($B304,4)="_Mil","",_xlfn.IFNA(ROUND(INDEX(Spectrum!$N:$N,MATCH(RIGHT($B304,13)&amp;"|"&amp;$C304&amp;"|"&amp;$D304&amp;"|"&amp;AK$14&amp;"|"&amp;"CY2023Q3",Spectrum!$R:$R,0)),0),""))</f>
        <v/>
      </c>
      <c r="AL304" s="90">
        <f t="shared" si="108"/>
        <v>1897</v>
      </c>
      <c r="AM304" s="14">
        <f t="shared" si="109"/>
        <v>0</v>
      </c>
      <c r="AN304" s="14" t="str">
        <f>IF($C304="&lt;01",ROUND(INDEX(EID!$P:$P,MATCH($B304,EID!$B:$B,0))/2,0),"")</f>
        <v/>
      </c>
      <c r="AO304" s="14">
        <f t="shared" si="110"/>
        <v>0</v>
      </c>
      <c r="AP304" s="42">
        <f t="shared" si="111"/>
        <v>0</v>
      </c>
      <c r="AQ304" s="42">
        <f t="shared" si="112"/>
        <v>575</v>
      </c>
      <c r="AR304" s="90" t="str">
        <f t="shared" si="113"/>
        <v/>
      </c>
      <c r="AS304" s="90">
        <f t="shared" si="124"/>
        <v>0.98</v>
      </c>
      <c r="AT304" s="90">
        <f t="shared" si="124"/>
        <v>0.98</v>
      </c>
      <c r="AU304" s="14">
        <f t="shared" si="114"/>
        <v>0</v>
      </c>
      <c r="AV304" s="14">
        <f>IF($C304="&lt;01",ROUND(INDEX(EID!$N:$N,MATCH($B304,EID!$B:$B,0))/2,0),IF(SUM($AT304)=0,"",ROUND((SUM($AP304)-(SUM($O304)*SUM($AS304)))/$AT304,0)))</f>
        <v>0</v>
      </c>
      <c r="AW304" s="90">
        <f t="shared" si="115"/>
        <v>1</v>
      </c>
      <c r="AX304" s="42">
        <f t="shared" si="116"/>
        <v>0</v>
      </c>
      <c r="AY304" s="116">
        <f t="shared" si="117"/>
        <v>0.7</v>
      </c>
      <c r="AZ304" s="93">
        <f>IF($C304="&lt;01",ROUND(INDEX(EID!$R:$R,MATCH($B304,EID!$B:$B,0))/2,0),ROUND(SUM($O304)+(SUM($AV304)*$AY304),0))</f>
        <v>0</v>
      </c>
      <c r="BA304" s="89">
        <f t="shared" si="118"/>
        <v>0.95</v>
      </c>
      <c r="BB304" s="9">
        <f>IF($C304="&lt;01",ROUND(INDEX(EID!$T:$T,MATCH($B304,EID!$B:$B,0))/2,0),ROUND($AZ304*$BA304,0))</f>
        <v>0</v>
      </c>
      <c r="BC304" s="93">
        <f t="shared" si="119"/>
        <v>0</v>
      </c>
      <c r="BD304" s="90">
        <f t="shared" si="120"/>
        <v>0.95</v>
      </c>
      <c r="BE304" s="42">
        <f>IF($C304="&lt;01",ROUND(INDEX(EID!$V:$V,MATCH($B304,EID!$B:$B,0))/2,0),ROUND($BD304*$BB304,0))</f>
        <v>0</v>
      </c>
      <c r="BF304" s="42">
        <f t="shared" si="121"/>
        <v>0</v>
      </c>
      <c r="BG304" s="116">
        <f t="shared" si="122"/>
        <v>0.95</v>
      </c>
      <c r="BH304" s="9">
        <f>IF($C304="&lt;01",ROUND(INDEX(EID!$L:$L,MATCH($B304,EID!$B:$B,0)),0)/2,IF(SUM($BG304)=0,"",ROUND($AX304/$BG304,0)))</f>
        <v>0</v>
      </c>
    </row>
    <row r="305" spans="1:60" x14ac:dyDescent="0.2">
      <c r="A305" t="str">
        <f>INDEX(Prioritization!$D:$D,MATCH($B305,Prioritization!$A:$A,0))</f>
        <v>1 - Scale-up: Saturation</v>
      </c>
      <c r="B305" t="s">
        <v>213</v>
      </c>
      <c r="C305" t="s">
        <v>366</v>
      </c>
      <c r="D305" t="s">
        <v>29</v>
      </c>
      <c r="E305" t="str">
        <f t="shared" si="101"/>
        <v>Machinga District [TYnMSwzko3z]|35-49|Female</v>
      </c>
      <c r="F305" s="14"/>
      <c r="G305" s="14"/>
      <c r="H305" s="14"/>
      <c r="I305" s="14"/>
      <c r="J305" s="14"/>
      <c r="K305" s="14"/>
      <c r="L305" s="14"/>
      <c r="M305" s="14"/>
      <c r="N305" s="14"/>
      <c r="O305" s="14" t="str">
        <f t="shared" si="102"/>
        <v/>
      </c>
      <c r="P305" s="14"/>
      <c r="Q305" s="14"/>
      <c r="R305" s="14" t="str">
        <f t="shared" si="103"/>
        <v/>
      </c>
      <c r="S305" s="14">
        <f>IF(LEFT($B305,4)="_Mil","",_xlfn.IFNA(ROUND(INDEX(Spectrum!$N:$N,MATCH(RIGHT($B305,13)&amp;"|"&amp;$C305&amp;"|"&amp;$D305&amp;"|"&amp;S$14&amp;"|"&amp;"CY2022Q4",Spectrum!$R:$R,0)),0),""))</f>
        <v>1751</v>
      </c>
      <c r="T305" s="42">
        <f>IF(LEFT($B305,4)="_Mil","",_xlfn.IFNA(ROUND(INDEX(Spectrum!$N:$N,MATCH(RIGHT($B305,13)&amp;"|"&amp;$C305&amp;"|"&amp;$D305&amp;"|"&amp;T$14&amp;"|"&amp;"CY2023Q3",Spectrum!$R:$R,0)),0),""))</f>
        <v>1015</v>
      </c>
      <c r="U305" s="42" t="str">
        <f>IF(LEFT($B305,4)="_Mil","",_xlfn.IFNA(ROUND(INDEX(Spectrum!$N:$N,MATCH(RIGHT($B305,13)&amp;"|"&amp;$C305&amp;"|"&amp;$D305&amp;"|"&amp;U$14&amp;"|"&amp;"CY2023Q3",Spectrum!$R:$R,0)),0),""))</f>
        <v/>
      </c>
      <c r="V305" s="14">
        <f>IF(LEFT($B305,4)="_Mil","",_xlfn.IFNA(ROUND(INDEX(Spectrum!$N:$N,MATCH(RIGHT($B305,13)&amp;"|"&amp;$C305&amp;"|"&amp;$D305&amp;"|"&amp;V$14&amp;"|"&amp;"CY2023Q3",Spectrum!$R:$R,0)),0),""))</f>
        <v>1536</v>
      </c>
      <c r="W305" s="115">
        <f>IF(LEFT($B305,4)="_Mil","",_xlfn.IFNA(INDEX(Spectrum!$N:$N,MATCH(RIGHT($B305,13)&amp;"|"&amp;$C305&amp;"|"&amp;$D305&amp;"|"&amp;W$14&amp;"|"&amp;"CY2023Q3",Spectrum!$R:$R,0)),""))</f>
        <v>1940</v>
      </c>
      <c r="X305" s="42">
        <f>IF(LEFT($B305,4)="_Mil","",_xlfn.IFNA(ROUND(INDEX(Spectrum!$N:$N,MATCH(RIGHT($B305,13)&amp;"|"&amp;$C305&amp;"|"&amp;$D305&amp;"|"&amp;X$14&amp;"|"&amp;"CY2023Q3",Spectrum!$R:$R,0)),0),""))</f>
        <v>1208</v>
      </c>
      <c r="Y305" s="90" t="str">
        <f t="shared" si="104"/>
        <v/>
      </c>
      <c r="Z305" s="42">
        <f>IF(LEFT($B305,4)="_Mil","",_xlfn.IFNA(ROUND(INDEX(Spectrum!$N:$N,MATCH(RIGHT($B305,13)&amp;"|"&amp;$C305&amp;"|"&amp;$D305&amp;"|"&amp;Z$14&amp;"|"&amp;"CY2023Q3",Spectrum!$R:$R,0)),0),""))</f>
        <v>1271</v>
      </c>
      <c r="AA305" s="90">
        <f>IF(LEFT($B305,4)="_Mil","",IFERROR(1/(1/INDEX(Spectrum!$N:$N,MATCH(RIGHT($B305,13)&amp;"|"&amp;$C305&amp;"|"&amp;$D305&amp;"|"&amp;AA$14&amp;"|"&amp;"CY2023Q3",Spectrum!$R:$R,0))),IF(SUM($U305)=0,"",SUM($Z305)/$U305)))</f>
        <v>1197</v>
      </c>
      <c r="AB305" s="90">
        <f t="shared" si="105"/>
        <v>1.0521523178807948</v>
      </c>
      <c r="AC305" s="14">
        <f>IF(LEFT($B305,4)="_Mil","",_xlfn.IFNA(ROUND(INDEX(Spectrum!$N:$N,MATCH(RIGHT($B305,13)&amp;"|"&amp;$C305&amp;"|"&amp;$D305&amp;"|"&amp;AC$14&amp;"|"&amp;"CY2023Q3",Spectrum!$R:$R,0)),0),""))</f>
        <v>784</v>
      </c>
      <c r="AD305" s="14" t="str">
        <f>IF(LEFT($B305,4)="_Mil","",_xlfn.IFNA(ROUND(INDEX(Spectrum!$N:$N,MATCH(RIGHT($B305,13)&amp;"|"&amp;$C305&amp;"|"&amp;$D305&amp;"|"&amp;AD$14&amp;"|"&amp;"CY2023Q3",Spectrum!$R:$R,0)),0),""))</f>
        <v/>
      </c>
      <c r="AE305" s="90">
        <f t="shared" si="106"/>
        <v>0</v>
      </c>
      <c r="AF305" s="42" t="str">
        <f>IF(LEFT($B305,4)="_Mil","",_xlfn.IFNA(ROUND(INDEX(Spectrum!$N:$N,MATCH(RIGHT($B305,13)&amp;"|"&amp;$C305&amp;"|"&amp;$D305&amp;"|"&amp;AF$14&amp;"|"&amp;"CY2023Q3",Spectrum!$R:$R,0)),0),""))</f>
        <v/>
      </c>
      <c r="AG305" s="90" t="str">
        <f t="shared" si="107"/>
        <v/>
      </c>
      <c r="AH305" s="88" t="str">
        <f>IF(LEFT($B305,4)="_Mil","",_xlfn.IFNA(INDEX(Spectrum!$N:$N,MATCH(RIGHT($B305,13)&amp;"|"&amp;$C305&amp;"|"&amp;$D305&amp;"|"&amp;AH$14&amp;"|"&amp;"CY2023Q3",Spectrum!$R:$R,0)),""))</f>
        <v/>
      </c>
      <c r="AI305" s="14" t="str">
        <f>IF(LEFT($B305,4)="_Mil","",_xlfn.IFNA(ROUND(INDEX(Spectrum!$N:$N,MATCH(RIGHT($B305,13)&amp;"|"&amp;$C305&amp;"|"&amp;$D305&amp;"|"&amp;AI$14&amp;"|"&amp;"CY2023Q3",Spectrum!$R:$R,0)),0),""))</f>
        <v/>
      </c>
      <c r="AJ305" s="42">
        <f>IF(LEFT($B305,4)="_Mil","",_xlfn.IFNA(ROUND(INDEX(Spectrum!$N:$N,MATCH(RIGHT($B305,13)&amp;"|"&amp;$C305&amp;"|"&amp;$D305&amp;"|"&amp;AI$14&amp;"|"&amp;"CY2023Q3",Spectrum!$R:$R,0)),0),SUM($U305)+SUM($AI305)))</f>
        <v>0</v>
      </c>
      <c r="AK305" s="14" t="str">
        <f>IF(LEFT($B305,4)="_Mil","",_xlfn.IFNA(ROUND(INDEX(Spectrum!$N:$N,MATCH(RIGHT($B305,13)&amp;"|"&amp;$C305&amp;"|"&amp;$D305&amp;"|"&amp;AK$14&amp;"|"&amp;"CY2023Q3",Spectrum!$R:$R,0)),0),""))</f>
        <v/>
      </c>
      <c r="AL305" s="90">
        <f t="shared" si="108"/>
        <v>1197</v>
      </c>
      <c r="AM305" s="14">
        <f t="shared" si="109"/>
        <v>0</v>
      </c>
      <c r="AN305" s="14" t="str">
        <f>IF($C305="&lt;01",ROUND(INDEX(EID!$P:$P,MATCH($B305,EID!$B:$B,0))/2,0),"")</f>
        <v/>
      </c>
      <c r="AO305" s="14">
        <f t="shared" si="110"/>
        <v>0</v>
      </c>
      <c r="AP305" s="42">
        <f t="shared" si="111"/>
        <v>0</v>
      </c>
      <c r="AQ305" s="42">
        <f t="shared" si="112"/>
        <v>1271</v>
      </c>
      <c r="AR305" s="90" t="str">
        <f t="shared" si="113"/>
        <v/>
      </c>
      <c r="AS305" s="90">
        <f t="shared" si="124"/>
        <v>0.98</v>
      </c>
      <c r="AT305" s="90">
        <f t="shared" si="124"/>
        <v>0.98</v>
      </c>
      <c r="AU305" s="14">
        <f t="shared" si="114"/>
        <v>0</v>
      </c>
      <c r="AV305" s="14">
        <f>IF($C305="&lt;01",ROUND(INDEX(EID!$N:$N,MATCH($B305,EID!$B:$B,0))/2,0),IF(SUM($AT305)=0,"",ROUND((SUM($AP305)-(SUM($O305)*SUM($AS305)))/$AT305,0)))</f>
        <v>0</v>
      </c>
      <c r="AW305" s="90">
        <f t="shared" si="115"/>
        <v>1</v>
      </c>
      <c r="AX305" s="42">
        <f t="shared" si="116"/>
        <v>0</v>
      </c>
      <c r="AY305" s="116">
        <f t="shared" si="117"/>
        <v>0.7</v>
      </c>
      <c r="AZ305" s="93">
        <f>IF($C305="&lt;01",ROUND(INDEX(EID!$R:$R,MATCH($B305,EID!$B:$B,0))/2,0),ROUND(SUM($O305)+(SUM($AV305)*$AY305),0))</f>
        <v>0</v>
      </c>
      <c r="BA305" s="89">
        <f t="shared" si="118"/>
        <v>0.95</v>
      </c>
      <c r="BB305" s="9">
        <f>IF($C305="&lt;01",ROUND(INDEX(EID!$T:$T,MATCH($B305,EID!$B:$B,0))/2,0),ROUND($AZ305*$BA305,0))</f>
        <v>0</v>
      </c>
      <c r="BC305" s="93">
        <f t="shared" si="119"/>
        <v>0</v>
      </c>
      <c r="BD305" s="90">
        <f t="shared" si="120"/>
        <v>0.95</v>
      </c>
      <c r="BE305" s="42">
        <f>IF($C305="&lt;01",ROUND(INDEX(EID!$V:$V,MATCH($B305,EID!$B:$B,0))/2,0),ROUND($BD305*$BB305,0))</f>
        <v>0</v>
      </c>
      <c r="BF305" s="42">
        <f t="shared" si="121"/>
        <v>0</v>
      </c>
      <c r="BG305" s="116">
        <f t="shared" si="122"/>
        <v>0.95</v>
      </c>
      <c r="BH305" s="9">
        <f>IF($C305="&lt;01",ROUND(INDEX(EID!$L:$L,MATCH($B305,EID!$B:$B,0)),0)/2,IF(SUM($BG305)=0,"",ROUND($AX305/$BG305,0)))</f>
        <v>0</v>
      </c>
    </row>
    <row r="306" spans="1:60" x14ac:dyDescent="0.2">
      <c r="A306" t="str">
        <f>INDEX(Prioritization!$D:$D,MATCH($B306,Prioritization!$A:$A,0))</f>
        <v>1 - Scale-up: Saturation</v>
      </c>
      <c r="B306" t="s">
        <v>213</v>
      </c>
      <c r="C306" t="s">
        <v>366</v>
      </c>
      <c r="D306" t="s">
        <v>47</v>
      </c>
      <c r="E306" t="str">
        <f t="shared" si="101"/>
        <v>Machinga District [TYnMSwzko3z]|35-49|Male</v>
      </c>
      <c r="F306" s="14"/>
      <c r="G306" s="14"/>
      <c r="H306" s="14"/>
      <c r="I306" s="14"/>
      <c r="J306" s="14"/>
      <c r="K306" s="14"/>
      <c r="L306" s="14"/>
      <c r="M306" s="14"/>
      <c r="N306" s="14"/>
      <c r="O306" s="14" t="str">
        <f t="shared" si="102"/>
        <v/>
      </c>
      <c r="P306" s="14"/>
      <c r="Q306" s="14"/>
      <c r="R306" s="14" t="str">
        <f t="shared" si="103"/>
        <v/>
      </c>
      <c r="S306" s="14">
        <f>IF(LEFT($B306,4)="_Mil","",_xlfn.IFNA(ROUND(INDEX(Spectrum!$N:$N,MATCH(RIGHT($B306,13)&amp;"|"&amp;$C306&amp;"|"&amp;$D306&amp;"|"&amp;S$14&amp;"|"&amp;"CY2022Q4",Spectrum!$R:$R,0)),0),""))</f>
        <v>1530</v>
      </c>
      <c r="T306" s="42">
        <f>IF(LEFT($B306,4)="_Mil","",_xlfn.IFNA(ROUND(INDEX(Spectrum!$N:$N,MATCH(RIGHT($B306,13)&amp;"|"&amp;$C306&amp;"|"&amp;$D306&amp;"|"&amp;T$14&amp;"|"&amp;"CY2023Q3",Spectrum!$R:$R,0)),0),""))</f>
        <v>958</v>
      </c>
      <c r="U306" s="42" t="str">
        <f>IF(LEFT($B306,4)="_Mil","",_xlfn.IFNA(ROUND(INDEX(Spectrum!$N:$N,MATCH(RIGHT($B306,13)&amp;"|"&amp;$C306&amp;"|"&amp;$D306&amp;"|"&amp;U$14&amp;"|"&amp;"CY2023Q3",Spectrum!$R:$R,0)),0),""))</f>
        <v/>
      </c>
      <c r="V306" s="14">
        <f>IF(LEFT($B306,4)="_Mil","",_xlfn.IFNA(ROUND(INDEX(Spectrum!$N:$N,MATCH(RIGHT($B306,13)&amp;"|"&amp;$C306&amp;"|"&amp;$D306&amp;"|"&amp;V$14&amp;"|"&amp;"CY2023Q3",Spectrum!$R:$R,0)),0),""))</f>
        <v>1829</v>
      </c>
      <c r="W306" s="115">
        <f>IF(LEFT($B306,4)="_Mil","",_xlfn.IFNA(INDEX(Spectrum!$N:$N,MATCH(RIGHT($B306,13)&amp;"|"&amp;$C306&amp;"|"&amp;$D306&amp;"|"&amp;W$14&amp;"|"&amp;"CY2023Q3",Spectrum!$R:$R,0)),""))</f>
        <v>1547</v>
      </c>
      <c r="X306" s="42">
        <f>IF(LEFT($B306,4)="_Mil","",_xlfn.IFNA(ROUND(INDEX(Spectrum!$N:$N,MATCH(RIGHT($B306,13)&amp;"|"&amp;$C306&amp;"|"&amp;$D306&amp;"|"&amp;X$14&amp;"|"&amp;"CY2023Q3",Spectrum!$R:$R,0)),0),""))</f>
        <v>608</v>
      </c>
      <c r="Y306" s="90" t="str">
        <f t="shared" si="104"/>
        <v/>
      </c>
      <c r="Z306" s="42">
        <f>IF(LEFT($B306,4)="_Mil","",_xlfn.IFNA(ROUND(INDEX(Spectrum!$N:$N,MATCH(RIGHT($B306,13)&amp;"|"&amp;$C306&amp;"|"&amp;$D306&amp;"|"&amp;Z$14&amp;"|"&amp;"CY2023Q3",Spectrum!$R:$R,0)),0),""))</f>
        <v>1762</v>
      </c>
      <c r="AA306" s="90">
        <f>IF(LEFT($B306,4)="_Mil","",IFERROR(1/(1/INDEX(Spectrum!$N:$N,MATCH(RIGHT($B306,13)&amp;"|"&amp;$C306&amp;"|"&amp;$D306&amp;"|"&amp;AA$14&amp;"|"&amp;"CY2023Q3",Spectrum!$R:$R,0))),IF(SUM($U306)=0,"",SUM($Z306)/$U306)))</f>
        <v>1776</v>
      </c>
      <c r="AB306" s="90">
        <f t="shared" si="105"/>
        <v>2.8980263157894739</v>
      </c>
      <c r="AC306" s="14">
        <f>IF(LEFT($B306,4)="_Mil","",_xlfn.IFNA(ROUND(INDEX(Spectrum!$N:$N,MATCH(RIGHT($B306,13)&amp;"|"&amp;$C306&amp;"|"&amp;$D306&amp;"|"&amp;AC$14&amp;"|"&amp;"CY2023Q3",Spectrum!$R:$R,0)),0),""))</f>
        <v>1384</v>
      </c>
      <c r="AD306" s="14" t="str">
        <f>IF(LEFT($B306,4)="_Mil","",_xlfn.IFNA(ROUND(INDEX(Spectrum!$N:$N,MATCH(RIGHT($B306,13)&amp;"|"&amp;$C306&amp;"|"&amp;$D306&amp;"|"&amp;AD$14&amp;"|"&amp;"CY2023Q3",Spectrum!$R:$R,0)),0),""))</f>
        <v/>
      </c>
      <c r="AE306" s="90">
        <f t="shared" si="106"/>
        <v>0</v>
      </c>
      <c r="AF306" s="42" t="str">
        <f>IF(LEFT($B306,4)="_Mil","",_xlfn.IFNA(ROUND(INDEX(Spectrum!$N:$N,MATCH(RIGHT($B306,13)&amp;"|"&amp;$C306&amp;"|"&amp;$D306&amp;"|"&amp;AF$14&amp;"|"&amp;"CY2023Q3",Spectrum!$R:$R,0)),0),""))</f>
        <v/>
      </c>
      <c r="AG306" s="90" t="str">
        <f t="shared" si="107"/>
        <v/>
      </c>
      <c r="AH306" s="88" t="str">
        <f>IF(LEFT($B306,4)="_Mil","",_xlfn.IFNA(INDEX(Spectrum!$N:$N,MATCH(RIGHT($B306,13)&amp;"|"&amp;$C306&amp;"|"&amp;$D306&amp;"|"&amp;AH$14&amp;"|"&amp;"CY2023Q3",Spectrum!$R:$R,0)),""))</f>
        <v/>
      </c>
      <c r="AI306" s="14" t="str">
        <f>IF(LEFT($B306,4)="_Mil","",_xlfn.IFNA(ROUND(INDEX(Spectrum!$N:$N,MATCH(RIGHT($B306,13)&amp;"|"&amp;$C306&amp;"|"&amp;$D306&amp;"|"&amp;AI$14&amp;"|"&amp;"CY2023Q3",Spectrum!$R:$R,0)),0),""))</f>
        <v/>
      </c>
      <c r="AJ306" s="42">
        <f>IF(LEFT($B306,4)="_Mil","",_xlfn.IFNA(ROUND(INDEX(Spectrum!$N:$N,MATCH(RIGHT($B306,13)&amp;"|"&amp;$C306&amp;"|"&amp;$D306&amp;"|"&amp;AI$14&amp;"|"&amp;"CY2023Q3",Spectrum!$R:$R,0)),0),SUM($U306)+SUM($AI306)))</f>
        <v>0</v>
      </c>
      <c r="AK306" s="14" t="str">
        <f>IF(LEFT($B306,4)="_Mil","",_xlfn.IFNA(ROUND(INDEX(Spectrum!$N:$N,MATCH(RIGHT($B306,13)&amp;"|"&amp;$C306&amp;"|"&amp;$D306&amp;"|"&amp;AK$14&amp;"|"&amp;"CY2023Q3",Spectrum!$R:$R,0)),0),""))</f>
        <v/>
      </c>
      <c r="AL306" s="90">
        <f t="shared" si="108"/>
        <v>1776</v>
      </c>
      <c r="AM306" s="14">
        <f t="shared" si="109"/>
        <v>0</v>
      </c>
      <c r="AN306" s="14" t="str">
        <f>IF($C306="&lt;01",ROUND(INDEX(EID!$P:$P,MATCH($B306,EID!$B:$B,0))/2,0),"")</f>
        <v/>
      </c>
      <c r="AO306" s="14">
        <f t="shared" si="110"/>
        <v>0</v>
      </c>
      <c r="AP306" s="42">
        <f t="shared" si="111"/>
        <v>0</v>
      </c>
      <c r="AQ306" s="42">
        <f t="shared" si="112"/>
        <v>1762</v>
      </c>
      <c r="AR306" s="90" t="str">
        <f t="shared" si="113"/>
        <v/>
      </c>
      <c r="AS306" s="90">
        <f t="shared" si="124"/>
        <v>0.98</v>
      </c>
      <c r="AT306" s="90">
        <f t="shared" si="124"/>
        <v>0.98</v>
      </c>
      <c r="AU306" s="14">
        <f t="shared" si="114"/>
        <v>0</v>
      </c>
      <c r="AV306" s="14">
        <f>IF($C306="&lt;01",ROUND(INDEX(EID!$N:$N,MATCH($B306,EID!$B:$B,0))/2,0),IF(SUM($AT306)=0,"",ROUND((SUM($AP306)-(SUM($O306)*SUM($AS306)))/$AT306,0)))</f>
        <v>0</v>
      </c>
      <c r="AW306" s="90">
        <f t="shared" si="115"/>
        <v>1</v>
      </c>
      <c r="AX306" s="42">
        <f t="shared" si="116"/>
        <v>0</v>
      </c>
      <c r="AY306" s="116">
        <f t="shared" si="117"/>
        <v>0.7</v>
      </c>
      <c r="AZ306" s="93">
        <f>IF($C306="&lt;01",ROUND(INDEX(EID!$R:$R,MATCH($B306,EID!$B:$B,0))/2,0),ROUND(SUM($O306)+(SUM($AV306)*$AY306),0))</f>
        <v>0</v>
      </c>
      <c r="BA306" s="89">
        <f t="shared" si="118"/>
        <v>0.95</v>
      </c>
      <c r="BB306" s="9">
        <f>IF($C306="&lt;01",ROUND(INDEX(EID!$T:$T,MATCH($B306,EID!$B:$B,0))/2,0),ROUND($AZ306*$BA306,0))</f>
        <v>0</v>
      </c>
      <c r="BC306" s="93">
        <f t="shared" si="119"/>
        <v>0</v>
      </c>
      <c r="BD306" s="90">
        <f t="shared" si="120"/>
        <v>0.95</v>
      </c>
      <c r="BE306" s="42">
        <f>IF($C306="&lt;01",ROUND(INDEX(EID!$V:$V,MATCH($B306,EID!$B:$B,0))/2,0),ROUND($BD306*$BB306,0))</f>
        <v>0</v>
      </c>
      <c r="BF306" s="42">
        <f t="shared" si="121"/>
        <v>0</v>
      </c>
      <c r="BG306" s="116">
        <f t="shared" si="122"/>
        <v>0.95</v>
      </c>
      <c r="BH306" s="9">
        <f>IF($C306="&lt;01",ROUND(INDEX(EID!$L:$L,MATCH($B306,EID!$B:$B,0)),0)/2,IF(SUM($BG306)=0,"",ROUND($AX306/$BG306,0)))</f>
        <v>0</v>
      </c>
    </row>
    <row r="307" spans="1:60" x14ac:dyDescent="0.2">
      <c r="A307" t="str">
        <f>INDEX(Prioritization!$D:$D,MATCH($B307,Prioritization!$A:$A,0))</f>
        <v>1 - Scale-up: Saturation</v>
      </c>
      <c r="B307" t="s">
        <v>213</v>
      </c>
      <c r="C307" t="s">
        <v>367</v>
      </c>
      <c r="D307" t="s">
        <v>29</v>
      </c>
      <c r="E307" t="str">
        <f t="shared" si="101"/>
        <v>Machinga District [TYnMSwzko3z]|50+|Female</v>
      </c>
      <c r="F307" s="14"/>
      <c r="G307" s="14"/>
      <c r="H307" s="14"/>
      <c r="I307" s="14"/>
      <c r="J307" s="14"/>
      <c r="K307" s="14"/>
      <c r="L307" s="14"/>
      <c r="M307" s="14"/>
      <c r="N307" s="14"/>
      <c r="O307" s="14" t="str">
        <f t="shared" si="102"/>
        <v/>
      </c>
      <c r="P307" s="14"/>
      <c r="Q307" s="14"/>
      <c r="R307" s="14" t="str">
        <f t="shared" si="103"/>
        <v/>
      </c>
      <c r="S307" s="14">
        <f>IF(LEFT($B307,4)="_Mil","",_xlfn.IFNA(ROUND(INDEX(Spectrum!$N:$N,MATCH(RIGHT($B307,13)&amp;"|"&amp;$C307&amp;"|"&amp;$D307&amp;"|"&amp;S$14&amp;"|"&amp;"CY2022Q4",Spectrum!$R:$R,0)),0),""))</f>
        <v>801</v>
      </c>
      <c r="T307" s="42">
        <f>IF(LEFT($B307,4)="_Mil","",_xlfn.IFNA(ROUND(INDEX(Spectrum!$N:$N,MATCH(RIGHT($B307,13)&amp;"|"&amp;$C307&amp;"|"&amp;$D307&amp;"|"&amp;T$14&amp;"|"&amp;"CY2023Q3",Spectrum!$R:$R,0)),0),""))</f>
        <v>1173</v>
      </c>
      <c r="U307" s="42" t="str">
        <f>IF(LEFT($B307,4)="_Mil","",_xlfn.IFNA(ROUND(INDEX(Spectrum!$N:$N,MATCH(RIGHT($B307,13)&amp;"|"&amp;$C307&amp;"|"&amp;$D307&amp;"|"&amp;U$14&amp;"|"&amp;"CY2023Q3",Spectrum!$R:$R,0)),0),""))</f>
        <v/>
      </c>
      <c r="V307" s="14">
        <f>IF(LEFT($B307,4)="_Mil","",_xlfn.IFNA(ROUND(INDEX(Spectrum!$N:$N,MATCH(RIGHT($B307,13)&amp;"|"&amp;$C307&amp;"|"&amp;$D307&amp;"|"&amp;V$14&amp;"|"&amp;"CY2023Q3",Spectrum!$R:$R,0)),0),""))</f>
        <v>1265</v>
      </c>
      <c r="W307" s="115">
        <f>IF(LEFT($B307,4)="_Mil","",_xlfn.IFNA(INDEX(Spectrum!$N:$N,MATCH(RIGHT($B307,13)&amp;"|"&amp;$C307&amp;"|"&amp;$D307&amp;"|"&amp;W$14&amp;"|"&amp;"CY2023Q3",Spectrum!$R:$R,0)),""))</f>
        <v>789</v>
      </c>
      <c r="X307" s="42">
        <f>IF(LEFT($B307,4)="_Mil","",_xlfn.IFNA(ROUND(INDEX(Spectrum!$N:$N,MATCH(RIGHT($B307,13)&amp;"|"&amp;$C307&amp;"|"&amp;$D307&amp;"|"&amp;X$14&amp;"|"&amp;"CY2023Q3",Spectrum!$R:$R,0)),0),""))</f>
        <v>1037</v>
      </c>
      <c r="Y307" s="90" t="str">
        <f t="shared" si="104"/>
        <v/>
      </c>
      <c r="Z307" s="42">
        <f>IF(LEFT($B307,4)="_Mil","",_xlfn.IFNA(ROUND(INDEX(Spectrum!$N:$N,MATCH(RIGHT($B307,13)&amp;"|"&amp;$C307&amp;"|"&amp;$D307&amp;"|"&amp;Z$14&amp;"|"&amp;"CY2023Q3",Spectrum!$R:$R,0)),0),""))</f>
        <v>1456</v>
      </c>
      <c r="AA307" s="90">
        <f>IF(LEFT($B307,4)="_Mil","",IFERROR(1/(1/INDEX(Spectrum!$N:$N,MATCH(RIGHT($B307,13)&amp;"|"&amp;$C307&amp;"|"&amp;$D307&amp;"|"&amp;AA$14&amp;"|"&amp;"CY2023Q3",Spectrum!$R:$R,0))),IF(SUM($U307)=0,"",SUM($Z307)/$U307)))</f>
        <v>1953</v>
      </c>
      <c r="AB307" s="90">
        <f t="shared" si="105"/>
        <v>1.4040501446480231</v>
      </c>
      <c r="AC307" s="14">
        <f>IF(LEFT($B307,4)="_Mil","",_xlfn.IFNA(ROUND(INDEX(Spectrum!$N:$N,MATCH(RIGHT($B307,13)&amp;"|"&amp;$C307&amp;"|"&amp;$D307&amp;"|"&amp;AC$14&amp;"|"&amp;"CY2023Q3",Spectrum!$R:$R,0)),0),""))</f>
        <v>676</v>
      </c>
      <c r="AD307" s="14" t="str">
        <f>IF(LEFT($B307,4)="_Mil","",_xlfn.IFNA(ROUND(INDEX(Spectrum!$N:$N,MATCH(RIGHT($B307,13)&amp;"|"&amp;$C307&amp;"|"&amp;$D307&amp;"|"&amp;AD$14&amp;"|"&amp;"CY2023Q3",Spectrum!$R:$R,0)),0),""))</f>
        <v/>
      </c>
      <c r="AE307" s="90">
        <f t="shared" si="106"/>
        <v>0</v>
      </c>
      <c r="AF307" s="42" t="str">
        <f>IF(LEFT($B307,4)="_Mil","",_xlfn.IFNA(ROUND(INDEX(Spectrum!$N:$N,MATCH(RIGHT($B307,13)&amp;"|"&amp;$C307&amp;"|"&amp;$D307&amp;"|"&amp;AF$14&amp;"|"&amp;"CY2023Q3",Spectrum!$R:$R,0)),0),""))</f>
        <v/>
      </c>
      <c r="AG307" s="90" t="str">
        <f t="shared" si="107"/>
        <v/>
      </c>
      <c r="AH307" s="88" t="str">
        <f>IF(LEFT($B307,4)="_Mil","",_xlfn.IFNA(INDEX(Spectrum!$N:$N,MATCH(RIGHT($B307,13)&amp;"|"&amp;$C307&amp;"|"&amp;$D307&amp;"|"&amp;AH$14&amp;"|"&amp;"CY2023Q3",Spectrum!$R:$R,0)),""))</f>
        <v/>
      </c>
      <c r="AI307" s="14" t="str">
        <f>IF(LEFT($B307,4)="_Mil","",_xlfn.IFNA(ROUND(INDEX(Spectrum!$N:$N,MATCH(RIGHT($B307,13)&amp;"|"&amp;$C307&amp;"|"&amp;$D307&amp;"|"&amp;AI$14&amp;"|"&amp;"CY2023Q3",Spectrum!$R:$R,0)),0),""))</f>
        <v/>
      </c>
      <c r="AJ307" s="42">
        <f>IF(LEFT($B307,4)="_Mil","",_xlfn.IFNA(ROUND(INDEX(Spectrum!$N:$N,MATCH(RIGHT($B307,13)&amp;"|"&amp;$C307&amp;"|"&amp;$D307&amp;"|"&amp;AI$14&amp;"|"&amp;"CY2023Q3",Spectrum!$R:$R,0)),0),SUM($U307)+SUM($AI307)))</f>
        <v>0</v>
      </c>
      <c r="AK307" s="14" t="str">
        <f>IF(LEFT($B307,4)="_Mil","",_xlfn.IFNA(ROUND(INDEX(Spectrum!$N:$N,MATCH(RIGHT($B307,13)&amp;"|"&amp;$C307&amp;"|"&amp;$D307&amp;"|"&amp;AK$14&amp;"|"&amp;"CY2023Q3",Spectrum!$R:$R,0)),0),""))</f>
        <v/>
      </c>
      <c r="AL307" s="90">
        <f t="shared" si="108"/>
        <v>1953</v>
      </c>
      <c r="AM307" s="14">
        <f t="shared" si="109"/>
        <v>0</v>
      </c>
      <c r="AN307" s="14" t="str">
        <f>IF($C307="&lt;01",ROUND(INDEX(EID!$P:$P,MATCH($B307,EID!$B:$B,0))/2,0),"")</f>
        <v/>
      </c>
      <c r="AO307" s="14">
        <f t="shared" si="110"/>
        <v>0</v>
      </c>
      <c r="AP307" s="42">
        <f t="shared" si="111"/>
        <v>0</v>
      </c>
      <c r="AQ307" s="42">
        <f t="shared" si="112"/>
        <v>1456</v>
      </c>
      <c r="AR307" s="90" t="str">
        <f t="shared" si="113"/>
        <v/>
      </c>
      <c r="AS307" s="90">
        <f t="shared" si="124"/>
        <v>0.98</v>
      </c>
      <c r="AT307" s="90">
        <f t="shared" si="124"/>
        <v>0.98</v>
      </c>
      <c r="AU307" s="14">
        <f t="shared" si="114"/>
        <v>0</v>
      </c>
      <c r="AV307" s="14">
        <f>IF($C307="&lt;01",ROUND(INDEX(EID!$N:$N,MATCH($B307,EID!$B:$B,0))/2,0),IF(SUM($AT307)=0,"",ROUND((SUM($AP307)-(SUM($O307)*SUM($AS307)))/$AT307,0)))</f>
        <v>0</v>
      </c>
      <c r="AW307" s="90">
        <f t="shared" si="115"/>
        <v>1</v>
      </c>
      <c r="AX307" s="42">
        <f t="shared" si="116"/>
        <v>0</v>
      </c>
      <c r="AY307" s="116">
        <f t="shared" si="117"/>
        <v>0.7</v>
      </c>
      <c r="AZ307" s="93">
        <f>IF($C307="&lt;01",ROUND(INDEX(EID!$R:$R,MATCH($B307,EID!$B:$B,0))/2,0),ROUND(SUM($O307)+(SUM($AV307)*$AY307),0))</f>
        <v>0</v>
      </c>
      <c r="BA307" s="89">
        <f t="shared" si="118"/>
        <v>0.95</v>
      </c>
      <c r="BB307" s="9">
        <f>IF($C307="&lt;01",ROUND(INDEX(EID!$T:$T,MATCH($B307,EID!$B:$B,0))/2,0),ROUND($AZ307*$BA307,0))</f>
        <v>0</v>
      </c>
      <c r="BC307" s="93">
        <f t="shared" si="119"/>
        <v>0</v>
      </c>
      <c r="BD307" s="90">
        <f t="shared" si="120"/>
        <v>0.95</v>
      </c>
      <c r="BE307" s="42">
        <f>IF($C307="&lt;01",ROUND(INDEX(EID!$V:$V,MATCH($B307,EID!$B:$B,0))/2,0),ROUND($BD307*$BB307,0))</f>
        <v>0</v>
      </c>
      <c r="BF307" s="42">
        <f t="shared" si="121"/>
        <v>0</v>
      </c>
      <c r="BG307" s="116">
        <f t="shared" si="122"/>
        <v>0.95</v>
      </c>
      <c r="BH307" s="9">
        <f>IF($C307="&lt;01",ROUND(INDEX(EID!$L:$L,MATCH($B307,EID!$B:$B,0)),0)/2,IF(SUM($BG307)=0,"",ROUND($AX307/$BG307,0)))</f>
        <v>0</v>
      </c>
    </row>
    <row r="308" spans="1:60" x14ac:dyDescent="0.2">
      <c r="A308" t="str">
        <f>INDEX(Prioritization!$D:$D,MATCH($B308,Prioritization!$A:$A,0))</f>
        <v>1 - Scale-up: Saturation</v>
      </c>
      <c r="B308" t="s">
        <v>213</v>
      </c>
      <c r="C308" t="s">
        <v>367</v>
      </c>
      <c r="D308" t="s">
        <v>47</v>
      </c>
      <c r="E308" t="str">
        <f t="shared" si="101"/>
        <v>Machinga District [TYnMSwzko3z]|50+|Male</v>
      </c>
      <c r="F308" s="14"/>
      <c r="G308" s="14"/>
      <c r="H308" s="14"/>
      <c r="I308" s="14"/>
      <c r="J308" s="14"/>
      <c r="K308" s="14"/>
      <c r="L308" s="14"/>
      <c r="M308" s="14"/>
      <c r="N308" s="14"/>
      <c r="O308" s="14" t="str">
        <f t="shared" si="102"/>
        <v/>
      </c>
      <c r="P308" s="14"/>
      <c r="Q308" s="14"/>
      <c r="R308" s="14" t="str">
        <f t="shared" si="103"/>
        <v/>
      </c>
      <c r="S308" s="14">
        <f>IF(LEFT($B308,4)="_Mil","",_xlfn.IFNA(ROUND(INDEX(Spectrum!$N:$N,MATCH(RIGHT($B308,13)&amp;"|"&amp;$C308&amp;"|"&amp;$D308&amp;"|"&amp;S$14&amp;"|"&amp;"CY2022Q4",Spectrum!$R:$R,0)),0),""))</f>
        <v>1764</v>
      </c>
      <c r="T308" s="42">
        <f>IF(LEFT($B308,4)="_Mil","",_xlfn.IFNA(ROUND(INDEX(Spectrum!$N:$N,MATCH(RIGHT($B308,13)&amp;"|"&amp;$C308&amp;"|"&amp;$D308&amp;"|"&amp;T$14&amp;"|"&amp;"CY2023Q3",Spectrum!$R:$R,0)),0),""))</f>
        <v>1921</v>
      </c>
      <c r="U308" s="42" t="str">
        <f>IF(LEFT($B308,4)="_Mil","",_xlfn.IFNA(ROUND(INDEX(Spectrum!$N:$N,MATCH(RIGHT($B308,13)&amp;"|"&amp;$C308&amp;"|"&amp;$D308&amp;"|"&amp;U$14&amp;"|"&amp;"CY2023Q3",Spectrum!$R:$R,0)),0),""))</f>
        <v/>
      </c>
      <c r="V308" s="14">
        <f>IF(LEFT($B308,4)="_Mil","",_xlfn.IFNA(ROUND(INDEX(Spectrum!$N:$N,MATCH(RIGHT($B308,13)&amp;"|"&amp;$C308&amp;"|"&amp;$D308&amp;"|"&amp;V$14&amp;"|"&amp;"CY2023Q3",Spectrum!$R:$R,0)),0),""))</f>
        <v>1877</v>
      </c>
      <c r="W308" s="115">
        <f>IF(LEFT($B308,4)="_Mil","",_xlfn.IFNA(INDEX(Spectrum!$N:$N,MATCH(RIGHT($B308,13)&amp;"|"&amp;$C308&amp;"|"&amp;$D308&amp;"|"&amp;W$14&amp;"|"&amp;"CY2023Q3",Spectrum!$R:$R,0)),""))</f>
        <v>769</v>
      </c>
      <c r="X308" s="42">
        <f>IF(LEFT($B308,4)="_Mil","",_xlfn.IFNA(ROUND(INDEX(Spectrum!$N:$N,MATCH(RIGHT($B308,13)&amp;"|"&amp;$C308&amp;"|"&amp;$D308&amp;"|"&amp;X$14&amp;"|"&amp;"CY2023Q3",Spectrum!$R:$R,0)),0),""))</f>
        <v>843</v>
      </c>
      <c r="Y308" s="90" t="str">
        <f t="shared" si="104"/>
        <v/>
      </c>
      <c r="Z308" s="42">
        <f>IF(LEFT($B308,4)="_Mil","",_xlfn.IFNA(ROUND(INDEX(Spectrum!$N:$N,MATCH(RIGHT($B308,13)&amp;"|"&amp;$C308&amp;"|"&amp;$D308&amp;"|"&amp;Z$14&amp;"|"&amp;"CY2023Q3",Spectrum!$R:$R,0)),0),""))</f>
        <v>971</v>
      </c>
      <c r="AA308" s="90">
        <f>IF(LEFT($B308,4)="_Mil","",IFERROR(1/(1/INDEX(Spectrum!$N:$N,MATCH(RIGHT($B308,13)&amp;"|"&amp;$C308&amp;"|"&amp;$D308&amp;"|"&amp;AA$14&amp;"|"&amp;"CY2023Q3",Spectrum!$R:$R,0))),IF(SUM($U308)=0,"",SUM($Z308)/$U308)))</f>
        <v>1772.0000000000002</v>
      </c>
      <c r="AB308" s="90">
        <f t="shared" si="105"/>
        <v>1.1518386714116251</v>
      </c>
      <c r="AC308" s="14">
        <f>IF(LEFT($B308,4)="_Mil","",_xlfn.IFNA(ROUND(INDEX(Spectrum!$N:$N,MATCH(RIGHT($B308,13)&amp;"|"&amp;$C308&amp;"|"&amp;$D308&amp;"|"&amp;AC$14&amp;"|"&amp;"CY2023Q3",Spectrum!$R:$R,0)),0),""))</f>
        <v>1058</v>
      </c>
      <c r="AD308" s="14" t="str">
        <f>IF(LEFT($B308,4)="_Mil","",_xlfn.IFNA(ROUND(INDEX(Spectrum!$N:$N,MATCH(RIGHT($B308,13)&amp;"|"&amp;$C308&amp;"|"&amp;$D308&amp;"|"&amp;AD$14&amp;"|"&amp;"CY2023Q3",Spectrum!$R:$R,0)),0),""))</f>
        <v/>
      </c>
      <c r="AE308" s="90">
        <f t="shared" si="106"/>
        <v>0</v>
      </c>
      <c r="AF308" s="42" t="str">
        <f>IF(LEFT($B308,4)="_Mil","",_xlfn.IFNA(ROUND(INDEX(Spectrum!$N:$N,MATCH(RIGHT($B308,13)&amp;"|"&amp;$C308&amp;"|"&amp;$D308&amp;"|"&amp;AF$14&amp;"|"&amp;"CY2023Q3",Spectrum!$R:$R,0)),0),""))</f>
        <v/>
      </c>
      <c r="AG308" s="90" t="str">
        <f t="shared" si="107"/>
        <v/>
      </c>
      <c r="AH308" s="88" t="str">
        <f>IF(LEFT($B308,4)="_Mil","",_xlfn.IFNA(INDEX(Spectrum!$N:$N,MATCH(RIGHT($B308,13)&amp;"|"&amp;$C308&amp;"|"&amp;$D308&amp;"|"&amp;AH$14&amp;"|"&amp;"CY2023Q3",Spectrum!$R:$R,0)),""))</f>
        <v/>
      </c>
      <c r="AI308" s="14" t="str">
        <f>IF(LEFT($B308,4)="_Mil","",_xlfn.IFNA(ROUND(INDEX(Spectrum!$N:$N,MATCH(RIGHT($B308,13)&amp;"|"&amp;$C308&amp;"|"&amp;$D308&amp;"|"&amp;AI$14&amp;"|"&amp;"CY2023Q3",Spectrum!$R:$R,0)),0),""))</f>
        <v/>
      </c>
      <c r="AJ308" s="42">
        <f>IF(LEFT($B308,4)="_Mil","",_xlfn.IFNA(ROUND(INDEX(Spectrum!$N:$N,MATCH(RIGHT($B308,13)&amp;"|"&amp;$C308&amp;"|"&amp;$D308&amp;"|"&amp;AI$14&amp;"|"&amp;"CY2023Q3",Spectrum!$R:$R,0)),0),SUM($U308)+SUM($AI308)))</f>
        <v>0</v>
      </c>
      <c r="AK308" s="14" t="str">
        <f>IF(LEFT($B308,4)="_Mil","",_xlfn.IFNA(ROUND(INDEX(Spectrum!$N:$N,MATCH(RIGHT($B308,13)&amp;"|"&amp;$C308&amp;"|"&amp;$D308&amp;"|"&amp;AK$14&amp;"|"&amp;"CY2023Q3",Spectrum!$R:$R,0)),0),""))</f>
        <v/>
      </c>
      <c r="AL308" s="90">
        <f t="shared" si="108"/>
        <v>1772.0000000000002</v>
      </c>
      <c r="AM308" s="14">
        <f t="shared" si="109"/>
        <v>0</v>
      </c>
      <c r="AN308" s="14" t="str">
        <f>IF($C308="&lt;01",ROUND(INDEX(EID!$P:$P,MATCH($B308,EID!$B:$B,0))/2,0),"")</f>
        <v/>
      </c>
      <c r="AO308" s="14">
        <f t="shared" si="110"/>
        <v>0</v>
      </c>
      <c r="AP308" s="42">
        <f t="shared" si="111"/>
        <v>0</v>
      </c>
      <c r="AQ308" s="42">
        <f t="shared" si="112"/>
        <v>971</v>
      </c>
      <c r="AR308" s="90" t="str">
        <f t="shared" si="113"/>
        <v/>
      </c>
      <c r="AS308" s="90">
        <f t="shared" si="124"/>
        <v>0.98</v>
      </c>
      <c r="AT308" s="90">
        <f t="shared" si="124"/>
        <v>0.98</v>
      </c>
      <c r="AU308" s="14">
        <f t="shared" si="114"/>
        <v>0</v>
      </c>
      <c r="AV308" s="14">
        <f>IF($C308="&lt;01",ROUND(INDEX(EID!$N:$N,MATCH($B308,EID!$B:$B,0))/2,0),IF(SUM($AT308)=0,"",ROUND((SUM($AP308)-(SUM($O308)*SUM($AS308)))/$AT308,0)))</f>
        <v>0</v>
      </c>
      <c r="AW308" s="90">
        <f t="shared" si="115"/>
        <v>1</v>
      </c>
      <c r="AX308" s="42">
        <f t="shared" si="116"/>
        <v>0</v>
      </c>
      <c r="AY308" s="116">
        <f t="shared" si="117"/>
        <v>0.7</v>
      </c>
      <c r="AZ308" s="93">
        <f>IF($C308="&lt;01",ROUND(INDEX(EID!$R:$R,MATCH($B308,EID!$B:$B,0))/2,0),ROUND(SUM($O308)+(SUM($AV308)*$AY308),0))</f>
        <v>0</v>
      </c>
      <c r="BA308" s="89">
        <f t="shared" si="118"/>
        <v>0.95</v>
      </c>
      <c r="BB308" s="9">
        <f>IF($C308="&lt;01",ROUND(INDEX(EID!$T:$T,MATCH($B308,EID!$B:$B,0))/2,0),ROUND($AZ308*$BA308,0))</f>
        <v>0</v>
      </c>
      <c r="BC308" s="93">
        <f t="shared" si="119"/>
        <v>0</v>
      </c>
      <c r="BD308" s="90">
        <f t="shared" si="120"/>
        <v>0.95</v>
      </c>
      <c r="BE308" s="42">
        <f>IF($C308="&lt;01",ROUND(INDEX(EID!$V:$V,MATCH($B308,EID!$B:$B,0))/2,0),ROUND($BD308*$BB308,0))</f>
        <v>0</v>
      </c>
      <c r="BF308" s="42">
        <f t="shared" si="121"/>
        <v>0</v>
      </c>
      <c r="BG308" s="116">
        <f t="shared" si="122"/>
        <v>0.95</v>
      </c>
      <c r="BH308" s="9">
        <f>IF($C308="&lt;01",ROUND(INDEX(EID!$L:$L,MATCH($B308,EID!$B:$B,0)),0)/2,IF(SUM($BG308)=0,"",ROUND($AX308/$BG308,0)))</f>
        <v>0</v>
      </c>
    </row>
    <row r="309" spans="1:60" x14ac:dyDescent="0.2">
      <c r="A309" t="str">
        <f>INDEX(Prioritization!$D:$D,MATCH($B309,Prioritization!$A:$A,0))</f>
        <v>INVALID</v>
      </c>
      <c r="B309" t="s">
        <v>214</v>
      </c>
      <c r="C309" t="s">
        <v>315</v>
      </c>
      <c r="D309" t="s">
        <v>29</v>
      </c>
      <c r="E309" t="str">
        <f t="shared" si="101"/>
        <v>Mangochi District [lLDyBx5XyUi]|&lt;01|Female</v>
      </c>
      <c r="F309" s="14"/>
      <c r="G309" s="14">
        <v>5</v>
      </c>
      <c r="H309" s="14">
        <v>1</v>
      </c>
      <c r="I309" s="14">
        <v>5</v>
      </c>
      <c r="J309" s="14">
        <v>6</v>
      </c>
      <c r="K309" s="14">
        <v>1</v>
      </c>
      <c r="L309" s="14"/>
      <c r="M309" s="14">
        <v>5</v>
      </c>
      <c r="N309" s="14">
        <v>7</v>
      </c>
      <c r="O309" s="14">
        <f t="shared" si="102"/>
        <v>7</v>
      </c>
      <c r="P309" s="14">
        <v>9</v>
      </c>
      <c r="Q309" s="14">
        <v>9</v>
      </c>
      <c r="R309" s="14">
        <f t="shared" si="103"/>
        <v>2</v>
      </c>
      <c r="S309" s="14">
        <f>IF(LEFT($B309,4)="_Mil","",_xlfn.IFNA(ROUND(INDEX(Spectrum!$N:$N,MATCH(RIGHT($B309,13)&amp;"|"&amp;$C309&amp;"|"&amp;$D309&amp;"|"&amp;S$14&amp;"|"&amp;"CY2022Q4",Spectrum!$R:$R,0)),0),""))</f>
        <v>687</v>
      </c>
      <c r="T309" s="42">
        <f>IF(LEFT($B309,4)="_Mil","",_xlfn.IFNA(ROUND(INDEX(Spectrum!$N:$N,MATCH(RIGHT($B309,13)&amp;"|"&amp;$C309&amp;"|"&amp;$D309&amp;"|"&amp;T$14&amp;"|"&amp;"CY2023Q3",Spectrum!$R:$R,0)),0),""))</f>
        <v>830</v>
      </c>
      <c r="U309" s="42" t="str">
        <f>IF(LEFT($B309,4)="_Mil","",_xlfn.IFNA(ROUND(INDEX(Spectrum!$N:$N,MATCH(RIGHT($B309,13)&amp;"|"&amp;$C309&amp;"|"&amp;$D309&amp;"|"&amp;U$14&amp;"|"&amp;"CY2023Q3",Spectrum!$R:$R,0)),0),""))</f>
        <v/>
      </c>
      <c r="V309" s="14">
        <f>IF(LEFT($B309,4)="_Mil","",_xlfn.IFNA(ROUND(INDEX(Spectrum!$N:$N,MATCH(RIGHT($B309,13)&amp;"|"&amp;$C309&amp;"|"&amp;$D309&amp;"|"&amp;V$14&amp;"|"&amp;"CY2023Q3",Spectrum!$R:$R,0)),0),""))</f>
        <v>854</v>
      </c>
      <c r="W309" s="115">
        <f>IF(LEFT($B309,4)="_Mil","",_xlfn.IFNA(INDEX(Spectrum!$N:$N,MATCH(RIGHT($B309,13)&amp;"|"&amp;$C309&amp;"|"&amp;$D309&amp;"|"&amp;W$14&amp;"|"&amp;"CY2023Q3",Spectrum!$R:$R,0)),""))</f>
        <v>1576</v>
      </c>
      <c r="X309" s="42">
        <f>IF(LEFT($B309,4)="_Mil","",_xlfn.IFNA(ROUND(INDEX(Spectrum!$N:$N,MATCH(RIGHT($B309,13)&amp;"|"&amp;$C309&amp;"|"&amp;$D309&amp;"|"&amp;X$14&amp;"|"&amp;"CY2023Q3",Spectrum!$R:$R,0)),0),""))</f>
        <v>836</v>
      </c>
      <c r="Y309" s="90" t="str">
        <f t="shared" si="104"/>
        <v/>
      </c>
      <c r="Z309" s="42">
        <f>IF(LEFT($B309,4)="_Mil","",_xlfn.IFNA(ROUND(INDEX(Spectrum!$N:$N,MATCH(RIGHT($B309,13)&amp;"|"&amp;$C309&amp;"|"&amp;$D309&amp;"|"&amp;Z$14&amp;"|"&amp;"CY2023Q3",Spectrum!$R:$R,0)),0),""))</f>
        <v>1941</v>
      </c>
      <c r="AA309" s="90">
        <f>IF(LEFT($B309,4)="_Mil","",IFERROR(1/(1/INDEX(Spectrum!$N:$N,MATCH(RIGHT($B309,13)&amp;"|"&amp;$C309&amp;"|"&amp;$D309&amp;"|"&amp;AA$14&amp;"|"&amp;"CY2023Q3",Spectrum!$R:$R,0))),IF(SUM($U309)=0,"",SUM($Z309)/$U309)))</f>
        <v>1031</v>
      </c>
      <c r="AB309" s="90">
        <f t="shared" si="105"/>
        <v>2.3217703349282295</v>
      </c>
      <c r="AC309" s="14">
        <f>IF(LEFT($B309,4)="_Mil","",_xlfn.IFNA(ROUND(INDEX(Spectrum!$N:$N,MATCH(RIGHT($B309,13)&amp;"|"&amp;$C309&amp;"|"&amp;$D309&amp;"|"&amp;AC$14&amp;"|"&amp;"CY2023Q3",Spectrum!$R:$R,0)),0),""))</f>
        <v>1237</v>
      </c>
      <c r="AD309" s="14" t="str">
        <f>IF(LEFT($B309,4)="_Mil","",_xlfn.IFNA(ROUND(INDEX(Spectrum!$N:$N,MATCH(RIGHT($B309,13)&amp;"|"&amp;$C309&amp;"|"&amp;$D309&amp;"|"&amp;AD$14&amp;"|"&amp;"CY2023Q3",Spectrum!$R:$R,0)),0),""))</f>
        <v/>
      </c>
      <c r="AE309" s="90">
        <f t="shared" si="106"/>
        <v>0</v>
      </c>
      <c r="AF309" s="42" t="str">
        <f>IF(LEFT($B309,4)="_Mil","",_xlfn.IFNA(ROUND(INDEX(Spectrum!$N:$N,MATCH(RIGHT($B309,13)&amp;"|"&amp;$C309&amp;"|"&amp;$D309&amp;"|"&amp;AF$14&amp;"|"&amp;"CY2023Q3",Spectrum!$R:$R,0)),0),""))</f>
        <v/>
      </c>
      <c r="AG309" s="90" t="str">
        <f t="shared" si="107"/>
        <v/>
      </c>
      <c r="AH309" s="88" t="str">
        <f>IF(LEFT($B309,4)="_Mil","",_xlfn.IFNA(INDEX(Spectrum!$N:$N,MATCH(RIGHT($B309,13)&amp;"|"&amp;$C309&amp;"|"&amp;$D309&amp;"|"&amp;AH$14&amp;"|"&amp;"CY2023Q3",Spectrum!$R:$R,0)),""))</f>
        <v/>
      </c>
      <c r="AI309" s="14" t="str">
        <f>IF(LEFT($B309,4)="_Mil","",_xlfn.IFNA(ROUND(INDEX(Spectrum!$N:$N,MATCH(RIGHT($B309,13)&amp;"|"&amp;$C309&amp;"|"&amp;$D309&amp;"|"&amp;AI$14&amp;"|"&amp;"CY2023Q3",Spectrum!$R:$R,0)),0),""))</f>
        <v/>
      </c>
      <c r="AJ309" s="42">
        <f>IF(LEFT($B309,4)="_Mil","",_xlfn.IFNA(ROUND(INDEX(Spectrum!$N:$N,MATCH(RIGHT($B309,13)&amp;"|"&amp;$C309&amp;"|"&amp;$D309&amp;"|"&amp;AI$14&amp;"|"&amp;"CY2023Q3",Spectrum!$R:$R,0)),0),SUM($U309)+SUM($AI309)))</f>
        <v>0</v>
      </c>
      <c r="AK309" s="14" t="str">
        <f>IF(LEFT($B309,4)="_Mil","",_xlfn.IFNA(ROUND(INDEX(Spectrum!$N:$N,MATCH(RIGHT($B309,13)&amp;"|"&amp;$C309&amp;"|"&amp;$D309&amp;"|"&amp;AK$14&amp;"|"&amp;"CY2023Q3",Spectrum!$R:$R,0)),0),""))</f>
        <v/>
      </c>
      <c r="AL309" s="90" t="str">
        <f t="shared" si="108"/>
        <v/>
      </c>
      <c r="AM309" s="14" t="str">
        <f t="shared" si="109"/>
        <v/>
      </c>
      <c r="AN309" s="14">
        <f>IF($C309="&lt;01",ROUND(INDEX(EID!$P:$P,MATCH($B309,EID!$B:$B,0))/2,0),"")</f>
        <v>1</v>
      </c>
      <c r="AO309" s="14">
        <f t="shared" si="110"/>
        <v>1</v>
      </c>
      <c r="AP309" s="42">
        <f t="shared" si="111"/>
        <v>1</v>
      </c>
      <c r="AQ309" s="42">
        <f t="shared" si="112"/>
        <v>277.28571428571428</v>
      </c>
      <c r="AR309" s="90" t="str">
        <f t="shared" si="113"/>
        <v/>
      </c>
      <c r="AS309" s="90" t="str">
        <f t="shared" si="124"/>
        <v/>
      </c>
      <c r="AT309" s="90" t="str">
        <f t="shared" si="124"/>
        <v/>
      </c>
      <c r="AU309" s="14" t="str">
        <f t="shared" si="114"/>
        <v/>
      </c>
      <c r="AV309" s="14">
        <f>IF($C309="&lt;01",ROUND(INDEX(EID!$N:$N,MATCH($B309,EID!$B:$B,0))/2,0),IF(SUM($AT309)=0,"",ROUND((SUM($AP309)-(SUM($O309)*SUM($AS309)))/$AT309,0)))</f>
        <v>1</v>
      </c>
      <c r="AW309" s="90" t="str">
        <f t="shared" si="115"/>
        <v/>
      </c>
      <c r="AX309" s="42">
        <f t="shared" si="116"/>
        <v>1</v>
      </c>
      <c r="AY309" s="116" t="str">
        <f t="shared" si="117"/>
        <v/>
      </c>
      <c r="AZ309" s="93">
        <f>IF($C309="&lt;01",ROUND(INDEX(EID!$R:$R,MATCH($B309,EID!$B:$B,0))/2,0),ROUND(SUM($O309)+(SUM($AV309)*$AY309),0))</f>
        <v>1</v>
      </c>
      <c r="BA309" s="89" t="str">
        <f t="shared" si="118"/>
        <v/>
      </c>
      <c r="BB309" s="9">
        <f>IF($C309="&lt;01",ROUND(INDEX(EID!$T:$T,MATCH($B309,EID!$B:$B,0))/2,0),ROUND($AZ309*$BA309,0))</f>
        <v>1</v>
      </c>
      <c r="BC309" s="93">
        <f t="shared" si="119"/>
        <v>277</v>
      </c>
      <c r="BD309" s="90" t="str">
        <f t="shared" si="120"/>
        <v/>
      </c>
      <c r="BE309" s="42">
        <f>IF($C309="&lt;01",ROUND(INDEX(EID!$V:$V,MATCH($B309,EID!$B:$B,0))/2,0),ROUND($BD309*$BB309,0))</f>
        <v>1</v>
      </c>
      <c r="BF309" s="42">
        <f t="shared" si="121"/>
        <v>277</v>
      </c>
      <c r="BG309" s="116" t="str">
        <f t="shared" si="122"/>
        <v/>
      </c>
      <c r="BH309" s="9">
        <f>IF($C309="&lt;01",ROUND(INDEX(EID!$L:$L,MATCH($B309,EID!$B:$B,0)),0)/2,IF(SUM($BG309)=0,"",ROUND($AX309/$BG309,0)))</f>
        <v>1</v>
      </c>
    </row>
    <row r="310" spans="1:60" x14ac:dyDescent="0.2">
      <c r="A310" t="str">
        <f>INDEX(Prioritization!$D:$D,MATCH($B310,Prioritization!$A:$A,0))</f>
        <v>INVALID</v>
      </c>
      <c r="B310" t="s">
        <v>214</v>
      </c>
      <c r="C310" t="s">
        <v>315</v>
      </c>
      <c r="D310" t="s">
        <v>47</v>
      </c>
      <c r="E310" t="str">
        <f t="shared" si="101"/>
        <v>Mangochi District [lLDyBx5XyUi]|&lt;01|Male</v>
      </c>
      <c r="F310" s="14"/>
      <c r="G310" s="14">
        <v>2</v>
      </c>
      <c r="H310" s="14">
        <v>1</v>
      </c>
      <c r="I310" s="14">
        <v>6</v>
      </c>
      <c r="J310" s="14">
        <v>5</v>
      </c>
      <c r="K310" s="14">
        <v>1</v>
      </c>
      <c r="L310" s="14"/>
      <c r="M310" s="14">
        <v>2</v>
      </c>
      <c r="N310" s="14">
        <v>5</v>
      </c>
      <c r="O310" s="14">
        <f t="shared" si="102"/>
        <v>6</v>
      </c>
      <c r="P310" s="14">
        <v>6</v>
      </c>
      <c r="Q310" s="14">
        <v>2</v>
      </c>
      <c r="R310" s="14">
        <f t="shared" si="103"/>
        <v>0</v>
      </c>
      <c r="S310" s="14">
        <f>IF(LEFT($B310,4)="_Mil","",_xlfn.IFNA(ROUND(INDEX(Spectrum!$N:$N,MATCH(RIGHT($B310,13)&amp;"|"&amp;$C310&amp;"|"&amp;$D310&amp;"|"&amp;S$14&amp;"|"&amp;"CY2022Q4",Spectrum!$R:$R,0)),0),""))</f>
        <v>1230</v>
      </c>
      <c r="T310" s="42">
        <f>IF(LEFT($B310,4)="_Mil","",_xlfn.IFNA(ROUND(INDEX(Spectrum!$N:$N,MATCH(RIGHT($B310,13)&amp;"|"&amp;$C310&amp;"|"&amp;$D310&amp;"|"&amp;T$14&amp;"|"&amp;"CY2023Q3",Spectrum!$R:$R,0)),0),""))</f>
        <v>1271</v>
      </c>
      <c r="U310" s="42" t="str">
        <f>IF(LEFT($B310,4)="_Mil","",_xlfn.IFNA(ROUND(INDEX(Spectrum!$N:$N,MATCH(RIGHT($B310,13)&amp;"|"&amp;$C310&amp;"|"&amp;$D310&amp;"|"&amp;U$14&amp;"|"&amp;"CY2023Q3",Spectrum!$R:$R,0)),0),""))</f>
        <v/>
      </c>
      <c r="V310" s="14">
        <f>IF(LEFT($B310,4)="_Mil","",_xlfn.IFNA(ROUND(INDEX(Spectrum!$N:$N,MATCH(RIGHT($B310,13)&amp;"|"&amp;$C310&amp;"|"&amp;$D310&amp;"|"&amp;V$14&amp;"|"&amp;"CY2023Q3",Spectrum!$R:$R,0)),0),""))</f>
        <v>1989</v>
      </c>
      <c r="W310" s="115">
        <f>IF(LEFT($B310,4)="_Mil","",_xlfn.IFNA(INDEX(Spectrum!$N:$N,MATCH(RIGHT($B310,13)&amp;"|"&amp;$C310&amp;"|"&amp;$D310&amp;"|"&amp;W$14&amp;"|"&amp;"CY2023Q3",Spectrum!$R:$R,0)),""))</f>
        <v>975</v>
      </c>
      <c r="X310" s="42">
        <f>IF(LEFT($B310,4)="_Mil","",_xlfn.IFNA(ROUND(INDEX(Spectrum!$N:$N,MATCH(RIGHT($B310,13)&amp;"|"&amp;$C310&amp;"|"&amp;$D310&amp;"|"&amp;X$14&amp;"|"&amp;"CY2023Q3",Spectrum!$R:$R,0)),0),""))</f>
        <v>1923</v>
      </c>
      <c r="Y310" s="90" t="str">
        <f t="shared" si="104"/>
        <v/>
      </c>
      <c r="Z310" s="42">
        <f>IF(LEFT($B310,4)="_Mil","",_xlfn.IFNA(ROUND(INDEX(Spectrum!$N:$N,MATCH(RIGHT($B310,13)&amp;"|"&amp;$C310&amp;"|"&amp;$D310&amp;"|"&amp;Z$14&amp;"|"&amp;"CY2023Q3",Spectrum!$R:$R,0)),0),""))</f>
        <v>1416</v>
      </c>
      <c r="AA310" s="90">
        <f>IF(LEFT($B310,4)="_Mil","",IFERROR(1/(1/INDEX(Spectrum!$N:$N,MATCH(RIGHT($B310,13)&amp;"|"&amp;$C310&amp;"|"&amp;$D310&amp;"|"&amp;AA$14&amp;"|"&amp;"CY2023Q3",Spectrum!$R:$R,0))),IF(SUM($U310)=0,"",SUM($Z310)/$U310)))</f>
        <v>1316</v>
      </c>
      <c r="AB310" s="90">
        <f t="shared" si="105"/>
        <v>0.7363494539781591</v>
      </c>
      <c r="AC310" s="14">
        <f>IF(LEFT($B310,4)="_Mil","",_xlfn.IFNA(ROUND(INDEX(Spectrum!$N:$N,MATCH(RIGHT($B310,13)&amp;"|"&amp;$C310&amp;"|"&amp;$D310&amp;"|"&amp;AC$14&amp;"|"&amp;"CY2023Q3",Spectrum!$R:$R,0)),0),""))</f>
        <v>1596</v>
      </c>
      <c r="AD310" s="14" t="str">
        <f>IF(LEFT($B310,4)="_Mil","",_xlfn.IFNA(ROUND(INDEX(Spectrum!$N:$N,MATCH(RIGHT($B310,13)&amp;"|"&amp;$C310&amp;"|"&amp;$D310&amp;"|"&amp;AD$14&amp;"|"&amp;"CY2023Q3",Spectrum!$R:$R,0)),0),""))</f>
        <v/>
      </c>
      <c r="AE310" s="90">
        <f t="shared" si="106"/>
        <v>0</v>
      </c>
      <c r="AF310" s="42" t="str">
        <f>IF(LEFT($B310,4)="_Mil","",_xlfn.IFNA(ROUND(INDEX(Spectrum!$N:$N,MATCH(RIGHT($B310,13)&amp;"|"&amp;$C310&amp;"|"&amp;$D310&amp;"|"&amp;AF$14&amp;"|"&amp;"CY2023Q3",Spectrum!$R:$R,0)),0),""))</f>
        <v/>
      </c>
      <c r="AG310" s="90" t="str">
        <f t="shared" si="107"/>
        <v/>
      </c>
      <c r="AH310" s="88" t="str">
        <f>IF(LEFT($B310,4)="_Mil","",_xlfn.IFNA(INDEX(Spectrum!$N:$N,MATCH(RIGHT($B310,13)&amp;"|"&amp;$C310&amp;"|"&amp;$D310&amp;"|"&amp;AH$14&amp;"|"&amp;"CY2023Q3",Spectrum!$R:$R,0)),""))</f>
        <v/>
      </c>
      <c r="AI310" s="14" t="str">
        <f>IF(LEFT($B310,4)="_Mil","",_xlfn.IFNA(ROUND(INDEX(Spectrum!$N:$N,MATCH(RIGHT($B310,13)&amp;"|"&amp;$C310&amp;"|"&amp;$D310&amp;"|"&amp;AI$14&amp;"|"&amp;"CY2023Q3",Spectrum!$R:$R,0)),0),""))</f>
        <v/>
      </c>
      <c r="AJ310" s="42">
        <f>IF(LEFT($B310,4)="_Mil","",_xlfn.IFNA(ROUND(INDEX(Spectrum!$N:$N,MATCH(RIGHT($B310,13)&amp;"|"&amp;$C310&amp;"|"&amp;$D310&amp;"|"&amp;AI$14&amp;"|"&amp;"CY2023Q3",Spectrum!$R:$R,0)),0),SUM($U310)+SUM($AI310)))</f>
        <v>0</v>
      </c>
      <c r="AK310" s="14" t="str">
        <f>IF(LEFT($B310,4)="_Mil","",_xlfn.IFNA(ROUND(INDEX(Spectrum!$N:$N,MATCH(RIGHT($B310,13)&amp;"|"&amp;$C310&amp;"|"&amp;$D310&amp;"|"&amp;AK$14&amp;"|"&amp;"CY2023Q3",Spectrum!$R:$R,0)),0),""))</f>
        <v/>
      </c>
      <c r="AL310" s="90" t="str">
        <f t="shared" si="108"/>
        <v/>
      </c>
      <c r="AM310" s="14" t="str">
        <f t="shared" si="109"/>
        <v/>
      </c>
      <c r="AN310" s="14">
        <f>IF($C310="&lt;01",ROUND(INDEX(EID!$P:$P,MATCH($B310,EID!$B:$B,0))/2,0),"")</f>
        <v>1</v>
      </c>
      <c r="AO310" s="14">
        <f t="shared" si="110"/>
        <v>1</v>
      </c>
      <c r="AP310" s="42">
        <f t="shared" si="111"/>
        <v>1</v>
      </c>
      <c r="AQ310" s="42">
        <f t="shared" si="112"/>
        <v>236</v>
      </c>
      <c r="AR310" s="90" t="str">
        <f t="shared" si="113"/>
        <v/>
      </c>
      <c r="AS310" s="90" t="str">
        <f t="shared" si="124"/>
        <v/>
      </c>
      <c r="AT310" s="90" t="str">
        <f t="shared" si="124"/>
        <v/>
      </c>
      <c r="AU310" s="14" t="str">
        <f t="shared" si="114"/>
        <v/>
      </c>
      <c r="AV310" s="14">
        <f>IF($C310="&lt;01",ROUND(INDEX(EID!$N:$N,MATCH($B310,EID!$B:$B,0))/2,0),IF(SUM($AT310)=0,"",ROUND((SUM($AP310)-(SUM($O310)*SUM($AS310)))/$AT310,0)))</f>
        <v>1</v>
      </c>
      <c r="AW310" s="90" t="str">
        <f t="shared" si="115"/>
        <v/>
      </c>
      <c r="AX310" s="42">
        <f t="shared" si="116"/>
        <v>1</v>
      </c>
      <c r="AY310" s="116" t="str">
        <f t="shared" si="117"/>
        <v/>
      </c>
      <c r="AZ310" s="93">
        <f>IF($C310="&lt;01",ROUND(INDEX(EID!$R:$R,MATCH($B310,EID!$B:$B,0))/2,0),ROUND(SUM($O310)+(SUM($AV310)*$AY310),0))</f>
        <v>1</v>
      </c>
      <c r="BA310" s="89" t="str">
        <f t="shared" si="118"/>
        <v/>
      </c>
      <c r="BB310" s="9">
        <f>IF($C310="&lt;01",ROUND(INDEX(EID!$T:$T,MATCH($B310,EID!$B:$B,0))/2,0),ROUND($AZ310*$BA310,0))</f>
        <v>1</v>
      </c>
      <c r="BC310" s="93">
        <f t="shared" si="119"/>
        <v>236</v>
      </c>
      <c r="BD310" s="90" t="str">
        <f t="shared" si="120"/>
        <v/>
      </c>
      <c r="BE310" s="42">
        <f>IF($C310="&lt;01",ROUND(INDEX(EID!$V:$V,MATCH($B310,EID!$B:$B,0))/2,0),ROUND($BD310*$BB310,0))</f>
        <v>1</v>
      </c>
      <c r="BF310" s="42">
        <f t="shared" si="121"/>
        <v>236</v>
      </c>
      <c r="BG310" s="116" t="str">
        <f t="shared" si="122"/>
        <v/>
      </c>
      <c r="BH310" s="9">
        <f>IF($C310="&lt;01",ROUND(INDEX(EID!$L:$L,MATCH($B310,EID!$B:$B,0)),0)/2,IF(SUM($BG310)=0,"",ROUND($AX310/$BG310,0)))</f>
        <v>1</v>
      </c>
    </row>
    <row r="311" spans="1:60" x14ac:dyDescent="0.2">
      <c r="A311" t="str">
        <f>INDEX(Prioritization!$D:$D,MATCH($B311,Prioritization!$A:$A,0))</f>
        <v>INVALID</v>
      </c>
      <c r="B311" t="s">
        <v>214</v>
      </c>
      <c r="C311" t="s">
        <v>362</v>
      </c>
      <c r="D311" t="s">
        <v>29</v>
      </c>
      <c r="E311" t="str">
        <f t="shared" si="101"/>
        <v>Mangochi District [lLDyBx5XyUi]|01-09|Female</v>
      </c>
      <c r="F311" s="14"/>
      <c r="G311" s="14"/>
      <c r="H311" s="14"/>
      <c r="I311" s="14"/>
      <c r="J311" s="14"/>
      <c r="K311" s="14"/>
      <c r="L311" s="14"/>
      <c r="M311" s="14"/>
      <c r="N311" s="14"/>
      <c r="O311" s="14" t="str">
        <f t="shared" si="102"/>
        <v/>
      </c>
      <c r="P311" s="14"/>
      <c r="Q311" s="14"/>
      <c r="R311" s="14" t="str">
        <f t="shared" si="103"/>
        <v/>
      </c>
      <c r="S311" s="14">
        <f>IF(LEFT($B311,4)="_Mil","",_xlfn.IFNA(ROUND(INDEX(Spectrum!$N:$N,MATCH(RIGHT($B311,13)&amp;"|"&amp;$C311&amp;"|"&amp;$D311&amp;"|"&amp;S$14&amp;"|"&amp;"CY2022Q4",Spectrum!$R:$R,0)),0),""))</f>
        <v>704</v>
      </c>
      <c r="T311" s="42">
        <f>IF(LEFT($B311,4)="_Mil","",_xlfn.IFNA(ROUND(INDEX(Spectrum!$N:$N,MATCH(RIGHT($B311,13)&amp;"|"&amp;$C311&amp;"|"&amp;$D311&amp;"|"&amp;T$14&amp;"|"&amp;"CY2023Q3",Spectrum!$R:$R,0)),0),""))</f>
        <v>963</v>
      </c>
      <c r="U311" s="42" t="str">
        <f>IF(LEFT($B311,4)="_Mil","",_xlfn.IFNA(ROUND(INDEX(Spectrum!$N:$N,MATCH(RIGHT($B311,13)&amp;"|"&amp;$C311&amp;"|"&amp;$D311&amp;"|"&amp;U$14&amp;"|"&amp;"CY2023Q3",Spectrum!$R:$R,0)),0),""))</f>
        <v/>
      </c>
      <c r="V311" s="14">
        <f>IF(LEFT($B311,4)="_Mil","",_xlfn.IFNA(ROUND(INDEX(Spectrum!$N:$N,MATCH(RIGHT($B311,13)&amp;"|"&amp;$C311&amp;"|"&amp;$D311&amp;"|"&amp;V$14&amp;"|"&amp;"CY2023Q3",Spectrum!$R:$R,0)),0),""))</f>
        <v>1631</v>
      </c>
      <c r="W311" s="115">
        <f>IF(LEFT($B311,4)="_Mil","",_xlfn.IFNA(INDEX(Spectrum!$N:$N,MATCH(RIGHT($B311,13)&amp;"|"&amp;$C311&amp;"|"&amp;$D311&amp;"|"&amp;W$14&amp;"|"&amp;"CY2023Q3",Spectrum!$R:$R,0)),""))</f>
        <v>1578</v>
      </c>
      <c r="X311" s="42">
        <f>IF(LEFT($B311,4)="_Mil","",_xlfn.IFNA(ROUND(INDEX(Spectrum!$N:$N,MATCH(RIGHT($B311,13)&amp;"|"&amp;$C311&amp;"|"&amp;$D311&amp;"|"&amp;X$14&amp;"|"&amp;"CY2023Q3",Spectrum!$R:$R,0)),0),""))</f>
        <v>1962</v>
      </c>
      <c r="Y311" s="90" t="str">
        <f t="shared" si="104"/>
        <v/>
      </c>
      <c r="Z311" s="42">
        <f>IF(LEFT($B311,4)="_Mil","",_xlfn.IFNA(ROUND(INDEX(Spectrum!$N:$N,MATCH(RIGHT($B311,13)&amp;"|"&amp;$C311&amp;"|"&amp;$D311&amp;"|"&amp;Z$14&amp;"|"&amp;"CY2023Q3",Spectrum!$R:$R,0)),0),""))</f>
        <v>1972</v>
      </c>
      <c r="AA311" s="90">
        <f>IF(LEFT($B311,4)="_Mil","",IFERROR(1/(1/INDEX(Spectrum!$N:$N,MATCH(RIGHT($B311,13)&amp;"|"&amp;$C311&amp;"|"&amp;$D311&amp;"|"&amp;AA$14&amp;"|"&amp;"CY2023Q3",Spectrum!$R:$R,0))),IF(SUM($U311)=0,"",SUM($Z311)/$U311)))</f>
        <v>1235</v>
      </c>
      <c r="AB311" s="90">
        <f t="shared" si="105"/>
        <v>1.0050968399592253</v>
      </c>
      <c r="AC311" s="14">
        <f>IF(LEFT($B311,4)="_Mil","",_xlfn.IFNA(ROUND(INDEX(Spectrum!$N:$N,MATCH(RIGHT($B311,13)&amp;"|"&amp;$C311&amp;"|"&amp;$D311&amp;"|"&amp;AC$14&amp;"|"&amp;"CY2023Q3",Spectrum!$R:$R,0)),0),""))</f>
        <v>653</v>
      </c>
      <c r="AD311" s="14" t="str">
        <f>IF(LEFT($B311,4)="_Mil","",_xlfn.IFNA(ROUND(INDEX(Spectrum!$N:$N,MATCH(RIGHT($B311,13)&amp;"|"&amp;$C311&amp;"|"&amp;$D311&amp;"|"&amp;AD$14&amp;"|"&amp;"CY2023Q3",Spectrum!$R:$R,0)),0),""))</f>
        <v/>
      </c>
      <c r="AE311" s="90">
        <f t="shared" si="106"/>
        <v>0</v>
      </c>
      <c r="AF311" s="42" t="str">
        <f>IF(LEFT($B311,4)="_Mil","",_xlfn.IFNA(ROUND(INDEX(Spectrum!$N:$N,MATCH(RIGHT($B311,13)&amp;"|"&amp;$C311&amp;"|"&amp;$D311&amp;"|"&amp;AF$14&amp;"|"&amp;"CY2023Q3",Spectrum!$R:$R,0)),0),""))</f>
        <v/>
      </c>
      <c r="AG311" s="90" t="str">
        <f t="shared" si="107"/>
        <v/>
      </c>
      <c r="AH311" s="88" t="str">
        <f>IF(LEFT($B311,4)="_Mil","",_xlfn.IFNA(INDEX(Spectrum!$N:$N,MATCH(RIGHT($B311,13)&amp;"|"&amp;$C311&amp;"|"&amp;$D311&amp;"|"&amp;AH$14&amp;"|"&amp;"CY2023Q3",Spectrum!$R:$R,0)),""))</f>
        <v/>
      </c>
      <c r="AI311" s="14" t="str">
        <f>IF(LEFT($B311,4)="_Mil","",_xlfn.IFNA(ROUND(INDEX(Spectrum!$N:$N,MATCH(RIGHT($B311,13)&amp;"|"&amp;$C311&amp;"|"&amp;$D311&amp;"|"&amp;AI$14&amp;"|"&amp;"CY2023Q3",Spectrum!$R:$R,0)),0),""))</f>
        <v/>
      </c>
      <c r="AJ311" s="42">
        <f>IF(LEFT($B311,4)="_Mil","",_xlfn.IFNA(ROUND(INDEX(Spectrum!$N:$N,MATCH(RIGHT($B311,13)&amp;"|"&amp;$C311&amp;"|"&amp;$D311&amp;"|"&amp;AI$14&amp;"|"&amp;"CY2023Q3",Spectrum!$R:$R,0)),0),SUM($U311)+SUM($AI311)))</f>
        <v>0</v>
      </c>
      <c r="AK311" s="14" t="str">
        <f>IF(LEFT($B311,4)="_Mil","",_xlfn.IFNA(ROUND(INDEX(Spectrum!$N:$N,MATCH(RIGHT($B311,13)&amp;"|"&amp;$C311&amp;"|"&amp;$D311&amp;"|"&amp;AK$14&amp;"|"&amp;"CY2023Q3",Spectrum!$R:$R,0)),0),""))</f>
        <v/>
      </c>
      <c r="AL311" s="90">
        <f t="shared" si="108"/>
        <v>1235</v>
      </c>
      <c r="AM311" s="14">
        <f t="shared" si="109"/>
        <v>0</v>
      </c>
      <c r="AN311" s="14" t="str">
        <f>IF($C311="&lt;01",ROUND(INDEX(EID!$P:$P,MATCH($B311,EID!$B:$B,0))/2,0),"")</f>
        <v/>
      </c>
      <c r="AO311" s="14">
        <f t="shared" si="110"/>
        <v>0</v>
      </c>
      <c r="AP311" s="42">
        <f t="shared" si="111"/>
        <v>0</v>
      </c>
      <c r="AQ311" s="42">
        <f t="shared" si="112"/>
        <v>1972</v>
      </c>
      <c r="AR311" s="90" t="str">
        <f t="shared" si="113"/>
        <v/>
      </c>
      <c r="AS311" s="90">
        <f t="shared" si="124"/>
        <v>0.98</v>
      </c>
      <c r="AT311" s="90">
        <f t="shared" si="124"/>
        <v>0.98</v>
      </c>
      <c r="AU311" s="14">
        <f t="shared" si="114"/>
        <v>0</v>
      </c>
      <c r="AV311" s="14">
        <f>IF($C311="&lt;01",ROUND(INDEX(EID!$N:$N,MATCH($B311,EID!$B:$B,0))/2,0),IF(SUM($AT311)=0,"",ROUND((SUM($AP311)-(SUM($O311)*SUM($AS311)))/$AT311,0)))</f>
        <v>0</v>
      </c>
      <c r="AW311" s="90">
        <f t="shared" si="115"/>
        <v>1</v>
      </c>
      <c r="AX311" s="42">
        <f t="shared" si="116"/>
        <v>0</v>
      </c>
      <c r="AY311" s="116">
        <f t="shared" si="117"/>
        <v>0.7</v>
      </c>
      <c r="AZ311" s="93">
        <f>IF($C311="&lt;01",ROUND(INDEX(EID!$R:$R,MATCH($B311,EID!$B:$B,0))/2,0),ROUND(SUM($O311)+(SUM($AV311)*$AY311),0))</f>
        <v>0</v>
      </c>
      <c r="BA311" s="89">
        <f t="shared" si="118"/>
        <v>0.95</v>
      </c>
      <c r="BB311" s="9">
        <f>IF($C311="&lt;01",ROUND(INDEX(EID!$T:$T,MATCH($B311,EID!$B:$B,0))/2,0),ROUND($AZ311*$BA311,0))</f>
        <v>0</v>
      </c>
      <c r="BC311" s="93">
        <f t="shared" si="119"/>
        <v>0</v>
      </c>
      <c r="BD311" s="90">
        <f t="shared" si="120"/>
        <v>0.95</v>
      </c>
      <c r="BE311" s="42">
        <f>IF($C311="&lt;01",ROUND(INDEX(EID!$V:$V,MATCH($B311,EID!$B:$B,0))/2,0),ROUND($BD311*$BB311,0))</f>
        <v>0</v>
      </c>
      <c r="BF311" s="42">
        <f t="shared" si="121"/>
        <v>0</v>
      </c>
      <c r="BG311" s="116">
        <f t="shared" si="122"/>
        <v>0.95</v>
      </c>
      <c r="BH311" s="9">
        <f>IF($C311="&lt;01",ROUND(INDEX(EID!$L:$L,MATCH($B311,EID!$B:$B,0)),0)/2,IF(SUM($BG311)=0,"",ROUND($AX311/$BG311,0)))</f>
        <v>0</v>
      </c>
    </row>
    <row r="312" spans="1:60" x14ac:dyDescent="0.2">
      <c r="A312" t="str">
        <f>INDEX(Prioritization!$D:$D,MATCH($B312,Prioritization!$A:$A,0))</f>
        <v>INVALID</v>
      </c>
      <c r="B312" t="s">
        <v>214</v>
      </c>
      <c r="C312" t="s">
        <v>362</v>
      </c>
      <c r="D312" t="s">
        <v>47</v>
      </c>
      <c r="E312" t="str">
        <f t="shared" si="101"/>
        <v>Mangochi District [lLDyBx5XyUi]|01-09|Male</v>
      </c>
      <c r="F312" s="14"/>
      <c r="G312" s="14"/>
      <c r="H312" s="14"/>
      <c r="I312" s="14"/>
      <c r="J312" s="14"/>
      <c r="K312" s="14"/>
      <c r="L312" s="14"/>
      <c r="M312" s="14"/>
      <c r="N312" s="14"/>
      <c r="O312" s="14" t="str">
        <f t="shared" si="102"/>
        <v/>
      </c>
      <c r="P312" s="14"/>
      <c r="Q312" s="14"/>
      <c r="R312" s="14" t="str">
        <f t="shared" si="103"/>
        <v/>
      </c>
      <c r="S312" s="14">
        <f>IF(LEFT($B312,4)="_Mil","",_xlfn.IFNA(ROUND(INDEX(Spectrum!$N:$N,MATCH(RIGHT($B312,13)&amp;"|"&amp;$C312&amp;"|"&amp;$D312&amp;"|"&amp;S$14&amp;"|"&amp;"CY2022Q4",Spectrum!$R:$R,0)),0),""))</f>
        <v>1405</v>
      </c>
      <c r="T312" s="42">
        <f>IF(LEFT($B312,4)="_Mil","",_xlfn.IFNA(ROUND(INDEX(Spectrum!$N:$N,MATCH(RIGHT($B312,13)&amp;"|"&amp;$C312&amp;"|"&amp;$D312&amp;"|"&amp;T$14&amp;"|"&amp;"CY2023Q3",Spectrum!$R:$R,0)),0),""))</f>
        <v>554</v>
      </c>
      <c r="U312" s="42" t="str">
        <f>IF(LEFT($B312,4)="_Mil","",_xlfn.IFNA(ROUND(INDEX(Spectrum!$N:$N,MATCH(RIGHT($B312,13)&amp;"|"&amp;$C312&amp;"|"&amp;$D312&amp;"|"&amp;U$14&amp;"|"&amp;"CY2023Q3",Spectrum!$R:$R,0)),0),""))</f>
        <v/>
      </c>
      <c r="V312" s="14">
        <f>IF(LEFT($B312,4)="_Mil","",_xlfn.IFNA(ROUND(INDEX(Spectrum!$N:$N,MATCH(RIGHT($B312,13)&amp;"|"&amp;$C312&amp;"|"&amp;$D312&amp;"|"&amp;V$14&amp;"|"&amp;"CY2023Q3",Spectrum!$R:$R,0)),0),""))</f>
        <v>1748</v>
      </c>
      <c r="W312" s="115">
        <f>IF(LEFT($B312,4)="_Mil","",_xlfn.IFNA(INDEX(Spectrum!$N:$N,MATCH(RIGHT($B312,13)&amp;"|"&amp;$C312&amp;"|"&amp;$D312&amp;"|"&amp;W$14&amp;"|"&amp;"CY2023Q3",Spectrum!$R:$R,0)),""))</f>
        <v>1668</v>
      </c>
      <c r="X312" s="42">
        <f>IF(LEFT($B312,4)="_Mil","",_xlfn.IFNA(ROUND(INDEX(Spectrum!$N:$N,MATCH(RIGHT($B312,13)&amp;"|"&amp;$C312&amp;"|"&amp;$D312&amp;"|"&amp;X$14&amp;"|"&amp;"CY2023Q3",Spectrum!$R:$R,0)),0),""))</f>
        <v>998</v>
      </c>
      <c r="Y312" s="90" t="str">
        <f t="shared" si="104"/>
        <v/>
      </c>
      <c r="Z312" s="42">
        <f>IF(LEFT($B312,4)="_Mil","",_xlfn.IFNA(ROUND(INDEX(Spectrum!$N:$N,MATCH(RIGHT($B312,13)&amp;"|"&amp;$C312&amp;"|"&amp;$D312&amp;"|"&amp;Z$14&amp;"|"&amp;"CY2023Q3",Spectrum!$R:$R,0)),0),""))</f>
        <v>996</v>
      </c>
      <c r="AA312" s="90">
        <f>IF(LEFT($B312,4)="_Mil","",IFERROR(1/(1/INDEX(Spectrum!$N:$N,MATCH(RIGHT($B312,13)&amp;"|"&amp;$C312&amp;"|"&amp;$D312&amp;"|"&amp;AA$14&amp;"|"&amp;"CY2023Q3",Spectrum!$R:$R,0))),IF(SUM($U312)=0,"",SUM($Z312)/$U312)))</f>
        <v>685</v>
      </c>
      <c r="AB312" s="90">
        <f t="shared" si="105"/>
        <v>0.99799599198396793</v>
      </c>
      <c r="AC312" s="14">
        <f>IF(LEFT($B312,4)="_Mil","",_xlfn.IFNA(ROUND(INDEX(Spectrum!$N:$N,MATCH(RIGHT($B312,13)&amp;"|"&amp;$C312&amp;"|"&amp;$D312&amp;"|"&amp;AC$14&amp;"|"&amp;"CY2023Q3",Spectrum!$R:$R,0)),0),""))</f>
        <v>1996</v>
      </c>
      <c r="AD312" s="14" t="str">
        <f>IF(LEFT($B312,4)="_Mil","",_xlfn.IFNA(ROUND(INDEX(Spectrum!$N:$N,MATCH(RIGHT($B312,13)&amp;"|"&amp;$C312&amp;"|"&amp;$D312&amp;"|"&amp;AD$14&amp;"|"&amp;"CY2023Q3",Spectrum!$R:$R,0)),0),""))</f>
        <v/>
      </c>
      <c r="AE312" s="90">
        <f t="shared" si="106"/>
        <v>0</v>
      </c>
      <c r="AF312" s="42" t="str">
        <f>IF(LEFT($B312,4)="_Mil","",_xlfn.IFNA(ROUND(INDEX(Spectrum!$N:$N,MATCH(RIGHT($B312,13)&amp;"|"&amp;$C312&amp;"|"&amp;$D312&amp;"|"&amp;AF$14&amp;"|"&amp;"CY2023Q3",Spectrum!$R:$R,0)),0),""))</f>
        <v/>
      </c>
      <c r="AG312" s="90" t="str">
        <f t="shared" si="107"/>
        <v/>
      </c>
      <c r="AH312" s="88" t="str">
        <f>IF(LEFT($B312,4)="_Mil","",_xlfn.IFNA(INDEX(Spectrum!$N:$N,MATCH(RIGHT($B312,13)&amp;"|"&amp;$C312&amp;"|"&amp;$D312&amp;"|"&amp;AH$14&amp;"|"&amp;"CY2023Q3",Spectrum!$R:$R,0)),""))</f>
        <v/>
      </c>
      <c r="AI312" s="14" t="str">
        <f>IF(LEFT($B312,4)="_Mil","",_xlfn.IFNA(ROUND(INDEX(Spectrum!$N:$N,MATCH(RIGHT($B312,13)&amp;"|"&amp;$C312&amp;"|"&amp;$D312&amp;"|"&amp;AI$14&amp;"|"&amp;"CY2023Q3",Spectrum!$R:$R,0)),0),""))</f>
        <v/>
      </c>
      <c r="AJ312" s="42">
        <f>IF(LEFT($B312,4)="_Mil","",_xlfn.IFNA(ROUND(INDEX(Spectrum!$N:$N,MATCH(RIGHT($B312,13)&amp;"|"&amp;$C312&amp;"|"&amp;$D312&amp;"|"&amp;AI$14&amp;"|"&amp;"CY2023Q3",Spectrum!$R:$R,0)),0),SUM($U312)+SUM($AI312)))</f>
        <v>0</v>
      </c>
      <c r="AK312" s="14" t="str">
        <f>IF(LEFT($B312,4)="_Mil","",_xlfn.IFNA(ROUND(INDEX(Spectrum!$N:$N,MATCH(RIGHT($B312,13)&amp;"|"&amp;$C312&amp;"|"&amp;$D312&amp;"|"&amp;AK$14&amp;"|"&amp;"CY2023Q3",Spectrum!$R:$R,0)),0),""))</f>
        <v/>
      </c>
      <c r="AL312" s="90">
        <f t="shared" si="108"/>
        <v>685</v>
      </c>
      <c r="AM312" s="14">
        <f t="shared" si="109"/>
        <v>0</v>
      </c>
      <c r="AN312" s="14" t="str">
        <f>IF($C312="&lt;01",ROUND(INDEX(EID!$P:$P,MATCH($B312,EID!$B:$B,0))/2,0),"")</f>
        <v/>
      </c>
      <c r="AO312" s="14">
        <f t="shared" si="110"/>
        <v>0</v>
      </c>
      <c r="AP312" s="42">
        <f t="shared" si="111"/>
        <v>0</v>
      </c>
      <c r="AQ312" s="42">
        <f t="shared" si="112"/>
        <v>996</v>
      </c>
      <c r="AR312" s="90" t="str">
        <f t="shared" si="113"/>
        <v/>
      </c>
      <c r="AS312" s="90">
        <f t="shared" si="124"/>
        <v>0.98</v>
      </c>
      <c r="AT312" s="90">
        <f t="shared" si="124"/>
        <v>0.98</v>
      </c>
      <c r="AU312" s="14">
        <f t="shared" si="114"/>
        <v>0</v>
      </c>
      <c r="AV312" s="14">
        <f>IF($C312="&lt;01",ROUND(INDEX(EID!$N:$N,MATCH($B312,EID!$B:$B,0))/2,0),IF(SUM($AT312)=0,"",ROUND((SUM($AP312)-(SUM($O312)*SUM($AS312)))/$AT312,0)))</f>
        <v>0</v>
      </c>
      <c r="AW312" s="90">
        <f t="shared" si="115"/>
        <v>1</v>
      </c>
      <c r="AX312" s="42">
        <f t="shared" si="116"/>
        <v>0</v>
      </c>
      <c r="AY312" s="116">
        <f t="shared" si="117"/>
        <v>0.7</v>
      </c>
      <c r="AZ312" s="93">
        <f>IF($C312="&lt;01",ROUND(INDEX(EID!$R:$R,MATCH($B312,EID!$B:$B,0))/2,0),ROUND(SUM($O312)+(SUM($AV312)*$AY312),0))</f>
        <v>0</v>
      </c>
      <c r="BA312" s="89">
        <f t="shared" si="118"/>
        <v>0.95</v>
      </c>
      <c r="BB312" s="9">
        <f>IF($C312="&lt;01",ROUND(INDEX(EID!$T:$T,MATCH($B312,EID!$B:$B,0))/2,0),ROUND($AZ312*$BA312,0))</f>
        <v>0</v>
      </c>
      <c r="BC312" s="93">
        <f t="shared" si="119"/>
        <v>0</v>
      </c>
      <c r="BD312" s="90">
        <f t="shared" si="120"/>
        <v>0.95</v>
      </c>
      <c r="BE312" s="42">
        <f>IF($C312="&lt;01",ROUND(INDEX(EID!$V:$V,MATCH($B312,EID!$B:$B,0))/2,0),ROUND($BD312*$BB312,0))</f>
        <v>0</v>
      </c>
      <c r="BF312" s="42">
        <f t="shared" si="121"/>
        <v>0</v>
      </c>
      <c r="BG312" s="116">
        <f t="shared" si="122"/>
        <v>0.95</v>
      </c>
      <c r="BH312" s="9">
        <f>IF($C312="&lt;01",ROUND(INDEX(EID!$L:$L,MATCH($B312,EID!$B:$B,0)),0)/2,IF(SUM($BG312)=0,"",ROUND($AX312/$BG312,0)))</f>
        <v>0</v>
      </c>
    </row>
    <row r="313" spans="1:60" x14ac:dyDescent="0.2">
      <c r="A313" t="str">
        <f>INDEX(Prioritization!$D:$D,MATCH($B313,Prioritization!$A:$A,0))</f>
        <v>INVALID</v>
      </c>
      <c r="B313" t="s">
        <v>214</v>
      </c>
      <c r="C313" t="s">
        <v>363</v>
      </c>
      <c r="D313" t="s">
        <v>29</v>
      </c>
      <c r="E313" t="str">
        <f t="shared" si="101"/>
        <v>Mangochi District [lLDyBx5XyUi]|10-14|Female</v>
      </c>
      <c r="F313" s="14"/>
      <c r="G313" s="14">
        <v>7</v>
      </c>
      <c r="H313" s="14">
        <v>2</v>
      </c>
      <c r="I313" s="14">
        <v>73</v>
      </c>
      <c r="J313" s="14">
        <v>40</v>
      </c>
      <c r="K313" s="14">
        <v>63</v>
      </c>
      <c r="L313" s="14">
        <v>1</v>
      </c>
      <c r="M313" s="14">
        <v>0</v>
      </c>
      <c r="N313" s="14">
        <v>51</v>
      </c>
      <c r="O313" s="14">
        <f t="shared" si="102"/>
        <v>73</v>
      </c>
      <c r="P313" s="14">
        <v>96</v>
      </c>
      <c r="Q313" s="14">
        <v>42</v>
      </c>
      <c r="R313" s="14">
        <f t="shared" si="103"/>
        <v>0</v>
      </c>
      <c r="S313" s="14">
        <f>IF(LEFT($B313,4)="_Mil","",_xlfn.IFNA(ROUND(INDEX(Spectrum!$N:$N,MATCH(RIGHT($B313,13)&amp;"|"&amp;$C313&amp;"|"&amp;$D313&amp;"|"&amp;S$14&amp;"|"&amp;"CY2022Q4",Spectrum!$R:$R,0)),0),""))</f>
        <v>1812</v>
      </c>
      <c r="T313" s="42">
        <f>IF(LEFT($B313,4)="_Mil","",_xlfn.IFNA(ROUND(INDEX(Spectrum!$N:$N,MATCH(RIGHT($B313,13)&amp;"|"&amp;$C313&amp;"|"&amp;$D313&amp;"|"&amp;T$14&amp;"|"&amp;"CY2023Q3",Spectrum!$R:$R,0)),0),""))</f>
        <v>1252</v>
      </c>
      <c r="U313" s="42" t="str">
        <f>IF(LEFT($B313,4)="_Mil","",_xlfn.IFNA(ROUND(INDEX(Spectrum!$N:$N,MATCH(RIGHT($B313,13)&amp;"|"&amp;$C313&amp;"|"&amp;$D313&amp;"|"&amp;U$14&amp;"|"&amp;"CY2023Q3",Spectrum!$R:$R,0)),0),""))</f>
        <v/>
      </c>
      <c r="V313" s="14">
        <f>IF(LEFT($B313,4)="_Mil","",_xlfn.IFNA(ROUND(INDEX(Spectrum!$N:$N,MATCH(RIGHT($B313,13)&amp;"|"&amp;$C313&amp;"|"&amp;$D313&amp;"|"&amp;V$14&amp;"|"&amp;"CY2023Q3",Spectrum!$R:$R,0)),0),""))</f>
        <v>1956</v>
      </c>
      <c r="W313" s="115">
        <f>IF(LEFT($B313,4)="_Mil","",_xlfn.IFNA(INDEX(Spectrum!$N:$N,MATCH(RIGHT($B313,13)&amp;"|"&amp;$C313&amp;"|"&amp;$D313&amp;"|"&amp;W$14&amp;"|"&amp;"CY2023Q3",Spectrum!$R:$R,0)),""))</f>
        <v>1133</v>
      </c>
      <c r="X313" s="42">
        <f>IF(LEFT($B313,4)="_Mil","",_xlfn.IFNA(ROUND(INDEX(Spectrum!$N:$N,MATCH(RIGHT($B313,13)&amp;"|"&amp;$C313&amp;"|"&amp;$D313&amp;"|"&amp;X$14&amp;"|"&amp;"CY2023Q3",Spectrum!$R:$R,0)),0),""))</f>
        <v>1982</v>
      </c>
      <c r="Y313" s="90" t="str">
        <f t="shared" si="104"/>
        <v/>
      </c>
      <c r="Z313" s="42">
        <f>IF(LEFT($B313,4)="_Mil","",_xlfn.IFNA(ROUND(INDEX(Spectrum!$N:$N,MATCH(RIGHT($B313,13)&amp;"|"&amp;$C313&amp;"|"&amp;$D313&amp;"|"&amp;Z$14&amp;"|"&amp;"CY2023Q3",Spectrum!$R:$R,0)),0),""))</f>
        <v>879</v>
      </c>
      <c r="AA313" s="90">
        <f>IF(LEFT($B313,4)="_Mil","",IFERROR(1/(1/INDEX(Spectrum!$N:$N,MATCH(RIGHT($B313,13)&amp;"|"&amp;$C313&amp;"|"&amp;$D313&amp;"|"&amp;AA$14&amp;"|"&amp;"CY2023Q3",Spectrum!$R:$R,0))),IF(SUM($U313)=0,"",SUM($Z313)/$U313)))</f>
        <v>1987.9999999999998</v>
      </c>
      <c r="AB313" s="90">
        <f t="shared" si="105"/>
        <v>0.44349142280524723</v>
      </c>
      <c r="AC313" s="14">
        <f>IF(LEFT($B313,4)="_Mil","",_xlfn.IFNA(ROUND(INDEX(Spectrum!$N:$N,MATCH(RIGHT($B313,13)&amp;"|"&amp;$C313&amp;"|"&amp;$D313&amp;"|"&amp;AC$14&amp;"|"&amp;"CY2023Q3",Spectrum!$R:$R,0)),0),""))</f>
        <v>1329</v>
      </c>
      <c r="AD313" s="14" t="str">
        <f>IF(LEFT($B313,4)="_Mil","",_xlfn.IFNA(ROUND(INDEX(Spectrum!$N:$N,MATCH(RIGHT($B313,13)&amp;"|"&amp;$C313&amp;"|"&amp;$D313&amp;"|"&amp;AD$14&amp;"|"&amp;"CY2023Q3",Spectrum!$R:$R,0)),0),""))</f>
        <v/>
      </c>
      <c r="AE313" s="90">
        <f t="shared" si="106"/>
        <v>0</v>
      </c>
      <c r="AF313" s="42" t="str">
        <f>IF(LEFT($B313,4)="_Mil","",_xlfn.IFNA(ROUND(INDEX(Spectrum!$N:$N,MATCH(RIGHT($B313,13)&amp;"|"&amp;$C313&amp;"|"&amp;$D313&amp;"|"&amp;AF$14&amp;"|"&amp;"CY2023Q3",Spectrum!$R:$R,0)),0),""))</f>
        <v/>
      </c>
      <c r="AG313" s="90" t="str">
        <f t="shared" si="107"/>
        <v/>
      </c>
      <c r="AH313" s="88" t="str">
        <f>IF(LEFT($B313,4)="_Mil","",_xlfn.IFNA(INDEX(Spectrum!$N:$N,MATCH(RIGHT($B313,13)&amp;"|"&amp;$C313&amp;"|"&amp;$D313&amp;"|"&amp;AH$14&amp;"|"&amp;"CY2023Q3",Spectrum!$R:$R,0)),""))</f>
        <v/>
      </c>
      <c r="AI313" s="14" t="str">
        <f>IF(LEFT($B313,4)="_Mil","",_xlfn.IFNA(ROUND(INDEX(Spectrum!$N:$N,MATCH(RIGHT($B313,13)&amp;"|"&amp;$C313&amp;"|"&amp;$D313&amp;"|"&amp;AI$14&amp;"|"&amp;"CY2023Q3",Spectrum!$R:$R,0)),0),""))</f>
        <v/>
      </c>
      <c r="AJ313" s="42">
        <f>IF(LEFT($B313,4)="_Mil","",_xlfn.IFNA(ROUND(INDEX(Spectrum!$N:$N,MATCH(RIGHT($B313,13)&amp;"|"&amp;$C313&amp;"|"&amp;$D313&amp;"|"&amp;AI$14&amp;"|"&amp;"CY2023Q3",Spectrum!$R:$R,0)),0),SUM($U313)+SUM($AI313)))</f>
        <v>0</v>
      </c>
      <c r="AK313" s="14" t="str">
        <f>IF(LEFT($B313,4)="_Mil","",_xlfn.IFNA(ROUND(INDEX(Spectrum!$N:$N,MATCH(RIGHT($B313,13)&amp;"|"&amp;$C313&amp;"|"&amp;$D313&amp;"|"&amp;AK$14&amp;"|"&amp;"CY2023Q3",Spectrum!$R:$R,0)),0),""))</f>
        <v/>
      </c>
      <c r="AL313" s="90">
        <f t="shared" si="108"/>
        <v>1987.9999999999998</v>
      </c>
      <c r="AM313" s="14">
        <f t="shared" si="109"/>
        <v>0</v>
      </c>
      <c r="AN313" s="14" t="str">
        <f>IF($C313="&lt;01",ROUND(INDEX(EID!$P:$P,MATCH($B313,EID!$B:$B,0))/2,0),"")</f>
        <v/>
      </c>
      <c r="AO313" s="14">
        <f t="shared" si="110"/>
        <v>0</v>
      </c>
      <c r="AP313" s="42">
        <f t="shared" si="111"/>
        <v>0</v>
      </c>
      <c r="AQ313" s="42">
        <f t="shared" si="112"/>
        <v>879</v>
      </c>
      <c r="AR313" s="90" t="str">
        <f t="shared" si="113"/>
        <v/>
      </c>
      <c r="AS313" s="90">
        <f t="shared" si="124"/>
        <v>0.98</v>
      </c>
      <c r="AT313" s="90">
        <f t="shared" si="124"/>
        <v>0.98</v>
      </c>
      <c r="AU313" s="14">
        <f t="shared" si="114"/>
        <v>-73</v>
      </c>
      <c r="AV313" s="14">
        <f>IF($C313="&lt;01",ROUND(INDEX(EID!$N:$N,MATCH($B313,EID!$B:$B,0))/2,0),IF(SUM($AT313)=0,"",ROUND((SUM($AP313)-(SUM($O313)*SUM($AS313)))/$AT313,0)))</f>
        <v>-73</v>
      </c>
      <c r="AW313" s="90">
        <f t="shared" si="115"/>
        <v>1</v>
      </c>
      <c r="AX313" s="42">
        <f t="shared" si="116"/>
        <v>-73</v>
      </c>
      <c r="AY313" s="116">
        <f t="shared" si="117"/>
        <v>0.7</v>
      </c>
      <c r="AZ313" s="93">
        <f>IF($C313="&lt;01",ROUND(INDEX(EID!$R:$R,MATCH($B313,EID!$B:$B,0))/2,0),ROUND(SUM($O313)+(SUM($AV313)*$AY313),0))</f>
        <v>22</v>
      </c>
      <c r="BA313" s="89">
        <f t="shared" si="118"/>
        <v>0.95</v>
      </c>
      <c r="BB313" s="9">
        <f>IF($C313="&lt;01",ROUND(INDEX(EID!$T:$T,MATCH($B313,EID!$B:$B,0))/2,0),ROUND($AZ313*$BA313,0))</f>
        <v>21</v>
      </c>
      <c r="BC313" s="93">
        <f t="shared" si="119"/>
        <v>21</v>
      </c>
      <c r="BD313" s="90">
        <f t="shared" si="120"/>
        <v>0.95</v>
      </c>
      <c r="BE313" s="42">
        <f>IF($C313="&lt;01",ROUND(INDEX(EID!$V:$V,MATCH($B313,EID!$B:$B,0))/2,0),ROUND($BD313*$BB313,0))</f>
        <v>20</v>
      </c>
      <c r="BF313" s="42">
        <f t="shared" si="121"/>
        <v>20</v>
      </c>
      <c r="BG313" s="116">
        <f t="shared" si="122"/>
        <v>0.95</v>
      </c>
      <c r="BH313" s="9">
        <f>IF($C313="&lt;01",ROUND(INDEX(EID!$L:$L,MATCH($B313,EID!$B:$B,0)),0)/2,IF(SUM($BG313)=0,"",ROUND($AX313/$BG313,0)))</f>
        <v>-77</v>
      </c>
    </row>
    <row r="314" spans="1:60" x14ac:dyDescent="0.2">
      <c r="A314" t="str">
        <f>INDEX(Prioritization!$D:$D,MATCH($B314,Prioritization!$A:$A,0))</f>
        <v>INVALID</v>
      </c>
      <c r="B314" t="s">
        <v>214</v>
      </c>
      <c r="C314" t="s">
        <v>363</v>
      </c>
      <c r="D314" t="s">
        <v>47</v>
      </c>
      <c r="E314" t="str">
        <f t="shared" si="101"/>
        <v>Mangochi District [lLDyBx5XyUi]|10-14|Male</v>
      </c>
      <c r="F314" s="14"/>
      <c r="G314" s="14">
        <v>6</v>
      </c>
      <c r="H314" s="14">
        <v>7</v>
      </c>
      <c r="I314" s="14">
        <v>20</v>
      </c>
      <c r="J314" s="14">
        <v>48</v>
      </c>
      <c r="K314" s="14">
        <v>44</v>
      </c>
      <c r="L314" s="14">
        <v>8</v>
      </c>
      <c r="M314" s="14">
        <v>5</v>
      </c>
      <c r="N314" s="14">
        <v>16</v>
      </c>
      <c r="O314" s="14">
        <f t="shared" si="102"/>
        <v>20</v>
      </c>
      <c r="P314" s="14">
        <v>19</v>
      </c>
      <c r="Q314" s="14">
        <v>19</v>
      </c>
      <c r="R314" s="14">
        <f t="shared" si="103"/>
        <v>0</v>
      </c>
      <c r="S314" s="14">
        <f>IF(LEFT($B314,4)="_Mil","",_xlfn.IFNA(ROUND(INDEX(Spectrum!$N:$N,MATCH(RIGHT($B314,13)&amp;"|"&amp;$C314&amp;"|"&amp;$D314&amp;"|"&amp;S$14&amp;"|"&amp;"CY2022Q4",Spectrum!$R:$R,0)),0),""))</f>
        <v>1819</v>
      </c>
      <c r="T314" s="42">
        <f>IF(LEFT($B314,4)="_Mil","",_xlfn.IFNA(ROUND(INDEX(Spectrum!$N:$N,MATCH(RIGHT($B314,13)&amp;"|"&amp;$C314&amp;"|"&amp;$D314&amp;"|"&amp;T$14&amp;"|"&amp;"CY2023Q3",Spectrum!$R:$R,0)),0),""))</f>
        <v>937</v>
      </c>
      <c r="U314" s="42" t="str">
        <f>IF(LEFT($B314,4)="_Mil","",_xlfn.IFNA(ROUND(INDEX(Spectrum!$N:$N,MATCH(RIGHT($B314,13)&amp;"|"&amp;$C314&amp;"|"&amp;$D314&amp;"|"&amp;U$14&amp;"|"&amp;"CY2023Q3",Spectrum!$R:$R,0)),0),""))</f>
        <v/>
      </c>
      <c r="V314" s="14">
        <f>IF(LEFT($B314,4)="_Mil","",_xlfn.IFNA(ROUND(INDEX(Spectrum!$N:$N,MATCH(RIGHT($B314,13)&amp;"|"&amp;$C314&amp;"|"&amp;$D314&amp;"|"&amp;V$14&amp;"|"&amp;"CY2023Q3",Spectrum!$R:$R,0)),0),""))</f>
        <v>1623</v>
      </c>
      <c r="W314" s="115">
        <f>IF(LEFT($B314,4)="_Mil","",_xlfn.IFNA(INDEX(Spectrum!$N:$N,MATCH(RIGHT($B314,13)&amp;"|"&amp;$C314&amp;"|"&amp;$D314&amp;"|"&amp;W$14&amp;"|"&amp;"CY2023Q3",Spectrum!$R:$R,0)),""))</f>
        <v>1602</v>
      </c>
      <c r="X314" s="42">
        <f>IF(LEFT($B314,4)="_Mil","",_xlfn.IFNA(ROUND(INDEX(Spectrum!$N:$N,MATCH(RIGHT($B314,13)&amp;"|"&amp;$C314&amp;"|"&amp;$D314&amp;"|"&amp;X$14&amp;"|"&amp;"CY2023Q3",Spectrum!$R:$R,0)),0),""))</f>
        <v>1041</v>
      </c>
      <c r="Y314" s="90" t="str">
        <f t="shared" si="104"/>
        <v/>
      </c>
      <c r="Z314" s="42">
        <f>IF(LEFT($B314,4)="_Mil","",_xlfn.IFNA(ROUND(INDEX(Spectrum!$N:$N,MATCH(RIGHT($B314,13)&amp;"|"&amp;$C314&amp;"|"&amp;$D314&amp;"|"&amp;Z$14&amp;"|"&amp;"CY2023Q3",Spectrum!$R:$R,0)),0),""))</f>
        <v>1912</v>
      </c>
      <c r="AA314" s="90">
        <f>IF(LEFT($B314,4)="_Mil","",IFERROR(1/(1/INDEX(Spectrum!$N:$N,MATCH(RIGHT($B314,13)&amp;"|"&amp;$C314&amp;"|"&amp;$D314&amp;"|"&amp;AA$14&amp;"|"&amp;"CY2023Q3",Spectrum!$R:$R,0))),IF(SUM($U314)=0,"",SUM($Z314)/$U314)))</f>
        <v>1681</v>
      </c>
      <c r="AB314" s="90">
        <f t="shared" si="105"/>
        <v>1.8366954851104706</v>
      </c>
      <c r="AC314" s="14">
        <f>IF(LEFT($B314,4)="_Mil","",_xlfn.IFNA(ROUND(INDEX(Spectrum!$N:$N,MATCH(RIGHT($B314,13)&amp;"|"&amp;$C314&amp;"|"&amp;$D314&amp;"|"&amp;AC$14&amp;"|"&amp;"CY2023Q3",Spectrum!$R:$R,0)),0),""))</f>
        <v>1233</v>
      </c>
      <c r="AD314" s="14" t="str">
        <f>IF(LEFT($B314,4)="_Mil","",_xlfn.IFNA(ROUND(INDEX(Spectrum!$N:$N,MATCH(RIGHT($B314,13)&amp;"|"&amp;$C314&amp;"|"&amp;$D314&amp;"|"&amp;AD$14&amp;"|"&amp;"CY2023Q3",Spectrum!$R:$R,0)),0),""))</f>
        <v/>
      </c>
      <c r="AE314" s="90">
        <f t="shared" si="106"/>
        <v>0</v>
      </c>
      <c r="AF314" s="42" t="str">
        <f>IF(LEFT($B314,4)="_Mil","",_xlfn.IFNA(ROUND(INDEX(Spectrum!$N:$N,MATCH(RIGHT($B314,13)&amp;"|"&amp;$C314&amp;"|"&amp;$D314&amp;"|"&amp;AF$14&amp;"|"&amp;"CY2023Q3",Spectrum!$R:$R,0)),0),""))</f>
        <v/>
      </c>
      <c r="AG314" s="90" t="str">
        <f t="shared" si="107"/>
        <v/>
      </c>
      <c r="AH314" s="88" t="str">
        <f>IF(LEFT($B314,4)="_Mil","",_xlfn.IFNA(INDEX(Spectrum!$N:$N,MATCH(RIGHT($B314,13)&amp;"|"&amp;$C314&amp;"|"&amp;$D314&amp;"|"&amp;AH$14&amp;"|"&amp;"CY2023Q3",Spectrum!$R:$R,0)),""))</f>
        <v/>
      </c>
      <c r="AI314" s="14" t="str">
        <f>IF(LEFT($B314,4)="_Mil","",_xlfn.IFNA(ROUND(INDEX(Spectrum!$N:$N,MATCH(RIGHT($B314,13)&amp;"|"&amp;$C314&amp;"|"&amp;$D314&amp;"|"&amp;AI$14&amp;"|"&amp;"CY2023Q3",Spectrum!$R:$R,0)),0),""))</f>
        <v/>
      </c>
      <c r="AJ314" s="42">
        <f>IF(LEFT($B314,4)="_Mil","",_xlfn.IFNA(ROUND(INDEX(Spectrum!$N:$N,MATCH(RIGHT($B314,13)&amp;"|"&amp;$C314&amp;"|"&amp;$D314&amp;"|"&amp;AI$14&amp;"|"&amp;"CY2023Q3",Spectrum!$R:$R,0)),0),SUM($U314)+SUM($AI314)))</f>
        <v>0</v>
      </c>
      <c r="AK314" s="14" t="str">
        <f>IF(LEFT($B314,4)="_Mil","",_xlfn.IFNA(ROUND(INDEX(Spectrum!$N:$N,MATCH(RIGHT($B314,13)&amp;"|"&amp;$C314&amp;"|"&amp;$D314&amp;"|"&amp;AK$14&amp;"|"&amp;"CY2023Q3",Spectrum!$R:$R,0)),0),""))</f>
        <v/>
      </c>
      <c r="AL314" s="90">
        <f t="shared" si="108"/>
        <v>1681</v>
      </c>
      <c r="AM314" s="14">
        <f t="shared" si="109"/>
        <v>0</v>
      </c>
      <c r="AN314" s="14" t="str">
        <f>IF($C314="&lt;01",ROUND(INDEX(EID!$P:$P,MATCH($B314,EID!$B:$B,0))/2,0),"")</f>
        <v/>
      </c>
      <c r="AO314" s="14">
        <f t="shared" si="110"/>
        <v>0</v>
      </c>
      <c r="AP314" s="42">
        <f t="shared" si="111"/>
        <v>0</v>
      </c>
      <c r="AQ314" s="42">
        <f t="shared" si="112"/>
        <v>1912</v>
      </c>
      <c r="AR314" s="90" t="str">
        <f t="shared" si="113"/>
        <v/>
      </c>
      <c r="AS314" s="90">
        <f t="shared" si="124"/>
        <v>0.98</v>
      </c>
      <c r="AT314" s="90">
        <f t="shared" si="124"/>
        <v>0.98</v>
      </c>
      <c r="AU314" s="14">
        <f t="shared" si="114"/>
        <v>-20</v>
      </c>
      <c r="AV314" s="14">
        <f>IF($C314="&lt;01",ROUND(INDEX(EID!$N:$N,MATCH($B314,EID!$B:$B,0))/2,0),IF(SUM($AT314)=0,"",ROUND((SUM($AP314)-(SUM($O314)*SUM($AS314)))/$AT314,0)))</f>
        <v>-20</v>
      </c>
      <c r="AW314" s="90">
        <f t="shared" si="115"/>
        <v>1</v>
      </c>
      <c r="AX314" s="42">
        <f t="shared" si="116"/>
        <v>-20</v>
      </c>
      <c r="AY314" s="116">
        <f t="shared" si="117"/>
        <v>0.7</v>
      </c>
      <c r="AZ314" s="93">
        <f>IF($C314="&lt;01",ROUND(INDEX(EID!$R:$R,MATCH($B314,EID!$B:$B,0))/2,0),ROUND(SUM($O314)+(SUM($AV314)*$AY314),0))</f>
        <v>6</v>
      </c>
      <c r="BA314" s="89">
        <f t="shared" si="118"/>
        <v>0.95</v>
      </c>
      <c r="BB314" s="9">
        <f>IF($C314="&lt;01",ROUND(INDEX(EID!$T:$T,MATCH($B314,EID!$B:$B,0))/2,0),ROUND($AZ314*$BA314,0))</f>
        <v>6</v>
      </c>
      <c r="BC314" s="93">
        <f t="shared" si="119"/>
        <v>6</v>
      </c>
      <c r="BD314" s="90">
        <f t="shared" si="120"/>
        <v>0.95</v>
      </c>
      <c r="BE314" s="42">
        <f>IF($C314="&lt;01",ROUND(INDEX(EID!$V:$V,MATCH($B314,EID!$B:$B,0))/2,0),ROUND($BD314*$BB314,0))</f>
        <v>6</v>
      </c>
      <c r="BF314" s="42">
        <f t="shared" si="121"/>
        <v>6</v>
      </c>
      <c r="BG314" s="116">
        <f t="shared" si="122"/>
        <v>0.95</v>
      </c>
      <c r="BH314" s="9">
        <f>IF($C314="&lt;01",ROUND(INDEX(EID!$L:$L,MATCH($B314,EID!$B:$B,0)),0)/2,IF(SUM($BG314)=0,"",ROUND($AX314/$BG314,0)))</f>
        <v>-21</v>
      </c>
    </row>
    <row r="315" spans="1:60" x14ac:dyDescent="0.2">
      <c r="A315" t="str">
        <f>INDEX(Prioritization!$D:$D,MATCH($B315,Prioritization!$A:$A,0))</f>
        <v>INVALID</v>
      </c>
      <c r="B315" t="s">
        <v>214</v>
      </c>
      <c r="C315" t="s">
        <v>364</v>
      </c>
      <c r="D315" t="s">
        <v>29</v>
      </c>
      <c r="E315" t="str">
        <f t="shared" si="101"/>
        <v>Mangochi District [lLDyBx5XyUi]|15-24|Female</v>
      </c>
      <c r="F315" s="14"/>
      <c r="G315" s="14"/>
      <c r="H315" s="14"/>
      <c r="I315" s="14"/>
      <c r="J315" s="14"/>
      <c r="K315" s="14"/>
      <c r="L315" s="14"/>
      <c r="M315" s="14"/>
      <c r="N315" s="14"/>
      <c r="O315" s="14" t="str">
        <f t="shared" si="102"/>
        <v/>
      </c>
      <c r="P315" s="14"/>
      <c r="Q315" s="14"/>
      <c r="R315" s="14" t="str">
        <f t="shared" si="103"/>
        <v/>
      </c>
      <c r="S315" s="14">
        <f>IF(LEFT($B315,4)="_Mil","",_xlfn.IFNA(ROUND(INDEX(Spectrum!$N:$N,MATCH(RIGHT($B315,13)&amp;"|"&amp;$C315&amp;"|"&amp;$D315&amp;"|"&amp;S$14&amp;"|"&amp;"CY2022Q4",Spectrum!$R:$R,0)),0),""))</f>
        <v>1718</v>
      </c>
      <c r="T315" s="42">
        <f>IF(LEFT($B315,4)="_Mil","",_xlfn.IFNA(ROUND(INDEX(Spectrum!$N:$N,MATCH(RIGHT($B315,13)&amp;"|"&amp;$C315&amp;"|"&amp;$D315&amp;"|"&amp;T$14&amp;"|"&amp;"CY2023Q3",Spectrum!$R:$R,0)),0),""))</f>
        <v>1319</v>
      </c>
      <c r="U315" s="42" t="str">
        <f>IF(LEFT($B315,4)="_Mil","",_xlfn.IFNA(ROUND(INDEX(Spectrum!$N:$N,MATCH(RIGHT($B315,13)&amp;"|"&amp;$C315&amp;"|"&amp;$D315&amp;"|"&amp;U$14&amp;"|"&amp;"CY2023Q3",Spectrum!$R:$R,0)),0),""))</f>
        <v/>
      </c>
      <c r="V315" s="14">
        <f>IF(LEFT($B315,4)="_Mil","",_xlfn.IFNA(ROUND(INDEX(Spectrum!$N:$N,MATCH(RIGHT($B315,13)&amp;"|"&amp;$C315&amp;"|"&amp;$D315&amp;"|"&amp;V$14&amp;"|"&amp;"CY2023Q3",Spectrum!$R:$R,0)),0),""))</f>
        <v>732</v>
      </c>
      <c r="W315" s="115">
        <f>IF(LEFT($B315,4)="_Mil","",_xlfn.IFNA(INDEX(Spectrum!$N:$N,MATCH(RIGHT($B315,13)&amp;"|"&amp;$C315&amp;"|"&amp;$D315&amp;"|"&amp;W$14&amp;"|"&amp;"CY2023Q3",Spectrum!$R:$R,0)),""))</f>
        <v>1883</v>
      </c>
      <c r="X315" s="42">
        <f>IF(LEFT($B315,4)="_Mil","",_xlfn.IFNA(ROUND(INDEX(Spectrum!$N:$N,MATCH(RIGHT($B315,13)&amp;"|"&amp;$C315&amp;"|"&amp;$D315&amp;"|"&amp;X$14&amp;"|"&amp;"CY2023Q3",Spectrum!$R:$R,0)),0),""))</f>
        <v>514</v>
      </c>
      <c r="Y315" s="90" t="str">
        <f t="shared" si="104"/>
        <v/>
      </c>
      <c r="Z315" s="42">
        <f>IF(LEFT($B315,4)="_Mil","",_xlfn.IFNA(ROUND(INDEX(Spectrum!$N:$N,MATCH(RIGHT($B315,13)&amp;"|"&amp;$C315&amp;"|"&amp;$D315&amp;"|"&amp;Z$14&amp;"|"&amp;"CY2023Q3",Spectrum!$R:$R,0)),0),""))</f>
        <v>1475</v>
      </c>
      <c r="AA315" s="90">
        <f>IF(LEFT($B315,4)="_Mil","",IFERROR(1/(1/INDEX(Spectrum!$N:$N,MATCH(RIGHT($B315,13)&amp;"|"&amp;$C315&amp;"|"&amp;$D315&amp;"|"&amp;AA$14&amp;"|"&amp;"CY2023Q3",Spectrum!$R:$R,0))),IF(SUM($U315)=0,"",SUM($Z315)/$U315)))</f>
        <v>1449</v>
      </c>
      <c r="AB315" s="90">
        <f t="shared" si="105"/>
        <v>2.8696498054474708</v>
      </c>
      <c r="AC315" s="14">
        <f>IF(LEFT($B315,4)="_Mil","",_xlfn.IFNA(ROUND(INDEX(Spectrum!$N:$N,MATCH(RIGHT($B315,13)&amp;"|"&amp;$C315&amp;"|"&amp;$D315&amp;"|"&amp;AC$14&amp;"|"&amp;"CY2023Q3",Spectrum!$R:$R,0)),0),""))</f>
        <v>1680</v>
      </c>
      <c r="AD315" s="14" t="str">
        <f>IF(LEFT($B315,4)="_Mil","",_xlfn.IFNA(ROUND(INDEX(Spectrum!$N:$N,MATCH(RIGHT($B315,13)&amp;"|"&amp;$C315&amp;"|"&amp;$D315&amp;"|"&amp;AD$14&amp;"|"&amp;"CY2023Q3",Spectrum!$R:$R,0)),0),""))</f>
        <v/>
      </c>
      <c r="AE315" s="90">
        <f t="shared" si="106"/>
        <v>0</v>
      </c>
      <c r="AF315" s="42" t="str">
        <f>IF(LEFT($B315,4)="_Mil","",_xlfn.IFNA(ROUND(INDEX(Spectrum!$N:$N,MATCH(RIGHT($B315,13)&amp;"|"&amp;$C315&amp;"|"&amp;$D315&amp;"|"&amp;AF$14&amp;"|"&amp;"CY2023Q3",Spectrum!$R:$R,0)),0),""))</f>
        <v/>
      </c>
      <c r="AG315" s="90" t="str">
        <f t="shared" si="107"/>
        <v/>
      </c>
      <c r="AH315" s="88" t="str">
        <f>IF(LEFT($B315,4)="_Mil","",_xlfn.IFNA(INDEX(Spectrum!$N:$N,MATCH(RIGHT($B315,13)&amp;"|"&amp;$C315&amp;"|"&amp;$D315&amp;"|"&amp;AH$14&amp;"|"&amp;"CY2023Q3",Spectrum!$R:$R,0)),""))</f>
        <v/>
      </c>
      <c r="AI315" s="14" t="str">
        <f>IF(LEFT($B315,4)="_Mil","",_xlfn.IFNA(ROUND(INDEX(Spectrum!$N:$N,MATCH(RIGHT($B315,13)&amp;"|"&amp;$C315&amp;"|"&amp;$D315&amp;"|"&amp;AI$14&amp;"|"&amp;"CY2023Q3",Spectrum!$R:$R,0)),0),""))</f>
        <v/>
      </c>
      <c r="AJ315" s="42">
        <f>IF(LEFT($B315,4)="_Mil","",_xlfn.IFNA(ROUND(INDEX(Spectrum!$N:$N,MATCH(RIGHT($B315,13)&amp;"|"&amp;$C315&amp;"|"&amp;$D315&amp;"|"&amp;AI$14&amp;"|"&amp;"CY2023Q3",Spectrum!$R:$R,0)),0),SUM($U315)+SUM($AI315)))</f>
        <v>0</v>
      </c>
      <c r="AK315" s="14" t="str">
        <f>IF(LEFT($B315,4)="_Mil","",_xlfn.IFNA(ROUND(INDEX(Spectrum!$N:$N,MATCH(RIGHT($B315,13)&amp;"|"&amp;$C315&amp;"|"&amp;$D315&amp;"|"&amp;AK$14&amp;"|"&amp;"CY2023Q3",Spectrum!$R:$R,0)),0),""))</f>
        <v/>
      </c>
      <c r="AL315" s="90">
        <f t="shared" si="108"/>
        <v>1449</v>
      </c>
      <c r="AM315" s="14">
        <f t="shared" si="109"/>
        <v>0</v>
      </c>
      <c r="AN315" s="14" t="str">
        <f>IF($C315="&lt;01",ROUND(INDEX(EID!$P:$P,MATCH($B315,EID!$B:$B,0))/2,0),"")</f>
        <v/>
      </c>
      <c r="AO315" s="14">
        <f t="shared" si="110"/>
        <v>0</v>
      </c>
      <c r="AP315" s="42">
        <f t="shared" si="111"/>
        <v>0</v>
      </c>
      <c r="AQ315" s="42">
        <f t="shared" si="112"/>
        <v>1475</v>
      </c>
      <c r="AR315" s="90" t="str">
        <f t="shared" si="113"/>
        <v/>
      </c>
      <c r="AS315" s="90">
        <f t="shared" ref="AS315:AT334" si="125">IF($C315="&lt;01","",98%)</f>
        <v>0.98</v>
      </c>
      <c r="AT315" s="90">
        <f t="shared" si="125"/>
        <v>0.98</v>
      </c>
      <c r="AU315" s="14">
        <f t="shared" si="114"/>
        <v>0</v>
      </c>
      <c r="AV315" s="14">
        <f>IF($C315="&lt;01",ROUND(INDEX(EID!$N:$N,MATCH($B315,EID!$B:$B,0))/2,0),IF(SUM($AT315)=0,"",ROUND((SUM($AP315)-(SUM($O315)*SUM($AS315)))/$AT315,0)))</f>
        <v>0</v>
      </c>
      <c r="AW315" s="90">
        <f t="shared" si="115"/>
        <v>1</v>
      </c>
      <c r="AX315" s="42">
        <f t="shared" si="116"/>
        <v>0</v>
      </c>
      <c r="AY315" s="116">
        <f t="shared" si="117"/>
        <v>0.7</v>
      </c>
      <c r="AZ315" s="93">
        <f>IF($C315="&lt;01",ROUND(INDEX(EID!$R:$R,MATCH($B315,EID!$B:$B,0))/2,0),ROUND(SUM($O315)+(SUM($AV315)*$AY315),0))</f>
        <v>0</v>
      </c>
      <c r="BA315" s="89">
        <f t="shared" si="118"/>
        <v>0.95</v>
      </c>
      <c r="BB315" s="9">
        <f>IF($C315="&lt;01",ROUND(INDEX(EID!$T:$T,MATCH($B315,EID!$B:$B,0))/2,0),ROUND($AZ315*$BA315,0))</f>
        <v>0</v>
      </c>
      <c r="BC315" s="93">
        <f t="shared" si="119"/>
        <v>0</v>
      </c>
      <c r="BD315" s="90">
        <f t="shared" si="120"/>
        <v>0.95</v>
      </c>
      <c r="BE315" s="42">
        <f>IF($C315="&lt;01",ROUND(INDEX(EID!$V:$V,MATCH($B315,EID!$B:$B,0))/2,0),ROUND($BD315*$BB315,0))</f>
        <v>0</v>
      </c>
      <c r="BF315" s="42">
        <f t="shared" si="121"/>
        <v>0</v>
      </c>
      <c r="BG315" s="116">
        <f t="shared" si="122"/>
        <v>0.95</v>
      </c>
      <c r="BH315" s="9">
        <f>IF($C315="&lt;01",ROUND(INDEX(EID!$L:$L,MATCH($B315,EID!$B:$B,0)),0)/2,IF(SUM($BG315)=0,"",ROUND($AX315/$BG315,0)))</f>
        <v>0</v>
      </c>
    </row>
    <row r="316" spans="1:60" x14ac:dyDescent="0.2">
      <c r="A316" t="str">
        <f>INDEX(Prioritization!$D:$D,MATCH($B316,Prioritization!$A:$A,0))</f>
        <v>INVALID</v>
      </c>
      <c r="B316" t="s">
        <v>214</v>
      </c>
      <c r="C316" t="s">
        <v>364</v>
      </c>
      <c r="D316" t="s">
        <v>47</v>
      </c>
      <c r="E316" t="str">
        <f t="shared" si="101"/>
        <v>Mangochi District [lLDyBx5XyUi]|15-24|Male</v>
      </c>
      <c r="F316" s="14"/>
      <c r="G316" s="14"/>
      <c r="H316" s="14"/>
      <c r="I316" s="14"/>
      <c r="J316" s="14"/>
      <c r="K316" s="14"/>
      <c r="L316" s="14"/>
      <c r="M316" s="14"/>
      <c r="N316" s="14"/>
      <c r="O316" s="14" t="str">
        <f t="shared" si="102"/>
        <v/>
      </c>
      <c r="P316" s="14"/>
      <c r="Q316" s="14"/>
      <c r="R316" s="14" t="str">
        <f t="shared" si="103"/>
        <v/>
      </c>
      <c r="S316" s="14">
        <f>IF(LEFT($B316,4)="_Mil","",_xlfn.IFNA(ROUND(INDEX(Spectrum!$N:$N,MATCH(RIGHT($B316,13)&amp;"|"&amp;$C316&amp;"|"&amp;$D316&amp;"|"&amp;S$14&amp;"|"&amp;"CY2022Q4",Spectrum!$R:$R,0)),0),""))</f>
        <v>1802</v>
      </c>
      <c r="T316" s="42">
        <f>IF(LEFT($B316,4)="_Mil","",_xlfn.IFNA(ROUND(INDEX(Spectrum!$N:$N,MATCH(RIGHT($B316,13)&amp;"|"&amp;$C316&amp;"|"&amp;$D316&amp;"|"&amp;T$14&amp;"|"&amp;"CY2023Q3",Spectrum!$R:$R,0)),0),""))</f>
        <v>1357</v>
      </c>
      <c r="U316" s="42" t="str">
        <f>IF(LEFT($B316,4)="_Mil","",_xlfn.IFNA(ROUND(INDEX(Spectrum!$N:$N,MATCH(RIGHT($B316,13)&amp;"|"&amp;$C316&amp;"|"&amp;$D316&amp;"|"&amp;U$14&amp;"|"&amp;"CY2023Q3",Spectrum!$R:$R,0)),0),""))</f>
        <v/>
      </c>
      <c r="V316" s="14">
        <f>IF(LEFT($B316,4)="_Mil","",_xlfn.IFNA(ROUND(INDEX(Spectrum!$N:$N,MATCH(RIGHT($B316,13)&amp;"|"&amp;$C316&amp;"|"&amp;$D316&amp;"|"&amp;V$14&amp;"|"&amp;"CY2023Q3",Spectrum!$R:$R,0)),0),""))</f>
        <v>1026</v>
      </c>
      <c r="W316" s="115">
        <f>IF(LEFT($B316,4)="_Mil","",_xlfn.IFNA(INDEX(Spectrum!$N:$N,MATCH(RIGHT($B316,13)&amp;"|"&amp;$C316&amp;"|"&amp;$D316&amp;"|"&amp;W$14&amp;"|"&amp;"CY2023Q3",Spectrum!$R:$R,0)),""))</f>
        <v>1736</v>
      </c>
      <c r="X316" s="42">
        <f>IF(LEFT($B316,4)="_Mil","",_xlfn.IFNA(ROUND(INDEX(Spectrum!$N:$N,MATCH(RIGHT($B316,13)&amp;"|"&amp;$C316&amp;"|"&amp;$D316&amp;"|"&amp;X$14&amp;"|"&amp;"CY2023Q3",Spectrum!$R:$R,0)),0),""))</f>
        <v>810</v>
      </c>
      <c r="Y316" s="90" t="str">
        <f t="shared" si="104"/>
        <v/>
      </c>
      <c r="Z316" s="42">
        <f>IF(LEFT($B316,4)="_Mil","",_xlfn.IFNA(ROUND(INDEX(Spectrum!$N:$N,MATCH(RIGHT($B316,13)&amp;"|"&amp;$C316&amp;"|"&amp;$D316&amp;"|"&amp;Z$14&amp;"|"&amp;"CY2023Q3",Spectrum!$R:$R,0)),0),""))</f>
        <v>1721</v>
      </c>
      <c r="AA316" s="90">
        <f>IF(LEFT($B316,4)="_Mil","",IFERROR(1/(1/INDEX(Spectrum!$N:$N,MATCH(RIGHT($B316,13)&amp;"|"&amp;$C316&amp;"|"&amp;$D316&amp;"|"&amp;AA$14&amp;"|"&amp;"CY2023Q3",Spectrum!$R:$R,0))),IF(SUM($U316)=0,"",SUM($Z316)/$U316)))</f>
        <v>1416</v>
      </c>
      <c r="AB316" s="90">
        <f t="shared" si="105"/>
        <v>2.1246913580246916</v>
      </c>
      <c r="AC316" s="14">
        <f>IF(LEFT($B316,4)="_Mil","",_xlfn.IFNA(ROUND(INDEX(Spectrum!$N:$N,MATCH(RIGHT($B316,13)&amp;"|"&amp;$C316&amp;"|"&amp;$D316&amp;"|"&amp;AC$14&amp;"|"&amp;"CY2023Q3",Spectrum!$R:$R,0)),0),""))</f>
        <v>1748</v>
      </c>
      <c r="AD316" s="14" t="str">
        <f>IF(LEFT($B316,4)="_Mil","",_xlfn.IFNA(ROUND(INDEX(Spectrum!$N:$N,MATCH(RIGHT($B316,13)&amp;"|"&amp;$C316&amp;"|"&amp;$D316&amp;"|"&amp;AD$14&amp;"|"&amp;"CY2023Q3",Spectrum!$R:$R,0)),0),""))</f>
        <v/>
      </c>
      <c r="AE316" s="90">
        <f t="shared" si="106"/>
        <v>0</v>
      </c>
      <c r="AF316" s="42" t="str">
        <f>IF(LEFT($B316,4)="_Mil","",_xlfn.IFNA(ROUND(INDEX(Spectrum!$N:$N,MATCH(RIGHT($B316,13)&amp;"|"&amp;$C316&amp;"|"&amp;$D316&amp;"|"&amp;AF$14&amp;"|"&amp;"CY2023Q3",Spectrum!$R:$R,0)),0),""))</f>
        <v/>
      </c>
      <c r="AG316" s="90" t="str">
        <f t="shared" si="107"/>
        <v/>
      </c>
      <c r="AH316" s="88" t="str">
        <f>IF(LEFT($B316,4)="_Mil","",_xlfn.IFNA(INDEX(Spectrum!$N:$N,MATCH(RIGHT($B316,13)&amp;"|"&amp;$C316&amp;"|"&amp;$D316&amp;"|"&amp;AH$14&amp;"|"&amp;"CY2023Q3",Spectrum!$R:$R,0)),""))</f>
        <v/>
      </c>
      <c r="AI316" s="14" t="str">
        <f>IF(LEFT($B316,4)="_Mil","",_xlfn.IFNA(ROUND(INDEX(Spectrum!$N:$N,MATCH(RIGHT($B316,13)&amp;"|"&amp;$C316&amp;"|"&amp;$D316&amp;"|"&amp;AI$14&amp;"|"&amp;"CY2023Q3",Spectrum!$R:$R,0)),0),""))</f>
        <v/>
      </c>
      <c r="AJ316" s="42">
        <f>IF(LEFT($B316,4)="_Mil","",_xlfn.IFNA(ROUND(INDEX(Spectrum!$N:$N,MATCH(RIGHT($B316,13)&amp;"|"&amp;$C316&amp;"|"&amp;$D316&amp;"|"&amp;AI$14&amp;"|"&amp;"CY2023Q3",Spectrum!$R:$R,0)),0),SUM($U316)+SUM($AI316)))</f>
        <v>0</v>
      </c>
      <c r="AK316" s="14" t="str">
        <f>IF(LEFT($B316,4)="_Mil","",_xlfn.IFNA(ROUND(INDEX(Spectrum!$N:$N,MATCH(RIGHT($B316,13)&amp;"|"&amp;$C316&amp;"|"&amp;$D316&amp;"|"&amp;AK$14&amp;"|"&amp;"CY2023Q3",Spectrum!$R:$R,0)),0),""))</f>
        <v/>
      </c>
      <c r="AL316" s="90">
        <f t="shared" si="108"/>
        <v>1416</v>
      </c>
      <c r="AM316" s="14">
        <f t="shared" si="109"/>
        <v>0</v>
      </c>
      <c r="AN316" s="14" t="str">
        <f>IF($C316="&lt;01",ROUND(INDEX(EID!$P:$P,MATCH($B316,EID!$B:$B,0))/2,0),"")</f>
        <v/>
      </c>
      <c r="AO316" s="14">
        <f t="shared" si="110"/>
        <v>0</v>
      </c>
      <c r="AP316" s="42">
        <f t="shared" si="111"/>
        <v>0</v>
      </c>
      <c r="AQ316" s="42">
        <f t="shared" si="112"/>
        <v>1721</v>
      </c>
      <c r="AR316" s="90" t="str">
        <f t="shared" si="113"/>
        <v/>
      </c>
      <c r="AS316" s="90">
        <f t="shared" si="125"/>
        <v>0.98</v>
      </c>
      <c r="AT316" s="90">
        <f t="shared" si="125"/>
        <v>0.98</v>
      </c>
      <c r="AU316" s="14">
        <f t="shared" si="114"/>
        <v>0</v>
      </c>
      <c r="AV316" s="14">
        <f>IF($C316="&lt;01",ROUND(INDEX(EID!$N:$N,MATCH($B316,EID!$B:$B,0))/2,0),IF(SUM($AT316)=0,"",ROUND((SUM($AP316)-(SUM($O316)*SUM($AS316)))/$AT316,0)))</f>
        <v>0</v>
      </c>
      <c r="AW316" s="90">
        <f t="shared" si="115"/>
        <v>1</v>
      </c>
      <c r="AX316" s="42">
        <f t="shared" si="116"/>
        <v>0</v>
      </c>
      <c r="AY316" s="116">
        <f t="shared" si="117"/>
        <v>0.7</v>
      </c>
      <c r="AZ316" s="93">
        <f>IF($C316="&lt;01",ROUND(INDEX(EID!$R:$R,MATCH($B316,EID!$B:$B,0))/2,0),ROUND(SUM($O316)+(SUM($AV316)*$AY316),0))</f>
        <v>0</v>
      </c>
      <c r="BA316" s="89">
        <f t="shared" si="118"/>
        <v>0.95</v>
      </c>
      <c r="BB316" s="9">
        <f>IF($C316="&lt;01",ROUND(INDEX(EID!$T:$T,MATCH($B316,EID!$B:$B,0))/2,0),ROUND($AZ316*$BA316,0))</f>
        <v>0</v>
      </c>
      <c r="BC316" s="93">
        <f t="shared" si="119"/>
        <v>0</v>
      </c>
      <c r="BD316" s="90">
        <f t="shared" si="120"/>
        <v>0.95</v>
      </c>
      <c r="BE316" s="42">
        <f>IF($C316="&lt;01",ROUND(INDEX(EID!$V:$V,MATCH($B316,EID!$B:$B,0))/2,0),ROUND($BD316*$BB316,0))</f>
        <v>0</v>
      </c>
      <c r="BF316" s="42">
        <f t="shared" si="121"/>
        <v>0</v>
      </c>
      <c r="BG316" s="116">
        <f t="shared" si="122"/>
        <v>0.95</v>
      </c>
      <c r="BH316" s="9">
        <f>IF($C316="&lt;01",ROUND(INDEX(EID!$L:$L,MATCH($B316,EID!$B:$B,0)),0)/2,IF(SUM($BG316)=0,"",ROUND($AX316/$BG316,0)))</f>
        <v>0</v>
      </c>
    </row>
    <row r="317" spans="1:60" x14ac:dyDescent="0.2">
      <c r="A317" t="str">
        <f>INDEX(Prioritization!$D:$D,MATCH($B317,Prioritization!$A:$A,0))</f>
        <v>INVALID</v>
      </c>
      <c r="B317" t="s">
        <v>214</v>
      </c>
      <c r="C317" t="s">
        <v>365</v>
      </c>
      <c r="D317" t="s">
        <v>29</v>
      </c>
      <c r="E317" t="str">
        <f t="shared" si="101"/>
        <v>Mangochi District [lLDyBx5XyUi]|25-34|Female</v>
      </c>
      <c r="F317" s="14"/>
      <c r="G317" s="14"/>
      <c r="H317" s="14"/>
      <c r="I317" s="14"/>
      <c r="J317" s="14"/>
      <c r="K317" s="14"/>
      <c r="L317" s="14"/>
      <c r="M317" s="14"/>
      <c r="N317" s="14"/>
      <c r="O317" s="14" t="str">
        <f t="shared" si="102"/>
        <v/>
      </c>
      <c r="P317" s="14"/>
      <c r="Q317" s="14"/>
      <c r="R317" s="14" t="str">
        <f t="shared" si="103"/>
        <v/>
      </c>
      <c r="S317" s="14">
        <f>IF(LEFT($B317,4)="_Mil","",_xlfn.IFNA(ROUND(INDEX(Spectrum!$N:$N,MATCH(RIGHT($B317,13)&amp;"|"&amp;$C317&amp;"|"&amp;$D317&amp;"|"&amp;S$14&amp;"|"&amp;"CY2022Q4",Spectrum!$R:$R,0)),0),""))</f>
        <v>1442</v>
      </c>
      <c r="T317" s="42">
        <f>IF(LEFT($B317,4)="_Mil","",_xlfn.IFNA(ROUND(INDEX(Spectrum!$N:$N,MATCH(RIGHT($B317,13)&amp;"|"&amp;$C317&amp;"|"&amp;$D317&amp;"|"&amp;T$14&amp;"|"&amp;"CY2023Q3",Spectrum!$R:$R,0)),0),""))</f>
        <v>1690</v>
      </c>
      <c r="U317" s="42" t="str">
        <f>IF(LEFT($B317,4)="_Mil","",_xlfn.IFNA(ROUND(INDEX(Spectrum!$N:$N,MATCH(RIGHT($B317,13)&amp;"|"&amp;$C317&amp;"|"&amp;$D317&amp;"|"&amp;U$14&amp;"|"&amp;"CY2023Q3",Spectrum!$R:$R,0)),0),""))</f>
        <v/>
      </c>
      <c r="V317" s="14">
        <f>IF(LEFT($B317,4)="_Mil","",_xlfn.IFNA(ROUND(INDEX(Spectrum!$N:$N,MATCH(RIGHT($B317,13)&amp;"|"&amp;$C317&amp;"|"&amp;$D317&amp;"|"&amp;V$14&amp;"|"&amp;"CY2023Q3",Spectrum!$R:$R,0)),0),""))</f>
        <v>1334</v>
      </c>
      <c r="W317" s="115">
        <f>IF(LEFT($B317,4)="_Mil","",_xlfn.IFNA(INDEX(Spectrum!$N:$N,MATCH(RIGHT($B317,13)&amp;"|"&amp;$C317&amp;"|"&amp;$D317&amp;"|"&amp;W$14&amp;"|"&amp;"CY2023Q3",Spectrum!$R:$R,0)),""))</f>
        <v>534</v>
      </c>
      <c r="X317" s="42">
        <f>IF(LEFT($B317,4)="_Mil","",_xlfn.IFNA(ROUND(INDEX(Spectrum!$N:$N,MATCH(RIGHT($B317,13)&amp;"|"&amp;$C317&amp;"|"&amp;$D317&amp;"|"&amp;X$14&amp;"|"&amp;"CY2023Q3",Spectrum!$R:$R,0)),0),""))</f>
        <v>1932</v>
      </c>
      <c r="Y317" s="90" t="str">
        <f t="shared" si="104"/>
        <v/>
      </c>
      <c r="Z317" s="42">
        <f>IF(LEFT($B317,4)="_Mil","",_xlfn.IFNA(ROUND(INDEX(Spectrum!$N:$N,MATCH(RIGHT($B317,13)&amp;"|"&amp;$C317&amp;"|"&amp;$D317&amp;"|"&amp;Z$14&amp;"|"&amp;"CY2023Q3",Spectrum!$R:$R,0)),0),""))</f>
        <v>931</v>
      </c>
      <c r="AA317" s="90">
        <f>IF(LEFT($B317,4)="_Mil","",IFERROR(1/(1/INDEX(Spectrum!$N:$N,MATCH(RIGHT($B317,13)&amp;"|"&amp;$C317&amp;"|"&amp;$D317&amp;"|"&amp;AA$14&amp;"|"&amp;"CY2023Q3",Spectrum!$R:$R,0))),IF(SUM($U317)=0,"",SUM($Z317)/$U317)))</f>
        <v>1569</v>
      </c>
      <c r="AB317" s="90">
        <f t="shared" si="105"/>
        <v>0.48188405797101447</v>
      </c>
      <c r="AC317" s="14">
        <f>IF(LEFT($B317,4)="_Mil","",_xlfn.IFNA(ROUND(INDEX(Spectrum!$N:$N,MATCH(RIGHT($B317,13)&amp;"|"&amp;$C317&amp;"|"&amp;$D317&amp;"|"&amp;AC$14&amp;"|"&amp;"CY2023Q3",Spectrum!$R:$R,0)),0),""))</f>
        <v>963</v>
      </c>
      <c r="AD317" s="14" t="str">
        <f>IF(LEFT($B317,4)="_Mil","",_xlfn.IFNA(ROUND(INDEX(Spectrum!$N:$N,MATCH(RIGHT($B317,13)&amp;"|"&amp;$C317&amp;"|"&amp;$D317&amp;"|"&amp;AD$14&amp;"|"&amp;"CY2023Q3",Spectrum!$R:$R,0)),0),""))</f>
        <v/>
      </c>
      <c r="AE317" s="90">
        <f t="shared" si="106"/>
        <v>0</v>
      </c>
      <c r="AF317" s="42" t="str">
        <f>IF(LEFT($B317,4)="_Mil","",_xlfn.IFNA(ROUND(INDEX(Spectrum!$N:$N,MATCH(RIGHT($B317,13)&amp;"|"&amp;$C317&amp;"|"&amp;$D317&amp;"|"&amp;AF$14&amp;"|"&amp;"CY2023Q3",Spectrum!$R:$R,0)),0),""))</f>
        <v/>
      </c>
      <c r="AG317" s="90" t="str">
        <f t="shared" si="107"/>
        <v/>
      </c>
      <c r="AH317" s="88" t="str">
        <f>IF(LEFT($B317,4)="_Mil","",_xlfn.IFNA(INDEX(Spectrum!$N:$N,MATCH(RIGHT($B317,13)&amp;"|"&amp;$C317&amp;"|"&amp;$D317&amp;"|"&amp;AH$14&amp;"|"&amp;"CY2023Q3",Spectrum!$R:$R,0)),""))</f>
        <v/>
      </c>
      <c r="AI317" s="14" t="str">
        <f>IF(LEFT($B317,4)="_Mil","",_xlfn.IFNA(ROUND(INDEX(Spectrum!$N:$N,MATCH(RIGHT($B317,13)&amp;"|"&amp;$C317&amp;"|"&amp;$D317&amp;"|"&amp;AI$14&amp;"|"&amp;"CY2023Q3",Spectrum!$R:$R,0)),0),""))</f>
        <v/>
      </c>
      <c r="AJ317" s="42">
        <f>IF(LEFT($B317,4)="_Mil","",_xlfn.IFNA(ROUND(INDEX(Spectrum!$N:$N,MATCH(RIGHT($B317,13)&amp;"|"&amp;$C317&amp;"|"&amp;$D317&amp;"|"&amp;AI$14&amp;"|"&amp;"CY2023Q3",Spectrum!$R:$R,0)),0),SUM($U317)+SUM($AI317)))</f>
        <v>0</v>
      </c>
      <c r="AK317" s="14" t="str">
        <f>IF(LEFT($B317,4)="_Mil","",_xlfn.IFNA(ROUND(INDEX(Spectrum!$N:$N,MATCH(RIGHT($B317,13)&amp;"|"&amp;$C317&amp;"|"&amp;$D317&amp;"|"&amp;AK$14&amp;"|"&amp;"CY2023Q3",Spectrum!$R:$R,0)),0),""))</f>
        <v/>
      </c>
      <c r="AL317" s="90">
        <f t="shared" si="108"/>
        <v>1569</v>
      </c>
      <c r="AM317" s="14">
        <f t="shared" si="109"/>
        <v>0</v>
      </c>
      <c r="AN317" s="14" t="str">
        <f>IF($C317="&lt;01",ROUND(INDEX(EID!$P:$P,MATCH($B317,EID!$B:$B,0))/2,0),"")</f>
        <v/>
      </c>
      <c r="AO317" s="14">
        <f t="shared" si="110"/>
        <v>0</v>
      </c>
      <c r="AP317" s="42">
        <f t="shared" si="111"/>
        <v>0</v>
      </c>
      <c r="AQ317" s="42">
        <f t="shared" si="112"/>
        <v>931</v>
      </c>
      <c r="AR317" s="90" t="str">
        <f t="shared" si="113"/>
        <v/>
      </c>
      <c r="AS317" s="90">
        <f t="shared" si="125"/>
        <v>0.98</v>
      </c>
      <c r="AT317" s="90">
        <f t="shared" si="125"/>
        <v>0.98</v>
      </c>
      <c r="AU317" s="14">
        <f t="shared" si="114"/>
        <v>0</v>
      </c>
      <c r="AV317" s="14">
        <f>IF($C317="&lt;01",ROUND(INDEX(EID!$N:$N,MATCH($B317,EID!$B:$B,0))/2,0),IF(SUM($AT317)=0,"",ROUND((SUM($AP317)-(SUM($O317)*SUM($AS317)))/$AT317,0)))</f>
        <v>0</v>
      </c>
      <c r="AW317" s="90">
        <f t="shared" si="115"/>
        <v>1</v>
      </c>
      <c r="AX317" s="42">
        <f t="shared" si="116"/>
        <v>0</v>
      </c>
      <c r="AY317" s="116">
        <f t="shared" si="117"/>
        <v>0.7</v>
      </c>
      <c r="AZ317" s="93">
        <f>IF($C317="&lt;01",ROUND(INDEX(EID!$R:$R,MATCH($B317,EID!$B:$B,0))/2,0),ROUND(SUM($O317)+(SUM($AV317)*$AY317),0))</f>
        <v>0</v>
      </c>
      <c r="BA317" s="89">
        <f t="shared" si="118"/>
        <v>0.95</v>
      </c>
      <c r="BB317" s="9">
        <f>IF($C317="&lt;01",ROUND(INDEX(EID!$T:$T,MATCH($B317,EID!$B:$B,0))/2,0),ROUND($AZ317*$BA317,0))</f>
        <v>0</v>
      </c>
      <c r="BC317" s="93">
        <f t="shared" si="119"/>
        <v>0</v>
      </c>
      <c r="BD317" s="90">
        <f t="shared" si="120"/>
        <v>0.95</v>
      </c>
      <c r="BE317" s="42">
        <f>IF($C317="&lt;01",ROUND(INDEX(EID!$V:$V,MATCH($B317,EID!$B:$B,0))/2,0),ROUND($BD317*$BB317,0))</f>
        <v>0</v>
      </c>
      <c r="BF317" s="42">
        <f t="shared" si="121"/>
        <v>0</v>
      </c>
      <c r="BG317" s="116">
        <f t="shared" si="122"/>
        <v>0.95</v>
      </c>
      <c r="BH317" s="9">
        <f>IF($C317="&lt;01",ROUND(INDEX(EID!$L:$L,MATCH($B317,EID!$B:$B,0)),0)/2,IF(SUM($BG317)=0,"",ROUND($AX317/$BG317,0)))</f>
        <v>0</v>
      </c>
    </row>
    <row r="318" spans="1:60" x14ac:dyDescent="0.2">
      <c r="A318" t="str">
        <f>INDEX(Prioritization!$D:$D,MATCH($B318,Prioritization!$A:$A,0))</f>
        <v>INVALID</v>
      </c>
      <c r="B318" t="s">
        <v>214</v>
      </c>
      <c r="C318" t="s">
        <v>365</v>
      </c>
      <c r="D318" t="s">
        <v>47</v>
      </c>
      <c r="E318" t="str">
        <f t="shared" si="101"/>
        <v>Mangochi District [lLDyBx5XyUi]|25-34|Male</v>
      </c>
      <c r="F318" s="14"/>
      <c r="G318" s="14"/>
      <c r="H318" s="14"/>
      <c r="I318" s="14"/>
      <c r="J318" s="14"/>
      <c r="K318" s="14"/>
      <c r="L318" s="14"/>
      <c r="M318" s="14"/>
      <c r="N318" s="14"/>
      <c r="O318" s="14" t="str">
        <f t="shared" si="102"/>
        <v/>
      </c>
      <c r="P318" s="14"/>
      <c r="Q318" s="14"/>
      <c r="R318" s="14" t="str">
        <f t="shared" si="103"/>
        <v/>
      </c>
      <c r="S318" s="14">
        <f>IF(LEFT($B318,4)="_Mil","",_xlfn.IFNA(ROUND(INDEX(Spectrum!$N:$N,MATCH(RIGHT($B318,13)&amp;"|"&amp;$C318&amp;"|"&amp;$D318&amp;"|"&amp;S$14&amp;"|"&amp;"CY2022Q4",Spectrum!$R:$R,0)),0),""))</f>
        <v>728</v>
      </c>
      <c r="T318" s="42">
        <f>IF(LEFT($B318,4)="_Mil","",_xlfn.IFNA(ROUND(INDEX(Spectrum!$N:$N,MATCH(RIGHT($B318,13)&amp;"|"&amp;$C318&amp;"|"&amp;$D318&amp;"|"&amp;T$14&amp;"|"&amp;"CY2023Q3",Spectrum!$R:$R,0)),0),""))</f>
        <v>1817</v>
      </c>
      <c r="U318" s="42" t="str">
        <f>IF(LEFT($B318,4)="_Mil","",_xlfn.IFNA(ROUND(INDEX(Spectrum!$N:$N,MATCH(RIGHT($B318,13)&amp;"|"&amp;$C318&amp;"|"&amp;$D318&amp;"|"&amp;U$14&amp;"|"&amp;"CY2023Q3",Spectrum!$R:$R,0)),0),""))</f>
        <v/>
      </c>
      <c r="V318" s="14">
        <f>IF(LEFT($B318,4)="_Mil","",_xlfn.IFNA(ROUND(INDEX(Spectrum!$N:$N,MATCH(RIGHT($B318,13)&amp;"|"&amp;$C318&amp;"|"&amp;$D318&amp;"|"&amp;V$14&amp;"|"&amp;"CY2023Q3",Spectrum!$R:$R,0)),0),""))</f>
        <v>1014</v>
      </c>
      <c r="W318" s="115">
        <f>IF(LEFT($B318,4)="_Mil","",_xlfn.IFNA(INDEX(Spectrum!$N:$N,MATCH(RIGHT($B318,13)&amp;"|"&amp;$C318&amp;"|"&amp;$D318&amp;"|"&amp;W$14&amp;"|"&amp;"CY2023Q3",Spectrum!$R:$R,0)),""))</f>
        <v>1763</v>
      </c>
      <c r="X318" s="42">
        <f>IF(LEFT($B318,4)="_Mil","",_xlfn.IFNA(ROUND(INDEX(Spectrum!$N:$N,MATCH(RIGHT($B318,13)&amp;"|"&amp;$C318&amp;"|"&amp;$D318&amp;"|"&amp;X$14&amp;"|"&amp;"CY2023Q3",Spectrum!$R:$R,0)),0),""))</f>
        <v>958</v>
      </c>
      <c r="Y318" s="90" t="str">
        <f t="shared" si="104"/>
        <v/>
      </c>
      <c r="Z318" s="42">
        <f>IF(LEFT($B318,4)="_Mil","",_xlfn.IFNA(ROUND(INDEX(Spectrum!$N:$N,MATCH(RIGHT($B318,13)&amp;"|"&amp;$C318&amp;"|"&amp;$D318&amp;"|"&amp;Z$14&amp;"|"&amp;"CY2023Q3",Spectrum!$R:$R,0)),0),""))</f>
        <v>988</v>
      </c>
      <c r="AA318" s="90">
        <f>IF(LEFT($B318,4)="_Mil","",IFERROR(1/(1/INDEX(Spectrum!$N:$N,MATCH(RIGHT($B318,13)&amp;"|"&amp;$C318&amp;"|"&amp;$D318&amp;"|"&amp;AA$14&amp;"|"&amp;"CY2023Q3",Spectrum!$R:$R,0))),IF(SUM($U318)=0,"",SUM($Z318)/$U318)))</f>
        <v>926</v>
      </c>
      <c r="AB318" s="90">
        <f t="shared" si="105"/>
        <v>1.0313152400835073</v>
      </c>
      <c r="AC318" s="14">
        <f>IF(LEFT($B318,4)="_Mil","",_xlfn.IFNA(ROUND(INDEX(Spectrum!$N:$N,MATCH(RIGHT($B318,13)&amp;"|"&amp;$C318&amp;"|"&amp;$D318&amp;"|"&amp;AC$14&amp;"|"&amp;"CY2023Q3",Spectrum!$R:$R,0)),0),""))</f>
        <v>1980</v>
      </c>
      <c r="AD318" s="14" t="str">
        <f>IF(LEFT($B318,4)="_Mil","",_xlfn.IFNA(ROUND(INDEX(Spectrum!$N:$N,MATCH(RIGHT($B318,13)&amp;"|"&amp;$C318&amp;"|"&amp;$D318&amp;"|"&amp;AD$14&amp;"|"&amp;"CY2023Q3",Spectrum!$R:$R,0)),0),""))</f>
        <v/>
      </c>
      <c r="AE318" s="90">
        <f t="shared" si="106"/>
        <v>0</v>
      </c>
      <c r="AF318" s="42" t="str">
        <f>IF(LEFT($B318,4)="_Mil","",_xlfn.IFNA(ROUND(INDEX(Spectrum!$N:$N,MATCH(RIGHT($B318,13)&amp;"|"&amp;$C318&amp;"|"&amp;$D318&amp;"|"&amp;AF$14&amp;"|"&amp;"CY2023Q3",Spectrum!$R:$R,0)),0),""))</f>
        <v/>
      </c>
      <c r="AG318" s="90" t="str">
        <f t="shared" si="107"/>
        <v/>
      </c>
      <c r="AH318" s="88" t="str">
        <f>IF(LEFT($B318,4)="_Mil","",_xlfn.IFNA(INDEX(Spectrum!$N:$N,MATCH(RIGHT($B318,13)&amp;"|"&amp;$C318&amp;"|"&amp;$D318&amp;"|"&amp;AH$14&amp;"|"&amp;"CY2023Q3",Spectrum!$R:$R,0)),""))</f>
        <v/>
      </c>
      <c r="AI318" s="14" t="str">
        <f>IF(LEFT($B318,4)="_Mil","",_xlfn.IFNA(ROUND(INDEX(Spectrum!$N:$N,MATCH(RIGHT($B318,13)&amp;"|"&amp;$C318&amp;"|"&amp;$D318&amp;"|"&amp;AI$14&amp;"|"&amp;"CY2023Q3",Spectrum!$R:$R,0)),0),""))</f>
        <v/>
      </c>
      <c r="AJ318" s="42">
        <f>IF(LEFT($B318,4)="_Mil","",_xlfn.IFNA(ROUND(INDEX(Spectrum!$N:$N,MATCH(RIGHT($B318,13)&amp;"|"&amp;$C318&amp;"|"&amp;$D318&amp;"|"&amp;AI$14&amp;"|"&amp;"CY2023Q3",Spectrum!$R:$R,0)),0),SUM($U318)+SUM($AI318)))</f>
        <v>0</v>
      </c>
      <c r="AK318" s="14" t="str">
        <f>IF(LEFT($B318,4)="_Mil","",_xlfn.IFNA(ROUND(INDEX(Spectrum!$N:$N,MATCH(RIGHT($B318,13)&amp;"|"&amp;$C318&amp;"|"&amp;$D318&amp;"|"&amp;AK$14&amp;"|"&amp;"CY2023Q3",Spectrum!$R:$R,0)),0),""))</f>
        <v/>
      </c>
      <c r="AL318" s="90">
        <f t="shared" si="108"/>
        <v>926</v>
      </c>
      <c r="AM318" s="14">
        <f t="shared" si="109"/>
        <v>0</v>
      </c>
      <c r="AN318" s="14" t="str">
        <f>IF($C318="&lt;01",ROUND(INDEX(EID!$P:$P,MATCH($B318,EID!$B:$B,0))/2,0),"")</f>
        <v/>
      </c>
      <c r="AO318" s="14">
        <f t="shared" si="110"/>
        <v>0</v>
      </c>
      <c r="AP318" s="42">
        <f t="shared" si="111"/>
        <v>0</v>
      </c>
      <c r="AQ318" s="42">
        <f t="shared" si="112"/>
        <v>988</v>
      </c>
      <c r="AR318" s="90" t="str">
        <f t="shared" si="113"/>
        <v/>
      </c>
      <c r="AS318" s="90">
        <f t="shared" si="125"/>
        <v>0.98</v>
      </c>
      <c r="AT318" s="90">
        <f t="shared" si="125"/>
        <v>0.98</v>
      </c>
      <c r="AU318" s="14">
        <f t="shared" si="114"/>
        <v>0</v>
      </c>
      <c r="AV318" s="14">
        <f>IF($C318="&lt;01",ROUND(INDEX(EID!$N:$N,MATCH($B318,EID!$B:$B,0))/2,0),IF(SUM($AT318)=0,"",ROUND((SUM($AP318)-(SUM($O318)*SUM($AS318)))/$AT318,0)))</f>
        <v>0</v>
      </c>
      <c r="AW318" s="90">
        <f t="shared" si="115"/>
        <v>1</v>
      </c>
      <c r="AX318" s="42">
        <f t="shared" si="116"/>
        <v>0</v>
      </c>
      <c r="AY318" s="116">
        <f t="shared" si="117"/>
        <v>0.7</v>
      </c>
      <c r="AZ318" s="93">
        <f>IF($C318="&lt;01",ROUND(INDEX(EID!$R:$R,MATCH($B318,EID!$B:$B,0))/2,0),ROUND(SUM($O318)+(SUM($AV318)*$AY318),0))</f>
        <v>0</v>
      </c>
      <c r="BA318" s="89">
        <f t="shared" si="118"/>
        <v>0.95</v>
      </c>
      <c r="BB318" s="9">
        <f>IF($C318="&lt;01",ROUND(INDEX(EID!$T:$T,MATCH($B318,EID!$B:$B,0))/2,0),ROUND($AZ318*$BA318,0))</f>
        <v>0</v>
      </c>
      <c r="BC318" s="93">
        <f t="shared" si="119"/>
        <v>0</v>
      </c>
      <c r="BD318" s="90">
        <f t="shared" si="120"/>
        <v>0.95</v>
      </c>
      <c r="BE318" s="42">
        <f>IF($C318="&lt;01",ROUND(INDEX(EID!$V:$V,MATCH($B318,EID!$B:$B,0))/2,0),ROUND($BD318*$BB318,0))</f>
        <v>0</v>
      </c>
      <c r="BF318" s="42">
        <f t="shared" si="121"/>
        <v>0</v>
      </c>
      <c r="BG318" s="116">
        <f t="shared" si="122"/>
        <v>0.95</v>
      </c>
      <c r="BH318" s="9">
        <f>IF($C318="&lt;01",ROUND(INDEX(EID!$L:$L,MATCH($B318,EID!$B:$B,0)),0)/2,IF(SUM($BG318)=0,"",ROUND($AX318/$BG318,0)))</f>
        <v>0</v>
      </c>
    </row>
    <row r="319" spans="1:60" x14ac:dyDescent="0.2">
      <c r="A319" t="str">
        <f>INDEX(Prioritization!$D:$D,MATCH($B319,Prioritization!$A:$A,0))</f>
        <v>INVALID</v>
      </c>
      <c r="B319" t="s">
        <v>214</v>
      </c>
      <c r="C319" t="s">
        <v>366</v>
      </c>
      <c r="D319" t="s">
        <v>29</v>
      </c>
      <c r="E319" t="str">
        <f t="shared" si="101"/>
        <v>Mangochi District [lLDyBx5XyUi]|35-49|Female</v>
      </c>
      <c r="F319" s="14"/>
      <c r="G319" s="14"/>
      <c r="H319" s="14"/>
      <c r="I319" s="14"/>
      <c r="J319" s="14"/>
      <c r="K319" s="14"/>
      <c r="L319" s="14"/>
      <c r="M319" s="14"/>
      <c r="N319" s="14"/>
      <c r="O319" s="14" t="str">
        <f t="shared" si="102"/>
        <v/>
      </c>
      <c r="P319" s="14"/>
      <c r="Q319" s="14"/>
      <c r="R319" s="14" t="str">
        <f t="shared" si="103"/>
        <v/>
      </c>
      <c r="S319" s="14">
        <f>IF(LEFT($B319,4)="_Mil","",_xlfn.IFNA(ROUND(INDEX(Spectrum!$N:$N,MATCH(RIGHT($B319,13)&amp;"|"&amp;$C319&amp;"|"&amp;$D319&amp;"|"&amp;S$14&amp;"|"&amp;"CY2022Q4",Spectrum!$R:$R,0)),0),""))</f>
        <v>1087</v>
      </c>
      <c r="T319" s="42">
        <f>IF(LEFT($B319,4)="_Mil","",_xlfn.IFNA(ROUND(INDEX(Spectrum!$N:$N,MATCH(RIGHT($B319,13)&amp;"|"&amp;$C319&amp;"|"&amp;$D319&amp;"|"&amp;T$14&amp;"|"&amp;"CY2023Q3",Spectrum!$R:$R,0)),0),""))</f>
        <v>1460</v>
      </c>
      <c r="U319" s="42" t="str">
        <f>IF(LEFT($B319,4)="_Mil","",_xlfn.IFNA(ROUND(INDEX(Spectrum!$N:$N,MATCH(RIGHT($B319,13)&amp;"|"&amp;$C319&amp;"|"&amp;$D319&amp;"|"&amp;U$14&amp;"|"&amp;"CY2023Q3",Spectrum!$R:$R,0)),0),""))</f>
        <v/>
      </c>
      <c r="V319" s="14">
        <f>IF(LEFT($B319,4)="_Mil","",_xlfn.IFNA(ROUND(INDEX(Spectrum!$N:$N,MATCH(RIGHT($B319,13)&amp;"|"&amp;$C319&amp;"|"&amp;$D319&amp;"|"&amp;V$14&amp;"|"&amp;"CY2023Q3",Spectrum!$R:$R,0)),0),""))</f>
        <v>1303</v>
      </c>
      <c r="W319" s="115">
        <f>IF(LEFT($B319,4)="_Mil","",_xlfn.IFNA(INDEX(Spectrum!$N:$N,MATCH(RIGHT($B319,13)&amp;"|"&amp;$C319&amp;"|"&amp;$D319&amp;"|"&amp;W$14&amp;"|"&amp;"CY2023Q3",Spectrum!$R:$R,0)),""))</f>
        <v>1134</v>
      </c>
      <c r="X319" s="42">
        <f>IF(LEFT($B319,4)="_Mil","",_xlfn.IFNA(ROUND(INDEX(Spectrum!$N:$N,MATCH(RIGHT($B319,13)&amp;"|"&amp;$C319&amp;"|"&amp;$D319&amp;"|"&amp;X$14&amp;"|"&amp;"CY2023Q3",Spectrum!$R:$R,0)),0),""))</f>
        <v>1048</v>
      </c>
      <c r="Y319" s="90" t="str">
        <f t="shared" si="104"/>
        <v/>
      </c>
      <c r="Z319" s="42">
        <f>IF(LEFT($B319,4)="_Mil","",_xlfn.IFNA(ROUND(INDEX(Spectrum!$N:$N,MATCH(RIGHT($B319,13)&amp;"|"&amp;$C319&amp;"|"&amp;$D319&amp;"|"&amp;Z$14&amp;"|"&amp;"CY2023Q3",Spectrum!$R:$R,0)),0),""))</f>
        <v>1338</v>
      </c>
      <c r="AA319" s="90">
        <f>IF(LEFT($B319,4)="_Mil","",IFERROR(1/(1/INDEX(Spectrum!$N:$N,MATCH(RIGHT($B319,13)&amp;"|"&amp;$C319&amp;"|"&amp;$D319&amp;"|"&amp;AA$14&amp;"|"&amp;"CY2023Q3",Spectrum!$R:$R,0))),IF(SUM($U319)=0,"",SUM($Z319)/$U319)))</f>
        <v>982.00000000000011</v>
      </c>
      <c r="AB319" s="90">
        <f t="shared" si="105"/>
        <v>1.2767175572519085</v>
      </c>
      <c r="AC319" s="14">
        <f>IF(LEFT($B319,4)="_Mil","",_xlfn.IFNA(ROUND(INDEX(Spectrum!$N:$N,MATCH(RIGHT($B319,13)&amp;"|"&amp;$C319&amp;"|"&amp;$D319&amp;"|"&amp;AC$14&amp;"|"&amp;"CY2023Q3",Spectrum!$R:$R,0)),0),""))</f>
        <v>1890</v>
      </c>
      <c r="AD319" s="14" t="str">
        <f>IF(LEFT($B319,4)="_Mil","",_xlfn.IFNA(ROUND(INDEX(Spectrum!$N:$N,MATCH(RIGHT($B319,13)&amp;"|"&amp;$C319&amp;"|"&amp;$D319&amp;"|"&amp;AD$14&amp;"|"&amp;"CY2023Q3",Spectrum!$R:$R,0)),0),""))</f>
        <v/>
      </c>
      <c r="AE319" s="90">
        <f t="shared" si="106"/>
        <v>0</v>
      </c>
      <c r="AF319" s="42" t="str">
        <f>IF(LEFT($B319,4)="_Mil","",_xlfn.IFNA(ROUND(INDEX(Spectrum!$N:$N,MATCH(RIGHT($B319,13)&amp;"|"&amp;$C319&amp;"|"&amp;$D319&amp;"|"&amp;AF$14&amp;"|"&amp;"CY2023Q3",Spectrum!$R:$R,0)),0),""))</f>
        <v/>
      </c>
      <c r="AG319" s="90" t="str">
        <f t="shared" si="107"/>
        <v/>
      </c>
      <c r="AH319" s="88" t="str">
        <f>IF(LEFT($B319,4)="_Mil","",_xlfn.IFNA(INDEX(Spectrum!$N:$N,MATCH(RIGHT($B319,13)&amp;"|"&amp;$C319&amp;"|"&amp;$D319&amp;"|"&amp;AH$14&amp;"|"&amp;"CY2023Q3",Spectrum!$R:$R,0)),""))</f>
        <v/>
      </c>
      <c r="AI319" s="14" t="str">
        <f>IF(LEFT($B319,4)="_Mil","",_xlfn.IFNA(ROUND(INDEX(Spectrum!$N:$N,MATCH(RIGHT($B319,13)&amp;"|"&amp;$C319&amp;"|"&amp;$D319&amp;"|"&amp;AI$14&amp;"|"&amp;"CY2023Q3",Spectrum!$R:$R,0)),0),""))</f>
        <v/>
      </c>
      <c r="AJ319" s="42">
        <f>IF(LEFT($B319,4)="_Mil","",_xlfn.IFNA(ROUND(INDEX(Spectrum!$N:$N,MATCH(RIGHT($B319,13)&amp;"|"&amp;$C319&amp;"|"&amp;$D319&amp;"|"&amp;AI$14&amp;"|"&amp;"CY2023Q3",Spectrum!$R:$R,0)),0),SUM($U319)+SUM($AI319)))</f>
        <v>0</v>
      </c>
      <c r="AK319" s="14" t="str">
        <f>IF(LEFT($B319,4)="_Mil","",_xlfn.IFNA(ROUND(INDEX(Spectrum!$N:$N,MATCH(RIGHT($B319,13)&amp;"|"&amp;$C319&amp;"|"&amp;$D319&amp;"|"&amp;AK$14&amp;"|"&amp;"CY2023Q3",Spectrum!$R:$R,0)),0),""))</f>
        <v/>
      </c>
      <c r="AL319" s="90">
        <f t="shared" si="108"/>
        <v>982.00000000000011</v>
      </c>
      <c r="AM319" s="14">
        <f t="shared" si="109"/>
        <v>0</v>
      </c>
      <c r="AN319" s="14" t="str">
        <f>IF($C319="&lt;01",ROUND(INDEX(EID!$P:$P,MATCH($B319,EID!$B:$B,0))/2,0),"")</f>
        <v/>
      </c>
      <c r="AO319" s="14">
        <f t="shared" si="110"/>
        <v>0</v>
      </c>
      <c r="AP319" s="42">
        <f t="shared" si="111"/>
        <v>0</v>
      </c>
      <c r="AQ319" s="42">
        <f t="shared" si="112"/>
        <v>1338</v>
      </c>
      <c r="AR319" s="90" t="str">
        <f t="shared" si="113"/>
        <v/>
      </c>
      <c r="AS319" s="90">
        <f t="shared" si="125"/>
        <v>0.98</v>
      </c>
      <c r="AT319" s="90">
        <f t="shared" si="125"/>
        <v>0.98</v>
      </c>
      <c r="AU319" s="14">
        <f t="shared" si="114"/>
        <v>0</v>
      </c>
      <c r="AV319" s="14">
        <f>IF($C319="&lt;01",ROUND(INDEX(EID!$N:$N,MATCH($B319,EID!$B:$B,0))/2,0),IF(SUM($AT319)=0,"",ROUND((SUM($AP319)-(SUM($O319)*SUM($AS319)))/$AT319,0)))</f>
        <v>0</v>
      </c>
      <c r="AW319" s="90">
        <f t="shared" si="115"/>
        <v>1</v>
      </c>
      <c r="AX319" s="42">
        <f t="shared" si="116"/>
        <v>0</v>
      </c>
      <c r="AY319" s="116">
        <f t="shared" si="117"/>
        <v>0.7</v>
      </c>
      <c r="AZ319" s="93">
        <f>IF($C319="&lt;01",ROUND(INDEX(EID!$R:$R,MATCH($B319,EID!$B:$B,0))/2,0),ROUND(SUM($O319)+(SUM($AV319)*$AY319),0))</f>
        <v>0</v>
      </c>
      <c r="BA319" s="89">
        <f t="shared" si="118"/>
        <v>0.95</v>
      </c>
      <c r="BB319" s="9">
        <f>IF($C319="&lt;01",ROUND(INDEX(EID!$T:$T,MATCH($B319,EID!$B:$B,0))/2,0),ROUND($AZ319*$BA319,0))</f>
        <v>0</v>
      </c>
      <c r="BC319" s="93">
        <f t="shared" si="119"/>
        <v>0</v>
      </c>
      <c r="BD319" s="90">
        <f t="shared" si="120"/>
        <v>0.95</v>
      </c>
      <c r="BE319" s="42">
        <f>IF($C319="&lt;01",ROUND(INDEX(EID!$V:$V,MATCH($B319,EID!$B:$B,0))/2,0),ROUND($BD319*$BB319,0))</f>
        <v>0</v>
      </c>
      <c r="BF319" s="42">
        <f t="shared" si="121"/>
        <v>0</v>
      </c>
      <c r="BG319" s="116">
        <f t="shared" si="122"/>
        <v>0.95</v>
      </c>
      <c r="BH319" s="9">
        <f>IF($C319="&lt;01",ROUND(INDEX(EID!$L:$L,MATCH($B319,EID!$B:$B,0)),0)/2,IF(SUM($BG319)=0,"",ROUND($AX319/$BG319,0)))</f>
        <v>0</v>
      </c>
    </row>
    <row r="320" spans="1:60" x14ac:dyDescent="0.2">
      <c r="A320" t="str">
        <f>INDEX(Prioritization!$D:$D,MATCH($B320,Prioritization!$A:$A,0))</f>
        <v>INVALID</v>
      </c>
      <c r="B320" t="s">
        <v>214</v>
      </c>
      <c r="C320" t="s">
        <v>366</v>
      </c>
      <c r="D320" t="s">
        <v>47</v>
      </c>
      <c r="E320" t="str">
        <f t="shared" si="101"/>
        <v>Mangochi District [lLDyBx5XyUi]|35-49|Male</v>
      </c>
      <c r="F320" s="14"/>
      <c r="G320" s="14"/>
      <c r="H320" s="14"/>
      <c r="I320" s="14"/>
      <c r="J320" s="14"/>
      <c r="K320" s="14"/>
      <c r="L320" s="14"/>
      <c r="M320" s="14"/>
      <c r="N320" s="14"/>
      <c r="O320" s="14" t="str">
        <f t="shared" si="102"/>
        <v/>
      </c>
      <c r="P320" s="14"/>
      <c r="Q320" s="14"/>
      <c r="R320" s="14" t="str">
        <f t="shared" si="103"/>
        <v/>
      </c>
      <c r="S320" s="14">
        <f>IF(LEFT($B320,4)="_Mil","",_xlfn.IFNA(ROUND(INDEX(Spectrum!$N:$N,MATCH(RIGHT($B320,13)&amp;"|"&amp;$C320&amp;"|"&amp;$D320&amp;"|"&amp;S$14&amp;"|"&amp;"CY2022Q4",Spectrum!$R:$R,0)),0),""))</f>
        <v>1566</v>
      </c>
      <c r="T320" s="42">
        <f>IF(LEFT($B320,4)="_Mil","",_xlfn.IFNA(ROUND(INDEX(Spectrum!$N:$N,MATCH(RIGHT($B320,13)&amp;"|"&amp;$C320&amp;"|"&amp;$D320&amp;"|"&amp;T$14&amp;"|"&amp;"CY2023Q3",Spectrum!$R:$R,0)),0),""))</f>
        <v>1281</v>
      </c>
      <c r="U320" s="42" t="str">
        <f>IF(LEFT($B320,4)="_Mil","",_xlfn.IFNA(ROUND(INDEX(Spectrum!$N:$N,MATCH(RIGHT($B320,13)&amp;"|"&amp;$C320&amp;"|"&amp;$D320&amp;"|"&amp;U$14&amp;"|"&amp;"CY2023Q3",Spectrum!$R:$R,0)),0),""))</f>
        <v/>
      </c>
      <c r="V320" s="14">
        <f>IF(LEFT($B320,4)="_Mil","",_xlfn.IFNA(ROUND(INDEX(Spectrum!$N:$N,MATCH(RIGHT($B320,13)&amp;"|"&amp;$C320&amp;"|"&amp;$D320&amp;"|"&amp;V$14&amp;"|"&amp;"CY2023Q3",Spectrum!$R:$R,0)),0),""))</f>
        <v>1163</v>
      </c>
      <c r="W320" s="115">
        <f>IF(LEFT($B320,4)="_Mil","",_xlfn.IFNA(INDEX(Spectrum!$N:$N,MATCH(RIGHT($B320,13)&amp;"|"&amp;$C320&amp;"|"&amp;$D320&amp;"|"&amp;W$14&amp;"|"&amp;"CY2023Q3",Spectrum!$R:$R,0)),""))</f>
        <v>1665</v>
      </c>
      <c r="X320" s="42">
        <f>IF(LEFT($B320,4)="_Mil","",_xlfn.IFNA(ROUND(INDEX(Spectrum!$N:$N,MATCH(RIGHT($B320,13)&amp;"|"&amp;$C320&amp;"|"&amp;$D320&amp;"|"&amp;X$14&amp;"|"&amp;"CY2023Q3",Spectrum!$R:$R,0)),0),""))</f>
        <v>1508</v>
      </c>
      <c r="Y320" s="90" t="str">
        <f t="shared" si="104"/>
        <v/>
      </c>
      <c r="Z320" s="42">
        <f>IF(LEFT($B320,4)="_Mil","",_xlfn.IFNA(ROUND(INDEX(Spectrum!$N:$N,MATCH(RIGHT($B320,13)&amp;"|"&amp;$C320&amp;"|"&amp;$D320&amp;"|"&amp;Z$14&amp;"|"&amp;"CY2023Q3",Spectrum!$R:$R,0)),0),""))</f>
        <v>1457</v>
      </c>
      <c r="AA320" s="90">
        <f>IF(LEFT($B320,4)="_Mil","",IFERROR(1/(1/INDEX(Spectrum!$N:$N,MATCH(RIGHT($B320,13)&amp;"|"&amp;$C320&amp;"|"&amp;$D320&amp;"|"&amp;AA$14&amp;"|"&amp;"CY2023Q3",Spectrum!$R:$R,0))),IF(SUM($U320)=0,"",SUM($Z320)/$U320)))</f>
        <v>1820</v>
      </c>
      <c r="AB320" s="90">
        <f t="shared" si="105"/>
        <v>0.96618037135278512</v>
      </c>
      <c r="AC320" s="14">
        <f>IF(LEFT($B320,4)="_Mil","",_xlfn.IFNA(ROUND(INDEX(Spectrum!$N:$N,MATCH(RIGHT($B320,13)&amp;"|"&amp;$C320&amp;"|"&amp;$D320&amp;"|"&amp;AC$14&amp;"|"&amp;"CY2023Q3",Spectrum!$R:$R,0)),0),""))</f>
        <v>805</v>
      </c>
      <c r="AD320" s="14" t="str">
        <f>IF(LEFT($B320,4)="_Mil","",_xlfn.IFNA(ROUND(INDEX(Spectrum!$N:$N,MATCH(RIGHT($B320,13)&amp;"|"&amp;$C320&amp;"|"&amp;$D320&amp;"|"&amp;AD$14&amp;"|"&amp;"CY2023Q3",Spectrum!$R:$R,0)),0),""))</f>
        <v/>
      </c>
      <c r="AE320" s="90">
        <f t="shared" si="106"/>
        <v>0</v>
      </c>
      <c r="AF320" s="42" t="str">
        <f>IF(LEFT($B320,4)="_Mil","",_xlfn.IFNA(ROUND(INDEX(Spectrum!$N:$N,MATCH(RIGHT($B320,13)&amp;"|"&amp;$C320&amp;"|"&amp;$D320&amp;"|"&amp;AF$14&amp;"|"&amp;"CY2023Q3",Spectrum!$R:$R,0)),0),""))</f>
        <v/>
      </c>
      <c r="AG320" s="90" t="str">
        <f t="shared" si="107"/>
        <v/>
      </c>
      <c r="AH320" s="88" t="str">
        <f>IF(LEFT($B320,4)="_Mil","",_xlfn.IFNA(INDEX(Spectrum!$N:$N,MATCH(RIGHT($B320,13)&amp;"|"&amp;$C320&amp;"|"&amp;$D320&amp;"|"&amp;AH$14&amp;"|"&amp;"CY2023Q3",Spectrum!$R:$R,0)),""))</f>
        <v/>
      </c>
      <c r="AI320" s="14" t="str">
        <f>IF(LEFT($B320,4)="_Mil","",_xlfn.IFNA(ROUND(INDEX(Spectrum!$N:$N,MATCH(RIGHT($B320,13)&amp;"|"&amp;$C320&amp;"|"&amp;$D320&amp;"|"&amp;AI$14&amp;"|"&amp;"CY2023Q3",Spectrum!$R:$R,0)),0),""))</f>
        <v/>
      </c>
      <c r="AJ320" s="42">
        <f>IF(LEFT($B320,4)="_Mil","",_xlfn.IFNA(ROUND(INDEX(Spectrum!$N:$N,MATCH(RIGHT($B320,13)&amp;"|"&amp;$C320&amp;"|"&amp;$D320&amp;"|"&amp;AI$14&amp;"|"&amp;"CY2023Q3",Spectrum!$R:$R,0)),0),SUM($U320)+SUM($AI320)))</f>
        <v>0</v>
      </c>
      <c r="AK320" s="14" t="str">
        <f>IF(LEFT($B320,4)="_Mil","",_xlfn.IFNA(ROUND(INDEX(Spectrum!$N:$N,MATCH(RIGHT($B320,13)&amp;"|"&amp;$C320&amp;"|"&amp;$D320&amp;"|"&amp;AK$14&amp;"|"&amp;"CY2023Q3",Spectrum!$R:$R,0)),0),""))</f>
        <v/>
      </c>
      <c r="AL320" s="90">
        <f t="shared" si="108"/>
        <v>1820</v>
      </c>
      <c r="AM320" s="14">
        <f t="shared" si="109"/>
        <v>0</v>
      </c>
      <c r="AN320" s="14" t="str">
        <f>IF($C320="&lt;01",ROUND(INDEX(EID!$P:$P,MATCH($B320,EID!$B:$B,0))/2,0),"")</f>
        <v/>
      </c>
      <c r="AO320" s="14">
        <f t="shared" si="110"/>
        <v>0</v>
      </c>
      <c r="AP320" s="42">
        <f t="shared" si="111"/>
        <v>0</v>
      </c>
      <c r="AQ320" s="42">
        <f t="shared" si="112"/>
        <v>1457</v>
      </c>
      <c r="AR320" s="90" t="str">
        <f t="shared" si="113"/>
        <v/>
      </c>
      <c r="AS320" s="90">
        <f t="shared" si="125"/>
        <v>0.98</v>
      </c>
      <c r="AT320" s="90">
        <f t="shared" si="125"/>
        <v>0.98</v>
      </c>
      <c r="AU320" s="14">
        <f t="shared" si="114"/>
        <v>0</v>
      </c>
      <c r="AV320" s="14">
        <f>IF($C320="&lt;01",ROUND(INDEX(EID!$N:$N,MATCH($B320,EID!$B:$B,0))/2,0),IF(SUM($AT320)=0,"",ROUND((SUM($AP320)-(SUM($O320)*SUM($AS320)))/$AT320,0)))</f>
        <v>0</v>
      </c>
      <c r="AW320" s="90">
        <f t="shared" si="115"/>
        <v>1</v>
      </c>
      <c r="AX320" s="42">
        <f t="shared" si="116"/>
        <v>0</v>
      </c>
      <c r="AY320" s="116">
        <f t="shared" si="117"/>
        <v>0.7</v>
      </c>
      <c r="AZ320" s="93">
        <f>IF($C320="&lt;01",ROUND(INDEX(EID!$R:$R,MATCH($B320,EID!$B:$B,0))/2,0),ROUND(SUM($O320)+(SUM($AV320)*$AY320),0))</f>
        <v>0</v>
      </c>
      <c r="BA320" s="89">
        <f t="shared" si="118"/>
        <v>0.95</v>
      </c>
      <c r="BB320" s="9">
        <f>IF($C320="&lt;01",ROUND(INDEX(EID!$T:$T,MATCH($B320,EID!$B:$B,0))/2,0),ROUND($AZ320*$BA320,0))</f>
        <v>0</v>
      </c>
      <c r="BC320" s="93">
        <f t="shared" si="119"/>
        <v>0</v>
      </c>
      <c r="BD320" s="90">
        <f t="shared" si="120"/>
        <v>0.95</v>
      </c>
      <c r="BE320" s="42">
        <f>IF($C320="&lt;01",ROUND(INDEX(EID!$V:$V,MATCH($B320,EID!$B:$B,0))/2,0),ROUND($BD320*$BB320,0))</f>
        <v>0</v>
      </c>
      <c r="BF320" s="42">
        <f t="shared" si="121"/>
        <v>0</v>
      </c>
      <c r="BG320" s="116">
        <f t="shared" si="122"/>
        <v>0.95</v>
      </c>
      <c r="BH320" s="9">
        <f>IF($C320="&lt;01",ROUND(INDEX(EID!$L:$L,MATCH($B320,EID!$B:$B,0)),0)/2,IF(SUM($BG320)=0,"",ROUND($AX320/$BG320,0)))</f>
        <v>0</v>
      </c>
    </row>
    <row r="321" spans="1:60" x14ac:dyDescent="0.2">
      <c r="A321" t="str">
        <f>INDEX(Prioritization!$D:$D,MATCH($B321,Prioritization!$A:$A,0))</f>
        <v>INVALID</v>
      </c>
      <c r="B321" t="s">
        <v>214</v>
      </c>
      <c r="C321" t="s">
        <v>367</v>
      </c>
      <c r="D321" t="s">
        <v>29</v>
      </c>
      <c r="E321" t="str">
        <f t="shared" si="101"/>
        <v>Mangochi District [lLDyBx5XyUi]|50+|Female</v>
      </c>
      <c r="F321" s="14"/>
      <c r="G321" s="14"/>
      <c r="H321" s="14"/>
      <c r="I321" s="14"/>
      <c r="J321" s="14"/>
      <c r="K321" s="14"/>
      <c r="L321" s="14"/>
      <c r="M321" s="14"/>
      <c r="N321" s="14"/>
      <c r="O321" s="14" t="str">
        <f t="shared" si="102"/>
        <v/>
      </c>
      <c r="P321" s="14"/>
      <c r="Q321" s="14"/>
      <c r="R321" s="14" t="str">
        <f t="shared" si="103"/>
        <v/>
      </c>
      <c r="S321" s="14">
        <f>IF(LEFT($B321,4)="_Mil","",_xlfn.IFNA(ROUND(INDEX(Spectrum!$N:$N,MATCH(RIGHT($B321,13)&amp;"|"&amp;$C321&amp;"|"&amp;$D321&amp;"|"&amp;S$14&amp;"|"&amp;"CY2022Q4",Spectrum!$R:$R,0)),0),""))</f>
        <v>1224</v>
      </c>
      <c r="T321" s="42">
        <f>IF(LEFT($B321,4)="_Mil","",_xlfn.IFNA(ROUND(INDEX(Spectrum!$N:$N,MATCH(RIGHT($B321,13)&amp;"|"&amp;$C321&amp;"|"&amp;$D321&amp;"|"&amp;T$14&amp;"|"&amp;"CY2023Q3",Spectrum!$R:$R,0)),0),""))</f>
        <v>1612</v>
      </c>
      <c r="U321" s="42" t="str">
        <f>IF(LEFT($B321,4)="_Mil","",_xlfn.IFNA(ROUND(INDEX(Spectrum!$N:$N,MATCH(RIGHT($B321,13)&amp;"|"&amp;$C321&amp;"|"&amp;$D321&amp;"|"&amp;U$14&amp;"|"&amp;"CY2023Q3",Spectrum!$R:$R,0)),0),""))</f>
        <v/>
      </c>
      <c r="V321" s="14">
        <f>IF(LEFT($B321,4)="_Mil","",_xlfn.IFNA(ROUND(INDEX(Spectrum!$N:$N,MATCH(RIGHT($B321,13)&amp;"|"&amp;$C321&amp;"|"&amp;$D321&amp;"|"&amp;V$14&amp;"|"&amp;"CY2023Q3",Spectrum!$R:$R,0)),0),""))</f>
        <v>1425</v>
      </c>
      <c r="W321" s="115">
        <f>IF(LEFT($B321,4)="_Mil","",_xlfn.IFNA(INDEX(Spectrum!$N:$N,MATCH(RIGHT($B321,13)&amp;"|"&amp;$C321&amp;"|"&amp;$D321&amp;"|"&amp;W$14&amp;"|"&amp;"CY2023Q3",Spectrum!$R:$R,0)),""))</f>
        <v>1324</v>
      </c>
      <c r="X321" s="42">
        <f>IF(LEFT($B321,4)="_Mil","",_xlfn.IFNA(ROUND(INDEX(Spectrum!$N:$N,MATCH(RIGHT($B321,13)&amp;"|"&amp;$C321&amp;"|"&amp;$D321&amp;"|"&amp;X$14&amp;"|"&amp;"CY2023Q3",Spectrum!$R:$R,0)),0),""))</f>
        <v>1140</v>
      </c>
      <c r="Y321" s="90" t="str">
        <f t="shared" si="104"/>
        <v/>
      </c>
      <c r="Z321" s="42">
        <f>IF(LEFT($B321,4)="_Mil","",_xlfn.IFNA(ROUND(INDEX(Spectrum!$N:$N,MATCH(RIGHT($B321,13)&amp;"|"&amp;$C321&amp;"|"&amp;$D321&amp;"|"&amp;Z$14&amp;"|"&amp;"CY2023Q3",Spectrum!$R:$R,0)),0),""))</f>
        <v>799</v>
      </c>
      <c r="AA321" s="90">
        <f>IF(LEFT($B321,4)="_Mil","",IFERROR(1/(1/INDEX(Spectrum!$N:$N,MATCH(RIGHT($B321,13)&amp;"|"&amp;$C321&amp;"|"&amp;$D321&amp;"|"&amp;AA$14&amp;"|"&amp;"CY2023Q3",Spectrum!$R:$R,0))),IF(SUM($U321)=0,"",SUM($Z321)/$U321)))</f>
        <v>596</v>
      </c>
      <c r="AB321" s="90">
        <f t="shared" si="105"/>
        <v>0.7008771929824561</v>
      </c>
      <c r="AC321" s="14">
        <f>IF(LEFT($B321,4)="_Mil","",_xlfn.IFNA(ROUND(INDEX(Spectrum!$N:$N,MATCH(RIGHT($B321,13)&amp;"|"&amp;$C321&amp;"|"&amp;$D321&amp;"|"&amp;AC$14&amp;"|"&amp;"CY2023Q3",Spectrum!$R:$R,0)),0),""))</f>
        <v>1463</v>
      </c>
      <c r="AD321" s="14" t="str">
        <f>IF(LEFT($B321,4)="_Mil","",_xlfn.IFNA(ROUND(INDEX(Spectrum!$N:$N,MATCH(RIGHT($B321,13)&amp;"|"&amp;$C321&amp;"|"&amp;$D321&amp;"|"&amp;AD$14&amp;"|"&amp;"CY2023Q3",Spectrum!$R:$R,0)),0),""))</f>
        <v/>
      </c>
      <c r="AE321" s="90">
        <f t="shared" si="106"/>
        <v>0</v>
      </c>
      <c r="AF321" s="42" t="str">
        <f>IF(LEFT($B321,4)="_Mil","",_xlfn.IFNA(ROUND(INDEX(Spectrum!$N:$N,MATCH(RIGHT($B321,13)&amp;"|"&amp;$C321&amp;"|"&amp;$D321&amp;"|"&amp;AF$14&amp;"|"&amp;"CY2023Q3",Spectrum!$R:$R,0)),0),""))</f>
        <v/>
      </c>
      <c r="AG321" s="90" t="str">
        <f t="shared" si="107"/>
        <v/>
      </c>
      <c r="AH321" s="88" t="str">
        <f>IF(LEFT($B321,4)="_Mil","",_xlfn.IFNA(INDEX(Spectrum!$N:$N,MATCH(RIGHT($B321,13)&amp;"|"&amp;$C321&amp;"|"&amp;$D321&amp;"|"&amp;AH$14&amp;"|"&amp;"CY2023Q3",Spectrum!$R:$R,0)),""))</f>
        <v/>
      </c>
      <c r="AI321" s="14" t="str">
        <f>IF(LEFT($B321,4)="_Mil","",_xlfn.IFNA(ROUND(INDEX(Spectrum!$N:$N,MATCH(RIGHT($B321,13)&amp;"|"&amp;$C321&amp;"|"&amp;$D321&amp;"|"&amp;AI$14&amp;"|"&amp;"CY2023Q3",Spectrum!$R:$R,0)),0),""))</f>
        <v/>
      </c>
      <c r="AJ321" s="42">
        <f>IF(LEFT($B321,4)="_Mil","",_xlfn.IFNA(ROUND(INDEX(Spectrum!$N:$N,MATCH(RIGHT($B321,13)&amp;"|"&amp;$C321&amp;"|"&amp;$D321&amp;"|"&amp;AI$14&amp;"|"&amp;"CY2023Q3",Spectrum!$R:$R,0)),0),SUM($U321)+SUM($AI321)))</f>
        <v>0</v>
      </c>
      <c r="AK321" s="14" t="str">
        <f>IF(LEFT($B321,4)="_Mil","",_xlfn.IFNA(ROUND(INDEX(Spectrum!$N:$N,MATCH(RIGHT($B321,13)&amp;"|"&amp;$C321&amp;"|"&amp;$D321&amp;"|"&amp;AK$14&amp;"|"&amp;"CY2023Q3",Spectrum!$R:$R,0)),0),""))</f>
        <v/>
      </c>
      <c r="AL321" s="90">
        <f t="shared" si="108"/>
        <v>596</v>
      </c>
      <c r="AM321" s="14">
        <f t="shared" si="109"/>
        <v>0</v>
      </c>
      <c r="AN321" s="14" t="str">
        <f>IF($C321="&lt;01",ROUND(INDEX(EID!$P:$P,MATCH($B321,EID!$B:$B,0))/2,0),"")</f>
        <v/>
      </c>
      <c r="AO321" s="14">
        <f t="shared" si="110"/>
        <v>0</v>
      </c>
      <c r="AP321" s="42">
        <f t="shared" si="111"/>
        <v>0</v>
      </c>
      <c r="AQ321" s="42">
        <f t="shared" si="112"/>
        <v>799</v>
      </c>
      <c r="AR321" s="90" t="str">
        <f t="shared" si="113"/>
        <v/>
      </c>
      <c r="AS321" s="90">
        <f t="shared" si="125"/>
        <v>0.98</v>
      </c>
      <c r="AT321" s="90">
        <f t="shared" si="125"/>
        <v>0.98</v>
      </c>
      <c r="AU321" s="14">
        <f t="shared" si="114"/>
        <v>0</v>
      </c>
      <c r="AV321" s="14">
        <f>IF($C321="&lt;01",ROUND(INDEX(EID!$N:$N,MATCH($B321,EID!$B:$B,0))/2,0),IF(SUM($AT321)=0,"",ROUND((SUM($AP321)-(SUM($O321)*SUM($AS321)))/$AT321,0)))</f>
        <v>0</v>
      </c>
      <c r="AW321" s="90">
        <f t="shared" si="115"/>
        <v>1</v>
      </c>
      <c r="AX321" s="42">
        <f t="shared" si="116"/>
        <v>0</v>
      </c>
      <c r="AY321" s="116">
        <f t="shared" si="117"/>
        <v>0.7</v>
      </c>
      <c r="AZ321" s="93">
        <f>IF($C321="&lt;01",ROUND(INDEX(EID!$R:$R,MATCH($B321,EID!$B:$B,0))/2,0),ROUND(SUM($O321)+(SUM($AV321)*$AY321),0))</f>
        <v>0</v>
      </c>
      <c r="BA321" s="89">
        <f t="shared" si="118"/>
        <v>0.95</v>
      </c>
      <c r="BB321" s="9">
        <f>IF($C321="&lt;01",ROUND(INDEX(EID!$T:$T,MATCH($B321,EID!$B:$B,0))/2,0),ROUND($AZ321*$BA321,0))</f>
        <v>0</v>
      </c>
      <c r="BC321" s="93">
        <f t="shared" si="119"/>
        <v>0</v>
      </c>
      <c r="BD321" s="90">
        <f t="shared" si="120"/>
        <v>0.95</v>
      </c>
      <c r="BE321" s="42">
        <f>IF($C321="&lt;01",ROUND(INDEX(EID!$V:$V,MATCH($B321,EID!$B:$B,0))/2,0),ROUND($BD321*$BB321,0))</f>
        <v>0</v>
      </c>
      <c r="BF321" s="42">
        <f t="shared" si="121"/>
        <v>0</v>
      </c>
      <c r="BG321" s="116">
        <f t="shared" si="122"/>
        <v>0.95</v>
      </c>
      <c r="BH321" s="9">
        <f>IF($C321="&lt;01",ROUND(INDEX(EID!$L:$L,MATCH($B321,EID!$B:$B,0)),0)/2,IF(SUM($BG321)=0,"",ROUND($AX321/$BG321,0)))</f>
        <v>0</v>
      </c>
    </row>
    <row r="322" spans="1:60" x14ac:dyDescent="0.2">
      <c r="A322" t="str">
        <f>INDEX(Prioritization!$D:$D,MATCH($B322,Prioritization!$A:$A,0))</f>
        <v>INVALID</v>
      </c>
      <c r="B322" t="s">
        <v>214</v>
      </c>
      <c r="C322" t="s">
        <v>367</v>
      </c>
      <c r="D322" t="s">
        <v>47</v>
      </c>
      <c r="E322" t="str">
        <f t="shared" si="101"/>
        <v>Mangochi District [lLDyBx5XyUi]|50+|Male</v>
      </c>
      <c r="F322" s="14"/>
      <c r="G322" s="14"/>
      <c r="H322" s="14"/>
      <c r="I322" s="14"/>
      <c r="J322" s="14"/>
      <c r="K322" s="14"/>
      <c r="L322" s="14"/>
      <c r="M322" s="14"/>
      <c r="N322" s="14"/>
      <c r="O322" s="14" t="str">
        <f t="shared" si="102"/>
        <v/>
      </c>
      <c r="P322" s="14"/>
      <c r="Q322" s="14"/>
      <c r="R322" s="14" t="str">
        <f t="shared" si="103"/>
        <v/>
      </c>
      <c r="S322" s="14">
        <f>IF(LEFT($B322,4)="_Mil","",_xlfn.IFNA(ROUND(INDEX(Spectrum!$N:$N,MATCH(RIGHT($B322,13)&amp;"|"&amp;$C322&amp;"|"&amp;$D322&amp;"|"&amp;S$14&amp;"|"&amp;"CY2022Q4",Spectrum!$R:$R,0)),0),""))</f>
        <v>1250</v>
      </c>
      <c r="T322" s="42">
        <f>IF(LEFT($B322,4)="_Mil","",_xlfn.IFNA(ROUND(INDEX(Spectrum!$N:$N,MATCH(RIGHT($B322,13)&amp;"|"&amp;$C322&amp;"|"&amp;$D322&amp;"|"&amp;T$14&amp;"|"&amp;"CY2023Q3",Spectrum!$R:$R,0)),0),""))</f>
        <v>1127</v>
      </c>
      <c r="U322" s="42" t="str">
        <f>IF(LEFT($B322,4)="_Mil","",_xlfn.IFNA(ROUND(INDEX(Spectrum!$N:$N,MATCH(RIGHT($B322,13)&amp;"|"&amp;$C322&amp;"|"&amp;$D322&amp;"|"&amp;U$14&amp;"|"&amp;"CY2023Q3",Spectrum!$R:$R,0)),0),""))</f>
        <v/>
      </c>
      <c r="V322" s="14">
        <f>IF(LEFT($B322,4)="_Mil","",_xlfn.IFNA(ROUND(INDEX(Spectrum!$N:$N,MATCH(RIGHT($B322,13)&amp;"|"&amp;$C322&amp;"|"&amp;$D322&amp;"|"&amp;V$14&amp;"|"&amp;"CY2023Q3",Spectrum!$R:$R,0)),0),""))</f>
        <v>875</v>
      </c>
      <c r="W322" s="115">
        <f>IF(LEFT($B322,4)="_Mil","",_xlfn.IFNA(INDEX(Spectrum!$N:$N,MATCH(RIGHT($B322,13)&amp;"|"&amp;$C322&amp;"|"&amp;$D322&amp;"|"&amp;W$14&amp;"|"&amp;"CY2023Q3",Spectrum!$R:$R,0)),""))</f>
        <v>595</v>
      </c>
      <c r="X322" s="42">
        <f>IF(LEFT($B322,4)="_Mil","",_xlfn.IFNA(ROUND(INDEX(Spectrum!$N:$N,MATCH(RIGHT($B322,13)&amp;"|"&amp;$C322&amp;"|"&amp;$D322&amp;"|"&amp;X$14&amp;"|"&amp;"CY2023Q3",Spectrum!$R:$R,0)),0),""))</f>
        <v>868</v>
      </c>
      <c r="Y322" s="90" t="str">
        <f t="shared" si="104"/>
        <v/>
      </c>
      <c r="Z322" s="42">
        <f>IF(LEFT($B322,4)="_Mil","",_xlfn.IFNA(ROUND(INDEX(Spectrum!$N:$N,MATCH(RIGHT($B322,13)&amp;"|"&amp;$C322&amp;"|"&amp;$D322&amp;"|"&amp;Z$14&amp;"|"&amp;"CY2023Q3",Spectrum!$R:$R,0)),0),""))</f>
        <v>1851</v>
      </c>
      <c r="AA322" s="90">
        <f>IF(LEFT($B322,4)="_Mil","",IFERROR(1/(1/INDEX(Spectrum!$N:$N,MATCH(RIGHT($B322,13)&amp;"|"&amp;$C322&amp;"|"&amp;$D322&amp;"|"&amp;AA$14&amp;"|"&amp;"CY2023Q3",Spectrum!$R:$R,0))),IF(SUM($U322)=0,"",SUM($Z322)/$U322)))</f>
        <v>1818</v>
      </c>
      <c r="AB322" s="90">
        <f t="shared" si="105"/>
        <v>2.1324884792626726</v>
      </c>
      <c r="AC322" s="14">
        <f>IF(LEFT($B322,4)="_Mil","",_xlfn.IFNA(ROUND(INDEX(Spectrum!$N:$N,MATCH(RIGHT($B322,13)&amp;"|"&amp;$C322&amp;"|"&amp;$D322&amp;"|"&amp;AC$14&amp;"|"&amp;"CY2023Q3",Spectrum!$R:$R,0)),0),""))</f>
        <v>939</v>
      </c>
      <c r="AD322" s="14" t="str">
        <f>IF(LEFT($B322,4)="_Mil","",_xlfn.IFNA(ROUND(INDEX(Spectrum!$N:$N,MATCH(RIGHT($B322,13)&amp;"|"&amp;$C322&amp;"|"&amp;$D322&amp;"|"&amp;AD$14&amp;"|"&amp;"CY2023Q3",Spectrum!$R:$R,0)),0),""))</f>
        <v/>
      </c>
      <c r="AE322" s="90">
        <f t="shared" si="106"/>
        <v>0</v>
      </c>
      <c r="AF322" s="42" t="str">
        <f>IF(LEFT($B322,4)="_Mil","",_xlfn.IFNA(ROUND(INDEX(Spectrum!$N:$N,MATCH(RIGHT($B322,13)&amp;"|"&amp;$C322&amp;"|"&amp;$D322&amp;"|"&amp;AF$14&amp;"|"&amp;"CY2023Q3",Spectrum!$R:$R,0)),0),""))</f>
        <v/>
      </c>
      <c r="AG322" s="90" t="str">
        <f t="shared" si="107"/>
        <v/>
      </c>
      <c r="AH322" s="88" t="str">
        <f>IF(LEFT($B322,4)="_Mil","",_xlfn.IFNA(INDEX(Spectrum!$N:$N,MATCH(RIGHT($B322,13)&amp;"|"&amp;$C322&amp;"|"&amp;$D322&amp;"|"&amp;AH$14&amp;"|"&amp;"CY2023Q3",Spectrum!$R:$R,0)),""))</f>
        <v/>
      </c>
      <c r="AI322" s="14" t="str">
        <f>IF(LEFT($B322,4)="_Mil","",_xlfn.IFNA(ROUND(INDEX(Spectrum!$N:$N,MATCH(RIGHT($B322,13)&amp;"|"&amp;$C322&amp;"|"&amp;$D322&amp;"|"&amp;AI$14&amp;"|"&amp;"CY2023Q3",Spectrum!$R:$R,0)),0),""))</f>
        <v/>
      </c>
      <c r="AJ322" s="42">
        <f>IF(LEFT($B322,4)="_Mil","",_xlfn.IFNA(ROUND(INDEX(Spectrum!$N:$N,MATCH(RIGHT($B322,13)&amp;"|"&amp;$C322&amp;"|"&amp;$D322&amp;"|"&amp;AI$14&amp;"|"&amp;"CY2023Q3",Spectrum!$R:$R,0)),0),SUM($U322)+SUM($AI322)))</f>
        <v>0</v>
      </c>
      <c r="AK322" s="14" t="str">
        <f>IF(LEFT($B322,4)="_Mil","",_xlfn.IFNA(ROUND(INDEX(Spectrum!$N:$N,MATCH(RIGHT($B322,13)&amp;"|"&amp;$C322&amp;"|"&amp;$D322&amp;"|"&amp;AK$14&amp;"|"&amp;"CY2023Q3",Spectrum!$R:$R,0)),0),""))</f>
        <v/>
      </c>
      <c r="AL322" s="90">
        <f t="shared" si="108"/>
        <v>1818</v>
      </c>
      <c r="AM322" s="14">
        <f t="shared" si="109"/>
        <v>0</v>
      </c>
      <c r="AN322" s="14" t="str">
        <f>IF($C322="&lt;01",ROUND(INDEX(EID!$P:$P,MATCH($B322,EID!$B:$B,0))/2,0),"")</f>
        <v/>
      </c>
      <c r="AO322" s="14">
        <f t="shared" si="110"/>
        <v>0</v>
      </c>
      <c r="AP322" s="42">
        <f t="shared" si="111"/>
        <v>0</v>
      </c>
      <c r="AQ322" s="42">
        <f t="shared" si="112"/>
        <v>1851</v>
      </c>
      <c r="AR322" s="90" t="str">
        <f t="shared" si="113"/>
        <v/>
      </c>
      <c r="AS322" s="90">
        <f t="shared" si="125"/>
        <v>0.98</v>
      </c>
      <c r="AT322" s="90">
        <f t="shared" si="125"/>
        <v>0.98</v>
      </c>
      <c r="AU322" s="14">
        <f t="shared" si="114"/>
        <v>0</v>
      </c>
      <c r="AV322" s="14">
        <f>IF($C322="&lt;01",ROUND(INDEX(EID!$N:$N,MATCH($B322,EID!$B:$B,0))/2,0),IF(SUM($AT322)=0,"",ROUND((SUM($AP322)-(SUM($O322)*SUM($AS322)))/$AT322,0)))</f>
        <v>0</v>
      </c>
      <c r="AW322" s="90">
        <f t="shared" si="115"/>
        <v>1</v>
      </c>
      <c r="AX322" s="42">
        <f t="shared" si="116"/>
        <v>0</v>
      </c>
      <c r="AY322" s="116">
        <f t="shared" si="117"/>
        <v>0.7</v>
      </c>
      <c r="AZ322" s="93">
        <f>IF($C322="&lt;01",ROUND(INDEX(EID!$R:$R,MATCH($B322,EID!$B:$B,0))/2,0),ROUND(SUM($O322)+(SUM($AV322)*$AY322),0))</f>
        <v>0</v>
      </c>
      <c r="BA322" s="89">
        <f t="shared" si="118"/>
        <v>0.95</v>
      </c>
      <c r="BB322" s="9">
        <f>IF($C322="&lt;01",ROUND(INDEX(EID!$T:$T,MATCH($B322,EID!$B:$B,0))/2,0),ROUND($AZ322*$BA322,0))</f>
        <v>0</v>
      </c>
      <c r="BC322" s="93">
        <f t="shared" si="119"/>
        <v>0</v>
      </c>
      <c r="BD322" s="90">
        <f t="shared" si="120"/>
        <v>0.95</v>
      </c>
      <c r="BE322" s="42">
        <f>IF($C322="&lt;01",ROUND(INDEX(EID!$V:$V,MATCH($B322,EID!$B:$B,0))/2,0),ROUND($BD322*$BB322,0))</f>
        <v>0</v>
      </c>
      <c r="BF322" s="42">
        <f t="shared" si="121"/>
        <v>0</v>
      </c>
      <c r="BG322" s="116">
        <f t="shared" si="122"/>
        <v>0.95</v>
      </c>
      <c r="BH322" s="9">
        <f>IF($C322="&lt;01",ROUND(INDEX(EID!$L:$L,MATCH($B322,EID!$B:$B,0)),0)/2,IF(SUM($BG322)=0,"",ROUND($AX322/$BG322,0)))</f>
        <v>0</v>
      </c>
    </row>
    <row r="323" spans="1:60" x14ac:dyDescent="0.2">
      <c r="A323" t="str">
        <f>INDEX(Prioritization!$D:$D,MATCH($B323,Prioritization!$A:$A,0))</f>
        <v>INVALID</v>
      </c>
      <c r="B323" t="s">
        <v>215</v>
      </c>
      <c r="C323" t="s">
        <v>315</v>
      </c>
      <c r="D323" t="s">
        <v>29</v>
      </c>
      <c r="E323" t="str">
        <f t="shared" si="101"/>
        <v>Mulanje District [umc2n1Z4wNv]|&lt;01|Female</v>
      </c>
      <c r="F323" s="14"/>
      <c r="G323" s="14">
        <v>8</v>
      </c>
      <c r="H323" s="14">
        <v>6</v>
      </c>
      <c r="I323" s="14">
        <v>5</v>
      </c>
      <c r="J323" s="14">
        <v>1</v>
      </c>
      <c r="K323" s="14">
        <v>5</v>
      </c>
      <c r="L323" s="14"/>
      <c r="M323" s="14">
        <v>8</v>
      </c>
      <c r="N323" s="14">
        <v>5</v>
      </c>
      <c r="O323" s="14">
        <f t="shared" si="102"/>
        <v>5</v>
      </c>
      <c r="P323" s="14">
        <v>8</v>
      </c>
      <c r="Q323" s="14">
        <v>8</v>
      </c>
      <c r="R323" s="14">
        <f t="shared" si="103"/>
        <v>0</v>
      </c>
      <c r="S323" s="14">
        <f>IF(LEFT($B323,4)="_Mil","",_xlfn.IFNA(ROUND(INDEX(Spectrum!$N:$N,MATCH(RIGHT($B323,13)&amp;"|"&amp;$C323&amp;"|"&amp;$D323&amp;"|"&amp;S$14&amp;"|"&amp;"CY2022Q4",Spectrum!$R:$R,0)),0),""))</f>
        <v>672</v>
      </c>
      <c r="T323" s="42">
        <f>IF(LEFT($B323,4)="_Mil","",_xlfn.IFNA(ROUND(INDEX(Spectrum!$N:$N,MATCH(RIGHT($B323,13)&amp;"|"&amp;$C323&amp;"|"&amp;$D323&amp;"|"&amp;T$14&amp;"|"&amp;"CY2023Q3",Spectrum!$R:$R,0)),0),""))</f>
        <v>732</v>
      </c>
      <c r="U323" s="42" t="str">
        <f>IF(LEFT($B323,4)="_Mil","",_xlfn.IFNA(ROUND(INDEX(Spectrum!$N:$N,MATCH(RIGHT($B323,13)&amp;"|"&amp;$C323&amp;"|"&amp;$D323&amp;"|"&amp;U$14&amp;"|"&amp;"CY2023Q3",Spectrum!$R:$R,0)),0),""))</f>
        <v/>
      </c>
      <c r="V323" s="14">
        <f>IF(LEFT($B323,4)="_Mil","",_xlfn.IFNA(ROUND(INDEX(Spectrum!$N:$N,MATCH(RIGHT($B323,13)&amp;"|"&amp;$C323&amp;"|"&amp;$D323&amp;"|"&amp;V$14&amp;"|"&amp;"CY2023Q3",Spectrum!$R:$R,0)),0),""))</f>
        <v>1432</v>
      </c>
      <c r="W323" s="115">
        <f>IF(LEFT($B323,4)="_Mil","",_xlfn.IFNA(INDEX(Spectrum!$N:$N,MATCH(RIGHT($B323,13)&amp;"|"&amp;$C323&amp;"|"&amp;$D323&amp;"|"&amp;W$14&amp;"|"&amp;"CY2023Q3",Spectrum!$R:$R,0)),""))</f>
        <v>1869</v>
      </c>
      <c r="X323" s="42">
        <f>IF(LEFT($B323,4)="_Mil","",_xlfn.IFNA(ROUND(INDEX(Spectrum!$N:$N,MATCH(RIGHT($B323,13)&amp;"|"&amp;$C323&amp;"|"&amp;$D323&amp;"|"&amp;X$14&amp;"|"&amp;"CY2023Q3",Spectrum!$R:$R,0)),0),""))</f>
        <v>1519</v>
      </c>
      <c r="Y323" s="90" t="str">
        <f t="shared" si="104"/>
        <v/>
      </c>
      <c r="Z323" s="42">
        <f>IF(LEFT($B323,4)="_Mil","",_xlfn.IFNA(ROUND(INDEX(Spectrum!$N:$N,MATCH(RIGHT($B323,13)&amp;"|"&amp;$C323&amp;"|"&amp;$D323&amp;"|"&amp;Z$14&amp;"|"&amp;"CY2023Q3",Spectrum!$R:$R,0)),0),""))</f>
        <v>1009</v>
      </c>
      <c r="AA323" s="90">
        <f>IF(LEFT($B323,4)="_Mil","",IFERROR(1/(1/INDEX(Spectrum!$N:$N,MATCH(RIGHT($B323,13)&amp;"|"&amp;$C323&amp;"|"&amp;$D323&amp;"|"&amp;AA$14&amp;"|"&amp;"CY2023Q3",Spectrum!$R:$R,0))),IF(SUM($U323)=0,"",SUM($Z323)/$U323)))</f>
        <v>921</v>
      </c>
      <c r="AB323" s="90">
        <f t="shared" si="105"/>
        <v>0.6642527978933509</v>
      </c>
      <c r="AC323" s="14">
        <f>IF(LEFT($B323,4)="_Mil","",_xlfn.IFNA(ROUND(INDEX(Spectrum!$N:$N,MATCH(RIGHT($B323,13)&amp;"|"&amp;$C323&amp;"|"&amp;$D323&amp;"|"&amp;AC$14&amp;"|"&amp;"CY2023Q3",Spectrum!$R:$R,0)),0),""))</f>
        <v>795</v>
      </c>
      <c r="AD323" s="14" t="str">
        <f>IF(LEFT($B323,4)="_Mil","",_xlfn.IFNA(ROUND(INDEX(Spectrum!$N:$N,MATCH(RIGHT($B323,13)&amp;"|"&amp;$C323&amp;"|"&amp;$D323&amp;"|"&amp;AD$14&amp;"|"&amp;"CY2023Q3",Spectrum!$R:$R,0)),0),""))</f>
        <v/>
      </c>
      <c r="AE323" s="90">
        <f t="shared" si="106"/>
        <v>0</v>
      </c>
      <c r="AF323" s="42" t="str">
        <f>IF(LEFT($B323,4)="_Mil","",_xlfn.IFNA(ROUND(INDEX(Spectrum!$N:$N,MATCH(RIGHT($B323,13)&amp;"|"&amp;$C323&amp;"|"&amp;$D323&amp;"|"&amp;AF$14&amp;"|"&amp;"CY2023Q3",Spectrum!$R:$R,0)),0),""))</f>
        <v/>
      </c>
      <c r="AG323" s="90" t="str">
        <f t="shared" si="107"/>
        <v/>
      </c>
      <c r="AH323" s="88" t="str">
        <f>IF(LEFT($B323,4)="_Mil","",_xlfn.IFNA(INDEX(Spectrum!$N:$N,MATCH(RIGHT($B323,13)&amp;"|"&amp;$C323&amp;"|"&amp;$D323&amp;"|"&amp;AH$14&amp;"|"&amp;"CY2023Q3",Spectrum!$R:$R,0)),""))</f>
        <v/>
      </c>
      <c r="AI323" s="14" t="str">
        <f>IF(LEFT($B323,4)="_Mil","",_xlfn.IFNA(ROUND(INDEX(Spectrum!$N:$N,MATCH(RIGHT($B323,13)&amp;"|"&amp;$C323&amp;"|"&amp;$D323&amp;"|"&amp;AI$14&amp;"|"&amp;"CY2023Q3",Spectrum!$R:$R,0)),0),""))</f>
        <v/>
      </c>
      <c r="AJ323" s="42">
        <f>IF(LEFT($B323,4)="_Mil","",_xlfn.IFNA(ROUND(INDEX(Spectrum!$N:$N,MATCH(RIGHT($B323,13)&amp;"|"&amp;$C323&amp;"|"&amp;$D323&amp;"|"&amp;AI$14&amp;"|"&amp;"CY2023Q3",Spectrum!$R:$R,0)),0),SUM($U323)+SUM($AI323)))</f>
        <v>0</v>
      </c>
      <c r="AK323" s="14" t="str">
        <f>IF(LEFT($B323,4)="_Mil","",_xlfn.IFNA(ROUND(INDEX(Spectrum!$N:$N,MATCH(RIGHT($B323,13)&amp;"|"&amp;$C323&amp;"|"&amp;$D323&amp;"|"&amp;AK$14&amp;"|"&amp;"CY2023Q3",Spectrum!$R:$R,0)),0),""))</f>
        <v/>
      </c>
      <c r="AL323" s="90" t="str">
        <f t="shared" si="108"/>
        <v/>
      </c>
      <c r="AM323" s="14" t="str">
        <f t="shared" si="109"/>
        <v/>
      </c>
      <c r="AN323" s="14">
        <f>IF($C323="&lt;01",ROUND(INDEX(EID!$P:$P,MATCH($B323,EID!$B:$B,0))/2,0),"")</f>
        <v>2</v>
      </c>
      <c r="AO323" s="14">
        <f t="shared" si="110"/>
        <v>2</v>
      </c>
      <c r="AP323" s="42">
        <f t="shared" si="111"/>
        <v>2</v>
      </c>
      <c r="AQ323" s="42">
        <f t="shared" si="112"/>
        <v>403.6</v>
      </c>
      <c r="AR323" s="90" t="str">
        <f t="shared" si="113"/>
        <v/>
      </c>
      <c r="AS323" s="90" t="str">
        <f t="shared" si="125"/>
        <v/>
      </c>
      <c r="AT323" s="90" t="str">
        <f t="shared" si="125"/>
        <v/>
      </c>
      <c r="AU323" s="14" t="str">
        <f t="shared" si="114"/>
        <v/>
      </c>
      <c r="AV323" s="14">
        <f>IF($C323="&lt;01",ROUND(INDEX(EID!$N:$N,MATCH($B323,EID!$B:$B,0))/2,0),IF(SUM($AT323)=0,"",ROUND((SUM($AP323)-(SUM($O323)*SUM($AS323)))/$AT323,0)))</f>
        <v>2</v>
      </c>
      <c r="AW323" s="90" t="str">
        <f t="shared" si="115"/>
        <v/>
      </c>
      <c r="AX323" s="42">
        <f t="shared" si="116"/>
        <v>2</v>
      </c>
      <c r="AY323" s="116" t="str">
        <f t="shared" si="117"/>
        <v/>
      </c>
      <c r="AZ323" s="93">
        <f>IF($C323="&lt;01",ROUND(INDEX(EID!$R:$R,MATCH($B323,EID!$B:$B,0))/2,0),ROUND(SUM($O323)+(SUM($AV323)*$AY323),0))</f>
        <v>1</v>
      </c>
      <c r="BA323" s="89" t="str">
        <f t="shared" si="118"/>
        <v/>
      </c>
      <c r="BB323" s="9">
        <f>IF($C323="&lt;01",ROUND(INDEX(EID!$T:$T,MATCH($B323,EID!$B:$B,0))/2,0),ROUND($AZ323*$BA323,0))</f>
        <v>1</v>
      </c>
      <c r="BC323" s="93">
        <f t="shared" si="119"/>
        <v>202</v>
      </c>
      <c r="BD323" s="90" t="str">
        <f t="shared" si="120"/>
        <v/>
      </c>
      <c r="BE323" s="42">
        <f>IF($C323="&lt;01",ROUND(INDEX(EID!$V:$V,MATCH($B323,EID!$B:$B,0))/2,0),ROUND($BD323*$BB323,0))</f>
        <v>1</v>
      </c>
      <c r="BF323" s="42">
        <f t="shared" si="121"/>
        <v>202</v>
      </c>
      <c r="BG323" s="116" t="str">
        <f t="shared" si="122"/>
        <v/>
      </c>
      <c r="BH323" s="9">
        <f>IF($C323="&lt;01",ROUND(INDEX(EID!$L:$L,MATCH($B323,EID!$B:$B,0)),0)/2,IF(SUM($BG323)=0,"",ROUND($AX323/$BG323,0)))</f>
        <v>1.5</v>
      </c>
    </row>
    <row r="324" spans="1:60" x14ac:dyDescent="0.2">
      <c r="A324" t="str">
        <f>INDEX(Prioritization!$D:$D,MATCH($B324,Prioritization!$A:$A,0))</f>
        <v>INVALID</v>
      </c>
      <c r="B324" t="s">
        <v>215</v>
      </c>
      <c r="C324" t="s">
        <v>315</v>
      </c>
      <c r="D324" t="s">
        <v>47</v>
      </c>
      <c r="E324" t="str">
        <f t="shared" si="101"/>
        <v>Mulanje District [umc2n1Z4wNv]|&lt;01|Male</v>
      </c>
      <c r="F324" s="14"/>
      <c r="G324" s="14">
        <v>8</v>
      </c>
      <c r="H324" s="14">
        <v>10</v>
      </c>
      <c r="I324" s="14">
        <v>0</v>
      </c>
      <c r="J324" s="14">
        <v>2</v>
      </c>
      <c r="K324" s="14">
        <v>6</v>
      </c>
      <c r="L324" s="14"/>
      <c r="M324" s="14">
        <v>1</v>
      </c>
      <c r="N324" s="14">
        <v>7</v>
      </c>
      <c r="O324" s="14">
        <f t="shared" si="102"/>
        <v>7</v>
      </c>
      <c r="P324" s="14">
        <v>4</v>
      </c>
      <c r="Q324" s="14">
        <v>5</v>
      </c>
      <c r="R324" s="14">
        <f t="shared" si="103"/>
        <v>7</v>
      </c>
      <c r="S324" s="14">
        <f>IF(LEFT($B324,4)="_Mil","",_xlfn.IFNA(ROUND(INDEX(Spectrum!$N:$N,MATCH(RIGHT($B324,13)&amp;"|"&amp;$C324&amp;"|"&amp;$D324&amp;"|"&amp;S$14&amp;"|"&amp;"CY2022Q4",Spectrum!$R:$R,0)),0),""))</f>
        <v>1186</v>
      </c>
      <c r="T324" s="42">
        <f>IF(LEFT($B324,4)="_Mil","",_xlfn.IFNA(ROUND(INDEX(Spectrum!$N:$N,MATCH(RIGHT($B324,13)&amp;"|"&amp;$C324&amp;"|"&amp;$D324&amp;"|"&amp;T$14&amp;"|"&amp;"CY2023Q3",Spectrum!$R:$R,0)),0),""))</f>
        <v>677</v>
      </c>
      <c r="U324" s="42" t="str">
        <f>IF(LEFT($B324,4)="_Mil","",_xlfn.IFNA(ROUND(INDEX(Spectrum!$N:$N,MATCH(RIGHT($B324,13)&amp;"|"&amp;$C324&amp;"|"&amp;$D324&amp;"|"&amp;U$14&amp;"|"&amp;"CY2023Q3",Spectrum!$R:$R,0)),0),""))</f>
        <v/>
      </c>
      <c r="V324" s="14">
        <f>IF(LEFT($B324,4)="_Mil","",_xlfn.IFNA(ROUND(INDEX(Spectrum!$N:$N,MATCH(RIGHT($B324,13)&amp;"|"&amp;$C324&amp;"|"&amp;$D324&amp;"|"&amp;V$14&amp;"|"&amp;"CY2023Q3",Spectrum!$R:$R,0)),0),""))</f>
        <v>1030</v>
      </c>
      <c r="W324" s="115">
        <f>IF(LEFT($B324,4)="_Mil","",_xlfn.IFNA(INDEX(Spectrum!$N:$N,MATCH(RIGHT($B324,13)&amp;"|"&amp;$C324&amp;"|"&amp;$D324&amp;"|"&amp;W$14&amp;"|"&amp;"CY2023Q3",Spectrum!$R:$R,0)),""))</f>
        <v>1666</v>
      </c>
      <c r="X324" s="42">
        <f>IF(LEFT($B324,4)="_Mil","",_xlfn.IFNA(ROUND(INDEX(Spectrum!$N:$N,MATCH(RIGHT($B324,13)&amp;"|"&amp;$C324&amp;"|"&amp;$D324&amp;"|"&amp;X$14&amp;"|"&amp;"CY2023Q3",Spectrum!$R:$R,0)),0),""))</f>
        <v>1714</v>
      </c>
      <c r="Y324" s="90" t="str">
        <f t="shared" si="104"/>
        <v/>
      </c>
      <c r="Z324" s="42">
        <f>IF(LEFT($B324,4)="_Mil","",_xlfn.IFNA(ROUND(INDEX(Spectrum!$N:$N,MATCH(RIGHT($B324,13)&amp;"|"&amp;$C324&amp;"|"&amp;$D324&amp;"|"&amp;Z$14&amp;"|"&amp;"CY2023Q3",Spectrum!$R:$R,0)),0),""))</f>
        <v>912</v>
      </c>
      <c r="AA324" s="90">
        <f>IF(LEFT($B324,4)="_Mil","",IFERROR(1/(1/INDEX(Spectrum!$N:$N,MATCH(RIGHT($B324,13)&amp;"|"&amp;$C324&amp;"|"&amp;$D324&amp;"|"&amp;AA$14&amp;"|"&amp;"CY2023Q3",Spectrum!$R:$R,0))),IF(SUM($U324)=0,"",SUM($Z324)/$U324)))</f>
        <v>818</v>
      </c>
      <c r="AB324" s="90">
        <f t="shared" si="105"/>
        <v>0.5320886814469078</v>
      </c>
      <c r="AC324" s="14">
        <f>IF(LEFT($B324,4)="_Mil","",_xlfn.IFNA(ROUND(INDEX(Spectrum!$N:$N,MATCH(RIGHT($B324,13)&amp;"|"&amp;$C324&amp;"|"&amp;$D324&amp;"|"&amp;AC$14&amp;"|"&amp;"CY2023Q3",Spectrum!$R:$R,0)),0),""))</f>
        <v>609</v>
      </c>
      <c r="AD324" s="14" t="str">
        <f>IF(LEFT($B324,4)="_Mil","",_xlfn.IFNA(ROUND(INDEX(Spectrum!$N:$N,MATCH(RIGHT($B324,13)&amp;"|"&amp;$C324&amp;"|"&amp;$D324&amp;"|"&amp;AD$14&amp;"|"&amp;"CY2023Q3",Spectrum!$R:$R,0)),0),""))</f>
        <v/>
      </c>
      <c r="AE324" s="90">
        <f t="shared" si="106"/>
        <v>0</v>
      </c>
      <c r="AF324" s="42" t="str">
        <f>IF(LEFT($B324,4)="_Mil","",_xlfn.IFNA(ROUND(INDEX(Spectrum!$N:$N,MATCH(RIGHT($B324,13)&amp;"|"&amp;$C324&amp;"|"&amp;$D324&amp;"|"&amp;AF$14&amp;"|"&amp;"CY2023Q3",Spectrum!$R:$R,0)),0),""))</f>
        <v/>
      </c>
      <c r="AG324" s="90" t="str">
        <f t="shared" si="107"/>
        <v/>
      </c>
      <c r="AH324" s="88" t="str">
        <f>IF(LEFT($B324,4)="_Mil","",_xlfn.IFNA(INDEX(Spectrum!$N:$N,MATCH(RIGHT($B324,13)&amp;"|"&amp;$C324&amp;"|"&amp;$D324&amp;"|"&amp;AH$14&amp;"|"&amp;"CY2023Q3",Spectrum!$R:$R,0)),""))</f>
        <v/>
      </c>
      <c r="AI324" s="14" t="str">
        <f>IF(LEFT($B324,4)="_Mil","",_xlfn.IFNA(ROUND(INDEX(Spectrum!$N:$N,MATCH(RIGHT($B324,13)&amp;"|"&amp;$C324&amp;"|"&amp;$D324&amp;"|"&amp;AI$14&amp;"|"&amp;"CY2023Q3",Spectrum!$R:$R,0)),0),""))</f>
        <v/>
      </c>
      <c r="AJ324" s="42">
        <f>IF(LEFT($B324,4)="_Mil","",_xlfn.IFNA(ROUND(INDEX(Spectrum!$N:$N,MATCH(RIGHT($B324,13)&amp;"|"&amp;$C324&amp;"|"&amp;$D324&amp;"|"&amp;AI$14&amp;"|"&amp;"CY2023Q3",Spectrum!$R:$R,0)),0),SUM($U324)+SUM($AI324)))</f>
        <v>0</v>
      </c>
      <c r="AK324" s="14" t="str">
        <f>IF(LEFT($B324,4)="_Mil","",_xlfn.IFNA(ROUND(INDEX(Spectrum!$N:$N,MATCH(RIGHT($B324,13)&amp;"|"&amp;$C324&amp;"|"&amp;$D324&amp;"|"&amp;AK$14&amp;"|"&amp;"CY2023Q3",Spectrum!$R:$R,0)),0),""))</f>
        <v/>
      </c>
      <c r="AL324" s="90" t="str">
        <f t="shared" si="108"/>
        <v/>
      </c>
      <c r="AM324" s="14" t="str">
        <f t="shared" si="109"/>
        <v/>
      </c>
      <c r="AN324" s="14">
        <f>IF($C324="&lt;01",ROUND(INDEX(EID!$P:$P,MATCH($B324,EID!$B:$B,0))/2,0),"")</f>
        <v>2</v>
      </c>
      <c r="AO324" s="14">
        <f t="shared" si="110"/>
        <v>2</v>
      </c>
      <c r="AP324" s="42">
        <f t="shared" si="111"/>
        <v>2</v>
      </c>
      <c r="AQ324" s="42">
        <f t="shared" si="112"/>
        <v>260.57142857142856</v>
      </c>
      <c r="AR324" s="90" t="str">
        <f t="shared" si="113"/>
        <v/>
      </c>
      <c r="AS324" s="90" t="str">
        <f t="shared" si="125"/>
        <v/>
      </c>
      <c r="AT324" s="90" t="str">
        <f t="shared" si="125"/>
        <v/>
      </c>
      <c r="AU324" s="14" t="str">
        <f t="shared" si="114"/>
        <v/>
      </c>
      <c r="AV324" s="14">
        <f>IF($C324="&lt;01",ROUND(INDEX(EID!$N:$N,MATCH($B324,EID!$B:$B,0))/2,0),IF(SUM($AT324)=0,"",ROUND((SUM($AP324)-(SUM($O324)*SUM($AS324)))/$AT324,0)))</f>
        <v>2</v>
      </c>
      <c r="AW324" s="90" t="str">
        <f t="shared" si="115"/>
        <v/>
      </c>
      <c r="AX324" s="42">
        <f t="shared" si="116"/>
        <v>2</v>
      </c>
      <c r="AY324" s="116" t="str">
        <f t="shared" si="117"/>
        <v/>
      </c>
      <c r="AZ324" s="93">
        <f>IF($C324="&lt;01",ROUND(INDEX(EID!$R:$R,MATCH($B324,EID!$B:$B,0))/2,0),ROUND(SUM($O324)+(SUM($AV324)*$AY324),0))</f>
        <v>1</v>
      </c>
      <c r="BA324" s="89" t="str">
        <f t="shared" si="118"/>
        <v/>
      </c>
      <c r="BB324" s="9">
        <f>IF($C324="&lt;01",ROUND(INDEX(EID!$T:$T,MATCH($B324,EID!$B:$B,0))/2,0),ROUND($AZ324*$BA324,0))</f>
        <v>1</v>
      </c>
      <c r="BC324" s="93">
        <f t="shared" si="119"/>
        <v>130</v>
      </c>
      <c r="BD324" s="90" t="str">
        <f t="shared" si="120"/>
        <v/>
      </c>
      <c r="BE324" s="42">
        <f>IF($C324="&lt;01",ROUND(INDEX(EID!$V:$V,MATCH($B324,EID!$B:$B,0))/2,0),ROUND($BD324*$BB324,0))</f>
        <v>1</v>
      </c>
      <c r="BF324" s="42">
        <f t="shared" si="121"/>
        <v>130</v>
      </c>
      <c r="BG324" s="116" t="str">
        <f t="shared" si="122"/>
        <v/>
      </c>
      <c r="BH324" s="9">
        <f>IF($C324="&lt;01",ROUND(INDEX(EID!$L:$L,MATCH($B324,EID!$B:$B,0)),0)/2,IF(SUM($BG324)=0,"",ROUND($AX324/$BG324,0)))</f>
        <v>1.5</v>
      </c>
    </row>
    <row r="325" spans="1:60" x14ac:dyDescent="0.2">
      <c r="A325" t="str">
        <f>INDEX(Prioritization!$D:$D,MATCH($B325,Prioritization!$A:$A,0))</f>
        <v>INVALID</v>
      </c>
      <c r="B325" t="s">
        <v>215</v>
      </c>
      <c r="C325" t="s">
        <v>362</v>
      </c>
      <c r="D325" t="s">
        <v>29</v>
      </c>
      <c r="E325" t="str">
        <f t="shared" si="101"/>
        <v>Mulanje District [umc2n1Z4wNv]|01-09|Female</v>
      </c>
      <c r="F325" s="14"/>
      <c r="G325" s="14"/>
      <c r="H325" s="14"/>
      <c r="I325" s="14"/>
      <c r="J325" s="14"/>
      <c r="K325" s="14"/>
      <c r="L325" s="14"/>
      <c r="M325" s="14"/>
      <c r="N325" s="14"/>
      <c r="O325" s="14" t="str">
        <f t="shared" si="102"/>
        <v/>
      </c>
      <c r="P325" s="14"/>
      <c r="Q325" s="14"/>
      <c r="R325" s="14" t="str">
        <f t="shared" si="103"/>
        <v/>
      </c>
      <c r="S325" s="14">
        <f>IF(LEFT($B325,4)="_Mil","",_xlfn.IFNA(ROUND(INDEX(Spectrum!$N:$N,MATCH(RIGHT($B325,13)&amp;"|"&amp;$C325&amp;"|"&amp;$D325&amp;"|"&amp;S$14&amp;"|"&amp;"CY2022Q4",Spectrum!$R:$R,0)),0),""))</f>
        <v>545</v>
      </c>
      <c r="T325" s="42">
        <f>IF(LEFT($B325,4)="_Mil","",_xlfn.IFNA(ROUND(INDEX(Spectrum!$N:$N,MATCH(RIGHT($B325,13)&amp;"|"&amp;$C325&amp;"|"&amp;$D325&amp;"|"&amp;T$14&amp;"|"&amp;"CY2023Q3",Spectrum!$R:$R,0)),0),""))</f>
        <v>1172</v>
      </c>
      <c r="U325" s="42" t="str">
        <f>IF(LEFT($B325,4)="_Mil","",_xlfn.IFNA(ROUND(INDEX(Spectrum!$N:$N,MATCH(RIGHT($B325,13)&amp;"|"&amp;$C325&amp;"|"&amp;$D325&amp;"|"&amp;U$14&amp;"|"&amp;"CY2023Q3",Spectrum!$R:$R,0)),0),""))</f>
        <v/>
      </c>
      <c r="V325" s="14">
        <f>IF(LEFT($B325,4)="_Mil","",_xlfn.IFNA(ROUND(INDEX(Spectrum!$N:$N,MATCH(RIGHT($B325,13)&amp;"|"&amp;$C325&amp;"|"&amp;$D325&amp;"|"&amp;V$14&amp;"|"&amp;"CY2023Q3",Spectrum!$R:$R,0)),0),""))</f>
        <v>1967</v>
      </c>
      <c r="W325" s="115">
        <f>IF(LEFT($B325,4)="_Mil","",_xlfn.IFNA(INDEX(Spectrum!$N:$N,MATCH(RIGHT($B325,13)&amp;"|"&amp;$C325&amp;"|"&amp;$D325&amp;"|"&amp;W$14&amp;"|"&amp;"CY2023Q3",Spectrum!$R:$R,0)),""))</f>
        <v>1047</v>
      </c>
      <c r="X325" s="42">
        <f>IF(LEFT($B325,4)="_Mil","",_xlfn.IFNA(ROUND(INDEX(Spectrum!$N:$N,MATCH(RIGHT($B325,13)&amp;"|"&amp;$C325&amp;"|"&amp;$D325&amp;"|"&amp;X$14&amp;"|"&amp;"CY2023Q3",Spectrum!$R:$R,0)),0),""))</f>
        <v>655</v>
      </c>
      <c r="Y325" s="90" t="str">
        <f t="shared" si="104"/>
        <v/>
      </c>
      <c r="Z325" s="42">
        <f>IF(LEFT($B325,4)="_Mil","",_xlfn.IFNA(ROUND(INDEX(Spectrum!$N:$N,MATCH(RIGHT($B325,13)&amp;"|"&amp;$C325&amp;"|"&amp;$D325&amp;"|"&amp;Z$14&amp;"|"&amp;"CY2023Q3",Spectrum!$R:$R,0)),0),""))</f>
        <v>1370</v>
      </c>
      <c r="AA325" s="90">
        <f>IF(LEFT($B325,4)="_Mil","",IFERROR(1/(1/INDEX(Spectrum!$N:$N,MATCH(RIGHT($B325,13)&amp;"|"&amp;$C325&amp;"|"&amp;$D325&amp;"|"&amp;AA$14&amp;"|"&amp;"CY2023Q3",Spectrum!$R:$R,0))),IF(SUM($U325)=0,"",SUM($Z325)/$U325)))</f>
        <v>1611</v>
      </c>
      <c r="AB325" s="90">
        <f t="shared" si="105"/>
        <v>2.0916030534351147</v>
      </c>
      <c r="AC325" s="14">
        <f>IF(LEFT($B325,4)="_Mil","",_xlfn.IFNA(ROUND(INDEX(Spectrum!$N:$N,MATCH(RIGHT($B325,13)&amp;"|"&amp;$C325&amp;"|"&amp;$D325&amp;"|"&amp;AC$14&amp;"|"&amp;"CY2023Q3",Spectrum!$R:$R,0)),0),""))</f>
        <v>1230</v>
      </c>
      <c r="AD325" s="14" t="str">
        <f>IF(LEFT($B325,4)="_Mil","",_xlfn.IFNA(ROUND(INDEX(Spectrum!$N:$N,MATCH(RIGHT($B325,13)&amp;"|"&amp;$C325&amp;"|"&amp;$D325&amp;"|"&amp;AD$14&amp;"|"&amp;"CY2023Q3",Spectrum!$R:$R,0)),0),""))</f>
        <v/>
      </c>
      <c r="AE325" s="90">
        <f t="shared" si="106"/>
        <v>0</v>
      </c>
      <c r="AF325" s="42" t="str">
        <f>IF(LEFT($B325,4)="_Mil","",_xlfn.IFNA(ROUND(INDEX(Spectrum!$N:$N,MATCH(RIGHT($B325,13)&amp;"|"&amp;$C325&amp;"|"&amp;$D325&amp;"|"&amp;AF$14&amp;"|"&amp;"CY2023Q3",Spectrum!$R:$R,0)),0),""))</f>
        <v/>
      </c>
      <c r="AG325" s="90" t="str">
        <f t="shared" si="107"/>
        <v/>
      </c>
      <c r="AH325" s="88" t="str">
        <f>IF(LEFT($B325,4)="_Mil","",_xlfn.IFNA(INDEX(Spectrum!$N:$N,MATCH(RIGHT($B325,13)&amp;"|"&amp;$C325&amp;"|"&amp;$D325&amp;"|"&amp;AH$14&amp;"|"&amp;"CY2023Q3",Spectrum!$R:$R,0)),""))</f>
        <v/>
      </c>
      <c r="AI325" s="14" t="str">
        <f>IF(LEFT($B325,4)="_Mil","",_xlfn.IFNA(ROUND(INDEX(Spectrum!$N:$N,MATCH(RIGHT($B325,13)&amp;"|"&amp;$C325&amp;"|"&amp;$D325&amp;"|"&amp;AI$14&amp;"|"&amp;"CY2023Q3",Spectrum!$R:$R,0)),0),""))</f>
        <v/>
      </c>
      <c r="AJ325" s="42">
        <f>IF(LEFT($B325,4)="_Mil","",_xlfn.IFNA(ROUND(INDEX(Spectrum!$N:$N,MATCH(RIGHT($B325,13)&amp;"|"&amp;$C325&amp;"|"&amp;$D325&amp;"|"&amp;AI$14&amp;"|"&amp;"CY2023Q3",Spectrum!$R:$R,0)),0),SUM($U325)+SUM($AI325)))</f>
        <v>0</v>
      </c>
      <c r="AK325" s="14" t="str">
        <f>IF(LEFT($B325,4)="_Mil","",_xlfn.IFNA(ROUND(INDEX(Spectrum!$N:$N,MATCH(RIGHT($B325,13)&amp;"|"&amp;$C325&amp;"|"&amp;$D325&amp;"|"&amp;AK$14&amp;"|"&amp;"CY2023Q3",Spectrum!$R:$R,0)),0),""))</f>
        <v/>
      </c>
      <c r="AL325" s="90">
        <f t="shared" si="108"/>
        <v>1611</v>
      </c>
      <c r="AM325" s="14">
        <f t="shared" si="109"/>
        <v>0</v>
      </c>
      <c r="AN325" s="14" t="str">
        <f>IF($C325="&lt;01",ROUND(INDEX(EID!$P:$P,MATCH($B325,EID!$B:$B,0))/2,0),"")</f>
        <v/>
      </c>
      <c r="AO325" s="14">
        <f t="shared" si="110"/>
        <v>0</v>
      </c>
      <c r="AP325" s="42">
        <f t="shared" si="111"/>
        <v>0</v>
      </c>
      <c r="AQ325" s="42">
        <f t="shared" si="112"/>
        <v>1370</v>
      </c>
      <c r="AR325" s="90" t="str">
        <f t="shared" si="113"/>
        <v/>
      </c>
      <c r="AS325" s="90">
        <f t="shared" si="125"/>
        <v>0.98</v>
      </c>
      <c r="AT325" s="90">
        <f t="shared" si="125"/>
        <v>0.98</v>
      </c>
      <c r="AU325" s="14">
        <f t="shared" si="114"/>
        <v>0</v>
      </c>
      <c r="AV325" s="14">
        <f>IF($C325="&lt;01",ROUND(INDEX(EID!$N:$N,MATCH($B325,EID!$B:$B,0))/2,0),IF(SUM($AT325)=0,"",ROUND((SUM($AP325)-(SUM($O325)*SUM($AS325)))/$AT325,0)))</f>
        <v>0</v>
      </c>
      <c r="AW325" s="90">
        <f t="shared" si="115"/>
        <v>1</v>
      </c>
      <c r="AX325" s="42">
        <f t="shared" si="116"/>
        <v>0</v>
      </c>
      <c r="AY325" s="116">
        <f t="shared" si="117"/>
        <v>0.7</v>
      </c>
      <c r="AZ325" s="93">
        <f>IF($C325="&lt;01",ROUND(INDEX(EID!$R:$R,MATCH($B325,EID!$B:$B,0))/2,0),ROUND(SUM($O325)+(SUM($AV325)*$AY325),0))</f>
        <v>0</v>
      </c>
      <c r="BA325" s="89">
        <f t="shared" si="118"/>
        <v>0.95</v>
      </c>
      <c r="BB325" s="9">
        <f>IF($C325="&lt;01",ROUND(INDEX(EID!$T:$T,MATCH($B325,EID!$B:$B,0))/2,0),ROUND($AZ325*$BA325,0))</f>
        <v>0</v>
      </c>
      <c r="BC325" s="93">
        <f t="shared" si="119"/>
        <v>0</v>
      </c>
      <c r="BD325" s="90">
        <f t="shared" si="120"/>
        <v>0.95</v>
      </c>
      <c r="BE325" s="42">
        <f>IF($C325="&lt;01",ROUND(INDEX(EID!$V:$V,MATCH($B325,EID!$B:$B,0))/2,0),ROUND($BD325*$BB325,0))</f>
        <v>0</v>
      </c>
      <c r="BF325" s="42">
        <f t="shared" si="121"/>
        <v>0</v>
      </c>
      <c r="BG325" s="116">
        <f t="shared" si="122"/>
        <v>0.95</v>
      </c>
      <c r="BH325" s="9">
        <f>IF($C325="&lt;01",ROUND(INDEX(EID!$L:$L,MATCH($B325,EID!$B:$B,0)),0)/2,IF(SUM($BG325)=0,"",ROUND($AX325/$BG325,0)))</f>
        <v>0</v>
      </c>
    </row>
    <row r="326" spans="1:60" x14ac:dyDescent="0.2">
      <c r="A326" t="str">
        <f>INDEX(Prioritization!$D:$D,MATCH($B326,Prioritization!$A:$A,0))</f>
        <v>INVALID</v>
      </c>
      <c r="B326" t="s">
        <v>215</v>
      </c>
      <c r="C326" t="s">
        <v>362</v>
      </c>
      <c r="D326" t="s">
        <v>47</v>
      </c>
      <c r="E326" t="str">
        <f t="shared" si="101"/>
        <v>Mulanje District [umc2n1Z4wNv]|01-09|Male</v>
      </c>
      <c r="F326" s="14"/>
      <c r="G326" s="14"/>
      <c r="H326" s="14"/>
      <c r="I326" s="14"/>
      <c r="J326" s="14"/>
      <c r="K326" s="14"/>
      <c r="L326" s="14"/>
      <c r="M326" s="14"/>
      <c r="N326" s="14"/>
      <c r="O326" s="14" t="str">
        <f t="shared" si="102"/>
        <v/>
      </c>
      <c r="P326" s="14"/>
      <c r="Q326" s="14"/>
      <c r="R326" s="14" t="str">
        <f t="shared" si="103"/>
        <v/>
      </c>
      <c r="S326" s="14">
        <f>IF(LEFT($B326,4)="_Mil","",_xlfn.IFNA(ROUND(INDEX(Spectrum!$N:$N,MATCH(RIGHT($B326,13)&amp;"|"&amp;$C326&amp;"|"&amp;$D326&amp;"|"&amp;S$14&amp;"|"&amp;"CY2022Q4",Spectrum!$R:$R,0)),0),""))</f>
        <v>1371</v>
      </c>
      <c r="T326" s="42">
        <f>IF(LEFT($B326,4)="_Mil","",_xlfn.IFNA(ROUND(INDEX(Spectrum!$N:$N,MATCH(RIGHT($B326,13)&amp;"|"&amp;$C326&amp;"|"&amp;$D326&amp;"|"&amp;T$14&amp;"|"&amp;"CY2023Q3",Spectrum!$R:$R,0)),0),""))</f>
        <v>1426</v>
      </c>
      <c r="U326" s="42" t="str">
        <f>IF(LEFT($B326,4)="_Mil","",_xlfn.IFNA(ROUND(INDEX(Spectrum!$N:$N,MATCH(RIGHT($B326,13)&amp;"|"&amp;$C326&amp;"|"&amp;$D326&amp;"|"&amp;U$14&amp;"|"&amp;"CY2023Q3",Spectrum!$R:$R,0)),0),""))</f>
        <v/>
      </c>
      <c r="V326" s="14">
        <f>IF(LEFT($B326,4)="_Mil","",_xlfn.IFNA(ROUND(INDEX(Spectrum!$N:$N,MATCH(RIGHT($B326,13)&amp;"|"&amp;$C326&amp;"|"&amp;$D326&amp;"|"&amp;V$14&amp;"|"&amp;"CY2023Q3",Spectrum!$R:$R,0)),0),""))</f>
        <v>596</v>
      </c>
      <c r="W326" s="115">
        <f>IF(LEFT($B326,4)="_Mil","",_xlfn.IFNA(INDEX(Spectrum!$N:$N,MATCH(RIGHT($B326,13)&amp;"|"&amp;$C326&amp;"|"&amp;$D326&amp;"|"&amp;W$14&amp;"|"&amp;"CY2023Q3",Spectrum!$R:$R,0)),""))</f>
        <v>1863</v>
      </c>
      <c r="X326" s="42">
        <f>IF(LEFT($B326,4)="_Mil","",_xlfn.IFNA(ROUND(INDEX(Spectrum!$N:$N,MATCH(RIGHT($B326,13)&amp;"|"&amp;$C326&amp;"|"&amp;$D326&amp;"|"&amp;X$14&amp;"|"&amp;"CY2023Q3",Spectrum!$R:$R,0)),0),""))</f>
        <v>1053</v>
      </c>
      <c r="Y326" s="90" t="str">
        <f t="shared" si="104"/>
        <v/>
      </c>
      <c r="Z326" s="42">
        <f>IF(LEFT($B326,4)="_Mil","",_xlfn.IFNA(ROUND(INDEX(Spectrum!$N:$N,MATCH(RIGHT($B326,13)&amp;"|"&amp;$C326&amp;"|"&amp;$D326&amp;"|"&amp;Z$14&amp;"|"&amp;"CY2023Q3",Spectrum!$R:$R,0)),0),""))</f>
        <v>1194</v>
      </c>
      <c r="AA326" s="90">
        <f>IF(LEFT($B326,4)="_Mil","",IFERROR(1/(1/INDEX(Spectrum!$N:$N,MATCH(RIGHT($B326,13)&amp;"|"&amp;$C326&amp;"|"&amp;$D326&amp;"|"&amp;AA$14&amp;"|"&amp;"CY2023Q3",Spectrum!$R:$R,0))),IF(SUM($U326)=0,"",SUM($Z326)/$U326)))</f>
        <v>1664</v>
      </c>
      <c r="AB326" s="90">
        <f t="shared" si="105"/>
        <v>1.1339031339031338</v>
      </c>
      <c r="AC326" s="14">
        <f>IF(LEFT($B326,4)="_Mil","",_xlfn.IFNA(ROUND(INDEX(Spectrum!$N:$N,MATCH(RIGHT($B326,13)&amp;"|"&amp;$C326&amp;"|"&amp;$D326&amp;"|"&amp;AC$14&amp;"|"&amp;"CY2023Q3",Spectrum!$R:$R,0)),0),""))</f>
        <v>717</v>
      </c>
      <c r="AD326" s="14" t="str">
        <f>IF(LEFT($B326,4)="_Mil","",_xlfn.IFNA(ROUND(INDEX(Spectrum!$N:$N,MATCH(RIGHT($B326,13)&amp;"|"&amp;$C326&amp;"|"&amp;$D326&amp;"|"&amp;AD$14&amp;"|"&amp;"CY2023Q3",Spectrum!$R:$R,0)),0),""))</f>
        <v/>
      </c>
      <c r="AE326" s="90">
        <f t="shared" si="106"/>
        <v>0</v>
      </c>
      <c r="AF326" s="42" t="str">
        <f>IF(LEFT($B326,4)="_Mil","",_xlfn.IFNA(ROUND(INDEX(Spectrum!$N:$N,MATCH(RIGHT($B326,13)&amp;"|"&amp;$C326&amp;"|"&amp;$D326&amp;"|"&amp;AF$14&amp;"|"&amp;"CY2023Q3",Spectrum!$R:$R,0)),0),""))</f>
        <v/>
      </c>
      <c r="AG326" s="90" t="str">
        <f t="shared" si="107"/>
        <v/>
      </c>
      <c r="AH326" s="88" t="str">
        <f>IF(LEFT($B326,4)="_Mil","",_xlfn.IFNA(INDEX(Spectrum!$N:$N,MATCH(RIGHT($B326,13)&amp;"|"&amp;$C326&amp;"|"&amp;$D326&amp;"|"&amp;AH$14&amp;"|"&amp;"CY2023Q3",Spectrum!$R:$R,0)),""))</f>
        <v/>
      </c>
      <c r="AI326" s="14" t="str">
        <f>IF(LEFT($B326,4)="_Mil","",_xlfn.IFNA(ROUND(INDEX(Spectrum!$N:$N,MATCH(RIGHT($B326,13)&amp;"|"&amp;$C326&amp;"|"&amp;$D326&amp;"|"&amp;AI$14&amp;"|"&amp;"CY2023Q3",Spectrum!$R:$R,0)),0),""))</f>
        <v/>
      </c>
      <c r="AJ326" s="42">
        <f>IF(LEFT($B326,4)="_Mil","",_xlfn.IFNA(ROUND(INDEX(Spectrum!$N:$N,MATCH(RIGHT($B326,13)&amp;"|"&amp;$C326&amp;"|"&amp;$D326&amp;"|"&amp;AI$14&amp;"|"&amp;"CY2023Q3",Spectrum!$R:$R,0)),0),SUM($U326)+SUM($AI326)))</f>
        <v>0</v>
      </c>
      <c r="AK326" s="14" t="str">
        <f>IF(LEFT($B326,4)="_Mil","",_xlfn.IFNA(ROUND(INDEX(Spectrum!$N:$N,MATCH(RIGHT($B326,13)&amp;"|"&amp;$C326&amp;"|"&amp;$D326&amp;"|"&amp;AK$14&amp;"|"&amp;"CY2023Q3",Spectrum!$R:$R,0)),0),""))</f>
        <v/>
      </c>
      <c r="AL326" s="90">
        <f t="shared" si="108"/>
        <v>1664</v>
      </c>
      <c r="AM326" s="14">
        <f t="shared" si="109"/>
        <v>0</v>
      </c>
      <c r="AN326" s="14" t="str">
        <f>IF($C326="&lt;01",ROUND(INDEX(EID!$P:$P,MATCH($B326,EID!$B:$B,0))/2,0),"")</f>
        <v/>
      </c>
      <c r="AO326" s="14">
        <f t="shared" si="110"/>
        <v>0</v>
      </c>
      <c r="AP326" s="42">
        <f t="shared" si="111"/>
        <v>0</v>
      </c>
      <c r="AQ326" s="42">
        <f t="shared" si="112"/>
        <v>1194</v>
      </c>
      <c r="AR326" s="90" t="str">
        <f t="shared" si="113"/>
        <v/>
      </c>
      <c r="AS326" s="90">
        <f t="shared" si="125"/>
        <v>0.98</v>
      </c>
      <c r="AT326" s="90">
        <f t="shared" si="125"/>
        <v>0.98</v>
      </c>
      <c r="AU326" s="14">
        <f t="shared" si="114"/>
        <v>0</v>
      </c>
      <c r="AV326" s="14">
        <f>IF($C326="&lt;01",ROUND(INDEX(EID!$N:$N,MATCH($B326,EID!$B:$B,0))/2,0),IF(SUM($AT326)=0,"",ROUND((SUM($AP326)-(SUM($O326)*SUM($AS326)))/$AT326,0)))</f>
        <v>0</v>
      </c>
      <c r="AW326" s="90">
        <f t="shared" si="115"/>
        <v>1</v>
      </c>
      <c r="AX326" s="42">
        <f t="shared" si="116"/>
        <v>0</v>
      </c>
      <c r="AY326" s="116">
        <f t="shared" si="117"/>
        <v>0.7</v>
      </c>
      <c r="AZ326" s="93">
        <f>IF($C326="&lt;01",ROUND(INDEX(EID!$R:$R,MATCH($B326,EID!$B:$B,0))/2,0),ROUND(SUM($O326)+(SUM($AV326)*$AY326),0))</f>
        <v>0</v>
      </c>
      <c r="BA326" s="89">
        <f t="shared" si="118"/>
        <v>0.95</v>
      </c>
      <c r="BB326" s="9">
        <f>IF($C326="&lt;01",ROUND(INDEX(EID!$T:$T,MATCH($B326,EID!$B:$B,0))/2,0),ROUND($AZ326*$BA326,0))</f>
        <v>0</v>
      </c>
      <c r="BC326" s="93">
        <f t="shared" si="119"/>
        <v>0</v>
      </c>
      <c r="BD326" s="90">
        <f t="shared" si="120"/>
        <v>0.95</v>
      </c>
      <c r="BE326" s="42">
        <f>IF($C326="&lt;01",ROUND(INDEX(EID!$V:$V,MATCH($B326,EID!$B:$B,0))/2,0),ROUND($BD326*$BB326,0))</f>
        <v>0</v>
      </c>
      <c r="BF326" s="42">
        <f t="shared" si="121"/>
        <v>0</v>
      </c>
      <c r="BG326" s="116">
        <f t="shared" si="122"/>
        <v>0.95</v>
      </c>
      <c r="BH326" s="9">
        <f>IF($C326="&lt;01",ROUND(INDEX(EID!$L:$L,MATCH($B326,EID!$B:$B,0)),0)/2,IF(SUM($BG326)=0,"",ROUND($AX326/$BG326,0)))</f>
        <v>0</v>
      </c>
    </row>
    <row r="327" spans="1:60" x14ac:dyDescent="0.2">
      <c r="A327" t="str">
        <f>INDEX(Prioritization!$D:$D,MATCH($B327,Prioritization!$A:$A,0))</f>
        <v>INVALID</v>
      </c>
      <c r="B327" t="s">
        <v>215</v>
      </c>
      <c r="C327" t="s">
        <v>363</v>
      </c>
      <c r="D327" t="s">
        <v>29</v>
      </c>
      <c r="E327" t="str">
        <f t="shared" si="101"/>
        <v>Mulanje District [umc2n1Z4wNv]|10-14|Female</v>
      </c>
      <c r="F327" s="14"/>
      <c r="G327" s="14">
        <v>7</v>
      </c>
      <c r="H327" s="14">
        <v>8</v>
      </c>
      <c r="I327" s="14">
        <v>26</v>
      </c>
      <c r="J327" s="14">
        <v>70</v>
      </c>
      <c r="K327" s="14">
        <v>23</v>
      </c>
      <c r="L327" s="14">
        <v>47</v>
      </c>
      <c r="M327" s="14">
        <v>99</v>
      </c>
      <c r="N327" s="14">
        <v>724</v>
      </c>
      <c r="O327" s="14">
        <f t="shared" si="102"/>
        <v>724</v>
      </c>
      <c r="P327" s="14">
        <v>947</v>
      </c>
      <c r="Q327" s="14">
        <v>81</v>
      </c>
      <c r="R327" s="14">
        <f t="shared" si="103"/>
        <v>698</v>
      </c>
      <c r="S327" s="14">
        <f>IF(LEFT($B327,4)="_Mil","",_xlfn.IFNA(ROUND(INDEX(Spectrum!$N:$N,MATCH(RIGHT($B327,13)&amp;"|"&amp;$C327&amp;"|"&amp;$D327&amp;"|"&amp;S$14&amp;"|"&amp;"CY2022Q4",Spectrum!$R:$R,0)),0),""))</f>
        <v>535</v>
      </c>
      <c r="T327" s="42">
        <f>IF(LEFT($B327,4)="_Mil","",_xlfn.IFNA(ROUND(INDEX(Spectrum!$N:$N,MATCH(RIGHT($B327,13)&amp;"|"&amp;$C327&amp;"|"&amp;$D327&amp;"|"&amp;T$14&amp;"|"&amp;"CY2023Q3",Spectrum!$R:$R,0)),0),""))</f>
        <v>950</v>
      </c>
      <c r="U327" s="42" t="str">
        <f>IF(LEFT($B327,4)="_Mil","",_xlfn.IFNA(ROUND(INDEX(Spectrum!$N:$N,MATCH(RIGHT($B327,13)&amp;"|"&amp;$C327&amp;"|"&amp;$D327&amp;"|"&amp;U$14&amp;"|"&amp;"CY2023Q3",Spectrum!$R:$R,0)),0),""))</f>
        <v/>
      </c>
      <c r="V327" s="14">
        <f>IF(LEFT($B327,4)="_Mil","",_xlfn.IFNA(ROUND(INDEX(Spectrum!$N:$N,MATCH(RIGHT($B327,13)&amp;"|"&amp;$C327&amp;"|"&amp;$D327&amp;"|"&amp;V$14&amp;"|"&amp;"CY2023Q3",Spectrum!$R:$R,0)),0),""))</f>
        <v>1520</v>
      </c>
      <c r="W327" s="115">
        <f>IF(LEFT($B327,4)="_Mil","",_xlfn.IFNA(INDEX(Spectrum!$N:$N,MATCH(RIGHT($B327,13)&amp;"|"&amp;$C327&amp;"|"&amp;$D327&amp;"|"&amp;W$14&amp;"|"&amp;"CY2023Q3",Spectrum!$R:$R,0)),""))</f>
        <v>1652</v>
      </c>
      <c r="X327" s="42">
        <f>IF(LEFT($B327,4)="_Mil","",_xlfn.IFNA(ROUND(INDEX(Spectrum!$N:$N,MATCH(RIGHT($B327,13)&amp;"|"&amp;$C327&amp;"|"&amp;$D327&amp;"|"&amp;X$14&amp;"|"&amp;"CY2023Q3",Spectrum!$R:$R,0)),0),""))</f>
        <v>1500</v>
      </c>
      <c r="Y327" s="90" t="str">
        <f t="shared" si="104"/>
        <v/>
      </c>
      <c r="Z327" s="42">
        <f>IF(LEFT($B327,4)="_Mil","",_xlfn.IFNA(ROUND(INDEX(Spectrum!$N:$N,MATCH(RIGHT($B327,13)&amp;"|"&amp;$C327&amp;"|"&amp;$D327&amp;"|"&amp;Z$14&amp;"|"&amp;"CY2023Q3",Spectrum!$R:$R,0)),0),""))</f>
        <v>1409</v>
      </c>
      <c r="AA327" s="90">
        <f>IF(LEFT($B327,4)="_Mil","",IFERROR(1/(1/INDEX(Spectrum!$N:$N,MATCH(RIGHT($B327,13)&amp;"|"&amp;$C327&amp;"|"&amp;$D327&amp;"|"&amp;AA$14&amp;"|"&amp;"CY2023Q3",Spectrum!$R:$R,0))),IF(SUM($U327)=0,"",SUM($Z327)/$U327)))</f>
        <v>1670</v>
      </c>
      <c r="AB327" s="90">
        <f t="shared" si="105"/>
        <v>0.93933333333333335</v>
      </c>
      <c r="AC327" s="14">
        <f>IF(LEFT($B327,4)="_Mil","",_xlfn.IFNA(ROUND(INDEX(Spectrum!$N:$N,MATCH(RIGHT($B327,13)&amp;"|"&amp;$C327&amp;"|"&amp;$D327&amp;"|"&amp;AC$14&amp;"|"&amp;"CY2023Q3",Spectrum!$R:$R,0)),0),""))</f>
        <v>1311</v>
      </c>
      <c r="AD327" s="14" t="str">
        <f>IF(LEFT($B327,4)="_Mil","",_xlfn.IFNA(ROUND(INDEX(Spectrum!$N:$N,MATCH(RIGHT($B327,13)&amp;"|"&amp;$C327&amp;"|"&amp;$D327&amp;"|"&amp;AD$14&amp;"|"&amp;"CY2023Q3",Spectrum!$R:$R,0)),0),""))</f>
        <v/>
      </c>
      <c r="AE327" s="90">
        <f t="shared" si="106"/>
        <v>0</v>
      </c>
      <c r="AF327" s="42" t="str">
        <f>IF(LEFT($B327,4)="_Mil","",_xlfn.IFNA(ROUND(INDEX(Spectrum!$N:$N,MATCH(RIGHT($B327,13)&amp;"|"&amp;$C327&amp;"|"&amp;$D327&amp;"|"&amp;AF$14&amp;"|"&amp;"CY2023Q3",Spectrum!$R:$R,0)),0),""))</f>
        <v/>
      </c>
      <c r="AG327" s="90" t="str">
        <f t="shared" si="107"/>
        <v/>
      </c>
      <c r="AH327" s="88" t="str">
        <f>IF(LEFT($B327,4)="_Mil","",_xlfn.IFNA(INDEX(Spectrum!$N:$N,MATCH(RIGHT($B327,13)&amp;"|"&amp;$C327&amp;"|"&amp;$D327&amp;"|"&amp;AH$14&amp;"|"&amp;"CY2023Q3",Spectrum!$R:$R,0)),""))</f>
        <v/>
      </c>
      <c r="AI327" s="14" t="str">
        <f>IF(LEFT($B327,4)="_Mil","",_xlfn.IFNA(ROUND(INDEX(Spectrum!$N:$N,MATCH(RIGHT($B327,13)&amp;"|"&amp;$C327&amp;"|"&amp;$D327&amp;"|"&amp;AI$14&amp;"|"&amp;"CY2023Q3",Spectrum!$R:$R,0)),0),""))</f>
        <v/>
      </c>
      <c r="AJ327" s="42">
        <f>IF(LEFT($B327,4)="_Mil","",_xlfn.IFNA(ROUND(INDEX(Spectrum!$N:$N,MATCH(RIGHT($B327,13)&amp;"|"&amp;$C327&amp;"|"&amp;$D327&amp;"|"&amp;AI$14&amp;"|"&amp;"CY2023Q3",Spectrum!$R:$R,0)),0),SUM($U327)+SUM($AI327)))</f>
        <v>0</v>
      </c>
      <c r="AK327" s="14" t="str">
        <f>IF(LEFT($B327,4)="_Mil","",_xlfn.IFNA(ROUND(INDEX(Spectrum!$N:$N,MATCH(RIGHT($B327,13)&amp;"|"&amp;$C327&amp;"|"&amp;$D327&amp;"|"&amp;AK$14&amp;"|"&amp;"CY2023Q3",Spectrum!$R:$R,0)),0),""))</f>
        <v/>
      </c>
      <c r="AL327" s="90">
        <f t="shared" si="108"/>
        <v>1670</v>
      </c>
      <c r="AM327" s="14">
        <f t="shared" si="109"/>
        <v>0</v>
      </c>
      <c r="AN327" s="14" t="str">
        <f>IF($C327="&lt;01",ROUND(INDEX(EID!$P:$P,MATCH($B327,EID!$B:$B,0))/2,0),"")</f>
        <v/>
      </c>
      <c r="AO327" s="14">
        <f t="shared" si="110"/>
        <v>0</v>
      </c>
      <c r="AP327" s="42">
        <f t="shared" si="111"/>
        <v>0</v>
      </c>
      <c r="AQ327" s="42">
        <f t="shared" si="112"/>
        <v>1409</v>
      </c>
      <c r="AR327" s="90" t="str">
        <f t="shared" si="113"/>
        <v/>
      </c>
      <c r="AS327" s="90">
        <f t="shared" si="125"/>
        <v>0.98</v>
      </c>
      <c r="AT327" s="90">
        <f t="shared" si="125"/>
        <v>0.98</v>
      </c>
      <c r="AU327" s="14">
        <f t="shared" si="114"/>
        <v>-724</v>
      </c>
      <c r="AV327" s="14">
        <f>IF($C327="&lt;01",ROUND(INDEX(EID!$N:$N,MATCH($B327,EID!$B:$B,0))/2,0),IF(SUM($AT327)=0,"",ROUND((SUM($AP327)-(SUM($O327)*SUM($AS327)))/$AT327,0)))</f>
        <v>-724</v>
      </c>
      <c r="AW327" s="90">
        <f t="shared" si="115"/>
        <v>1</v>
      </c>
      <c r="AX327" s="42">
        <f t="shared" si="116"/>
        <v>-724</v>
      </c>
      <c r="AY327" s="116">
        <f t="shared" si="117"/>
        <v>0.7</v>
      </c>
      <c r="AZ327" s="93">
        <f>IF($C327="&lt;01",ROUND(INDEX(EID!$R:$R,MATCH($B327,EID!$B:$B,0))/2,0),ROUND(SUM($O327)+(SUM($AV327)*$AY327),0))</f>
        <v>217</v>
      </c>
      <c r="BA327" s="89">
        <f t="shared" si="118"/>
        <v>0.95</v>
      </c>
      <c r="BB327" s="9">
        <f>IF($C327="&lt;01",ROUND(INDEX(EID!$T:$T,MATCH($B327,EID!$B:$B,0))/2,0),ROUND($AZ327*$BA327,0))</f>
        <v>206</v>
      </c>
      <c r="BC327" s="93">
        <f t="shared" si="119"/>
        <v>206</v>
      </c>
      <c r="BD327" s="90">
        <f t="shared" si="120"/>
        <v>0.95</v>
      </c>
      <c r="BE327" s="42">
        <f>IF($C327="&lt;01",ROUND(INDEX(EID!$V:$V,MATCH($B327,EID!$B:$B,0))/2,0),ROUND($BD327*$BB327,0))</f>
        <v>196</v>
      </c>
      <c r="BF327" s="42">
        <f t="shared" si="121"/>
        <v>196</v>
      </c>
      <c r="BG327" s="116">
        <f t="shared" si="122"/>
        <v>0.95</v>
      </c>
      <c r="BH327" s="9">
        <f>IF($C327="&lt;01",ROUND(INDEX(EID!$L:$L,MATCH($B327,EID!$B:$B,0)),0)/2,IF(SUM($BG327)=0,"",ROUND($AX327/$BG327,0)))</f>
        <v>-762</v>
      </c>
    </row>
    <row r="328" spans="1:60" x14ac:dyDescent="0.2">
      <c r="A328" t="str">
        <f>INDEX(Prioritization!$D:$D,MATCH($B328,Prioritization!$A:$A,0))</f>
        <v>INVALID</v>
      </c>
      <c r="B328" t="s">
        <v>215</v>
      </c>
      <c r="C328" t="s">
        <v>363</v>
      </c>
      <c r="D328" t="s">
        <v>47</v>
      </c>
      <c r="E328" t="str">
        <f t="shared" si="101"/>
        <v>Mulanje District [umc2n1Z4wNv]|10-14|Male</v>
      </c>
      <c r="F328" s="14"/>
      <c r="G328" s="14">
        <v>3</v>
      </c>
      <c r="H328" s="14">
        <v>2</v>
      </c>
      <c r="I328" s="14">
        <v>89</v>
      </c>
      <c r="J328" s="14">
        <v>80</v>
      </c>
      <c r="K328" s="14">
        <v>49</v>
      </c>
      <c r="L328" s="14">
        <v>52</v>
      </c>
      <c r="M328" s="14">
        <v>34</v>
      </c>
      <c r="N328" s="14">
        <v>17</v>
      </c>
      <c r="O328" s="14">
        <f t="shared" si="102"/>
        <v>89</v>
      </c>
      <c r="P328" s="14">
        <v>42</v>
      </c>
      <c r="Q328" s="14">
        <v>46</v>
      </c>
      <c r="R328" s="14">
        <f t="shared" si="103"/>
        <v>0</v>
      </c>
      <c r="S328" s="14">
        <f>IF(LEFT($B328,4)="_Mil","",_xlfn.IFNA(ROUND(INDEX(Spectrum!$N:$N,MATCH(RIGHT($B328,13)&amp;"|"&amp;$C328&amp;"|"&amp;$D328&amp;"|"&amp;S$14&amp;"|"&amp;"CY2022Q4",Spectrum!$R:$R,0)),0),""))</f>
        <v>1586</v>
      </c>
      <c r="T328" s="42">
        <f>IF(LEFT($B328,4)="_Mil","",_xlfn.IFNA(ROUND(INDEX(Spectrum!$N:$N,MATCH(RIGHT($B328,13)&amp;"|"&amp;$C328&amp;"|"&amp;$D328&amp;"|"&amp;T$14&amp;"|"&amp;"CY2023Q3",Spectrum!$R:$R,0)),0),""))</f>
        <v>1053</v>
      </c>
      <c r="U328" s="42" t="str">
        <f>IF(LEFT($B328,4)="_Mil","",_xlfn.IFNA(ROUND(INDEX(Spectrum!$N:$N,MATCH(RIGHT($B328,13)&amp;"|"&amp;$C328&amp;"|"&amp;$D328&amp;"|"&amp;U$14&amp;"|"&amp;"CY2023Q3",Spectrum!$R:$R,0)),0),""))</f>
        <v/>
      </c>
      <c r="V328" s="14">
        <f>IF(LEFT($B328,4)="_Mil","",_xlfn.IFNA(ROUND(INDEX(Spectrum!$N:$N,MATCH(RIGHT($B328,13)&amp;"|"&amp;$C328&amp;"|"&amp;$D328&amp;"|"&amp;V$14&amp;"|"&amp;"CY2023Q3",Spectrum!$R:$R,0)),0),""))</f>
        <v>1910</v>
      </c>
      <c r="W328" s="115">
        <f>IF(LEFT($B328,4)="_Mil","",_xlfn.IFNA(INDEX(Spectrum!$N:$N,MATCH(RIGHT($B328,13)&amp;"|"&amp;$C328&amp;"|"&amp;$D328&amp;"|"&amp;W$14&amp;"|"&amp;"CY2023Q3",Spectrum!$R:$R,0)),""))</f>
        <v>1755</v>
      </c>
      <c r="X328" s="42">
        <f>IF(LEFT($B328,4)="_Mil","",_xlfn.IFNA(ROUND(INDEX(Spectrum!$N:$N,MATCH(RIGHT($B328,13)&amp;"|"&amp;$C328&amp;"|"&amp;$D328&amp;"|"&amp;X$14&amp;"|"&amp;"CY2023Q3",Spectrum!$R:$R,0)),0),""))</f>
        <v>1698</v>
      </c>
      <c r="Y328" s="90" t="str">
        <f t="shared" si="104"/>
        <v/>
      </c>
      <c r="Z328" s="42">
        <f>IF(LEFT($B328,4)="_Mil","",_xlfn.IFNA(ROUND(INDEX(Spectrum!$N:$N,MATCH(RIGHT($B328,13)&amp;"|"&amp;$C328&amp;"|"&amp;$D328&amp;"|"&amp;Z$14&amp;"|"&amp;"CY2023Q3",Spectrum!$R:$R,0)),0),""))</f>
        <v>626</v>
      </c>
      <c r="AA328" s="90">
        <f>IF(LEFT($B328,4)="_Mil","",IFERROR(1/(1/INDEX(Spectrum!$N:$N,MATCH(RIGHT($B328,13)&amp;"|"&amp;$C328&amp;"|"&amp;$D328&amp;"|"&amp;AA$14&amp;"|"&amp;"CY2023Q3",Spectrum!$R:$R,0))),IF(SUM($U328)=0,"",SUM($Z328)/$U328)))</f>
        <v>692</v>
      </c>
      <c r="AB328" s="90">
        <f t="shared" si="105"/>
        <v>0.36866902237926974</v>
      </c>
      <c r="AC328" s="14">
        <f>IF(LEFT($B328,4)="_Mil","",_xlfn.IFNA(ROUND(INDEX(Spectrum!$N:$N,MATCH(RIGHT($B328,13)&amp;"|"&amp;$C328&amp;"|"&amp;$D328&amp;"|"&amp;AC$14&amp;"|"&amp;"CY2023Q3",Spectrum!$R:$R,0)),0),""))</f>
        <v>1337</v>
      </c>
      <c r="AD328" s="14" t="str">
        <f>IF(LEFT($B328,4)="_Mil","",_xlfn.IFNA(ROUND(INDEX(Spectrum!$N:$N,MATCH(RIGHT($B328,13)&amp;"|"&amp;$C328&amp;"|"&amp;$D328&amp;"|"&amp;AD$14&amp;"|"&amp;"CY2023Q3",Spectrum!$R:$R,0)),0),""))</f>
        <v/>
      </c>
      <c r="AE328" s="90">
        <f t="shared" si="106"/>
        <v>0</v>
      </c>
      <c r="AF328" s="42" t="str">
        <f>IF(LEFT($B328,4)="_Mil","",_xlfn.IFNA(ROUND(INDEX(Spectrum!$N:$N,MATCH(RIGHT($B328,13)&amp;"|"&amp;$C328&amp;"|"&amp;$D328&amp;"|"&amp;AF$14&amp;"|"&amp;"CY2023Q3",Spectrum!$R:$R,0)),0),""))</f>
        <v/>
      </c>
      <c r="AG328" s="90" t="str">
        <f t="shared" si="107"/>
        <v/>
      </c>
      <c r="AH328" s="88" t="str">
        <f>IF(LEFT($B328,4)="_Mil","",_xlfn.IFNA(INDEX(Spectrum!$N:$N,MATCH(RIGHT($B328,13)&amp;"|"&amp;$C328&amp;"|"&amp;$D328&amp;"|"&amp;AH$14&amp;"|"&amp;"CY2023Q3",Spectrum!$R:$R,0)),""))</f>
        <v/>
      </c>
      <c r="AI328" s="14" t="str">
        <f>IF(LEFT($B328,4)="_Mil","",_xlfn.IFNA(ROUND(INDEX(Spectrum!$N:$N,MATCH(RIGHT($B328,13)&amp;"|"&amp;$C328&amp;"|"&amp;$D328&amp;"|"&amp;AI$14&amp;"|"&amp;"CY2023Q3",Spectrum!$R:$R,0)),0),""))</f>
        <v/>
      </c>
      <c r="AJ328" s="42">
        <f>IF(LEFT($B328,4)="_Mil","",_xlfn.IFNA(ROUND(INDEX(Spectrum!$N:$N,MATCH(RIGHT($B328,13)&amp;"|"&amp;$C328&amp;"|"&amp;$D328&amp;"|"&amp;AI$14&amp;"|"&amp;"CY2023Q3",Spectrum!$R:$R,0)),0),SUM($U328)+SUM($AI328)))</f>
        <v>0</v>
      </c>
      <c r="AK328" s="14" t="str">
        <f>IF(LEFT($B328,4)="_Mil","",_xlfn.IFNA(ROUND(INDEX(Spectrum!$N:$N,MATCH(RIGHT($B328,13)&amp;"|"&amp;$C328&amp;"|"&amp;$D328&amp;"|"&amp;AK$14&amp;"|"&amp;"CY2023Q3",Spectrum!$R:$R,0)),0),""))</f>
        <v/>
      </c>
      <c r="AL328" s="90">
        <f t="shared" si="108"/>
        <v>692</v>
      </c>
      <c r="AM328" s="14">
        <f t="shared" si="109"/>
        <v>0</v>
      </c>
      <c r="AN328" s="14" t="str">
        <f>IF($C328="&lt;01",ROUND(INDEX(EID!$P:$P,MATCH($B328,EID!$B:$B,0))/2,0),"")</f>
        <v/>
      </c>
      <c r="AO328" s="14">
        <f t="shared" si="110"/>
        <v>0</v>
      </c>
      <c r="AP328" s="42">
        <f t="shared" si="111"/>
        <v>0</v>
      </c>
      <c r="AQ328" s="42">
        <f t="shared" si="112"/>
        <v>626</v>
      </c>
      <c r="AR328" s="90" t="str">
        <f t="shared" si="113"/>
        <v/>
      </c>
      <c r="AS328" s="90">
        <f t="shared" si="125"/>
        <v>0.98</v>
      </c>
      <c r="AT328" s="90">
        <f t="shared" si="125"/>
        <v>0.98</v>
      </c>
      <c r="AU328" s="14">
        <f t="shared" si="114"/>
        <v>-89</v>
      </c>
      <c r="AV328" s="14">
        <f>IF($C328="&lt;01",ROUND(INDEX(EID!$N:$N,MATCH($B328,EID!$B:$B,0))/2,0),IF(SUM($AT328)=0,"",ROUND((SUM($AP328)-(SUM($O328)*SUM($AS328)))/$AT328,0)))</f>
        <v>-89</v>
      </c>
      <c r="AW328" s="90">
        <f t="shared" si="115"/>
        <v>1</v>
      </c>
      <c r="AX328" s="42">
        <f t="shared" si="116"/>
        <v>-89</v>
      </c>
      <c r="AY328" s="116">
        <f t="shared" si="117"/>
        <v>0.7</v>
      </c>
      <c r="AZ328" s="93">
        <f>IF($C328="&lt;01",ROUND(INDEX(EID!$R:$R,MATCH($B328,EID!$B:$B,0))/2,0),ROUND(SUM($O328)+(SUM($AV328)*$AY328),0))</f>
        <v>27</v>
      </c>
      <c r="BA328" s="89">
        <f t="shared" si="118"/>
        <v>0.95</v>
      </c>
      <c r="BB328" s="9">
        <f>IF($C328="&lt;01",ROUND(INDEX(EID!$T:$T,MATCH($B328,EID!$B:$B,0))/2,0),ROUND($AZ328*$BA328,0))</f>
        <v>26</v>
      </c>
      <c r="BC328" s="93">
        <f t="shared" si="119"/>
        <v>26</v>
      </c>
      <c r="BD328" s="90">
        <f t="shared" si="120"/>
        <v>0.95</v>
      </c>
      <c r="BE328" s="42">
        <f>IF($C328="&lt;01",ROUND(INDEX(EID!$V:$V,MATCH($B328,EID!$B:$B,0))/2,0),ROUND($BD328*$BB328,0))</f>
        <v>25</v>
      </c>
      <c r="BF328" s="42">
        <f t="shared" si="121"/>
        <v>25</v>
      </c>
      <c r="BG328" s="116">
        <f t="shared" si="122"/>
        <v>0.95</v>
      </c>
      <c r="BH328" s="9">
        <f>IF($C328="&lt;01",ROUND(INDEX(EID!$L:$L,MATCH($B328,EID!$B:$B,0)),0)/2,IF(SUM($BG328)=0,"",ROUND($AX328/$BG328,0)))</f>
        <v>-94</v>
      </c>
    </row>
    <row r="329" spans="1:60" x14ac:dyDescent="0.2">
      <c r="A329" t="str">
        <f>INDEX(Prioritization!$D:$D,MATCH($B329,Prioritization!$A:$A,0))</f>
        <v>INVALID</v>
      </c>
      <c r="B329" t="s">
        <v>215</v>
      </c>
      <c r="C329" t="s">
        <v>364</v>
      </c>
      <c r="D329" t="s">
        <v>29</v>
      </c>
      <c r="E329" t="str">
        <f t="shared" si="101"/>
        <v>Mulanje District [umc2n1Z4wNv]|15-24|Female</v>
      </c>
      <c r="F329" s="14"/>
      <c r="G329" s="14"/>
      <c r="H329" s="14"/>
      <c r="I329" s="14"/>
      <c r="J329" s="14"/>
      <c r="K329" s="14"/>
      <c r="L329" s="14"/>
      <c r="M329" s="14"/>
      <c r="N329" s="14"/>
      <c r="O329" s="14" t="str">
        <f t="shared" si="102"/>
        <v/>
      </c>
      <c r="P329" s="14"/>
      <c r="Q329" s="14"/>
      <c r="R329" s="14" t="str">
        <f t="shared" si="103"/>
        <v/>
      </c>
      <c r="S329" s="14">
        <f>IF(LEFT($B329,4)="_Mil","",_xlfn.IFNA(ROUND(INDEX(Spectrum!$N:$N,MATCH(RIGHT($B329,13)&amp;"|"&amp;$C329&amp;"|"&amp;$D329&amp;"|"&amp;S$14&amp;"|"&amp;"CY2022Q4",Spectrum!$R:$R,0)),0),""))</f>
        <v>791</v>
      </c>
      <c r="T329" s="42">
        <f>IF(LEFT($B329,4)="_Mil","",_xlfn.IFNA(ROUND(INDEX(Spectrum!$N:$N,MATCH(RIGHT($B329,13)&amp;"|"&amp;$C329&amp;"|"&amp;$D329&amp;"|"&amp;T$14&amp;"|"&amp;"CY2023Q3",Spectrum!$R:$R,0)),0),""))</f>
        <v>1061</v>
      </c>
      <c r="U329" s="42" t="str">
        <f>IF(LEFT($B329,4)="_Mil","",_xlfn.IFNA(ROUND(INDEX(Spectrum!$N:$N,MATCH(RIGHT($B329,13)&amp;"|"&amp;$C329&amp;"|"&amp;$D329&amp;"|"&amp;U$14&amp;"|"&amp;"CY2023Q3",Spectrum!$R:$R,0)),0),""))</f>
        <v/>
      </c>
      <c r="V329" s="14">
        <f>IF(LEFT($B329,4)="_Mil","",_xlfn.IFNA(ROUND(INDEX(Spectrum!$N:$N,MATCH(RIGHT($B329,13)&amp;"|"&amp;$C329&amp;"|"&amp;$D329&amp;"|"&amp;V$14&amp;"|"&amp;"CY2023Q3",Spectrum!$R:$R,0)),0),""))</f>
        <v>724</v>
      </c>
      <c r="W329" s="115">
        <f>IF(LEFT($B329,4)="_Mil","",_xlfn.IFNA(INDEX(Spectrum!$N:$N,MATCH(RIGHT($B329,13)&amp;"|"&amp;$C329&amp;"|"&amp;$D329&amp;"|"&amp;W$14&amp;"|"&amp;"CY2023Q3",Spectrum!$R:$R,0)),""))</f>
        <v>1930</v>
      </c>
      <c r="X329" s="42">
        <f>IF(LEFT($B329,4)="_Mil","",_xlfn.IFNA(ROUND(INDEX(Spectrum!$N:$N,MATCH(RIGHT($B329,13)&amp;"|"&amp;$C329&amp;"|"&amp;$D329&amp;"|"&amp;X$14&amp;"|"&amp;"CY2023Q3",Spectrum!$R:$R,0)),0),""))</f>
        <v>1142</v>
      </c>
      <c r="Y329" s="90" t="str">
        <f t="shared" si="104"/>
        <v/>
      </c>
      <c r="Z329" s="42">
        <f>IF(LEFT($B329,4)="_Mil","",_xlfn.IFNA(ROUND(INDEX(Spectrum!$N:$N,MATCH(RIGHT($B329,13)&amp;"|"&amp;$C329&amp;"|"&amp;$D329&amp;"|"&amp;Z$14&amp;"|"&amp;"CY2023Q3",Spectrum!$R:$R,0)),0),""))</f>
        <v>1745</v>
      </c>
      <c r="AA329" s="90">
        <f>IF(LEFT($B329,4)="_Mil","",IFERROR(1/(1/INDEX(Spectrum!$N:$N,MATCH(RIGHT($B329,13)&amp;"|"&amp;$C329&amp;"|"&amp;$D329&amp;"|"&amp;AA$14&amp;"|"&amp;"CY2023Q3",Spectrum!$R:$R,0))),IF(SUM($U329)=0,"",SUM($Z329)/$U329)))</f>
        <v>1659.9999999999998</v>
      </c>
      <c r="AB329" s="90">
        <f t="shared" si="105"/>
        <v>1.5280210157618213</v>
      </c>
      <c r="AC329" s="14">
        <f>IF(LEFT($B329,4)="_Mil","",_xlfn.IFNA(ROUND(INDEX(Spectrum!$N:$N,MATCH(RIGHT($B329,13)&amp;"|"&amp;$C329&amp;"|"&amp;$D329&amp;"|"&amp;AC$14&amp;"|"&amp;"CY2023Q3",Spectrum!$R:$R,0)),0),""))</f>
        <v>540</v>
      </c>
      <c r="AD329" s="14" t="str">
        <f>IF(LEFT($B329,4)="_Mil","",_xlfn.IFNA(ROUND(INDEX(Spectrum!$N:$N,MATCH(RIGHT($B329,13)&amp;"|"&amp;$C329&amp;"|"&amp;$D329&amp;"|"&amp;AD$14&amp;"|"&amp;"CY2023Q3",Spectrum!$R:$R,0)),0),""))</f>
        <v/>
      </c>
      <c r="AE329" s="90">
        <f t="shared" si="106"/>
        <v>0</v>
      </c>
      <c r="AF329" s="42" t="str">
        <f>IF(LEFT($B329,4)="_Mil","",_xlfn.IFNA(ROUND(INDEX(Spectrum!$N:$N,MATCH(RIGHT($B329,13)&amp;"|"&amp;$C329&amp;"|"&amp;$D329&amp;"|"&amp;AF$14&amp;"|"&amp;"CY2023Q3",Spectrum!$R:$R,0)),0),""))</f>
        <v/>
      </c>
      <c r="AG329" s="90" t="str">
        <f t="shared" si="107"/>
        <v/>
      </c>
      <c r="AH329" s="88" t="str">
        <f>IF(LEFT($B329,4)="_Mil","",_xlfn.IFNA(INDEX(Spectrum!$N:$N,MATCH(RIGHT($B329,13)&amp;"|"&amp;$C329&amp;"|"&amp;$D329&amp;"|"&amp;AH$14&amp;"|"&amp;"CY2023Q3",Spectrum!$R:$R,0)),""))</f>
        <v/>
      </c>
      <c r="AI329" s="14" t="str">
        <f>IF(LEFT($B329,4)="_Mil","",_xlfn.IFNA(ROUND(INDEX(Spectrum!$N:$N,MATCH(RIGHT($B329,13)&amp;"|"&amp;$C329&amp;"|"&amp;$D329&amp;"|"&amp;AI$14&amp;"|"&amp;"CY2023Q3",Spectrum!$R:$R,0)),0),""))</f>
        <v/>
      </c>
      <c r="AJ329" s="42">
        <f>IF(LEFT($B329,4)="_Mil","",_xlfn.IFNA(ROUND(INDEX(Spectrum!$N:$N,MATCH(RIGHT($B329,13)&amp;"|"&amp;$C329&amp;"|"&amp;$D329&amp;"|"&amp;AI$14&amp;"|"&amp;"CY2023Q3",Spectrum!$R:$R,0)),0),SUM($U329)+SUM($AI329)))</f>
        <v>0</v>
      </c>
      <c r="AK329" s="14" t="str">
        <f>IF(LEFT($B329,4)="_Mil","",_xlfn.IFNA(ROUND(INDEX(Spectrum!$N:$N,MATCH(RIGHT($B329,13)&amp;"|"&amp;$C329&amp;"|"&amp;$D329&amp;"|"&amp;AK$14&amp;"|"&amp;"CY2023Q3",Spectrum!$R:$R,0)),0),""))</f>
        <v/>
      </c>
      <c r="AL329" s="90">
        <f t="shared" si="108"/>
        <v>1659.9999999999998</v>
      </c>
      <c r="AM329" s="14">
        <f t="shared" si="109"/>
        <v>0</v>
      </c>
      <c r="AN329" s="14" t="str">
        <f>IF($C329="&lt;01",ROUND(INDEX(EID!$P:$P,MATCH($B329,EID!$B:$B,0))/2,0),"")</f>
        <v/>
      </c>
      <c r="AO329" s="14">
        <f t="shared" si="110"/>
        <v>0</v>
      </c>
      <c r="AP329" s="42">
        <f t="shared" si="111"/>
        <v>0</v>
      </c>
      <c r="AQ329" s="42">
        <f t="shared" si="112"/>
        <v>1745</v>
      </c>
      <c r="AR329" s="90" t="str">
        <f t="shared" si="113"/>
        <v/>
      </c>
      <c r="AS329" s="90">
        <f t="shared" si="125"/>
        <v>0.98</v>
      </c>
      <c r="AT329" s="90">
        <f t="shared" si="125"/>
        <v>0.98</v>
      </c>
      <c r="AU329" s="14">
        <f t="shared" si="114"/>
        <v>0</v>
      </c>
      <c r="AV329" s="14">
        <f>IF($C329="&lt;01",ROUND(INDEX(EID!$N:$N,MATCH($B329,EID!$B:$B,0))/2,0),IF(SUM($AT329)=0,"",ROUND((SUM($AP329)-(SUM($O329)*SUM($AS329)))/$AT329,0)))</f>
        <v>0</v>
      </c>
      <c r="AW329" s="90">
        <f t="shared" si="115"/>
        <v>1</v>
      </c>
      <c r="AX329" s="42">
        <f t="shared" si="116"/>
        <v>0</v>
      </c>
      <c r="AY329" s="116">
        <f t="shared" si="117"/>
        <v>0.7</v>
      </c>
      <c r="AZ329" s="93">
        <f>IF($C329="&lt;01",ROUND(INDEX(EID!$R:$R,MATCH($B329,EID!$B:$B,0))/2,0),ROUND(SUM($O329)+(SUM($AV329)*$AY329),0))</f>
        <v>0</v>
      </c>
      <c r="BA329" s="89">
        <f t="shared" si="118"/>
        <v>0.95</v>
      </c>
      <c r="BB329" s="9">
        <f>IF($C329="&lt;01",ROUND(INDEX(EID!$T:$T,MATCH($B329,EID!$B:$B,0))/2,0),ROUND($AZ329*$BA329,0))</f>
        <v>0</v>
      </c>
      <c r="BC329" s="93">
        <f t="shared" si="119"/>
        <v>0</v>
      </c>
      <c r="BD329" s="90">
        <f t="shared" si="120"/>
        <v>0.95</v>
      </c>
      <c r="BE329" s="42">
        <f>IF($C329="&lt;01",ROUND(INDEX(EID!$V:$V,MATCH($B329,EID!$B:$B,0))/2,0),ROUND($BD329*$BB329,0))</f>
        <v>0</v>
      </c>
      <c r="BF329" s="42">
        <f t="shared" si="121"/>
        <v>0</v>
      </c>
      <c r="BG329" s="116">
        <f t="shared" si="122"/>
        <v>0.95</v>
      </c>
      <c r="BH329" s="9">
        <f>IF($C329="&lt;01",ROUND(INDEX(EID!$L:$L,MATCH($B329,EID!$B:$B,0)),0)/2,IF(SUM($BG329)=0,"",ROUND($AX329/$BG329,0)))</f>
        <v>0</v>
      </c>
    </row>
    <row r="330" spans="1:60" x14ac:dyDescent="0.2">
      <c r="A330" t="str">
        <f>INDEX(Prioritization!$D:$D,MATCH($B330,Prioritization!$A:$A,0))</f>
        <v>INVALID</v>
      </c>
      <c r="B330" t="s">
        <v>215</v>
      </c>
      <c r="C330" t="s">
        <v>364</v>
      </c>
      <c r="D330" t="s">
        <v>47</v>
      </c>
      <c r="E330" t="str">
        <f t="shared" si="101"/>
        <v>Mulanje District [umc2n1Z4wNv]|15-24|Male</v>
      </c>
      <c r="F330" s="14"/>
      <c r="G330" s="14"/>
      <c r="H330" s="14"/>
      <c r="I330" s="14"/>
      <c r="J330" s="14"/>
      <c r="K330" s="14"/>
      <c r="L330" s="14"/>
      <c r="M330" s="14"/>
      <c r="N330" s="14"/>
      <c r="O330" s="14" t="str">
        <f t="shared" si="102"/>
        <v/>
      </c>
      <c r="P330" s="14"/>
      <c r="Q330" s="14"/>
      <c r="R330" s="14" t="str">
        <f t="shared" si="103"/>
        <v/>
      </c>
      <c r="S330" s="14">
        <f>IF(LEFT($B330,4)="_Mil","",_xlfn.IFNA(ROUND(INDEX(Spectrum!$N:$N,MATCH(RIGHT($B330,13)&amp;"|"&amp;$C330&amp;"|"&amp;$D330&amp;"|"&amp;S$14&amp;"|"&amp;"CY2022Q4",Spectrum!$R:$R,0)),0),""))</f>
        <v>1049</v>
      </c>
      <c r="T330" s="42">
        <f>IF(LEFT($B330,4)="_Mil","",_xlfn.IFNA(ROUND(INDEX(Spectrum!$N:$N,MATCH(RIGHT($B330,13)&amp;"|"&amp;$C330&amp;"|"&amp;$D330&amp;"|"&amp;T$14&amp;"|"&amp;"CY2023Q3",Spectrum!$R:$R,0)),0),""))</f>
        <v>1226</v>
      </c>
      <c r="U330" s="42" t="str">
        <f>IF(LEFT($B330,4)="_Mil","",_xlfn.IFNA(ROUND(INDEX(Spectrum!$N:$N,MATCH(RIGHT($B330,13)&amp;"|"&amp;$C330&amp;"|"&amp;$D330&amp;"|"&amp;U$14&amp;"|"&amp;"CY2023Q3",Spectrum!$R:$R,0)),0),""))</f>
        <v/>
      </c>
      <c r="V330" s="14">
        <f>IF(LEFT($B330,4)="_Mil","",_xlfn.IFNA(ROUND(INDEX(Spectrum!$N:$N,MATCH(RIGHT($B330,13)&amp;"|"&amp;$C330&amp;"|"&amp;$D330&amp;"|"&amp;V$14&amp;"|"&amp;"CY2023Q3",Spectrum!$R:$R,0)),0),""))</f>
        <v>1137</v>
      </c>
      <c r="W330" s="115">
        <f>IF(LEFT($B330,4)="_Mil","",_xlfn.IFNA(INDEX(Spectrum!$N:$N,MATCH(RIGHT($B330,13)&amp;"|"&amp;$C330&amp;"|"&amp;$D330&amp;"|"&amp;W$14&amp;"|"&amp;"CY2023Q3",Spectrum!$R:$R,0)),""))</f>
        <v>1543</v>
      </c>
      <c r="X330" s="42">
        <f>IF(LEFT($B330,4)="_Mil","",_xlfn.IFNA(ROUND(INDEX(Spectrum!$N:$N,MATCH(RIGHT($B330,13)&amp;"|"&amp;$C330&amp;"|"&amp;$D330&amp;"|"&amp;X$14&amp;"|"&amp;"CY2023Q3",Spectrum!$R:$R,0)),0),""))</f>
        <v>1612</v>
      </c>
      <c r="Y330" s="90" t="str">
        <f t="shared" si="104"/>
        <v/>
      </c>
      <c r="Z330" s="42">
        <f>IF(LEFT($B330,4)="_Mil","",_xlfn.IFNA(ROUND(INDEX(Spectrum!$N:$N,MATCH(RIGHT($B330,13)&amp;"|"&amp;$C330&amp;"|"&amp;$D330&amp;"|"&amp;Z$14&amp;"|"&amp;"CY2023Q3",Spectrum!$R:$R,0)),0),""))</f>
        <v>1431</v>
      </c>
      <c r="AA330" s="90">
        <f>IF(LEFT($B330,4)="_Mil","",IFERROR(1/(1/INDEX(Spectrum!$N:$N,MATCH(RIGHT($B330,13)&amp;"|"&amp;$C330&amp;"|"&amp;$D330&amp;"|"&amp;AA$14&amp;"|"&amp;"CY2023Q3",Spectrum!$R:$R,0))),IF(SUM($U330)=0,"",SUM($Z330)/$U330)))</f>
        <v>1023</v>
      </c>
      <c r="AB330" s="90">
        <f t="shared" si="105"/>
        <v>0.88771712158808935</v>
      </c>
      <c r="AC330" s="14">
        <f>IF(LEFT($B330,4)="_Mil","",_xlfn.IFNA(ROUND(INDEX(Spectrum!$N:$N,MATCH(RIGHT($B330,13)&amp;"|"&amp;$C330&amp;"|"&amp;$D330&amp;"|"&amp;AC$14&amp;"|"&amp;"CY2023Q3",Spectrum!$R:$R,0)),0),""))</f>
        <v>959</v>
      </c>
      <c r="AD330" s="14" t="str">
        <f>IF(LEFT($B330,4)="_Mil","",_xlfn.IFNA(ROUND(INDEX(Spectrum!$N:$N,MATCH(RIGHT($B330,13)&amp;"|"&amp;$C330&amp;"|"&amp;$D330&amp;"|"&amp;AD$14&amp;"|"&amp;"CY2023Q3",Spectrum!$R:$R,0)),0),""))</f>
        <v/>
      </c>
      <c r="AE330" s="90">
        <f t="shared" si="106"/>
        <v>0</v>
      </c>
      <c r="AF330" s="42" t="str">
        <f>IF(LEFT($B330,4)="_Mil","",_xlfn.IFNA(ROUND(INDEX(Spectrum!$N:$N,MATCH(RIGHT($B330,13)&amp;"|"&amp;$C330&amp;"|"&amp;$D330&amp;"|"&amp;AF$14&amp;"|"&amp;"CY2023Q3",Spectrum!$R:$R,0)),0),""))</f>
        <v/>
      </c>
      <c r="AG330" s="90" t="str">
        <f t="shared" si="107"/>
        <v/>
      </c>
      <c r="AH330" s="88" t="str">
        <f>IF(LEFT($B330,4)="_Mil","",_xlfn.IFNA(INDEX(Spectrum!$N:$N,MATCH(RIGHT($B330,13)&amp;"|"&amp;$C330&amp;"|"&amp;$D330&amp;"|"&amp;AH$14&amp;"|"&amp;"CY2023Q3",Spectrum!$R:$R,0)),""))</f>
        <v/>
      </c>
      <c r="AI330" s="14" t="str">
        <f>IF(LEFT($B330,4)="_Mil","",_xlfn.IFNA(ROUND(INDEX(Spectrum!$N:$N,MATCH(RIGHT($B330,13)&amp;"|"&amp;$C330&amp;"|"&amp;$D330&amp;"|"&amp;AI$14&amp;"|"&amp;"CY2023Q3",Spectrum!$R:$R,0)),0),""))</f>
        <v/>
      </c>
      <c r="AJ330" s="42">
        <f>IF(LEFT($B330,4)="_Mil","",_xlfn.IFNA(ROUND(INDEX(Spectrum!$N:$N,MATCH(RIGHT($B330,13)&amp;"|"&amp;$C330&amp;"|"&amp;$D330&amp;"|"&amp;AI$14&amp;"|"&amp;"CY2023Q3",Spectrum!$R:$R,0)),0),SUM($U330)+SUM($AI330)))</f>
        <v>0</v>
      </c>
      <c r="AK330" s="14" t="str">
        <f>IF(LEFT($B330,4)="_Mil","",_xlfn.IFNA(ROUND(INDEX(Spectrum!$N:$N,MATCH(RIGHT($B330,13)&amp;"|"&amp;$C330&amp;"|"&amp;$D330&amp;"|"&amp;AK$14&amp;"|"&amp;"CY2023Q3",Spectrum!$R:$R,0)),0),""))</f>
        <v/>
      </c>
      <c r="AL330" s="90">
        <f t="shared" si="108"/>
        <v>1023</v>
      </c>
      <c r="AM330" s="14">
        <f t="shared" si="109"/>
        <v>0</v>
      </c>
      <c r="AN330" s="14" t="str">
        <f>IF($C330="&lt;01",ROUND(INDEX(EID!$P:$P,MATCH($B330,EID!$B:$B,0))/2,0),"")</f>
        <v/>
      </c>
      <c r="AO330" s="14">
        <f t="shared" si="110"/>
        <v>0</v>
      </c>
      <c r="AP330" s="42">
        <f t="shared" si="111"/>
        <v>0</v>
      </c>
      <c r="AQ330" s="42">
        <f t="shared" si="112"/>
        <v>1431</v>
      </c>
      <c r="AR330" s="90" t="str">
        <f t="shared" si="113"/>
        <v/>
      </c>
      <c r="AS330" s="90">
        <f t="shared" si="125"/>
        <v>0.98</v>
      </c>
      <c r="AT330" s="90">
        <f t="shared" si="125"/>
        <v>0.98</v>
      </c>
      <c r="AU330" s="14">
        <f t="shared" si="114"/>
        <v>0</v>
      </c>
      <c r="AV330" s="14">
        <f>IF($C330="&lt;01",ROUND(INDEX(EID!$N:$N,MATCH($B330,EID!$B:$B,0))/2,0),IF(SUM($AT330)=0,"",ROUND((SUM($AP330)-(SUM($O330)*SUM($AS330)))/$AT330,0)))</f>
        <v>0</v>
      </c>
      <c r="AW330" s="90">
        <f t="shared" si="115"/>
        <v>1</v>
      </c>
      <c r="AX330" s="42">
        <f t="shared" si="116"/>
        <v>0</v>
      </c>
      <c r="AY330" s="116">
        <f t="shared" si="117"/>
        <v>0.7</v>
      </c>
      <c r="AZ330" s="93">
        <f>IF($C330="&lt;01",ROUND(INDEX(EID!$R:$R,MATCH($B330,EID!$B:$B,0))/2,0),ROUND(SUM($O330)+(SUM($AV330)*$AY330),0))</f>
        <v>0</v>
      </c>
      <c r="BA330" s="89">
        <f t="shared" si="118"/>
        <v>0.95</v>
      </c>
      <c r="BB330" s="9">
        <f>IF($C330="&lt;01",ROUND(INDEX(EID!$T:$T,MATCH($B330,EID!$B:$B,0))/2,0),ROUND($AZ330*$BA330,0))</f>
        <v>0</v>
      </c>
      <c r="BC330" s="93">
        <f t="shared" si="119"/>
        <v>0</v>
      </c>
      <c r="BD330" s="90">
        <f t="shared" si="120"/>
        <v>0.95</v>
      </c>
      <c r="BE330" s="42">
        <f>IF($C330="&lt;01",ROUND(INDEX(EID!$V:$V,MATCH($B330,EID!$B:$B,0))/2,0),ROUND($BD330*$BB330,0))</f>
        <v>0</v>
      </c>
      <c r="BF330" s="42">
        <f t="shared" si="121"/>
        <v>0</v>
      </c>
      <c r="BG330" s="116">
        <f t="shared" si="122"/>
        <v>0.95</v>
      </c>
      <c r="BH330" s="9">
        <f>IF($C330="&lt;01",ROUND(INDEX(EID!$L:$L,MATCH($B330,EID!$B:$B,0)),0)/2,IF(SUM($BG330)=0,"",ROUND($AX330/$BG330,0)))</f>
        <v>0</v>
      </c>
    </row>
    <row r="331" spans="1:60" x14ac:dyDescent="0.2">
      <c r="A331" t="str">
        <f>INDEX(Prioritization!$D:$D,MATCH($B331,Prioritization!$A:$A,0))</f>
        <v>INVALID</v>
      </c>
      <c r="B331" t="s">
        <v>215</v>
      </c>
      <c r="C331" t="s">
        <v>365</v>
      </c>
      <c r="D331" t="s">
        <v>29</v>
      </c>
      <c r="E331" t="str">
        <f t="shared" si="101"/>
        <v>Mulanje District [umc2n1Z4wNv]|25-34|Female</v>
      </c>
      <c r="F331" s="14"/>
      <c r="G331" s="14"/>
      <c r="H331" s="14"/>
      <c r="I331" s="14"/>
      <c r="J331" s="14"/>
      <c r="K331" s="14"/>
      <c r="L331" s="14"/>
      <c r="M331" s="14"/>
      <c r="N331" s="14"/>
      <c r="O331" s="14" t="str">
        <f t="shared" si="102"/>
        <v/>
      </c>
      <c r="P331" s="14"/>
      <c r="Q331" s="14"/>
      <c r="R331" s="14" t="str">
        <f t="shared" si="103"/>
        <v/>
      </c>
      <c r="S331" s="14">
        <f>IF(LEFT($B331,4)="_Mil","",_xlfn.IFNA(ROUND(INDEX(Spectrum!$N:$N,MATCH(RIGHT($B331,13)&amp;"|"&amp;$C331&amp;"|"&amp;$D331&amp;"|"&amp;S$14&amp;"|"&amp;"CY2022Q4",Spectrum!$R:$R,0)),0),""))</f>
        <v>1086</v>
      </c>
      <c r="T331" s="42">
        <f>IF(LEFT($B331,4)="_Mil","",_xlfn.IFNA(ROUND(INDEX(Spectrum!$N:$N,MATCH(RIGHT($B331,13)&amp;"|"&amp;$C331&amp;"|"&amp;$D331&amp;"|"&amp;T$14&amp;"|"&amp;"CY2023Q3",Spectrum!$R:$R,0)),0),""))</f>
        <v>947</v>
      </c>
      <c r="U331" s="42" t="str">
        <f>IF(LEFT($B331,4)="_Mil","",_xlfn.IFNA(ROUND(INDEX(Spectrum!$N:$N,MATCH(RIGHT($B331,13)&amp;"|"&amp;$C331&amp;"|"&amp;$D331&amp;"|"&amp;U$14&amp;"|"&amp;"CY2023Q3",Spectrum!$R:$R,0)),0),""))</f>
        <v/>
      </c>
      <c r="V331" s="14">
        <f>IF(LEFT($B331,4)="_Mil","",_xlfn.IFNA(ROUND(INDEX(Spectrum!$N:$N,MATCH(RIGHT($B331,13)&amp;"|"&amp;$C331&amp;"|"&amp;$D331&amp;"|"&amp;V$14&amp;"|"&amp;"CY2023Q3",Spectrum!$R:$R,0)),0),""))</f>
        <v>1820</v>
      </c>
      <c r="W331" s="115">
        <f>IF(LEFT($B331,4)="_Mil","",_xlfn.IFNA(INDEX(Spectrum!$N:$N,MATCH(RIGHT($B331,13)&amp;"|"&amp;$C331&amp;"|"&amp;$D331&amp;"|"&amp;W$14&amp;"|"&amp;"CY2023Q3",Spectrum!$R:$R,0)),""))</f>
        <v>938</v>
      </c>
      <c r="X331" s="42">
        <f>IF(LEFT($B331,4)="_Mil","",_xlfn.IFNA(ROUND(INDEX(Spectrum!$N:$N,MATCH(RIGHT($B331,13)&amp;"|"&amp;$C331&amp;"|"&amp;$D331&amp;"|"&amp;X$14&amp;"|"&amp;"CY2023Q3",Spectrum!$R:$R,0)),0),""))</f>
        <v>1397</v>
      </c>
      <c r="Y331" s="90" t="str">
        <f t="shared" si="104"/>
        <v/>
      </c>
      <c r="Z331" s="42">
        <f>IF(LEFT($B331,4)="_Mil","",_xlfn.IFNA(ROUND(INDEX(Spectrum!$N:$N,MATCH(RIGHT($B331,13)&amp;"|"&amp;$C331&amp;"|"&amp;$D331&amp;"|"&amp;Z$14&amp;"|"&amp;"CY2023Q3",Spectrum!$R:$R,0)),0),""))</f>
        <v>1787</v>
      </c>
      <c r="AA331" s="90">
        <f>IF(LEFT($B331,4)="_Mil","",IFERROR(1/(1/INDEX(Spectrum!$N:$N,MATCH(RIGHT($B331,13)&amp;"|"&amp;$C331&amp;"|"&amp;$D331&amp;"|"&amp;AA$14&amp;"|"&amp;"CY2023Q3",Spectrum!$R:$R,0))),IF(SUM($U331)=0,"",SUM($Z331)/$U331)))</f>
        <v>1980</v>
      </c>
      <c r="AB331" s="90">
        <f t="shared" si="105"/>
        <v>1.2791696492483895</v>
      </c>
      <c r="AC331" s="14">
        <f>IF(LEFT($B331,4)="_Mil","",_xlfn.IFNA(ROUND(INDEX(Spectrum!$N:$N,MATCH(RIGHT($B331,13)&amp;"|"&amp;$C331&amp;"|"&amp;$D331&amp;"|"&amp;AC$14&amp;"|"&amp;"CY2023Q3",Spectrum!$R:$R,0)),0),""))</f>
        <v>1820</v>
      </c>
      <c r="AD331" s="14" t="str">
        <f>IF(LEFT($B331,4)="_Mil","",_xlfn.IFNA(ROUND(INDEX(Spectrum!$N:$N,MATCH(RIGHT($B331,13)&amp;"|"&amp;$C331&amp;"|"&amp;$D331&amp;"|"&amp;AD$14&amp;"|"&amp;"CY2023Q3",Spectrum!$R:$R,0)),0),""))</f>
        <v/>
      </c>
      <c r="AE331" s="90">
        <f t="shared" si="106"/>
        <v>0</v>
      </c>
      <c r="AF331" s="42" t="str">
        <f>IF(LEFT($B331,4)="_Mil","",_xlfn.IFNA(ROUND(INDEX(Spectrum!$N:$N,MATCH(RIGHT($B331,13)&amp;"|"&amp;$C331&amp;"|"&amp;$D331&amp;"|"&amp;AF$14&amp;"|"&amp;"CY2023Q3",Spectrum!$R:$R,0)),0),""))</f>
        <v/>
      </c>
      <c r="AG331" s="90" t="str">
        <f t="shared" si="107"/>
        <v/>
      </c>
      <c r="AH331" s="88" t="str">
        <f>IF(LEFT($B331,4)="_Mil","",_xlfn.IFNA(INDEX(Spectrum!$N:$N,MATCH(RIGHT($B331,13)&amp;"|"&amp;$C331&amp;"|"&amp;$D331&amp;"|"&amp;AH$14&amp;"|"&amp;"CY2023Q3",Spectrum!$R:$R,0)),""))</f>
        <v/>
      </c>
      <c r="AI331" s="14" t="str">
        <f>IF(LEFT($B331,4)="_Mil","",_xlfn.IFNA(ROUND(INDEX(Spectrum!$N:$N,MATCH(RIGHT($B331,13)&amp;"|"&amp;$C331&amp;"|"&amp;$D331&amp;"|"&amp;AI$14&amp;"|"&amp;"CY2023Q3",Spectrum!$R:$R,0)),0),""))</f>
        <v/>
      </c>
      <c r="AJ331" s="42">
        <f>IF(LEFT($B331,4)="_Mil","",_xlfn.IFNA(ROUND(INDEX(Spectrum!$N:$N,MATCH(RIGHT($B331,13)&amp;"|"&amp;$C331&amp;"|"&amp;$D331&amp;"|"&amp;AI$14&amp;"|"&amp;"CY2023Q3",Spectrum!$R:$R,0)),0),SUM($U331)+SUM($AI331)))</f>
        <v>0</v>
      </c>
      <c r="AK331" s="14" t="str">
        <f>IF(LEFT($B331,4)="_Mil","",_xlfn.IFNA(ROUND(INDEX(Spectrum!$N:$N,MATCH(RIGHT($B331,13)&amp;"|"&amp;$C331&amp;"|"&amp;$D331&amp;"|"&amp;AK$14&amp;"|"&amp;"CY2023Q3",Spectrum!$R:$R,0)),0),""))</f>
        <v/>
      </c>
      <c r="AL331" s="90">
        <f t="shared" si="108"/>
        <v>1980</v>
      </c>
      <c r="AM331" s="14">
        <f t="shared" si="109"/>
        <v>0</v>
      </c>
      <c r="AN331" s="14" t="str">
        <f>IF($C331="&lt;01",ROUND(INDEX(EID!$P:$P,MATCH($B331,EID!$B:$B,0))/2,0),"")</f>
        <v/>
      </c>
      <c r="AO331" s="14">
        <f t="shared" si="110"/>
        <v>0</v>
      </c>
      <c r="AP331" s="42">
        <f t="shared" si="111"/>
        <v>0</v>
      </c>
      <c r="AQ331" s="42">
        <f t="shared" si="112"/>
        <v>1787</v>
      </c>
      <c r="AR331" s="90" t="str">
        <f t="shared" si="113"/>
        <v/>
      </c>
      <c r="AS331" s="90">
        <f t="shared" si="125"/>
        <v>0.98</v>
      </c>
      <c r="AT331" s="90">
        <f t="shared" si="125"/>
        <v>0.98</v>
      </c>
      <c r="AU331" s="14">
        <f t="shared" si="114"/>
        <v>0</v>
      </c>
      <c r="AV331" s="14">
        <f>IF($C331="&lt;01",ROUND(INDEX(EID!$N:$N,MATCH($B331,EID!$B:$B,0))/2,0),IF(SUM($AT331)=0,"",ROUND((SUM($AP331)-(SUM($O331)*SUM($AS331)))/$AT331,0)))</f>
        <v>0</v>
      </c>
      <c r="AW331" s="90">
        <f t="shared" si="115"/>
        <v>1</v>
      </c>
      <c r="AX331" s="42">
        <f t="shared" si="116"/>
        <v>0</v>
      </c>
      <c r="AY331" s="116">
        <f t="shared" si="117"/>
        <v>0.7</v>
      </c>
      <c r="AZ331" s="93">
        <f>IF($C331="&lt;01",ROUND(INDEX(EID!$R:$R,MATCH($B331,EID!$B:$B,0))/2,0),ROUND(SUM($O331)+(SUM($AV331)*$AY331),0))</f>
        <v>0</v>
      </c>
      <c r="BA331" s="89">
        <f t="shared" si="118"/>
        <v>0.95</v>
      </c>
      <c r="BB331" s="9">
        <f>IF($C331="&lt;01",ROUND(INDEX(EID!$T:$T,MATCH($B331,EID!$B:$B,0))/2,0),ROUND($AZ331*$BA331,0))</f>
        <v>0</v>
      </c>
      <c r="BC331" s="93">
        <f t="shared" si="119"/>
        <v>0</v>
      </c>
      <c r="BD331" s="90">
        <f t="shared" si="120"/>
        <v>0.95</v>
      </c>
      <c r="BE331" s="42">
        <f>IF($C331="&lt;01",ROUND(INDEX(EID!$V:$V,MATCH($B331,EID!$B:$B,0))/2,0),ROUND($BD331*$BB331,0))</f>
        <v>0</v>
      </c>
      <c r="BF331" s="42">
        <f t="shared" si="121"/>
        <v>0</v>
      </c>
      <c r="BG331" s="116">
        <f t="shared" si="122"/>
        <v>0.95</v>
      </c>
      <c r="BH331" s="9">
        <f>IF($C331="&lt;01",ROUND(INDEX(EID!$L:$L,MATCH($B331,EID!$B:$B,0)),0)/2,IF(SUM($BG331)=0,"",ROUND($AX331/$BG331,0)))</f>
        <v>0</v>
      </c>
    </row>
    <row r="332" spans="1:60" x14ac:dyDescent="0.2">
      <c r="A332" t="str">
        <f>INDEX(Prioritization!$D:$D,MATCH($B332,Prioritization!$A:$A,0))</f>
        <v>INVALID</v>
      </c>
      <c r="B332" t="s">
        <v>215</v>
      </c>
      <c r="C332" t="s">
        <v>365</v>
      </c>
      <c r="D332" t="s">
        <v>47</v>
      </c>
      <c r="E332" t="str">
        <f t="shared" si="101"/>
        <v>Mulanje District [umc2n1Z4wNv]|25-34|Male</v>
      </c>
      <c r="F332" s="14"/>
      <c r="G332" s="14"/>
      <c r="H332" s="14"/>
      <c r="I332" s="14"/>
      <c r="J332" s="14"/>
      <c r="K332" s="14"/>
      <c r="L332" s="14"/>
      <c r="M332" s="14"/>
      <c r="N332" s="14"/>
      <c r="O332" s="14" t="str">
        <f t="shared" si="102"/>
        <v/>
      </c>
      <c r="P332" s="14"/>
      <c r="Q332" s="14"/>
      <c r="R332" s="14" t="str">
        <f t="shared" si="103"/>
        <v/>
      </c>
      <c r="S332" s="14">
        <f>IF(LEFT($B332,4)="_Mil","",_xlfn.IFNA(ROUND(INDEX(Spectrum!$N:$N,MATCH(RIGHT($B332,13)&amp;"|"&amp;$C332&amp;"|"&amp;$D332&amp;"|"&amp;S$14&amp;"|"&amp;"CY2022Q4",Spectrum!$R:$R,0)),0),""))</f>
        <v>741</v>
      </c>
      <c r="T332" s="42">
        <f>IF(LEFT($B332,4)="_Mil","",_xlfn.IFNA(ROUND(INDEX(Spectrum!$N:$N,MATCH(RIGHT($B332,13)&amp;"|"&amp;$C332&amp;"|"&amp;$D332&amp;"|"&amp;T$14&amp;"|"&amp;"CY2023Q3",Spectrum!$R:$R,0)),0),""))</f>
        <v>1987</v>
      </c>
      <c r="U332" s="42" t="str">
        <f>IF(LEFT($B332,4)="_Mil","",_xlfn.IFNA(ROUND(INDEX(Spectrum!$N:$N,MATCH(RIGHT($B332,13)&amp;"|"&amp;$C332&amp;"|"&amp;$D332&amp;"|"&amp;U$14&amp;"|"&amp;"CY2023Q3",Spectrum!$R:$R,0)),0),""))</f>
        <v/>
      </c>
      <c r="V332" s="14">
        <f>IF(LEFT($B332,4)="_Mil","",_xlfn.IFNA(ROUND(INDEX(Spectrum!$N:$N,MATCH(RIGHT($B332,13)&amp;"|"&amp;$C332&amp;"|"&amp;$D332&amp;"|"&amp;V$14&amp;"|"&amp;"CY2023Q3",Spectrum!$R:$R,0)),0),""))</f>
        <v>694</v>
      </c>
      <c r="W332" s="115">
        <f>IF(LEFT($B332,4)="_Mil","",_xlfn.IFNA(INDEX(Spectrum!$N:$N,MATCH(RIGHT($B332,13)&amp;"|"&amp;$C332&amp;"|"&amp;$D332&amp;"|"&amp;W$14&amp;"|"&amp;"CY2023Q3",Spectrum!$R:$R,0)),""))</f>
        <v>688</v>
      </c>
      <c r="X332" s="42">
        <f>IF(LEFT($B332,4)="_Mil","",_xlfn.IFNA(ROUND(INDEX(Spectrum!$N:$N,MATCH(RIGHT($B332,13)&amp;"|"&amp;$C332&amp;"|"&amp;$D332&amp;"|"&amp;X$14&amp;"|"&amp;"CY2023Q3",Spectrum!$R:$R,0)),0),""))</f>
        <v>1282</v>
      </c>
      <c r="Y332" s="90" t="str">
        <f t="shared" si="104"/>
        <v/>
      </c>
      <c r="Z332" s="42">
        <f>IF(LEFT($B332,4)="_Mil","",_xlfn.IFNA(ROUND(INDEX(Spectrum!$N:$N,MATCH(RIGHT($B332,13)&amp;"|"&amp;$C332&amp;"|"&amp;$D332&amp;"|"&amp;Z$14&amp;"|"&amp;"CY2023Q3",Spectrum!$R:$R,0)),0),""))</f>
        <v>1583</v>
      </c>
      <c r="AA332" s="90">
        <f>IF(LEFT($B332,4)="_Mil","",IFERROR(1/(1/INDEX(Spectrum!$N:$N,MATCH(RIGHT($B332,13)&amp;"|"&amp;$C332&amp;"|"&amp;$D332&amp;"|"&amp;AA$14&amp;"|"&amp;"CY2023Q3",Spectrum!$R:$R,0))),IF(SUM($U332)=0,"",SUM($Z332)/$U332)))</f>
        <v>1972</v>
      </c>
      <c r="AB332" s="90">
        <f t="shared" si="105"/>
        <v>1.2347893915756629</v>
      </c>
      <c r="AC332" s="14">
        <f>IF(LEFT($B332,4)="_Mil","",_xlfn.IFNA(ROUND(INDEX(Spectrum!$N:$N,MATCH(RIGHT($B332,13)&amp;"|"&amp;$C332&amp;"|"&amp;$D332&amp;"|"&amp;AC$14&amp;"|"&amp;"CY2023Q3",Spectrum!$R:$R,0)),0),""))</f>
        <v>715</v>
      </c>
      <c r="AD332" s="14" t="str">
        <f>IF(LEFT($B332,4)="_Mil","",_xlfn.IFNA(ROUND(INDEX(Spectrum!$N:$N,MATCH(RIGHT($B332,13)&amp;"|"&amp;$C332&amp;"|"&amp;$D332&amp;"|"&amp;AD$14&amp;"|"&amp;"CY2023Q3",Spectrum!$R:$R,0)),0),""))</f>
        <v/>
      </c>
      <c r="AE332" s="90">
        <f t="shared" si="106"/>
        <v>0</v>
      </c>
      <c r="AF332" s="42" t="str">
        <f>IF(LEFT($B332,4)="_Mil","",_xlfn.IFNA(ROUND(INDEX(Spectrum!$N:$N,MATCH(RIGHT($B332,13)&amp;"|"&amp;$C332&amp;"|"&amp;$D332&amp;"|"&amp;AF$14&amp;"|"&amp;"CY2023Q3",Spectrum!$R:$R,0)),0),""))</f>
        <v/>
      </c>
      <c r="AG332" s="90" t="str">
        <f t="shared" si="107"/>
        <v/>
      </c>
      <c r="AH332" s="88" t="str">
        <f>IF(LEFT($B332,4)="_Mil","",_xlfn.IFNA(INDEX(Spectrum!$N:$N,MATCH(RIGHT($B332,13)&amp;"|"&amp;$C332&amp;"|"&amp;$D332&amp;"|"&amp;AH$14&amp;"|"&amp;"CY2023Q3",Spectrum!$R:$R,0)),""))</f>
        <v/>
      </c>
      <c r="AI332" s="14" t="str">
        <f>IF(LEFT($B332,4)="_Mil","",_xlfn.IFNA(ROUND(INDEX(Spectrum!$N:$N,MATCH(RIGHT($B332,13)&amp;"|"&amp;$C332&amp;"|"&amp;$D332&amp;"|"&amp;AI$14&amp;"|"&amp;"CY2023Q3",Spectrum!$R:$R,0)),0),""))</f>
        <v/>
      </c>
      <c r="AJ332" s="42">
        <f>IF(LEFT($B332,4)="_Mil","",_xlfn.IFNA(ROUND(INDEX(Spectrum!$N:$N,MATCH(RIGHT($B332,13)&amp;"|"&amp;$C332&amp;"|"&amp;$D332&amp;"|"&amp;AI$14&amp;"|"&amp;"CY2023Q3",Spectrum!$R:$R,0)),0),SUM($U332)+SUM($AI332)))</f>
        <v>0</v>
      </c>
      <c r="AK332" s="14" t="str">
        <f>IF(LEFT($B332,4)="_Mil","",_xlfn.IFNA(ROUND(INDEX(Spectrum!$N:$N,MATCH(RIGHT($B332,13)&amp;"|"&amp;$C332&amp;"|"&amp;$D332&amp;"|"&amp;AK$14&amp;"|"&amp;"CY2023Q3",Spectrum!$R:$R,0)),0),""))</f>
        <v/>
      </c>
      <c r="AL332" s="90">
        <f t="shared" si="108"/>
        <v>1972</v>
      </c>
      <c r="AM332" s="14">
        <f t="shared" si="109"/>
        <v>0</v>
      </c>
      <c r="AN332" s="14" t="str">
        <f>IF($C332="&lt;01",ROUND(INDEX(EID!$P:$P,MATCH($B332,EID!$B:$B,0))/2,0),"")</f>
        <v/>
      </c>
      <c r="AO332" s="14">
        <f t="shared" si="110"/>
        <v>0</v>
      </c>
      <c r="AP332" s="42">
        <f t="shared" si="111"/>
        <v>0</v>
      </c>
      <c r="AQ332" s="42">
        <f t="shared" si="112"/>
        <v>1583</v>
      </c>
      <c r="AR332" s="90" t="str">
        <f t="shared" si="113"/>
        <v/>
      </c>
      <c r="AS332" s="90">
        <f t="shared" si="125"/>
        <v>0.98</v>
      </c>
      <c r="AT332" s="90">
        <f t="shared" si="125"/>
        <v>0.98</v>
      </c>
      <c r="AU332" s="14">
        <f t="shared" si="114"/>
        <v>0</v>
      </c>
      <c r="AV332" s="14">
        <f>IF($C332="&lt;01",ROUND(INDEX(EID!$N:$N,MATCH($B332,EID!$B:$B,0))/2,0),IF(SUM($AT332)=0,"",ROUND((SUM($AP332)-(SUM($O332)*SUM($AS332)))/$AT332,0)))</f>
        <v>0</v>
      </c>
      <c r="AW332" s="90">
        <f t="shared" si="115"/>
        <v>1</v>
      </c>
      <c r="AX332" s="42">
        <f t="shared" si="116"/>
        <v>0</v>
      </c>
      <c r="AY332" s="116">
        <f t="shared" si="117"/>
        <v>0.7</v>
      </c>
      <c r="AZ332" s="93">
        <f>IF($C332="&lt;01",ROUND(INDEX(EID!$R:$R,MATCH($B332,EID!$B:$B,0))/2,0),ROUND(SUM($O332)+(SUM($AV332)*$AY332),0))</f>
        <v>0</v>
      </c>
      <c r="BA332" s="89">
        <f t="shared" si="118"/>
        <v>0.95</v>
      </c>
      <c r="BB332" s="9">
        <f>IF($C332="&lt;01",ROUND(INDEX(EID!$T:$T,MATCH($B332,EID!$B:$B,0))/2,0),ROUND($AZ332*$BA332,0))</f>
        <v>0</v>
      </c>
      <c r="BC332" s="93">
        <f t="shared" si="119"/>
        <v>0</v>
      </c>
      <c r="BD332" s="90">
        <f t="shared" si="120"/>
        <v>0.95</v>
      </c>
      <c r="BE332" s="42">
        <f>IF($C332="&lt;01",ROUND(INDEX(EID!$V:$V,MATCH($B332,EID!$B:$B,0))/2,0),ROUND($BD332*$BB332,0))</f>
        <v>0</v>
      </c>
      <c r="BF332" s="42">
        <f t="shared" si="121"/>
        <v>0</v>
      </c>
      <c r="BG332" s="116">
        <f t="shared" si="122"/>
        <v>0.95</v>
      </c>
      <c r="BH332" s="9">
        <f>IF($C332="&lt;01",ROUND(INDEX(EID!$L:$L,MATCH($B332,EID!$B:$B,0)),0)/2,IF(SUM($BG332)=0,"",ROUND($AX332/$BG332,0)))</f>
        <v>0</v>
      </c>
    </row>
    <row r="333" spans="1:60" x14ac:dyDescent="0.2">
      <c r="A333" t="str">
        <f>INDEX(Prioritization!$D:$D,MATCH($B333,Prioritization!$A:$A,0))</f>
        <v>INVALID</v>
      </c>
      <c r="B333" t="s">
        <v>215</v>
      </c>
      <c r="C333" t="s">
        <v>366</v>
      </c>
      <c r="D333" t="s">
        <v>29</v>
      </c>
      <c r="E333" t="str">
        <f t="shared" si="101"/>
        <v>Mulanje District [umc2n1Z4wNv]|35-49|Female</v>
      </c>
      <c r="F333" s="14"/>
      <c r="G333" s="14"/>
      <c r="H333" s="14"/>
      <c r="I333" s="14"/>
      <c r="J333" s="14"/>
      <c r="K333" s="14"/>
      <c r="L333" s="14"/>
      <c r="M333" s="14"/>
      <c r="N333" s="14"/>
      <c r="O333" s="14" t="str">
        <f t="shared" si="102"/>
        <v/>
      </c>
      <c r="P333" s="14"/>
      <c r="Q333" s="14"/>
      <c r="R333" s="14" t="str">
        <f t="shared" si="103"/>
        <v/>
      </c>
      <c r="S333" s="14">
        <f>IF(LEFT($B333,4)="_Mil","",_xlfn.IFNA(ROUND(INDEX(Spectrum!$N:$N,MATCH(RIGHT($B333,13)&amp;"|"&amp;$C333&amp;"|"&amp;$D333&amp;"|"&amp;S$14&amp;"|"&amp;"CY2022Q4",Spectrum!$R:$R,0)),0),""))</f>
        <v>1696</v>
      </c>
      <c r="T333" s="42">
        <f>IF(LEFT($B333,4)="_Mil","",_xlfn.IFNA(ROUND(INDEX(Spectrum!$N:$N,MATCH(RIGHT($B333,13)&amp;"|"&amp;$C333&amp;"|"&amp;$D333&amp;"|"&amp;T$14&amp;"|"&amp;"CY2023Q3",Spectrum!$R:$R,0)),0),""))</f>
        <v>947</v>
      </c>
      <c r="U333" s="42" t="str">
        <f>IF(LEFT($B333,4)="_Mil","",_xlfn.IFNA(ROUND(INDEX(Spectrum!$N:$N,MATCH(RIGHT($B333,13)&amp;"|"&amp;$C333&amp;"|"&amp;$D333&amp;"|"&amp;U$14&amp;"|"&amp;"CY2023Q3",Spectrum!$R:$R,0)),0),""))</f>
        <v/>
      </c>
      <c r="V333" s="14">
        <f>IF(LEFT($B333,4)="_Mil","",_xlfn.IFNA(ROUND(INDEX(Spectrum!$N:$N,MATCH(RIGHT($B333,13)&amp;"|"&amp;$C333&amp;"|"&amp;$D333&amp;"|"&amp;V$14&amp;"|"&amp;"CY2023Q3",Spectrum!$R:$R,0)),0),""))</f>
        <v>1233</v>
      </c>
      <c r="W333" s="115">
        <f>IF(LEFT($B333,4)="_Mil","",_xlfn.IFNA(INDEX(Spectrum!$N:$N,MATCH(RIGHT($B333,13)&amp;"|"&amp;$C333&amp;"|"&amp;$D333&amp;"|"&amp;W$14&amp;"|"&amp;"CY2023Q3",Spectrum!$R:$R,0)),""))</f>
        <v>647</v>
      </c>
      <c r="X333" s="42">
        <f>IF(LEFT($B333,4)="_Mil","",_xlfn.IFNA(ROUND(INDEX(Spectrum!$N:$N,MATCH(RIGHT($B333,13)&amp;"|"&amp;$C333&amp;"|"&amp;$D333&amp;"|"&amp;X$14&amp;"|"&amp;"CY2023Q3",Spectrum!$R:$R,0)),0),""))</f>
        <v>1829</v>
      </c>
      <c r="Y333" s="90" t="str">
        <f t="shared" si="104"/>
        <v/>
      </c>
      <c r="Z333" s="42">
        <f>IF(LEFT($B333,4)="_Mil","",_xlfn.IFNA(ROUND(INDEX(Spectrum!$N:$N,MATCH(RIGHT($B333,13)&amp;"|"&amp;$C333&amp;"|"&amp;$D333&amp;"|"&amp;Z$14&amp;"|"&amp;"CY2023Q3",Spectrum!$R:$R,0)),0),""))</f>
        <v>1619</v>
      </c>
      <c r="AA333" s="90">
        <f>IF(LEFT($B333,4)="_Mil","",IFERROR(1/(1/INDEX(Spectrum!$N:$N,MATCH(RIGHT($B333,13)&amp;"|"&amp;$C333&amp;"|"&amp;$D333&amp;"|"&amp;AA$14&amp;"|"&amp;"CY2023Q3",Spectrum!$R:$R,0))),IF(SUM($U333)=0,"",SUM($Z333)/$U333)))</f>
        <v>783</v>
      </c>
      <c r="AB333" s="90">
        <f t="shared" si="105"/>
        <v>0.88518316019682886</v>
      </c>
      <c r="AC333" s="14">
        <f>IF(LEFT($B333,4)="_Mil","",_xlfn.IFNA(ROUND(INDEX(Spectrum!$N:$N,MATCH(RIGHT($B333,13)&amp;"|"&amp;$C333&amp;"|"&amp;$D333&amp;"|"&amp;AC$14&amp;"|"&amp;"CY2023Q3",Spectrum!$R:$R,0)),0),""))</f>
        <v>531</v>
      </c>
      <c r="AD333" s="14" t="str">
        <f>IF(LEFT($B333,4)="_Mil","",_xlfn.IFNA(ROUND(INDEX(Spectrum!$N:$N,MATCH(RIGHT($B333,13)&amp;"|"&amp;$C333&amp;"|"&amp;$D333&amp;"|"&amp;AD$14&amp;"|"&amp;"CY2023Q3",Spectrum!$R:$R,0)),0),""))</f>
        <v/>
      </c>
      <c r="AE333" s="90">
        <f t="shared" si="106"/>
        <v>0</v>
      </c>
      <c r="AF333" s="42" t="str">
        <f>IF(LEFT($B333,4)="_Mil","",_xlfn.IFNA(ROUND(INDEX(Spectrum!$N:$N,MATCH(RIGHT($B333,13)&amp;"|"&amp;$C333&amp;"|"&amp;$D333&amp;"|"&amp;AF$14&amp;"|"&amp;"CY2023Q3",Spectrum!$R:$R,0)),0),""))</f>
        <v/>
      </c>
      <c r="AG333" s="90" t="str">
        <f t="shared" si="107"/>
        <v/>
      </c>
      <c r="AH333" s="88" t="str">
        <f>IF(LEFT($B333,4)="_Mil","",_xlfn.IFNA(INDEX(Spectrum!$N:$N,MATCH(RIGHT($B333,13)&amp;"|"&amp;$C333&amp;"|"&amp;$D333&amp;"|"&amp;AH$14&amp;"|"&amp;"CY2023Q3",Spectrum!$R:$R,0)),""))</f>
        <v/>
      </c>
      <c r="AI333" s="14" t="str">
        <f>IF(LEFT($B333,4)="_Mil","",_xlfn.IFNA(ROUND(INDEX(Spectrum!$N:$N,MATCH(RIGHT($B333,13)&amp;"|"&amp;$C333&amp;"|"&amp;$D333&amp;"|"&amp;AI$14&amp;"|"&amp;"CY2023Q3",Spectrum!$R:$R,0)),0),""))</f>
        <v/>
      </c>
      <c r="AJ333" s="42">
        <f>IF(LEFT($B333,4)="_Mil","",_xlfn.IFNA(ROUND(INDEX(Spectrum!$N:$N,MATCH(RIGHT($B333,13)&amp;"|"&amp;$C333&amp;"|"&amp;$D333&amp;"|"&amp;AI$14&amp;"|"&amp;"CY2023Q3",Spectrum!$R:$R,0)),0),SUM($U333)+SUM($AI333)))</f>
        <v>0</v>
      </c>
      <c r="AK333" s="14" t="str">
        <f>IF(LEFT($B333,4)="_Mil","",_xlfn.IFNA(ROUND(INDEX(Spectrum!$N:$N,MATCH(RIGHT($B333,13)&amp;"|"&amp;$C333&amp;"|"&amp;$D333&amp;"|"&amp;AK$14&amp;"|"&amp;"CY2023Q3",Spectrum!$R:$R,0)),0),""))</f>
        <v/>
      </c>
      <c r="AL333" s="90">
        <f t="shared" si="108"/>
        <v>783</v>
      </c>
      <c r="AM333" s="14">
        <f t="shared" si="109"/>
        <v>0</v>
      </c>
      <c r="AN333" s="14" t="str">
        <f>IF($C333="&lt;01",ROUND(INDEX(EID!$P:$P,MATCH($B333,EID!$B:$B,0))/2,0),"")</f>
        <v/>
      </c>
      <c r="AO333" s="14">
        <f t="shared" si="110"/>
        <v>0</v>
      </c>
      <c r="AP333" s="42">
        <f t="shared" si="111"/>
        <v>0</v>
      </c>
      <c r="AQ333" s="42">
        <f t="shared" si="112"/>
        <v>1619</v>
      </c>
      <c r="AR333" s="90" t="str">
        <f t="shared" si="113"/>
        <v/>
      </c>
      <c r="AS333" s="90">
        <f t="shared" si="125"/>
        <v>0.98</v>
      </c>
      <c r="AT333" s="90">
        <f t="shared" si="125"/>
        <v>0.98</v>
      </c>
      <c r="AU333" s="14">
        <f t="shared" si="114"/>
        <v>0</v>
      </c>
      <c r="AV333" s="14">
        <f>IF($C333="&lt;01",ROUND(INDEX(EID!$N:$N,MATCH($B333,EID!$B:$B,0))/2,0),IF(SUM($AT333)=0,"",ROUND((SUM($AP333)-(SUM($O333)*SUM($AS333)))/$AT333,0)))</f>
        <v>0</v>
      </c>
      <c r="AW333" s="90">
        <f t="shared" si="115"/>
        <v>1</v>
      </c>
      <c r="AX333" s="42">
        <f t="shared" si="116"/>
        <v>0</v>
      </c>
      <c r="AY333" s="116">
        <f t="shared" si="117"/>
        <v>0.7</v>
      </c>
      <c r="AZ333" s="93">
        <f>IF($C333="&lt;01",ROUND(INDEX(EID!$R:$R,MATCH($B333,EID!$B:$B,0))/2,0),ROUND(SUM($O333)+(SUM($AV333)*$AY333),0))</f>
        <v>0</v>
      </c>
      <c r="BA333" s="89">
        <f t="shared" si="118"/>
        <v>0.95</v>
      </c>
      <c r="BB333" s="9">
        <f>IF($C333="&lt;01",ROUND(INDEX(EID!$T:$T,MATCH($B333,EID!$B:$B,0))/2,0),ROUND($AZ333*$BA333,0))</f>
        <v>0</v>
      </c>
      <c r="BC333" s="93">
        <f t="shared" si="119"/>
        <v>0</v>
      </c>
      <c r="BD333" s="90">
        <f t="shared" si="120"/>
        <v>0.95</v>
      </c>
      <c r="BE333" s="42">
        <f>IF($C333="&lt;01",ROUND(INDEX(EID!$V:$V,MATCH($B333,EID!$B:$B,0))/2,0),ROUND($BD333*$BB333,0))</f>
        <v>0</v>
      </c>
      <c r="BF333" s="42">
        <f t="shared" si="121"/>
        <v>0</v>
      </c>
      <c r="BG333" s="116">
        <f t="shared" si="122"/>
        <v>0.95</v>
      </c>
      <c r="BH333" s="9">
        <f>IF($C333="&lt;01",ROUND(INDEX(EID!$L:$L,MATCH($B333,EID!$B:$B,0)),0)/2,IF(SUM($BG333)=0,"",ROUND($AX333/$BG333,0)))</f>
        <v>0</v>
      </c>
    </row>
    <row r="334" spans="1:60" x14ac:dyDescent="0.2">
      <c r="A334" t="str">
        <f>INDEX(Prioritization!$D:$D,MATCH($B334,Prioritization!$A:$A,0))</f>
        <v>INVALID</v>
      </c>
      <c r="B334" t="s">
        <v>215</v>
      </c>
      <c r="C334" t="s">
        <v>366</v>
      </c>
      <c r="D334" t="s">
        <v>47</v>
      </c>
      <c r="E334" t="str">
        <f t="shared" si="101"/>
        <v>Mulanje District [umc2n1Z4wNv]|35-49|Male</v>
      </c>
      <c r="F334" s="14"/>
      <c r="G334" s="14"/>
      <c r="H334" s="14"/>
      <c r="I334" s="14"/>
      <c r="J334" s="14"/>
      <c r="K334" s="14"/>
      <c r="L334" s="14"/>
      <c r="M334" s="14"/>
      <c r="N334" s="14"/>
      <c r="O334" s="14" t="str">
        <f t="shared" si="102"/>
        <v/>
      </c>
      <c r="P334" s="14"/>
      <c r="Q334" s="14"/>
      <c r="R334" s="14" t="str">
        <f t="shared" si="103"/>
        <v/>
      </c>
      <c r="S334" s="14">
        <f>IF(LEFT($B334,4)="_Mil","",_xlfn.IFNA(ROUND(INDEX(Spectrum!$N:$N,MATCH(RIGHT($B334,13)&amp;"|"&amp;$C334&amp;"|"&amp;$D334&amp;"|"&amp;S$14&amp;"|"&amp;"CY2022Q4",Spectrum!$R:$R,0)),0),""))</f>
        <v>1358</v>
      </c>
      <c r="T334" s="42">
        <f>IF(LEFT($B334,4)="_Mil","",_xlfn.IFNA(ROUND(INDEX(Spectrum!$N:$N,MATCH(RIGHT($B334,13)&amp;"|"&amp;$C334&amp;"|"&amp;$D334&amp;"|"&amp;T$14&amp;"|"&amp;"CY2023Q3",Spectrum!$R:$R,0)),0),""))</f>
        <v>696</v>
      </c>
      <c r="U334" s="42" t="str">
        <f>IF(LEFT($B334,4)="_Mil","",_xlfn.IFNA(ROUND(INDEX(Spectrum!$N:$N,MATCH(RIGHT($B334,13)&amp;"|"&amp;$C334&amp;"|"&amp;$D334&amp;"|"&amp;U$14&amp;"|"&amp;"CY2023Q3",Spectrum!$R:$R,0)),0),""))</f>
        <v/>
      </c>
      <c r="V334" s="14">
        <f>IF(LEFT($B334,4)="_Mil","",_xlfn.IFNA(ROUND(INDEX(Spectrum!$N:$N,MATCH(RIGHT($B334,13)&amp;"|"&amp;$C334&amp;"|"&amp;$D334&amp;"|"&amp;V$14&amp;"|"&amp;"CY2023Q3",Spectrum!$R:$R,0)),0),""))</f>
        <v>1922</v>
      </c>
      <c r="W334" s="115">
        <f>IF(LEFT($B334,4)="_Mil","",_xlfn.IFNA(INDEX(Spectrum!$N:$N,MATCH(RIGHT($B334,13)&amp;"|"&amp;$C334&amp;"|"&amp;$D334&amp;"|"&amp;W$14&amp;"|"&amp;"CY2023Q3",Spectrum!$R:$R,0)),""))</f>
        <v>1889</v>
      </c>
      <c r="X334" s="42">
        <f>IF(LEFT($B334,4)="_Mil","",_xlfn.IFNA(ROUND(INDEX(Spectrum!$N:$N,MATCH(RIGHT($B334,13)&amp;"|"&amp;$C334&amp;"|"&amp;$D334&amp;"|"&amp;X$14&amp;"|"&amp;"CY2023Q3",Spectrum!$R:$R,0)),0),""))</f>
        <v>1400</v>
      </c>
      <c r="Y334" s="90" t="str">
        <f t="shared" si="104"/>
        <v/>
      </c>
      <c r="Z334" s="42">
        <f>IF(LEFT($B334,4)="_Mil","",_xlfn.IFNA(ROUND(INDEX(Spectrum!$N:$N,MATCH(RIGHT($B334,13)&amp;"|"&amp;$C334&amp;"|"&amp;$D334&amp;"|"&amp;Z$14&amp;"|"&amp;"CY2023Q3",Spectrum!$R:$R,0)),0),""))</f>
        <v>1851</v>
      </c>
      <c r="AA334" s="90">
        <f>IF(LEFT($B334,4)="_Mil","",IFERROR(1/(1/INDEX(Spectrum!$N:$N,MATCH(RIGHT($B334,13)&amp;"|"&amp;$C334&amp;"|"&amp;$D334&amp;"|"&amp;AA$14&amp;"|"&amp;"CY2023Q3",Spectrum!$R:$R,0))),IF(SUM($U334)=0,"",SUM($Z334)/$U334)))</f>
        <v>849.00000000000011</v>
      </c>
      <c r="AB334" s="90">
        <f t="shared" si="105"/>
        <v>1.3221428571428571</v>
      </c>
      <c r="AC334" s="14">
        <f>IF(LEFT($B334,4)="_Mil","",_xlfn.IFNA(ROUND(INDEX(Spectrum!$N:$N,MATCH(RIGHT($B334,13)&amp;"|"&amp;$C334&amp;"|"&amp;$D334&amp;"|"&amp;AC$14&amp;"|"&amp;"CY2023Q3",Spectrum!$R:$R,0)),0),""))</f>
        <v>1497</v>
      </c>
      <c r="AD334" s="14" t="str">
        <f>IF(LEFT($B334,4)="_Mil","",_xlfn.IFNA(ROUND(INDEX(Spectrum!$N:$N,MATCH(RIGHT($B334,13)&amp;"|"&amp;$C334&amp;"|"&amp;$D334&amp;"|"&amp;AD$14&amp;"|"&amp;"CY2023Q3",Spectrum!$R:$R,0)),0),""))</f>
        <v/>
      </c>
      <c r="AE334" s="90">
        <f t="shared" si="106"/>
        <v>0</v>
      </c>
      <c r="AF334" s="42" t="str">
        <f>IF(LEFT($B334,4)="_Mil","",_xlfn.IFNA(ROUND(INDEX(Spectrum!$N:$N,MATCH(RIGHT($B334,13)&amp;"|"&amp;$C334&amp;"|"&amp;$D334&amp;"|"&amp;AF$14&amp;"|"&amp;"CY2023Q3",Spectrum!$R:$R,0)),0),""))</f>
        <v/>
      </c>
      <c r="AG334" s="90" t="str">
        <f t="shared" si="107"/>
        <v/>
      </c>
      <c r="AH334" s="88" t="str">
        <f>IF(LEFT($B334,4)="_Mil","",_xlfn.IFNA(INDEX(Spectrum!$N:$N,MATCH(RIGHT($B334,13)&amp;"|"&amp;$C334&amp;"|"&amp;$D334&amp;"|"&amp;AH$14&amp;"|"&amp;"CY2023Q3",Spectrum!$R:$R,0)),""))</f>
        <v/>
      </c>
      <c r="AI334" s="14" t="str">
        <f>IF(LEFT($B334,4)="_Mil","",_xlfn.IFNA(ROUND(INDEX(Spectrum!$N:$N,MATCH(RIGHT($B334,13)&amp;"|"&amp;$C334&amp;"|"&amp;$D334&amp;"|"&amp;AI$14&amp;"|"&amp;"CY2023Q3",Spectrum!$R:$R,0)),0),""))</f>
        <v/>
      </c>
      <c r="AJ334" s="42">
        <f>IF(LEFT($B334,4)="_Mil","",_xlfn.IFNA(ROUND(INDEX(Spectrum!$N:$N,MATCH(RIGHT($B334,13)&amp;"|"&amp;$C334&amp;"|"&amp;$D334&amp;"|"&amp;AI$14&amp;"|"&amp;"CY2023Q3",Spectrum!$R:$R,0)),0),SUM($U334)+SUM($AI334)))</f>
        <v>0</v>
      </c>
      <c r="AK334" s="14" t="str">
        <f>IF(LEFT($B334,4)="_Mil","",_xlfn.IFNA(ROUND(INDEX(Spectrum!$N:$N,MATCH(RIGHT($B334,13)&amp;"|"&amp;$C334&amp;"|"&amp;$D334&amp;"|"&amp;AK$14&amp;"|"&amp;"CY2023Q3",Spectrum!$R:$R,0)),0),""))</f>
        <v/>
      </c>
      <c r="AL334" s="90">
        <f t="shared" si="108"/>
        <v>849.00000000000011</v>
      </c>
      <c r="AM334" s="14">
        <f t="shared" si="109"/>
        <v>0</v>
      </c>
      <c r="AN334" s="14" t="str">
        <f>IF($C334="&lt;01",ROUND(INDEX(EID!$P:$P,MATCH($B334,EID!$B:$B,0))/2,0),"")</f>
        <v/>
      </c>
      <c r="AO334" s="14">
        <f t="shared" si="110"/>
        <v>0</v>
      </c>
      <c r="AP334" s="42">
        <f t="shared" si="111"/>
        <v>0</v>
      </c>
      <c r="AQ334" s="42">
        <f t="shared" si="112"/>
        <v>1851</v>
      </c>
      <c r="AR334" s="90" t="str">
        <f t="shared" si="113"/>
        <v/>
      </c>
      <c r="AS334" s="90">
        <f t="shared" si="125"/>
        <v>0.98</v>
      </c>
      <c r="AT334" s="90">
        <f t="shared" si="125"/>
        <v>0.98</v>
      </c>
      <c r="AU334" s="14">
        <f t="shared" si="114"/>
        <v>0</v>
      </c>
      <c r="AV334" s="14">
        <f>IF($C334="&lt;01",ROUND(INDEX(EID!$N:$N,MATCH($B334,EID!$B:$B,0))/2,0),IF(SUM($AT334)=0,"",ROUND((SUM($AP334)-(SUM($O334)*SUM($AS334)))/$AT334,0)))</f>
        <v>0</v>
      </c>
      <c r="AW334" s="90">
        <f t="shared" si="115"/>
        <v>1</v>
      </c>
      <c r="AX334" s="42">
        <f t="shared" si="116"/>
        <v>0</v>
      </c>
      <c r="AY334" s="116">
        <f t="shared" si="117"/>
        <v>0.7</v>
      </c>
      <c r="AZ334" s="93">
        <f>IF($C334="&lt;01",ROUND(INDEX(EID!$R:$R,MATCH($B334,EID!$B:$B,0))/2,0),ROUND(SUM($O334)+(SUM($AV334)*$AY334),0))</f>
        <v>0</v>
      </c>
      <c r="BA334" s="89">
        <f t="shared" si="118"/>
        <v>0.95</v>
      </c>
      <c r="BB334" s="9">
        <f>IF($C334="&lt;01",ROUND(INDEX(EID!$T:$T,MATCH($B334,EID!$B:$B,0))/2,0),ROUND($AZ334*$BA334,0))</f>
        <v>0</v>
      </c>
      <c r="BC334" s="93">
        <f t="shared" si="119"/>
        <v>0</v>
      </c>
      <c r="BD334" s="90">
        <f t="shared" si="120"/>
        <v>0.95</v>
      </c>
      <c r="BE334" s="42">
        <f>IF($C334="&lt;01",ROUND(INDEX(EID!$V:$V,MATCH($B334,EID!$B:$B,0))/2,0),ROUND($BD334*$BB334,0))</f>
        <v>0</v>
      </c>
      <c r="BF334" s="42">
        <f t="shared" si="121"/>
        <v>0</v>
      </c>
      <c r="BG334" s="116">
        <f t="shared" si="122"/>
        <v>0.95</v>
      </c>
      <c r="BH334" s="9">
        <f>IF($C334="&lt;01",ROUND(INDEX(EID!$L:$L,MATCH($B334,EID!$B:$B,0)),0)/2,IF(SUM($BG334)=0,"",ROUND($AX334/$BG334,0)))</f>
        <v>0</v>
      </c>
    </row>
    <row r="335" spans="1:60" x14ac:dyDescent="0.2">
      <c r="A335" t="str">
        <f>INDEX(Prioritization!$D:$D,MATCH($B335,Prioritization!$A:$A,0))</f>
        <v>INVALID</v>
      </c>
      <c r="B335" t="s">
        <v>215</v>
      </c>
      <c r="C335" t="s">
        <v>367</v>
      </c>
      <c r="D335" t="s">
        <v>29</v>
      </c>
      <c r="E335" t="str">
        <f t="shared" ref="E335:E398" si="126">$B335&amp;"|"&amp;$C335&amp;"|"&amp;$D335</f>
        <v>Mulanje District [umc2n1Z4wNv]|50+|Female</v>
      </c>
      <c r="F335" s="14"/>
      <c r="G335" s="14"/>
      <c r="H335" s="14"/>
      <c r="I335" s="14"/>
      <c r="J335" s="14"/>
      <c r="K335" s="14"/>
      <c r="L335" s="14"/>
      <c r="M335" s="14"/>
      <c r="N335" s="14"/>
      <c r="O335" s="14" t="str">
        <f t="shared" ref="O335:O398" si="127">IFERROR(1/(1/MAX($I335,$N335)),"")</f>
        <v/>
      </c>
      <c r="P335" s="14"/>
      <c r="Q335" s="14"/>
      <c r="R335" s="14" t="str">
        <f t="shared" ref="R335:R398" si="128">IF(AND(SUM($I335)=0,SUM($O335)=0),"",SUM($O335)-$I335)</f>
        <v/>
      </c>
      <c r="S335" s="14">
        <f>IF(LEFT($B335,4)="_Mil","",_xlfn.IFNA(ROUND(INDEX(Spectrum!$N:$N,MATCH(RIGHT($B335,13)&amp;"|"&amp;$C335&amp;"|"&amp;$D335&amp;"|"&amp;S$14&amp;"|"&amp;"CY2022Q4",Spectrum!$R:$R,0)),0),""))</f>
        <v>553</v>
      </c>
      <c r="T335" s="42">
        <f>IF(LEFT($B335,4)="_Mil","",_xlfn.IFNA(ROUND(INDEX(Spectrum!$N:$N,MATCH(RIGHT($B335,13)&amp;"|"&amp;$C335&amp;"|"&amp;$D335&amp;"|"&amp;T$14&amp;"|"&amp;"CY2023Q3",Spectrum!$R:$R,0)),0),""))</f>
        <v>1949</v>
      </c>
      <c r="U335" s="42" t="str">
        <f>IF(LEFT($B335,4)="_Mil","",_xlfn.IFNA(ROUND(INDEX(Spectrum!$N:$N,MATCH(RIGHT($B335,13)&amp;"|"&amp;$C335&amp;"|"&amp;$D335&amp;"|"&amp;U$14&amp;"|"&amp;"CY2023Q3",Spectrum!$R:$R,0)),0),""))</f>
        <v/>
      </c>
      <c r="V335" s="14">
        <f>IF(LEFT($B335,4)="_Mil","",_xlfn.IFNA(ROUND(INDEX(Spectrum!$N:$N,MATCH(RIGHT($B335,13)&amp;"|"&amp;$C335&amp;"|"&amp;$D335&amp;"|"&amp;V$14&amp;"|"&amp;"CY2023Q3",Spectrum!$R:$R,0)),0),""))</f>
        <v>1928</v>
      </c>
      <c r="W335" s="115">
        <f>IF(LEFT($B335,4)="_Mil","",_xlfn.IFNA(INDEX(Spectrum!$N:$N,MATCH(RIGHT($B335,13)&amp;"|"&amp;$C335&amp;"|"&amp;$D335&amp;"|"&amp;W$14&amp;"|"&amp;"CY2023Q3",Spectrum!$R:$R,0)),""))</f>
        <v>1889</v>
      </c>
      <c r="X335" s="42">
        <f>IF(LEFT($B335,4)="_Mil","",_xlfn.IFNA(ROUND(INDEX(Spectrum!$N:$N,MATCH(RIGHT($B335,13)&amp;"|"&amp;$C335&amp;"|"&amp;$D335&amp;"|"&amp;X$14&amp;"|"&amp;"CY2023Q3",Spectrum!$R:$R,0)),0),""))</f>
        <v>906</v>
      </c>
      <c r="Y335" s="90" t="str">
        <f t="shared" ref="Y335:Y398" si="129">IF(OR(SUM($U335)=0,LEFT($B335,4)="_Mil"),"",SUM($X335)/$U335)</f>
        <v/>
      </c>
      <c r="Z335" s="42">
        <f>IF(LEFT($B335,4)="_Mil","",_xlfn.IFNA(ROUND(INDEX(Spectrum!$N:$N,MATCH(RIGHT($B335,13)&amp;"|"&amp;$C335&amp;"|"&amp;$D335&amp;"|"&amp;Z$14&amp;"|"&amp;"CY2023Q3",Spectrum!$R:$R,0)),0),""))</f>
        <v>1838</v>
      </c>
      <c r="AA335" s="90">
        <f>IF(LEFT($B335,4)="_Mil","",IFERROR(1/(1/INDEX(Spectrum!$N:$N,MATCH(RIGHT($B335,13)&amp;"|"&amp;$C335&amp;"|"&amp;$D335&amp;"|"&amp;AA$14&amp;"|"&amp;"CY2023Q3",Spectrum!$R:$R,0))),IF(SUM($U335)=0,"",SUM($Z335)/$U335)))</f>
        <v>1352</v>
      </c>
      <c r="AB335" s="90">
        <f t="shared" ref="AB335:AB398" si="130">IF(OR(LEFT($B335,4)="_Mil",SUM($X335)=0),"",SUM($Z335)/$X335)</f>
        <v>2.0286975717439293</v>
      </c>
      <c r="AC335" s="14">
        <f>IF(LEFT($B335,4)="_Mil","",_xlfn.IFNA(ROUND(INDEX(Spectrum!$N:$N,MATCH(RIGHT($B335,13)&amp;"|"&amp;$C335&amp;"|"&amp;$D335&amp;"|"&amp;AC$14&amp;"|"&amp;"CY2023Q3",Spectrum!$R:$R,0)),0),""))</f>
        <v>1064</v>
      </c>
      <c r="AD335" s="14" t="str">
        <f>IF(LEFT($B335,4)="_Mil","",_xlfn.IFNA(ROUND(INDEX(Spectrum!$N:$N,MATCH(RIGHT($B335,13)&amp;"|"&amp;$C335&amp;"|"&amp;$D335&amp;"|"&amp;AD$14&amp;"|"&amp;"CY2023Q3",Spectrum!$R:$R,0)),0),""))</f>
        <v/>
      </c>
      <c r="AE335" s="90">
        <f t="shared" ref="AE335:AE398" si="131">IF(OR(LEFT($B335,4)="_Mil",SUM($Z335)=0),"",SUM($AD335)/$Z335)</f>
        <v>0</v>
      </c>
      <c r="AF335" s="42" t="str">
        <f>IF(LEFT($B335,4)="_Mil","",_xlfn.IFNA(ROUND(INDEX(Spectrum!$N:$N,MATCH(RIGHT($B335,13)&amp;"|"&amp;$C335&amp;"|"&amp;$D335&amp;"|"&amp;AF$14&amp;"|"&amp;"CY2023Q3",Spectrum!$R:$R,0)),0),""))</f>
        <v/>
      </c>
      <c r="AG335" s="90" t="str">
        <f t="shared" ref="AG335:AG398" si="132">IF(OR(LEFT($B335,4)="_Mil",SUM($AD335)=0),"",SUM($AF335)/$AD335)</f>
        <v/>
      </c>
      <c r="AH335" s="88" t="str">
        <f>IF(LEFT($B335,4)="_Mil","",_xlfn.IFNA(INDEX(Spectrum!$N:$N,MATCH(RIGHT($B335,13)&amp;"|"&amp;$C335&amp;"|"&amp;$D335&amp;"|"&amp;AH$14&amp;"|"&amp;"CY2023Q3",Spectrum!$R:$R,0)),""))</f>
        <v/>
      </c>
      <c r="AI335" s="14" t="str">
        <f>IF(LEFT($B335,4)="_Mil","",_xlfn.IFNA(ROUND(INDEX(Spectrum!$N:$N,MATCH(RIGHT($B335,13)&amp;"|"&amp;$C335&amp;"|"&amp;$D335&amp;"|"&amp;AI$14&amp;"|"&amp;"CY2023Q3",Spectrum!$R:$R,0)),0),""))</f>
        <v/>
      </c>
      <c r="AJ335" s="42">
        <f>IF(LEFT($B335,4)="_Mil","",_xlfn.IFNA(ROUND(INDEX(Spectrum!$N:$N,MATCH(RIGHT($B335,13)&amp;"|"&amp;$C335&amp;"|"&amp;$D335&amp;"|"&amp;AI$14&amp;"|"&amp;"CY2023Q3",Spectrum!$R:$R,0)),0),SUM($U335)+SUM($AI335)))</f>
        <v>0</v>
      </c>
      <c r="AK335" s="14" t="str">
        <f>IF(LEFT($B335,4)="_Mil","",_xlfn.IFNA(ROUND(INDEX(Spectrum!$N:$N,MATCH(RIGHT($B335,13)&amp;"|"&amp;$C335&amp;"|"&amp;$D335&amp;"|"&amp;AK$14&amp;"|"&amp;"CY2023Q3",Spectrum!$R:$R,0)),0),""))</f>
        <v/>
      </c>
      <c r="AL335" s="90">
        <f t="shared" ref="AL335:AL398" si="133">IF(OR(LEFT($B335,4)="_Mil",$C335="&lt;01"),"",MAX(SUM($AA335),90%))</f>
        <v>1352</v>
      </c>
      <c r="AM335" s="14">
        <f t="shared" ref="AM335:AM398" si="134">IF(OR(LEFT($B335,4)="_Mil",$C335="&lt;01"),"",ROUND(SUM($AJ335)*SUM($AL335),0))</f>
        <v>0</v>
      </c>
      <c r="AN335" s="14" t="str">
        <f>IF($C335="&lt;01",ROUND(INDEX(EID!$P:$P,MATCH($B335,EID!$B:$B,0))/2,0),"")</f>
        <v/>
      </c>
      <c r="AO335" s="14">
        <f t="shared" ref="AO335:AO398" si="135">IF($C335="&lt;01",SUM($AN335),ROUND(SUM($AM335)*SUM($O335)/IF(SUM($Z335)=0,1,$Z335),0))</f>
        <v>0</v>
      </c>
      <c r="AP335" s="42">
        <f t="shared" ref="AP335:AP398" si="136">IF(OR($F335="",$C335="&lt;01"),$AO335,$F335)</f>
        <v>0</v>
      </c>
      <c r="AQ335" s="42">
        <f t="shared" ref="AQ335:AQ398" si="137">IF(LEFT($B335,4)="_Mil","",IF(SUM($AP335)=0,SUM($Z335),IF(OR(SUM($Z335)=0,SUM($O335)=0),MAX($AP335,$Z335),$AP335*$Z335/$O335)))</f>
        <v>1838</v>
      </c>
      <c r="AR335" s="90" t="str">
        <f t="shared" ref="AR335:AR398" si="138">IF(OR(LEFT($B335,4)="_Mil",SUM($AJ335)=0),"",SUM($AQ335)/$AJ335)</f>
        <v/>
      </c>
      <c r="AS335" s="90">
        <f t="shared" ref="AS335:AT354" si="139">IF($C335="&lt;01","",98%)</f>
        <v>0.98</v>
      </c>
      <c r="AT335" s="90">
        <f t="shared" si="139"/>
        <v>0.98</v>
      </c>
      <c r="AU335" s="14">
        <f t="shared" ref="AU335:AU398" si="140">IF($C335="&lt;01","",SUM($AP335)-SUM($O335))</f>
        <v>0</v>
      </c>
      <c r="AV335" s="14">
        <f>IF($C335="&lt;01",ROUND(INDEX(EID!$N:$N,MATCH($B335,EID!$B:$B,0))/2,0),IF(SUM($AT335)=0,"",ROUND((SUM($AP335)-(SUM($O335)*SUM($AS335)))/$AT335,0)))</f>
        <v>0</v>
      </c>
      <c r="AW335" s="90">
        <f t="shared" ref="AW335:AW398" si="141">IF($C335="&lt;01","",100%)</f>
        <v>1</v>
      </c>
      <c r="AX335" s="42">
        <f t="shared" ref="AX335:AX398" si="142">IF($C335="&lt;01",SUM($AV335),ROUND(SUM($AV335)*SUM($AW335),0))</f>
        <v>0</v>
      </c>
      <c r="AY335" s="116">
        <f t="shared" ref="AY335:AY398" si="143">IF($C335="&lt;01","",70%)</f>
        <v>0.7</v>
      </c>
      <c r="AZ335" s="93">
        <f>IF($C335="&lt;01",ROUND(INDEX(EID!$R:$R,MATCH($B335,EID!$B:$B,0))/2,0),ROUND(SUM($O335)+(SUM($AV335)*$AY335),0))</f>
        <v>0</v>
      </c>
      <c r="BA335" s="89">
        <f t="shared" ref="BA335:BA398" si="144">IF($C335="&lt;01","",95%)</f>
        <v>0.95</v>
      </c>
      <c r="BB335" s="9">
        <f>IF($C335="&lt;01",ROUND(INDEX(EID!$T:$T,MATCH($B335,EID!$B:$B,0))/2,0),ROUND($AZ335*$BA335,0))</f>
        <v>0</v>
      </c>
      <c r="BC335" s="93">
        <f t="shared" ref="BC335:BC398" si="145">IF(LEFT($B335,4)="_Mil","",IF(SUM($BB335)=0,SUM($AD335),IF(OR(SUM($AP335)=0,SUM($AQ335)=0),MAX($BB335,$AD335),ROUND($BB335*$AQ335/$AP335,0))))</f>
        <v>0</v>
      </c>
      <c r="BD335" s="90">
        <f t="shared" ref="BD335:BD398" si="146">IF($C335="&lt;01","",95%)</f>
        <v>0.95</v>
      </c>
      <c r="BE335" s="42">
        <f>IF($C335="&lt;01",ROUND(INDEX(EID!$V:$V,MATCH($B335,EID!$B:$B,0))/2,0),ROUND($BD335*$BB335,0))</f>
        <v>0</v>
      </c>
      <c r="BF335" s="42">
        <f t="shared" ref="BF335:BF398" si="147">IF(LEFT($B335,4)="_Mil","",IF(SUM($BE335)=0,SUM($AF335),IF(OR(SUM($AP335)=0,SUM($AQ335)=0),MAX($BE335,$AF335),ROUND($BE335*$AQ335/$AP335,0))))</f>
        <v>0</v>
      </c>
      <c r="BG335" s="116">
        <f t="shared" ref="BG335:BG398" si="148">IF($C335="&lt;01","",95%)</f>
        <v>0.95</v>
      </c>
      <c r="BH335" s="9">
        <f>IF($C335="&lt;01",ROUND(INDEX(EID!$L:$L,MATCH($B335,EID!$B:$B,0)),0)/2,IF(SUM($BG335)=0,"",ROUND($AX335/$BG335,0)))</f>
        <v>0</v>
      </c>
    </row>
    <row r="336" spans="1:60" x14ac:dyDescent="0.2">
      <c r="A336" t="str">
        <f>INDEX(Prioritization!$D:$D,MATCH($B336,Prioritization!$A:$A,0))</f>
        <v>INVALID</v>
      </c>
      <c r="B336" t="s">
        <v>215</v>
      </c>
      <c r="C336" t="s">
        <v>367</v>
      </c>
      <c r="D336" t="s">
        <v>47</v>
      </c>
      <c r="E336" t="str">
        <f t="shared" si="126"/>
        <v>Mulanje District [umc2n1Z4wNv]|50+|Male</v>
      </c>
      <c r="F336" s="14"/>
      <c r="G336" s="14"/>
      <c r="H336" s="14"/>
      <c r="I336" s="14"/>
      <c r="J336" s="14"/>
      <c r="K336" s="14"/>
      <c r="L336" s="14"/>
      <c r="M336" s="14"/>
      <c r="N336" s="14"/>
      <c r="O336" s="14" t="str">
        <f t="shared" si="127"/>
        <v/>
      </c>
      <c r="P336" s="14"/>
      <c r="Q336" s="14"/>
      <c r="R336" s="14" t="str">
        <f t="shared" si="128"/>
        <v/>
      </c>
      <c r="S336" s="14">
        <f>IF(LEFT($B336,4)="_Mil","",_xlfn.IFNA(ROUND(INDEX(Spectrum!$N:$N,MATCH(RIGHT($B336,13)&amp;"|"&amp;$C336&amp;"|"&amp;$D336&amp;"|"&amp;S$14&amp;"|"&amp;"CY2022Q4",Spectrum!$R:$R,0)),0),""))</f>
        <v>881</v>
      </c>
      <c r="T336" s="42">
        <f>IF(LEFT($B336,4)="_Mil","",_xlfn.IFNA(ROUND(INDEX(Spectrum!$N:$N,MATCH(RIGHT($B336,13)&amp;"|"&amp;$C336&amp;"|"&amp;$D336&amp;"|"&amp;T$14&amp;"|"&amp;"CY2023Q3",Spectrum!$R:$R,0)),0),""))</f>
        <v>1860</v>
      </c>
      <c r="U336" s="42" t="str">
        <f>IF(LEFT($B336,4)="_Mil","",_xlfn.IFNA(ROUND(INDEX(Spectrum!$N:$N,MATCH(RIGHT($B336,13)&amp;"|"&amp;$C336&amp;"|"&amp;$D336&amp;"|"&amp;U$14&amp;"|"&amp;"CY2023Q3",Spectrum!$R:$R,0)),0),""))</f>
        <v/>
      </c>
      <c r="V336" s="14">
        <f>IF(LEFT($B336,4)="_Mil","",_xlfn.IFNA(ROUND(INDEX(Spectrum!$N:$N,MATCH(RIGHT($B336,13)&amp;"|"&amp;$C336&amp;"|"&amp;$D336&amp;"|"&amp;V$14&amp;"|"&amp;"CY2023Q3",Spectrum!$R:$R,0)),0),""))</f>
        <v>579</v>
      </c>
      <c r="W336" s="115">
        <f>IF(LEFT($B336,4)="_Mil","",_xlfn.IFNA(INDEX(Spectrum!$N:$N,MATCH(RIGHT($B336,13)&amp;"|"&amp;$C336&amp;"|"&amp;$D336&amp;"|"&amp;W$14&amp;"|"&amp;"CY2023Q3",Spectrum!$R:$R,0)),""))</f>
        <v>1556</v>
      </c>
      <c r="X336" s="42">
        <f>IF(LEFT($B336,4)="_Mil","",_xlfn.IFNA(ROUND(INDEX(Spectrum!$N:$N,MATCH(RIGHT($B336,13)&amp;"|"&amp;$C336&amp;"|"&amp;$D336&amp;"|"&amp;X$14&amp;"|"&amp;"CY2023Q3",Spectrum!$R:$R,0)),0),""))</f>
        <v>1819</v>
      </c>
      <c r="Y336" s="90" t="str">
        <f t="shared" si="129"/>
        <v/>
      </c>
      <c r="Z336" s="42">
        <f>IF(LEFT($B336,4)="_Mil","",_xlfn.IFNA(ROUND(INDEX(Spectrum!$N:$N,MATCH(RIGHT($B336,13)&amp;"|"&amp;$C336&amp;"|"&amp;$D336&amp;"|"&amp;Z$14&amp;"|"&amp;"CY2023Q3",Spectrum!$R:$R,0)),0),""))</f>
        <v>1871</v>
      </c>
      <c r="AA336" s="90">
        <f>IF(LEFT($B336,4)="_Mil","",IFERROR(1/(1/INDEX(Spectrum!$N:$N,MATCH(RIGHT($B336,13)&amp;"|"&amp;$C336&amp;"|"&amp;$D336&amp;"|"&amp;AA$14&amp;"|"&amp;"CY2023Q3",Spectrum!$R:$R,0))),IF(SUM($U336)=0,"",SUM($Z336)/$U336)))</f>
        <v>996.00000000000011</v>
      </c>
      <c r="AB336" s="90">
        <f t="shared" si="130"/>
        <v>1.0285871357888949</v>
      </c>
      <c r="AC336" s="14">
        <f>IF(LEFT($B336,4)="_Mil","",_xlfn.IFNA(ROUND(INDEX(Spectrum!$N:$N,MATCH(RIGHT($B336,13)&amp;"|"&amp;$C336&amp;"|"&amp;$D336&amp;"|"&amp;AC$14&amp;"|"&amp;"CY2023Q3",Spectrum!$R:$R,0)),0),""))</f>
        <v>1506</v>
      </c>
      <c r="AD336" s="14" t="str">
        <f>IF(LEFT($B336,4)="_Mil","",_xlfn.IFNA(ROUND(INDEX(Spectrum!$N:$N,MATCH(RIGHT($B336,13)&amp;"|"&amp;$C336&amp;"|"&amp;$D336&amp;"|"&amp;AD$14&amp;"|"&amp;"CY2023Q3",Spectrum!$R:$R,0)),0),""))</f>
        <v/>
      </c>
      <c r="AE336" s="90">
        <f t="shared" si="131"/>
        <v>0</v>
      </c>
      <c r="AF336" s="42" t="str">
        <f>IF(LEFT($B336,4)="_Mil","",_xlfn.IFNA(ROUND(INDEX(Spectrum!$N:$N,MATCH(RIGHT($B336,13)&amp;"|"&amp;$C336&amp;"|"&amp;$D336&amp;"|"&amp;AF$14&amp;"|"&amp;"CY2023Q3",Spectrum!$R:$R,0)),0),""))</f>
        <v/>
      </c>
      <c r="AG336" s="90" t="str">
        <f t="shared" si="132"/>
        <v/>
      </c>
      <c r="AH336" s="88" t="str">
        <f>IF(LEFT($B336,4)="_Mil","",_xlfn.IFNA(INDEX(Spectrum!$N:$N,MATCH(RIGHT($B336,13)&amp;"|"&amp;$C336&amp;"|"&amp;$D336&amp;"|"&amp;AH$14&amp;"|"&amp;"CY2023Q3",Spectrum!$R:$R,0)),""))</f>
        <v/>
      </c>
      <c r="AI336" s="14" t="str">
        <f>IF(LEFT($B336,4)="_Mil","",_xlfn.IFNA(ROUND(INDEX(Spectrum!$N:$N,MATCH(RIGHT($B336,13)&amp;"|"&amp;$C336&amp;"|"&amp;$D336&amp;"|"&amp;AI$14&amp;"|"&amp;"CY2023Q3",Spectrum!$R:$R,0)),0),""))</f>
        <v/>
      </c>
      <c r="AJ336" s="42">
        <f>IF(LEFT($B336,4)="_Mil","",_xlfn.IFNA(ROUND(INDEX(Spectrum!$N:$N,MATCH(RIGHT($B336,13)&amp;"|"&amp;$C336&amp;"|"&amp;$D336&amp;"|"&amp;AI$14&amp;"|"&amp;"CY2023Q3",Spectrum!$R:$R,0)),0),SUM($U336)+SUM($AI336)))</f>
        <v>0</v>
      </c>
      <c r="AK336" s="14" t="str">
        <f>IF(LEFT($B336,4)="_Mil","",_xlfn.IFNA(ROUND(INDEX(Spectrum!$N:$N,MATCH(RIGHT($B336,13)&amp;"|"&amp;$C336&amp;"|"&amp;$D336&amp;"|"&amp;AK$14&amp;"|"&amp;"CY2023Q3",Spectrum!$R:$R,0)),0),""))</f>
        <v/>
      </c>
      <c r="AL336" s="90">
        <f t="shared" si="133"/>
        <v>996.00000000000011</v>
      </c>
      <c r="AM336" s="14">
        <f t="shared" si="134"/>
        <v>0</v>
      </c>
      <c r="AN336" s="14" t="str">
        <f>IF($C336="&lt;01",ROUND(INDEX(EID!$P:$P,MATCH($B336,EID!$B:$B,0))/2,0),"")</f>
        <v/>
      </c>
      <c r="AO336" s="14">
        <f t="shared" si="135"/>
        <v>0</v>
      </c>
      <c r="AP336" s="42">
        <f t="shared" si="136"/>
        <v>0</v>
      </c>
      <c r="AQ336" s="42">
        <f t="shared" si="137"/>
        <v>1871</v>
      </c>
      <c r="AR336" s="90" t="str">
        <f t="shared" si="138"/>
        <v/>
      </c>
      <c r="AS336" s="90">
        <f t="shared" si="139"/>
        <v>0.98</v>
      </c>
      <c r="AT336" s="90">
        <f t="shared" si="139"/>
        <v>0.98</v>
      </c>
      <c r="AU336" s="14">
        <f t="shared" si="140"/>
        <v>0</v>
      </c>
      <c r="AV336" s="14">
        <f>IF($C336="&lt;01",ROUND(INDEX(EID!$N:$N,MATCH($B336,EID!$B:$B,0))/2,0),IF(SUM($AT336)=0,"",ROUND((SUM($AP336)-(SUM($O336)*SUM($AS336)))/$AT336,0)))</f>
        <v>0</v>
      </c>
      <c r="AW336" s="90">
        <f t="shared" si="141"/>
        <v>1</v>
      </c>
      <c r="AX336" s="42">
        <f t="shared" si="142"/>
        <v>0</v>
      </c>
      <c r="AY336" s="116">
        <f t="shared" si="143"/>
        <v>0.7</v>
      </c>
      <c r="AZ336" s="93">
        <f>IF($C336="&lt;01",ROUND(INDEX(EID!$R:$R,MATCH($B336,EID!$B:$B,0))/2,0),ROUND(SUM($O336)+(SUM($AV336)*$AY336),0))</f>
        <v>0</v>
      </c>
      <c r="BA336" s="89">
        <f t="shared" si="144"/>
        <v>0.95</v>
      </c>
      <c r="BB336" s="9">
        <f>IF($C336="&lt;01",ROUND(INDEX(EID!$T:$T,MATCH($B336,EID!$B:$B,0))/2,0),ROUND($AZ336*$BA336,0))</f>
        <v>0</v>
      </c>
      <c r="BC336" s="93">
        <f t="shared" si="145"/>
        <v>0</v>
      </c>
      <c r="BD336" s="90">
        <f t="shared" si="146"/>
        <v>0.95</v>
      </c>
      <c r="BE336" s="42">
        <f>IF($C336="&lt;01",ROUND(INDEX(EID!$V:$V,MATCH($B336,EID!$B:$B,0))/2,0),ROUND($BD336*$BB336,0))</f>
        <v>0</v>
      </c>
      <c r="BF336" s="42">
        <f t="shared" si="147"/>
        <v>0</v>
      </c>
      <c r="BG336" s="116">
        <f t="shared" si="148"/>
        <v>0.95</v>
      </c>
      <c r="BH336" s="9">
        <f>IF($C336="&lt;01",ROUND(INDEX(EID!$L:$L,MATCH($B336,EID!$B:$B,0)),0)/2,IF(SUM($BG336)=0,"",ROUND($AX336/$BG336,0)))</f>
        <v>0</v>
      </c>
    </row>
    <row r="337" spans="1:60" x14ac:dyDescent="0.2">
      <c r="A337" t="str">
        <f>INDEX(Prioritization!$D:$D,MATCH($B337,Prioritization!$A:$A,0))</f>
        <v>INVALID</v>
      </c>
      <c r="B337" t="s">
        <v>216</v>
      </c>
      <c r="C337" t="s">
        <v>315</v>
      </c>
      <c r="D337" t="s">
        <v>29</v>
      </c>
      <c r="E337" t="str">
        <f t="shared" si="126"/>
        <v>Mwanza District [wNqJp8oRIcF]|&lt;01|Female</v>
      </c>
      <c r="F337" s="14"/>
      <c r="G337" s="14">
        <v>7</v>
      </c>
      <c r="H337" s="14">
        <v>0</v>
      </c>
      <c r="I337" s="14">
        <v>1</v>
      </c>
      <c r="J337" s="14">
        <v>7</v>
      </c>
      <c r="K337" s="14">
        <v>9</v>
      </c>
      <c r="L337" s="14"/>
      <c r="M337" s="14">
        <v>0</v>
      </c>
      <c r="N337" s="14">
        <v>1</v>
      </c>
      <c r="O337" s="14">
        <f t="shared" si="127"/>
        <v>1</v>
      </c>
      <c r="P337" s="14">
        <v>1</v>
      </c>
      <c r="Q337" s="14">
        <v>0</v>
      </c>
      <c r="R337" s="14">
        <f t="shared" si="128"/>
        <v>0</v>
      </c>
      <c r="S337" s="14">
        <f>IF(LEFT($B337,4)="_Mil","",_xlfn.IFNA(ROUND(INDEX(Spectrum!$N:$N,MATCH(RIGHT($B337,13)&amp;"|"&amp;$C337&amp;"|"&amp;$D337&amp;"|"&amp;S$14&amp;"|"&amp;"CY2022Q4",Spectrum!$R:$R,0)),0),""))</f>
        <v>1364</v>
      </c>
      <c r="T337" s="42">
        <f>IF(LEFT($B337,4)="_Mil","",_xlfn.IFNA(ROUND(INDEX(Spectrum!$N:$N,MATCH(RIGHT($B337,13)&amp;"|"&amp;$C337&amp;"|"&amp;$D337&amp;"|"&amp;T$14&amp;"|"&amp;"CY2023Q3",Spectrum!$R:$R,0)),0),""))</f>
        <v>1878</v>
      </c>
      <c r="U337" s="42" t="str">
        <f>IF(LEFT($B337,4)="_Mil","",_xlfn.IFNA(ROUND(INDEX(Spectrum!$N:$N,MATCH(RIGHT($B337,13)&amp;"|"&amp;$C337&amp;"|"&amp;$D337&amp;"|"&amp;U$14&amp;"|"&amp;"CY2023Q3",Spectrum!$R:$R,0)),0),""))</f>
        <v/>
      </c>
      <c r="V337" s="14">
        <f>IF(LEFT($B337,4)="_Mil","",_xlfn.IFNA(ROUND(INDEX(Spectrum!$N:$N,MATCH(RIGHT($B337,13)&amp;"|"&amp;$C337&amp;"|"&amp;$D337&amp;"|"&amp;V$14&amp;"|"&amp;"CY2023Q3",Spectrum!$R:$R,0)),0),""))</f>
        <v>1991</v>
      </c>
      <c r="W337" s="115">
        <f>IF(LEFT($B337,4)="_Mil","",_xlfn.IFNA(INDEX(Spectrum!$N:$N,MATCH(RIGHT($B337,13)&amp;"|"&amp;$C337&amp;"|"&amp;$D337&amp;"|"&amp;W$14&amp;"|"&amp;"CY2023Q3",Spectrum!$R:$R,0)),""))</f>
        <v>1752</v>
      </c>
      <c r="X337" s="42">
        <f>IF(LEFT($B337,4)="_Mil","",_xlfn.IFNA(ROUND(INDEX(Spectrum!$N:$N,MATCH(RIGHT($B337,13)&amp;"|"&amp;$C337&amp;"|"&amp;$D337&amp;"|"&amp;X$14&amp;"|"&amp;"CY2023Q3",Spectrum!$R:$R,0)),0),""))</f>
        <v>1103</v>
      </c>
      <c r="Y337" s="90" t="str">
        <f t="shared" si="129"/>
        <v/>
      </c>
      <c r="Z337" s="42">
        <f>IF(LEFT($B337,4)="_Mil","",_xlfn.IFNA(ROUND(INDEX(Spectrum!$N:$N,MATCH(RIGHT($B337,13)&amp;"|"&amp;$C337&amp;"|"&amp;$D337&amp;"|"&amp;Z$14&amp;"|"&amp;"CY2023Q3",Spectrum!$R:$R,0)),0),""))</f>
        <v>674</v>
      </c>
      <c r="AA337" s="90">
        <f>IF(LEFT($B337,4)="_Mil","",IFERROR(1/(1/INDEX(Spectrum!$N:$N,MATCH(RIGHT($B337,13)&amp;"|"&amp;$C337&amp;"|"&amp;$D337&amp;"|"&amp;AA$14&amp;"|"&amp;"CY2023Q3",Spectrum!$R:$R,0))),IF(SUM($U337)=0,"",SUM($Z337)/$U337)))</f>
        <v>1315</v>
      </c>
      <c r="AB337" s="90">
        <f t="shared" si="130"/>
        <v>0.61106074342701722</v>
      </c>
      <c r="AC337" s="14">
        <f>IF(LEFT($B337,4)="_Mil","",_xlfn.IFNA(ROUND(INDEX(Spectrum!$N:$N,MATCH(RIGHT($B337,13)&amp;"|"&amp;$C337&amp;"|"&amp;$D337&amp;"|"&amp;AC$14&amp;"|"&amp;"CY2023Q3",Spectrum!$R:$R,0)),0),""))</f>
        <v>761</v>
      </c>
      <c r="AD337" s="14" t="str">
        <f>IF(LEFT($B337,4)="_Mil","",_xlfn.IFNA(ROUND(INDEX(Spectrum!$N:$N,MATCH(RIGHT($B337,13)&amp;"|"&amp;$C337&amp;"|"&amp;$D337&amp;"|"&amp;AD$14&amp;"|"&amp;"CY2023Q3",Spectrum!$R:$R,0)),0),""))</f>
        <v/>
      </c>
      <c r="AE337" s="90">
        <f t="shared" si="131"/>
        <v>0</v>
      </c>
      <c r="AF337" s="42" t="str">
        <f>IF(LEFT($B337,4)="_Mil","",_xlfn.IFNA(ROUND(INDEX(Spectrum!$N:$N,MATCH(RIGHT($B337,13)&amp;"|"&amp;$C337&amp;"|"&amp;$D337&amp;"|"&amp;AF$14&amp;"|"&amp;"CY2023Q3",Spectrum!$R:$R,0)),0),""))</f>
        <v/>
      </c>
      <c r="AG337" s="90" t="str">
        <f t="shared" si="132"/>
        <v/>
      </c>
      <c r="AH337" s="88" t="str">
        <f>IF(LEFT($B337,4)="_Mil","",_xlfn.IFNA(INDEX(Spectrum!$N:$N,MATCH(RIGHT($B337,13)&amp;"|"&amp;$C337&amp;"|"&amp;$D337&amp;"|"&amp;AH$14&amp;"|"&amp;"CY2023Q3",Spectrum!$R:$R,0)),""))</f>
        <v/>
      </c>
      <c r="AI337" s="14" t="str">
        <f>IF(LEFT($B337,4)="_Mil","",_xlfn.IFNA(ROUND(INDEX(Spectrum!$N:$N,MATCH(RIGHT($B337,13)&amp;"|"&amp;$C337&amp;"|"&amp;$D337&amp;"|"&amp;AI$14&amp;"|"&amp;"CY2023Q3",Spectrum!$R:$R,0)),0),""))</f>
        <v/>
      </c>
      <c r="AJ337" s="42">
        <f>IF(LEFT($B337,4)="_Mil","",_xlfn.IFNA(ROUND(INDEX(Spectrum!$N:$N,MATCH(RIGHT($B337,13)&amp;"|"&amp;$C337&amp;"|"&amp;$D337&amp;"|"&amp;AI$14&amp;"|"&amp;"CY2023Q3",Spectrum!$R:$R,0)),0),SUM($U337)+SUM($AI337)))</f>
        <v>0</v>
      </c>
      <c r="AK337" s="14" t="str">
        <f>IF(LEFT($B337,4)="_Mil","",_xlfn.IFNA(ROUND(INDEX(Spectrum!$N:$N,MATCH(RIGHT($B337,13)&amp;"|"&amp;$C337&amp;"|"&amp;$D337&amp;"|"&amp;AK$14&amp;"|"&amp;"CY2023Q3",Spectrum!$R:$R,0)),0),""))</f>
        <v/>
      </c>
      <c r="AL337" s="90" t="str">
        <f t="shared" si="133"/>
        <v/>
      </c>
      <c r="AM337" s="14" t="str">
        <f t="shared" si="134"/>
        <v/>
      </c>
      <c r="AN337" s="14">
        <f>IF($C337="&lt;01",ROUND(INDEX(EID!$P:$P,MATCH($B337,EID!$B:$B,0))/2,0),"")</f>
        <v>0</v>
      </c>
      <c r="AO337" s="14">
        <f t="shared" si="135"/>
        <v>0</v>
      </c>
      <c r="AP337" s="42">
        <f t="shared" si="136"/>
        <v>0</v>
      </c>
      <c r="AQ337" s="42">
        <f t="shared" si="137"/>
        <v>674</v>
      </c>
      <c r="AR337" s="90" t="str">
        <f t="shared" si="138"/>
        <v/>
      </c>
      <c r="AS337" s="90" t="str">
        <f t="shared" si="139"/>
        <v/>
      </c>
      <c r="AT337" s="90" t="str">
        <f t="shared" si="139"/>
        <v/>
      </c>
      <c r="AU337" s="14" t="str">
        <f t="shared" si="140"/>
        <v/>
      </c>
      <c r="AV337" s="14">
        <f>IF($C337="&lt;01",ROUND(INDEX(EID!$N:$N,MATCH($B337,EID!$B:$B,0))/2,0),IF(SUM($AT337)=0,"",ROUND((SUM($AP337)-(SUM($O337)*SUM($AS337)))/$AT337,0)))</f>
        <v>0</v>
      </c>
      <c r="AW337" s="90" t="str">
        <f t="shared" si="141"/>
        <v/>
      </c>
      <c r="AX337" s="42">
        <f t="shared" si="142"/>
        <v>0</v>
      </c>
      <c r="AY337" s="116" t="str">
        <f t="shared" si="143"/>
        <v/>
      </c>
      <c r="AZ337" s="93">
        <f>IF($C337="&lt;01",ROUND(INDEX(EID!$R:$R,MATCH($B337,EID!$B:$B,0))/2,0),ROUND(SUM($O337)+(SUM($AV337)*$AY337),0))</f>
        <v>0</v>
      </c>
      <c r="BA337" s="89" t="str">
        <f t="shared" si="144"/>
        <v/>
      </c>
      <c r="BB337" s="9">
        <f>IF($C337="&lt;01",ROUND(INDEX(EID!$T:$T,MATCH($B337,EID!$B:$B,0))/2,0),ROUND($AZ337*$BA337,0))</f>
        <v>0</v>
      </c>
      <c r="BC337" s="93">
        <f t="shared" si="145"/>
        <v>0</v>
      </c>
      <c r="BD337" s="90" t="str">
        <f t="shared" si="146"/>
        <v/>
      </c>
      <c r="BE337" s="42">
        <f>IF($C337="&lt;01",ROUND(INDEX(EID!$V:$V,MATCH($B337,EID!$B:$B,0))/2,0),ROUND($BD337*$BB337,0))</f>
        <v>0</v>
      </c>
      <c r="BF337" s="42">
        <f t="shared" si="147"/>
        <v>0</v>
      </c>
      <c r="BG337" s="116" t="str">
        <f t="shared" si="148"/>
        <v/>
      </c>
      <c r="BH337" s="9">
        <f>IF($C337="&lt;01",ROUND(INDEX(EID!$L:$L,MATCH($B337,EID!$B:$B,0)),0)/2,IF(SUM($BG337)=0,"",ROUND($AX337/$BG337,0)))</f>
        <v>0</v>
      </c>
    </row>
    <row r="338" spans="1:60" x14ac:dyDescent="0.2">
      <c r="A338" t="str">
        <f>INDEX(Prioritization!$D:$D,MATCH($B338,Prioritization!$A:$A,0))</f>
        <v>INVALID</v>
      </c>
      <c r="B338" t="s">
        <v>216</v>
      </c>
      <c r="C338" t="s">
        <v>315</v>
      </c>
      <c r="D338" t="s">
        <v>47</v>
      </c>
      <c r="E338" t="str">
        <f t="shared" si="126"/>
        <v>Mwanza District [wNqJp8oRIcF]|&lt;01|Male</v>
      </c>
      <c r="F338" s="14"/>
      <c r="G338" s="14">
        <v>2</v>
      </c>
      <c r="H338" s="14">
        <v>0</v>
      </c>
      <c r="I338" s="14">
        <v>0</v>
      </c>
      <c r="J338" s="14">
        <v>0</v>
      </c>
      <c r="K338" s="14">
        <v>1</v>
      </c>
      <c r="L338" s="14"/>
      <c r="M338" s="14">
        <v>0</v>
      </c>
      <c r="N338" s="14">
        <v>1</v>
      </c>
      <c r="O338" s="14">
        <f t="shared" si="127"/>
        <v>1</v>
      </c>
      <c r="P338" s="14">
        <v>1</v>
      </c>
      <c r="Q338" s="14">
        <v>0</v>
      </c>
      <c r="R338" s="14">
        <f t="shared" si="128"/>
        <v>1</v>
      </c>
      <c r="S338" s="14">
        <f>IF(LEFT($B338,4)="_Mil","",_xlfn.IFNA(ROUND(INDEX(Spectrum!$N:$N,MATCH(RIGHT($B338,13)&amp;"|"&amp;$C338&amp;"|"&amp;$D338&amp;"|"&amp;S$14&amp;"|"&amp;"CY2022Q4",Spectrum!$R:$R,0)),0),""))</f>
        <v>657</v>
      </c>
      <c r="T338" s="42">
        <f>IF(LEFT($B338,4)="_Mil","",_xlfn.IFNA(ROUND(INDEX(Spectrum!$N:$N,MATCH(RIGHT($B338,13)&amp;"|"&amp;$C338&amp;"|"&amp;$D338&amp;"|"&amp;T$14&amp;"|"&amp;"CY2023Q3",Spectrum!$R:$R,0)),0),""))</f>
        <v>790</v>
      </c>
      <c r="U338" s="42" t="str">
        <f>IF(LEFT($B338,4)="_Mil","",_xlfn.IFNA(ROUND(INDEX(Spectrum!$N:$N,MATCH(RIGHT($B338,13)&amp;"|"&amp;$C338&amp;"|"&amp;$D338&amp;"|"&amp;U$14&amp;"|"&amp;"CY2023Q3",Spectrum!$R:$R,0)),0),""))</f>
        <v/>
      </c>
      <c r="V338" s="14">
        <f>IF(LEFT($B338,4)="_Mil","",_xlfn.IFNA(ROUND(INDEX(Spectrum!$N:$N,MATCH(RIGHT($B338,13)&amp;"|"&amp;$C338&amp;"|"&amp;$D338&amp;"|"&amp;V$14&amp;"|"&amp;"CY2023Q3",Spectrum!$R:$R,0)),0),""))</f>
        <v>1742</v>
      </c>
      <c r="W338" s="115">
        <f>IF(LEFT($B338,4)="_Mil","",_xlfn.IFNA(INDEX(Spectrum!$N:$N,MATCH(RIGHT($B338,13)&amp;"|"&amp;$C338&amp;"|"&amp;$D338&amp;"|"&amp;W$14&amp;"|"&amp;"CY2023Q3",Spectrum!$R:$R,0)),""))</f>
        <v>1835</v>
      </c>
      <c r="X338" s="42">
        <f>IF(LEFT($B338,4)="_Mil","",_xlfn.IFNA(ROUND(INDEX(Spectrum!$N:$N,MATCH(RIGHT($B338,13)&amp;"|"&amp;$C338&amp;"|"&amp;$D338&amp;"|"&amp;X$14&amp;"|"&amp;"CY2023Q3",Spectrum!$R:$R,0)),0),""))</f>
        <v>1925</v>
      </c>
      <c r="Y338" s="90" t="str">
        <f t="shared" si="129"/>
        <v/>
      </c>
      <c r="Z338" s="42">
        <f>IF(LEFT($B338,4)="_Mil","",_xlfn.IFNA(ROUND(INDEX(Spectrum!$N:$N,MATCH(RIGHT($B338,13)&amp;"|"&amp;$C338&amp;"|"&amp;$D338&amp;"|"&amp;Z$14&amp;"|"&amp;"CY2023Q3",Spectrum!$R:$R,0)),0),""))</f>
        <v>1982</v>
      </c>
      <c r="AA338" s="90">
        <f>IF(LEFT($B338,4)="_Mil","",IFERROR(1/(1/INDEX(Spectrum!$N:$N,MATCH(RIGHT($B338,13)&amp;"|"&amp;$C338&amp;"|"&amp;$D338&amp;"|"&amp;AA$14&amp;"|"&amp;"CY2023Q3",Spectrum!$R:$R,0))),IF(SUM($U338)=0,"",SUM($Z338)/$U338)))</f>
        <v>1250</v>
      </c>
      <c r="AB338" s="90">
        <f t="shared" si="130"/>
        <v>1.0296103896103896</v>
      </c>
      <c r="AC338" s="14">
        <f>IF(LEFT($B338,4)="_Mil","",_xlfn.IFNA(ROUND(INDEX(Spectrum!$N:$N,MATCH(RIGHT($B338,13)&amp;"|"&amp;$C338&amp;"|"&amp;$D338&amp;"|"&amp;AC$14&amp;"|"&amp;"CY2023Q3",Spectrum!$R:$R,0)),0),""))</f>
        <v>1024</v>
      </c>
      <c r="AD338" s="14" t="str">
        <f>IF(LEFT($B338,4)="_Mil","",_xlfn.IFNA(ROUND(INDEX(Spectrum!$N:$N,MATCH(RIGHT($B338,13)&amp;"|"&amp;$C338&amp;"|"&amp;$D338&amp;"|"&amp;AD$14&amp;"|"&amp;"CY2023Q3",Spectrum!$R:$R,0)),0),""))</f>
        <v/>
      </c>
      <c r="AE338" s="90">
        <f t="shared" si="131"/>
        <v>0</v>
      </c>
      <c r="AF338" s="42" t="str">
        <f>IF(LEFT($B338,4)="_Mil","",_xlfn.IFNA(ROUND(INDEX(Spectrum!$N:$N,MATCH(RIGHT($B338,13)&amp;"|"&amp;$C338&amp;"|"&amp;$D338&amp;"|"&amp;AF$14&amp;"|"&amp;"CY2023Q3",Spectrum!$R:$R,0)),0),""))</f>
        <v/>
      </c>
      <c r="AG338" s="90" t="str">
        <f t="shared" si="132"/>
        <v/>
      </c>
      <c r="AH338" s="88" t="str">
        <f>IF(LEFT($B338,4)="_Mil","",_xlfn.IFNA(INDEX(Spectrum!$N:$N,MATCH(RIGHT($B338,13)&amp;"|"&amp;$C338&amp;"|"&amp;$D338&amp;"|"&amp;AH$14&amp;"|"&amp;"CY2023Q3",Spectrum!$R:$R,0)),""))</f>
        <v/>
      </c>
      <c r="AI338" s="14" t="str">
        <f>IF(LEFT($B338,4)="_Mil","",_xlfn.IFNA(ROUND(INDEX(Spectrum!$N:$N,MATCH(RIGHT($B338,13)&amp;"|"&amp;$C338&amp;"|"&amp;$D338&amp;"|"&amp;AI$14&amp;"|"&amp;"CY2023Q3",Spectrum!$R:$R,0)),0),""))</f>
        <v/>
      </c>
      <c r="AJ338" s="42">
        <f>IF(LEFT($B338,4)="_Mil","",_xlfn.IFNA(ROUND(INDEX(Spectrum!$N:$N,MATCH(RIGHT($B338,13)&amp;"|"&amp;$C338&amp;"|"&amp;$D338&amp;"|"&amp;AI$14&amp;"|"&amp;"CY2023Q3",Spectrum!$R:$R,0)),0),SUM($U338)+SUM($AI338)))</f>
        <v>0</v>
      </c>
      <c r="AK338" s="14" t="str">
        <f>IF(LEFT($B338,4)="_Mil","",_xlfn.IFNA(ROUND(INDEX(Spectrum!$N:$N,MATCH(RIGHT($B338,13)&amp;"|"&amp;$C338&amp;"|"&amp;$D338&amp;"|"&amp;AK$14&amp;"|"&amp;"CY2023Q3",Spectrum!$R:$R,0)),0),""))</f>
        <v/>
      </c>
      <c r="AL338" s="90" t="str">
        <f t="shared" si="133"/>
        <v/>
      </c>
      <c r="AM338" s="14" t="str">
        <f t="shared" si="134"/>
        <v/>
      </c>
      <c r="AN338" s="14">
        <f>IF($C338="&lt;01",ROUND(INDEX(EID!$P:$P,MATCH($B338,EID!$B:$B,0))/2,0),"")</f>
        <v>0</v>
      </c>
      <c r="AO338" s="14">
        <f t="shared" si="135"/>
        <v>0</v>
      </c>
      <c r="AP338" s="42">
        <f t="shared" si="136"/>
        <v>0</v>
      </c>
      <c r="AQ338" s="42">
        <f t="shared" si="137"/>
        <v>1982</v>
      </c>
      <c r="AR338" s="90" t="str">
        <f t="shared" si="138"/>
        <v/>
      </c>
      <c r="AS338" s="90" t="str">
        <f t="shared" si="139"/>
        <v/>
      </c>
      <c r="AT338" s="90" t="str">
        <f t="shared" si="139"/>
        <v/>
      </c>
      <c r="AU338" s="14" t="str">
        <f t="shared" si="140"/>
        <v/>
      </c>
      <c r="AV338" s="14">
        <f>IF($C338="&lt;01",ROUND(INDEX(EID!$N:$N,MATCH($B338,EID!$B:$B,0))/2,0),IF(SUM($AT338)=0,"",ROUND((SUM($AP338)-(SUM($O338)*SUM($AS338)))/$AT338,0)))</f>
        <v>0</v>
      </c>
      <c r="AW338" s="90" t="str">
        <f t="shared" si="141"/>
        <v/>
      </c>
      <c r="AX338" s="42">
        <f t="shared" si="142"/>
        <v>0</v>
      </c>
      <c r="AY338" s="116" t="str">
        <f t="shared" si="143"/>
        <v/>
      </c>
      <c r="AZ338" s="93">
        <f>IF($C338="&lt;01",ROUND(INDEX(EID!$R:$R,MATCH($B338,EID!$B:$B,0))/2,0),ROUND(SUM($O338)+(SUM($AV338)*$AY338),0))</f>
        <v>0</v>
      </c>
      <c r="BA338" s="89" t="str">
        <f t="shared" si="144"/>
        <v/>
      </c>
      <c r="BB338" s="9">
        <f>IF($C338="&lt;01",ROUND(INDEX(EID!$T:$T,MATCH($B338,EID!$B:$B,0))/2,0),ROUND($AZ338*$BA338,0))</f>
        <v>0</v>
      </c>
      <c r="BC338" s="93">
        <f t="shared" si="145"/>
        <v>0</v>
      </c>
      <c r="BD338" s="90" t="str">
        <f t="shared" si="146"/>
        <v/>
      </c>
      <c r="BE338" s="42">
        <f>IF($C338="&lt;01",ROUND(INDEX(EID!$V:$V,MATCH($B338,EID!$B:$B,0))/2,0),ROUND($BD338*$BB338,0))</f>
        <v>0</v>
      </c>
      <c r="BF338" s="42">
        <f t="shared" si="147"/>
        <v>0</v>
      </c>
      <c r="BG338" s="116" t="str">
        <f t="shared" si="148"/>
        <v/>
      </c>
      <c r="BH338" s="9">
        <f>IF($C338="&lt;01",ROUND(INDEX(EID!$L:$L,MATCH($B338,EID!$B:$B,0)),0)/2,IF(SUM($BG338)=0,"",ROUND($AX338/$BG338,0)))</f>
        <v>0</v>
      </c>
    </row>
    <row r="339" spans="1:60" x14ac:dyDescent="0.2">
      <c r="A339" t="str">
        <f>INDEX(Prioritization!$D:$D,MATCH($B339,Prioritization!$A:$A,0))</f>
        <v>INVALID</v>
      </c>
      <c r="B339" t="s">
        <v>216</v>
      </c>
      <c r="C339" t="s">
        <v>362</v>
      </c>
      <c r="D339" t="s">
        <v>29</v>
      </c>
      <c r="E339" t="str">
        <f t="shared" si="126"/>
        <v>Mwanza District [wNqJp8oRIcF]|01-09|Female</v>
      </c>
      <c r="F339" s="14"/>
      <c r="G339" s="14"/>
      <c r="H339" s="14"/>
      <c r="I339" s="14"/>
      <c r="J339" s="14"/>
      <c r="K339" s="14"/>
      <c r="L339" s="14"/>
      <c r="M339" s="14"/>
      <c r="N339" s="14"/>
      <c r="O339" s="14" t="str">
        <f t="shared" si="127"/>
        <v/>
      </c>
      <c r="P339" s="14"/>
      <c r="Q339" s="14"/>
      <c r="R339" s="14" t="str">
        <f t="shared" si="128"/>
        <v/>
      </c>
      <c r="S339" s="14">
        <f>IF(LEFT($B339,4)="_Mil","",_xlfn.IFNA(ROUND(INDEX(Spectrum!$N:$N,MATCH(RIGHT($B339,13)&amp;"|"&amp;$C339&amp;"|"&amp;$D339&amp;"|"&amp;S$14&amp;"|"&amp;"CY2022Q4",Spectrum!$R:$R,0)),0),""))</f>
        <v>552</v>
      </c>
      <c r="T339" s="42">
        <f>IF(LEFT($B339,4)="_Mil","",_xlfn.IFNA(ROUND(INDEX(Spectrum!$N:$N,MATCH(RIGHT($B339,13)&amp;"|"&amp;$C339&amp;"|"&amp;$D339&amp;"|"&amp;T$14&amp;"|"&amp;"CY2023Q3",Spectrum!$R:$R,0)),0),""))</f>
        <v>1180</v>
      </c>
      <c r="U339" s="42" t="str">
        <f>IF(LEFT($B339,4)="_Mil","",_xlfn.IFNA(ROUND(INDEX(Spectrum!$N:$N,MATCH(RIGHT($B339,13)&amp;"|"&amp;$C339&amp;"|"&amp;$D339&amp;"|"&amp;U$14&amp;"|"&amp;"CY2023Q3",Spectrum!$R:$R,0)),0),""))</f>
        <v/>
      </c>
      <c r="V339" s="14">
        <f>IF(LEFT($B339,4)="_Mil","",_xlfn.IFNA(ROUND(INDEX(Spectrum!$N:$N,MATCH(RIGHT($B339,13)&amp;"|"&amp;$C339&amp;"|"&amp;$D339&amp;"|"&amp;V$14&amp;"|"&amp;"CY2023Q3",Spectrum!$R:$R,0)),0),""))</f>
        <v>1620</v>
      </c>
      <c r="W339" s="115">
        <f>IF(LEFT($B339,4)="_Mil","",_xlfn.IFNA(INDEX(Spectrum!$N:$N,MATCH(RIGHT($B339,13)&amp;"|"&amp;$C339&amp;"|"&amp;$D339&amp;"|"&amp;W$14&amp;"|"&amp;"CY2023Q3",Spectrum!$R:$R,0)),""))</f>
        <v>1166</v>
      </c>
      <c r="X339" s="42">
        <f>IF(LEFT($B339,4)="_Mil","",_xlfn.IFNA(ROUND(INDEX(Spectrum!$N:$N,MATCH(RIGHT($B339,13)&amp;"|"&amp;$C339&amp;"|"&amp;$D339&amp;"|"&amp;X$14&amp;"|"&amp;"CY2023Q3",Spectrum!$R:$R,0)),0),""))</f>
        <v>1954</v>
      </c>
      <c r="Y339" s="90" t="str">
        <f t="shared" si="129"/>
        <v/>
      </c>
      <c r="Z339" s="42">
        <f>IF(LEFT($B339,4)="_Mil","",_xlfn.IFNA(ROUND(INDEX(Spectrum!$N:$N,MATCH(RIGHT($B339,13)&amp;"|"&amp;$C339&amp;"|"&amp;$D339&amp;"|"&amp;Z$14&amp;"|"&amp;"CY2023Q3",Spectrum!$R:$R,0)),0),""))</f>
        <v>819</v>
      </c>
      <c r="AA339" s="90">
        <f>IF(LEFT($B339,4)="_Mil","",IFERROR(1/(1/INDEX(Spectrum!$N:$N,MATCH(RIGHT($B339,13)&amp;"|"&amp;$C339&amp;"|"&amp;$D339&amp;"|"&amp;AA$14&amp;"|"&amp;"CY2023Q3",Spectrum!$R:$R,0))),IF(SUM($U339)=0,"",SUM($Z339)/$U339)))</f>
        <v>1943.9999999999998</v>
      </c>
      <c r="AB339" s="90">
        <f t="shared" si="130"/>
        <v>0.41914022517911975</v>
      </c>
      <c r="AC339" s="14">
        <f>IF(LEFT($B339,4)="_Mil","",_xlfn.IFNA(ROUND(INDEX(Spectrum!$N:$N,MATCH(RIGHT($B339,13)&amp;"|"&amp;$C339&amp;"|"&amp;$D339&amp;"|"&amp;AC$14&amp;"|"&amp;"CY2023Q3",Spectrum!$R:$R,0)),0),""))</f>
        <v>1854</v>
      </c>
      <c r="AD339" s="14" t="str">
        <f>IF(LEFT($B339,4)="_Mil","",_xlfn.IFNA(ROUND(INDEX(Spectrum!$N:$N,MATCH(RIGHT($B339,13)&amp;"|"&amp;$C339&amp;"|"&amp;$D339&amp;"|"&amp;AD$14&amp;"|"&amp;"CY2023Q3",Spectrum!$R:$R,0)),0),""))</f>
        <v/>
      </c>
      <c r="AE339" s="90">
        <f t="shared" si="131"/>
        <v>0</v>
      </c>
      <c r="AF339" s="42" t="str">
        <f>IF(LEFT($B339,4)="_Mil","",_xlfn.IFNA(ROUND(INDEX(Spectrum!$N:$N,MATCH(RIGHT($B339,13)&amp;"|"&amp;$C339&amp;"|"&amp;$D339&amp;"|"&amp;AF$14&amp;"|"&amp;"CY2023Q3",Spectrum!$R:$R,0)),0),""))</f>
        <v/>
      </c>
      <c r="AG339" s="90" t="str">
        <f t="shared" si="132"/>
        <v/>
      </c>
      <c r="AH339" s="88" t="str">
        <f>IF(LEFT($B339,4)="_Mil","",_xlfn.IFNA(INDEX(Spectrum!$N:$N,MATCH(RIGHT($B339,13)&amp;"|"&amp;$C339&amp;"|"&amp;$D339&amp;"|"&amp;AH$14&amp;"|"&amp;"CY2023Q3",Spectrum!$R:$R,0)),""))</f>
        <v/>
      </c>
      <c r="AI339" s="14" t="str">
        <f>IF(LEFT($B339,4)="_Mil","",_xlfn.IFNA(ROUND(INDEX(Spectrum!$N:$N,MATCH(RIGHT($B339,13)&amp;"|"&amp;$C339&amp;"|"&amp;$D339&amp;"|"&amp;AI$14&amp;"|"&amp;"CY2023Q3",Spectrum!$R:$R,0)),0),""))</f>
        <v/>
      </c>
      <c r="AJ339" s="42">
        <f>IF(LEFT($B339,4)="_Mil","",_xlfn.IFNA(ROUND(INDEX(Spectrum!$N:$N,MATCH(RIGHT($B339,13)&amp;"|"&amp;$C339&amp;"|"&amp;$D339&amp;"|"&amp;AI$14&amp;"|"&amp;"CY2023Q3",Spectrum!$R:$R,0)),0),SUM($U339)+SUM($AI339)))</f>
        <v>0</v>
      </c>
      <c r="AK339" s="14" t="str">
        <f>IF(LEFT($B339,4)="_Mil","",_xlfn.IFNA(ROUND(INDEX(Spectrum!$N:$N,MATCH(RIGHT($B339,13)&amp;"|"&amp;$C339&amp;"|"&amp;$D339&amp;"|"&amp;AK$14&amp;"|"&amp;"CY2023Q3",Spectrum!$R:$R,0)),0),""))</f>
        <v/>
      </c>
      <c r="AL339" s="90">
        <f t="shared" si="133"/>
        <v>1943.9999999999998</v>
      </c>
      <c r="AM339" s="14">
        <f t="shared" si="134"/>
        <v>0</v>
      </c>
      <c r="AN339" s="14" t="str">
        <f>IF($C339="&lt;01",ROUND(INDEX(EID!$P:$P,MATCH($B339,EID!$B:$B,0))/2,0),"")</f>
        <v/>
      </c>
      <c r="AO339" s="14">
        <f t="shared" si="135"/>
        <v>0</v>
      </c>
      <c r="AP339" s="42">
        <f t="shared" si="136"/>
        <v>0</v>
      </c>
      <c r="AQ339" s="42">
        <f t="shared" si="137"/>
        <v>819</v>
      </c>
      <c r="AR339" s="90" t="str">
        <f t="shared" si="138"/>
        <v/>
      </c>
      <c r="AS339" s="90">
        <f t="shared" si="139"/>
        <v>0.98</v>
      </c>
      <c r="AT339" s="90">
        <f t="shared" si="139"/>
        <v>0.98</v>
      </c>
      <c r="AU339" s="14">
        <f t="shared" si="140"/>
        <v>0</v>
      </c>
      <c r="AV339" s="14">
        <f>IF($C339="&lt;01",ROUND(INDEX(EID!$N:$N,MATCH($B339,EID!$B:$B,0))/2,0),IF(SUM($AT339)=0,"",ROUND((SUM($AP339)-(SUM($O339)*SUM($AS339)))/$AT339,0)))</f>
        <v>0</v>
      </c>
      <c r="AW339" s="90">
        <f t="shared" si="141"/>
        <v>1</v>
      </c>
      <c r="AX339" s="42">
        <f t="shared" si="142"/>
        <v>0</v>
      </c>
      <c r="AY339" s="116">
        <f t="shared" si="143"/>
        <v>0.7</v>
      </c>
      <c r="AZ339" s="93">
        <f>IF($C339="&lt;01",ROUND(INDEX(EID!$R:$R,MATCH($B339,EID!$B:$B,0))/2,0),ROUND(SUM($O339)+(SUM($AV339)*$AY339),0))</f>
        <v>0</v>
      </c>
      <c r="BA339" s="89">
        <f t="shared" si="144"/>
        <v>0.95</v>
      </c>
      <c r="BB339" s="9">
        <f>IF($C339="&lt;01",ROUND(INDEX(EID!$T:$T,MATCH($B339,EID!$B:$B,0))/2,0),ROUND($AZ339*$BA339,0))</f>
        <v>0</v>
      </c>
      <c r="BC339" s="93">
        <f t="shared" si="145"/>
        <v>0</v>
      </c>
      <c r="BD339" s="90">
        <f t="shared" si="146"/>
        <v>0.95</v>
      </c>
      <c r="BE339" s="42">
        <f>IF($C339="&lt;01",ROUND(INDEX(EID!$V:$V,MATCH($B339,EID!$B:$B,0))/2,0),ROUND($BD339*$BB339,0))</f>
        <v>0</v>
      </c>
      <c r="BF339" s="42">
        <f t="shared" si="147"/>
        <v>0</v>
      </c>
      <c r="BG339" s="116">
        <f t="shared" si="148"/>
        <v>0.95</v>
      </c>
      <c r="BH339" s="9">
        <f>IF($C339="&lt;01",ROUND(INDEX(EID!$L:$L,MATCH($B339,EID!$B:$B,0)),0)/2,IF(SUM($BG339)=0,"",ROUND($AX339/$BG339,0)))</f>
        <v>0</v>
      </c>
    </row>
    <row r="340" spans="1:60" x14ac:dyDescent="0.2">
      <c r="A340" t="str">
        <f>INDEX(Prioritization!$D:$D,MATCH($B340,Prioritization!$A:$A,0))</f>
        <v>INVALID</v>
      </c>
      <c r="B340" t="s">
        <v>216</v>
      </c>
      <c r="C340" t="s">
        <v>362</v>
      </c>
      <c r="D340" t="s">
        <v>47</v>
      </c>
      <c r="E340" t="str">
        <f t="shared" si="126"/>
        <v>Mwanza District [wNqJp8oRIcF]|01-09|Male</v>
      </c>
      <c r="F340" s="14"/>
      <c r="G340" s="14"/>
      <c r="H340" s="14"/>
      <c r="I340" s="14"/>
      <c r="J340" s="14"/>
      <c r="K340" s="14"/>
      <c r="L340" s="14"/>
      <c r="M340" s="14"/>
      <c r="N340" s="14"/>
      <c r="O340" s="14" t="str">
        <f t="shared" si="127"/>
        <v/>
      </c>
      <c r="P340" s="14"/>
      <c r="Q340" s="14"/>
      <c r="R340" s="14" t="str">
        <f t="shared" si="128"/>
        <v/>
      </c>
      <c r="S340" s="14">
        <f>IF(LEFT($B340,4)="_Mil","",_xlfn.IFNA(ROUND(INDEX(Spectrum!$N:$N,MATCH(RIGHT($B340,13)&amp;"|"&amp;$C340&amp;"|"&amp;$D340&amp;"|"&amp;S$14&amp;"|"&amp;"CY2022Q4",Spectrum!$R:$R,0)),0),""))</f>
        <v>1364</v>
      </c>
      <c r="T340" s="42">
        <f>IF(LEFT($B340,4)="_Mil","",_xlfn.IFNA(ROUND(INDEX(Spectrum!$N:$N,MATCH(RIGHT($B340,13)&amp;"|"&amp;$C340&amp;"|"&amp;$D340&amp;"|"&amp;T$14&amp;"|"&amp;"CY2023Q3",Spectrum!$R:$R,0)),0),""))</f>
        <v>880</v>
      </c>
      <c r="U340" s="42" t="str">
        <f>IF(LEFT($B340,4)="_Mil","",_xlfn.IFNA(ROUND(INDEX(Spectrum!$N:$N,MATCH(RIGHT($B340,13)&amp;"|"&amp;$C340&amp;"|"&amp;$D340&amp;"|"&amp;U$14&amp;"|"&amp;"CY2023Q3",Spectrum!$R:$R,0)),0),""))</f>
        <v/>
      </c>
      <c r="V340" s="14">
        <f>IF(LEFT($B340,4)="_Mil","",_xlfn.IFNA(ROUND(INDEX(Spectrum!$N:$N,MATCH(RIGHT($B340,13)&amp;"|"&amp;$C340&amp;"|"&amp;$D340&amp;"|"&amp;V$14&amp;"|"&amp;"CY2023Q3",Spectrum!$R:$R,0)),0),""))</f>
        <v>1753</v>
      </c>
      <c r="W340" s="115">
        <f>IF(LEFT($B340,4)="_Mil","",_xlfn.IFNA(INDEX(Spectrum!$N:$N,MATCH(RIGHT($B340,13)&amp;"|"&amp;$C340&amp;"|"&amp;$D340&amp;"|"&amp;W$14&amp;"|"&amp;"CY2023Q3",Spectrum!$R:$R,0)),""))</f>
        <v>779</v>
      </c>
      <c r="X340" s="42">
        <f>IF(LEFT($B340,4)="_Mil","",_xlfn.IFNA(ROUND(INDEX(Spectrum!$N:$N,MATCH(RIGHT($B340,13)&amp;"|"&amp;$C340&amp;"|"&amp;$D340&amp;"|"&amp;X$14&amp;"|"&amp;"CY2023Q3",Spectrum!$R:$R,0)),0),""))</f>
        <v>834</v>
      </c>
      <c r="Y340" s="90" t="str">
        <f t="shared" si="129"/>
        <v/>
      </c>
      <c r="Z340" s="42">
        <f>IF(LEFT($B340,4)="_Mil","",_xlfn.IFNA(ROUND(INDEX(Spectrum!$N:$N,MATCH(RIGHT($B340,13)&amp;"|"&amp;$C340&amp;"|"&amp;$D340&amp;"|"&amp;Z$14&amp;"|"&amp;"CY2023Q3",Spectrum!$R:$R,0)),0),""))</f>
        <v>966</v>
      </c>
      <c r="AA340" s="90">
        <f>IF(LEFT($B340,4)="_Mil","",IFERROR(1/(1/INDEX(Spectrum!$N:$N,MATCH(RIGHT($B340,13)&amp;"|"&amp;$C340&amp;"|"&amp;$D340&amp;"|"&amp;AA$14&amp;"|"&amp;"CY2023Q3",Spectrum!$R:$R,0))),IF(SUM($U340)=0,"",SUM($Z340)/$U340)))</f>
        <v>582</v>
      </c>
      <c r="AB340" s="90">
        <f t="shared" si="130"/>
        <v>1.1582733812949639</v>
      </c>
      <c r="AC340" s="14">
        <f>IF(LEFT($B340,4)="_Mil","",_xlfn.IFNA(ROUND(INDEX(Spectrum!$N:$N,MATCH(RIGHT($B340,13)&amp;"|"&amp;$C340&amp;"|"&amp;$D340&amp;"|"&amp;AC$14&amp;"|"&amp;"CY2023Q3",Spectrum!$R:$R,0)),0),""))</f>
        <v>1682</v>
      </c>
      <c r="AD340" s="14" t="str">
        <f>IF(LEFT($B340,4)="_Mil","",_xlfn.IFNA(ROUND(INDEX(Spectrum!$N:$N,MATCH(RIGHT($B340,13)&amp;"|"&amp;$C340&amp;"|"&amp;$D340&amp;"|"&amp;AD$14&amp;"|"&amp;"CY2023Q3",Spectrum!$R:$R,0)),0),""))</f>
        <v/>
      </c>
      <c r="AE340" s="90">
        <f t="shared" si="131"/>
        <v>0</v>
      </c>
      <c r="AF340" s="42" t="str">
        <f>IF(LEFT($B340,4)="_Mil","",_xlfn.IFNA(ROUND(INDEX(Spectrum!$N:$N,MATCH(RIGHT($B340,13)&amp;"|"&amp;$C340&amp;"|"&amp;$D340&amp;"|"&amp;AF$14&amp;"|"&amp;"CY2023Q3",Spectrum!$R:$R,0)),0),""))</f>
        <v/>
      </c>
      <c r="AG340" s="90" t="str">
        <f t="shared" si="132"/>
        <v/>
      </c>
      <c r="AH340" s="88" t="str">
        <f>IF(LEFT($B340,4)="_Mil","",_xlfn.IFNA(INDEX(Spectrum!$N:$N,MATCH(RIGHT($B340,13)&amp;"|"&amp;$C340&amp;"|"&amp;$D340&amp;"|"&amp;AH$14&amp;"|"&amp;"CY2023Q3",Spectrum!$R:$R,0)),""))</f>
        <v/>
      </c>
      <c r="AI340" s="14" t="str">
        <f>IF(LEFT($B340,4)="_Mil","",_xlfn.IFNA(ROUND(INDEX(Spectrum!$N:$N,MATCH(RIGHT($B340,13)&amp;"|"&amp;$C340&amp;"|"&amp;$D340&amp;"|"&amp;AI$14&amp;"|"&amp;"CY2023Q3",Spectrum!$R:$R,0)),0),""))</f>
        <v/>
      </c>
      <c r="AJ340" s="42">
        <f>IF(LEFT($B340,4)="_Mil","",_xlfn.IFNA(ROUND(INDEX(Spectrum!$N:$N,MATCH(RIGHT($B340,13)&amp;"|"&amp;$C340&amp;"|"&amp;$D340&amp;"|"&amp;AI$14&amp;"|"&amp;"CY2023Q3",Spectrum!$R:$R,0)),0),SUM($U340)+SUM($AI340)))</f>
        <v>0</v>
      </c>
      <c r="AK340" s="14" t="str">
        <f>IF(LEFT($B340,4)="_Mil","",_xlfn.IFNA(ROUND(INDEX(Spectrum!$N:$N,MATCH(RIGHT($B340,13)&amp;"|"&amp;$C340&amp;"|"&amp;$D340&amp;"|"&amp;AK$14&amp;"|"&amp;"CY2023Q3",Spectrum!$R:$R,0)),0),""))</f>
        <v/>
      </c>
      <c r="AL340" s="90">
        <f t="shared" si="133"/>
        <v>582</v>
      </c>
      <c r="AM340" s="14">
        <f t="shared" si="134"/>
        <v>0</v>
      </c>
      <c r="AN340" s="14" t="str">
        <f>IF($C340="&lt;01",ROUND(INDEX(EID!$P:$P,MATCH($B340,EID!$B:$B,0))/2,0),"")</f>
        <v/>
      </c>
      <c r="AO340" s="14">
        <f t="shared" si="135"/>
        <v>0</v>
      </c>
      <c r="AP340" s="42">
        <f t="shared" si="136"/>
        <v>0</v>
      </c>
      <c r="AQ340" s="42">
        <f t="shared" si="137"/>
        <v>966</v>
      </c>
      <c r="AR340" s="90" t="str">
        <f t="shared" si="138"/>
        <v/>
      </c>
      <c r="AS340" s="90">
        <f t="shared" si="139"/>
        <v>0.98</v>
      </c>
      <c r="AT340" s="90">
        <f t="shared" si="139"/>
        <v>0.98</v>
      </c>
      <c r="AU340" s="14">
        <f t="shared" si="140"/>
        <v>0</v>
      </c>
      <c r="AV340" s="14">
        <f>IF($C340="&lt;01",ROUND(INDEX(EID!$N:$N,MATCH($B340,EID!$B:$B,0))/2,0),IF(SUM($AT340)=0,"",ROUND((SUM($AP340)-(SUM($O340)*SUM($AS340)))/$AT340,0)))</f>
        <v>0</v>
      </c>
      <c r="AW340" s="90">
        <f t="shared" si="141"/>
        <v>1</v>
      </c>
      <c r="AX340" s="42">
        <f t="shared" si="142"/>
        <v>0</v>
      </c>
      <c r="AY340" s="116">
        <f t="shared" si="143"/>
        <v>0.7</v>
      </c>
      <c r="AZ340" s="93">
        <f>IF($C340="&lt;01",ROUND(INDEX(EID!$R:$R,MATCH($B340,EID!$B:$B,0))/2,0),ROUND(SUM($O340)+(SUM($AV340)*$AY340),0))</f>
        <v>0</v>
      </c>
      <c r="BA340" s="89">
        <f t="shared" si="144"/>
        <v>0.95</v>
      </c>
      <c r="BB340" s="9">
        <f>IF($C340="&lt;01",ROUND(INDEX(EID!$T:$T,MATCH($B340,EID!$B:$B,0))/2,0),ROUND($AZ340*$BA340,0))</f>
        <v>0</v>
      </c>
      <c r="BC340" s="93">
        <f t="shared" si="145"/>
        <v>0</v>
      </c>
      <c r="BD340" s="90">
        <f t="shared" si="146"/>
        <v>0.95</v>
      </c>
      <c r="BE340" s="42">
        <f>IF($C340="&lt;01",ROUND(INDEX(EID!$V:$V,MATCH($B340,EID!$B:$B,0))/2,0),ROUND($BD340*$BB340,0))</f>
        <v>0</v>
      </c>
      <c r="BF340" s="42">
        <f t="shared" si="147"/>
        <v>0</v>
      </c>
      <c r="BG340" s="116">
        <f t="shared" si="148"/>
        <v>0.95</v>
      </c>
      <c r="BH340" s="9">
        <f>IF($C340="&lt;01",ROUND(INDEX(EID!$L:$L,MATCH($B340,EID!$B:$B,0)),0)/2,IF(SUM($BG340)=0,"",ROUND($AX340/$BG340,0)))</f>
        <v>0</v>
      </c>
    </row>
    <row r="341" spans="1:60" x14ac:dyDescent="0.2">
      <c r="A341" t="str">
        <f>INDEX(Prioritization!$D:$D,MATCH($B341,Prioritization!$A:$A,0))</f>
        <v>INVALID</v>
      </c>
      <c r="B341" t="s">
        <v>216</v>
      </c>
      <c r="C341" t="s">
        <v>363</v>
      </c>
      <c r="D341" t="s">
        <v>29</v>
      </c>
      <c r="E341" t="str">
        <f t="shared" si="126"/>
        <v>Mwanza District [wNqJp8oRIcF]|10-14|Female</v>
      </c>
      <c r="F341" s="14"/>
      <c r="G341" s="14">
        <v>9</v>
      </c>
      <c r="H341" s="14">
        <v>1</v>
      </c>
      <c r="I341" s="14">
        <v>8</v>
      </c>
      <c r="J341" s="14">
        <v>6</v>
      </c>
      <c r="K341" s="14">
        <v>9</v>
      </c>
      <c r="L341" s="14">
        <v>3</v>
      </c>
      <c r="M341" s="14">
        <v>10</v>
      </c>
      <c r="N341" s="14">
        <v>6</v>
      </c>
      <c r="O341" s="14">
        <f t="shared" si="127"/>
        <v>8</v>
      </c>
      <c r="P341" s="14">
        <v>4</v>
      </c>
      <c r="Q341" s="14">
        <v>2</v>
      </c>
      <c r="R341" s="14">
        <f t="shared" si="128"/>
        <v>0</v>
      </c>
      <c r="S341" s="14">
        <f>IF(LEFT($B341,4)="_Mil","",_xlfn.IFNA(ROUND(INDEX(Spectrum!$N:$N,MATCH(RIGHT($B341,13)&amp;"|"&amp;$C341&amp;"|"&amp;$D341&amp;"|"&amp;S$14&amp;"|"&amp;"CY2022Q4",Spectrum!$R:$R,0)),0),""))</f>
        <v>1011</v>
      </c>
      <c r="T341" s="42">
        <f>IF(LEFT($B341,4)="_Mil","",_xlfn.IFNA(ROUND(INDEX(Spectrum!$N:$N,MATCH(RIGHT($B341,13)&amp;"|"&amp;$C341&amp;"|"&amp;$D341&amp;"|"&amp;T$14&amp;"|"&amp;"CY2023Q3",Spectrum!$R:$R,0)),0),""))</f>
        <v>842</v>
      </c>
      <c r="U341" s="42" t="str">
        <f>IF(LEFT($B341,4)="_Mil","",_xlfn.IFNA(ROUND(INDEX(Spectrum!$N:$N,MATCH(RIGHT($B341,13)&amp;"|"&amp;$C341&amp;"|"&amp;$D341&amp;"|"&amp;U$14&amp;"|"&amp;"CY2023Q3",Spectrum!$R:$R,0)),0),""))</f>
        <v/>
      </c>
      <c r="V341" s="14">
        <f>IF(LEFT($B341,4)="_Mil","",_xlfn.IFNA(ROUND(INDEX(Spectrum!$N:$N,MATCH(RIGHT($B341,13)&amp;"|"&amp;$C341&amp;"|"&amp;$D341&amp;"|"&amp;V$14&amp;"|"&amp;"CY2023Q3",Spectrum!$R:$R,0)),0),""))</f>
        <v>1557</v>
      </c>
      <c r="W341" s="115">
        <f>IF(LEFT($B341,4)="_Mil","",_xlfn.IFNA(INDEX(Spectrum!$N:$N,MATCH(RIGHT($B341,13)&amp;"|"&amp;$C341&amp;"|"&amp;$D341&amp;"|"&amp;W$14&amp;"|"&amp;"CY2023Q3",Spectrum!$R:$R,0)),""))</f>
        <v>1463</v>
      </c>
      <c r="X341" s="42">
        <f>IF(LEFT($B341,4)="_Mil","",_xlfn.IFNA(ROUND(INDEX(Spectrum!$N:$N,MATCH(RIGHT($B341,13)&amp;"|"&amp;$C341&amp;"|"&amp;$D341&amp;"|"&amp;X$14&amp;"|"&amp;"CY2023Q3",Spectrum!$R:$R,0)),0),""))</f>
        <v>1386</v>
      </c>
      <c r="Y341" s="90" t="str">
        <f t="shared" si="129"/>
        <v/>
      </c>
      <c r="Z341" s="42">
        <f>IF(LEFT($B341,4)="_Mil","",_xlfn.IFNA(ROUND(INDEX(Spectrum!$N:$N,MATCH(RIGHT($B341,13)&amp;"|"&amp;$C341&amp;"|"&amp;$D341&amp;"|"&amp;Z$14&amp;"|"&amp;"CY2023Q3",Spectrum!$R:$R,0)),0),""))</f>
        <v>1800</v>
      </c>
      <c r="AA341" s="90">
        <f>IF(LEFT($B341,4)="_Mil","",IFERROR(1/(1/INDEX(Spectrum!$N:$N,MATCH(RIGHT($B341,13)&amp;"|"&amp;$C341&amp;"|"&amp;$D341&amp;"|"&amp;AA$14&amp;"|"&amp;"CY2023Q3",Spectrum!$R:$R,0))),IF(SUM($U341)=0,"",SUM($Z341)/$U341)))</f>
        <v>917.99999999999989</v>
      </c>
      <c r="AB341" s="90">
        <f t="shared" si="130"/>
        <v>1.2987012987012987</v>
      </c>
      <c r="AC341" s="14">
        <f>IF(LEFT($B341,4)="_Mil","",_xlfn.IFNA(ROUND(INDEX(Spectrum!$N:$N,MATCH(RIGHT($B341,13)&amp;"|"&amp;$C341&amp;"|"&amp;$D341&amp;"|"&amp;AC$14&amp;"|"&amp;"CY2023Q3",Spectrum!$R:$R,0)),0),""))</f>
        <v>840</v>
      </c>
      <c r="AD341" s="14" t="str">
        <f>IF(LEFT($B341,4)="_Mil","",_xlfn.IFNA(ROUND(INDEX(Spectrum!$N:$N,MATCH(RIGHT($B341,13)&amp;"|"&amp;$C341&amp;"|"&amp;$D341&amp;"|"&amp;AD$14&amp;"|"&amp;"CY2023Q3",Spectrum!$R:$R,0)),0),""))</f>
        <v/>
      </c>
      <c r="AE341" s="90">
        <f t="shared" si="131"/>
        <v>0</v>
      </c>
      <c r="AF341" s="42" t="str">
        <f>IF(LEFT($B341,4)="_Mil","",_xlfn.IFNA(ROUND(INDEX(Spectrum!$N:$N,MATCH(RIGHT($B341,13)&amp;"|"&amp;$C341&amp;"|"&amp;$D341&amp;"|"&amp;AF$14&amp;"|"&amp;"CY2023Q3",Spectrum!$R:$R,0)),0),""))</f>
        <v/>
      </c>
      <c r="AG341" s="90" t="str">
        <f t="shared" si="132"/>
        <v/>
      </c>
      <c r="AH341" s="88" t="str">
        <f>IF(LEFT($B341,4)="_Mil","",_xlfn.IFNA(INDEX(Spectrum!$N:$N,MATCH(RIGHT($B341,13)&amp;"|"&amp;$C341&amp;"|"&amp;$D341&amp;"|"&amp;AH$14&amp;"|"&amp;"CY2023Q3",Spectrum!$R:$R,0)),""))</f>
        <v/>
      </c>
      <c r="AI341" s="14" t="str">
        <f>IF(LEFT($B341,4)="_Mil","",_xlfn.IFNA(ROUND(INDEX(Spectrum!$N:$N,MATCH(RIGHT($B341,13)&amp;"|"&amp;$C341&amp;"|"&amp;$D341&amp;"|"&amp;AI$14&amp;"|"&amp;"CY2023Q3",Spectrum!$R:$R,0)),0),""))</f>
        <v/>
      </c>
      <c r="AJ341" s="42">
        <f>IF(LEFT($B341,4)="_Mil","",_xlfn.IFNA(ROUND(INDEX(Spectrum!$N:$N,MATCH(RIGHT($B341,13)&amp;"|"&amp;$C341&amp;"|"&amp;$D341&amp;"|"&amp;AI$14&amp;"|"&amp;"CY2023Q3",Spectrum!$R:$R,0)),0),SUM($U341)+SUM($AI341)))</f>
        <v>0</v>
      </c>
      <c r="AK341" s="14" t="str">
        <f>IF(LEFT($B341,4)="_Mil","",_xlfn.IFNA(ROUND(INDEX(Spectrum!$N:$N,MATCH(RIGHT($B341,13)&amp;"|"&amp;$C341&amp;"|"&amp;$D341&amp;"|"&amp;AK$14&amp;"|"&amp;"CY2023Q3",Spectrum!$R:$R,0)),0),""))</f>
        <v/>
      </c>
      <c r="AL341" s="90">
        <f t="shared" si="133"/>
        <v>917.99999999999989</v>
      </c>
      <c r="AM341" s="14">
        <f t="shared" si="134"/>
        <v>0</v>
      </c>
      <c r="AN341" s="14" t="str">
        <f>IF($C341="&lt;01",ROUND(INDEX(EID!$P:$P,MATCH($B341,EID!$B:$B,0))/2,0),"")</f>
        <v/>
      </c>
      <c r="AO341" s="14">
        <f t="shared" si="135"/>
        <v>0</v>
      </c>
      <c r="AP341" s="42">
        <f t="shared" si="136"/>
        <v>0</v>
      </c>
      <c r="AQ341" s="42">
        <f t="shared" si="137"/>
        <v>1800</v>
      </c>
      <c r="AR341" s="90" t="str">
        <f t="shared" si="138"/>
        <v/>
      </c>
      <c r="AS341" s="90">
        <f t="shared" si="139"/>
        <v>0.98</v>
      </c>
      <c r="AT341" s="90">
        <f t="shared" si="139"/>
        <v>0.98</v>
      </c>
      <c r="AU341" s="14">
        <f t="shared" si="140"/>
        <v>-8</v>
      </c>
      <c r="AV341" s="14">
        <f>IF($C341="&lt;01",ROUND(INDEX(EID!$N:$N,MATCH($B341,EID!$B:$B,0))/2,0),IF(SUM($AT341)=0,"",ROUND((SUM($AP341)-(SUM($O341)*SUM($AS341)))/$AT341,0)))</f>
        <v>-8</v>
      </c>
      <c r="AW341" s="90">
        <f t="shared" si="141"/>
        <v>1</v>
      </c>
      <c r="AX341" s="42">
        <f t="shared" si="142"/>
        <v>-8</v>
      </c>
      <c r="AY341" s="116">
        <f t="shared" si="143"/>
        <v>0.7</v>
      </c>
      <c r="AZ341" s="93">
        <f>IF($C341="&lt;01",ROUND(INDEX(EID!$R:$R,MATCH($B341,EID!$B:$B,0))/2,0),ROUND(SUM($O341)+(SUM($AV341)*$AY341),0))</f>
        <v>2</v>
      </c>
      <c r="BA341" s="89">
        <f t="shared" si="144"/>
        <v>0.95</v>
      </c>
      <c r="BB341" s="9">
        <f>IF($C341="&lt;01",ROUND(INDEX(EID!$T:$T,MATCH($B341,EID!$B:$B,0))/2,0),ROUND($AZ341*$BA341,0))</f>
        <v>2</v>
      </c>
      <c r="BC341" s="93">
        <f t="shared" si="145"/>
        <v>2</v>
      </c>
      <c r="BD341" s="90">
        <f t="shared" si="146"/>
        <v>0.95</v>
      </c>
      <c r="BE341" s="42">
        <f>IF($C341="&lt;01",ROUND(INDEX(EID!$V:$V,MATCH($B341,EID!$B:$B,0))/2,0),ROUND($BD341*$BB341,0))</f>
        <v>2</v>
      </c>
      <c r="BF341" s="42">
        <f t="shared" si="147"/>
        <v>2</v>
      </c>
      <c r="BG341" s="116">
        <f t="shared" si="148"/>
        <v>0.95</v>
      </c>
      <c r="BH341" s="9">
        <f>IF($C341="&lt;01",ROUND(INDEX(EID!$L:$L,MATCH($B341,EID!$B:$B,0)),0)/2,IF(SUM($BG341)=0,"",ROUND($AX341/$BG341,0)))</f>
        <v>-8</v>
      </c>
    </row>
    <row r="342" spans="1:60" x14ac:dyDescent="0.2">
      <c r="A342" t="str">
        <f>INDEX(Prioritization!$D:$D,MATCH($B342,Prioritization!$A:$A,0))</f>
        <v>INVALID</v>
      </c>
      <c r="B342" t="s">
        <v>216</v>
      </c>
      <c r="C342" t="s">
        <v>363</v>
      </c>
      <c r="D342" t="s">
        <v>47</v>
      </c>
      <c r="E342" t="str">
        <f t="shared" si="126"/>
        <v>Mwanza District [wNqJp8oRIcF]|10-14|Male</v>
      </c>
      <c r="F342" s="14"/>
      <c r="G342" s="14">
        <v>6</v>
      </c>
      <c r="H342" s="14">
        <v>0</v>
      </c>
      <c r="I342" s="14">
        <v>2</v>
      </c>
      <c r="J342" s="14">
        <v>2</v>
      </c>
      <c r="K342" s="14">
        <v>4</v>
      </c>
      <c r="L342" s="14">
        <v>8</v>
      </c>
      <c r="M342" s="14">
        <v>9</v>
      </c>
      <c r="N342" s="14">
        <v>55</v>
      </c>
      <c r="O342" s="14">
        <f t="shared" si="127"/>
        <v>55</v>
      </c>
      <c r="P342" s="14">
        <v>2</v>
      </c>
      <c r="Q342" s="14">
        <v>3</v>
      </c>
      <c r="R342" s="14">
        <f t="shared" si="128"/>
        <v>53</v>
      </c>
      <c r="S342" s="14">
        <f>IF(LEFT($B342,4)="_Mil","",_xlfn.IFNA(ROUND(INDEX(Spectrum!$N:$N,MATCH(RIGHT($B342,13)&amp;"|"&amp;$C342&amp;"|"&amp;$D342&amp;"|"&amp;S$14&amp;"|"&amp;"CY2022Q4",Spectrum!$R:$R,0)),0),""))</f>
        <v>1232</v>
      </c>
      <c r="T342" s="42">
        <f>IF(LEFT($B342,4)="_Mil","",_xlfn.IFNA(ROUND(INDEX(Spectrum!$N:$N,MATCH(RIGHT($B342,13)&amp;"|"&amp;$C342&amp;"|"&amp;$D342&amp;"|"&amp;T$14&amp;"|"&amp;"CY2023Q3",Spectrum!$R:$R,0)),0),""))</f>
        <v>1373</v>
      </c>
      <c r="U342" s="42" t="str">
        <f>IF(LEFT($B342,4)="_Mil","",_xlfn.IFNA(ROUND(INDEX(Spectrum!$N:$N,MATCH(RIGHT($B342,13)&amp;"|"&amp;$C342&amp;"|"&amp;$D342&amp;"|"&amp;U$14&amp;"|"&amp;"CY2023Q3",Spectrum!$R:$R,0)),0),""))</f>
        <v/>
      </c>
      <c r="V342" s="14">
        <f>IF(LEFT($B342,4)="_Mil","",_xlfn.IFNA(ROUND(INDEX(Spectrum!$N:$N,MATCH(RIGHT($B342,13)&amp;"|"&amp;$C342&amp;"|"&amp;$D342&amp;"|"&amp;V$14&amp;"|"&amp;"CY2023Q3",Spectrum!$R:$R,0)),0),""))</f>
        <v>1927</v>
      </c>
      <c r="W342" s="115">
        <f>IF(LEFT($B342,4)="_Mil","",_xlfn.IFNA(INDEX(Spectrum!$N:$N,MATCH(RIGHT($B342,13)&amp;"|"&amp;$C342&amp;"|"&amp;$D342&amp;"|"&amp;W$14&amp;"|"&amp;"CY2023Q3",Spectrum!$R:$R,0)),""))</f>
        <v>1832</v>
      </c>
      <c r="X342" s="42">
        <f>IF(LEFT($B342,4)="_Mil","",_xlfn.IFNA(ROUND(INDEX(Spectrum!$N:$N,MATCH(RIGHT($B342,13)&amp;"|"&amp;$C342&amp;"|"&amp;$D342&amp;"|"&amp;X$14&amp;"|"&amp;"CY2023Q3",Spectrum!$R:$R,0)),0),""))</f>
        <v>1744</v>
      </c>
      <c r="Y342" s="90" t="str">
        <f t="shared" si="129"/>
        <v/>
      </c>
      <c r="Z342" s="42">
        <f>IF(LEFT($B342,4)="_Mil","",_xlfn.IFNA(ROUND(INDEX(Spectrum!$N:$N,MATCH(RIGHT($B342,13)&amp;"|"&amp;$C342&amp;"|"&amp;$D342&amp;"|"&amp;Z$14&amp;"|"&amp;"CY2023Q3",Spectrum!$R:$R,0)),0),""))</f>
        <v>1136</v>
      </c>
      <c r="AA342" s="90">
        <f>IF(LEFT($B342,4)="_Mil","",IFERROR(1/(1/INDEX(Spectrum!$N:$N,MATCH(RIGHT($B342,13)&amp;"|"&amp;$C342&amp;"|"&amp;$D342&amp;"|"&amp;AA$14&amp;"|"&amp;"CY2023Q3",Spectrum!$R:$R,0))),IF(SUM($U342)=0,"",SUM($Z342)/$U342)))</f>
        <v>1859.0000000000002</v>
      </c>
      <c r="AB342" s="90">
        <f t="shared" si="130"/>
        <v>0.65137614678899081</v>
      </c>
      <c r="AC342" s="14">
        <f>IF(LEFT($B342,4)="_Mil","",_xlfn.IFNA(ROUND(INDEX(Spectrum!$N:$N,MATCH(RIGHT($B342,13)&amp;"|"&amp;$C342&amp;"|"&amp;$D342&amp;"|"&amp;AC$14&amp;"|"&amp;"CY2023Q3",Spectrum!$R:$R,0)),0),""))</f>
        <v>1583</v>
      </c>
      <c r="AD342" s="14" t="str">
        <f>IF(LEFT($B342,4)="_Mil","",_xlfn.IFNA(ROUND(INDEX(Spectrum!$N:$N,MATCH(RIGHT($B342,13)&amp;"|"&amp;$C342&amp;"|"&amp;$D342&amp;"|"&amp;AD$14&amp;"|"&amp;"CY2023Q3",Spectrum!$R:$R,0)),0),""))</f>
        <v/>
      </c>
      <c r="AE342" s="90">
        <f t="shared" si="131"/>
        <v>0</v>
      </c>
      <c r="AF342" s="42" t="str">
        <f>IF(LEFT($B342,4)="_Mil","",_xlfn.IFNA(ROUND(INDEX(Spectrum!$N:$N,MATCH(RIGHT($B342,13)&amp;"|"&amp;$C342&amp;"|"&amp;$D342&amp;"|"&amp;AF$14&amp;"|"&amp;"CY2023Q3",Spectrum!$R:$R,0)),0),""))</f>
        <v/>
      </c>
      <c r="AG342" s="90" t="str">
        <f t="shared" si="132"/>
        <v/>
      </c>
      <c r="AH342" s="88" t="str">
        <f>IF(LEFT($B342,4)="_Mil","",_xlfn.IFNA(INDEX(Spectrum!$N:$N,MATCH(RIGHT($B342,13)&amp;"|"&amp;$C342&amp;"|"&amp;$D342&amp;"|"&amp;AH$14&amp;"|"&amp;"CY2023Q3",Spectrum!$R:$R,0)),""))</f>
        <v/>
      </c>
      <c r="AI342" s="14" t="str">
        <f>IF(LEFT($B342,4)="_Mil","",_xlfn.IFNA(ROUND(INDEX(Spectrum!$N:$N,MATCH(RIGHT($B342,13)&amp;"|"&amp;$C342&amp;"|"&amp;$D342&amp;"|"&amp;AI$14&amp;"|"&amp;"CY2023Q3",Spectrum!$R:$R,0)),0),""))</f>
        <v/>
      </c>
      <c r="AJ342" s="42">
        <f>IF(LEFT($B342,4)="_Mil","",_xlfn.IFNA(ROUND(INDEX(Spectrum!$N:$N,MATCH(RIGHT($B342,13)&amp;"|"&amp;$C342&amp;"|"&amp;$D342&amp;"|"&amp;AI$14&amp;"|"&amp;"CY2023Q3",Spectrum!$R:$R,0)),0),SUM($U342)+SUM($AI342)))</f>
        <v>0</v>
      </c>
      <c r="AK342" s="14" t="str">
        <f>IF(LEFT($B342,4)="_Mil","",_xlfn.IFNA(ROUND(INDEX(Spectrum!$N:$N,MATCH(RIGHT($B342,13)&amp;"|"&amp;$C342&amp;"|"&amp;$D342&amp;"|"&amp;AK$14&amp;"|"&amp;"CY2023Q3",Spectrum!$R:$R,0)),0),""))</f>
        <v/>
      </c>
      <c r="AL342" s="90">
        <f t="shared" si="133"/>
        <v>1859.0000000000002</v>
      </c>
      <c r="AM342" s="14">
        <f t="shared" si="134"/>
        <v>0</v>
      </c>
      <c r="AN342" s="14" t="str">
        <f>IF($C342="&lt;01",ROUND(INDEX(EID!$P:$P,MATCH($B342,EID!$B:$B,0))/2,0),"")</f>
        <v/>
      </c>
      <c r="AO342" s="14">
        <f t="shared" si="135"/>
        <v>0</v>
      </c>
      <c r="AP342" s="42">
        <f t="shared" si="136"/>
        <v>0</v>
      </c>
      <c r="AQ342" s="42">
        <f t="shared" si="137"/>
        <v>1136</v>
      </c>
      <c r="AR342" s="90" t="str">
        <f t="shared" si="138"/>
        <v/>
      </c>
      <c r="AS342" s="90">
        <f t="shared" si="139"/>
        <v>0.98</v>
      </c>
      <c r="AT342" s="90">
        <f t="shared" si="139"/>
        <v>0.98</v>
      </c>
      <c r="AU342" s="14">
        <f t="shared" si="140"/>
        <v>-55</v>
      </c>
      <c r="AV342" s="14">
        <f>IF($C342="&lt;01",ROUND(INDEX(EID!$N:$N,MATCH($B342,EID!$B:$B,0))/2,0),IF(SUM($AT342)=0,"",ROUND((SUM($AP342)-(SUM($O342)*SUM($AS342)))/$AT342,0)))</f>
        <v>-55</v>
      </c>
      <c r="AW342" s="90">
        <f t="shared" si="141"/>
        <v>1</v>
      </c>
      <c r="AX342" s="42">
        <f t="shared" si="142"/>
        <v>-55</v>
      </c>
      <c r="AY342" s="116">
        <f t="shared" si="143"/>
        <v>0.7</v>
      </c>
      <c r="AZ342" s="93">
        <f>IF($C342="&lt;01",ROUND(INDEX(EID!$R:$R,MATCH($B342,EID!$B:$B,0))/2,0),ROUND(SUM($O342)+(SUM($AV342)*$AY342),0))</f>
        <v>17</v>
      </c>
      <c r="BA342" s="89">
        <f t="shared" si="144"/>
        <v>0.95</v>
      </c>
      <c r="BB342" s="9">
        <f>IF($C342="&lt;01",ROUND(INDEX(EID!$T:$T,MATCH($B342,EID!$B:$B,0))/2,0),ROUND($AZ342*$BA342,0))</f>
        <v>16</v>
      </c>
      <c r="BC342" s="93">
        <f t="shared" si="145"/>
        <v>16</v>
      </c>
      <c r="BD342" s="90">
        <f t="shared" si="146"/>
        <v>0.95</v>
      </c>
      <c r="BE342" s="42">
        <f>IF($C342="&lt;01",ROUND(INDEX(EID!$V:$V,MATCH($B342,EID!$B:$B,0))/2,0),ROUND($BD342*$BB342,0))</f>
        <v>15</v>
      </c>
      <c r="BF342" s="42">
        <f t="shared" si="147"/>
        <v>15</v>
      </c>
      <c r="BG342" s="116">
        <f t="shared" si="148"/>
        <v>0.95</v>
      </c>
      <c r="BH342" s="9">
        <f>IF($C342="&lt;01",ROUND(INDEX(EID!$L:$L,MATCH($B342,EID!$B:$B,0)),0)/2,IF(SUM($BG342)=0,"",ROUND($AX342/$BG342,0)))</f>
        <v>-58</v>
      </c>
    </row>
    <row r="343" spans="1:60" x14ac:dyDescent="0.2">
      <c r="A343" t="str">
        <f>INDEX(Prioritization!$D:$D,MATCH($B343,Prioritization!$A:$A,0))</f>
        <v>INVALID</v>
      </c>
      <c r="B343" t="s">
        <v>216</v>
      </c>
      <c r="C343" t="s">
        <v>364</v>
      </c>
      <c r="D343" t="s">
        <v>29</v>
      </c>
      <c r="E343" t="str">
        <f t="shared" si="126"/>
        <v>Mwanza District [wNqJp8oRIcF]|15-24|Female</v>
      </c>
      <c r="F343" s="14"/>
      <c r="G343" s="14"/>
      <c r="H343" s="14"/>
      <c r="I343" s="14"/>
      <c r="J343" s="14"/>
      <c r="K343" s="14"/>
      <c r="L343" s="14"/>
      <c r="M343" s="14"/>
      <c r="N343" s="14"/>
      <c r="O343" s="14" t="str">
        <f t="shared" si="127"/>
        <v/>
      </c>
      <c r="P343" s="14"/>
      <c r="Q343" s="14"/>
      <c r="R343" s="14" t="str">
        <f t="shared" si="128"/>
        <v/>
      </c>
      <c r="S343" s="14">
        <f>IF(LEFT($B343,4)="_Mil","",_xlfn.IFNA(ROUND(INDEX(Spectrum!$N:$N,MATCH(RIGHT($B343,13)&amp;"|"&amp;$C343&amp;"|"&amp;$D343&amp;"|"&amp;S$14&amp;"|"&amp;"CY2022Q4",Spectrum!$R:$R,0)),0),""))</f>
        <v>1332</v>
      </c>
      <c r="T343" s="42">
        <f>IF(LEFT($B343,4)="_Mil","",_xlfn.IFNA(ROUND(INDEX(Spectrum!$N:$N,MATCH(RIGHT($B343,13)&amp;"|"&amp;$C343&amp;"|"&amp;$D343&amp;"|"&amp;T$14&amp;"|"&amp;"CY2023Q3",Spectrum!$R:$R,0)),0),""))</f>
        <v>1256</v>
      </c>
      <c r="U343" s="42" t="str">
        <f>IF(LEFT($B343,4)="_Mil","",_xlfn.IFNA(ROUND(INDEX(Spectrum!$N:$N,MATCH(RIGHT($B343,13)&amp;"|"&amp;$C343&amp;"|"&amp;$D343&amp;"|"&amp;U$14&amp;"|"&amp;"CY2023Q3",Spectrum!$R:$R,0)),0),""))</f>
        <v/>
      </c>
      <c r="V343" s="14">
        <f>IF(LEFT($B343,4)="_Mil","",_xlfn.IFNA(ROUND(INDEX(Spectrum!$N:$N,MATCH(RIGHT($B343,13)&amp;"|"&amp;$C343&amp;"|"&amp;$D343&amp;"|"&amp;V$14&amp;"|"&amp;"CY2023Q3",Spectrum!$R:$R,0)),0),""))</f>
        <v>1205</v>
      </c>
      <c r="W343" s="115">
        <f>IF(LEFT($B343,4)="_Mil","",_xlfn.IFNA(INDEX(Spectrum!$N:$N,MATCH(RIGHT($B343,13)&amp;"|"&amp;$C343&amp;"|"&amp;$D343&amp;"|"&amp;W$14&amp;"|"&amp;"CY2023Q3",Spectrum!$R:$R,0)),""))</f>
        <v>1690</v>
      </c>
      <c r="X343" s="42">
        <f>IF(LEFT($B343,4)="_Mil","",_xlfn.IFNA(ROUND(INDEX(Spectrum!$N:$N,MATCH(RIGHT($B343,13)&amp;"|"&amp;$C343&amp;"|"&amp;$D343&amp;"|"&amp;X$14&amp;"|"&amp;"CY2023Q3",Spectrum!$R:$R,0)),0),""))</f>
        <v>1131</v>
      </c>
      <c r="Y343" s="90" t="str">
        <f t="shared" si="129"/>
        <v/>
      </c>
      <c r="Z343" s="42">
        <f>IF(LEFT($B343,4)="_Mil","",_xlfn.IFNA(ROUND(INDEX(Spectrum!$N:$N,MATCH(RIGHT($B343,13)&amp;"|"&amp;$C343&amp;"|"&amp;$D343&amp;"|"&amp;Z$14&amp;"|"&amp;"CY2023Q3",Spectrum!$R:$R,0)),0),""))</f>
        <v>757</v>
      </c>
      <c r="AA343" s="90">
        <f>IF(LEFT($B343,4)="_Mil","",IFERROR(1/(1/INDEX(Spectrum!$N:$N,MATCH(RIGHT($B343,13)&amp;"|"&amp;$C343&amp;"|"&amp;$D343&amp;"|"&amp;AA$14&amp;"|"&amp;"CY2023Q3",Spectrum!$R:$R,0))),IF(SUM($U343)=0,"",SUM($Z343)/$U343)))</f>
        <v>1427</v>
      </c>
      <c r="AB343" s="90">
        <f t="shared" si="130"/>
        <v>0.66931918656056588</v>
      </c>
      <c r="AC343" s="14">
        <f>IF(LEFT($B343,4)="_Mil","",_xlfn.IFNA(ROUND(INDEX(Spectrum!$N:$N,MATCH(RIGHT($B343,13)&amp;"|"&amp;$C343&amp;"|"&amp;$D343&amp;"|"&amp;AC$14&amp;"|"&amp;"CY2023Q3",Spectrum!$R:$R,0)),0),""))</f>
        <v>1172</v>
      </c>
      <c r="AD343" s="14" t="str">
        <f>IF(LEFT($B343,4)="_Mil","",_xlfn.IFNA(ROUND(INDEX(Spectrum!$N:$N,MATCH(RIGHT($B343,13)&amp;"|"&amp;$C343&amp;"|"&amp;$D343&amp;"|"&amp;AD$14&amp;"|"&amp;"CY2023Q3",Spectrum!$R:$R,0)),0),""))</f>
        <v/>
      </c>
      <c r="AE343" s="90">
        <f t="shared" si="131"/>
        <v>0</v>
      </c>
      <c r="AF343" s="42" t="str">
        <f>IF(LEFT($B343,4)="_Mil","",_xlfn.IFNA(ROUND(INDEX(Spectrum!$N:$N,MATCH(RIGHT($B343,13)&amp;"|"&amp;$C343&amp;"|"&amp;$D343&amp;"|"&amp;AF$14&amp;"|"&amp;"CY2023Q3",Spectrum!$R:$R,0)),0),""))</f>
        <v/>
      </c>
      <c r="AG343" s="90" t="str">
        <f t="shared" si="132"/>
        <v/>
      </c>
      <c r="AH343" s="88" t="str">
        <f>IF(LEFT($B343,4)="_Mil","",_xlfn.IFNA(INDEX(Spectrum!$N:$N,MATCH(RIGHT($B343,13)&amp;"|"&amp;$C343&amp;"|"&amp;$D343&amp;"|"&amp;AH$14&amp;"|"&amp;"CY2023Q3",Spectrum!$R:$R,0)),""))</f>
        <v/>
      </c>
      <c r="AI343" s="14" t="str">
        <f>IF(LEFT($B343,4)="_Mil","",_xlfn.IFNA(ROUND(INDEX(Spectrum!$N:$N,MATCH(RIGHT($B343,13)&amp;"|"&amp;$C343&amp;"|"&amp;$D343&amp;"|"&amp;AI$14&amp;"|"&amp;"CY2023Q3",Spectrum!$R:$R,0)),0),""))</f>
        <v/>
      </c>
      <c r="AJ343" s="42">
        <f>IF(LEFT($B343,4)="_Mil","",_xlfn.IFNA(ROUND(INDEX(Spectrum!$N:$N,MATCH(RIGHT($B343,13)&amp;"|"&amp;$C343&amp;"|"&amp;$D343&amp;"|"&amp;AI$14&amp;"|"&amp;"CY2023Q3",Spectrum!$R:$R,0)),0),SUM($U343)+SUM($AI343)))</f>
        <v>0</v>
      </c>
      <c r="AK343" s="14" t="str">
        <f>IF(LEFT($B343,4)="_Mil","",_xlfn.IFNA(ROUND(INDEX(Spectrum!$N:$N,MATCH(RIGHT($B343,13)&amp;"|"&amp;$C343&amp;"|"&amp;$D343&amp;"|"&amp;AK$14&amp;"|"&amp;"CY2023Q3",Spectrum!$R:$R,0)),0),""))</f>
        <v/>
      </c>
      <c r="AL343" s="90">
        <f t="shared" si="133"/>
        <v>1427</v>
      </c>
      <c r="AM343" s="14">
        <f t="shared" si="134"/>
        <v>0</v>
      </c>
      <c r="AN343" s="14" t="str">
        <f>IF($C343="&lt;01",ROUND(INDEX(EID!$P:$P,MATCH($B343,EID!$B:$B,0))/2,0),"")</f>
        <v/>
      </c>
      <c r="AO343" s="14">
        <f t="shared" si="135"/>
        <v>0</v>
      </c>
      <c r="AP343" s="42">
        <f t="shared" si="136"/>
        <v>0</v>
      </c>
      <c r="AQ343" s="42">
        <f t="shared" si="137"/>
        <v>757</v>
      </c>
      <c r="AR343" s="90" t="str">
        <f t="shared" si="138"/>
        <v/>
      </c>
      <c r="AS343" s="90">
        <f t="shared" si="139"/>
        <v>0.98</v>
      </c>
      <c r="AT343" s="90">
        <f t="shared" si="139"/>
        <v>0.98</v>
      </c>
      <c r="AU343" s="14">
        <f t="shared" si="140"/>
        <v>0</v>
      </c>
      <c r="AV343" s="14">
        <f>IF($C343="&lt;01",ROUND(INDEX(EID!$N:$N,MATCH($B343,EID!$B:$B,0))/2,0),IF(SUM($AT343)=0,"",ROUND((SUM($AP343)-(SUM($O343)*SUM($AS343)))/$AT343,0)))</f>
        <v>0</v>
      </c>
      <c r="AW343" s="90">
        <f t="shared" si="141"/>
        <v>1</v>
      </c>
      <c r="AX343" s="42">
        <f t="shared" si="142"/>
        <v>0</v>
      </c>
      <c r="AY343" s="116">
        <f t="shared" si="143"/>
        <v>0.7</v>
      </c>
      <c r="AZ343" s="93">
        <f>IF($C343="&lt;01",ROUND(INDEX(EID!$R:$R,MATCH($B343,EID!$B:$B,0))/2,0),ROUND(SUM($O343)+(SUM($AV343)*$AY343),0))</f>
        <v>0</v>
      </c>
      <c r="BA343" s="89">
        <f t="shared" si="144"/>
        <v>0.95</v>
      </c>
      <c r="BB343" s="9">
        <f>IF($C343="&lt;01",ROUND(INDEX(EID!$T:$T,MATCH($B343,EID!$B:$B,0))/2,0),ROUND($AZ343*$BA343,0))</f>
        <v>0</v>
      </c>
      <c r="BC343" s="93">
        <f t="shared" si="145"/>
        <v>0</v>
      </c>
      <c r="BD343" s="90">
        <f t="shared" si="146"/>
        <v>0.95</v>
      </c>
      <c r="BE343" s="42">
        <f>IF($C343="&lt;01",ROUND(INDEX(EID!$V:$V,MATCH($B343,EID!$B:$B,0))/2,0),ROUND($BD343*$BB343,0))</f>
        <v>0</v>
      </c>
      <c r="BF343" s="42">
        <f t="shared" si="147"/>
        <v>0</v>
      </c>
      <c r="BG343" s="116">
        <f t="shared" si="148"/>
        <v>0.95</v>
      </c>
      <c r="BH343" s="9">
        <f>IF($C343="&lt;01",ROUND(INDEX(EID!$L:$L,MATCH($B343,EID!$B:$B,0)),0)/2,IF(SUM($BG343)=0,"",ROUND($AX343/$BG343,0)))</f>
        <v>0</v>
      </c>
    </row>
    <row r="344" spans="1:60" x14ac:dyDescent="0.2">
      <c r="A344" t="str">
        <f>INDEX(Prioritization!$D:$D,MATCH($B344,Prioritization!$A:$A,0))</f>
        <v>INVALID</v>
      </c>
      <c r="B344" t="s">
        <v>216</v>
      </c>
      <c r="C344" t="s">
        <v>364</v>
      </c>
      <c r="D344" t="s">
        <v>47</v>
      </c>
      <c r="E344" t="str">
        <f t="shared" si="126"/>
        <v>Mwanza District [wNqJp8oRIcF]|15-24|Male</v>
      </c>
      <c r="F344" s="14"/>
      <c r="G344" s="14"/>
      <c r="H344" s="14"/>
      <c r="I344" s="14"/>
      <c r="J344" s="14"/>
      <c r="K344" s="14"/>
      <c r="L344" s="14"/>
      <c r="M344" s="14"/>
      <c r="N344" s="14"/>
      <c r="O344" s="14" t="str">
        <f t="shared" si="127"/>
        <v/>
      </c>
      <c r="P344" s="14"/>
      <c r="Q344" s="14"/>
      <c r="R344" s="14" t="str">
        <f t="shared" si="128"/>
        <v/>
      </c>
      <c r="S344" s="14">
        <f>IF(LEFT($B344,4)="_Mil","",_xlfn.IFNA(ROUND(INDEX(Spectrum!$N:$N,MATCH(RIGHT($B344,13)&amp;"|"&amp;$C344&amp;"|"&amp;$D344&amp;"|"&amp;S$14&amp;"|"&amp;"CY2022Q4",Spectrum!$R:$R,0)),0),""))</f>
        <v>978</v>
      </c>
      <c r="T344" s="42">
        <f>IF(LEFT($B344,4)="_Mil","",_xlfn.IFNA(ROUND(INDEX(Spectrum!$N:$N,MATCH(RIGHT($B344,13)&amp;"|"&amp;$C344&amp;"|"&amp;$D344&amp;"|"&amp;T$14&amp;"|"&amp;"CY2023Q3",Spectrum!$R:$R,0)),0),""))</f>
        <v>1538</v>
      </c>
      <c r="U344" s="42" t="str">
        <f>IF(LEFT($B344,4)="_Mil","",_xlfn.IFNA(ROUND(INDEX(Spectrum!$N:$N,MATCH(RIGHT($B344,13)&amp;"|"&amp;$C344&amp;"|"&amp;$D344&amp;"|"&amp;U$14&amp;"|"&amp;"CY2023Q3",Spectrum!$R:$R,0)),0),""))</f>
        <v/>
      </c>
      <c r="V344" s="14">
        <f>IF(LEFT($B344,4)="_Mil","",_xlfn.IFNA(ROUND(INDEX(Spectrum!$N:$N,MATCH(RIGHT($B344,13)&amp;"|"&amp;$C344&amp;"|"&amp;$D344&amp;"|"&amp;V$14&amp;"|"&amp;"CY2023Q3",Spectrum!$R:$R,0)),0),""))</f>
        <v>691</v>
      </c>
      <c r="W344" s="115">
        <f>IF(LEFT($B344,4)="_Mil","",_xlfn.IFNA(INDEX(Spectrum!$N:$N,MATCH(RIGHT($B344,13)&amp;"|"&amp;$C344&amp;"|"&amp;$D344&amp;"|"&amp;W$14&amp;"|"&amp;"CY2023Q3",Spectrum!$R:$R,0)),""))</f>
        <v>709</v>
      </c>
      <c r="X344" s="42">
        <f>IF(LEFT($B344,4)="_Mil","",_xlfn.IFNA(ROUND(INDEX(Spectrum!$N:$N,MATCH(RIGHT($B344,13)&amp;"|"&amp;$C344&amp;"|"&amp;$D344&amp;"|"&amp;X$14&amp;"|"&amp;"CY2023Q3",Spectrum!$R:$R,0)),0),""))</f>
        <v>770</v>
      </c>
      <c r="Y344" s="90" t="str">
        <f t="shared" si="129"/>
        <v/>
      </c>
      <c r="Z344" s="42">
        <f>IF(LEFT($B344,4)="_Mil","",_xlfn.IFNA(ROUND(INDEX(Spectrum!$N:$N,MATCH(RIGHT($B344,13)&amp;"|"&amp;$C344&amp;"|"&amp;$D344&amp;"|"&amp;Z$14&amp;"|"&amp;"CY2023Q3",Spectrum!$R:$R,0)),0),""))</f>
        <v>1124</v>
      </c>
      <c r="AA344" s="90">
        <f>IF(LEFT($B344,4)="_Mil","",IFERROR(1/(1/INDEX(Spectrum!$N:$N,MATCH(RIGHT($B344,13)&amp;"|"&amp;$C344&amp;"|"&amp;$D344&amp;"|"&amp;AA$14&amp;"|"&amp;"CY2023Q3",Spectrum!$R:$R,0))),IF(SUM($U344)=0,"",SUM($Z344)/$U344)))</f>
        <v>636</v>
      </c>
      <c r="AB344" s="90">
        <f t="shared" si="130"/>
        <v>1.4597402597402598</v>
      </c>
      <c r="AC344" s="14">
        <f>IF(LEFT($B344,4)="_Mil","",_xlfn.IFNA(ROUND(INDEX(Spectrum!$N:$N,MATCH(RIGHT($B344,13)&amp;"|"&amp;$C344&amp;"|"&amp;$D344&amp;"|"&amp;AC$14&amp;"|"&amp;"CY2023Q3",Spectrum!$R:$R,0)),0),""))</f>
        <v>926</v>
      </c>
      <c r="AD344" s="14" t="str">
        <f>IF(LEFT($B344,4)="_Mil","",_xlfn.IFNA(ROUND(INDEX(Spectrum!$N:$N,MATCH(RIGHT($B344,13)&amp;"|"&amp;$C344&amp;"|"&amp;$D344&amp;"|"&amp;AD$14&amp;"|"&amp;"CY2023Q3",Spectrum!$R:$R,0)),0),""))</f>
        <v/>
      </c>
      <c r="AE344" s="90">
        <f t="shared" si="131"/>
        <v>0</v>
      </c>
      <c r="AF344" s="42" t="str">
        <f>IF(LEFT($B344,4)="_Mil","",_xlfn.IFNA(ROUND(INDEX(Spectrum!$N:$N,MATCH(RIGHT($B344,13)&amp;"|"&amp;$C344&amp;"|"&amp;$D344&amp;"|"&amp;AF$14&amp;"|"&amp;"CY2023Q3",Spectrum!$R:$R,0)),0),""))</f>
        <v/>
      </c>
      <c r="AG344" s="90" t="str">
        <f t="shared" si="132"/>
        <v/>
      </c>
      <c r="AH344" s="88" t="str">
        <f>IF(LEFT($B344,4)="_Mil","",_xlfn.IFNA(INDEX(Spectrum!$N:$N,MATCH(RIGHT($B344,13)&amp;"|"&amp;$C344&amp;"|"&amp;$D344&amp;"|"&amp;AH$14&amp;"|"&amp;"CY2023Q3",Spectrum!$R:$R,0)),""))</f>
        <v/>
      </c>
      <c r="AI344" s="14" t="str">
        <f>IF(LEFT($B344,4)="_Mil","",_xlfn.IFNA(ROUND(INDEX(Spectrum!$N:$N,MATCH(RIGHT($B344,13)&amp;"|"&amp;$C344&amp;"|"&amp;$D344&amp;"|"&amp;AI$14&amp;"|"&amp;"CY2023Q3",Spectrum!$R:$R,0)),0),""))</f>
        <v/>
      </c>
      <c r="AJ344" s="42">
        <f>IF(LEFT($B344,4)="_Mil","",_xlfn.IFNA(ROUND(INDEX(Spectrum!$N:$N,MATCH(RIGHT($B344,13)&amp;"|"&amp;$C344&amp;"|"&amp;$D344&amp;"|"&amp;AI$14&amp;"|"&amp;"CY2023Q3",Spectrum!$R:$R,0)),0),SUM($U344)+SUM($AI344)))</f>
        <v>0</v>
      </c>
      <c r="AK344" s="14" t="str">
        <f>IF(LEFT($B344,4)="_Mil","",_xlfn.IFNA(ROUND(INDEX(Spectrum!$N:$N,MATCH(RIGHT($B344,13)&amp;"|"&amp;$C344&amp;"|"&amp;$D344&amp;"|"&amp;AK$14&amp;"|"&amp;"CY2023Q3",Spectrum!$R:$R,0)),0),""))</f>
        <v/>
      </c>
      <c r="AL344" s="90">
        <f t="shared" si="133"/>
        <v>636</v>
      </c>
      <c r="AM344" s="14">
        <f t="shared" si="134"/>
        <v>0</v>
      </c>
      <c r="AN344" s="14" t="str">
        <f>IF($C344="&lt;01",ROUND(INDEX(EID!$P:$P,MATCH($B344,EID!$B:$B,0))/2,0),"")</f>
        <v/>
      </c>
      <c r="AO344" s="14">
        <f t="shared" si="135"/>
        <v>0</v>
      </c>
      <c r="AP344" s="42">
        <f t="shared" si="136"/>
        <v>0</v>
      </c>
      <c r="AQ344" s="42">
        <f t="shared" si="137"/>
        <v>1124</v>
      </c>
      <c r="AR344" s="90" t="str">
        <f t="shared" si="138"/>
        <v/>
      </c>
      <c r="AS344" s="90">
        <f t="shared" si="139"/>
        <v>0.98</v>
      </c>
      <c r="AT344" s="90">
        <f t="shared" si="139"/>
        <v>0.98</v>
      </c>
      <c r="AU344" s="14">
        <f t="shared" si="140"/>
        <v>0</v>
      </c>
      <c r="AV344" s="14">
        <f>IF($C344="&lt;01",ROUND(INDEX(EID!$N:$N,MATCH($B344,EID!$B:$B,0))/2,0),IF(SUM($AT344)=0,"",ROUND((SUM($AP344)-(SUM($O344)*SUM($AS344)))/$AT344,0)))</f>
        <v>0</v>
      </c>
      <c r="AW344" s="90">
        <f t="shared" si="141"/>
        <v>1</v>
      </c>
      <c r="AX344" s="42">
        <f t="shared" si="142"/>
        <v>0</v>
      </c>
      <c r="AY344" s="116">
        <f t="shared" si="143"/>
        <v>0.7</v>
      </c>
      <c r="AZ344" s="93">
        <f>IF($C344="&lt;01",ROUND(INDEX(EID!$R:$R,MATCH($B344,EID!$B:$B,0))/2,0),ROUND(SUM($O344)+(SUM($AV344)*$AY344),0))</f>
        <v>0</v>
      </c>
      <c r="BA344" s="89">
        <f t="shared" si="144"/>
        <v>0.95</v>
      </c>
      <c r="BB344" s="9">
        <f>IF($C344="&lt;01",ROUND(INDEX(EID!$T:$T,MATCH($B344,EID!$B:$B,0))/2,0),ROUND($AZ344*$BA344,0))</f>
        <v>0</v>
      </c>
      <c r="BC344" s="93">
        <f t="shared" si="145"/>
        <v>0</v>
      </c>
      <c r="BD344" s="90">
        <f t="shared" si="146"/>
        <v>0.95</v>
      </c>
      <c r="BE344" s="42">
        <f>IF($C344="&lt;01",ROUND(INDEX(EID!$V:$V,MATCH($B344,EID!$B:$B,0))/2,0),ROUND($BD344*$BB344,0))</f>
        <v>0</v>
      </c>
      <c r="BF344" s="42">
        <f t="shared" si="147"/>
        <v>0</v>
      </c>
      <c r="BG344" s="116">
        <f t="shared" si="148"/>
        <v>0.95</v>
      </c>
      <c r="BH344" s="9">
        <f>IF($C344="&lt;01",ROUND(INDEX(EID!$L:$L,MATCH($B344,EID!$B:$B,0)),0)/2,IF(SUM($BG344)=0,"",ROUND($AX344/$BG344,0)))</f>
        <v>0</v>
      </c>
    </row>
    <row r="345" spans="1:60" x14ac:dyDescent="0.2">
      <c r="A345" t="str">
        <f>INDEX(Prioritization!$D:$D,MATCH($B345,Prioritization!$A:$A,0))</f>
        <v>INVALID</v>
      </c>
      <c r="B345" t="s">
        <v>216</v>
      </c>
      <c r="C345" t="s">
        <v>365</v>
      </c>
      <c r="D345" t="s">
        <v>29</v>
      </c>
      <c r="E345" t="str">
        <f t="shared" si="126"/>
        <v>Mwanza District [wNqJp8oRIcF]|25-34|Female</v>
      </c>
      <c r="F345" s="14"/>
      <c r="G345" s="14"/>
      <c r="H345" s="14"/>
      <c r="I345" s="14"/>
      <c r="J345" s="14"/>
      <c r="K345" s="14"/>
      <c r="L345" s="14"/>
      <c r="M345" s="14"/>
      <c r="N345" s="14"/>
      <c r="O345" s="14" t="str">
        <f t="shared" si="127"/>
        <v/>
      </c>
      <c r="P345" s="14"/>
      <c r="Q345" s="14"/>
      <c r="R345" s="14" t="str">
        <f t="shared" si="128"/>
        <v/>
      </c>
      <c r="S345" s="14">
        <f>IF(LEFT($B345,4)="_Mil","",_xlfn.IFNA(ROUND(INDEX(Spectrum!$N:$N,MATCH(RIGHT($B345,13)&amp;"|"&amp;$C345&amp;"|"&amp;$D345&amp;"|"&amp;S$14&amp;"|"&amp;"CY2022Q4",Spectrum!$R:$R,0)),0),""))</f>
        <v>1614</v>
      </c>
      <c r="T345" s="42">
        <f>IF(LEFT($B345,4)="_Mil","",_xlfn.IFNA(ROUND(INDEX(Spectrum!$N:$N,MATCH(RIGHT($B345,13)&amp;"|"&amp;$C345&amp;"|"&amp;$D345&amp;"|"&amp;T$14&amp;"|"&amp;"CY2023Q3",Spectrum!$R:$R,0)),0),""))</f>
        <v>619</v>
      </c>
      <c r="U345" s="42" t="str">
        <f>IF(LEFT($B345,4)="_Mil","",_xlfn.IFNA(ROUND(INDEX(Spectrum!$N:$N,MATCH(RIGHT($B345,13)&amp;"|"&amp;$C345&amp;"|"&amp;$D345&amp;"|"&amp;U$14&amp;"|"&amp;"CY2023Q3",Spectrum!$R:$R,0)),0),""))</f>
        <v/>
      </c>
      <c r="V345" s="14">
        <f>IF(LEFT($B345,4)="_Mil","",_xlfn.IFNA(ROUND(INDEX(Spectrum!$N:$N,MATCH(RIGHT($B345,13)&amp;"|"&amp;$C345&amp;"|"&amp;$D345&amp;"|"&amp;V$14&amp;"|"&amp;"CY2023Q3",Spectrum!$R:$R,0)),0),""))</f>
        <v>1574</v>
      </c>
      <c r="W345" s="115">
        <f>IF(LEFT($B345,4)="_Mil","",_xlfn.IFNA(INDEX(Spectrum!$N:$N,MATCH(RIGHT($B345,13)&amp;"|"&amp;$C345&amp;"|"&amp;$D345&amp;"|"&amp;W$14&amp;"|"&amp;"CY2023Q3",Spectrum!$R:$R,0)),""))</f>
        <v>1468</v>
      </c>
      <c r="X345" s="42">
        <f>IF(LEFT($B345,4)="_Mil","",_xlfn.IFNA(ROUND(INDEX(Spectrum!$N:$N,MATCH(RIGHT($B345,13)&amp;"|"&amp;$C345&amp;"|"&amp;$D345&amp;"|"&amp;X$14&amp;"|"&amp;"CY2023Q3",Spectrum!$R:$R,0)),0),""))</f>
        <v>1022</v>
      </c>
      <c r="Y345" s="90" t="str">
        <f t="shared" si="129"/>
        <v/>
      </c>
      <c r="Z345" s="42">
        <f>IF(LEFT($B345,4)="_Mil","",_xlfn.IFNA(ROUND(INDEX(Spectrum!$N:$N,MATCH(RIGHT($B345,13)&amp;"|"&amp;$C345&amp;"|"&amp;$D345&amp;"|"&amp;Z$14&amp;"|"&amp;"CY2023Q3",Spectrum!$R:$R,0)),0),""))</f>
        <v>623</v>
      </c>
      <c r="AA345" s="90">
        <f>IF(LEFT($B345,4)="_Mil","",IFERROR(1/(1/INDEX(Spectrum!$N:$N,MATCH(RIGHT($B345,13)&amp;"|"&amp;$C345&amp;"|"&amp;$D345&amp;"|"&amp;AA$14&amp;"|"&amp;"CY2023Q3",Spectrum!$R:$R,0))),IF(SUM($U345)=0,"",SUM($Z345)/$U345)))</f>
        <v>935</v>
      </c>
      <c r="AB345" s="90">
        <f t="shared" si="130"/>
        <v>0.6095890410958904</v>
      </c>
      <c r="AC345" s="14">
        <f>IF(LEFT($B345,4)="_Mil","",_xlfn.IFNA(ROUND(INDEX(Spectrum!$N:$N,MATCH(RIGHT($B345,13)&amp;"|"&amp;$C345&amp;"|"&amp;$D345&amp;"|"&amp;AC$14&amp;"|"&amp;"CY2023Q3",Spectrum!$R:$R,0)),0),""))</f>
        <v>1676</v>
      </c>
      <c r="AD345" s="14" t="str">
        <f>IF(LEFT($B345,4)="_Mil","",_xlfn.IFNA(ROUND(INDEX(Spectrum!$N:$N,MATCH(RIGHT($B345,13)&amp;"|"&amp;$C345&amp;"|"&amp;$D345&amp;"|"&amp;AD$14&amp;"|"&amp;"CY2023Q3",Spectrum!$R:$R,0)),0),""))</f>
        <v/>
      </c>
      <c r="AE345" s="90">
        <f t="shared" si="131"/>
        <v>0</v>
      </c>
      <c r="AF345" s="42" t="str">
        <f>IF(LEFT($B345,4)="_Mil","",_xlfn.IFNA(ROUND(INDEX(Spectrum!$N:$N,MATCH(RIGHT($B345,13)&amp;"|"&amp;$C345&amp;"|"&amp;$D345&amp;"|"&amp;AF$14&amp;"|"&amp;"CY2023Q3",Spectrum!$R:$R,0)),0),""))</f>
        <v/>
      </c>
      <c r="AG345" s="90" t="str">
        <f t="shared" si="132"/>
        <v/>
      </c>
      <c r="AH345" s="88" t="str">
        <f>IF(LEFT($B345,4)="_Mil","",_xlfn.IFNA(INDEX(Spectrum!$N:$N,MATCH(RIGHT($B345,13)&amp;"|"&amp;$C345&amp;"|"&amp;$D345&amp;"|"&amp;AH$14&amp;"|"&amp;"CY2023Q3",Spectrum!$R:$R,0)),""))</f>
        <v/>
      </c>
      <c r="AI345" s="14" t="str">
        <f>IF(LEFT($B345,4)="_Mil","",_xlfn.IFNA(ROUND(INDEX(Spectrum!$N:$N,MATCH(RIGHT($B345,13)&amp;"|"&amp;$C345&amp;"|"&amp;$D345&amp;"|"&amp;AI$14&amp;"|"&amp;"CY2023Q3",Spectrum!$R:$R,0)),0),""))</f>
        <v/>
      </c>
      <c r="AJ345" s="42">
        <f>IF(LEFT($B345,4)="_Mil","",_xlfn.IFNA(ROUND(INDEX(Spectrum!$N:$N,MATCH(RIGHT($B345,13)&amp;"|"&amp;$C345&amp;"|"&amp;$D345&amp;"|"&amp;AI$14&amp;"|"&amp;"CY2023Q3",Spectrum!$R:$R,0)),0),SUM($U345)+SUM($AI345)))</f>
        <v>0</v>
      </c>
      <c r="AK345" s="14" t="str">
        <f>IF(LEFT($B345,4)="_Mil","",_xlfn.IFNA(ROUND(INDEX(Spectrum!$N:$N,MATCH(RIGHT($B345,13)&amp;"|"&amp;$C345&amp;"|"&amp;$D345&amp;"|"&amp;AK$14&amp;"|"&amp;"CY2023Q3",Spectrum!$R:$R,0)),0),""))</f>
        <v/>
      </c>
      <c r="AL345" s="90">
        <f t="shared" si="133"/>
        <v>935</v>
      </c>
      <c r="AM345" s="14">
        <f t="shared" si="134"/>
        <v>0</v>
      </c>
      <c r="AN345" s="14" t="str">
        <f>IF($C345="&lt;01",ROUND(INDEX(EID!$P:$P,MATCH($B345,EID!$B:$B,0))/2,0),"")</f>
        <v/>
      </c>
      <c r="AO345" s="14">
        <f t="shared" si="135"/>
        <v>0</v>
      </c>
      <c r="AP345" s="42">
        <f t="shared" si="136"/>
        <v>0</v>
      </c>
      <c r="AQ345" s="42">
        <f t="shared" si="137"/>
        <v>623</v>
      </c>
      <c r="AR345" s="90" t="str">
        <f t="shared" si="138"/>
        <v/>
      </c>
      <c r="AS345" s="90">
        <f t="shared" si="139"/>
        <v>0.98</v>
      </c>
      <c r="AT345" s="90">
        <f t="shared" si="139"/>
        <v>0.98</v>
      </c>
      <c r="AU345" s="14">
        <f t="shared" si="140"/>
        <v>0</v>
      </c>
      <c r="AV345" s="14">
        <f>IF($C345="&lt;01",ROUND(INDEX(EID!$N:$N,MATCH($B345,EID!$B:$B,0))/2,0),IF(SUM($AT345)=0,"",ROUND((SUM($AP345)-(SUM($O345)*SUM($AS345)))/$AT345,0)))</f>
        <v>0</v>
      </c>
      <c r="AW345" s="90">
        <f t="shared" si="141"/>
        <v>1</v>
      </c>
      <c r="AX345" s="42">
        <f t="shared" si="142"/>
        <v>0</v>
      </c>
      <c r="AY345" s="116">
        <f t="shared" si="143"/>
        <v>0.7</v>
      </c>
      <c r="AZ345" s="93">
        <f>IF($C345="&lt;01",ROUND(INDEX(EID!$R:$R,MATCH($B345,EID!$B:$B,0))/2,0),ROUND(SUM($O345)+(SUM($AV345)*$AY345),0))</f>
        <v>0</v>
      </c>
      <c r="BA345" s="89">
        <f t="shared" si="144"/>
        <v>0.95</v>
      </c>
      <c r="BB345" s="9">
        <f>IF($C345="&lt;01",ROUND(INDEX(EID!$T:$T,MATCH($B345,EID!$B:$B,0))/2,0),ROUND($AZ345*$BA345,0))</f>
        <v>0</v>
      </c>
      <c r="BC345" s="93">
        <f t="shared" si="145"/>
        <v>0</v>
      </c>
      <c r="BD345" s="90">
        <f t="shared" si="146"/>
        <v>0.95</v>
      </c>
      <c r="BE345" s="42">
        <f>IF($C345="&lt;01",ROUND(INDEX(EID!$V:$V,MATCH($B345,EID!$B:$B,0))/2,0),ROUND($BD345*$BB345,0))</f>
        <v>0</v>
      </c>
      <c r="BF345" s="42">
        <f t="shared" si="147"/>
        <v>0</v>
      </c>
      <c r="BG345" s="116">
        <f t="shared" si="148"/>
        <v>0.95</v>
      </c>
      <c r="BH345" s="9">
        <f>IF($C345="&lt;01",ROUND(INDEX(EID!$L:$L,MATCH($B345,EID!$B:$B,0)),0)/2,IF(SUM($BG345)=0,"",ROUND($AX345/$BG345,0)))</f>
        <v>0</v>
      </c>
    </row>
    <row r="346" spans="1:60" x14ac:dyDescent="0.2">
      <c r="A346" t="str">
        <f>INDEX(Prioritization!$D:$D,MATCH($B346,Prioritization!$A:$A,0))</f>
        <v>INVALID</v>
      </c>
      <c r="B346" t="s">
        <v>216</v>
      </c>
      <c r="C346" t="s">
        <v>365</v>
      </c>
      <c r="D346" t="s">
        <v>47</v>
      </c>
      <c r="E346" t="str">
        <f t="shared" si="126"/>
        <v>Mwanza District [wNqJp8oRIcF]|25-34|Male</v>
      </c>
      <c r="F346" s="14"/>
      <c r="G346" s="14"/>
      <c r="H346" s="14"/>
      <c r="I346" s="14"/>
      <c r="J346" s="14"/>
      <c r="K346" s="14"/>
      <c r="L346" s="14"/>
      <c r="M346" s="14"/>
      <c r="N346" s="14"/>
      <c r="O346" s="14" t="str">
        <f t="shared" si="127"/>
        <v/>
      </c>
      <c r="P346" s="14"/>
      <c r="Q346" s="14"/>
      <c r="R346" s="14" t="str">
        <f t="shared" si="128"/>
        <v/>
      </c>
      <c r="S346" s="14">
        <f>IF(LEFT($B346,4)="_Mil","",_xlfn.IFNA(ROUND(INDEX(Spectrum!$N:$N,MATCH(RIGHT($B346,13)&amp;"|"&amp;$C346&amp;"|"&amp;$D346&amp;"|"&amp;S$14&amp;"|"&amp;"CY2022Q4",Spectrum!$R:$R,0)),0),""))</f>
        <v>1102</v>
      </c>
      <c r="T346" s="42">
        <f>IF(LEFT($B346,4)="_Mil","",_xlfn.IFNA(ROUND(INDEX(Spectrum!$N:$N,MATCH(RIGHT($B346,13)&amp;"|"&amp;$C346&amp;"|"&amp;$D346&amp;"|"&amp;T$14&amp;"|"&amp;"CY2023Q3",Spectrum!$R:$R,0)),0),""))</f>
        <v>1510</v>
      </c>
      <c r="U346" s="42" t="str">
        <f>IF(LEFT($B346,4)="_Mil","",_xlfn.IFNA(ROUND(INDEX(Spectrum!$N:$N,MATCH(RIGHT($B346,13)&amp;"|"&amp;$C346&amp;"|"&amp;$D346&amp;"|"&amp;U$14&amp;"|"&amp;"CY2023Q3",Spectrum!$R:$R,0)),0),""))</f>
        <v/>
      </c>
      <c r="V346" s="14">
        <f>IF(LEFT($B346,4)="_Mil","",_xlfn.IFNA(ROUND(INDEX(Spectrum!$N:$N,MATCH(RIGHT($B346,13)&amp;"|"&amp;$C346&amp;"|"&amp;$D346&amp;"|"&amp;V$14&amp;"|"&amp;"CY2023Q3",Spectrum!$R:$R,0)),0),""))</f>
        <v>1043</v>
      </c>
      <c r="W346" s="115">
        <f>IF(LEFT($B346,4)="_Mil","",_xlfn.IFNA(INDEX(Spectrum!$N:$N,MATCH(RIGHT($B346,13)&amp;"|"&amp;$C346&amp;"|"&amp;$D346&amp;"|"&amp;W$14&amp;"|"&amp;"CY2023Q3",Spectrum!$R:$R,0)),""))</f>
        <v>1486</v>
      </c>
      <c r="X346" s="42">
        <f>IF(LEFT($B346,4)="_Mil","",_xlfn.IFNA(ROUND(INDEX(Spectrum!$N:$N,MATCH(RIGHT($B346,13)&amp;"|"&amp;$C346&amp;"|"&amp;$D346&amp;"|"&amp;X$14&amp;"|"&amp;"CY2023Q3",Spectrum!$R:$R,0)),0),""))</f>
        <v>788</v>
      </c>
      <c r="Y346" s="90" t="str">
        <f t="shared" si="129"/>
        <v/>
      </c>
      <c r="Z346" s="42">
        <f>IF(LEFT($B346,4)="_Mil","",_xlfn.IFNA(ROUND(INDEX(Spectrum!$N:$N,MATCH(RIGHT($B346,13)&amp;"|"&amp;$C346&amp;"|"&amp;$D346&amp;"|"&amp;Z$14&amp;"|"&amp;"CY2023Q3",Spectrum!$R:$R,0)),0),""))</f>
        <v>559</v>
      </c>
      <c r="AA346" s="90">
        <f>IF(LEFT($B346,4)="_Mil","",IFERROR(1/(1/INDEX(Spectrum!$N:$N,MATCH(RIGHT($B346,13)&amp;"|"&amp;$C346&amp;"|"&amp;$D346&amp;"|"&amp;AA$14&amp;"|"&amp;"CY2023Q3",Spectrum!$R:$R,0))),IF(SUM($U346)=0,"",SUM($Z346)/$U346)))</f>
        <v>635</v>
      </c>
      <c r="AB346" s="90">
        <f t="shared" si="130"/>
        <v>0.70939086294416243</v>
      </c>
      <c r="AC346" s="14">
        <f>IF(LEFT($B346,4)="_Mil","",_xlfn.IFNA(ROUND(INDEX(Spectrum!$N:$N,MATCH(RIGHT($B346,13)&amp;"|"&amp;$C346&amp;"|"&amp;$D346&amp;"|"&amp;AC$14&amp;"|"&amp;"CY2023Q3",Spectrum!$R:$R,0)),0),""))</f>
        <v>1880</v>
      </c>
      <c r="AD346" s="14" t="str">
        <f>IF(LEFT($B346,4)="_Mil","",_xlfn.IFNA(ROUND(INDEX(Spectrum!$N:$N,MATCH(RIGHT($B346,13)&amp;"|"&amp;$C346&amp;"|"&amp;$D346&amp;"|"&amp;AD$14&amp;"|"&amp;"CY2023Q3",Spectrum!$R:$R,0)),0),""))</f>
        <v/>
      </c>
      <c r="AE346" s="90">
        <f t="shared" si="131"/>
        <v>0</v>
      </c>
      <c r="AF346" s="42" t="str">
        <f>IF(LEFT($B346,4)="_Mil","",_xlfn.IFNA(ROUND(INDEX(Spectrum!$N:$N,MATCH(RIGHT($B346,13)&amp;"|"&amp;$C346&amp;"|"&amp;$D346&amp;"|"&amp;AF$14&amp;"|"&amp;"CY2023Q3",Spectrum!$R:$R,0)),0),""))</f>
        <v/>
      </c>
      <c r="AG346" s="90" t="str">
        <f t="shared" si="132"/>
        <v/>
      </c>
      <c r="AH346" s="88" t="str">
        <f>IF(LEFT($B346,4)="_Mil","",_xlfn.IFNA(INDEX(Spectrum!$N:$N,MATCH(RIGHT($B346,13)&amp;"|"&amp;$C346&amp;"|"&amp;$D346&amp;"|"&amp;AH$14&amp;"|"&amp;"CY2023Q3",Spectrum!$R:$R,0)),""))</f>
        <v/>
      </c>
      <c r="AI346" s="14" t="str">
        <f>IF(LEFT($B346,4)="_Mil","",_xlfn.IFNA(ROUND(INDEX(Spectrum!$N:$N,MATCH(RIGHT($B346,13)&amp;"|"&amp;$C346&amp;"|"&amp;$D346&amp;"|"&amp;AI$14&amp;"|"&amp;"CY2023Q3",Spectrum!$R:$R,0)),0),""))</f>
        <v/>
      </c>
      <c r="AJ346" s="42">
        <f>IF(LEFT($B346,4)="_Mil","",_xlfn.IFNA(ROUND(INDEX(Spectrum!$N:$N,MATCH(RIGHT($B346,13)&amp;"|"&amp;$C346&amp;"|"&amp;$D346&amp;"|"&amp;AI$14&amp;"|"&amp;"CY2023Q3",Spectrum!$R:$R,0)),0),SUM($U346)+SUM($AI346)))</f>
        <v>0</v>
      </c>
      <c r="AK346" s="14" t="str">
        <f>IF(LEFT($B346,4)="_Mil","",_xlfn.IFNA(ROUND(INDEX(Spectrum!$N:$N,MATCH(RIGHT($B346,13)&amp;"|"&amp;$C346&amp;"|"&amp;$D346&amp;"|"&amp;AK$14&amp;"|"&amp;"CY2023Q3",Spectrum!$R:$R,0)),0),""))</f>
        <v/>
      </c>
      <c r="AL346" s="90">
        <f t="shared" si="133"/>
        <v>635</v>
      </c>
      <c r="AM346" s="14">
        <f t="shared" si="134"/>
        <v>0</v>
      </c>
      <c r="AN346" s="14" t="str">
        <f>IF($C346="&lt;01",ROUND(INDEX(EID!$P:$P,MATCH($B346,EID!$B:$B,0))/2,0),"")</f>
        <v/>
      </c>
      <c r="AO346" s="14">
        <f t="shared" si="135"/>
        <v>0</v>
      </c>
      <c r="AP346" s="42">
        <f t="shared" si="136"/>
        <v>0</v>
      </c>
      <c r="AQ346" s="42">
        <f t="shared" si="137"/>
        <v>559</v>
      </c>
      <c r="AR346" s="90" t="str">
        <f t="shared" si="138"/>
        <v/>
      </c>
      <c r="AS346" s="90">
        <f t="shared" si="139"/>
        <v>0.98</v>
      </c>
      <c r="AT346" s="90">
        <f t="shared" si="139"/>
        <v>0.98</v>
      </c>
      <c r="AU346" s="14">
        <f t="shared" si="140"/>
        <v>0</v>
      </c>
      <c r="AV346" s="14">
        <f>IF($C346="&lt;01",ROUND(INDEX(EID!$N:$N,MATCH($B346,EID!$B:$B,0))/2,0),IF(SUM($AT346)=0,"",ROUND((SUM($AP346)-(SUM($O346)*SUM($AS346)))/$AT346,0)))</f>
        <v>0</v>
      </c>
      <c r="AW346" s="90">
        <f t="shared" si="141"/>
        <v>1</v>
      </c>
      <c r="AX346" s="42">
        <f t="shared" si="142"/>
        <v>0</v>
      </c>
      <c r="AY346" s="116">
        <f t="shared" si="143"/>
        <v>0.7</v>
      </c>
      <c r="AZ346" s="93">
        <f>IF($C346="&lt;01",ROUND(INDEX(EID!$R:$R,MATCH($B346,EID!$B:$B,0))/2,0),ROUND(SUM($O346)+(SUM($AV346)*$AY346),0))</f>
        <v>0</v>
      </c>
      <c r="BA346" s="89">
        <f t="shared" si="144"/>
        <v>0.95</v>
      </c>
      <c r="BB346" s="9">
        <f>IF($C346="&lt;01",ROUND(INDEX(EID!$T:$T,MATCH($B346,EID!$B:$B,0))/2,0),ROUND($AZ346*$BA346,0))</f>
        <v>0</v>
      </c>
      <c r="BC346" s="93">
        <f t="shared" si="145"/>
        <v>0</v>
      </c>
      <c r="BD346" s="90">
        <f t="shared" si="146"/>
        <v>0.95</v>
      </c>
      <c r="BE346" s="42">
        <f>IF($C346="&lt;01",ROUND(INDEX(EID!$V:$V,MATCH($B346,EID!$B:$B,0))/2,0),ROUND($BD346*$BB346,0))</f>
        <v>0</v>
      </c>
      <c r="BF346" s="42">
        <f t="shared" si="147"/>
        <v>0</v>
      </c>
      <c r="BG346" s="116">
        <f t="shared" si="148"/>
        <v>0.95</v>
      </c>
      <c r="BH346" s="9">
        <f>IF($C346="&lt;01",ROUND(INDEX(EID!$L:$L,MATCH($B346,EID!$B:$B,0)),0)/2,IF(SUM($BG346)=0,"",ROUND($AX346/$BG346,0)))</f>
        <v>0</v>
      </c>
    </row>
    <row r="347" spans="1:60" x14ac:dyDescent="0.2">
      <c r="A347" t="str">
        <f>INDEX(Prioritization!$D:$D,MATCH($B347,Prioritization!$A:$A,0))</f>
        <v>INVALID</v>
      </c>
      <c r="B347" t="s">
        <v>216</v>
      </c>
      <c r="C347" t="s">
        <v>366</v>
      </c>
      <c r="D347" t="s">
        <v>29</v>
      </c>
      <c r="E347" t="str">
        <f t="shared" si="126"/>
        <v>Mwanza District [wNqJp8oRIcF]|35-49|Female</v>
      </c>
      <c r="F347" s="14"/>
      <c r="G347" s="14"/>
      <c r="H347" s="14"/>
      <c r="I347" s="14"/>
      <c r="J347" s="14"/>
      <c r="K347" s="14"/>
      <c r="L347" s="14"/>
      <c r="M347" s="14"/>
      <c r="N347" s="14"/>
      <c r="O347" s="14" t="str">
        <f t="shared" si="127"/>
        <v/>
      </c>
      <c r="P347" s="14"/>
      <c r="Q347" s="14"/>
      <c r="R347" s="14" t="str">
        <f t="shared" si="128"/>
        <v/>
      </c>
      <c r="S347" s="14">
        <f>IF(LEFT($B347,4)="_Mil","",_xlfn.IFNA(ROUND(INDEX(Spectrum!$N:$N,MATCH(RIGHT($B347,13)&amp;"|"&amp;$C347&amp;"|"&amp;$D347&amp;"|"&amp;S$14&amp;"|"&amp;"CY2022Q4",Spectrum!$R:$R,0)),0),""))</f>
        <v>1372</v>
      </c>
      <c r="T347" s="42">
        <f>IF(LEFT($B347,4)="_Mil","",_xlfn.IFNA(ROUND(INDEX(Spectrum!$N:$N,MATCH(RIGHT($B347,13)&amp;"|"&amp;$C347&amp;"|"&amp;$D347&amp;"|"&amp;T$14&amp;"|"&amp;"CY2023Q3",Spectrum!$R:$R,0)),0),""))</f>
        <v>1684</v>
      </c>
      <c r="U347" s="42" t="str">
        <f>IF(LEFT($B347,4)="_Mil","",_xlfn.IFNA(ROUND(INDEX(Spectrum!$N:$N,MATCH(RIGHT($B347,13)&amp;"|"&amp;$C347&amp;"|"&amp;$D347&amp;"|"&amp;U$14&amp;"|"&amp;"CY2023Q3",Spectrum!$R:$R,0)),0),""))</f>
        <v/>
      </c>
      <c r="V347" s="14">
        <f>IF(LEFT($B347,4)="_Mil","",_xlfn.IFNA(ROUND(INDEX(Spectrum!$N:$N,MATCH(RIGHT($B347,13)&amp;"|"&amp;$C347&amp;"|"&amp;$D347&amp;"|"&amp;V$14&amp;"|"&amp;"CY2023Q3",Spectrum!$R:$R,0)),0),""))</f>
        <v>1238</v>
      </c>
      <c r="W347" s="115">
        <f>IF(LEFT($B347,4)="_Mil","",_xlfn.IFNA(INDEX(Spectrum!$N:$N,MATCH(RIGHT($B347,13)&amp;"|"&amp;$C347&amp;"|"&amp;$D347&amp;"|"&amp;W$14&amp;"|"&amp;"CY2023Q3",Spectrum!$R:$R,0)),""))</f>
        <v>1421</v>
      </c>
      <c r="X347" s="42">
        <f>IF(LEFT($B347,4)="_Mil","",_xlfn.IFNA(ROUND(INDEX(Spectrum!$N:$N,MATCH(RIGHT($B347,13)&amp;"|"&amp;$C347&amp;"|"&amp;$D347&amp;"|"&amp;X$14&amp;"|"&amp;"CY2023Q3",Spectrum!$R:$R,0)),0),""))</f>
        <v>1369</v>
      </c>
      <c r="Y347" s="90" t="str">
        <f t="shared" si="129"/>
        <v/>
      </c>
      <c r="Z347" s="42">
        <f>IF(LEFT($B347,4)="_Mil","",_xlfn.IFNA(ROUND(INDEX(Spectrum!$N:$N,MATCH(RIGHT($B347,13)&amp;"|"&amp;$C347&amp;"|"&amp;$D347&amp;"|"&amp;Z$14&amp;"|"&amp;"CY2023Q3",Spectrum!$R:$R,0)),0),""))</f>
        <v>1975</v>
      </c>
      <c r="AA347" s="90">
        <f>IF(LEFT($B347,4)="_Mil","",IFERROR(1/(1/INDEX(Spectrum!$N:$N,MATCH(RIGHT($B347,13)&amp;"|"&amp;$C347&amp;"|"&amp;$D347&amp;"|"&amp;AA$14&amp;"|"&amp;"CY2023Q3",Spectrum!$R:$R,0))),IF(SUM($U347)=0,"",SUM($Z347)/$U347)))</f>
        <v>1672</v>
      </c>
      <c r="AB347" s="90">
        <f t="shared" si="130"/>
        <v>1.4426588750913074</v>
      </c>
      <c r="AC347" s="14">
        <f>IF(LEFT($B347,4)="_Mil","",_xlfn.IFNA(ROUND(INDEX(Spectrum!$N:$N,MATCH(RIGHT($B347,13)&amp;"|"&amp;$C347&amp;"|"&amp;$D347&amp;"|"&amp;AC$14&amp;"|"&amp;"CY2023Q3",Spectrum!$R:$R,0)),0),""))</f>
        <v>1305</v>
      </c>
      <c r="AD347" s="14" t="str">
        <f>IF(LEFT($B347,4)="_Mil","",_xlfn.IFNA(ROUND(INDEX(Spectrum!$N:$N,MATCH(RIGHT($B347,13)&amp;"|"&amp;$C347&amp;"|"&amp;$D347&amp;"|"&amp;AD$14&amp;"|"&amp;"CY2023Q3",Spectrum!$R:$R,0)),0),""))</f>
        <v/>
      </c>
      <c r="AE347" s="90">
        <f t="shared" si="131"/>
        <v>0</v>
      </c>
      <c r="AF347" s="42" t="str">
        <f>IF(LEFT($B347,4)="_Mil","",_xlfn.IFNA(ROUND(INDEX(Spectrum!$N:$N,MATCH(RIGHT($B347,13)&amp;"|"&amp;$C347&amp;"|"&amp;$D347&amp;"|"&amp;AF$14&amp;"|"&amp;"CY2023Q3",Spectrum!$R:$R,0)),0),""))</f>
        <v/>
      </c>
      <c r="AG347" s="90" t="str">
        <f t="shared" si="132"/>
        <v/>
      </c>
      <c r="AH347" s="88" t="str">
        <f>IF(LEFT($B347,4)="_Mil","",_xlfn.IFNA(INDEX(Spectrum!$N:$N,MATCH(RIGHT($B347,13)&amp;"|"&amp;$C347&amp;"|"&amp;$D347&amp;"|"&amp;AH$14&amp;"|"&amp;"CY2023Q3",Spectrum!$R:$R,0)),""))</f>
        <v/>
      </c>
      <c r="AI347" s="14" t="str">
        <f>IF(LEFT($B347,4)="_Mil","",_xlfn.IFNA(ROUND(INDEX(Spectrum!$N:$N,MATCH(RIGHT($B347,13)&amp;"|"&amp;$C347&amp;"|"&amp;$D347&amp;"|"&amp;AI$14&amp;"|"&amp;"CY2023Q3",Spectrum!$R:$R,0)),0),""))</f>
        <v/>
      </c>
      <c r="AJ347" s="42">
        <f>IF(LEFT($B347,4)="_Mil","",_xlfn.IFNA(ROUND(INDEX(Spectrum!$N:$N,MATCH(RIGHT($B347,13)&amp;"|"&amp;$C347&amp;"|"&amp;$D347&amp;"|"&amp;AI$14&amp;"|"&amp;"CY2023Q3",Spectrum!$R:$R,0)),0),SUM($U347)+SUM($AI347)))</f>
        <v>0</v>
      </c>
      <c r="AK347" s="14" t="str">
        <f>IF(LEFT($B347,4)="_Mil","",_xlfn.IFNA(ROUND(INDEX(Spectrum!$N:$N,MATCH(RIGHT($B347,13)&amp;"|"&amp;$C347&amp;"|"&amp;$D347&amp;"|"&amp;AK$14&amp;"|"&amp;"CY2023Q3",Spectrum!$R:$R,0)),0),""))</f>
        <v/>
      </c>
      <c r="AL347" s="90">
        <f t="shared" si="133"/>
        <v>1672</v>
      </c>
      <c r="AM347" s="14">
        <f t="shared" si="134"/>
        <v>0</v>
      </c>
      <c r="AN347" s="14" t="str">
        <f>IF($C347="&lt;01",ROUND(INDEX(EID!$P:$P,MATCH($B347,EID!$B:$B,0))/2,0),"")</f>
        <v/>
      </c>
      <c r="AO347" s="14">
        <f t="shared" si="135"/>
        <v>0</v>
      </c>
      <c r="AP347" s="42">
        <f t="shared" si="136"/>
        <v>0</v>
      </c>
      <c r="AQ347" s="42">
        <f t="shared" si="137"/>
        <v>1975</v>
      </c>
      <c r="AR347" s="90" t="str">
        <f t="shared" si="138"/>
        <v/>
      </c>
      <c r="AS347" s="90">
        <f t="shared" si="139"/>
        <v>0.98</v>
      </c>
      <c r="AT347" s="90">
        <f t="shared" si="139"/>
        <v>0.98</v>
      </c>
      <c r="AU347" s="14">
        <f t="shared" si="140"/>
        <v>0</v>
      </c>
      <c r="AV347" s="14">
        <f>IF($C347="&lt;01",ROUND(INDEX(EID!$N:$N,MATCH($B347,EID!$B:$B,0))/2,0),IF(SUM($AT347)=0,"",ROUND((SUM($AP347)-(SUM($O347)*SUM($AS347)))/$AT347,0)))</f>
        <v>0</v>
      </c>
      <c r="AW347" s="90">
        <f t="shared" si="141"/>
        <v>1</v>
      </c>
      <c r="AX347" s="42">
        <f t="shared" si="142"/>
        <v>0</v>
      </c>
      <c r="AY347" s="116">
        <f t="shared" si="143"/>
        <v>0.7</v>
      </c>
      <c r="AZ347" s="93">
        <f>IF($C347="&lt;01",ROUND(INDEX(EID!$R:$R,MATCH($B347,EID!$B:$B,0))/2,0),ROUND(SUM($O347)+(SUM($AV347)*$AY347),0))</f>
        <v>0</v>
      </c>
      <c r="BA347" s="89">
        <f t="shared" si="144"/>
        <v>0.95</v>
      </c>
      <c r="BB347" s="9">
        <f>IF($C347="&lt;01",ROUND(INDEX(EID!$T:$T,MATCH($B347,EID!$B:$B,0))/2,0),ROUND($AZ347*$BA347,0))</f>
        <v>0</v>
      </c>
      <c r="BC347" s="93">
        <f t="shared" si="145"/>
        <v>0</v>
      </c>
      <c r="BD347" s="90">
        <f t="shared" si="146"/>
        <v>0.95</v>
      </c>
      <c r="BE347" s="42">
        <f>IF($C347="&lt;01",ROUND(INDEX(EID!$V:$V,MATCH($B347,EID!$B:$B,0))/2,0),ROUND($BD347*$BB347,0))</f>
        <v>0</v>
      </c>
      <c r="BF347" s="42">
        <f t="shared" si="147"/>
        <v>0</v>
      </c>
      <c r="BG347" s="116">
        <f t="shared" si="148"/>
        <v>0.95</v>
      </c>
      <c r="BH347" s="9">
        <f>IF($C347="&lt;01",ROUND(INDEX(EID!$L:$L,MATCH($B347,EID!$B:$B,0)),0)/2,IF(SUM($BG347)=0,"",ROUND($AX347/$BG347,0)))</f>
        <v>0</v>
      </c>
    </row>
    <row r="348" spans="1:60" x14ac:dyDescent="0.2">
      <c r="A348" t="str">
        <f>INDEX(Prioritization!$D:$D,MATCH($B348,Prioritization!$A:$A,0))</f>
        <v>INVALID</v>
      </c>
      <c r="B348" t="s">
        <v>216</v>
      </c>
      <c r="C348" t="s">
        <v>366</v>
      </c>
      <c r="D348" t="s">
        <v>47</v>
      </c>
      <c r="E348" t="str">
        <f t="shared" si="126"/>
        <v>Mwanza District [wNqJp8oRIcF]|35-49|Male</v>
      </c>
      <c r="F348" s="14"/>
      <c r="G348" s="14"/>
      <c r="H348" s="14"/>
      <c r="I348" s="14"/>
      <c r="J348" s="14"/>
      <c r="K348" s="14"/>
      <c r="L348" s="14"/>
      <c r="M348" s="14"/>
      <c r="N348" s="14"/>
      <c r="O348" s="14" t="str">
        <f t="shared" si="127"/>
        <v/>
      </c>
      <c r="P348" s="14"/>
      <c r="Q348" s="14"/>
      <c r="R348" s="14" t="str">
        <f t="shared" si="128"/>
        <v/>
      </c>
      <c r="S348" s="14">
        <f>IF(LEFT($B348,4)="_Mil","",_xlfn.IFNA(ROUND(INDEX(Spectrum!$N:$N,MATCH(RIGHT($B348,13)&amp;"|"&amp;$C348&amp;"|"&amp;$D348&amp;"|"&amp;S$14&amp;"|"&amp;"CY2022Q4",Spectrum!$R:$R,0)),0),""))</f>
        <v>702</v>
      </c>
      <c r="T348" s="42">
        <f>IF(LEFT($B348,4)="_Mil","",_xlfn.IFNA(ROUND(INDEX(Spectrum!$N:$N,MATCH(RIGHT($B348,13)&amp;"|"&amp;$C348&amp;"|"&amp;$D348&amp;"|"&amp;T$14&amp;"|"&amp;"CY2023Q3",Spectrum!$R:$R,0)),0),""))</f>
        <v>1641</v>
      </c>
      <c r="U348" s="42" t="str">
        <f>IF(LEFT($B348,4)="_Mil","",_xlfn.IFNA(ROUND(INDEX(Spectrum!$N:$N,MATCH(RIGHT($B348,13)&amp;"|"&amp;$C348&amp;"|"&amp;$D348&amp;"|"&amp;U$14&amp;"|"&amp;"CY2023Q3",Spectrum!$R:$R,0)),0),""))</f>
        <v/>
      </c>
      <c r="V348" s="14">
        <f>IF(LEFT($B348,4)="_Mil","",_xlfn.IFNA(ROUND(INDEX(Spectrum!$N:$N,MATCH(RIGHT($B348,13)&amp;"|"&amp;$C348&amp;"|"&amp;$D348&amp;"|"&amp;V$14&amp;"|"&amp;"CY2023Q3",Spectrum!$R:$R,0)),0),""))</f>
        <v>1458</v>
      </c>
      <c r="W348" s="115">
        <f>IF(LEFT($B348,4)="_Mil","",_xlfn.IFNA(INDEX(Spectrum!$N:$N,MATCH(RIGHT($B348,13)&amp;"|"&amp;$C348&amp;"|"&amp;$D348&amp;"|"&amp;W$14&amp;"|"&amp;"CY2023Q3",Spectrum!$R:$R,0)),""))</f>
        <v>1592</v>
      </c>
      <c r="X348" s="42">
        <f>IF(LEFT($B348,4)="_Mil","",_xlfn.IFNA(ROUND(INDEX(Spectrum!$N:$N,MATCH(RIGHT($B348,13)&amp;"|"&amp;$C348&amp;"|"&amp;$D348&amp;"|"&amp;X$14&amp;"|"&amp;"CY2023Q3",Spectrum!$R:$R,0)),0),""))</f>
        <v>1875</v>
      </c>
      <c r="Y348" s="90" t="str">
        <f t="shared" si="129"/>
        <v/>
      </c>
      <c r="Z348" s="42">
        <f>IF(LEFT($B348,4)="_Mil","",_xlfn.IFNA(ROUND(INDEX(Spectrum!$N:$N,MATCH(RIGHT($B348,13)&amp;"|"&amp;$C348&amp;"|"&amp;$D348&amp;"|"&amp;Z$14&amp;"|"&amp;"CY2023Q3",Spectrum!$R:$R,0)),0),""))</f>
        <v>1322</v>
      </c>
      <c r="AA348" s="90">
        <f>IF(LEFT($B348,4)="_Mil","",IFERROR(1/(1/INDEX(Spectrum!$N:$N,MATCH(RIGHT($B348,13)&amp;"|"&amp;$C348&amp;"|"&amp;$D348&amp;"|"&amp;AA$14&amp;"|"&amp;"CY2023Q3",Spectrum!$R:$R,0))),IF(SUM($U348)=0,"",SUM($Z348)/$U348)))</f>
        <v>1010</v>
      </c>
      <c r="AB348" s="90">
        <f t="shared" si="130"/>
        <v>0.70506666666666662</v>
      </c>
      <c r="AC348" s="14">
        <f>IF(LEFT($B348,4)="_Mil","",_xlfn.IFNA(ROUND(INDEX(Spectrum!$N:$N,MATCH(RIGHT($B348,13)&amp;"|"&amp;$C348&amp;"|"&amp;$D348&amp;"|"&amp;AC$14&amp;"|"&amp;"CY2023Q3",Spectrum!$R:$R,0)),0),""))</f>
        <v>1255</v>
      </c>
      <c r="AD348" s="14" t="str">
        <f>IF(LEFT($B348,4)="_Mil","",_xlfn.IFNA(ROUND(INDEX(Spectrum!$N:$N,MATCH(RIGHT($B348,13)&amp;"|"&amp;$C348&amp;"|"&amp;$D348&amp;"|"&amp;AD$14&amp;"|"&amp;"CY2023Q3",Spectrum!$R:$R,0)),0),""))</f>
        <v/>
      </c>
      <c r="AE348" s="90">
        <f t="shared" si="131"/>
        <v>0</v>
      </c>
      <c r="AF348" s="42" t="str">
        <f>IF(LEFT($B348,4)="_Mil","",_xlfn.IFNA(ROUND(INDEX(Spectrum!$N:$N,MATCH(RIGHT($B348,13)&amp;"|"&amp;$C348&amp;"|"&amp;$D348&amp;"|"&amp;AF$14&amp;"|"&amp;"CY2023Q3",Spectrum!$R:$R,0)),0),""))</f>
        <v/>
      </c>
      <c r="AG348" s="90" t="str">
        <f t="shared" si="132"/>
        <v/>
      </c>
      <c r="AH348" s="88" t="str">
        <f>IF(LEFT($B348,4)="_Mil","",_xlfn.IFNA(INDEX(Spectrum!$N:$N,MATCH(RIGHT($B348,13)&amp;"|"&amp;$C348&amp;"|"&amp;$D348&amp;"|"&amp;AH$14&amp;"|"&amp;"CY2023Q3",Spectrum!$R:$R,0)),""))</f>
        <v/>
      </c>
      <c r="AI348" s="14" t="str">
        <f>IF(LEFT($B348,4)="_Mil","",_xlfn.IFNA(ROUND(INDEX(Spectrum!$N:$N,MATCH(RIGHT($B348,13)&amp;"|"&amp;$C348&amp;"|"&amp;$D348&amp;"|"&amp;AI$14&amp;"|"&amp;"CY2023Q3",Spectrum!$R:$R,0)),0),""))</f>
        <v/>
      </c>
      <c r="AJ348" s="42">
        <f>IF(LEFT($B348,4)="_Mil","",_xlfn.IFNA(ROUND(INDEX(Spectrum!$N:$N,MATCH(RIGHT($B348,13)&amp;"|"&amp;$C348&amp;"|"&amp;$D348&amp;"|"&amp;AI$14&amp;"|"&amp;"CY2023Q3",Spectrum!$R:$R,0)),0),SUM($U348)+SUM($AI348)))</f>
        <v>0</v>
      </c>
      <c r="AK348" s="14" t="str">
        <f>IF(LEFT($B348,4)="_Mil","",_xlfn.IFNA(ROUND(INDEX(Spectrum!$N:$N,MATCH(RIGHT($B348,13)&amp;"|"&amp;$C348&amp;"|"&amp;$D348&amp;"|"&amp;AK$14&amp;"|"&amp;"CY2023Q3",Spectrum!$R:$R,0)),0),""))</f>
        <v/>
      </c>
      <c r="AL348" s="90">
        <f t="shared" si="133"/>
        <v>1010</v>
      </c>
      <c r="AM348" s="14">
        <f t="shared" si="134"/>
        <v>0</v>
      </c>
      <c r="AN348" s="14" t="str">
        <f>IF($C348="&lt;01",ROUND(INDEX(EID!$P:$P,MATCH($B348,EID!$B:$B,0))/2,0),"")</f>
        <v/>
      </c>
      <c r="AO348" s="14">
        <f t="shared" si="135"/>
        <v>0</v>
      </c>
      <c r="AP348" s="42">
        <f t="shared" si="136"/>
        <v>0</v>
      </c>
      <c r="AQ348" s="42">
        <f t="shared" si="137"/>
        <v>1322</v>
      </c>
      <c r="AR348" s="90" t="str">
        <f t="shared" si="138"/>
        <v/>
      </c>
      <c r="AS348" s="90">
        <f t="shared" si="139"/>
        <v>0.98</v>
      </c>
      <c r="AT348" s="90">
        <f t="shared" si="139"/>
        <v>0.98</v>
      </c>
      <c r="AU348" s="14">
        <f t="shared" si="140"/>
        <v>0</v>
      </c>
      <c r="AV348" s="14">
        <f>IF($C348="&lt;01",ROUND(INDEX(EID!$N:$N,MATCH($B348,EID!$B:$B,0))/2,0),IF(SUM($AT348)=0,"",ROUND((SUM($AP348)-(SUM($O348)*SUM($AS348)))/$AT348,0)))</f>
        <v>0</v>
      </c>
      <c r="AW348" s="90">
        <f t="shared" si="141"/>
        <v>1</v>
      </c>
      <c r="AX348" s="42">
        <f t="shared" si="142"/>
        <v>0</v>
      </c>
      <c r="AY348" s="116">
        <f t="shared" si="143"/>
        <v>0.7</v>
      </c>
      <c r="AZ348" s="93">
        <f>IF($C348="&lt;01",ROUND(INDEX(EID!$R:$R,MATCH($B348,EID!$B:$B,0))/2,0),ROUND(SUM($O348)+(SUM($AV348)*$AY348),0))</f>
        <v>0</v>
      </c>
      <c r="BA348" s="89">
        <f t="shared" si="144"/>
        <v>0.95</v>
      </c>
      <c r="BB348" s="9">
        <f>IF($C348="&lt;01",ROUND(INDEX(EID!$T:$T,MATCH($B348,EID!$B:$B,0))/2,0),ROUND($AZ348*$BA348,0))</f>
        <v>0</v>
      </c>
      <c r="BC348" s="93">
        <f t="shared" si="145"/>
        <v>0</v>
      </c>
      <c r="BD348" s="90">
        <f t="shared" si="146"/>
        <v>0.95</v>
      </c>
      <c r="BE348" s="42">
        <f>IF($C348="&lt;01",ROUND(INDEX(EID!$V:$V,MATCH($B348,EID!$B:$B,0))/2,0),ROUND($BD348*$BB348,0))</f>
        <v>0</v>
      </c>
      <c r="BF348" s="42">
        <f t="shared" si="147"/>
        <v>0</v>
      </c>
      <c r="BG348" s="116">
        <f t="shared" si="148"/>
        <v>0.95</v>
      </c>
      <c r="BH348" s="9">
        <f>IF($C348="&lt;01",ROUND(INDEX(EID!$L:$L,MATCH($B348,EID!$B:$B,0)),0)/2,IF(SUM($BG348)=0,"",ROUND($AX348/$BG348,0)))</f>
        <v>0</v>
      </c>
    </row>
    <row r="349" spans="1:60" x14ac:dyDescent="0.2">
      <c r="A349" t="str">
        <f>INDEX(Prioritization!$D:$D,MATCH($B349,Prioritization!$A:$A,0))</f>
        <v>INVALID</v>
      </c>
      <c r="B349" t="s">
        <v>216</v>
      </c>
      <c r="C349" t="s">
        <v>367</v>
      </c>
      <c r="D349" t="s">
        <v>29</v>
      </c>
      <c r="E349" t="str">
        <f t="shared" si="126"/>
        <v>Mwanza District [wNqJp8oRIcF]|50+|Female</v>
      </c>
      <c r="F349" s="14"/>
      <c r="G349" s="14"/>
      <c r="H349" s="14"/>
      <c r="I349" s="14"/>
      <c r="J349" s="14"/>
      <c r="K349" s="14"/>
      <c r="L349" s="14"/>
      <c r="M349" s="14"/>
      <c r="N349" s="14"/>
      <c r="O349" s="14" t="str">
        <f t="shared" si="127"/>
        <v/>
      </c>
      <c r="P349" s="14"/>
      <c r="Q349" s="14"/>
      <c r="R349" s="14" t="str">
        <f t="shared" si="128"/>
        <v/>
      </c>
      <c r="S349" s="14">
        <f>IF(LEFT($B349,4)="_Mil","",_xlfn.IFNA(ROUND(INDEX(Spectrum!$N:$N,MATCH(RIGHT($B349,13)&amp;"|"&amp;$C349&amp;"|"&amp;$D349&amp;"|"&amp;S$14&amp;"|"&amp;"CY2022Q4",Spectrum!$R:$R,0)),0),""))</f>
        <v>1245</v>
      </c>
      <c r="T349" s="42">
        <f>IF(LEFT($B349,4)="_Mil","",_xlfn.IFNA(ROUND(INDEX(Spectrum!$N:$N,MATCH(RIGHT($B349,13)&amp;"|"&amp;$C349&amp;"|"&amp;$D349&amp;"|"&amp;T$14&amp;"|"&amp;"CY2023Q3",Spectrum!$R:$R,0)),0),""))</f>
        <v>662</v>
      </c>
      <c r="U349" s="42" t="str">
        <f>IF(LEFT($B349,4)="_Mil","",_xlfn.IFNA(ROUND(INDEX(Spectrum!$N:$N,MATCH(RIGHT($B349,13)&amp;"|"&amp;$C349&amp;"|"&amp;$D349&amp;"|"&amp;U$14&amp;"|"&amp;"CY2023Q3",Spectrum!$R:$R,0)),0),""))</f>
        <v/>
      </c>
      <c r="V349" s="14">
        <f>IF(LEFT($B349,4)="_Mil","",_xlfn.IFNA(ROUND(INDEX(Spectrum!$N:$N,MATCH(RIGHT($B349,13)&amp;"|"&amp;$C349&amp;"|"&amp;$D349&amp;"|"&amp;V$14&amp;"|"&amp;"CY2023Q3",Spectrum!$R:$R,0)),0),""))</f>
        <v>1999</v>
      </c>
      <c r="W349" s="115">
        <f>IF(LEFT($B349,4)="_Mil","",_xlfn.IFNA(INDEX(Spectrum!$N:$N,MATCH(RIGHT($B349,13)&amp;"|"&amp;$C349&amp;"|"&amp;$D349&amp;"|"&amp;W$14&amp;"|"&amp;"CY2023Q3",Spectrum!$R:$R,0)),""))</f>
        <v>1975</v>
      </c>
      <c r="X349" s="42">
        <f>IF(LEFT($B349,4)="_Mil","",_xlfn.IFNA(ROUND(INDEX(Spectrum!$N:$N,MATCH(RIGHT($B349,13)&amp;"|"&amp;$C349&amp;"|"&amp;$D349&amp;"|"&amp;X$14&amp;"|"&amp;"CY2023Q3",Spectrum!$R:$R,0)),0),""))</f>
        <v>1646</v>
      </c>
      <c r="Y349" s="90" t="str">
        <f t="shared" si="129"/>
        <v/>
      </c>
      <c r="Z349" s="42">
        <f>IF(LEFT($B349,4)="_Mil","",_xlfn.IFNA(ROUND(INDEX(Spectrum!$N:$N,MATCH(RIGHT($B349,13)&amp;"|"&amp;$C349&amp;"|"&amp;$D349&amp;"|"&amp;Z$14&amp;"|"&amp;"CY2023Q3",Spectrum!$R:$R,0)),0),""))</f>
        <v>1948</v>
      </c>
      <c r="AA349" s="90">
        <f>IF(LEFT($B349,4)="_Mil","",IFERROR(1/(1/INDEX(Spectrum!$N:$N,MATCH(RIGHT($B349,13)&amp;"|"&amp;$C349&amp;"|"&amp;$D349&amp;"|"&amp;AA$14&amp;"|"&amp;"CY2023Q3",Spectrum!$R:$R,0))),IF(SUM($U349)=0,"",SUM($Z349)/$U349)))</f>
        <v>1191</v>
      </c>
      <c r="AB349" s="90">
        <f t="shared" si="130"/>
        <v>1.1834750911300123</v>
      </c>
      <c r="AC349" s="14">
        <f>IF(LEFT($B349,4)="_Mil","",_xlfn.IFNA(ROUND(INDEX(Spectrum!$N:$N,MATCH(RIGHT($B349,13)&amp;"|"&amp;$C349&amp;"|"&amp;$D349&amp;"|"&amp;AC$14&amp;"|"&amp;"CY2023Q3",Spectrum!$R:$R,0)),0),""))</f>
        <v>776</v>
      </c>
      <c r="AD349" s="14" t="str">
        <f>IF(LEFT($B349,4)="_Mil","",_xlfn.IFNA(ROUND(INDEX(Spectrum!$N:$N,MATCH(RIGHT($B349,13)&amp;"|"&amp;$C349&amp;"|"&amp;$D349&amp;"|"&amp;AD$14&amp;"|"&amp;"CY2023Q3",Spectrum!$R:$R,0)),0),""))</f>
        <v/>
      </c>
      <c r="AE349" s="90">
        <f t="shared" si="131"/>
        <v>0</v>
      </c>
      <c r="AF349" s="42" t="str">
        <f>IF(LEFT($B349,4)="_Mil","",_xlfn.IFNA(ROUND(INDEX(Spectrum!$N:$N,MATCH(RIGHT($B349,13)&amp;"|"&amp;$C349&amp;"|"&amp;$D349&amp;"|"&amp;AF$14&amp;"|"&amp;"CY2023Q3",Spectrum!$R:$R,0)),0),""))</f>
        <v/>
      </c>
      <c r="AG349" s="90" t="str">
        <f t="shared" si="132"/>
        <v/>
      </c>
      <c r="AH349" s="88" t="str">
        <f>IF(LEFT($B349,4)="_Mil","",_xlfn.IFNA(INDEX(Spectrum!$N:$N,MATCH(RIGHT($B349,13)&amp;"|"&amp;$C349&amp;"|"&amp;$D349&amp;"|"&amp;AH$14&amp;"|"&amp;"CY2023Q3",Spectrum!$R:$R,0)),""))</f>
        <v/>
      </c>
      <c r="AI349" s="14" t="str">
        <f>IF(LEFT($B349,4)="_Mil","",_xlfn.IFNA(ROUND(INDEX(Spectrum!$N:$N,MATCH(RIGHT($B349,13)&amp;"|"&amp;$C349&amp;"|"&amp;$D349&amp;"|"&amp;AI$14&amp;"|"&amp;"CY2023Q3",Spectrum!$R:$R,0)),0),""))</f>
        <v/>
      </c>
      <c r="AJ349" s="42">
        <f>IF(LEFT($B349,4)="_Mil","",_xlfn.IFNA(ROUND(INDEX(Spectrum!$N:$N,MATCH(RIGHT($B349,13)&amp;"|"&amp;$C349&amp;"|"&amp;$D349&amp;"|"&amp;AI$14&amp;"|"&amp;"CY2023Q3",Spectrum!$R:$R,0)),0),SUM($U349)+SUM($AI349)))</f>
        <v>0</v>
      </c>
      <c r="AK349" s="14" t="str">
        <f>IF(LEFT($B349,4)="_Mil","",_xlfn.IFNA(ROUND(INDEX(Spectrum!$N:$N,MATCH(RIGHT($B349,13)&amp;"|"&amp;$C349&amp;"|"&amp;$D349&amp;"|"&amp;AK$14&amp;"|"&amp;"CY2023Q3",Spectrum!$R:$R,0)),0),""))</f>
        <v/>
      </c>
      <c r="AL349" s="90">
        <f t="shared" si="133"/>
        <v>1191</v>
      </c>
      <c r="AM349" s="14">
        <f t="shared" si="134"/>
        <v>0</v>
      </c>
      <c r="AN349" s="14" t="str">
        <f>IF($C349="&lt;01",ROUND(INDEX(EID!$P:$P,MATCH($B349,EID!$B:$B,0))/2,0),"")</f>
        <v/>
      </c>
      <c r="AO349" s="14">
        <f t="shared" si="135"/>
        <v>0</v>
      </c>
      <c r="AP349" s="42">
        <f t="shared" si="136"/>
        <v>0</v>
      </c>
      <c r="AQ349" s="42">
        <f t="shared" si="137"/>
        <v>1948</v>
      </c>
      <c r="AR349" s="90" t="str">
        <f t="shared" si="138"/>
        <v/>
      </c>
      <c r="AS349" s="90">
        <f t="shared" si="139"/>
        <v>0.98</v>
      </c>
      <c r="AT349" s="90">
        <f t="shared" si="139"/>
        <v>0.98</v>
      </c>
      <c r="AU349" s="14">
        <f t="shared" si="140"/>
        <v>0</v>
      </c>
      <c r="AV349" s="14">
        <f>IF($C349="&lt;01",ROUND(INDEX(EID!$N:$N,MATCH($B349,EID!$B:$B,0))/2,0),IF(SUM($AT349)=0,"",ROUND((SUM($AP349)-(SUM($O349)*SUM($AS349)))/$AT349,0)))</f>
        <v>0</v>
      </c>
      <c r="AW349" s="90">
        <f t="shared" si="141"/>
        <v>1</v>
      </c>
      <c r="AX349" s="42">
        <f t="shared" si="142"/>
        <v>0</v>
      </c>
      <c r="AY349" s="116">
        <f t="shared" si="143"/>
        <v>0.7</v>
      </c>
      <c r="AZ349" s="93">
        <f>IF($C349="&lt;01",ROUND(INDEX(EID!$R:$R,MATCH($B349,EID!$B:$B,0))/2,0),ROUND(SUM($O349)+(SUM($AV349)*$AY349),0))</f>
        <v>0</v>
      </c>
      <c r="BA349" s="89">
        <f t="shared" si="144"/>
        <v>0.95</v>
      </c>
      <c r="BB349" s="9">
        <f>IF($C349="&lt;01",ROUND(INDEX(EID!$T:$T,MATCH($B349,EID!$B:$B,0))/2,0),ROUND($AZ349*$BA349,0))</f>
        <v>0</v>
      </c>
      <c r="BC349" s="93">
        <f t="shared" si="145"/>
        <v>0</v>
      </c>
      <c r="BD349" s="90">
        <f t="shared" si="146"/>
        <v>0.95</v>
      </c>
      <c r="BE349" s="42">
        <f>IF($C349="&lt;01",ROUND(INDEX(EID!$V:$V,MATCH($B349,EID!$B:$B,0))/2,0),ROUND($BD349*$BB349,0))</f>
        <v>0</v>
      </c>
      <c r="BF349" s="42">
        <f t="shared" si="147"/>
        <v>0</v>
      </c>
      <c r="BG349" s="116">
        <f t="shared" si="148"/>
        <v>0.95</v>
      </c>
      <c r="BH349" s="9">
        <f>IF($C349="&lt;01",ROUND(INDEX(EID!$L:$L,MATCH($B349,EID!$B:$B,0)),0)/2,IF(SUM($BG349)=0,"",ROUND($AX349/$BG349,0)))</f>
        <v>0</v>
      </c>
    </row>
    <row r="350" spans="1:60" x14ac:dyDescent="0.2">
      <c r="A350" t="str">
        <f>INDEX(Prioritization!$D:$D,MATCH($B350,Prioritization!$A:$A,0))</f>
        <v>INVALID</v>
      </c>
      <c r="B350" t="s">
        <v>216</v>
      </c>
      <c r="C350" t="s">
        <v>367</v>
      </c>
      <c r="D350" t="s">
        <v>47</v>
      </c>
      <c r="E350" t="str">
        <f t="shared" si="126"/>
        <v>Mwanza District [wNqJp8oRIcF]|50+|Male</v>
      </c>
      <c r="F350" s="14"/>
      <c r="G350" s="14"/>
      <c r="H350" s="14"/>
      <c r="I350" s="14"/>
      <c r="J350" s="14"/>
      <c r="K350" s="14"/>
      <c r="L350" s="14"/>
      <c r="M350" s="14"/>
      <c r="N350" s="14"/>
      <c r="O350" s="14" t="str">
        <f t="shared" si="127"/>
        <v/>
      </c>
      <c r="P350" s="14"/>
      <c r="Q350" s="14"/>
      <c r="R350" s="14" t="str">
        <f t="shared" si="128"/>
        <v/>
      </c>
      <c r="S350" s="14">
        <f>IF(LEFT($B350,4)="_Mil","",_xlfn.IFNA(ROUND(INDEX(Spectrum!$N:$N,MATCH(RIGHT($B350,13)&amp;"|"&amp;$C350&amp;"|"&amp;$D350&amp;"|"&amp;S$14&amp;"|"&amp;"CY2022Q4",Spectrum!$R:$R,0)),0),""))</f>
        <v>1854</v>
      </c>
      <c r="T350" s="42">
        <f>IF(LEFT($B350,4)="_Mil","",_xlfn.IFNA(ROUND(INDEX(Spectrum!$N:$N,MATCH(RIGHT($B350,13)&amp;"|"&amp;$C350&amp;"|"&amp;$D350&amp;"|"&amp;T$14&amp;"|"&amp;"CY2023Q3",Spectrum!$R:$R,0)),0),""))</f>
        <v>1807</v>
      </c>
      <c r="U350" s="42" t="str">
        <f>IF(LEFT($B350,4)="_Mil","",_xlfn.IFNA(ROUND(INDEX(Spectrum!$N:$N,MATCH(RIGHT($B350,13)&amp;"|"&amp;$C350&amp;"|"&amp;$D350&amp;"|"&amp;U$14&amp;"|"&amp;"CY2023Q3",Spectrum!$R:$R,0)),0),""))</f>
        <v/>
      </c>
      <c r="V350" s="14">
        <f>IF(LEFT($B350,4)="_Mil","",_xlfn.IFNA(ROUND(INDEX(Spectrum!$N:$N,MATCH(RIGHT($B350,13)&amp;"|"&amp;$C350&amp;"|"&amp;$D350&amp;"|"&amp;V$14&amp;"|"&amp;"CY2023Q3",Spectrum!$R:$R,0)),0),""))</f>
        <v>1831</v>
      </c>
      <c r="W350" s="115">
        <f>IF(LEFT($B350,4)="_Mil","",_xlfn.IFNA(INDEX(Spectrum!$N:$N,MATCH(RIGHT($B350,13)&amp;"|"&amp;$C350&amp;"|"&amp;$D350&amp;"|"&amp;W$14&amp;"|"&amp;"CY2023Q3",Spectrum!$R:$R,0)),""))</f>
        <v>1230</v>
      </c>
      <c r="X350" s="42">
        <f>IF(LEFT($B350,4)="_Mil","",_xlfn.IFNA(ROUND(INDEX(Spectrum!$N:$N,MATCH(RIGHT($B350,13)&amp;"|"&amp;$C350&amp;"|"&amp;$D350&amp;"|"&amp;X$14&amp;"|"&amp;"CY2023Q3",Spectrum!$R:$R,0)),0),""))</f>
        <v>761</v>
      </c>
      <c r="Y350" s="90" t="str">
        <f t="shared" si="129"/>
        <v/>
      </c>
      <c r="Z350" s="42">
        <f>IF(LEFT($B350,4)="_Mil","",_xlfn.IFNA(ROUND(INDEX(Spectrum!$N:$N,MATCH(RIGHT($B350,13)&amp;"|"&amp;$C350&amp;"|"&amp;$D350&amp;"|"&amp;Z$14&amp;"|"&amp;"CY2023Q3",Spectrum!$R:$R,0)),0),""))</f>
        <v>1914</v>
      </c>
      <c r="AA350" s="90">
        <f>IF(LEFT($B350,4)="_Mil","",IFERROR(1/(1/INDEX(Spectrum!$N:$N,MATCH(RIGHT($B350,13)&amp;"|"&amp;$C350&amp;"|"&amp;$D350&amp;"|"&amp;AA$14&amp;"|"&amp;"CY2023Q3",Spectrum!$R:$R,0))),IF(SUM($U350)=0,"",SUM($Z350)/$U350)))</f>
        <v>1772.0000000000002</v>
      </c>
      <c r="AB350" s="90">
        <f t="shared" si="130"/>
        <v>2.5151116951379762</v>
      </c>
      <c r="AC350" s="14">
        <f>IF(LEFT($B350,4)="_Mil","",_xlfn.IFNA(ROUND(INDEX(Spectrum!$N:$N,MATCH(RIGHT($B350,13)&amp;"|"&amp;$C350&amp;"|"&amp;$D350&amp;"|"&amp;AC$14&amp;"|"&amp;"CY2023Q3",Spectrum!$R:$R,0)),0),""))</f>
        <v>1308</v>
      </c>
      <c r="AD350" s="14" t="str">
        <f>IF(LEFT($B350,4)="_Mil","",_xlfn.IFNA(ROUND(INDEX(Spectrum!$N:$N,MATCH(RIGHT($B350,13)&amp;"|"&amp;$C350&amp;"|"&amp;$D350&amp;"|"&amp;AD$14&amp;"|"&amp;"CY2023Q3",Spectrum!$R:$R,0)),0),""))</f>
        <v/>
      </c>
      <c r="AE350" s="90">
        <f t="shared" si="131"/>
        <v>0</v>
      </c>
      <c r="AF350" s="42" t="str">
        <f>IF(LEFT($B350,4)="_Mil","",_xlfn.IFNA(ROUND(INDEX(Spectrum!$N:$N,MATCH(RIGHT($B350,13)&amp;"|"&amp;$C350&amp;"|"&amp;$D350&amp;"|"&amp;AF$14&amp;"|"&amp;"CY2023Q3",Spectrum!$R:$R,0)),0),""))</f>
        <v/>
      </c>
      <c r="AG350" s="90" t="str">
        <f t="shared" si="132"/>
        <v/>
      </c>
      <c r="AH350" s="88" t="str">
        <f>IF(LEFT($B350,4)="_Mil","",_xlfn.IFNA(INDEX(Spectrum!$N:$N,MATCH(RIGHT($B350,13)&amp;"|"&amp;$C350&amp;"|"&amp;$D350&amp;"|"&amp;AH$14&amp;"|"&amp;"CY2023Q3",Spectrum!$R:$R,0)),""))</f>
        <v/>
      </c>
      <c r="AI350" s="14" t="str">
        <f>IF(LEFT($B350,4)="_Mil","",_xlfn.IFNA(ROUND(INDEX(Spectrum!$N:$N,MATCH(RIGHT($B350,13)&amp;"|"&amp;$C350&amp;"|"&amp;$D350&amp;"|"&amp;AI$14&amp;"|"&amp;"CY2023Q3",Spectrum!$R:$R,0)),0),""))</f>
        <v/>
      </c>
      <c r="AJ350" s="42">
        <f>IF(LEFT($B350,4)="_Mil","",_xlfn.IFNA(ROUND(INDEX(Spectrum!$N:$N,MATCH(RIGHT($B350,13)&amp;"|"&amp;$C350&amp;"|"&amp;$D350&amp;"|"&amp;AI$14&amp;"|"&amp;"CY2023Q3",Spectrum!$R:$R,0)),0),SUM($U350)+SUM($AI350)))</f>
        <v>0</v>
      </c>
      <c r="AK350" s="14" t="str">
        <f>IF(LEFT($B350,4)="_Mil","",_xlfn.IFNA(ROUND(INDEX(Spectrum!$N:$N,MATCH(RIGHT($B350,13)&amp;"|"&amp;$C350&amp;"|"&amp;$D350&amp;"|"&amp;AK$14&amp;"|"&amp;"CY2023Q3",Spectrum!$R:$R,0)),0),""))</f>
        <v/>
      </c>
      <c r="AL350" s="90">
        <f t="shared" si="133"/>
        <v>1772.0000000000002</v>
      </c>
      <c r="AM350" s="14">
        <f t="shared" si="134"/>
        <v>0</v>
      </c>
      <c r="AN350" s="14" t="str">
        <f>IF($C350="&lt;01",ROUND(INDEX(EID!$P:$P,MATCH($B350,EID!$B:$B,0))/2,0),"")</f>
        <v/>
      </c>
      <c r="AO350" s="14">
        <f t="shared" si="135"/>
        <v>0</v>
      </c>
      <c r="AP350" s="42">
        <f t="shared" si="136"/>
        <v>0</v>
      </c>
      <c r="AQ350" s="42">
        <f t="shared" si="137"/>
        <v>1914</v>
      </c>
      <c r="AR350" s="90" t="str">
        <f t="shared" si="138"/>
        <v/>
      </c>
      <c r="AS350" s="90">
        <f t="shared" si="139"/>
        <v>0.98</v>
      </c>
      <c r="AT350" s="90">
        <f t="shared" si="139"/>
        <v>0.98</v>
      </c>
      <c r="AU350" s="14">
        <f t="shared" si="140"/>
        <v>0</v>
      </c>
      <c r="AV350" s="14">
        <f>IF($C350="&lt;01",ROUND(INDEX(EID!$N:$N,MATCH($B350,EID!$B:$B,0))/2,0),IF(SUM($AT350)=0,"",ROUND((SUM($AP350)-(SUM($O350)*SUM($AS350)))/$AT350,0)))</f>
        <v>0</v>
      </c>
      <c r="AW350" s="90">
        <f t="shared" si="141"/>
        <v>1</v>
      </c>
      <c r="AX350" s="42">
        <f t="shared" si="142"/>
        <v>0</v>
      </c>
      <c r="AY350" s="116">
        <f t="shared" si="143"/>
        <v>0.7</v>
      </c>
      <c r="AZ350" s="93">
        <f>IF($C350="&lt;01",ROUND(INDEX(EID!$R:$R,MATCH($B350,EID!$B:$B,0))/2,0),ROUND(SUM($O350)+(SUM($AV350)*$AY350),0))</f>
        <v>0</v>
      </c>
      <c r="BA350" s="89">
        <f t="shared" si="144"/>
        <v>0.95</v>
      </c>
      <c r="BB350" s="9">
        <f>IF($C350="&lt;01",ROUND(INDEX(EID!$T:$T,MATCH($B350,EID!$B:$B,0))/2,0),ROUND($AZ350*$BA350,0))</f>
        <v>0</v>
      </c>
      <c r="BC350" s="93">
        <f t="shared" si="145"/>
        <v>0</v>
      </c>
      <c r="BD350" s="90">
        <f t="shared" si="146"/>
        <v>0.95</v>
      </c>
      <c r="BE350" s="42">
        <f>IF($C350="&lt;01",ROUND(INDEX(EID!$V:$V,MATCH($B350,EID!$B:$B,0))/2,0),ROUND($BD350*$BB350,0))</f>
        <v>0</v>
      </c>
      <c r="BF350" s="42">
        <f t="shared" si="147"/>
        <v>0</v>
      </c>
      <c r="BG350" s="116">
        <f t="shared" si="148"/>
        <v>0.95</v>
      </c>
      <c r="BH350" s="9">
        <f>IF($C350="&lt;01",ROUND(INDEX(EID!$L:$L,MATCH($B350,EID!$B:$B,0)),0)/2,IF(SUM($BG350)=0,"",ROUND($AX350/$BG350,0)))</f>
        <v>0</v>
      </c>
    </row>
    <row r="351" spans="1:60" x14ac:dyDescent="0.2">
      <c r="A351" t="str">
        <f>INDEX(Prioritization!$D:$D,MATCH($B351,Prioritization!$A:$A,0))</f>
        <v>INVALID</v>
      </c>
      <c r="B351" t="s">
        <v>217</v>
      </c>
      <c r="C351" t="s">
        <v>315</v>
      </c>
      <c r="D351" t="s">
        <v>29</v>
      </c>
      <c r="E351" t="str">
        <f t="shared" si="126"/>
        <v>Neno District [gwVYinjBAe9]|&lt;01|Female</v>
      </c>
      <c r="F351" s="14"/>
      <c r="G351" s="14">
        <v>6</v>
      </c>
      <c r="H351" s="14">
        <v>0</v>
      </c>
      <c r="I351" s="14">
        <v>5</v>
      </c>
      <c r="J351" s="14">
        <v>93</v>
      </c>
      <c r="K351" s="14">
        <v>53</v>
      </c>
      <c r="L351" s="14"/>
      <c r="M351" s="14">
        <v>0</v>
      </c>
      <c r="N351" s="14">
        <v>0</v>
      </c>
      <c r="O351" s="14">
        <f t="shared" si="127"/>
        <v>5</v>
      </c>
      <c r="P351" s="14">
        <v>0</v>
      </c>
      <c r="Q351" s="14">
        <v>0</v>
      </c>
      <c r="R351" s="14">
        <f t="shared" si="128"/>
        <v>0</v>
      </c>
      <c r="S351" s="14">
        <f>IF(LEFT($B351,4)="_Mil","",_xlfn.IFNA(ROUND(INDEX(Spectrum!$N:$N,MATCH(RIGHT($B351,13)&amp;"|"&amp;$C351&amp;"|"&amp;$D351&amp;"|"&amp;S$14&amp;"|"&amp;"CY2022Q4",Spectrum!$R:$R,0)),0),""))</f>
        <v>1683</v>
      </c>
      <c r="T351" s="42">
        <f>IF(LEFT($B351,4)="_Mil","",_xlfn.IFNA(ROUND(INDEX(Spectrum!$N:$N,MATCH(RIGHT($B351,13)&amp;"|"&amp;$C351&amp;"|"&amp;$D351&amp;"|"&amp;T$14&amp;"|"&amp;"CY2023Q3",Spectrum!$R:$R,0)),0),""))</f>
        <v>668</v>
      </c>
      <c r="U351" s="42" t="str">
        <f>IF(LEFT($B351,4)="_Mil","",_xlfn.IFNA(ROUND(INDEX(Spectrum!$N:$N,MATCH(RIGHT($B351,13)&amp;"|"&amp;$C351&amp;"|"&amp;$D351&amp;"|"&amp;U$14&amp;"|"&amp;"CY2023Q3",Spectrum!$R:$R,0)),0),""))</f>
        <v/>
      </c>
      <c r="V351" s="14">
        <f>IF(LEFT($B351,4)="_Mil","",_xlfn.IFNA(ROUND(INDEX(Spectrum!$N:$N,MATCH(RIGHT($B351,13)&amp;"|"&amp;$C351&amp;"|"&amp;$D351&amp;"|"&amp;V$14&amp;"|"&amp;"CY2023Q3",Spectrum!$R:$R,0)),0),""))</f>
        <v>1747</v>
      </c>
      <c r="W351" s="115">
        <f>IF(LEFT($B351,4)="_Mil","",_xlfn.IFNA(INDEX(Spectrum!$N:$N,MATCH(RIGHT($B351,13)&amp;"|"&amp;$C351&amp;"|"&amp;$D351&amp;"|"&amp;W$14&amp;"|"&amp;"CY2023Q3",Spectrum!$R:$R,0)),""))</f>
        <v>1094</v>
      </c>
      <c r="X351" s="42">
        <f>IF(LEFT($B351,4)="_Mil","",_xlfn.IFNA(ROUND(INDEX(Spectrum!$N:$N,MATCH(RIGHT($B351,13)&amp;"|"&amp;$C351&amp;"|"&amp;$D351&amp;"|"&amp;X$14&amp;"|"&amp;"CY2023Q3",Spectrum!$R:$R,0)),0),""))</f>
        <v>1651</v>
      </c>
      <c r="Y351" s="90" t="str">
        <f t="shared" si="129"/>
        <v/>
      </c>
      <c r="Z351" s="42">
        <f>IF(LEFT($B351,4)="_Mil","",_xlfn.IFNA(ROUND(INDEX(Spectrum!$N:$N,MATCH(RIGHT($B351,13)&amp;"|"&amp;$C351&amp;"|"&amp;$D351&amp;"|"&amp;Z$14&amp;"|"&amp;"CY2023Q3",Spectrum!$R:$R,0)),0),""))</f>
        <v>1817</v>
      </c>
      <c r="AA351" s="90">
        <f>IF(LEFT($B351,4)="_Mil","",IFERROR(1/(1/INDEX(Spectrum!$N:$N,MATCH(RIGHT($B351,13)&amp;"|"&amp;$C351&amp;"|"&amp;$D351&amp;"|"&amp;AA$14&amp;"|"&amp;"CY2023Q3",Spectrum!$R:$R,0))),IF(SUM($U351)=0,"",SUM($Z351)/$U351)))</f>
        <v>626</v>
      </c>
      <c r="AB351" s="90">
        <f t="shared" si="130"/>
        <v>1.1005451241671713</v>
      </c>
      <c r="AC351" s="14">
        <f>IF(LEFT($B351,4)="_Mil","",_xlfn.IFNA(ROUND(INDEX(Spectrum!$N:$N,MATCH(RIGHT($B351,13)&amp;"|"&amp;$C351&amp;"|"&amp;$D351&amp;"|"&amp;AC$14&amp;"|"&amp;"CY2023Q3",Spectrum!$R:$R,0)),0),""))</f>
        <v>1371</v>
      </c>
      <c r="AD351" s="14" t="str">
        <f>IF(LEFT($B351,4)="_Mil","",_xlfn.IFNA(ROUND(INDEX(Spectrum!$N:$N,MATCH(RIGHT($B351,13)&amp;"|"&amp;$C351&amp;"|"&amp;$D351&amp;"|"&amp;AD$14&amp;"|"&amp;"CY2023Q3",Spectrum!$R:$R,0)),0),""))</f>
        <v/>
      </c>
      <c r="AE351" s="90">
        <f t="shared" si="131"/>
        <v>0</v>
      </c>
      <c r="AF351" s="42" t="str">
        <f>IF(LEFT($B351,4)="_Mil","",_xlfn.IFNA(ROUND(INDEX(Spectrum!$N:$N,MATCH(RIGHT($B351,13)&amp;"|"&amp;$C351&amp;"|"&amp;$D351&amp;"|"&amp;AF$14&amp;"|"&amp;"CY2023Q3",Spectrum!$R:$R,0)),0),""))</f>
        <v/>
      </c>
      <c r="AG351" s="90" t="str">
        <f t="shared" si="132"/>
        <v/>
      </c>
      <c r="AH351" s="88" t="str">
        <f>IF(LEFT($B351,4)="_Mil","",_xlfn.IFNA(INDEX(Spectrum!$N:$N,MATCH(RIGHT($B351,13)&amp;"|"&amp;$C351&amp;"|"&amp;$D351&amp;"|"&amp;AH$14&amp;"|"&amp;"CY2023Q3",Spectrum!$R:$R,0)),""))</f>
        <v/>
      </c>
      <c r="AI351" s="14" t="str">
        <f>IF(LEFT($B351,4)="_Mil","",_xlfn.IFNA(ROUND(INDEX(Spectrum!$N:$N,MATCH(RIGHT($B351,13)&amp;"|"&amp;$C351&amp;"|"&amp;$D351&amp;"|"&amp;AI$14&amp;"|"&amp;"CY2023Q3",Spectrum!$R:$R,0)),0),""))</f>
        <v/>
      </c>
      <c r="AJ351" s="42">
        <f>IF(LEFT($B351,4)="_Mil","",_xlfn.IFNA(ROUND(INDEX(Spectrum!$N:$N,MATCH(RIGHT($B351,13)&amp;"|"&amp;$C351&amp;"|"&amp;$D351&amp;"|"&amp;AI$14&amp;"|"&amp;"CY2023Q3",Spectrum!$R:$R,0)),0),SUM($U351)+SUM($AI351)))</f>
        <v>0</v>
      </c>
      <c r="AK351" s="14" t="str">
        <f>IF(LEFT($B351,4)="_Mil","",_xlfn.IFNA(ROUND(INDEX(Spectrum!$N:$N,MATCH(RIGHT($B351,13)&amp;"|"&amp;$C351&amp;"|"&amp;$D351&amp;"|"&amp;AK$14&amp;"|"&amp;"CY2023Q3",Spectrum!$R:$R,0)),0),""))</f>
        <v/>
      </c>
      <c r="AL351" s="90" t="str">
        <f t="shared" si="133"/>
        <v/>
      </c>
      <c r="AM351" s="14" t="str">
        <f t="shared" si="134"/>
        <v/>
      </c>
      <c r="AN351" s="14">
        <f>IF($C351="&lt;01",ROUND(INDEX(EID!$P:$P,MATCH($B351,EID!$B:$B,0))/2,0),"")</f>
        <v>0</v>
      </c>
      <c r="AO351" s="14">
        <f t="shared" si="135"/>
        <v>0</v>
      </c>
      <c r="AP351" s="42">
        <f t="shared" si="136"/>
        <v>0</v>
      </c>
      <c r="AQ351" s="42">
        <f t="shared" si="137"/>
        <v>1817</v>
      </c>
      <c r="AR351" s="90" t="str">
        <f t="shared" si="138"/>
        <v/>
      </c>
      <c r="AS351" s="90" t="str">
        <f t="shared" si="139"/>
        <v/>
      </c>
      <c r="AT351" s="90" t="str">
        <f t="shared" si="139"/>
        <v/>
      </c>
      <c r="AU351" s="14" t="str">
        <f t="shared" si="140"/>
        <v/>
      </c>
      <c r="AV351" s="14">
        <f>IF($C351="&lt;01",ROUND(INDEX(EID!$N:$N,MATCH($B351,EID!$B:$B,0))/2,0),IF(SUM($AT351)=0,"",ROUND((SUM($AP351)-(SUM($O351)*SUM($AS351)))/$AT351,0)))</f>
        <v>0</v>
      </c>
      <c r="AW351" s="90" t="str">
        <f t="shared" si="141"/>
        <v/>
      </c>
      <c r="AX351" s="42">
        <f t="shared" si="142"/>
        <v>0</v>
      </c>
      <c r="AY351" s="116" t="str">
        <f t="shared" si="143"/>
        <v/>
      </c>
      <c r="AZ351" s="93">
        <f>IF($C351="&lt;01",ROUND(INDEX(EID!$R:$R,MATCH($B351,EID!$B:$B,0))/2,0),ROUND(SUM($O351)+(SUM($AV351)*$AY351),0))</f>
        <v>0</v>
      </c>
      <c r="BA351" s="89" t="str">
        <f t="shared" si="144"/>
        <v/>
      </c>
      <c r="BB351" s="9">
        <f>IF($C351="&lt;01",ROUND(INDEX(EID!$T:$T,MATCH($B351,EID!$B:$B,0))/2,0),ROUND($AZ351*$BA351,0))</f>
        <v>0</v>
      </c>
      <c r="BC351" s="93">
        <f t="shared" si="145"/>
        <v>0</v>
      </c>
      <c r="BD351" s="90" t="str">
        <f t="shared" si="146"/>
        <v/>
      </c>
      <c r="BE351" s="42">
        <f>IF($C351="&lt;01",ROUND(INDEX(EID!$V:$V,MATCH($B351,EID!$B:$B,0))/2,0),ROUND($BD351*$BB351,0))</f>
        <v>0</v>
      </c>
      <c r="BF351" s="42">
        <f t="shared" si="147"/>
        <v>0</v>
      </c>
      <c r="BG351" s="116" t="str">
        <f t="shared" si="148"/>
        <v/>
      </c>
      <c r="BH351" s="9">
        <f>IF($C351="&lt;01",ROUND(INDEX(EID!$L:$L,MATCH($B351,EID!$B:$B,0)),0)/2,IF(SUM($BG351)=0,"",ROUND($AX351/$BG351,0)))</f>
        <v>0</v>
      </c>
    </row>
    <row r="352" spans="1:60" x14ac:dyDescent="0.2">
      <c r="A352" t="str">
        <f>INDEX(Prioritization!$D:$D,MATCH($B352,Prioritization!$A:$A,0))</f>
        <v>INVALID</v>
      </c>
      <c r="B352" t="s">
        <v>217</v>
      </c>
      <c r="C352" t="s">
        <v>315</v>
      </c>
      <c r="D352" t="s">
        <v>47</v>
      </c>
      <c r="E352" t="str">
        <f t="shared" si="126"/>
        <v>Neno District [gwVYinjBAe9]|&lt;01|Male</v>
      </c>
      <c r="F352" s="14"/>
      <c r="G352" s="14">
        <v>8</v>
      </c>
      <c r="H352" s="14">
        <v>0</v>
      </c>
      <c r="I352" s="14">
        <v>4</v>
      </c>
      <c r="J352" s="14">
        <v>10</v>
      </c>
      <c r="K352" s="14">
        <v>3</v>
      </c>
      <c r="L352" s="14"/>
      <c r="M352" s="14">
        <v>1</v>
      </c>
      <c r="N352" s="14">
        <v>1</v>
      </c>
      <c r="O352" s="14">
        <f t="shared" si="127"/>
        <v>4</v>
      </c>
      <c r="P352" s="14">
        <v>1</v>
      </c>
      <c r="Q352" s="14">
        <v>0</v>
      </c>
      <c r="R352" s="14">
        <f t="shared" si="128"/>
        <v>0</v>
      </c>
      <c r="S352" s="14">
        <f>IF(LEFT($B352,4)="_Mil","",_xlfn.IFNA(ROUND(INDEX(Spectrum!$N:$N,MATCH(RIGHT($B352,13)&amp;"|"&amp;$C352&amp;"|"&amp;$D352&amp;"|"&amp;S$14&amp;"|"&amp;"CY2022Q4",Spectrum!$R:$R,0)),0),""))</f>
        <v>549</v>
      </c>
      <c r="T352" s="42">
        <f>IF(LEFT($B352,4)="_Mil","",_xlfn.IFNA(ROUND(INDEX(Spectrum!$N:$N,MATCH(RIGHT($B352,13)&amp;"|"&amp;$C352&amp;"|"&amp;$D352&amp;"|"&amp;T$14&amp;"|"&amp;"CY2023Q3",Spectrum!$R:$R,0)),0),""))</f>
        <v>1635</v>
      </c>
      <c r="U352" s="42" t="str">
        <f>IF(LEFT($B352,4)="_Mil","",_xlfn.IFNA(ROUND(INDEX(Spectrum!$N:$N,MATCH(RIGHT($B352,13)&amp;"|"&amp;$C352&amp;"|"&amp;$D352&amp;"|"&amp;U$14&amp;"|"&amp;"CY2023Q3",Spectrum!$R:$R,0)),0),""))</f>
        <v/>
      </c>
      <c r="V352" s="14">
        <f>IF(LEFT($B352,4)="_Mil","",_xlfn.IFNA(ROUND(INDEX(Spectrum!$N:$N,MATCH(RIGHT($B352,13)&amp;"|"&amp;$C352&amp;"|"&amp;$D352&amp;"|"&amp;V$14&amp;"|"&amp;"CY2023Q3",Spectrum!$R:$R,0)),0),""))</f>
        <v>1230</v>
      </c>
      <c r="W352" s="115">
        <f>IF(LEFT($B352,4)="_Mil","",_xlfn.IFNA(INDEX(Spectrum!$N:$N,MATCH(RIGHT($B352,13)&amp;"|"&amp;$C352&amp;"|"&amp;$D352&amp;"|"&amp;W$14&amp;"|"&amp;"CY2023Q3",Spectrum!$R:$R,0)),""))</f>
        <v>867</v>
      </c>
      <c r="X352" s="42">
        <f>IF(LEFT($B352,4)="_Mil","",_xlfn.IFNA(ROUND(INDEX(Spectrum!$N:$N,MATCH(RIGHT($B352,13)&amp;"|"&amp;$C352&amp;"|"&amp;$D352&amp;"|"&amp;X$14&amp;"|"&amp;"CY2023Q3",Spectrum!$R:$R,0)),0),""))</f>
        <v>816</v>
      </c>
      <c r="Y352" s="90" t="str">
        <f t="shared" si="129"/>
        <v/>
      </c>
      <c r="Z352" s="42">
        <f>IF(LEFT($B352,4)="_Mil","",_xlfn.IFNA(ROUND(INDEX(Spectrum!$N:$N,MATCH(RIGHT($B352,13)&amp;"|"&amp;$C352&amp;"|"&amp;$D352&amp;"|"&amp;Z$14&amp;"|"&amp;"CY2023Q3",Spectrum!$R:$R,0)),0),""))</f>
        <v>938</v>
      </c>
      <c r="AA352" s="90">
        <f>IF(LEFT($B352,4)="_Mil","",IFERROR(1/(1/INDEX(Spectrum!$N:$N,MATCH(RIGHT($B352,13)&amp;"|"&amp;$C352&amp;"|"&amp;$D352&amp;"|"&amp;AA$14&amp;"|"&amp;"CY2023Q3",Spectrum!$R:$R,0))),IF(SUM($U352)=0,"",SUM($Z352)/$U352)))</f>
        <v>546</v>
      </c>
      <c r="AB352" s="90">
        <f t="shared" si="130"/>
        <v>1.1495098039215685</v>
      </c>
      <c r="AC352" s="14">
        <f>IF(LEFT($B352,4)="_Mil","",_xlfn.IFNA(ROUND(INDEX(Spectrum!$N:$N,MATCH(RIGHT($B352,13)&amp;"|"&amp;$C352&amp;"|"&amp;$D352&amp;"|"&amp;AC$14&amp;"|"&amp;"CY2023Q3",Spectrum!$R:$R,0)),0),""))</f>
        <v>932</v>
      </c>
      <c r="AD352" s="14" t="str">
        <f>IF(LEFT($B352,4)="_Mil","",_xlfn.IFNA(ROUND(INDEX(Spectrum!$N:$N,MATCH(RIGHT($B352,13)&amp;"|"&amp;$C352&amp;"|"&amp;$D352&amp;"|"&amp;AD$14&amp;"|"&amp;"CY2023Q3",Spectrum!$R:$R,0)),0),""))</f>
        <v/>
      </c>
      <c r="AE352" s="90">
        <f t="shared" si="131"/>
        <v>0</v>
      </c>
      <c r="AF352" s="42" t="str">
        <f>IF(LEFT($B352,4)="_Mil","",_xlfn.IFNA(ROUND(INDEX(Spectrum!$N:$N,MATCH(RIGHT($B352,13)&amp;"|"&amp;$C352&amp;"|"&amp;$D352&amp;"|"&amp;AF$14&amp;"|"&amp;"CY2023Q3",Spectrum!$R:$R,0)),0),""))</f>
        <v/>
      </c>
      <c r="AG352" s="90" t="str">
        <f t="shared" si="132"/>
        <v/>
      </c>
      <c r="AH352" s="88" t="str">
        <f>IF(LEFT($B352,4)="_Mil","",_xlfn.IFNA(INDEX(Spectrum!$N:$N,MATCH(RIGHT($B352,13)&amp;"|"&amp;$C352&amp;"|"&amp;$D352&amp;"|"&amp;AH$14&amp;"|"&amp;"CY2023Q3",Spectrum!$R:$R,0)),""))</f>
        <v/>
      </c>
      <c r="AI352" s="14" t="str">
        <f>IF(LEFT($B352,4)="_Mil","",_xlfn.IFNA(ROUND(INDEX(Spectrum!$N:$N,MATCH(RIGHT($B352,13)&amp;"|"&amp;$C352&amp;"|"&amp;$D352&amp;"|"&amp;AI$14&amp;"|"&amp;"CY2023Q3",Spectrum!$R:$R,0)),0),""))</f>
        <v/>
      </c>
      <c r="AJ352" s="42">
        <f>IF(LEFT($B352,4)="_Mil","",_xlfn.IFNA(ROUND(INDEX(Spectrum!$N:$N,MATCH(RIGHT($B352,13)&amp;"|"&amp;$C352&amp;"|"&amp;$D352&amp;"|"&amp;AI$14&amp;"|"&amp;"CY2023Q3",Spectrum!$R:$R,0)),0),SUM($U352)+SUM($AI352)))</f>
        <v>0</v>
      </c>
      <c r="AK352" s="14" t="str">
        <f>IF(LEFT($B352,4)="_Mil","",_xlfn.IFNA(ROUND(INDEX(Spectrum!$N:$N,MATCH(RIGHT($B352,13)&amp;"|"&amp;$C352&amp;"|"&amp;$D352&amp;"|"&amp;AK$14&amp;"|"&amp;"CY2023Q3",Spectrum!$R:$R,0)),0),""))</f>
        <v/>
      </c>
      <c r="AL352" s="90" t="str">
        <f t="shared" si="133"/>
        <v/>
      </c>
      <c r="AM352" s="14" t="str">
        <f t="shared" si="134"/>
        <v/>
      </c>
      <c r="AN352" s="14">
        <f>IF($C352="&lt;01",ROUND(INDEX(EID!$P:$P,MATCH($B352,EID!$B:$B,0))/2,0),"")</f>
        <v>0</v>
      </c>
      <c r="AO352" s="14">
        <f t="shared" si="135"/>
        <v>0</v>
      </c>
      <c r="AP352" s="42">
        <f t="shared" si="136"/>
        <v>0</v>
      </c>
      <c r="AQ352" s="42">
        <f t="shared" si="137"/>
        <v>938</v>
      </c>
      <c r="AR352" s="90" t="str">
        <f t="shared" si="138"/>
        <v/>
      </c>
      <c r="AS352" s="90" t="str">
        <f t="shared" si="139"/>
        <v/>
      </c>
      <c r="AT352" s="90" t="str">
        <f t="shared" si="139"/>
        <v/>
      </c>
      <c r="AU352" s="14" t="str">
        <f t="shared" si="140"/>
        <v/>
      </c>
      <c r="AV352" s="14">
        <f>IF($C352="&lt;01",ROUND(INDEX(EID!$N:$N,MATCH($B352,EID!$B:$B,0))/2,0),IF(SUM($AT352)=0,"",ROUND((SUM($AP352)-(SUM($O352)*SUM($AS352)))/$AT352,0)))</f>
        <v>0</v>
      </c>
      <c r="AW352" s="90" t="str">
        <f t="shared" si="141"/>
        <v/>
      </c>
      <c r="AX352" s="42">
        <f t="shared" si="142"/>
        <v>0</v>
      </c>
      <c r="AY352" s="116" t="str">
        <f t="shared" si="143"/>
        <v/>
      </c>
      <c r="AZ352" s="93">
        <f>IF($C352="&lt;01",ROUND(INDEX(EID!$R:$R,MATCH($B352,EID!$B:$B,0))/2,0),ROUND(SUM($O352)+(SUM($AV352)*$AY352),0))</f>
        <v>0</v>
      </c>
      <c r="BA352" s="89" t="str">
        <f t="shared" si="144"/>
        <v/>
      </c>
      <c r="BB352" s="9">
        <f>IF($C352="&lt;01",ROUND(INDEX(EID!$T:$T,MATCH($B352,EID!$B:$B,0))/2,0),ROUND($AZ352*$BA352,0))</f>
        <v>0</v>
      </c>
      <c r="BC352" s="93">
        <f t="shared" si="145"/>
        <v>0</v>
      </c>
      <c r="BD352" s="90" t="str">
        <f t="shared" si="146"/>
        <v/>
      </c>
      <c r="BE352" s="42">
        <f>IF($C352="&lt;01",ROUND(INDEX(EID!$V:$V,MATCH($B352,EID!$B:$B,0))/2,0),ROUND($BD352*$BB352,0))</f>
        <v>0</v>
      </c>
      <c r="BF352" s="42">
        <f t="shared" si="147"/>
        <v>0</v>
      </c>
      <c r="BG352" s="116" t="str">
        <f t="shared" si="148"/>
        <v/>
      </c>
      <c r="BH352" s="9">
        <f>IF($C352="&lt;01",ROUND(INDEX(EID!$L:$L,MATCH($B352,EID!$B:$B,0)),0)/2,IF(SUM($BG352)=0,"",ROUND($AX352/$BG352,0)))</f>
        <v>0</v>
      </c>
    </row>
    <row r="353" spans="1:60" x14ac:dyDescent="0.2">
      <c r="A353" t="str">
        <f>INDEX(Prioritization!$D:$D,MATCH($B353,Prioritization!$A:$A,0))</f>
        <v>INVALID</v>
      </c>
      <c r="B353" t="s">
        <v>217</v>
      </c>
      <c r="C353" t="s">
        <v>362</v>
      </c>
      <c r="D353" t="s">
        <v>29</v>
      </c>
      <c r="E353" t="str">
        <f t="shared" si="126"/>
        <v>Neno District [gwVYinjBAe9]|01-09|Female</v>
      </c>
      <c r="F353" s="14"/>
      <c r="G353" s="14"/>
      <c r="H353" s="14"/>
      <c r="I353" s="14"/>
      <c r="J353" s="14"/>
      <c r="K353" s="14"/>
      <c r="L353" s="14"/>
      <c r="M353" s="14"/>
      <c r="N353" s="14"/>
      <c r="O353" s="14" t="str">
        <f t="shared" si="127"/>
        <v/>
      </c>
      <c r="P353" s="14"/>
      <c r="Q353" s="14"/>
      <c r="R353" s="14" t="str">
        <f t="shared" si="128"/>
        <v/>
      </c>
      <c r="S353" s="14">
        <f>IF(LEFT($B353,4)="_Mil","",_xlfn.IFNA(ROUND(INDEX(Spectrum!$N:$N,MATCH(RIGHT($B353,13)&amp;"|"&amp;$C353&amp;"|"&amp;$D353&amp;"|"&amp;S$14&amp;"|"&amp;"CY2022Q4",Spectrum!$R:$R,0)),0),""))</f>
        <v>980</v>
      </c>
      <c r="T353" s="42">
        <f>IF(LEFT($B353,4)="_Mil","",_xlfn.IFNA(ROUND(INDEX(Spectrum!$N:$N,MATCH(RIGHT($B353,13)&amp;"|"&amp;$C353&amp;"|"&amp;$D353&amp;"|"&amp;T$14&amp;"|"&amp;"CY2023Q3",Spectrum!$R:$R,0)),0),""))</f>
        <v>876</v>
      </c>
      <c r="U353" s="42" t="str">
        <f>IF(LEFT($B353,4)="_Mil","",_xlfn.IFNA(ROUND(INDEX(Spectrum!$N:$N,MATCH(RIGHT($B353,13)&amp;"|"&amp;$C353&amp;"|"&amp;$D353&amp;"|"&amp;U$14&amp;"|"&amp;"CY2023Q3",Spectrum!$R:$R,0)),0),""))</f>
        <v/>
      </c>
      <c r="V353" s="14">
        <f>IF(LEFT($B353,4)="_Mil","",_xlfn.IFNA(ROUND(INDEX(Spectrum!$N:$N,MATCH(RIGHT($B353,13)&amp;"|"&amp;$C353&amp;"|"&amp;$D353&amp;"|"&amp;V$14&amp;"|"&amp;"CY2023Q3",Spectrum!$R:$R,0)),0),""))</f>
        <v>1259</v>
      </c>
      <c r="W353" s="115">
        <f>IF(LEFT($B353,4)="_Mil","",_xlfn.IFNA(INDEX(Spectrum!$N:$N,MATCH(RIGHT($B353,13)&amp;"|"&amp;$C353&amp;"|"&amp;$D353&amp;"|"&amp;W$14&amp;"|"&amp;"CY2023Q3",Spectrum!$R:$R,0)),""))</f>
        <v>1729</v>
      </c>
      <c r="X353" s="42">
        <f>IF(LEFT($B353,4)="_Mil","",_xlfn.IFNA(ROUND(INDEX(Spectrum!$N:$N,MATCH(RIGHT($B353,13)&amp;"|"&amp;$C353&amp;"|"&amp;$D353&amp;"|"&amp;X$14&amp;"|"&amp;"CY2023Q3",Spectrum!$R:$R,0)),0),""))</f>
        <v>717</v>
      </c>
      <c r="Y353" s="90" t="str">
        <f t="shared" si="129"/>
        <v/>
      </c>
      <c r="Z353" s="42">
        <f>IF(LEFT($B353,4)="_Mil","",_xlfn.IFNA(ROUND(INDEX(Spectrum!$N:$N,MATCH(RIGHT($B353,13)&amp;"|"&amp;$C353&amp;"|"&amp;$D353&amp;"|"&amp;Z$14&amp;"|"&amp;"CY2023Q3",Spectrum!$R:$R,0)),0),""))</f>
        <v>1527</v>
      </c>
      <c r="AA353" s="90">
        <f>IF(LEFT($B353,4)="_Mil","",IFERROR(1/(1/INDEX(Spectrum!$N:$N,MATCH(RIGHT($B353,13)&amp;"|"&amp;$C353&amp;"|"&amp;$D353&amp;"|"&amp;AA$14&amp;"|"&amp;"CY2023Q3",Spectrum!$R:$R,0))),IF(SUM($U353)=0,"",SUM($Z353)/$U353)))</f>
        <v>606</v>
      </c>
      <c r="AB353" s="90">
        <f t="shared" si="130"/>
        <v>2.1297071129707112</v>
      </c>
      <c r="AC353" s="14">
        <f>IF(LEFT($B353,4)="_Mil","",_xlfn.IFNA(ROUND(INDEX(Spectrum!$N:$N,MATCH(RIGHT($B353,13)&amp;"|"&amp;$C353&amp;"|"&amp;$D353&amp;"|"&amp;AC$14&amp;"|"&amp;"CY2023Q3",Spectrum!$R:$R,0)),0),""))</f>
        <v>595</v>
      </c>
      <c r="AD353" s="14" t="str">
        <f>IF(LEFT($B353,4)="_Mil","",_xlfn.IFNA(ROUND(INDEX(Spectrum!$N:$N,MATCH(RIGHT($B353,13)&amp;"|"&amp;$C353&amp;"|"&amp;$D353&amp;"|"&amp;AD$14&amp;"|"&amp;"CY2023Q3",Spectrum!$R:$R,0)),0),""))</f>
        <v/>
      </c>
      <c r="AE353" s="90">
        <f t="shared" si="131"/>
        <v>0</v>
      </c>
      <c r="AF353" s="42" t="str">
        <f>IF(LEFT($B353,4)="_Mil","",_xlfn.IFNA(ROUND(INDEX(Spectrum!$N:$N,MATCH(RIGHT($B353,13)&amp;"|"&amp;$C353&amp;"|"&amp;$D353&amp;"|"&amp;AF$14&amp;"|"&amp;"CY2023Q3",Spectrum!$R:$R,0)),0),""))</f>
        <v/>
      </c>
      <c r="AG353" s="90" t="str">
        <f t="shared" si="132"/>
        <v/>
      </c>
      <c r="AH353" s="88" t="str">
        <f>IF(LEFT($B353,4)="_Mil","",_xlfn.IFNA(INDEX(Spectrum!$N:$N,MATCH(RIGHT($B353,13)&amp;"|"&amp;$C353&amp;"|"&amp;$D353&amp;"|"&amp;AH$14&amp;"|"&amp;"CY2023Q3",Spectrum!$R:$R,0)),""))</f>
        <v/>
      </c>
      <c r="AI353" s="14" t="str">
        <f>IF(LEFT($B353,4)="_Mil","",_xlfn.IFNA(ROUND(INDEX(Spectrum!$N:$N,MATCH(RIGHT($B353,13)&amp;"|"&amp;$C353&amp;"|"&amp;$D353&amp;"|"&amp;AI$14&amp;"|"&amp;"CY2023Q3",Spectrum!$R:$R,0)),0),""))</f>
        <v/>
      </c>
      <c r="AJ353" s="42">
        <f>IF(LEFT($B353,4)="_Mil","",_xlfn.IFNA(ROUND(INDEX(Spectrum!$N:$N,MATCH(RIGHT($B353,13)&amp;"|"&amp;$C353&amp;"|"&amp;$D353&amp;"|"&amp;AI$14&amp;"|"&amp;"CY2023Q3",Spectrum!$R:$R,0)),0),SUM($U353)+SUM($AI353)))</f>
        <v>0</v>
      </c>
      <c r="AK353" s="14" t="str">
        <f>IF(LEFT($B353,4)="_Mil","",_xlfn.IFNA(ROUND(INDEX(Spectrum!$N:$N,MATCH(RIGHT($B353,13)&amp;"|"&amp;$C353&amp;"|"&amp;$D353&amp;"|"&amp;AK$14&amp;"|"&amp;"CY2023Q3",Spectrum!$R:$R,0)),0),""))</f>
        <v/>
      </c>
      <c r="AL353" s="90">
        <f t="shared" si="133"/>
        <v>606</v>
      </c>
      <c r="AM353" s="14">
        <f t="shared" si="134"/>
        <v>0</v>
      </c>
      <c r="AN353" s="14" t="str">
        <f>IF($C353="&lt;01",ROUND(INDEX(EID!$P:$P,MATCH($B353,EID!$B:$B,0))/2,0),"")</f>
        <v/>
      </c>
      <c r="AO353" s="14">
        <f t="shared" si="135"/>
        <v>0</v>
      </c>
      <c r="AP353" s="42">
        <f t="shared" si="136"/>
        <v>0</v>
      </c>
      <c r="AQ353" s="42">
        <f t="shared" si="137"/>
        <v>1527</v>
      </c>
      <c r="AR353" s="90" t="str">
        <f t="shared" si="138"/>
        <v/>
      </c>
      <c r="AS353" s="90">
        <f t="shared" si="139"/>
        <v>0.98</v>
      </c>
      <c r="AT353" s="90">
        <f t="shared" si="139"/>
        <v>0.98</v>
      </c>
      <c r="AU353" s="14">
        <f t="shared" si="140"/>
        <v>0</v>
      </c>
      <c r="AV353" s="14">
        <f>IF($C353="&lt;01",ROUND(INDEX(EID!$N:$N,MATCH($B353,EID!$B:$B,0))/2,0),IF(SUM($AT353)=0,"",ROUND((SUM($AP353)-(SUM($O353)*SUM($AS353)))/$AT353,0)))</f>
        <v>0</v>
      </c>
      <c r="AW353" s="90">
        <f t="shared" si="141"/>
        <v>1</v>
      </c>
      <c r="AX353" s="42">
        <f t="shared" si="142"/>
        <v>0</v>
      </c>
      <c r="AY353" s="116">
        <f t="shared" si="143"/>
        <v>0.7</v>
      </c>
      <c r="AZ353" s="93">
        <f>IF($C353="&lt;01",ROUND(INDEX(EID!$R:$R,MATCH($B353,EID!$B:$B,0))/2,0),ROUND(SUM($O353)+(SUM($AV353)*$AY353),0))</f>
        <v>0</v>
      </c>
      <c r="BA353" s="89">
        <f t="shared" si="144"/>
        <v>0.95</v>
      </c>
      <c r="BB353" s="9">
        <f>IF($C353="&lt;01",ROUND(INDEX(EID!$T:$T,MATCH($B353,EID!$B:$B,0))/2,0),ROUND($AZ353*$BA353,0))</f>
        <v>0</v>
      </c>
      <c r="BC353" s="93">
        <f t="shared" si="145"/>
        <v>0</v>
      </c>
      <c r="BD353" s="90">
        <f t="shared" si="146"/>
        <v>0.95</v>
      </c>
      <c r="BE353" s="42">
        <f>IF($C353="&lt;01",ROUND(INDEX(EID!$V:$V,MATCH($B353,EID!$B:$B,0))/2,0),ROUND($BD353*$BB353,0))</f>
        <v>0</v>
      </c>
      <c r="BF353" s="42">
        <f t="shared" si="147"/>
        <v>0</v>
      </c>
      <c r="BG353" s="116">
        <f t="shared" si="148"/>
        <v>0.95</v>
      </c>
      <c r="BH353" s="9">
        <f>IF($C353="&lt;01",ROUND(INDEX(EID!$L:$L,MATCH($B353,EID!$B:$B,0)),0)/2,IF(SUM($BG353)=0,"",ROUND($AX353/$BG353,0)))</f>
        <v>0</v>
      </c>
    </row>
    <row r="354" spans="1:60" x14ac:dyDescent="0.2">
      <c r="A354" t="str">
        <f>INDEX(Prioritization!$D:$D,MATCH($B354,Prioritization!$A:$A,0))</f>
        <v>INVALID</v>
      </c>
      <c r="B354" t="s">
        <v>217</v>
      </c>
      <c r="C354" t="s">
        <v>362</v>
      </c>
      <c r="D354" t="s">
        <v>47</v>
      </c>
      <c r="E354" t="str">
        <f t="shared" si="126"/>
        <v>Neno District [gwVYinjBAe9]|01-09|Male</v>
      </c>
      <c r="F354" s="14"/>
      <c r="G354" s="14"/>
      <c r="H354" s="14"/>
      <c r="I354" s="14"/>
      <c r="J354" s="14"/>
      <c r="K354" s="14"/>
      <c r="L354" s="14"/>
      <c r="M354" s="14"/>
      <c r="N354" s="14"/>
      <c r="O354" s="14" t="str">
        <f t="shared" si="127"/>
        <v/>
      </c>
      <c r="P354" s="14"/>
      <c r="Q354" s="14"/>
      <c r="R354" s="14" t="str">
        <f t="shared" si="128"/>
        <v/>
      </c>
      <c r="S354" s="14">
        <f>IF(LEFT($B354,4)="_Mil","",_xlfn.IFNA(ROUND(INDEX(Spectrum!$N:$N,MATCH(RIGHT($B354,13)&amp;"|"&amp;$C354&amp;"|"&amp;$D354&amp;"|"&amp;S$14&amp;"|"&amp;"CY2022Q4",Spectrum!$R:$R,0)),0),""))</f>
        <v>1471</v>
      </c>
      <c r="T354" s="42">
        <f>IF(LEFT($B354,4)="_Mil","",_xlfn.IFNA(ROUND(INDEX(Spectrum!$N:$N,MATCH(RIGHT($B354,13)&amp;"|"&amp;$C354&amp;"|"&amp;$D354&amp;"|"&amp;T$14&amp;"|"&amp;"CY2023Q3",Spectrum!$R:$R,0)),0),""))</f>
        <v>1922</v>
      </c>
      <c r="U354" s="42" t="str">
        <f>IF(LEFT($B354,4)="_Mil","",_xlfn.IFNA(ROUND(INDEX(Spectrum!$N:$N,MATCH(RIGHT($B354,13)&amp;"|"&amp;$C354&amp;"|"&amp;$D354&amp;"|"&amp;U$14&amp;"|"&amp;"CY2023Q3",Spectrum!$R:$R,0)),0),""))</f>
        <v/>
      </c>
      <c r="V354" s="14">
        <f>IF(LEFT($B354,4)="_Mil","",_xlfn.IFNA(ROUND(INDEX(Spectrum!$N:$N,MATCH(RIGHT($B354,13)&amp;"|"&amp;$C354&amp;"|"&amp;$D354&amp;"|"&amp;V$14&amp;"|"&amp;"CY2023Q3",Spectrum!$R:$R,0)),0),""))</f>
        <v>1949</v>
      </c>
      <c r="W354" s="115">
        <f>IF(LEFT($B354,4)="_Mil","",_xlfn.IFNA(INDEX(Spectrum!$N:$N,MATCH(RIGHT($B354,13)&amp;"|"&amp;$C354&amp;"|"&amp;$D354&amp;"|"&amp;W$14&amp;"|"&amp;"CY2023Q3",Spectrum!$R:$R,0)),""))</f>
        <v>1903</v>
      </c>
      <c r="X354" s="42">
        <f>IF(LEFT($B354,4)="_Mil","",_xlfn.IFNA(ROUND(INDEX(Spectrum!$N:$N,MATCH(RIGHT($B354,13)&amp;"|"&amp;$C354&amp;"|"&amp;$D354&amp;"|"&amp;X$14&amp;"|"&amp;"CY2023Q3",Spectrum!$R:$R,0)),0),""))</f>
        <v>1850</v>
      </c>
      <c r="Y354" s="90" t="str">
        <f t="shared" si="129"/>
        <v/>
      </c>
      <c r="Z354" s="42">
        <f>IF(LEFT($B354,4)="_Mil","",_xlfn.IFNA(ROUND(INDEX(Spectrum!$N:$N,MATCH(RIGHT($B354,13)&amp;"|"&amp;$C354&amp;"|"&amp;$D354&amp;"|"&amp;Z$14&amp;"|"&amp;"CY2023Q3",Spectrum!$R:$R,0)),0),""))</f>
        <v>1157</v>
      </c>
      <c r="AA354" s="90">
        <f>IF(LEFT($B354,4)="_Mil","",IFERROR(1/(1/INDEX(Spectrum!$N:$N,MATCH(RIGHT($B354,13)&amp;"|"&amp;$C354&amp;"|"&amp;$D354&amp;"|"&amp;AA$14&amp;"|"&amp;"CY2023Q3",Spectrum!$R:$R,0))),IF(SUM($U354)=0,"",SUM($Z354)/$U354)))</f>
        <v>1144</v>
      </c>
      <c r="AB354" s="90">
        <f t="shared" si="130"/>
        <v>0.62540540540540546</v>
      </c>
      <c r="AC354" s="14">
        <f>IF(LEFT($B354,4)="_Mil","",_xlfn.IFNA(ROUND(INDEX(Spectrum!$N:$N,MATCH(RIGHT($B354,13)&amp;"|"&amp;$C354&amp;"|"&amp;$D354&amp;"|"&amp;AC$14&amp;"|"&amp;"CY2023Q3",Spectrum!$R:$R,0)),0),""))</f>
        <v>1940</v>
      </c>
      <c r="AD354" s="14" t="str">
        <f>IF(LEFT($B354,4)="_Mil","",_xlfn.IFNA(ROUND(INDEX(Spectrum!$N:$N,MATCH(RIGHT($B354,13)&amp;"|"&amp;$C354&amp;"|"&amp;$D354&amp;"|"&amp;AD$14&amp;"|"&amp;"CY2023Q3",Spectrum!$R:$R,0)),0),""))</f>
        <v/>
      </c>
      <c r="AE354" s="90">
        <f t="shared" si="131"/>
        <v>0</v>
      </c>
      <c r="AF354" s="42" t="str">
        <f>IF(LEFT($B354,4)="_Mil","",_xlfn.IFNA(ROUND(INDEX(Spectrum!$N:$N,MATCH(RIGHT($B354,13)&amp;"|"&amp;$C354&amp;"|"&amp;$D354&amp;"|"&amp;AF$14&amp;"|"&amp;"CY2023Q3",Spectrum!$R:$R,0)),0),""))</f>
        <v/>
      </c>
      <c r="AG354" s="90" t="str">
        <f t="shared" si="132"/>
        <v/>
      </c>
      <c r="AH354" s="88" t="str">
        <f>IF(LEFT($B354,4)="_Mil","",_xlfn.IFNA(INDEX(Spectrum!$N:$N,MATCH(RIGHT($B354,13)&amp;"|"&amp;$C354&amp;"|"&amp;$D354&amp;"|"&amp;AH$14&amp;"|"&amp;"CY2023Q3",Spectrum!$R:$R,0)),""))</f>
        <v/>
      </c>
      <c r="AI354" s="14" t="str">
        <f>IF(LEFT($B354,4)="_Mil","",_xlfn.IFNA(ROUND(INDEX(Spectrum!$N:$N,MATCH(RIGHT($B354,13)&amp;"|"&amp;$C354&amp;"|"&amp;$D354&amp;"|"&amp;AI$14&amp;"|"&amp;"CY2023Q3",Spectrum!$R:$R,0)),0),""))</f>
        <v/>
      </c>
      <c r="AJ354" s="42">
        <f>IF(LEFT($B354,4)="_Mil","",_xlfn.IFNA(ROUND(INDEX(Spectrum!$N:$N,MATCH(RIGHT($B354,13)&amp;"|"&amp;$C354&amp;"|"&amp;$D354&amp;"|"&amp;AI$14&amp;"|"&amp;"CY2023Q3",Spectrum!$R:$R,0)),0),SUM($U354)+SUM($AI354)))</f>
        <v>0</v>
      </c>
      <c r="AK354" s="14" t="str">
        <f>IF(LEFT($B354,4)="_Mil","",_xlfn.IFNA(ROUND(INDEX(Spectrum!$N:$N,MATCH(RIGHT($B354,13)&amp;"|"&amp;$C354&amp;"|"&amp;$D354&amp;"|"&amp;AK$14&amp;"|"&amp;"CY2023Q3",Spectrum!$R:$R,0)),0),""))</f>
        <v/>
      </c>
      <c r="AL354" s="90">
        <f t="shared" si="133"/>
        <v>1144</v>
      </c>
      <c r="AM354" s="14">
        <f t="shared" si="134"/>
        <v>0</v>
      </c>
      <c r="AN354" s="14" t="str">
        <f>IF($C354="&lt;01",ROUND(INDEX(EID!$P:$P,MATCH($B354,EID!$B:$B,0))/2,0),"")</f>
        <v/>
      </c>
      <c r="AO354" s="14">
        <f t="shared" si="135"/>
        <v>0</v>
      </c>
      <c r="AP354" s="42">
        <f t="shared" si="136"/>
        <v>0</v>
      </c>
      <c r="AQ354" s="42">
        <f t="shared" si="137"/>
        <v>1157</v>
      </c>
      <c r="AR354" s="90" t="str">
        <f t="shared" si="138"/>
        <v/>
      </c>
      <c r="AS354" s="90">
        <f t="shared" si="139"/>
        <v>0.98</v>
      </c>
      <c r="AT354" s="90">
        <f t="shared" si="139"/>
        <v>0.98</v>
      </c>
      <c r="AU354" s="14">
        <f t="shared" si="140"/>
        <v>0</v>
      </c>
      <c r="AV354" s="14">
        <f>IF($C354="&lt;01",ROUND(INDEX(EID!$N:$N,MATCH($B354,EID!$B:$B,0))/2,0),IF(SUM($AT354)=0,"",ROUND((SUM($AP354)-(SUM($O354)*SUM($AS354)))/$AT354,0)))</f>
        <v>0</v>
      </c>
      <c r="AW354" s="90">
        <f t="shared" si="141"/>
        <v>1</v>
      </c>
      <c r="AX354" s="42">
        <f t="shared" si="142"/>
        <v>0</v>
      </c>
      <c r="AY354" s="116">
        <f t="shared" si="143"/>
        <v>0.7</v>
      </c>
      <c r="AZ354" s="93">
        <f>IF($C354="&lt;01",ROUND(INDEX(EID!$R:$R,MATCH($B354,EID!$B:$B,0))/2,0),ROUND(SUM($O354)+(SUM($AV354)*$AY354),0))</f>
        <v>0</v>
      </c>
      <c r="BA354" s="89">
        <f t="shared" si="144"/>
        <v>0.95</v>
      </c>
      <c r="BB354" s="9">
        <f>IF($C354="&lt;01",ROUND(INDEX(EID!$T:$T,MATCH($B354,EID!$B:$B,0))/2,0),ROUND($AZ354*$BA354,0))</f>
        <v>0</v>
      </c>
      <c r="BC354" s="93">
        <f t="shared" si="145"/>
        <v>0</v>
      </c>
      <c r="BD354" s="90">
        <f t="shared" si="146"/>
        <v>0.95</v>
      </c>
      <c r="BE354" s="42">
        <f>IF($C354="&lt;01",ROUND(INDEX(EID!$V:$V,MATCH($B354,EID!$B:$B,0))/2,0),ROUND($BD354*$BB354,0))</f>
        <v>0</v>
      </c>
      <c r="BF354" s="42">
        <f t="shared" si="147"/>
        <v>0</v>
      </c>
      <c r="BG354" s="116">
        <f t="shared" si="148"/>
        <v>0.95</v>
      </c>
      <c r="BH354" s="9">
        <f>IF($C354="&lt;01",ROUND(INDEX(EID!$L:$L,MATCH($B354,EID!$B:$B,0)),0)/2,IF(SUM($BG354)=0,"",ROUND($AX354/$BG354,0)))</f>
        <v>0</v>
      </c>
    </row>
    <row r="355" spans="1:60" x14ac:dyDescent="0.2">
      <c r="A355" t="str">
        <f>INDEX(Prioritization!$D:$D,MATCH($B355,Prioritization!$A:$A,0))</f>
        <v>INVALID</v>
      </c>
      <c r="B355" t="s">
        <v>217</v>
      </c>
      <c r="C355" t="s">
        <v>363</v>
      </c>
      <c r="D355" t="s">
        <v>29</v>
      </c>
      <c r="E355" t="str">
        <f t="shared" si="126"/>
        <v>Neno District [gwVYinjBAe9]|10-14|Female</v>
      </c>
      <c r="F355" s="14"/>
      <c r="G355" s="14">
        <v>3</v>
      </c>
      <c r="H355" s="14">
        <v>1</v>
      </c>
      <c r="I355" s="14">
        <v>64</v>
      </c>
      <c r="J355" s="14">
        <v>13</v>
      </c>
      <c r="K355" s="14">
        <v>53</v>
      </c>
      <c r="L355" s="14">
        <v>1</v>
      </c>
      <c r="M355" s="14">
        <v>1</v>
      </c>
      <c r="N355" s="14">
        <v>51</v>
      </c>
      <c r="O355" s="14">
        <f t="shared" si="127"/>
        <v>64</v>
      </c>
      <c r="P355" s="14">
        <v>29</v>
      </c>
      <c r="Q355" s="14">
        <v>65</v>
      </c>
      <c r="R355" s="14">
        <f t="shared" si="128"/>
        <v>0</v>
      </c>
      <c r="S355" s="14">
        <f>IF(LEFT($B355,4)="_Mil","",_xlfn.IFNA(ROUND(INDEX(Spectrum!$N:$N,MATCH(RIGHT($B355,13)&amp;"|"&amp;$C355&amp;"|"&amp;$D355&amp;"|"&amp;S$14&amp;"|"&amp;"CY2022Q4",Spectrum!$R:$R,0)),0),""))</f>
        <v>1783</v>
      </c>
      <c r="T355" s="42">
        <f>IF(LEFT($B355,4)="_Mil","",_xlfn.IFNA(ROUND(INDEX(Spectrum!$N:$N,MATCH(RIGHT($B355,13)&amp;"|"&amp;$C355&amp;"|"&amp;$D355&amp;"|"&amp;T$14&amp;"|"&amp;"CY2023Q3",Spectrum!$R:$R,0)),0),""))</f>
        <v>1505</v>
      </c>
      <c r="U355" s="42" t="str">
        <f>IF(LEFT($B355,4)="_Mil","",_xlfn.IFNA(ROUND(INDEX(Spectrum!$N:$N,MATCH(RIGHT($B355,13)&amp;"|"&amp;$C355&amp;"|"&amp;$D355&amp;"|"&amp;U$14&amp;"|"&amp;"CY2023Q3",Spectrum!$R:$R,0)),0),""))</f>
        <v/>
      </c>
      <c r="V355" s="14">
        <f>IF(LEFT($B355,4)="_Mil","",_xlfn.IFNA(ROUND(INDEX(Spectrum!$N:$N,MATCH(RIGHT($B355,13)&amp;"|"&amp;$C355&amp;"|"&amp;$D355&amp;"|"&amp;V$14&amp;"|"&amp;"CY2023Q3",Spectrum!$R:$R,0)),0),""))</f>
        <v>1238</v>
      </c>
      <c r="W355" s="115">
        <f>IF(LEFT($B355,4)="_Mil","",_xlfn.IFNA(INDEX(Spectrum!$N:$N,MATCH(RIGHT($B355,13)&amp;"|"&amp;$C355&amp;"|"&amp;$D355&amp;"|"&amp;W$14&amp;"|"&amp;"CY2023Q3",Spectrum!$R:$R,0)),""))</f>
        <v>685</v>
      </c>
      <c r="X355" s="42">
        <f>IF(LEFT($B355,4)="_Mil","",_xlfn.IFNA(ROUND(INDEX(Spectrum!$N:$N,MATCH(RIGHT($B355,13)&amp;"|"&amp;$C355&amp;"|"&amp;$D355&amp;"|"&amp;X$14&amp;"|"&amp;"CY2023Q3",Spectrum!$R:$R,0)),0),""))</f>
        <v>1469</v>
      </c>
      <c r="Y355" s="90" t="str">
        <f t="shared" si="129"/>
        <v/>
      </c>
      <c r="Z355" s="42">
        <f>IF(LEFT($B355,4)="_Mil","",_xlfn.IFNA(ROUND(INDEX(Spectrum!$N:$N,MATCH(RIGHT($B355,13)&amp;"|"&amp;$C355&amp;"|"&amp;$D355&amp;"|"&amp;Z$14&amp;"|"&amp;"CY2023Q3",Spectrum!$R:$R,0)),0),""))</f>
        <v>763</v>
      </c>
      <c r="AA355" s="90">
        <f>IF(LEFT($B355,4)="_Mil","",IFERROR(1/(1/INDEX(Spectrum!$N:$N,MATCH(RIGHT($B355,13)&amp;"|"&amp;$C355&amp;"|"&amp;$D355&amp;"|"&amp;AA$14&amp;"|"&amp;"CY2023Q3",Spectrum!$R:$R,0))),IF(SUM($U355)=0,"",SUM($Z355)/$U355)))</f>
        <v>574</v>
      </c>
      <c r="AB355" s="90">
        <f t="shared" si="130"/>
        <v>0.51940095302927158</v>
      </c>
      <c r="AC355" s="14">
        <f>IF(LEFT($B355,4)="_Mil","",_xlfn.IFNA(ROUND(INDEX(Spectrum!$N:$N,MATCH(RIGHT($B355,13)&amp;"|"&amp;$C355&amp;"|"&amp;$D355&amp;"|"&amp;AC$14&amp;"|"&amp;"CY2023Q3",Spectrum!$R:$R,0)),0),""))</f>
        <v>1674</v>
      </c>
      <c r="AD355" s="14" t="str">
        <f>IF(LEFT($B355,4)="_Mil","",_xlfn.IFNA(ROUND(INDEX(Spectrum!$N:$N,MATCH(RIGHT($B355,13)&amp;"|"&amp;$C355&amp;"|"&amp;$D355&amp;"|"&amp;AD$14&amp;"|"&amp;"CY2023Q3",Spectrum!$R:$R,0)),0),""))</f>
        <v/>
      </c>
      <c r="AE355" s="90">
        <f t="shared" si="131"/>
        <v>0</v>
      </c>
      <c r="AF355" s="42" t="str">
        <f>IF(LEFT($B355,4)="_Mil","",_xlfn.IFNA(ROUND(INDEX(Spectrum!$N:$N,MATCH(RIGHT($B355,13)&amp;"|"&amp;$C355&amp;"|"&amp;$D355&amp;"|"&amp;AF$14&amp;"|"&amp;"CY2023Q3",Spectrum!$R:$R,0)),0),""))</f>
        <v/>
      </c>
      <c r="AG355" s="90" t="str">
        <f t="shared" si="132"/>
        <v/>
      </c>
      <c r="AH355" s="88" t="str">
        <f>IF(LEFT($B355,4)="_Mil","",_xlfn.IFNA(INDEX(Spectrum!$N:$N,MATCH(RIGHT($B355,13)&amp;"|"&amp;$C355&amp;"|"&amp;$D355&amp;"|"&amp;AH$14&amp;"|"&amp;"CY2023Q3",Spectrum!$R:$R,0)),""))</f>
        <v/>
      </c>
      <c r="AI355" s="14" t="str">
        <f>IF(LEFT($B355,4)="_Mil","",_xlfn.IFNA(ROUND(INDEX(Spectrum!$N:$N,MATCH(RIGHT($B355,13)&amp;"|"&amp;$C355&amp;"|"&amp;$D355&amp;"|"&amp;AI$14&amp;"|"&amp;"CY2023Q3",Spectrum!$R:$R,0)),0),""))</f>
        <v/>
      </c>
      <c r="AJ355" s="42">
        <f>IF(LEFT($B355,4)="_Mil","",_xlfn.IFNA(ROUND(INDEX(Spectrum!$N:$N,MATCH(RIGHT($B355,13)&amp;"|"&amp;$C355&amp;"|"&amp;$D355&amp;"|"&amp;AI$14&amp;"|"&amp;"CY2023Q3",Spectrum!$R:$R,0)),0),SUM($U355)+SUM($AI355)))</f>
        <v>0</v>
      </c>
      <c r="AK355" s="14" t="str">
        <f>IF(LEFT($B355,4)="_Mil","",_xlfn.IFNA(ROUND(INDEX(Spectrum!$N:$N,MATCH(RIGHT($B355,13)&amp;"|"&amp;$C355&amp;"|"&amp;$D355&amp;"|"&amp;AK$14&amp;"|"&amp;"CY2023Q3",Spectrum!$R:$R,0)),0),""))</f>
        <v/>
      </c>
      <c r="AL355" s="90">
        <f t="shared" si="133"/>
        <v>574</v>
      </c>
      <c r="AM355" s="14">
        <f t="shared" si="134"/>
        <v>0</v>
      </c>
      <c r="AN355" s="14" t="str">
        <f>IF($C355="&lt;01",ROUND(INDEX(EID!$P:$P,MATCH($B355,EID!$B:$B,0))/2,0),"")</f>
        <v/>
      </c>
      <c r="AO355" s="14">
        <f t="shared" si="135"/>
        <v>0</v>
      </c>
      <c r="AP355" s="42">
        <f t="shared" si="136"/>
        <v>0</v>
      </c>
      <c r="AQ355" s="42">
        <f t="shared" si="137"/>
        <v>763</v>
      </c>
      <c r="AR355" s="90" t="str">
        <f t="shared" si="138"/>
        <v/>
      </c>
      <c r="AS355" s="90">
        <f t="shared" ref="AS355:AT374" si="149">IF($C355="&lt;01","",98%)</f>
        <v>0.98</v>
      </c>
      <c r="AT355" s="90">
        <f t="shared" si="149"/>
        <v>0.98</v>
      </c>
      <c r="AU355" s="14">
        <f t="shared" si="140"/>
        <v>-64</v>
      </c>
      <c r="AV355" s="14">
        <f>IF($C355="&lt;01",ROUND(INDEX(EID!$N:$N,MATCH($B355,EID!$B:$B,0))/2,0),IF(SUM($AT355)=0,"",ROUND((SUM($AP355)-(SUM($O355)*SUM($AS355)))/$AT355,0)))</f>
        <v>-64</v>
      </c>
      <c r="AW355" s="90">
        <f t="shared" si="141"/>
        <v>1</v>
      </c>
      <c r="AX355" s="42">
        <f t="shared" si="142"/>
        <v>-64</v>
      </c>
      <c r="AY355" s="116">
        <f t="shared" si="143"/>
        <v>0.7</v>
      </c>
      <c r="AZ355" s="93">
        <f>IF($C355="&lt;01",ROUND(INDEX(EID!$R:$R,MATCH($B355,EID!$B:$B,0))/2,0),ROUND(SUM($O355)+(SUM($AV355)*$AY355),0))</f>
        <v>19</v>
      </c>
      <c r="BA355" s="89">
        <f t="shared" si="144"/>
        <v>0.95</v>
      </c>
      <c r="BB355" s="9">
        <f>IF($C355="&lt;01",ROUND(INDEX(EID!$T:$T,MATCH($B355,EID!$B:$B,0))/2,0),ROUND($AZ355*$BA355,0))</f>
        <v>18</v>
      </c>
      <c r="BC355" s="93">
        <f t="shared" si="145"/>
        <v>18</v>
      </c>
      <c r="BD355" s="90">
        <f t="shared" si="146"/>
        <v>0.95</v>
      </c>
      <c r="BE355" s="42">
        <f>IF($C355="&lt;01",ROUND(INDEX(EID!$V:$V,MATCH($B355,EID!$B:$B,0))/2,0),ROUND($BD355*$BB355,0))</f>
        <v>17</v>
      </c>
      <c r="BF355" s="42">
        <f t="shared" si="147"/>
        <v>17</v>
      </c>
      <c r="BG355" s="116">
        <f t="shared" si="148"/>
        <v>0.95</v>
      </c>
      <c r="BH355" s="9">
        <f>IF($C355="&lt;01",ROUND(INDEX(EID!$L:$L,MATCH($B355,EID!$B:$B,0)),0)/2,IF(SUM($BG355)=0,"",ROUND($AX355/$BG355,0)))</f>
        <v>-67</v>
      </c>
    </row>
    <row r="356" spans="1:60" x14ac:dyDescent="0.2">
      <c r="A356" t="str">
        <f>INDEX(Prioritization!$D:$D,MATCH($B356,Prioritization!$A:$A,0))</f>
        <v>INVALID</v>
      </c>
      <c r="B356" t="s">
        <v>217</v>
      </c>
      <c r="C356" t="s">
        <v>363</v>
      </c>
      <c r="D356" t="s">
        <v>47</v>
      </c>
      <c r="E356" t="str">
        <f t="shared" si="126"/>
        <v>Neno District [gwVYinjBAe9]|10-14|Male</v>
      </c>
      <c r="F356" s="14"/>
      <c r="G356" s="14">
        <v>4</v>
      </c>
      <c r="H356" s="14">
        <v>0</v>
      </c>
      <c r="I356" s="14">
        <v>66</v>
      </c>
      <c r="J356" s="14">
        <v>32</v>
      </c>
      <c r="K356" s="14">
        <v>3</v>
      </c>
      <c r="L356" s="14"/>
      <c r="M356" s="14"/>
      <c r="N356" s="14">
        <v>89</v>
      </c>
      <c r="O356" s="14">
        <f t="shared" si="127"/>
        <v>89</v>
      </c>
      <c r="P356" s="14">
        <v>97</v>
      </c>
      <c r="Q356" s="14">
        <v>11</v>
      </c>
      <c r="R356" s="14">
        <f t="shared" si="128"/>
        <v>23</v>
      </c>
      <c r="S356" s="14">
        <f>IF(LEFT($B356,4)="_Mil","",_xlfn.IFNA(ROUND(INDEX(Spectrum!$N:$N,MATCH(RIGHT($B356,13)&amp;"|"&amp;$C356&amp;"|"&amp;$D356&amp;"|"&amp;S$14&amp;"|"&amp;"CY2022Q4",Spectrum!$R:$R,0)),0),""))</f>
        <v>1551</v>
      </c>
      <c r="T356" s="42">
        <f>IF(LEFT($B356,4)="_Mil","",_xlfn.IFNA(ROUND(INDEX(Spectrum!$N:$N,MATCH(RIGHT($B356,13)&amp;"|"&amp;$C356&amp;"|"&amp;$D356&amp;"|"&amp;T$14&amp;"|"&amp;"CY2023Q3",Spectrum!$R:$R,0)),0),""))</f>
        <v>1960</v>
      </c>
      <c r="U356" s="42" t="str">
        <f>IF(LEFT($B356,4)="_Mil","",_xlfn.IFNA(ROUND(INDEX(Spectrum!$N:$N,MATCH(RIGHT($B356,13)&amp;"|"&amp;$C356&amp;"|"&amp;$D356&amp;"|"&amp;U$14&amp;"|"&amp;"CY2023Q3",Spectrum!$R:$R,0)),0),""))</f>
        <v/>
      </c>
      <c r="V356" s="14">
        <f>IF(LEFT($B356,4)="_Mil","",_xlfn.IFNA(ROUND(INDEX(Spectrum!$N:$N,MATCH(RIGHT($B356,13)&amp;"|"&amp;$C356&amp;"|"&amp;$D356&amp;"|"&amp;V$14&amp;"|"&amp;"CY2023Q3",Spectrum!$R:$R,0)),0),""))</f>
        <v>976</v>
      </c>
      <c r="W356" s="115">
        <f>IF(LEFT($B356,4)="_Mil","",_xlfn.IFNA(INDEX(Spectrum!$N:$N,MATCH(RIGHT($B356,13)&amp;"|"&amp;$C356&amp;"|"&amp;$D356&amp;"|"&amp;W$14&amp;"|"&amp;"CY2023Q3",Spectrum!$R:$R,0)),""))</f>
        <v>1679</v>
      </c>
      <c r="X356" s="42">
        <f>IF(LEFT($B356,4)="_Mil","",_xlfn.IFNA(ROUND(INDEX(Spectrum!$N:$N,MATCH(RIGHT($B356,13)&amp;"|"&amp;$C356&amp;"|"&amp;$D356&amp;"|"&amp;X$14&amp;"|"&amp;"CY2023Q3",Spectrum!$R:$R,0)),0),""))</f>
        <v>1294</v>
      </c>
      <c r="Y356" s="90" t="str">
        <f t="shared" si="129"/>
        <v/>
      </c>
      <c r="Z356" s="42">
        <f>IF(LEFT($B356,4)="_Mil","",_xlfn.IFNA(ROUND(INDEX(Spectrum!$N:$N,MATCH(RIGHT($B356,13)&amp;"|"&amp;$C356&amp;"|"&amp;$D356&amp;"|"&amp;Z$14&amp;"|"&amp;"CY2023Q3",Spectrum!$R:$R,0)),0),""))</f>
        <v>1908</v>
      </c>
      <c r="AA356" s="90">
        <f>IF(LEFT($B356,4)="_Mil","",IFERROR(1/(1/INDEX(Spectrum!$N:$N,MATCH(RIGHT($B356,13)&amp;"|"&amp;$C356&amp;"|"&amp;$D356&amp;"|"&amp;AA$14&amp;"|"&amp;"CY2023Q3",Spectrum!$R:$R,0))),IF(SUM($U356)=0,"",SUM($Z356)/$U356)))</f>
        <v>1598</v>
      </c>
      <c r="AB356" s="90">
        <f t="shared" si="130"/>
        <v>1.4744976816074189</v>
      </c>
      <c r="AC356" s="14">
        <f>IF(LEFT($B356,4)="_Mil","",_xlfn.IFNA(ROUND(INDEX(Spectrum!$N:$N,MATCH(RIGHT($B356,13)&amp;"|"&amp;$C356&amp;"|"&amp;$D356&amp;"|"&amp;AC$14&amp;"|"&amp;"CY2023Q3",Spectrum!$R:$R,0)),0),""))</f>
        <v>1492</v>
      </c>
      <c r="AD356" s="14" t="str">
        <f>IF(LEFT($B356,4)="_Mil","",_xlfn.IFNA(ROUND(INDEX(Spectrum!$N:$N,MATCH(RIGHT($B356,13)&amp;"|"&amp;$C356&amp;"|"&amp;$D356&amp;"|"&amp;AD$14&amp;"|"&amp;"CY2023Q3",Spectrum!$R:$R,0)),0),""))</f>
        <v/>
      </c>
      <c r="AE356" s="90">
        <f t="shared" si="131"/>
        <v>0</v>
      </c>
      <c r="AF356" s="42" t="str">
        <f>IF(LEFT($B356,4)="_Mil","",_xlfn.IFNA(ROUND(INDEX(Spectrum!$N:$N,MATCH(RIGHT($B356,13)&amp;"|"&amp;$C356&amp;"|"&amp;$D356&amp;"|"&amp;AF$14&amp;"|"&amp;"CY2023Q3",Spectrum!$R:$R,0)),0),""))</f>
        <v/>
      </c>
      <c r="AG356" s="90" t="str">
        <f t="shared" si="132"/>
        <v/>
      </c>
      <c r="AH356" s="88" t="str">
        <f>IF(LEFT($B356,4)="_Mil","",_xlfn.IFNA(INDEX(Spectrum!$N:$N,MATCH(RIGHT($B356,13)&amp;"|"&amp;$C356&amp;"|"&amp;$D356&amp;"|"&amp;AH$14&amp;"|"&amp;"CY2023Q3",Spectrum!$R:$R,0)),""))</f>
        <v/>
      </c>
      <c r="AI356" s="14" t="str">
        <f>IF(LEFT($B356,4)="_Mil","",_xlfn.IFNA(ROUND(INDEX(Spectrum!$N:$N,MATCH(RIGHT($B356,13)&amp;"|"&amp;$C356&amp;"|"&amp;$D356&amp;"|"&amp;AI$14&amp;"|"&amp;"CY2023Q3",Spectrum!$R:$R,0)),0),""))</f>
        <v/>
      </c>
      <c r="AJ356" s="42">
        <f>IF(LEFT($B356,4)="_Mil","",_xlfn.IFNA(ROUND(INDEX(Spectrum!$N:$N,MATCH(RIGHT($B356,13)&amp;"|"&amp;$C356&amp;"|"&amp;$D356&amp;"|"&amp;AI$14&amp;"|"&amp;"CY2023Q3",Spectrum!$R:$R,0)),0),SUM($U356)+SUM($AI356)))</f>
        <v>0</v>
      </c>
      <c r="AK356" s="14" t="str">
        <f>IF(LEFT($B356,4)="_Mil","",_xlfn.IFNA(ROUND(INDEX(Spectrum!$N:$N,MATCH(RIGHT($B356,13)&amp;"|"&amp;$C356&amp;"|"&amp;$D356&amp;"|"&amp;AK$14&amp;"|"&amp;"CY2023Q3",Spectrum!$R:$R,0)),0),""))</f>
        <v/>
      </c>
      <c r="AL356" s="90">
        <f t="shared" si="133"/>
        <v>1598</v>
      </c>
      <c r="AM356" s="14">
        <f t="shared" si="134"/>
        <v>0</v>
      </c>
      <c r="AN356" s="14" t="str">
        <f>IF($C356="&lt;01",ROUND(INDEX(EID!$P:$P,MATCH($B356,EID!$B:$B,0))/2,0),"")</f>
        <v/>
      </c>
      <c r="AO356" s="14">
        <f t="shared" si="135"/>
        <v>0</v>
      </c>
      <c r="AP356" s="42">
        <f t="shared" si="136"/>
        <v>0</v>
      </c>
      <c r="AQ356" s="42">
        <f t="shared" si="137"/>
        <v>1908</v>
      </c>
      <c r="AR356" s="90" t="str">
        <f t="shared" si="138"/>
        <v/>
      </c>
      <c r="AS356" s="90">
        <f t="shared" si="149"/>
        <v>0.98</v>
      </c>
      <c r="AT356" s="90">
        <f t="shared" si="149"/>
        <v>0.98</v>
      </c>
      <c r="AU356" s="14">
        <f t="shared" si="140"/>
        <v>-89</v>
      </c>
      <c r="AV356" s="14">
        <f>IF($C356="&lt;01",ROUND(INDEX(EID!$N:$N,MATCH($B356,EID!$B:$B,0))/2,0),IF(SUM($AT356)=0,"",ROUND((SUM($AP356)-(SUM($O356)*SUM($AS356)))/$AT356,0)))</f>
        <v>-89</v>
      </c>
      <c r="AW356" s="90">
        <f t="shared" si="141"/>
        <v>1</v>
      </c>
      <c r="AX356" s="42">
        <f t="shared" si="142"/>
        <v>-89</v>
      </c>
      <c r="AY356" s="116">
        <f t="shared" si="143"/>
        <v>0.7</v>
      </c>
      <c r="AZ356" s="93">
        <f>IF($C356="&lt;01",ROUND(INDEX(EID!$R:$R,MATCH($B356,EID!$B:$B,0))/2,0),ROUND(SUM($O356)+(SUM($AV356)*$AY356),0))</f>
        <v>27</v>
      </c>
      <c r="BA356" s="89">
        <f t="shared" si="144"/>
        <v>0.95</v>
      </c>
      <c r="BB356" s="9">
        <f>IF($C356="&lt;01",ROUND(INDEX(EID!$T:$T,MATCH($B356,EID!$B:$B,0))/2,0),ROUND($AZ356*$BA356,0))</f>
        <v>26</v>
      </c>
      <c r="BC356" s="93">
        <f t="shared" si="145"/>
        <v>26</v>
      </c>
      <c r="BD356" s="90">
        <f t="shared" si="146"/>
        <v>0.95</v>
      </c>
      <c r="BE356" s="42">
        <f>IF($C356="&lt;01",ROUND(INDEX(EID!$V:$V,MATCH($B356,EID!$B:$B,0))/2,0),ROUND($BD356*$BB356,0))</f>
        <v>25</v>
      </c>
      <c r="BF356" s="42">
        <f t="shared" si="147"/>
        <v>25</v>
      </c>
      <c r="BG356" s="116">
        <f t="shared" si="148"/>
        <v>0.95</v>
      </c>
      <c r="BH356" s="9">
        <f>IF($C356="&lt;01",ROUND(INDEX(EID!$L:$L,MATCH($B356,EID!$B:$B,0)),0)/2,IF(SUM($BG356)=0,"",ROUND($AX356/$BG356,0)))</f>
        <v>-94</v>
      </c>
    </row>
    <row r="357" spans="1:60" x14ac:dyDescent="0.2">
      <c r="A357" t="str">
        <f>INDEX(Prioritization!$D:$D,MATCH($B357,Prioritization!$A:$A,0))</f>
        <v>INVALID</v>
      </c>
      <c r="B357" t="s">
        <v>217</v>
      </c>
      <c r="C357" t="s">
        <v>364</v>
      </c>
      <c r="D357" t="s">
        <v>29</v>
      </c>
      <c r="E357" t="str">
        <f t="shared" si="126"/>
        <v>Neno District [gwVYinjBAe9]|15-24|Female</v>
      </c>
      <c r="F357" s="14"/>
      <c r="G357" s="14"/>
      <c r="H357" s="14"/>
      <c r="I357" s="14"/>
      <c r="J357" s="14"/>
      <c r="K357" s="14"/>
      <c r="L357" s="14"/>
      <c r="M357" s="14"/>
      <c r="N357" s="14"/>
      <c r="O357" s="14" t="str">
        <f t="shared" si="127"/>
        <v/>
      </c>
      <c r="P357" s="14"/>
      <c r="Q357" s="14"/>
      <c r="R357" s="14" t="str">
        <f t="shared" si="128"/>
        <v/>
      </c>
      <c r="S357" s="14">
        <f>IF(LEFT($B357,4)="_Mil","",_xlfn.IFNA(ROUND(INDEX(Spectrum!$N:$N,MATCH(RIGHT($B357,13)&amp;"|"&amp;$C357&amp;"|"&amp;$D357&amp;"|"&amp;S$14&amp;"|"&amp;"CY2022Q4",Spectrum!$R:$R,0)),0),""))</f>
        <v>626</v>
      </c>
      <c r="T357" s="42">
        <f>IF(LEFT($B357,4)="_Mil","",_xlfn.IFNA(ROUND(INDEX(Spectrum!$N:$N,MATCH(RIGHT($B357,13)&amp;"|"&amp;$C357&amp;"|"&amp;$D357&amp;"|"&amp;T$14&amp;"|"&amp;"CY2023Q3",Spectrum!$R:$R,0)),0),""))</f>
        <v>1886</v>
      </c>
      <c r="U357" s="42" t="str">
        <f>IF(LEFT($B357,4)="_Mil","",_xlfn.IFNA(ROUND(INDEX(Spectrum!$N:$N,MATCH(RIGHT($B357,13)&amp;"|"&amp;$C357&amp;"|"&amp;$D357&amp;"|"&amp;U$14&amp;"|"&amp;"CY2023Q3",Spectrum!$R:$R,0)),0),""))</f>
        <v/>
      </c>
      <c r="V357" s="14">
        <f>IF(LEFT($B357,4)="_Mil","",_xlfn.IFNA(ROUND(INDEX(Spectrum!$N:$N,MATCH(RIGHT($B357,13)&amp;"|"&amp;$C357&amp;"|"&amp;$D357&amp;"|"&amp;V$14&amp;"|"&amp;"CY2023Q3",Spectrum!$R:$R,0)),0),""))</f>
        <v>1560</v>
      </c>
      <c r="W357" s="115">
        <f>IF(LEFT($B357,4)="_Mil","",_xlfn.IFNA(INDEX(Spectrum!$N:$N,MATCH(RIGHT($B357,13)&amp;"|"&amp;$C357&amp;"|"&amp;$D357&amp;"|"&amp;W$14&amp;"|"&amp;"CY2023Q3",Spectrum!$R:$R,0)),""))</f>
        <v>1166</v>
      </c>
      <c r="X357" s="42">
        <f>IF(LEFT($B357,4)="_Mil","",_xlfn.IFNA(ROUND(INDEX(Spectrum!$N:$N,MATCH(RIGHT($B357,13)&amp;"|"&amp;$C357&amp;"|"&amp;$D357&amp;"|"&amp;X$14&amp;"|"&amp;"CY2023Q3",Spectrum!$R:$R,0)),0),""))</f>
        <v>613</v>
      </c>
      <c r="Y357" s="90" t="str">
        <f t="shared" si="129"/>
        <v/>
      </c>
      <c r="Z357" s="42">
        <f>IF(LEFT($B357,4)="_Mil","",_xlfn.IFNA(ROUND(INDEX(Spectrum!$N:$N,MATCH(RIGHT($B357,13)&amp;"|"&amp;$C357&amp;"|"&amp;$D357&amp;"|"&amp;Z$14&amp;"|"&amp;"CY2023Q3",Spectrum!$R:$R,0)),0),""))</f>
        <v>1980</v>
      </c>
      <c r="AA357" s="90">
        <f>IF(LEFT($B357,4)="_Mil","",IFERROR(1/(1/INDEX(Spectrum!$N:$N,MATCH(RIGHT($B357,13)&amp;"|"&amp;$C357&amp;"|"&amp;$D357&amp;"|"&amp;AA$14&amp;"|"&amp;"CY2023Q3",Spectrum!$R:$R,0))),IF(SUM($U357)=0,"",SUM($Z357)/$U357)))</f>
        <v>1569</v>
      </c>
      <c r="AB357" s="90">
        <f t="shared" si="130"/>
        <v>3.230016313213703</v>
      </c>
      <c r="AC357" s="14">
        <f>IF(LEFT($B357,4)="_Mil","",_xlfn.IFNA(ROUND(INDEX(Spectrum!$N:$N,MATCH(RIGHT($B357,13)&amp;"|"&amp;$C357&amp;"|"&amp;$D357&amp;"|"&amp;AC$14&amp;"|"&amp;"CY2023Q3",Spectrum!$R:$R,0)),0),""))</f>
        <v>1569</v>
      </c>
      <c r="AD357" s="14" t="str">
        <f>IF(LEFT($B357,4)="_Mil","",_xlfn.IFNA(ROUND(INDEX(Spectrum!$N:$N,MATCH(RIGHT($B357,13)&amp;"|"&amp;$C357&amp;"|"&amp;$D357&amp;"|"&amp;AD$14&amp;"|"&amp;"CY2023Q3",Spectrum!$R:$R,0)),0),""))</f>
        <v/>
      </c>
      <c r="AE357" s="90">
        <f t="shared" si="131"/>
        <v>0</v>
      </c>
      <c r="AF357" s="42" t="str">
        <f>IF(LEFT($B357,4)="_Mil","",_xlfn.IFNA(ROUND(INDEX(Spectrum!$N:$N,MATCH(RIGHT($B357,13)&amp;"|"&amp;$C357&amp;"|"&amp;$D357&amp;"|"&amp;AF$14&amp;"|"&amp;"CY2023Q3",Spectrum!$R:$R,0)),0),""))</f>
        <v/>
      </c>
      <c r="AG357" s="90" t="str">
        <f t="shared" si="132"/>
        <v/>
      </c>
      <c r="AH357" s="88" t="str">
        <f>IF(LEFT($B357,4)="_Mil","",_xlfn.IFNA(INDEX(Spectrum!$N:$N,MATCH(RIGHT($B357,13)&amp;"|"&amp;$C357&amp;"|"&amp;$D357&amp;"|"&amp;AH$14&amp;"|"&amp;"CY2023Q3",Spectrum!$R:$R,0)),""))</f>
        <v/>
      </c>
      <c r="AI357" s="14" t="str">
        <f>IF(LEFT($B357,4)="_Mil","",_xlfn.IFNA(ROUND(INDEX(Spectrum!$N:$N,MATCH(RIGHT($B357,13)&amp;"|"&amp;$C357&amp;"|"&amp;$D357&amp;"|"&amp;AI$14&amp;"|"&amp;"CY2023Q3",Spectrum!$R:$R,0)),0),""))</f>
        <v/>
      </c>
      <c r="AJ357" s="42">
        <f>IF(LEFT($B357,4)="_Mil","",_xlfn.IFNA(ROUND(INDEX(Spectrum!$N:$N,MATCH(RIGHT($B357,13)&amp;"|"&amp;$C357&amp;"|"&amp;$D357&amp;"|"&amp;AI$14&amp;"|"&amp;"CY2023Q3",Spectrum!$R:$R,0)),0),SUM($U357)+SUM($AI357)))</f>
        <v>0</v>
      </c>
      <c r="AK357" s="14" t="str">
        <f>IF(LEFT($B357,4)="_Mil","",_xlfn.IFNA(ROUND(INDEX(Spectrum!$N:$N,MATCH(RIGHT($B357,13)&amp;"|"&amp;$C357&amp;"|"&amp;$D357&amp;"|"&amp;AK$14&amp;"|"&amp;"CY2023Q3",Spectrum!$R:$R,0)),0),""))</f>
        <v/>
      </c>
      <c r="AL357" s="90">
        <f t="shared" si="133"/>
        <v>1569</v>
      </c>
      <c r="AM357" s="14">
        <f t="shared" si="134"/>
        <v>0</v>
      </c>
      <c r="AN357" s="14" t="str">
        <f>IF($C357="&lt;01",ROUND(INDEX(EID!$P:$P,MATCH($B357,EID!$B:$B,0))/2,0),"")</f>
        <v/>
      </c>
      <c r="AO357" s="14">
        <f t="shared" si="135"/>
        <v>0</v>
      </c>
      <c r="AP357" s="42">
        <f t="shared" si="136"/>
        <v>0</v>
      </c>
      <c r="AQ357" s="42">
        <f t="shared" si="137"/>
        <v>1980</v>
      </c>
      <c r="AR357" s="90" t="str">
        <f t="shared" si="138"/>
        <v/>
      </c>
      <c r="AS357" s="90">
        <f t="shared" si="149"/>
        <v>0.98</v>
      </c>
      <c r="AT357" s="90">
        <f t="shared" si="149"/>
        <v>0.98</v>
      </c>
      <c r="AU357" s="14">
        <f t="shared" si="140"/>
        <v>0</v>
      </c>
      <c r="AV357" s="14">
        <f>IF($C357="&lt;01",ROUND(INDEX(EID!$N:$N,MATCH($B357,EID!$B:$B,0))/2,0),IF(SUM($AT357)=0,"",ROUND((SUM($AP357)-(SUM($O357)*SUM($AS357)))/$AT357,0)))</f>
        <v>0</v>
      </c>
      <c r="AW357" s="90">
        <f t="shared" si="141"/>
        <v>1</v>
      </c>
      <c r="AX357" s="42">
        <f t="shared" si="142"/>
        <v>0</v>
      </c>
      <c r="AY357" s="116">
        <f t="shared" si="143"/>
        <v>0.7</v>
      </c>
      <c r="AZ357" s="93">
        <f>IF($C357="&lt;01",ROUND(INDEX(EID!$R:$R,MATCH($B357,EID!$B:$B,0))/2,0),ROUND(SUM($O357)+(SUM($AV357)*$AY357),0))</f>
        <v>0</v>
      </c>
      <c r="BA357" s="89">
        <f t="shared" si="144"/>
        <v>0.95</v>
      </c>
      <c r="BB357" s="9">
        <f>IF($C357="&lt;01",ROUND(INDEX(EID!$T:$T,MATCH($B357,EID!$B:$B,0))/2,0),ROUND($AZ357*$BA357,0))</f>
        <v>0</v>
      </c>
      <c r="BC357" s="93">
        <f t="shared" si="145"/>
        <v>0</v>
      </c>
      <c r="BD357" s="90">
        <f t="shared" si="146"/>
        <v>0.95</v>
      </c>
      <c r="BE357" s="42">
        <f>IF($C357="&lt;01",ROUND(INDEX(EID!$V:$V,MATCH($B357,EID!$B:$B,0))/2,0),ROUND($BD357*$BB357,0))</f>
        <v>0</v>
      </c>
      <c r="BF357" s="42">
        <f t="shared" si="147"/>
        <v>0</v>
      </c>
      <c r="BG357" s="116">
        <f t="shared" si="148"/>
        <v>0.95</v>
      </c>
      <c r="BH357" s="9">
        <f>IF($C357="&lt;01",ROUND(INDEX(EID!$L:$L,MATCH($B357,EID!$B:$B,0)),0)/2,IF(SUM($BG357)=0,"",ROUND($AX357/$BG357,0)))</f>
        <v>0</v>
      </c>
    </row>
    <row r="358" spans="1:60" x14ac:dyDescent="0.2">
      <c r="A358" t="str">
        <f>INDEX(Prioritization!$D:$D,MATCH($B358,Prioritization!$A:$A,0))</f>
        <v>INVALID</v>
      </c>
      <c r="B358" t="s">
        <v>217</v>
      </c>
      <c r="C358" t="s">
        <v>364</v>
      </c>
      <c r="D358" t="s">
        <v>47</v>
      </c>
      <c r="E358" t="str">
        <f t="shared" si="126"/>
        <v>Neno District [gwVYinjBAe9]|15-24|Male</v>
      </c>
      <c r="F358" s="14"/>
      <c r="G358" s="14"/>
      <c r="H358" s="14"/>
      <c r="I358" s="14"/>
      <c r="J358" s="14"/>
      <c r="K358" s="14"/>
      <c r="L358" s="14"/>
      <c r="M358" s="14"/>
      <c r="N358" s="14"/>
      <c r="O358" s="14" t="str">
        <f t="shared" si="127"/>
        <v/>
      </c>
      <c r="P358" s="14"/>
      <c r="Q358" s="14"/>
      <c r="R358" s="14" t="str">
        <f t="shared" si="128"/>
        <v/>
      </c>
      <c r="S358" s="14">
        <f>IF(LEFT($B358,4)="_Mil","",_xlfn.IFNA(ROUND(INDEX(Spectrum!$N:$N,MATCH(RIGHT($B358,13)&amp;"|"&amp;$C358&amp;"|"&amp;$D358&amp;"|"&amp;S$14&amp;"|"&amp;"CY2022Q4",Spectrum!$R:$R,0)),0),""))</f>
        <v>1182</v>
      </c>
      <c r="T358" s="42">
        <f>IF(LEFT($B358,4)="_Mil","",_xlfn.IFNA(ROUND(INDEX(Spectrum!$N:$N,MATCH(RIGHT($B358,13)&amp;"|"&amp;$C358&amp;"|"&amp;$D358&amp;"|"&amp;T$14&amp;"|"&amp;"CY2023Q3",Spectrum!$R:$R,0)),0),""))</f>
        <v>1900</v>
      </c>
      <c r="U358" s="42" t="str">
        <f>IF(LEFT($B358,4)="_Mil","",_xlfn.IFNA(ROUND(INDEX(Spectrum!$N:$N,MATCH(RIGHT($B358,13)&amp;"|"&amp;$C358&amp;"|"&amp;$D358&amp;"|"&amp;U$14&amp;"|"&amp;"CY2023Q3",Spectrum!$R:$R,0)),0),""))</f>
        <v/>
      </c>
      <c r="V358" s="14">
        <f>IF(LEFT($B358,4)="_Mil","",_xlfn.IFNA(ROUND(INDEX(Spectrum!$N:$N,MATCH(RIGHT($B358,13)&amp;"|"&amp;$C358&amp;"|"&amp;$D358&amp;"|"&amp;V$14&amp;"|"&amp;"CY2023Q3",Spectrum!$R:$R,0)),0),""))</f>
        <v>524</v>
      </c>
      <c r="W358" s="115">
        <f>IF(LEFT($B358,4)="_Mil","",_xlfn.IFNA(INDEX(Spectrum!$N:$N,MATCH(RIGHT($B358,13)&amp;"|"&amp;$C358&amp;"|"&amp;$D358&amp;"|"&amp;W$14&amp;"|"&amp;"CY2023Q3",Spectrum!$R:$R,0)),""))</f>
        <v>545</v>
      </c>
      <c r="X358" s="42">
        <f>IF(LEFT($B358,4)="_Mil","",_xlfn.IFNA(ROUND(INDEX(Spectrum!$N:$N,MATCH(RIGHT($B358,13)&amp;"|"&amp;$C358&amp;"|"&amp;$D358&amp;"|"&amp;X$14&amp;"|"&amp;"CY2023Q3",Spectrum!$R:$R,0)),0),""))</f>
        <v>1096</v>
      </c>
      <c r="Y358" s="90" t="str">
        <f t="shared" si="129"/>
        <v/>
      </c>
      <c r="Z358" s="42">
        <f>IF(LEFT($B358,4)="_Mil","",_xlfn.IFNA(ROUND(INDEX(Spectrum!$N:$N,MATCH(RIGHT($B358,13)&amp;"|"&amp;$C358&amp;"|"&amp;$D358&amp;"|"&amp;Z$14&amp;"|"&amp;"CY2023Q3",Spectrum!$R:$R,0)),0),""))</f>
        <v>1773</v>
      </c>
      <c r="AA358" s="90">
        <f>IF(LEFT($B358,4)="_Mil","",IFERROR(1/(1/INDEX(Spectrum!$N:$N,MATCH(RIGHT($B358,13)&amp;"|"&amp;$C358&amp;"|"&amp;$D358&amp;"|"&amp;AA$14&amp;"|"&amp;"CY2023Q3",Spectrum!$R:$R,0))),IF(SUM($U358)=0,"",SUM($Z358)/$U358)))</f>
        <v>760</v>
      </c>
      <c r="AB358" s="90">
        <f t="shared" si="130"/>
        <v>1.6177007299270072</v>
      </c>
      <c r="AC358" s="14">
        <f>IF(LEFT($B358,4)="_Mil","",_xlfn.IFNA(ROUND(INDEX(Spectrum!$N:$N,MATCH(RIGHT($B358,13)&amp;"|"&amp;$C358&amp;"|"&amp;$D358&amp;"|"&amp;AC$14&amp;"|"&amp;"CY2023Q3",Spectrum!$R:$R,0)),0),""))</f>
        <v>1290</v>
      </c>
      <c r="AD358" s="14" t="str">
        <f>IF(LEFT($B358,4)="_Mil","",_xlfn.IFNA(ROUND(INDEX(Spectrum!$N:$N,MATCH(RIGHT($B358,13)&amp;"|"&amp;$C358&amp;"|"&amp;$D358&amp;"|"&amp;AD$14&amp;"|"&amp;"CY2023Q3",Spectrum!$R:$R,0)),0),""))</f>
        <v/>
      </c>
      <c r="AE358" s="90">
        <f t="shared" si="131"/>
        <v>0</v>
      </c>
      <c r="AF358" s="42" t="str">
        <f>IF(LEFT($B358,4)="_Mil","",_xlfn.IFNA(ROUND(INDEX(Spectrum!$N:$N,MATCH(RIGHT($B358,13)&amp;"|"&amp;$C358&amp;"|"&amp;$D358&amp;"|"&amp;AF$14&amp;"|"&amp;"CY2023Q3",Spectrum!$R:$R,0)),0),""))</f>
        <v/>
      </c>
      <c r="AG358" s="90" t="str">
        <f t="shared" si="132"/>
        <v/>
      </c>
      <c r="AH358" s="88" t="str">
        <f>IF(LEFT($B358,4)="_Mil","",_xlfn.IFNA(INDEX(Spectrum!$N:$N,MATCH(RIGHT($B358,13)&amp;"|"&amp;$C358&amp;"|"&amp;$D358&amp;"|"&amp;AH$14&amp;"|"&amp;"CY2023Q3",Spectrum!$R:$R,0)),""))</f>
        <v/>
      </c>
      <c r="AI358" s="14" t="str">
        <f>IF(LEFT($B358,4)="_Mil","",_xlfn.IFNA(ROUND(INDEX(Spectrum!$N:$N,MATCH(RIGHT($B358,13)&amp;"|"&amp;$C358&amp;"|"&amp;$D358&amp;"|"&amp;AI$14&amp;"|"&amp;"CY2023Q3",Spectrum!$R:$R,0)),0),""))</f>
        <v/>
      </c>
      <c r="AJ358" s="42">
        <f>IF(LEFT($B358,4)="_Mil","",_xlfn.IFNA(ROUND(INDEX(Spectrum!$N:$N,MATCH(RIGHT($B358,13)&amp;"|"&amp;$C358&amp;"|"&amp;$D358&amp;"|"&amp;AI$14&amp;"|"&amp;"CY2023Q3",Spectrum!$R:$R,0)),0),SUM($U358)+SUM($AI358)))</f>
        <v>0</v>
      </c>
      <c r="AK358" s="14" t="str">
        <f>IF(LEFT($B358,4)="_Mil","",_xlfn.IFNA(ROUND(INDEX(Spectrum!$N:$N,MATCH(RIGHT($B358,13)&amp;"|"&amp;$C358&amp;"|"&amp;$D358&amp;"|"&amp;AK$14&amp;"|"&amp;"CY2023Q3",Spectrum!$R:$R,0)),0),""))</f>
        <v/>
      </c>
      <c r="AL358" s="90">
        <f t="shared" si="133"/>
        <v>760</v>
      </c>
      <c r="AM358" s="14">
        <f t="shared" si="134"/>
        <v>0</v>
      </c>
      <c r="AN358" s="14" t="str">
        <f>IF($C358="&lt;01",ROUND(INDEX(EID!$P:$P,MATCH($B358,EID!$B:$B,0))/2,0),"")</f>
        <v/>
      </c>
      <c r="AO358" s="14">
        <f t="shared" si="135"/>
        <v>0</v>
      </c>
      <c r="AP358" s="42">
        <f t="shared" si="136"/>
        <v>0</v>
      </c>
      <c r="AQ358" s="42">
        <f t="shared" si="137"/>
        <v>1773</v>
      </c>
      <c r="AR358" s="90" t="str">
        <f t="shared" si="138"/>
        <v/>
      </c>
      <c r="AS358" s="90">
        <f t="shared" si="149"/>
        <v>0.98</v>
      </c>
      <c r="AT358" s="90">
        <f t="shared" si="149"/>
        <v>0.98</v>
      </c>
      <c r="AU358" s="14">
        <f t="shared" si="140"/>
        <v>0</v>
      </c>
      <c r="AV358" s="14">
        <f>IF($C358="&lt;01",ROUND(INDEX(EID!$N:$N,MATCH($B358,EID!$B:$B,0))/2,0),IF(SUM($AT358)=0,"",ROUND((SUM($AP358)-(SUM($O358)*SUM($AS358)))/$AT358,0)))</f>
        <v>0</v>
      </c>
      <c r="AW358" s="90">
        <f t="shared" si="141"/>
        <v>1</v>
      </c>
      <c r="AX358" s="42">
        <f t="shared" si="142"/>
        <v>0</v>
      </c>
      <c r="AY358" s="116">
        <f t="shared" si="143"/>
        <v>0.7</v>
      </c>
      <c r="AZ358" s="93">
        <f>IF($C358="&lt;01",ROUND(INDEX(EID!$R:$R,MATCH($B358,EID!$B:$B,0))/2,0),ROUND(SUM($O358)+(SUM($AV358)*$AY358),0))</f>
        <v>0</v>
      </c>
      <c r="BA358" s="89">
        <f t="shared" si="144"/>
        <v>0.95</v>
      </c>
      <c r="BB358" s="9">
        <f>IF($C358="&lt;01",ROUND(INDEX(EID!$T:$T,MATCH($B358,EID!$B:$B,0))/2,0),ROUND($AZ358*$BA358,0))</f>
        <v>0</v>
      </c>
      <c r="BC358" s="93">
        <f t="shared" si="145"/>
        <v>0</v>
      </c>
      <c r="BD358" s="90">
        <f t="shared" si="146"/>
        <v>0.95</v>
      </c>
      <c r="BE358" s="42">
        <f>IF($C358="&lt;01",ROUND(INDEX(EID!$V:$V,MATCH($B358,EID!$B:$B,0))/2,0),ROUND($BD358*$BB358,0))</f>
        <v>0</v>
      </c>
      <c r="BF358" s="42">
        <f t="shared" si="147"/>
        <v>0</v>
      </c>
      <c r="BG358" s="116">
        <f t="shared" si="148"/>
        <v>0.95</v>
      </c>
      <c r="BH358" s="9">
        <f>IF($C358="&lt;01",ROUND(INDEX(EID!$L:$L,MATCH($B358,EID!$B:$B,0)),0)/2,IF(SUM($BG358)=0,"",ROUND($AX358/$BG358,0)))</f>
        <v>0</v>
      </c>
    </row>
    <row r="359" spans="1:60" x14ac:dyDescent="0.2">
      <c r="A359" t="str">
        <f>INDEX(Prioritization!$D:$D,MATCH($B359,Prioritization!$A:$A,0))</f>
        <v>INVALID</v>
      </c>
      <c r="B359" t="s">
        <v>217</v>
      </c>
      <c r="C359" t="s">
        <v>365</v>
      </c>
      <c r="D359" t="s">
        <v>29</v>
      </c>
      <c r="E359" t="str">
        <f t="shared" si="126"/>
        <v>Neno District [gwVYinjBAe9]|25-34|Female</v>
      </c>
      <c r="F359" s="14"/>
      <c r="G359" s="14"/>
      <c r="H359" s="14"/>
      <c r="I359" s="14"/>
      <c r="J359" s="14"/>
      <c r="K359" s="14"/>
      <c r="L359" s="14"/>
      <c r="M359" s="14"/>
      <c r="N359" s="14"/>
      <c r="O359" s="14" t="str">
        <f t="shared" si="127"/>
        <v/>
      </c>
      <c r="P359" s="14"/>
      <c r="Q359" s="14"/>
      <c r="R359" s="14" t="str">
        <f t="shared" si="128"/>
        <v/>
      </c>
      <c r="S359" s="14">
        <f>IF(LEFT($B359,4)="_Mil","",_xlfn.IFNA(ROUND(INDEX(Spectrum!$N:$N,MATCH(RIGHT($B359,13)&amp;"|"&amp;$C359&amp;"|"&amp;$D359&amp;"|"&amp;S$14&amp;"|"&amp;"CY2022Q4",Spectrum!$R:$R,0)),0),""))</f>
        <v>952</v>
      </c>
      <c r="T359" s="42">
        <f>IF(LEFT($B359,4)="_Mil","",_xlfn.IFNA(ROUND(INDEX(Spectrum!$N:$N,MATCH(RIGHT($B359,13)&amp;"|"&amp;$C359&amp;"|"&amp;$D359&amp;"|"&amp;T$14&amp;"|"&amp;"CY2023Q3",Spectrum!$R:$R,0)),0),""))</f>
        <v>1797</v>
      </c>
      <c r="U359" s="42" t="str">
        <f>IF(LEFT($B359,4)="_Mil","",_xlfn.IFNA(ROUND(INDEX(Spectrum!$N:$N,MATCH(RIGHT($B359,13)&amp;"|"&amp;$C359&amp;"|"&amp;$D359&amp;"|"&amp;U$14&amp;"|"&amp;"CY2023Q3",Spectrum!$R:$R,0)),0),""))</f>
        <v/>
      </c>
      <c r="V359" s="14">
        <f>IF(LEFT($B359,4)="_Mil","",_xlfn.IFNA(ROUND(INDEX(Spectrum!$N:$N,MATCH(RIGHT($B359,13)&amp;"|"&amp;$C359&amp;"|"&amp;$D359&amp;"|"&amp;V$14&amp;"|"&amp;"CY2023Q3",Spectrum!$R:$R,0)),0),""))</f>
        <v>932</v>
      </c>
      <c r="W359" s="115">
        <f>IF(LEFT($B359,4)="_Mil","",_xlfn.IFNA(INDEX(Spectrum!$N:$N,MATCH(RIGHT($B359,13)&amp;"|"&amp;$C359&amp;"|"&amp;$D359&amp;"|"&amp;W$14&amp;"|"&amp;"CY2023Q3",Spectrum!$R:$R,0)),""))</f>
        <v>1779</v>
      </c>
      <c r="X359" s="42">
        <f>IF(LEFT($B359,4)="_Mil","",_xlfn.IFNA(ROUND(INDEX(Spectrum!$N:$N,MATCH(RIGHT($B359,13)&amp;"|"&amp;$C359&amp;"|"&amp;$D359&amp;"|"&amp;X$14&amp;"|"&amp;"CY2023Q3",Spectrum!$R:$R,0)),0),""))</f>
        <v>572</v>
      </c>
      <c r="Y359" s="90" t="str">
        <f t="shared" si="129"/>
        <v/>
      </c>
      <c r="Z359" s="42">
        <f>IF(LEFT($B359,4)="_Mil","",_xlfn.IFNA(ROUND(INDEX(Spectrum!$N:$N,MATCH(RIGHT($B359,13)&amp;"|"&amp;$C359&amp;"|"&amp;$D359&amp;"|"&amp;Z$14&amp;"|"&amp;"CY2023Q3",Spectrum!$R:$R,0)),0),""))</f>
        <v>831</v>
      </c>
      <c r="AA359" s="90">
        <f>IF(LEFT($B359,4)="_Mil","",IFERROR(1/(1/INDEX(Spectrum!$N:$N,MATCH(RIGHT($B359,13)&amp;"|"&amp;$C359&amp;"|"&amp;$D359&amp;"|"&amp;AA$14&amp;"|"&amp;"CY2023Q3",Spectrum!$R:$R,0))),IF(SUM($U359)=0,"",SUM($Z359)/$U359)))</f>
        <v>1438</v>
      </c>
      <c r="AB359" s="90">
        <f t="shared" si="130"/>
        <v>1.4527972027972027</v>
      </c>
      <c r="AC359" s="14">
        <f>IF(LEFT($B359,4)="_Mil","",_xlfn.IFNA(ROUND(INDEX(Spectrum!$N:$N,MATCH(RIGHT($B359,13)&amp;"|"&amp;$C359&amp;"|"&amp;$D359&amp;"|"&amp;AC$14&amp;"|"&amp;"CY2023Q3",Spectrum!$R:$R,0)),0),""))</f>
        <v>1210</v>
      </c>
      <c r="AD359" s="14" t="str">
        <f>IF(LEFT($B359,4)="_Mil","",_xlfn.IFNA(ROUND(INDEX(Spectrum!$N:$N,MATCH(RIGHT($B359,13)&amp;"|"&amp;$C359&amp;"|"&amp;$D359&amp;"|"&amp;AD$14&amp;"|"&amp;"CY2023Q3",Spectrum!$R:$R,0)),0),""))</f>
        <v/>
      </c>
      <c r="AE359" s="90">
        <f t="shared" si="131"/>
        <v>0</v>
      </c>
      <c r="AF359" s="42" t="str">
        <f>IF(LEFT($B359,4)="_Mil","",_xlfn.IFNA(ROUND(INDEX(Spectrum!$N:$N,MATCH(RIGHT($B359,13)&amp;"|"&amp;$C359&amp;"|"&amp;$D359&amp;"|"&amp;AF$14&amp;"|"&amp;"CY2023Q3",Spectrum!$R:$R,0)),0),""))</f>
        <v/>
      </c>
      <c r="AG359" s="90" t="str">
        <f t="shared" si="132"/>
        <v/>
      </c>
      <c r="AH359" s="88" t="str">
        <f>IF(LEFT($B359,4)="_Mil","",_xlfn.IFNA(INDEX(Spectrum!$N:$N,MATCH(RIGHT($B359,13)&amp;"|"&amp;$C359&amp;"|"&amp;$D359&amp;"|"&amp;AH$14&amp;"|"&amp;"CY2023Q3",Spectrum!$R:$R,0)),""))</f>
        <v/>
      </c>
      <c r="AI359" s="14" t="str">
        <f>IF(LEFT($B359,4)="_Mil","",_xlfn.IFNA(ROUND(INDEX(Spectrum!$N:$N,MATCH(RIGHT($B359,13)&amp;"|"&amp;$C359&amp;"|"&amp;$D359&amp;"|"&amp;AI$14&amp;"|"&amp;"CY2023Q3",Spectrum!$R:$R,0)),0),""))</f>
        <v/>
      </c>
      <c r="AJ359" s="42">
        <f>IF(LEFT($B359,4)="_Mil","",_xlfn.IFNA(ROUND(INDEX(Spectrum!$N:$N,MATCH(RIGHT($B359,13)&amp;"|"&amp;$C359&amp;"|"&amp;$D359&amp;"|"&amp;AI$14&amp;"|"&amp;"CY2023Q3",Spectrum!$R:$R,0)),0),SUM($U359)+SUM($AI359)))</f>
        <v>0</v>
      </c>
      <c r="AK359" s="14" t="str">
        <f>IF(LEFT($B359,4)="_Mil","",_xlfn.IFNA(ROUND(INDEX(Spectrum!$N:$N,MATCH(RIGHT($B359,13)&amp;"|"&amp;$C359&amp;"|"&amp;$D359&amp;"|"&amp;AK$14&amp;"|"&amp;"CY2023Q3",Spectrum!$R:$R,0)),0),""))</f>
        <v/>
      </c>
      <c r="AL359" s="90">
        <f t="shared" si="133"/>
        <v>1438</v>
      </c>
      <c r="AM359" s="14">
        <f t="shared" si="134"/>
        <v>0</v>
      </c>
      <c r="AN359" s="14" t="str">
        <f>IF($C359="&lt;01",ROUND(INDEX(EID!$P:$P,MATCH($B359,EID!$B:$B,0))/2,0),"")</f>
        <v/>
      </c>
      <c r="AO359" s="14">
        <f t="shared" si="135"/>
        <v>0</v>
      </c>
      <c r="AP359" s="42">
        <f t="shared" si="136"/>
        <v>0</v>
      </c>
      <c r="AQ359" s="42">
        <f t="shared" si="137"/>
        <v>831</v>
      </c>
      <c r="AR359" s="90" t="str">
        <f t="shared" si="138"/>
        <v/>
      </c>
      <c r="AS359" s="90">
        <f t="shared" si="149"/>
        <v>0.98</v>
      </c>
      <c r="AT359" s="90">
        <f t="shared" si="149"/>
        <v>0.98</v>
      </c>
      <c r="AU359" s="14">
        <f t="shared" si="140"/>
        <v>0</v>
      </c>
      <c r="AV359" s="14">
        <f>IF($C359="&lt;01",ROUND(INDEX(EID!$N:$N,MATCH($B359,EID!$B:$B,0))/2,0),IF(SUM($AT359)=0,"",ROUND((SUM($AP359)-(SUM($O359)*SUM($AS359)))/$AT359,0)))</f>
        <v>0</v>
      </c>
      <c r="AW359" s="90">
        <f t="shared" si="141"/>
        <v>1</v>
      </c>
      <c r="AX359" s="42">
        <f t="shared" si="142"/>
        <v>0</v>
      </c>
      <c r="AY359" s="116">
        <f t="shared" si="143"/>
        <v>0.7</v>
      </c>
      <c r="AZ359" s="93">
        <f>IF($C359="&lt;01",ROUND(INDEX(EID!$R:$R,MATCH($B359,EID!$B:$B,0))/2,0),ROUND(SUM($O359)+(SUM($AV359)*$AY359),0))</f>
        <v>0</v>
      </c>
      <c r="BA359" s="89">
        <f t="shared" si="144"/>
        <v>0.95</v>
      </c>
      <c r="BB359" s="9">
        <f>IF($C359="&lt;01",ROUND(INDEX(EID!$T:$T,MATCH($B359,EID!$B:$B,0))/2,0),ROUND($AZ359*$BA359,0))</f>
        <v>0</v>
      </c>
      <c r="BC359" s="93">
        <f t="shared" si="145"/>
        <v>0</v>
      </c>
      <c r="BD359" s="90">
        <f t="shared" si="146"/>
        <v>0.95</v>
      </c>
      <c r="BE359" s="42">
        <f>IF($C359="&lt;01",ROUND(INDEX(EID!$V:$V,MATCH($B359,EID!$B:$B,0))/2,0),ROUND($BD359*$BB359,0))</f>
        <v>0</v>
      </c>
      <c r="BF359" s="42">
        <f t="shared" si="147"/>
        <v>0</v>
      </c>
      <c r="BG359" s="116">
        <f t="shared" si="148"/>
        <v>0.95</v>
      </c>
      <c r="BH359" s="9">
        <f>IF($C359="&lt;01",ROUND(INDEX(EID!$L:$L,MATCH($B359,EID!$B:$B,0)),0)/2,IF(SUM($BG359)=0,"",ROUND($AX359/$BG359,0)))</f>
        <v>0</v>
      </c>
    </row>
    <row r="360" spans="1:60" x14ac:dyDescent="0.2">
      <c r="A360" t="str">
        <f>INDEX(Prioritization!$D:$D,MATCH($B360,Prioritization!$A:$A,0))</f>
        <v>INVALID</v>
      </c>
      <c r="B360" t="s">
        <v>217</v>
      </c>
      <c r="C360" t="s">
        <v>365</v>
      </c>
      <c r="D360" t="s">
        <v>47</v>
      </c>
      <c r="E360" t="str">
        <f t="shared" si="126"/>
        <v>Neno District [gwVYinjBAe9]|25-34|Male</v>
      </c>
      <c r="F360" s="14"/>
      <c r="G360" s="14"/>
      <c r="H360" s="14"/>
      <c r="I360" s="14"/>
      <c r="J360" s="14"/>
      <c r="K360" s="14"/>
      <c r="L360" s="14"/>
      <c r="M360" s="14"/>
      <c r="N360" s="14"/>
      <c r="O360" s="14" t="str">
        <f t="shared" si="127"/>
        <v/>
      </c>
      <c r="P360" s="14"/>
      <c r="Q360" s="14"/>
      <c r="R360" s="14" t="str">
        <f t="shared" si="128"/>
        <v/>
      </c>
      <c r="S360" s="14">
        <f>IF(LEFT($B360,4)="_Mil","",_xlfn.IFNA(ROUND(INDEX(Spectrum!$N:$N,MATCH(RIGHT($B360,13)&amp;"|"&amp;$C360&amp;"|"&amp;$D360&amp;"|"&amp;S$14&amp;"|"&amp;"CY2022Q4",Spectrum!$R:$R,0)),0),""))</f>
        <v>1387</v>
      </c>
      <c r="T360" s="42">
        <f>IF(LEFT($B360,4)="_Mil","",_xlfn.IFNA(ROUND(INDEX(Spectrum!$N:$N,MATCH(RIGHT($B360,13)&amp;"|"&amp;$C360&amp;"|"&amp;$D360&amp;"|"&amp;T$14&amp;"|"&amp;"CY2023Q3",Spectrum!$R:$R,0)),0),""))</f>
        <v>1220</v>
      </c>
      <c r="U360" s="42" t="str">
        <f>IF(LEFT($B360,4)="_Mil","",_xlfn.IFNA(ROUND(INDEX(Spectrum!$N:$N,MATCH(RIGHT($B360,13)&amp;"|"&amp;$C360&amp;"|"&amp;$D360&amp;"|"&amp;U$14&amp;"|"&amp;"CY2023Q3",Spectrum!$R:$R,0)),0),""))</f>
        <v/>
      </c>
      <c r="V360" s="14">
        <f>IF(LEFT($B360,4)="_Mil","",_xlfn.IFNA(ROUND(INDEX(Spectrum!$N:$N,MATCH(RIGHT($B360,13)&amp;"|"&amp;$C360&amp;"|"&amp;$D360&amp;"|"&amp;V$14&amp;"|"&amp;"CY2023Q3",Spectrum!$R:$R,0)),0),""))</f>
        <v>1742</v>
      </c>
      <c r="W360" s="115">
        <f>IF(LEFT($B360,4)="_Mil","",_xlfn.IFNA(INDEX(Spectrum!$N:$N,MATCH(RIGHT($B360,13)&amp;"|"&amp;$C360&amp;"|"&amp;$D360&amp;"|"&amp;W$14&amp;"|"&amp;"CY2023Q3",Spectrum!$R:$R,0)),""))</f>
        <v>1875</v>
      </c>
      <c r="X360" s="42">
        <f>IF(LEFT($B360,4)="_Mil","",_xlfn.IFNA(ROUND(INDEX(Spectrum!$N:$N,MATCH(RIGHT($B360,13)&amp;"|"&amp;$C360&amp;"|"&amp;$D360&amp;"|"&amp;X$14&amp;"|"&amp;"CY2023Q3",Spectrum!$R:$R,0)),0),""))</f>
        <v>612</v>
      </c>
      <c r="Y360" s="90" t="str">
        <f t="shared" si="129"/>
        <v/>
      </c>
      <c r="Z360" s="42">
        <f>IF(LEFT($B360,4)="_Mil","",_xlfn.IFNA(ROUND(INDEX(Spectrum!$N:$N,MATCH(RIGHT($B360,13)&amp;"|"&amp;$C360&amp;"|"&amp;$D360&amp;"|"&amp;Z$14&amp;"|"&amp;"CY2023Q3",Spectrum!$R:$R,0)),0),""))</f>
        <v>1310</v>
      </c>
      <c r="AA360" s="90">
        <f>IF(LEFT($B360,4)="_Mil","",IFERROR(1/(1/INDEX(Spectrum!$N:$N,MATCH(RIGHT($B360,13)&amp;"|"&amp;$C360&amp;"|"&amp;$D360&amp;"|"&amp;AA$14&amp;"|"&amp;"CY2023Q3",Spectrum!$R:$R,0))),IF(SUM($U360)=0,"",SUM($Z360)/$U360)))</f>
        <v>1491</v>
      </c>
      <c r="AB360" s="90">
        <f t="shared" si="130"/>
        <v>2.1405228758169934</v>
      </c>
      <c r="AC360" s="14">
        <f>IF(LEFT($B360,4)="_Mil","",_xlfn.IFNA(ROUND(INDEX(Spectrum!$N:$N,MATCH(RIGHT($B360,13)&amp;"|"&amp;$C360&amp;"|"&amp;$D360&amp;"|"&amp;AC$14&amp;"|"&amp;"CY2023Q3",Spectrum!$R:$R,0)),0),""))</f>
        <v>771</v>
      </c>
      <c r="AD360" s="14" t="str">
        <f>IF(LEFT($B360,4)="_Mil","",_xlfn.IFNA(ROUND(INDEX(Spectrum!$N:$N,MATCH(RIGHT($B360,13)&amp;"|"&amp;$C360&amp;"|"&amp;$D360&amp;"|"&amp;AD$14&amp;"|"&amp;"CY2023Q3",Spectrum!$R:$R,0)),0),""))</f>
        <v/>
      </c>
      <c r="AE360" s="90">
        <f t="shared" si="131"/>
        <v>0</v>
      </c>
      <c r="AF360" s="42" t="str">
        <f>IF(LEFT($B360,4)="_Mil","",_xlfn.IFNA(ROUND(INDEX(Spectrum!$N:$N,MATCH(RIGHT($B360,13)&amp;"|"&amp;$C360&amp;"|"&amp;$D360&amp;"|"&amp;AF$14&amp;"|"&amp;"CY2023Q3",Spectrum!$R:$R,0)),0),""))</f>
        <v/>
      </c>
      <c r="AG360" s="90" t="str">
        <f t="shared" si="132"/>
        <v/>
      </c>
      <c r="AH360" s="88" t="str">
        <f>IF(LEFT($B360,4)="_Mil","",_xlfn.IFNA(INDEX(Spectrum!$N:$N,MATCH(RIGHT($B360,13)&amp;"|"&amp;$C360&amp;"|"&amp;$D360&amp;"|"&amp;AH$14&amp;"|"&amp;"CY2023Q3",Spectrum!$R:$R,0)),""))</f>
        <v/>
      </c>
      <c r="AI360" s="14" t="str">
        <f>IF(LEFT($B360,4)="_Mil","",_xlfn.IFNA(ROUND(INDEX(Spectrum!$N:$N,MATCH(RIGHT($B360,13)&amp;"|"&amp;$C360&amp;"|"&amp;$D360&amp;"|"&amp;AI$14&amp;"|"&amp;"CY2023Q3",Spectrum!$R:$R,0)),0),""))</f>
        <v/>
      </c>
      <c r="AJ360" s="42">
        <f>IF(LEFT($B360,4)="_Mil","",_xlfn.IFNA(ROUND(INDEX(Spectrum!$N:$N,MATCH(RIGHT($B360,13)&amp;"|"&amp;$C360&amp;"|"&amp;$D360&amp;"|"&amp;AI$14&amp;"|"&amp;"CY2023Q3",Spectrum!$R:$R,0)),0),SUM($U360)+SUM($AI360)))</f>
        <v>0</v>
      </c>
      <c r="AK360" s="14" t="str">
        <f>IF(LEFT($B360,4)="_Mil","",_xlfn.IFNA(ROUND(INDEX(Spectrum!$N:$N,MATCH(RIGHT($B360,13)&amp;"|"&amp;$C360&amp;"|"&amp;$D360&amp;"|"&amp;AK$14&amp;"|"&amp;"CY2023Q3",Spectrum!$R:$R,0)),0),""))</f>
        <v/>
      </c>
      <c r="AL360" s="90">
        <f t="shared" si="133"/>
        <v>1491</v>
      </c>
      <c r="AM360" s="14">
        <f t="shared" si="134"/>
        <v>0</v>
      </c>
      <c r="AN360" s="14" t="str">
        <f>IF($C360="&lt;01",ROUND(INDEX(EID!$P:$P,MATCH($B360,EID!$B:$B,0))/2,0),"")</f>
        <v/>
      </c>
      <c r="AO360" s="14">
        <f t="shared" si="135"/>
        <v>0</v>
      </c>
      <c r="AP360" s="42">
        <f t="shared" si="136"/>
        <v>0</v>
      </c>
      <c r="AQ360" s="42">
        <f t="shared" si="137"/>
        <v>1310</v>
      </c>
      <c r="AR360" s="90" t="str">
        <f t="shared" si="138"/>
        <v/>
      </c>
      <c r="AS360" s="90">
        <f t="shared" si="149"/>
        <v>0.98</v>
      </c>
      <c r="AT360" s="90">
        <f t="shared" si="149"/>
        <v>0.98</v>
      </c>
      <c r="AU360" s="14">
        <f t="shared" si="140"/>
        <v>0</v>
      </c>
      <c r="AV360" s="14">
        <f>IF($C360="&lt;01",ROUND(INDEX(EID!$N:$N,MATCH($B360,EID!$B:$B,0))/2,0),IF(SUM($AT360)=0,"",ROUND((SUM($AP360)-(SUM($O360)*SUM($AS360)))/$AT360,0)))</f>
        <v>0</v>
      </c>
      <c r="AW360" s="90">
        <f t="shared" si="141"/>
        <v>1</v>
      </c>
      <c r="AX360" s="42">
        <f t="shared" si="142"/>
        <v>0</v>
      </c>
      <c r="AY360" s="116">
        <f t="shared" si="143"/>
        <v>0.7</v>
      </c>
      <c r="AZ360" s="93">
        <f>IF($C360="&lt;01",ROUND(INDEX(EID!$R:$R,MATCH($B360,EID!$B:$B,0))/2,0),ROUND(SUM($O360)+(SUM($AV360)*$AY360),0))</f>
        <v>0</v>
      </c>
      <c r="BA360" s="89">
        <f t="shared" si="144"/>
        <v>0.95</v>
      </c>
      <c r="BB360" s="9">
        <f>IF($C360="&lt;01",ROUND(INDEX(EID!$T:$T,MATCH($B360,EID!$B:$B,0))/2,0),ROUND($AZ360*$BA360,0))</f>
        <v>0</v>
      </c>
      <c r="BC360" s="93">
        <f t="shared" si="145"/>
        <v>0</v>
      </c>
      <c r="BD360" s="90">
        <f t="shared" si="146"/>
        <v>0.95</v>
      </c>
      <c r="BE360" s="42">
        <f>IF($C360="&lt;01",ROUND(INDEX(EID!$V:$V,MATCH($B360,EID!$B:$B,0))/2,0),ROUND($BD360*$BB360,0))</f>
        <v>0</v>
      </c>
      <c r="BF360" s="42">
        <f t="shared" si="147"/>
        <v>0</v>
      </c>
      <c r="BG360" s="116">
        <f t="shared" si="148"/>
        <v>0.95</v>
      </c>
      <c r="BH360" s="9">
        <f>IF($C360="&lt;01",ROUND(INDEX(EID!$L:$L,MATCH($B360,EID!$B:$B,0)),0)/2,IF(SUM($BG360)=0,"",ROUND($AX360/$BG360,0)))</f>
        <v>0</v>
      </c>
    </row>
    <row r="361" spans="1:60" x14ac:dyDescent="0.2">
      <c r="A361" t="str">
        <f>INDEX(Prioritization!$D:$D,MATCH($B361,Prioritization!$A:$A,0))</f>
        <v>INVALID</v>
      </c>
      <c r="B361" t="s">
        <v>217</v>
      </c>
      <c r="C361" t="s">
        <v>366</v>
      </c>
      <c r="D361" t="s">
        <v>29</v>
      </c>
      <c r="E361" t="str">
        <f t="shared" si="126"/>
        <v>Neno District [gwVYinjBAe9]|35-49|Female</v>
      </c>
      <c r="F361" s="14"/>
      <c r="G361" s="14"/>
      <c r="H361" s="14"/>
      <c r="I361" s="14"/>
      <c r="J361" s="14"/>
      <c r="K361" s="14"/>
      <c r="L361" s="14"/>
      <c r="M361" s="14"/>
      <c r="N361" s="14"/>
      <c r="O361" s="14" t="str">
        <f t="shared" si="127"/>
        <v/>
      </c>
      <c r="P361" s="14"/>
      <c r="Q361" s="14"/>
      <c r="R361" s="14" t="str">
        <f t="shared" si="128"/>
        <v/>
      </c>
      <c r="S361" s="14">
        <f>IF(LEFT($B361,4)="_Mil","",_xlfn.IFNA(ROUND(INDEX(Spectrum!$N:$N,MATCH(RIGHT($B361,13)&amp;"|"&amp;$C361&amp;"|"&amp;$D361&amp;"|"&amp;S$14&amp;"|"&amp;"CY2022Q4",Spectrum!$R:$R,0)),0),""))</f>
        <v>1845</v>
      </c>
      <c r="T361" s="42">
        <f>IF(LEFT($B361,4)="_Mil","",_xlfn.IFNA(ROUND(INDEX(Spectrum!$N:$N,MATCH(RIGHT($B361,13)&amp;"|"&amp;$C361&amp;"|"&amp;$D361&amp;"|"&amp;T$14&amp;"|"&amp;"CY2023Q3",Spectrum!$R:$R,0)),0),""))</f>
        <v>1183</v>
      </c>
      <c r="U361" s="42" t="str">
        <f>IF(LEFT($B361,4)="_Mil","",_xlfn.IFNA(ROUND(INDEX(Spectrum!$N:$N,MATCH(RIGHT($B361,13)&amp;"|"&amp;$C361&amp;"|"&amp;$D361&amp;"|"&amp;U$14&amp;"|"&amp;"CY2023Q3",Spectrum!$R:$R,0)),0),""))</f>
        <v/>
      </c>
      <c r="V361" s="14">
        <f>IF(LEFT($B361,4)="_Mil","",_xlfn.IFNA(ROUND(INDEX(Spectrum!$N:$N,MATCH(RIGHT($B361,13)&amp;"|"&amp;$C361&amp;"|"&amp;$D361&amp;"|"&amp;V$14&amp;"|"&amp;"CY2023Q3",Spectrum!$R:$R,0)),0),""))</f>
        <v>1732</v>
      </c>
      <c r="W361" s="115">
        <f>IF(LEFT($B361,4)="_Mil","",_xlfn.IFNA(INDEX(Spectrum!$N:$N,MATCH(RIGHT($B361,13)&amp;"|"&amp;$C361&amp;"|"&amp;$D361&amp;"|"&amp;W$14&amp;"|"&amp;"CY2023Q3",Spectrum!$R:$R,0)),""))</f>
        <v>1409</v>
      </c>
      <c r="X361" s="42">
        <f>IF(LEFT($B361,4)="_Mil","",_xlfn.IFNA(ROUND(INDEX(Spectrum!$N:$N,MATCH(RIGHT($B361,13)&amp;"|"&amp;$C361&amp;"|"&amp;$D361&amp;"|"&amp;X$14&amp;"|"&amp;"CY2023Q3",Spectrum!$R:$R,0)),0),""))</f>
        <v>1216</v>
      </c>
      <c r="Y361" s="90" t="str">
        <f t="shared" si="129"/>
        <v/>
      </c>
      <c r="Z361" s="42">
        <f>IF(LEFT($B361,4)="_Mil","",_xlfn.IFNA(ROUND(INDEX(Spectrum!$N:$N,MATCH(RIGHT($B361,13)&amp;"|"&amp;$C361&amp;"|"&amp;$D361&amp;"|"&amp;Z$14&amp;"|"&amp;"CY2023Q3",Spectrum!$R:$R,0)),0),""))</f>
        <v>1407</v>
      </c>
      <c r="AA361" s="90">
        <f>IF(LEFT($B361,4)="_Mil","",IFERROR(1/(1/INDEX(Spectrum!$N:$N,MATCH(RIGHT($B361,13)&amp;"|"&amp;$C361&amp;"|"&amp;$D361&amp;"|"&amp;AA$14&amp;"|"&amp;"CY2023Q3",Spectrum!$R:$R,0))),IF(SUM($U361)=0,"",SUM($Z361)/$U361)))</f>
        <v>969.00000000000011</v>
      </c>
      <c r="AB361" s="90">
        <f t="shared" si="130"/>
        <v>1.1570723684210527</v>
      </c>
      <c r="AC361" s="14">
        <f>IF(LEFT($B361,4)="_Mil","",_xlfn.IFNA(ROUND(INDEX(Spectrum!$N:$N,MATCH(RIGHT($B361,13)&amp;"|"&amp;$C361&amp;"|"&amp;$D361&amp;"|"&amp;AC$14&amp;"|"&amp;"CY2023Q3",Spectrum!$R:$R,0)),0),""))</f>
        <v>717</v>
      </c>
      <c r="AD361" s="14" t="str">
        <f>IF(LEFT($B361,4)="_Mil","",_xlfn.IFNA(ROUND(INDEX(Spectrum!$N:$N,MATCH(RIGHT($B361,13)&amp;"|"&amp;$C361&amp;"|"&amp;$D361&amp;"|"&amp;AD$14&amp;"|"&amp;"CY2023Q3",Spectrum!$R:$R,0)),0),""))</f>
        <v/>
      </c>
      <c r="AE361" s="90">
        <f t="shared" si="131"/>
        <v>0</v>
      </c>
      <c r="AF361" s="42" t="str">
        <f>IF(LEFT($B361,4)="_Mil","",_xlfn.IFNA(ROUND(INDEX(Spectrum!$N:$N,MATCH(RIGHT($B361,13)&amp;"|"&amp;$C361&amp;"|"&amp;$D361&amp;"|"&amp;AF$14&amp;"|"&amp;"CY2023Q3",Spectrum!$R:$R,0)),0),""))</f>
        <v/>
      </c>
      <c r="AG361" s="90" t="str">
        <f t="shared" si="132"/>
        <v/>
      </c>
      <c r="AH361" s="88" t="str">
        <f>IF(LEFT($B361,4)="_Mil","",_xlfn.IFNA(INDEX(Spectrum!$N:$N,MATCH(RIGHT($B361,13)&amp;"|"&amp;$C361&amp;"|"&amp;$D361&amp;"|"&amp;AH$14&amp;"|"&amp;"CY2023Q3",Spectrum!$R:$R,0)),""))</f>
        <v/>
      </c>
      <c r="AI361" s="14" t="str">
        <f>IF(LEFT($B361,4)="_Mil","",_xlfn.IFNA(ROUND(INDEX(Spectrum!$N:$N,MATCH(RIGHT($B361,13)&amp;"|"&amp;$C361&amp;"|"&amp;$D361&amp;"|"&amp;AI$14&amp;"|"&amp;"CY2023Q3",Spectrum!$R:$R,0)),0),""))</f>
        <v/>
      </c>
      <c r="AJ361" s="42">
        <f>IF(LEFT($B361,4)="_Mil","",_xlfn.IFNA(ROUND(INDEX(Spectrum!$N:$N,MATCH(RIGHT($B361,13)&amp;"|"&amp;$C361&amp;"|"&amp;$D361&amp;"|"&amp;AI$14&amp;"|"&amp;"CY2023Q3",Spectrum!$R:$R,0)),0),SUM($U361)+SUM($AI361)))</f>
        <v>0</v>
      </c>
      <c r="AK361" s="14" t="str">
        <f>IF(LEFT($B361,4)="_Mil","",_xlfn.IFNA(ROUND(INDEX(Spectrum!$N:$N,MATCH(RIGHT($B361,13)&amp;"|"&amp;$C361&amp;"|"&amp;$D361&amp;"|"&amp;AK$14&amp;"|"&amp;"CY2023Q3",Spectrum!$R:$R,0)),0),""))</f>
        <v/>
      </c>
      <c r="AL361" s="90">
        <f t="shared" si="133"/>
        <v>969.00000000000011</v>
      </c>
      <c r="AM361" s="14">
        <f t="shared" si="134"/>
        <v>0</v>
      </c>
      <c r="AN361" s="14" t="str">
        <f>IF($C361="&lt;01",ROUND(INDEX(EID!$P:$P,MATCH($B361,EID!$B:$B,0))/2,0),"")</f>
        <v/>
      </c>
      <c r="AO361" s="14">
        <f t="shared" si="135"/>
        <v>0</v>
      </c>
      <c r="AP361" s="42">
        <f t="shared" si="136"/>
        <v>0</v>
      </c>
      <c r="AQ361" s="42">
        <f t="shared" si="137"/>
        <v>1407</v>
      </c>
      <c r="AR361" s="90" t="str">
        <f t="shared" si="138"/>
        <v/>
      </c>
      <c r="AS361" s="90">
        <f t="shared" si="149"/>
        <v>0.98</v>
      </c>
      <c r="AT361" s="90">
        <f t="shared" si="149"/>
        <v>0.98</v>
      </c>
      <c r="AU361" s="14">
        <f t="shared" si="140"/>
        <v>0</v>
      </c>
      <c r="AV361" s="14">
        <f>IF($C361="&lt;01",ROUND(INDEX(EID!$N:$N,MATCH($B361,EID!$B:$B,0))/2,0),IF(SUM($AT361)=0,"",ROUND((SUM($AP361)-(SUM($O361)*SUM($AS361)))/$AT361,0)))</f>
        <v>0</v>
      </c>
      <c r="AW361" s="90">
        <f t="shared" si="141"/>
        <v>1</v>
      </c>
      <c r="AX361" s="42">
        <f t="shared" si="142"/>
        <v>0</v>
      </c>
      <c r="AY361" s="116">
        <f t="shared" si="143"/>
        <v>0.7</v>
      </c>
      <c r="AZ361" s="93">
        <f>IF($C361="&lt;01",ROUND(INDEX(EID!$R:$R,MATCH($B361,EID!$B:$B,0))/2,0),ROUND(SUM($O361)+(SUM($AV361)*$AY361),0))</f>
        <v>0</v>
      </c>
      <c r="BA361" s="89">
        <f t="shared" si="144"/>
        <v>0.95</v>
      </c>
      <c r="BB361" s="9">
        <f>IF($C361="&lt;01",ROUND(INDEX(EID!$T:$T,MATCH($B361,EID!$B:$B,0))/2,0),ROUND($AZ361*$BA361,0))</f>
        <v>0</v>
      </c>
      <c r="BC361" s="93">
        <f t="shared" si="145"/>
        <v>0</v>
      </c>
      <c r="BD361" s="90">
        <f t="shared" si="146"/>
        <v>0.95</v>
      </c>
      <c r="BE361" s="42">
        <f>IF($C361="&lt;01",ROUND(INDEX(EID!$V:$V,MATCH($B361,EID!$B:$B,0))/2,0),ROUND($BD361*$BB361,0))</f>
        <v>0</v>
      </c>
      <c r="BF361" s="42">
        <f t="shared" si="147"/>
        <v>0</v>
      </c>
      <c r="BG361" s="116">
        <f t="shared" si="148"/>
        <v>0.95</v>
      </c>
      <c r="BH361" s="9">
        <f>IF($C361="&lt;01",ROUND(INDEX(EID!$L:$L,MATCH($B361,EID!$B:$B,0)),0)/2,IF(SUM($BG361)=0,"",ROUND($AX361/$BG361,0)))</f>
        <v>0</v>
      </c>
    </row>
    <row r="362" spans="1:60" x14ac:dyDescent="0.2">
      <c r="A362" t="str">
        <f>INDEX(Prioritization!$D:$D,MATCH($B362,Prioritization!$A:$A,0))</f>
        <v>INVALID</v>
      </c>
      <c r="B362" t="s">
        <v>217</v>
      </c>
      <c r="C362" t="s">
        <v>366</v>
      </c>
      <c r="D362" t="s">
        <v>47</v>
      </c>
      <c r="E362" t="str">
        <f t="shared" si="126"/>
        <v>Neno District [gwVYinjBAe9]|35-49|Male</v>
      </c>
      <c r="F362" s="14"/>
      <c r="G362" s="14"/>
      <c r="H362" s="14"/>
      <c r="I362" s="14"/>
      <c r="J362" s="14"/>
      <c r="K362" s="14"/>
      <c r="L362" s="14"/>
      <c r="M362" s="14"/>
      <c r="N362" s="14"/>
      <c r="O362" s="14" t="str">
        <f t="shared" si="127"/>
        <v/>
      </c>
      <c r="P362" s="14"/>
      <c r="Q362" s="14"/>
      <c r="R362" s="14" t="str">
        <f t="shared" si="128"/>
        <v/>
      </c>
      <c r="S362" s="14">
        <f>IF(LEFT($B362,4)="_Mil","",_xlfn.IFNA(ROUND(INDEX(Spectrum!$N:$N,MATCH(RIGHT($B362,13)&amp;"|"&amp;$C362&amp;"|"&amp;$D362&amp;"|"&amp;S$14&amp;"|"&amp;"CY2022Q4",Spectrum!$R:$R,0)),0),""))</f>
        <v>1596</v>
      </c>
      <c r="T362" s="42">
        <f>IF(LEFT($B362,4)="_Mil","",_xlfn.IFNA(ROUND(INDEX(Spectrum!$N:$N,MATCH(RIGHT($B362,13)&amp;"|"&amp;$C362&amp;"|"&amp;$D362&amp;"|"&amp;T$14&amp;"|"&amp;"CY2023Q3",Spectrum!$R:$R,0)),0),""))</f>
        <v>1318</v>
      </c>
      <c r="U362" s="42" t="str">
        <f>IF(LEFT($B362,4)="_Mil","",_xlfn.IFNA(ROUND(INDEX(Spectrum!$N:$N,MATCH(RIGHT($B362,13)&amp;"|"&amp;$C362&amp;"|"&amp;$D362&amp;"|"&amp;U$14&amp;"|"&amp;"CY2023Q3",Spectrum!$R:$R,0)),0),""))</f>
        <v/>
      </c>
      <c r="V362" s="14">
        <f>IF(LEFT($B362,4)="_Mil","",_xlfn.IFNA(ROUND(INDEX(Spectrum!$N:$N,MATCH(RIGHT($B362,13)&amp;"|"&amp;$C362&amp;"|"&amp;$D362&amp;"|"&amp;V$14&amp;"|"&amp;"CY2023Q3",Spectrum!$R:$R,0)),0),""))</f>
        <v>1471</v>
      </c>
      <c r="W362" s="115">
        <f>IF(LEFT($B362,4)="_Mil","",_xlfn.IFNA(INDEX(Spectrum!$N:$N,MATCH(RIGHT($B362,13)&amp;"|"&amp;$C362&amp;"|"&amp;$D362&amp;"|"&amp;W$14&amp;"|"&amp;"CY2023Q3",Spectrum!$R:$R,0)),""))</f>
        <v>884</v>
      </c>
      <c r="X362" s="42">
        <f>IF(LEFT($B362,4)="_Mil","",_xlfn.IFNA(ROUND(INDEX(Spectrum!$N:$N,MATCH(RIGHT($B362,13)&amp;"|"&amp;$C362&amp;"|"&amp;$D362&amp;"|"&amp;X$14&amp;"|"&amp;"CY2023Q3",Spectrum!$R:$R,0)),0),""))</f>
        <v>1459</v>
      </c>
      <c r="Y362" s="90" t="str">
        <f t="shared" si="129"/>
        <v/>
      </c>
      <c r="Z362" s="42">
        <f>IF(LEFT($B362,4)="_Mil","",_xlfn.IFNA(ROUND(INDEX(Spectrum!$N:$N,MATCH(RIGHT($B362,13)&amp;"|"&amp;$C362&amp;"|"&amp;$D362&amp;"|"&amp;Z$14&amp;"|"&amp;"CY2023Q3",Spectrum!$R:$R,0)),0),""))</f>
        <v>571</v>
      </c>
      <c r="AA362" s="90">
        <f>IF(LEFT($B362,4)="_Mil","",IFERROR(1/(1/INDEX(Spectrum!$N:$N,MATCH(RIGHT($B362,13)&amp;"|"&amp;$C362&amp;"|"&amp;$D362&amp;"|"&amp;AA$14&amp;"|"&amp;"CY2023Q3",Spectrum!$R:$R,0))),IF(SUM($U362)=0,"",SUM($Z362)/$U362)))</f>
        <v>1386</v>
      </c>
      <c r="AB362" s="90">
        <f t="shared" si="130"/>
        <v>0.39136394790952705</v>
      </c>
      <c r="AC362" s="14">
        <f>IF(LEFT($B362,4)="_Mil","",_xlfn.IFNA(ROUND(INDEX(Spectrum!$N:$N,MATCH(RIGHT($B362,13)&amp;"|"&amp;$C362&amp;"|"&amp;$D362&amp;"|"&amp;AC$14&amp;"|"&amp;"CY2023Q3",Spectrum!$R:$R,0)),0),""))</f>
        <v>1091</v>
      </c>
      <c r="AD362" s="14" t="str">
        <f>IF(LEFT($B362,4)="_Mil","",_xlfn.IFNA(ROUND(INDEX(Spectrum!$N:$N,MATCH(RIGHT($B362,13)&amp;"|"&amp;$C362&amp;"|"&amp;$D362&amp;"|"&amp;AD$14&amp;"|"&amp;"CY2023Q3",Spectrum!$R:$R,0)),0),""))</f>
        <v/>
      </c>
      <c r="AE362" s="90">
        <f t="shared" si="131"/>
        <v>0</v>
      </c>
      <c r="AF362" s="42" t="str">
        <f>IF(LEFT($B362,4)="_Mil","",_xlfn.IFNA(ROUND(INDEX(Spectrum!$N:$N,MATCH(RIGHT($B362,13)&amp;"|"&amp;$C362&amp;"|"&amp;$D362&amp;"|"&amp;AF$14&amp;"|"&amp;"CY2023Q3",Spectrum!$R:$R,0)),0),""))</f>
        <v/>
      </c>
      <c r="AG362" s="90" t="str">
        <f t="shared" si="132"/>
        <v/>
      </c>
      <c r="AH362" s="88" t="str">
        <f>IF(LEFT($B362,4)="_Mil","",_xlfn.IFNA(INDEX(Spectrum!$N:$N,MATCH(RIGHT($B362,13)&amp;"|"&amp;$C362&amp;"|"&amp;$D362&amp;"|"&amp;AH$14&amp;"|"&amp;"CY2023Q3",Spectrum!$R:$R,0)),""))</f>
        <v/>
      </c>
      <c r="AI362" s="14" t="str">
        <f>IF(LEFT($B362,4)="_Mil","",_xlfn.IFNA(ROUND(INDEX(Spectrum!$N:$N,MATCH(RIGHT($B362,13)&amp;"|"&amp;$C362&amp;"|"&amp;$D362&amp;"|"&amp;AI$14&amp;"|"&amp;"CY2023Q3",Spectrum!$R:$R,0)),0),""))</f>
        <v/>
      </c>
      <c r="AJ362" s="42">
        <f>IF(LEFT($B362,4)="_Mil","",_xlfn.IFNA(ROUND(INDEX(Spectrum!$N:$N,MATCH(RIGHT($B362,13)&amp;"|"&amp;$C362&amp;"|"&amp;$D362&amp;"|"&amp;AI$14&amp;"|"&amp;"CY2023Q3",Spectrum!$R:$R,0)),0),SUM($U362)+SUM($AI362)))</f>
        <v>0</v>
      </c>
      <c r="AK362" s="14" t="str">
        <f>IF(LEFT($B362,4)="_Mil","",_xlfn.IFNA(ROUND(INDEX(Spectrum!$N:$N,MATCH(RIGHT($B362,13)&amp;"|"&amp;$C362&amp;"|"&amp;$D362&amp;"|"&amp;AK$14&amp;"|"&amp;"CY2023Q3",Spectrum!$R:$R,0)),0),""))</f>
        <v/>
      </c>
      <c r="AL362" s="90">
        <f t="shared" si="133"/>
        <v>1386</v>
      </c>
      <c r="AM362" s="14">
        <f t="shared" si="134"/>
        <v>0</v>
      </c>
      <c r="AN362" s="14" t="str">
        <f>IF($C362="&lt;01",ROUND(INDEX(EID!$P:$P,MATCH($B362,EID!$B:$B,0))/2,0),"")</f>
        <v/>
      </c>
      <c r="AO362" s="14">
        <f t="shared" si="135"/>
        <v>0</v>
      </c>
      <c r="AP362" s="42">
        <f t="shared" si="136"/>
        <v>0</v>
      </c>
      <c r="AQ362" s="42">
        <f t="shared" si="137"/>
        <v>571</v>
      </c>
      <c r="AR362" s="90" t="str">
        <f t="shared" si="138"/>
        <v/>
      </c>
      <c r="AS362" s="90">
        <f t="shared" si="149"/>
        <v>0.98</v>
      </c>
      <c r="AT362" s="90">
        <f t="shared" si="149"/>
        <v>0.98</v>
      </c>
      <c r="AU362" s="14">
        <f t="shared" si="140"/>
        <v>0</v>
      </c>
      <c r="AV362" s="14">
        <f>IF($C362="&lt;01",ROUND(INDEX(EID!$N:$N,MATCH($B362,EID!$B:$B,0))/2,0),IF(SUM($AT362)=0,"",ROUND((SUM($AP362)-(SUM($O362)*SUM($AS362)))/$AT362,0)))</f>
        <v>0</v>
      </c>
      <c r="AW362" s="90">
        <f t="shared" si="141"/>
        <v>1</v>
      </c>
      <c r="AX362" s="42">
        <f t="shared" si="142"/>
        <v>0</v>
      </c>
      <c r="AY362" s="116">
        <f t="shared" si="143"/>
        <v>0.7</v>
      </c>
      <c r="AZ362" s="93">
        <f>IF($C362="&lt;01",ROUND(INDEX(EID!$R:$R,MATCH($B362,EID!$B:$B,0))/2,0),ROUND(SUM($O362)+(SUM($AV362)*$AY362),0))</f>
        <v>0</v>
      </c>
      <c r="BA362" s="89">
        <f t="shared" si="144"/>
        <v>0.95</v>
      </c>
      <c r="BB362" s="9">
        <f>IF($C362="&lt;01",ROUND(INDEX(EID!$T:$T,MATCH($B362,EID!$B:$B,0))/2,0),ROUND($AZ362*$BA362,0))</f>
        <v>0</v>
      </c>
      <c r="BC362" s="93">
        <f t="shared" si="145"/>
        <v>0</v>
      </c>
      <c r="BD362" s="90">
        <f t="shared" si="146"/>
        <v>0.95</v>
      </c>
      <c r="BE362" s="42">
        <f>IF($C362="&lt;01",ROUND(INDEX(EID!$V:$V,MATCH($B362,EID!$B:$B,0))/2,0),ROUND($BD362*$BB362,0))</f>
        <v>0</v>
      </c>
      <c r="BF362" s="42">
        <f t="shared" si="147"/>
        <v>0</v>
      </c>
      <c r="BG362" s="116">
        <f t="shared" si="148"/>
        <v>0.95</v>
      </c>
      <c r="BH362" s="9">
        <f>IF($C362="&lt;01",ROUND(INDEX(EID!$L:$L,MATCH($B362,EID!$B:$B,0)),0)/2,IF(SUM($BG362)=0,"",ROUND($AX362/$BG362,0)))</f>
        <v>0</v>
      </c>
    </row>
    <row r="363" spans="1:60" x14ac:dyDescent="0.2">
      <c r="A363" t="str">
        <f>INDEX(Prioritization!$D:$D,MATCH($B363,Prioritization!$A:$A,0))</f>
        <v>INVALID</v>
      </c>
      <c r="B363" t="s">
        <v>217</v>
      </c>
      <c r="C363" t="s">
        <v>367</v>
      </c>
      <c r="D363" t="s">
        <v>29</v>
      </c>
      <c r="E363" t="str">
        <f t="shared" si="126"/>
        <v>Neno District [gwVYinjBAe9]|50+|Female</v>
      </c>
      <c r="F363" s="14"/>
      <c r="G363" s="14"/>
      <c r="H363" s="14"/>
      <c r="I363" s="14"/>
      <c r="J363" s="14"/>
      <c r="K363" s="14"/>
      <c r="L363" s="14"/>
      <c r="M363" s="14"/>
      <c r="N363" s="14"/>
      <c r="O363" s="14" t="str">
        <f t="shared" si="127"/>
        <v/>
      </c>
      <c r="P363" s="14"/>
      <c r="Q363" s="14"/>
      <c r="R363" s="14" t="str">
        <f t="shared" si="128"/>
        <v/>
      </c>
      <c r="S363" s="14">
        <f>IF(LEFT($B363,4)="_Mil","",_xlfn.IFNA(ROUND(INDEX(Spectrum!$N:$N,MATCH(RIGHT($B363,13)&amp;"|"&amp;$C363&amp;"|"&amp;$D363&amp;"|"&amp;S$14&amp;"|"&amp;"CY2022Q4",Spectrum!$R:$R,0)),0),""))</f>
        <v>1752</v>
      </c>
      <c r="T363" s="42">
        <f>IF(LEFT($B363,4)="_Mil","",_xlfn.IFNA(ROUND(INDEX(Spectrum!$N:$N,MATCH(RIGHT($B363,13)&amp;"|"&amp;$C363&amp;"|"&amp;$D363&amp;"|"&amp;T$14&amp;"|"&amp;"CY2023Q3",Spectrum!$R:$R,0)),0),""))</f>
        <v>1720</v>
      </c>
      <c r="U363" s="42" t="str">
        <f>IF(LEFT($B363,4)="_Mil","",_xlfn.IFNA(ROUND(INDEX(Spectrum!$N:$N,MATCH(RIGHT($B363,13)&amp;"|"&amp;$C363&amp;"|"&amp;$D363&amp;"|"&amp;U$14&amp;"|"&amp;"CY2023Q3",Spectrum!$R:$R,0)),0),""))</f>
        <v/>
      </c>
      <c r="V363" s="14">
        <f>IF(LEFT($B363,4)="_Mil","",_xlfn.IFNA(ROUND(INDEX(Spectrum!$N:$N,MATCH(RIGHT($B363,13)&amp;"|"&amp;$C363&amp;"|"&amp;$D363&amp;"|"&amp;V$14&amp;"|"&amp;"CY2023Q3",Spectrum!$R:$R,0)),0),""))</f>
        <v>1398</v>
      </c>
      <c r="W363" s="115">
        <f>IF(LEFT($B363,4)="_Mil","",_xlfn.IFNA(INDEX(Spectrum!$N:$N,MATCH(RIGHT($B363,13)&amp;"|"&amp;$C363&amp;"|"&amp;$D363&amp;"|"&amp;W$14&amp;"|"&amp;"CY2023Q3",Spectrum!$R:$R,0)),""))</f>
        <v>1086</v>
      </c>
      <c r="X363" s="42">
        <f>IF(LEFT($B363,4)="_Mil","",_xlfn.IFNA(ROUND(INDEX(Spectrum!$N:$N,MATCH(RIGHT($B363,13)&amp;"|"&amp;$C363&amp;"|"&amp;$D363&amp;"|"&amp;X$14&amp;"|"&amp;"CY2023Q3",Spectrum!$R:$R,0)),0),""))</f>
        <v>1960</v>
      </c>
      <c r="Y363" s="90" t="str">
        <f t="shared" si="129"/>
        <v/>
      </c>
      <c r="Z363" s="42">
        <f>IF(LEFT($B363,4)="_Mil","",_xlfn.IFNA(ROUND(INDEX(Spectrum!$N:$N,MATCH(RIGHT($B363,13)&amp;"|"&amp;$C363&amp;"|"&amp;$D363&amp;"|"&amp;Z$14&amp;"|"&amp;"CY2023Q3",Spectrum!$R:$R,0)),0),""))</f>
        <v>834</v>
      </c>
      <c r="AA363" s="90">
        <f>IF(LEFT($B363,4)="_Mil","",IFERROR(1/(1/INDEX(Spectrum!$N:$N,MATCH(RIGHT($B363,13)&amp;"|"&amp;$C363&amp;"|"&amp;$D363&amp;"|"&amp;AA$14&amp;"|"&amp;"CY2023Q3",Spectrum!$R:$R,0))),IF(SUM($U363)=0,"",SUM($Z363)/$U363)))</f>
        <v>1649</v>
      </c>
      <c r="AB363" s="90">
        <f t="shared" si="130"/>
        <v>0.42551020408163265</v>
      </c>
      <c r="AC363" s="14">
        <f>IF(LEFT($B363,4)="_Mil","",_xlfn.IFNA(ROUND(INDEX(Spectrum!$N:$N,MATCH(RIGHT($B363,13)&amp;"|"&amp;$C363&amp;"|"&amp;$D363&amp;"|"&amp;AC$14&amp;"|"&amp;"CY2023Q3",Spectrum!$R:$R,0)),0),""))</f>
        <v>1372</v>
      </c>
      <c r="AD363" s="14" t="str">
        <f>IF(LEFT($B363,4)="_Mil","",_xlfn.IFNA(ROUND(INDEX(Spectrum!$N:$N,MATCH(RIGHT($B363,13)&amp;"|"&amp;$C363&amp;"|"&amp;$D363&amp;"|"&amp;AD$14&amp;"|"&amp;"CY2023Q3",Spectrum!$R:$R,0)),0),""))</f>
        <v/>
      </c>
      <c r="AE363" s="90">
        <f t="shared" si="131"/>
        <v>0</v>
      </c>
      <c r="AF363" s="42" t="str">
        <f>IF(LEFT($B363,4)="_Mil","",_xlfn.IFNA(ROUND(INDEX(Spectrum!$N:$N,MATCH(RIGHT($B363,13)&amp;"|"&amp;$C363&amp;"|"&amp;$D363&amp;"|"&amp;AF$14&amp;"|"&amp;"CY2023Q3",Spectrum!$R:$R,0)),0),""))</f>
        <v/>
      </c>
      <c r="AG363" s="90" t="str">
        <f t="shared" si="132"/>
        <v/>
      </c>
      <c r="AH363" s="88" t="str">
        <f>IF(LEFT($B363,4)="_Mil","",_xlfn.IFNA(INDEX(Spectrum!$N:$N,MATCH(RIGHT($B363,13)&amp;"|"&amp;$C363&amp;"|"&amp;$D363&amp;"|"&amp;AH$14&amp;"|"&amp;"CY2023Q3",Spectrum!$R:$R,0)),""))</f>
        <v/>
      </c>
      <c r="AI363" s="14" t="str">
        <f>IF(LEFT($B363,4)="_Mil","",_xlfn.IFNA(ROUND(INDEX(Spectrum!$N:$N,MATCH(RIGHT($B363,13)&amp;"|"&amp;$C363&amp;"|"&amp;$D363&amp;"|"&amp;AI$14&amp;"|"&amp;"CY2023Q3",Spectrum!$R:$R,0)),0),""))</f>
        <v/>
      </c>
      <c r="AJ363" s="42">
        <f>IF(LEFT($B363,4)="_Mil","",_xlfn.IFNA(ROUND(INDEX(Spectrum!$N:$N,MATCH(RIGHT($B363,13)&amp;"|"&amp;$C363&amp;"|"&amp;$D363&amp;"|"&amp;AI$14&amp;"|"&amp;"CY2023Q3",Spectrum!$R:$R,0)),0),SUM($U363)+SUM($AI363)))</f>
        <v>0</v>
      </c>
      <c r="AK363" s="14" t="str">
        <f>IF(LEFT($B363,4)="_Mil","",_xlfn.IFNA(ROUND(INDEX(Spectrum!$N:$N,MATCH(RIGHT($B363,13)&amp;"|"&amp;$C363&amp;"|"&amp;$D363&amp;"|"&amp;AK$14&amp;"|"&amp;"CY2023Q3",Spectrum!$R:$R,0)),0),""))</f>
        <v/>
      </c>
      <c r="AL363" s="90">
        <f t="shared" si="133"/>
        <v>1649</v>
      </c>
      <c r="AM363" s="14">
        <f t="shared" si="134"/>
        <v>0</v>
      </c>
      <c r="AN363" s="14" t="str">
        <f>IF($C363="&lt;01",ROUND(INDEX(EID!$P:$P,MATCH($B363,EID!$B:$B,0))/2,0),"")</f>
        <v/>
      </c>
      <c r="AO363" s="14">
        <f t="shared" si="135"/>
        <v>0</v>
      </c>
      <c r="AP363" s="42">
        <f t="shared" si="136"/>
        <v>0</v>
      </c>
      <c r="AQ363" s="42">
        <f t="shared" si="137"/>
        <v>834</v>
      </c>
      <c r="AR363" s="90" t="str">
        <f t="shared" si="138"/>
        <v/>
      </c>
      <c r="AS363" s="90">
        <f t="shared" si="149"/>
        <v>0.98</v>
      </c>
      <c r="AT363" s="90">
        <f t="shared" si="149"/>
        <v>0.98</v>
      </c>
      <c r="AU363" s="14">
        <f t="shared" si="140"/>
        <v>0</v>
      </c>
      <c r="AV363" s="14">
        <f>IF($C363="&lt;01",ROUND(INDEX(EID!$N:$N,MATCH($B363,EID!$B:$B,0))/2,0),IF(SUM($AT363)=0,"",ROUND((SUM($AP363)-(SUM($O363)*SUM($AS363)))/$AT363,0)))</f>
        <v>0</v>
      </c>
      <c r="AW363" s="90">
        <f t="shared" si="141"/>
        <v>1</v>
      </c>
      <c r="AX363" s="42">
        <f t="shared" si="142"/>
        <v>0</v>
      </c>
      <c r="AY363" s="116">
        <f t="shared" si="143"/>
        <v>0.7</v>
      </c>
      <c r="AZ363" s="93">
        <f>IF($C363="&lt;01",ROUND(INDEX(EID!$R:$R,MATCH($B363,EID!$B:$B,0))/2,0),ROUND(SUM($O363)+(SUM($AV363)*$AY363),0))</f>
        <v>0</v>
      </c>
      <c r="BA363" s="89">
        <f t="shared" si="144"/>
        <v>0.95</v>
      </c>
      <c r="BB363" s="9">
        <f>IF($C363="&lt;01",ROUND(INDEX(EID!$T:$T,MATCH($B363,EID!$B:$B,0))/2,0),ROUND($AZ363*$BA363,0))</f>
        <v>0</v>
      </c>
      <c r="BC363" s="93">
        <f t="shared" si="145"/>
        <v>0</v>
      </c>
      <c r="BD363" s="90">
        <f t="shared" si="146"/>
        <v>0.95</v>
      </c>
      <c r="BE363" s="42">
        <f>IF($C363="&lt;01",ROUND(INDEX(EID!$V:$V,MATCH($B363,EID!$B:$B,0))/2,0),ROUND($BD363*$BB363,0))</f>
        <v>0</v>
      </c>
      <c r="BF363" s="42">
        <f t="shared" si="147"/>
        <v>0</v>
      </c>
      <c r="BG363" s="116">
        <f t="shared" si="148"/>
        <v>0.95</v>
      </c>
      <c r="BH363" s="9">
        <f>IF($C363="&lt;01",ROUND(INDEX(EID!$L:$L,MATCH($B363,EID!$B:$B,0)),0)/2,IF(SUM($BG363)=0,"",ROUND($AX363/$BG363,0)))</f>
        <v>0</v>
      </c>
    </row>
    <row r="364" spans="1:60" x14ac:dyDescent="0.2">
      <c r="A364" t="str">
        <f>INDEX(Prioritization!$D:$D,MATCH($B364,Prioritization!$A:$A,0))</f>
        <v>INVALID</v>
      </c>
      <c r="B364" t="s">
        <v>217</v>
      </c>
      <c r="C364" t="s">
        <v>367</v>
      </c>
      <c r="D364" t="s">
        <v>47</v>
      </c>
      <c r="E364" t="str">
        <f t="shared" si="126"/>
        <v>Neno District [gwVYinjBAe9]|50+|Male</v>
      </c>
      <c r="F364" s="14"/>
      <c r="G364" s="14"/>
      <c r="H364" s="14"/>
      <c r="I364" s="14"/>
      <c r="J364" s="14"/>
      <c r="K364" s="14"/>
      <c r="L364" s="14"/>
      <c r="M364" s="14"/>
      <c r="N364" s="14"/>
      <c r="O364" s="14" t="str">
        <f t="shared" si="127"/>
        <v/>
      </c>
      <c r="P364" s="14"/>
      <c r="Q364" s="14"/>
      <c r="R364" s="14" t="str">
        <f t="shared" si="128"/>
        <v/>
      </c>
      <c r="S364" s="14">
        <f>IF(LEFT($B364,4)="_Mil","",_xlfn.IFNA(ROUND(INDEX(Spectrum!$N:$N,MATCH(RIGHT($B364,13)&amp;"|"&amp;$C364&amp;"|"&amp;$D364&amp;"|"&amp;S$14&amp;"|"&amp;"CY2022Q4",Spectrum!$R:$R,0)),0),""))</f>
        <v>1623</v>
      </c>
      <c r="T364" s="42">
        <f>IF(LEFT($B364,4)="_Mil","",_xlfn.IFNA(ROUND(INDEX(Spectrum!$N:$N,MATCH(RIGHT($B364,13)&amp;"|"&amp;$C364&amp;"|"&amp;$D364&amp;"|"&amp;T$14&amp;"|"&amp;"CY2023Q3",Spectrum!$R:$R,0)),0),""))</f>
        <v>1059</v>
      </c>
      <c r="U364" s="42" t="str">
        <f>IF(LEFT($B364,4)="_Mil","",_xlfn.IFNA(ROUND(INDEX(Spectrum!$N:$N,MATCH(RIGHT($B364,13)&amp;"|"&amp;$C364&amp;"|"&amp;$D364&amp;"|"&amp;U$14&amp;"|"&amp;"CY2023Q3",Spectrum!$R:$R,0)),0),""))</f>
        <v/>
      </c>
      <c r="V364" s="14">
        <f>IF(LEFT($B364,4)="_Mil","",_xlfn.IFNA(ROUND(INDEX(Spectrum!$N:$N,MATCH(RIGHT($B364,13)&amp;"|"&amp;$C364&amp;"|"&amp;$D364&amp;"|"&amp;V$14&amp;"|"&amp;"CY2023Q3",Spectrum!$R:$R,0)),0),""))</f>
        <v>1839</v>
      </c>
      <c r="W364" s="115">
        <f>IF(LEFT($B364,4)="_Mil","",_xlfn.IFNA(INDEX(Spectrum!$N:$N,MATCH(RIGHT($B364,13)&amp;"|"&amp;$C364&amp;"|"&amp;$D364&amp;"|"&amp;W$14&amp;"|"&amp;"CY2023Q3",Spectrum!$R:$R,0)),""))</f>
        <v>1640</v>
      </c>
      <c r="X364" s="42">
        <f>IF(LEFT($B364,4)="_Mil","",_xlfn.IFNA(ROUND(INDEX(Spectrum!$N:$N,MATCH(RIGHT($B364,13)&amp;"|"&amp;$C364&amp;"|"&amp;$D364&amp;"|"&amp;X$14&amp;"|"&amp;"CY2023Q3",Spectrum!$R:$R,0)),0),""))</f>
        <v>1461</v>
      </c>
      <c r="Y364" s="90" t="str">
        <f t="shared" si="129"/>
        <v/>
      </c>
      <c r="Z364" s="42">
        <f>IF(LEFT($B364,4)="_Mil","",_xlfn.IFNA(ROUND(INDEX(Spectrum!$N:$N,MATCH(RIGHT($B364,13)&amp;"|"&amp;$C364&amp;"|"&amp;$D364&amp;"|"&amp;Z$14&amp;"|"&amp;"CY2023Q3",Spectrum!$R:$R,0)),0),""))</f>
        <v>1518</v>
      </c>
      <c r="AA364" s="90">
        <f>IF(LEFT($B364,4)="_Mil","",IFERROR(1/(1/INDEX(Spectrum!$N:$N,MATCH(RIGHT($B364,13)&amp;"|"&amp;$C364&amp;"|"&amp;$D364&amp;"|"&amp;AA$14&amp;"|"&amp;"CY2023Q3",Spectrum!$R:$R,0))),IF(SUM($U364)=0,"",SUM($Z364)/$U364)))</f>
        <v>1199</v>
      </c>
      <c r="AB364" s="90">
        <f t="shared" si="130"/>
        <v>1.0390143737166324</v>
      </c>
      <c r="AC364" s="14">
        <f>IF(LEFT($B364,4)="_Mil","",_xlfn.IFNA(ROUND(INDEX(Spectrum!$N:$N,MATCH(RIGHT($B364,13)&amp;"|"&amp;$C364&amp;"|"&amp;$D364&amp;"|"&amp;AC$14&amp;"|"&amp;"CY2023Q3",Spectrum!$R:$R,0)),0),""))</f>
        <v>1688</v>
      </c>
      <c r="AD364" s="14" t="str">
        <f>IF(LEFT($B364,4)="_Mil","",_xlfn.IFNA(ROUND(INDEX(Spectrum!$N:$N,MATCH(RIGHT($B364,13)&amp;"|"&amp;$C364&amp;"|"&amp;$D364&amp;"|"&amp;AD$14&amp;"|"&amp;"CY2023Q3",Spectrum!$R:$R,0)),0),""))</f>
        <v/>
      </c>
      <c r="AE364" s="90">
        <f t="shared" si="131"/>
        <v>0</v>
      </c>
      <c r="AF364" s="42" t="str">
        <f>IF(LEFT($B364,4)="_Mil","",_xlfn.IFNA(ROUND(INDEX(Spectrum!$N:$N,MATCH(RIGHT($B364,13)&amp;"|"&amp;$C364&amp;"|"&amp;$D364&amp;"|"&amp;AF$14&amp;"|"&amp;"CY2023Q3",Spectrum!$R:$R,0)),0),""))</f>
        <v/>
      </c>
      <c r="AG364" s="90" t="str">
        <f t="shared" si="132"/>
        <v/>
      </c>
      <c r="AH364" s="88" t="str">
        <f>IF(LEFT($B364,4)="_Mil","",_xlfn.IFNA(INDEX(Spectrum!$N:$N,MATCH(RIGHT($B364,13)&amp;"|"&amp;$C364&amp;"|"&amp;$D364&amp;"|"&amp;AH$14&amp;"|"&amp;"CY2023Q3",Spectrum!$R:$R,0)),""))</f>
        <v/>
      </c>
      <c r="AI364" s="14" t="str">
        <f>IF(LEFT($B364,4)="_Mil","",_xlfn.IFNA(ROUND(INDEX(Spectrum!$N:$N,MATCH(RIGHT($B364,13)&amp;"|"&amp;$C364&amp;"|"&amp;$D364&amp;"|"&amp;AI$14&amp;"|"&amp;"CY2023Q3",Spectrum!$R:$R,0)),0),""))</f>
        <v/>
      </c>
      <c r="AJ364" s="42">
        <f>IF(LEFT($B364,4)="_Mil","",_xlfn.IFNA(ROUND(INDEX(Spectrum!$N:$N,MATCH(RIGHT($B364,13)&amp;"|"&amp;$C364&amp;"|"&amp;$D364&amp;"|"&amp;AI$14&amp;"|"&amp;"CY2023Q3",Spectrum!$R:$R,0)),0),SUM($U364)+SUM($AI364)))</f>
        <v>0</v>
      </c>
      <c r="AK364" s="14" t="str">
        <f>IF(LEFT($B364,4)="_Mil","",_xlfn.IFNA(ROUND(INDEX(Spectrum!$N:$N,MATCH(RIGHT($B364,13)&amp;"|"&amp;$C364&amp;"|"&amp;$D364&amp;"|"&amp;AK$14&amp;"|"&amp;"CY2023Q3",Spectrum!$R:$R,0)),0),""))</f>
        <v/>
      </c>
      <c r="AL364" s="90">
        <f t="shared" si="133"/>
        <v>1199</v>
      </c>
      <c r="AM364" s="14">
        <f t="shared" si="134"/>
        <v>0</v>
      </c>
      <c r="AN364" s="14" t="str">
        <f>IF($C364="&lt;01",ROUND(INDEX(EID!$P:$P,MATCH($B364,EID!$B:$B,0))/2,0),"")</f>
        <v/>
      </c>
      <c r="AO364" s="14">
        <f t="shared" si="135"/>
        <v>0</v>
      </c>
      <c r="AP364" s="42">
        <f t="shared" si="136"/>
        <v>0</v>
      </c>
      <c r="AQ364" s="42">
        <f t="shared" si="137"/>
        <v>1518</v>
      </c>
      <c r="AR364" s="90" t="str">
        <f t="shared" si="138"/>
        <v/>
      </c>
      <c r="AS364" s="90">
        <f t="shared" si="149"/>
        <v>0.98</v>
      </c>
      <c r="AT364" s="90">
        <f t="shared" si="149"/>
        <v>0.98</v>
      </c>
      <c r="AU364" s="14">
        <f t="shared" si="140"/>
        <v>0</v>
      </c>
      <c r="AV364" s="14">
        <f>IF($C364="&lt;01",ROUND(INDEX(EID!$N:$N,MATCH($B364,EID!$B:$B,0))/2,0),IF(SUM($AT364)=0,"",ROUND((SUM($AP364)-(SUM($O364)*SUM($AS364)))/$AT364,0)))</f>
        <v>0</v>
      </c>
      <c r="AW364" s="90">
        <f t="shared" si="141"/>
        <v>1</v>
      </c>
      <c r="AX364" s="42">
        <f t="shared" si="142"/>
        <v>0</v>
      </c>
      <c r="AY364" s="116">
        <f t="shared" si="143"/>
        <v>0.7</v>
      </c>
      <c r="AZ364" s="93">
        <f>IF($C364="&lt;01",ROUND(INDEX(EID!$R:$R,MATCH($B364,EID!$B:$B,0))/2,0),ROUND(SUM($O364)+(SUM($AV364)*$AY364),0))</f>
        <v>0</v>
      </c>
      <c r="BA364" s="89">
        <f t="shared" si="144"/>
        <v>0.95</v>
      </c>
      <c r="BB364" s="9">
        <f>IF($C364="&lt;01",ROUND(INDEX(EID!$T:$T,MATCH($B364,EID!$B:$B,0))/2,0),ROUND($AZ364*$BA364,0))</f>
        <v>0</v>
      </c>
      <c r="BC364" s="93">
        <f t="shared" si="145"/>
        <v>0</v>
      </c>
      <c r="BD364" s="90">
        <f t="shared" si="146"/>
        <v>0.95</v>
      </c>
      <c r="BE364" s="42">
        <f>IF($C364="&lt;01",ROUND(INDEX(EID!$V:$V,MATCH($B364,EID!$B:$B,0))/2,0),ROUND($BD364*$BB364,0))</f>
        <v>0</v>
      </c>
      <c r="BF364" s="42">
        <f t="shared" si="147"/>
        <v>0</v>
      </c>
      <c r="BG364" s="116">
        <f t="shared" si="148"/>
        <v>0.95</v>
      </c>
      <c r="BH364" s="9">
        <f>IF($C364="&lt;01",ROUND(INDEX(EID!$L:$L,MATCH($B364,EID!$B:$B,0)),0)/2,IF(SUM($BG364)=0,"",ROUND($AX364/$BG364,0)))</f>
        <v>0</v>
      </c>
    </row>
    <row r="365" spans="1:60" x14ac:dyDescent="0.2">
      <c r="A365" t="str">
        <f>INDEX(Prioritization!$D:$D,MATCH($B365,Prioritization!$A:$A,0))</f>
        <v>INVALID</v>
      </c>
      <c r="B365" t="s">
        <v>218</v>
      </c>
      <c r="C365" t="s">
        <v>315</v>
      </c>
      <c r="D365" t="s">
        <v>29</v>
      </c>
      <c r="E365" t="str">
        <f t="shared" si="126"/>
        <v>Nsanje District [rpw540fmNUz]|&lt;01|Female</v>
      </c>
      <c r="F365" s="14"/>
      <c r="G365" s="14">
        <v>34</v>
      </c>
      <c r="H365" s="14">
        <v>3</v>
      </c>
      <c r="I365" s="14">
        <v>1</v>
      </c>
      <c r="J365" s="14">
        <v>3</v>
      </c>
      <c r="K365" s="14">
        <v>2</v>
      </c>
      <c r="L365" s="14"/>
      <c r="M365" s="14">
        <v>0</v>
      </c>
      <c r="N365" s="14">
        <v>0</v>
      </c>
      <c r="O365" s="14">
        <f t="shared" si="127"/>
        <v>1</v>
      </c>
      <c r="P365" s="14">
        <v>0</v>
      </c>
      <c r="Q365" s="14">
        <v>1</v>
      </c>
      <c r="R365" s="14">
        <f t="shared" si="128"/>
        <v>0</v>
      </c>
      <c r="S365" s="14">
        <f>IF(LEFT($B365,4)="_Mil","",_xlfn.IFNA(ROUND(INDEX(Spectrum!$N:$N,MATCH(RIGHT($B365,13)&amp;"|"&amp;$C365&amp;"|"&amp;$D365&amp;"|"&amp;S$14&amp;"|"&amp;"CY2022Q4",Spectrum!$R:$R,0)),0),""))</f>
        <v>1188</v>
      </c>
      <c r="T365" s="42">
        <f>IF(LEFT($B365,4)="_Mil","",_xlfn.IFNA(ROUND(INDEX(Spectrum!$N:$N,MATCH(RIGHT($B365,13)&amp;"|"&amp;$C365&amp;"|"&amp;$D365&amp;"|"&amp;T$14&amp;"|"&amp;"CY2023Q3",Spectrum!$R:$R,0)),0),""))</f>
        <v>582</v>
      </c>
      <c r="U365" s="42" t="str">
        <f>IF(LEFT($B365,4)="_Mil","",_xlfn.IFNA(ROUND(INDEX(Spectrum!$N:$N,MATCH(RIGHT($B365,13)&amp;"|"&amp;$C365&amp;"|"&amp;$D365&amp;"|"&amp;U$14&amp;"|"&amp;"CY2023Q3",Spectrum!$R:$R,0)),0),""))</f>
        <v/>
      </c>
      <c r="V365" s="14">
        <f>IF(LEFT($B365,4)="_Mil","",_xlfn.IFNA(ROUND(INDEX(Spectrum!$N:$N,MATCH(RIGHT($B365,13)&amp;"|"&amp;$C365&amp;"|"&amp;$D365&amp;"|"&amp;V$14&amp;"|"&amp;"CY2023Q3",Spectrum!$R:$R,0)),0),""))</f>
        <v>733</v>
      </c>
      <c r="W365" s="115">
        <f>IF(LEFT($B365,4)="_Mil","",_xlfn.IFNA(INDEX(Spectrum!$N:$N,MATCH(RIGHT($B365,13)&amp;"|"&amp;$C365&amp;"|"&amp;$D365&amp;"|"&amp;W$14&amp;"|"&amp;"CY2023Q3",Spectrum!$R:$R,0)),""))</f>
        <v>987</v>
      </c>
      <c r="X365" s="42">
        <f>IF(LEFT($B365,4)="_Mil","",_xlfn.IFNA(ROUND(INDEX(Spectrum!$N:$N,MATCH(RIGHT($B365,13)&amp;"|"&amp;$C365&amp;"|"&amp;$D365&amp;"|"&amp;X$14&amp;"|"&amp;"CY2023Q3",Spectrum!$R:$R,0)),0),""))</f>
        <v>1693</v>
      </c>
      <c r="Y365" s="90" t="str">
        <f t="shared" si="129"/>
        <v/>
      </c>
      <c r="Z365" s="42">
        <f>IF(LEFT($B365,4)="_Mil","",_xlfn.IFNA(ROUND(INDEX(Spectrum!$N:$N,MATCH(RIGHT($B365,13)&amp;"|"&amp;$C365&amp;"|"&amp;$D365&amp;"|"&amp;Z$14&amp;"|"&amp;"CY2023Q3",Spectrum!$R:$R,0)),0),""))</f>
        <v>1849</v>
      </c>
      <c r="AA365" s="90">
        <f>IF(LEFT($B365,4)="_Mil","",IFERROR(1/(1/INDEX(Spectrum!$N:$N,MATCH(RIGHT($B365,13)&amp;"|"&amp;$C365&amp;"|"&amp;$D365&amp;"|"&amp;AA$14&amp;"|"&amp;"CY2023Q3",Spectrum!$R:$R,0))),IF(SUM($U365)=0,"",SUM($Z365)/$U365)))</f>
        <v>1246</v>
      </c>
      <c r="AB365" s="90">
        <f t="shared" si="130"/>
        <v>1.0921441228588304</v>
      </c>
      <c r="AC365" s="14">
        <f>IF(LEFT($B365,4)="_Mil","",_xlfn.IFNA(ROUND(INDEX(Spectrum!$N:$N,MATCH(RIGHT($B365,13)&amp;"|"&amp;$C365&amp;"|"&amp;$D365&amp;"|"&amp;AC$14&amp;"|"&amp;"CY2023Q3",Spectrum!$R:$R,0)),0),""))</f>
        <v>606</v>
      </c>
      <c r="AD365" s="14" t="str">
        <f>IF(LEFT($B365,4)="_Mil","",_xlfn.IFNA(ROUND(INDEX(Spectrum!$N:$N,MATCH(RIGHT($B365,13)&amp;"|"&amp;$C365&amp;"|"&amp;$D365&amp;"|"&amp;AD$14&amp;"|"&amp;"CY2023Q3",Spectrum!$R:$R,0)),0),""))</f>
        <v/>
      </c>
      <c r="AE365" s="90">
        <f t="shared" si="131"/>
        <v>0</v>
      </c>
      <c r="AF365" s="42" t="str">
        <f>IF(LEFT($B365,4)="_Mil","",_xlfn.IFNA(ROUND(INDEX(Spectrum!$N:$N,MATCH(RIGHT($B365,13)&amp;"|"&amp;$C365&amp;"|"&amp;$D365&amp;"|"&amp;AF$14&amp;"|"&amp;"CY2023Q3",Spectrum!$R:$R,0)),0),""))</f>
        <v/>
      </c>
      <c r="AG365" s="90" t="str">
        <f t="shared" si="132"/>
        <v/>
      </c>
      <c r="AH365" s="88" t="str">
        <f>IF(LEFT($B365,4)="_Mil","",_xlfn.IFNA(INDEX(Spectrum!$N:$N,MATCH(RIGHT($B365,13)&amp;"|"&amp;$C365&amp;"|"&amp;$D365&amp;"|"&amp;AH$14&amp;"|"&amp;"CY2023Q3",Spectrum!$R:$R,0)),""))</f>
        <v/>
      </c>
      <c r="AI365" s="14" t="str">
        <f>IF(LEFT($B365,4)="_Mil","",_xlfn.IFNA(ROUND(INDEX(Spectrum!$N:$N,MATCH(RIGHT($B365,13)&amp;"|"&amp;$C365&amp;"|"&amp;$D365&amp;"|"&amp;AI$14&amp;"|"&amp;"CY2023Q3",Spectrum!$R:$R,0)),0),""))</f>
        <v/>
      </c>
      <c r="AJ365" s="42">
        <f>IF(LEFT($B365,4)="_Mil","",_xlfn.IFNA(ROUND(INDEX(Spectrum!$N:$N,MATCH(RIGHT($B365,13)&amp;"|"&amp;$C365&amp;"|"&amp;$D365&amp;"|"&amp;AI$14&amp;"|"&amp;"CY2023Q3",Spectrum!$R:$R,0)),0),SUM($U365)+SUM($AI365)))</f>
        <v>0</v>
      </c>
      <c r="AK365" s="14" t="str">
        <f>IF(LEFT($B365,4)="_Mil","",_xlfn.IFNA(ROUND(INDEX(Spectrum!$N:$N,MATCH(RIGHT($B365,13)&amp;"|"&amp;$C365&amp;"|"&amp;$D365&amp;"|"&amp;AK$14&amp;"|"&amp;"CY2023Q3",Spectrum!$R:$R,0)),0),""))</f>
        <v/>
      </c>
      <c r="AL365" s="90" t="str">
        <f t="shared" si="133"/>
        <v/>
      </c>
      <c r="AM365" s="14" t="str">
        <f t="shared" si="134"/>
        <v/>
      </c>
      <c r="AN365" s="14">
        <f>IF($C365="&lt;01",ROUND(INDEX(EID!$P:$P,MATCH($B365,EID!$B:$B,0))/2,0),"")</f>
        <v>0</v>
      </c>
      <c r="AO365" s="14">
        <f t="shared" si="135"/>
        <v>0</v>
      </c>
      <c r="AP365" s="42">
        <f t="shared" si="136"/>
        <v>0</v>
      </c>
      <c r="AQ365" s="42">
        <f t="shared" si="137"/>
        <v>1849</v>
      </c>
      <c r="AR365" s="90" t="str">
        <f t="shared" si="138"/>
        <v/>
      </c>
      <c r="AS365" s="90" t="str">
        <f t="shared" si="149"/>
        <v/>
      </c>
      <c r="AT365" s="90" t="str">
        <f t="shared" si="149"/>
        <v/>
      </c>
      <c r="AU365" s="14" t="str">
        <f t="shared" si="140"/>
        <v/>
      </c>
      <c r="AV365" s="14">
        <f>IF($C365="&lt;01",ROUND(INDEX(EID!$N:$N,MATCH($B365,EID!$B:$B,0))/2,0),IF(SUM($AT365)=0,"",ROUND((SUM($AP365)-(SUM($O365)*SUM($AS365)))/$AT365,0)))</f>
        <v>0</v>
      </c>
      <c r="AW365" s="90" t="str">
        <f t="shared" si="141"/>
        <v/>
      </c>
      <c r="AX365" s="42">
        <f t="shared" si="142"/>
        <v>0</v>
      </c>
      <c r="AY365" s="116" t="str">
        <f t="shared" si="143"/>
        <v/>
      </c>
      <c r="AZ365" s="93">
        <f>IF($C365="&lt;01",ROUND(INDEX(EID!$R:$R,MATCH($B365,EID!$B:$B,0))/2,0),ROUND(SUM($O365)+(SUM($AV365)*$AY365),0))</f>
        <v>0</v>
      </c>
      <c r="BA365" s="89" t="str">
        <f t="shared" si="144"/>
        <v/>
      </c>
      <c r="BB365" s="9">
        <f>IF($C365="&lt;01",ROUND(INDEX(EID!$T:$T,MATCH($B365,EID!$B:$B,0))/2,0),ROUND($AZ365*$BA365,0))</f>
        <v>0</v>
      </c>
      <c r="BC365" s="93">
        <f t="shared" si="145"/>
        <v>0</v>
      </c>
      <c r="BD365" s="90" t="str">
        <f t="shared" si="146"/>
        <v/>
      </c>
      <c r="BE365" s="42">
        <f>IF($C365="&lt;01",ROUND(INDEX(EID!$V:$V,MATCH($B365,EID!$B:$B,0))/2,0),ROUND($BD365*$BB365,0))</f>
        <v>0</v>
      </c>
      <c r="BF365" s="42">
        <f t="shared" si="147"/>
        <v>0</v>
      </c>
      <c r="BG365" s="116" t="str">
        <f t="shared" si="148"/>
        <v/>
      </c>
      <c r="BH365" s="9">
        <f>IF($C365="&lt;01",ROUND(INDEX(EID!$L:$L,MATCH($B365,EID!$B:$B,0)),0)/2,IF(SUM($BG365)=0,"",ROUND($AX365/$BG365,0)))</f>
        <v>0</v>
      </c>
    </row>
    <row r="366" spans="1:60" x14ac:dyDescent="0.2">
      <c r="A366" t="str">
        <f>INDEX(Prioritization!$D:$D,MATCH($B366,Prioritization!$A:$A,0))</f>
        <v>INVALID</v>
      </c>
      <c r="B366" t="s">
        <v>218</v>
      </c>
      <c r="C366" t="s">
        <v>315</v>
      </c>
      <c r="D366" t="s">
        <v>47</v>
      </c>
      <c r="E366" t="str">
        <f t="shared" si="126"/>
        <v>Nsanje District [rpw540fmNUz]|&lt;01|Male</v>
      </c>
      <c r="F366" s="14"/>
      <c r="G366" s="14">
        <v>88</v>
      </c>
      <c r="H366" s="14">
        <v>1</v>
      </c>
      <c r="I366" s="14">
        <v>1</v>
      </c>
      <c r="J366" s="14">
        <v>5</v>
      </c>
      <c r="K366" s="14">
        <v>5</v>
      </c>
      <c r="L366" s="14"/>
      <c r="M366" s="14">
        <v>0</v>
      </c>
      <c r="N366" s="14">
        <v>0</v>
      </c>
      <c r="O366" s="14">
        <f t="shared" si="127"/>
        <v>1</v>
      </c>
      <c r="P366" s="14">
        <v>0</v>
      </c>
      <c r="Q366" s="14">
        <v>0</v>
      </c>
      <c r="R366" s="14">
        <f t="shared" si="128"/>
        <v>0</v>
      </c>
      <c r="S366" s="14">
        <f>IF(LEFT($B366,4)="_Mil","",_xlfn.IFNA(ROUND(INDEX(Spectrum!$N:$N,MATCH(RIGHT($B366,13)&amp;"|"&amp;$C366&amp;"|"&amp;$D366&amp;"|"&amp;S$14&amp;"|"&amp;"CY2022Q4",Spectrum!$R:$R,0)),0),""))</f>
        <v>639</v>
      </c>
      <c r="T366" s="42">
        <f>IF(LEFT($B366,4)="_Mil","",_xlfn.IFNA(ROUND(INDEX(Spectrum!$N:$N,MATCH(RIGHT($B366,13)&amp;"|"&amp;$C366&amp;"|"&amp;$D366&amp;"|"&amp;T$14&amp;"|"&amp;"CY2023Q3",Spectrum!$R:$R,0)),0),""))</f>
        <v>1120</v>
      </c>
      <c r="U366" s="42" t="str">
        <f>IF(LEFT($B366,4)="_Mil","",_xlfn.IFNA(ROUND(INDEX(Spectrum!$N:$N,MATCH(RIGHT($B366,13)&amp;"|"&amp;$C366&amp;"|"&amp;$D366&amp;"|"&amp;U$14&amp;"|"&amp;"CY2023Q3",Spectrum!$R:$R,0)),0),""))</f>
        <v/>
      </c>
      <c r="V366" s="14">
        <f>IF(LEFT($B366,4)="_Mil","",_xlfn.IFNA(ROUND(INDEX(Spectrum!$N:$N,MATCH(RIGHT($B366,13)&amp;"|"&amp;$C366&amp;"|"&amp;$D366&amp;"|"&amp;V$14&amp;"|"&amp;"CY2023Q3",Spectrum!$R:$R,0)),0),""))</f>
        <v>713</v>
      </c>
      <c r="W366" s="115">
        <f>IF(LEFT($B366,4)="_Mil","",_xlfn.IFNA(INDEX(Spectrum!$N:$N,MATCH(RIGHT($B366,13)&amp;"|"&amp;$C366&amp;"|"&amp;$D366&amp;"|"&amp;W$14&amp;"|"&amp;"CY2023Q3",Spectrum!$R:$R,0)),""))</f>
        <v>1624</v>
      </c>
      <c r="X366" s="42">
        <f>IF(LEFT($B366,4)="_Mil","",_xlfn.IFNA(ROUND(INDEX(Spectrum!$N:$N,MATCH(RIGHT($B366,13)&amp;"|"&amp;$C366&amp;"|"&amp;$D366&amp;"|"&amp;X$14&amp;"|"&amp;"CY2023Q3",Spectrum!$R:$R,0)),0),""))</f>
        <v>979</v>
      </c>
      <c r="Y366" s="90" t="str">
        <f t="shared" si="129"/>
        <v/>
      </c>
      <c r="Z366" s="42">
        <f>IF(LEFT($B366,4)="_Mil","",_xlfn.IFNA(ROUND(INDEX(Spectrum!$N:$N,MATCH(RIGHT($B366,13)&amp;"|"&amp;$C366&amp;"|"&amp;$D366&amp;"|"&amp;Z$14&amp;"|"&amp;"CY2023Q3",Spectrum!$R:$R,0)),0),""))</f>
        <v>982</v>
      </c>
      <c r="AA366" s="90">
        <f>IF(LEFT($B366,4)="_Mil","",IFERROR(1/(1/INDEX(Spectrum!$N:$N,MATCH(RIGHT($B366,13)&amp;"|"&amp;$C366&amp;"|"&amp;$D366&amp;"|"&amp;AA$14&amp;"|"&amp;"CY2023Q3",Spectrum!$R:$R,0))),IF(SUM($U366)=0,"",SUM($Z366)/$U366)))</f>
        <v>790</v>
      </c>
      <c r="AB366" s="90">
        <f t="shared" si="130"/>
        <v>1.0030643513789581</v>
      </c>
      <c r="AC366" s="14">
        <f>IF(LEFT($B366,4)="_Mil","",_xlfn.IFNA(ROUND(INDEX(Spectrum!$N:$N,MATCH(RIGHT($B366,13)&amp;"|"&amp;$C366&amp;"|"&amp;$D366&amp;"|"&amp;AC$14&amp;"|"&amp;"CY2023Q3",Spectrum!$R:$R,0)),0),""))</f>
        <v>1163</v>
      </c>
      <c r="AD366" s="14" t="str">
        <f>IF(LEFT($B366,4)="_Mil","",_xlfn.IFNA(ROUND(INDEX(Spectrum!$N:$N,MATCH(RIGHT($B366,13)&amp;"|"&amp;$C366&amp;"|"&amp;$D366&amp;"|"&amp;AD$14&amp;"|"&amp;"CY2023Q3",Spectrum!$R:$R,0)),0),""))</f>
        <v/>
      </c>
      <c r="AE366" s="90">
        <f t="shared" si="131"/>
        <v>0</v>
      </c>
      <c r="AF366" s="42" t="str">
        <f>IF(LEFT($B366,4)="_Mil","",_xlfn.IFNA(ROUND(INDEX(Spectrum!$N:$N,MATCH(RIGHT($B366,13)&amp;"|"&amp;$C366&amp;"|"&amp;$D366&amp;"|"&amp;AF$14&amp;"|"&amp;"CY2023Q3",Spectrum!$R:$R,0)),0),""))</f>
        <v/>
      </c>
      <c r="AG366" s="90" t="str">
        <f t="shared" si="132"/>
        <v/>
      </c>
      <c r="AH366" s="88" t="str">
        <f>IF(LEFT($B366,4)="_Mil","",_xlfn.IFNA(INDEX(Spectrum!$N:$N,MATCH(RIGHT($B366,13)&amp;"|"&amp;$C366&amp;"|"&amp;$D366&amp;"|"&amp;AH$14&amp;"|"&amp;"CY2023Q3",Spectrum!$R:$R,0)),""))</f>
        <v/>
      </c>
      <c r="AI366" s="14" t="str">
        <f>IF(LEFT($B366,4)="_Mil","",_xlfn.IFNA(ROUND(INDEX(Spectrum!$N:$N,MATCH(RIGHT($B366,13)&amp;"|"&amp;$C366&amp;"|"&amp;$D366&amp;"|"&amp;AI$14&amp;"|"&amp;"CY2023Q3",Spectrum!$R:$R,0)),0),""))</f>
        <v/>
      </c>
      <c r="AJ366" s="42">
        <f>IF(LEFT($B366,4)="_Mil","",_xlfn.IFNA(ROUND(INDEX(Spectrum!$N:$N,MATCH(RIGHT($B366,13)&amp;"|"&amp;$C366&amp;"|"&amp;$D366&amp;"|"&amp;AI$14&amp;"|"&amp;"CY2023Q3",Spectrum!$R:$R,0)),0),SUM($U366)+SUM($AI366)))</f>
        <v>0</v>
      </c>
      <c r="AK366" s="14" t="str">
        <f>IF(LEFT($B366,4)="_Mil","",_xlfn.IFNA(ROUND(INDEX(Spectrum!$N:$N,MATCH(RIGHT($B366,13)&amp;"|"&amp;$C366&amp;"|"&amp;$D366&amp;"|"&amp;AK$14&amp;"|"&amp;"CY2023Q3",Spectrum!$R:$R,0)),0),""))</f>
        <v/>
      </c>
      <c r="AL366" s="90" t="str">
        <f t="shared" si="133"/>
        <v/>
      </c>
      <c r="AM366" s="14" t="str">
        <f t="shared" si="134"/>
        <v/>
      </c>
      <c r="AN366" s="14">
        <f>IF($C366="&lt;01",ROUND(INDEX(EID!$P:$P,MATCH($B366,EID!$B:$B,0))/2,0),"")</f>
        <v>0</v>
      </c>
      <c r="AO366" s="14">
        <f t="shared" si="135"/>
        <v>0</v>
      </c>
      <c r="AP366" s="42">
        <f t="shared" si="136"/>
        <v>0</v>
      </c>
      <c r="AQ366" s="42">
        <f t="shared" si="137"/>
        <v>982</v>
      </c>
      <c r="AR366" s="90" t="str">
        <f t="shared" si="138"/>
        <v/>
      </c>
      <c r="AS366" s="90" t="str">
        <f t="shared" si="149"/>
        <v/>
      </c>
      <c r="AT366" s="90" t="str">
        <f t="shared" si="149"/>
        <v/>
      </c>
      <c r="AU366" s="14" t="str">
        <f t="shared" si="140"/>
        <v/>
      </c>
      <c r="AV366" s="14">
        <f>IF($C366="&lt;01",ROUND(INDEX(EID!$N:$N,MATCH($B366,EID!$B:$B,0))/2,0),IF(SUM($AT366)=0,"",ROUND((SUM($AP366)-(SUM($O366)*SUM($AS366)))/$AT366,0)))</f>
        <v>0</v>
      </c>
      <c r="AW366" s="90" t="str">
        <f t="shared" si="141"/>
        <v/>
      </c>
      <c r="AX366" s="42">
        <f t="shared" si="142"/>
        <v>0</v>
      </c>
      <c r="AY366" s="116" t="str">
        <f t="shared" si="143"/>
        <v/>
      </c>
      <c r="AZ366" s="93">
        <f>IF($C366="&lt;01",ROUND(INDEX(EID!$R:$R,MATCH($B366,EID!$B:$B,0))/2,0),ROUND(SUM($O366)+(SUM($AV366)*$AY366),0))</f>
        <v>0</v>
      </c>
      <c r="BA366" s="89" t="str">
        <f t="shared" si="144"/>
        <v/>
      </c>
      <c r="BB366" s="9">
        <f>IF($C366="&lt;01",ROUND(INDEX(EID!$T:$T,MATCH($B366,EID!$B:$B,0))/2,0),ROUND($AZ366*$BA366,0))</f>
        <v>0</v>
      </c>
      <c r="BC366" s="93">
        <f t="shared" si="145"/>
        <v>0</v>
      </c>
      <c r="BD366" s="90" t="str">
        <f t="shared" si="146"/>
        <v/>
      </c>
      <c r="BE366" s="42">
        <f>IF($C366="&lt;01",ROUND(INDEX(EID!$V:$V,MATCH($B366,EID!$B:$B,0))/2,0),ROUND($BD366*$BB366,0))</f>
        <v>0</v>
      </c>
      <c r="BF366" s="42">
        <f t="shared" si="147"/>
        <v>0</v>
      </c>
      <c r="BG366" s="116" t="str">
        <f t="shared" si="148"/>
        <v/>
      </c>
      <c r="BH366" s="9">
        <f>IF($C366="&lt;01",ROUND(INDEX(EID!$L:$L,MATCH($B366,EID!$B:$B,0)),0)/2,IF(SUM($BG366)=0,"",ROUND($AX366/$BG366,0)))</f>
        <v>0</v>
      </c>
    </row>
    <row r="367" spans="1:60" x14ac:dyDescent="0.2">
      <c r="A367" t="str">
        <f>INDEX(Prioritization!$D:$D,MATCH($B367,Prioritization!$A:$A,0))</f>
        <v>INVALID</v>
      </c>
      <c r="B367" t="s">
        <v>218</v>
      </c>
      <c r="C367" t="s">
        <v>362</v>
      </c>
      <c r="D367" t="s">
        <v>29</v>
      </c>
      <c r="E367" t="str">
        <f t="shared" si="126"/>
        <v>Nsanje District [rpw540fmNUz]|01-09|Female</v>
      </c>
      <c r="F367" s="14"/>
      <c r="G367" s="14"/>
      <c r="H367" s="14"/>
      <c r="I367" s="14"/>
      <c r="J367" s="14"/>
      <c r="K367" s="14"/>
      <c r="L367" s="14"/>
      <c r="M367" s="14"/>
      <c r="N367" s="14"/>
      <c r="O367" s="14" t="str">
        <f t="shared" si="127"/>
        <v/>
      </c>
      <c r="P367" s="14"/>
      <c r="Q367" s="14"/>
      <c r="R367" s="14" t="str">
        <f t="shared" si="128"/>
        <v/>
      </c>
      <c r="S367" s="14">
        <f>IF(LEFT($B367,4)="_Mil","",_xlfn.IFNA(ROUND(INDEX(Spectrum!$N:$N,MATCH(RIGHT($B367,13)&amp;"|"&amp;$C367&amp;"|"&amp;$D367&amp;"|"&amp;S$14&amp;"|"&amp;"CY2022Q4",Spectrum!$R:$R,0)),0),""))</f>
        <v>1558</v>
      </c>
      <c r="T367" s="42">
        <f>IF(LEFT($B367,4)="_Mil","",_xlfn.IFNA(ROUND(INDEX(Spectrum!$N:$N,MATCH(RIGHT($B367,13)&amp;"|"&amp;$C367&amp;"|"&amp;$D367&amp;"|"&amp;T$14&amp;"|"&amp;"CY2023Q3",Spectrum!$R:$R,0)),0),""))</f>
        <v>754</v>
      </c>
      <c r="U367" s="42" t="str">
        <f>IF(LEFT($B367,4)="_Mil","",_xlfn.IFNA(ROUND(INDEX(Spectrum!$N:$N,MATCH(RIGHT($B367,13)&amp;"|"&amp;$C367&amp;"|"&amp;$D367&amp;"|"&amp;U$14&amp;"|"&amp;"CY2023Q3",Spectrum!$R:$R,0)),0),""))</f>
        <v/>
      </c>
      <c r="V367" s="14">
        <f>IF(LEFT($B367,4)="_Mil","",_xlfn.IFNA(ROUND(INDEX(Spectrum!$N:$N,MATCH(RIGHT($B367,13)&amp;"|"&amp;$C367&amp;"|"&amp;$D367&amp;"|"&amp;V$14&amp;"|"&amp;"CY2023Q3",Spectrum!$R:$R,0)),0),""))</f>
        <v>1489</v>
      </c>
      <c r="W367" s="115">
        <f>IF(LEFT($B367,4)="_Mil","",_xlfn.IFNA(INDEX(Spectrum!$N:$N,MATCH(RIGHT($B367,13)&amp;"|"&amp;$C367&amp;"|"&amp;$D367&amp;"|"&amp;W$14&amp;"|"&amp;"CY2023Q3",Spectrum!$R:$R,0)),""))</f>
        <v>1045</v>
      </c>
      <c r="X367" s="42">
        <f>IF(LEFT($B367,4)="_Mil","",_xlfn.IFNA(ROUND(INDEX(Spectrum!$N:$N,MATCH(RIGHT($B367,13)&amp;"|"&amp;$C367&amp;"|"&amp;$D367&amp;"|"&amp;X$14&amp;"|"&amp;"CY2023Q3",Spectrum!$R:$R,0)),0),""))</f>
        <v>1253</v>
      </c>
      <c r="Y367" s="90" t="str">
        <f t="shared" si="129"/>
        <v/>
      </c>
      <c r="Z367" s="42">
        <f>IF(LEFT($B367,4)="_Mil","",_xlfn.IFNA(ROUND(INDEX(Spectrum!$N:$N,MATCH(RIGHT($B367,13)&amp;"|"&amp;$C367&amp;"|"&amp;$D367&amp;"|"&amp;Z$14&amp;"|"&amp;"CY2023Q3",Spectrum!$R:$R,0)),0),""))</f>
        <v>1552</v>
      </c>
      <c r="AA367" s="90">
        <f>IF(LEFT($B367,4)="_Mil","",IFERROR(1/(1/INDEX(Spectrum!$N:$N,MATCH(RIGHT($B367,13)&amp;"|"&amp;$C367&amp;"|"&amp;$D367&amp;"|"&amp;AA$14&amp;"|"&amp;"CY2023Q3",Spectrum!$R:$R,0))),IF(SUM($U367)=0,"",SUM($Z367)/$U367)))</f>
        <v>1844</v>
      </c>
      <c r="AB367" s="90">
        <f t="shared" si="130"/>
        <v>1.2386272944932162</v>
      </c>
      <c r="AC367" s="14">
        <f>IF(LEFT($B367,4)="_Mil","",_xlfn.IFNA(ROUND(INDEX(Spectrum!$N:$N,MATCH(RIGHT($B367,13)&amp;"|"&amp;$C367&amp;"|"&amp;$D367&amp;"|"&amp;AC$14&amp;"|"&amp;"CY2023Q3",Spectrum!$R:$R,0)),0),""))</f>
        <v>1703</v>
      </c>
      <c r="AD367" s="14" t="str">
        <f>IF(LEFT($B367,4)="_Mil","",_xlfn.IFNA(ROUND(INDEX(Spectrum!$N:$N,MATCH(RIGHT($B367,13)&amp;"|"&amp;$C367&amp;"|"&amp;$D367&amp;"|"&amp;AD$14&amp;"|"&amp;"CY2023Q3",Spectrum!$R:$R,0)),0),""))</f>
        <v/>
      </c>
      <c r="AE367" s="90">
        <f t="shared" si="131"/>
        <v>0</v>
      </c>
      <c r="AF367" s="42" t="str">
        <f>IF(LEFT($B367,4)="_Mil","",_xlfn.IFNA(ROUND(INDEX(Spectrum!$N:$N,MATCH(RIGHT($B367,13)&amp;"|"&amp;$C367&amp;"|"&amp;$D367&amp;"|"&amp;AF$14&amp;"|"&amp;"CY2023Q3",Spectrum!$R:$R,0)),0),""))</f>
        <v/>
      </c>
      <c r="AG367" s="90" t="str">
        <f t="shared" si="132"/>
        <v/>
      </c>
      <c r="AH367" s="88" t="str">
        <f>IF(LEFT($B367,4)="_Mil","",_xlfn.IFNA(INDEX(Spectrum!$N:$N,MATCH(RIGHT($B367,13)&amp;"|"&amp;$C367&amp;"|"&amp;$D367&amp;"|"&amp;AH$14&amp;"|"&amp;"CY2023Q3",Spectrum!$R:$R,0)),""))</f>
        <v/>
      </c>
      <c r="AI367" s="14" t="str">
        <f>IF(LEFT($B367,4)="_Mil","",_xlfn.IFNA(ROUND(INDEX(Spectrum!$N:$N,MATCH(RIGHT($B367,13)&amp;"|"&amp;$C367&amp;"|"&amp;$D367&amp;"|"&amp;AI$14&amp;"|"&amp;"CY2023Q3",Spectrum!$R:$R,0)),0),""))</f>
        <v/>
      </c>
      <c r="AJ367" s="42">
        <f>IF(LEFT($B367,4)="_Mil","",_xlfn.IFNA(ROUND(INDEX(Spectrum!$N:$N,MATCH(RIGHT($B367,13)&amp;"|"&amp;$C367&amp;"|"&amp;$D367&amp;"|"&amp;AI$14&amp;"|"&amp;"CY2023Q3",Spectrum!$R:$R,0)),0),SUM($U367)+SUM($AI367)))</f>
        <v>0</v>
      </c>
      <c r="AK367" s="14" t="str">
        <f>IF(LEFT($B367,4)="_Mil","",_xlfn.IFNA(ROUND(INDEX(Spectrum!$N:$N,MATCH(RIGHT($B367,13)&amp;"|"&amp;$C367&amp;"|"&amp;$D367&amp;"|"&amp;AK$14&amp;"|"&amp;"CY2023Q3",Spectrum!$R:$R,0)),0),""))</f>
        <v/>
      </c>
      <c r="AL367" s="90">
        <f t="shared" si="133"/>
        <v>1844</v>
      </c>
      <c r="AM367" s="14">
        <f t="shared" si="134"/>
        <v>0</v>
      </c>
      <c r="AN367" s="14" t="str">
        <f>IF($C367="&lt;01",ROUND(INDEX(EID!$P:$P,MATCH($B367,EID!$B:$B,0))/2,0),"")</f>
        <v/>
      </c>
      <c r="AO367" s="14">
        <f t="shared" si="135"/>
        <v>0</v>
      </c>
      <c r="AP367" s="42">
        <f t="shared" si="136"/>
        <v>0</v>
      </c>
      <c r="AQ367" s="42">
        <f t="shared" si="137"/>
        <v>1552</v>
      </c>
      <c r="AR367" s="90" t="str">
        <f t="shared" si="138"/>
        <v/>
      </c>
      <c r="AS367" s="90">
        <f t="shared" si="149"/>
        <v>0.98</v>
      </c>
      <c r="AT367" s="90">
        <f t="shared" si="149"/>
        <v>0.98</v>
      </c>
      <c r="AU367" s="14">
        <f t="shared" si="140"/>
        <v>0</v>
      </c>
      <c r="AV367" s="14">
        <f>IF($C367="&lt;01",ROUND(INDEX(EID!$N:$N,MATCH($B367,EID!$B:$B,0))/2,0),IF(SUM($AT367)=0,"",ROUND((SUM($AP367)-(SUM($O367)*SUM($AS367)))/$AT367,0)))</f>
        <v>0</v>
      </c>
      <c r="AW367" s="90">
        <f t="shared" si="141"/>
        <v>1</v>
      </c>
      <c r="AX367" s="42">
        <f t="shared" si="142"/>
        <v>0</v>
      </c>
      <c r="AY367" s="116">
        <f t="shared" si="143"/>
        <v>0.7</v>
      </c>
      <c r="AZ367" s="93">
        <f>IF($C367="&lt;01",ROUND(INDEX(EID!$R:$R,MATCH($B367,EID!$B:$B,0))/2,0),ROUND(SUM($O367)+(SUM($AV367)*$AY367),0))</f>
        <v>0</v>
      </c>
      <c r="BA367" s="89">
        <f t="shared" si="144"/>
        <v>0.95</v>
      </c>
      <c r="BB367" s="9">
        <f>IF($C367="&lt;01",ROUND(INDEX(EID!$T:$T,MATCH($B367,EID!$B:$B,0))/2,0),ROUND($AZ367*$BA367,0))</f>
        <v>0</v>
      </c>
      <c r="BC367" s="93">
        <f t="shared" si="145"/>
        <v>0</v>
      </c>
      <c r="BD367" s="90">
        <f t="shared" si="146"/>
        <v>0.95</v>
      </c>
      <c r="BE367" s="42">
        <f>IF($C367="&lt;01",ROUND(INDEX(EID!$V:$V,MATCH($B367,EID!$B:$B,0))/2,0),ROUND($BD367*$BB367,0))</f>
        <v>0</v>
      </c>
      <c r="BF367" s="42">
        <f t="shared" si="147"/>
        <v>0</v>
      </c>
      <c r="BG367" s="116">
        <f t="shared" si="148"/>
        <v>0.95</v>
      </c>
      <c r="BH367" s="9">
        <f>IF($C367="&lt;01",ROUND(INDEX(EID!$L:$L,MATCH($B367,EID!$B:$B,0)),0)/2,IF(SUM($BG367)=0,"",ROUND($AX367/$BG367,0)))</f>
        <v>0</v>
      </c>
    </row>
    <row r="368" spans="1:60" x14ac:dyDescent="0.2">
      <c r="A368" t="str">
        <f>INDEX(Prioritization!$D:$D,MATCH($B368,Prioritization!$A:$A,0))</f>
        <v>INVALID</v>
      </c>
      <c r="B368" t="s">
        <v>218</v>
      </c>
      <c r="C368" t="s">
        <v>362</v>
      </c>
      <c r="D368" t="s">
        <v>47</v>
      </c>
      <c r="E368" t="str">
        <f t="shared" si="126"/>
        <v>Nsanje District [rpw540fmNUz]|01-09|Male</v>
      </c>
      <c r="F368" s="14"/>
      <c r="G368" s="14"/>
      <c r="H368" s="14"/>
      <c r="I368" s="14"/>
      <c r="J368" s="14"/>
      <c r="K368" s="14"/>
      <c r="L368" s="14"/>
      <c r="M368" s="14"/>
      <c r="N368" s="14"/>
      <c r="O368" s="14" t="str">
        <f t="shared" si="127"/>
        <v/>
      </c>
      <c r="P368" s="14"/>
      <c r="Q368" s="14"/>
      <c r="R368" s="14" t="str">
        <f t="shared" si="128"/>
        <v/>
      </c>
      <c r="S368" s="14">
        <f>IF(LEFT($B368,4)="_Mil","",_xlfn.IFNA(ROUND(INDEX(Spectrum!$N:$N,MATCH(RIGHT($B368,13)&amp;"|"&amp;$C368&amp;"|"&amp;$D368&amp;"|"&amp;S$14&amp;"|"&amp;"CY2022Q4",Spectrum!$R:$R,0)),0),""))</f>
        <v>860</v>
      </c>
      <c r="T368" s="42">
        <f>IF(LEFT($B368,4)="_Mil","",_xlfn.IFNA(ROUND(INDEX(Spectrum!$N:$N,MATCH(RIGHT($B368,13)&amp;"|"&amp;$C368&amp;"|"&amp;$D368&amp;"|"&amp;T$14&amp;"|"&amp;"CY2023Q3",Spectrum!$R:$R,0)),0),""))</f>
        <v>1574</v>
      </c>
      <c r="U368" s="42" t="str">
        <f>IF(LEFT($B368,4)="_Mil","",_xlfn.IFNA(ROUND(INDEX(Spectrum!$N:$N,MATCH(RIGHT($B368,13)&amp;"|"&amp;$C368&amp;"|"&amp;$D368&amp;"|"&amp;U$14&amp;"|"&amp;"CY2023Q3",Spectrum!$R:$R,0)),0),""))</f>
        <v/>
      </c>
      <c r="V368" s="14">
        <f>IF(LEFT($B368,4)="_Mil","",_xlfn.IFNA(ROUND(INDEX(Spectrum!$N:$N,MATCH(RIGHT($B368,13)&amp;"|"&amp;$C368&amp;"|"&amp;$D368&amp;"|"&amp;V$14&amp;"|"&amp;"CY2023Q3",Spectrum!$R:$R,0)),0),""))</f>
        <v>1179</v>
      </c>
      <c r="W368" s="115">
        <f>IF(LEFT($B368,4)="_Mil","",_xlfn.IFNA(INDEX(Spectrum!$N:$N,MATCH(RIGHT($B368,13)&amp;"|"&amp;$C368&amp;"|"&amp;$D368&amp;"|"&amp;W$14&amp;"|"&amp;"CY2023Q3",Spectrum!$R:$R,0)),""))</f>
        <v>1599</v>
      </c>
      <c r="X368" s="42">
        <f>IF(LEFT($B368,4)="_Mil","",_xlfn.IFNA(ROUND(INDEX(Spectrum!$N:$N,MATCH(RIGHT($B368,13)&amp;"|"&amp;$C368&amp;"|"&amp;$D368&amp;"|"&amp;X$14&amp;"|"&amp;"CY2023Q3",Spectrum!$R:$R,0)),0),""))</f>
        <v>1620</v>
      </c>
      <c r="Y368" s="90" t="str">
        <f t="shared" si="129"/>
        <v/>
      </c>
      <c r="Z368" s="42">
        <f>IF(LEFT($B368,4)="_Mil","",_xlfn.IFNA(ROUND(INDEX(Spectrum!$N:$N,MATCH(RIGHT($B368,13)&amp;"|"&amp;$C368&amp;"|"&amp;$D368&amp;"|"&amp;Z$14&amp;"|"&amp;"CY2023Q3",Spectrum!$R:$R,0)),0),""))</f>
        <v>1412</v>
      </c>
      <c r="AA368" s="90">
        <f>IF(LEFT($B368,4)="_Mil","",IFERROR(1/(1/INDEX(Spectrum!$N:$N,MATCH(RIGHT($B368,13)&amp;"|"&amp;$C368&amp;"|"&amp;$D368&amp;"|"&amp;AA$14&amp;"|"&amp;"CY2023Q3",Spectrum!$R:$R,0))),IF(SUM($U368)=0,"",SUM($Z368)/$U368)))</f>
        <v>928</v>
      </c>
      <c r="AB368" s="90">
        <f t="shared" si="130"/>
        <v>0.8716049382716049</v>
      </c>
      <c r="AC368" s="14">
        <f>IF(LEFT($B368,4)="_Mil","",_xlfn.IFNA(ROUND(INDEX(Spectrum!$N:$N,MATCH(RIGHT($B368,13)&amp;"|"&amp;$C368&amp;"|"&amp;$D368&amp;"|"&amp;AC$14&amp;"|"&amp;"CY2023Q3",Spectrum!$R:$R,0)),0),""))</f>
        <v>593</v>
      </c>
      <c r="AD368" s="14" t="str">
        <f>IF(LEFT($B368,4)="_Mil","",_xlfn.IFNA(ROUND(INDEX(Spectrum!$N:$N,MATCH(RIGHT($B368,13)&amp;"|"&amp;$C368&amp;"|"&amp;$D368&amp;"|"&amp;AD$14&amp;"|"&amp;"CY2023Q3",Spectrum!$R:$R,0)),0),""))</f>
        <v/>
      </c>
      <c r="AE368" s="90">
        <f t="shared" si="131"/>
        <v>0</v>
      </c>
      <c r="AF368" s="42" t="str">
        <f>IF(LEFT($B368,4)="_Mil","",_xlfn.IFNA(ROUND(INDEX(Spectrum!$N:$N,MATCH(RIGHT($B368,13)&amp;"|"&amp;$C368&amp;"|"&amp;$D368&amp;"|"&amp;AF$14&amp;"|"&amp;"CY2023Q3",Spectrum!$R:$R,0)),0),""))</f>
        <v/>
      </c>
      <c r="AG368" s="90" t="str">
        <f t="shared" si="132"/>
        <v/>
      </c>
      <c r="AH368" s="88" t="str">
        <f>IF(LEFT($B368,4)="_Mil","",_xlfn.IFNA(INDEX(Spectrum!$N:$N,MATCH(RIGHT($B368,13)&amp;"|"&amp;$C368&amp;"|"&amp;$D368&amp;"|"&amp;AH$14&amp;"|"&amp;"CY2023Q3",Spectrum!$R:$R,0)),""))</f>
        <v/>
      </c>
      <c r="AI368" s="14" t="str">
        <f>IF(LEFT($B368,4)="_Mil","",_xlfn.IFNA(ROUND(INDEX(Spectrum!$N:$N,MATCH(RIGHT($B368,13)&amp;"|"&amp;$C368&amp;"|"&amp;$D368&amp;"|"&amp;AI$14&amp;"|"&amp;"CY2023Q3",Spectrum!$R:$R,0)),0),""))</f>
        <v/>
      </c>
      <c r="AJ368" s="42">
        <f>IF(LEFT($B368,4)="_Mil","",_xlfn.IFNA(ROUND(INDEX(Spectrum!$N:$N,MATCH(RIGHT($B368,13)&amp;"|"&amp;$C368&amp;"|"&amp;$D368&amp;"|"&amp;AI$14&amp;"|"&amp;"CY2023Q3",Spectrum!$R:$R,0)),0),SUM($U368)+SUM($AI368)))</f>
        <v>0</v>
      </c>
      <c r="AK368" s="14" t="str">
        <f>IF(LEFT($B368,4)="_Mil","",_xlfn.IFNA(ROUND(INDEX(Spectrum!$N:$N,MATCH(RIGHT($B368,13)&amp;"|"&amp;$C368&amp;"|"&amp;$D368&amp;"|"&amp;AK$14&amp;"|"&amp;"CY2023Q3",Spectrum!$R:$R,0)),0),""))</f>
        <v/>
      </c>
      <c r="AL368" s="90">
        <f t="shared" si="133"/>
        <v>928</v>
      </c>
      <c r="AM368" s="14">
        <f t="shared" si="134"/>
        <v>0</v>
      </c>
      <c r="AN368" s="14" t="str">
        <f>IF($C368="&lt;01",ROUND(INDEX(EID!$P:$P,MATCH($B368,EID!$B:$B,0))/2,0),"")</f>
        <v/>
      </c>
      <c r="AO368" s="14">
        <f t="shared" si="135"/>
        <v>0</v>
      </c>
      <c r="AP368" s="42">
        <f t="shared" si="136"/>
        <v>0</v>
      </c>
      <c r="AQ368" s="42">
        <f t="shared" si="137"/>
        <v>1412</v>
      </c>
      <c r="AR368" s="90" t="str">
        <f t="shared" si="138"/>
        <v/>
      </c>
      <c r="AS368" s="90">
        <f t="shared" si="149"/>
        <v>0.98</v>
      </c>
      <c r="AT368" s="90">
        <f t="shared" si="149"/>
        <v>0.98</v>
      </c>
      <c r="AU368" s="14">
        <f t="shared" si="140"/>
        <v>0</v>
      </c>
      <c r="AV368" s="14">
        <f>IF($C368="&lt;01",ROUND(INDEX(EID!$N:$N,MATCH($B368,EID!$B:$B,0))/2,0),IF(SUM($AT368)=0,"",ROUND((SUM($AP368)-(SUM($O368)*SUM($AS368)))/$AT368,0)))</f>
        <v>0</v>
      </c>
      <c r="AW368" s="90">
        <f t="shared" si="141"/>
        <v>1</v>
      </c>
      <c r="AX368" s="42">
        <f t="shared" si="142"/>
        <v>0</v>
      </c>
      <c r="AY368" s="116">
        <f t="shared" si="143"/>
        <v>0.7</v>
      </c>
      <c r="AZ368" s="93">
        <f>IF($C368="&lt;01",ROUND(INDEX(EID!$R:$R,MATCH($B368,EID!$B:$B,0))/2,0),ROUND(SUM($O368)+(SUM($AV368)*$AY368),0))</f>
        <v>0</v>
      </c>
      <c r="BA368" s="89">
        <f t="shared" si="144"/>
        <v>0.95</v>
      </c>
      <c r="BB368" s="9">
        <f>IF($C368="&lt;01",ROUND(INDEX(EID!$T:$T,MATCH($B368,EID!$B:$B,0))/2,0),ROUND($AZ368*$BA368,0))</f>
        <v>0</v>
      </c>
      <c r="BC368" s="93">
        <f t="shared" si="145"/>
        <v>0</v>
      </c>
      <c r="BD368" s="90">
        <f t="shared" si="146"/>
        <v>0.95</v>
      </c>
      <c r="BE368" s="42">
        <f>IF($C368="&lt;01",ROUND(INDEX(EID!$V:$V,MATCH($B368,EID!$B:$B,0))/2,0),ROUND($BD368*$BB368,0))</f>
        <v>0</v>
      </c>
      <c r="BF368" s="42">
        <f t="shared" si="147"/>
        <v>0</v>
      </c>
      <c r="BG368" s="116">
        <f t="shared" si="148"/>
        <v>0.95</v>
      </c>
      <c r="BH368" s="9">
        <f>IF($C368="&lt;01",ROUND(INDEX(EID!$L:$L,MATCH($B368,EID!$B:$B,0)),0)/2,IF(SUM($BG368)=0,"",ROUND($AX368/$BG368,0)))</f>
        <v>0</v>
      </c>
    </row>
    <row r="369" spans="1:60" x14ac:dyDescent="0.2">
      <c r="A369" t="str">
        <f>INDEX(Prioritization!$D:$D,MATCH($B369,Prioritization!$A:$A,0))</f>
        <v>INVALID</v>
      </c>
      <c r="B369" t="s">
        <v>218</v>
      </c>
      <c r="C369" t="s">
        <v>363</v>
      </c>
      <c r="D369" t="s">
        <v>29</v>
      </c>
      <c r="E369" t="str">
        <f t="shared" si="126"/>
        <v>Nsanje District [rpw540fmNUz]|10-14|Female</v>
      </c>
      <c r="F369" s="14"/>
      <c r="G369" s="14">
        <v>90</v>
      </c>
      <c r="H369" s="14">
        <v>9</v>
      </c>
      <c r="I369" s="14">
        <v>56</v>
      </c>
      <c r="J369" s="14">
        <v>96</v>
      </c>
      <c r="K369" s="14">
        <v>35</v>
      </c>
      <c r="L369" s="14">
        <v>0</v>
      </c>
      <c r="M369" s="14"/>
      <c r="N369" s="14">
        <v>45</v>
      </c>
      <c r="O369" s="14">
        <f t="shared" si="127"/>
        <v>56</v>
      </c>
      <c r="P369" s="14">
        <v>42</v>
      </c>
      <c r="Q369" s="14">
        <v>69</v>
      </c>
      <c r="R369" s="14">
        <f t="shared" si="128"/>
        <v>0</v>
      </c>
      <c r="S369" s="14">
        <f>IF(LEFT($B369,4)="_Mil","",_xlfn.IFNA(ROUND(INDEX(Spectrum!$N:$N,MATCH(RIGHT($B369,13)&amp;"|"&amp;$C369&amp;"|"&amp;$D369&amp;"|"&amp;S$14&amp;"|"&amp;"CY2022Q4",Spectrum!$R:$R,0)),0),""))</f>
        <v>1410</v>
      </c>
      <c r="T369" s="42">
        <f>IF(LEFT($B369,4)="_Mil","",_xlfn.IFNA(ROUND(INDEX(Spectrum!$N:$N,MATCH(RIGHT($B369,13)&amp;"|"&amp;$C369&amp;"|"&amp;$D369&amp;"|"&amp;T$14&amp;"|"&amp;"CY2023Q3",Spectrum!$R:$R,0)),0),""))</f>
        <v>765</v>
      </c>
      <c r="U369" s="42" t="str">
        <f>IF(LEFT($B369,4)="_Mil","",_xlfn.IFNA(ROUND(INDEX(Spectrum!$N:$N,MATCH(RIGHT($B369,13)&amp;"|"&amp;$C369&amp;"|"&amp;$D369&amp;"|"&amp;U$14&amp;"|"&amp;"CY2023Q3",Spectrum!$R:$R,0)),0),""))</f>
        <v/>
      </c>
      <c r="V369" s="14">
        <f>IF(LEFT($B369,4)="_Mil","",_xlfn.IFNA(ROUND(INDEX(Spectrum!$N:$N,MATCH(RIGHT($B369,13)&amp;"|"&amp;$C369&amp;"|"&amp;$D369&amp;"|"&amp;V$14&amp;"|"&amp;"CY2023Q3",Spectrum!$R:$R,0)),0),""))</f>
        <v>1488</v>
      </c>
      <c r="W369" s="115">
        <f>IF(LEFT($B369,4)="_Mil","",_xlfn.IFNA(INDEX(Spectrum!$N:$N,MATCH(RIGHT($B369,13)&amp;"|"&amp;$C369&amp;"|"&amp;$D369&amp;"|"&amp;W$14&amp;"|"&amp;"CY2023Q3",Spectrum!$R:$R,0)),""))</f>
        <v>1322</v>
      </c>
      <c r="X369" s="42">
        <f>IF(LEFT($B369,4)="_Mil","",_xlfn.IFNA(ROUND(INDEX(Spectrum!$N:$N,MATCH(RIGHT($B369,13)&amp;"|"&amp;$C369&amp;"|"&amp;$D369&amp;"|"&amp;X$14&amp;"|"&amp;"CY2023Q3",Spectrum!$R:$R,0)),0),""))</f>
        <v>1424</v>
      </c>
      <c r="Y369" s="90" t="str">
        <f t="shared" si="129"/>
        <v/>
      </c>
      <c r="Z369" s="42">
        <f>IF(LEFT($B369,4)="_Mil","",_xlfn.IFNA(ROUND(INDEX(Spectrum!$N:$N,MATCH(RIGHT($B369,13)&amp;"|"&amp;$C369&amp;"|"&amp;$D369&amp;"|"&amp;Z$14&amp;"|"&amp;"CY2023Q3",Spectrum!$R:$R,0)),0),""))</f>
        <v>1308</v>
      </c>
      <c r="AA369" s="90">
        <f>IF(LEFT($B369,4)="_Mil","",IFERROR(1/(1/INDEX(Spectrum!$N:$N,MATCH(RIGHT($B369,13)&amp;"|"&amp;$C369&amp;"|"&amp;$D369&amp;"|"&amp;AA$14&amp;"|"&amp;"CY2023Q3",Spectrum!$R:$R,0))),IF(SUM($U369)=0,"",SUM($Z369)/$U369)))</f>
        <v>767</v>
      </c>
      <c r="AB369" s="90">
        <f t="shared" si="130"/>
        <v>0.9185393258426966</v>
      </c>
      <c r="AC369" s="14">
        <f>IF(LEFT($B369,4)="_Mil","",_xlfn.IFNA(ROUND(INDEX(Spectrum!$N:$N,MATCH(RIGHT($B369,13)&amp;"|"&amp;$C369&amp;"|"&amp;$D369&amp;"|"&amp;AC$14&amp;"|"&amp;"CY2023Q3",Spectrum!$R:$R,0)),0),""))</f>
        <v>665</v>
      </c>
      <c r="AD369" s="14" t="str">
        <f>IF(LEFT($B369,4)="_Mil","",_xlfn.IFNA(ROUND(INDEX(Spectrum!$N:$N,MATCH(RIGHT($B369,13)&amp;"|"&amp;$C369&amp;"|"&amp;$D369&amp;"|"&amp;AD$14&amp;"|"&amp;"CY2023Q3",Spectrum!$R:$R,0)),0),""))</f>
        <v/>
      </c>
      <c r="AE369" s="90">
        <f t="shared" si="131"/>
        <v>0</v>
      </c>
      <c r="AF369" s="42" t="str">
        <f>IF(LEFT($B369,4)="_Mil","",_xlfn.IFNA(ROUND(INDEX(Spectrum!$N:$N,MATCH(RIGHT($B369,13)&amp;"|"&amp;$C369&amp;"|"&amp;$D369&amp;"|"&amp;AF$14&amp;"|"&amp;"CY2023Q3",Spectrum!$R:$R,0)),0),""))</f>
        <v/>
      </c>
      <c r="AG369" s="90" t="str">
        <f t="shared" si="132"/>
        <v/>
      </c>
      <c r="AH369" s="88" t="str">
        <f>IF(LEFT($B369,4)="_Mil","",_xlfn.IFNA(INDEX(Spectrum!$N:$N,MATCH(RIGHT($B369,13)&amp;"|"&amp;$C369&amp;"|"&amp;$D369&amp;"|"&amp;AH$14&amp;"|"&amp;"CY2023Q3",Spectrum!$R:$R,0)),""))</f>
        <v/>
      </c>
      <c r="AI369" s="14" t="str">
        <f>IF(LEFT($B369,4)="_Mil","",_xlfn.IFNA(ROUND(INDEX(Spectrum!$N:$N,MATCH(RIGHT($B369,13)&amp;"|"&amp;$C369&amp;"|"&amp;$D369&amp;"|"&amp;AI$14&amp;"|"&amp;"CY2023Q3",Spectrum!$R:$R,0)),0),""))</f>
        <v/>
      </c>
      <c r="AJ369" s="42">
        <f>IF(LEFT($B369,4)="_Mil","",_xlfn.IFNA(ROUND(INDEX(Spectrum!$N:$N,MATCH(RIGHT($B369,13)&amp;"|"&amp;$C369&amp;"|"&amp;$D369&amp;"|"&amp;AI$14&amp;"|"&amp;"CY2023Q3",Spectrum!$R:$R,0)),0),SUM($U369)+SUM($AI369)))</f>
        <v>0</v>
      </c>
      <c r="AK369" s="14" t="str">
        <f>IF(LEFT($B369,4)="_Mil","",_xlfn.IFNA(ROUND(INDEX(Spectrum!$N:$N,MATCH(RIGHT($B369,13)&amp;"|"&amp;$C369&amp;"|"&amp;$D369&amp;"|"&amp;AK$14&amp;"|"&amp;"CY2023Q3",Spectrum!$R:$R,0)),0),""))</f>
        <v/>
      </c>
      <c r="AL369" s="90">
        <f t="shared" si="133"/>
        <v>767</v>
      </c>
      <c r="AM369" s="14">
        <f t="shared" si="134"/>
        <v>0</v>
      </c>
      <c r="AN369" s="14" t="str">
        <f>IF($C369="&lt;01",ROUND(INDEX(EID!$P:$P,MATCH($B369,EID!$B:$B,0))/2,0),"")</f>
        <v/>
      </c>
      <c r="AO369" s="14">
        <f t="shared" si="135"/>
        <v>0</v>
      </c>
      <c r="AP369" s="42">
        <f t="shared" si="136"/>
        <v>0</v>
      </c>
      <c r="AQ369" s="42">
        <f t="shared" si="137"/>
        <v>1308</v>
      </c>
      <c r="AR369" s="90" t="str">
        <f t="shared" si="138"/>
        <v/>
      </c>
      <c r="AS369" s="90">
        <f t="shared" si="149"/>
        <v>0.98</v>
      </c>
      <c r="AT369" s="90">
        <f t="shared" si="149"/>
        <v>0.98</v>
      </c>
      <c r="AU369" s="14">
        <f t="shared" si="140"/>
        <v>-56</v>
      </c>
      <c r="AV369" s="14">
        <f>IF($C369="&lt;01",ROUND(INDEX(EID!$N:$N,MATCH($B369,EID!$B:$B,0))/2,0),IF(SUM($AT369)=0,"",ROUND((SUM($AP369)-(SUM($O369)*SUM($AS369)))/$AT369,0)))</f>
        <v>-56</v>
      </c>
      <c r="AW369" s="90">
        <f t="shared" si="141"/>
        <v>1</v>
      </c>
      <c r="AX369" s="42">
        <f t="shared" si="142"/>
        <v>-56</v>
      </c>
      <c r="AY369" s="116">
        <f t="shared" si="143"/>
        <v>0.7</v>
      </c>
      <c r="AZ369" s="93">
        <f>IF($C369="&lt;01",ROUND(INDEX(EID!$R:$R,MATCH($B369,EID!$B:$B,0))/2,0),ROUND(SUM($O369)+(SUM($AV369)*$AY369),0))</f>
        <v>17</v>
      </c>
      <c r="BA369" s="89">
        <f t="shared" si="144"/>
        <v>0.95</v>
      </c>
      <c r="BB369" s="9">
        <f>IF($C369="&lt;01",ROUND(INDEX(EID!$T:$T,MATCH($B369,EID!$B:$B,0))/2,0),ROUND($AZ369*$BA369,0))</f>
        <v>16</v>
      </c>
      <c r="BC369" s="93">
        <f t="shared" si="145"/>
        <v>16</v>
      </c>
      <c r="BD369" s="90">
        <f t="shared" si="146"/>
        <v>0.95</v>
      </c>
      <c r="BE369" s="42">
        <f>IF($C369="&lt;01",ROUND(INDEX(EID!$V:$V,MATCH($B369,EID!$B:$B,0))/2,0),ROUND($BD369*$BB369,0))</f>
        <v>15</v>
      </c>
      <c r="BF369" s="42">
        <f t="shared" si="147"/>
        <v>15</v>
      </c>
      <c r="BG369" s="116">
        <f t="shared" si="148"/>
        <v>0.95</v>
      </c>
      <c r="BH369" s="9">
        <f>IF($C369="&lt;01",ROUND(INDEX(EID!$L:$L,MATCH($B369,EID!$B:$B,0)),0)/2,IF(SUM($BG369)=0,"",ROUND($AX369/$BG369,0)))</f>
        <v>-59</v>
      </c>
    </row>
    <row r="370" spans="1:60" x14ac:dyDescent="0.2">
      <c r="A370" t="str">
        <f>INDEX(Prioritization!$D:$D,MATCH($B370,Prioritization!$A:$A,0))</f>
        <v>INVALID</v>
      </c>
      <c r="B370" t="s">
        <v>218</v>
      </c>
      <c r="C370" t="s">
        <v>363</v>
      </c>
      <c r="D370" t="s">
        <v>47</v>
      </c>
      <c r="E370" t="str">
        <f t="shared" si="126"/>
        <v>Nsanje District [rpw540fmNUz]|10-14|Male</v>
      </c>
      <c r="F370" s="14"/>
      <c r="G370" s="14">
        <v>8</v>
      </c>
      <c r="H370" s="14">
        <v>6</v>
      </c>
      <c r="I370" s="14">
        <v>65</v>
      </c>
      <c r="J370" s="14">
        <v>76</v>
      </c>
      <c r="K370" s="14">
        <v>89</v>
      </c>
      <c r="L370" s="14"/>
      <c r="M370" s="14"/>
      <c r="N370" s="14">
        <v>76</v>
      </c>
      <c r="O370" s="14">
        <f t="shared" si="127"/>
        <v>76</v>
      </c>
      <c r="P370" s="14">
        <v>91</v>
      </c>
      <c r="Q370" s="14">
        <v>16</v>
      </c>
      <c r="R370" s="14">
        <f t="shared" si="128"/>
        <v>11</v>
      </c>
      <c r="S370" s="14">
        <f>IF(LEFT($B370,4)="_Mil","",_xlfn.IFNA(ROUND(INDEX(Spectrum!$N:$N,MATCH(RIGHT($B370,13)&amp;"|"&amp;$C370&amp;"|"&amp;$D370&amp;"|"&amp;S$14&amp;"|"&amp;"CY2022Q4",Spectrum!$R:$R,0)),0),""))</f>
        <v>711</v>
      </c>
      <c r="T370" s="42">
        <f>IF(LEFT($B370,4)="_Mil","",_xlfn.IFNA(ROUND(INDEX(Spectrum!$N:$N,MATCH(RIGHT($B370,13)&amp;"|"&amp;$C370&amp;"|"&amp;$D370&amp;"|"&amp;T$14&amp;"|"&amp;"CY2023Q3",Spectrum!$R:$R,0)),0),""))</f>
        <v>1241</v>
      </c>
      <c r="U370" s="42" t="str">
        <f>IF(LEFT($B370,4)="_Mil","",_xlfn.IFNA(ROUND(INDEX(Spectrum!$N:$N,MATCH(RIGHT($B370,13)&amp;"|"&amp;$C370&amp;"|"&amp;$D370&amp;"|"&amp;U$14&amp;"|"&amp;"CY2023Q3",Spectrum!$R:$R,0)),0),""))</f>
        <v/>
      </c>
      <c r="V370" s="14">
        <f>IF(LEFT($B370,4)="_Mil","",_xlfn.IFNA(ROUND(INDEX(Spectrum!$N:$N,MATCH(RIGHT($B370,13)&amp;"|"&amp;$C370&amp;"|"&amp;$D370&amp;"|"&amp;V$14&amp;"|"&amp;"CY2023Q3",Spectrum!$R:$R,0)),0),""))</f>
        <v>1395</v>
      </c>
      <c r="W370" s="115">
        <f>IF(LEFT($B370,4)="_Mil","",_xlfn.IFNA(INDEX(Spectrum!$N:$N,MATCH(RIGHT($B370,13)&amp;"|"&amp;$C370&amp;"|"&amp;$D370&amp;"|"&amp;W$14&amp;"|"&amp;"CY2023Q3",Spectrum!$R:$R,0)),""))</f>
        <v>1872</v>
      </c>
      <c r="X370" s="42">
        <f>IF(LEFT($B370,4)="_Mil","",_xlfn.IFNA(ROUND(INDEX(Spectrum!$N:$N,MATCH(RIGHT($B370,13)&amp;"|"&amp;$C370&amp;"|"&amp;$D370&amp;"|"&amp;X$14&amp;"|"&amp;"CY2023Q3",Spectrum!$R:$R,0)),0),""))</f>
        <v>658</v>
      </c>
      <c r="Y370" s="90" t="str">
        <f t="shared" si="129"/>
        <v/>
      </c>
      <c r="Z370" s="42">
        <f>IF(LEFT($B370,4)="_Mil","",_xlfn.IFNA(ROUND(INDEX(Spectrum!$N:$N,MATCH(RIGHT($B370,13)&amp;"|"&amp;$C370&amp;"|"&amp;$D370&amp;"|"&amp;Z$14&amp;"|"&amp;"CY2023Q3",Spectrum!$R:$R,0)),0),""))</f>
        <v>1250</v>
      </c>
      <c r="AA370" s="90">
        <f>IF(LEFT($B370,4)="_Mil","",IFERROR(1/(1/INDEX(Spectrum!$N:$N,MATCH(RIGHT($B370,13)&amp;"|"&amp;$C370&amp;"|"&amp;$D370&amp;"|"&amp;AA$14&amp;"|"&amp;"CY2023Q3",Spectrum!$R:$R,0))),IF(SUM($U370)=0,"",SUM($Z370)/$U370)))</f>
        <v>1797</v>
      </c>
      <c r="AB370" s="90">
        <f t="shared" si="130"/>
        <v>1.8996960486322187</v>
      </c>
      <c r="AC370" s="14">
        <f>IF(LEFT($B370,4)="_Mil","",_xlfn.IFNA(ROUND(INDEX(Spectrum!$N:$N,MATCH(RIGHT($B370,13)&amp;"|"&amp;$C370&amp;"|"&amp;$D370&amp;"|"&amp;AC$14&amp;"|"&amp;"CY2023Q3",Spectrum!$R:$R,0)),0),""))</f>
        <v>1918</v>
      </c>
      <c r="AD370" s="14" t="str">
        <f>IF(LEFT($B370,4)="_Mil","",_xlfn.IFNA(ROUND(INDEX(Spectrum!$N:$N,MATCH(RIGHT($B370,13)&amp;"|"&amp;$C370&amp;"|"&amp;$D370&amp;"|"&amp;AD$14&amp;"|"&amp;"CY2023Q3",Spectrum!$R:$R,0)),0),""))</f>
        <v/>
      </c>
      <c r="AE370" s="90">
        <f t="shared" si="131"/>
        <v>0</v>
      </c>
      <c r="AF370" s="42" t="str">
        <f>IF(LEFT($B370,4)="_Mil","",_xlfn.IFNA(ROUND(INDEX(Spectrum!$N:$N,MATCH(RIGHT($B370,13)&amp;"|"&amp;$C370&amp;"|"&amp;$D370&amp;"|"&amp;AF$14&amp;"|"&amp;"CY2023Q3",Spectrum!$R:$R,0)),0),""))</f>
        <v/>
      </c>
      <c r="AG370" s="90" t="str">
        <f t="shared" si="132"/>
        <v/>
      </c>
      <c r="AH370" s="88" t="str">
        <f>IF(LEFT($B370,4)="_Mil","",_xlfn.IFNA(INDEX(Spectrum!$N:$N,MATCH(RIGHT($B370,13)&amp;"|"&amp;$C370&amp;"|"&amp;$D370&amp;"|"&amp;AH$14&amp;"|"&amp;"CY2023Q3",Spectrum!$R:$R,0)),""))</f>
        <v/>
      </c>
      <c r="AI370" s="14" t="str">
        <f>IF(LEFT($B370,4)="_Mil","",_xlfn.IFNA(ROUND(INDEX(Spectrum!$N:$N,MATCH(RIGHT($B370,13)&amp;"|"&amp;$C370&amp;"|"&amp;$D370&amp;"|"&amp;AI$14&amp;"|"&amp;"CY2023Q3",Spectrum!$R:$R,0)),0),""))</f>
        <v/>
      </c>
      <c r="AJ370" s="42">
        <f>IF(LEFT($B370,4)="_Mil","",_xlfn.IFNA(ROUND(INDEX(Spectrum!$N:$N,MATCH(RIGHT($B370,13)&amp;"|"&amp;$C370&amp;"|"&amp;$D370&amp;"|"&amp;AI$14&amp;"|"&amp;"CY2023Q3",Spectrum!$R:$R,0)),0),SUM($U370)+SUM($AI370)))</f>
        <v>0</v>
      </c>
      <c r="AK370" s="14" t="str">
        <f>IF(LEFT($B370,4)="_Mil","",_xlfn.IFNA(ROUND(INDEX(Spectrum!$N:$N,MATCH(RIGHT($B370,13)&amp;"|"&amp;$C370&amp;"|"&amp;$D370&amp;"|"&amp;AK$14&amp;"|"&amp;"CY2023Q3",Spectrum!$R:$R,0)),0),""))</f>
        <v/>
      </c>
      <c r="AL370" s="90">
        <f t="shared" si="133"/>
        <v>1797</v>
      </c>
      <c r="AM370" s="14">
        <f t="shared" si="134"/>
        <v>0</v>
      </c>
      <c r="AN370" s="14" t="str">
        <f>IF($C370="&lt;01",ROUND(INDEX(EID!$P:$P,MATCH($B370,EID!$B:$B,0))/2,0),"")</f>
        <v/>
      </c>
      <c r="AO370" s="14">
        <f t="shared" si="135"/>
        <v>0</v>
      </c>
      <c r="AP370" s="42">
        <f t="shared" si="136"/>
        <v>0</v>
      </c>
      <c r="AQ370" s="42">
        <f t="shared" si="137"/>
        <v>1250</v>
      </c>
      <c r="AR370" s="90" t="str">
        <f t="shared" si="138"/>
        <v/>
      </c>
      <c r="AS370" s="90">
        <f t="shared" si="149"/>
        <v>0.98</v>
      </c>
      <c r="AT370" s="90">
        <f t="shared" si="149"/>
        <v>0.98</v>
      </c>
      <c r="AU370" s="14">
        <f t="shared" si="140"/>
        <v>-76</v>
      </c>
      <c r="AV370" s="14">
        <f>IF($C370="&lt;01",ROUND(INDEX(EID!$N:$N,MATCH($B370,EID!$B:$B,0))/2,0),IF(SUM($AT370)=0,"",ROUND((SUM($AP370)-(SUM($O370)*SUM($AS370)))/$AT370,0)))</f>
        <v>-76</v>
      </c>
      <c r="AW370" s="90">
        <f t="shared" si="141"/>
        <v>1</v>
      </c>
      <c r="AX370" s="42">
        <f t="shared" si="142"/>
        <v>-76</v>
      </c>
      <c r="AY370" s="116">
        <f t="shared" si="143"/>
        <v>0.7</v>
      </c>
      <c r="AZ370" s="93">
        <f>IF($C370="&lt;01",ROUND(INDEX(EID!$R:$R,MATCH($B370,EID!$B:$B,0))/2,0),ROUND(SUM($O370)+(SUM($AV370)*$AY370),0))</f>
        <v>23</v>
      </c>
      <c r="BA370" s="89">
        <f t="shared" si="144"/>
        <v>0.95</v>
      </c>
      <c r="BB370" s="9">
        <f>IF($C370="&lt;01",ROUND(INDEX(EID!$T:$T,MATCH($B370,EID!$B:$B,0))/2,0),ROUND($AZ370*$BA370,0))</f>
        <v>22</v>
      </c>
      <c r="BC370" s="93">
        <f t="shared" si="145"/>
        <v>22</v>
      </c>
      <c r="BD370" s="90">
        <f t="shared" si="146"/>
        <v>0.95</v>
      </c>
      <c r="BE370" s="42">
        <f>IF($C370="&lt;01",ROUND(INDEX(EID!$V:$V,MATCH($B370,EID!$B:$B,0))/2,0),ROUND($BD370*$BB370,0))</f>
        <v>21</v>
      </c>
      <c r="BF370" s="42">
        <f t="shared" si="147"/>
        <v>21</v>
      </c>
      <c r="BG370" s="116">
        <f t="shared" si="148"/>
        <v>0.95</v>
      </c>
      <c r="BH370" s="9">
        <f>IF($C370="&lt;01",ROUND(INDEX(EID!$L:$L,MATCH($B370,EID!$B:$B,0)),0)/2,IF(SUM($BG370)=0,"",ROUND($AX370/$BG370,0)))</f>
        <v>-80</v>
      </c>
    </row>
    <row r="371" spans="1:60" x14ac:dyDescent="0.2">
      <c r="A371" t="str">
        <f>INDEX(Prioritization!$D:$D,MATCH($B371,Prioritization!$A:$A,0))</f>
        <v>INVALID</v>
      </c>
      <c r="B371" t="s">
        <v>218</v>
      </c>
      <c r="C371" t="s">
        <v>364</v>
      </c>
      <c r="D371" t="s">
        <v>29</v>
      </c>
      <c r="E371" t="str">
        <f t="shared" si="126"/>
        <v>Nsanje District [rpw540fmNUz]|15-24|Female</v>
      </c>
      <c r="F371" s="14"/>
      <c r="G371" s="14"/>
      <c r="H371" s="14"/>
      <c r="I371" s="14"/>
      <c r="J371" s="14"/>
      <c r="K371" s="14"/>
      <c r="L371" s="14"/>
      <c r="M371" s="14"/>
      <c r="N371" s="14"/>
      <c r="O371" s="14" t="str">
        <f t="shared" si="127"/>
        <v/>
      </c>
      <c r="P371" s="14"/>
      <c r="Q371" s="14"/>
      <c r="R371" s="14" t="str">
        <f t="shared" si="128"/>
        <v/>
      </c>
      <c r="S371" s="14">
        <f>IF(LEFT($B371,4)="_Mil","",_xlfn.IFNA(ROUND(INDEX(Spectrum!$N:$N,MATCH(RIGHT($B371,13)&amp;"|"&amp;$C371&amp;"|"&amp;$D371&amp;"|"&amp;S$14&amp;"|"&amp;"CY2022Q4",Spectrum!$R:$R,0)),0),""))</f>
        <v>960</v>
      </c>
      <c r="T371" s="42">
        <f>IF(LEFT($B371,4)="_Mil","",_xlfn.IFNA(ROUND(INDEX(Spectrum!$N:$N,MATCH(RIGHT($B371,13)&amp;"|"&amp;$C371&amp;"|"&amp;$D371&amp;"|"&amp;T$14&amp;"|"&amp;"CY2023Q3",Spectrum!$R:$R,0)),0),""))</f>
        <v>842</v>
      </c>
      <c r="U371" s="42" t="str">
        <f>IF(LEFT($B371,4)="_Mil","",_xlfn.IFNA(ROUND(INDEX(Spectrum!$N:$N,MATCH(RIGHT($B371,13)&amp;"|"&amp;$C371&amp;"|"&amp;$D371&amp;"|"&amp;U$14&amp;"|"&amp;"CY2023Q3",Spectrum!$R:$R,0)),0),""))</f>
        <v/>
      </c>
      <c r="V371" s="14">
        <f>IF(LEFT($B371,4)="_Mil","",_xlfn.IFNA(ROUND(INDEX(Spectrum!$N:$N,MATCH(RIGHT($B371,13)&amp;"|"&amp;$C371&amp;"|"&amp;$D371&amp;"|"&amp;V$14&amp;"|"&amp;"CY2023Q3",Spectrum!$R:$R,0)),0),""))</f>
        <v>1200</v>
      </c>
      <c r="W371" s="115">
        <f>IF(LEFT($B371,4)="_Mil","",_xlfn.IFNA(INDEX(Spectrum!$N:$N,MATCH(RIGHT($B371,13)&amp;"|"&amp;$C371&amp;"|"&amp;$D371&amp;"|"&amp;W$14&amp;"|"&amp;"CY2023Q3",Spectrum!$R:$R,0)),""))</f>
        <v>1646</v>
      </c>
      <c r="X371" s="42">
        <f>IF(LEFT($B371,4)="_Mil","",_xlfn.IFNA(ROUND(INDEX(Spectrum!$N:$N,MATCH(RIGHT($B371,13)&amp;"|"&amp;$C371&amp;"|"&amp;$D371&amp;"|"&amp;X$14&amp;"|"&amp;"CY2023Q3",Spectrum!$R:$R,0)),0),""))</f>
        <v>882</v>
      </c>
      <c r="Y371" s="90" t="str">
        <f t="shared" si="129"/>
        <v/>
      </c>
      <c r="Z371" s="42">
        <f>IF(LEFT($B371,4)="_Mil","",_xlfn.IFNA(ROUND(INDEX(Spectrum!$N:$N,MATCH(RIGHT($B371,13)&amp;"|"&amp;$C371&amp;"|"&amp;$D371&amp;"|"&amp;Z$14&amp;"|"&amp;"CY2023Q3",Spectrum!$R:$R,0)),0),""))</f>
        <v>743</v>
      </c>
      <c r="AA371" s="90">
        <f>IF(LEFT($B371,4)="_Mil","",IFERROR(1/(1/INDEX(Spectrum!$N:$N,MATCH(RIGHT($B371,13)&amp;"|"&amp;$C371&amp;"|"&amp;$D371&amp;"|"&amp;AA$14&amp;"|"&amp;"CY2023Q3",Spectrum!$R:$R,0))),IF(SUM($U371)=0,"",SUM($Z371)/$U371)))</f>
        <v>1877</v>
      </c>
      <c r="AB371" s="90">
        <f t="shared" si="130"/>
        <v>0.84240362811791381</v>
      </c>
      <c r="AC371" s="14">
        <f>IF(LEFT($B371,4)="_Mil","",_xlfn.IFNA(ROUND(INDEX(Spectrum!$N:$N,MATCH(RIGHT($B371,13)&amp;"|"&amp;$C371&amp;"|"&amp;$D371&amp;"|"&amp;AC$14&amp;"|"&amp;"CY2023Q3",Spectrum!$R:$R,0)),0),""))</f>
        <v>1974</v>
      </c>
      <c r="AD371" s="14" t="str">
        <f>IF(LEFT($B371,4)="_Mil","",_xlfn.IFNA(ROUND(INDEX(Spectrum!$N:$N,MATCH(RIGHT($B371,13)&amp;"|"&amp;$C371&amp;"|"&amp;$D371&amp;"|"&amp;AD$14&amp;"|"&amp;"CY2023Q3",Spectrum!$R:$R,0)),0),""))</f>
        <v/>
      </c>
      <c r="AE371" s="90">
        <f t="shared" si="131"/>
        <v>0</v>
      </c>
      <c r="AF371" s="42" t="str">
        <f>IF(LEFT($B371,4)="_Mil","",_xlfn.IFNA(ROUND(INDEX(Spectrum!$N:$N,MATCH(RIGHT($B371,13)&amp;"|"&amp;$C371&amp;"|"&amp;$D371&amp;"|"&amp;AF$14&amp;"|"&amp;"CY2023Q3",Spectrum!$R:$R,0)),0),""))</f>
        <v/>
      </c>
      <c r="AG371" s="90" t="str">
        <f t="shared" si="132"/>
        <v/>
      </c>
      <c r="AH371" s="88" t="str">
        <f>IF(LEFT($B371,4)="_Mil","",_xlfn.IFNA(INDEX(Spectrum!$N:$N,MATCH(RIGHT($B371,13)&amp;"|"&amp;$C371&amp;"|"&amp;$D371&amp;"|"&amp;AH$14&amp;"|"&amp;"CY2023Q3",Spectrum!$R:$R,0)),""))</f>
        <v/>
      </c>
      <c r="AI371" s="14" t="str">
        <f>IF(LEFT($B371,4)="_Mil","",_xlfn.IFNA(ROUND(INDEX(Spectrum!$N:$N,MATCH(RIGHT($B371,13)&amp;"|"&amp;$C371&amp;"|"&amp;$D371&amp;"|"&amp;AI$14&amp;"|"&amp;"CY2023Q3",Spectrum!$R:$R,0)),0),""))</f>
        <v/>
      </c>
      <c r="AJ371" s="42">
        <f>IF(LEFT($B371,4)="_Mil","",_xlfn.IFNA(ROUND(INDEX(Spectrum!$N:$N,MATCH(RIGHT($B371,13)&amp;"|"&amp;$C371&amp;"|"&amp;$D371&amp;"|"&amp;AI$14&amp;"|"&amp;"CY2023Q3",Spectrum!$R:$R,0)),0),SUM($U371)+SUM($AI371)))</f>
        <v>0</v>
      </c>
      <c r="AK371" s="14" t="str">
        <f>IF(LEFT($B371,4)="_Mil","",_xlfn.IFNA(ROUND(INDEX(Spectrum!$N:$N,MATCH(RIGHT($B371,13)&amp;"|"&amp;$C371&amp;"|"&amp;$D371&amp;"|"&amp;AK$14&amp;"|"&amp;"CY2023Q3",Spectrum!$R:$R,0)),0),""))</f>
        <v/>
      </c>
      <c r="AL371" s="90">
        <f t="shared" si="133"/>
        <v>1877</v>
      </c>
      <c r="AM371" s="14">
        <f t="shared" si="134"/>
        <v>0</v>
      </c>
      <c r="AN371" s="14" t="str">
        <f>IF($C371="&lt;01",ROUND(INDEX(EID!$P:$P,MATCH($B371,EID!$B:$B,0))/2,0),"")</f>
        <v/>
      </c>
      <c r="AO371" s="14">
        <f t="shared" si="135"/>
        <v>0</v>
      </c>
      <c r="AP371" s="42">
        <f t="shared" si="136"/>
        <v>0</v>
      </c>
      <c r="AQ371" s="42">
        <f t="shared" si="137"/>
        <v>743</v>
      </c>
      <c r="AR371" s="90" t="str">
        <f t="shared" si="138"/>
        <v/>
      </c>
      <c r="AS371" s="90">
        <f t="shared" si="149"/>
        <v>0.98</v>
      </c>
      <c r="AT371" s="90">
        <f t="shared" si="149"/>
        <v>0.98</v>
      </c>
      <c r="AU371" s="14">
        <f t="shared" si="140"/>
        <v>0</v>
      </c>
      <c r="AV371" s="14">
        <f>IF($C371="&lt;01",ROUND(INDEX(EID!$N:$N,MATCH($B371,EID!$B:$B,0))/2,0),IF(SUM($AT371)=0,"",ROUND((SUM($AP371)-(SUM($O371)*SUM($AS371)))/$AT371,0)))</f>
        <v>0</v>
      </c>
      <c r="AW371" s="90">
        <f t="shared" si="141"/>
        <v>1</v>
      </c>
      <c r="AX371" s="42">
        <f t="shared" si="142"/>
        <v>0</v>
      </c>
      <c r="AY371" s="116">
        <f t="shared" si="143"/>
        <v>0.7</v>
      </c>
      <c r="AZ371" s="93">
        <f>IF($C371="&lt;01",ROUND(INDEX(EID!$R:$R,MATCH($B371,EID!$B:$B,0))/2,0),ROUND(SUM($O371)+(SUM($AV371)*$AY371),0))</f>
        <v>0</v>
      </c>
      <c r="BA371" s="89">
        <f t="shared" si="144"/>
        <v>0.95</v>
      </c>
      <c r="BB371" s="9">
        <f>IF($C371="&lt;01",ROUND(INDEX(EID!$T:$T,MATCH($B371,EID!$B:$B,0))/2,0),ROUND($AZ371*$BA371,0))</f>
        <v>0</v>
      </c>
      <c r="BC371" s="93">
        <f t="shared" si="145"/>
        <v>0</v>
      </c>
      <c r="BD371" s="90">
        <f t="shared" si="146"/>
        <v>0.95</v>
      </c>
      <c r="BE371" s="42">
        <f>IF($C371="&lt;01",ROUND(INDEX(EID!$V:$V,MATCH($B371,EID!$B:$B,0))/2,0),ROUND($BD371*$BB371,0))</f>
        <v>0</v>
      </c>
      <c r="BF371" s="42">
        <f t="shared" si="147"/>
        <v>0</v>
      </c>
      <c r="BG371" s="116">
        <f t="shared" si="148"/>
        <v>0.95</v>
      </c>
      <c r="BH371" s="9">
        <f>IF($C371="&lt;01",ROUND(INDEX(EID!$L:$L,MATCH($B371,EID!$B:$B,0)),0)/2,IF(SUM($BG371)=0,"",ROUND($AX371/$BG371,0)))</f>
        <v>0</v>
      </c>
    </row>
    <row r="372" spans="1:60" x14ac:dyDescent="0.2">
      <c r="A372" t="str">
        <f>INDEX(Prioritization!$D:$D,MATCH($B372,Prioritization!$A:$A,0))</f>
        <v>INVALID</v>
      </c>
      <c r="B372" t="s">
        <v>218</v>
      </c>
      <c r="C372" t="s">
        <v>364</v>
      </c>
      <c r="D372" t="s">
        <v>47</v>
      </c>
      <c r="E372" t="str">
        <f t="shared" si="126"/>
        <v>Nsanje District [rpw540fmNUz]|15-24|Male</v>
      </c>
      <c r="F372" s="14"/>
      <c r="G372" s="14"/>
      <c r="H372" s="14"/>
      <c r="I372" s="14"/>
      <c r="J372" s="14"/>
      <c r="K372" s="14"/>
      <c r="L372" s="14"/>
      <c r="M372" s="14"/>
      <c r="N372" s="14"/>
      <c r="O372" s="14" t="str">
        <f t="shared" si="127"/>
        <v/>
      </c>
      <c r="P372" s="14"/>
      <c r="Q372" s="14"/>
      <c r="R372" s="14" t="str">
        <f t="shared" si="128"/>
        <v/>
      </c>
      <c r="S372" s="14">
        <f>IF(LEFT($B372,4)="_Mil","",_xlfn.IFNA(ROUND(INDEX(Spectrum!$N:$N,MATCH(RIGHT($B372,13)&amp;"|"&amp;$C372&amp;"|"&amp;$D372&amp;"|"&amp;S$14&amp;"|"&amp;"CY2022Q4",Spectrum!$R:$R,0)),0),""))</f>
        <v>1379</v>
      </c>
      <c r="T372" s="42">
        <f>IF(LEFT($B372,4)="_Mil","",_xlfn.IFNA(ROUND(INDEX(Spectrum!$N:$N,MATCH(RIGHT($B372,13)&amp;"|"&amp;$C372&amp;"|"&amp;$D372&amp;"|"&amp;T$14&amp;"|"&amp;"CY2023Q3",Spectrum!$R:$R,0)),0),""))</f>
        <v>603</v>
      </c>
      <c r="U372" s="42" t="str">
        <f>IF(LEFT($B372,4)="_Mil","",_xlfn.IFNA(ROUND(INDEX(Spectrum!$N:$N,MATCH(RIGHT($B372,13)&amp;"|"&amp;$C372&amp;"|"&amp;$D372&amp;"|"&amp;U$14&amp;"|"&amp;"CY2023Q3",Spectrum!$R:$R,0)),0),""))</f>
        <v/>
      </c>
      <c r="V372" s="14">
        <f>IF(LEFT($B372,4)="_Mil","",_xlfn.IFNA(ROUND(INDEX(Spectrum!$N:$N,MATCH(RIGHT($B372,13)&amp;"|"&amp;$C372&amp;"|"&amp;$D372&amp;"|"&amp;V$14&amp;"|"&amp;"CY2023Q3",Spectrum!$R:$R,0)),0),""))</f>
        <v>1602</v>
      </c>
      <c r="W372" s="115">
        <f>IF(LEFT($B372,4)="_Mil","",_xlfn.IFNA(INDEX(Spectrum!$N:$N,MATCH(RIGHT($B372,13)&amp;"|"&amp;$C372&amp;"|"&amp;$D372&amp;"|"&amp;W$14&amp;"|"&amp;"CY2023Q3",Spectrum!$R:$R,0)),""))</f>
        <v>1620</v>
      </c>
      <c r="X372" s="42">
        <f>IF(LEFT($B372,4)="_Mil","",_xlfn.IFNA(ROUND(INDEX(Spectrum!$N:$N,MATCH(RIGHT($B372,13)&amp;"|"&amp;$C372&amp;"|"&amp;$D372&amp;"|"&amp;X$14&amp;"|"&amp;"CY2023Q3",Spectrum!$R:$R,0)),0),""))</f>
        <v>1527</v>
      </c>
      <c r="Y372" s="90" t="str">
        <f t="shared" si="129"/>
        <v/>
      </c>
      <c r="Z372" s="42">
        <f>IF(LEFT($B372,4)="_Mil","",_xlfn.IFNA(ROUND(INDEX(Spectrum!$N:$N,MATCH(RIGHT($B372,13)&amp;"|"&amp;$C372&amp;"|"&amp;$D372&amp;"|"&amp;Z$14&amp;"|"&amp;"CY2023Q3",Spectrum!$R:$R,0)),0),""))</f>
        <v>1494</v>
      </c>
      <c r="AA372" s="90">
        <f>IF(LEFT($B372,4)="_Mil","",IFERROR(1/(1/INDEX(Spectrum!$N:$N,MATCH(RIGHT($B372,13)&amp;"|"&amp;$C372&amp;"|"&amp;$D372&amp;"|"&amp;AA$14&amp;"|"&amp;"CY2023Q3",Spectrum!$R:$R,0))),IF(SUM($U372)=0,"",SUM($Z372)/$U372)))</f>
        <v>1525</v>
      </c>
      <c r="AB372" s="90">
        <f t="shared" si="130"/>
        <v>0.9783889980353635</v>
      </c>
      <c r="AC372" s="14">
        <f>IF(LEFT($B372,4)="_Mil","",_xlfn.IFNA(ROUND(INDEX(Spectrum!$N:$N,MATCH(RIGHT($B372,13)&amp;"|"&amp;$C372&amp;"|"&amp;$D372&amp;"|"&amp;AC$14&amp;"|"&amp;"CY2023Q3",Spectrum!$R:$R,0)),0),""))</f>
        <v>1613</v>
      </c>
      <c r="AD372" s="14" t="str">
        <f>IF(LEFT($B372,4)="_Mil","",_xlfn.IFNA(ROUND(INDEX(Spectrum!$N:$N,MATCH(RIGHT($B372,13)&amp;"|"&amp;$C372&amp;"|"&amp;$D372&amp;"|"&amp;AD$14&amp;"|"&amp;"CY2023Q3",Spectrum!$R:$R,0)),0),""))</f>
        <v/>
      </c>
      <c r="AE372" s="90">
        <f t="shared" si="131"/>
        <v>0</v>
      </c>
      <c r="AF372" s="42" t="str">
        <f>IF(LEFT($B372,4)="_Mil","",_xlfn.IFNA(ROUND(INDEX(Spectrum!$N:$N,MATCH(RIGHT($B372,13)&amp;"|"&amp;$C372&amp;"|"&amp;$D372&amp;"|"&amp;AF$14&amp;"|"&amp;"CY2023Q3",Spectrum!$R:$R,0)),0),""))</f>
        <v/>
      </c>
      <c r="AG372" s="90" t="str">
        <f t="shared" si="132"/>
        <v/>
      </c>
      <c r="AH372" s="88" t="str">
        <f>IF(LEFT($B372,4)="_Mil","",_xlfn.IFNA(INDEX(Spectrum!$N:$N,MATCH(RIGHT($B372,13)&amp;"|"&amp;$C372&amp;"|"&amp;$D372&amp;"|"&amp;AH$14&amp;"|"&amp;"CY2023Q3",Spectrum!$R:$R,0)),""))</f>
        <v/>
      </c>
      <c r="AI372" s="14" t="str">
        <f>IF(LEFT($B372,4)="_Mil","",_xlfn.IFNA(ROUND(INDEX(Spectrum!$N:$N,MATCH(RIGHT($B372,13)&amp;"|"&amp;$C372&amp;"|"&amp;$D372&amp;"|"&amp;AI$14&amp;"|"&amp;"CY2023Q3",Spectrum!$R:$R,0)),0),""))</f>
        <v/>
      </c>
      <c r="AJ372" s="42">
        <f>IF(LEFT($B372,4)="_Mil","",_xlfn.IFNA(ROUND(INDEX(Spectrum!$N:$N,MATCH(RIGHT($B372,13)&amp;"|"&amp;$C372&amp;"|"&amp;$D372&amp;"|"&amp;AI$14&amp;"|"&amp;"CY2023Q3",Spectrum!$R:$R,0)),0),SUM($U372)+SUM($AI372)))</f>
        <v>0</v>
      </c>
      <c r="AK372" s="14" t="str">
        <f>IF(LEFT($B372,4)="_Mil","",_xlfn.IFNA(ROUND(INDEX(Spectrum!$N:$N,MATCH(RIGHT($B372,13)&amp;"|"&amp;$C372&amp;"|"&amp;$D372&amp;"|"&amp;AK$14&amp;"|"&amp;"CY2023Q3",Spectrum!$R:$R,0)),0),""))</f>
        <v/>
      </c>
      <c r="AL372" s="90">
        <f t="shared" si="133"/>
        <v>1525</v>
      </c>
      <c r="AM372" s="14">
        <f t="shared" si="134"/>
        <v>0</v>
      </c>
      <c r="AN372" s="14" t="str">
        <f>IF($C372="&lt;01",ROUND(INDEX(EID!$P:$P,MATCH($B372,EID!$B:$B,0))/2,0),"")</f>
        <v/>
      </c>
      <c r="AO372" s="14">
        <f t="shared" si="135"/>
        <v>0</v>
      </c>
      <c r="AP372" s="42">
        <f t="shared" si="136"/>
        <v>0</v>
      </c>
      <c r="AQ372" s="42">
        <f t="shared" si="137"/>
        <v>1494</v>
      </c>
      <c r="AR372" s="90" t="str">
        <f t="shared" si="138"/>
        <v/>
      </c>
      <c r="AS372" s="90">
        <f t="shared" si="149"/>
        <v>0.98</v>
      </c>
      <c r="AT372" s="90">
        <f t="shared" si="149"/>
        <v>0.98</v>
      </c>
      <c r="AU372" s="14">
        <f t="shared" si="140"/>
        <v>0</v>
      </c>
      <c r="AV372" s="14">
        <f>IF($C372="&lt;01",ROUND(INDEX(EID!$N:$N,MATCH($B372,EID!$B:$B,0))/2,0),IF(SUM($AT372)=0,"",ROUND((SUM($AP372)-(SUM($O372)*SUM($AS372)))/$AT372,0)))</f>
        <v>0</v>
      </c>
      <c r="AW372" s="90">
        <f t="shared" si="141"/>
        <v>1</v>
      </c>
      <c r="AX372" s="42">
        <f t="shared" si="142"/>
        <v>0</v>
      </c>
      <c r="AY372" s="116">
        <f t="shared" si="143"/>
        <v>0.7</v>
      </c>
      <c r="AZ372" s="93">
        <f>IF($C372="&lt;01",ROUND(INDEX(EID!$R:$R,MATCH($B372,EID!$B:$B,0))/2,0),ROUND(SUM($O372)+(SUM($AV372)*$AY372),0))</f>
        <v>0</v>
      </c>
      <c r="BA372" s="89">
        <f t="shared" si="144"/>
        <v>0.95</v>
      </c>
      <c r="BB372" s="9">
        <f>IF($C372="&lt;01",ROUND(INDEX(EID!$T:$T,MATCH($B372,EID!$B:$B,0))/2,0),ROUND($AZ372*$BA372,0))</f>
        <v>0</v>
      </c>
      <c r="BC372" s="93">
        <f t="shared" si="145"/>
        <v>0</v>
      </c>
      <c r="BD372" s="90">
        <f t="shared" si="146"/>
        <v>0.95</v>
      </c>
      <c r="BE372" s="42">
        <f>IF($C372="&lt;01",ROUND(INDEX(EID!$V:$V,MATCH($B372,EID!$B:$B,0))/2,0),ROUND($BD372*$BB372,0))</f>
        <v>0</v>
      </c>
      <c r="BF372" s="42">
        <f t="shared" si="147"/>
        <v>0</v>
      </c>
      <c r="BG372" s="116">
        <f t="shared" si="148"/>
        <v>0.95</v>
      </c>
      <c r="BH372" s="9">
        <f>IF($C372="&lt;01",ROUND(INDEX(EID!$L:$L,MATCH($B372,EID!$B:$B,0)),0)/2,IF(SUM($BG372)=0,"",ROUND($AX372/$BG372,0)))</f>
        <v>0</v>
      </c>
    </row>
    <row r="373" spans="1:60" x14ac:dyDescent="0.2">
      <c r="A373" t="str">
        <f>INDEX(Prioritization!$D:$D,MATCH($B373,Prioritization!$A:$A,0))</f>
        <v>INVALID</v>
      </c>
      <c r="B373" t="s">
        <v>218</v>
      </c>
      <c r="C373" t="s">
        <v>365</v>
      </c>
      <c r="D373" t="s">
        <v>29</v>
      </c>
      <c r="E373" t="str">
        <f t="shared" si="126"/>
        <v>Nsanje District [rpw540fmNUz]|25-34|Female</v>
      </c>
      <c r="F373" s="14"/>
      <c r="G373" s="14"/>
      <c r="H373" s="14"/>
      <c r="I373" s="14"/>
      <c r="J373" s="14"/>
      <c r="K373" s="14"/>
      <c r="L373" s="14"/>
      <c r="M373" s="14"/>
      <c r="N373" s="14"/>
      <c r="O373" s="14" t="str">
        <f t="shared" si="127"/>
        <v/>
      </c>
      <c r="P373" s="14"/>
      <c r="Q373" s="14"/>
      <c r="R373" s="14" t="str">
        <f t="shared" si="128"/>
        <v/>
      </c>
      <c r="S373" s="14">
        <f>IF(LEFT($B373,4)="_Mil","",_xlfn.IFNA(ROUND(INDEX(Spectrum!$N:$N,MATCH(RIGHT($B373,13)&amp;"|"&amp;$C373&amp;"|"&amp;$D373&amp;"|"&amp;S$14&amp;"|"&amp;"CY2022Q4",Spectrum!$R:$R,0)),0),""))</f>
        <v>1489</v>
      </c>
      <c r="T373" s="42">
        <f>IF(LEFT($B373,4)="_Mil","",_xlfn.IFNA(ROUND(INDEX(Spectrum!$N:$N,MATCH(RIGHT($B373,13)&amp;"|"&amp;$C373&amp;"|"&amp;$D373&amp;"|"&amp;T$14&amp;"|"&amp;"CY2023Q3",Spectrum!$R:$R,0)),0),""))</f>
        <v>1925</v>
      </c>
      <c r="U373" s="42" t="str">
        <f>IF(LEFT($B373,4)="_Mil","",_xlfn.IFNA(ROUND(INDEX(Spectrum!$N:$N,MATCH(RIGHT($B373,13)&amp;"|"&amp;$C373&amp;"|"&amp;$D373&amp;"|"&amp;U$14&amp;"|"&amp;"CY2023Q3",Spectrum!$R:$R,0)),0),""))</f>
        <v/>
      </c>
      <c r="V373" s="14">
        <f>IF(LEFT($B373,4)="_Mil","",_xlfn.IFNA(ROUND(INDEX(Spectrum!$N:$N,MATCH(RIGHT($B373,13)&amp;"|"&amp;$C373&amp;"|"&amp;$D373&amp;"|"&amp;V$14&amp;"|"&amp;"CY2023Q3",Spectrum!$R:$R,0)),0),""))</f>
        <v>1271</v>
      </c>
      <c r="W373" s="115">
        <f>IF(LEFT($B373,4)="_Mil","",_xlfn.IFNA(INDEX(Spectrum!$N:$N,MATCH(RIGHT($B373,13)&amp;"|"&amp;$C373&amp;"|"&amp;$D373&amp;"|"&amp;W$14&amp;"|"&amp;"CY2023Q3",Spectrum!$R:$R,0)),""))</f>
        <v>1535</v>
      </c>
      <c r="X373" s="42">
        <f>IF(LEFT($B373,4)="_Mil","",_xlfn.IFNA(ROUND(INDEX(Spectrum!$N:$N,MATCH(RIGHT($B373,13)&amp;"|"&amp;$C373&amp;"|"&amp;$D373&amp;"|"&amp;X$14&amp;"|"&amp;"CY2023Q3",Spectrum!$R:$R,0)),0),""))</f>
        <v>799</v>
      </c>
      <c r="Y373" s="90" t="str">
        <f t="shared" si="129"/>
        <v/>
      </c>
      <c r="Z373" s="42">
        <f>IF(LEFT($B373,4)="_Mil","",_xlfn.IFNA(ROUND(INDEX(Spectrum!$N:$N,MATCH(RIGHT($B373,13)&amp;"|"&amp;$C373&amp;"|"&amp;$D373&amp;"|"&amp;Z$14&amp;"|"&amp;"CY2023Q3",Spectrum!$R:$R,0)),0),""))</f>
        <v>931</v>
      </c>
      <c r="AA373" s="90">
        <f>IF(LEFT($B373,4)="_Mil","",IFERROR(1/(1/INDEX(Spectrum!$N:$N,MATCH(RIGHT($B373,13)&amp;"|"&amp;$C373&amp;"|"&amp;$D373&amp;"|"&amp;AA$14&amp;"|"&amp;"CY2023Q3",Spectrum!$R:$R,0))),IF(SUM($U373)=0,"",SUM($Z373)/$U373)))</f>
        <v>1848</v>
      </c>
      <c r="AB373" s="90">
        <f t="shared" si="130"/>
        <v>1.165206508135169</v>
      </c>
      <c r="AC373" s="14">
        <f>IF(LEFT($B373,4)="_Mil","",_xlfn.IFNA(ROUND(INDEX(Spectrum!$N:$N,MATCH(RIGHT($B373,13)&amp;"|"&amp;$C373&amp;"|"&amp;$D373&amp;"|"&amp;AC$14&amp;"|"&amp;"CY2023Q3",Spectrum!$R:$R,0)),0),""))</f>
        <v>1954</v>
      </c>
      <c r="AD373" s="14" t="str">
        <f>IF(LEFT($B373,4)="_Mil","",_xlfn.IFNA(ROUND(INDEX(Spectrum!$N:$N,MATCH(RIGHT($B373,13)&amp;"|"&amp;$C373&amp;"|"&amp;$D373&amp;"|"&amp;AD$14&amp;"|"&amp;"CY2023Q3",Spectrum!$R:$R,0)),0),""))</f>
        <v/>
      </c>
      <c r="AE373" s="90">
        <f t="shared" si="131"/>
        <v>0</v>
      </c>
      <c r="AF373" s="42" t="str">
        <f>IF(LEFT($B373,4)="_Mil","",_xlfn.IFNA(ROUND(INDEX(Spectrum!$N:$N,MATCH(RIGHT($B373,13)&amp;"|"&amp;$C373&amp;"|"&amp;$D373&amp;"|"&amp;AF$14&amp;"|"&amp;"CY2023Q3",Spectrum!$R:$R,0)),0),""))</f>
        <v/>
      </c>
      <c r="AG373" s="90" t="str">
        <f t="shared" si="132"/>
        <v/>
      </c>
      <c r="AH373" s="88" t="str">
        <f>IF(LEFT($B373,4)="_Mil","",_xlfn.IFNA(INDEX(Spectrum!$N:$N,MATCH(RIGHT($B373,13)&amp;"|"&amp;$C373&amp;"|"&amp;$D373&amp;"|"&amp;AH$14&amp;"|"&amp;"CY2023Q3",Spectrum!$R:$R,0)),""))</f>
        <v/>
      </c>
      <c r="AI373" s="14" t="str">
        <f>IF(LEFT($B373,4)="_Mil","",_xlfn.IFNA(ROUND(INDEX(Spectrum!$N:$N,MATCH(RIGHT($B373,13)&amp;"|"&amp;$C373&amp;"|"&amp;$D373&amp;"|"&amp;AI$14&amp;"|"&amp;"CY2023Q3",Spectrum!$R:$R,0)),0),""))</f>
        <v/>
      </c>
      <c r="AJ373" s="42">
        <f>IF(LEFT($B373,4)="_Mil","",_xlfn.IFNA(ROUND(INDEX(Spectrum!$N:$N,MATCH(RIGHT($B373,13)&amp;"|"&amp;$C373&amp;"|"&amp;$D373&amp;"|"&amp;AI$14&amp;"|"&amp;"CY2023Q3",Spectrum!$R:$R,0)),0),SUM($U373)+SUM($AI373)))</f>
        <v>0</v>
      </c>
      <c r="AK373" s="14" t="str">
        <f>IF(LEFT($B373,4)="_Mil","",_xlfn.IFNA(ROUND(INDEX(Spectrum!$N:$N,MATCH(RIGHT($B373,13)&amp;"|"&amp;$C373&amp;"|"&amp;$D373&amp;"|"&amp;AK$14&amp;"|"&amp;"CY2023Q3",Spectrum!$R:$R,0)),0),""))</f>
        <v/>
      </c>
      <c r="AL373" s="90">
        <f t="shared" si="133"/>
        <v>1848</v>
      </c>
      <c r="AM373" s="14">
        <f t="shared" si="134"/>
        <v>0</v>
      </c>
      <c r="AN373" s="14" t="str">
        <f>IF($C373="&lt;01",ROUND(INDEX(EID!$P:$P,MATCH($B373,EID!$B:$B,0))/2,0),"")</f>
        <v/>
      </c>
      <c r="AO373" s="14">
        <f t="shared" si="135"/>
        <v>0</v>
      </c>
      <c r="AP373" s="42">
        <f t="shared" si="136"/>
        <v>0</v>
      </c>
      <c r="AQ373" s="42">
        <f t="shared" si="137"/>
        <v>931</v>
      </c>
      <c r="AR373" s="90" t="str">
        <f t="shared" si="138"/>
        <v/>
      </c>
      <c r="AS373" s="90">
        <f t="shared" si="149"/>
        <v>0.98</v>
      </c>
      <c r="AT373" s="90">
        <f t="shared" si="149"/>
        <v>0.98</v>
      </c>
      <c r="AU373" s="14">
        <f t="shared" si="140"/>
        <v>0</v>
      </c>
      <c r="AV373" s="14">
        <f>IF($C373="&lt;01",ROUND(INDEX(EID!$N:$N,MATCH($B373,EID!$B:$B,0))/2,0),IF(SUM($AT373)=0,"",ROUND((SUM($AP373)-(SUM($O373)*SUM($AS373)))/$AT373,0)))</f>
        <v>0</v>
      </c>
      <c r="AW373" s="90">
        <f t="shared" si="141"/>
        <v>1</v>
      </c>
      <c r="AX373" s="42">
        <f t="shared" si="142"/>
        <v>0</v>
      </c>
      <c r="AY373" s="116">
        <f t="shared" si="143"/>
        <v>0.7</v>
      </c>
      <c r="AZ373" s="93">
        <f>IF($C373="&lt;01",ROUND(INDEX(EID!$R:$R,MATCH($B373,EID!$B:$B,0))/2,0),ROUND(SUM($O373)+(SUM($AV373)*$AY373),0))</f>
        <v>0</v>
      </c>
      <c r="BA373" s="89">
        <f t="shared" si="144"/>
        <v>0.95</v>
      </c>
      <c r="BB373" s="9">
        <f>IF($C373="&lt;01",ROUND(INDEX(EID!$T:$T,MATCH($B373,EID!$B:$B,0))/2,0),ROUND($AZ373*$BA373,0))</f>
        <v>0</v>
      </c>
      <c r="BC373" s="93">
        <f t="shared" si="145"/>
        <v>0</v>
      </c>
      <c r="BD373" s="90">
        <f t="shared" si="146"/>
        <v>0.95</v>
      </c>
      <c r="BE373" s="42">
        <f>IF($C373="&lt;01",ROUND(INDEX(EID!$V:$V,MATCH($B373,EID!$B:$B,0))/2,0),ROUND($BD373*$BB373,0))</f>
        <v>0</v>
      </c>
      <c r="BF373" s="42">
        <f t="shared" si="147"/>
        <v>0</v>
      </c>
      <c r="BG373" s="116">
        <f t="shared" si="148"/>
        <v>0.95</v>
      </c>
      <c r="BH373" s="9">
        <f>IF($C373="&lt;01",ROUND(INDEX(EID!$L:$L,MATCH($B373,EID!$B:$B,0)),0)/2,IF(SUM($BG373)=0,"",ROUND($AX373/$BG373,0)))</f>
        <v>0</v>
      </c>
    </row>
    <row r="374" spans="1:60" x14ac:dyDescent="0.2">
      <c r="A374" t="str">
        <f>INDEX(Prioritization!$D:$D,MATCH($B374,Prioritization!$A:$A,0))</f>
        <v>INVALID</v>
      </c>
      <c r="B374" t="s">
        <v>218</v>
      </c>
      <c r="C374" t="s">
        <v>365</v>
      </c>
      <c r="D374" t="s">
        <v>47</v>
      </c>
      <c r="E374" t="str">
        <f t="shared" si="126"/>
        <v>Nsanje District [rpw540fmNUz]|25-34|Male</v>
      </c>
      <c r="F374" s="14"/>
      <c r="G374" s="14"/>
      <c r="H374" s="14"/>
      <c r="I374" s="14"/>
      <c r="J374" s="14"/>
      <c r="K374" s="14"/>
      <c r="L374" s="14"/>
      <c r="M374" s="14"/>
      <c r="N374" s="14"/>
      <c r="O374" s="14" t="str">
        <f t="shared" si="127"/>
        <v/>
      </c>
      <c r="P374" s="14"/>
      <c r="Q374" s="14"/>
      <c r="R374" s="14" t="str">
        <f t="shared" si="128"/>
        <v/>
      </c>
      <c r="S374" s="14">
        <f>IF(LEFT($B374,4)="_Mil","",_xlfn.IFNA(ROUND(INDEX(Spectrum!$N:$N,MATCH(RIGHT($B374,13)&amp;"|"&amp;$C374&amp;"|"&amp;$D374&amp;"|"&amp;S$14&amp;"|"&amp;"CY2022Q4",Spectrum!$R:$R,0)),0),""))</f>
        <v>1670</v>
      </c>
      <c r="T374" s="42">
        <f>IF(LEFT($B374,4)="_Mil","",_xlfn.IFNA(ROUND(INDEX(Spectrum!$N:$N,MATCH(RIGHT($B374,13)&amp;"|"&amp;$C374&amp;"|"&amp;$D374&amp;"|"&amp;T$14&amp;"|"&amp;"CY2023Q3",Spectrum!$R:$R,0)),0),""))</f>
        <v>1786</v>
      </c>
      <c r="U374" s="42" t="str">
        <f>IF(LEFT($B374,4)="_Mil","",_xlfn.IFNA(ROUND(INDEX(Spectrum!$N:$N,MATCH(RIGHT($B374,13)&amp;"|"&amp;$C374&amp;"|"&amp;$D374&amp;"|"&amp;U$14&amp;"|"&amp;"CY2023Q3",Spectrum!$R:$R,0)),0),""))</f>
        <v/>
      </c>
      <c r="V374" s="14">
        <f>IF(LEFT($B374,4)="_Mil","",_xlfn.IFNA(ROUND(INDEX(Spectrum!$N:$N,MATCH(RIGHT($B374,13)&amp;"|"&amp;$C374&amp;"|"&amp;$D374&amp;"|"&amp;V$14&amp;"|"&amp;"CY2023Q3",Spectrum!$R:$R,0)),0),""))</f>
        <v>775</v>
      </c>
      <c r="W374" s="115">
        <f>IF(LEFT($B374,4)="_Mil","",_xlfn.IFNA(INDEX(Spectrum!$N:$N,MATCH(RIGHT($B374,13)&amp;"|"&amp;$C374&amp;"|"&amp;$D374&amp;"|"&amp;W$14&amp;"|"&amp;"CY2023Q3",Spectrum!$R:$R,0)),""))</f>
        <v>584</v>
      </c>
      <c r="X374" s="42">
        <f>IF(LEFT($B374,4)="_Mil","",_xlfn.IFNA(ROUND(INDEX(Spectrum!$N:$N,MATCH(RIGHT($B374,13)&amp;"|"&amp;$C374&amp;"|"&amp;$D374&amp;"|"&amp;X$14&amp;"|"&amp;"CY2023Q3",Spectrum!$R:$R,0)),0),""))</f>
        <v>1449</v>
      </c>
      <c r="Y374" s="90" t="str">
        <f t="shared" si="129"/>
        <v/>
      </c>
      <c r="Z374" s="42">
        <f>IF(LEFT($B374,4)="_Mil","",_xlfn.IFNA(ROUND(INDEX(Spectrum!$N:$N,MATCH(RIGHT($B374,13)&amp;"|"&amp;$C374&amp;"|"&amp;$D374&amp;"|"&amp;Z$14&amp;"|"&amp;"CY2023Q3",Spectrum!$R:$R,0)),0),""))</f>
        <v>1466</v>
      </c>
      <c r="AA374" s="90">
        <f>IF(LEFT($B374,4)="_Mil","",IFERROR(1/(1/INDEX(Spectrum!$N:$N,MATCH(RIGHT($B374,13)&amp;"|"&amp;$C374&amp;"|"&amp;$D374&amp;"|"&amp;AA$14&amp;"|"&amp;"CY2023Q3",Spectrum!$R:$R,0))),IF(SUM($U374)=0,"",SUM($Z374)/$U374)))</f>
        <v>1838</v>
      </c>
      <c r="AB374" s="90">
        <f t="shared" si="130"/>
        <v>1.0117322291235336</v>
      </c>
      <c r="AC374" s="14">
        <f>IF(LEFT($B374,4)="_Mil","",_xlfn.IFNA(ROUND(INDEX(Spectrum!$N:$N,MATCH(RIGHT($B374,13)&amp;"|"&amp;$C374&amp;"|"&amp;$D374&amp;"|"&amp;AC$14&amp;"|"&amp;"CY2023Q3",Spectrum!$R:$R,0)),0),""))</f>
        <v>1496</v>
      </c>
      <c r="AD374" s="14" t="str">
        <f>IF(LEFT($B374,4)="_Mil","",_xlfn.IFNA(ROUND(INDEX(Spectrum!$N:$N,MATCH(RIGHT($B374,13)&amp;"|"&amp;$C374&amp;"|"&amp;$D374&amp;"|"&amp;AD$14&amp;"|"&amp;"CY2023Q3",Spectrum!$R:$R,0)),0),""))</f>
        <v/>
      </c>
      <c r="AE374" s="90">
        <f t="shared" si="131"/>
        <v>0</v>
      </c>
      <c r="AF374" s="42" t="str">
        <f>IF(LEFT($B374,4)="_Mil","",_xlfn.IFNA(ROUND(INDEX(Spectrum!$N:$N,MATCH(RIGHT($B374,13)&amp;"|"&amp;$C374&amp;"|"&amp;$D374&amp;"|"&amp;AF$14&amp;"|"&amp;"CY2023Q3",Spectrum!$R:$R,0)),0),""))</f>
        <v/>
      </c>
      <c r="AG374" s="90" t="str">
        <f t="shared" si="132"/>
        <v/>
      </c>
      <c r="AH374" s="88" t="str">
        <f>IF(LEFT($B374,4)="_Mil","",_xlfn.IFNA(INDEX(Spectrum!$N:$N,MATCH(RIGHT($B374,13)&amp;"|"&amp;$C374&amp;"|"&amp;$D374&amp;"|"&amp;AH$14&amp;"|"&amp;"CY2023Q3",Spectrum!$R:$R,0)),""))</f>
        <v/>
      </c>
      <c r="AI374" s="14" t="str">
        <f>IF(LEFT($B374,4)="_Mil","",_xlfn.IFNA(ROUND(INDEX(Spectrum!$N:$N,MATCH(RIGHT($B374,13)&amp;"|"&amp;$C374&amp;"|"&amp;$D374&amp;"|"&amp;AI$14&amp;"|"&amp;"CY2023Q3",Spectrum!$R:$R,0)),0),""))</f>
        <v/>
      </c>
      <c r="AJ374" s="42">
        <f>IF(LEFT($B374,4)="_Mil","",_xlfn.IFNA(ROUND(INDEX(Spectrum!$N:$N,MATCH(RIGHT($B374,13)&amp;"|"&amp;$C374&amp;"|"&amp;$D374&amp;"|"&amp;AI$14&amp;"|"&amp;"CY2023Q3",Spectrum!$R:$R,0)),0),SUM($U374)+SUM($AI374)))</f>
        <v>0</v>
      </c>
      <c r="AK374" s="14" t="str">
        <f>IF(LEFT($B374,4)="_Mil","",_xlfn.IFNA(ROUND(INDEX(Spectrum!$N:$N,MATCH(RIGHT($B374,13)&amp;"|"&amp;$C374&amp;"|"&amp;$D374&amp;"|"&amp;AK$14&amp;"|"&amp;"CY2023Q3",Spectrum!$R:$R,0)),0),""))</f>
        <v/>
      </c>
      <c r="AL374" s="90">
        <f t="shared" si="133"/>
        <v>1838</v>
      </c>
      <c r="AM374" s="14">
        <f t="shared" si="134"/>
        <v>0</v>
      </c>
      <c r="AN374" s="14" t="str">
        <f>IF($C374="&lt;01",ROUND(INDEX(EID!$P:$P,MATCH($B374,EID!$B:$B,0))/2,0),"")</f>
        <v/>
      </c>
      <c r="AO374" s="14">
        <f t="shared" si="135"/>
        <v>0</v>
      </c>
      <c r="AP374" s="42">
        <f t="shared" si="136"/>
        <v>0</v>
      </c>
      <c r="AQ374" s="42">
        <f t="shared" si="137"/>
        <v>1466</v>
      </c>
      <c r="AR374" s="90" t="str">
        <f t="shared" si="138"/>
        <v/>
      </c>
      <c r="AS374" s="90">
        <f t="shared" si="149"/>
        <v>0.98</v>
      </c>
      <c r="AT374" s="90">
        <f t="shared" si="149"/>
        <v>0.98</v>
      </c>
      <c r="AU374" s="14">
        <f t="shared" si="140"/>
        <v>0</v>
      </c>
      <c r="AV374" s="14">
        <f>IF($C374="&lt;01",ROUND(INDEX(EID!$N:$N,MATCH($B374,EID!$B:$B,0))/2,0),IF(SUM($AT374)=0,"",ROUND((SUM($AP374)-(SUM($O374)*SUM($AS374)))/$AT374,0)))</f>
        <v>0</v>
      </c>
      <c r="AW374" s="90">
        <f t="shared" si="141"/>
        <v>1</v>
      </c>
      <c r="AX374" s="42">
        <f t="shared" si="142"/>
        <v>0</v>
      </c>
      <c r="AY374" s="116">
        <f t="shared" si="143"/>
        <v>0.7</v>
      </c>
      <c r="AZ374" s="93">
        <f>IF($C374="&lt;01",ROUND(INDEX(EID!$R:$R,MATCH($B374,EID!$B:$B,0))/2,0),ROUND(SUM($O374)+(SUM($AV374)*$AY374),0))</f>
        <v>0</v>
      </c>
      <c r="BA374" s="89">
        <f t="shared" si="144"/>
        <v>0.95</v>
      </c>
      <c r="BB374" s="9">
        <f>IF($C374="&lt;01",ROUND(INDEX(EID!$T:$T,MATCH($B374,EID!$B:$B,0))/2,0),ROUND($AZ374*$BA374,0))</f>
        <v>0</v>
      </c>
      <c r="BC374" s="93">
        <f t="shared" si="145"/>
        <v>0</v>
      </c>
      <c r="BD374" s="90">
        <f t="shared" si="146"/>
        <v>0.95</v>
      </c>
      <c r="BE374" s="42">
        <f>IF($C374="&lt;01",ROUND(INDEX(EID!$V:$V,MATCH($B374,EID!$B:$B,0))/2,0),ROUND($BD374*$BB374,0))</f>
        <v>0</v>
      </c>
      <c r="BF374" s="42">
        <f t="shared" si="147"/>
        <v>0</v>
      </c>
      <c r="BG374" s="116">
        <f t="shared" si="148"/>
        <v>0.95</v>
      </c>
      <c r="BH374" s="9">
        <f>IF($C374="&lt;01",ROUND(INDEX(EID!$L:$L,MATCH($B374,EID!$B:$B,0)),0)/2,IF(SUM($BG374)=0,"",ROUND($AX374/$BG374,0)))</f>
        <v>0</v>
      </c>
    </row>
    <row r="375" spans="1:60" x14ac:dyDescent="0.2">
      <c r="A375" t="str">
        <f>INDEX(Prioritization!$D:$D,MATCH($B375,Prioritization!$A:$A,0))</f>
        <v>INVALID</v>
      </c>
      <c r="B375" t="s">
        <v>218</v>
      </c>
      <c r="C375" t="s">
        <v>366</v>
      </c>
      <c r="D375" t="s">
        <v>29</v>
      </c>
      <c r="E375" t="str">
        <f t="shared" si="126"/>
        <v>Nsanje District [rpw540fmNUz]|35-49|Female</v>
      </c>
      <c r="F375" s="14"/>
      <c r="G375" s="14"/>
      <c r="H375" s="14"/>
      <c r="I375" s="14"/>
      <c r="J375" s="14"/>
      <c r="K375" s="14"/>
      <c r="L375" s="14"/>
      <c r="M375" s="14"/>
      <c r="N375" s="14"/>
      <c r="O375" s="14" t="str">
        <f t="shared" si="127"/>
        <v/>
      </c>
      <c r="P375" s="14"/>
      <c r="Q375" s="14"/>
      <c r="R375" s="14" t="str">
        <f t="shared" si="128"/>
        <v/>
      </c>
      <c r="S375" s="14">
        <f>IF(LEFT($B375,4)="_Mil","",_xlfn.IFNA(ROUND(INDEX(Spectrum!$N:$N,MATCH(RIGHT($B375,13)&amp;"|"&amp;$C375&amp;"|"&amp;$D375&amp;"|"&amp;S$14&amp;"|"&amp;"CY2022Q4",Spectrum!$R:$R,0)),0),""))</f>
        <v>827</v>
      </c>
      <c r="T375" s="42">
        <f>IF(LEFT($B375,4)="_Mil","",_xlfn.IFNA(ROUND(INDEX(Spectrum!$N:$N,MATCH(RIGHT($B375,13)&amp;"|"&amp;$C375&amp;"|"&amp;$D375&amp;"|"&amp;T$14&amp;"|"&amp;"CY2023Q3",Spectrum!$R:$R,0)),0),""))</f>
        <v>1282</v>
      </c>
      <c r="U375" s="42" t="str">
        <f>IF(LEFT($B375,4)="_Mil","",_xlfn.IFNA(ROUND(INDEX(Spectrum!$N:$N,MATCH(RIGHT($B375,13)&amp;"|"&amp;$C375&amp;"|"&amp;$D375&amp;"|"&amp;U$14&amp;"|"&amp;"CY2023Q3",Spectrum!$R:$R,0)),0),""))</f>
        <v/>
      </c>
      <c r="V375" s="14">
        <f>IF(LEFT($B375,4)="_Mil","",_xlfn.IFNA(ROUND(INDEX(Spectrum!$N:$N,MATCH(RIGHT($B375,13)&amp;"|"&amp;$C375&amp;"|"&amp;$D375&amp;"|"&amp;V$14&amp;"|"&amp;"CY2023Q3",Spectrum!$R:$R,0)),0),""))</f>
        <v>1504</v>
      </c>
      <c r="W375" s="115">
        <f>IF(LEFT($B375,4)="_Mil","",_xlfn.IFNA(INDEX(Spectrum!$N:$N,MATCH(RIGHT($B375,13)&amp;"|"&amp;$C375&amp;"|"&amp;$D375&amp;"|"&amp;W$14&amp;"|"&amp;"CY2023Q3",Spectrum!$R:$R,0)),""))</f>
        <v>701</v>
      </c>
      <c r="X375" s="42">
        <f>IF(LEFT($B375,4)="_Mil","",_xlfn.IFNA(ROUND(INDEX(Spectrum!$N:$N,MATCH(RIGHT($B375,13)&amp;"|"&amp;$C375&amp;"|"&amp;$D375&amp;"|"&amp;X$14&amp;"|"&amp;"CY2023Q3",Spectrum!$R:$R,0)),0),""))</f>
        <v>1516</v>
      </c>
      <c r="Y375" s="90" t="str">
        <f t="shared" si="129"/>
        <v/>
      </c>
      <c r="Z375" s="42">
        <f>IF(LEFT($B375,4)="_Mil","",_xlfn.IFNA(ROUND(INDEX(Spectrum!$N:$N,MATCH(RIGHT($B375,13)&amp;"|"&amp;$C375&amp;"|"&amp;$D375&amp;"|"&amp;Z$14&amp;"|"&amp;"CY2023Q3",Spectrum!$R:$R,0)),0),""))</f>
        <v>1442</v>
      </c>
      <c r="AA375" s="90">
        <f>IF(LEFT($B375,4)="_Mil","",IFERROR(1/(1/INDEX(Spectrum!$N:$N,MATCH(RIGHT($B375,13)&amp;"|"&amp;$C375&amp;"|"&amp;$D375&amp;"|"&amp;AA$14&amp;"|"&amp;"CY2023Q3",Spectrum!$R:$R,0))),IF(SUM($U375)=0,"",SUM($Z375)/$U375)))</f>
        <v>1027</v>
      </c>
      <c r="AB375" s="90">
        <f t="shared" si="130"/>
        <v>0.95118733509234832</v>
      </c>
      <c r="AC375" s="14">
        <f>IF(LEFT($B375,4)="_Mil","",_xlfn.IFNA(ROUND(INDEX(Spectrum!$N:$N,MATCH(RIGHT($B375,13)&amp;"|"&amp;$C375&amp;"|"&amp;$D375&amp;"|"&amp;AC$14&amp;"|"&amp;"CY2023Q3",Spectrum!$R:$R,0)),0),""))</f>
        <v>1007</v>
      </c>
      <c r="AD375" s="14" t="str">
        <f>IF(LEFT($B375,4)="_Mil","",_xlfn.IFNA(ROUND(INDEX(Spectrum!$N:$N,MATCH(RIGHT($B375,13)&amp;"|"&amp;$C375&amp;"|"&amp;$D375&amp;"|"&amp;AD$14&amp;"|"&amp;"CY2023Q3",Spectrum!$R:$R,0)),0),""))</f>
        <v/>
      </c>
      <c r="AE375" s="90">
        <f t="shared" si="131"/>
        <v>0</v>
      </c>
      <c r="AF375" s="42" t="str">
        <f>IF(LEFT($B375,4)="_Mil","",_xlfn.IFNA(ROUND(INDEX(Spectrum!$N:$N,MATCH(RIGHT($B375,13)&amp;"|"&amp;$C375&amp;"|"&amp;$D375&amp;"|"&amp;AF$14&amp;"|"&amp;"CY2023Q3",Spectrum!$R:$R,0)),0),""))</f>
        <v/>
      </c>
      <c r="AG375" s="90" t="str">
        <f t="shared" si="132"/>
        <v/>
      </c>
      <c r="AH375" s="88" t="str">
        <f>IF(LEFT($B375,4)="_Mil","",_xlfn.IFNA(INDEX(Spectrum!$N:$N,MATCH(RIGHT($B375,13)&amp;"|"&amp;$C375&amp;"|"&amp;$D375&amp;"|"&amp;AH$14&amp;"|"&amp;"CY2023Q3",Spectrum!$R:$R,0)),""))</f>
        <v/>
      </c>
      <c r="AI375" s="14" t="str">
        <f>IF(LEFT($B375,4)="_Mil","",_xlfn.IFNA(ROUND(INDEX(Spectrum!$N:$N,MATCH(RIGHT($B375,13)&amp;"|"&amp;$C375&amp;"|"&amp;$D375&amp;"|"&amp;AI$14&amp;"|"&amp;"CY2023Q3",Spectrum!$R:$R,0)),0),""))</f>
        <v/>
      </c>
      <c r="AJ375" s="42">
        <f>IF(LEFT($B375,4)="_Mil","",_xlfn.IFNA(ROUND(INDEX(Spectrum!$N:$N,MATCH(RIGHT($B375,13)&amp;"|"&amp;$C375&amp;"|"&amp;$D375&amp;"|"&amp;AI$14&amp;"|"&amp;"CY2023Q3",Spectrum!$R:$R,0)),0),SUM($U375)+SUM($AI375)))</f>
        <v>0</v>
      </c>
      <c r="AK375" s="14" t="str">
        <f>IF(LEFT($B375,4)="_Mil","",_xlfn.IFNA(ROUND(INDEX(Spectrum!$N:$N,MATCH(RIGHT($B375,13)&amp;"|"&amp;$C375&amp;"|"&amp;$D375&amp;"|"&amp;AK$14&amp;"|"&amp;"CY2023Q3",Spectrum!$R:$R,0)),0),""))</f>
        <v/>
      </c>
      <c r="AL375" s="90">
        <f t="shared" si="133"/>
        <v>1027</v>
      </c>
      <c r="AM375" s="14">
        <f t="shared" si="134"/>
        <v>0</v>
      </c>
      <c r="AN375" s="14" t="str">
        <f>IF($C375="&lt;01",ROUND(INDEX(EID!$P:$P,MATCH($B375,EID!$B:$B,0))/2,0),"")</f>
        <v/>
      </c>
      <c r="AO375" s="14">
        <f t="shared" si="135"/>
        <v>0</v>
      </c>
      <c r="AP375" s="42">
        <f t="shared" si="136"/>
        <v>0</v>
      </c>
      <c r="AQ375" s="42">
        <f t="shared" si="137"/>
        <v>1442</v>
      </c>
      <c r="AR375" s="90" t="str">
        <f t="shared" si="138"/>
        <v/>
      </c>
      <c r="AS375" s="90">
        <f t="shared" ref="AS375:AT394" si="150">IF($C375="&lt;01","",98%)</f>
        <v>0.98</v>
      </c>
      <c r="AT375" s="90">
        <f t="shared" si="150"/>
        <v>0.98</v>
      </c>
      <c r="AU375" s="14">
        <f t="shared" si="140"/>
        <v>0</v>
      </c>
      <c r="AV375" s="14">
        <f>IF($C375="&lt;01",ROUND(INDEX(EID!$N:$N,MATCH($B375,EID!$B:$B,0))/2,0),IF(SUM($AT375)=0,"",ROUND((SUM($AP375)-(SUM($O375)*SUM($AS375)))/$AT375,0)))</f>
        <v>0</v>
      </c>
      <c r="AW375" s="90">
        <f t="shared" si="141"/>
        <v>1</v>
      </c>
      <c r="AX375" s="42">
        <f t="shared" si="142"/>
        <v>0</v>
      </c>
      <c r="AY375" s="116">
        <f t="shared" si="143"/>
        <v>0.7</v>
      </c>
      <c r="AZ375" s="93">
        <f>IF($C375="&lt;01",ROUND(INDEX(EID!$R:$R,MATCH($B375,EID!$B:$B,0))/2,0),ROUND(SUM($O375)+(SUM($AV375)*$AY375),0))</f>
        <v>0</v>
      </c>
      <c r="BA375" s="89">
        <f t="shared" si="144"/>
        <v>0.95</v>
      </c>
      <c r="BB375" s="9">
        <f>IF($C375="&lt;01",ROUND(INDEX(EID!$T:$T,MATCH($B375,EID!$B:$B,0))/2,0),ROUND($AZ375*$BA375,0))</f>
        <v>0</v>
      </c>
      <c r="BC375" s="93">
        <f t="shared" si="145"/>
        <v>0</v>
      </c>
      <c r="BD375" s="90">
        <f t="shared" si="146"/>
        <v>0.95</v>
      </c>
      <c r="BE375" s="42">
        <f>IF($C375="&lt;01",ROUND(INDEX(EID!$V:$V,MATCH($B375,EID!$B:$B,0))/2,0),ROUND($BD375*$BB375,0))</f>
        <v>0</v>
      </c>
      <c r="BF375" s="42">
        <f t="shared" si="147"/>
        <v>0</v>
      </c>
      <c r="BG375" s="116">
        <f t="shared" si="148"/>
        <v>0.95</v>
      </c>
      <c r="BH375" s="9">
        <f>IF($C375="&lt;01",ROUND(INDEX(EID!$L:$L,MATCH($B375,EID!$B:$B,0)),0)/2,IF(SUM($BG375)=0,"",ROUND($AX375/$BG375,0)))</f>
        <v>0</v>
      </c>
    </row>
    <row r="376" spans="1:60" x14ac:dyDescent="0.2">
      <c r="A376" t="str">
        <f>INDEX(Prioritization!$D:$D,MATCH($B376,Prioritization!$A:$A,0))</f>
        <v>INVALID</v>
      </c>
      <c r="B376" t="s">
        <v>218</v>
      </c>
      <c r="C376" t="s">
        <v>366</v>
      </c>
      <c r="D376" t="s">
        <v>47</v>
      </c>
      <c r="E376" t="str">
        <f t="shared" si="126"/>
        <v>Nsanje District [rpw540fmNUz]|35-49|Male</v>
      </c>
      <c r="F376" s="14"/>
      <c r="G376" s="14"/>
      <c r="H376" s="14"/>
      <c r="I376" s="14"/>
      <c r="J376" s="14"/>
      <c r="K376" s="14"/>
      <c r="L376" s="14"/>
      <c r="M376" s="14"/>
      <c r="N376" s="14"/>
      <c r="O376" s="14" t="str">
        <f t="shared" si="127"/>
        <v/>
      </c>
      <c r="P376" s="14"/>
      <c r="Q376" s="14"/>
      <c r="R376" s="14" t="str">
        <f t="shared" si="128"/>
        <v/>
      </c>
      <c r="S376" s="14">
        <f>IF(LEFT($B376,4)="_Mil","",_xlfn.IFNA(ROUND(INDEX(Spectrum!$N:$N,MATCH(RIGHT($B376,13)&amp;"|"&amp;$C376&amp;"|"&amp;$D376&amp;"|"&amp;S$14&amp;"|"&amp;"CY2022Q4",Spectrum!$R:$R,0)),0),""))</f>
        <v>1778</v>
      </c>
      <c r="T376" s="42">
        <f>IF(LEFT($B376,4)="_Mil","",_xlfn.IFNA(ROUND(INDEX(Spectrum!$N:$N,MATCH(RIGHT($B376,13)&amp;"|"&amp;$C376&amp;"|"&amp;$D376&amp;"|"&amp;T$14&amp;"|"&amp;"CY2023Q3",Spectrum!$R:$R,0)),0),""))</f>
        <v>1055</v>
      </c>
      <c r="U376" s="42" t="str">
        <f>IF(LEFT($B376,4)="_Mil","",_xlfn.IFNA(ROUND(INDEX(Spectrum!$N:$N,MATCH(RIGHT($B376,13)&amp;"|"&amp;$C376&amp;"|"&amp;$D376&amp;"|"&amp;U$14&amp;"|"&amp;"CY2023Q3",Spectrum!$R:$R,0)),0),""))</f>
        <v/>
      </c>
      <c r="V376" s="14">
        <f>IF(LEFT($B376,4)="_Mil","",_xlfn.IFNA(ROUND(INDEX(Spectrum!$N:$N,MATCH(RIGHT($B376,13)&amp;"|"&amp;$C376&amp;"|"&amp;$D376&amp;"|"&amp;V$14&amp;"|"&amp;"CY2023Q3",Spectrum!$R:$R,0)),0),""))</f>
        <v>1809</v>
      </c>
      <c r="W376" s="115">
        <f>IF(LEFT($B376,4)="_Mil","",_xlfn.IFNA(INDEX(Spectrum!$N:$N,MATCH(RIGHT($B376,13)&amp;"|"&amp;$C376&amp;"|"&amp;$D376&amp;"|"&amp;W$14&amp;"|"&amp;"CY2023Q3",Spectrum!$R:$R,0)),""))</f>
        <v>527</v>
      </c>
      <c r="X376" s="42">
        <f>IF(LEFT($B376,4)="_Mil","",_xlfn.IFNA(ROUND(INDEX(Spectrum!$N:$N,MATCH(RIGHT($B376,13)&amp;"|"&amp;$C376&amp;"|"&amp;$D376&amp;"|"&amp;X$14&amp;"|"&amp;"CY2023Q3",Spectrum!$R:$R,0)),0),""))</f>
        <v>1217</v>
      </c>
      <c r="Y376" s="90" t="str">
        <f t="shared" si="129"/>
        <v/>
      </c>
      <c r="Z376" s="42">
        <f>IF(LEFT($B376,4)="_Mil","",_xlfn.IFNA(ROUND(INDEX(Spectrum!$N:$N,MATCH(RIGHT($B376,13)&amp;"|"&amp;$C376&amp;"|"&amp;$D376&amp;"|"&amp;Z$14&amp;"|"&amp;"CY2023Q3",Spectrum!$R:$R,0)),0),""))</f>
        <v>1269</v>
      </c>
      <c r="AA376" s="90">
        <f>IF(LEFT($B376,4)="_Mil","",IFERROR(1/(1/INDEX(Spectrum!$N:$N,MATCH(RIGHT($B376,13)&amp;"|"&amp;$C376&amp;"|"&amp;$D376&amp;"|"&amp;AA$14&amp;"|"&amp;"CY2023Q3",Spectrum!$R:$R,0))),IF(SUM($U376)=0,"",SUM($Z376)/$U376)))</f>
        <v>1346</v>
      </c>
      <c r="AB376" s="90">
        <f t="shared" si="130"/>
        <v>1.0427280197206246</v>
      </c>
      <c r="AC376" s="14">
        <f>IF(LEFT($B376,4)="_Mil","",_xlfn.IFNA(ROUND(INDEX(Spectrum!$N:$N,MATCH(RIGHT($B376,13)&amp;"|"&amp;$C376&amp;"|"&amp;$D376&amp;"|"&amp;AC$14&amp;"|"&amp;"CY2023Q3",Spectrum!$R:$R,0)),0),""))</f>
        <v>610</v>
      </c>
      <c r="AD376" s="14" t="str">
        <f>IF(LEFT($B376,4)="_Mil","",_xlfn.IFNA(ROUND(INDEX(Spectrum!$N:$N,MATCH(RIGHT($B376,13)&amp;"|"&amp;$C376&amp;"|"&amp;$D376&amp;"|"&amp;AD$14&amp;"|"&amp;"CY2023Q3",Spectrum!$R:$R,0)),0),""))</f>
        <v/>
      </c>
      <c r="AE376" s="90">
        <f t="shared" si="131"/>
        <v>0</v>
      </c>
      <c r="AF376" s="42" t="str">
        <f>IF(LEFT($B376,4)="_Mil","",_xlfn.IFNA(ROUND(INDEX(Spectrum!$N:$N,MATCH(RIGHT($B376,13)&amp;"|"&amp;$C376&amp;"|"&amp;$D376&amp;"|"&amp;AF$14&amp;"|"&amp;"CY2023Q3",Spectrum!$R:$R,0)),0),""))</f>
        <v/>
      </c>
      <c r="AG376" s="90" t="str">
        <f t="shared" si="132"/>
        <v/>
      </c>
      <c r="AH376" s="88" t="str">
        <f>IF(LEFT($B376,4)="_Mil","",_xlfn.IFNA(INDEX(Spectrum!$N:$N,MATCH(RIGHT($B376,13)&amp;"|"&amp;$C376&amp;"|"&amp;$D376&amp;"|"&amp;AH$14&amp;"|"&amp;"CY2023Q3",Spectrum!$R:$R,0)),""))</f>
        <v/>
      </c>
      <c r="AI376" s="14" t="str">
        <f>IF(LEFT($B376,4)="_Mil","",_xlfn.IFNA(ROUND(INDEX(Spectrum!$N:$N,MATCH(RIGHT($B376,13)&amp;"|"&amp;$C376&amp;"|"&amp;$D376&amp;"|"&amp;AI$14&amp;"|"&amp;"CY2023Q3",Spectrum!$R:$R,0)),0),""))</f>
        <v/>
      </c>
      <c r="AJ376" s="42">
        <f>IF(LEFT($B376,4)="_Mil","",_xlfn.IFNA(ROUND(INDEX(Spectrum!$N:$N,MATCH(RIGHT($B376,13)&amp;"|"&amp;$C376&amp;"|"&amp;$D376&amp;"|"&amp;AI$14&amp;"|"&amp;"CY2023Q3",Spectrum!$R:$R,0)),0),SUM($U376)+SUM($AI376)))</f>
        <v>0</v>
      </c>
      <c r="AK376" s="14" t="str">
        <f>IF(LEFT($B376,4)="_Mil","",_xlfn.IFNA(ROUND(INDEX(Spectrum!$N:$N,MATCH(RIGHT($B376,13)&amp;"|"&amp;$C376&amp;"|"&amp;$D376&amp;"|"&amp;AK$14&amp;"|"&amp;"CY2023Q3",Spectrum!$R:$R,0)),0),""))</f>
        <v/>
      </c>
      <c r="AL376" s="90">
        <f t="shared" si="133"/>
        <v>1346</v>
      </c>
      <c r="AM376" s="14">
        <f t="shared" si="134"/>
        <v>0</v>
      </c>
      <c r="AN376" s="14" t="str">
        <f>IF($C376="&lt;01",ROUND(INDEX(EID!$P:$P,MATCH($B376,EID!$B:$B,0))/2,0),"")</f>
        <v/>
      </c>
      <c r="AO376" s="14">
        <f t="shared" si="135"/>
        <v>0</v>
      </c>
      <c r="AP376" s="42">
        <f t="shared" si="136"/>
        <v>0</v>
      </c>
      <c r="AQ376" s="42">
        <f t="shared" si="137"/>
        <v>1269</v>
      </c>
      <c r="AR376" s="90" t="str">
        <f t="shared" si="138"/>
        <v/>
      </c>
      <c r="AS376" s="90">
        <f t="shared" si="150"/>
        <v>0.98</v>
      </c>
      <c r="AT376" s="90">
        <f t="shared" si="150"/>
        <v>0.98</v>
      </c>
      <c r="AU376" s="14">
        <f t="shared" si="140"/>
        <v>0</v>
      </c>
      <c r="AV376" s="14">
        <f>IF($C376="&lt;01",ROUND(INDEX(EID!$N:$N,MATCH($B376,EID!$B:$B,0))/2,0),IF(SUM($AT376)=0,"",ROUND((SUM($AP376)-(SUM($O376)*SUM($AS376)))/$AT376,0)))</f>
        <v>0</v>
      </c>
      <c r="AW376" s="90">
        <f t="shared" si="141"/>
        <v>1</v>
      </c>
      <c r="AX376" s="42">
        <f t="shared" si="142"/>
        <v>0</v>
      </c>
      <c r="AY376" s="116">
        <f t="shared" si="143"/>
        <v>0.7</v>
      </c>
      <c r="AZ376" s="93">
        <f>IF($C376="&lt;01",ROUND(INDEX(EID!$R:$R,MATCH($B376,EID!$B:$B,0))/2,0),ROUND(SUM($O376)+(SUM($AV376)*$AY376),0))</f>
        <v>0</v>
      </c>
      <c r="BA376" s="89">
        <f t="shared" si="144"/>
        <v>0.95</v>
      </c>
      <c r="BB376" s="9">
        <f>IF($C376="&lt;01",ROUND(INDEX(EID!$T:$T,MATCH($B376,EID!$B:$B,0))/2,0),ROUND($AZ376*$BA376,0))</f>
        <v>0</v>
      </c>
      <c r="BC376" s="93">
        <f t="shared" si="145"/>
        <v>0</v>
      </c>
      <c r="BD376" s="90">
        <f t="shared" si="146"/>
        <v>0.95</v>
      </c>
      <c r="BE376" s="42">
        <f>IF($C376="&lt;01",ROUND(INDEX(EID!$V:$V,MATCH($B376,EID!$B:$B,0))/2,0),ROUND($BD376*$BB376,0))</f>
        <v>0</v>
      </c>
      <c r="BF376" s="42">
        <f t="shared" si="147"/>
        <v>0</v>
      </c>
      <c r="BG376" s="116">
        <f t="shared" si="148"/>
        <v>0.95</v>
      </c>
      <c r="BH376" s="9">
        <f>IF($C376="&lt;01",ROUND(INDEX(EID!$L:$L,MATCH($B376,EID!$B:$B,0)),0)/2,IF(SUM($BG376)=0,"",ROUND($AX376/$BG376,0)))</f>
        <v>0</v>
      </c>
    </row>
    <row r="377" spans="1:60" x14ac:dyDescent="0.2">
      <c r="A377" t="str">
        <f>INDEX(Prioritization!$D:$D,MATCH($B377,Prioritization!$A:$A,0))</f>
        <v>INVALID</v>
      </c>
      <c r="B377" t="s">
        <v>218</v>
      </c>
      <c r="C377" t="s">
        <v>367</v>
      </c>
      <c r="D377" t="s">
        <v>29</v>
      </c>
      <c r="E377" t="str">
        <f t="shared" si="126"/>
        <v>Nsanje District [rpw540fmNUz]|50+|Female</v>
      </c>
      <c r="F377" s="14"/>
      <c r="G377" s="14"/>
      <c r="H377" s="14"/>
      <c r="I377" s="14"/>
      <c r="J377" s="14"/>
      <c r="K377" s="14"/>
      <c r="L377" s="14"/>
      <c r="M377" s="14"/>
      <c r="N377" s="14"/>
      <c r="O377" s="14" t="str">
        <f t="shared" si="127"/>
        <v/>
      </c>
      <c r="P377" s="14"/>
      <c r="Q377" s="14"/>
      <c r="R377" s="14" t="str">
        <f t="shared" si="128"/>
        <v/>
      </c>
      <c r="S377" s="14">
        <f>IF(LEFT($B377,4)="_Mil","",_xlfn.IFNA(ROUND(INDEX(Spectrum!$N:$N,MATCH(RIGHT($B377,13)&amp;"|"&amp;$C377&amp;"|"&amp;$D377&amp;"|"&amp;S$14&amp;"|"&amp;"CY2022Q4",Spectrum!$R:$R,0)),0),""))</f>
        <v>1930</v>
      </c>
      <c r="T377" s="42">
        <f>IF(LEFT($B377,4)="_Mil","",_xlfn.IFNA(ROUND(INDEX(Spectrum!$N:$N,MATCH(RIGHT($B377,13)&amp;"|"&amp;$C377&amp;"|"&amp;$D377&amp;"|"&amp;T$14&amp;"|"&amp;"CY2023Q3",Spectrum!$R:$R,0)),0),""))</f>
        <v>599</v>
      </c>
      <c r="U377" s="42" t="str">
        <f>IF(LEFT($B377,4)="_Mil","",_xlfn.IFNA(ROUND(INDEX(Spectrum!$N:$N,MATCH(RIGHT($B377,13)&amp;"|"&amp;$C377&amp;"|"&amp;$D377&amp;"|"&amp;U$14&amp;"|"&amp;"CY2023Q3",Spectrum!$R:$R,0)),0),""))</f>
        <v/>
      </c>
      <c r="V377" s="14">
        <f>IF(LEFT($B377,4)="_Mil","",_xlfn.IFNA(ROUND(INDEX(Spectrum!$N:$N,MATCH(RIGHT($B377,13)&amp;"|"&amp;$C377&amp;"|"&amp;$D377&amp;"|"&amp;V$14&amp;"|"&amp;"CY2023Q3",Spectrum!$R:$R,0)),0),""))</f>
        <v>815</v>
      </c>
      <c r="W377" s="115">
        <f>IF(LEFT($B377,4)="_Mil","",_xlfn.IFNA(INDEX(Spectrum!$N:$N,MATCH(RIGHT($B377,13)&amp;"|"&amp;$C377&amp;"|"&amp;$D377&amp;"|"&amp;W$14&amp;"|"&amp;"CY2023Q3",Spectrum!$R:$R,0)),""))</f>
        <v>1864</v>
      </c>
      <c r="X377" s="42">
        <f>IF(LEFT($B377,4)="_Mil","",_xlfn.IFNA(ROUND(INDEX(Spectrum!$N:$N,MATCH(RIGHT($B377,13)&amp;"|"&amp;$C377&amp;"|"&amp;$D377&amp;"|"&amp;X$14&amp;"|"&amp;"CY2023Q3",Spectrum!$R:$R,0)),0),""))</f>
        <v>1791</v>
      </c>
      <c r="Y377" s="90" t="str">
        <f t="shared" si="129"/>
        <v/>
      </c>
      <c r="Z377" s="42">
        <f>IF(LEFT($B377,4)="_Mil","",_xlfn.IFNA(ROUND(INDEX(Spectrum!$N:$N,MATCH(RIGHT($B377,13)&amp;"|"&amp;$C377&amp;"|"&amp;$D377&amp;"|"&amp;Z$14&amp;"|"&amp;"CY2023Q3",Spectrum!$R:$R,0)),0),""))</f>
        <v>605</v>
      </c>
      <c r="AA377" s="90">
        <f>IF(LEFT($B377,4)="_Mil","",IFERROR(1/(1/INDEX(Spectrum!$N:$N,MATCH(RIGHT($B377,13)&amp;"|"&amp;$C377&amp;"|"&amp;$D377&amp;"|"&amp;AA$14&amp;"|"&amp;"CY2023Q3",Spectrum!$R:$R,0))),IF(SUM($U377)=0,"",SUM($Z377)/$U377)))</f>
        <v>1563.9999999999998</v>
      </c>
      <c r="AB377" s="90">
        <f t="shared" si="130"/>
        <v>0.33780011166945839</v>
      </c>
      <c r="AC377" s="14">
        <f>IF(LEFT($B377,4)="_Mil","",_xlfn.IFNA(ROUND(INDEX(Spectrum!$N:$N,MATCH(RIGHT($B377,13)&amp;"|"&amp;$C377&amp;"|"&amp;$D377&amp;"|"&amp;AC$14&amp;"|"&amp;"CY2023Q3",Spectrum!$R:$R,0)),0),""))</f>
        <v>913</v>
      </c>
      <c r="AD377" s="14" t="str">
        <f>IF(LEFT($B377,4)="_Mil","",_xlfn.IFNA(ROUND(INDEX(Spectrum!$N:$N,MATCH(RIGHT($B377,13)&amp;"|"&amp;$C377&amp;"|"&amp;$D377&amp;"|"&amp;AD$14&amp;"|"&amp;"CY2023Q3",Spectrum!$R:$R,0)),0),""))</f>
        <v/>
      </c>
      <c r="AE377" s="90">
        <f t="shared" si="131"/>
        <v>0</v>
      </c>
      <c r="AF377" s="42" t="str">
        <f>IF(LEFT($B377,4)="_Mil","",_xlfn.IFNA(ROUND(INDEX(Spectrum!$N:$N,MATCH(RIGHT($B377,13)&amp;"|"&amp;$C377&amp;"|"&amp;$D377&amp;"|"&amp;AF$14&amp;"|"&amp;"CY2023Q3",Spectrum!$R:$R,0)),0),""))</f>
        <v/>
      </c>
      <c r="AG377" s="90" t="str">
        <f t="shared" si="132"/>
        <v/>
      </c>
      <c r="AH377" s="88" t="str">
        <f>IF(LEFT($B377,4)="_Mil","",_xlfn.IFNA(INDEX(Spectrum!$N:$N,MATCH(RIGHT($B377,13)&amp;"|"&amp;$C377&amp;"|"&amp;$D377&amp;"|"&amp;AH$14&amp;"|"&amp;"CY2023Q3",Spectrum!$R:$R,0)),""))</f>
        <v/>
      </c>
      <c r="AI377" s="14" t="str">
        <f>IF(LEFT($B377,4)="_Mil","",_xlfn.IFNA(ROUND(INDEX(Spectrum!$N:$N,MATCH(RIGHT($B377,13)&amp;"|"&amp;$C377&amp;"|"&amp;$D377&amp;"|"&amp;AI$14&amp;"|"&amp;"CY2023Q3",Spectrum!$R:$R,0)),0),""))</f>
        <v/>
      </c>
      <c r="AJ377" s="42">
        <f>IF(LEFT($B377,4)="_Mil","",_xlfn.IFNA(ROUND(INDEX(Spectrum!$N:$N,MATCH(RIGHT($B377,13)&amp;"|"&amp;$C377&amp;"|"&amp;$D377&amp;"|"&amp;AI$14&amp;"|"&amp;"CY2023Q3",Spectrum!$R:$R,0)),0),SUM($U377)+SUM($AI377)))</f>
        <v>0</v>
      </c>
      <c r="AK377" s="14" t="str">
        <f>IF(LEFT($B377,4)="_Mil","",_xlfn.IFNA(ROUND(INDEX(Spectrum!$N:$N,MATCH(RIGHT($B377,13)&amp;"|"&amp;$C377&amp;"|"&amp;$D377&amp;"|"&amp;AK$14&amp;"|"&amp;"CY2023Q3",Spectrum!$R:$R,0)),0),""))</f>
        <v/>
      </c>
      <c r="AL377" s="90">
        <f t="shared" si="133"/>
        <v>1563.9999999999998</v>
      </c>
      <c r="AM377" s="14">
        <f t="shared" si="134"/>
        <v>0</v>
      </c>
      <c r="AN377" s="14" t="str">
        <f>IF($C377="&lt;01",ROUND(INDEX(EID!$P:$P,MATCH($B377,EID!$B:$B,0))/2,0),"")</f>
        <v/>
      </c>
      <c r="AO377" s="14">
        <f t="shared" si="135"/>
        <v>0</v>
      </c>
      <c r="AP377" s="42">
        <f t="shared" si="136"/>
        <v>0</v>
      </c>
      <c r="AQ377" s="42">
        <f t="shared" si="137"/>
        <v>605</v>
      </c>
      <c r="AR377" s="90" t="str">
        <f t="shared" si="138"/>
        <v/>
      </c>
      <c r="AS377" s="90">
        <f t="shared" si="150"/>
        <v>0.98</v>
      </c>
      <c r="AT377" s="90">
        <f t="shared" si="150"/>
        <v>0.98</v>
      </c>
      <c r="AU377" s="14">
        <f t="shared" si="140"/>
        <v>0</v>
      </c>
      <c r="AV377" s="14">
        <f>IF($C377="&lt;01",ROUND(INDEX(EID!$N:$N,MATCH($B377,EID!$B:$B,0))/2,0),IF(SUM($AT377)=0,"",ROUND((SUM($AP377)-(SUM($O377)*SUM($AS377)))/$AT377,0)))</f>
        <v>0</v>
      </c>
      <c r="AW377" s="90">
        <f t="shared" si="141"/>
        <v>1</v>
      </c>
      <c r="AX377" s="42">
        <f t="shared" si="142"/>
        <v>0</v>
      </c>
      <c r="AY377" s="116">
        <f t="shared" si="143"/>
        <v>0.7</v>
      </c>
      <c r="AZ377" s="93">
        <f>IF($C377="&lt;01",ROUND(INDEX(EID!$R:$R,MATCH($B377,EID!$B:$B,0))/2,0),ROUND(SUM($O377)+(SUM($AV377)*$AY377),0))</f>
        <v>0</v>
      </c>
      <c r="BA377" s="89">
        <f t="shared" si="144"/>
        <v>0.95</v>
      </c>
      <c r="BB377" s="9">
        <f>IF($C377="&lt;01",ROUND(INDEX(EID!$T:$T,MATCH($B377,EID!$B:$B,0))/2,0),ROUND($AZ377*$BA377,0))</f>
        <v>0</v>
      </c>
      <c r="BC377" s="93">
        <f t="shared" si="145"/>
        <v>0</v>
      </c>
      <c r="BD377" s="90">
        <f t="shared" si="146"/>
        <v>0.95</v>
      </c>
      <c r="BE377" s="42">
        <f>IF($C377="&lt;01",ROUND(INDEX(EID!$V:$V,MATCH($B377,EID!$B:$B,0))/2,0),ROUND($BD377*$BB377,0))</f>
        <v>0</v>
      </c>
      <c r="BF377" s="42">
        <f t="shared" si="147"/>
        <v>0</v>
      </c>
      <c r="BG377" s="116">
        <f t="shared" si="148"/>
        <v>0.95</v>
      </c>
      <c r="BH377" s="9">
        <f>IF($C377="&lt;01",ROUND(INDEX(EID!$L:$L,MATCH($B377,EID!$B:$B,0)),0)/2,IF(SUM($BG377)=0,"",ROUND($AX377/$BG377,0)))</f>
        <v>0</v>
      </c>
    </row>
    <row r="378" spans="1:60" x14ac:dyDescent="0.2">
      <c r="A378" t="str">
        <f>INDEX(Prioritization!$D:$D,MATCH($B378,Prioritization!$A:$A,0))</f>
        <v>INVALID</v>
      </c>
      <c r="B378" t="s">
        <v>218</v>
      </c>
      <c r="C378" t="s">
        <v>367</v>
      </c>
      <c r="D378" t="s">
        <v>47</v>
      </c>
      <c r="E378" t="str">
        <f t="shared" si="126"/>
        <v>Nsanje District [rpw540fmNUz]|50+|Male</v>
      </c>
      <c r="F378" s="14"/>
      <c r="G378" s="14"/>
      <c r="H378" s="14"/>
      <c r="I378" s="14"/>
      <c r="J378" s="14"/>
      <c r="K378" s="14"/>
      <c r="L378" s="14"/>
      <c r="M378" s="14"/>
      <c r="N378" s="14"/>
      <c r="O378" s="14" t="str">
        <f t="shared" si="127"/>
        <v/>
      </c>
      <c r="P378" s="14"/>
      <c r="Q378" s="14"/>
      <c r="R378" s="14" t="str">
        <f t="shared" si="128"/>
        <v/>
      </c>
      <c r="S378" s="14">
        <f>IF(LEFT($B378,4)="_Mil","",_xlfn.IFNA(ROUND(INDEX(Spectrum!$N:$N,MATCH(RIGHT($B378,13)&amp;"|"&amp;$C378&amp;"|"&amp;$D378&amp;"|"&amp;S$14&amp;"|"&amp;"CY2022Q4",Spectrum!$R:$R,0)),0),""))</f>
        <v>978</v>
      </c>
      <c r="T378" s="42">
        <f>IF(LEFT($B378,4)="_Mil","",_xlfn.IFNA(ROUND(INDEX(Spectrum!$N:$N,MATCH(RIGHT($B378,13)&amp;"|"&amp;$C378&amp;"|"&amp;$D378&amp;"|"&amp;T$14&amp;"|"&amp;"CY2023Q3",Spectrum!$R:$R,0)),0),""))</f>
        <v>983</v>
      </c>
      <c r="U378" s="42" t="str">
        <f>IF(LEFT($B378,4)="_Mil","",_xlfn.IFNA(ROUND(INDEX(Spectrum!$N:$N,MATCH(RIGHT($B378,13)&amp;"|"&amp;$C378&amp;"|"&amp;$D378&amp;"|"&amp;U$14&amp;"|"&amp;"CY2023Q3",Spectrum!$R:$R,0)),0),""))</f>
        <v/>
      </c>
      <c r="V378" s="14">
        <f>IF(LEFT($B378,4)="_Mil","",_xlfn.IFNA(ROUND(INDEX(Spectrum!$N:$N,MATCH(RIGHT($B378,13)&amp;"|"&amp;$C378&amp;"|"&amp;$D378&amp;"|"&amp;V$14&amp;"|"&amp;"CY2023Q3",Spectrum!$R:$R,0)),0),""))</f>
        <v>1833</v>
      </c>
      <c r="W378" s="115">
        <f>IF(LEFT($B378,4)="_Mil","",_xlfn.IFNA(INDEX(Spectrum!$N:$N,MATCH(RIGHT($B378,13)&amp;"|"&amp;$C378&amp;"|"&amp;$D378&amp;"|"&amp;W$14&amp;"|"&amp;"CY2023Q3",Spectrum!$R:$R,0)),""))</f>
        <v>893</v>
      </c>
      <c r="X378" s="42">
        <f>IF(LEFT($B378,4)="_Mil","",_xlfn.IFNA(ROUND(INDEX(Spectrum!$N:$N,MATCH(RIGHT($B378,13)&amp;"|"&amp;$C378&amp;"|"&amp;$D378&amp;"|"&amp;X$14&amp;"|"&amp;"CY2023Q3",Spectrum!$R:$R,0)),0),""))</f>
        <v>861</v>
      </c>
      <c r="Y378" s="90" t="str">
        <f t="shared" si="129"/>
        <v/>
      </c>
      <c r="Z378" s="42">
        <f>IF(LEFT($B378,4)="_Mil","",_xlfn.IFNA(ROUND(INDEX(Spectrum!$N:$N,MATCH(RIGHT($B378,13)&amp;"|"&amp;$C378&amp;"|"&amp;$D378&amp;"|"&amp;Z$14&amp;"|"&amp;"CY2023Q3",Spectrum!$R:$R,0)),0),""))</f>
        <v>1156</v>
      </c>
      <c r="AA378" s="90">
        <f>IF(LEFT($B378,4)="_Mil","",IFERROR(1/(1/INDEX(Spectrum!$N:$N,MATCH(RIGHT($B378,13)&amp;"|"&amp;$C378&amp;"|"&amp;$D378&amp;"|"&amp;AA$14&amp;"|"&amp;"CY2023Q3",Spectrum!$R:$R,0))),IF(SUM($U378)=0,"",SUM($Z378)/$U378)))</f>
        <v>1286</v>
      </c>
      <c r="AB378" s="90">
        <f t="shared" si="130"/>
        <v>1.3426248548199768</v>
      </c>
      <c r="AC378" s="14">
        <f>IF(LEFT($B378,4)="_Mil","",_xlfn.IFNA(ROUND(INDEX(Spectrum!$N:$N,MATCH(RIGHT($B378,13)&amp;"|"&amp;$C378&amp;"|"&amp;$D378&amp;"|"&amp;AC$14&amp;"|"&amp;"CY2023Q3",Spectrum!$R:$R,0)),0),""))</f>
        <v>1188</v>
      </c>
      <c r="AD378" s="14" t="str">
        <f>IF(LEFT($B378,4)="_Mil","",_xlfn.IFNA(ROUND(INDEX(Spectrum!$N:$N,MATCH(RIGHT($B378,13)&amp;"|"&amp;$C378&amp;"|"&amp;$D378&amp;"|"&amp;AD$14&amp;"|"&amp;"CY2023Q3",Spectrum!$R:$R,0)),0),""))</f>
        <v/>
      </c>
      <c r="AE378" s="90">
        <f t="shared" si="131"/>
        <v>0</v>
      </c>
      <c r="AF378" s="42" t="str">
        <f>IF(LEFT($B378,4)="_Mil","",_xlfn.IFNA(ROUND(INDEX(Spectrum!$N:$N,MATCH(RIGHT($B378,13)&amp;"|"&amp;$C378&amp;"|"&amp;$D378&amp;"|"&amp;AF$14&amp;"|"&amp;"CY2023Q3",Spectrum!$R:$R,0)),0),""))</f>
        <v/>
      </c>
      <c r="AG378" s="90" t="str">
        <f t="shared" si="132"/>
        <v/>
      </c>
      <c r="AH378" s="88" t="str">
        <f>IF(LEFT($B378,4)="_Mil","",_xlfn.IFNA(INDEX(Spectrum!$N:$N,MATCH(RIGHT($B378,13)&amp;"|"&amp;$C378&amp;"|"&amp;$D378&amp;"|"&amp;AH$14&amp;"|"&amp;"CY2023Q3",Spectrum!$R:$R,0)),""))</f>
        <v/>
      </c>
      <c r="AI378" s="14" t="str">
        <f>IF(LEFT($B378,4)="_Mil","",_xlfn.IFNA(ROUND(INDEX(Spectrum!$N:$N,MATCH(RIGHT($B378,13)&amp;"|"&amp;$C378&amp;"|"&amp;$D378&amp;"|"&amp;AI$14&amp;"|"&amp;"CY2023Q3",Spectrum!$R:$R,0)),0),""))</f>
        <v/>
      </c>
      <c r="AJ378" s="42">
        <f>IF(LEFT($B378,4)="_Mil","",_xlfn.IFNA(ROUND(INDEX(Spectrum!$N:$N,MATCH(RIGHT($B378,13)&amp;"|"&amp;$C378&amp;"|"&amp;$D378&amp;"|"&amp;AI$14&amp;"|"&amp;"CY2023Q3",Spectrum!$R:$R,0)),0),SUM($U378)+SUM($AI378)))</f>
        <v>0</v>
      </c>
      <c r="AK378" s="14" t="str">
        <f>IF(LEFT($B378,4)="_Mil","",_xlfn.IFNA(ROUND(INDEX(Spectrum!$N:$N,MATCH(RIGHT($B378,13)&amp;"|"&amp;$C378&amp;"|"&amp;$D378&amp;"|"&amp;AK$14&amp;"|"&amp;"CY2023Q3",Spectrum!$R:$R,0)),0),""))</f>
        <v/>
      </c>
      <c r="AL378" s="90">
        <f t="shared" si="133"/>
        <v>1286</v>
      </c>
      <c r="AM378" s="14">
        <f t="shared" si="134"/>
        <v>0</v>
      </c>
      <c r="AN378" s="14" t="str">
        <f>IF($C378="&lt;01",ROUND(INDEX(EID!$P:$P,MATCH($B378,EID!$B:$B,0))/2,0),"")</f>
        <v/>
      </c>
      <c r="AO378" s="14">
        <f t="shared" si="135"/>
        <v>0</v>
      </c>
      <c r="AP378" s="42">
        <f t="shared" si="136"/>
        <v>0</v>
      </c>
      <c r="AQ378" s="42">
        <f t="shared" si="137"/>
        <v>1156</v>
      </c>
      <c r="AR378" s="90" t="str">
        <f t="shared" si="138"/>
        <v/>
      </c>
      <c r="AS378" s="90">
        <f t="shared" si="150"/>
        <v>0.98</v>
      </c>
      <c r="AT378" s="90">
        <f t="shared" si="150"/>
        <v>0.98</v>
      </c>
      <c r="AU378" s="14">
        <f t="shared" si="140"/>
        <v>0</v>
      </c>
      <c r="AV378" s="14">
        <f>IF($C378="&lt;01",ROUND(INDEX(EID!$N:$N,MATCH($B378,EID!$B:$B,0))/2,0),IF(SUM($AT378)=0,"",ROUND((SUM($AP378)-(SUM($O378)*SUM($AS378)))/$AT378,0)))</f>
        <v>0</v>
      </c>
      <c r="AW378" s="90">
        <f t="shared" si="141"/>
        <v>1</v>
      </c>
      <c r="AX378" s="42">
        <f t="shared" si="142"/>
        <v>0</v>
      </c>
      <c r="AY378" s="116">
        <f t="shared" si="143"/>
        <v>0.7</v>
      </c>
      <c r="AZ378" s="93">
        <f>IF($C378="&lt;01",ROUND(INDEX(EID!$R:$R,MATCH($B378,EID!$B:$B,0))/2,0),ROUND(SUM($O378)+(SUM($AV378)*$AY378),0))</f>
        <v>0</v>
      </c>
      <c r="BA378" s="89">
        <f t="shared" si="144"/>
        <v>0.95</v>
      </c>
      <c r="BB378" s="9">
        <f>IF($C378="&lt;01",ROUND(INDEX(EID!$T:$T,MATCH($B378,EID!$B:$B,0))/2,0),ROUND($AZ378*$BA378,0))</f>
        <v>0</v>
      </c>
      <c r="BC378" s="93">
        <f t="shared" si="145"/>
        <v>0</v>
      </c>
      <c r="BD378" s="90">
        <f t="shared" si="146"/>
        <v>0.95</v>
      </c>
      <c r="BE378" s="42">
        <f>IF($C378="&lt;01",ROUND(INDEX(EID!$V:$V,MATCH($B378,EID!$B:$B,0))/2,0),ROUND($BD378*$BB378,0))</f>
        <v>0</v>
      </c>
      <c r="BF378" s="42">
        <f t="shared" si="147"/>
        <v>0</v>
      </c>
      <c r="BG378" s="116">
        <f t="shared" si="148"/>
        <v>0.95</v>
      </c>
      <c r="BH378" s="9">
        <f>IF($C378="&lt;01",ROUND(INDEX(EID!$L:$L,MATCH($B378,EID!$B:$B,0)),0)/2,IF(SUM($BG378)=0,"",ROUND($AX378/$BG378,0)))</f>
        <v>0</v>
      </c>
    </row>
    <row r="379" spans="1:60" x14ac:dyDescent="0.2">
      <c r="A379" t="str">
        <f>INDEX(Prioritization!$D:$D,MATCH($B379,Prioritization!$A:$A,0))</f>
        <v>INVALID</v>
      </c>
      <c r="B379" t="s">
        <v>219</v>
      </c>
      <c r="C379" t="s">
        <v>315</v>
      </c>
      <c r="D379" t="s">
        <v>29</v>
      </c>
      <c r="E379" t="str">
        <f t="shared" si="126"/>
        <v>Phalombe District [AZyWpGzhcaA]|&lt;01|Female</v>
      </c>
      <c r="F379" s="14"/>
      <c r="G379" s="14">
        <v>3</v>
      </c>
      <c r="H379" s="14">
        <v>5</v>
      </c>
      <c r="I379" s="14">
        <v>1</v>
      </c>
      <c r="J379" s="14">
        <v>3</v>
      </c>
      <c r="K379" s="14">
        <v>9</v>
      </c>
      <c r="L379" s="14"/>
      <c r="M379" s="14">
        <v>0</v>
      </c>
      <c r="N379" s="14">
        <v>1</v>
      </c>
      <c r="O379" s="14">
        <f t="shared" si="127"/>
        <v>1</v>
      </c>
      <c r="P379" s="14">
        <v>0</v>
      </c>
      <c r="Q379" s="14">
        <v>1</v>
      </c>
      <c r="R379" s="14">
        <f t="shared" si="128"/>
        <v>0</v>
      </c>
      <c r="S379" s="14">
        <f>IF(LEFT($B379,4)="_Mil","",_xlfn.IFNA(ROUND(INDEX(Spectrum!$N:$N,MATCH(RIGHT($B379,13)&amp;"|"&amp;$C379&amp;"|"&amp;$D379&amp;"|"&amp;S$14&amp;"|"&amp;"CY2022Q4",Spectrum!$R:$R,0)),0),""))</f>
        <v>951</v>
      </c>
      <c r="T379" s="42">
        <f>IF(LEFT($B379,4)="_Mil","",_xlfn.IFNA(ROUND(INDEX(Spectrum!$N:$N,MATCH(RIGHT($B379,13)&amp;"|"&amp;$C379&amp;"|"&amp;$D379&amp;"|"&amp;T$14&amp;"|"&amp;"CY2023Q3",Spectrum!$R:$R,0)),0),""))</f>
        <v>1045</v>
      </c>
      <c r="U379" s="42" t="str">
        <f>IF(LEFT($B379,4)="_Mil","",_xlfn.IFNA(ROUND(INDEX(Spectrum!$N:$N,MATCH(RIGHT($B379,13)&amp;"|"&amp;$C379&amp;"|"&amp;$D379&amp;"|"&amp;U$14&amp;"|"&amp;"CY2023Q3",Spectrum!$R:$R,0)),0),""))</f>
        <v/>
      </c>
      <c r="V379" s="14">
        <f>IF(LEFT($B379,4)="_Mil","",_xlfn.IFNA(ROUND(INDEX(Spectrum!$N:$N,MATCH(RIGHT($B379,13)&amp;"|"&amp;$C379&amp;"|"&amp;$D379&amp;"|"&amp;V$14&amp;"|"&amp;"CY2023Q3",Spectrum!$R:$R,0)),0),""))</f>
        <v>1945</v>
      </c>
      <c r="W379" s="115">
        <f>IF(LEFT($B379,4)="_Mil","",_xlfn.IFNA(INDEX(Spectrum!$N:$N,MATCH(RIGHT($B379,13)&amp;"|"&amp;$C379&amp;"|"&amp;$D379&amp;"|"&amp;W$14&amp;"|"&amp;"CY2023Q3",Spectrum!$R:$R,0)),""))</f>
        <v>1881</v>
      </c>
      <c r="X379" s="42">
        <f>IF(LEFT($B379,4)="_Mil","",_xlfn.IFNA(ROUND(INDEX(Spectrum!$N:$N,MATCH(RIGHT($B379,13)&amp;"|"&amp;$C379&amp;"|"&amp;$D379&amp;"|"&amp;X$14&amp;"|"&amp;"CY2023Q3",Spectrum!$R:$R,0)),0),""))</f>
        <v>883</v>
      </c>
      <c r="Y379" s="90" t="str">
        <f t="shared" si="129"/>
        <v/>
      </c>
      <c r="Z379" s="42">
        <f>IF(LEFT($B379,4)="_Mil","",_xlfn.IFNA(ROUND(INDEX(Spectrum!$N:$N,MATCH(RIGHT($B379,13)&amp;"|"&amp;$C379&amp;"|"&amp;$D379&amp;"|"&amp;Z$14&amp;"|"&amp;"CY2023Q3",Spectrum!$R:$R,0)),0),""))</f>
        <v>1468</v>
      </c>
      <c r="AA379" s="90">
        <f>IF(LEFT($B379,4)="_Mil","",IFERROR(1/(1/INDEX(Spectrum!$N:$N,MATCH(RIGHT($B379,13)&amp;"|"&amp;$C379&amp;"|"&amp;$D379&amp;"|"&amp;AA$14&amp;"|"&amp;"CY2023Q3",Spectrum!$R:$R,0))),IF(SUM($U379)=0,"",SUM($Z379)/$U379)))</f>
        <v>1004</v>
      </c>
      <c r="AB379" s="90">
        <f t="shared" si="130"/>
        <v>1.6625141562853907</v>
      </c>
      <c r="AC379" s="14">
        <f>IF(LEFT($B379,4)="_Mil","",_xlfn.IFNA(ROUND(INDEX(Spectrum!$N:$N,MATCH(RIGHT($B379,13)&amp;"|"&amp;$C379&amp;"|"&amp;$D379&amp;"|"&amp;AC$14&amp;"|"&amp;"CY2023Q3",Spectrum!$R:$R,0)),0),""))</f>
        <v>1698</v>
      </c>
      <c r="AD379" s="14" t="str">
        <f>IF(LEFT($B379,4)="_Mil","",_xlfn.IFNA(ROUND(INDEX(Spectrum!$N:$N,MATCH(RIGHT($B379,13)&amp;"|"&amp;$C379&amp;"|"&amp;$D379&amp;"|"&amp;AD$14&amp;"|"&amp;"CY2023Q3",Spectrum!$R:$R,0)),0),""))</f>
        <v/>
      </c>
      <c r="AE379" s="90">
        <f t="shared" si="131"/>
        <v>0</v>
      </c>
      <c r="AF379" s="42" t="str">
        <f>IF(LEFT($B379,4)="_Mil","",_xlfn.IFNA(ROUND(INDEX(Spectrum!$N:$N,MATCH(RIGHT($B379,13)&amp;"|"&amp;$C379&amp;"|"&amp;$D379&amp;"|"&amp;AF$14&amp;"|"&amp;"CY2023Q3",Spectrum!$R:$R,0)),0),""))</f>
        <v/>
      </c>
      <c r="AG379" s="90" t="str">
        <f t="shared" si="132"/>
        <v/>
      </c>
      <c r="AH379" s="88" t="str">
        <f>IF(LEFT($B379,4)="_Mil","",_xlfn.IFNA(INDEX(Spectrum!$N:$N,MATCH(RIGHT($B379,13)&amp;"|"&amp;$C379&amp;"|"&amp;$D379&amp;"|"&amp;AH$14&amp;"|"&amp;"CY2023Q3",Spectrum!$R:$R,0)),""))</f>
        <v/>
      </c>
      <c r="AI379" s="14" t="str">
        <f>IF(LEFT($B379,4)="_Mil","",_xlfn.IFNA(ROUND(INDEX(Spectrum!$N:$N,MATCH(RIGHT($B379,13)&amp;"|"&amp;$C379&amp;"|"&amp;$D379&amp;"|"&amp;AI$14&amp;"|"&amp;"CY2023Q3",Spectrum!$R:$R,0)),0),""))</f>
        <v/>
      </c>
      <c r="AJ379" s="42">
        <f>IF(LEFT($B379,4)="_Mil","",_xlfn.IFNA(ROUND(INDEX(Spectrum!$N:$N,MATCH(RIGHT($B379,13)&amp;"|"&amp;$C379&amp;"|"&amp;$D379&amp;"|"&amp;AI$14&amp;"|"&amp;"CY2023Q3",Spectrum!$R:$R,0)),0),SUM($U379)+SUM($AI379)))</f>
        <v>0</v>
      </c>
      <c r="AK379" s="14" t="str">
        <f>IF(LEFT($B379,4)="_Mil","",_xlfn.IFNA(ROUND(INDEX(Spectrum!$N:$N,MATCH(RIGHT($B379,13)&amp;"|"&amp;$C379&amp;"|"&amp;$D379&amp;"|"&amp;AK$14&amp;"|"&amp;"CY2023Q3",Spectrum!$R:$R,0)),0),""))</f>
        <v/>
      </c>
      <c r="AL379" s="90" t="str">
        <f t="shared" si="133"/>
        <v/>
      </c>
      <c r="AM379" s="14" t="str">
        <f t="shared" si="134"/>
        <v/>
      </c>
      <c r="AN379" s="14">
        <f>IF($C379="&lt;01",ROUND(INDEX(EID!$P:$P,MATCH($B379,EID!$B:$B,0))/2,0),"")</f>
        <v>1</v>
      </c>
      <c r="AO379" s="14">
        <f t="shared" si="135"/>
        <v>1</v>
      </c>
      <c r="AP379" s="42">
        <f t="shared" si="136"/>
        <v>1</v>
      </c>
      <c r="AQ379" s="42">
        <f t="shared" si="137"/>
        <v>1468</v>
      </c>
      <c r="AR379" s="90" t="str">
        <f t="shared" si="138"/>
        <v/>
      </c>
      <c r="AS379" s="90" t="str">
        <f t="shared" si="150"/>
        <v/>
      </c>
      <c r="AT379" s="90" t="str">
        <f t="shared" si="150"/>
        <v/>
      </c>
      <c r="AU379" s="14" t="str">
        <f t="shared" si="140"/>
        <v/>
      </c>
      <c r="AV379" s="14">
        <f>IF($C379="&lt;01",ROUND(INDEX(EID!$N:$N,MATCH($B379,EID!$B:$B,0))/2,0),IF(SUM($AT379)=0,"",ROUND((SUM($AP379)-(SUM($O379)*SUM($AS379)))/$AT379,0)))</f>
        <v>1</v>
      </c>
      <c r="AW379" s="90" t="str">
        <f t="shared" si="141"/>
        <v/>
      </c>
      <c r="AX379" s="42">
        <f t="shared" si="142"/>
        <v>1</v>
      </c>
      <c r="AY379" s="116" t="str">
        <f t="shared" si="143"/>
        <v/>
      </c>
      <c r="AZ379" s="93">
        <f>IF($C379="&lt;01",ROUND(INDEX(EID!$R:$R,MATCH($B379,EID!$B:$B,0))/2,0),ROUND(SUM($O379)+(SUM($AV379)*$AY379),0))</f>
        <v>1</v>
      </c>
      <c r="BA379" s="89" t="str">
        <f t="shared" si="144"/>
        <v/>
      </c>
      <c r="BB379" s="9">
        <f>IF($C379="&lt;01",ROUND(INDEX(EID!$T:$T,MATCH($B379,EID!$B:$B,0))/2,0),ROUND($AZ379*$BA379,0))</f>
        <v>1</v>
      </c>
      <c r="BC379" s="93">
        <f t="shared" si="145"/>
        <v>1468</v>
      </c>
      <c r="BD379" s="90" t="str">
        <f t="shared" si="146"/>
        <v/>
      </c>
      <c r="BE379" s="42">
        <f>IF($C379="&lt;01",ROUND(INDEX(EID!$V:$V,MATCH($B379,EID!$B:$B,0))/2,0),ROUND($BD379*$BB379,0))</f>
        <v>1</v>
      </c>
      <c r="BF379" s="42">
        <f t="shared" si="147"/>
        <v>1468</v>
      </c>
      <c r="BG379" s="116" t="str">
        <f t="shared" si="148"/>
        <v/>
      </c>
      <c r="BH379" s="9">
        <f>IF($C379="&lt;01",ROUND(INDEX(EID!$L:$L,MATCH($B379,EID!$B:$B,0)),0)/2,IF(SUM($BG379)=0,"",ROUND($AX379/$BG379,0)))</f>
        <v>1</v>
      </c>
    </row>
    <row r="380" spans="1:60" x14ac:dyDescent="0.2">
      <c r="A380" t="str">
        <f>INDEX(Prioritization!$D:$D,MATCH($B380,Prioritization!$A:$A,0))</f>
        <v>INVALID</v>
      </c>
      <c r="B380" t="s">
        <v>219</v>
      </c>
      <c r="C380" t="s">
        <v>315</v>
      </c>
      <c r="D380" t="s">
        <v>47</v>
      </c>
      <c r="E380" t="str">
        <f t="shared" si="126"/>
        <v>Phalombe District [AZyWpGzhcaA]|&lt;01|Male</v>
      </c>
      <c r="F380" s="14"/>
      <c r="G380" s="14">
        <v>6</v>
      </c>
      <c r="H380" s="14">
        <v>9</v>
      </c>
      <c r="I380" s="14">
        <v>1</v>
      </c>
      <c r="J380" s="14">
        <v>1</v>
      </c>
      <c r="K380" s="14">
        <v>1</v>
      </c>
      <c r="L380" s="14"/>
      <c r="M380" s="14">
        <v>0</v>
      </c>
      <c r="N380" s="14">
        <v>1</v>
      </c>
      <c r="O380" s="14">
        <f t="shared" si="127"/>
        <v>1</v>
      </c>
      <c r="P380" s="14">
        <v>0</v>
      </c>
      <c r="Q380" s="14">
        <v>1</v>
      </c>
      <c r="R380" s="14">
        <f t="shared" si="128"/>
        <v>0</v>
      </c>
      <c r="S380" s="14">
        <f>IF(LEFT($B380,4)="_Mil","",_xlfn.IFNA(ROUND(INDEX(Spectrum!$N:$N,MATCH(RIGHT($B380,13)&amp;"|"&amp;$C380&amp;"|"&amp;$D380&amp;"|"&amp;S$14&amp;"|"&amp;"CY2022Q4",Spectrum!$R:$R,0)),0),""))</f>
        <v>1106</v>
      </c>
      <c r="T380" s="42">
        <f>IF(LEFT($B380,4)="_Mil","",_xlfn.IFNA(ROUND(INDEX(Spectrum!$N:$N,MATCH(RIGHT($B380,13)&amp;"|"&amp;$C380&amp;"|"&amp;$D380&amp;"|"&amp;T$14&amp;"|"&amp;"CY2023Q3",Spectrum!$R:$R,0)),0),""))</f>
        <v>641</v>
      </c>
      <c r="U380" s="42" t="str">
        <f>IF(LEFT($B380,4)="_Mil","",_xlfn.IFNA(ROUND(INDEX(Spectrum!$N:$N,MATCH(RIGHT($B380,13)&amp;"|"&amp;$C380&amp;"|"&amp;$D380&amp;"|"&amp;U$14&amp;"|"&amp;"CY2023Q3",Spectrum!$R:$R,0)),0),""))</f>
        <v/>
      </c>
      <c r="V380" s="14">
        <f>IF(LEFT($B380,4)="_Mil","",_xlfn.IFNA(ROUND(INDEX(Spectrum!$N:$N,MATCH(RIGHT($B380,13)&amp;"|"&amp;$C380&amp;"|"&amp;$D380&amp;"|"&amp;V$14&amp;"|"&amp;"CY2023Q3",Spectrum!$R:$R,0)),0),""))</f>
        <v>783</v>
      </c>
      <c r="W380" s="115">
        <f>IF(LEFT($B380,4)="_Mil","",_xlfn.IFNA(INDEX(Spectrum!$N:$N,MATCH(RIGHT($B380,13)&amp;"|"&amp;$C380&amp;"|"&amp;$D380&amp;"|"&amp;W$14&amp;"|"&amp;"CY2023Q3",Spectrum!$R:$R,0)),""))</f>
        <v>640</v>
      </c>
      <c r="X380" s="42">
        <f>IF(LEFT($B380,4)="_Mil","",_xlfn.IFNA(ROUND(INDEX(Spectrum!$N:$N,MATCH(RIGHT($B380,13)&amp;"|"&amp;$C380&amp;"|"&amp;$D380&amp;"|"&amp;X$14&amp;"|"&amp;"CY2023Q3",Spectrum!$R:$R,0)),0),""))</f>
        <v>1810</v>
      </c>
      <c r="Y380" s="90" t="str">
        <f t="shared" si="129"/>
        <v/>
      </c>
      <c r="Z380" s="42">
        <f>IF(LEFT($B380,4)="_Mil","",_xlfn.IFNA(ROUND(INDEX(Spectrum!$N:$N,MATCH(RIGHT($B380,13)&amp;"|"&amp;$C380&amp;"|"&amp;$D380&amp;"|"&amp;Z$14&amp;"|"&amp;"CY2023Q3",Spectrum!$R:$R,0)),0),""))</f>
        <v>1352</v>
      </c>
      <c r="AA380" s="90">
        <f>IF(LEFT($B380,4)="_Mil","",IFERROR(1/(1/INDEX(Spectrum!$N:$N,MATCH(RIGHT($B380,13)&amp;"|"&amp;$C380&amp;"|"&amp;$D380&amp;"|"&amp;AA$14&amp;"|"&amp;"CY2023Q3",Spectrum!$R:$R,0))),IF(SUM($U380)=0,"",SUM($Z380)/$U380)))</f>
        <v>1982</v>
      </c>
      <c r="AB380" s="90">
        <f t="shared" si="130"/>
        <v>0.74696132596685083</v>
      </c>
      <c r="AC380" s="14">
        <f>IF(LEFT($B380,4)="_Mil","",_xlfn.IFNA(ROUND(INDEX(Spectrum!$N:$N,MATCH(RIGHT($B380,13)&amp;"|"&amp;$C380&amp;"|"&amp;$D380&amp;"|"&amp;AC$14&amp;"|"&amp;"CY2023Q3",Spectrum!$R:$R,0)),0),""))</f>
        <v>1472</v>
      </c>
      <c r="AD380" s="14" t="str">
        <f>IF(LEFT($B380,4)="_Mil","",_xlfn.IFNA(ROUND(INDEX(Spectrum!$N:$N,MATCH(RIGHT($B380,13)&amp;"|"&amp;$C380&amp;"|"&amp;$D380&amp;"|"&amp;AD$14&amp;"|"&amp;"CY2023Q3",Spectrum!$R:$R,0)),0),""))</f>
        <v/>
      </c>
      <c r="AE380" s="90">
        <f t="shared" si="131"/>
        <v>0</v>
      </c>
      <c r="AF380" s="42" t="str">
        <f>IF(LEFT($B380,4)="_Mil","",_xlfn.IFNA(ROUND(INDEX(Spectrum!$N:$N,MATCH(RIGHT($B380,13)&amp;"|"&amp;$C380&amp;"|"&amp;$D380&amp;"|"&amp;AF$14&amp;"|"&amp;"CY2023Q3",Spectrum!$R:$R,0)),0),""))</f>
        <v/>
      </c>
      <c r="AG380" s="90" t="str">
        <f t="shared" si="132"/>
        <v/>
      </c>
      <c r="AH380" s="88" t="str">
        <f>IF(LEFT($B380,4)="_Mil","",_xlfn.IFNA(INDEX(Spectrum!$N:$N,MATCH(RIGHT($B380,13)&amp;"|"&amp;$C380&amp;"|"&amp;$D380&amp;"|"&amp;AH$14&amp;"|"&amp;"CY2023Q3",Spectrum!$R:$R,0)),""))</f>
        <v/>
      </c>
      <c r="AI380" s="14" t="str">
        <f>IF(LEFT($B380,4)="_Mil","",_xlfn.IFNA(ROUND(INDEX(Spectrum!$N:$N,MATCH(RIGHT($B380,13)&amp;"|"&amp;$C380&amp;"|"&amp;$D380&amp;"|"&amp;AI$14&amp;"|"&amp;"CY2023Q3",Spectrum!$R:$R,0)),0),""))</f>
        <v/>
      </c>
      <c r="AJ380" s="42">
        <f>IF(LEFT($B380,4)="_Mil","",_xlfn.IFNA(ROUND(INDEX(Spectrum!$N:$N,MATCH(RIGHT($B380,13)&amp;"|"&amp;$C380&amp;"|"&amp;$D380&amp;"|"&amp;AI$14&amp;"|"&amp;"CY2023Q3",Spectrum!$R:$R,0)),0),SUM($U380)+SUM($AI380)))</f>
        <v>0</v>
      </c>
      <c r="AK380" s="14" t="str">
        <f>IF(LEFT($B380,4)="_Mil","",_xlfn.IFNA(ROUND(INDEX(Spectrum!$N:$N,MATCH(RIGHT($B380,13)&amp;"|"&amp;$C380&amp;"|"&amp;$D380&amp;"|"&amp;AK$14&amp;"|"&amp;"CY2023Q3",Spectrum!$R:$R,0)),0),""))</f>
        <v/>
      </c>
      <c r="AL380" s="90" t="str">
        <f t="shared" si="133"/>
        <v/>
      </c>
      <c r="AM380" s="14" t="str">
        <f t="shared" si="134"/>
        <v/>
      </c>
      <c r="AN380" s="14">
        <f>IF($C380="&lt;01",ROUND(INDEX(EID!$P:$P,MATCH($B380,EID!$B:$B,0))/2,0),"")</f>
        <v>1</v>
      </c>
      <c r="AO380" s="14">
        <f t="shared" si="135"/>
        <v>1</v>
      </c>
      <c r="AP380" s="42">
        <f t="shared" si="136"/>
        <v>1</v>
      </c>
      <c r="AQ380" s="42">
        <f t="shared" si="137"/>
        <v>1352</v>
      </c>
      <c r="AR380" s="90" t="str">
        <f t="shared" si="138"/>
        <v/>
      </c>
      <c r="AS380" s="90" t="str">
        <f t="shared" si="150"/>
        <v/>
      </c>
      <c r="AT380" s="90" t="str">
        <f t="shared" si="150"/>
        <v/>
      </c>
      <c r="AU380" s="14" t="str">
        <f t="shared" si="140"/>
        <v/>
      </c>
      <c r="AV380" s="14">
        <f>IF($C380="&lt;01",ROUND(INDEX(EID!$N:$N,MATCH($B380,EID!$B:$B,0))/2,0),IF(SUM($AT380)=0,"",ROUND((SUM($AP380)-(SUM($O380)*SUM($AS380)))/$AT380,0)))</f>
        <v>1</v>
      </c>
      <c r="AW380" s="90" t="str">
        <f t="shared" si="141"/>
        <v/>
      </c>
      <c r="AX380" s="42">
        <f t="shared" si="142"/>
        <v>1</v>
      </c>
      <c r="AY380" s="116" t="str">
        <f t="shared" si="143"/>
        <v/>
      </c>
      <c r="AZ380" s="93">
        <f>IF($C380="&lt;01",ROUND(INDEX(EID!$R:$R,MATCH($B380,EID!$B:$B,0))/2,0),ROUND(SUM($O380)+(SUM($AV380)*$AY380),0))</f>
        <v>1</v>
      </c>
      <c r="BA380" s="89" t="str">
        <f t="shared" si="144"/>
        <v/>
      </c>
      <c r="BB380" s="9">
        <f>IF($C380="&lt;01",ROUND(INDEX(EID!$T:$T,MATCH($B380,EID!$B:$B,0))/2,0),ROUND($AZ380*$BA380,0))</f>
        <v>1</v>
      </c>
      <c r="BC380" s="93">
        <f t="shared" si="145"/>
        <v>1352</v>
      </c>
      <c r="BD380" s="90" t="str">
        <f t="shared" si="146"/>
        <v/>
      </c>
      <c r="BE380" s="42">
        <f>IF($C380="&lt;01",ROUND(INDEX(EID!$V:$V,MATCH($B380,EID!$B:$B,0))/2,0),ROUND($BD380*$BB380,0))</f>
        <v>1</v>
      </c>
      <c r="BF380" s="42">
        <f t="shared" si="147"/>
        <v>1352</v>
      </c>
      <c r="BG380" s="116" t="str">
        <f t="shared" si="148"/>
        <v/>
      </c>
      <c r="BH380" s="9">
        <f>IF($C380="&lt;01",ROUND(INDEX(EID!$L:$L,MATCH($B380,EID!$B:$B,0)),0)/2,IF(SUM($BG380)=0,"",ROUND($AX380/$BG380,0)))</f>
        <v>1</v>
      </c>
    </row>
    <row r="381" spans="1:60" x14ac:dyDescent="0.2">
      <c r="A381" t="str">
        <f>INDEX(Prioritization!$D:$D,MATCH($B381,Prioritization!$A:$A,0))</f>
        <v>INVALID</v>
      </c>
      <c r="B381" t="s">
        <v>219</v>
      </c>
      <c r="C381" t="s">
        <v>362</v>
      </c>
      <c r="D381" t="s">
        <v>29</v>
      </c>
      <c r="E381" t="str">
        <f t="shared" si="126"/>
        <v>Phalombe District [AZyWpGzhcaA]|01-09|Female</v>
      </c>
      <c r="F381" s="14"/>
      <c r="G381" s="14"/>
      <c r="H381" s="14"/>
      <c r="I381" s="14"/>
      <c r="J381" s="14"/>
      <c r="K381" s="14"/>
      <c r="L381" s="14"/>
      <c r="M381" s="14"/>
      <c r="N381" s="14"/>
      <c r="O381" s="14" t="str">
        <f t="shared" si="127"/>
        <v/>
      </c>
      <c r="P381" s="14"/>
      <c r="Q381" s="14"/>
      <c r="R381" s="14" t="str">
        <f t="shared" si="128"/>
        <v/>
      </c>
      <c r="S381" s="14">
        <f>IF(LEFT($B381,4)="_Mil","",_xlfn.IFNA(ROUND(INDEX(Spectrum!$N:$N,MATCH(RIGHT($B381,13)&amp;"|"&amp;$C381&amp;"|"&amp;$D381&amp;"|"&amp;S$14&amp;"|"&amp;"CY2022Q4",Spectrum!$R:$R,0)),0),""))</f>
        <v>787</v>
      </c>
      <c r="T381" s="42">
        <f>IF(LEFT($B381,4)="_Mil","",_xlfn.IFNA(ROUND(INDEX(Spectrum!$N:$N,MATCH(RIGHT($B381,13)&amp;"|"&amp;$C381&amp;"|"&amp;$D381&amp;"|"&amp;T$14&amp;"|"&amp;"CY2023Q3",Spectrum!$R:$R,0)),0),""))</f>
        <v>1929</v>
      </c>
      <c r="U381" s="42" t="str">
        <f>IF(LEFT($B381,4)="_Mil","",_xlfn.IFNA(ROUND(INDEX(Spectrum!$N:$N,MATCH(RIGHT($B381,13)&amp;"|"&amp;$C381&amp;"|"&amp;$D381&amp;"|"&amp;U$14&amp;"|"&amp;"CY2023Q3",Spectrum!$R:$R,0)),0),""))</f>
        <v/>
      </c>
      <c r="V381" s="14">
        <f>IF(LEFT($B381,4)="_Mil","",_xlfn.IFNA(ROUND(INDEX(Spectrum!$N:$N,MATCH(RIGHT($B381,13)&amp;"|"&amp;$C381&amp;"|"&amp;$D381&amp;"|"&amp;V$14&amp;"|"&amp;"CY2023Q3",Spectrum!$R:$R,0)),0),""))</f>
        <v>952</v>
      </c>
      <c r="W381" s="115">
        <f>IF(LEFT($B381,4)="_Mil","",_xlfn.IFNA(INDEX(Spectrum!$N:$N,MATCH(RIGHT($B381,13)&amp;"|"&amp;$C381&amp;"|"&amp;$D381&amp;"|"&amp;W$14&amp;"|"&amp;"CY2023Q3",Spectrum!$R:$R,0)),""))</f>
        <v>691</v>
      </c>
      <c r="X381" s="42">
        <f>IF(LEFT($B381,4)="_Mil","",_xlfn.IFNA(ROUND(INDEX(Spectrum!$N:$N,MATCH(RIGHT($B381,13)&amp;"|"&amp;$C381&amp;"|"&amp;$D381&amp;"|"&amp;X$14&amp;"|"&amp;"CY2023Q3",Spectrum!$R:$R,0)),0),""))</f>
        <v>912</v>
      </c>
      <c r="Y381" s="90" t="str">
        <f t="shared" si="129"/>
        <v/>
      </c>
      <c r="Z381" s="42">
        <f>IF(LEFT($B381,4)="_Mil","",_xlfn.IFNA(ROUND(INDEX(Spectrum!$N:$N,MATCH(RIGHT($B381,13)&amp;"|"&amp;$C381&amp;"|"&amp;$D381&amp;"|"&amp;Z$14&amp;"|"&amp;"CY2023Q3",Spectrum!$R:$R,0)),0),""))</f>
        <v>1505</v>
      </c>
      <c r="AA381" s="90">
        <f>IF(LEFT($B381,4)="_Mil","",IFERROR(1/(1/INDEX(Spectrum!$N:$N,MATCH(RIGHT($B381,13)&amp;"|"&amp;$C381&amp;"|"&amp;$D381&amp;"|"&amp;AA$14&amp;"|"&amp;"CY2023Q3",Spectrum!$R:$R,0))),IF(SUM($U381)=0,"",SUM($Z381)/$U381)))</f>
        <v>1930</v>
      </c>
      <c r="AB381" s="90">
        <f t="shared" si="130"/>
        <v>1.6502192982456141</v>
      </c>
      <c r="AC381" s="14">
        <f>IF(LEFT($B381,4)="_Mil","",_xlfn.IFNA(ROUND(INDEX(Spectrum!$N:$N,MATCH(RIGHT($B381,13)&amp;"|"&amp;$C381&amp;"|"&amp;$D381&amp;"|"&amp;AC$14&amp;"|"&amp;"CY2023Q3",Spectrum!$R:$R,0)),0),""))</f>
        <v>698</v>
      </c>
      <c r="AD381" s="14" t="str">
        <f>IF(LEFT($B381,4)="_Mil","",_xlfn.IFNA(ROUND(INDEX(Spectrum!$N:$N,MATCH(RIGHT($B381,13)&amp;"|"&amp;$C381&amp;"|"&amp;$D381&amp;"|"&amp;AD$14&amp;"|"&amp;"CY2023Q3",Spectrum!$R:$R,0)),0),""))</f>
        <v/>
      </c>
      <c r="AE381" s="90">
        <f t="shared" si="131"/>
        <v>0</v>
      </c>
      <c r="AF381" s="42" t="str">
        <f>IF(LEFT($B381,4)="_Mil","",_xlfn.IFNA(ROUND(INDEX(Spectrum!$N:$N,MATCH(RIGHT($B381,13)&amp;"|"&amp;$C381&amp;"|"&amp;$D381&amp;"|"&amp;AF$14&amp;"|"&amp;"CY2023Q3",Spectrum!$R:$R,0)),0),""))</f>
        <v/>
      </c>
      <c r="AG381" s="90" t="str">
        <f t="shared" si="132"/>
        <v/>
      </c>
      <c r="AH381" s="88" t="str">
        <f>IF(LEFT($B381,4)="_Mil","",_xlfn.IFNA(INDEX(Spectrum!$N:$N,MATCH(RIGHT($B381,13)&amp;"|"&amp;$C381&amp;"|"&amp;$D381&amp;"|"&amp;AH$14&amp;"|"&amp;"CY2023Q3",Spectrum!$R:$R,0)),""))</f>
        <v/>
      </c>
      <c r="AI381" s="14" t="str">
        <f>IF(LEFT($B381,4)="_Mil","",_xlfn.IFNA(ROUND(INDEX(Spectrum!$N:$N,MATCH(RIGHT($B381,13)&amp;"|"&amp;$C381&amp;"|"&amp;$D381&amp;"|"&amp;AI$14&amp;"|"&amp;"CY2023Q3",Spectrum!$R:$R,0)),0),""))</f>
        <v/>
      </c>
      <c r="AJ381" s="42">
        <f>IF(LEFT($B381,4)="_Mil","",_xlfn.IFNA(ROUND(INDEX(Spectrum!$N:$N,MATCH(RIGHT($B381,13)&amp;"|"&amp;$C381&amp;"|"&amp;$D381&amp;"|"&amp;AI$14&amp;"|"&amp;"CY2023Q3",Spectrum!$R:$R,0)),0),SUM($U381)+SUM($AI381)))</f>
        <v>0</v>
      </c>
      <c r="AK381" s="14" t="str">
        <f>IF(LEFT($B381,4)="_Mil","",_xlfn.IFNA(ROUND(INDEX(Spectrum!$N:$N,MATCH(RIGHT($B381,13)&amp;"|"&amp;$C381&amp;"|"&amp;$D381&amp;"|"&amp;AK$14&amp;"|"&amp;"CY2023Q3",Spectrum!$R:$R,0)),0),""))</f>
        <v/>
      </c>
      <c r="AL381" s="90">
        <f t="shared" si="133"/>
        <v>1930</v>
      </c>
      <c r="AM381" s="14">
        <f t="shared" si="134"/>
        <v>0</v>
      </c>
      <c r="AN381" s="14" t="str">
        <f>IF($C381="&lt;01",ROUND(INDEX(EID!$P:$P,MATCH($B381,EID!$B:$B,0))/2,0),"")</f>
        <v/>
      </c>
      <c r="AO381" s="14">
        <f t="shared" si="135"/>
        <v>0</v>
      </c>
      <c r="AP381" s="42">
        <f t="shared" si="136"/>
        <v>0</v>
      </c>
      <c r="AQ381" s="42">
        <f t="shared" si="137"/>
        <v>1505</v>
      </c>
      <c r="AR381" s="90" t="str">
        <f t="shared" si="138"/>
        <v/>
      </c>
      <c r="AS381" s="90">
        <f t="shared" si="150"/>
        <v>0.98</v>
      </c>
      <c r="AT381" s="90">
        <f t="shared" si="150"/>
        <v>0.98</v>
      </c>
      <c r="AU381" s="14">
        <f t="shared" si="140"/>
        <v>0</v>
      </c>
      <c r="AV381" s="14">
        <f>IF($C381="&lt;01",ROUND(INDEX(EID!$N:$N,MATCH($B381,EID!$B:$B,0))/2,0),IF(SUM($AT381)=0,"",ROUND((SUM($AP381)-(SUM($O381)*SUM($AS381)))/$AT381,0)))</f>
        <v>0</v>
      </c>
      <c r="AW381" s="90">
        <f t="shared" si="141"/>
        <v>1</v>
      </c>
      <c r="AX381" s="42">
        <f t="shared" si="142"/>
        <v>0</v>
      </c>
      <c r="AY381" s="116">
        <f t="shared" si="143"/>
        <v>0.7</v>
      </c>
      <c r="AZ381" s="93">
        <f>IF($C381="&lt;01",ROUND(INDEX(EID!$R:$R,MATCH($B381,EID!$B:$B,0))/2,0),ROUND(SUM($O381)+(SUM($AV381)*$AY381),0))</f>
        <v>0</v>
      </c>
      <c r="BA381" s="89">
        <f t="shared" si="144"/>
        <v>0.95</v>
      </c>
      <c r="BB381" s="9">
        <f>IF($C381="&lt;01",ROUND(INDEX(EID!$T:$T,MATCH($B381,EID!$B:$B,0))/2,0),ROUND($AZ381*$BA381,0))</f>
        <v>0</v>
      </c>
      <c r="BC381" s="93">
        <f t="shared" si="145"/>
        <v>0</v>
      </c>
      <c r="BD381" s="90">
        <f t="shared" si="146"/>
        <v>0.95</v>
      </c>
      <c r="BE381" s="42">
        <f>IF($C381="&lt;01",ROUND(INDEX(EID!$V:$V,MATCH($B381,EID!$B:$B,0))/2,0),ROUND($BD381*$BB381,0))</f>
        <v>0</v>
      </c>
      <c r="BF381" s="42">
        <f t="shared" si="147"/>
        <v>0</v>
      </c>
      <c r="BG381" s="116">
        <f t="shared" si="148"/>
        <v>0.95</v>
      </c>
      <c r="BH381" s="9">
        <f>IF($C381="&lt;01",ROUND(INDEX(EID!$L:$L,MATCH($B381,EID!$B:$B,0)),0)/2,IF(SUM($BG381)=0,"",ROUND($AX381/$BG381,0)))</f>
        <v>0</v>
      </c>
    </row>
    <row r="382" spans="1:60" x14ac:dyDescent="0.2">
      <c r="A382" t="str">
        <f>INDEX(Prioritization!$D:$D,MATCH($B382,Prioritization!$A:$A,0))</f>
        <v>INVALID</v>
      </c>
      <c r="B382" t="s">
        <v>219</v>
      </c>
      <c r="C382" t="s">
        <v>362</v>
      </c>
      <c r="D382" t="s">
        <v>47</v>
      </c>
      <c r="E382" t="str">
        <f t="shared" si="126"/>
        <v>Phalombe District [AZyWpGzhcaA]|01-09|Male</v>
      </c>
      <c r="F382" s="14"/>
      <c r="G382" s="14"/>
      <c r="H382" s="14"/>
      <c r="I382" s="14"/>
      <c r="J382" s="14"/>
      <c r="K382" s="14"/>
      <c r="L382" s="14"/>
      <c r="M382" s="14"/>
      <c r="N382" s="14"/>
      <c r="O382" s="14" t="str">
        <f t="shared" si="127"/>
        <v/>
      </c>
      <c r="P382" s="14"/>
      <c r="Q382" s="14"/>
      <c r="R382" s="14" t="str">
        <f t="shared" si="128"/>
        <v/>
      </c>
      <c r="S382" s="14">
        <f>IF(LEFT($B382,4)="_Mil","",_xlfn.IFNA(ROUND(INDEX(Spectrum!$N:$N,MATCH(RIGHT($B382,13)&amp;"|"&amp;$C382&amp;"|"&amp;$D382&amp;"|"&amp;S$14&amp;"|"&amp;"CY2022Q4",Spectrum!$R:$R,0)),0),""))</f>
        <v>884</v>
      </c>
      <c r="T382" s="42">
        <f>IF(LEFT($B382,4)="_Mil","",_xlfn.IFNA(ROUND(INDEX(Spectrum!$N:$N,MATCH(RIGHT($B382,13)&amp;"|"&amp;$C382&amp;"|"&amp;$D382&amp;"|"&amp;T$14&amp;"|"&amp;"CY2023Q3",Spectrum!$R:$R,0)),0),""))</f>
        <v>1888</v>
      </c>
      <c r="U382" s="42" t="str">
        <f>IF(LEFT($B382,4)="_Mil","",_xlfn.IFNA(ROUND(INDEX(Spectrum!$N:$N,MATCH(RIGHT($B382,13)&amp;"|"&amp;$C382&amp;"|"&amp;$D382&amp;"|"&amp;U$14&amp;"|"&amp;"CY2023Q3",Spectrum!$R:$R,0)),0),""))</f>
        <v/>
      </c>
      <c r="V382" s="14">
        <f>IF(LEFT($B382,4)="_Mil","",_xlfn.IFNA(ROUND(INDEX(Spectrum!$N:$N,MATCH(RIGHT($B382,13)&amp;"|"&amp;$C382&amp;"|"&amp;$D382&amp;"|"&amp;V$14&amp;"|"&amp;"CY2023Q3",Spectrum!$R:$R,0)),0),""))</f>
        <v>1375</v>
      </c>
      <c r="W382" s="115">
        <f>IF(LEFT($B382,4)="_Mil","",_xlfn.IFNA(INDEX(Spectrum!$N:$N,MATCH(RIGHT($B382,13)&amp;"|"&amp;$C382&amp;"|"&amp;$D382&amp;"|"&amp;W$14&amp;"|"&amp;"CY2023Q3",Spectrum!$R:$R,0)),""))</f>
        <v>1725</v>
      </c>
      <c r="X382" s="42">
        <f>IF(LEFT($B382,4)="_Mil","",_xlfn.IFNA(ROUND(INDEX(Spectrum!$N:$N,MATCH(RIGHT($B382,13)&amp;"|"&amp;$C382&amp;"|"&amp;$D382&amp;"|"&amp;X$14&amp;"|"&amp;"CY2023Q3",Spectrum!$R:$R,0)),0),""))</f>
        <v>1191</v>
      </c>
      <c r="Y382" s="90" t="str">
        <f t="shared" si="129"/>
        <v/>
      </c>
      <c r="Z382" s="42">
        <f>IF(LEFT($B382,4)="_Mil","",_xlfn.IFNA(ROUND(INDEX(Spectrum!$N:$N,MATCH(RIGHT($B382,13)&amp;"|"&amp;$C382&amp;"|"&amp;$D382&amp;"|"&amp;Z$14&amp;"|"&amp;"CY2023Q3",Spectrum!$R:$R,0)),0),""))</f>
        <v>1713</v>
      </c>
      <c r="AA382" s="90">
        <f>IF(LEFT($B382,4)="_Mil","",IFERROR(1/(1/INDEX(Spectrum!$N:$N,MATCH(RIGHT($B382,13)&amp;"|"&amp;$C382&amp;"|"&amp;$D382&amp;"|"&amp;AA$14&amp;"|"&amp;"CY2023Q3",Spectrum!$R:$R,0))),IF(SUM($U382)=0,"",SUM($Z382)/$U382)))</f>
        <v>517</v>
      </c>
      <c r="AB382" s="90">
        <f t="shared" si="130"/>
        <v>1.4382871536523929</v>
      </c>
      <c r="AC382" s="14">
        <f>IF(LEFT($B382,4)="_Mil","",_xlfn.IFNA(ROUND(INDEX(Spectrum!$N:$N,MATCH(RIGHT($B382,13)&amp;"|"&amp;$C382&amp;"|"&amp;$D382&amp;"|"&amp;AC$14&amp;"|"&amp;"CY2023Q3",Spectrum!$R:$R,0)),0),""))</f>
        <v>1017</v>
      </c>
      <c r="AD382" s="14" t="str">
        <f>IF(LEFT($B382,4)="_Mil","",_xlfn.IFNA(ROUND(INDEX(Spectrum!$N:$N,MATCH(RIGHT($B382,13)&amp;"|"&amp;$C382&amp;"|"&amp;$D382&amp;"|"&amp;AD$14&amp;"|"&amp;"CY2023Q3",Spectrum!$R:$R,0)),0),""))</f>
        <v/>
      </c>
      <c r="AE382" s="90">
        <f t="shared" si="131"/>
        <v>0</v>
      </c>
      <c r="AF382" s="42" t="str">
        <f>IF(LEFT($B382,4)="_Mil","",_xlfn.IFNA(ROUND(INDEX(Spectrum!$N:$N,MATCH(RIGHT($B382,13)&amp;"|"&amp;$C382&amp;"|"&amp;$D382&amp;"|"&amp;AF$14&amp;"|"&amp;"CY2023Q3",Spectrum!$R:$R,0)),0),""))</f>
        <v/>
      </c>
      <c r="AG382" s="90" t="str">
        <f t="shared" si="132"/>
        <v/>
      </c>
      <c r="AH382" s="88" t="str">
        <f>IF(LEFT($B382,4)="_Mil","",_xlfn.IFNA(INDEX(Spectrum!$N:$N,MATCH(RIGHT($B382,13)&amp;"|"&amp;$C382&amp;"|"&amp;$D382&amp;"|"&amp;AH$14&amp;"|"&amp;"CY2023Q3",Spectrum!$R:$R,0)),""))</f>
        <v/>
      </c>
      <c r="AI382" s="14" t="str">
        <f>IF(LEFT($B382,4)="_Mil","",_xlfn.IFNA(ROUND(INDEX(Spectrum!$N:$N,MATCH(RIGHT($B382,13)&amp;"|"&amp;$C382&amp;"|"&amp;$D382&amp;"|"&amp;AI$14&amp;"|"&amp;"CY2023Q3",Spectrum!$R:$R,0)),0),""))</f>
        <v/>
      </c>
      <c r="AJ382" s="42">
        <f>IF(LEFT($B382,4)="_Mil","",_xlfn.IFNA(ROUND(INDEX(Spectrum!$N:$N,MATCH(RIGHT($B382,13)&amp;"|"&amp;$C382&amp;"|"&amp;$D382&amp;"|"&amp;AI$14&amp;"|"&amp;"CY2023Q3",Spectrum!$R:$R,0)),0),SUM($U382)+SUM($AI382)))</f>
        <v>0</v>
      </c>
      <c r="AK382" s="14" t="str">
        <f>IF(LEFT($B382,4)="_Mil","",_xlfn.IFNA(ROUND(INDEX(Spectrum!$N:$N,MATCH(RIGHT($B382,13)&amp;"|"&amp;$C382&amp;"|"&amp;$D382&amp;"|"&amp;AK$14&amp;"|"&amp;"CY2023Q3",Spectrum!$R:$R,0)),0),""))</f>
        <v/>
      </c>
      <c r="AL382" s="90">
        <f t="shared" si="133"/>
        <v>517</v>
      </c>
      <c r="AM382" s="14">
        <f t="shared" si="134"/>
        <v>0</v>
      </c>
      <c r="AN382" s="14" t="str">
        <f>IF($C382="&lt;01",ROUND(INDEX(EID!$P:$P,MATCH($B382,EID!$B:$B,0))/2,0),"")</f>
        <v/>
      </c>
      <c r="AO382" s="14">
        <f t="shared" si="135"/>
        <v>0</v>
      </c>
      <c r="AP382" s="42">
        <f t="shared" si="136"/>
        <v>0</v>
      </c>
      <c r="AQ382" s="42">
        <f t="shared" si="137"/>
        <v>1713</v>
      </c>
      <c r="AR382" s="90" t="str">
        <f t="shared" si="138"/>
        <v/>
      </c>
      <c r="AS382" s="90">
        <f t="shared" si="150"/>
        <v>0.98</v>
      </c>
      <c r="AT382" s="90">
        <f t="shared" si="150"/>
        <v>0.98</v>
      </c>
      <c r="AU382" s="14">
        <f t="shared" si="140"/>
        <v>0</v>
      </c>
      <c r="AV382" s="14">
        <f>IF($C382="&lt;01",ROUND(INDEX(EID!$N:$N,MATCH($B382,EID!$B:$B,0))/2,0),IF(SUM($AT382)=0,"",ROUND((SUM($AP382)-(SUM($O382)*SUM($AS382)))/$AT382,0)))</f>
        <v>0</v>
      </c>
      <c r="AW382" s="90">
        <f t="shared" si="141"/>
        <v>1</v>
      </c>
      <c r="AX382" s="42">
        <f t="shared" si="142"/>
        <v>0</v>
      </c>
      <c r="AY382" s="116">
        <f t="shared" si="143"/>
        <v>0.7</v>
      </c>
      <c r="AZ382" s="93">
        <f>IF($C382="&lt;01",ROUND(INDEX(EID!$R:$R,MATCH($B382,EID!$B:$B,0))/2,0),ROUND(SUM($O382)+(SUM($AV382)*$AY382),0))</f>
        <v>0</v>
      </c>
      <c r="BA382" s="89">
        <f t="shared" si="144"/>
        <v>0.95</v>
      </c>
      <c r="BB382" s="9">
        <f>IF($C382="&lt;01",ROUND(INDEX(EID!$T:$T,MATCH($B382,EID!$B:$B,0))/2,0),ROUND($AZ382*$BA382,0))</f>
        <v>0</v>
      </c>
      <c r="BC382" s="93">
        <f t="shared" si="145"/>
        <v>0</v>
      </c>
      <c r="BD382" s="90">
        <f t="shared" si="146"/>
        <v>0.95</v>
      </c>
      <c r="BE382" s="42">
        <f>IF($C382="&lt;01",ROUND(INDEX(EID!$V:$V,MATCH($B382,EID!$B:$B,0))/2,0),ROUND($BD382*$BB382,0))</f>
        <v>0</v>
      </c>
      <c r="BF382" s="42">
        <f t="shared" si="147"/>
        <v>0</v>
      </c>
      <c r="BG382" s="116">
        <f t="shared" si="148"/>
        <v>0.95</v>
      </c>
      <c r="BH382" s="9">
        <f>IF($C382="&lt;01",ROUND(INDEX(EID!$L:$L,MATCH($B382,EID!$B:$B,0)),0)/2,IF(SUM($BG382)=0,"",ROUND($AX382/$BG382,0)))</f>
        <v>0</v>
      </c>
    </row>
    <row r="383" spans="1:60" x14ac:dyDescent="0.2">
      <c r="A383" t="str">
        <f>INDEX(Prioritization!$D:$D,MATCH($B383,Prioritization!$A:$A,0))</f>
        <v>INVALID</v>
      </c>
      <c r="B383" t="s">
        <v>219</v>
      </c>
      <c r="C383" t="s">
        <v>363</v>
      </c>
      <c r="D383" t="s">
        <v>29</v>
      </c>
      <c r="E383" t="str">
        <f t="shared" si="126"/>
        <v>Phalombe District [AZyWpGzhcaA]|10-14|Female</v>
      </c>
      <c r="F383" s="14"/>
      <c r="G383" s="14">
        <v>3</v>
      </c>
      <c r="H383" s="14">
        <v>2</v>
      </c>
      <c r="I383" s="14">
        <v>65</v>
      </c>
      <c r="J383" s="14">
        <v>69</v>
      </c>
      <c r="K383" s="14">
        <v>77</v>
      </c>
      <c r="L383" s="14">
        <v>1</v>
      </c>
      <c r="M383" s="14">
        <v>0</v>
      </c>
      <c r="N383" s="14">
        <v>63</v>
      </c>
      <c r="O383" s="14">
        <f t="shared" si="127"/>
        <v>65</v>
      </c>
      <c r="P383" s="14">
        <v>95</v>
      </c>
      <c r="Q383" s="14">
        <v>57</v>
      </c>
      <c r="R383" s="14">
        <f t="shared" si="128"/>
        <v>0</v>
      </c>
      <c r="S383" s="14">
        <f>IF(LEFT($B383,4)="_Mil","",_xlfn.IFNA(ROUND(INDEX(Spectrum!$N:$N,MATCH(RIGHT($B383,13)&amp;"|"&amp;$C383&amp;"|"&amp;$D383&amp;"|"&amp;S$14&amp;"|"&amp;"CY2022Q4",Spectrum!$R:$R,0)),0),""))</f>
        <v>917</v>
      </c>
      <c r="T383" s="42">
        <f>IF(LEFT($B383,4)="_Mil","",_xlfn.IFNA(ROUND(INDEX(Spectrum!$N:$N,MATCH(RIGHT($B383,13)&amp;"|"&amp;$C383&amp;"|"&amp;$D383&amp;"|"&amp;T$14&amp;"|"&amp;"CY2023Q3",Spectrum!$R:$R,0)),0),""))</f>
        <v>678</v>
      </c>
      <c r="U383" s="42" t="str">
        <f>IF(LEFT($B383,4)="_Mil","",_xlfn.IFNA(ROUND(INDEX(Spectrum!$N:$N,MATCH(RIGHT($B383,13)&amp;"|"&amp;$C383&amp;"|"&amp;$D383&amp;"|"&amp;U$14&amp;"|"&amp;"CY2023Q3",Spectrum!$R:$R,0)),0),""))</f>
        <v/>
      </c>
      <c r="V383" s="14">
        <f>IF(LEFT($B383,4)="_Mil","",_xlfn.IFNA(ROUND(INDEX(Spectrum!$N:$N,MATCH(RIGHT($B383,13)&amp;"|"&amp;$C383&amp;"|"&amp;$D383&amp;"|"&amp;V$14&amp;"|"&amp;"CY2023Q3",Spectrum!$R:$R,0)),0),""))</f>
        <v>874</v>
      </c>
      <c r="W383" s="115">
        <f>IF(LEFT($B383,4)="_Mil","",_xlfn.IFNA(INDEX(Spectrum!$N:$N,MATCH(RIGHT($B383,13)&amp;"|"&amp;$C383&amp;"|"&amp;$D383&amp;"|"&amp;W$14&amp;"|"&amp;"CY2023Q3",Spectrum!$R:$R,0)),""))</f>
        <v>1592</v>
      </c>
      <c r="X383" s="42">
        <f>IF(LEFT($B383,4)="_Mil","",_xlfn.IFNA(ROUND(INDEX(Spectrum!$N:$N,MATCH(RIGHT($B383,13)&amp;"|"&amp;$C383&amp;"|"&amp;$D383&amp;"|"&amp;X$14&amp;"|"&amp;"CY2023Q3",Spectrum!$R:$R,0)),0),""))</f>
        <v>1244</v>
      </c>
      <c r="Y383" s="90" t="str">
        <f t="shared" si="129"/>
        <v/>
      </c>
      <c r="Z383" s="42">
        <f>IF(LEFT($B383,4)="_Mil","",_xlfn.IFNA(ROUND(INDEX(Spectrum!$N:$N,MATCH(RIGHT($B383,13)&amp;"|"&amp;$C383&amp;"|"&amp;$D383&amp;"|"&amp;Z$14&amp;"|"&amp;"CY2023Q3",Spectrum!$R:$R,0)),0),""))</f>
        <v>1484</v>
      </c>
      <c r="AA383" s="90">
        <f>IF(LEFT($B383,4)="_Mil","",IFERROR(1/(1/INDEX(Spectrum!$N:$N,MATCH(RIGHT($B383,13)&amp;"|"&amp;$C383&amp;"|"&amp;$D383&amp;"|"&amp;AA$14&amp;"|"&amp;"CY2023Q3",Spectrum!$R:$R,0))),IF(SUM($U383)=0,"",SUM($Z383)/$U383)))</f>
        <v>858</v>
      </c>
      <c r="AB383" s="90">
        <f t="shared" si="130"/>
        <v>1.1929260450160772</v>
      </c>
      <c r="AC383" s="14">
        <f>IF(LEFT($B383,4)="_Mil","",_xlfn.IFNA(ROUND(INDEX(Spectrum!$N:$N,MATCH(RIGHT($B383,13)&amp;"|"&amp;$C383&amp;"|"&amp;$D383&amp;"|"&amp;AC$14&amp;"|"&amp;"CY2023Q3",Spectrum!$R:$R,0)),0),""))</f>
        <v>1306</v>
      </c>
      <c r="AD383" s="14" t="str">
        <f>IF(LEFT($B383,4)="_Mil","",_xlfn.IFNA(ROUND(INDEX(Spectrum!$N:$N,MATCH(RIGHT($B383,13)&amp;"|"&amp;$C383&amp;"|"&amp;$D383&amp;"|"&amp;AD$14&amp;"|"&amp;"CY2023Q3",Spectrum!$R:$R,0)),0),""))</f>
        <v/>
      </c>
      <c r="AE383" s="90">
        <f t="shared" si="131"/>
        <v>0</v>
      </c>
      <c r="AF383" s="42" t="str">
        <f>IF(LEFT($B383,4)="_Mil","",_xlfn.IFNA(ROUND(INDEX(Spectrum!$N:$N,MATCH(RIGHT($B383,13)&amp;"|"&amp;$C383&amp;"|"&amp;$D383&amp;"|"&amp;AF$14&amp;"|"&amp;"CY2023Q3",Spectrum!$R:$R,0)),0),""))</f>
        <v/>
      </c>
      <c r="AG383" s="90" t="str">
        <f t="shared" si="132"/>
        <v/>
      </c>
      <c r="AH383" s="88" t="str">
        <f>IF(LEFT($B383,4)="_Mil","",_xlfn.IFNA(INDEX(Spectrum!$N:$N,MATCH(RIGHT($B383,13)&amp;"|"&amp;$C383&amp;"|"&amp;$D383&amp;"|"&amp;AH$14&amp;"|"&amp;"CY2023Q3",Spectrum!$R:$R,0)),""))</f>
        <v/>
      </c>
      <c r="AI383" s="14" t="str">
        <f>IF(LEFT($B383,4)="_Mil","",_xlfn.IFNA(ROUND(INDEX(Spectrum!$N:$N,MATCH(RIGHT($B383,13)&amp;"|"&amp;$C383&amp;"|"&amp;$D383&amp;"|"&amp;AI$14&amp;"|"&amp;"CY2023Q3",Spectrum!$R:$R,0)),0),""))</f>
        <v/>
      </c>
      <c r="AJ383" s="42">
        <f>IF(LEFT($B383,4)="_Mil","",_xlfn.IFNA(ROUND(INDEX(Spectrum!$N:$N,MATCH(RIGHT($B383,13)&amp;"|"&amp;$C383&amp;"|"&amp;$D383&amp;"|"&amp;AI$14&amp;"|"&amp;"CY2023Q3",Spectrum!$R:$R,0)),0),SUM($U383)+SUM($AI383)))</f>
        <v>0</v>
      </c>
      <c r="AK383" s="14" t="str">
        <f>IF(LEFT($B383,4)="_Mil","",_xlfn.IFNA(ROUND(INDEX(Spectrum!$N:$N,MATCH(RIGHT($B383,13)&amp;"|"&amp;$C383&amp;"|"&amp;$D383&amp;"|"&amp;AK$14&amp;"|"&amp;"CY2023Q3",Spectrum!$R:$R,0)),0),""))</f>
        <v/>
      </c>
      <c r="AL383" s="90">
        <f t="shared" si="133"/>
        <v>858</v>
      </c>
      <c r="AM383" s="14">
        <f t="shared" si="134"/>
        <v>0</v>
      </c>
      <c r="AN383" s="14" t="str">
        <f>IF($C383="&lt;01",ROUND(INDEX(EID!$P:$P,MATCH($B383,EID!$B:$B,0))/2,0),"")</f>
        <v/>
      </c>
      <c r="AO383" s="14">
        <f t="shared" si="135"/>
        <v>0</v>
      </c>
      <c r="AP383" s="42">
        <f t="shared" si="136"/>
        <v>0</v>
      </c>
      <c r="AQ383" s="42">
        <f t="shared" si="137"/>
        <v>1484</v>
      </c>
      <c r="AR383" s="90" t="str">
        <f t="shared" si="138"/>
        <v/>
      </c>
      <c r="AS383" s="90">
        <f t="shared" si="150"/>
        <v>0.98</v>
      </c>
      <c r="AT383" s="90">
        <f t="shared" si="150"/>
        <v>0.98</v>
      </c>
      <c r="AU383" s="14">
        <f t="shared" si="140"/>
        <v>-65</v>
      </c>
      <c r="AV383" s="14">
        <f>IF($C383="&lt;01",ROUND(INDEX(EID!$N:$N,MATCH($B383,EID!$B:$B,0))/2,0),IF(SUM($AT383)=0,"",ROUND((SUM($AP383)-(SUM($O383)*SUM($AS383)))/$AT383,0)))</f>
        <v>-65</v>
      </c>
      <c r="AW383" s="90">
        <f t="shared" si="141"/>
        <v>1</v>
      </c>
      <c r="AX383" s="42">
        <f t="shared" si="142"/>
        <v>-65</v>
      </c>
      <c r="AY383" s="116">
        <f t="shared" si="143"/>
        <v>0.7</v>
      </c>
      <c r="AZ383" s="93">
        <f>IF($C383="&lt;01",ROUND(INDEX(EID!$R:$R,MATCH($B383,EID!$B:$B,0))/2,0),ROUND(SUM($O383)+(SUM($AV383)*$AY383),0))</f>
        <v>20</v>
      </c>
      <c r="BA383" s="89">
        <f t="shared" si="144"/>
        <v>0.95</v>
      </c>
      <c r="BB383" s="9">
        <f>IF($C383="&lt;01",ROUND(INDEX(EID!$T:$T,MATCH($B383,EID!$B:$B,0))/2,0),ROUND($AZ383*$BA383,0))</f>
        <v>19</v>
      </c>
      <c r="BC383" s="93">
        <f t="shared" si="145"/>
        <v>19</v>
      </c>
      <c r="BD383" s="90">
        <f t="shared" si="146"/>
        <v>0.95</v>
      </c>
      <c r="BE383" s="42">
        <f>IF($C383="&lt;01",ROUND(INDEX(EID!$V:$V,MATCH($B383,EID!$B:$B,0))/2,0),ROUND($BD383*$BB383,0))</f>
        <v>18</v>
      </c>
      <c r="BF383" s="42">
        <f t="shared" si="147"/>
        <v>18</v>
      </c>
      <c r="BG383" s="116">
        <f t="shared" si="148"/>
        <v>0.95</v>
      </c>
      <c r="BH383" s="9">
        <f>IF($C383="&lt;01",ROUND(INDEX(EID!$L:$L,MATCH($B383,EID!$B:$B,0)),0)/2,IF(SUM($BG383)=0,"",ROUND($AX383/$BG383,0)))</f>
        <v>-68</v>
      </c>
    </row>
    <row r="384" spans="1:60" x14ac:dyDescent="0.2">
      <c r="A384" t="str">
        <f>INDEX(Prioritization!$D:$D,MATCH($B384,Prioritization!$A:$A,0))</f>
        <v>INVALID</v>
      </c>
      <c r="B384" t="s">
        <v>219</v>
      </c>
      <c r="C384" t="s">
        <v>363</v>
      </c>
      <c r="D384" t="s">
        <v>47</v>
      </c>
      <c r="E384" t="str">
        <f t="shared" si="126"/>
        <v>Phalombe District [AZyWpGzhcaA]|10-14|Male</v>
      </c>
      <c r="F384" s="14"/>
      <c r="G384" s="14">
        <v>5</v>
      </c>
      <c r="H384" s="14">
        <v>9</v>
      </c>
      <c r="I384" s="14">
        <v>84</v>
      </c>
      <c r="J384" s="14">
        <v>36</v>
      </c>
      <c r="K384" s="14">
        <v>44</v>
      </c>
      <c r="L384" s="14">
        <v>0</v>
      </c>
      <c r="M384" s="14">
        <v>0</v>
      </c>
      <c r="N384" s="14">
        <v>79</v>
      </c>
      <c r="O384" s="14">
        <f t="shared" si="127"/>
        <v>84</v>
      </c>
      <c r="P384" s="14">
        <v>41</v>
      </c>
      <c r="Q384" s="14">
        <v>54</v>
      </c>
      <c r="R384" s="14">
        <f t="shared" si="128"/>
        <v>0</v>
      </c>
      <c r="S384" s="14">
        <f>IF(LEFT($B384,4)="_Mil","",_xlfn.IFNA(ROUND(INDEX(Spectrum!$N:$N,MATCH(RIGHT($B384,13)&amp;"|"&amp;$C384&amp;"|"&amp;$D384&amp;"|"&amp;S$14&amp;"|"&amp;"CY2022Q4",Spectrum!$R:$R,0)),0),""))</f>
        <v>1755</v>
      </c>
      <c r="T384" s="42">
        <f>IF(LEFT($B384,4)="_Mil","",_xlfn.IFNA(ROUND(INDEX(Spectrum!$N:$N,MATCH(RIGHT($B384,13)&amp;"|"&amp;$C384&amp;"|"&amp;$D384&amp;"|"&amp;T$14&amp;"|"&amp;"CY2023Q3",Spectrum!$R:$R,0)),0),""))</f>
        <v>1714</v>
      </c>
      <c r="U384" s="42" t="str">
        <f>IF(LEFT($B384,4)="_Mil","",_xlfn.IFNA(ROUND(INDEX(Spectrum!$N:$N,MATCH(RIGHT($B384,13)&amp;"|"&amp;$C384&amp;"|"&amp;$D384&amp;"|"&amp;U$14&amp;"|"&amp;"CY2023Q3",Spectrum!$R:$R,0)),0),""))</f>
        <v/>
      </c>
      <c r="V384" s="14">
        <f>IF(LEFT($B384,4)="_Mil","",_xlfn.IFNA(ROUND(INDEX(Spectrum!$N:$N,MATCH(RIGHT($B384,13)&amp;"|"&amp;$C384&amp;"|"&amp;$D384&amp;"|"&amp;V$14&amp;"|"&amp;"CY2023Q3",Spectrum!$R:$R,0)),0),""))</f>
        <v>553</v>
      </c>
      <c r="W384" s="115">
        <f>IF(LEFT($B384,4)="_Mil","",_xlfn.IFNA(INDEX(Spectrum!$N:$N,MATCH(RIGHT($B384,13)&amp;"|"&amp;$C384&amp;"|"&amp;$D384&amp;"|"&amp;W$14&amp;"|"&amp;"CY2023Q3",Spectrum!$R:$R,0)),""))</f>
        <v>1625</v>
      </c>
      <c r="X384" s="42">
        <f>IF(LEFT($B384,4)="_Mil","",_xlfn.IFNA(ROUND(INDEX(Spectrum!$N:$N,MATCH(RIGHT($B384,13)&amp;"|"&amp;$C384&amp;"|"&amp;$D384&amp;"|"&amp;X$14&amp;"|"&amp;"CY2023Q3",Spectrum!$R:$R,0)),0),""))</f>
        <v>545</v>
      </c>
      <c r="Y384" s="90" t="str">
        <f t="shared" si="129"/>
        <v/>
      </c>
      <c r="Z384" s="42">
        <f>IF(LEFT($B384,4)="_Mil","",_xlfn.IFNA(ROUND(INDEX(Spectrum!$N:$N,MATCH(RIGHT($B384,13)&amp;"|"&amp;$C384&amp;"|"&amp;$D384&amp;"|"&amp;Z$14&amp;"|"&amp;"CY2023Q3",Spectrum!$R:$R,0)),0),""))</f>
        <v>690</v>
      </c>
      <c r="AA384" s="90">
        <f>IF(LEFT($B384,4)="_Mil","",IFERROR(1/(1/INDEX(Spectrum!$N:$N,MATCH(RIGHT($B384,13)&amp;"|"&amp;$C384&amp;"|"&amp;$D384&amp;"|"&amp;AA$14&amp;"|"&amp;"CY2023Q3",Spectrum!$R:$R,0))),IF(SUM($U384)=0,"",SUM($Z384)/$U384)))</f>
        <v>1896.0000000000002</v>
      </c>
      <c r="AB384" s="90">
        <f t="shared" si="130"/>
        <v>1.2660550458715596</v>
      </c>
      <c r="AC384" s="14">
        <f>IF(LEFT($B384,4)="_Mil","",_xlfn.IFNA(ROUND(INDEX(Spectrum!$N:$N,MATCH(RIGHT($B384,13)&amp;"|"&amp;$C384&amp;"|"&amp;$D384&amp;"|"&amp;AC$14&amp;"|"&amp;"CY2023Q3",Spectrum!$R:$R,0)),0),""))</f>
        <v>1985</v>
      </c>
      <c r="AD384" s="14" t="str">
        <f>IF(LEFT($B384,4)="_Mil","",_xlfn.IFNA(ROUND(INDEX(Spectrum!$N:$N,MATCH(RIGHT($B384,13)&amp;"|"&amp;$C384&amp;"|"&amp;$D384&amp;"|"&amp;AD$14&amp;"|"&amp;"CY2023Q3",Spectrum!$R:$R,0)),0),""))</f>
        <v/>
      </c>
      <c r="AE384" s="90">
        <f t="shared" si="131"/>
        <v>0</v>
      </c>
      <c r="AF384" s="42" t="str">
        <f>IF(LEFT($B384,4)="_Mil","",_xlfn.IFNA(ROUND(INDEX(Spectrum!$N:$N,MATCH(RIGHT($B384,13)&amp;"|"&amp;$C384&amp;"|"&amp;$D384&amp;"|"&amp;AF$14&amp;"|"&amp;"CY2023Q3",Spectrum!$R:$R,0)),0),""))</f>
        <v/>
      </c>
      <c r="AG384" s="90" t="str">
        <f t="shared" si="132"/>
        <v/>
      </c>
      <c r="AH384" s="88" t="str">
        <f>IF(LEFT($B384,4)="_Mil","",_xlfn.IFNA(INDEX(Spectrum!$N:$N,MATCH(RIGHT($B384,13)&amp;"|"&amp;$C384&amp;"|"&amp;$D384&amp;"|"&amp;AH$14&amp;"|"&amp;"CY2023Q3",Spectrum!$R:$R,0)),""))</f>
        <v/>
      </c>
      <c r="AI384" s="14" t="str">
        <f>IF(LEFT($B384,4)="_Mil","",_xlfn.IFNA(ROUND(INDEX(Spectrum!$N:$N,MATCH(RIGHT($B384,13)&amp;"|"&amp;$C384&amp;"|"&amp;$D384&amp;"|"&amp;AI$14&amp;"|"&amp;"CY2023Q3",Spectrum!$R:$R,0)),0),""))</f>
        <v/>
      </c>
      <c r="AJ384" s="42">
        <f>IF(LEFT($B384,4)="_Mil","",_xlfn.IFNA(ROUND(INDEX(Spectrum!$N:$N,MATCH(RIGHT($B384,13)&amp;"|"&amp;$C384&amp;"|"&amp;$D384&amp;"|"&amp;AI$14&amp;"|"&amp;"CY2023Q3",Spectrum!$R:$R,0)),0),SUM($U384)+SUM($AI384)))</f>
        <v>0</v>
      </c>
      <c r="AK384" s="14" t="str">
        <f>IF(LEFT($B384,4)="_Mil","",_xlfn.IFNA(ROUND(INDEX(Spectrum!$N:$N,MATCH(RIGHT($B384,13)&amp;"|"&amp;$C384&amp;"|"&amp;$D384&amp;"|"&amp;AK$14&amp;"|"&amp;"CY2023Q3",Spectrum!$R:$R,0)),0),""))</f>
        <v/>
      </c>
      <c r="AL384" s="90">
        <f t="shared" si="133"/>
        <v>1896.0000000000002</v>
      </c>
      <c r="AM384" s="14">
        <f t="shared" si="134"/>
        <v>0</v>
      </c>
      <c r="AN384" s="14" t="str">
        <f>IF($C384="&lt;01",ROUND(INDEX(EID!$P:$P,MATCH($B384,EID!$B:$B,0))/2,0),"")</f>
        <v/>
      </c>
      <c r="AO384" s="14">
        <f t="shared" si="135"/>
        <v>0</v>
      </c>
      <c r="AP384" s="42">
        <f t="shared" si="136"/>
        <v>0</v>
      </c>
      <c r="AQ384" s="42">
        <f t="shared" si="137"/>
        <v>690</v>
      </c>
      <c r="AR384" s="90" t="str">
        <f t="shared" si="138"/>
        <v/>
      </c>
      <c r="AS384" s="90">
        <f t="shared" si="150"/>
        <v>0.98</v>
      </c>
      <c r="AT384" s="90">
        <f t="shared" si="150"/>
        <v>0.98</v>
      </c>
      <c r="AU384" s="14">
        <f t="shared" si="140"/>
        <v>-84</v>
      </c>
      <c r="AV384" s="14">
        <f>IF($C384="&lt;01",ROUND(INDEX(EID!$N:$N,MATCH($B384,EID!$B:$B,0))/2,0),IF(SUM($AT384)=0,"",ROUND((SUM($AP384)-(SUM($O384)*SUM($AS384)))/$AT384,0)))</f>
        <v>-84</v>
      </c>
      <c r="AW384" s="90">
        <f t="shared" si="141"/>
        <v>1</v>
      </c>
      <c r="AX384" s="42">
        <f t="shared" si="142"/>
        <v>-84</v>
      </c>
      <c r="AY384" s="116">
        <f t="shared" si="143"/>
        <v>0.7</v>
      </c>
      <c r="AZ384" s="93">
        <f>IF($C384="&lt;01",ROUND(INDEX(EID!$R:$R,MATCH($B384,EID!$B:$B,0))/2,0),ROUND(SUM($O384)+(SUM($AV384)*$AY384),0))</f>
        <v>25</v>
      </c>
      <c r="BA384" s="89">
        <f t="shared" si="144"/>
        <v>0.95</v>
      </c>
      <c r="BB384" s="9">
        <f>IF($C384="&lt;01",ROUND(INDEX(EID!$T:$T,MATCH($B384,EID!$B:$B,0))/2,0),ROUND($AZ384*$BA384,0))</f>
        <v>24</v>
      </c>
      <c r="BC384" s="93">
        <f t="shared" si="145"/>
        <v>24</v>
      </c>
      <c r="BD384" s="90">
        <f t="shared" si="146"/>
        <v>0.95</v>
      </c>
      <c r="BE384" s="42">
        <f>IF($C384="&lt;01",ROUND(INDEX(EID!$V:$V,MATCH($B384,EID!$B:$B,0))/2,0),ROUND($BD384*$BB384,0))</f>
        <v>23</v>
      </c>
      <c r="BF384" s="42">
        <f t="shared" si="147"/>
        <v>23</v>
      </c>
      <c r="BG384" s="116">
        <f t="shared" si="148"/>
        <v>0.95</v>
      </c>
      <c r="BH384" s="9">
        <f>IF($C384="&lt;01",ROUND(INDEX(EID!$L:$L,MATCH($B384,EID!$B:$B,0)),0)/2,IF(SUM($BG384)=0,"",ROUND($AX384/$BG384,0)))</f>
        <v>-88</v>
      </c>
    </row>
    <row r="385" spans="1:60" x14ac:dyDescent="0.2">
      <c r="A385" t="str">
        <f>INDEX(Prioritization!$D:$D,MATCH($B385,Prioritization!$A:$A,0))</f>
        <v>INVALID</v>
      </c>
      <c r="B385" t="s">
        <v>219</v>
      </c>
      <c r="C385" t="s">
        <v>364</v>
      </c>
      <c r="D385" t="s">
        <v>29</v>
      </c>
      <c r="E385" t="str">
        <f t="shared" si="126"/>
        <v>Phalombe District [AZyWpGzhcaA]|15-24|Female</v>
      </c>
      <c r="F385" s="14"/>
      <c r="G385" s="14"/>
      <c r="H385" s="14"/>
      <c r="I385" s="14"/>
      <c r="J385" s="14"/>
      <c r="K385" s="14"/>
      <c r="L385" s="14"/>
      <c r="M385" s="14"/>
      <c r="N385" s="14"/>
      <c r="O385" s="14" t="str">
        <f t="shared" si="127"/>
        <v/>
      </c>
      <c r="P385" s="14"/>
      <c r="Q385" s="14"/>
      <c r="R385" s="14" t="str">
        <f t="shared" si="128"/>
        <v/>
      </c>
      <c r="S385" s="14">
        <f>IF(LEFT($B385,4)="_Mil","",_xlfn.IFNA(ROUND(INDEX(Spectrum!$N:$N,MATCH(RIGHT($B385,13)&amp;"|"&amp;$C385&amp;"|"&amp;$D385&amp;"|"&amp;S$14&amp;"|"&amp;"CY2022Q4",Spectrum!$R:$R,0)),0),""))</f>
        <v>735</v>
      </c>
      <c r="T385" s="42">
        <f>IF(LEFT($B385,4)="_Mil","",_xlfn.IFNA(ROUND(INDEX(Spectrum!$N:$N,MATCH(RIGHT($B385,13)&amp;"|"&amp;$C385&amp;"|"&amp;$D385&amp;"|"&amp;T$14&amp;"|"&amp;"CY2023Q3",Spectrum!$R:$R,0)),0),""))</f>
        <v>794</v>
      </c>
      <c r="U385" s="42" t="str">
        <f>IF(LEFT($B385,4)="_Mil","",_xlfn.IFNA(ROUND(INDEX(Spectrum!$N:$N,MATCH(RIGHT($B385,13)&amp;"|"&amp;$C385&amp;"|"&amp;$D385&amp;"|"&amp;U$14&amp;"|"&amp;"CY2023Q3",Spectrum!$R:$R,0)),0),""))</f>
        <v/>
      </c>
      <c r="V385" s="14">
        <f>IF(LEFT($B385,4)="_Mil","",_xlfn.IFNA(ROUND(INDEX(Spectrum!$N:$N,MATCH(RIGHT($B385,13)&amp;"|"&amp;$C385&amp;"|"&amp;$D385&amp;"|"&amp;V$14&amp;"|"&amp;"CY2023Q3",Spectrum!$R:$R,0)),0),""))</f>
        <v>564</v>
      </c>
      <c r="W385" s="115">
        <f>IF(LEFT($B385,4)="_Mil","",_xlfn.IFNA(INDEX(Spectrum!$N:$N,MATCH(RIGHT($B385,13)&amp;"|"&amp;$C385&amp;"|"&amp;$D385&amp;"|"&amp;W$14&amp;"|"&amp;"CY2023Q3",Spectrum!$R:$R,0)),""))</f>
        <v>1015</v>
      </c>
      <c r="X385" s="42">
        <f>IF(LEFT($B385,4)="_Mil","",_xlfn.IFNA(ROUND(INDEX(Spectrum!$N:$N,MATCH(RIGHT($B385,13)&amp;"|"&amp;$C385&amp;"|"&amp;$D385&amp;"|"&amp;X$14&amp;"|"&amp;"CY2023Q3",Spectrum!$R:$R,0)),0),""))</f>
        <v>1502</v>
      </c>
      <c r="Y385" s="90" t="str">
        <f t="shared" si="129"/>
        <v/>
      </c>
      <c r="Z385" s="42">
        <f>IF(LEFT($B385,4)="_Mil","",_xlfn.IFNA(ROUND(INDEX(Spectrum!$N:$N,MATCH(RIGHT($B385,13)&amp;"|"&amp;$C385&amp;"|"&amp;$D385&amp;"|"&amp;Z$14&amp;"|"&amp;"CY2023Q3",Spectrum!$R:$R,0)),0),""))</f>
        <v>652</v>
      </c>
      <c r="AA385" s="90">
        <f>IF(LEFT($B385,4)="_Mil","",IFERROR(1/(1/INDEX(Spectrum!$N:$N,MATCH(RIGHT($B385,13)&amp;"|"&amp;$C385&amp;"|"&amp;$D385&amp;"|"&amp;AA$14&amp;"|"&amp;"CY2023Q3",Spectrum!$R:$R,0))),IF(SUM($U385)=0,"",SUM($Z385)/$U385)))</f>
        <v>515</v>
      </c>
      <c r="AB385" s="90">
        <f t="shared" si="130"/>
        <v>0.43408788282290278</v>
      </c>
      <c r="AC385" s="14">
        <f>IF(LEFT($B385,4)="_Mil","",_xlfn.IFNA(ROUND(INDEX(Spectrum!$N:$N,MATCH(RIGHT($B385,13)&amp;"|"&amp;$C385&amp;"|"&amp;$D385&amp;"|"&amp;AC$14&amp;"|"&amp;"CY2023Q3",Spectrum!$R:$R,0)),0),""))</f>
        <v>954</v>
      </c>
      <c r="AD385" s="14" t="str">
        <f>IF(LEFT($B385,4)="_Mil","",_xlfn.IFNA(ROUND(INDEX(Spectrum!$N:$N,MATCH(RIGHT($B385,13)&amp;"|"&amp;$C385&amp;"|"&amp;$D385&amp;"|"&amp;AD$14&amp;"|"&amp;"CY2023Q3",Spectrum!$R:$R,0)),0),""))</f>
        <v/>
      </c>
      <c r="AE385" s="90">
        <f t="shared" si="131"/>
        <v>0</v>
      </c>
      <c r="AF385" s="42" t="str">
        <f>IF(LEFT($B385,4)="_Mil","",_xlfn.IFNA(ROUND(INDEX(Spectrum!$N:$N,MATCH(RIGHT($B385,13)&amp;"|"&amp;$C385&amp;"|"&amp;$D385&amp;"|"&amp;AF$14&amp;"|"&amp;"CY2023Q3",Spectrum!$R:$R,0)),0),""))</f>
        <v/>
      </c>
      <c r="AG385" s="90" t="str">
        <f t="shared" si="132"/>
        <v/>
      </c>
      <c r="AH385" s="88" t="str">
        <f>IF(LEFT($B385,4)="_Mil","",_xlfn.IFNA(INDEX(Spectrum!$N:$N,MATCH(RIGHT($B385,13)&amp;"|"&amp;$C385&amp;"|"&amp;$D385&amp;"|"&amp;AH$14&amp;"|"&amp;"CY2023Q3",Spectrum!$R:$R,0)),""))</f>
        <v/>
      </c>
      <c r="AI385" s="14" t="str">
        <f>IF(LEFT($B385,4)="_Mil","",_xlfn.IFNA(ROUND(INDEX(Spectrum!$N:$N,MATCH(RIGHT($B385,13)&amp;"|"&amp;$C385&amp;"|"&amp;$D385&amp;"|"&amp;AI$14&amp;"|"&amp;"CY2023Q3",Spectrum!$R:$R,0)),0),""))</f>
        <v/>
      </c>
      <c r="AJ385" s="42">
        <f>IF(LEFT($B385,4)="_Mil","",_xlfn.IFNA(ROUND(INDEX(Spectrum!$N:$N,MATCH(RIGHT($B385,13)&amp;"|"&amp;$C385&amp;"|"&amp;$D385&amp;"|"&amp;AI$14&amp;"|"&amp;"CY2023Q3",Spectrum!$R:$R,0)),0),SUM($U385)+SUM($AI385)))</f>
        <v>0</v>
      </c>
      <c r="AK385" s="14" t="str">
        <f>IF(LEFT($B385,4)="_Mil","",_xlfn.IFNA(ROUND(INDEX(Spectrum!$N:$N,MATCH(RIGHT($B385,13)&amp;"|"&amp;$C385&amp;"|"&amp;$D385&amp;"|"&amp;AK$14&amp;"|"&amp;"CY2023Q3",Spectrum!$R:$R,0)),0),""))</f>
        <v/>
      </c>
      <c r="AL385" s="90">
        <f t="shared" si="133"/>
        <v>515</v>
      </c>
      <c r="AM385" s="14">
        <f t="shared" si="134"/>
        <v>0</v>
      </c>
      <c r="AN385" s="14" t="str">
        <f>IF($C385="&lt;01",ROUND(INDEX(EID!$P:$P,MATCH($B385,EID!$B:$B,0))/2,0),"")</f>
        <v/>
      </c>
      <c r="AO385" s="14">
        <f t="shared" si="135"/>
        <v>0</v>
      </c>
      <c r="AP385" s="42">
        <f t="shared" si="136"/>
        <v>0</v>
      </c>
      <c r="AQ385" s="42">
        <f t="shared" si="137"/>
        <v>652</v>
      </c>
      <c r="AR385" s="90" t="str">
        <f t="shared" si="138"/>
        <v/>
      </c>
      <c r="AS385" s="90">
        <f t="shared" si="150"/>
        <v>0.98</v>
      </c>
      <c r="AT385" s="90">
        <f t="shared" si="150"/>
        <v>0.98</v>
      </c>
      <c r="AU385" s="14">
        <f t="shared" si="140"/>
        <v>0</v>
      </c>
      <c r="AV385" s="14">
        <f>IF($C385="&lt;01",ROUND(INDEX(EID!$N:$N,MATCH($B385,EID!$B:$B,0))/2,0),IF(SUM($AT385)=0,"",ROUND((SUM($AP385)-(SUM($O385)*SUM($AS385)))/$AT385,0)))</f>
        <v>0</v>
      </c>
      <c r="AW385" s="90">
        <f t="shared" si="141"/>
        <v>1</v>
      </c>
      <c r="AX385" s="42">
        <f t="shared" si="142"/>
        <v>0</v>
      </c>
      <c r="AY385" s="116">
        <f t="shared" si="143"/>
        <v>0.7</v>
      </c>
      <c r="AZ385" s="93">
        <f>IF($C385="&lt;01",ROUND(INDEX(EID!$R:$R,MATCH($B385,EID!$B:$B,0))/2,0),ROUND(SUM($O385)+(SUM($AV385)*$AY385),0))</f>
        <v>0</v>
      </c>
      <c r="BA385" s="89">
        <f t="shared" si="144"/>
        <v>0.95</v>
      </c>
      <c r="BB385" s="9">
        <f>IF($C385="&lt;01",ROUND(INDEX(EID!$T:$T,MATCH($B385,EID!$B:$B,0))/2,0),ROUND($AZ385*$BA385,0))</f>
        <v>0</v>
      </c>
      <c r="BC385" s="93">
        <f t="shared" si="145"/>
        <v>0</v>
      </c>
      <c r="BD385" s="90">
        <f t="shared" si="146"/>
        <v>0.95</v>
      </c>
      <c r="BE385" s="42">
        <f>IF($C385="&lt;01",ROUND(INDEX(EID!$V:$V,MATCH($B385,EID!$B:$B,0))/2,0),ROUND($BD385*$BB385,0))</f>
        <v>0</v>
      </c>
      <c r="BF385" s="42">
        <f t="shared" si="147"/>
        <v>0</v>
      </c>
      <c r="BG385" s="116">
        <f t="shared" si="148"/>
        <v>0.95</v>
      </c>
      <c r="BH385" s="9">
        <f>IF($C385="&lt;01",ROUND(INDEX(EID!$L:$L,MATCH($B385,EID!$B:$B,0)),0)/2,IF(SUM($BG385)=0,"",ROUND($AX385/$BG385,0)))</f>
        <v>0</v>
      </c>
    </row>
    <row r="386" spans="1:60" x14ac:dyDescent="0.2">
      <c r="A386" t="str">
        <f>INDEX(Prioritization!$D:$D,MATCH($B386,Prioritization!$A:$A,0))</f>
        <v>INVALID</v>
      </c>
      <c r="B386" t="s">
        <v>219</v>
      </c>
      <c r="C386" t="s">
        <v>364</v>
      </c>
      <c r="D386" t="s">
        <v>47</v>
      </c>
      <c r="E386" t="str">
        <f t="shared" si="126"/>
        <v>Phalombe District [AZyWpGzhcaA]|15-24|Male</v>
      </c>
      <c r="F386" s="14"/>
      <c r="G386" s="14"/>
      <c r="H386" s="14"/>
      <c r="I386" s="14"/>
      <c r="J386" s="14"/>
      <c r="K386" s="14"/>
      <c r="L386" s="14"/>
      <c r="M386" s="14"/>
      <c r="N386" s="14"/>
      <c r="O386" s="14" t="str">
        <f t="shared" si="127"/>
        <v/>
      </c>
      <c r="P386" s="14"/>
      <c r="Q386" s="14"/>
      <c r="R386" s="14" t="str">
        <f t="shared" si="128"/>
        <v/>
      </c>
      <c r="S386" s="14">
        <f>IF(LEFT($B386,4)="_Mil","",_xlfn.IFNA(ROUND(INDEX(Spectrum!$N:$N,MATCH(RIGHT($B386,13)&amp;"|"&amp;$C386&amp;"|"&amp;$D386&amp;"|"&amp;S$14&amp;"|"&amp;"CY2022Q4",Spectrum!$R:$R,0)),0),""))</f>
        <v>829</v>
      </c>
      <c r="T386" s="42">
        <f>IF(LEFT($B386,4)="_Mil","",_xlfn.IFNA(ROUND(INDEX(Spectrum!$N:$N,MATCH(RIGHT($B386,13)&amp;"|"&amp;$C386&amp;"|"&amp;$D386&amp;"|"&amp;T$14&amp;"|"&amp;"CY2023Q3",Spectrum!$R:$R,0)),0),""))</f>
        <v>1600</v>
      </c>
      <c r="U386" s="42" t="str">
        <f>IF(LEFT($B386,4)="_Mil","",_xlfn.IFNA(ROUND(INDEX(Spectrum!$N:$N,MATCH(RIGHT($B386,13)&amp;"|"&amp;$C386&amp;"|"&amp;$D386&amp;"|"&amp;U$14&amp;"|"&amp;"CY2023Q3",Spectrum!$R:$R,0)),0),""))</f>
        <v/>
      </c>
      <c r="V386" s="14">
        <f>IF(LEFT($B386,4)="_Mil","",_xlfn.IFNA(ROUND(INDEX(Spectrum!$N:$N,MATCH(RIGHT($B386,13)&amp;"|"&amp;$C386&amp;"|"&amp;$D386&amp;"|"&amp;V$14&amp;"|"&amp;"CY2023Q3",Spectrum!$R:$R,0)),0),""))</f>
        <v>1445</v>
      </c>
      <c r="W386" s="115">
        <f>IF(LEFT($B386,4)="_Mil","",_xlfn.IFNA(INDEX(Spectrum!$N:$N,MATCH(RIGHT($B386,13)&amp;"|"&amp;$C386&amp;"|"&amp;$D386&amp;"|"&amp;W$14&amp;"|"&amp;"CY2023Q3",Spectrum!$R:$R,0)),""))</f>
        <v>602</v>
      </c>
      <c r="X386" s="42">
        <f>IF(LEFT($B386,4)="_Mil","",_xlfn.IFNA(ROUND(INDEX(Spectrum!$N:$N,MATCH(RIGHT($B386,13)&amp;"|"&amp;$C386&amp;"|"&amp;$D386&amp;"|"&amp;X$14&amp;"|"&amp;"CY2023Q3",Spectrum!$R:$R,0)),0),""))</f>
        <v>1849</v>
      </c>
      <c r="Y386" s="90" t="str">
        <f t="shared" si="129"/>
        <v/>
      </c>
      <c r="Z386" s="42">
        <f>IF(LEFT($B386,4)="_Mil","",_xlfn.IFNA(ROUND(INDEX(Spectrum!$N:$N,MATCH(RIGHT($B386,13)&amp;"|"&amp;$C386&amp;"|"&amp;$D386&amp;"|"&amp;Z$14&amp;"|"&amp;"CY2023Q3",Spectrum!$R:$R,0)),0),""))</f>
        <v>547</v>
      </c>
      <c r="AA386" s="90">
        <f>IF(LEFT($B386,4)="_Mil","",IFERROR(1/(1/INDEX(Spectrum!$N:$N,MATCH(RIGHT($B386,13)&amp;"|"&amp;$C386&amp;"|"&amp;$D386&amp;"|"&amp;AA$14&amp;"|"&amp;"CY2023Q3",Spectrum!$R:$R,0))),IF(SUM($U386)=0,"",SUM($Z386)/$U386)))</f>
        <v>1031</v>
      </c>
      <c r="AB386" s="90">
        <f t="shared" si="130"/>
        <v>0.29583558680367766</v>
      </c>
      <c r="AC386" s="14">
        <f>IF(LEFT($B386,4)="_Mil","",_xlfn.IFNA(ROUND(INDEX(Spectrum!$N:$N,MATCH(RIGHT($B386,13)&amp;"|"&amp;$C386&amp;"|"&amp;$D386&amp;"|"&amp;AC$14&amp;"|"&amp;"CY2023Q3",Spectrum!$R:$R,0)),0),""))</f>
        <v>796</v>
      </c>
      <c r="AD386" s="14" t="str">
        <f>IF(LEFT($B386,4)="_Mil","",_xlfn.IFNA(ROUND(INDEX(Spectrum!$N:$N,MATCH(RIGHT($B386,13)&amp;"|"&amp;$C386&amp;"|"&amp;$D386&amp;"|"&amp;AD$14&amp;"|"&amp;"CY2023Q3",Spectrum!$R:$R,0)),0),""))</f>
        <v/>
      </c>
      <c r="AE386" s="90">
        <f t="shared" si="131"/>
        <v>0</v>
      </c>
      <c r="AF386" s="42" t="str">
        <f>IF(LEFT($B386,4)="_Mil","",_xlfn.IFNA(ROUND(INDEX(Spectrum!$N:$N,MATCH(RIGHT($B386,13)&amp;"|"&amp;$C386&amp;"|"&amp;$D386&amp;"|"&amp;AF$14&amp;"|"&amp;"CY2023Q3",Spectrum!$R:$R,0)),0),""))</f>
        <v/>
      </c>
      <c r="AG386" s="90" t="str">
        <f t="shared" si="132"/>
        <v/>
      </c>
      <c r="AH386" s="88" t="str">
        <f>IF(LEFT($B386,4)="_Mil","",_xlfn.IFNA(INDEX(Spectrum!$N:$N,MATCH(RIGHT($B386,13)&amp;"|"&amp;$C386&amp;"|"&amp;$D386&amp;"|"&amp;AH$14&amp;"|"&amp;"CY2023Q3",Spectrum!$R:$R,0)),""))</f>
        <v/>
      </c>
      <c r="AI386" s="14" t="str">
        <f>IF(LEFT($B386,4)="_Mil","",_xlfn.IFNA(ROUND(INDEX(Spectrum!$N:$N,MATCH(RIGHT($B386,13)&amp;"|"&amp;$C386&amp;"|"&amp;$D386&amp;"|"&amp;AI$14&amp;"|"&amp;"CY2023Q3",Spectrum!$R:$R,0)),0),""))</f>
        <v/>
      </c>
      <c r="AJ386" s="42">
        <f>IF(LEFT($B386,4)="_Mil","",_xlfn.IFNA(ROUND(INDEX(Spectrum!$N:$N,MATCH(RIGHT($B386,13)&amp;"|"&amp;$C386&amp;"|"&amp;$D386&amp;"|"&amp;AI$14&amp;"|"&amp;"CY2023Q3",Spectrum!$R:$R,0)),0),SUM($U386)+SUM($AI386)))</f>
        <v>0</v>
      </c>
      <c r="AK386" s="14" t="str">
        <f>IF(LEFT($B386,4)="_Mil","",_xlfn.IFNA(ROUND(INDEX(Spectrum!$N:$N,MATCH(RIGHT($B386,13)&amp;"|"&amp;$C386&amp;"|"&amp;$D386&amp;"|"&amp;AK$14&amp;"|"&amp;"CY2023Q3",Spectrum!$R:$R,0)),0),""))</f>
        <v/>
      </c>
      <c r="AL386" s="90">
        <f t="shared" si="133"/>
        <v>1031</v>
      </c>
      <c r="AM386" s="14">
        <f t="shared" si="134"/>
        <v>0</v>
      </c>
      <c r="AN386" s="14" t="str">
        <f>IF($C386="&lt;01",ROUND(INDEX(EID!$P:$P,MATCH($B386,EID!$B:$B,0))/2,0),"")</f>
        <v/>
      </c>
      <c r="AO386" s="14">
        <f t="shared" si="135"/>
        <v>0</v>
      </c>
      <c r="AP386" s="42">
        <f t="shared" si="136"/>
        <v>0</v>
      </c>
      <c r="AQ386" s="42">
        <f t="shared" si="137"/>
        <v>547</v>
      </c>
      <c r="AR386" s="90" t="str">
        <f t="shared" si="138"/>
        <v/>
      </c>
      <c r="AS386" s="90">
        <f t="shared" si="150"/>
        <v>0.98</v>
      </c>
      <c r="AT386" s="90">
        <f t="shared" si="150"/>
        <v>0.98</v>
      </c>
      <c r="AU386" s="14">
        <f t="shared" si="140"/>
        <v>0</v>
      </c>
      <c r="AV386" s="14">
        <f>IF($C386="&lt;01",ROUND(INDEX(EID!$N:$N,MATCH($B386,EID!$B:$B,0))/2,0),IF(SUM($AT386)=0,"",ROUND((SUM($AP386)-(SUM($O386)*SUM($AS386)))/$AT386,0)))</f>
        <v>0</v>
      </c>
      <c r="AW386" s="90">
        <f t="shared" si="141"/>
        <v>1</v>
      </c>
      <c r="AX386" s="42">
        <f t="shared" si="142"/>
        <v>0</v>
      </c>
      <c r="AY386" s="116">
        <f t="shared" si="143"/>
        <v>0.7</v>
      </c>
      <c r="AZ386" s="93">
        <f>IF($C386="&lt;01",ROUND(INDEX(EID!$R:$R,MATCH($B386,EID!$B:$B,0))/2,0),ROUND(SUM($O386)+(SUM($AV386)*$AY386),0))</f>
        <v>0</v>
      </c>
      <c r="BA386" s="89">
        <f t="shared" si="144"/>
        <v>0.95</v>
      </c>
      <c r="BB386" s="9">
        <f>IF($C386="&lt;01",ROUND(INDEX(EID!$T:$T,MATCH($B386,EID!$B:$B,0))/2,0),ROUND($AZ386*$BA386,0))</f>
        <v>0</v>
      </c>
      <c r="BC386" s="93">
        <f t="shared" si="145"/>
        <v>0</v>
      </c>
      <c r="BD386" s="90">
        <f t="shared" si="146"/>
        <v>0.95</v>
      </c>
      <c r="BE386" s="42">
        <f>IF($C386="&lt;01",ROUND(INDEX(EID!$V:$V,MATCH($B386,EID!$B:$B,0))/2,0),ROUND($BD386*$BB386,0))</f>
        <v>0</v>
      </c>
      <c r="BF386" s="42">
        <f t="shared" si="147"/>
        <v>0</v>
      </c>
      <c r="BG386" s="116">
        <f t="shared" si="148"/>
        <v>0.95</v>
      </c>
      <c r="BH386" s="9">
        <f>IF($C386="&lt;01",ROUND(INDEX(EID!$L:$L,MATCH($B386,EID!$B:$B,0)),0)/2,IF(SUM($BG386)=0,"",ROUND($AX386/$BG386,0)))</f>
        <v>0</v>
      </c>
    </row>
    <row r="387" spans="1:60" x14ac:dyDescent="0.2">
      <c r="A387" t="str">
        <f>INDEX(Prioritization!$D:$D,MATCH($B387,Prioritization!$A:$A,0))</f>
        <v>INVALID</v>
      </c>
      <c r="B387" t="s">
        <v>219</v>
      </c>
      <c r="C387" t="s">
        <v>365</v>
      </c>
      <c r="D387" t="s">
        <v>29</v>
      </c>
      <c r="E387" t="str">
        <f t="shared" si="126"/>
        <v>Phalombe District [AZyWpGzhcaA]|25-34|Female</v>
      </c>
      <c r="F387" s="14"/>
      <c r="G387" s="14"/>
      <c r="H387" s="14"/>
      <c r="I387" s="14"/>
      <c r="J387" s="14"/>
      <c r="K387" s="14"/>
      <c r="L387" s="14"/>
      <c r="M387" s="14"/>
      <c r="N387" s="14"/>
      <c r="O387" s="14" t="str">
        <f t="shared" si="127"/>
        <v/>
      </c>
      <c r="P387" s="14"/>
      <c r="Q387" s="14"/>
      <c r="R387" s="14" t="str">
        <f t="shared" si="128"/>
        <v/>
      </c>
      <c r="S387" s="14">
        <f>IF(LEFT($B387,4)="_Mil","",_xlfn.IFNA(ROUND(INDEX(Spectrum!$N:$N,MATCH(RIGHT($B387,13)&amp;"|"&amp;$C387&amp;"|"&amp;$D387&amp;"|"&amp;S$14&amp;"|"&amp;"CY2022Q4",Spectrum!$R:$R,0)),0),""))</f>
        <v>1254</v>
      </c>
      <c r="T387" s="42">
        <f>IF(LEFT($B387,4)="_Mil","",_xlfn.IFNA(ROUND(INDEX(Spectrum!$N:$N,MATCH(RIGHT($B387,13)&amp;"|"&amp;$C387&amp;"|"&amp;$D387&amp;"|"&amp;T$14&amp;"|"&amp;"CY2023Q3",Spectrum!$R:$R,0)),0),""))</f>
        <v>1593</v>
      </c>
      <c r="U387" s="42" t="str">
        <f>IF(LEFT($B387,4)="_Mil","",_xlfn.IFNA(ROUND(INDEX(Spectrum!$N:$N,MATCH(RIGHT($B387,13)&amp;"|"&amp;$C387&amp;"|"&amp;$D387&amp;"|"&amp;U$14&amp;"|"&amp;"CY2023Q3",Spectrum!$R:$R,0)),0),""))</f>
        <v/>
      </c>
      <c r="V387" s="14">
        <f>IF(LEFT($B387,4)="_Mil","",_xlfn.IFNA(ROUND(INDEX(Spectrum!$N:$N,MATCH(RIGHT($B387,13)&amp;"|"&amp;$C387&amp;"|"&amp;$D387&amp;"|"&amp;V$14&amp;"|"&amp;"CY2023Q3",Spectrum!$R:$R,0)),0),""))</f>
        <v>1952</v>
      </c>
      <c r="W387" s="115">
        <f>IF(LEFT($B387,4)="_Mil","",_xlfn.IFNA(INDEX(Spectrum!$N:$N,MATCH(RIGHT($B387,13)&amp;"|"&amp;$C387&amp;"|"&amp;$D387&amp;"|"&amp;W$14&amp;"|"&amp;"CY2023Q3",Spectrum!$R:$R,0)),""))</f>
        <v>1352</v>
      </c>
      <c r="X387" s="42">
        <f>IF(LEFT($B387,4)="_Mil","",_xlfn.IFNA(ROUND(INDEX(Spectrum!$N:$N,MATCH(RIGHT($B387,13)&amp;"|"&amp;$C387&amp;"|"&amp;$D387&amp;"|"&amp;X$14&amp;"|"&amp;"CY2023Q3",Spectrum!$R:$R,0)),0),""))</f>
        <v>1281</v>
      </c>
      <c r="Y387" s="90" t="str">
        <f t="shared" si="129"/>
        <v/>
      </c>
      <c r="Z387" s="42">
        <f>IF(LEFT($B387,4)="_Mil","",_xlfn.IFNA(ROUND(INDEX(Spectrum!$N:$N,MATCH(RIGHT($B387,13)&amp;"|"&amp;$C387&amp;"|"&amp;$D387&amp;"|"&amp;Z$14&amp;"|"&amp;"CY2023Q3",Spectrum!$R:$R,0)),0),""))</f>
        <v>638</v>
      </c>
      <c r="AA387" s="90">
        <f>IF(LEFT($B387,4)="_Mil","",IFERROR(1/(1/INDEX(Spectrum!$N:$N,MATCH(RIGHT($B387,13)&amp;"|"&amp;$C387&amp;"|"&amp;$D387&amp;"|"&amp;AA$14&amp;"|"&amp;"CY2023Q3",Spectrum!$R:$R,0))),IF(SUM($U387)=0,"",SUM($Z387)/$U387)))</f>
        <v>1966</v>
      </c>
      <c r="AB387" s="90">
        <f t="shared" si="130"/>
        <v>0.49804839968774395</v>
      </c>
      <c r="AC387" s="14">
        <f>IF(LEFT($B387,4)="_Mil","",_xlfn.IFNA(ROUND(INDEX(Spectrum!$N:$N,MATCH(RIGHT($B387,13)&amp;"|"&amp;$C387&amp;"|"&amp;$D387&amp;"|"&amp;AC$14&amp;"|"&amp;"CY2023Q3",Spectrum!$R:$R,0)),0),""))</f>
        <v>1170</v>
      </c>
      <c r="AD387" s="14" t="str">
        <f>IF(LEFT($B387,4)="_Mil","",_xlfn.IFNA(ROUND(INDEX(Spectrum!$N:$N,MATCH(RIGHT($B387,13)&amp;"|"&amp;$C387&amp;"|"&amp;$D387&amp;"|"&amp;AD$14&amp;"|"&amp;"CY2023Q3",Spectrum!$R:$R,0)),0),""))</f>
        <v/>
      </c>
      <c r="AE387" s="90">
        <f t="shared" si="131"/>
        <v>0</v>
      </c>
      <c r="AF387" s="42" t="str">
        <f>IF(LEFT($B387,4)="_Mil","",_xlfn.IFNA(ROUND(INDEX(Spectrum!$N:$N,MATCH(RIGHT($B387,13)&amp;"|"&amp;$C387&amp;"|"&amp;$D387&amp;"|"&amp;AF$14&amp;"|"&amp;"CY2023Q3",Spectrum!$R:$R,0)),0),""))</f>
        <v/>
      </c>
      <c r="AG387" s="90" t="str">
        <f t="shared" si="132"/>
        <v/>
      </c>
      <c r="AH387" s="88" t="str">
        <f>IF(LEFT($B387,4)="_Mil","",_xlfn.IFNA(INDEX(Spectrum!$N:$N,MATCH(RIGHT($B387,13)&amp;"|"&amp;$C387&amp;"|"&amp;$D387&amp;"|"&amp;AH$14&amp;"|"&amp;"CY2023Q3",Spectrum!$R:$R,0)),""))</f>
        <v/>
      </c>
      <c r="AI387" s="14" t="str">
        <f>IF(LEFT($B387,4)="_Mil","",_xlfn.IFNA(ROUND(INDEX(Spectrum!$N:$N,MATCH(RIGHT($B387,13)&amp;"|"&amp;$C387&amp;"|"&amp;$D387&amp;"|"&amp;AI$14&amp;"|"&amp;"CY2023Q3",Spectrum!$R:$R,0)),0),""))</f>
        <v/>
      </c>
      <c r="AJ387" s="42">
        <f>IF(LEFT($B387,4)="_Mil","",_xlfn.IFNA(ROUND(INDEX(Spectrum!$N:$N,MATCH(RIGHT($B387,13)&amp;"|"&amp;$C387&amp;"|"&amp;$D387&amp;"|"&amp;AI$14&amp;"|"&amp;"CY2023Q3",Spectrum!$R:$R,0)),0),SUM($U387)+SUM($AI387)))</f>
        <v>0</v>
      </c>
      <c r="AK387" s="14" t="str">
        <f>IF(LEFT($B387,4)="_Mil","",_xlfn.IFNA(ROUND(INDEX(Spectrum!$N:$N,MATCH(RIGHT($B387,13)&amp;"|"&amp;$C387&amp;"|"&amp;$D387&amp;"|"&amp;AK$14&amp;"|"&amp;"CY2023Q3",Spectrum!$R:$R,0)),0),""))</f>
        <v/>
      </c>
      <c r="AL387" s="90">
        <f t="shared" si="133"/>
        <v>1966</v>
      </c>
      <c r="AM387" s="14">
        <f t="shared" si="134"/>
        <v>0</v>
      </c>
      <c r="AN387" s="14" t="str">
        <f>IF($C387="&lt;01",ROUND(INDEX(EID!$P:$P,MATCH($B387,EID!$B:$B,0))/2,0),"")</f>
        <v/>
      </c>
      <c r="AO387" s="14">
        <f t="shared" si="135"/>
        <v>0</v>
      </c>
      <c r="AP387" s="42">
        <f t="shared" si="136"/>
        <v>0</v>
      </c>
      <c r="AQ387" s="42">
        <f t="shared" si="137"/>
        <v>638</v>
      </c>
      <c r="AR387" s="90" t="str">
        <f t="shared" si="138"/>
        <v/>
      </c>
      <c r="AS387" s="90">
        <f t="shared" si="150"/>
        <v>0.98</v>
      </c>
      <c r="AT387" s="90">
        <f t="shared" si="150"/>
        <v>0.98</v>
      </c>
      <c r="AU387" s="14">
        <f t="shared" si="140"/>
        <v>0</v>
      </c>
      <c r="AV387" s="14">
        <f>IF($C387="&lt;01",ROUND(INDEX(EID!$N:$N,MATCH($B387,EID!$B:$B,0))/2,0),IF(SUM($AT387)=0,"",ROUND((SUM($AP387)-(SUM($O387)*SUM($AS387)))/$AT387,0)))</f>
        <v>0</v>
      </c>
      <c r="AW387" s="90">
        <f t="shared" si="141"/>
        <v>1</v>
      </c>
      <c r="AX387" s="42">
        <f t="shared" si="142"/>
        <v>0</v>
      </c>
      <c r="AY387" s="116">
        <f t="shared" si="143"/>
        <v>0.7</v>
      </c>
      <c r="AZ387" s="93">
        <f>IF($C387="&lt;01",ROUND(INDEX(EID!$R:$R,MATCH($B387,EID!$B:$B,0))/2,0),ROUND(SUM($O387)+(SUM($AV387)*$AY387),0))</f>
        <v>0</v>
      </c>
      <c r="BA387" s="89">
        <f t="shared" si="144"/>
        <v>0.95</v>
      </c>
      <c r="BB387" s="9">
        <f>IF($C387="&lt;01",ROUND(INDEX(EID!$T:$T,MATCH($B387,EID!$B:$B,0))/2,0),ROUND($AZ387*$BA387,0))</f>
        <v>0</v>
      </c>
      <c r="BC387" s="93">
        <f t="shared" si="145"/>
        <v>0</v>
      </c>
      <c r="BD387" s="90">
        <f t="shared" si="146"/>
        <v>0.95</v>
      </c>
      <c r="BE387" s="42">
        <f>IF($C387="&lt;01",ROUND(INDEX(EID!$V:$V,MATCH($B387,EID!$B:$B,0))/2,0),ROUND($BD387*$BB387,0))</f>
        <v>0</v>
      </c>
      <c r="BF387" s="42">
        <f t="shared" si="147"/>
        <v>0</v>
      </c>
      <c r="BG387" s="116">
        <f t="shared" si="148"/>
        <v>0.95</v>
      </c>
      <c r="BH387" s="9">
        <f>IF($C387="&lt;01",ROUND(INDEX(EID!$L:$L,MATCH($B387,EID!$B:$B,0)),0)/2,IF(SUM($BG387)=0,"",ROUND($AX387/$BG387,0)))</f>
        <v>0</v>
      </c>
    </row>
    <row r="388" spans="1:60" x14ac:dyDescent="0.2">
      <c r="A388" t="str">
        <f>INDEX(Prioritization!$D:$D,MATCH($B388,Prioritization!$A:$A,0))</f>
        <v>INVALID</v>
      </c>
      <c r="B388" t="s">
        <v>219</v>
      </c>
      <c r="C388" t="s">
        <v>365</v>
      </c>
      <c r="D388" t="s">
        <v>47</v>
      </c>
      <c r="E388" t="str">
        <f t="shared" si="126"/>
        <v>Phalombe District [AZyWpGzhcaA]|25-34|Male</v>
      </c>
      <c r="F388" s="14"/>
      <c r="G388" s="14"/>
      <c r="H388" s="14"/>
      <c r="I388" s="14"/>
      <c r="J388" s="14"/>
      <c r="K388" s="14"/>
      <c r="L388" s="14"/>
      <c r="M388" s="14"/>
      <c r="N388" s="14"/>
      <c r="O388" s="14" t="str">
        <f t="shared" si="127"/>
        <v/>
      </c>
      <c r="P388" s="14"/>
      <c r="Q388" s="14"/>
      <c r="R388" s="14" t="str">
        <f t="shared" si="128"/>
        <v/>
      </c>
      <c r="S388" s="14">
        <f>IF(LEFT($B388,4)="_Mil","",_xlfn.IFNA(ROUND(INDEX(Spectrum!$N:$N,MATCH(RIGHT($B388,13)&amp;"|"&amp;$C388&amp;"|"&amp;$D388&amp;"|"&amp;S$14&amp;"|"&amp;"CY2022Q4",Spectrum!$R:$R,0)),0),""))</f>
        <v>1767</v>
      </c>
      <c r="T388" s="42">
        <f>IF(LEFT($B388,4)="_Mil","",_xlfn.IFNA(ROUND(INDEX(Spectrum!$N:$N,MATCH(RIGHT($B388,13)&amp;"|"&amp;$C388&amp;"|"&amp;$D388&amp;"|"&amp;T$14&amp;"|"&amp;"CY2023Q3",Spectrum!$R:$R,0)),0),""))</f>
        <v>774</v>
      </c>
      <c r="U388" s="42" t="str">
        <f>IF(LEFT($B388,4)="_Mil","",_xlfn.IFNA(ROUND(INDEX(Spectrum!$N:$N,MATCH(RIGHT($B388,13)&amp;"|"&amp;$C388&amp;"|"&amp;$D388&amp;"|"&amp;U$14&amp;"|"&amp;"CY2023Q3",Spectrum!$R:$R,0)),0),""))</f>
        <v/>
      </c>
      <c r="V388" s="14">
        <f>IF(LEFT($B388,4)="_Mil","",_xlfn.IFNA(ROUND(INDEX(Spectrum!$N:$N,MATCH(RIGHT($B388,13)&amp;"|"&amp;$C388&amp;"|"&amp;$D388&amp;"|"&amp;V$14&amp;"|"&amp;"CY2023Q3",Spectrum!$R:$R,0)),0),""))</f>
        <v>1425</v>
      </c>
      <c r="W388" s="115">
        <f>IF(LEFT($B388,4)="_Mil","",_xlfn.IFNA(INDEX(Spectrum!$N:$N,MATCH(RIGHT($B388,13)&amp;"|"&amp;$C388&amp;"|"&amp;$D388&amp;"|"&amp;W$14&amp;"|"&amp;"CY2023Q3",Spectrum!$R:$R,0)),""))</f>
        <v>1325</v>
      </c>
      <c r="X388" s="42">
        <f>IF(LEFT($B388,4)="_Mil","",_xlfn.IFNA(ROUND(INDEX(Spectrum!$N:$N,MATCH(RIGHT($B388,13)&amp;"|"&amp;$C388&amp;"|"&amp;$D388&amp;"|"&amp;X$14&amp;"|"&amp;"CY2023Q3",Spectrum!$R:$R,0)),0),""))</f>
        <v>956</v>
      </c>
      <c r="Y388" s="90" t="str">
        <f t="shared" si="129"/>
        <v/>
      </c>
      <c r="Z388" s="42">
        <f>IF(LEFT($B388,4)="_Mil","",_xlfn.IFNA(ROUND(INDEX(Spectrum!$N:$N,MATCH(RIGHT($B388,13)&amp;"|"&amp;$C388&amp;"|"&amp;$D388&amp;"|"&amp;Z$14&amp;"|"&amp;"CY2023Q3",Spectrum!$R:$R,0)),0),""))</f>
        <v>925</v>
      </c>
      <c r="AA388" s="90">
        <f>IF(LEFT($B388,4)="_Mil","",IFERROR(1/(1/INDEX(Spectrum!$N:$N,MATCH(RIGHT($B388,13)&amp;"|"&amp;$C388&amp;"|"&amp;$D388&amp;"|"&amp;AA$14&amp;"|"&amp;"CY2023Q3",Spectrum!$R:$R,0))),IF(SUM($U388)=0,"",SUM($Z388)/$U388)))</f>
        <v>1376</v>
      </c>
      <c r="AB388" s="90">
        <f t="shared" si="130"/>
        <v>0.96757322175732219</v>
      </c>
      <c r="AC388" s="14">
        <f>IF(LEFT($B388,4)="_Mil","",_xlfn.IFNA(ROUND(INDEX(Spectrum!$N:$N,MATCH(RIGHT($B388,13)&amp;"|"&amp;$C388&amp;"|"&amp;$D388&amp;"|"&amp;AC$14&amp;"|"&amp;"CY2023Q3",Spectrum!$R:$R,0)),0),""))</f>
        <v>686</v>
      </c>
      <c r="AD388" s="14" t="str">
        <f>IF(LEFT($B388,4)="_Mil","",_xlfn.IFNA(ROUND(INDEX(Spectrum!$N:$N,MATCH(RIGHT($B388,13)&amp;"|"&amp;$C388&amp;"|"&amp;$D388&amp;"|"&amp;AD$14&amp;"|"&amp;"CY2023Q3",Spectrum!$R:$R,0)),0),""))</f>
        <v/>
      </c>
      <c r="AE388" s="90">
        <f t="shared" si="131"/>
        <v>0</v>
      </c>
      <c r="AF388" s="42" t="str">
        <f>IF(LEFT($B388,4)="_Mil","",_xlfn.IFNA(ROUND(INDEX(Spectrum!$N:$N,MATCH(RIGHT($B388,13)&amp;"|"&amp;$C388&amp;"|"&amp;$D388&amp;"|"&amp;AF$14&amp;"|"&amp;"CY2023Q3",Spectrum!$R:$R,0)),0),""))</f>
        <v/>
      </c>
      <c r="AG388" s="90" t="str">
        <f t="shared" si="132"/>
        <v/>
      </c>
      <c r="AH388" s="88" t="str">
        <f>IF(LEFT($B388,4)="_Mil","",_xlfn.IFNA(INDEX(Spectrum!$N:$N,MATCH(RIGHT($B388,13)&amp;"|"&amp;$C388&amp;"|"&amp;$D388&amp;"|"&amp;AH$14&amp;"|"&amp;"CY2023Q3",Spectrum!$R:$R,0)),""))</f>
        <v/>
      </c>
      <c r="AI388" s="14" t="str">
        <f>IF(LEFT($B388,4)="_Mil","",_xlfn.IFNA(ROUND(INDEX(Spectrum!$N:$N,MATCH(RIGHT($B388,13)&amp;"|"&amp;$C388&amp;"|"&amp;$D388&amp;"|"&amp;AI$14&amp;"|"&amp;"CY2023Q3",Spectrum!$R:$R,0)),0),""))</f>
        <v/>
      </c>
      <c r="AJ388" s="42">
        <f>IF(LEFT($B388,4)="_Mil","",_xlfn.IFNA(ROUND(INDEX(Spectrum!$N:$N,MATCH(RIGHT($B388,13)&amp;"|"&amp;$C388&amp;"|"&amp;$D388&amp;"|"&amp;AI$14&amp;"|"&amp;"CY2023Q3",Spectrum!$R:$R,0)),0),SUM($U388)+SUM($AI388)))</f>
        <v>0</v>
      </c>
      <c r="AK388" s="14" t="str">
        <f>IF(LEFT($B388,4)="_Mil","",_xlfn.IFNA(ROUND(INDEX(Spectrum!$N:$N,MATCH(RIGHT($B388,13)&amp;"|"&amp;$C388&amp;"|"&amp;$D388&amp;"|"&amp;AK$14&amp;"|"&amp;"CY2023Q3",Spectrum!$R:$R,0)),0),""))</f>
        <v/>
      </c>
      <c r="AL388" s="90">
        <f t="shared" si="133"/>
        <v>1376</v>
      </c>
      <c r="AM388" s="14">
        <f t="shared" si="134"/>
        <v>0</v>
      </c>
      <c r="AN388" s="14" t="str">
        <f>IF($C388="&lt;01",ROUND(INDEX(EID!$P:$P,MATCH($B388,EID!$B:$B,0))/2,0),"")</f>
        <v/>
      </c>
      <c r="AO388" s="14">
        <f t="shared" si="135"/>
        <v>0</v>
      </c>
      <c r="AP388" s="42">
        <f t="shared" si="136"/>
        <v>0</v>
      </c>
      <c r="AQ388" s="42">
        <f t="shared" si="137"/>
        <v>925</v>
      </c>
      <c r="AR388" s="90" t="str">
        <f t="shared" si="138"/>
        <v/>
      </c>
      <c r="AS388" s="90">
        <f t="shared" si="150"/>
        <v>0.98</v>
      </c>
      <c r="AT388" s="90">
        <f t="shared" si="150"/>
        <v>0.98</v>
      </c>
      <c r="AU388" s="14">
        <f t="shared" si="140"/>
        <v>0</v>
      </c>
      <c r="AV388" s="14">
        <f>IF($C388="&lt;01",ROUND(INDEX(EID!$N:$N,MATCH($B388,EID!$B:$B,0))/2,0),IF(SUM($AT388)=0,"",ROUND((SUM($AP388)-(SUM($O388)*SUM($AS388)))/$AT388,0)))</f>
        <v>0</v>
      </c>
      <c r="AW388" s="90">
        <f t="shared" si="141"/>
        <v>1</v>
      </c>
      <c r="AX388" s="42">
        <f t="shared" si="142"/>
        <v>0</v>
      </c>
      <c r="AY388" s="116">
        <f t="shared" si="143"/>
        <v>0.7</v>
      </c>
      <c r="AZ388" s="93">
        <f>IF($C388="&lt;01",ROUND(INDEX(EID!$R:$R,MATCH($B388,EID!$B:$B,0))/2,0),ROUND(SUM($O388)+(SUM($AV388)*$AY388),0))</f>
        <v>0</v>
      </c>
      <c r="BA388" s="89">
        <f t="shared" si="144"/>
        <v>0.95</v>
      </c>
      <c r="BB388" s="9">
        <f>IF($C388="&lt;01",ROUND(INDEX(EID!$T:$T,MATCH($B388,EID!$B:$B,0))/2,0),ROUND($AZ388*$BA388,0))</f>
        <v>0</v>
      </c>
      <c r="BC388" s="93">
        <f t="shared" si="145"/>
        <v>0</v>
      </c>
      <c r="BD388" s="90">
        <f t="shared" si="146"/>
        <v>0.95</v>
      </c>
      <c r="BE388" s="42">
        <f>IF($C388="&lt;01",ROUND(INDEX(EID!$V:$V,MATCH($B388,EID!$B:$B,0))/2,0),ROUND($BD388*$BB388,0))</f>
        <v>0</v>
      </c>
      <c r="BF388" s="42">
        <f t="shared" si="147"/>
        <v>0</v>
      </c>
      <c r="BG388" s="116">
        <f t="shared" si="148"/>
        <v>0.95</v>
      </c>
      <c r="BH388" s="9">
        <f>IF($C388="&lt;01",ROUND(INDEX(EID!$L:$L,MATCH($B388,EID!$B:$B,0)),0)/2,IF(SUM($BG388)=0,"",ROUND($AX388/$BG388,0)))</f>
        <v>0</v>
      </c>
    </row>
    <row r="389" spans="1:60" x14ac:dyDescent="0.2">
      <c r="A389" t="str">
        <f>INDEX(Prioritization!$D:$D,MATCH($B389,Prioritization!$A:$A,0))</f>
        <v>INVALID</v>
      </c>
      <c r="B389" t="s">
        <v>219</v>
      </c>
      <c r="C389" t="s">
        <v>366</v>
      </c>
      <c r="D389" t="s">
        <v>29</v>
      </c>
      <c r="E389" t="str">
        <f t="shared" si="126"/>
        <v>Phalombe District [AZyWpGzhcaA]|35-49|Female</v>
      </c>
      <c r="F389" s="14"/>
      <c r="G389" s="14"/>
      <c r="H389" s="14"/>
      <c r="I389" s="14"/>
      <c r="J389" s="14"/>
      <c r="K389" s="14"/>
      <c r="L389" s="14"/>
      <c r="M389" s="14"/>
      <c r="N389" s="14"/>
      <c r="O389" s="14" t="str">
        <f t="shared" si="127"/>
        <v/>
      </c>
      <c r="P389" s="14"/>
      <c r="Q389" s="14"/>
      <c r="R389" s="14" t="str">
        <f t="shared" si="128"/>
        <v/>
      </c>
      <c r="S389" s="14">
        <f>IF(LEFT($B389,4)="_Mil","",_xlfn.IFNA(ROUND(INDEX(Spectrum!$N:$N,MATCH(RIGHT($B389,13)&amp;"|"&amp;$C389&amp;"|"&amp;$D389&amp;"|"&amp;S$14&amp;"|"&amp;"CY2022Q4",Spectrum!$R:$R,0)),0),""))</f>
        <v>1231</v>
      </c>
      <c r="T389" s="42">
        <f>IF(LEFT($B389,4)="_Mil","",_xlfn.IFNA(ROUND(INDEX(Spectrum!$N:$N,MATCH(RIGHT($B389,13)&amp;"|"&amp;$C389&amp;"|"&amp;$D389&amp;"|"&amp;T$14&amp;"|"&amp;"CY2023Q3",Spectrum!$R:$R,0)),0),""))</f>
        <v>1620</v>
      </c>
      <c r="U389" s="42" t="str">
        <f>IF(LEFT($B389,4)="_Mil","",_xlfn.IFNA(ROUND(INDEX(Spectrum!$N:$N,MATCH(RIGHT($B389,13)&amp;"|"&amp;$C389&amp;"|"&amp;$D389&amp;"|"&amp;U$14&amp;"|"&amp;"CY2023Q3",Spectrum!$R:$R,0)),0),""))</f>
        <v/>
      </c>
      <c r="V389" s="14">
        <f>IF(LEFT($B389,4)="_Mil","",_xlfn.IFNA(ROUND(INDEX(Spectrum!$N:$N,MATCH(RIGHT($B389,13)&amp;"|"&amp;$C389&amp;"|"&amp;$D389&amp;"|"&amp;V$14&amp;"|"&amp;"CY2023Q3",Spectrum!$R:$R,0)),0),""))</f>
        <v>1698</v>
      </c>
      <c r="W389" s="115">
        <f>IF(LEFT($B389,4)="_Mil","",_xlfn.IFNA(INDEX(Spectrum!$N:$N,MATCH(RIGHT($B389,13)&amp;"|"&amp;$C389&amp;"|"&amp;$D389&amp;"|"&amp;W$14&amp;"|"&amp;"CY2023Q3",Spectrum!$R:$R,0)),""))</f>
        <v>1300</v>
      </c>
      <c r="X389" s="42">
        <f>IF(LEFT($B389,4)="_Mil","",_xlfn.IFNA(ROUND(INDEX(Spectrum!$N:$N,MATCH(RIGHT($B389,13)&amp;"|"&amp;$C389&amp;"|"&amp;$D389&amp;"|"&amp;X$14&amp;"|"&amp;"CY2023Q3",Spectrum!$R:$R,0)),0),""))</f>
        <v>1973</v>
      </c>
      <c r="Y389" s="90" t="str">
        <f t="shared" si="129"/>
        <v/>
      </c>
      <c r="Z389" s="42">
        <f>IF(LEFT($B389,4)="_Mil","",_xlfn.IFNA(ROUND(INDEX(Spectrum!$N:$N,MATCH(RIGHT($B389,13)&amp;"|"&amp;$C389&amp;"|"&amp;$D389&amp;"|"&amp;Z$14&amp;"|"&amp;"CY2023Q3",Spectrum!$R:$R,0)),0),""))</f>
        <v>1981</v>
      </c>
      <c r="AA389" s="90">
        <f>IF(LEFT($B389,4)="_Mil","",IFERROR(1/(1/INDEX(Spectrum!$N:$N,MATCH(RIGHT($B389,13)&amp;"|"&amp;$C389&amp;"|"&amp;$D389&amp;"|"&amp;AA$14&amp;"|"&amp;"CY2023Q3",Spectrum!$R:$R,0))),IF(SUM($U389)=0,"",SUM($Z389)/$U389)))</f>
        <v>643</v>
      </c>
      <c r="AB389" s="90">
        <f t="shared" si="130"/>
        <v>1.0040547389761785</v>
      </c>
      <c r="AC389" s="14">
        <f>IF(LEFT($B389,4)="_Mil","",_xlfn.IFNA(ROUND(INDEX(Spectrum!$N:$N,MATCH(RIGHT($B389,13)&amp;"|"&amp;$C389&amp;"|"&amp;$D389&amp;"|"&amp;AC$14&amp;"|"&amp;"CY2023Q3",Spectrum!$R:$R,0)),0),""))</f>
        <v>1913</v>
      </c>
      <c r="AD389" s="14" t="str">
        <f>IF(LEFT($B389,4)="_Mil","",_xlfn.IFNA(ROUND(INDEX(Spectrum!$N:$N,MATCH(RIGHT($B389,13)&amp;"|"&amp;$C389&amp;"|"&amp;$D389&amp;"|"&amp;AD$14&amp;"|"&amp;"CY2023Q3",Spectrum!$R:$R,0)),0),""))</f>
        <v/>
      </c>
      <c r="AE389" s="90">
        <f t="shared" si="131"/>
        <v>0</v>
      </c>
      <c r="AF389" s="42" t="str">
        <f>IF(LEFT($B389,4)="_Mil","",_xlfn.IFNA(ROUND(INDEX(Spectrum!$N:$N,MATCH(RIGHT($B389,13)&amp;"|"&amp;$C389&amp;"|"&amp;$D389&amp;"|"&amp;AF$14&amp;"|"&amp;"CY2023Q3",Spectrum!$R:$R,0)),0),""))</f>
        <v/>
      </c>
      <c r="AG389" s="90" t="str">
        <f t="shared" si="132"/>
        <v/>
      </c>
      <c r="AH389" s="88" t="str">
        <f>IF(LEFT($B389,4)="_Mil","",_xlfn.IFNA(INDEX(Spectrum!$N:$N,MATCH(RIGHT($B389,13)&amp;"|"&amp;$C389&amp;"|"&amp;$D389&amp;"|"&amp;AH$14&amp;"|"&amp;"CY2023Q3",Spectrum!$R:$R,0)),""))</f>
        <v/>
      </c>
      <c r="AI389" s="14" t="str">
        <f>IF(LEFT($B389,4)="_Mil","",_xlfn.IFNA(ROUND(INDEX(Spectrum!$N:$N,MATCH(RIGHT($B389,13)&amp;"|"&amp;$C389&amp;"|"&amp;$D389&amp;"|"&amp;AI$14&amp;"|"&amp;"CY2023Q3",Spectrum!$R:$R,0)),0),""))</f>
        <v/>
      </c>
      <c r="AJ389" s="42">
        <f>IF(LEFT($B389,4)="_Mil","",_xlfn.IFNA(ROUND(INDEX(Spectrum!$N:$N,MATCH(RIGHT($B389,13)&amp;"|"&amp;$C389&amp;"|"&amp;$D389&amp;"|"&amp;AI$14&amp;"|"&amp;"CY2023Q3",Spectrum!$R:$R,0)),0),SUM($U389)+SUM($AI389)))</f>
        <v>0</v>
      </c>
      <c r="AK389" s="14" t="str">
        <f>IF(LEFT($B389,4)="_Mil","",_xlfn.IFNA(ROUND(INDEX(Spectrum!$N:$N,MATCH(RIGHT($B389,13)&amp;"|"&amp;$C389&amp;"|"&amp;$D389&amp;"|"&amp;AK$14&amp;"|"&amp;"CY2023Q3",Spectrum!$R:$R,0)),0),""))</f>
        <v/>
      </c>
      <c r="AL389" s="90">
        <f t="shared" si="133"/>
        <v>643</v>
      </c>
      <c r="AM389" s="14">
        <f t="shared" si="134"/>
        <v>0</v>
      </c>
      <c r="AN389" s="14" t="str">
        <f>IF($C389="&lt;01",ROUND(INDEX(EID!$P:$P,MATCH($B389,EID!$B:$B,0))/2,0),"")</f>
        <v/>
      </c>
      <c r="AO389" s="14">
        <f t="shared" si="135"/>
        <v>0</v>
      </c>
      <c r="AP389" s="42">
        <f t="shared" si="136"/>
        <v>0</v>
      </c>
      <c r="AQ389" s="42">
        <f t="shared" si="137"/>
        <v>1981</v>
      </c>
      <c r="AR389" s="90" t="str">
        <f t="shared" si="138"/>
        <v/>
      </c>
      <c r="AS389" s="90">
        <f t="shared" si="150"/>
        <v>0.98</v>
      </c>
      <c r="AT389" s="90">
        <f t="shared" si="150"/>
        <v>0.98</v>
      </c>
      <c r="AU389" s="14">
        <f t="shared" si="140"/>
        <v>0</v>
      </c>
      <c r="AV389" s="14">
        <f>IF($C389="&lt;01",ROUND(INDEX(EID!$N:$N,MATCH($B389,EID!$B:$B,0))/2,0),IF(SUM($AT389)=0,"",ROUND((SUM($AP389)-(SUM($O389)*SUM($AS389)))/$AT389,0)))</f>
        <v>0</v>
      </c>
      <c r="AW389" s="90">
        <f t="shared" si="141"/>
        <v>1</v>
      </c>
      <c r="AX389" s="42">
        <f t="shared" si="142"/>
        <v>0</v>
      </c>
      <c r="AY389" s="116">
        <f t="shared" si="143"/>
        <v>0.7</v>
      </c>
      <c r="AZ389" s="93">
        <f>IF($C389="&lt;01",ROUND(INDEX(EID!$R:$R,MATCH($B389,EID!$B:$B,0))/2,0),ROUND(SUM($O389)+(SUM($AV389)*$AY389),0))</f>
        <v>0</v>
      </c>
      <c r="BA389" s="89">
        <f t="shared" si="144"/>
        <v>0.95</v>
      </c>
      <c r="BB389" s="9">
        <f>IF($C389="&lt;01",ROUND(INDEX(EID!$T:$T,MATCH($B389,EID!$B:$B,0))/2,0),ROUND($AZ389*$BA389,0))</f>
        <v>0</v>
      </c>
      <c r="BC389" s="93">
        <f t="shared" si="145"/>
        <v>0</v>
      </c>
      <c r="BD389" s="90">
        <f t="shared" si="146"/>
        <v>0.95</v>
      </c>
      <c r="BE389" s="42">
        <f>IF($C389="&lt;01",ROUND(INDEX(EID!$V:$V,MATCH($B389,EID!$B:$B,0))/2,0),ROUND($BD389*$BB389,0))</f>
        <v>0</v>
      </c>
      <c r="BF389" s="42">
        <f t="shared" si="147"/>
        <v>0</v>
      </c>
      <c r="BG389" s="116">
        <f t="shared" si="148"/>
        <v>0.95</v>
      </c>
      <c r="BH389" s="9">
        <f>IF($C389="&lt;01",ROUND(INDEX(EID!$L:$L,MATCH($B389,EID!$B:$B,0)),0)/2,IF(SUM($BG389)=0,"",ROUND($AX389/$BG389,0)))</f>
        <v>0</v>
      </c>
    </row>
    <row r="390" spans="1:60" x14ac:dyDescent="0.2">
      <c r="A390" t="str">
        <f>INDEX(Prioritization!$D:$D,MATCH($B390,Prioritization!$A:$A,0))</f>
        <v>INVALID</v>
      </c>
      <c r="B390" t="s">
        <v>219</v>
      </c>
      <c r="C390" t="s">
        <v>366</v>
      </c>
      <c r="D390" t="s">
        <v>47</v>
      </c>
      <c r="E390" t="str">
        <f t="shared" si="126"/>
        <v>Phalombe District [AZyWpGzhcaA]|35-49|Male</v>
      </c>
      <c r="F390" s="14"/>
      <c r="G390" s="14"/>
      <c r="H390" s="14"/>
      <c r="I390" s="14"/>
      <c r="J390" s="14"/>
      <c r="K390" s="14"/>
      <c r="L390" s="14"/>
      <c r="M390" s="14"/>
      <c r="N390" s="14"/>
      <c r="O390" s="14" t="str">
        <f t="shared" si="127"/>
        <v/>
      </c>
      <c r="P390" s="14"/>
      <c r="Q390" s="14"/>
      <c r="R390" s="14" t="str">
        <f t="shared" si="128"/>
        <v/>
      </c>
      <c r="S390" s="14">
        <f>IF(LEFT($B390,4)="_Mil","",_xlfn.IFNA(ROUND(INDEX(Spectrum!$N:$N,MATCH(RIGHT($B390,13)&amp;"|"&amp;$C390&amp;"|"&amp;$D390&amp;"|"&amp;S$14&amp;"|"&amp;"CY2022Q4",Spectrum!$R:$R,0)),0),""))</f>
        <v>664</v>
      </c>
      <c r="T390" s="42">
        <f>IF(LEFT($B390,4)="_Mil","",_xlfn.IFNA(ROUND(INDEX(Spectrum!$N:$N,MATCH(RIGHT($B390,13)&amp;"|"&amp;$C390&amp;"|"&amp;$D390&amp;"|"&amp;T$14&amp;"|"&amp;"CY2023Q3",Spectrum!$R:$R,0)),0),""))</f>
        <v>1355</v>
      </c>
      <c r="U390" s="42" t="str">
        <f>IF(LEFT($B390,4)="_Mil","",_xlfn.IFNA(ROUND(INDEX(Spectrum!$N:$N,MATCH(RIGHT($B390,13)&amp;"|"&amp;$C390&amp;"|"&amp;$D390&amp;"|"&amp;U$14&amp;"|"&amp;"CY2023Q3",Spectrum!$R:$R,0)),0),""))</f>
        <v/>
      </c>
      <c r="V390" s="14">
        <f>IF(LEFT($B390,4)="_Mil","",_xlfn.IFNA(ROUND(INDEX(Spectrum!$N:$N,MATCH(RIGHT($B390,13)&amp;"|"&amp;$C390&amp;"|"&amp;$D390&amp;"|"&amp;V$14&amp;"|"&amp;"CY2023Q3",Spectrum!$R:$R,0)),0),""))</f>
        <v>1916</v>
      </c>
      <c r="W390" s="115">
        <f>IF(LEFT($B390,4)="_Mil","",_xlfn.IFNA(INDEX(Spectrum!$N:$N,MATCH(RIGHT($B390,13)&amp;"|"&amp;$C390&amp;"|"&amp;$D390&amp;"|"&amp;W$14&amp;"|"&amp;"CY2023Q3",Spectrum!$R:$R,0)),""))</f>
        <v>1176</v>
      </c>
      <c r="X390" s="42">
        <f>IF(LEFT($B390,4)="_Mil","",_xlfn.IFNA(ROUND(INDEX(Spectrum!$N:$N,MATCH(RIGHT($B390,13)&amp;"|"&amp;$C390&amp;"|"&amp;$D390&amp;"|"&amp;X$14&amp;"|"&amp;"CY2023Q3",Spectrum!$R:$R,0)),0),""))</f>
        <v>537</v>
      </c>
      <c r="Y390" s="90" t="str">
        <f t="shared" si="129"/>
        <v/>
      </c>
      <c r="Z390" s="42">
        <f>IF(LEFT($B390,4)="_Mil","",_xlfn.IFNA(ROUND(INDEX(Spectrum!$N:$N,MATCH(RIGHT($B390,13)&amp;"|"&amp;$C390&amp;"|"&amp;$D390&amp;"|"&amp;Z$14&amp;"|"&amp;"CY2023Q3",Spectrum!$R:$R,0)),0),""))</f>
        <v>1134</v>
      </c>
      <c r="AA390" s="90">
        <f>IF(LEFT($B390,4)="_Mil","",IFERROR(1/(1/INDEX(Spectrum!$N:$N,MATCH(RIGHT($B390,13)&amp;"|"&amp;$C390&amp;"|"&amp;$D390&amp;"|"&amp;AA$14&amp;"|"&amp;"CY2023Q3",Spectrum!$R:$R,0))),IF(SUM($U390)=0,"",SUM($Z390)/$U390)))</f>
        <v>1029</v>
      </c>
      <c r="AB390" s="90">
        <f t="shared" si="130"/>
        <v>2.1117318435754191</v>
      </c>
      <c r="AC390" s="14">
        <f>IF(LEFT($B390,4)="_Mil","",_xlfn.IFNA(ROUND(INDEX(Spectrum!$N:$N,MATCH(RIGHT($B390,13)&amp;"|"&amp;$C390&amp;"|"&amp;$D390&amp;"|"&amp;AC$14&amp;"|"&amp;"CY2023Q3",Spectrum!$R:$R,0)),0),""))</f>
        <v>1744</v>
      </c>
      <c r="AD390" s="14" t="str">
        <f>IF(LEFT($B390,4)="_Mil","",_xlfn.IFNA(ROUND(INDEX(Spectrum!$N:$N,MATCH(RIGHT($B390,13)&amp;"|"&amp;$C390&amp;"|"&amp;$D390&amp;"|"&amp;AD$14&amp;"|"&amp;"CY2023Q3",Spectrum!$R:$R,0)),0),""))</f>
        <v/>
      </c>
      <c r="AE390" s="90">
        <f t="shared" si="131"/>
        <v>0</v>
      </c>
      <c r="AF390" s="42" t="str">
        <f>IF(LEFT($B390,4)="_Mil","",_xlfn.IFNA(ROUND(INDEX(Spectrum!$N:$N,MATCH(RIGHT($B390,13)&amp;"|"&amp;$C390&amp;"|"&amp;$D390&amp;"|"&amp;AF$14&amp;"|"&amp;"CY2023Q3",Spectrum!$R:$R,0)),0),""))</f>
        <v/>
      </c>
      <c r="AG390" s="90" t="str">
        <f t="shared" si="132"/>
        <v/>
      </c>
      <c r="AH390" s="88" t="str">
        <f>IF(LEFT($B390,4)="_Mil","",_xlfn.IFNA(INDEX(Spectrum!$N:$N,MATCH(RIGHT($B390,13)&amp;"|"&amp;$C390&amp;"|"&amp;$D390&amp;"|"&amp;AH$14&amp;"|"&amp;"CY2023Q3",Spectrum!$R:$R,0)),""))</f>
        <v/>
      </c>
      <c r="AI390" s="14" t="str">
        <f>IF(LEFT($B390,4)="_Mil","",_xlfn.IFNA(ROUND(INDEX(Spectrum!$N:$N,MATCH(RIGHT($B390,13)&amp;"|"&amp;$C390&amp;"|"&amp;$D390&amp;"|"&amp;AI$14&amp;"|"&amp;"CY2023Q3",Spectrum!$R:$R,0)),0),""))</f>
        <v/>
      </c>
      <c r="AJ390" s="42">
        <f>IF(LEFT($B390,4)="_Mil","",_xlfn.IFNA(ROUND(INDEX(Spectrum!$N:$N,MATCH(RIGHT($B390,13)&amp;"|"&amp;$C390&amp;"|"&amp;$D390&amp;"|"&amp;AI$14&amp;"|"&amp;"CY2023Q3",Spectrum!$R:$R,0)),0),SUM($U390)+SUM($AI390)))</f>
        <v>0</v>
      </c>
      <c r="AK390" s="14" t="str">
        <f>IF(LEFT($B390,4)="_Mil","",_xlfn.IFNA(ROUND(INDEX(Spectrum!$N:$N,MATCH(RIGHT($B390,13)&amp;"|"&amp;$C390&amp;"|"&amp;$D390&amp;"|"&amp;AK$14&amp;"|"&amp;"CY2023Q3",Spectrum!$R:$R,0)),0),""))</f>
        <v/>
      </c>
      <c r="AL390" s="90">
        <f t="shared" si="133"/>
        <v>1029</v>
      </c>
      <c r="AM390" s="14">
        <f t="shared" si="134"/>
        <v>0</v>
      </c>
      <c r="AN390" s="14" t="str">
        <f>IF($C390="&lt;01",ROUND(INDEX(EID!$P:$P,MATCH($B390,EID!$B:$B,0))/2,0),"")</f>
        <v/>
      </c>
      <c r="AO390" s="14">
        <f t="shared" si="135"/>
        <v>0</v>
      </c>
      <c r="AP390" s="42">
        <f t="shared" si="136"/>
        <v>0</v>
      </c>
      <c r="AQ390" s="42">
        <f t="shared" si="137"/>
        <v>1134</v>
      </c>
      <c r="AR390" s="90" t="str">
        <f t="shared" si="138"/>
        <v/>
      </c>
      <c r="AS390" s="90">
        <f t="shared" si="150"/>
        <v>0.98</v>
      </c>
      <c r="AT390" s="90">
        <f t="shared" si="150"/>
        <v>0.98</v>
      </c>
      <c r="AU390" s="14">
        <f t="shared" si="140"/>
        <v>0</v>
      </c>
      <c r="AV390" s="14">
        <f>IF($C390="&lt;01",ROUND(INDEX(EID!$N:$N,MATCH($B390,EID!$B:$B,0))/2,0),IF(SUM($AT390)=0,"",ROUND((SUM($AP390)-(SUM($O390)*SUM($AS390)))/$AT390,0)))</f>
        <v>0</v>
      </c>
      <c r="AW390" s="90">
        <f t="shared" si="141"/>
        <v>1</v>
      </c>
      <c r="AX390" s="42">
        <f t="shared" si="142"/>
        <v>0</v>
      </c>
      <c r="AY390" s="116">
        <f t="shared" si="143"/>
        <v>0.7</v>
      </c>
      <c r="AZ390" s="93">
        <f>IF($C390="&lt;01",ROUND(INDEX(EID!$R:$R,MATCH($B390,EID!$B:$B,0))/2,0),ROUND(SUM($O390)+(SUM($AV390)*$AY390),0))</f>
        <v>0</v>
      </c>
      <c r="BA390" s="89">
        <f t="shared" si="144"/>
        <v>0.95</v>
      </c>
      <c r="BB390" s="9">
        <f>IF($C390="&lt;01",ROUND(INDEX(EID!$T:$T,MATCH($B390,EID!$B:$B,0))/2,0),ROUND($AZ390*$BA390,0))</f>
        <v>0</v>
      </c>
      <c r="BC390" s="93">
        <f t="shared" si="145"/>
        <v>0</v>
      </c>
      <c r="BD390" s="90">
        <f t="shared" si="146"/>
        <v>0.95</v>
      </c>
      <c r="BE390" s="42">
        <f>IF($C390="&lt;01",ROUND(INDEX(EID!$V:$V,MATCH($B390,EID!$B:$B,0))/2,0),ROUND($BD390*$BB390,0))</f>
        <v>0</v>
      </c>
      <c r="BF390" s="42">
        <f t="shared" si="147"/>
        <v>0</v>
      </c>
      <c r="BG390" s="116">
        <f t="shared" si="148"/>
        <v>0.95</v>
      </c>
      <c r="BH390" s="9">
        <f>IF($C390="&lt;01",ROUND(INDEX(EID!$L:$L,MATCH($B390,EID!$B:$B,0)),0)/2,IF(SUM($BG390)=0,"",ROUND($AX390/$BG390,0)))</f>
        <v>0</v>
      </c>
    </row>
    <row r="391" spans="1:60" x14ac:dyDescent="0.2">
      <c r="A391" t="str">
        <f>INDEX(Prioritization!$D:$D,MATCH($B391,Prioritization!$A:$A,0))</f>
        <v>INVALID</v>
      </c>
      <c r="B391" t="s">
        <v>219</v>
      </c>
      <c r="C391" t="s">
        <v>367</v>
      </c>
      <c r="D391" t="s">
        <v>29</v>
      </c>
      <c r="E391" t="str">
        <f t="shared" si="126"/>
        <v>Phalombe District [AZyWpGzhcaA]|50+|Female</v>
      </c>
      <c r="F391" s="14"/>
      <c r="G391" s="14"/>
      <c r="H391" s="14"/>
      <c r="I391" s="14"/>
      <c r="J391" s="14"/>
      <c r="K391" s="14"/>
      <c r="L391" s="14"/>
      <c r="M391" s="14"/>
      <c r="N391" s="14"/>
      <c r="O391" s="14" t="str">
        <f t="shared" si="127"/>
        <v/>
      </c>
      <c r="P391" s="14"/>
      <c r="Q391" s="14"/>
      <c r="R391" s="14" t="str">
        <f t="shared" si="128"/>
        <v/>
      </c>
      <c r="S391" s="14">
        <f>IF(LEFT($B391,4)="_Mil","",_xlfn.IFNA(ROUND(INDEX(Spectrum!$N:$N,MATCH(RIGHT($B391,13)&amp;"|"&amp;$C391&amp;"|"&amp;$D391&amp;"|"&amp;S$14&amp;"|"&amp;"CY2022Q4",Spectrum!$R:$R,0)),0),""))</f>
        <v>1965</v>
      </c>
      <c r="T391" s="42">
        <f>IF(LEFT($B391,4)="_Mil","",_xlfn.IFNA(ROUND(INDEX(Spectrum!$N:$N,MATCH(RIGHT($B391,13)&amp;"|"&amp;$C391&amp;"|"&amp;$D391&amp;"|"&amp;T$14&amp;"|"&amp;"CY2023Q3",Spectrum!$R:$R,0)),0),""))</f>
        <v>524</v>
      </c>
      <c r="U391" s="42" t="str">
        <f>IF(LEFT($B391,4)="_Mil","",_xlfn.IFNA(ROUND(INDEX(Spectrum!$N:$N,MATCH(RIGHT($B391,13)&amp;"|"&amp;$C391&amp;"|"&amp;$D391&amp;"|"&amp;U$14&amp;"|"&amp;"CY2023Q3",Spectrum!$R:$R,0)),0),""))</f>
        <v/>
      </c>
      <c r="V391" s="14">
        <f>IF(LEFT($B391,4)="_Mil","",_xlfn.IFNA(ROUND(INDEX(Spectrum!$N:$N,MATCH(RIGHT($B391,13)&amp;"|"&amp;$C391&amp;"|"&amp;$D391&amp;"|"&amp;V$14&amp;"|"&amp;"CY2023Q3",Spectrum!$R:$R,0)),0),""))</f>
        <v>606</v>
      </c>
      <c r="W391" s="115">
        <f>IF(LEFT($B391,4)="_Mil","",_xlfn.IFNA(INDEX(Spectrum!$N:$N,MATCH(RIGHT($B391,13)&amp;"|"&amp;$C391&amp;"|"&amp;$D391&amp;"|"&amp;W$14&amp;"|"&amp;"CY2023Q3",Spectrum!$R:$R,0)),""))</f>
        <v>1532</v>
      </c>
      <c r="X391" s="42">
        <f>IF(LEFT($B391,4)="_Mil","",_xlfn.IFNA(ROUND(INDEX(Spectrum!$N:$N,MATCH(RIGHT($B391,13)&amp;"|"&amp;$C391&amp;"|"&amp;$D391&amp;"|"&amp;X$14&amp;"|"&amp;"CY2023Q3",Spectrum!$R:$R,0)),0),""))</f>
        <v>1650</v>
      </c>
      <c r="Y391" s="90" t="str">
        <f t="shared" si="129"/>
        <v/>
      </c>
      <c r="Z391" s="42">
        <f>IF(LEFT($B391,4)="_Mil","",_xlfn.IFNA(ROUND(INDEX(Spectrum!$N:$N,MATCH(RIGHT($B391,13)&amp;"|"&amp;$C391&amp;"|"&amp;$D391&amp;"|"&amp;Z$14&amp;"|"&amp;"CY2023Q3",Spectrum!$R:$R,0)),0),""))</f>
        <v>962</v>
      </c>
      <c r="AA391" s="90">
        <f>IF(LEFT($B391,4)="_Mil","",IFERROR(1/(1/INDEX(Spectrum!$N:$N,MATCH(RIGHT($B391,13)&amp;"|"&amp;$C391&amp;"|"&amp;$D391&amp;"|"&amp;AA$14&amp;"|"&amp;"CY2023Q3",Spectrum!$R:$R,0))),IF(SUM($U391)=0,"",SUM($Z391)/$U391)))</f>
        <v>660</v>
      </c>
      <c r="AB391" s="90">
        <f t="shared" si="130"/>
        <v>0.58303030303030301</v>
      </c>
      <c r="AC391" s="14">
        <f>IF(LEFT($B391,4)="_Mil","",_xlfn.IFNA(ROUND(INDEX(Spectrum!$N:$N,MATCH(RIGHT($B391,13)&amp;"|"&amp;$C391&amp;"|"&amp;$D391&amp;"|"&amp;AC$14&amp;"|"&amp;"CY2023Q3",Spectrum!$R:$R,0)),0),""))</f>
        <v>1130</v>
      </c>
      <c r="AD391" s="14" t="str">
        <f>IF(LEFT($B391,4)="_Mil","",_xlfn.IFNA(ROUND(INDEX(Spectrum!$N:$N,MATCH(RIGHT($B391,13)&amp;"|"&amp;$C391&amp;"|"&amp;$D391&amp;"|"&amp;AD$14&amp;"|"&amp;"CY2023Q3",Spectrum!$R:$R,0)),0),""))</f>
        <v/>
      </c>
      <c r="AE391" s="90">
        <f t="shared" si="131"/>
        <v>0</v>
      </c>
      <c r="AF391" s="42" t="str">
        <f>IF(LEFT($B391,4)="_Mil","",_xlfn.IFNA(ROUND(INDEX(Spectrum!$N:$N,MATCH(RIGHT($B391,13)&amp;"|"&amp;$C391&amp;"|"&amp;$D391&amp;"|"&amp;AF$14&amp;"|"&amp;"CY2023Q3",Spectrum!$R:$R,0)),0),""))</f>
        <v/>
      </c>
      <c r="AG391" s="90" t="str">
        <f t="shared" si="132"/>
        <v/>
      </c>
      <c r="AH391" s="88" t="str">
        <f>IF(LEFT($B391,4)="_Mil","",_xlfn.IFNA(INDEX(Spectrum!$N:$N,MATCH(RIGHT($B391,13)&amp;"|"&amp;$C391&amp;"|"&amp;$D391&amp;"|"&amp;AH$14&amp;"|"&amp;"CY2023Q3",Spectrum!$R:$R,0)),""))</f>
        <v/>
      </c>
      <c r="AI391" s="14" t="str">
        <f>IF(LEFT($B391,4)="_Mil","",_xlfn.IFNA(ROUND(INDEX(Spectrum!$N:$N,MATCH(RIGHT($B391,13)&amp;"|"&amp;$C391&amp;"|"&amp;$D391&amp;"|"&amp;AI$14&amp;"|"&amp;"CY2023Q3",Spectrum!$R:$R,0)),0),""))</f>
        <v/>
      </c>
      <c r="AJ391" s="42">
        <f>IF(LEFT($B391,4)="_Mil","",_xlfn.IFNA(ROUND(INDEX(Spectrum!$N:$N,MATCH(RIGHT($B391,13)&amp;"|"&amp;$C391&amp;"|"&amp;$D391&amp;"|"&amp;AI$14&amp;"|"&amp;"CY2023Q3",Spectrum!$R:$R,0)),0),SUM($U391)+SUM($AI391)))</f>
        <v>0</v>
      </c>
      <c r="AK391" s="14" t="str">
        <f>IF(LEFT($B391,4)="_Mil","",_xlfn.IFNA(ROUND(INDEX(Spectrum!$N:$N,MATCH(RIGHT($B391,13)&amp;"|"&amp;$C391&amp;"|"&amp;$D391&amp;"|"&amp;AK$14&amp;"|"&amp;"CY2023Q3",Spectrum!$R:$R,0)),0),""))</f>
        <v/>
      </c>
      <c r="AL391" s="90">
        <f t="shared" si="133"/>
        <v>660</v>
      </c>
      <c r="AM391" s="14">
        <f t="shared" si="134"/>
        <v>0</v>
      </c>
      <c r="AN391" s="14" t="str">
        <f>IF($C391="&lt;01",ROUND(INDEX(EID!$P:$P,MATCH($B391,EID!$B:$B,0))/2,0),"")</f>
        <v/>
      </c>
      <c r="AO391" s="14">
        <f t="shared" si="135"/>
        <v>0</v>
      </c>
      <c r="AP391" s="42">
        <f t="shared" si="136"/>
        <v>0</v>
      </c>
      <c r="AQ391" s="42">
        <f t="shared" si="137"/>
        <v>962</v>
      </c>
      <c r="AR391" s="90" t="str">
        <f t="shared" si="138"/>
        <v/>
      </c>
      <c r="AS391" s="90">
        <f t="shared" si="150"/>
        <v>0.98</v>
      </c>
      <c r="AT391" s="90">
        <f t="shared" si="150"/>
        <v>0.98</v>
      </c>
      <c r="AU391" s="14">
        <f t="shared" si="140"/>
        <v>0</v>
      </c>
      <c r="AV391" s="14">
        <f>IF($C391="&lt;01",ROUND(INDEX(EID!$N:$N,MATCH($B391,EID!$B:$B,0))/2,0),IF(SUM($AT391)=0,"",ROUND((SUM($AP391)-(SUM($O391)*SUM($AS391)))/$AT391,0)))</f>
        <v>0</v>
      </c>
      <c r="AW391" s="90">
        <f t="shared" si="141"/>
        <v>1</v>
      </c>
      <c r="AX391" s="42">
        <f t="shared" si="142"/>
        <v>0</v>
      </c>
      <c r="AY391" s="116">
        <f t="shared" si="143"/>
        <v>0.7</v>
      </c>
      <c r="AZ391" s="93">
        <f>IF($C391="&lt;01",ROUND(INDEX(EID!$R:$R,MATCH($B391,EID!$B:$B,0))/2,0),ROUND(SUM($O391)+(SUM($AV391)*$AY391),0))</f>
        <v>0</v>
      </c>
      <c r="BA391" s="89">
        <f t="shared" si="144"/>
        <v>0.95</v>
      </c>
      <c r="BB391" s="9">
        <f>IF($C391="&lt;01",ROUND(INDEX(EID!$T:$T,MATCH($B391,EID!$B:$B,0))/2,0),ROUND($AZ391*$BA391,0))</f>
        <v>0</v>
      </c>
      <c r="BC391" s="93">
        <f t="shared" si="145"/>
        <v>0</v>
      </c>
      <c r="BD391" s="90">
        <f t="shared" si="146"/>
        <v>0.95</v>
      </c>
      <c r="BE391" s="42">
        <f>IF($C391="&lt;01",ROUND(INDEX(EID!$V:$V,MATCH($B391,EID!$B:$B,0))/2,0),ROUND($BD391*$BB391,0))</f>
        <v>0</v>
      </c>
      <c r="BF391" s="42">
        <f t="shared" si="147"/>
        <v>0</v>
      </c>
      <c r="BG391" s="116">
        <f t="shared" si="148"/>
        <v>0.95</v>
      </c>
      <c r="BH391" s="9">
        <f>IF($C391="&lt;01",ROUND(INDEX(EID!$L:$L,MATCH($B391,EID!$B:$B,0)),0)/2,IF(SUM($BG391)=0,"",ROUND($AX391/$BG391,0)))</f>
        <v>0</v>
      </c>
    </row>
    <row r="392" spans="1:60" x14ac:dyDescent="0.2">
      <c r="A392" t="str">
        <f>INDEX(Prioritization!$D:$D,MATCH($B392,Prioritization!$A:$A,0))</f>
        <v>INVALID</v>
      </c>
      <c r="B392" t="s">
        <v>219</v>
      </c>
      <c r="C392" t="s">
        <v>367</v>
      </c>
      <c r="D392" t="s">
        <v>47</v>
      </c>
      <c r="E392" t="str">
        <f t="shared" si="126"/>
        <v>Phalombe District [AZyWpGzhcaA]|50+|Male</v>
      </c>
      <c r="F392" s="14"/>
      <c r="G392" s="14"/>
      <c r="H392" s="14"/>
      <c r="I392" s="14"/>
      <c r="J392" s="14"/>
      <c r="K392" s="14"/>
      <c r="L392" s="14"/>
      <c r="M392" s="14"/>
      <c r="N392" s="14"/>
      <c r="O392" s="14" t="str">
        <f t="shared" si="127"/>
        <v/>
      </c>
      <c r="P392" s="14"/>
      <c r="Q392" s="14"/>
      <c r="R392" s="14" t="str">
        <f t="shared" si="128"/>
        <v/>
      </c>
      <c r="S392" s="14">
        <f>IF(LEFT($B392,4)="_Mil","",_xlfn.IFNA(ROUND(INDEX(Spectrum!$N:$N,MATCH(RIGHT($B392,13)&amp;"|"&amp;$C392&amp;"|"&amp;$D392&amp;"|"&amp;S$14&amp;"|"&amp;"CY2022Q4",Spectrum!$R:$R,0)),0),""))</f>
        <v>744</v>
      </c>
      <c r="T392" s="42">
        <f>IF(LEFT($B392,4)="_Mil","",_xlfn.IFNA(ROUND(INDEX(Spectrum!$N:$N,MATCH(RIGHT($B392,13)&amp;"|"&amp;$C392&amp;"|"&amp;$D392&amp;"|"&amp;T$14&amp;"|"&amp;"CY2023Q3",Spectrum!$R:$R,0)),0),""))</f>
        <v>661</v>
      </c>
      <c r="U392" s="42" t="str">
        <f>IF(LEFT($B392,4)="_Mil","",_xlfn.IFNA(ROUND(INDEX(Spectrum!$N:$N,MATCH(RIGHT($B392,13)&amp;"|"&amp;$C392&amp;"|"&amp;$D392&amp;"|"&amp;U$14&amp;"|"&amp;"CY2023Q3",Spectrum!$R:$R,0)),0),""))</f>
        <v/>
      </c>
      <c r="V392" s="14">
        <f>IF(LEFT($B392,4)="_Mil","",_xlfn.IFNA(ROUND(INDEX(Spectrum!$N:$N,MATCH(RIGHT($B392,13)&amp;"|"&amp;$C392&amp;"|"&amp;$D392&amp;"|"&amp;V$14&amp;"|"&amp;"CY2023Q3",Spectrum!$R:$R,0)),0),""))</f>
        <v>790</v>
      </c>
      <c r="W392" s="115">
        <f>IF(LEFT($B392,4)="_Mil","",_xlfn.IFNA(INDEX(Spectrum!$N:$N,MATCH(RIGHT($B392,13)&amp;"|"&amp;$C392&amp;"|"&amp;$D392&amp;"|"&amp;W$14&amp;"|"&amp;"CY2023Q3",Spectrum!$R:$R,0)),""))</f>
        <v>1501</v>
      </c>
      <c r="X392" s="42">
        <f>IF(LEFT($B392,4)="_Mil","",_xlfn.IFNA(ROUND(INDEX(Spectrum!$N:$N,MATCH(RIGHT($B392,13)&amp;"|"&amp;$C392&amp;"|"&amp;$D392&amp;"|"&amp;X$14&amp;"|"&amp;"CY2023Q3",Spectrum!$R:$R,0)),0),""))</f>
        <v>1315</v>
      </c>
      <c r="Y392" s="90" t="str">
        <f t="shared" si="129"/>
        <v/>
      </c>
      <c r="Z392" s="42">
        <f>IF(LEFT($B392,4)="_Mil","",_xlfn.IFNA(ROUND(INDEX(Spectrum!$N:$N,MATCH(RIGHT($B392,13)&amp;"|"&amp;$C392&amp;"|"&amp;$D392&amp;"|"&amp;Z$14&amp;"|"&amp;"CY2023Q3",Spectrum!$R:$R,0)),0),""))</f>
        <v>1157</v>
      </c>
      <c r="AA392" s="90">
        <f>IF(LEFT($B392,4)="_Mil","",IFERROR(1/(1/INDEX(Spectrum!$N:$N,MATCH(RIGHT($B392,13)&amp;"|"&amp;$C392&amp;"|"&amp;$D392&amp;"|"&amp;AA$14&amp;"|"&amp;"CY2023Q3",Spectrum!$R:$R,0))),IF(SUM($U392)=0,"",SUM($Z392)/$U392)))</f>
        <v>1796</v>
      </c>
      <c r="AB392" s="90">
        <f t="shared" si="130"/>
        <v>0.8798479087452471</v>
      </c>
      <c r="AC392" s="14">
        <f>IF(LEFT($B392,4)="_Mil","",_xlfn.IFNA(ROUND(INDEX(Spectrum!$N:$N,MATCH(RIGHT($B392,13)&amp;"|"&amp;$C392&amp;"|"&amp;$D392&amp;"|"&amp;AC$14&amp;"|"&amp;"CY2023Q3",Spectrum!$R:$R,0)),0),""))</f>
        <v>545</v>
      </c>
      <c r="AD392" s="14" t="str">
        <f>IF(LEFT($B392,4)="_Mil","",_xlfn.IFNA(ROUND(INDEX(Spectrum!$N:$N,MATCH(RIGHT($B392,13)&amp;"|"&amp;$C392&amp;"|"&amp;$D392&amp;"|"&amp;AD$14&amp;"|"&amp;"CY2023Q3",Spectrum!$R:$R,0)),0),""))</f>
        <v/>
      </c>
      <c r="AE392" s="90">
        <f t="shared" si="131"/>
        <v>0</v>
      </c>
      <c r="AF392" s="42" t="str">
        <f>IF(LEFT($B392,4)="_Mil","",_xlfn.IFNA(ROUND(INDEX(Spectrum!$N:$N,MATCH(RIGHT($B392,13)&amp;"|"&amp;$C392&amp;"|"&amp;$D392&amp;"|"&amp;AF$14&amp;"|"&amp;"CY2023Q3",Spectrum!$R:$R,0)),0),""))</f>
        <v/>
      </c>
      <c r="AG392" s="90" t="str">
        <f t="shared" si="132"/>
        <v/>
      </c>
      <c r="AH392" s="88" t="str">
        <f>IF(LEFT($B392,4)="_Mil","",_xlfn.IFNA(INDEX(Spectrum!$N:$N,MATCH(RIGHT($B392,13)&amp;"|"&amp;$C392&amp;"|"&amp;$D392&amp;"|"&amp;AH$14&amp;"|"&amp;"CY2023Q3",Spectrum!$R:$R,0)),""))</f>
        <v/>
      </c>
      <c r="AI392" s="14" t="str">
        <f>IF(LEFT($B392,4)="_Mil","",_xlfn.IFNA(ROUND(INDEX(Spectrum!$N:$N,MATCH(RIGHT($B392,13)&amp;"|"&amp;$C392&amp;"|"&amp;$D392&amp;"|"&amp;AI$14&amp;"|"&amp;"CY2023Q3",Spectrum!$R:$R,0)),0),""))</f>
        <v/>
      </c>
      <c r="AJ392" s="42">
        <f>IF(LEFT($B392,4)="_Mil","",_xlfn.IFNA(ROUND(INDEX(Spectrum!$N:$N,MATCH(RIGHT($B392,13)&amp;"|"&amp;$C392&amp;"|"&amp;$D392&amp;"|"&amp;AI$14&amp;"|"&amp;"CY2023Q3",Spectrum!$R:$R,0)),0),SUM($U392)+SUM($AI392)))</f>
        <v>0</v>
      </c>
      <c r="AK392" s="14" t="str">
        <f>IF(LEFT($B392,4)="_Mil","",_xlfn.IFNA(ROUND(INDEX(Spectrum!$N:$N,MATCH(RIGHT($B392,13)&amp;"|"&amp;$C392&amp;"|"&amp;$D392&amp;"|"&amp;AK$14&amp;"|"&amp;"CY2023Q3",Spectrum!$R:$R,0)),0),""))</f>
        <v/>
      </c>
      <c r="AL392" s="90">
        <f t="shared" si="133"/>
        <v>1796</v>
      </c>
      <c r="AM392" s="14">
        <f t="shared" si="134"/>
        <v>0</v>
      </c>
      <c r="AN392" s="14" t="str">
        <f>IF($C392="&lt;01",ROUND(INDEX(EID!$P:$P,MATCH($B392,EID!$B:$B,0))/2,0),"")</f>
        <v/>
      </c>
      <c r="AO392" s="14">
        <f t="shared" si="135"/>
        <v>0</v>
      </c>
      <c r="AP392" s="42">
        <f t="shared" si="136"/>
        <v>0</v>
      </c>
      <c r="AQ392" s="42">
        <f t="shared" si="137"/>
        <v>1157</v>
      </c>
      <c r="AR392" s="90" t="str">
        <f t="shared" si="138"/>
        <v/>
      </c>
      <c r="AS392" s="90">
        <f t="shared" si="150"/>
        <v>0.98</v>
      </c>
      <c r="AT392" s="90">
        <f t="shared" si="150"/>
        <v>0.98</v>
      </c>
      <c r="AU392" s="14">
        <f t="shared" si="140"/>
        <v>0</v>
      </c>
      <c r="AV392" s="14">
        <f>IF($C392="&lt;01",ROUND(INDEX(EID!$N:$N,MATCH($B392,EID!$B:$B,0))/2,0),IF(SUM($AT392)=0,"",ROUND((SUM($AP392)-(SUM($O392)*SUM($AS392)))/$AT392,0)))</f>
        <v>0</v>
      </c>
      <c r="AW392" s="90">
        <f t="shared" si="141"/>
        <v>1</v>
      </c>
      <c r="AX392" s="42">
        <f t="shared" si="142"/>
        <v>0</v>
      </c>
      <c r="AY392" s="116">
        <f t="shared" si="143"/>
        <v>0.7</v>
      </c>
      <c r="AZ392" s="93">
        <f>IF($C392="&lt;01",ROUND(INDEX(EID!$R:$R,MATCH($B392,EID!$B:$B,0))/2,0),ROUND(SUM($O392)+(SUM($AV392)*$AY392),0))</f>
        <v>0</v>
      </c>
      <c r="BA392" s="89">
        <f t="shared" si="144"/>
        <v>0.95</v>
      </c>
      <c r="BB392" s="9">
        <f>IF($C392="&lt;01",ROUND(INDEX(EID!$T:$T,MATCH($B392,EID!$B:$B,0))/2,0),ROUND($AZ392*$BA392,0))</f>
        <v>0</v>
      </c>
      <c r="BC392" s="93">
        <f t="shared" si="145"/>
        <v>0</v>
      </c>
      <c r="BD392" s="90">
        <f t="shared" si="146"/>
        <v>0.95</v>
      </c>
      <c r="BE392" s="42">
        <f>IF($C392="&lt;01",ROUND(INDEX(EID!$V:$V,MATCH($B392,EID!$B:$B,0))/2,0),ROUND($BD392*$BB392,0))</f>
        <v>0</v>
      </c>
      <c r="BF392" s="42">
        <f t="shared" si="147"/>
        <v>0</v>
      </c>
      <c r="BG392" s="116">
        <f t="shared" si="148"/>
        <v>0.95</v>
      </c>
      <c r="BH392" s="9">
        <f>IF($C392="&lt;01",ROUND(INDEX(EID!$L:$L,MATCH($B392,EID!$B:$B,0)),0)/2,IF(SUM($BG392)=0,"",ROUND($AX392/$BG392,0)))</f>
        <v>0</v>
      </c>
    </row>
    <row r="393" spans="1:60" x14ac:dyDescent="0.2">
      <c r="A393" t="str">
        <f>INDEX(Prioritization!$D:$D,MATCH($B393,Prioritization!$A:$A,0))</f>
        <v>1 - Scale-up: Saturation</v>
      </c>
      <c r="B393" t="s">
        <v>220</v>
      </c>
      <c r="C393" t="s">
        <v>315</v>
      </c>
      <c r="D393" t="s">
        <v>29</v>
      </c>
      <c r="E393" t="str">
        <f t="shared" si="126"/>
        <v>Thyolo District [ul0y9diGujK]|&lt;01|Female</v>
      </c>
      <c r="F393" s="14"/>
      <c r="G393" s="14">
        <v>5</v>
      </c>
      <c r="H393" s="14">
        <v>6</v>
      </c>
      <c r="I393" s="14">
        <v>1</v>
      </c>
      <c r="J393" s="14">
        <v>4</v>
      </c>
      <c r="K393" s="14">
        <v>9</v>
      </c>
      <c r="L393" s="14"/>
      <c r="M393" s="14">
        <v>0</v>
      </c>
      <c r="N393" s="14">
        <v>0</v>
      </c>
      <c r="O393" s="14">
        <f t="shared" si="127"/>
        <v>1</v>
      </c>
      <c r="P393" s="14">
        <v>1</v>
      </c>
      <c r="Q393" s="14">
        <v>0</v>
      </c>
      <c r="R393" s="14">
        <f t="shared" si="128"/>
        <v>0</v>
      </c>
      <c r="S393" s="14">
        <f>IF(LEFT($B393,4)="_Mil","",_xlfn.IFNA(ROUND(INDEX(Spectrum!$N:$N,MATCH(RIGHT($B393,13)&amp;"|"&amp;$C393&amp;"|"&amp;$D393&amp;"|"&amp;S$14&amp;"|"&amp;"CY2022Q4",Spectrum!$R:$R,0)),0),""))</f>
        <v>1758</v>
      </c>
      <c r="T393" s="42">
        <f>IF(LEFT($B393,4)="_Mil","",_xlfn.IFNA(ROUND(INDEX(Spectrum!$N:$N,MATCH(RIGHT($B393,13)&amp;"|"&amp;$C393&amp;"|"&amp;$D393&amp;"|"&amp;T$14&amp;"|"&amp;"CY2023Q3",Spectrum!$R:$R,0)),0),""))</f>
        <v>1179</v>
      </c>
      <c r="U393" s="42" t="str">
        <f>IF(LEFT($B393,4)="_Mil","",_xlfn.IFNA(ROUND(INDEX(Spectrum!$N:$N,MATCH(RIGHT($B393,13)&amp;"|"&amp;$C393&amp;"|"&amp;$D393&amp;"|"&amp;U$14&amp;"|"&amp;"CY2023Q3",Spectrum!$R:$R,0)),0),""))</f>
        <v/>
      </c>
      <c r="V393" s="14">
        <f>IF(LEFT($B393,4)="_Mil","",_xlfn.IFNA(ROUND(INDEX(Spectrum!$N:$N,MATCH(RIGHT($B393,13)&amp;"|"&amp;$C393&amp;"|"&amp;$D393&amp;"|"&amp;V$14&amp;"|"&amp;"CY2023Q3",Spectrum!$R:$R,0)),0),""))</f>
        <v>561</v>
      </c>
      <c r="W393" s="115">
        <f>IF(LEFT($B393,4)="_Mil","",_xlfn.IFNA(INDEX(Spectrum!$N:$N,MATCH(RIGHT($B393,13)&amp;"|"&amp;$C393&amp;"|"&amp;$D393&amp;"|"&amp;W$14&amp;"|"&amp;"CY2023Q3",Spectrum!$R:$R,0)),""))</f>
        <v>1228</v>
      </c>
      <c r="X393" s="42">
        <f>IF(LEFT($B393,4)="_Mil","",_xlfn.IFNA(ROUND(INDEX(Spectrum!$N:$N,MATCH(RIGHT($B393,13)&amp;"|"&amp;$C393&amp;"|"&amp;$D393&amp;"|"&amp;X$14&amp;"|"&amp;"CY2023Q3",Spectrum!$R:$R,0)),0),""))</f>
        <v>1578</v>
      </c>
      <c r="Y393" s="90" t="str">
        <f t="shared" si="129"/>
        <v/>
      </c>
      <c r="Z393" s="42">
        <f>IF(LEFT($B393,4)="_Mil","",_xlfn.IFNA(ROUND(INDEX(Spectrum!$N:$N,MATCH(RIGHT($B393,13)&amp;"|"&amp;$C393&amp;"|"&amp;$D393&amp;"|"&amp;Z$14&amp;"|"&amp;"CY2023Q3",Spectrum!$R:$R,0)),0),""))</f>
        <v>1838</v>
      </c>
      <c r="AA393" s="90">
        <f>IF(LEFT($B393,4)="_Mil","",IFERROR(1/(1/INDEX(Spectrum!$N:$N,MATCH(RIGHT($B393,13)&amp;"|"&amp;$C393&amp;"|"&amp;$D393&amp;"|"&amp;AA$14&amp;"|"&amp;"CY2023Q3",Spectrum!$R:$R,0))),IF(SUM($U393)=0,"",SUM($Z393)/$U393)))</f>
        <v>1051</v>
      </c>
      <c r="AB393" s="90">
        <f t="shared" si="130"/>
        <v>1.164765525982256</v>
      </c>
      <c r="AC393" s="14">
        <f>IF(LEFT($B393,4)="_Mil","",_xlfn.IFNA(ROUND(INDEX(Spectrum!$N:$N,MATCH(RIGHT($B393,13)&amp;"|"&amp;$C393&amp;"|"&amp;$D393&amp;"|"&amp;AC$14&amp;"|"&amp;"CY2023Q3",Spectrum!$R:$R,0)),0),""))</f>
        <v>911</v>
      </c>
      <c r="AD393" s="14" t="str">
        <f>IF(LEFT($B393,4)="_Mil","",_xlfn.IFNA(ROUND(INDEX(Spectrum!$N:$N,MATCH(RIGHT($B393,13)&amp;"|"&amp;$C393&amp;"|"&amp;$D393&amp;"|"&amp;AD$14&amp;"|"&amp;"CY2023Q3",Spectrum!$R:$R,0)),0),""))</f>
        <v/>
      </c>
      <c r="AE393" s="90">
        <f t="shared" si="131"/>
        <v>0</v>
      </c>
      <c r="AF393" s="42" t="str">
        <f>IF(LEFT($B393,4)="_Mil","",_xlfn.IFNA(ROUND(INDEX(Spectrum!$N:$N,MATCH(RIGHT($B393,13)&amp;"|"&amp;$C393&amp;"|"&amp;$D393&amp;"|"&amp;AF$14&amp;"|"&amp;"CY2023Q3",Spectrum!$R:$R,0)),0),""))</f>
        <v/>
      </c>
      <c r="AG393" s="90" t="str">
        <f t="shared" si="132"/>
        <v/>
      </c>
      <c r="AH393" s="88" t="str">
        <f>IF(LEFT($B393,4)="_Mil","",_xlfn.IFNA(INDEX(Spectrum!$N:$N,MATCH(RIGHT($B393,13)&amp;"|"&amp;$C393&amp;"|"&amp;$D393&amp;"|"&amp;AH$14&amp;"|"&amp;"CY2023Q3",Spectrum!$R:$R,0)),""))</f>
        <v/>
      </c>
      <c r="AI393" s="14" t="str">
        <f>IF(LEFT($B393,4)="_Mil","",_xlfn.IFNA(ROUND(INDEX(Spectrum!$N:$N,MATCH(RIGHT($B393,13)&amp;"|"&amp;$C393&amp;"|"&amp;$D393&amp;"|"&amp;AI$14&amp;"|"&amp;"CY2023Q3",Spectrum!$R:$R,0)),0),""))</f>
        <v/>
      </c>
      <c r="AJ393" s="42">
        <f>IF(LEFT($B393,4)="_Mil","",_xlfn.IFNA(ROUND(INDEX(Spectrum!$N:$N,MATCH(RIGHT($B393,13)&amp;"|"&amp;$C393&amp;"|"&amp;$D393&amp;"|"&amp;AI$14&amp;"|"&amp;"CY2023Q3",Spectrum!$R:$R,0)),0),SUM($U393)+SUM($AI393)))</f>
        <v>0</v>
      </c>
      <c r="AK393" s="14" t="str">
        <f>IF(LEFT($B393,4)="_Mil","",_xlfn.IFNA(ROUND(INDEX(Spectrum!$N:$N,MATCH(RIGHT($B393,13)&amp;"|"&amp;$C393&amp;"|"&amp;$D393&amp;"|"&amp;AK$14&amp;"|"&amp;"CY2023Q3",Spectrum!$R:$R,0)),0),""))</f>
        <v/>
      </c>
      <c r="AL393" s="90" t="str">
        <f t="shared" si="133"/>
        <v/>
      </c>
      <c r="AM393" s="14" t="str">
        <f t="shared" si="134"/>
        <v/>
      </c>
      <c r="AN393" s="14">
        <f>IF($C393="&lt;01",ROUND(INDEX(EID!$P:$P,MATCH($B393,EID!$B:$B,0))/2,0),"")</f>
        <v>1</v>
      </c>
      <c r="AO393" s="14">
        <f t="shared" si="135"/>
        <v>1</v>
      </c>
      <c r="AP393" s="42">
        <f t="shared" si="136"/>
        <v>1</v>
      </c>
      <c r="AQ393" s="42">
        <f t="shared" si="137"/>
        <v>1838</v>
      </c>
      <c r="AR393" s="90" t="str">
        <f t="shared" si="138"/>
        <v/>
      </c>
      <c r="AS393" s="90" t="str">
        <f t="shared" si="150"/>
        <v/>
      </c>
      <c r="AT393" s="90" t="str">
        <f t="shared" si="150"/>
        <v/>
      </c>
      <c r="AU393" s="14" t="str">
        <f t="shared" si="140"/>
        <v/>
      </c>
      <c r="AV393" s="14">
        <f>IF($C393="&lt;01",ROUND(INDEX(EID!$N:$N,MATCH($B393,EID!$B:$B,0))/2,0),IF(SUM($AT393)=0,"",ROUND((SUM($AP393)-(SUM($O393)*SUM($AS393)))/$AT393,0)))</f>
        <v>1</v>
      </c>
      <c r="AW393" s="90" t="str">
        <f t="shared" si="141"/>
        <v/>
      </c>
      <c r="AX393" s="42">
        <f t="shared" si="142"/>
        <v>1</v>
      </c>
      <c r="AY393" s="116" t="str">
        <f t="shared" si="143"/>
        <v/>
      </c>
      <c r="AZ393" s="93">
        <f>IF($C393="&lt;01",ROUND(INDEX(EID!$R:$R,MATCH($B393,EID!$B:$B,0))/2,0),ROUND(SUM($O393)+(SUM($AV393)*$AY393),0))</f>
        <v>1</v>
      </c>
      <c r="BA393" s="89" t="str">
        <f t="shared" si="144"/>
        <v/>
      </c>
      <c r="BB393" s="9">
        <f>IF($C393="&lt;01",ROUND(INDEX(EID!$T:$T,MATCH($B393,EID!$B:$B,0))/2,0),ROUND($AZ393*$BA393,0))</f>
        <v>1</v>
      </c>
      <c r="BC393" s="93">
        <f t="shared" si="145"/>
        <v>1838</v>
      </c>
      <c r="BD393" s="90" t="str">
        <f t="shared" si="146"/>
        <v/>
      </c>
      <c r="BE393" s="42">
        <f>IF($C393="&lt;01",ROUND(INDEX(EID!$V:$V,MATCH($B393,EID!$B:$B,0))/2,0),ROUND($BD393*$BB393,0))</f>
        <v>1</v>
      </c>
      <c r="BF393" s="42">
        <f t="shared" si="147"/>
        <v>1838</v>
      </c>
      <c r="BG393" s="116" t="str">
        <f t="shared" si="148"/>
        <v/>
      </c>
      <c r="BH393" s="9">
        <f>IF($C393="&lt;01",ROUND(INDEX(EID!$L:$L,MATCH($B393,EID!$B:$B,0)),0)/2,IF(SUM($BG393)=0,"",ROUND($AX393/$BG393,0)))</f>
        <v>1</v>
      </c>
    </row>
    <row r="394" spans="1:60" x14ac:dyDescent="0.2">
      <c r="A394" t="str">
        <f>INDEX(Prioritization!$D:$D,MATCH($B394,Prioritization!$A:$A,0))</f>
        <v>1 - Scale-up: Saturation</v>
      </c>
      <c r="B394" t="s">
        <v>220</v>
      </c>
      <c r="C394" t="s">
        <v>315</v>
      </c>
      <c r="D394" t="s">
        <v>47</v>
      </c>
      <c r="E394" t="str">
        <f t="shared" si="126"/>
        <v>Thyolo District [ul0y9diGujK]|&lt;01|Male</v>
      </c>
      <c r="F394" s="14"/>
      <c r="G394" s="14">
        <v>6</v>
      </c>
      <c r="H394" s="14">
        <v>6</v>
      </c>
      <c r="I394" s="14">
        <v>1</v>
      </c>
      <c r="J394" s="14">
        <v>7</v>
      </c>
      <c r="K394" s="14">
        <v>6</v>
      </c>
      <c r="L394" s="14"/>
      <c r="M394" s="14">
        <v>0</v>
      </c>
      <c r="N394" s="14">
        <v>1</v>
      </c>
      <c r="O394" s="14">
        <f t="shared" si="127"/>
        <v>1</v>
      </c>
      <c r="P394" s="14">
        <v>0</v>
      </c>
      <c r="Q394" s="14">
        <v>1</v>
      </c>
      <c r="R394" s="14">
        <f t="shared" si="128"/>
        <v>0</v>
      </c>
      <c r="S394" s="14">
        <f>IF(LEFT($B394,4)="_Mil","",_xlfn.IFNA(ROUND(INDEX(Spectrum!$N:$N,MATCH(RIGHT($B394,13)&amp;"|"&amp;$C394&amp;"|"&amp;$D394&amp;"|"&amp;S$14&amp;"|"&amp;"CY2022Q4",Spectrum!$R:$R,0)),0),""))</f>
        <v>1564</v>
      </c>
      <c r="T394" s="42">
        <f>IF(LEFT($B394,4)="_Mil","",_xlfn.IFNA(ROUND(INDEX(Spectrum!$N:$N,MATCH(RIGHT($B394,13)&amp;"|"&amp;$C394&amp;"|"&amp;$D394&amp;"|"&amp;T$14&amp;"|"&amp;"CY2023Q3",Spectrum!$R:$R,0)),0),""))</f>
        <v>918</v>
      </c>
      <c r="U394" s="42" t="str">
        <f>IF(LEFT($B394,4)="_Mil","",_xlfn.IFNA(ROUND(INDEX(Spectrum!$N:$N,MATCH(RIGHT($B394,13)&amp;"|"&amp;$C394&amp;"|"&amp;$D394&amp;"|"&amp;U$14&amp;"|"&amp;"CY2023Q3",Spectrum!$R:$R,0)),0),""))</f>
        <v/>
      </c>
      <c r="V394" s="14">
        <f>IF(LEFT($B394,4)="_Mil","",_xlfn.IFNA(ROUND(INDEX(Spectrum!$N:$N,MATCH(RIGHT($B394,13)&amp;"|"&amp;$C394&amp;"|"&amp;$D394&amp;"|"&amp;V$14&amp;"|"&amp;"CY2023Q3",Spectrum!$R:$R,0)),0),""))</f>
        <v>874</v>
      </c>
      <c r="W394" s="115">
        <f>IF(LEFT($B394,4)="_Mil","",_xlfn.IFNA(INDEX(Spectrum!$N:$N,MATCH(RIGHT($B394,13)&amp;"|"&amp;$C394&amp;"|"&amp;$D394&amp;"|"&amp;W$14&amp;"|"&amp;"CY2023Q3",Spectrum!$R:$R,0)),""))</f>
        <v>717</v>
      </c>
      <c r="X394" s="42">
        <f>IF(LEFT($B394,4)="_Mil","",_xlfn.IFNA(ROUND(INDEX(Spectrum!$N:$N,MATCH(RIGHT($B394,13)&amp;"|"&amp;$C394&amp;"|"&amp;$D394&amp;"|"&amp;X$14&amp;"|"&amp;"CY2023Q3",Spectrum!$R:$R,0)),0),""))</f>
        <v>1256</v>
      </c>
      <c r="Y394" s="90" t="str">
        <f t="shared" si="129"/>
        <v/>
      </c>
      <c r="Z394" s="42">
        <f>IF(LEFT($B394,4)="_Mil","",_xlfn.IFNA(ROUND(INDEX(Spectrum!$N:$N,MATCH(RIGHT($B394,13)&amp;"|"&amp;$C394&amp;"|"&amp;$D394&amp;"|"&amp;Z$14&amp;"|"&amp;"CY2023Q3",Spectrum!$R:$R,0)),0),""))</f>
        <v>1962</v>
      </c>
      <c r="AA394" s="90">
        <f>IF(LEFT($B394,4)="_Mil","",IFERROR(1/(1/INDEX(Spectrum!$N:$N,MATCH(RIGHT($B394,13)&amp;"|"&amp;$C394&amp;"|"&amp;$D394&amp;"|"&amp;AA$14&amp;"|"&amp;"CY2023Q3",Spectrum!$R:$R,0))),IF(SUM($U394)=0,"",SUM($Z394)/$U394)))</f>
        <v>585</v>
      </c>
      <c r="AB394" s="90">
        <f t="shared" si="130"/>
        <v>1.5621019108280254</v>
      </c>
      <c r="AC394" s="14">
        <f>IF(LEFT($B394,4)="_Mil","",_xlfn.IFNA(ROUND(INDEX(Spectrum!$N:$N,MATCH(RIGHT($B394,13)&amp;"|"&amp;$C394&amp;"|"&amp;$D394&amp;"|"&amp;AC$14&amp;"|"&amp;"CY2023Q3",Spectrum!$R:$R,0)),0),""))</f>
        <v>1678</v>
      </c>
      <c r="AD394" s="14" t="str">
        <f>IF(LEFT($B394,4)="_Mil","",_xlfn.IFNA(ROUND(INDEX(Spectrum!$N:$N,MATCH(RIGHT($B394,13)&amp;"|"&amp;$C394&amp;"|"&amp;$D394&amp;"|"&amp;AD$14&amp;"|"&amp;"CY2023Q3",Spectrum!$R:$R,0)),0),""))</f>
        <v/>
      </c>
      <c r="AE394" s="90">
        <f t="shared" si="131"/>
        <v>0</v>
      </c>
      <c r="AF394" s="42" t="str">
        <f>IF(LEFT($B394,4)="_Mil","",_xlfn.IFNA(ROUND(INDEX(Spectrum!$N:$N,MATCH(RIGHT($B394,13)&amp;"|"&amp;$C394&amp;"|"&amp;$D394&amp;"|"&amp;AF$14&amp;"|"&amp;"CY2023Q3",Spectrum!$R:$R,0)),0),""))</f>
        <v/>
      </c>
      <c r="AG394" s="90" t="str">
        <f t="shared" si="132"/>
        <v/>
      </c>
      <c r="AH394" s="88" t="str">
        <f>IF(LEFT($B394,4)="_Mil","",_xlfn.IFNA(INDEX(Spectrum!$N:$N,MATCH(RIGHT($B394,13)&amp;"|"&amp;$C394&amp;"|"&amp;$D394&amp;"|"&amp;AH$14&amp;"|"&amp;"CY2023Q3",Spectrum!$R:$R,0)),""))</f>
        <v/>
      </c>
      <c r="AI394" s="14" t="str">
        <f>IF(LEFT($B394,4)="_Mil","",_xlfn.IFNA(ROUND(INDEX(Spectrum!$N:$N,MATCH(RIGHT($B394,13)&amp;"|"&amp;$C394&amp;"|"&amp;$D394&amp;"|"&amp;AI$14&amp;"|"&amp;"CY2023Q3",Spectrum!$R:$R,0)),0),""))</f>
        <v/>
      </c>
      <c r="AJ394" s="42">
        <f>IF(LEFT($B394,4)="_Mil","",_xlfn.IFNA(ROUND(INDEX(Spectrum!$N:$N,MATCH(RIGHT($B394,13)&amp;"|"&amp;$C394&amp;"|"&amp;$D394&amp;"|"&amp;AI$14&amp;"|"&amp;"CY2023Q3",Spectrum!$R:$R,0)),0),SUM($U394)+SUM($AI394)))</f>
        <v>0</v>
      </c>
      <c r="AK394" s="14" t="str">
        <f>IF(LEFT($B394,4)="_Mil","",_xlfn.IFNA(ROUND(INDEX(Spectrum!$N:$N,MATCH(RIGHT($B394,13)&amp;"|"&amp;$C394&amp;"|"&amp;$D394&amp;"|"&amp;AK$14&amp;"|"&amp;"CY2023Q3",Spectrum!$R:$R,0)),0),""))</f>
        <v/>
      </c>
      <c r="AL394" s="90" t="str">
        <f t="shared" si="133"/>
        <v/>
      </c>
      <c r="AM394" s="14" t="str">
        <f t="shared" si="134"/>
        <v/>
      </c>
      <c r="AN394" s="14">
        <f>IF($C394="&lt;01",ROUND(INDEX(EID!$P:$P,MATCH($B394,EID!$B:$B,0))/2,0),"")</f>
        <v>1</v>
      </c>
      <c r="AO394" s="14">
        <f t="shared" si="135"/>
        <v>1</v>
      </c>
      <c r="AP394" s="42">
        <f t="shared" si="136"/>
        <v>1</v>
      </c>
      <c r="AQ394" s="42">
        <f t="shared" si="137"/>
        <v>1962</v>
      </c>
      <c r="AR394" s="90" t="str">
        <f t="shared" si="138"/>
        <v/>
      </c>
      <c r="AS394" s="90" t="str">
        <f t="shared" si="150"/>
        <v/>
      </c>
      <c r="AT394" s="90" t="str">
        <f t="shared" si="150"/>
        <v/>
      </c>
      <c r="AU394" s="14" t="str">
        <f t="shared" si="140"/>
        <v/>
      </c>
      <c r="AV394" s="14">
        <f>IF($C394="&lt;01",ROUND(INDEX(EID!$N:$N,MATCH($B394,EID!$B:$B,0))/2,0),IF(SUM($AT394)=0,"",ROUND((SUM($AP394)-(SUM($O394)*SUM($AS394)))/$AT394,0)))</f>
        <v>1</v>
      </c>
      <c r="AW394" s="90" t="str">
        <f t="shared" si="141"/>
        <v/>
      </c>
      <c r="AX394" s="42">
        <f t="shared" si="142"/>
        <v>1</v>
      </c>
      <c r="AY394" s="116" t="str">
        <f t="shared" si="143"/>
        <v/>
      </c>
      <c r="AZ394" s="93">
        <f>IF($C394="&lt;01",ROUND(INDEX(EID!$R:$R,MATCH($B394,EID!$B:$B,0))/2,0),ROUND(SUM($O394)+(SUM($AV394)*$AY394),0))</f>
        <v>1</v>
      </c>
      <c r="BA394" s="89" t="str">
        <f t="shared" si="144"/>
        <v/>
      </c>
      <c r="BB394" s="9">
        <f>IF($C394="&lt;01",ROUND(INDEX(EID!$T:$T,MATCH($B394,EID!$B:$B,0))/2,0),ROUND($AZ394*$BA394,0))</f>
        <v>1</v>
      </c>
      <c r="BC394" s="93">
        <f t="shared" si="145"/>
        <v>1962</v>
      </c>
      <c r="BD394" s="90" t="str">
        <f t="shared" si="146"/>
        <v/>
      </c>
      <c r="BE394" s="42">
        <f>IF($C394="&lt;01",ROUND(INDEX(EID!$V:$V,MATCH($B394,EID!$B:$B,0))/2,0),ROUND($BD394*$BB394,0))</f>
        <v>1</v>
      </c>
      <c r="BF394" s="42">
        <f t="shared" si="147"/>
        <v>1962</v>
      </c>
      <c r="BG394" s="116" t="str">
        <f t="shared" si="148"/>
        <v/>
      </c>
      <c r="BH394" s="9">
        <f>IF($C394="&lt;01",ROUND(INDEX(EID!$L:$L,MATCH($B394,EID!$B:$B,0)),0)/2,IF(SUM($BG394)=0,"",ROUND($AX394/$BG394,0)))</f>
        <v>1</v>
      </c>
    </row>
    <row r="395" spans="1:60" x14ac:dyDescent="0.2">
      <c r="A395" t="str">
        <f>INDEX(Prioritization!$D:$D,MATCH($B395,Prioritization!$A:$A,0))</f>
        <v>1 - Scale-up: Saturation</v>
      </c>
      <c r="B395" t="s">
        <v>220</v>
      </c>
      <c r="C395" t="s">
        <v>362</v>
      </c>
      <c r="D395" t="s">
        <v>29</v>
      </c>
      <c r="E395" t="str">
        <f t="shared" si="126"/>
        <v>Thyolo District [ul0y9diGujK]|01-09|Female</v>
      </c>
      <c r="F395" s="14"/>
      <c r="G395" s="14"/>
      <c r="H395" s="14"/>
      <c r="I395" s="14"/>
      <c r="J395" s="14"/>
      <c r="K395" s="14"/>
      <c r="L395" s="14"/>
      <c r="M395" s="14"/>
      <c r="N395" s="14"/>
      <c r="O395" s="14" t="str">
        <f t="shared" si="127"/>
        <v/>
      </c>
      <c r="P395" s="14"/>
      <c r="Q395" s="14"/>
      <c r="R395" s="14" t="str">
        <f t="shared" si="128"/>
        <v/>
      </c>
      <c r="S395" s="14">
        <f>IF(LEFT($B395,4)="_Mil","",_xlfn.IFNA(ROUND(INDEX(Spectrum!$N:$N,MATCH(RIGHT($B395,13)&amp;"|"&amp;$C395&amp;"|"&amp;$D395&amp;"|"&amp;S$14&amp;"|"&amp;"CY2022Q4",Spectrum!$R:$R,0)),0),""))</f>
        <v>1370</v>
      </c>
      <c r="T395" s="42">
        <f>IF(LEFT($B395,4)="_Mil","",_xlfn.IFNA(ROUND(INDEX(Spectrum!$N:$N,MATCH(RIGHT($B395,13)&amp;"|"&amp;$C395&amp;"|"&amp;$D395&amp;"|"&amp;T$14&amp;"|"&amp;"CY2023Q3",Spectrum!$R:$R,0)),0),""))</f>
        <v>1188</v>
      </c>
      <c r="U395" s="42" t="str">
        <f>IF(LEFT($B395,4)="_Mil","",_xlfn.IFNA(ROUND(INDEX(Spectrum!$N:$N,MATCH(RIGHT($B395,13)&amp;"|"&amp;$C395&amp;"|"&amp;$D395&amp;"|"&amp;U$14&amp;"|"&amp;"CY2023Q3",Spectrum!$R:$R,0)),0),""))</f>
        <v/>
      </c>
      <c r="V395" s="14">
        <f>IF(LEFT($B395,4)="_Mil","",_xlfn.IFNA(ROUND(INDEX(Spectrum!$N:$N,MATCH(RIGHT($B395,13)&amp;"|"&amp;$C395&amp;"|"&amp;$D395&amp;"|"&amp;V$14&amp;"|"&amp;"CY2023Q3",Spectrum!$R:$R,0)),0),""))</f>
        <v>703</v>
      </c>
      <c r="W395" s="115">
        <f>IF(LEFT($B395,4)="_Mil","",_xlfn.IFNA(INDEX(Spectrum!$N:$N,MATCH(RIGHT($B395,13)&amp;"|"&amp;$C395&amp;"|"&amp;$D395&amp;"|"&amp;W$14&amp;"|"&amp;"CY2023Q3",Spectrum!$R:$R,0)),""))</f>
        <v>896</v>
      </c>
      <c r="X395" s="42">
        <f>IF(LEFT($B395,4)="_Mil","",_xlfn.IFNA(ROUND(INDEX(Spectrum!$N:$N,MATCH(RIGHT($B395,13)&amp;"|"&amp;$C395&amp;"|"&amp;$D395&amp;"|"&amp;X$14&amp;"|"&amp;"CY2023Q3",Spectrum!$R:$R,0)),0),""))</f>
        <v>727</v>
      </c>
      <c r="Y395" s="90" t="str">
        <f t="shared" si="129"/>
        <v/>
      </c>
      <c r="Z395" s="42">
        <f>IF(LEFT($B395,4)="_Mil","",_xlfn.IFNA(ROUND(INDEX(Spectrum!$N:$N,MATCH(RIGHT($B395,13)&amp;"|"&amp;$C395&amp;"|"&amp;$D395&amp;"|"&amp;Z$14&amp;"|"&amp;"CY2023Q3",Spectrum!$R:$R,0)),0),""))</f>
        <v>592</v>
      </c>
      <c r="AA395" s="90">
        <f>IF(LEFT($B395,4)="_Mil","",IFERROR(1/(1/INDEX(Spectrum!$N:$N,MATCH(RIGHT($B395,13)&amp;"|"&amp;$C395&amp;"|"&amp;$D395&amp;"|"&amp;AA$14&amp;"|"&amp;"CY2023Q3",Spectrum!$R:$R,0))),IF(SUM($U395)=0,"",SUM($Z395)/$U395)))</f>
        <v>1921</v>
      </c>
      <c r="AB395" s="90">
        <f t="shared" si="130"/>
        <v>0.81430536451169189</v>
      </c>
      <c r="AC395" s="14">
        <f>IF(LEFT($B395,4)="_Mil","",_xlfn.IFNA(ROUND(INDEX(Spectrum!$N:$N,MATCH(RIGHT($B395,13)&amp;"|"&amp;$C395&amp;"|"&amp;$D395&amp;"|"&amp;AC$14&amp;"|"&amp;"CY2023Q3",Spectrum!$R:$R,0)),0),""))</f>
        <v>855</v>
      </c>
      <c r="AD395" s="14" t="str">
        <f>IF(LEFT($B395,4)="_Mil","",_xlfn.IFNA(ROUND(INDEX(Spectrum!$N:$N,MATCH(RIGHT($B395,13)&amp;"|"&amp;$C395&amp;"|"&amp;$D395&amp;"|"&amp;AD$14&amp;"|"&amp;"CY2023Q3",Spectrum!$R:$R,0)),0),""))</f>
        <v/>
      </c>
      <c r="AE395" s="90">
        <f t="shared" si="131"/>
        <v>0</v>
      </c>
      <c r="AF395" s="42" t="str">
        <f>IF(LEFT($B395,4)="_Mil","",_xlfn.IFNA(ROUND(INDEX(Spectrum!$N:$N,MATCH(RIGHT($B395,13)&amp;"|"&amp;$C395&amp;"|"&amp;$D395&amp;"|"&amp;AF$14&amp;"|"&amp;"CY2023Q3",Spectrum!$R:$R,0)),0),""))</f>
        <v/>
      </c>
      <c r="AG395" s="90" t="str">
        <f t="shared" si="132"/>
        <v/>
      </c>
      <c r="AH395" s="88" t="str">
        <f>IF(LEFT($B395,4)="_Mil","",_xlfn.IFNA(INDEX(Spectrum!$N:$N,MATCH(RIGHT($B395,13)&amp;"|"&amp;$C395&amp;"|"&amp;$D395&amp;"|"&amp;AH$14&amp;"|"&amp;"CY2023Q3",Spectrum!$R:$R,0)),""))</f>
        <v/>
      </c>
      <c r="AI395" s="14" t="str">
        <f>IF(LEFT($B395,4)="_Mil","",_xlfn.IFNA(ROUND(INDEX(Spectrum!$N:$N,MATCH(RIGHT($B395,13)&amp;"|"&amp;$C395&amp;"|"&amp;$D395&amp;"|"&amp;AI$14&amp;"|"&amp;"CY2023Q3",Spectrum!$R:$R,0)),0),""))</f>
        <v/>
      </c>
      <c r="AJ395" s="42">
        <f>IF(LEFT($B395,4)="_Mil","",_xlfn.IFNA(ROUND(INDEX(Spectrum!$N:$N,MATCH(RIGHT($B395,13)&amp;"|"&amp;$C395&amp;"|"&amp;$D395&amp;"|"&amp;AI$14&amp;"|"&amp;"CY2023Q3",Spectrum!$R:$R,0)),0),SUM($U395)+SUM($AI395)))</f>
        <v>0</v>
      </c>
      <c r="AK395" s="14" t="str">
        <f>IF(LEFT($B395,4)="_Mil","",_xlfn.IFNA(ROUND(INDEX(Spectrum!$N:$N,MATCH(RIGHT($B395,13)&amp;"|"&amp;$C395&amp;"|"&amp;$D395&amp;"|"&amp;AK$14&amp;"|"&amp;"CY2023Q3",Spectrum!$R:$R,0)),0),""))</f>
        <v/>
      </c>
      <c r="AL395" s="90">
        <f t="shared" si="133"/>
        <v>1921</v>
      </c>
      <c r="AM395" s="14">
        <f t="shared" si="134"/>
        <v>0</v>
      </c>
      <c r="AN395" s="14" t="str">
        <f>IF($C395="&lt;01",ROUND(INDEX(EID!$P:$P,MATCH($B395,EID!$B:$B,0))/2,0),"")</f>
        <v/>
      </c>
      <c r="AO395" s="14">
        <f t="shared" si="135"/>
        <v>0</v>
      </c>
      <c r="AP395" s="42">
        <f t="shared" si="136"/>
        <v>0</v>
      </c>
      <c r="AQ395" s="42">
        <f t="shared" si="137"/>
        <v>592</v>
      </c>
      <c r="AR395" s="90" t="str">
        <f t="shared" si="138"/>
        <v/>
      </c>
      <c r="AS395" s="90">
        <f t="shared" ref="AS395:AT414" si="151">IF($C395="&lt;01","",98%)</f>
        <v>0.98</v>
      </c>
      <c r="AT395" s="90">
        <f t="shared" si="151"/>
        <v>0.98</v>
      </c>
      <c r="AU395" s="14">
        <f t="shared" si="140"/>
        <v>0</v>
      </c>
      <c r="AV395" s="14">
        <f>IF($C395="&lt;01",ROUND(INDEX(EID!$N:$N,MATCH($B395,EID!$B:$B,0))/2,0),IF(SUM($AT395)=0,"",ROUND((SUM($AP395)-(SUM($O395)*SUM($AS395)))/$AT395,0)))</f>
        <v>0</v>
      </c>
      <c r="AW395" s="90">
        <f t="shared" si="141"/>
        <v>1</v>
      </c>
      <c r="AX395" s="42">
        <f t="shared" si="142"/>
        <v>0</v>
      </c>
      <c r="AY395" s="116">
        <f t="shared" si="143"/>
        <v>0.7</v>
      </c>
      <c r="AZ395" s="93">
        <f>IF($C395="&lt;01",ROUND(INDEX(EID!$R:$R,MATCH($B395,EID!$B:$B,0))/2,0),ROUND(SUM($O395)+(SUM($AV395)*$AY395),0))</f>
        <v>0</v>
      </c>
      <c r="BA395" s="89">
        <f t="shared" si="144"/>
        <v>0.95</v>
      </c>
      <c r="BB395" s="9">
        <f>IF($C395="&lt;01",ROUND(INDEX(EID!$T:$T,MATCH($B395,EID!$B:$B,0))/2,0),ROUND($AZ395*$BA395,0))</f>
        <v>0</v>
      </c>
      <c r="BC395" s="93">
        <f t="shared" si="145"/>
        <v>0</v>
      </c>
      <c r="BD395" s="90">
        <f t="shared" si="146"/>
        <v>0.95</v>
      </c>
      <c r="BE395" s="42">
        <f>IF($C395="&lt;01",ROUND(INDEX(EID!$V:$V,MATCH($B395,EID!$B:$B,0))/2,0),ROUND($BD395*$BB395,0))</f>
        <v>0</v>
      </c>
      <c r="BF395" s="42">
        <f t="shared" si="147"/>
        <v>0</v>
      </c>
      <c r="BG395" s="116">
        <f t="shared" si="148"/>
        <v>0.95</v>
      </c>
      <c r="BH395" s="9">
        <f>IF($C395="&lt;01",ROUND(INDEX(EID!$L:$L,MATCH($B395,EID!$B:$B,0)),0)/2,IF(SUM($BG395)=0,"",ROUND($AX395/$BG395,0)))</f>
        <v>0</v>
      </c>
    </row>
    <row r="396" spans="1:60" x14ac:dyDescent="0.2">
      <c r="A396" t="str">
        <f>INDEX(Prioritization!$D:$D,MATCH($B396,Prioritization!$A:$A,0))</f>
        <v>1 - Scale-up: Saturation</v>
      </c>
      <c r="B396" t="s">
        <v>220</v>
      </c>
      <c r="C396" t="s">
        <v>362</v>
      </c>
      <c r="D396" t="s">
        <v>47</v>
      </c>
      <c r="E396" t="str">
        <f t="shared" si="126"/>
        <v>Thyolo District [ul0y9diGujK]|01-09|Male</v>
      </c>
      <c r="F396" s="14"/>
      <c r="G396" s="14"/>
      <c r="H396" s="14"/>
      <c r="I396" s="14"/>
      <c r="J396" s="14"/>
      <c r="K396" s="14"/>
      <c r="L396" s="14"/>
      <c r="M396" s="14"/>
      <c r="N396" s="14"/>
      <c r="O396" s="14" t="str">
        <f t="shared" si="127"/>
        <v/>
      </c>
      <c r="P396" s="14"/>
      <c r="Q396" s="14"/>
      <c r="R396" s="14" t="str">
        <f t="shared" si="128"/>
        <v/>
      </c>
      <c r="S396" s="14">
        <f>IF(LEFT($B396,4)="_Mil","",_xlfn.IFNA(ROUND(INDEX(Spectrum!$N:$N,MATCH(RIGHT($B396,13)&amp;"|"&amp;$C396&amp;"|"&amp;$D396&amp;"|"&amp;S$14&amp;"|"&amp;"CY2022Q4",Spectrum!$R:$R,0)),0),""))</f>
        <v>1099</v>
      </c>
      <c r="T396" s="42">
        <f>IF(LEFT($B396,4)="_Mil","",_xlfn.IFNA(ROUND(INDEX(Spectrum!$N:$N,MATCH(RIGHT($B396,13)&amp;"|"&amp;$C396&amp;"|"&amp;$D396&amp;"|"&amp;T$14&amp;"|"&amp;"CY2023Q3",Spectrum!$R:$R,0)),0),""))</f>
        <v>684</v>
      </c>
      <c r="U396" s="42" t="str">
        <f>IF(LEFT($B396,4)="_Mil","",_xlfn.IFNA(ROUND(INDEX(Spectrum!$N:$N,MATCH(RIGHT($B396,13)&amp;"|"&amp;$C396&amp;"|"&amp;$D396&amp;"|"&amp;U$14&amp;"|"&amp;"CY2023Q3",Spectrum!$R:$R,0)),0),""))</f>
        <v/>
      </c>
      <c r="V396" s="14">
        <f>IF(LEFT($B396,4)="_Mil","",_xlfn.IFNA(ROUND(INDEX(Spectrum!$N:$N,MATCH(RIGHT($B396,13)&amp;"|"&amp;$C396&amp;"|"&amp;$D396&amp;"|"&amp;V$14&amp;"|"&amp;"CY2023Q3",Spectrum!$R:$R,0)),0),""))</f>
        <v>542</v>
      </c>
      <c r="W396" s="115">
        <f>IF(LEFT($B396,4)="_Mil","",_xlfn.IFNA(INDEX(Spectrum!$N:$N,MATCH(RIGHT($B396,13)&amp;"|"&amp;$C396&amp;"|"&amp;$D396&amp;"|"&amp;W$14&amp;"|"&amp;"CY2023Q3",Spectrum!$R:$R,0)),""))</f>
        <v>603</v>
      </c>
      <c r="X396" s="42">
        <f>IF(LEFT($B396,4)="_Mil","",_xlfn.IFNA(ROUND(INDEX(Spectrum!$N:$N,MATCH(RIGHT($B396,13)&amp;"|"&amp;$C396&amp;"|"&amp;$D396&amp;"|"&amp;X$14&amp;"|"&amp;"CY2023Q3",Spectrum!$R:$R,0)),0),""))</f>
        <v>730</v>
      </c>
      <c r="Y396" s="90" t="str">
        <f t="shared" si="129"/>
        <v/>
      </c>
      <c r="Z396" s="42">
        <f>IF(LEFT($B396,4)="_Mil","",_xlfn.IFNA(ROUND(INDEX(Spectrum!$N:$N,MATCH(RIGHT($B396,13)&amp;"|"&amp;$C396&amp;"|"&amp;$D396&amp;"|"&amp;Z$14&amp;"|"&amp;"CY2023Q3",Spectrum!$R:$R,0)),0),""))</f>
        <v>1921</v>
      </c>
      <c r="AA396" s="90">
        <f>IF(LEFT($B396,4)="_Mil","",IFERROR(1/(1/INDEX(Spectrum!$N:$N,MATCH(RIGHT($B396,13)&amp;"|"&amp;$C396&amp;"|"&amp;$D396&amp;"|"&amp;AA$14&amp;"|"&amp;"CY2023Q3",Spectrum!$R:$R,0))),IF(SUM($U396)=0,"",SUM($Z396)/$U396)))</f>
        <v>1426</v>
      </c>
      <c r="AB396" s="90">
        <f t="shared" si="130"/>
        <v>2.6315068493150684</v>
      </c>
      <c r="AC396" s="14">
        <f>IF(LEFT($B396,4)="_Mil","",_xlfn.IFNA(ROUND(INDEX(Spectrum!$N:$N,MATCH(RIGHT($B396,13)&amp;"|"&amp;$C396&amp;"|"&amp;$D396&amp;"|"&amp;AC$14&amp;"|"&amp;"CY2023Q3",Spectrum!$R:$R,0)),0),""))</f>
        <v>1054</v>
      </c>
      <c r="AD396" s="14" t="str">
        <f>IF(LEFT($B396,4)="_Mil","",_xlfn.IFNA(ROUND(INDEX(Spectrum!$N:$N,MATCH(RIGHT($B396,13)&amp;"|"&amp;$C396&amp;"|"&amp;$D396&amp;"|"&amp;AD$14&amp;"|"&amp;"CY2023Q3",Spectrum!$R:$R,0)),0),""))</f>
        <v/>
      </c>
      <c r="AE396" s="90">
        <f t="shared" si="131"/>
        <v>0</v>
      </c>
      <c r="AF396" s="42" t="str">
        <f>IF(LEFT($B396,4)="_Mil","",_xlfn.IFNA(ROUND(INDEX(Spectrum!$N:$N,MATCH(RIGHT($B396,13)&amp;"|"&amp;$C396&amp;"|"&amp;$D396&amp;"|"&amp;AF$14&amp;"|"&amp;"CY2023Q3",Spectrum!$R:$R,0)),0),""))</f>
        <v/>
      </c>
      <c r="AG396" s="90" t="str">
        <f t="shared" si="132"/>
        <v/>
      </c>
      <c r="AH396" s="88" t="str">
        <f>IF(LEFT($B396,4)="_Mil","",_xlfn.IFNA(INDEX(Spectrum!$N:$N,MATCH(RIGHT($B396,13)&amp;"|"&amp;$C396&amp;"|"&amp;$D396&amp;"|"&amp;AH$14&amp;"|"&amp;"CY2023Q3",Spectrum!$R:$R,0)),""))</f>
        <v/>
      </c>
      <c r="AI396" s="14" t="str">
        <f>IF(LEFT($B396,4)="_Mil","",_xlfn.IFNA(ROUND(INDEX(Spectrum!$N:$N,MATCH(RIGHT($B396,13)&amp;"|"&amp;$C396&amp;"|"&amp;$D396&amp;"|"&amp;AI$14&amp;"|"&amp;"CY2023Q3",Spectrum!$R:$R,0)),0),""))</f>
        <v/>
      </c>
      <c r="AJ396" s="42">
        <f>IF(LEFT($B396,4)="_Mil","",_xlfn.IFNA(ROUND(INDEX(Spectrum!$N:$N,MATCH(RIGHT($B396,13)&amp;"|"&amp;$C396&amp;"|"&amp;$D396&amp;"|"&amp;AI$14&amp;"|"&amp;"CY2023Q3",Spectrum!$R:$R,0)),0),SUM($U396)+SUM($AI396)))</f>
        <v>0</v>
      </c>
      <c r="AK396" s="14" t="str">
        <f>IF(LEFT($B396,4)="_Mil","",_xlfn.IFNA(ROUND(INDEX(Spectrum!$N:$N,MATCH(RIGHT($B396,13)&amp;"|"&amp;$C396&amp;"|"&amp;$D396&amp;"|"&amp;AK$14&amp;"|"&amp;"CY2023Q3",Spectrum!$R:$R,0)),0),""))</f>
        <v/>
      </c>
      <c r="AL396" s="90">
        <f t="shared" si="133"/>
        <v>1426</v>
      </c>
      <c r="AM396" s="14">
        <f t="shared" si="134"/>
        <v>0</v>
      </c>
      <c r="AN396" s="14" t="str">
        <f>IF($C396="&lt;01",ROUND(INDEX(EID!$P:$P,MATCH($B396,EID!$B:$B,0))/2,0),"")</f>
        <v/>
      </c>
      <c r="AO396" s="14">
        <f t="shared" si="135"/>
        <v>0</v>
      </c>
      <c r="AP396" s="42">
        <f t="shared" si="136"/>
        <v>0</v>
      </c>
      <c r="AQ396" s="42">
        <f t="shared" si="137"/>
        <v>1921</v>
      </c>
      <c r="AR396" s="90" t="str">
        <f t="shared" si="138"/>
        <v/>
      </c>
      <c r="AS396" s="90">
        <f t="shared" si="151"/>
        <v>0.98</v>
      </c>
      <c r="AT396" s="90">
        <f t="shared" si="151"/>
        <v>0.98</v>
      </c>
      <c r="AU396" s="14">
        <f t="shared" si="140"/>
        <v>0</v>
      </c>
      <c r="AV396" s="14">
        <f>IF($C396="&lt;01",ROUND(INDEX(EID!$N:$N,MATCH($B396,EID!$B:$B,0))/2,0),IF(SUM($AT396)=0,"",ROUND((SUM($AP396)-(SUM($O396)*SUM($AS396)))/$AT396,0)))</f>
        <v>0</v>
      </c>
      <c r="AW396" s="90">
        <f t="shared" si="141"/>
        <v>1</v>
      </c>
      <c r="AX396" s="42">
        <f t="shared" si="142"/>
        <v>0</v>
      </c>
      <c r="AY396" s="116">
        <f t="shared" si="143"/>
        <v>0.7</v>
      </c>
      <c r="AZ396" s="93">
        <f>IF($C396="&lt;01",ROUND(INDEX(EID!$R:$R,MATCH($B396,EID!$B:$B,0))/2,0),ROUND(SUM($O396)+(SUM($AV396)*$AY396),0))</f>
        <v>0</v>
      </c>
      <c r="BA396" s="89">
        <f t="shared" si="144"/>
        <v>0.95</v>
      </c>
      <c r="BB396" s="9">
        <f>IF($C396="&lt;01",ROUND(INDEX(EID!$T:$T,MATCH($B396,EID!$B:$B,0))/2,0),ROUND($AZ396*$BA396,0))</f>
        <v>0</v>
      </c>
      <c r="BC396" s="93">
        <f t="shared" si="145"/>
        <v>0</v>
      </c>
      <c r="BD396" s="90">
        <f t="shared" si="146"/>
        <v>0.95</v>
      </c>
      <c r="BE396" s="42">
        <f>IF($C396="&lt;01",ROUND(INDEX(EID!$V:$V,MATCH($B396,EID!$B:$B,0))/2,0),ROUND($BD396*$BB396,0))</f>
        <v>0</v>
      </c>
      <c r="BF396" s="42">
        <f t="shared" si="147"/>
        <v>0</v>
      </c>
      <c r="BG396" s="116">
        <f t="shared" si="148"/>
        <v>0.95</v>
      </c>
      <c r="BH396" s="9">
        <f>IF($C396="&lt;01",ROUND(INDEX(EID!$L:$L,MATCH($B396,EID!$B:$B,0)),0)/2,IF(SUM($BG396)=0,"",ROUND($AX396/$BG396,0)))</f>
        <v>0</v>
      </c>
    </row>
    <row r="397" spans="1:60" x14ac:dyDescent="0.2">
      <c r="A397" t="str">
        <f>INDEX(Prioritization!$D:$D,MATCH($B397,Prioritization!$A:$A,0))</f>
        <v>1 - Scale-up: Saturation</v>
      </c>
      <c r="B397" t="s">
        <v>220</v>
      </c>
      <c r="C397" t="s">
        <v>363</v>
      </c>
      <c r="D397" t="s">
        <v>29</v>
      </c>
      <c r="E397" t="str">
        <f t="shared" si="126"/>
        <v>Thyolo District [ul0y9diGujK]|10-14|Female</v>
      </c>
      <c r="F397" s="14"/>
      <c r="G397" s="14">
        <v>5</v>
      </c>
      <c r="H397" s="14">
        <v>7</v>
      </c>
      <c r="I397" s="14">
        <v>20</v>
      </c>
      <c r="J397" s="14">
        <v>22</v>
      </c>
      <c r="K397" s="14">
        <v>72</v>
      </c>
      <c r="L397" s="14">
        <v>59</v>
      </c>
      <c r="M397" s="14">
        <v>67</v>
      </c>
      <c r="N397" s="14">
        <v>97</v>
      </c>
      <c r="O397" s="14">
        <f t="shared" si="127"/>
        <v>97</v>
      </c>
      <c r="P397" s="14">
        <v>93</v>
      </c>
      <c r="Q397" s="14">
        <v>65</v>
      </c>
      <c r="R397" s="14">
        <f t="shared" si="128"/>
        <v>77</v>
      </c>
      <c r="S397" s="14">
        <f>IF(LEFT($B397,4)="_Mil","",_xlfn.IFNA(ROUND(INDEX(Spectrum!$N:$N,MATCH(RIGHT($B397,13)&amp;"|"&amp;$C397&amp;"|"&amp;$D397&amp;"|"&amp;S$14&amp;"|"&amp;"CY2022Q4",Spectrum!$R:$R,0)),0),""))</f>
        <v>1742</v>
      </c>
      <c r="T397" s="42">
        <f>IF(LEFT($B397,4)="_Mil","",_xlfn.IFNA(ROUND(INDEX(Spectrum!$N:$N,MATCH(RIGHT($B397,13)&amp;"|"&amp;$C397&amp;"|"&amp;$D397&amp;"|"&amp;T$14&amp;"|"&amp;"CY2023Q3",Spectrum!$R:$R,0)),0),""))</f>
        <v>1158</v>
      </c>
      <c r="U397" s="42" t="str">
        <f>IF(LEFT($B397,4)="_Mil","",_xlfn.IFNA(ROUND(INDEX(Spectrum!$N:$N,MATCH(RIGHT($B397,13)&amp;"|"&amp;$C397&amp;"|"&amp;$D397&amp;"|"&amp;U$14&amp;"|"&amp;"CY2023Q3",Spectrum!$R:$R,0)),0),""))</f>
        <v/>
      </c>
      <c r="V397" s="14">
        <f>IF(LEFT($B397,4)="_Mil","",_xlfn.IFNA(ROUND(INDEX(Spectrum!$N:$N,MATCH(RIGHT($B397,13)&amp;"|"&amp;$C397&amp;"|"&amp;$D397&amp;"|"&amp;V$14&amp;"|"&amp;"CY2023Q3",Spectrum!$R:$R,0)),0),""))</f>
        <v>1883</v>
      </c>
      <c r="W397" s="115">
        <f>IF(LEFT($B397,4)="_Mil","",_xlfn.IFNA(INDEX(Spectrum!$N:$N,MATCH(RIGHT($B397,13)&amp;"|"&amp;$C397&amp;"|"&amp;$D397&amp;"|"&amp;W$14&amp;"|"&amp;"CY2023Q3",Spectrum!$R:$R,0)),""))</f>
        <v>1415</v>
      </c>
      <c r="X397" s="42">
        <f>IF(LEFT($B397,4)="_Mil","",_xlfn.IFNA(ROUND(INDEX(Spectrum!$N:$N,MATCH(RIGHT($B397,13)&amp;"|"&amp;$C397&amp;"|"&amp;$D397&amp;"|"&amp;X$14&amp;"|"&amp;"CY2023Q3",Spectrum!$R:$R,0)),0),""))</f>
        <v>1371</v>
      </c>
      <c r="Y397" s="90" t="str">
        <f t="shared" si="129"/>
        <v/>
      </c>
      <c r="Z397" s="42">
        <f>IF(LEFT($B397,4)="_Mil","",_xlfn.IFNA(ROUND(INDEX(Spectrum!$N:$N,MATCH(RIGHT($B397,13)&amp;"|"&amp;$C397&amp;"|"&amp;$D397&amp;"|"&amp;Z$14&amp;"|"&amp;"CY2023Q3",Spectrum!$R:$R,0)),0),""))</f>
        <v>601</v>
      </c>
      <c r="AA397" s="90">
        <f>IF(LEFT($B397,4)="_Mil","",IFERROR(1/(1/INDEX(Spectrum!$N:$N,MATCH(RIGHT($B397,13)&amp;"|"&amp;$C397&amp;"|"&amp;$D397&amp;"|"&amp;AA$14&amp;"|"&amp;"CY2023Q3",Spectrum!$R:$R,0))),IF(SUM($U397)=0,"",SUM($Z397)/$U397)))</f>
        <v>680</v>
      </c>
      <c r="AB397" s="90">
        <f t="shared" si="130"/>
        <v>0.43836615609044494</v>
      </c>
      <c r="AC397" s="14">
        <f>IF(LEFT($B397,4)="_Mil","",_xlfn.IFNA(ROUND(INDEX(Spectrum!$N:$N,MATCH(RIGHT($B397,13)&amp;"|"&amp;$C397&amp;"|"&amp;$D397&amp;"|"&amp;AC$14&amp;"|"&amp;"CY2023Q3",Spectrum!$R:$R,0)),0),""))</f>
        <v>1779</v>
      </c>
      <c r="AD397" s="14" t="str">
        <f>IF(LEFT($B397,4)="_Mil","",_xlfn.IFNA(ROUND(INDEX(Spectrum!$N:$N,MATCH(RIGHT($B397,13)&amp;"|"&amp;$C397&amp;"|"&amp;$D397&amp;"|"&amp;AD$14&amp;"|"&amp;"CY2023Q3",Spectrum!$R:$R,0)),0),""))</f>
        <v/>
      </c>
      <c r="AE397" s="90">
        <f t="shared" si="131"/>
        <v>0</v>
      </c>
      <c r="AF397" s="42" t="str">
        <f>IF(LEFT($B397,4)="_Mil","",_xlfn.IFNA(ROUND(INDEX(Spectrum!$N:$N,MATCH(RIGHT($B397,13)&amp;"|"&amp;$C397&amp;"|"&amp;$D397&amp;"|"&amp;AF$14&amp;"|"&amp;"CY2023Q3",Spectrum!$R:$R,0)),0),""))</f>
        <v/>
      </c>
      <c r="AG397" s="90" t="str">
        <f t="shared" si="132"/>
        <v/>
      </c>
      <c r="AH397" s="88" t="str">
        <f>IF(LEFT($B397,4)="_Mil","",_xlfn.IFNA(INDEX(Spectrum!$N:$N,MATCH(RIGHT($B397,13)&amp;"|"&amp;$C397&amp;"|"&amp;$D397&amp;"|"&amp;AH$14&amp;"|"&amp;"CY2023Q3",Spectrum!$R:$R,0)),""))</f>
        <v/>
      </c>
      <c r="AI397" s="14" t="str">
        <f>IF(LEFT($B397,4)="_Mil","",_xlfn.IFNA(ROUND(INDEX(Spectrum!$N:$N,MATCH(RIGHT($B397,13)&amp;"|"&amp;$C397&amp;"|"&amp;$D397&amp;"|"&amp;AI$14&amp;"|"&amp;"CY2023Q3",Spectrum!$R:$R,0)),0),""))</f>
        <v/>
      </c>
      <c r="AJ397" s="42">
        <f>IF(LEFT($B397,4)="_Mil","",_xlfn.IFNA(ROUND(INDEX(Spectrum!$N:$N,MATCH(RIGHT($B397,13)&amp;"|"&amp;$C397&amp;"|"&amp;$D397&amp;"|"&amp;AI$14&amp;"|"&amp;"CY2023Q3",Spectrum!$R:$R,0)),0),SUM($U397)+SUM($AI397)))</f>
        <v>0</v>
      </c>
      <c r="AK397" s="14" t="str">
        <f>IF(LEFT($B397,4)="_Mil","",_xlfn.IFNA(ROUND(INDEX(Spectrum!$N:$N,MATCH(RIGHT($B397,13)&amp;"|"&amp;$C397&amp;"|"&amp;$D397&amp;"|"&amp;AK$14&amp;"|"&amp;"CY2023Q3",Spectrum!$R:$R,0)),0),""))</f>
        <v/>
      </c>
      <c r="AL397" s="90">
        <f t="shared" si="133"/>
        <v>680</v>
      </c>
      <c r="AM397" s="14">
        <f t="shared" si="134"/>
        <v>0</v>
      </c>
      <c r="AN397" s="14" t="str">
        <f>IF($C397="&lt;01",ROUND(INDEX(EID!$P:$P,MATCH($B397,EID!$B:$B,0))/2,0),"")</f>
        <v/>
      </c>
      <c r="AO397" s="14">
        <f t="shared" si="135"/>
        <v>0</v>
      </c>
      <c r="AP397" s="42">
        <f t="shared" si="136"/>
        <v>0</v>
      </c>
      <c r="AQ397" s="42">
        <f t="shared" si="137"/>
        <v>601</v>
      </c>
      <c r="AR397" s="90" t="str">
        <f t="shared" si="138"/>
        <v/>
      </c>
      <c r="AS397" s="90">
        <f t="shared" si="151"/>
        <v>0.98</v>
      </c>
      <c r="AT397" s="90">
        <f t="shared" si="151"/>
        <v>0.98</v>
      </c>
      <c r="AU397" s="14">
        <f t="shared" si="140"/>
        <v>-97</v>
      </c>
      <c r="AV397" s="14">
        <f>IF($C397="&lt;01",ROUND(INDEX(EID!$N:$N,MATCH($B397,EID!$B:$B,0))/2,0),IF(SUM($AT397)=0,"",ROUND((SUM($AP397)-(SUM($O397)*SUM($AS397)))/$AT397,0)))</f>
        <v>-97</v>
      </c>
      <c r="AW397" s="90">
        <f t="shared" si="141"/>
        <v>1</v>
      </c>
      <c r="AX397" s="42">
        <f t="shared" si="142"/>
        <v>-97</v>
      </c>
      <c r="AY397" s="116">
        <f t="shared" si="143"/>
        <v>0.7</v>
      </c>
      <c r="AZ397" s="93">
        <f>IF($C397="&lt;01",ROUND(INDEX(EID!$R:$R,MATCH($B397,EID!$B:$B,0))/2,0),ROUND(SUM($O397)+(SUM($AV397)*$AY397),0))</f>
        <v>29</v>
      </c>
      <c r="BA397" s="89">
        <f t="shared" si="144"/>
        <v>0.95</v>
      </c>
      <c r="BB397" s="9">
        <f>IF($C397="&lt;01",ROUND(INDEX(EID!$T:$T,MATCH($B397,EID!$B:$B,0))/2,0),ROUND($AZ397*$BA397,0))</f>
        <v>28</v>
      </c>
      <c r="BC397" s="93">
        <f t="shared" si="145"/>
        <v>28</v>
      </c>
      <c r="BD397" s="90">
        <f t="shared" si="146"/>
        <v>0.95</v>
      </c>
      <c r="BE397" s="42">
        <f>IF($C397="&lt;01",ROUND(INDEX(EID!$V:$V,MATCH($B397,EID!$B:$B,0))/2,0),ROUND($BD397*$BB397,0))</f>
        <v>27</v>
      </c>
      <c r="BF397" s="42">
        <f t="shared" si="147"/>
        <v>27</v>
      </c>
      <c r="BG397" s="116">
        <f t="shared" si="148"/>
        <v>0.95</v>
      </c>
      <c r="BH397" s="9">
        <f>IF($C397="&lt;01",ROUND(INDEX(EID!$L:$L,MATCH($B397,EID!$B:$B,0)),0)/2,IF(SUM($BG397)=0,"",ROUND($AX397/$BG397,0)))</f>
        <v>-102</v>
      </c>
    </row>
    <row r="398" spans="1:60" x14ac:dyDescent="0.2">
      <c r="A398" t="str">
        <f>INDEX(Prioritization!$D:$D,MATCH($B398,Prioritization!$A:$A,0))</f>
        <v>1 - Scale-up: Saturation</v>
      </c>
      <c r="B398" t="s">
        <v>220</v>
      </c>
      <c r="C398" t="s">
        <v>363</v>
      </c>
      <c r="D398" t="s">
        <v>47</v>
      </c>
      <c r="E398" t="str">
        <f t="shared" si="126"/>
        <v>Thyolo District [ul0y9diGujK]|10-14|Male</v>
      </c>
      <c r="F398" s="14"/>
      <c r="G398" s="14">
        <v>1</v>
      </c>
      <c r="H398" s="14">
        <v>2</v>
      </c>
      <c r="I398" s="14">
        <v>38</v>
      </c>
      <c r="J398" s="14">
        <v>100</v>
      </c>
      <c r="K398" s="14">
        <v>64</v>
      </c>
      <c r="L398" s="14">
        <v>28</v>
      </c>
      <c r="M398" s="14">
        <v>99</v>
      </c>
      <c r="N398" s="14">
        <v>90</v>
      </c>
      <c r="O398" s="14">
        <f t="shared" si="127"/>
        <v>90</v>
      </c>
      <c r="P398" s="14">
        <v>11</v>
      </c>
      <c r="Q398" s="14">
        <v>24</v>
      </c>
      <c r="R398" s="14">
        <f t="shared" si="128"/>
        <v>52</v>
      </c>
      <c r="S398" s="14">
        <f>IF(LEFT($B398,4)="_Mil","",_xlfn.IFNA(ROUND(INDEX(Spectrum!$N:$N,MATCH(RIGHT($B398,13)&amp;"|"&amp;$C398&amp;"|"&amp;$D398&amp;"|"&amp;S$14&amp;"|"&amp;"CY2022Q4",Spectrum!$R:$R,0)),0),""))</f>
        <v>1505</v>
      </c>
      <c r="T398" s="42">
        <f>IF(LEFT($B398,4)="_Mil","",_xlfn.IFNA(ROUND(INDEX(Spectrum!$N:$N,MATCH(RIGHT($B398,13)&amp;"|"&amp;$C398&amp;"|"&amp;$D398&amp;"|"&amp;T$14&amp;"|"&amp;"CY2023Q3",Spectrum!$R:$R,0)),0),""))</f>
        <v>1938</v>
      </c>
      <c r="U398" s="42" t="str">
        <f>IF(LEFT($B398,4)="_Mil","",_xlfn.IFNA(ROUND(INDEX(Spectrum!$N:$N,MATCH(RIGHT($B398,13)&amp;"|"&amp;$C398&amp;"|"&amp;$D398&amp;"|"&amp;U$14&amp;"|"&amp;"CY2023Q3",Spectrum!$R:$R,0)),0),""))</f>
        <v/>
      </c>
      <c r="V398" s="14">
        <f>IF(LEFT($B398,4)="_Mil","",_xlfn.IFNA(ROUND(INDEX(Spectrum!$N:$N,MATCH(RIGHT($B398,13)&amp;"|"&amp;$C398&amp;"|"&amp;$D398&amp;"|"&amp;V$14&amp;"|"&amp;"CY2023Q3",Spectrum!$R:$R,0)),0),""))</f>
        <v>1488</v>
      </c>
      <c r="W398" s="115">
        <f>IF(LEFT($B398,4)="_Mil","",_xlfn.IFNA(INDEX(Spectrum!$N:$N,MATCH(RIGHT($B398,13)&amp;"|"&amp;$C398&amp;"|"&amp;$D398&amp;"|"&amp;W$14&amp;"|"&amp;"CY2023Q3",Spectrum!$R:$R,0)),""))</f>
        <v>1673</v>
      </c>
      <c r="X398" s="42">
        <f>IF(LEFT($B398,4)="_Mil","",_xlfn.IFNA(ROUND(INDEX(Spectrum!$N:$N,MATCH(RIGHT($B398,13)&amp;"|"&amp;$C398&amp;"|"&amp;$D398&amp;"|"&amp;X$14&amp;"|"&amp;"CY2023Q3",Spectrum!$R:$R,0)),0),""))</f>
        <v>882</v>
      </c>
      <c r="Y398" s="90" t="str">
        <f t="shared" si="129"/>
        <v/>
      </c>
      <c r="Z398" s="42">
        <f>IF(LEFT($B398,4)="_Mil","",_xlfn.IFNA(ROUND(INDEX(Spectrum!$N:$N,MATCH(RIGHT($B398,13)&amp;"|"&amp;$C398&amp;"|"&amp;$D398&amp;"|"&amp;Z$14&amp;"|"&amp;"CY2023Q3",Spectrum!$R:$R,0)),0),""))</f>
        <v>522</v>
      </c>
      <c r="AA398" s="90">
        <f>IF(LEFT($B398,4)="_Mil","",IFERROR(1/(1/INDEX(Spectrum!$N:$N,MATCH(RIGHT($B398,13)&amp;"|"&amp;$C398&amp;"|"&amp;$D398&amp;"|"&amp;AA$14&amp;"|"&amp;"CY2023Q3",Spectrum!$R:$R,0))),IF(SUM($U398)=0,"",SUM($Z398)/$U398)))</f>
        <v>1575</v>
      </c>
      <c r="AB398" s="90">
        <f t="shared" si="130"/>
        <v>0.59183673469387754</v>
      </c>
      <c r="AC398" s="14">
        <f>IF(LEFT($B398,4)="_Mil","",_xlfn.IFNA(ROUND(INDEX(Spectrum!$N:$N,MATCH(RIGHT($B398,13)&amp;"|"&amp;$C398&amp;"|"&amp;$D398&amp;"|"&amp;AC$14&amp;"|"&amp;"CY2023Q3",Spectrum!$R:$R,0)),0),""))</f>
        <v>1352</v>
      </c>
      <c r="AD398" s="14" t="str">
        <f>IF(LEFT($B398,4)="_Mil","",_xlfn.IFNA(ROUND(INDEX(Spectrum!$N:$N,MATCH(RIGHT($B398,13)&amp;"|"&amp;$C398&amp;"|"&amp;$D398&amp;"|"&amp;AD$14&amp;"|"&amp;"CY2023Q3",Spectrum!$R:$R,0)),0),""))</f>
        <v/>
      </c>
      <c r="AE398" s="90">
        <f t="shared" si="131"/>
        <v>0</v>
      </c>
      <c r="AF398" s="42" t="str">
        <f>IF(LEFT($B398,4)="_Mil","",_xlfn.IFNA(ROUND(INDEX(Spectrum!$N:$N,MATCH(RIGHT($B398,13)&amp;"|"&amp;$C398&amp;"|"&amp;$D398&amp;"|"&amp;AF$14&amp;"|"&amp;"CY2023Q3",Spectrum!$R:$R,0)),0),""))</f>
        <v/>
      </c>
      <c r="AG398" s="90" t="str">
        <f t="shared" si="132"/>
        <v/>
      </c>
      <c r="AH398" s="88" t="str">
        <f>IF(LEFT($B398,4)="_Mil","",_xlfn.IFNA(INDEX(Spectrum!$N:$N,MATCH(RIGHT($B398,13)&amp;"|"&amp;$C398&amp;"|"&amp;$D398&amp;"|"&amp;AH$14&amp;"|"&amp;"CY2023Q3",Spectrum!$R:$R,0)),""))</f>
        <v/>
      </c>
      <c r="AI398" s="14" t="str">
        <f>IF(LEFT($B398,4)="_Mil","",_xlfn.IFNA(ROUND(INDEX(Spectrum!$N:$N,MATCH(RIGHT($B398,13)&amp;"|"&amp;$C398&amp;"|"&amp;$D398&amp;"|"&amp;AI$14&amp;"|"&amp;"CY2023Q3",Spectrum!$R:$R,0)),0),""))</f>
        <v/>
      </c>
      <c r="AJ398" s="42">
        <f>IF(LEFT($B398,4)="_Mil","",_xlfn.IFNA(ROUND(INDEX(Spectrum!$N:$N,MATCH(RIGHT($B398,13)&amp;"|"&amp;$C398&amp;"|"&amp;$D398&amp;"|"&amp;AI$14&amp;"|"&amp;"CY2023Q3",Spectrum!$R:$R,0)),0),SUM($U398)+SUM($AI398)))</f>
        <v>0</v>
      </c>
      <c r="AK398" s="14" t="str">
        <f>IF(LEFT($B398,4)="_Mil","",_xlfn.IFNA(ROUND(INDEX(Spectrum!$N:$N,MATCH(RIGHT($B398,13)&amp;"|"&amp;$C398&amp;"|"&amp;$D398&amp;"|"&amp;AK$14&amp;"|"&amp;"CY2023Q3",Spectrum!$R:$R,0)),0),""))</f>
        <v/>
      </c>
      <c r="AL398" s="90">
        <f t="shared" si="133"/>
        <v>1575</v>
      </c>
      <c r="AM398" s="14">
        <f t="shared" si="134"/>
        <v>0</v>
      </c>
      <c r="AN398" s="14" t="str">
        <f>IF($C398="&lt;01",ROUND(INDEX(EID!$P:$P,MATCH($B398,EID!$B:$B,0))/2,0),"")</f>
        <v/>
      </c>
      <c r="AO398" s="14">
        <f t="shared" si="135"/>
        <v>0</v>
      </c>
      <c r="AP398" s="42">
        <f t="shared" si="136"/>
        <v>0</v>
      </c>
      <c r="AQ398" s="42">
        <f t="shared" si="137"/>
        <v>522</v>
      </c>
      <c r="AR398" s="90" t="str">
        <f t="shared" si="138"/>
        <v/>
      </c>
      <c r="AS398" s="90">
        <f t="shared" si="151"/>
        <v>0.98</v>
      </c>
      <c r="AT398" s="90">
        <f t="shared" si="151"/>
        <v>0.98</v>
      </c>
      <c r="AU398" s="14">
        <f t="shared" si="140"/>
        <v>-90</v>
      </c>
      <c r="AV398" s="14">
        <f>IF($C398="&lt;01",ROUND(INDEX(EID!$N:$N,MATCH($B398,EID!$B:$B,0))/2,0),IF(SUM($AT398)=0,"",ROUND((SUM($AP398)-(SUM($O398)*SUM($AS398)))/$AT398,0)))</f>
        <v>-90</v>
      </c>
      <c r="AW398" s="90">
        <f t="shared" si="141"/>
        <v>1</v>
      </c>
      <c r="AX398" s="42">
        <f t="shared" si="142"/>
        <v>-90</v>
      </c>
      <c r="AY398" s="116">
        <f t="shared" si="143"/>
        <v>0.7</v>
      </c>
      <c r="AZ398" s="93">
        <f>IF($C398="&lt;01",ROUND(INDEX(EID!$R:$R,MATCH($B398,EID!$B:$B,0))/2,0),ROUND(SUM($O398)+(SUM($AV398)*$AY398),0))</f>
        <v>27</v>
      </c>
      <c r="BA398" s="89">
        <f t="shared" si="144"/>
        <v>0.95</v>
      </c>
      <c r="BB398" s="9">
        <f>IF($C398="&lt;01",ROUND(INDEX(EID!$T:$T,MATCH($B398,EID!$B:$B,0))/2,0),ROUND($AZ398*$BA398,0))</f>
        <v>26</v>
      </c>
      <c r="BC398" s="93">
        <f t="shared" si="145"/>
        <v>26</v>
      </c>
      <c r="BD398" s="90">
        <f t="shared" si="146"/>
        <v>0.95</v>
      </c>
      <c r="BE398" s="42">
        <f>IF($C398="&lt;01",ROUND(INDEX(EID!$V:$V,MATCH($B398,EID!$B:$B,0))/2,0),ROUND($BD398*$BB398,0))</f>
        <v>25</v>
      </c>
      <c r="BF398" s="42">
        <f t="shared" si="147"/>
        <v>25</v>
      </c>
      <c r="BG398" s="116">
        <f t="shared" si="148"/>
        <v>0.95</v>
      </c>
      <c r="BH398" s="9">
        <f>IF($C398="&lt;01",ROUND(INDEX(EID!$L:$L,MATCH($B398,EID!$B:$B,0)),0)/2,IF(SUM($BG398)=0,"",ROUND($AX398/$BG398,0)))</f>
        <v>-95</v>
      </c>
    </row>
    <row r="399" spans="1:60" x14ac:dyDescent="0.2">
      <c r="A399" t="str">
        <f>INDEX(Prioritization!$D:$D,MATCH($B399,Prioritization!$A:$A,0))</f>
        <v>1 - Scale-up: Saturation</v>
      </c>
      <c r="B399" t="s">
        <v>220</v>
      </c>
      <c r="C399" t="s">
        <v>364</v>
      </c>
      <c r="D399" t="s">
        <v>29</v>
      </c>
      <c r="E399" t="str">
        <f t="shared" ref="E399:E420" si="152">$B399&amp;"|"&amp;$C399&amp;"|"&amp;$D399</f>
        <v>Thyolo District [ul0y9diGujK]|15-24|Female</v>
      </c>
      <c r="F399" s="14"/>
      <c r="G399" s="14"/>
      <c r="H399" s="14"/>
      <c r="I399" s="14"/>
      <c r="J399" s="14"/>
      <c r="K399" s="14"/>
      <c r="L399" s="14"/>
      <c r="M399" s="14"/>
      <c r="N399" s="14"/>
      <c r="O399" s="14" t="str">
        <f t="shared" ref="O399:O420" si="153">IFERROR(1/(1/MAX($I399,$N399)),"")</f>
        <v/>
      </c>
      <c r="P399" s="14"/>
      <c r="Q399" s="14"/>
      <c r="R399" s="14" t="str">
        <f t="shared" ref="R399:R420" si="154">IF(AND(SUM($I399)=0,SUM($O399)=0),"",SUM($O399)-$I399)</f>
        <v/>
      </c>
      <c r="S399" s="14">
        <f>IF(LEFT($B399,4)="_Mil","",_xlfn.IFNA(ROUND(INDEX(Spectrum!$N:$N,MATCH(RIGHT($B399,13)&amp;"|"&amp;$C399&amp;"|"&amp;$D399&amp;"|"&amp;S$14&amp;"|"&amp;"CY2022Q4",Spectrum!$R:$R,0)),0),""))</f>
        <v>857</v>
      </c>
      <c r="T399" s="42">
        <f>IF(LEFT($B399,4)="_Mil","",_xlfn.IFNA(ROUND(INDEX(Spectrum!$N:$N,MATCH(RIGHT($B399,13)&amp;"|"&amp;$C399&amp;"|"&amp;$D399&amp;"|"&amp;T$14&amp;"|"&amp;"CY2023Q3",Spectrum!$R:$R,0)),0),""))</f>
        <v>1269</v>
      </c>
      <c r="U399" s="42" t="str">
        <f>IF(LEFT($B399,4)="_Mil","",_xlfn.IFNA(ROUND(INDEX(Spectrum!$N:$N,MATCH(RIGHT($B399,13)&amp;"|"&amp;$C399&amp;"|"&amp;$D399&amp;"|"&amp;U$14&amp;"|"&amp;"CY2023Q3",Spectrum!$R:$R,0)),0),""))</f>
        <v/>
      </c>
      <c r="V399" s="14">
        <f>IF(LEFT($B399,4)="_Mil","",_xlfn.IFNA(ROUND(INDEX(Spectrum!$N:$N,MATCH(RIGHT($B399,13)&amp;"|"&amp;$C399&amp;"|"&amp;$D399&amp;"|"&amp;V$14&amp;"|"&amp;"CY2023Q3",Spectrum!$R:$R,0)),0),""))</f>
        <v>812</v>
      </c>
      <c r="W399" s="115">
        <f>IF(LEFT($B399,4)="_Mil","",_xlfn.IFNA(INDEX(Spectrum!$N:$N,MATCH(RIGHT($B399,13)&amp;"|"&amp;$C399&amp;"|"&amp;$D399&amp;"|"&amp;W$14&amp;"|"&amp;"CY2023Q3",Spectrum!$R:$R,0)),""))</f>
        <v>1338</v>
      </c>
      <c r="X399" s="42">
        <f>IF(LEFT($B399,4)="_Mil","",_xlfn.IFNA(ROUND(INDEX(Spectrum!$N:$N,MATCH(RIGHT($B399,13)&amp;"|"&amp;$C399&amp;"|"&amp;$D399&amp;"|"&amp;X$14&amp;"|"&amp;"CY2023Q3",Spectrum!$R:$R,0)),0),""))</f>
        <v>1191</v>
      </c>
      <c r="Y399" s="90" t="str">
        <f t="shared" ref="Y399:Y420" si="155">IF(OR(SUM($U399)=0,LEFT($B399,4)="_Mil"),"",SUM($X399)/$U399)</f>
        <v/>
      </c>
      <c r="Z399" s="42">
        <f>IF(LEFT($B399,4)="_Mil","",_xlfn.IFNA(ROUND(INDEX(Spectrum!$N:$N,MATCH(RIGHT($B399,13)&amp;"|"&amp;$C399&amp;"|"&amp;$D399&amp;"|"&amp;Z$14&amp;"|"&amp;"CY2023Q3",Spectrum!$R:$R,0)),0),""))</f>
        <v>1841</v>
      </c>
      <c r="AA399" s="90">
        <f>IF(LEFT($B399,4)="_Mil","",IFERROR(1/(1/INDEX(Spectrum!$N:$N,MATCH(RIGHT($B399,13)&amp;"|"&amp;$C399&amp;"|"&amp;$D399&amp;"|"&amp;AA$14&amp;"|"&amp;"CY2023Q3",Spectrum!$R:$R,0))),IF(SUM($U399)=0,"",SUM($Z399)/$U399)))</f>
        <v>1462</v>
      </c>
      <c r="AB399" s="90">
        <f t="shared" ref="AB399:AB420" si="156">IF(OR(LEFT($B399,4)="_Mil",SUM($X399)=0),"",SUM($Z399)/$X399)</f>
        <v>1.5457598656591101</v>
      </c>
      <c r="AC399" s="14">
        <f>IF(LEFT($B399,4)="_Mil","",_xlfn.IFNA(ROUND(INDEX(Spectrum!$N:$N,MATCH(RIGHT($B399,13)&amp;"|"&amp;$C399&amp;"|"&amp;$D399&amp;"|"&amp;AC$14&amp;"|"&amp;"CY2023Q3",Spectrum!$R:$R,0)),0),""))</f>
        <v>947</v>
      </c>
      <c r="AD399" s="14" t="str">
        <f>IF(LEFT($B399,4)="_Mil","",_xlfn.IFNA(ROUND(INDEX(Spectrum!$N:$N,MATCH(RIGHT($B399,13)&amp;"|"&amp;$C399&amp;"|"&amp;$D399&amp;"|"&amp;AD$14&amp;"|"&amp;"CY2023Q3",Spectrum!$R:$R,0)),0),""))</f>
        <v/>
      </c>
      <c r="AE399" s="90">
        <f t="shared" ref="AE399:AE420" si="157">IF(OR(LEFT($B399,4)="_Mil",SUM($Z399)=0),"",SUM($AD399)/$Z399)</f>
        <v>0</v>
      </c>
      <c r="AF399" s="42" t="str">
        <f>IF(LEFT($B399,4)="_Mil","",_xlfn.IFNA(ROUND(INDEX(Spectrum!$N:$N,MATCH(RIGHT($B399,13)&amp;"|"&amp;$C399&amp;"|"&amp;$D399&amp;"|"&amp;AF$14&amp;"|"&amp;"CY2023Q3",Spectrum!$R:$R,0)),0),""))</f>
        <v/>
      </c>
      <c r="AG399" s="90" t="str">
        <f t="shared" ref="AG399:AG420" si="158">IF(OR(LEFT($B399,4)="_Mil",SUM($AD399)=0),"",SUM($AF399)/$AD399)</f>
        <v/>
      </c>
      <c r="AH399" s="88" t="str">
        <f>IF(LEFT($B399,4)="_Mil","",_xlfn.IFNA(INDEX(Spectrum!$N:$N,MATCH(RIGHT($B399,13)&amp;"|"&amp;$C399&amp;"|"&amp;$D399&amp;"|"&amp;AH$14&amp;"|"&amp;"CY2023Q3",Spectrum!$R:$R,0)),""))</f>
        <v/>
      </c>
      <c r="AI399" s="14" t="str">
        <f>IF(LEFT($B399,4)="_Mil","",_xlfn.IFNA(ROUND(INDEX(Spectrum!$N:$N,MATCH(RIGHT($B399,13)&amp;"|"&amp;$C399&amp;"|"&amp;$D399&amp;"|"&amp;AI$14&amp;"|"&amp;"CY2023Q3",Spectrum!$R:$R,0)),0),""))</f>
        <v/>
      </c>
      <c r="AJ399" s="42">
        <f>IF(LEFT($B399,4)="_Mil","",_xlfn.IFNA(ROUND(INDEX(Spectrum!$N:$N,MATCH(RIGHT($B399,13)&amp;"|"&amp;$C399&amp;"|"&amp;$D399&amp;"|"&amp;AI$14&amp;"|"&amp;"CY2023Q3",Spectrum!$R:$R,0)),0),SUM($U399)+SUM($AI399)))</f>
        <v>0</v>
      </c>
      <c r="AK399" s="14" t="str">
        <f>IF(LEFT($B399,4)="_Mil","",_xlfn.IFNA(ROUND(INDEX(Spectrum!$N:$N,MATCH(RIGHT($B399,13)&amp;"|"&amp;$C399&amp;"|"&amp;$D399&amp;"|"&amp;AK$14&amp;"|"&amp;"CY2023Q3",Spectrum!$R:$R,0)),0),""))</f>
        <v/>
      </c>
      <c r="AL399" s="90">
        <f t="shared" ref="AL399:AL420" si="159">IF(OR(LEFT($B399,4)="_Mil",$C399="&lt;01"),"",MAX(SUM($AA399),90%))</f>
        <v>1462</v>
      </c>
      <c r="AM399" s="14">
        <f t="shared" ref="AM399:AM420" si="160">IF(OR(LEFT($B399,4)="_Mil",$C399="&lt;01"),"",ROUND(SUM($AJ399)*SUM($AL399),0))</f>
        <v>0</v>
      </c>
      <c r="AN399" s="14" t="str">
        <f>IF($C399="&lt;01",ROUND(INDEX(EID!$P:$P,MATCH($B399,EID!$B:$B,0))/2,0),"")</f>
        <v/>
      </c>
      <c r="AO399" s="14">
        <f t="shared" ref="AO399:AO420" si="161">IF($C399="&lt;01",SUM($AN399),ROUND(SUM($AM399)*SUM($O399)/IF(SUM($Z399)=0,1,$Z399),0))</f>
        <v>0</v>
      </c>
      <c r="AP399" s="42">
        <f t="shared" ref="AP399:AP420" si="162">IF(OR($F399="",$C399="&lt;01"),$AO399,$F399)</f>
        <v>0</v>
      </c>
      <c r="AQ399" s="42">
        <f t="shared" ref="AQ399:AQ420" si="163">IF(LEFT($B399,4)="_Mil","",IF(SUM($AP399)=0,SUM($Z399),IF(OR(SUM($Z399)=0,SUM($O399)=0),MAX($AP399,$Z399),$AP399*$Z399/$O399)))</f>
        <v>1841</v>
      </c>
      <c r="AR399" s="90" t="str">
        <f t="shared" ref="AR399:AR420" si="164">IF(OR(LEFT($B399,4)="_Mil",SUM($AJ399)=0),"",SUM($AQ399)/$AJ399)</f>
        <v/>
      </c>
      <c r="AS399" s="90">
        <f t="shared" si="151"/>
        <v>0.98</v>
      </c>
      <c r="AT399" s="90">
        <f t="shared" si="151"/>
        <v>0.98</v>
      </c>
      <c r="AU399" s="14">
        <f t="shared" ref="AU399:AU420" si="165">IF($C399="&lt;01","",SUM($AP399)-SUM($O399))</f>
        <v>0</v>
      </c>
      <c r="AV399" s="14">
        <f>IF($C399="&lt;01",ROUND(INDEX(EID!$N:$N,MATCH($B399,EID!$B:$B,0))/2,0),IF(SUM($AT399)=0,"",ROUND((SUM($AP399)-(SUM($O399)*SUM($AS399)))/$AT399,0)))</f>
        <v>0</v>
      </c>
      <c r="AW399" s="90">
        <f t="shared" ref="AW399:AW420" si="166">IF($C399="&lt;01","",100%)</f>
        <v>1</v>
      </c>
      <c r="AX399" s="42">
        <f t="shared" ref="AX399:AX420" si="167">IF($C399="&lt;01",SUM($AV399),ROUND(SUM($AV399)*SUM($AW399),0))</f>
        <v>0</v>
      </c>
      <c r="AY399" s="116">
        <f t="shared" ref="AY399:AY420" si="168">IF($C399="&lt;01","",70%)</f>
        <v>0.7</v>
      </c>
      <c r="AZ399" s="93">
        <f>IF($C399="&lt;01",ROUND(INDEX(EID!$R:$R,MATCH($B399,EID!$B:$B,0))/2,0),ROUND(SUM($O399)+(SUM($AV399)*$AY399),0))</f>
        <v>0</v>
      </c>
      <c r="BA399" s="89">
        <f t="shared" ref="BA399:BA420" si="169">IF($C399="&lt;01","",95%)</f>
        <v>0.95</v>
      </c>
      <c r="BB399" s="9">
        <f>IF($C399="&lt;01",ROUND(INDEX(EID!$T:$T,MATCH($B399,EID!$B:$B,0))/2,0),ROUND($AZ399*$BA399,0))</f>
        <v>0</v>
      </c>
      <c r="BC399" s="93">
        <f t="shared" ref="BC399:BC420" si="170">IF(LEFT($B399,4)="_Mil","",IF(SUM($BB399)=0,SUM($AD399),IF(OR(SUM($AP399)=0,SUM($AQ399)=0),MAX($BB399,$AD399),ROUND($BB399*$AQ399/$AP399,0))))</f>
        <v>0</v>
      </c>
      <c r="BD399" s="90">
        <f t="shared" ref="BD399:BD420" si="171">IF($C399="&lt;01","",95%)</f>
        <v>0.95</v>
      </c>
      <c r="BE399" s="42">
        <f>IF($C399="&lt;01",ROUND(INDEX(EID!$V:$V,MATCH($B399,EID!$B:$B,0))/2,0),ROUND($BD399*$BB399,0))</f>
        <v>0</v>
      </c>
      <c r="BF399" s="42">
        <f t="shared" ref="BF399:BF420" si="172">IF(LEFT($B399,4)="_Mil","",IF(SUM($BE399)=0,SUM($AF399),IF(OR(SUM($AP399)=0,SUM($AQ399)=0),MAX($BE399,$AF399),ROUND($BE399*$AQ399/$AP399,0))))</f>
        <v>0</v>
      </c>
      <c r="BG399" s="116">
        <f t="shared" ref="BG399:BG420" si="173">IF($C399="&lt;01","",95%)</f>
        <v>0.95</v>
      </c>
      <c r="BH399" s="9">
        <f>IF($C399="&lt;01",ROUND(INDEX(EID!$L:$L,MATCH($B399,EID!$B:$B,0)),0)/2,IF(SUM($BG399)=0,"",ROUND($AX399/$BG399,0)))</f>
        <v>0</v>
      </c>
    </row>
    <row r="400" spans="1:60" x14ac:dyDescent="0.2">
      <c r="A400" t="str">
        <f>INDEX(Prioritization!$D:$D,MATCH($B400,Prioritization!$A:$A,0))</f>
        <v>1 - Scale-up: Saturation</v>
      </c>
      <c r="B400" t="s">
        <v>220</v>
      </c>
      <c r="C400" t="s">
        <v>364</v>
      </c>
      <c r="D400" t="s">
        <v>47</v>
      </c>
      <c r="E400" t="str">
        <f t="shared" si="152"/>
        <v>Thyolo District [ul0y9diGujK]|15-24|Male</v>
      </c>
      <c r="F400" s="14"/>
      <c r="G400" s="14"/>
      <c r="H400" s="14"/>
      <c r="I400" s="14"/>
      <c r="J400" s="14"/>
      <c r="K400" s="14"/>
      <c r="L400" s="14"/>
      <c r="M400" s="14"/>
      <c r="N400" s="14"/>
      <c r="O400" s="14" t="str">
        <f t="shared" si="153"/>
        <v/>
      </c>
      <c r="P400" s="14"/>
      <c r="Q400" s="14"/>
      <c r="R400" s="14" t="str">
        <f t="shared" si="154"/>
        <v/>
      </c>
      <c r="S400" s="14">
        <f>IF(LEFT($B400,4)="_Mil","",_xlfn.IFNA(ROUND(INDEX(Spectrum!$N:$N,MATCH(RIGHT($B400,13)&amp;"|"&amp;$C400&amp;"|"&amp;$D400&amp;"|"&amp;S$14&amp;"|"&amp;"CY2022Q4",Spectrum!$R:$R,0)),0),""))</f>
        <v>843</v>
      </c>
      <c r="T400" s="42">
        <f>IF(LEFT($B400,4)="_Mil","",_xlfn.IFNA(ROUND(INDEX(Spectrum!$N:$N,MATCH(RIGHT($B400,13)&amp;"|"&amp;$C400&amp;"|"&amp;$D400&amp;"|"&amp;T$14&amp;"|"&amp;"CY2023Q3",Spectrum!$R:$R,0)),0),""))</f>
        <v>1129</v>
      </c>
      <c r="U400" s="42" t="str">
        <f>IF(LEFT($B400,4)="_Mil","",_xlfn.IFNA(ROUND(INDEX(Spectrum!$N:$N,MATCH(RIGHT($B400,13)&amp;"|"&amp;$C400&amp;"|"&amp;$D400&amp;"|"&amp;U$14&amp;"|"&amp;"CY2023Q3",Spectrum!$R:$R,0)),0),""))</f>
        <v/>
      </c>
      <c r="V400" s="14">
        <f>IF(LEFT($B400,4)="_Mil","",_xlfn.IFNA(ROUND(INDEX(Spectrum!$N:$N,MATCH(RIGHT($B400,13)&amp;"|"&amp;$C400&amp;"|"&amp;$D400&amp;"|"&amp;V$14&amp;"|"&amp;"CY2023Q3",Spectrum!$R:$R,0)),0),""))</f>
        <v>1518</v>
      </c>
      <c r="W400" s="115">
        <f>IF(LEFT($B400,4)="_Mil","",_xlfn.IFNA(INDEX(Spectrum!$N:$N,MATCH(RIGHT($B400,13)&amp;"|"&amp;$C400&amp;"|"&amp;$D400&amp;"|"&amp;W$14&amp;"|"&amp;"CY2023Q3",Spectrum!$R:$R,0)),""))</f>
        <v>1846</v>
      </c>
      <c r="X400" s="42">
        <f>IF(LEFT($B400,4)="_Mil","",_xlfn.IFNA(ROUND(INDEX(Spectrum!$N:$N,MATCH(RIGHT($B400,13)&amp;"|"&amp;$C400&amp;"|"&amp;$D400&amp;"|"&amp;X$14&amp;"|"&amp;"CY2023Q3",Spectrum!$R:$R,0)),0),""))</f>
        <v>1324</v>
      </c>
      <c r="Y400" s="90" t="str">
        <f t="shared" si="155"/>
        <v/>
      </c>
      <c r="Z400" s="42">
        <f>IF(LEFT($B400,4)="_Mil","",_xlfn.IFNA(ROUND(INDEX(Spectrum!$N:$N,MATCH(RIGHT($B400,13)&amp;"|"&amp;$C400&amp;"|"&amp;$D400&amp;"|"&amp;Z$14&amp;"|"&amp;"CY2023Q3",Spectrum!$R:$R,0)),0),""))</f>
        <v>1387</v>
      </c>
      <c r="AA400" s="90">
        <f>IF(LEFT($B400,4)="_Mil","",IFERROR(1/(1/INDEX(Spectrum!$N:$N,MATCH(RIGHT($B400,13)&amp;"|"&amp;$C400&amp;"|"&amp;$D400&amp;"|"&amp;AA$14&amp;"|"&amp;"CY2023Q3",Spectrum!$R:$R,0))),IF(SUM($U400)=0,"",SUM($Z400)/$U400)))</f>
        <v>1208</v>
      </c>
      <c r="AB400" s="90">
        <f t="shared" si="156"/>
        <v>1.047583081570997</v>
      </c>
      <c r="AC400" s="14">
        <f>IF(LEFT($B400,4)="_Mil","",_xlfn.IFNA(ROUND(INDEX(Spectrum!$N:$N,MATCH(RIGHT($B400,13)&amp;"|"&amp;$C400&amp;"|"&amp;$D400&amp;"|"&amp;AC$14&amp;"|"&amp;"CY2023Q3",Spectrum!$R:$R,0)),0),""))</f>
        <v>595</v>
      </c>
      <c r="AD400" s="14" t="str">
        <f>IF(LEFT($B400,4)="_Mil","",_xlfn.IFNA(ROUND(INDEX(Spectrum!$N:$N,MATCH(RIGHT($B400,13)&amp;"|"&amp;$C400&amp;"|"&amp;$D400&amp;"|"&amp;AD$14&amp;"|"&amp;"CY2023Q3",Spectrum!$R:$R,0)),0),""))</f>
        <v/>
      </c>
      <c r="AE400" s="90">
        <f t="shared" si="157"/>
        <v>0</v>
      </c>
      <c r="AF400" s="42" t="str">
        <f>IF(LEFT($B400,4)="_Mil","",_xlfn.IFNA(ROUND(INDEX(Spectrum!$N:$N,MATCH(RIGHT($B400,13)&amp;"|"&amp;$C400&amp;"|"&amp;$D400&amp;"|"&amp;AF$14&amp;"|"&amp;"CY2023Q3",Spectrum!$R:$R,0)),0),""))</f>
        <v/>
      </c>
      <c r="AG400" s="90" t="str">
        <f t="shared" si="158"/>
        <v/>
      </c>
      <c r="AH400" s="88" t="str">
        <f>IF(LEFT($B400,4)="_Mil","",_xlfn.IFNA(INDEX(Spectrum!$N:$N,MATCH(RIGHT($B400,13)&amp;"|"&amp;$C400&amp;"|"&amp;$D400&amp;"|"&amp;AH$14&amp;"|"&amp;"CY2023Q3",Spectrum!$R:$R,0)),""))</f>
        <v/>
      </c>
      <c r="AI400" s="14" t="str">
        <f>IF(LEFT($B400,4)="_Mil","",_xlfn.IFNA(ROUND(INDEX(Spectrum!$N:$N,MATCH(RIGHT($B400,13)&amp;"|"&amp;$C400&amp;"|"&amp;$D400&amp;"|"&amp;AI$14&amp;"|"&amp;"CY2023Q3",Spectrum!$R:$R,0)),0),""))</f>
        <v/>
      </c>
      <c r="AJ400" s="42">
        <f>IF(LEFT($B400,4)="_Mil","",_xlfn.IFNA(ROUND(INDEX(Spectrum!$N:$N,MATCH(RIGHT($B400,13)&amp;"|"&amp;$C400&amp;"|"&amp;$D400&amp;"|"&amp;AI$14&amp;"|"&amp;"CY2023Q3",Spectrum!$R:$R,0)),0),SUM($U400)+SUM($AI400)))</f>
        <v>0</v>
      </c>
      <c r="AK400" s="14" t="str">
        <f>IF(LEFT($B400,4)="_Mil","",_xlfn.IFNA(ROUND(INDEX(Spectrum!$N:$N,MATCH(RIGHT($B400,13)&amp;"|"&amp;$C400&amp;"|"&amp;$D400&amp;"|"&amp;AK$14&amp;"|"&amp;"CY2023Q3",Spectrum!$R:$R,0)),0),""))</f>
        <v/>
      </c>
      <c r="AL400" s="90">
        <f t="shared" si="159"/>
        <v>1208</v>
      </c>
      <c r="AM400" s="14">
        <f t="shared" si="160"/>
        <v>0</v>
      </c>
      <c r="AN400" s="14" t="str">
        <f>IF($C400="&lt;01",ROUND(INDEX(EID!$P:$P,MATCH($B400,EID!$B:$B,0))/2,0),"")</f>
        <v/>
      </c>
      <c r="AO400" s="14">
        <f t="shared" si="161"/>
        <v>0</v>
      </c>
      <c r="AP400" s="42">
        <f t="shared" si="162"/>
        <v>0</v>
      </c>
      <c r="AQ400" s="42">
        <f t="shared" si="163"/>
        <v>1387</v>
      </c>
      <c r="AR400" s="90" t="str">
        <f t="shared" si="164"/>
        <v/>
      </c>
      <c r="AS400" s="90">
        <f t="shared" si="151"/>
        <v>0.98</v>
      </c>
      <c r="AT400" s="90">
        <f t="shared" si="151"/>
        <v>0.98</v>
      </c>
      <c r="AU400" s="14">
        <f t="shared" si="165"/>
        <v>0</v>
      </c>
      <c r="AV400" s="14">
        <f>IF($C400="&lt;01",ROUND(INDEX(EID!$N:$N,MATCH($B400,EID!$B:$B,0))/2,0),IF(SUM($AT400)=0,"",ROUND((SUM($AP400)-(SUM($O400)*SUM($AS400)))/$AT400,0)))</f>
        <v>0</v>
      </c>
      <c r="AW400" s="90">
        <f t="shared" si="166"/>
        <v>1</v>
      </c>
      <c r="AX400" s="42">
        <f t="shared" si="167"/>
        <v>0</v>
      </c>
      <c r="AY400" s="116">
        <f t="shared" si="168"/>
        <v>0.7</v>
      </c>
      <c r="AZ400" s="93">
        <f>IF($C400="&lt;01",ROUND(INDEX(EID!$R:$R,MATCH($B400,EID!$B:$B,0))/2,0),ROUND(SUM($O400)+(SUM($AV400)*$AY400),0))</f>
        <v>0</v>
      </c>
      <c r="BA400" s="89">
        <f t="shared" si="169"/>
        <v>0.95</v>
      </c>
      <c r="BB400" s="9">
        <f>IF($C400="&lt;01",ROUND(INDEX(EID!$T:$T,MATCH($B400,EID!$B:$B,0))/2,0),ROUND($AZ400*$BA400,0))</f>
        <v>0</v>
      </c>
      <c r="BC400" s="93">
        <f t="shared" si="170"/>
        <v>0</v>
      </c>
      <c r="BD400" s="90">
        <f t="shared" si="171"/>
        <v>0.95</v>
      </c>
      <c r="BE400" s="42">
        <f>IF($C400="&lt;01",ROUND(INDEX(EID!$V:$V,MATCH($B400,EID!$B:$B,0))/2,0),ROUND($BD400*$BB400,0))</f>
        <v>0</v>
      </c>
      <c r="BF400" s="42">
        <f t="shared" si="172"/>
        <v>0</v>
      </c>
      <c r="BG400" s="116">
        <f t="shared" si="173"/>
        <v>0.95</v>
      </c>
      <c r="BH400" s="9">
        <f>IF($C400="&lt;01",ROUND(INDEX(EID!$L:$L,MATCH($B400,EID!$B:$B,0)),0)/2,IF(SUM($BG400)=0,"",ROUND($AX400/$BG400,0)))</f>
        <v>0</v>
      </c>
    </row>
    <row r="401" spans="1:60" x14ac:dyDescent="0.2">
      <c r="A401" t="str">
        <f>INDEX(Prioritization!$D:$D,MATCH($B401,Prioritization!$A:$A,0))</f>
        <v>1 - Scale-up: Saturation</v>
      </c>
      <c r="B401" t="s">
        <v>220</v>
      </c>
      <c r="C401" t="s">
        <v>365</v>
      </c>
      <c r="D401" t="s">
        <v>29</v>
      </c>
      <c r="E401" t="str">
        <f t="shared" si="152"/>
        <v>Thyolo District [ul0y9diGujK]|25-34|Female</v>
      </c>
      <c r="F401" s="14"/>
      <c r="G401" s="14"/>
      <c r="H401" s="14"/>
      <c r="I401" s="14"/>
      <c r="J401" s="14"/>
      <c r="K401" s="14"/>
      <c r="L401" s="14"/>
      <c r="M401" s="14"/>
      <c r="N401" s="14"/>
      <c r="O401" s="14" t="str">
        <f t="shared" si="153"/>
        <v/>
      </c>
      <c r="P401" s="14"/>
      <c r="Q401" s="14"/>
      <c r="R401" s="14" t="str">
        <f t="shared" si="154"/>
        <v/>
      </c>
      <c r="S401" s="14">
        <f>IF(LEFT($B401,4)="_Mil","",_xlfn.IFNA(ROUND(INDEX(Spectrum!$N:$N,MATCH(RIGHT($B401,13)&amp;"|"&amp;$C401&amp;"|"&amp;$D401&amp;"|"&amp;S$14&amp;"|"&amp;"CY2022Q4",Spectrum!$R:$R,0)),0),""))</f>
        <v>1601</v>
      </c>
      <c r="T401" s="42">
        <f>IF(LEFT($B401,4)="_Mil","",_xlfn.IFNA(ROUND(INDEX(Spectrum!$N:$N,MATCH(RIGHT($B401,13)&amp;"|"&amp;$C401&amp;"|"&amp;$D401&amp;"|"&amp;T$14&amp;"|"&amp;"CY2023Q3",Spectrum!$R:$R,0)),0),""))</f>
        <v>1333</v>
      </c>
      <c r="U401" s="42" t="str">
        <f>IF(LEFT($B401,4)="_Mil","",_xlfn.IFNA(ROUND(INDEX(Spectrum!$N:$N,MATCH(RIGHT($B401,13)&amp;"|"&amp;$C401&amp;"|"&amp;$D401&amp;"|"&amp;U$14&amp;"|"&amp;"CY2023Q3",Spectrum!$R:$R,0)),0),""))</f>
        <v/>
      </c>
      <c r="V401" s="14">
        <f>IF(LEFT($B401,4)="_Mil","",_xlfn.IFNA(ROUND(INDEX(Spectrum!$N:$N,MATCH(RIGHT($B401,13)&amp;"|"&amp;$C401&amp;"|"&amp;$D401&amp;"|"&amp;V$14&amp;"|"&amp;"CY2023Q3",Spectrum!$R:$R,0)),0),""))</f>
        <v>1085</v>
      </c>
      <c r="W401" s="115">
        <f>IF(LEFT($B401,4)="_Mil","",_xlfn.IFNA(INDEX(Spectrum!$N:$N,MATCH(RIGHT($B401,13)&amp;"|"&amp;$C401&amp;"|"&amp;$D401&amp;"|"&amp;W$14&amp;"|"&amp;"CY2023Q3",Spectrum!$R:$R,0)),""))</f>
        <v>1486</v>
      </c>
      <c r="X401" s="42">
        <f>IF(LEFT($B401,4)="_Mil","",_xlfn.IFNA(ROUND(INDEX(Spectrum!$N:$N,MATCH(RIGHT($B401,13)&amp;"|"&amp;$C401&amp;"|"&amp;$D401&amp;"|"&amp;X$14&amp;"|"&amp;"CY2023Q3",Spectrum!$R:$R,0)),0),""))</f>
        <v>1818</v>
      </c>
      <c r="Y401" s="90" t="str">
        <f t="shared" si="155"/>
        <v/>
      </c>
      <c r="Z401" s="42">
        <f>IF(LEFT($B401,4)="_Mil","",_xlfn.IFNA(ROUND(INDEX(Spectrum!$N:$N,MATCH(RIGHT($B401,13)&amp;"|"&amp;$C401&amp;"|"&amp;$D401&amp;"|"&amp;Z$14&amp;"|"&amp;"CY2023Q3",Spectrum!$R:$R,0)),0),""))</f>
        <v>921</v>
      </c>
      <c r="AA401" s="90">
        <f>IF(LEFT($B401,4)="_Mil","",IFERROR(1/(1/INDEX(Spectrum!$N:$N,MATCH(RIGHT($B401,13)&amp;"|"&amp;$C401&amp;"|"&amp;$D401&amp;"|"&amp;AA$14&amp;"|"&amp;"CY2023Q3",Spectrum!$R:$R,0))),IF(SUM($U401)=0,"",SUM($Z401)/$U401)))</f>
        <v>1158</v>
      </c>
      <c r="AB401" s="90">
        <f t="shared" si="156"/>
        <v>0.50660066006600657</v>
      </c>
      <c r="AC401" s="14">
        <f>IF(LEFT($B401,4)="_Mil","",_xlfn.IFNA(ROUND(INDEX(Spectrum!$N:$N,MATCH(RIGHT($B401,13)&amp;"|"&amp;$C401&amp;"|"&amp;$D401&amp;"|"&amp;AC$14&amp;"|"&amp;"CY2023Q3",Spectrum!$R:$R,0)),0),""))</f>
        <v>1613</v>
      </c>
      <c r="AD401" s="14" t="str">
        <f>IF(LEFT($B401,4)="_Mil","",_xlfn.IFNA(ROUND(INDEX(Spectrum!$N:$N,MATCH(RIGHT($B401,13)&amp;"|"&amp;$C401&amp;"|"&amp;$D401&amp;"|"&amp;AD$14&amp;"|"&amp;"CY2023Q3",Spectrum!$R:$R,0)),0),""))</f>
        <v/>
      </c>
      <c r="AE401" s="90">
        <f t="shared" si="157"/>
        <v>0</v>
      </c>
      <c r="AF401" s="42" t="str">
        <f>IF(LEFT($B401,4)="_Mil","",_xlfn.IFNA(ROUND(INDEX(Spectrum!$N:$N,MATCH(RIGHT($B401,13)&amp;"|"&amp;$C401&amp;"|"&amp;$D401&amp;"|"&amp;AF$14&amp;"|"&amp;"CY2023Q3",Spectrum!$R:$R,0)),0),""))</f>
        <v/>
      </c>
      <c r="AG401" s="90" t="str">
        <f t="shared" si="158"/>
        <v/>
      </c>
      <c r="AH401" s="88" t="str">
        <f>IF(LEFT($B401,4)="_Mil","",_xlfn.IFNA(INDEX(Spectrum!$N:$N,MATCH(RIGHT($B401,13)&amp;"|"&amp;$C401&amp;"|"&amp;$D401&amp;"|"&amp;AH$14&amp;"|"&amp;"CY2023Q3",Spectrum!$R:$R,0)),""))</f>
        <v/>
      </c>
      <c r="AI401" s="14" t="str">
        <f>IF(LEFT($B401,4)="_Mil","",_xlfn.IFNA(ROUND(INDEX(Spectrum!$N:$N,MATCH(RIGHT($B401,13)&amp;"|"&amp;$C401&amp;"|"&amp;$D401&amp;"|"&amp;AI$14&amp;"|"&amp;"CY2023Q3",Spectrum!$R:$R,0)),0),""))</f>
        <v/>
      </c>
      <c r="AJ401" s="42">
        <f>IF(LEFT($B401,4)="_Mil","",_xlfn.IFNA(ROUND(INDEX(Spectrum!$N:$N,MATCH(RIGHT($B401,13)&amp;"|"&amp;$C401&amp;"|"&amp;$D401&amp;"|"&amp;AI$14&amp;"|"&amp;"CY2023Q3",Spectrum!$R:$R,0)),0),SUM($U401)+SUM($AI401)))</f>
        <v>0</v>
      </c>
      <c r="AK401" s="14" t="str">
        <f>IF(LEFT($B401,4)="_Mil","",_xlfn.IFNA(ROUND(INDEX(Spectrum!$N:$N,MATCH(RIGHT($B401,13)&amp;"|"&amp;$C401&amp;"|"&amp;$D401&amp;"|"&amp;AK$14&amp;"|"&amp;"CY2023Q3",Spectrum!$R:$R,0)),0),""))</f>
        <v/>
      </c>
      <c r="AL401" s="90">
        <f t="shared" si="159"/>
        <v>1158</v>
      </c>
      <c r="AM401" s="14">
        <f t="shared" si="160"/>
        <v>0</v>
      </c>
      <c r="AN401" s="14" t="str">
        <f>IF($C401="&lt;01",ROUND(INDEX(EID!$P:$P,MATCH($B401,EID!$B:$B,0))/2,0),"")</f>
        <v/>
      </c>
      <c r="AO401" s="14">
        <f t="shared" si="161"/>
        <v>0</v>
      </c>
      <c r="AP401" s="42">
        <f t="shared" si="162"/>
        <v>0</v>
      </c>
      <c r="AQ401" s="42">
        <f t="shared" si="163"/>
        <v>921</v>
      </c>
      <c r="AR401" s="90" t="str">
        <f t="shared" si="164"/>
        <v/>
      </c>
      <c r="AS401" s="90">
        <f t="shared" si="151"/>
        <v>0.98</v>
      </c>
      <c r="AT401" s="90">
        <f t="shared" si="151"/>
        <v>0.98</v>
      </c>
      <c r="AU401" s="14">
        <f t="shared" si="165"/>
        <v>0</v>
      </c>
      <c r="AV401" s="14">
        <f>IF($C401="&lt;01",ROUND(INDEX(EID!$N:$N,MATCH($B401,EID!$B:$B,0))/2,0),IF(SUM($AT401)=0,"",ROUND((SUM($AP401)-(SUM($O401)*SUM($AS401)))/$AT401,0)))</f>
        <v>0</v>
      </c>
      <c r="AW401" s="90">
        <f t="shared" si="166"/>
        <v>1</v>
      </c>
      <c r="AX401" s="42">
        <f t="shared" si="167"/>
        <v>0</v>
      </c>
      <c r="AY401" s="116">
        <f t="shared" si="168"/>
        <v>0.7</v>
      </c>
      <c r="AZ401" s="93">
        <f>IF($C401="&lt;01",ROUND(INDEX(EID!$R:$R,MATCH($B401,EID!$B:$B,0))/2,0),ROUND(SUM($O401)+(SUM($AV401)*$AY401),0))</f>
        <v>0</v>
      </c>
      <c r="BA401" s="89">
        <f t="shared" si="169"/>
        <v>0.95</v>
      </c>
      <c r="BB401" s="9">
        <f>IF($C401="&lt;01",ROUND(INDEX(EID!$T:$T,MATCH($B401,EID!$B:$B,0))/2,0),ROUND($AZ401*$BA401,0))</f>
        <v>0</v>
      </c>
      <c r="BC401" s="93">
        <f t="shared" si="170"/>
        <v>0</v>
      </c>
      <c r="BD401" s="90">
        <f t="shared" si="171"/>
        <v>0.95</v>
      </c>
      <c r="BE401" s="42">
        <f>IF($C401="&lt;01",ROUND(INDEX(EID!$V:$V,MATCH($B401,EID!$B:$B,0))/2,0),ROUND($BD401*$BB401,0))</f>
        <v>0</v>
      </c>
      <c r="BF401" s="42">
        <f t="shared" si="172"/>
        <v>0</v>
      </c>
      <c r="BG401" s="116">
        <f t="shared" si="173"/>
        <v>0.95</v>
      </c>
      <c r="BH401" s="9">
        <f>IF($C401="&lt;01",ROUND(INDEX(EID!$L:$L,MATCH($B401,EID!$B:$B,0)),0)/2,IF(SUM($BG401)=0,"",ROUND($AX401/$BG401,0)))</f>
        <v>0</v>
      </c>
    </row>
    <row r="402" spans="1:60" x14ac:dyDescent="0.2">
      <c r="A402" t="str">
        <f>INDEX(Prioritization!$D:$D,MATCH($B402,Prioritization!$A:$A,0))</f>
        <v>1 - Scale-up: Saturation</v>
      </c>
      <c r="B402" t="s">
        <v>220</v>
      </c>
      <c r="C402" t="s">
        <v>365</v>
      </c>
      <c r="D402" t="s">
        <v>47</v>
      </c>
      <c r="E402" t="str">
        <f t="shared" si="152"/>
        <v>Thyolo District [ul0y9diGujK]|25-34|Male</v>
      </c>
      <c r="F402" s="14"/>
      <c r="G402" s="14"/>
      <c r="H402" s="14"/>
      <c r="I402" s="14"/>
      <c r="J402" s="14"/>
      <c r="K402" s="14"/>
      <c r="L402" s="14"/>
      <c r="M402" s="14"/>
      <c r="N402" s="14"/>
      <c r="O402" s="14" t="str">
        <f t="shared" si="153"/>
        <v/>
      </c>
      <c r="P402" s="14"/>
      <c r="Q402" s="14"/>
      <c r="R402" s="14" t="str">
        <f t="shared" si="154"/>
        <v/>
      </c>
      <c r="S402" s="14">
        <f>IF(LEFT($B402,4)="_Mil","",_xlfn.IFNA(ROUND(INDEX(Spectrum!$N:$N,MATCH(RIGHT($B402,13)&amp;"|"&amp;$C402&amp;"|"&amp;$D402&amp;"|"&amp;S$14&amp;"|"&amp;"CY2022Q4",Spectrum!$R:$R,0)),0),""))</f>
        <v>1553</v>
      </c>
      <c r="T402" s="42">
        <f>IF(LEFT($B402,4)="_Mil","",_xlfn.IFNA(ROUND(INDEX(Spectrum!$N:$N,MATCH(RIGHT($B402,13)&amp;"|"&amp;$C402&amp;"|"&amp;$D402&amp;"|"&amp;T$14&amp;"|"&amp;"CY2023Q3",Spectrum!$R:$R,0)),0),""))</f>
        <v>1064</v>
      </c>
      <c r="U402" s="42" t="str">
        <f>IF(LEFT($B402,4)="_Mil","",_xlfn.IFNA(ROUND(INDEX(Spectrum!$N:$N,MATCH(RIGHT($B402,13)&amp;"|"&amp;$C402&amp;"|"&amp;$D402&amp;"|"&amp;U$14&amp;"|"&amp;"CY2023Q3",Spectrum!$R:$R,0)),0),""))</f>
        <v/>
      </c>
      <c r="V402" s="14">
        <f>IF(LEFT($B402,4)="_Mil","",_xlfn.IFNA(ROUND(INDEX(Spectrum!$N:$N,MATCH(RIGHT($B402,13)&amp;"|"&amp;$C402&amp;"|"&amp;$D402&amp;"|"&amp;V$14&amp;"|"&amp;"CY2023Q3",Spectrum!$R:$R,0)),0),""))</f>
        <v>1412</v>
      </c>
      <c r="W402" s="115">
        <f>IF(LEFT($B402,4)="_Mil","",_xlfn.IFNA(INDEX(Spectrum!$N:$N,MATCH(RIGHT($B402,13)&amp;"|"&amp;$C402&amp;"|"&amp;$D402&amp;"|"&amp;W$14&amp;"|"&amp;"CY2023Q3",Spectrum!$R:$R,0)),""))</f>
        <v>1963</v>
      </c>
      <c r="X402" s="42">
        <f>IF(LEFT($B402,4)="_Mil","",_xlfn.IFNA(ROUND(INDEX(Spectrum!$N:$N,MATCH(RIGHT($B402,13)&amp;"|"&amp;$C402&amp;"|"&amp;$D402&amp;"|"&amp;X$14&amp;"|"&amp;"CY2023Q3",Spectrum!$R:$R,0)),0),""))</f>
        <v>1769</v>
      </c>
      <c r="Y402" s="90" t="str">
        <f t="shared" si="155"/>
        <v/>
      </c>
      <c r="Z402" s="42">
        <f>IF(LEFT($B402,4)="_Mil","",_xlfn.IFNA(ROUND(INDEX(Spectrum!$N:$N,MATCH(RIGHT($B402,13)&amp;"|"&amp;$C402&amp;"|"&amp;$D402&amp;"|"&amp;Z$14&amp;"|"&amp;"CY2023Q3",Spectrum!$R:$R,0)),0),""))</f>
        <v>1076</v>
      </c>
      <c r="AA402" s="90">
        <f>IF(LEFT($B402,4)="_Mil","",IFERROR(1/(1/INDEX(Spectrum!$N:$N,MATCH(RIGHT($B402,13)&amp;"|"&amp;$C402&amp;"|"&amp;$D402&amp;"|"&amp;AA$14&amp;"|"&amp;"CY2023Q3",Spectrum!$R:$R,0))),IF(SUM($U402)=0,"",SUM($Z402)/$U402)))</f>
        <v>1667.0000000000002</v>
      </c>
      <c r="AB402" s="90">
        <f t="shared" si="156"/>
        <v>0.60825325042396838</v>
      </c>
      <c r="AC402" s="14">
        <f>IF(LEFT($B402,4)="_Mil","",_xlfn.IFNA(ROUND(INDEX(Spectrum!$N:$N,MATCH(RIGHT($B402,13)&amp;"|"&amp;$C402&amp;"|"&amp;$D402&amp;"|"&amp;AC$14&amp;"|"&amp;"CY2023Q3",Spectrum!$R:$R,0)),0),""))</f>
        <v>593</v>
      </c>
      <c r="AD402" s="14" t="str">
        <f>IF(LEFT($B402,4)="_Mil","",_xlfn.IFNA(ROUND(INDEX(Spectrum!$N:$N,MATCH(RIGHT($B402,13)&amp;"|"&amp;$C402&amp;"|"&amp;$D402&amp;"|"&amp;AD$14&amp;"|"&amp;"CY2023Q3",Spectrum!$R:$R,0)),0),""))</f>
        <v/>
      </c>
      <c r="AE402" s="90">
        <f t="shared" si="157"/>
        <v>0</v>
      </c>
      <c r="AF402" s="42" t="str">
        <f>IF(LEFT($B402,4)="_Mil","",_xlfn.IFNA(ROUND(INDEX(Spectrum!$N:$N,MATCH(RIGHT($B402,13)&amp;"|"&amp;$C402&amp;"|"&amp;$D402&amp;"|"&amp;AF$14&amp;"|"&amp;"CY2023Q3",Spectrum!$R:$R,0)),0),""))</f>
        <v/>
      </c>
      <c r="AG402" s="90" t="str">
        <f t="shared" si="158"/>
        <v/>
      </c>
      <c r="AH402" s="88" t="str">
        <f>IF(LEFT($B402,4)="_Mil","",_xlfn.IFNA(INDEX(Spectrum!$N:$N,MATCH(RIGHT($B402,13)&amp;"|"&amp;$C402&amp;"|"&amp;$D402&amp;"|"&amp;AH$14&amp;"|"&amp;"CY2023Q3",Spectrum!$R:$R,0)),""))</f>
        <v/>
      </c>
      <c r="AI402" s="14" t="str">
        <f>IF(LEFT($B402,4)="_Mil","",_xlfn.IFNA(ROUND(INDEX(Spectrum!$N:$N,MATCH(RIGHT($B402,13)&amp;"|"&amp;$C402&amp;"|"&amp;$D402&amp;"|"&amp;AI$14&amp;"|"&amp;"CY2023Q3",Spectrum!$R:$R,0)),0),""))</f>
        <v/>
      </c>
      <c r="AJ402" s="42">
        <f>IF(LEFT($B402,4)="_Mil","",_xlfn.IFNA(ROUND(INDEX(Spectrum!$N:$N,MATCH(RIGHT($B402,13)&amp;"|"&amp;$C402&amp;"|"&amp;$D402&amp;"|"&amp;AI$14&amp;"|"&amp;"CY2023Q3",Spectrum!$R:$R,0)),0),SUM($U402)+SUM($AI402)))</f>
        <v>0</v>
      </c>
      <c r="AK402" s="14" t="str">
        <f>IF(LEFT($B402,4)="_Mil","",_xlfn.IFNA(ROUND(INDEX(Spectrum!$N:$N,MATCH(RIGHT($B402,13)&amp;"|"&amp;$C402&amp;"|"&amp;$D402&amp;"|"&amp;AK$14&amp;"|"&amp;"CY2023Q3",Spectrum!$R:$R,0)),0),""))</f>
        <v/>
      </c>
      <c r="AL402" s="90">
        <f t="shared" si="159"/>
        <v>1667.0000000000002</v>
      </c>
      <c r="AM402" s="14">
        <f t="shared" si="160"/>
        <v>0</v>
      </c>
      <c r="AN402" s="14" t="str">
        <f>IF($C402="&lt;01",ROUND(INDEX(EID!$P:$P,MATCH($B402,EID!$B:$B,0))/2,0),"")</f>
        <v/>
      </c>
      <c r="AO402" s="14">
        <f t="shared" si="161"/>
        <v>0</v>
      </c>
      <c r="AP402" s="42">
        <f t="shared" si="162"/>
        <v>0</v>
      </c>
      <c r="AQ402" s="42">
        <f t="shared" si="163"/>
        <v>1076</v>
      </c>
      <c r="AR402" s="90" t="str">
        <f t="shared" si="164"/>
        <v/>
      </c>
      <c r="AS402" s="90">
        <f t="shared" si="151"/>
        <v>0.98</v>
      </c>
      <c r="AT402" s="90">
        <f t="shared" si="151"/>
        <v>0.98</v>
      </c>
      <c r="AU402" s="14">
        <f t="shared" si="165"/>
        <v>0</v>
      </c>
      <c r="AV402" s="14">
        <f>IF($C402="&lt;01",ROUND(INDEX(EID!$N:$N,MATCH($B402,EID!$B:$B,0))/2,0),IF(SUM($AT402)=0,"",ROUND((SUM($AP402)-(SUM($O402)*SUM($AS402)))/$AT402,0)))</f>
        <v>0</v>
      </c>
      <c r="AW402" s="90">
        <f t="shared" si="166"/>
        <v>1</v>
      </c>
      <c r="AX402" s="42">
        <f t="shared" si="167"/>
        <v>0</v>
      </c>
      <c r="AY402" s="116">
        <f t="shared" si="168"/>
        <v>0.7</v>
      </c>
      <c r="AZ402" s="93">
        <f>IF($C402="&lt;01",ROUND(INDEX(EID!$R:$R,MATCH($B402,EID!$B:$B,0))/2,0),ROUND(SUM($O402)+(SUM($AV402)*$AY402),0))</f>
        <v>0</v>
      </c>
      <c r="BA402" s="89">
        <f t="shared" si="169"/>
        <v>0.95</v>
      </c>
      <c r="BB402" s="9">
        <f>IF($C402="&lt;01",ROUND(INDEX(EID!$T:$T,MATCH($B402,EID!$B:$B,0))/2,0),ROUND($AZ402*$BA402,0))</f>
        <v>0</v>
      </c>
      <c r="BC402" s="93">
        <f t="shared" si="170"/>
        <v>0</v>
      </c>
      <c r="BD402" s="90">
        <f t="shared" si="171"/>
        <v>0.95</v>
      </c>
      <c r="BE402" s="42">
        <f>IF($C402="&lt;01",ROUND(INDEX(EID!$V:$V,MATCH($B402,EID!$B:$B,0))/2,0),ROUND($BD402*$BB402,0))</f>
        <v>0</v>
      </c>
      <c r="BF402" s="42">
        <f t="shared" si="172"/>
        <v>0</v>
      </c>
      <c r="BG402" s="116">
        <f t="shared" si="173"/>
        <v>0.95</v>
      </c>
      <c r="BH402" s="9">
        <f>IF($C402="&lt;01",ROUND(INDEX(EID!$L:$L,MATCH($B402,EID!$B:$B,0)),0)/2,IF(SUM($BG402)=0,"",ROUND($AX402/$BG402,0)))</f>
        <v>0</v>
      </c>
    </row>
    <row r="403" spans="1:60" x14ac:dyDescent="0.2">
      <c r="A403" t="str">
        <f>INDEX(Prioritization!$D:$D,MATCH($B403,Prioritization!$A:$A,0))</f>
        <v>1 - Scale-up: Saturation</v>
      </c>
      <c r="B403" t="s">
        <v>220</v>
      </c>
      <c r="C403" t="s">
        <v>366</v>
      </c>
      <c r="D403" t="s">
        <v>29</v>
      </c>
      <c r="E403" t="str">
        <f t="shared" si="152"/>
        <v>Thyolo District [ul0y9diGujK]|35-49|Female</v>
      </c>
      <c r="F403" s="14"/>
      <c r="G403" s="14"/>
      <c r="H403" s="14"/>
      <c r="I403" s="14"/>
      <c r="J403" s="14"/>
      <c r="K403" s="14"/>
      <c r="L403" s="14"/>
      <c r="M403" s="14"/>
      <c r="N403" s="14"/>
      <c r="O403" s="14" t="str">
        <f t="shared" si="153"/>
        <v/>
      </c>
      <c r="P403" s="14"/>
      <c r="Q403" s="14"/>
      <c r="R403" s="14" t="str">
        <f t="shared" si="154"/>
        <v/>
      </c>
      <c r="S403" s="14">
        <f>IF(LEFT($B403,4)="_Mil","",_xlfn.IFNA(ROUND(INDEX(Spectrum!$N:$N,MATCH(RIGHT($B403,13)&amp;"|"&amp;$C403&amp;"|"&amp;$D403&amp;"|"&amp;S$14&amp;"|"&amp;"CY2022Q4",Spectrum!$R:$R,0)),0),""))</f>
        <v>700</v>
      </c>
      <c r="T403" s="42">
        <f>IF(LEFT($B403,4)="_Mil","",_xlfn.IFNA(ROUND(INDEX(Spectrum!$N:$N,MATCH(RIGHT($B403,13)&amp;"|"&amp;$C403&amp;"|"&amp;$D403&amp;"|"&amp;T$14&amp;"|"&amp;"CY2023Q3",Spectrum!$R:$R,0)),0),""))</f>
        <v>1642</v>
      </c>
      <c r="U403" s="42" t="str">
        <f>IF(LEFT($B403,4)="_Mil","",_xlfn.IFNA(ROUND(INDEX(Spectrum!$N:$N,MATCH(RIGHT($B403,13)&amp;"|"&amp;$C403&amp;"|"&amp;$D403&amp;"|"&amp;U$14&amp;"|"&amp;"CY2023Q3",Spectrum!$R:$R,0)),0),""))</f>
        <v/>
      </c>
      <c r="V403" s="14">
        <f>IF(LEFT($B403,4)="_Mil","",_xlfn.IFNA(ROUND(INDEX(Spectrum!$N:$N,MATCH(RIGHT($B403,13)&amp;"|"&amp;$C403&amp;"|"&amp;$D403&amp;"|"&amp;V$14&amp;"|"&amp;"CY2023Q3",Spectrum!$R:$R,0)),0),""))</f>
        <v>1824</v>
      </c>
      <c r="W403" s="115">
        <f>IF(LEFT($B403,4)="_Mil","",_xlfn.IFNA(INDEX(Spectrum!$N:$N,MATCH(RIGHT($B403,13)&amp;"|"&amp;$C403&amp;"|"&amp;$D403&amp;"|"&amp;W$14&amp;"|"&amp;"CY2023Q3",Spectrum!$R:$R,0)),""))</f>
        <v>1695</v>
      </c>
      <c r="X403" s="42">
        <f>IF(LEFT($B403,4)="_Mil","",_xlfn.IFNA(ROUND(INDEX(Spectrum!$N:$N,MATCH(RIGHT($B403,13)&amp;"|"&amp;$C403&amp;"|"&amp;$D403&amp;"|"&amp;X$14&amp;"|"&amp;"CY2023Q3",Spectrum!$R:$R,0)),0),""))</f>
        <v>1887</v>
      </c>
      <c r="Y403" s="90" t="str">
        <f t="shared" si="155"/>
        <v/>
      </c>
      <c r="Z403" s="42">
        <f>IF(LEFT($B403,4)="_Mil","",_xlfn.IFNA(ROUND(INDEX(Spectrum!$N:$N,MATCH(RIGHT($B403,13)&amp;"|"&amp;$C403&amp;"|"&amp;$D403&amp;"|"&amp;Z$14&amp;"|"&amp;"CY2023Q3",Spectrum!$R:$R,0)),0),""))</f>
        <v>1630</v>
      </c>
      <c r="AA403" s="90">
        <f>IF(LEFT($B403,4)="_Mil","",IFERROR(1/(1/INDEX(Spectrum!$N:$N,MATCH(RIGHT($B403,13)&amp;"|"&amp;$C403&amp;"|"&amp;$D403&amp;"|"&amp;AA$14&amp;"|"&amp;"CY2023Q3",Spectrum!$R:$R,0))),IF(SUM($U403)=0,"",SUM($Z403)/$U403)))</f>
        <v>508</v>
      </c>
      <c r="AB403" s="90">
        <f t="shared" si="156"/>
        <v>0.86380498145204032</v>
      </c>
      <c r="AC403" s="14">
        <f>IF(LEFT($B403,4)="_Mil","",_xlfn.IFNA(ROUND(INDEX(Spectrum!$N:$N,MATCH(RIGHT($B403,13)&amp;"|"&amp;$C403&amp;"|"&amp;$D403&amp;"|"&amp;AC$14&amp;"|"&amp;"CY2023Q3",Spectrum!$R:$R,0)),0),""))</f>
        <v>763</v>
      </c>
      <c r="AD403" s="14" t="str">
        <f>IF(LEFT($B403,4)="_Mil","",_xlfn.IFNA(ROUND(INDEX(Spectrum!$N:$N,MATCH(RIGHT($B403,13)&amp;"|"&amp;$C403&amp;"|"&amp;$D403&amp;"|"&amp;AD$14&amp;"|"&amp;"CY2023Q3",Spectrum!$R:$R,0)),0),""))</f>
        <v/>
      </c>
      <c r="AE403" s="90">
        <f t="shared" si="157"/>
        <v>0</v>
      </c>
      <c r="AF403" s="42" t="str">
        <f>IF(LEFT($B403,4)="_Mil","",_xlfn.IFNA(ROUND(INDEX(Spectrum!$N:$N,MATCH(RIGHT($B403,13)&amp;"|"&amp;$C403&amp;"|"&amp;$D403&amp;"|"&amp;AF$14&amp;"|"&amp;"CY2023Q3",Spectrum!$R:$R,0)),0),""))</f>
        <v/>
      </c>
      <c r="AG403" s="90" t="str">
        <f t="shared" si="158"/>
        <v/>
      </c>
      <c r="AH403" s="88" t="str">
        <f>IF(LEFT($B403,4)="_Mil","",_xlfn.IFNA(INDEX(Spectrum!$N:$N,MATCH(RIGHT($B403,13)&amp;"|"&amp;$C403&amp;"|"&amp;$D403&amp;"|"&amp;AH$14&amp;"|"&amp;"CY2023Q3",Spectrum!$R:$R,0)),""))</f>
        <v/>
      </c>
      <c r="AI403" s="14" t="str">
        <f>IF(LEFT($B403,4)="_Mil","",_xlfn.IFNA(ROUND(INDEX(Spectrum!$N:$N,MATCH(RIGHT($B403,13)&amp;"|"&amp;$C403&amp;"|"&amp;$D403&amp;"|"&amp;AI$14&amp;"|"&amp;"CY2023Q3",Spectrum!$R:$R,0)),0),""))</f>
        <v/>
      </c>
      <c r="AJ403" s="42">
        <f>IF(LEFT($B403,4)="_Mil","",_xlfn.IFNA(ROUND(INDEX(Spectrum!$N:$N,MATCH(RIGHT($B403,13)&amp;"|"&amp;$C403&amp;"|"&amp;$D403&amp;"|"&amp;AI$14&amp;"|"&amp;"CY2023Q3",Spectrum!$R:$R,0)),0),SUM($U403)+SUM($AI403)))</f>
        <v>0</v>
      </c>
      <c r="AK403" s="14" t="str">
        <f>IF(LEFT($B403,4)="_Mil","",_xlfn.IFNA(ROUND(INDEX(Spectrum!$N:$N,MATCH(RIGHT($B403,13)&amp;"|"&amp;$C403&amp;"|"&amp;$D403&amp;"|"&amp;AK$14&amp;"|"&amp;"CY2023Q3",Spectrum!$R:$R,0)),0),""))</f>
        <v/>
      </c>
      <c r="AL403" s="90">
        <f t="shared" si="159"/>
        <v>508</v>
      </c>
      <c r="AM403" s="14">
        <f t="shared" si="160"/>
        <v>0</v>
      </c>
      <c r="AN403" s="14" t="str">
        <f>IF($C403="&lt;01",ROUND(INDEX(EID!$P:$P,MATCH($B403,EID!$B:$B,0))/2,0),"")</f>
        <v/>
      </c>
      <c r="AO403" s="14">
        <f t="shared" si="161"/>
        <v>0</v>
      </c>
      <c r="AP403" s="42">
        <f t="shared" si="162"/>
        <v>0</v>
      </c>
      <c r="AQ403" s="42">
        <f t="shared" si="163"/>
        <v>1630</v>
      </c>
      <c r="AR403" s="90" t="str">
        <f t="shared" si="164"/>
        <v/>
      </c>
      <c r="AS403" s="90">
        <f t="shared" si="151"/>
        <v>0.98</v>
      </c>
      <c r="AT403" s="90">
        <f t="shared" si="151"/>
        <v>0.98</v>
      </c>
      <c r="AU403" s="14">
        <f t="shared" si="165"/>
        <v>0</v>
      </c>
      <c r="AV403" s="14">
        <f>IF($C403="&lt;01",ROUND(INDEX(EID!$N:$N,MATCH($B403,EID!$B:$B,0))/2,0),IF(SUM($AT403)=0,"",ROUND((SUM($AP403)-(SUM($O403)*SUM($AS403)))/$AT403,0)))</f>
        <v>0</v>
      </c>
      <c r="AW403" s="90">
        <f t="shared" si="166"/>
        <v>1</v>
      </c>
      <c r="AX403" s="42">
        <f t="shared" si="167"/>
        <v>0</v>
      </c>
      <c r="AY403" s="116">
        <f t="shared" si="168"/>
        <v>0.7</v>
      </c>
      <c r="AZ403" s="93">
        <f>IF($C403="&lt;01",ROUND(INDEX(EID!$R:$R,MATCH($B403,EID!$B:$B,0))/2,0),ROUND(SUM($O403)+(SUM($AV403)*$AY403),0))</f>
        <v>0</v>
      </c>
      <c r="BA403" s="89">
        <f t="shared" si="169"/>
        <v>0.95</v>
      </c>
      <c r="BB403" s="9">
        <f>IF($C403="&lt;01",ROUND(INDEX(EID!$T:$T,MATCH($B403,EID!$B:$B,0))/2,0),ROUND($AZ403*$BA403,0))</f>
        <v>0</v>
      </c>
      <c r="BC403" s="93">
        <f t="shared" si="170"/>
        <v>0</v>
      </c>
      <c r="BD403" s="90">
        <f t="shared" si="171"/>
        <v>0.95</v>
      </c>
      <c r="BE403" s="42">
        <f>IF($C403="&lt;01",ROUND(INDEX(EID!$V:$V,MATCH($B403,EID!$B:$B,0))/2,0),ROUND($BD403*$BB403,0))</f>
        <v>0</v>
      </c>
      <c r="BF403" s="42">
        <f t="shared" si="172"/>
        <v>0</v>
      </c>
      <c r="BG403" s="116">
        <f t="shared" si="173"/>
        <v>0.95</v>
      </c>
      <c r="BH403" s="9">
        <f>IF($C403="&lt;01",ROUND(INDEX(EID!$L:$L,MATCH($B403,EID!$B:$B,0)),0)/2,IF(SUM($BG403)=0,"",ROUND($AX403/$BG403,0)))</f>
        <v>0</v>
      </c>
    </row>
    <row r="404" spans="1:60" x14ac:dyDescent="0.2">
      <c r="A404" t="str">
        <f>INDEX(Prioritization!$D:$D,MATCH($B404,Prioritization!$A:$A,0))</f>
        <v>1 - Scale-up: Saturation</v>
      </c>
      <c r="B404" t="s">
        <v>220</v>
      </c>
      <c r="C404" t="s">
        <v>366</v>
      </c>
      <c r="D404" t="s">
        <v>47</v>
      </c>
      <c r="E404" t="str">
        <f t="shared" si="152"/>
        <v>Thyolo District [ul0y9diGujK]|35-49|Male</v>
      </c>
      <c r="F404" s="14"/>
      <c r="G404" s="14"/>
      <c r="H404" s="14"/>
      <c r="I404" s="14"/>
      <c r="J404" s="14"/>
      <c r="K404" s="14"/>
      <c r="L404" s="14"/>
      <c r="M404" s="14"/>
      <c r="N404" s="14"/>
      <c r="O404" s="14" t="str">
        <f t="shared" si="153"/>
        <v/>
      </c>
      <c r="P404" s="14"/>
      <c r="Q404" s="14"/>
      <c r="R404" s="14" t="str">
        <f t="shared" si="154"/>
        <v/>
      </c>
      <c r="S404" s="14">
        <f>IF(LEFT($B404,4)="_Mil","",_xlfn.IFNA(ROUND(INDEX(Spectrum!$N:$N,MATCH(RIGHT($B404,13)&amp;"|"&amp;$C404&amp;"|"&amp;$D404&amp;"|"&amp;S$14&amp;"|"&amp;"CY2022Q4",Spectrum!$R:$R,0)),0),""))</f>
        <v>1573</v>
      </c>
      <c r="T404" s="42">
        <f>IF(LEFT($B404,4)="_Mil","",_xlfn.IFNA(ROUND(INDEX(Spectrum!$N:$N,MATCH(RIGHT($B404,13)&amp;"|"&amp;$C404&amp;"|"&amp;$D404&amp;"|"&amp;T$14&amp;"|"&amp;"CY2023Q3",Spectrum!$R:$R,0)),0),""))</f>
        <v>1367</v>
      </c>
      <c r="U404" s="42" t="str">
        <f>IF(LEFT($B404,4)="_Mil","",_xlfn.IFNA(ROUND(INDEX(Spectrum!$N:$N,MATCH(RIGHT($B404,13)&amp;"|"&amp;$C404&amp;"|"&amp;$D404&amp;"|"&amp;U$14&amp;"|"&amp;"CY2023Q3",Spectrum!$R:$R,0)),0),""))</f>
        <v/>
      </c>
      <c r="V404" s="14">
        <f>IF(LEFT($B404,4)="_Mil","",_xlfn.IFNA(ROUND(INDEX(Spectrum!$N:$N,MATCH(RIGHT($B404,13)&amp;"|"&amp;$C404&amp;"|"&amp;$D404&amp;"|"&amp;V$14&amp;"|"&amp;"CY2023Q3",Spectrum!$R:$R,0)),0),""))</f>
        <v>1724</v>
      </c>
      <c r="W404" s="115">
        <f>IF(LEFT($B404,4)="_Mil","",_xlfn.IFNA(INDEX(Spectrum!$N:$N,MATCH(RIGHT($B404,13)&amp;"|"&amp;$C404&amp;"|"&amp;$D404&amp;"|"&amp;W$14&amp;"|"&amp;"CY2023Q3",Spectrum!$R:$R,0)),""))</f>
        <v>1812</v>
      </c>
      <c r="X404" s="42">
        <f>IF(LEFT($B404,4)="_Mil","",_xlfn.IFNA(ROUND(INDEX(Spectrum!$N:$N,MATCH(RIGHT($B404,13)&amp;"|"&amp;$C404&amp;"|"&amp;$D404&amp;"|"&amp;X$14&amp;"|"&amp;"CY2023Q3",Spectrum!$R:$R,0)),0),""))</f>
        <v>1857</v>
      </c>
      <c r="Y404" s="90" t="str">
        <f t="shared" si="155"/>
        <v/>
      </c>
      <c r="Z404" s="42">
        <f>IF(LEFT($B404,4)="_Mil","",_xlfn.IFNA(ROUND(INDEX(Spectrum!$N:$N,MATCH(RIGHT($B404,13)&amp;"|"&amp;$C404&amp;"|"&amp;$D404&amp;"|"&amp;Z$14&amp;"|"&amp;"CY2023Q3",Spectrum!$R:$R,0)),0),""))</f>
        <v>1525</v>
      </c>
      <c r="AA404" s="90">
        <f>IF(LEFT($B404,4)="_Mil","",IFERROR(1/(1/INDEX(Spectrum!$N:$N,MATCH(RIGHT($B404,13)&amp;"|"&amp;$C404&amp;"|"&amp;$D404&amp;"|"&amp;AA$14&amp;"|"&amp;"CY2023Q3",Spectrum!$R:$R,0))),IF(SUM($U404)=0,"",SUM($Z404)/$U404)))</f>
        <v>835</v>
      </c>
      <c r="AB404" s="90">
        <f t="shared" si="156"/>
        <v>0.82121701669359182</v>
      </c>
      <c r="AC404" s="14">
        <f>IF(LEFT($B404,4)="_Mil","",_xlfn.IFNA(ROUND(INDEX(Spectrum!$N:$N,MATCH(RIGHT($B404,13)&amp;"|"&amp;$C404&amp;"|"&amp;$D404&amp;"|"&amp;AC$14&amp;"|"&amp;"CY2023Q3",Spectrum!$R:$R,0)),0),""))</f>
        <v>1922</v>
      </c>
      <c r="AD404" s="14" t="str">
        <f>IF(LEFT($B404,4)="_Mil","",_xlfn.IFNA(ROUND(INDEX(Spectrum!$N:$N,MATCH(RIGHT($B404,13)&amp;"|"&amp;$C404&amp;"|"&amp;$D404&amp;"|"&amp;AD$14&amp;"|"&amp;"CY2023Q3",Spectrum!$R:$R,0)),0),""))</f>
        <v/>
      </c>
      <c r="AE404" s="90">
        <f t="shared" si="157"/>
        <v>0</v>
      </c>
      <c r="AF404" s="42" t="str">
        <f>IF(LEFT($B404,4)="_Mil","",_xlfn.IFNA(ROUND(INDEX(Spectrum!$N:$N,MATCH(RIGHT($B404,13)&amp;"|"&amp;$C404&amp;"|"&amp;$D404&amp;"|"&amp;AF$14&amp;"|"&amp;"CY2023Q3",Spectrum!$R:$R,0)),0),""))</f>
        <v/>
      </c>
      <c r="AG404" s="90" t="str">
        <f t="shared" si="158"/>
        <v/>
      </c>
      <c r="AH404" s="88" t="str">
        <f>IF(LEFT($B404,4)="_Mil","",_xlfn.IFNA(INDEX(Spectrum!$N:$N,MATCH(RIGHT($B404,13)&amp;"|"&amp;$C404&amp;"|"&amp;$D404&amp;"|"&amp;AH$14&amp;"|"&amp;"CY2023Q3",Spectrum!$R:$R,0)),""))</f>
        <v/>
      </c>
      <c r="AI404" s="14" t="str">
        <f>IF(LEFT($B404,4)="_Mil","",_xlfn.IFNA(ROUND(INDEX(Spectrum!$N:$N,MATCH(RIGHT($B404,13)&amp;"|"&amp;$C404&amp;"|"&amp;$D404&amp;"|"&amp;AI$14&amp;"|"&amp;"CY2023Q3",Spectrum!$R:$R,0)),0),""))</f>
        <v/>
      </c>
      <c r="AJ404" s="42">
        <f>IF(LEFT($B404,4)="_Mil","",_xlfn.IFNA(ROUND(INDEX(Spectrum!$N:$N,MATCH(RIGHT($B404,13)&amp;"|"&amp;$C404&amp;"|"&amp;$D404&amp;"|"&amp;AI$14&amp;"|"&amp;"CY2023Q3",Spectrum!$R:$R,0)),0),SUM($U404)+SUM($AI404)))</f>
        <v>0</v>
      </c>
      <c r="AK404" s="14" t="str">
        <f>IF(LEFT($B404,4)="_Mil","",_xlfn.IFNA(ROUND(INDEX(Spectrum!$N:$N,MATCH(RIGHT($B404,13)&amp;"|"&amp;$C404&amp;"|"&amp;$D404&amp;"|"&amp;AK$14&amp;"|"&amp;"CY2023Q3",Spectrum!$R:$R,0)),0),""))</f>
        <v/>
      </c>
      <c r="AL404" s="90">
        <f t="shared" si="159"/>
        <v>835</v>
      </c>
      <c r="AM404" s="14">
        <f t="shared" si="160"/>
        <v>0</v>
      </c>
      <c r="AN404" s="14" t="str">
        <f>IF($C404="&lt;01",ROUND(INDEX(EID!$P:$P,MATCH($B404,EID!$B:$B,0))/2,0),"")</f>
        <v/>
      </c>
      <c r="AO404" s="14">
        <f t="shared" si="161"/>
        <v>0</v>
      </c>
      <c r="AP404" s="42">
        <f t="shared" si="162"/>
        <v>0</v>
      </c>
      <c r="AQ404" s="42">
        <f t="shared" si="163"/>
        <v>1525</v>
      </c>
      <c r="AR404" s="90" t="str">
        <f t="shared" si="164"/>
        <v/>
      </c>
      <c r="AS404" s="90">
        <f t="shared" si="151"/>
        <v>0.98</v>
      </c>
      <c r="AT404" s="90">
        <f t="shared" si="151"/>
        <v>0.98</v>
      </c>
      <c r="AU404" s="14">
        <f t="shared" si="165"/>
        <v>0</v>
      </c>
      <c r="AV404" s="14">
        <f>IF($C404="&lt;01",ROUND(INDEX(EID!$N:$N,MATCH($B404,EID!$B:$B,0))/2,0),IF(SUM($AT404)=0,"",ROUND((SUM($AP404)-(SUM($O404)*SUM($AS404)))/$AT404,0)))</f>
        <v>0</v>
      </c>
      <c r="AW404" s="90">
        <f t="shared" si="166"/>
        <v>1</v>
      </c>
      <c r="AX404" s="42">
        <f t="shared" si="167"/>
        <v>0</v>
      </c>
      <c r="AY404" s="116">
        <f t="shared" si="168"/>
        <v>0.7</v>
      </c>
      <c r="AZ404" s="93">
        <f>IF($C404="&lt;01",ROUND(INDEX(EID!$R:$R,MATCH($B404,EID!$B:$B,0))/2,0),ROUND(SUM($O404)+(SUM($AV404)*$AY404),0))</f>
        <v>0</v>
      </c>
      <c r="BA404" s="89">
        <f t="shared" si="169"/>
        <v>0.95</v>
      </c>
      <c r="BB404" s="9">
        <f>IF($C404="&lt;01",ROUND(INDEX(EID!$T:$T,MATCH($B404,EID!$B:$B,0))/2,0),ROUND($AZ404*$BA404,0))</f>
        <v>0</v>
      </c>
      <c r="BC404" s="93">
        <f t="shared" si="170"/>
        <v>0</v>
      </c>
      <c r="BD404" s="90">
        <f t="shared" si="171"/>
        <v>0.95</v>
      </c>
      <c r="BE404" s="42">
        <f>IF($C404="&lt;01",ROUND(INDEX(EID!$V:$V,MATCH($B404,EID!$B:$B,0))/2,0),ROUND($BD404*$BB404,0))</f>
        <v>0</v>
      </c>
      <c r="BF404" s="42">
        <f t="shared" si="172"/>
        <v>0</v>
      </c>
      <c r="BG404" s="116">
        <f t="shared" si="173"/>
        <v>0.95</v>
      </c>
      <c r="BH404" s="9">
        <f>IF($C404="&lt;01",ROUND(INDEX(EID!$L:$L,MATCH($B404,EID!$B:$B,0)),0)/2,IF(SUM($BG404)=0,"",ROUND($AX404/$BG404,0)))</f>
        <v>0</v>
      </c>
    </row>
    <row r="405" spans="1:60" x14ac:dyDescent="0.2">
      <c r="A405" t="str">
        <f>INDEX(Prioritization!$D:$D,MATCH($B405,Prioritization!$A:$A,0))</f>
        <v>1 - Scale-up: Saturation</v>
      </c>
      <c r="B405" t="s">
        <v>220</v>
      </c>
      <c r="C405" t="s">
        <v>367</v>
      </c>
      <c r="D405" t="s">
        <v>29</v>
      </c>
      <c r="E405" t="str">
        <f t="shared" si="152"/>
        <v>Thyolo District [ul0y9diGujK]|50+|Female</v>
      </c>
      <c r="F405" s="14"/>
      <c r="G405" s="14"/>
      <c r="H405" s="14"/>
      <c r="I405" s="14"/>
      <c r="J405" s="14"/>
      <c r="K405" s="14"/>
      <c r="L405" s="14"/>
      <c r="M405" s="14"/>
      <c r="N405" s="14"/>
      <c r="O405" s="14" t="str">
        <f t="shared" si="153"/>
        <v/>
      </c>
      <c r="P405" s="14"/>
      <c r="Q405" s="14"/>
      <c r="R405" s="14" t="str">
        <f t="shared" si="154"/>
        <v/>
      </c>
      <c r="S405" s="14">
        <f>IF(LEFT($B405,4)="_Mil","",_xlfn.IFNA(ROUND(INDEX(Spectrum!$N:$N,MATCH(RIGHT($B405,13)&amp;"|"&amp;$C405&amp;"|"&amp;$D405&amp;"|"&amp;S$14&amp;"|"&amp;"CY2022Q4",Spectrum!$R:$R,0)),0),""))</f>
        <v>706</v>
      </c>
      <c r="T405" s="42">
        <f>IF(LEFT($B405,4)="_Mil","",_xlfn.IFNA(ROUND(INDEX(Spectrum!$N:$N,MATCH(RIGHT($B405,13)&amp;"|"&amp;$C405&amp;"|"&amp;$D405&amp;"|"&amp;T$14&amp;"|"&amp;"CY2023Q3",Spectrum!$R:$R,0)),0),""))</f>
        <v>1622</v>
      </c>
      <c r="U405" s="42" t="str">
        <f>IF(LEFT($B405,4)="_Mil","",_xlfn.IFNA(ROUND(INDEX(Spectrum!$N:$N,MATCH(RIGHT($B405,13)&amp;"|"&amp;$C405&amp;"|"&amp;$D405&amp;"|"&amp;U$14&amp;"|"&amp;"CY2023Q3",Spectrum!$R:$R,0)),0),""))</f>
        <v/>
      </c>
      <c r="V405" s="14">
        <f>IF(LEFT($B405,4)="_Mil","",_xlfn.IFNA(ROUND(INDEX(Spectrum!$N:$N,MATCH(RIGHT($B405,13)&amp;"|"&amp;$C405&amp;"|"&amp;$D405&amp;"|"&amp;V$14&amp;"|"&amp;"CY2023Q3",Spectrum!$R:$R,0)),0),""))</f>
        <v>1451</v>
      </c>
      <c r="W405" s="115">
        <f>IF(LEFT($B405,4)="_Mil","",_xlfn.IFNA(INDEX(Spectrum!$N:$N,MATCH(RIGHT($B405,13)&amp;"|"&amp;$C405&amp;"|"&amp;$D405&amp;"|"&amp;W$14&amp;"|"&amp;"CY2023Q3",Spectrum!$R:$R,0)),""))</f>
        <v>1323</v>
      </c>
      <c r="X405" s="42">
        <f>IF(LEFT($B405,4)="_Mil","",_xlfn.IFNA(ROUND(INDEX(Spectrum!$N:$N,MATCH(RIGHT($B405,13)&amp;"|"&amp;$C405&amp;"|"&amp;$D405&amp;"|"&amp;X$14&amp;"|"&amp;"CY2023Q3",Spectrum!$R:$R,0)),0),""))</f>
        <v>1906</v>
      </c>
      <c r="Y405" s="90" t="str">
        <f t="shared" si="155"/>
        <v/>
      </c>
      <c r="Z405" s="42">
        <f>IF(LEFT($B405,4)="_Mil","",_xlfn.IFNA(ROUND(INDEX(Spectrum!$N:$N,MATCH(RIGHT($B405,13)&amp;"|"&amp;$C405&amp;"|"&amp;$D405&amp;"|"&amp;Z$14&amp;"|"&amp;"CY2023Q3",Spectrum!$R:$R,0)),0),""))</f>
        <v>1520</v>
      </c>
      <c r="AA405" s="90">
        <f>IF(LEFT($B405,4)="_Mil","",IFERROR(1/(1/INDEX(Spectrum!$N:$N,MATCH(RIGHT($B405,13)&amp;"|"&amp;$C405&amp;"|"&amp;$D405&amp;"|"&amp;AA$14&amp;"|"&amp;"CY2023Q3",Spectrum!$R:$R,0))),IF(SUM($U405)=0,"",SUM($Z405)/$U405)))</f>
        <v>574</v>
      </c>
      <c r="AB405" s="90">
        <f t="shared" si="156"/>
        <v>0.79748163693599161</v>
      </c>
      <c r="AC405" s="14">
        <f>IF(LEFT($B405,4)="_Mil","",_xlfn.IFNA(ROUND(INDEX(Spectrum!$N:$N,MATCH(RIGHT($B405,13)&amp;"|"&amp;$C405&amp;"|"&amp;$D405&amp;"|"&amp;AC$14&amp;"|"&amp;"CY2023Q3",Spectrum!$R:$R,0)),0),""))</f>
        <v>1838</v>
      </c>
      <c r="AD405" s="14" t="str">
        <f>IF(LEFT($B405,4)="_Mil","",_xlfn.IFNA(ROUND(INDEX(Spectrum!$N:$N,MATCH(RIGHT($B405,13)&amp;"|"&amp;$C405&amp;"|"&amp;$D405&amp;"|"&amp;AD$14&amp;"|"&amp;"CY2023Q3",Spectrum!$R:$R,0)),0),""))</f>
        <v/>
      </c>
      <c r="AE405" s="90">
        <f t="shared" si="157"/>
        <v>0</v>
      </c>
      <c r="AF405" s="42" t="str">
        <f>IF(LEFT($B405,4)="_Mil","",_xlfn.IFNA(ROUND(INDEX(Spectrum!$N:$N,MATCH(RIGHT($B405,13)&amp;"|"&amp;$C405&amp;"|"&amp;$D405&amp;"|"&amp;AF$14&amp;"|"&amp;"CY2023Q3",Spectrum!$R:$R,0)),0),""))</f>
        <v/>
      </c>
      <c r="AG405" s="90" t="str">
        <f t="shared" si="158"/>
        <v/>
      </c>
      <c r="AH405" s="88" t="str">
        <f>IF(LEFT($B405,4)="_Mil","",_xlfn.IFNA(INDEX(Spectrum!$N:$N,MATCH(RIGHT($B405,13)&amp;"|"&amp;$C405&amp;"|"&amp;$D405&amp;"|"&amp;AH$14&amp;"|"&amp;"CY2023Q3",Spectrum!$R:$R,0)),""))</f>
        <v/>
      </c>
      <c r="AI405" s="14" t="str">
        <f>IF(LEFT($B405,4)="_Mil","",_xlfn.IFNA(ROUND(INDEX(Spectrum!$N:$N,MATCH(RIGHT($B405,13)&amp;"|"&amp;$C405&amp;"|"&amp;$D405&amp;"|"&amp;AI$14&amp;"|"&amp;"CY2023Q3",Spectrum!$R:$R,0)),0),""))</f>
        <v/>
      </c>
      <c r="AJ405" s="42">
        <f>IF(LEFT($B405,4)="_Mil","",_xlfn.IFNA(ROUND(INDEX(Spectrum!$N:$N,MATCH(RIGHT($B405,13)&amp;"|"&amp;$C405&amp;"|"&amp;$D405&amp;"|"&amp;AI$14&amp;"|"&amp;"CY2023Q3",Spectrum!$R:$R,0)),0),SUM($U405)+SUM($AI405)))</f>
        <v>0</v>
      </c>
      <c r="AK405" s="14" t="str">
        <f>IF(LEFT($B405,4)="_Mil","",_xlfn.IFNA(ROUND(INDEX(Spectrum!$N:$N,MATCH(RIGHT($B405,13)&amp;"|"&amp;$C405&amp;"|"&amp;$D405&amp;"|"&amp;AK$14&amp;"|"&amp;"CY2023Q3",Spectrum!$R:$R,0)),0),""))</f>
        <v/>
      </c>
      <c r="AL405" s="90">
        <f t="shared" si="159"/>
        <v>574</v>
      </c>
      <c r="AM405" s="14">
        <f t="shared" si="160"/>
        <v>0</v>
      </c>
      <c r="AN405" s="14" t="str">
        <f>IF($C405="&lt;01",ROUND(INDEX(EID!$P:$P,MATCH($B405,EID!$B:$B,0))/2,0),"")</f>
        <v/>
      </c>
      <c r="AO405" s="14">
        <f t="shared" si="161"/>
        <v>0</v>
      </c>
      <c r="AP405" s="42">
        <f t="shared" si="162"/>
        <v>0</v>
      </c>
      <c r="AQ405" s="42">
        <f t="shared" si="163"/>
        <v>1520</v>
      </c>
      <c r="AR405" s="90" t="str">
        <f t="shared" si="164"/>
        <v/>
      </c>
      <c r="AS405" s="90">
        <f t="shared" si="151"/>
        <v>0.98</v>
      </c>
      <c r="AT405" s="90">
        <f t="shared" si="151"/>
        <v>0.98</v>
      </c>
      <c r="AU405" s="14">
        <f t="shared" si="165"/>
        <v>0</v>
      </c>
      <c r="AV405" s="14">
        <f>IF($C405="&lt;01",ROUND(INDEX(EID!$N:$N,MATCH($B405,EID!$B:$B,0))/2,0),IF(SUM($AT405)=0,"",ROUND((SUM($AP405)-(SUM($O405)*SUM($AS405)))/$AT405,0)))</f>
        <v>0</v>
      </c>
      <c r="AW405" s="90">
        <f t="shared" si="166"/>
        <v>1</v>
      </c>
      <c r="AX405" s="42">
        <f t="shared" si="167"/>
        <v>0</v>
      </c>
      <c r="AY405" s="116">
        <f t="shared" si="168"/>
        <v>0.7</v>
      </c>
      <c r="AZ405" s="93">
        <f>IF($C405="&lt;01",ROUND(INDEX(EID!$R:$R,MATCH($B405,EID!$B:$B,0))/2,0),ROUND(SUM($O405)+(SUM($AV405)*$AY405),0))</f>
        <v>0</v>
      </c>
      <c r="BA405" s="89">
        <f t="shared" si="169"/>
        <v>0.95</v>
      </c>
      <c r="BB405" s="9">
        <f>IF($C405="&lt;01",ROUND(INDEX(EID!$T:$T,MATCH($B405,EID!$B:$B,0))/2,0),ROUND($AZ405*$BA405,0))</f>
        <v>0</v>
      </c>
      <c r="BC405" s="93">
        <f t="shared" si="170"/>
        <v>0</v>
      </c>
      <c r="BD405" s="90">
        <f t="shared" si="171"/>
        <v>0.95</v>
      </c>
      <c r="BE405" s="42">
        <f>IF($C405="&lt;01",ROUND(INDEX(EID!$V:$V,MATCH($B405,EID!$B:$B,0))/2,0),ROUND($BD405*$BB405,0))</f>
        <v>0</v>
      </c>
      <c r="BF405" s="42">
        <f t="shared" si="172"/>
        <v>0</v>
      </c>
      <c r="BG405" s="116">
        <f t="shared" si="173"/>
        <v>0.95</v>
      </c>
      <c r="BH405" s="9">
        <f>IF($C405="&lt;01",ROUND(INDEX(EID!$L:$L,MATCH($B405,EID!$B:$B,0)),0)/2,IF(SUM($BG405)=0,"",ROUND($AX405/$BG405,0)))</f>
        <v>0</v>
      </c>
    </row>
    <row r="406" spans="1:60" x14ac:dyDescent="0.2">
      <c r="A406" t="str">
        <f>INDEX(Prioritization!$D:$D,MATCH($B406,Prioritization!$A:$A,0))</f>
        <v>1 - Scale-up: Saturation</v>
      </c>
      <c r="B406" t="s">
        <v>220</v>
      </c>
      <c r="C406" t="s">
        <v>367</v>
      </c>
      <c r="D406" t="s">
        <v>47</v>
      </c>
      <c r="E406" t="str">
        <f t="shared" si="152"/>
        <v>Thyolo District [ul0y9diGujK]|50+|Male</v>
      </c>
      <c r="F406" s="14"/>
      <c r="G406" s="14"/>
      <c r="H406" s="14"/>
      <c r="I406" s="14"/>
      <c r="J406" s="14"/>
      <c r="K406" s="14"/>
      <c r="L406" s="14"/>
      <c r="M406" s="14"/>
      <c r="N406" s="14"/>
      <c r="O406" s="14" t="str">
        <f t="shared" si="153"/>
        <v/>
      </c>
      <c r="P406" s="14"/>
      <c r="Q406" s="14"/>
      <c r="R406" s="14" t="str">
        <f t="shared" si="154"/>
        <v/>
      </c>
      <c r="S406" s="14">
        <f>IF(LEFT($B406,4)="_Mil","",_xlfn.IFNA(ROUND(INDEX(Spectrum!$N:$N,MATCH(RIGHT($B406,13)&amp;"|"&amp;$C406&amp;"|"&amp;$D406&amp;"|"&amp;S$14&amp;"|"&amp;"CY2022Q4",Spectrum!$R:$R,0)),0),""))</f>
        <v>1226</v>
      </c>
      <c r="T406" s="42">
        <f>IF(LEFT($B406,4)="_Mil","",_xlfn.IFNA(ROUND(INDEX(Spectrum!$N:$N,MATCH(RIGHT($B406,13)&amp;"|"&amp;$C406&amp;"|"&amp;$D406&amp;"|"&amp;T$14&amp;"|"&amp;"CY2023Q3",Spectrum!$R:$R,0)),0),""))</f>
        <v>1767</v>
      </c>
      <c r="U406" s="42" t="str">
        <f>IF(LEFT($B406,4)="_Mil","",_xlfn.IFNA(ROUND(INDEX(Spectrum!$N:$N,MATCH(RIGHT($B406,13)&amp;"|"&amp;$C406&amp;"|"&amp;$D406&amp;"|"&amp;U$14&amp;"|"&amp;"CY2023Q3",Spectrum!$R:$R,0)),0),""))</f>
        <v/>
      </c>
      <c r="V406" s="14">
        <f>IF(LEFT($B406,4)="_Mil","",_xlfn.IFNA(ROUND(INDEX(Spectrum!$N:$N,MATCH(RIGHT($B406,13)&amp;"|"&amp;$C406&amp;"|"&amp;$D406&amp;"|"&amp;V$14&amp;"|"&amp;"CY2023Q3",Spectrum!$R:$R,0)),0),""))</f>
        <v>655</v>
      </c>
      <c r="W406" s="115">
        <f>IF(LEFT($B406,4)="_Mil","",_xlfn.IFNA(INDEX(Spectrum!$N:$N,MATCH(RIGHT($B406,13)&amp;"|"&amp;$C406&amp;"|"&amp;$D406&amp;"|"&amp;W$14&amp;"|"&amp;"CY2023Q3",Spectrum!$R:$R,0)),""))</f>
        <v>967</v>
      </c>
      <c r="X406" s="42">
        <f>IF(LEFT($B406,4)="_Mil","",_xlfn.IFNA(ROUND(INDEX(Spectrum!$N:$N,MATCH(RIGHT($B406,13)&amp;"|"&amp;$C406&amp;"|"&amp;$D406&amp;"|"&amp;X$14&amp;"|"&amp;"CY2023Q3",Spectrum!$R:$R,0)),0),""))</f>
        <v>555</v>
      </c>
      <c r="Y406" s="90" t="str">
        <f t="shared" si="155"/>
        <v/>
      </c>
      <c r="Z406" s="42">
        <f>IF(LEFT($B406,4)="_Mil","",_xlfn.IFNA(ROUND(INDEX(Spectrum!$N:$N,MATCH(RIGHT($B406,13)&amp;"|"&amp;$C406&amp;"|"&amp;$D406&amp;"|"&amp;Z$14&amp;"|"&amp;"CY2023Q3",Spectrum!$R:$R,0)),0),""))</f>
        <v>662</v>
      </c>
      <c r="AA406" s="90">
        <f>IF(LEFT($B406,4)="_Mil","",IFERROR(1/(1/INDEX(Spectrum!$N:$N,MATCH(RIGHT($B406,13)&amp;"|"&amp;$C406&amp;"|"&amp;$D406&amp;"|"&amp;AA$14&amp;"|"&amp;"CY2023Q3",Spectrum!$R:$R,0))),IF(SUM($U406)=0,"",SUM($Z406)/$U406)))</f>
        <v>1826</v>
      </c>
      <c r="AB406" s="90">
        <f t="shared" si="156"/>
        <v>1.1927927927927928</v>
      </c>
      <c r="AC406" s="14">
        <f>IF(LEFT($B406,4)="_Mil","",_xlfn.IFNA(ROUND(INDEX(Spectrum!$N:$N,MATCH(RIGHT($B406,13)&amp;"|"&amp;$C406&amp;"|"&amp;$D406&amp;"|"&amp;AC$14&amp;"|"&amp;"CY2023Q3",Spectrum!$R:$R,0)),0),""))</f>
        <v>1373</v>
      </c>
      <c r="AD406" s="14" t="str">
        <f>IF(LEFT($B406,4)="_Mil","",_xlfn.IFNA(ROUND(INDEX(Spectrum!$N:$N,MATCH(RIGHT($B406,13)&amp;"|"&amp;$C406&amp;"|"&amp;$D406&amp;"|"&amp;AD$14&amp;"|"&amp;"CY2023Q3",Spectrum!$R:$R,0)),0),""))</f>
        <v/>
      </c>
      <c r="AE406" s="90">
        <f t="shared" si="157"/>
        <v>0</v>
      </c>
      <c r="AF406" s="42" t="str">
        <f>IF(LEFT($B406,4)="_Mil","",_xlfn.IFNA(ROUND(INDEX(Spectrum!$N:$N,MATCH(RIGHT($B406,13)&amp;"|"&amp;$C406&amp;"|"&amp;$D406&amp;"|"&amp;AF$14&amp;"|"&amp;"CY2023Q3",Spectrum!$R:$R,0)),0),""))</f>
        <v/>
      </c>
      <c r="AG406" s="90" t="str">
        <f t="shared" si="158"/>
        <v/>
      </c>
      <c r="AH406" s="88" t="str">
        <f>IF(LEFT($B406,4)="_Mil","",_xlfn.IFNA(INDEX(Spectrum!$N:$N,MATCH(RIGHT($B406,13)&amp;"|"&amp;$C406&amp;"|"&amp;$D406&amp;"|"&amp;AH$14&amp;"|"&amp;"CY2023Q3",Spectrum!$R:$R,0)),""))</f>
        <v/>
      </c>
      <c r="AI406" s="14" t="str">
        <f>IF(LEFT($B406,4)="_Mil","",_xlfn.IFNA(ROUND(INDEX(Spectrum!$N:$N,MATCH(RIGHT($B406,13)&amp;"|"&amp;$C406&amp;"|"&amp;$D406&amp;"|"&amp;AI$14&amp;"|"&amp;"CY2023Q3",Spectrum!$R:$R,0)),0),""))</f>
        <v/>
      </c>
      <c r="AJ406" s="42">
        <f>IF(LEFT($B406,4)="_Mil","",_xlfn.IFNA(ROUND(INDEX(Spectrum!$N:$N,MATCH(RIGHT($B406,13)&amp;"|"&amp;$C406&amp;"|"&amp;$D406&amp;"|"&amp;AI$14&amp;"|"&amp;"CY2023Q3",Spectrum!$R:$R,0)),0),SUM($U406)+SUM($AI406)))</f>
        <v>0</v>
      </c>
      <c r="AK406" s="14" t="str">
        <f>IF(LEFT($B406,4)="_Mil","",_xlfn.IFNA(ROUND(INDEX(Spectrum!$N:$N,MATCH(RIGHT($B406,13)&amp;"|"&amp;$C406&amp;"|"&amp;$D406&amp;"|"&amp;AK$14&amp;"|"&amp;"CY2023Q3",Spectrum!$R:$R,0)),0),""))</f>
        <v/>
      </c>
      <c r="AL406" s="90">
        <f t="shared" si="159"/>
        <v>1826</v>
      </c>
      <c r="AM406" s="14">
        <f t="shared" si="160"/>
        <v>0</v>
      </c>
      <c r="AN406" s="14" t="str">
        <f>IF($C406="&lt;01",ROUND(INDEX(EID!$P:$P,MATCH($B406,EID!$B:$B,0))/2,0),"")</f>
        <v/>
      </c>
      <c r="AO406" s="14">
        <f t="shared" si="161"/>
        <v>0</v>
      </c>
      <c r="AP406" s="42">
        <f t="shared" si="162"/>
        <v>0</v>
      </c>
      <c r="AQ406" s="42">
        <f t="shared" si="163"/>
        <v>662</v>
      </c>
      <c r="AR406" s="90" t="str">
        <f t="shared" si="164"/>
        <v/>
      </c>
      <c r="AS406" s="90">
        <f t="shared" si="151"/>
        <v>0.98</v>
      </c>
      <c r="AT406" s="90">
        <f t="shared" si="151"/>
        <v>0.98</v>
      </c>
      <c r="AU406" s="14">
        <f t="shared" si="165"/>
        <v>0</v>
      </c>
      <c r="AV406" s="14">
        <f>IF($C406="&lt;01",ROUND(INDEX(EID!$N:$N,MATCH($B406,EID!$B:$B,0))/2,0),IF(SUM($AT406)=0,"",ROUND((SUM($AP406)-(SUM($O406)*SUM($AS406)))/$AT406,0)))</f>
        <v>0</v>
      </c>
      <c r="AW406" s="90">
        <f t="shared" si="166"/>
        <v>1</v>
      </c>
      <c r="AX406" s="42">
        <f t="shared" si="167"/>
        <v>0</v>
      </c>
      <c r="AY406" s="116">
        <f t="shared" si="168"/>
        <v>0.7</v>
      </c>
      <c r="AZ406" s="93">
        <f>IF($C406="&lt;01",ROUND(INDEX(EID!$R:$R,MATCH($B406,EID!$B:$B,0))/2,0),ROUND(SUM($O406)+(SUM($AV406)*$AY406),0))</f>
        <v>0</v>
      </c>
      <c r="BA406" s="89">
        <f t="shared" si="169"/>
        <v>0.95</v>
      </c>
      <c r="BB406" s="9">
        <f>IF($C406="&lt;01",ROUND(INDEX(EID!$T:$T,MATCH($B406,EID!$B:$B,0))/2,0),ROUND($AZ406*$BA406,0))</f>
        <v>0</v>
      </c>
      <c r="BC406" s="93">
        <f t="shared" si="170"/>
        <v>0</v>
      </c>
      <c r="BD406" s="90">
        <f t="shared" si="171"/>
        <v>0.95</v>
      </c>
      <c r="BE406" s="42">
        <f>IF($C406="&lt;01",ROUND(INDEX(EID!$V:$V,MATCH($B406,EID!$B:$B,0))/2,0),ROUND($BD406*$BB406,0))</f>
        <v>0</v>
      </c>
      <c r="BF406" s="42">
        <f t="shared" si="172"/>
        <v>0</v>
      </c>
      <c r="BG406" s="116">
        <f t="shared" si="173"/>
        <v>0.95</v>
      </c>
      <c r="BH406" s="9">
        <f>IF($C406="&lt;01",ROUND(INDEX(EID!$L:$L,MATCH($B406,EID!$B:$B,0)),0)/2,IF(SUM($BG406)=0,"",ROUND($AX406/$BG406,0)))</f>
        <v>0</v>
      </c>
    </row>
    <row r="407" spans="1:60" x14ac:dyDescent="0.2">
      <c r="A407" t="str">
        <f>INDEX(Prioritization!$D:$D,MATCH($B407,Prioritization!$A:$A,0))</f>
        <v>1 - Scale-up: Saturation</v>
      </c>
      <c r="B407" t="s">
        <v>221</v>
      </c>
      <c r="C407" t="s">
        <v>315</v>
      </c>
      <c r="D407" t="s">
        <v>29</v>
      </c>
      <c r="E407" t="str">
        <f t="shared" si="152"/>
        <v>Zomba District [fyEoGEPERdI]|&lt;01|Female</v>
      </c>
      <c r="F407" s="14"/>
      <c r="G407" s="14">
        <v>7</v>
      </c>
      <c r="H407" s="14">
        <v>9</v>
      </c>
      <c r="I407" s="14">
        <v>5</v>
      </c>
      <c r="J407" s="14">
        <v>7</v>
      </c>
      <c r="K407" s="14">
        <v>7</v>
      </c>
      <c r="L407" s="14"/>
      <c r="M407" s="14">
        <v>10</v>
      </c>
      <c r="N407" s="14">
        <v>7</v>
      </c>
      <c r="O407" s="14">
        <f t="shared" si="153"/>
        <v>7</v>
      </c>
      <c r="P407" s="14">
        <v>8</v>
      </c>
      <c r="Q407" s="14">
        <v>10</v>
      </c>
      <c r="R407" s="14">
        <f t="shared" si="154"/>
        <v>2</v>
      </c>
      <c r="S407" s="14">
        <f>IF(LEFT($B407,4)="_Mil","",_xlfn.IFNA(ROUND(INDEX(Spectrum!$N:$N,MATCH(RIGHT($B407,13)&amp;"|"&amp;$C407&amp;"|"&amp;$D407&amp;"|"&amp;S$14&amp;"|"&amp;"CY2022Q4",Spectrum!$R:$R,0)),0),""))</f>
        <v>745</v>
      </c>
      <c r="T407" s="42">
        <f>IF(LEFT($B407,4)="_Mil","",_xlfn.IFNA(ROUND(INDEX(Spectrum!$N:$N,MATCH(RIGHT($B407,13)&amp;"|"&amp;$C407&amp;"|"&amp;$D407&amp;"|"&amp;T$14&amp;"|"&amp;"CY2023Q3",Spectrum!$R:$R,0)),0),""))</f>
        <v>661</v>
      </c>
      <c r="U407" s="42" t="str">
        <f>IF(LEFT($B407,4)="_Mil","",_xlfn.IFNA(ROUND(INDEX(Spectrum!$N:$N,MATCH(RIGHT($B407,13)&amp;"|"&amp;$C407&amp;"|"&amp;$D407&amp;"|"&amp;U$14&amp;"|"&amp;"CY2023Q3",Spectrum!$R:$R,0)),0),""))</f>
        <v/>
      </c>
      <c r="V407" s="14">
        <f>IF(LEFT($B407,4)="_Mil","",_xlfn.IFNA(ROUND(INDEX(Spectrum!$N:$N,MATCH(RIGHT($B407,13)&amp;"|"&amp;$C407&amp;"|"&amp;$D407&amp;"|"&amp;V$14&amp;"|"&amp;"CY2023Q3",Spectrum!$R:$R,0)),0),""))</f>
        <v>1386</v>
      </c>
      <c r="W407" s="115">
        <f>IF(LEFT($B407,4)="_Mil","",_xlfn.IFNA(INDEX(Spectrum!$N:$N,MATCH(RIGHT($B407,13)&amp;"|"&amp;$C407&amp;"|"&amp;$D407&amp;"|"&amp;W$14&amp;"|"&amp;"CY2023Q3",Spectrum!$R:$R,0)),""))</f>
        <v>804</v>
      </c>
      <c r="X407" s="42">
        <f>IF(LEFT($B407,4)="_Mil","",_xlfn.IFNA(ROUND(INDEX(Spectrum!$N:$N,MATCH(RIGHT($B407,13)&amp;"|"&amp;$C407&amp;"|"&amp;$D407&amp;"|"&amp;X$14&amp;"|"&amp;"CY2023Q3",Spectrum!$R:$R,0)),0),""))</f>
        <v>1872</v>
      </c>
      <c r="Y407" s="90" t="str">
        <f t="shared" si="155"/>
        <v/>
      </c>
      <c r="Z407" s="42">
        <f>IF(LEFT($B407,4)="_Mil","",_xlfn.IFNA(ROUND(INDEX(Spectrum!$N:$N,MATCH(RIGHT($B407,13)&amp;"|"&amp;$C407&amp;"|"&amp;$D407&amp;"|"&amp;Z$14&amp;"|"&amp;"CY2023Q3",Spectrum!$R:$R,0)),0),""))</f>
        <v>1987</v>
      </c>
      <c r="AA407" s="90">
        <f>IF(LEFT($B407,4)="_Mil","",IFERROR(1/(1/INDEX(Spectrum!$N:$N,MATCH(RIGHT($B407,13)&amp;"|"&amp;$C407&amp;"|"&amp;$D407&amp;"|"&amp;AA$14&amp;"|"&amp;"CY2023Q3",Spectrum!$R:$R,0))),IF(SUM($U407)=0,"",SUM($Z407)/$U407)))</f>
        <v>1272</v>
      </c>
      <c r="AB407" s="90">
        <f t="shared" si="156"/>
        <v>1.0614316239316239</v>
      </c>
      <c r="AC407" s="14">
        <f>IF(LEFT($B407,4)="_Mil","",_xlfn.IFNA(ROUND(INDEX(Spectrum!$N:$N,MATCH(RIGHT($B407,13)&amp;"|"&amp;$C407&amp;"|"&amp;$D407&amp;"|"&amp;AC$14&amp;"|"&amp;"CY2023Q3",Spectrum!$R:$R,0)),0),""))</f>
        <v>1031</v>
      </c>
      <c r="AD407" s="14" t="str">
        <f>IF(LEFT($B407,4)="_Mil","",_xlfn.IFNA(ROUND(INDEX(Spectrum!$N:$N,MATCH(RIGHT($B407,13)&amp;"|"&amp;$C407&amp;"|"&amp;$D407&amp;"|"&amp;AD$14&amp;"|"&amp;"CY2023Q3",Spectrum!$R:$R,0)),0),""))</f>
        <v/>
      </c>
      <c r="AE407" s="90">
        <f t="shared" si="157"/>
        <v>0</v>
      </c>
      <c r="AF407" s="42" t="str">
        <f>IF(LEFT($B407,4)="_Mil","",_xlfn.IFNA(ROUND(INDEX(Spectrum!$N:$N,MATCH(RIGHT($B407,13)&amp;"|"&amp;$C407&amp;"|"&amp;$D407&amp;"|"&amp;AF$14&amp;"|"&amp;"CY2023Q3",Spectrum!$R:$R,0)),0),""))</f>
        <v/>
      </c>
      <c r="AG407" s="90" t="str">
        <f t="shared" si="158"/>
        <v/>
      </c>
      <c r="AH407" s="88" t="str">
        <f>IF(LEFT($B407,4)="_Mil","",_xlfn.IFNA(INDEX(Spectrum!$N:$N,MATCH(RIGHT($B407,13)&amp;"|"&amp;$C407&amp;"|"&amp;$D407&amp;"|"&amp;AH$14&amp;"|"&amp;"CY2023Q3",Spectrum!$R:$R,0)),""))</f>
        <v/>
      </c>
      <c r="AI407" s="14" t="str">
        <f>IF(LEFT($B407,4)="_Mil","",_xlfn.IFNA(ROUND(INDEX(Spectrum!$N:$N,MATCH(RIGHT($B407,13)&amp;"|"&amp;$C407&amp;"|"&amp;$D407&amp;"|"&amp;AI$14&amp;"|"&amp;"CY2023Q3",Spectrum!$R:$R,0)),0),""))</f>
        <v/>
      </c>
      <c r="AJ407" s="42">
        <f>IF(LEFT($B407,4)="_Mil","",_xlfn.IFNA(ROUND(INDEX(Spectrum!$N:$N,MATCH(RIGHT($B407,13)&amp;"|"&amp;$C407&amp;"|"&amp;$D407&amp;"|"&amp;AI$14&amp;"|"&amp;"CY2023Q3",Spectrum!$R:$R,0)),0),SUM($U407)+SUM($AI407)))</f>
        <v>0</v>
      </c>
      <c r="AK407" s="14" t="str">
        <f>IF(LEFT($B407,4)="_Mil","",_xlfn.IFNA(ROUND(INDEX(Spectrum!$N:$N,MATCH(RIGHT($B407,13)&amp;"|"&amp;$C407&amp;"|"&amp;$D407&amp;"|"&amp;AK$14&amp;"|"&amp;"CY2023Q3",Spectrum!$R:$R,0)),0),""))</f>
        <v/>
      </c>
      <c r="AL407" s="90" t="str">
        <f t="shared" si="159"/>
        <v/>
      </c>
      <c r="AM407" s="14" t="str">
        <f t="shared" si="160"/>
        <v/>
      </c>
      <c r="AN407" s="14">
        <f>IF($C407="&lt;01",ROUND(INDEX(EID!$P:$P,MATCH($B407,EID!$B:$B,0))/2,0),"")</f>
        <v>0</v>
      </c>
      <c r="AO407" s="14">
        <f t="shared" si="161"/>
        <v>0</v>
      </c>
      <c r="AP407" s="42">
        <f t="shared" si="162"/>
        <v>0</v>
      </c>
      <c r="AQ407" s="42">
        <f t="shared" si="163"/>
        <v>1987</v>
      </c>
      <c r="AR407" s="90" t="str">
        <f t="shared" si="164"/>
        <v/>
      </c>
      <c r="AS407" s="90" t="str">
        <f t="shared" si="151"/>
        <v/>
      </c>
      <c r="AT407" s="90" t="str">
        <f t="shared" si="151"/>
        <v/>
      </c>
      <c r="AU407" s="14" t="str">
        <f t="shared" si="165"/>
        <v/>
      </c>
      <c r="AV407" s="14">
        <f>IF($C407="&lt;01",ROUND(INDEX(EID!$N:$N,MATCH($B407,EID!$B:$B,0))/2,0),IF(SUM($AT407)=0,"",ROUND((SUM($AP407)-(SUM($O407)*SUM($AS407)))/$AT407,0)))</f>
        <v>0</v>
      </c>
      <c r="AW407" s="90" t="str">
        <f t="shared" si="166"/>
        <v/>
      </c>
      <c r="AX407" s="42">
        <f t="shared" si="167"/>
        <v>0</v>
      </c>
      <c r="AY407" s="116" t="str">
        <f t="shared" si="168"/>
        <v/>
      </c>
      <c r="AZ407" s="93">
        <f>IF($C407="&lt;01",ROUND(INDEX(EID!$R:$R,MATCH($B407,EID!$B:$B,0))/2,0),ROUND(SUM($O407)+(SUM($AV407)*$AY407),0))</f>
        <v>0</v>
      </c>
      <c r="BA407" s="89" t="str">
        <f t="shared" si="169"/>
        <v/>
      </c>
      <c r="BB407" s="9">
        <f>IF($C407="&lt;01",ROUND(INDEX(EID!$T:$T,MATCH($B407,EID!$B:$B,0))/2,0),ROUND($AZ407*$BA407,0))</f>
        <v>0</v>
      </c>
      <c r="BC407" s="93">
        <f t="shared" si="170"/>
        <v>0</v>
      </c>
      <c r="BD407" s="90" t="str">
        <f t="shared" si="171"/>
        <v/>
      </c>
      <c r="BE407" s="42">
        <f>IF($C407="&lt;01",ROUND(INDEX(EID!$V:$V,MATCH($B407,EID!$B:$B,0))/2,0),ROUND($BD407*$BB407,0))</f>
        <v>0</v>
      </c>
      <c r="BF407" s="42">
        <f t="shared" si="172"/>
        <v>0</v>
      </c>
      <c r="BG407" s="116" t="str">
        <f t="shared" si="173"/>
        <v/>
      </c>
      <c r="BH407" s="9">
        <f>IF($C407="&lt;01",ROUND(INDEX(EID!$L:$L,MATCH($B407,EID!$B:$B,0)),0)/2,IF(SUM($BG407)=0,"",ROUND($AX407/$BG407,0)))</f>
        <v>0</v>
      </c>
    </row>
    <row r="408" spans="1:60" x14ac:dyDescent="0.2">
      <c r="A408" t="str">
        <f>INDEX(Prioritization!$D:$D,MATCH($B408,Prioritization!$A:$A,0))</f>
        <v>1 - Scale-up: Saturation</v>
      </c>
      <c r="B408" t="s">
        <v>221</v>
      </c>
      <c r="C408" t="s">
        <v>315</v>
      </c>
      <c r="D408" t="s">
        <v>47</v>
      </c>
      <c r="E408" t="str">
        <f t="shared" si="152"/>
        <v>Zomba District [fyEoGEPERdI]|&lt;01|Male</v>
      </c>
      <c r="F408" s="14"/>
      <c r="G408" s="14">
        <v>1</v>
      </c>
      <c r="H408" s="14">
        <v>5</v>
      </c>
      <c r="I408" s="14">
        <v>1</v>
      </c>
      <c r="J408" s="14">
        <v>5</v>
      </c>
      <c r="K408" s="14">
        <v>4</v>
      </c>
      <c r="L408" s="14"/>
      <c r="M408" s="14">
        <v>9</v>
      </c>
      <c r="N408" s="14">
        <v>3</v>
      </c>
      <c r="O408" s="14">
        <f t="shared" si="153"/>
        <v>3</v>
      </c>
      <c r="P408" s="14">
        <v>9</v>
      </c>
      <c r="Q408" s="14">
        <v>6</v>
      </c>
      <c r="R408" s="14">
        <f t="shared" si="154"/>
        <v>2</v>
      </c>
      <c r="S408" s="14">
        <f>IF(LEFT($B408,4)="_Mil","",_xlfn.IFNA(ROUND(INDEX(Spectrum!$N:$N,MATCH(RIGHT($B408,13)&amp;"|"&amp;$C408&amp;"|"&amp;$D408&amp;"|"&amp;S$14&amp;"|"&amp;"CY2022Q4",Spectrum!$R:$R,0)),0),""))</f>
        <v>1932</v>
      </c>
      <c r="T408" s="42">
        <f>IF(LEFT($B408,4)="_Mil","",_xlfn.IFNA(ROUND(INDEX(Spectrum!$N:$N,MATCH(RIGHT($B408,13)&amp;"|"&amp;$C408&amp;"|"&amp;$D408&amp;"|"&amp;T$14&amp;"|"&amp;"CY2023Q3",Spectrum!$R:$R,0)),0),""))</f>
        <v>1582</v>
      </c>
      <c r="U408" s="42" t="str">
        <f>IF(LEFT($B408,4)="_Mil","",_xlfn.IFNA(ROUND(INDEX(Spectrum!$N:$N,MATCH(RIGHT($B408,13)&amp;"|"&amp;$C408&amp;"|"&amp;$D408&amp;"|"&amp;U$14&amp;"|"&amp;"CY2023Q3",Spectrum!$R:$R,0)),0),""))</f>
        <v/>
      </c>
      <c r="V408" s="14">
        <f>IF(LEFT($B408,4)="_Mil","",_xlfn.IFNA(ROUND(INDEX(Spectrum!$N:$N,MATCH(RIGHT($B408,13)&amp;"|"&amp;$C408&amp;"|"&amp;$D408&amp;"|"&amp;V$14&amp;"|"&amp;"CY2023Q3",Spectrum!$R:$R,0)),0),""))</f>
        <v>1637</v>
      </c>
      <c r="W408" s="115">
        <f>IF(LEFT($B408,4)="_Mil","",_xlfn.IFNA(INDEX(Spectrum!$N:$N,MATCH(RIGHT($B408,13)&amp;"|"&amp;$C408&amp;"|"&amp;$D408&amp;"|"&amp;W$14&amp;"|"&amp;"CY2023Q3",Spectrum!$R:$R,0)),""))</f>
        <v>566</v>
      </c>
      <c r="X408" s="42">
        <f>IF(LEFT($B408,4)="_Mil","",_xlfn.IFNA(ROUND(INDEX(Spectrum!$N:$N,MATCH(RIGHT($B408,13)&amp;"|"&amp;$C408&amp;"|"&amp;$D408&amp;"|"&amp;X$14&amp;"|"&amp;"CY2023Q3",Spectrum!$R:$R,0)),0),""))</f>
        <v>1703</v>
      </c>
      <c r="Y408" s="90" t="str">
        <f t="shared" si="155"/>
        <v/>
      </c>
      <c r="Z408" s="42">
        <f>IF(LEFT($B408,4)="_Mil","",_xlfn.IFNA(ROUND(INDEX(Spectrum!$N:$N,MATCH(RIGHT($B408,13)&amp;"|"&amp;$C408&amp;"|"&amp;$D408&amp;"|"&amp;Z$14&amp;"|"&amp;"CY2023Q3",Spectrum!$R:$R,0)),0),""))</f>
        <v>1047</v>
      </c>
      <c r="AA408" s="90">
        <f>IF(LEFT($B408,4)="_Mil","",IFERROR(1/(1/INDEX(Spectrum!$N:$N,MATCH(RIGHT($B408,13)&amp;"|"&amp;$C408&amp;"|"&amp;$D408&amp;"|"&amp;AA$14&amp;"|"&amp;"CY2023Q3",Spectrum!$R:$R,0))),IF(SUM($U408)=0,"",SUM($Z408)/$U408)))</f>
        <v>892</v>
      </c>
      <c r="AB408" s="90">
        <f t="shared" si="156"/>
        <v>0.61479741632413387</v>
      </c>
      <c r="AC408" s="14">
        <f>IF(LEFT($B408,4)="_Mil","",_xlfn.IFNA(ROUND(INDEX(Spectrum!$N:$N,MATCH(RIGHT($B408,13)&amp;"|"&amp;$C408&amp;"|"&amp;$D408&amp;"|"&amp;AC$14&amp;"|"&amp;"CY2023Q3",Spectrum!$R:$R,0)),0),""))</f>
        <v>1263</v>
      </c>
      <c r="AD408" s="14" t="str">
        <f>IF(LEFT($B408,4)="_Mil","",_xlfn.IFNA(ROUND(INDEX(Spectrum!$N:$N,MATCH(RIGHT($B408,13)&amp;"|"&amp;$C408&amp;"|"&amp;$D408&amp;"|"&amp;AD$14&amp;"|"&amp;"CY2023Q3",Spectrum!$R:$R,0)),0),""))</f>
        <v/>
      </c>
      <c r="AE408" s="90">
        <f t="shared" si="157"/>
        <v>0</v>
      </c>
      <c r="AF408" s="42" t="str">
        <f>IF(LEFT($B408,4)="_Mil","",_xlfn.IFNA(ROUND(INDEX(Spectrum!$N:$N,MATCH(RIGHT($B408,13)&amp;"|"&amp;$C408&amp;"|"&amp;$D408&amp;"|"&amp;AF$14&amp;"|"&amp;"CY2023Q3",Spectrum!$R:$R,0)),0),""))</f>
        <v/>
      </c>
      <c r="AG408" s="90" t="str">
        <f t="shared" si="158"/>
        <v/>
      </c>
      <c r="AH408" s="88" t="str">
        <f>IF(LEFT($B408,4)="_Mil","",_xlfn.IFNA(INDEX(Spectrum!$N:$N,MATCH(RIGHT($B408,13)&amp;"|"&amp;$C408&amp;"|"&amp;$D408&amp;"|"&amp;AH$14&amp;"|"&amp;"CY2023Q3",Spectrum!$R:$R,0)),""))</f>
        <v/>
      </c>
      <c r="AI408" s="14" t="str">
        <f>IF(LEFT($B408,4)="_Mil","",_xlfn.IFNA(ROUND(INDEX(Spectrum!$N:$N,MATCH(RIGHT($B408,13)&amp;"|"&amp;$C408&amp;"|"&amp;$D408&amp;"|"&amp;AI$14&amp;"|"&amp;"CY2023Q3",Spectrum!$R:$R,0)),0),""))</f>
        <v/>
      </c>
      <c r="AJ408" s="42">
        <f>IF(LEFT($B408,4)="_Mil","",_xlfn.IFNA(ROUND(INDEX(Spectrum!$N:$N,MATCH(RIGHT($B408,13)&amp;"|"&amp;$C408&amp;"|"&amp;$D408&amp;"|"&amp;AI$14&amp;"|"&amp;"CY2023Q3",Spectrum!$R:$R,0)),0),SUM($U408)+SUM($AI408)))</f>
        <v>0</v>
      </c>
      <c r="AK408" s="14" t="str">
        <f>IF(LEFT($B408,4)="_Mil","",_xlfn.IFNA(ROUND(INDEX(Spectrum!$N:$N,MATCH(RIGHT($B408,13)&amp;"|"&amp;$C408&amp;"|"&amp;$D408&amp;"|"&amp;AK$14&amp;"|"&amp;"CY2023Q3",Spectrum!$R:$R,0)),0),""))</f>
        <v/>
      </c>
      <c r="AL408" s="90" t="str">
        <f t="shared" si="159"/>
        <v/>
      </c>
      <c r="AM408" s="14" t="str">
        <f t="shared" si="160"/>
        <v/>
      </c>
      <c r="AN408" s="14">
        <f>IF($C408="&lt;01",ROUND(INDEX(EID!$P:$P,MATCH($B408,EID!$B:$B,0))/2,0),"")</f>
        <v>0</v>
      </c>
      <c r="AO408" s="14">
        <f t="shared" si="161"/>
        <v>0</v>
      </c>
      <c r="AP408" s="42">
        <f t="shared" si="162"/>
        <v>0</v>
      </c>
      <c r="AQ408" s="42">
        <f t="shared" si="163"/>
        <v>1047</v>
      </c>
      <c r="AR408" s="90" t="str">
        <f t="shared" si="164"/>
        <v/>
      </c>
      <c r="AS408" s="90" t="str">
        <f t="shared" si="151"/>
        <v/>
      </c>
      <c r="AT408" s="90" t="str">
        <f t="shared" si="151"/>
        <v/>
      </c>
      <c r="AU408" s="14" t="str">
        <f t="shared" si="165"/>
        <v/>
      </c>
      <c r="AV408" s="14">
        <f>IF($C408="&lt;01",ROUND(INDEX(EID!$N:$N,MATCH($B408,EID!$B:$B,0))/2,0),IF(SUM($AT408)=0,"",ROUND((SUM($AP408)-(SUM($O408)*SUM($AS408)))/$AT408,0)))</f>
        <v>0</v>
      </c>
      <c r="AW408" s="90" t="str">
        <f t="shared" si="166"/>
        <v/>
      </c>
      <c r="AX408" s="42">
        <f t="shared" si="167"/>
        <v>0</v>
      </c>
      <c r="AY408" s="116" t="str">
        <f t="shared" si="168"/>
        <v/>
      </c>
      <c r="AZ408" s="93">
        <f>IF($C408="&lt;01",ROUND(INDEX(EID!$R:$R,MATCH($B408,EID!$B:$B,0))/2,0),ROUND(SUM($O408)+(SUM($AV408)*$AY408),0))</f>
        <v>0</v>
      </c>
      <c r="BA408" s="89" t="str">
        <f t="shared" si="169"/>
        <v/>
      </c>
      <c r="BB408" s="9">
        <f>IF($C408="&lt;01",ROUND(INDEX(EID!$T:$T,MATCH($B408,EID!$B:$B,0))/2,0),ROUND($AZ408*$BA408,0))</f>
        <v>0</v>
      </c>
      <c r="BC408" s="93">
        <f t="shared" si="170"/>
        <v>0</v>
      </c>
      <c r="BD408" s="90" t="str">
        <f t="shared" si="171"/>
        <v/>
      </c>
      <c r="BE408" s="42">
        <f>IF($C408="&lt;01",ROUND(INDEX(EID!$V:$V,MATCH($B408,EID!$B:$B,0))/2,0),ROUND($BD408*$BB408,0))</f>
        <v>0</v>
      </c>
      <c r="BF408" s="42">
        <f t="shared" si="172"/>
        <v>0</v>
      </c>
      <c r="BG408" s="116" t="str">
        <f t="shared" si="173"/>
        <v/>
      </c>
      <c r="BH408" s="9">
        <f>IF($C408="&lt;01",ROUND(INDEX(EID!$L:$L,MATCH($B408,EID!$B:$B,0)),0)/2,IF(SUM($BG408)=0,"",ROUND($AX408/$BG408,0)))</f>
        <v>0</v>
      </c>
    </row>
    <row r="409" spans="1:60" x14ac:dyDescent="0.2">
      <c r="A409" t="str">
        <f>INDEX(Prioritization!$D:$D,MATCH($B409,Prioritization!$A:$A,0))</f>
        <v>1 - Scale-up: Saturation</v>
      </c>
      <c r="B409" t="s">
        <v>221</v>
      </c>
      <c r="C409" t="s">
        <v>362</v>
      </c>
      <c r="D409" t="s">
        <v>29</v>
      </c>
      <c r="E409" t="str">
        <f t="shared" si="152"/>
        <v>Zomba District [fyEoGEPERdI]|01-09|Female</v>
      </c>
      <c r="F409" s="14"/>
      <c r="G409" s="14"/>
      <c r="H409" s="14"/>
      <c r="I409" s="14"/>
      <c r="J409" s="14"/>
      <c r="K409" s="14"/>
      <c r="L409" s="14"/>
      <c r="M409" s="14"/>
      <c r="N409" s="14"/>
      <c r="O409" s="14" t="str">
        <f t="shared" si="153"/>
        <v/>
      </c>
      <c r="P409" s="14"/>
      <c r="Q409" s="14"/>
      <c r="R409" s="14" t="str">
        <f t="shared" si="154"/>
        <v/>
      </c>
      <c r="S409" s="14">
        <f>IF(LEFT($B409,4)="_Mil","",_xlfn.IFNA(ROUND(INDEX(Spectrum!$N:$N,MATCH(RIGHT($B409,13)&amp;"|"&amp;$C409&amp;"|"&amp;$D409&amp;"|"&amp;S$14&amp;"|"&amp;"CY2022Q4",Spectrum!$R:$R,0)),0),""))</f>
        <v>950</v>
      </c>
      <c r="T409" s="42">
        <f>IF(LEFT($B409,4)="_Mil","",_xlfn.IFNA(ROUND(INDEX(Spectrum!$N:$N,MATCH(RIGHT($B409,13)&amp;"|"&amp;$C409&amp;"|"&amp;$D409&amp;"|"&amp;T$14&amp;"|"&amp;"CY2023Q3",Spectrum!$R:$R,0)),0),""))</f>
        <v>730</v>
      </c>
      <c r="U409" s="42" t="str">
        <f>IF(LEFT($B409,4)="_Mil","",_xlfn.IFNA(ROUND(INDEX(Spectrum!$N:$N,MATCH(RIGHT($B409,13)&amp;"|"&amp;$C409&amp;"|"&amp;$D409&amp;"|"&amp;U$14&amp;"|"&amp;"CY2023Q3",Spectrum!$R:$R,0)),0),""))</f>
        <v/>
      </c>
      <c r="V409" s="14">
        <f>IF(LEFT($B409,4)="_Mil","",_xlfn.IFNA(ROUND(INDEX(Spectrum!$N:$N,MATCH(RIGHT($B409,13)&amp;"|"&amp;$C409&amp;"|"&amp;$D409&amp;"|"&amp;V$14&amp;"|"&amp;"CY2023Q3",Spectrum!$R:$R,0)),0),""))</f>
        <v>1551</v>
      </c>
      <c r="W409" s="115">
        <f>IF(LEFT($B409,4)="_Mil","",_xlfn.IFNA(INDEX(Spectrum!$N:$N,MATCH(RIGHT($B409,13)&amp;"|"&amp;$C409&amp;"|"&amp;$D409&amp;"|"&amp;W$14&amp;"|"&amp;"CY2023Q3",Spectrum!$R:$R,0)),""))</f>
        <v>1154</v>
      </c>
      <c r="X409" s="42">
        <f>IF(LEFT($B409,4)="_Mil","",_xlfn.IFNA(ROUND(INDEX(Spectrum!$N:$N,MATCH(RIGHT($B409,13)&amp;"|"&amp;$C409&amp;"|"&amp;$D409&amp;"|"&amp;X$14&amp;"|"&amp;"CY2023Q3",Spectrum!$R:$R,0)),0),""))</f>
        <v>1867</v>
      </c>
      <c r="Y409" s="90" t="str">
        <f t="shared" si="155"/>
        <v/>
      </c>
      <c r="Z409" s="42">
        <f>IF(LEFT($B409,4)="_Mil","",_xlfn.IFNA(ROUND(INDEX(Spectrum!$N:$N,MATCH(RIGHT($B409,13)&amp;"|"&amp;$C409&amp;"|"&amp;$D409&amp;"|"&amp;Z$14&amp;"|"&amp;"CY2023Q3",Spectrum!$R:$R,0)),0),""))</f>
        <v>1934</v>
      </c>
      <c r="AA409" s="90">
        <f>IF(LEFT($B409,4)="_Mil","",IFERROR(1/(1/INDEX(Spectrum!$N:$N,MATCH(RIGHT($B409,13)&amp;"|"&amp;$C409&amp;"|"&amp;$D409&amp;"|"&amp;AA$14&amp;"|"&amp;"CY2023Q3",Spectrum!$R:$R,0))),IF(SUM($U409)=0,"",SUM($Z409)/$U409)))</f>
        <v>1618.0000000000002</v>
      </c>
      <c r="AB409" s="90">
        <f t="shared" si="156"/>
        <v>1.0358864488484198</v>
      </c>
      <c r="AC409" s="14">
        <f>IF(LEFT($B409,4)="_Mil","",_xlfn.IFNA(ROUND(INDEX(Spectrum!$N:$N,MATCH(RIGHT($B409,13)&amp;"|"&amp;$C409&amp;"|"&amp;$D409&amp;"|"&amp;AC$14&amp;"|"&amp;"CY2023Q3",Spectrum!$R:$R,0)),0),""))</f>
        <v>1541</v>
      </c>
      <c r="AD409" s="14" t="str">
        <f>IF(LEFT($B409,4)="_Mil","",_xlfn.IFNA(ROUND(INDEX(Spectrum!$N:$N,MATCH(RIGHT($B409,13)&amp;"|"&amp;$C409&amp;"|"&amp;$D409&amp;"|"&amp;AD$14&amp;"|"&amp;"CY2023Q3",Spectrum!$R:$R,0)),0),""))</f>
        <v/>
      </c>
      <c r="AE409" s="90">
        <f t="shared" si="157"/>
        <v>0</v>
      </c>
      <c r="AF409" s="42" t="str">
        <f>IF(LEFT($B409,4)="_Mil","",_xlfn.IFNA(ROUND(INDEX(Spectrum!$N:$N,MATCH(RIGHT($B409,13)&amp;"|"&amp;$C409&amp;"|"&amp;$D409&amp;"|"&amp;AF$14&amp;"|"&amp;"CY2023Q3",Spectrum!$R:$R,0)),0),""))</f>
        <v/>
      </c>
      <c r="AG409" s="90" t="str">
        <f t="shared" si="158"/>
        <v/>
      </c>
      <c r="AH409" s="88" t="str">
        <f>IF(LEFT($B409,4)="_Mil","",_xlfn.IFNA(INDEX(Spectrum!$N:$N,MATCH(RIGHT($B409,13)&amp;"|"&amp;$C409&amp;"|"&amp;$D409&amp;"|"&amp;AH$14&amp;"|"&amp;"CY2023Q3",Spectrum!$R:$R,0)),""))</f>
        <v/>
      </c>
      <c r="AI409" s="14" t="str">
        <f>IF(LEFT($B409,4)="_Mil","",_xlfn.IFNA(ROUND(INDEX(Spectrum!$N:$N,MATCH(RIGHT($B409,13)&amp;"|"&amp;$C409&amp;"|"&amp;$D409&amp;"|"&amp;AI$14&amp;"|"&amp;"CY2023Q3",Spectrum!$R:$R,0)),0),""))</f>
        <v/>
      </c>
      <c r="AJ409" s="42">
        <f>IF(LEFT($B409,4)="_Mil","",_xlfn.IFNA(ROUND(INDEX(Spectrum!$N:$N,MATCH(RIGHT($B409,13)&amp;"|"&amp;$C409&amp;"|"&amp;$D409&amp;"|"&amp;AI$14&amp;"|"&amp;"CY2023Q3",Spectrum!$R:$R,0)),0),SUM($U409)+SUM($AI409)))</f>
        <v>0</v>
      </c>
      <c r="AK409" s="14" t="str">
        <f>IF(LEFT($B409,4)="_Mil","",_xlfn.IFNA(ROUND(INDEX(Spectrum!$N:$N,MATCH(RIGHT($B409,13)&amp;"|"&amp;$C409&amp;"|"&amp;$D409&amp;"|"&amp;AK$14&amp;"|"&amp;"CY2023Q3",Spectrum!$R:$R,0)),0),""))</f>
        <v/>
      </c>
      <c r="AL409" s="90">
        <f t="shared" si="159"/>
        <v>1618.0000000000002</v>
      </c>
      <c r="AM409" s="14">
        <f t="shared" si="160"/>
        <v>0</v>
      </c>
      <c r="AN409" s="14" t="str">
        <f>IF($C409="&lt;01",ROUND(INDEX(EID!$P:$P,MATCH($B409,EID!$B:$B,0))/2,0),"")</f>
        <v/>
      </c>
      <c r="AO409" s="14">
        <f t="shared" si="161"/>
        <v>0</v>
      </c>
      <c r="AP409" s="42">
        <f t="shared" si="162"/>
        <v>0</v>
      </c>
      <c r="AQ409" s="42">
        <f t="shared" si="163"/>
        <v>1934</v>
      </c>
      <c r="AR409" s="90" t="str">
        <f t="shared" si="164"/>
        <v/>
      </c>
      <c r="AS409" s="90">
        <f t="shared" si="151"/>
        <v>0.98</v>
      </c>
      <c r="AT409" s="90">
        <f t="shared" si="151"/>
        <v>0.98</v>
      </c>
      <c r="AU409" s="14">
        <f t="shared" si="165"/>
        <v>0</v>
      </c>
      <c r="AV409" s="14">
        <f>IF($C409="&lt;01",ROUND(INDEX(EID!$N:$N,MATCH($B409,EID!$B:$B,0))/2,0),IF(SUM($AT409)=0,"",ROUND((SUM($AP409)-(SUM($O409)*SUM($AS409)))/$AT409,0)))</f>
        <v>0</v>
      </c>
      <c r="AW409" s="90">
        <f t="shared" si="166"/>
        <v>1</v>
      </c>
      <c r="AX409" s="42">
        <f t="shared" si="167"/>
        <v>0</v>
      </c>
      <c r="AY409" s="116">
        <f t="shared" si="168"/>
        <v>0.7</v>
      </c>
      <c r="AZ409" s="93">
        <f>IF($C409="&lt;01",ROUND(INDEX(EID!$R:$R,MATCH($B409,EID!$B:$B,0))/2,0),ROUND(SUM($O409)+(SUM($AV409)*$AY409),0))</f>
        <v>0</v>
      </c>
      <c r="BA409" s="89">
        <f t="shared" si="169"/>
        <v>0.95</v>
      </c>
      <c r="BB409" s="9">
        <f>IF($C409="&lt;01",ROUND(INDEX(EID!$T:$T,MATCH($B409,EID!$B:$B,0))/2,0),ROUND($AZ409*$BA409,0))</f>
        <v>0</v>
      </c>
      <c r="BC409" s="93">
        <f t="shared" si="170"/>
        <v>0</v>
      </c>
      <c r="BD409" s="90">
        <f t="shared" si="171"/>
        <v>0.95</v>
      </c>
      <c r="BE409" s="42">
        <f>IF($C409="&lt;01",ROUND(INDEX(EID!$V:$V,MATCH($B409,EID!$B:$B,0))/2,0),ROUND($BD409*$BB409,0))</f>
        <v>0</v>
      </c>
      <c r="BF409" s="42">
        <f t="shared" si="172"/>
        <v>0</v>
      </c>
      <c r="BG409" s="116">
        <f t="shared" si="173"/>
        <v>0.95</v>
      </c>
      <c r="BH409" s="9">
        <f>IF($C409="&lt;01",ROUND(INDEX(EID!$L:$L,MATCH($B409,EID!$B:$B,0)),0)/2,IF(SUM($BG409)=0,"",ROUND($AX409/$BG409,0)))</f>
        <v>0</v>
      </c>
    </row>
    <row r="410" spans="1:60" x14ac:dyDescent="0.2">
      <c r="A410" t="str">
        <f>INDEX(Prioritization!$D:$D,MATCH($B410,Prioritization!$A:$A,0))</f>
        <v>1 - Scale-up: Saturation</v>
      </c>
      <c r="B410" t="s">
        <v>221</v>
      </c>
      <c r="C410" t="s">
        <v>362</v>
      </c>
      <c r="D410" t="s">
        <v>47</v>
      </c>
      <c r="E410" t="str">
        <f t="shared" si="152"/>
        <v>Zomba District [fyEoGEPERdI]|01-09|Male</v>
      </c>
      <c r="F410" s="14"/>
      <c r="G410" s="14"/>
      <c r="H410" s="14"/>
      <c r="I410" s="14"/>
      <c r="J410" s="14"/>
      <c r="K410" s="14"/>
      <c r="L410" s="14"/>
      <c r="M410" s="14"/>
      <c r="N410" s="14"/>
      <c r="O410" s="14" t="str">
        <f t="shared" si="153"/>
        <v/>
      </c>
      <c r="P410" s="14"/>
      <c r="Q410" s="14"/>
      <c r="R410" s="14" t="str">
        <f t="shared" si="154"/>
        <v/>
      </c>
      <c r="S410" s="14">
        <f>IF(LEFT($B410,4)="_Mil","",_xlfn.IFNA(ROUND(INDEX(Spectrum!$N:$N,MATCH(RIGHT($B410,13)&amp;"|"&amp;$C410&amp;"|"&amp;$D410&amp;"|"&amp;S$14&amp;"|"&amp;"CY2022Q4",Spectrum!$R:$R,0)),0),""))</f>
        <v>1158</v>
      </c>
      <c r="T410" s="42">
        <f>IF(LEFT($B410,4)="_Mil","",_xlfn.IFNA(ROUND(INDEX(Spectrum!$N:$N,MATCH(RIGHT($B410,13)&amp;"|"&amp;$C410&amp;"|"&amp;$D410&amp;"|"&amp;T$14&amp;"|"&amp;"CY2023Q3",Spectrum!$R:$R,0)),0),""))</f>
        <v>1526</v>
      </c>
      <c r="U410" s="42" t="str">
        <f>IF(LEFT($B410,4)="_Mil","",_xlfn.IFNA(ROUND(INDEX(Spectrum!$N:$N,MATCH(RIGHT($B410,13)&amp;"|"&amp;$C410&amp;"|"&amp;$D410&amp;"|"&amp;U$14&amp;"|"&amp;"CY2023Q3",Spectrum!$R:$R,0)),0),""))</f>
        <v/>
      </c>
      <c r="V410" s="14">
        <f>IF(LEFT($B410,4)="_Mil","",_xlfn.IFNA(ROUND(INDEX(Spectrum!$N:$N,MATCH(RIGHT($B410,13)&amp;"|"&amp;$C410&amp;"|"&amp;$D410&amp;"|"&amp;V$14&amp;"|"&amp;"CY2023Q3",Spectrum!$R:$R,0)),0),""))</f>
        <v>1550</v>
      </c>
      <c r="W410" s="115">
        <f>IF(LEFT($B410,4)="_Mil","",_xlfn.IFNA(INDEX(Spectrum!$N:$N,MATCH(RIGHT($B410,13)&amp;"|"&amp;$C410&amp;"|"&amp;$D410&amp;"|"&amp;W$14&amp;"|"&amp;"CY2023Q3",Spectrum!$R:$R,0)),""))</f>
        <v>1488</v>
      </c>
      <c r="X410" s="42">
        <f>IF(LEFT($B410,4)="_Mil","",_xlfn.IFNA(ROUND(INDEX(Spectrum!$N:$N,MATCH(RIGHT($B410,13)&amp;"|"&amp;$C410&amp;"|"&amp;$D410&amp;"|"&amp;X$14&amp;"|"&amp;"CY2023Q3",Spectrum!$R:$R,0)),0),""))</f>
        <v>877</v>
      </c>
      <c r="Y410" s="90" t="str">
        <f t="shared" si="155"/>
        <v/>
      </c>
      <c r="Z410" s="42">
        <f>IF(LEFT($B410,4)="_Mil","",_xlfn.IFNA(ROUND(INDEX(Spectrum!$N:$N,MATCH(RIGHT($B410,13)&amp;"|"&amp;$C410&amp;"|"&amp;$D410&amp;"|"&amp;Z$14&amp;"|"&amp;"CY2023Q3",Spectrum!$R:$R,0)),0),""))</f>
        <v>948</v>
      </c>
      <c r="AA410" s="90">
        <f>IF(LEFT($B410,4)="_Mil","",IFERROR(1/(1/INDEX(Spectrum!$N:$N,MATCH(RIGHT($B410,13)&amp;"|"&amp;$C410&amp;"|"&amp;$D410&amp;"|"&amp;AA$14&amp;"|"&amp;"CY2023Q3",Spectrum!$R:$R,0))),IF(SUM($U410)=0,"",SUM($Z410)/$U410)))</f>
        <v>1864</v>
      </c>
      <c r="AB410" s="90">
        <f t="shared" si="156"/>
        <v>1.0809578107183579</v>
      </c>
      <c r="AC410" s="14">
        <f>IF(LEFT($B410,4)="_Mil","",_xlfn.IFNA(ROUND(INDEX(Spectrum!$N:$N,MATCH(RIGHT($B410,13)&amp;"|"&amp;$C410&amp;"|"&amp;$D410&amp;"|"&amp;AC$14&amp;"|"&amp;"CY2023Q3",Spectrum!$R:$R,0)),0),""))</f>
        <v>944</v>
      </c>
      <c r="AD410" s="14" t="str">
        <f>IF(LEFT($B410,4)="_Mil","",_xlfn.IFNA(ROUND(INDEX(Spectrum!$N:$N,MATCH(RIGHT($B410,13)&amp;"|"&amp;$C410&amp;"|"&amp;$D410&amp;"|"&amp;AD$14&amp;"|"&amp;"CY2023Q3",Spectrum!$R:$R,0)),0),""))</f>
        <v/>
      </c>
      <c r="AE410" s="90">
        <f t="shared" si="157"/>
        <v>0</v>
      </c>
      <c r="AF410" s="42" t="str">
        <f>IF(LEFT($B410,4)="_Mil","",_xlfn.IFNA(ROUND(INDEX(Spectrum!$N:$N,MATCH(RIGHT($B410,13)&amp;"|"&amp;$C410&amp;"|"&amp;$D410&amp;"|"&amp;AF$14&amp;"|"&amp;"CY2023Q3",Spectrum!$R:$R,0)),0),""))</f>
        <v/>
      </c>
      <c r="AG410" s="90" t="str">
        <f t="shared" si="158"/>
        <v/>
      </c>
      <c r="AH410" s="88" t="str">
        <f>IF(LEFT($B410,4)="_Mil","",_xlfn.IFNA(INDEX(Spectrum!$N:$N,MATCH(RIGHT($B410,13)&amp;"|"&amp;$C410&amp;"|"&amp;$D410&amp;"|"&amp;AH$14&amp;"|"&amp;"CY2023Q3",Spectrum!$R:$R,0)),""))</f>
        <v/>
      </c>
      <c r="AI410" s="14" t="str">
        <f>IF(LEFT($B410,4)="_Mil","",_xlfn.IFNA(ROUND(INDEX(Spectrum!$N:$N,MATCH(RIGHT($B410,13)&amp;"|"&amp;$C410&amp;"|"&amp;$D410&amp;"|"&amp;AI$14&amp;"|"&amp;"CY2023Q3",Spectrum!$R:$R,0)),0),""))</f>
        <v/>
      </c>
      <c r="AJ410" s="42">
        <f>IF(LEFT($B410,4)="_Mil","",_xlfn.IFNA(ROUND(INDEX(Spectrum!$N:$N,MATCH(RIGHT($B410,13)&amp;"|"&amp;$C410&amp;"|"&amp;$D410&amp;"|"&amp;AI$14&amp;"|"&amp;"CY2023Q3",Spectrum!$R:$R,0)),0),SUM($U410)+SUM($AI410)))</f>
        <v>0</v>
      </c>
      <c r="AK410" s="14" t="str">
        <f>IF(LEFT($B410,4)="_Mil","",_xlfn.IFNA(ROUND(INDEX(Spectrum!$N:$N,MATCH(RIGHT($B410,13)&amp;"|"&amp;$C410&amp;"|"&amp;$D410&amp;"|"&amp;AK$14&amp;"|"&amp;"CY2023Q3",Spectrum!$R:$R,0)),0),""))</f>
        <v/>
      </c>
      <c r="AL410" s="90">
        <f t="shared" si="159"/>
        <v>1864</v>
      </c>
      <c r="AM410" s="14">
        <f t="shared" si="160"/>
        <v>0</v>
      </c>
      <c r="AN410" s="14" t="str">
        <f>IF($C410="&lt;01",ROUND(INDEX(EID!$P:$P,MATCH($B410,EID!$B:$B,0))/2,0),"")</f>
        <v/>
      </c>
      <c r="AO410" s="14">
        <f t="shared" si="161"/>
        <v>0</v>
      </c>
      <c r="AP410" s="42">
        <f t="shared" si="162"/>
        <v>0</v>
      </c>
      <c r="AQ410" s="42">
        <f t="shared" si="163"/>
        <v>948</v>
      </c>
      <c r="AR410" s="90" t="str">
        <f t="shared" si="164"/>
        <v/>
      </c>
      <c r="AS410" s="90">
        <f t="shared" si="151"/>
        <v>0.98</v>
      </c>
      <c r="AT410" s="90">
        <f t="shared" si="151"/>
        <v>0.98</v>
      </c>
      <c r="AU410" s="14">
        <f t="shared" si="165"/>
        <v>0</v>
      </c>
      <c r="AV410" s="14">
        <f>IF($C410="&lt;01",ROUND(INDEX(EID!$N:$N,MATCH($B410,EID!$B:$B,0))/2,0),IF(SUM($AT410)=0,"",ROUND((SUM($AP410)-(SUM($O410)*SUM($AS410)))/$AT410,0)))</f>
        <v>0</v>
      </c>
      <c r="AW410" s="90">
        <f t="shared" si="166"/>
        <v>1</v>
      </c>
      <c r="AX410" s="42">
        <f t="shared" si="167"/>
        <v>0</v>
      </c>
      <c r="AY410" s="116">
        <f t="shared" si="168"/>
        <v>0.7</v>
      </c>
      <c r="AZ410" s="93">
        <f>IF($C410="&lt;01",ROUND(INDEX(EID!$R:$R,MATCH($B410,EID!$B:$B,0))/2,0),ROUND(SUM($O410)+(SUM($AV410)*$AY410),0))</f>
        <v>0</v>
      </c>
      <c r="BA410" s="89">
        <f t="shared" si="169"/>
        <v>0.95</v>
      </c>
      <c r="BB410" s="9">
        <f>IF($C410="&lt;01",ROUND(INDEX(EID!$T:$T,MATCH($B410,EID!$B:$B,0))/2,0),ROUND($AZ410*$BA410,0))</f>
        <v>0</v>
      </c>
      <c r="BC410" s="93">
        <f t="shared" si="170"/>
        <v>0</v>
      </c>
      <c r="BD410" s="90">
        <f t="shared" si="171"/>
        <v>0.95</v>
      </c>
      <c r="BE410" s="42">
        <f>IF($C410="&lt;01",ROUND(INDEX(EID!$V:$V,MATCH($B410,EID!$B:$B,0))/2,0),ROUND($BD410*$BB410,0))</f>
        <v>0</v>
      </c>
      <c r="BF410" s="42">
        <f t="shared" si="172"/>
        <v>0</v>
      </c>
      <c r="BG410" s="116">
        <f t="shared" si="173"/>
        <v>0.95</v>
      </c>
      <c r="BH410" s="9">
        <f>IF($C410="&lt;01",ROUND(INDEX(EID!$L:$L,MATCH($B410,EID!$B:$B,0)),0)/2,IF(SUM($BG410)=0,"",ROUND($AX410/$BG410,0)))</f>
        <v>0</v>
      </c>
    </row>
    <row r="411" spans="1:60" x14ac:dyDescent="0.2">
      <c r="A411" t="str">
        <f>INDEX(Prioritization!$D:$D,MATCH($B411,Prioritization!$A:$A,0))</f>
        <v>1 - Scale-up: Saturation</v>
      </c>
      <c r="B411" t="s">
        <v>221</v>
      </c>
      <c r="C411" t="s">
        <v>363</v>
      </c>
      <c r="D411" t="s">
        <v>29</v>
      </c>
      <c r="E411" t="str">
        <f t="shared" si="152"/>
        <v>Zomba District [fyEoGEPERdI]|10-14|Female</v>
      </c>
      <c r="F411" s="14"/>
      <c r="G411" s="14">
        <v>5</v>
      </c>
      <c r="H411" s="14">
        <v>9</v>
      </c>
      <c r="I411" s="14">
        <v>24</v>
      </c>
      <c r="J411" s="14">
        <v>30</v>
      </c>
      <c r="K411" s="14">
        <v>47</v>
      </c>
      <c r="L411" s="14">
        <v>8</v>
      </c>
      <c r="M411" s="14">
        <v>3</v>
      </c>
      <c r="N411" s="14">
        <v>12</v>
      </c>
      <c r="O411" s="14">
        <f t="shared" si="153"/>
        <v>24</v>
      </c>
      <c r="P411" s="14">
        <v>31</v>
      </c>
      <c r="Q411" s="14">
        <v>32</v>
      </c>
      <c r="R411" s="14">
        <f t="shared" si="154"/>
        <v>0</v>
      </c>
      <c r="S411" s="14">
        <f>IF(LEFT($B411,4)="_Mil","",_xlfn.IFNA(ROUND(INDEX(Spectrum!$N:$N,MATCH(RIGHT($B411,13)&amp;"|"&amp;$C411&amp;"|"&amp;$D411&amp;"|"&amp;S$14&amp;"|"&amp;"CY2022Q4",Spectrum!$R:$R,0)),0),""))</f>
        <v>1804</v>
      </c>
      <c r="T411" s="42">
        <f>IF(LEFT($B411,4)="_Mil","",_xlfn.IFNA(ROUND(INDEX(Spectrum!$N:$N,MATCH(RIGHT($B411,13)&amp;"|"&amp;$C411&amp;"|"&amp;$D411&amp;"|"&amp;T$14&amp;"|"&amp;"CY2023Q3",Spectrum!$R:$R,0)),0),""))</f>
        <v>1899</v>
      </c>
      <c r="U411" s="42" t="str">
        <f>IF(LEFT($B411,4)="_Mil","",_xlfn.IFNA(ROUND(INDEX(Spectrum!$N:$N,MATCH(RIGHT($B411,13)&amp;"|"&amp;$C411&amp;"|"&amp;$D411&amp;"|"&amp;U$14&amp;"|"&amp;"CY2023Q3",Spectrum!$R:$R,0)),0),""))</f>
        <v/>
      </c>
      <c r="V411" s="14">
        <f>IF(LEFT($B411,4)="_Mil","",_xlfn.IFNA(ROUND(INDEX(Spectrum!$N:$N,MATCH(RIGHT($B411,13)&amp;"|"&amp;$C411&amp;"|"&amp;$D411&amp;"|"&amp;V$14&amp;"|"&amp;"CY2023Q3",Spectrum!$R:$R,0)),0),""))</f>
        <v>1964</v>
      </c>
      <c r="W411" s="115">
        <f>IF(LEFT($B411,4)="_Mil","",_xlfn.IFNA(INDEX(Spectrum!$N:$N,MATCH(RIGHT($B411,13)&amp;"|"&amp;$C411&amp;"|"&amp;$D411&amp;"|"&amp;W$14&amp;"|"&amp;"CY2023Q3",Spectrum!$R:$R,0)),""))</f>
        <v>1198</v>
      </c>
      <c r="X411" s="42">
        <f>IF(LEFT($B411,4)="_Mil","",_xlfn.IFNA(ROUND(INDEX(Spectrum!$N:$N,MATCH(RIGHT($B411,13)&amp;"|"&amp;$C411&amp;"|"&amp;$D411&amp;"|"&amp;X$14&amp;"|"&amp;"CY2023Q3",Spectrum!$R:$R,0)),0),""))</f>
        <v>1567</v>
      </c>
      <c r="Y411" s="90" t="str">
        <f t="shared" si="155"/>
        <v/>
      </c>
      <c r="Z411" s="42">
        <f>IF(LEFT($B411,4)="_Mil","",_xlfn.IFNA(ROUND(INDEX(Spectrum!$N:$N,MATCH(RIGHT($B411,13)&amp;"|"&amp;$C411&amp;"|"&amp;$D411&amp;"|"&amp;Z$14&amp;"|"&amp;"CY2023Q3",Spectrum!$R:$R,0)),0),""))</f>
        <v>1900</v>
      </c>
      <c r="AA411" s="90">
        <f>IF(LEFT($B411,4)="_Mil","",IFERROR(1/(1/INDEX(Spectrum!$N:$N,MATCH(RIGHT($B411,13)&amp;"|"&amp;$C411&amp;"|"&amp;$D411&amp;"|"&amp;AA$14&amp;"|"&amp;"CY2023Q3",Spectrum!$R:$R,0))),IF(SUM($U411)=0,"",SUM($Z411)/$U411)))</f>
        <v>1522</v>
      </c>
      <c r="AB411" s="90">
        <f t="shared" si="156"/>
        <v>1.2125079770261646</v>
      </c>
      <c r="AC411" s="14">
        <f>IF(LEFT($B411,4)="_Mil","",_xlfn.IFNA(ROUND(INDEX(Spectrum!$N:$N,MATCH(RIGHT($B411,13)&amp;"|"&amp;$C411&amp;"|"&amp;$D411&amp;"|"&amp;AC$14&amp;"|"&amp;"CY2023Q3",Spectrum!$R:$R,0)),0),""))</f>
        <v>1143</v>
      </c>
      <c r="AD411" s="14" t="str">
        <f>IF(LEFT($B411,4)="_Mil","",_xlfn.IFNA(ROUND(INDEX(Spectrum!$N:$N,MATCH(RIGHT($B411,13)&amp;"|"&amp;$C411&amp;"|"&amp;$D411&amp;"|"&amp;AD$14&amp;"|"&amp;"CY2023Q3",Spectrum!$R:$R,0)),0),""))</f>
        <v/>
      </c>
      <c r="AE411" s="90">
        <f t="shared" si="157"/>
        <v>0</v>
      </c>
      <c r="AF411" s="42" t="str">
        <f>IF(LEFT($B411,4)="_Mil","",_xlfn.IFNA(ROUND(INDEX(Spectrum!$N:$N,MATCH(RIGHT($B411,13)&amp;"|"&amp;$C411&amp;"|"&amp;$D411&amp;"|"&amp;AF$14&amp;"|"&amp;"CY2023Q3",Spectrum!$R:$R,0)),0),""))</f>
        <v/>
      </c>
      <c r="AG411" s="90" t="str">
        <f t="shared" si="158"/>
        <v/>
      </c>
      <c r="AH411" s="88" t="str">
        <f>IF(LEFT($B411,4)="_Mil","",_xlfn.IFNA(INDEX(Spectrum!$N:$N,MATCH(RIGHT($B411,13)&amp;"|"&amp;$C411&amp;"|"&amp;$D411&amp;"|"&amp;AH$14&amp;"|"&amp;"CY2023Q3",Spectrum!$R:$R,0)),""))</f>
        <v/>
      </c>
      <c r="AI411" s="14" t="str">
        <f>IF(LEFT($B411,4)="_Mil","",_xlfn.IFNA(ROUND(INDEX(Spectrum!$N:$N,MATCH(RIGHT($B411,13)&amp;"|"&amp;$C411&amp;"|"&amp;$D411&amp;"|"&amp;AI$14&amp;"|"&amp;"CY2023Q3",Spectrum!$R:$R,0)),0),""))</f>
        <v/>
      </c>
      <c r="AJ411" s="42">
        <f>IF(LEFT($B411,4)="_Mil","",_xlfn.IFNA(ROUND(INDEX(Spectrum!$N:$N,MATCH(RIGHT($B411,13)&amp;"|"&amp;$C411&amp;"|"&amp;$D411&amp;"|"&amp;AI$14&amp;"|"&amp;"CY2023Q3",Spectrum!$R:$R,0)),0),SUM($U411)+SUM($AI411)))</f>
        <v>0</v>
      </c>
      <c r="AK411" s="14" t="str">
        <f>IF(LEFT($B411,4)="_Mil","",_xlfn.IFNA(ROUND(INDEX(Spectrum!$N:$N,MATCH(RIGHT($B411,13)&amp;"|"&amp;$C411&amp;"|"&amp;$D411&amp;"|"&amp;AK$14&amp;"|"&amp;"CY2023Q3",Spectrum!$R:$R,0)),0),""))</f>
        <v/>
      </c>
      <c r="AL411" s="90">
        <f t="shared" si="159"/>
        <v>1522</v>
      </c>
      <c r="AM411" s="14">
        <f t="shared" si="160"/>
        <v>0</v>
      </c>
      <c r="AN411" s="14" t="str">
        <f>IF($C411="&lt;01",ROUND(INDEX(EID!$P:$P,MATCH($B411,EID!$B:$B,0))/2,0),"")</f>
        <v/>
      </c>
      <c r="AO411" s="14">
        <f t="shared" si="161"/>
        <v>0</v>
      </c>
      <c r="AP411" s="42">
        <f t="shared" si="162"/>
        <v>0</v>
      </c>
      <c r="AQ411" s="42">
        <f t="shared" si="163"/>
        <v>1900</v>
      </c>
      <c r="AR411" s="90" t="str">
        <f t="shared" si="164"/>
        <v/>
      </c>
      <c r="AS411" s="90">
        <f t="shared" si="151"/>
        <v>0.98</v>
      </c>
      <c r="AT411" s="90">
        <f t="shared" si="151"/>
        <v>0.98</v>
      </c>
      <c r="AU411" s="14">
        <f t="shared" si="165"/>
        <v>-24</v>
      </c>
      <c r="AV411" s="14">
        <f>IF($C411="&lt;01",ROUND(INDEX(EID!$N:$N,MATCH($B411,EID!$B:$B,0))/2,0),IF(SUM($AT411)=0,"",ROUND((SUM($AP411)-(SUM($O411)*SUM($AS411)))/$AT411,0)))</f>
        <v>-24</v>
      </c>
      <c r="AW411" s="90">
        <f t="shared" si="166"/>
        <v>1</v>
      </c>
      <c r="AX411" s="42">
        <f t="shared" si="167"/>
        <v>-24</v>
      </c>
      <c r="AY411" s="116">
        <f t="shared" si="168"/>
        <v>0.7</v>
      </c>
      <c r="AZ411" s="93">
        <f>IF($C411="&lt;01",ROUND(INDEX(EID!$R:$R,MATCH($B411,EID!$B:$B,0))/2,0),ROUND(SUM($O411)+(SUM($AV411)*$AY411),0))</f>
        <v>7</v>
      </c>
      <c r="BA411" s="89">
        <f t="shared" si="169"/>
        <v>0.95</v>
      </c>
      <c r="BB411" s="9">
        <f>IF($C411="&lt;01",ROUND(INDEX(EID!$T:$T,MATCH($B411,EID!$B:$B,0))/2,0),ROUND($AZ411*$BA411,0))</f>
        <v>7</v>
      </c>
      <c r="BC411" s="93">
        <f t="shared" si="170"/>
        <v>7</v>
      </c>
      <c r="BD411" s="90">
        <f t="shared" si="171"/>
        <v>0.95</v>
      </c>
      <c r="BE411" s="42">
        <f>IF($C411="&lt;01",ROUND(INDEX(EID!$V:$V,MATCH($B411,EID!$B:$B,0))/2,0),ROUND($BD411*$BB411,0))</f>
        <v>7</v>
      </c>
      <c r="BF411" s="42">
        <f t="shared" si="172"/>
        <v>7</v>
      </c>
      <c r="BG411" s="116">
        <f t="shared" si="173"/>
        <v>0.95</v>
      </c>
      <c r="BH411" s="9">
        <f>IF($C411="&lt;01",ROUND(INDEX(EID!$L:$L,MATCH($B411,EID!$B:$B,0)),0)/2,IF(SUM($BG411)=0,"",ROUND($AX411/$BG411,0)))</f>
        <v>-25</v>
      </c>
    </row>
    <row r="412" spans="1:60" x14ac:dyDescent="0.2">
      <c r="A412" t="str">
        <f>INDEX(Prioritization!$D:$D,MATCH($B412,Prioritization!$A:$A,0))</f>
        <v>1 - Scale-up: Saturation</v>
      </c>
      <c r="B412" t="s">
        <v>221</v>
      </c>
      <c r="C412" t="s">
        <v>363</v>
      </c>
      <c r="D412" t="s">
        <v>47</v>
      </c>
      <c r="E412" t="str">
        <f t="shared" si="152"/>
        <v>Zomba District [fyEoGEPERdI]|10-14|Male</v>
      </c>
      <c r="F412" s="14"/>
      <c r="G412" s="14">
        <v>8</v>
      </c>
      <c r="H412" s="14">
        <v>2</v>
      </c>
      <c r="I412" s="14">
        <v>38</v>
      </c>
      <c r="J412" s="14">
        <v>62</v>
      </c>
      <c r="K412" s="14">
        <v>15</v>
      </c>
      <c r="L412" s="14">
        <v>3</v>
      </c>
      <c r="M412" s="14">
        <v>7</v>
      </c>
      <c r="N412" s="14">
        <v>50</v>
      </c>
      <c r="O412" s="14">
        <f t="shared" si="153"/>
        <v>50</v>
      </c>
      <c r="P412" s="14">
        <v>18</v>
      </c>
      <c r="Q412" s="14">
        <v>19</v>
      </c>
      <c r="R412" s="14">
        <f t="shared" si="154"/>
        <v>12</v>
      </c>
      <c r="S412" s="14">
        <f>IF(LEFT($B412,4)="_Mil","",_xlfn.IFNA(ROUND(INDEX(Spectrum!$N:$N,MATCH(RIGHT($B412,13)&amp;"|"&amp;$C412&amp;"|"&amp;$D412&amp;"|"&amp;S$14&amp;"|"&amp;"CY2022Q4",Spectrum!$R:$R,0)),0),""))</f>
        <v>1660</v>
      </c>
      <c r="T412" s="42">
        <f>IF(LEFT($B412,4)="_Mil","",_xlfn.IFNA(ROUND(INDEX(Spectrum!$N:$N,MATCH(RIGHT($B412,13)&amp;"|"&amp;$C412&amp;"|"&amp;$D412&amp;"|"&amp;T$14&amp;"|"&amp;"CY2023Q3",Spectrum!$R:$R,0)),0),""))</f>
        <v>1327</v>
      </c>
      <c r="U412" s="42" t="str">
        <f>IF(LEFT($B412,4)="_Mil","",_xlfn.IFNA(ROUND(INDEX(Spectrum!$N:$N,MATCH(RIGHT($B412,13)&amp;"|"&amp;$C412&amp;"|"&amp;$D412&amp;"|"&amp;U$14&amp;"|"&amp;"CY2023Q3",Spectrum!$R:$R,0)),0),""))</f>
        <v/>
      </c>
      <c r="V412" s="14">
        <f>IF(LEFT($B412,4)="_Mil","",_xlfn.IFNA(ROUND(INDEX(Spectrum!$N:$N,MATCH(RIGHT($B412,13)&amp;"|"&amp;$C412&amp;"|"&amp;$D412&amp;"|"&amp;V$14&amp;"|"&amp;"CY2023Q3",Spectrum!$R:$R,0)),0),""))</f>
        <v>1695</v>
      </c>
      <c r="W412" s="115">
        <f>IF(LEFT($B412,4)="_Mil","",_xlfn.IFNA(INDEX(Spectrum!$N:$N,MATCH(RIGHT($B412,13)&amp;"|"&amp;$C412&amp;"|"&amp;$D412&amp;"|"&amp;W$14&amp;"|"&amp;"CY2023Q3",Spectrum!$R:$R,0)),""))</f>
        <v>509</v>
      </c>
      <c r="X412" s="42">
        <f>IF(LEFT($B412,4)="_Mil","",_xlfn.IFNA(ROUND(INDEX(Spectrum!$N:$N,MATCH(RIGHT($B412,13)&amp;"|"&amp;$C412&amp;"|"&amp;$D412&amp;"|"&amp;X$14&amp;"|"&amp;"CY2023Q3",Spectrum!$R:$R,0)),0),""))</f>
        <v>1107</v>
      </c>
      <c r="Y412" s="90" t="str">
        <f t="shared" si="155"/>
        <v/>
      </c>
      <c r="Z412" s="42">
        <f>IF(LEFT($B412,4)="_Mil","",_xlfn.IFNA(ROUND(INDEX(Spectrum!$N:$N,MATCH(RIGHT($B412,13)&amp;"|"&amp;$C412&amp;"|"&amp;$D412&amp;"|"&amp;Z$14&amp;"|"&amp;"CY2023Q3",Spectrum!$R:$R,0)),0),""))</f>
        <v>982</v>
      </c>
      <c r="AA412" s="90">
        <f>IF(LEFT($B412,4)="_Mil","",IFERROR(1/(1/INDEX(Spectrum!$N:$N,MATCH(RIGHT($B412,13)&amp;"|"&amp;$C412&amp;"|"&amp;$D412&amp;"|"&amp;AA$14&amp;"|"&amp;"CY2023Q3",Spectrum!$R:$R,0))),IF(SUM($U412)=0,"",SUM($Z412)/$U412)))</f>
        <v>1355</v>
      </c>
      <c r="AB412" s="90">
        <f t="shared" si="156"/>
        <v>0.88708220415537486</v>
      </c>
      <c r="AC412" s="14">
        <f>IF(LEFT($B412,4)="_Mil","",_xlfn.IFNA(ROUND(INDEX(Spectrum!$N:$N,MATCH(RIGHT($B412,13)&amp;"|"&amp;$C412&amp;"|"&amp;$D412&amp;"|"&amp;AC$14&amp;"|"&amp;"CY2023Q3",Spectrum!$R:$R,0)),0),""))</f>
        <v>1218</v>
      </c>
      <c r="AD412" s="14" t="str">
        <f>IF(LEFT($B412,4)="_Mil","",_xlfn.IFNA(ROUND(INDEX(Spectrum!$N:$N,MATCH(RIGHT($B412,13)&amp;"|"&amp;$C412&amp;"|"&amp;$D412&amp;"|"&amp;AD$14&amp;"|"&amp;"CY2023Q3",Spectrum!$R:$R,0)),0),""))</f>
        <v/>
      </c>
      <c r="AE412" s="90">
        <f t="shared" si="157"/>
        <v>0</v>
      </c>
      <c r="AF412" s="42" t="str">
        <f>IF(LEFT($B412,4)="_Mil","",_xlfn.IFNA(ROUND(INDEX(Spectrum!$N:$N,MATCH(RIGHT($B412,13)&amp;"|"&amp;$C412&amp;"|"&amp;$D412&amp;"|"&amp;AF$14&amp;"|"&amp;"CY2023Q3",Spectrum!$R:$R,0)),0),""))</f>
        <v/>
      </c>
      <c r="AG412" s="90" t="str">
        <f t="shared" si="158"/>
        <v/>
      </c>
      <c r="AH412" s="88" t="str">
        <f>IF(LEFT($B412,4)="_Mil","",_xlfn.IFNA(INDEX(Spectrum!$N:$N,MATCH(RIGHT($B412,13)&amp;"|"&amp;$C412&amp;"|"&amp;$D412&amp;"|"&amp;AH$14&amp;"|"&amp;"CY2023Q3",Spectrum!$R:$R,0)),""))</f>
        <v/>
      </c>
      <c r="AI412" s="14" t="str">
        <f>IF(LEFT($B412,4)="_Mil","",_xlfn.IFNA(ROUND(INDEX(Spectrum!$N:$N,MATCH(RIGHT($B412,13)&amp;"|"&amp;$C412&amp;"|"&amp;$D412&amp;"|"&amp;AI$14&amp;"|"&amp;"CY2023Q3",Spectrum!$R:$R,0)),0),""))</f>
        <v/>
      </c>
      <c r="AJ412" s="42">
        <f>IF(LEFT($B412,4)="_Mil","",_xlfn.IFNA(ROUND(INDEX(Spectrum!$N:$N,MATCH(RIGHT($B412,13)&amp;"|"&amp;$C412&amp;"|"&amp;$D412&amp;"|"&amp;AI$14&amp;"|"&amp;"CY2023Q3",Spectrum!$R:$R,0)),0),SUM($U412)+SUM($AI412)))</f>
        <v>0</v>
      </c>
      <c r="AK412" s="14" t="str">
        <f>IF(LEFT($B412,4)="_Mil","",_xlfn.IFNA(ROUND(INDEX(Spectrum!$N:$N,MATCH(RIGHT($B412,13)&amp;"|"&amp;$C412&amp;"|"&amp;$D412&amp;"|"&amp;AK$14&amp;"|"&amp;"CY2023Q3",Spectrum!$R:$R,0)),0),""))</f>
        <v/>
      </c>
      <c r="AL412" s="90">
        <f t="shared" si="159"/>
        <v>1355</v>
      </c>
      <c r="AM412" s="14">
        <f t="shared" si="160"/>
        <v>0</v>
      </c>
      <c r="AN412" s="14" t="str">
        <f>IF($C412="&lt;01",ROUND(INDEX(EID!$P:$P,MATCH($B412,EID!$B:$B,0))/2,0),"")</f>
        <v/>
      </c>
      <c r="AO412" s="14">
        <f t="shared" si="161"/>
        <v>0</v>
      </c>
      <c r="AP412" s="42">
        <f t="shared" si="162"/>
        <v>0</v>
      </c>
      <c r="AQ412" s="42">
        <f t="shared" si="163"/>
        <v>982</v>
      </c>
      <c r="AR412" s="90" t="str">
        <f t="shared" si="164"/>
        <v/>
      </c>
      <c r="AS412" s="90">
        <f t="shared" si="151"/>
        <v>0.98</v>
      </c>
      <c r="AT412" s="90">
        <f t="shared" si="151"/>
        <v>0.98</v>
      </c>
      <c r="AU412" s="14">
        <f t="shared" si="165"/>
        <v>-50</v>
      </c>
      <c r="AV412" s="14">
        <f>IF($C412="&lt;01",ROUND(INDEX(EID!$N:$N,MATCH($B412,EID!$B:$B,0))/2,0),IF(SUM($AT412)=0,"",ROUND((SUM($AP412)-(SUM($O412)*SUM($AS412)))/$AT412,0)))</f>
        <v>-50</v>
      </c>
      <c r="AW412" s="90">
        <f t="shared" si="166"/>
        <v>1</v>
      </c>
      <c r="AX412" s="42">
        <f t="shared" si="167"/>
        <v>-50</v>
      </c>
      <c r="AY412" s="116">
        <f t="shared" si="168"/>
        <v>0.7</v>
      </c>
      <c r="AZ412" s="93">
        <f>IF($C412="&lt;01",ROUND(INDEX(EID!$R:$R,MATCH($B412,EID!$B:$B,0))/2,0),ROUND(SUM($O412)+(SUM($AV412)*$AY412),0))</f>
        <v>15</v>
      </c>
      <c r="BA412" s="89">
        <f t="shared" si="169"/>
        <v>0.95</v>
      </c>
      <c r="BB412" s="9">
        <f>IF($C412="&lt;01",ROUND(INDEX(EID!$T:$T,MATCH($B412,EID!$B:$B,0))/2,0),ROUND($AZ412*$BA412,0))</f>
        <v>14</v>
      </c>
      <c r="BC412" s="93">
        <f t="shared" si="170"/>
        <v>14</v>
      </c>
      <c r="BD412" s="90">
        <f t="shared" si="171"/>
        <v>0.95</v>
      </c>
      <c r="BE412" s="42">
        <f>IF($C412="&lt;01",ROUND(INDEX(EID!$V:$V,MATCH($B412,EID!$B:$B,0))/2,0),ROUND($BD412*$BB412,0))</f>
        <v>13</v>
      </c>
      <c r="BF412" s="42">
        <f t="shared" si="172"/>
        <v>13</v>
      </c>
      <c r="BG412" s="116">
        <f t="shared" si="173"/>
        <v>0.95</v>
      </c>
      <c r="BH412" s="9">
        <f>IF($C412="&lt;01",ROUND(INDEX(EID!$L:$L,MATCH($B412,EID!$B:$B,0)),0)/2,IF(SUM($BG412)=0,"",ROUND($AX412/$BG412,0)))</f>
        <v>-53</v>
      </c>
    </row>
    <row r="413" spans="1:60" x14ac:dyDescent="0.2">
      <c r="A413" t="str">
        <f>INDEX(Prioritization!$D:$D,MATCH($B413,Prioritization!$A:$A,0))</f>
        <v>1 - Scale-up: Saturation</v>
      </c>
      <c r="B413" t="s">
        <v>221</v>
      </c>
      <c r="C413" t="s">
        <v>364</v>
      </c>
      <c r="D413" t="s">
        <v>29</v>
      </c>
      <c r="E413" t="str">
        <f t="shared" si="152"/>
        <v>Zomba District [fyEoGEPERdI]|15-24|Female</v>
      </c>
      <c r="F413" s="14"/>
      <c r="G413" s="14"/>
      <c r="H413" s="14"/>
      <c r="I413" s="14"/>
      <c r="J413" s="14"/>
      <c r="K413" s="14"/>
      <c r="L413" s="14"/>
      <c r="M413" s="14"/>
      <c r="N413" s="14"/>
      <c r="O413" s="14" t="str">
        <f t="shared" si="153"/>
        <v/>
      </c>
      <c r="P413" s="14"/>
      <c r="Q413" s="14"/>
      <c r="R413" s="14" t="str">
        <f t="shared" si="154"/>
        <v/>
      </c>
      <c r="S413" s="14">
        <f>IF(LEFT($B413,4)="_Mil","",_xlfn.IFNA(ROUND(INDEX(Spectrum!$N:$N,MATCH(RIGHT($B413,13)&amp;"|"&amp;$C413&amp;"|"&amp;$D413&amp;"|"&amp;S$14&amp;"|"&amp;"CY2022Q4",Spectrum!$R:$R,0)),0),""))</f>
        <v>1098</v>
      </c>
      <c r="T413" s="42">
        <f>IF(LEFT($B413,4)="_Mil","",_xlfn.IFNA(ROUND(INDEX(Spectrum!$N:$N,MATCH(RIGHT($B413,13)&amp;"|"&amp;$C413&amp;"|"&amp;$D413&amp;"|"&amp;T$14&amp;"|"&amp;"CY2023Q3",Spectrum!$R:$R,0)),0),""))</f>
        <v>1475</v>
      </c>
      <c r="U413" s="42" t="str">
        <f>IF(LEFT($B413,4)="_Mil","",_xlfn.IFNA(ROUND(INDEX(Spectrum!$N:$N,MATCH(RIGHT($B413,13)&amp;"|"&amp;$C413&amp;"|"&amp;$D413&amp;"|"&amp;U$14&amp;"|"&amp;"CY2023Q3",Spectrum!$R:$R,0)),0),""))</f>
        <v/>
      </c>
      <c r="V413" s="14">
        <f>IF(LEFT($B413,4)="_Mil","",_xlfn.IFNA(ROUND(INDEX(Spectrum!$N:$N,MATCH(RIGHT($B413,13)&amp;"|"&amp;$C413&amp;"|"&amp;$D413&amp;"|"&amp;V$14&amp;"|"&amp;"CY2023Q3",Spectrum!$R:$R,0)),0),""))</f>
        <v>1251</v>
      </c>
      <c r="W413" s="115">
        <f>IF(LEFT($B413,4)="_Mil","",_xlfn.IFNA(INDEX(Spectrum!$N:$N,MATCH(RIGHT($B413,13)&amp;"|"&amp;$C413&amp;"|"&amp;$D413&amp;"|"&amp;W$14&amp;"|"&amp;"CY2023Q3",Spectrum!$R:$R,0)),""))</f>
        <v>845</v>
      </c>
      <c r="X413" s="42">
        <f>IF(LEFT($B413,4)="_Mil","",_xlfn.IFNA(ROUND(INDEX(Spectrum!$N:$N,MATCH(RIGHT($B413,13)&amp;"|"&amp;$C413&amp;"|"&amp;$D413&amp;"|"&amp;X$14&amp;"|"&amp;"CY2023Q3",Spectrum!$R:$R,0)),0),""))</f>
        <v>1762</v>
      </c>
      <c r="Y413" s="90" t="str">
        <f t="shared" si="155"/>
        <v/>
      </c>
      <c r="Z413" s="42">
        <f>IF(LEFT($B413,4)="_Mil","",_xlfn.IFNA(ROUND(INDEX(Spectrum!$N:$N,MATCH(RIGHT($B413,13)&amp;"|"&amp;$C413&amp;"|"&amp;$D413&amp;"|"&amp;Z$14&amp;"|"&amp;"CY2023Q3",Spectrum!$R:$R,0)),0),""))</f>
        <v>1673</v>
      </c>
      <c r="AA413" s="90">
        <f>IF(LEFT($B413,4)="_Mil","",IFERROR(1/(1/INDEX(Spectrum!$N:$N,MATCH(RIGHT($B413,13)&amp;"|"&amp;$C413&amp;"|"&amp;$D413&amp;"|"&amp;AA$14&amp;"|"&amp;"CY2023Q3",Spectrum!$R:$R,0))),IF(SUM($U413)=0,"",SUM($Z413)/$U413)))</f>
        <v>654</v>
      </c>
      <c r="AB413" s="90">
        <f t="shared" si="156"/>
        <v>0.94948921679909193</v>
      </c>
      <c r="AC413" s="14">
        <f>IF(LEFT($B413,4)="_Mil","",_xlfn.IFNA(ROUND(INDEX(Spectrum!$N:$N,MATCH(RIGHT($B413,13)&amp;"|"&amp;$C413&amp;"|"&amp;$D413&amp;"|"&amp;AC$14&amp;"|"&amp;"CY2023Q3",Spectrum!$R:$R,0)),0),""))</f>
        <v>1199</v>
      </c>
      <c r="AD413" s="14" t="str">
        <f>IF(LEFT($B413,4)="_Mil","",_xlfn.IFNA(ROUND(INDEX(Spectrum!$N:$N,MATCH(RIGHT($B413,13)&amp;"|"&amp;$C413&amp;"|"&amp;$D413&amp;"|"&amp;AD$14&amp;"|"&amp;"CY2023Q3",Spectrum!$R:$R,0)),0),""))</f>
        <v/>
      </c>
      <c r="AE413" s="90">
        <f t="shared" si="157"/>
        <v>0</v>
      </c>
      <c r="AF413" s="42" t="str">
        <f>IF(LEFT($B413,4)="_Mil","",_xlfn.IFNA(ROUND(INDEX(Spectrum!$N:$N,MATCH(RIGHT($B413,13)&amp;"|"&amp;$C413&amp;"|"&amp;$D413&amp;"|"&amp;AF$14&amp;"|"&amp;"CY2023Q3",Spectrum!$R:$R,0)),0),""))</f>
        <v/>
      </c>
      <c r="AG413" s="90" t="str">
        <f t="shared" si="158"/>
        <v/>
      </c>
      <c r="AH413" s="88" t="str">
        <f>IF(LEFT($B413,4)="_Mil","",_xlfn.IFNA(INDEX(Spectrum!$N:$N,MATCH(RIGHT($B413,13)&amp;"|"&amp;$C413&amp;"|"&amp;$D413&amp;"|"&amp;AH$14&amp;"|"&amp;"CY2023Q3",Spectrum!$R:$R,0)),""))</f>
        <v/>
      </c>
      <c r="AI413" s="14" t="str">
        <f>IF(LEFT($B413,4)="_Mil","",_xlfn.IFNA(ROUND(INDEX(Spectrum!$N:$N,MATCH(RIGHT($B413,13)&amp;"|"&amp;$C413&amp;"|"&amp;$D413&amp;"|"&amp;AI$14&amp;"|"&amp;"CY2023Q3",Spectrum!$R:$R,0)),0),""))</f>
        <v/>
      </c>
      <c r="AJ413" s="42">
        <f>IF(LEFT($B413,4)="_Mil","",_xlfn.IFNA(ROUND(INDEX(Spectrum!$N:$N,MATCH(RIGHT($B413,13)&amp;"|"&amp;$C413&amp;"|"&amp;$D413&amp;"|"&amp;AI$14&amp;"|"&amp;"CY2023Q3",Spectrum!$R:$R,0)),0),SUM($U413)+SUM($AI413)))</f>
        <v>0</v>
      </c>
      <c r="AK413" s="14" t="str">
        <f>IF(LEFT($B413,4)="_Mil","",_xlfn.IFNA(ROUND(INDEX(Spectrum!$N:$N,MATCH(RIGHT($B413,13)&amp;"|"&amp;$C413&amp;"|"&amp;$D413&amp;"|"&amp;AK$14&amp;"|"&amp;"CY2023Q3",Spectrum!$R:$R,0)),0),""))</f>
        <v/>
      </c>
      <c r="AL413" s="90">
        <f t="shared" si="159"/>
        <v>654</v>
      </c>
      <c r="AM413" s="14">
        <f t="shared" si="160"/>
        <v>0</v>
      </c>
      <c r="AN413" s="14" t="str">
        <f>IF($C413="&lt;01",ROUND(INDEX(EID!$P:$P,MATCH($B413,EID!$B:$B,0))/2,0),"")</f>
        <v/>
      </c>
      <c r="AO413" s="14">
        <f t="shared" si="161"/>
        <v>0</v>
      </c>
      <c r="AP413" s="42">
        <f t="shared" si="162"/>
        <v>0</v>
      </c>
      <c r="AQ413" s="42">
        <f t="shared" si="163"/>
        <v>1673</v>
      </c>
      <c r="AR413" s="90" t="str">
        <f t="shared" si="164"/>
        <v/>
      </c>
      <c r="AS413" s="90">
        <f t="shared" si="151"/>
        <v>0.98</v>
      </c>
      <c r="AT413" s="90">
        <f t="shared" si="151"/>
        <v>0.98</v>
      </c>
      <c r="AU413" s="14">
        <f t="shared" si="165"/>
        <v>0</v>
      </c>
      <c r="AV413" s="14">
        <f>IF($C413="&lt;01",ROUND(INDEX(EID!$N:$N,MATCH($B413,EID!$B:$B,0))/2,0),IF(SUM($AT413)=0,"",ROUND((SUM($AP413)-(SUM($O413)*SUM($AS413)))/$AT413,0)))</f>
        <v>0</v>
      </c>
      <c r="AW413" s="90">
        <f t="shared" si="166"/>
        <v>1</v>
      </c>
      <c r="AX413" s="42">
        <f t="shared" si="167"/>
        <v>0</v>
      </c>
      <c r="AY413" s="116">
        <f t="shared" si="168"/>
        <v>0.7</v>
      </c>
      <c r="AZ413" s="93">
        <f>IF($C413="&lt;01",ROUND(INDEX(EID!$R:$R,MATCH($B413,EID!$B:$B,0))/2,0),ROUND(SUM($O413)+(SUM($AV413)*$AY413),0))</f>
        <v>0</v>
      </c>
      <c r="BA413" s="89">
        <f t="shared" si="169"/>
        <v>0.95</v>
      </c>
      <c r="BB413" s="9">
        <f>IF($C413="&lt;01",ROUND(INDEX(EID!$T:$T,MATCH($B413,EID!$B:$B,0))/2,0),ROUND($AZ413*$BA413,0))</f>
        <v>0</v>
      </c>
      <c r="BC413" s="93">
        <f t="shared" si="170"/>
        <v>0</v>
      </c>
      <c r="BD413" s="90">
        <f t="shared" si="171"/>
        <v>0.95</v>
      </c>
      <c r="BE413" s="42">
        <f>IF($C413="&lt;01",ROUND(INDEX(EID!$V:$V,MATCH($B413,EID!$B:$B,0))/2,0),ROUND($BD413*$BB413,0))</f>
        <v>0</v>
      </c>
      <c r="BF413" s="42">
        <f t="shared" si="172"/>
        <v>0</v>
      </c>
      <c r="BG413" s="116">
        <f t="shared" si="173"/>
        <v>0.95</v>
      </c>
      <c r="BH413" s="9">
        <f>IF($C413="&lt;01",ROUND(INDEX(EID!$L:$L,MATCH($B413,EID!$B:$B,0)),0)/2,IF(SUM($BG413)=0,"",ROUND($AX413/$BG413,0)))</f>
        <v>0</v>
      </c>
    </row>
    <row r="414" spans="1:60" x14ac:dyDescent="0.2">
      <c r="A414" t="str">
        <f>INDEX(Prioritization!$D:$D,MATCH($B414,Prioritization!$A:$A,0))</f>
        <v>1 - Scale-up: Saturation</v>
      </c>
      <c r="B414" t="s">
        <v>221</v>
      </c>
      <c r="C414" t="s">
        <v>364</v>
      </c>
      <c r="D414" t="s">
        <v>47</v>
      </c>
      <c r="E414" t="str">
        <f t="shared" si="152"/>
        <v>Zomba District [fyEoGEPERdI]|15-24|Male</v>
      </c>
      <c r="F414" s="14"/>
      <c r="G414" s="14"/>
      <c r="H414" s="14"/>
      <c r="I414" s="14"/>
      <c r="J414" s="14"/>
      <c r="K414" s="14"/>
      <c r="L414" s="14"/>
      <c r="M414" s="14"/>
      <c r="N414" s="14"/>
      <c r="O414" s="14" t="str">
        <f t="shared" si="153"/>
        <v/>
      </c>
      <c r="P414" s="14"/>
      <c r="Q414" s="14"/>
      <c r="R414" s="14" t="str">
        <f t="shared" si="154"/>
        <v/>
      </c>
      <c r="S414" s="14">
        <f>IF(LEFT($B414,4)="_Mil","",_xlfn.IFNA(ROUND(INDEX(Spectrum!$N:$N,MATCH(RIGHT($B414,13)&amp;"|"&amp;$C414&amp;"|"&amp;$D414&amp;"|"&amp;S$14&amp;"|"&amp;"CY2022Q4",Spectrum!$R:$R,0)),0),""))</f>
        <v>1194</v>
      </c>
      <c r="T414" s="42">
        <f>IF(LEFT($B414,4)="_Mil","",_xlfn.IFNA(ROUND(INDEX(Spectrum!$N:$N,MATCH(RIGHT($B414,13)&amp;"|"&amp;$C414&amp;"|"&amp;$D414&amp;"|"&amp;T$14&amp;"|"&amp;"CY2023Q3",Spectrum!$R:$R,0)),0),""))</f>
        <v>1345</v>
      </c>
      <c r="U414" s="42" t="str">
        <f>IF(LEFT($B414,4)="_Mil","",_xlfn.IFNA(ROUND(INDEX(Spectrum!$N:$N,MATCH(RIGHT($B414,13)&amp;"|"&amp;$C414&amp;"|"&amp;$D414&amp;"|"&amp;U$14&amp;"|"&amp;"CY2023Q3",Spectrum!$R:$R,0)),0),""))</f>
        <v/>
      </c>
      <c r="V414" s="14">
        <f>IF(LEFT($B414,4)="_Mil","",_xlfn.IFNA(ROUND(INDEX(Spectrum!$N:$N,MATCH(RIGHT($B414,13)&amp;"|"&amp;$C414&amp;"|"&amp;$D414&amp;"|"&amp;V$14&amp;"|"&amp;"CY2023Q3",Spectrum!$R:$R,0)),0),""))</f>
        <v>1618</v>
      </c>
      <c r="W414" s="115">
        <f>IF(LEFT($B414,4)="_Mil","",_xlfn.IFNA(INDEX(Spectrum!$N:$N,MATCH(RIGHT($B414,13)&amp;"|"&amp;$C414&amp;"|"&amp;$D414&amp;"|"&amp;W$14&amp;"|"&amp;"CY2023Q3",Spectrum!$R:$R,0)),""))</f>
        <v>892</v>
      </c>
      <c r="X414" s="42">
        <f>IF(LEFT($B414,4)="_Mil","",_xlfn.IFNA(ROUND(INDEX(Spectrum!$N:$N,MATCH(RIGHT($B414,13)&amp;"|"&amp;$C414&amp;"|"&amp;$D414&amp;"|"&amp;X$14&amp;"|"&amp;"CY2023Q3",Spectrum!$R:$R,0)),0),""))</f>
        <v>710</v>
      </c>
      <c r="Y414" s="90" t="str">
        <f t="shared" si="155"/>
        <v/>
      </c>
      <c r="Z414" s="42">
        <f>IF(LEFT($B414,4)="_Mil","",_xlfn.IFNA(ROUND(INDEX(Spectrum!$N:$N,MATCH(RIGHT($B414,13)&amp;"|"&amp;$C414&amp;"|"&amp;$D414&amp;"|"&amp;Z$14&amp;"|"&amp;"CY2023Q3",Spectrum!$R:$R,0)),0),""))</f>
        <v>505</v>
      </c>
      <c r="AA414" s="90">
        <f>IF(LEFT($B414,4)="_Mil","",IFERROR(1/(1/INDEX(Spectrum!$N:$N,MATCH(RIGHT($B414,13)&amp;"|"&amp;$C414&amp;"|"&amp;$D414&amp;"|"&amp;AA$14&amp;"|"&amp;"CY2023Q3",Spectrum!$R:$R,0))),IF(SUM($U414)=0,"",SUM($Z414)/$U414)))</f>
        <v>1449</v>
      </c>
      <c r="AB414" s="90">
        <f t="shared" si="156"/>
        <v>0.71126760563380287</v>
      </c>
      <c r="AC414" s="14">
        <f>IF(LEFT($B414,4)="_Mil","",_xlfn.IFNA(ROUND(INDEX(Spectrum!$N:$N,MATCH(RIGHT($B414,13)&amp;"|"&amp;$C414&amp;"|"&amp;$D414&amp;"|"&amp;AC$14&amp;"|"&amp;"CY2023Q3",Spectrum!$R:$R,0)),0),""))</f>
        <v>633</v>
      </c>
      <c r="AD414" s="14" t="str">
        <f>IF(LEFT($B414,4)="_Mil","",_xlfn.IFNA(ROUND(INDEX(Spectrum!$N:$N,MATCH(RIGHT($B414,13)&amp;"|"&amp;$C414&amp;"|"&amp;$D414&amp;"|"&amp;AD$14&amp;"|"&amp;"CY2023Q3",Spectrum!$R:$R,0)),0),""))</f>
        <v/>
      </c>
      <c r="AE414" s="90">
        <f t="shared" si="157"/>
        <v>0</v>
      </c>
      <c r="AF414" s="42" t="str">
        <f>IF(LEFT($B414,4)="_Mil","",_xlfn.IFNA(ROUND(INDEX(Spectrum!$N:$N,MATCH(RIGHT($B414,13)&amp;"|"&amp;$C414&amp;"|"&amp;$D414&amp;"|"&amp;AF$14&amp;"|"&amp;"CY2023Q3",Spectrum!$R:$R,0)),0),""))</f>
        <v/>
      </c>
      <c r="AG414" s="90" t="str">
        <f t="shared" si="158"/>
        <v/>
      </c>
      <c r="AH414" s="88" t="str">
        <f>IF(LEFT($B414,4)="_Mil","",_xlfn.IFNA(INDEX(Spectrum!$N:$N,MATCH(RIGHT($B414,13)&amp;"|"&amp;$C414&amp;"|"&amp;$D414&amp;"|"&amp;AH$14&amp;"|"&amp;"CY2023Q3",Spectrum!$R:$R,0)),""))</f>
        <v/>
      </c>
      <c r="AI414" s="14" t="str">
        <f>IF(LEFT($B414,4)="_Mil","",_xlfn.IFNA(ROUND(INDEX(Spectrum!$N:$N,MATCH(RIGHT($B414,13)&amp;"|"&amp;$C414&amp;"|"&amp;$D414&amp;"|"&amp;AI$14&amp;"|"&amp;"CY2023Q3",Spectrum!$R:$R,0)),0),""))</f>
        <v/>
      </c>
      <c r="AJ414" s="42">
        <f>IF(LEFT($B414,4)="_Mil","",_xlfn.IFNA(ROUND(INDEX(Spectrum!$N:$N,MATCH(RIGHT($B414,13)&amp;"|"&amp;$C414&amp;"|"&amp;$D414&amp;"|"&amp;AI$14&amp;"|"&amp;"CY2023Q3",Spectrum!$R:$R,0)),0),SUM($U414)+SUM($AI414)))</f>
        <v>0</v>
      </c>
      <c r="AK414" s="14" t="str">
        <f>IF(LEFT($B414,4)="_Mil","",_xlfn.IFNA(ROUND(INDEX(Spectrum!$N:$N,MATCH(RIGHT($B414,13)&amp;"|"&amp;$C414&amp;"|"&amp;$D414&amp;"|"&amp;AK$14&amp;"|"&amp;"CY2023Q3",Spectrum!$R:$R,0)),0),""))</f>
        <v/>
      </c>
      <c r="AL414" s="90">
        <f t="shared" si="159"/>
        <v>1449</v>
      </c>
      <c r="AM414" s="14">
        <f t="shared" si="160"/>
        <v>0</v>
      </c>
      <c r="AN414" s="14" t="str">
        <f>IF($C414="&lt;01",ROUND(INDEX(EID!$P:$P,MATCH($B414,EID!$B:$B,0))/2,0),"")</f>
        <v/>
      </c>
      <c r="AO414" s="14">
        <f t="shared" si="161"/>
        <v>0</v>
      </c>
      <c r="AP414" s="42">
        <f t="shared" si="162"/>
        <v>0</v>
      </c>
      <c r="AQ414" s="42">
        <f t="shared" si="163"/>
        <v>505</v>
      </c>
      <c r="AR414" s="90" t="str">
        <f t="shared" si="164"/>
        <v/>
      </c>
      <c r="AS414" s="90">
        <f t="shared" si="151"/>
        <v>0.98</v>
      </c>
      <c r="AT414" s="90">
        <f t="shared" si="151"/>
        <v>0.98</v>
      </c>
      <c r="AU414" s="14">
        <f t="shared" si="165"/>
        <v>0</v>
      </c>
      <c r="AV414" s="14">
        <f>IF($C414="&lt;01",ROUND(INDEX(EID!$N:$N,MATCH($B414,EID!$B:$B,0))/2,0),IF(SUM($AT414)=0,"",ROUND((SUM($AP414)-(SUM($O414)*SUM($AS414)))/$AT414,0)))</f>
        <v>0</v>
      </c>
      <c r="AW414" s="90">
        <f t="shared" si="166"/>
        <v>1</v>
      </c>
      <c r="AX414" s="42">
        <f t="shared" si="167"/>
        <v>0</v>
      </c>
      <c r="AY414" s="116">
        <f t="shared" si="168"/>
        <v>0.7</v>
      </c>
      <c r="AZ414" s="93">
        <f>IF($C414="&lt;01",ROUND(INDEX(EID!$R:$R,MATCH($B414,EID!$B:$B,0))/2,0),ROUND(SUM($O414)+(SUM($AV414)*$AY414),0))</f>
        <v>0</v>
      </c>
      <c r="BA414" s="89">
        <f t="shared" si="169"/>
        <v>0.95</v>
      </c>
      <c r="BB414" s="9">
        <f>IF($C414="&lt;01",ROUND(INDEX(EID!$T:$T,MATCH($B414,EID!$B:$B,0))/2,0),ROUND($AZ414*$BA414,0))</f>
        <v>0</v>
      </c>
      <c r="BC414" s="93">
        <f t="shared" si="170"/>
        <v>0</v>
      </c>
      <c r="BD414" s="90">
        <f t="shared" si="171"/>
        <v>0.95</v>
      </c>
      <c r="BE414" s="42">
        <f>IF($C414="&lt;01",ROUND(INDEX(EID!$V:$V,MATCH($B414,EID!$B:$B,0))/2,0),ROUND($BD414*$BB414,0))</f>
        <v>0</v>
      </c>
      <c r="BF414" s="42">
        <f t="shared" si="172"/>
        <v>0</v>
      </c>
      <c r="BG414" s="116">
        <f t="shared" si="173"/>
        <v>0.95</v>
      </c>
      <c r="BH414" s="9">
        <f>IF($C414="&lt;01",ROUND(INDEX(EID!$L:$L,MATCH($B414,EID!$B:$B,0)),0)/2,IF(SUM($BG414)=0,"",ROUND($AX414/$BG414,0)))</f>
        <v>0</v>
      </c>
    </row>
    <row r="415" spans="1:60" x14ac:dyDescent="0.2">
      <c r="A415" t="str">
        <f>INDEX(Prioritization!$D:$D,MATCH($B415,Prioritization!$A:$A,0))</f>
        <v>1 - Scale-up: Saturation</v>
      </c>
      <c r="B415" t="s">
        <v>221</v>
      </c>
      <c r="C415" t="s">
        <v>365</v>
      </c>
      <c r="D415" t="s">
        <v>29</v>
      </c>
      <c r="E415" t="str">
        <f t="shared" si="152"/>
        <v>Zomba District [fyEoGEPERdI]|25-34|Female</v>
      </c>
      <c r="F415" s="14"/>
      <c r="G415" s="14"/>
      <c r="H415" s="14"/>
      <c r="I415" s="14"/>
      <c r="J415" s="14"/>
      <c r="K415" s="14"/>
      <c r="L415" s="14"/>
      <c r="M415" s="14"/>
      <c r="N415" s="14"/>
      <c r="O415" s="14" t="str">
        <f t="shared" si="153"/>
        <v/>
      </c>
      <c r="P415" s="14"/>
      <c r="Q415" s="14"/>
      <c r="R415" s="14" t="str">
        <f t="shared" si="154"/>
        <v/>
      </c>
      <c r="S415" s="14">
        <f>IF(LEFT($B415,4)="_Mil","",_xlfn.IFNA(ROUND(INDEX(Spectrum!$N:$N,MATCH(RIGHT($B415,13)&amp;"|"&amp;$C415&amp;"|"&amp;$D415&amp;"|"&amp;S$14&amp;"|"&amp;"CY2022Q4",Spectrum!$R:$R,0)),0),""))</f>
        <v>1564</v>
      </c>
      <c r="T415" s="42">
        <f>IF(LEFT($B415,4)="_Mil","",_xlfn.IFNA(ROUND(INDEX(Spectrum!$N:$N,MATCH(RIGHT($B415,13)&amp;"|"&amp;$C415&amp;"|"&amp;$D415&amp;"|"&amp;T$14&amp;"|"&amp;"CY2023Q3",Spectrum!$R:$R,0)),0),""))</f>
        <v>1113</v>
      </c>
      <c r="U415" s="42" t="str">
        <f>IF(LEFT($B415,4)="_Mil","",_xlfn.IFNA(ROUND(INDEX(Spectrum!$N:$N,MATCH(RIGHT($B415,13)&amp;"|"&amp;$C415&amp;"|"&amp;$D415&amp;"|"&amp;U$14&amp;"|"&amp;"CY2023Q3",Spectrum!$R:$R,0)),0),""))</f>
        <v/>
      </c>
      <c r="V415" s="14">
        <f>IF(LEFT($B415,4)="_Mil","",_xlfn.IFNA(ROUND(INDEX(Spectrum!$N:$N,MATCH(RIGHT($B415,13)&amp;"|"&amp;$C415&amp;"|"&amp;$D415&amp;"|"&amp;V$14&amp;"|"&amp;"CY2023Q3",Spectrum!$R:$R,0)),0),""))</f>
        <v>1294</v>
      </c>
      <c r="W415" s="115">
        <f>IF(LEFT($B415,4)="_Mil","",_xlfn.IFNA(INDEX(Spectrum!$N:$N,MATCH(RIGHT($B415,13)&amp;"|"&amp;$C415&amp;"|"&amp;$D415&amp;"|"&amp;W$14&amp;"|"&amp;"CY2023Q3",Spectrum!$R:$R,0)),""))</f>
        <v>707</v>
      </c>
      <c r="X415" s="42">
        <f>IF(LEFT($B415,4)="_Mil","",_xlfn.IFNA(ROUND(INDEX(Spectrum!$N:$N,MATCH(RIGHT($B415,13)&amp;"|"&amp;$C415&amp;"|"&amp;$D415&amp;"|"&amp;X$14&amp;"|"&amp;"CY2023Q3",Spectrum!$R:$R,0)),0),""))</f>
        <v>1144</v>
      </c>
      <c r="Y415" s="90" t="str">
        <f t="shared" si="155"/>
        <v/>
      </c>
      <c r="Z415" s="42">
        <f>IF(LEFT($B415,4)="_Mil","",_xlfn.IFNA(ROUND(INDEX(Spectrum!$N:$N,MATCH(RIGHT($B415,13)&amp;"|"&amp;$C415&amp;"|"&amp;$D415&amp;"|"&amp;Z$14&amp;"|"&amp;"CY2023Q3",Spectrum!$R:$R,0)),0),""))</f>
        <v>1176</v>
      </c>
      <c r="AA415" s="90">
        <f>IF(LEFT($B415,4)="_Mil","",IFERROR(1/(1/INDEX(Spectrum!$N:$N,MATCH(RIGHT($B415,13)&amp;"|"&amp;$C415&amp;"|"&amp;$D415&amp;"|"&amp;AA$14&amp;"|"&amp;"CY2023Q3",Spectrum!$R:$R,0))),IF(SUM($U415)=0,"",SUM($Z415)/$U415)))</f>
        <v>1525</v>
      </c>
      <c r="AB415" s="90">
        <f t="shared" si="156"/>
        <v>1.0279720279720279</v>
      </c>
      <c r="AC415" s="14">
        <f>IF(LEFT($B415,4)="_Mil","",_xlfn.IFNA(ROUND(INDEX(Spectrum!$N:$N,MATCH(RIGHT($B415,13)&amp;"|"&amp;$C415&amp;"|"&amp;$D415&amp;"|"&amp;AC$14&amp;"|"&amp;"CY2023Q3",Spectrum!$R:$R,0)),0),""))</f>
        <v>1064</v>
      </c>
      <c r="AD415" s="14" t="str">
        <f>IF(LEFT($B415,4)="_Mil","",_xlfn.IFNA(ROUND(INDEX(Spectrum!$N:$N,MATCH(RIGHT($B415,13)&amp;"|"&amp;$C415&amp;"|"&amp;$D415&amp;"|"&amp;AD$14&amp;"|"&amp;"CY2023Q3",Spectrum!$R:$R,0)),0),""))</f>
        <v/>
      </c>
      <c r="AE415" s="90">
        <f t="shared" si="157"/>
        <v>0</v>
      </c>
      <c r="AF415" s="42" t="str">
        <f>IF(LEFT($B415,4)="_Mil","",_xlfn.IFNA(ROUND(INDEX(Spectrum!$N:$N,MATCH(RIGHT($B415,13)&amp;"|"&amp;$C415&amp;"|"&amp;$D415&amp;"|"&amp;AF$14&amp;"|"&amp;"CY2023Q3",Spectrum!$R:$R,0)),0),""))</f>
        <v/>
      </c>
      <c r="AG415" s="90" t="str">
        <f t="shared" si="158"/>
        <v/>
      </c>
      <c r="AH415" s="88" t="str">
        <f>IF(LEFT($B415,4)="_Mil","",_xlfn.IFNA(INDEX(Spectrum!$N:$N,MATCH(RIGHT($B415,13)&amp;"|"&amp;$C415&amp;"|"&amp;$D415&amp;"|"&amp;AH$14&amp;"|"&amp;"CY2023Q3",Spectrum!$R:$R,0)),""))</f>
        <v/>
      </c>
      <c r="AI415" s="14" t="str">
        <f>IF(LEFT($B415,4)="_Mil","",_xlfn.IFNA(ROUND(INDEX(Spectrum!$N:$N,MATCH(RIGHT($B415,13)&amp;"|"&amp;$C415&amp;"|"&amp;$D415&amp;"|"&amp;AI$14&amp;"|"&amp;"CY2023Q3",Spectrum!$R:$R,0)),0),""))</f>
        <v/>
      </c>
      <c r="AJ415" s="42">
        <f>IF(LEFT($B415,4)="_Mil","",_xlfn.IFNA(ROUND(INDEX(Spectrum!$N:$N,MATCH(RIGHT($B415,13)&amp;"|"&amp;$C415&amp;"|"&amp;$D415&amp;"|"&amp;AI$14&amp;"|"&amp;"CY2023Q3",Spectrum!$R:$R,0)),0),SUM($U415)+SUM($AI415)))</f>
        <v>0</v>
      </c>
      <c r="AK415" s="14" t="str">
        <f>IF(LEFT($B415,4)="_Mil","",_xlfn.IFNA(ROUND(INDEX(Spectrum!$N:$N,MATCH(RIGHT($B415,13)&amp;"|"&amp;$C415&amp;"|"&amp;$D415&amp;"|"&amp;AK$14&amp;"|"&amp;"CY2023Q3",Spectrum!$R:$R,0)),0),""))</f>
        <v/>
      </c>
      <c r="AL415" s="90">
        <f t="shared" si="159"/>
        <v>1525</v>
      </c>
      <c r="AM415" s="14">
        <f t="shared" si="160"/>
        <v>0</v>
      </c>
      <c r="AN415" s="14" t="str">
        <f>IF($C415="&lt;01",ROUND(INDEX(EID!$P:$P,MATCH($B415,EID!$B:$B,0))/2,0),"")</f>
        <v/>
      </c>
      <c r="AO415" s="14">
        <f t="shared" si="161"/>
        <v>0</v>
      </c>
      <c r="AP415" s="42">
        <f t="shared" si="162"/>
        <v>0</v>
      </c>
      <c r="AQ415" s="42">
        <f t="shared" si="163"/>
        <v>1176</v>
      </c>
      <c r="AR415" s="90" t="str">
        <f t="shared" si="164"/>
        <v/>
      </c>
      <c r="AS415" s="90">
        <f t="shared" ref="AS415:AT420" si="174">IF($C415="&lt;01","",98%)</f>
        <v>0.98</v>
      </c>
      <c r="AT415" s="90">
        <f t="shared" si="174"/>
        <v>0.98</v>
      </c>
      <c r="AU415" s="14">
        <f t="shared" si="165"/>
        <v>0</v>
      </c>
      <c r="AV415" s="14">
        <f>IF($C415="&lt;01",ROUND(INDEX(EID!$N:$N,MATCH($B415,EID!$B:$B,0))/2,0),IF(SUM($AT415)=0,"",ROUND((SUM($AP415)-(SUM($O415)*SUM($AS415)))/$AT415,0)))</f>
        <v>0</v>
      </c>
      <c r="AW415" s="90">
        <f t="shared" si="166"/>
        <v>1</v>
      </c>
      <c r="AX415" s="42">
        <f t="shared" si="167"/>
        <v>0</v>
      </c>
      <c r="AY415" s="116">
        <f t="shared" si="168"/>
        <v>0.7</v>
      </c>
      <c r="AZ415" s="93">
        <f>IF($C415="&lt;01",ROUND(INDEX(EID!$R:$R,MATCH($B415,EID!$B:$B,0))/2,0),ROUND(SUM($O415)+(SUM($AV415)*$AY415),0))</f>
        <v>0</v>
      </c>
      <c r="BA415" s="89">
        <f t="shared" si="169"/>
        <v>0.95</v>
      </c>
      <c r="BB415" s="9">
        <f>IF($C415="&lt;01",ROUND(INDEX(EID!$T:$T,MATCH($B415,EID!$B:$B,0))/2,0),ROUND($AZ415*$BA415,0))</f>
        <v>0</v>
      </c>
      <c r="BC415" s="93">
        <f t="shared" si="170"/>
        <v>0</v>
      </c>
      <c r="BD415" s="90">
        <f t="shared" si="171"/>
        <v>0.95</v>
      </c>
      <c r="BE415" s="42">
        <f>IF($C415="&lt;01",ROUND(INDEX(EID!$V:$V,MATCH($B415,EID!$B:$B,0))/2,0),ROUND($BD415*$BB415,0))</f>
        <v>0</v>
      </c>
      <c r="BF415" s="42">
        <f t="shared" si="172"/>
        <v>0</v>
      </c>
      <c r="BG415" s="116">
        <f t="shared" si="173"/>
        <v>0.95</v>
      </c>
      <c r="BH415" s="9">
        <f>IF($C415="&lt;01",ROUND(INDEX(EID!$L:$L,MATCH($B415,EID!$B:$B,0)),0)/2,IF(SUM($BG415)=0,"",ROUND($AX415/$BG415,0)))</f>
        <v>0</v>
      </c>
    </row>
    <row r="416" spans="1:60" x14ac:dyDescent="0.2">
      <c r="A416" t="str">
        <f>INDEX(Prioritization!$D:$D,MATCH($B416,Prioritization!$A:$A,0))</f>
        <v>1 - Scale-up: Saturation</v>
      </c>
      <c r="B416" t="s">
        <v>221</v>
      </c>
      <c r="C416" t="s">
        <v>365</v>
      </c>
      <c r="D416" t="s">
        <v>47</v>
      </c>
      <c r="E416" t="str">
        <f t="shared" si="152"/>
        <v>Zomba District [fyEoGEPERdI]|25-34|Male</v>
      </c>
      <c r="F416" s="14"/>
      <c r="G416" s="14"/>
      <c r="H416" s="14"/>
      <c r="I416" s="14"/>
      <c r="J416" s="14"/>
      <c r="K416" s="14"/>
      <c r="L416" s="14"/>
      <c r="M416" s="14"/>
      <c r="N416" s="14"/>
      <c r="O416" s="14" t="str">
        <f t="shared" si="153"/>
        <v/>
      </c>
      <c r="P416" s="14"/>
      <c r="Q416" s="14"/>
      <c r="R416" s="14" t="str">
        <f t="shared" si="154"/>
        <v/>
      </c>
      <c r="S416" s="14">
        <f>IF(LEFT($B416,4)="_Mil","",_xlfn.IFNA(ROUND(INDEX(Spectrum!$N:$N,MATCH(RIGHT($B416,13)&amp;"|"&amp;$C416&amp;"|"&amp;$D416&amp;"|"&amp;S$14&amp;"|"&amp;"CY2022Q4",Spectrum!$R:$R,0)),0),""))</f>
        <v>1513</v>
      </c>
      <c r="T416" s="42">
        <f>IF(LEFT($B416,4)="_Mil","",_xlfn.IFNA(ROUND(INDEX(Spectrum!$N:$N,MATCH(RIGHT($B416,13)&amp;"|"&amp;$C416&amp;"|"&amp;$D416&amp;"|"&amp;T$14&amp;"|"&amp;"CY2023Q3",Spectrum!$R:$R,0)),0),""))</f>
        <v>927</v>
      </c>
      <c r="U416" s="42" t="str">
        <f>IF(LEFT($B416,4)="_Mil","",_xlfn.IFNA(ROUND(INDEX(Spectrum!$N:$N,MATCH(RIGHT($B416,13)&amp;"|"&amp;$C416&amp;"|"&amp;$D416&amp;"|"&amp;U$14&amp;"|"&amp;"CY2023Q3",Spectrum!$R:$R,0)),0),""))</f>
        <v/>
      </c>
      <c r="V416" s="14">
        <f>IF(LEFT($B416,4)="_Mil","",_xlfn.IFNA(ROUND(INDEX(Spectrum!$N:$N,MATCH(RIGHT($B416,13)&amp;"|"&amp;$C416&amp;"|"&amp;$D416&amp;"|"&amp;V$14&amp;"|"&amp;"CY2023Q3",Spectrum!$R:$R,0)),0),""))</f>
        <v>1543</v>
      </c>
      <c r="W416" s="115">
        <f>IF(LEFT($B416,4)="_Mil","",_xlfn.IFNA(INDEX(Spectrum!$N:$N,MATCH(RIGHT($B416,13)&amp;"|"&amp;$C416&amp;"|"&amp;$D416&amp;"|"&amp;W$14&amp;"|"&amp;"CY2023Q3",Spectrum!$R:$R,0)),""))</f>
        <v>1505</v>
      </c>
      <c r="X416" s="42">
        <f>IF(LEFT($B416,4)="_Mil","",_xlfn.IFNA(ROUND(INDEX(Spectrum!$N:$N,MATCH(RIGHT($B416,13)&amp;"|"&amp;$C416&amp;"|"&amp;$D416&amp;"|"&amp;X$14&amp;"|"&amp;"CY2023Q3",Spectrum!$R:$R,0)),0),""))</f>
        <v>1100</v>
      </c>
      <c r="Y416" s="90" t="str">
        <f t="shared" si="155"/>
        <v/>
      </c>
      <c r="Z416" s="42">
        <f>IF(LEFT($B416,4)="_Mil","",_xlfn.IFNA(ROUND(INDEX(Spectrum!$N:$N,MATCH(RIGHT($B416,13)&amp;"|"&amp;$C416&amp;"|"&amp;$D416&amp;"|"&amp;Z$14&amp;"|"&amp;"CY2023Q3",Spectrum!$R:$R,0)),0),""))</f>
        <v>1554</v>
      </c>
      <c r="AA416" s="90">
        <f>IF(LEFT($B416,4)="_Mil","",IFERROR(1/(1/INDEX(Spectrum!$N:$N,MATCH(RIGHT($B416,13)&amp;"|"&amp;$C416&amp;"|"&amp;$D416&amp;"|"&amp;AA$14&amp;"|"&amp;"CY2023Q3",Spectrum!$R:$R,0))),IF(SUM($U416)=0,"",SUM($Z416)/$U416)))</f>
        <v>1332</v>
      </c>
      <c r="AB416" s="90">
        <f t="shared" si="156"/>
        <v>1.4127272727272728</v>
      </c>
      <c r="AC416" s="14">
        <f>IF(LEFT($B416,4)="_Mil","",_xlfn.IFNA(ROUND(INDEX(Spectrum!$N:$N,MATCH(RIGHT($B416,13)&amp;"|"&amp;$C416&amp;"|"&amp;$D416&amp;"|"&amp;AC$14&amp;"|"&amp;"CY2023Q3",Spectrum!$R:$R,0)),0),""))</f>
        <v>918</v>
      </c>
      <c r="AD416" s="14" t="str">
        <f>IF(LEFT($B416,4)="_Mil","",_xlfn.IFNA(ROUND(INDEX(Spectrum!$N:$N,MATCH(RIGHT($B416,13)&amp;"|"&amp;$C416&amp;"|"&amp;$D416&amp;"|"&amp;AD$14&amp;"|"&amp;"CY2023Q3",Spectrum!$R:$R,0)),0),""))</f>
        <v/>
      </c>
      <c r="AE416" s="90">
        <f t="shared" si="157"/>
        <v>0</v>
      </c>
      <c r="AF416" s="42" t="str">
        <f>IF(LEFT($B416,4)="_Mil","",_xlfn.IFNA(ROUND(INDEX(Spectrum!$N:$N,MATCH(RIGHT($B416,13)&amp;"|"&amp;$C416&amp;"|"&amp;$D416&amp;"|"&amp;AF$14&amp;"|"&amp;"CY2023Q3",Spectrum!$R:$R,0)),0),""))</f>
        <v/>
      </c>
      <c r="AG416" s="90" t="str">
        <f t="shared" si="158"/>
        <v/>
      </c>
      <c r="AH416" s="88" t="str">
        <f>IF(LEFT($B416,4)="_Mil","",_xlfn.IFNA(INDEX(Spectrum!$N:$N,MATCH(RIGHT($B416,13)&amp;"|"&amp;$C416&amp;"|"&amp;$D416&amp;"|"&amp;AH$14&amp;"|"&amp;"CY2023Q3",Spectrum!$R:$R,0)),""))</f>
        <v/>
      </c>
      <c r="AI416" s="14" t="str">
        <f>IF(LEFT($B416,4)="_Mil","",_xlfn.IFNA(ROUND(INDEX(Spectrum!$N:$N,MATCH(RIGHT($B416,13)&amp;"|"&amp;$C416&amp;"|"&amp;$D416&amp;"|"&amp;AI$14&amp;"|"&amp;"CY2023Q3",Spectrum!$R:$R,0)),0),""))</f>
        <v/>
      </c>
      <c r="AJ416" s="42">
        <f>IF(LEFT($B416,4)="_Mil","",_xlfn.IFNA(ROUND(INDEX(Spectrum!$N:$N,MATCH(RIGHT($B416,13)&amp;"|"&amp;$C416&amp;"|"&amp;$D416&amp;"|"&amp;AI$14&amp;"|"&amp;"CY2023Q3",Spectrum!$R:$R,0)),0),SUM($U416)+SUM($AI416)))</f>
        <v>0</v>
      </c>
      <c r="AK416" s="14" t="str">
        <f>IF(LEFT($B416,4)="_Mil","",_xlfn.IFNA(ROUND(INDEX(Spectrum!$N:$N,MATCH(RIGHT($B416,13)&amp;"|"&amp;$C416&amp;"|"&amp;$D416&amp;"|"&amp;AK$14&amp;"|"&amp;"CY2023Q3",Spectrum!$R:$R,0)),0),""))</f>
        <v/>
      </c>
      <c r="AL416" s="90">
        <f t="shared" si="159"/>
        <v>1332</v>
      </c>
      <c r="AM416" s="14">
        <f t="shared" si="160"/>
        <v>0</v>
      </c>
      <c r="AN416" s="14" t="str">
        <f>IF($C416="&lt;01",ROUND(INDEX(EID!$P:$P,MATCH($B416,EID!$B:$B,0))/2,0),"")</f>
        <v/>
      </c>
      <c r="AO416" s="14">
        <f t="shared" si="161"/>
        <v>0</v>
      </c>
      <c r="AP416" s="42">
        <f t="shared" si="162"/>
        <v>0</v>
      </c>
      <c r="AQ416" s="42">
        <f t="shared" si="163"/>
        <v>1554</v>
      </c>
      <c r="AR416" s="90" t="str">
        <f t="shared" si="164"/>
        <v/>
      </c>
      <c r="AS416" s="90">
        <f t="shared" si="174"/>
        <v>0.98</v>
      </c>
      <c r="AT416" s="90">
        <f t="shared" si="174"/>
        <v>0.98</v>
      </c>
      <c r="AU416" s="14">
        <f t="shared" si="165"/>
        <v>0</v>
      </c>
      <c r="AV416" s="14">
        <f>IF($C416="&lt;01",ROUND(INDEX(EID!$N:$N,MATCH($B416,EID!$B:$B,0))/2,0),IF(SUM($AT416)=0,"",ROUND((SUM($AP416)-(SUM($O416)*SUM($AS416)))/$AT416,0)))</f>
        <v>0</v>
      </c>
      <c r="AW416" s="90">
        <f t="shared" si="166"/>
        <v>1</v>
      </c>
      <c r="AX416" s="42">
        <f t="shared" si="167"/>
        <v>0</v>
      </c>
      <c r="AY416" s="116">
        <f t="shared" si="168"/>
        <v>0.7</v>
      </c>
      <c r="AZ416" s="93">
        <f>IF($C416="&lt;01",ROUND(INDEX(EID!$R:$R,MATCH($B416,EID!$B:$B,0))/2,0),ROUND(SUM($O416)+(SUM($AV416)*$AY416),0))</f>
        <v>0</v>
      </c>
      <c r="BA416" s="89">
        <f t="shared" si="169"/>
        <v>0.95</v>
      </c>
      <c r="BB416" s="9">
        <f>IF($C416="&lt;01",ROUND(INDEX(EID!$T:$T,MATCH($B416,EID!$B:$B,0))/2,0),ROUND($AZ416*$BA416,0))</f>
        <v>0</v>
      </c>
      <c r="BC416" s="93">
        <f t="shared" si="170"/>
        <v>0</v>
      </c>
      <c r="BD416" s="90">
        <f t="shared" si="171"/>
        <v>0.95</v>
      </c>
      <c r="BE416" s="42">
        <f>IF($C416="&lt;01",ROUND(INDEX(EID!$V:$V,MATCH($B416,EID!$B:$B,0))/2,0),ROUND($BD416*$BB416,0))</f>
        <v>0</v>
      </c>
      <c r="BF416" s="42">
        <f t="shared" si="172"/>
        <v>0</v>
      </c>
      <c r="BG416" s="116">
        <f t="shared" si="173"/>
        <v>0.95</v>
      </c>
      <c r="BH416" s="9">
        <f>IF($C416="&lt;01",ROUND(INDEX(EID!$L:$L,MATCH($B416,EID!$B:$B,0)),0)/2,IF(SUM($BG416)=0,"",ROUND($AX416/$BG416,0)))</f>
        <v>0</v>
      </c>
    </row>
    <row r="417" spans="1:60" x14ac:dyDescent="0.2">
      <c r="A417" t="str">
        <f>INDEX(Prioritization!$D:$D,MATCH($B417,Prioritization!$A:$A,0))</f>
        <v>1 - Scale-up: Saturation</v>
      </c>
      <c r="B417" t="s">
        <v>221</v>
      </c>
      <c r="C417" t="s">
        <v>366</v>
      </c>
      <c r="D417" t="s">
        <v>29</v>
      </c>
      <c r="E417" t="str">
        <f t="shared" si="152"/>
        <v>Zomba District [fyEoGEPERdI]|35-49|Female</v>
      </c>
      <c r="F417" s="14"/>
      <c r="G417" s="14"/>
      <c r="H417" s="14"/>
      <c r="I417" s="14"/>
      <c r="J417" s="14"/>
      <c r="K417" s="14"/>
      <c r="L417" s="14"/>
      <c r="M417" s="14"/>
      <c r="N417" s="14"/>
      <c r="O417" s="14" t="str">
        <f t="shared" si="153"/>
        <v/>
      </c>
      <c r="P417" s="14"/>
      <c r="Q417" s="14"/>
      <c r="R417" s="14" t="str">
        <f t="shared" si="154"/>
        <v/>
      </c>
      <c r="S417" s="14">
        <f>IF(LEFT($B417,4)="_Mil","",_xlfn.IFNA(ROUND(INDEX(Spectrum!$N:$N,MATCH(RIGHT($B417,13)&amp;"|"&amp;$C417&amp;"|"&amp;$D417&amp;"|"&amp;S$14&amp;"|"&amp;"CY2022Q4",Spectrum!$R:$R,0)),0),""))</f>
        <v>1397</v>
      </c>
      <c r="T417" s="42">
        <f>IF(LEFT($B417,4)="_Mil","",_xlfn.IFNA(ROUND(INDEX(Spectrum!$N:$N,MATCH(RIGHT($B417,13)&amp;"|"&amp;$C417&amp;"|"&amp;$D417&amp;"|"&amp;T$14&amp;"|"&amp;"CY2023Q3",Spectrum!$R:$R,0)),0),""))</f>
        <v>1411</v>
      </c>
      <c r="U417" s="42" t="str">
        <f>IF(LEFT($B417,4)="_Mil","",_xlfn.IFNA(ROUND(INDEX(Spectrum!$N:$N,MATCH(RIGHT($B417,13)&amp;"|"&amp;$C417&amp;"|"&amp;$D417&amp;"|"&amp;U$14&amp;"|"&amp;"CY2023Q3",Spectrum!$R:$R,0)),0),""))</f>
        <v/>
      </c>
      <c r="V417" s="14">
        <f>IF(LEFT($B417,4)="_Mil","",_xlfn.IFNA(ROUND(INDEX(Spectrum!$N:$N,MATCH(RIGHT($B417,13)&amp;"|"&amp;$C417&amp;"|"&amp;$D417&amp;"|"&amp;V$14&amp;"|"&amp;"CY2023Q3",Spectrum!$R:$R,0)),0),""))</f>
        <v>694</v>
      </c>
      <c r="W417" s="115">
        <f>IF(LEFT($B417,4)="_Mil","",_xlfn.IFNA(INDEX(Spectrum!$N:$N,MATCH(RIGHT($B417,13)&amp;"|"&amp;$C417&amp;"|"&amp;$D417&amp;"|"&amp;W$14&amp;"|"&amp;"CY2023Q3",Spectrum!$R:$R,0)),""))</f>
        <v>615</v>
      </c>
      <c r="X417" s="42">
        <f>IF(LEFT($B417,4)="_Mil","",_xlfn.IFNA(ROUND(INDEX(Spectrum!$N:$N,MATCH(RIGHT($B417,13)&amp;"|"&amp;$C417&amp;"|"&amp;$D417&amp;"|"&amp;X$14&amp;"|"&amp;"CY2023Q3",Spectrum!$R:$R,0)),0),""))</f>
        <v>901</v>
      </c>
      <c r="Y417" s="90" t="str">
        <f t="shared" si="155"/>
        <v/>
      </c>
      <c r="Z417" s="42">
        <f>IF(LEFT($B417,4)="_Mil","",_xlfn.IFNA(ROUND(INDEX(Spectrum!$N:$N,MATCH(RIGHT($B417,13)&amp;"|"&amp;$C417&amp;"|"&amp;$D417&amp;"|"&amp;Z$14&amp;"|"&amp;"CY2023Q3",Spectrum!$R:$R,0)),0),""))</f>
        <v>1370</v>
      </c>
      <c r="AA417" s="90">
        <f>IF(LEFT($B417,4)="_Mil","",IFERROR(1/(1/INDEX(Spectrum!$N:$N,MATCH(RIGHT($B417,13)&amp;"|"&amp;$C417&amp;"|"&amp;$D417&amp;"|"&amp;AA$14&amp;"|"&amp;"CY2023Q3",Spectrum!$R:$R,0))),IF(SUM($U417)=0,"",SUM($Z417)/$U417)))</f>
        <v>1588</v>
      </c>
      <c r="AB417" s="90">
        <f t="shared" si="156"/>
        <v>1.5205327413984462</v>
      </c>
      <c r="AC417" s="14">
        <f>IF(LEFT($B417,4)="_Mil","",_xlfn.IFNA(ROUND(INDEX(Spectrum!$N:$N,MATCH(RIGHT($B417,13)&amp;"|"&amp;$C417&amp;"|"&amp;$D417&amp;"|"&amp;AC$14&amp;"|"&amp;"CY2023Q3",Spectrum!$R:$R,0)),0),""))</f>
        <v>1533</v>
      </c>
      <c r="AD417" s="14" t="str">
        <f>IF(LEFT($B417,4)="_Mil","",_xlfn.IFNA(ROUND(INDEX(Spectrum!$N:$N,MATCH(RIGHT($B417,13)&amp;"|"&amp;$C417&amp;"|"&amp;$D417&amp;"|"&amp;AD$14&amp;"|"&amp;"CY2023Q3",Spectrum!$R:$R,0)),0),""))</f>
        <v/>
      </c>
      <c r="AE417" s="90">
        <f t="shared" si="157"/>
        <v>0</v>
      </c>
      <c r="AF417" s="42" t="str">
        <f>IF(LEFT($B417,4)="_Mil","",_xlfn.IFNA(ROUND(INDEX(Spectrum!$N:$N,MATCH(RIGHT($B417,13)&amp;"|"&amp;$C417&amp;"|"&amp;$D417&amp;"|"&amp;AF$14&amp;"|"&amp;"CY2023Q3",Spectrum!$R:$R,0)),0),""))</f>
        <v/>
      </c>
      <c r="AG417" s="90" t="str">
        <f t="shared" si="158"/>
        <v/>
      </c>
      <c r="AH417" s="88" t="str">
        <f>IF(LEFT($B417,4)="_Mil","",_xlfn.IFNA(INDEX(Spectrum!$N:$N,MATCH(RIGHT($B417,13)&amp;"|"&amp;$C417&amp;"|"&amp;$D417&amp;"|"&amp;AH$14&amp;"|"&amp;"CY2023Q3",Spectrum!$R:$R,0)),""))</f>
        <v/>
      </c>
      <c r="AI417" s="14" t="str">
        <f>IF(LEFT($B417,4)="_Mil","",_xlfn.IFNA(ROUND(INDEX(Spectrum!$N:$N,MATCH(RIGHT($B417,13)&amp;"|"&amp;$C417&amp;"|"&amp;$D417&amp;"|"&amp;AI$14&amp;"|"&amp;"CY2023Q3",Spectrum!$R:$R,0)),0),""))</f>
        <v/>
      </c>
      <c r="AJ417" s="42">
        <f>IF(LEFT($B417,4)="_Mil","",_xlfn.IFNA(ROUND(INDEX(Spectrum!$N:$N,MATCH(RIGHT($B417,13)&amp;"|"&amp;$C417&amp;"|"&amp;$D417&amp;"|"&amp;AI$14&amp;"|"&amp;"CY2023Q3",Spectrum!$R:$R,0)),0),SUM($U417)+SUM($AI417)))</f>
        <v>0</v>
      </c>
      <c r="AK417" s="14" t="str">
        <f>IF(LEFT($B417,4)="_Mil","",_xlfn.IFNA(ROUND(INDEX(Spectrum!$N:$N,MATCH(RIGHT($B417,13)&amp;"|"&amp;$C417&amp;"|"&amp;$D417&amp;"|"&amp;AK$14&amp;"|"&amp;"CY2023Q3",Spectrum!$R:$R,0)),0),""))</f>
        <v/>
      </c>
      <c r="AL417" s="90">
        <f t="shared" si="159"/>
        <v>1588</v>
      </c>
      <c r="AM417" s="14">
        <f t="shared" si="160"/>
        <v>0</v>
      </c>
      <c r="AN417" s="14" t="str">
        <f>IF($C417="&lt;01",ROUND(INDEX(EID!$P:$P,MATCH($B417,EID!$B:$B,0))/2,0),"")</f>
        <v/>
      </c>
      <c r="AO417" s="14">
        <f t="shared" si="161"/>
        <v>0</v>
      </c>
      <c r="AP417" s="42">
        <f t="shared" si="162"/>
        <v>0</v>
      </c>
      <c r="AQ417" s="42">
        <f t="shared" si="163"/>
        <v>1370</v>
      </c>
      <c r="AR417" s="90" t="str">
        <f t="shared" si="164"/>
        <v/>
      </c>
      <c r="AS417" s="90">
        <f t="shared" si="174"/>
        <v>0.98</v>
      </c>
      <c r="AT417" s="90">
        <f t="shared" si="174"/>
        <v>0.98</v>
      </c>
      <c r="AU417" s="14">
        <f t="shared" si="165"/>
        <v>0</v>
      </c>
      <c r="AV417" s="14">
        <f>IF($C417="&lt;01",ROUND(INDEX(EID!$N:$N,MATCH($B417,EID!$B:$B,0))/2,0),IF(SUM($AT417)=0,"",ROUND((SUM($AP417)-(SUM($O417)*SUM($AS417)))/$AT417,0)))</f>
        <v>0</v>
      </c>
      <c r="AW417" s="90">
        <f t="shared" si="166"/>
        <v>1</v>
      </c>
      <c r="AX417" s="42">
        <f t="shared" si="167"/>
        <v>0</v>
      </c>
      <c r="AY417" s="116">
        <f t="shared" si="168"/>
        <v>0.7</v>
      </c>
      <c r="AZ417" s="93">
        <f>IF($C417="&lt;01",ROUND(INDEX(EID!$R:$R,MATCH($B417,EID!$B:$B,0))/2,0),ROUND(SUM($O417)+(SUM($AV417)*$AY417),0))</f>
        <v>0</v>
      </c>
      <c r="BA417" s="89">
        <f t="shared" si="169"/>
        <v>0.95</v>
      </c>
      <c r="BB417" s="9">
        <f>IF($C417="&lt;01",ROUND(INDEX(EID!$T:$T,MATCH($B417,EID!$B:$B,0))/2,0),ROUND($AZ417*$BA417,0))</f>
        <v>0</v>
      </c>
      <c r="BC417" s="93">
        <f t="shared" si="170"/>
        <v>0</v>
      </c>
      <c r="BD417" s="90">
        <f t="shared" si="171"/>
        <v>0.95</v>
      </c>
      <c r="BE417" s="42">
        <f>IF($C417="&lt;01",ROUND(INDEX(EID!$V:$V,MATCH($B417,EID!$B:$B,0))/2,0),ROUND($BD417*$BB417,0))</f>
        <v>0</v>
      </c>
      <c r="BF417" s="42">
        <f t="shared" si="172"/>
        <v>0</v>
      </c>
      <c r="BG417" s="116">
        <f t="shared" si="173"/>
        <v>0.95</v>
      </c>
      <c r="BH417" s="9">
        <f>IF($C417="&lt;01",ROUND(INDEX(EID!$L:$L,MATCH($B417,EID!$B:$B,0)),0)/2,IF(SUM($BG417)=0,"",ROUND($AX417/$BG417,0)))</f>
        <v>0</v>
      </c>
    </row>
    <row r="418" spans="1:60" x14ac:dyDescent="0.2">
      <c r="A418" t="str">
        <f>INDEX(Prioritization!$D:$D,MATCH($B418,Prioritization!$A:$A,0))</f>
        <v>1 - Scale-up: Saturation</v>
      </c>
      <c r="B418" t="s">
        <v>221</v>
      </c>
      <c r="C418" t="s">
        <v>366</v>
      </c>
      <c r="D418" t="s">
        <v>47</v>
      </c>
      <c r="E418" t="str">
        <f t="shared" si="152"/>
        <v>Zomba District [fyEoGEPERdI]|35-49|Male</v>
      </c>
      <c r="F418" s="14"/>
      <c r="G418" s="14"/>
      <c r="H418" s="14"/>
      <c r="I418" s="14"/>
      <c r="J418" s="14"/>
      <c r="K418" s="14"/>
      <c r="L418" s="14"/>
      <c r="M418" s="14"/>
      <c r="N418" s="14"/>
      <c r="O418" s="14" t="str">
        <f t="shared" si="153"/>
        <v/>
      </c>
      <c r="P418" s="14"/>
      <c r="Q418" s="14"/>
      <c r="R418" s="14" t="str">
        <f t="shared" si="154"/>
        <v/>
      </c>
      <c r="S418" s="14">
        <f>IF(LEFT($B418,4)="_Mil","",_xlfn.IFNA(ROUND(INDEX(Spectrum!$N:$N,MATCH(RIGHT($B418,13)&amp;"|"&amp;$C418&amp;"|"&amp;$D418&amp;"|"&amp;S$14&amp;"|"&amp;"CY2022Q4",Spectrum!$R:$R,0)),0),""))</f>
        <v>1755</v>
      </c>
      <c r="T418" s="42">
        <f>IF(LEFT($B418,4)="_Mil","",_xlfn.IFNA(ROUND(INDEX(Spectrum!$N:$N,MATCH(RIGHT($B418,13)&amp;"|"&amp;$C418&amp;"|"&amp;$D418&amp;"|"&amp;T$14&amp;"|"&amp;"CY2023Q3",Spectrum!$R:$R,0)),0),""))</f>
        <v>1032</v>
      </c>
      <c r="U418" s="42" t="str">
        <f>IF(LEFT($B418,4)="_Mil","",_xlfn.IFNA(ROUND(INDEX(Spectrum!$N:$N,MATCH(RIGHT($B418,13)&amp;"|"&amp;$C418&amp;"|"&amp;$D418&amp;"|"&amp;U$14&amp;"|"&amp;"CY2023Q3",Spectrum!$R:$R,0)),0),""))</f>
        <v/>
      </c>
      <c r="V418" s="14">
        <f>IF(LEFT($B418,4)="_Mil","",_xlfn.IFNA(ROUND(INDEX(Spectrum!$N:$N,MATCH(RIGHT($B418,13)&amp;"|"&amp;$C418&amp;"|"&amp;$D418&amp;"|"&amp;V$14&amp;"|"&amp;"CY2023Q3",Spectrum!$R:$R,0)),0),""))</f>
        <v>944</v>
      </c>
      <c r="W418" s="115">
        <f>IF(LEFT($B418,4)="_Mil","",_xlfn.IFNA(INDEX(Spectrum!$N:$N,MATCH(RIGHT($B418,13)&amp;"|"&amp;$C418&amp;"|"&amp;$D418&amp;"|"&amp;W$14&amp;"|"&amp;"CY2023Q3",Spectrum!$R:$R,0)),""))</f>
        <v>1565</v>
      </c>
      <c r="X418" s="42">
        <f>IF(LEFT($B418,4)="_Mil","",_xlfn.IFNA(ROUND(INDEX(Spectrum!$N:$N,MATCH(RIGHT($B418,13)&amp;"|"&amp;$C418&amp;"|"&amp;$D418&amp;"|"&amp;X$14&amp;"|"&amp;"CY2023Q3",Spectrum!$R:$R,0)),0),""))</f>
        <v>1182</v>
      </c>
      <c r="Y418" s="90" t="str">
        <f t="shared" si="155"/>
        <v/>
      </c>
      <c r="Z418" s="42">
        <f>IF(LEFT($B418,4)="_Mil","",_xlfn.IFNA(ROUND(INDEX(Spectrum!$N:$N,MATCH(RIGHT($B418,13)&amp;"|"&amp;$C418&amp;"|"&amp;$D418&amp;"|"&amp;Z$14&amp;"|"&amp;"CY2023Q3",Spectrum!$R:$R,0)),0),""))</f>
        <v>1018</v>
      </c>
      <c r="AA418" s="90">
        <f>IF(LEFT($B418,4)="_Mil","",IFERROR(1/(1/INDEX(Spectrum!$N:$N,MATCH(RIGHT($B418,13)&amp;"|"&amp;$C418&amp;"|"&amp;$D418&amp;"|"&amp;AA$14&amp;"|"&amp;"CY2023Q3",Spectrum!$R:$R,0))),IF(SUM($U418)=0,"",SUM($Z418)/$U418)))</f>
        <v>1946</v>
      </c>
      <c r="AB418" s="90">
        <f t="shared" si="156"/>
        <v>0.86125211505922161</v>
      </c>
      <c r="AC418" s="14">
        <f>IF(LEFT($B418,4)="_Mil","",_xlfn.IFNA(ROUND(INDEX(Spectrum!$N:$N,MATCH(RIGHT($B418,13)&amp;"|"&amp;$C418&amp;"|"&amp;$D418&amp;"|"&amp;AC$14&amp;"|"&amp;"CY2023Q3",Spectrum!$R:$R,0)),0),""))</f>
        <v>1804</v>
      </c>
      <c r="AD418" s="14" t="str">
        <f>IF(LEFT($B418,4)="_Mil","",_xlfn.IFNA(ROUND(INDEX(Spectrum!$N:$N,MATCH(RIGHT($B418,13)&amp;"|"&amp;$C418&amp;"|"&amp;$D418&amp;"|"&amp;AD$14&amp;"|"&amp;"CY2023Q3",Spectrum!$R:$R,0)),0),""))</f>
        <v/>
      </c>
      <c r="AE418" s="90">
        <f t="shared" si="157"/>
        <v>0</v>
      </c>
      <c r="AF418" s="42" t="str">
        <f>IF(LEFT($B418,4)="_Mil","",_xlfn.IFNA(ROUND(INDEX(Spectrum!$N:$N,MATCH(RIGHT($B418,13)&amp;"|"&amp;$C418&amp;"|"&amp;$D418&amp;"|"&amp;AF$14&amp;"|"&amp;"CY2023Q3",Spectrum!$R:$R,0)),0),""))</f>
        <v/>
      </c>
      <c r="AG418" s="90" t="str">
        <f t="shared" si="158"/>
        <v/>
      </c>
      <c r="AH418" s="88" t="str">
        <f>IF(LEFT($B418,4)="_Mil","",_xlfn.IFNA(INDEX(Spectrum!$N:$N,MATCH(RIGHT($B418,13)&amp;"|"&amp;$C418&amp;"|"&amp;$D418&amp;"|"&amp;AH$14&amp;"|"&amp;"CY2023Q3",Spectrum!$R:$R,0)),""))</f>
        <v/>
      </c>
      <c r="AI418" s="14" t="str">
        <f>IF(LEFT($B418,4)="_Mil","",_xlfn.IFNA(ROUND(INDEX(Spectrum!$N:$N,MATCH(RIGHT($B418,13)&amp;"|"&amp;$C418&amp;"|"&amp;$D418&amp;"|"&amp;AI$14&amp;"|"&amp;"CY2023Q3",Spectrum!$R:$R,0)),0),""))</f>
        <v/>
      </c>
      <c r="AJ418" s="42">
        <f>IF(LEFT($B418,4)="_Mil","",_xlfn.IFNA(ROUND(INDEX(Spectrum!$N:$N,MATCH(RIGHT($B418,13)&amp;"|"&amp;$C418&amp;"|"&amp;$D418&amp;"|"&amp;AI$14&amp;"|"&amp;"CY2023Q3",Spectrum!$R:$R,0)),0),SUM($U418)+SUM($AI418)))</f>
        <v>0</v>
      </c>
      <c r="AK418" s="14" t="str">
        <f>IF(LEFT($B418,4)="_Mil","",_xlfn.IFNA(ROUND(INDEX(Spectrum!$N:$N,MATCH(RIGHT($B418,13)&amp;"|"&amp;$C418&amp;"|"&amp;$D418&amp;"|"&amp;AK$14&amp;"|"&amp;"CY2023Q3",Spectrum!$R:$R,0)),0),""))</f>
        <v/>
      </c>
      <c r="AL418" s="90">
        <f t="shared" si="159"/>
        <v>1946</v>
      </c>
      <c r="AM418" s="14">
        <f t="shared" si="160"/>
        <v>0</v>
      </c>
      <c r="AN418" s="14" t="str">
        <f>IF($C418="&lt;01",ROUND(INDEX(EID!$P:$P,MATCH($B418,EID!$B:$B,0))/2,0),"")</f>
        <v/>
      </c>
      <c r="AO418" s="14">
        <f t="shared" si="161"/>
        <v>0</v>
      </c>
      <c r="AP418" s="42">
        <f t="shared" si="162"/>
        <v>0</v>
      </c>
      <c r="AQ418" s="42">
        <f t="shared" si="163"/>
        <v>1018</v>
      </c>
      <c r="AR418" s="90" t="str">
        <f t="shared" si="164"/>
        <v/>
      </c>
      <c r="AS418" s="90">
        <f t="shared" si="174"/>
        <v>0.98</v>
      </c>
      <c r="AT418" s="90">
        <f t="shared" si="174"/>
        <v>0.98</v>
      </c>
      <c r="AU418" s="14">
        <f t="shared" si="165"/>
        <v>0</v>
      </c>
      <c r="AV418" s="14">
        <f>IF($C418="&lt;01",ROUND(INDEX(EID!$N:$N,MATCH($B418,EID!$B:$B,0))/2,0),IF(SUM($AT418)=0,"",ROUND((SUM($AP418)-(SUM($O418)*SUM($AS418)))/$AT418,0)))</f>
        <v>0</v>
      </c>
      <c r="AW418" s="90">
        <f t="shared" si="166"/>
        <v>1</v>
      </c>
      <c r="AX418" s="42">
        <f t="shared" si="167"/>
        <v>0</v>
      </c>
      <c r="AY418" s="116">
        <f t="shared" si="168"/>
        <v>0.7</v>
      </c>
      <c r="AZ418" s="93">
        <f>IF($C418="&lt;01",ROUND(INDEX(EID!$R:$R,MATCH($B418,EID!$B:$B,0))/2,0),ROUND(SUM($O418)+(SUM($AV418)*$AY418),0))</f>
        <v>0</v>
      </c>
      <c r="BA418" s="89">
        <f t="shared" si="169"/>
        <v>0.95</v>
      </c>
      <c r="BB418" s="9">
        <f>IF($C418="&lt;01",ROUND(INDEX(EID!$T:$T,MATCH($B418,EID!$B:$B,0))/2,0),ROUND($AZ418*$BA418,0))</f>
        <v>0</v>
      </c>
      <c r="BC418" s="93">
        <f t="shared" si="170"/>
        <v>0</v>
      </c>
      <c r="BD418" s="90">
        <f t="shared" si="171"/>
        <v>0.95</v>
      </c>
      <c r="BE418" s="42">
        <f>IF($C418="&lt;01",ROUND(INDEX(EID!$V:$V,MATCH($B418,EID!$B:$B,0))/2,0),ROUND($BD418*$BB418,0))</f>
        <v>0</v>
      </c>
      <c r="BF418" s="42">
        <f t="shared" si="172"/>
        <v>0</v>
      </c>
      <c r="BG418" s="116">
        <f t="shared" si="173"/>
        <v>0.95</v>
      </c>
      <c r="BH418" s="9">
        <f>IF($C418="&lt;01",ROUND(INDEX(EID!$L:$L,MATCH($B418,EID!$B:$B,0)),0)/2,IF(SUM($BG418)=0,"",ROUND($AX418/$BG418,0)))</f>
        <v>0</v>
      </c>
    </row>
    <row r="419" spans="1:60" x14ac:dyDescent="0.2">
      <c r="A419" t="str">
        <f>INDEX(Prioritization!$D:$D,MATCH($B419,Prioritization!$A:$A,0))</f>
        <v>1 - Scale-up: Saturation</v>
      </c>
      <c r="B419" t="s">
        <v>221</v>
      </c>
      <c r="C419" t="s">
        <v>367</v>
      </c>
      <c r="D419" t="s">
        <v>29</v>
      </c>
      <c r="E419" t="str">
        <f t="shared" si="152"/>
        <v>Zomba District [fyEoGEPERdI]|50+|Female</v>
      </c>
      <c r="F419" s="14"/>
      <c r="G419" s="14"/>
      <c r="H419" s="14"/>
      <c r="I419" s="14"/>
      <c r="J419" s="14"/>
      <c r="K419" s="14"/>
      <c r="L419" s="14"/>
      <c r="M419" s="14"/>
      <c r="N419" s="14"/>
      <c r="O419" s="14" t="str">
        <f t="shared" si="153"/>
        <v/>
      </c>
      <c r="P419" s="14"/>
      <c r="Q419" s="14"/>
      <c r="R419" s="14" t="str">
        <f t="shared" si="154"/>
        <v/>
      </c>
      <c r="S419" s="14">
        <f>IF(LEFT($B419,4)="_Mil","",_xlfn.IFNA(ROUND(INDEX(Spectrum!$N:$N,MATCH(RIGHT($B419,13)&amp;"|"&amp;$C419&amp;"|"&amp;$D419&amp;"|"&amp;S$14&amp;"|"&amp;"CY2022Q4",Spectrum!$R:$R,0)),0),""))</f>
        <v>626</v>
      </c>
      <c r="T419" s="42">
        <f>IF(LEFT($B419,4)="_Mil","",_xlfn.IFNA(ROUND(INDEX(Spectrum!$N:$N,MATCH(RIGHT($B419,13)&amp;"|"&amp;$C419&amp;"|"&amp;$D419&amp;"|"&amp;T$14&amp;"|"&amp;"CY2023Q3",Spectrum!$R:$R,0)),0),""))</f>
        <v>1491</v>
      </c>
      <c r="U419" s="42" t="str">
        <f>IF(LEFT($B419,4)="_Mil","",_xlfn.IFNA(ROUND(INDEX(Spectrum!$N:$N,MATCH(RIGHT($B419,13)&amp;"|"&amp;$C419&amp;"|"&amp;$D419&amp;"|"&amp;U$14&amp;"|"&amp;"CY2023Q3",Spectrum!$R:$R,0)),0),""))</f>
        <v/>
      </c>
      <c r="V419" s="14">
        <f>IF(LEFT($B419,4)="_Mil","",_xlfn.IFNA(ROUND(INDEX(Spectrum!$N:$N,MATCH(RIGHT($B419,13)&amp;"|"&amp;$C419&amp;"|"&amp;$D419&amp;"|"&amp;V$14&amp;"|"&amp;"CY2023Q3",Spectrum!$R:$R,0)),0),""))</f>
        <v>513</v>
      </c>
      <c r="W419" s="115">
        <f>IF(LEFT($B419,4)="_Mil","",_xlfn.IFNA(INDEX(Spectrum!$N:$N,MATCH(RIGHT($B419,13)&amp;"|"&amp;$C419&amp;"|"&amp;$D419&amp;"|"&amp;W$14&amp;"|"&amp;"CY2023Q3",Spectrum!$R:$R,0)),""))</f>
        <v>1678</v>
      </c>
      <c r="X419" s="42">
        <f>IF(LEFT($B419,4)="_Mil","",_xlfn.IFNA(ROUND(INDEX(Spectrum!$N:$N,MATCH(RIGHT($B419,13)&amp;"|"&amp;$C419&amp;"|"&amp;$D419&amp;"|"&amp;X$14&amp;"|"&amp;"CY2023Q3",Spectrum!$R:$R,0)),0),""))</f>
        <v>1589</v>
      </c>
      <c r="Y419" s="90" t="str">
        <f t="shared" si="155"/>
        <v/>
      </c>
      <c r="Z419" s="42">
        <f>IF(LEFT($B419,4)="_Mil","",_xlfn.IFNA(ROUND(INDEX(Spectrum!$N:$N,MATCH(RIGHT($B419,13)&amp;"|"&amp;$C419&amp;"|"&amp;$D419&amp;"|"&amp;Z$14&amp;"|"&amp;"CY2023Q3",Spectrum!$R:$R,0)),0),""))</f>
        <v>1101</v>
      </c>
      <c r="AA419" s="90">
        <f>IF(LEFT($B419,4)="_Mil","",IFERROR(1/(1/INDEX(Spectrum!$N:$N,MATCH(RIGHT($B419,13)&amp;"|"&amp;$C419&amp;"|"&amp;$D419&amp;"|"&amp;AA$14&amp;"|"&amp;"CY2023Q3",Spectrum!$R:$R,0))),IF(SUM($U419)=0,"",SUM($Z419)/$U419)))</f>
        <v>1194</v>
      </c>
      <c r="AB419" s="90">
        <f t="shared" si="156"/>
        <v>0.69288860918816864</v>
      </c>
      <c r="AC419" s="14">
        <f>IF(LEFT($B419,4)="_Mil","",_xlfn.IFNA(ROUND(INDEX(Spectrum!$N:$N,MATCH(RIGHT($B419,13)&amp;"|"&amp;$C419&amp;"|"&amp;$D419&amp;"|"&amp;AC$14&amp;"|"&amp;"CY2023Q3",Spectrum!$R:$R,0)),0),""))</f>
        <v>1350</v>
      </c>
      <c r="AD419" s="14" t="str">
        <f>IF(LEFT($B419,4)="_Mil","",_xlfn.IFNA(ROUND(INDEX(Spectrum!$N:$N,MATCH(RIGHT($B419,13)&amp;"|"&amp;$C419&amp;"|"&amp;$D419&amp;"|"&amp;AD$14&amp;"|"&amp;"CY2023Q3",Spectrum!$R:$R,0)),0),""))</f>
        <v/>
      </c>
      <c r="AE419" s="90">
        <f t="shared" si="157"/>
        <v>0</v>
      </c>
      <c r="AF419" s="42" t="str">
        <f>IF(LEFT($B419,4)="_Mil","",_xlfn.IFNA(ROUND(INDEX(Spectrum!$N:$N,MATCH(RIGHT($B419,13)&amp;"|"&amp;$C419&amp;"|"&amp;$D419&amp;"|"&amp;AF$14&amp;"|"&amp;"CY2023Q3",Spectrum!$R:$R,0)),0),""))</f>
        <v/>
      </c>
      <c r="AG419" s="90" t="str">
        <f t="shared" si="158"/>
        <v/>
      </c>
      <c r="AH419" s="88" t="str">
        <f>IF(LEFT($B419,4)="_Mil","",_xlfn.IFNA(INDEX(Spectrum!$N:$N,MATCH(RIGHT($B419,13)&amp;"|"&amp;$C419&amp;"|"&amp;$D419&amp;"|"&amp;AH$14&amp;"|"&amp;"CY2023Q3",Spectrum!$R:$R,0)),""))</f>
        <v/>
      </c>
      <c r="AI419" s="14" t="str">
        <f>IF(LEFT($B419,4)="_Mil","",_xlfn.IFNA(ROUND(INDEX(Spectrum!$N:$N,MATCH(RIGHT($B419,13)&amp;"|"&amp;$C419&amp;"|"&amp;$D419&amp;"|"&amp;AI$14&amp;"|"&amp;"CY2023Q3",Spectrum!$R:$R,0)),0),""))</f>
        <v/>
      </c>
      <c r="AJ419" s="42">
        <f>IF(LEFT($B419,4)="_Mil","",_xlfn.IFNA(ROUND(INDEX(Spectrum!$N:$N,MATCH(RIGHT($B419,13)&amp;"|"&amp;$C419&amp;"|"&amp;$D419&amp;"|"&amp;AI$14&amp;"|"&amp;"CY2023Q3",Spectrum!$R:$R,0)),0),SUM($U419)+SUM($AI419)))</f>
        <v>0</v>
      </c>
      <c r="AK419" s="14" t="str">
        <f>IF(LEFT($B419,4)="_Mil","",_xlfn.IFNA(ROUND(INDEX(Spectrum!$N:$N,MATCH(RIGHT($B419,13)&amp;"|"&amp;$C419&amp;"|"&amp;$D419&amp;"|"&amp;AK$14&amp;"|"&amp;"CY2023Q3",Spectrum!$R:$R,0)),0),""))</f>
        <v/>
      </c>
      <c r="AL419" s="90">
        <f t="shared" si="159"/>
        <v>1194</v>
      </c>
      <c r="AM419" s="14">
        <f t="shared" si="160"/>
        <v>0</v>
      </c>
      <c r="AN419" s="14" t="str">
        <f>IF($C419="&lt;01",ROUND(INDEX(EID!$P:$P,MATCH($B419,EID!$B:$B,0))/2,0),"")</f>
        <v/>
      </c>
      <c r="AO419" s="14">
        <f t="shared" si="161"/>
        <v>0</v>
      </c>
      <c r="AP419" s="42">
        <f t="shared" si="162"/>
        <v>0</v>
      </c>
      <c r="AQ419" s="42">
        <f t="shared" si="163"/>
        <v>1101</v>
      </c>
      <c r="AR419" s="90" t="str">
        <f t="shared" si="164"/>
        <v/>
      </c>
      <c r="AS419" s="90">
        <f t="shared" si="174"/>
        <v>0.98</v>
      </c>
      <c r="AT419" s="90">
        <f t="shared" si="174"/>
        <v>0.98</v>
      </c>
      <c r="AU419" s="14">
        <f t="shared" si="165"/>
        <v>0</v>
      </c>
      <c r="AV419" s="14">
        <f>IF($C419="&lt;01",ROUND(INDEX(EID!$N:$N,MATCH($B419,EID!$B:$B,0))/2,0),IF(SUM($AT419)=0,"",ROUND((SUM($AP419)-(SUM($O419)*SUM($AS419)))/$AT419,0)))</f>
        <v>0</v>
      </c>
      <c r="AW419" s="90">
        <f t="shared" si="166"/>
        <v>1</v>
      </c>
      <c r="AX419" s="42">
        <f t="shared" si="167"/>
        <v>0</v>
      </c>
      <c r="AY419" s="116">
        <f t="shared" si="168"/>
        <v>0.7</v>
      </c>
      <c r="AZ419" s="93">
        <f>IF($C419="&lt;01",ROUND(INDEX(EID!$R:$R,MATCH($B419,EID!$B:$B,0))/2,0),ROUND(SUM($O419)+(SUM($AV419)*$AY419),0))</f>
        <v>0</v>
      </c>
      <c r="BA419" s="89">
        <f t="shared" si="169"/>
        <v>0.95</v>
      </c>
      <c r="BB419" s="9">
        <f>IF($C419="&lt;01",ROUND(INDEX(EID!$T:$T,MATCH($B419,EID!$B:$B,0))/2,0),ROUND($AZ419*$BA419,0))</f>
        <v>0</v>
      </c>
      <c r="BC419" s="93">
        <f t="shared" si="170"/>
        <v>0</v>
      </c>
      <c r="BD419" s="90">
        <f t="shared" si="171"/>
        <v>0.95</v>
      </c>
      <c r="BE419" s="42">
        <f>IF($C419="&lt;01",ROUND(INDEX(EID!$V:$V,MATCH($B419,EID!$B:$B,0))/2,0),ROUND($BD419*$BB419,0))</f>
        <v>0</v>
      </c>
      <c r="BF419" s="42">
        <f t="shared" si="172"/>
        <v>0</v>
      </c>
      <c r="BG419" s="116">
        <f t="shared" si="173"/>
        <v>0.95</v>
      </c>
      <c r="BH419" s="9">
        <f>IF($C419="&lt;01",ROUND(INDEX(EID!$L:$L,MATCH($B419,EID!$B:$B,0)),0)/2,IF(SUM($BG419)=0,"",ROUND($AX419/$BG419,0)))</f>
        <v>0</v>
      </c>
    </row>
    <row r="420" spans="1:60" x14ac:dyDescent="0.2">
      <c r="A420" t="str">
        <f>INDEX(Prioritization!$D:$D,MATCH($B420,Prioritization!$A:$A,0))</f>
        <v>1 - Scale-up: Saturation</v>
      </c>
      <c r="B420" t="s">
        <v>221</v>
      </c>
      <c r="C420" t="s">
        <v>367</v>
      </c>
      <c r="D420" t="s">
        <v>47</v>
      </c>
      <c r="E420" t="str">
        <f t="shared" si="152"/>
        <v>Zomba District [fyEoGEPERdI]|50+|Male</v>
      </c>
      <c r="F420" s="14"/>
      <c r="G420" s="14"/>
      <c r="H420" s="14"/>
      <c r="I420" s="14"/>
      <c r="J420" s="14"/>
      <c r="K420" s="14"/>
      <c r="L420" s="14"/>
      <c r="M420" s="14"/>
      <c r="N420" s="14"/>
      <c r="O420" s="14" t="str">
        <f t="shared" si="153"/>
        <v/>
      </c>
      <c r="P420" s="14"/>
      <c r="Q420" s="14"/>
      <c r="R420" s="14" t="str">
        <f t="shared" si="154"/>
        <v/>
      </c>
      <c r="S420" s="14">
        <f>IF(LEFT($B420,4)="_Mil","",_xlfn.IFNA(ROUND(INDEX(Spectrum!$N:$N,MATCH(RIGHT($B420,13)&amp;"|"&amp;$C420&amp;"|"&amp;$D420&amp;"|"&amp;S$14&amp;"|"&amp;"CY2022Q4",Spectrum!$R:$R,0)),0),""))</f>
        <v>674</v>
      </c>
      <c r="T420" s="42">
        <f>IF(LEFT($B420,4)="_Mil","",_xlfn.IFNA(ROUND(INDEX(Spectrum!$N:$N,MATCH(RIGHT($B420,13)&amp;"|"&amp;$C420&amp;"|"&amp;$D420&amp;"|"&amp;T$14&amp;"|"&amp;"CY2023Q3",Spectrum!$R:$R,0)),0),""))</f>
        <v>677</v>
      </c>
      <c r="U420" s="42" t="str">
        <f>IF(LEFT($B420,4)="_Mil","",_xlfn.IFNA(ROUND(INDEX(Spectrum!$N:$N,MATCH(RIGHT($B420,13)&amp;"|"&amp;$C420&amp;"|"&amp;$D420&amp;"|"&amp;U$14&amp;"|"&amp;"CY2023Q3",Spectrum!$R:$R,0)),0),""))</f>
        <v/>
      </c>
      <c r="V420" s="14">
        <f>IF(LEFT($B420,4)="_Mil","",_xlfn.IFNA(ROUND(INDEX(Spectrum!$N:$N,MATCH(RIGHT($B420,13)&amp;"|"&amp;$C420&amp;"|"&amp;$D420&amp;"|"&amp;V$14&amp;"|"&amp;"CY2023Q3",Spectrum!$R:$R,0)),0),""))</f>
        <v>704</v>
      </c>
      <c r="W420" s="115">
        <f>IF(LEFT($B420,4)="_Mil","",_xlfn.IFNA(INDEX(Spectrum!$N:$N,MATCH(RIGHT($B420,13)&amp;"|"&amp;$C420&amp;"|"&amp;$D420&amp;"|"&amp;W$14&amp;"|"&amp;"CY2023Q3",Spectrum!$R:$R,0)),""))</f>
        <v>1933</v>
      </c>
      <c r="X420" s="42">
        <f>IF(LEFT($B420,4)="_Mil","",_xlfn.IFNA(ROUND(INDEX(Spectrum!$N:$N,MATCH(RIGHT($B420,13)&amp;"|"&amp;$C420&amp;"|"&amp;$D420&amp;"|"&amp;X$14&amp;"|"&amp;"CY2023Q3",Spectrum!$R:$R,0)),0),""))</f>
        <v>1602</v>
      </c>
      <c r="Y420" s="90" t="str">
        <f t="shared" si="155"/>
        <v/>
      </c>
      <c r="Z420" s="42">
        <f>IF(LEFT($B420,4)="_Mil","",_xlfn.IFNA(ROUND(INDEX(Spectrum!$N:$N,MATCH(RIGHT($B420,13)&amp;"|"&amp;$C420&amp;"|"&amp;$D420&amp;"|"&amp;Z$14&amp;"|"&amp;"CY2023Q3",Spectrum!$R:$R,0)),0),""))</f>
        <v>1689</v>
      </c>
      <c r="AA420" s="90">
        <f>IF(LEFT($B420,4)="_Mil","",IFERROR(1/(1/INDEX(Spectrum!$N:$N,MATCH(RIGHT($B420,13)&amp;"|"&amp;$C420&amp;"|"&amp;$D420&amp;"|"&amp;AA$14&amp;"|"&amp;"CY2023Q3",Spectrum!$R:$R,0))),IF(SUM($U420)=0,"",SUM($Z420)/$U420)))</f>
        <v>794</v>
      </c>
      <c r="AB420" s="90">
        <f t="shared" si="156"/>
        <v>1.0543071161048689</v>
      </c>
      <c r="AC420" s="14">
        <f>IF(LEFT($B420,4)="_Mil","",_xlfn.IFNA(ROUND(INDEX(Spectrum!$N:$N,MATCH(RIGHT($B420,13)&amp;"|"&amp;$C420&amp;"|"&amp;$D420&amp;"|"&amp;AC$14&amp;"|"&amp;"CY2023Q3",Spectrum!$R:$R,0)),0),""))</f>
        <v>1906</v>
      </c>
      <c r="AD420" s="14" t="str">
        <f>IF(LEFT($B420,4)="_Mil","",_xlfn.IFNA(ROUND(INDEX(Spectrum!$N:$N,MATCH(RIGHT($B420,13)&amp;"|"&amp;$C420&amp;"|"&amp;$D420&amp;"|"&amp;AD$14&amp;"|"&amp;"CY2023Q3",Spectrum!$R:$R,0)),0),""))</f>
        <v/>
      </c>
      <c r="AE420" s="90">
        <f t="shared" si="157"/>
        <v>0</v>
      </c>
      <c r="AF420" s="42" t="str">
        <f>IF(LEFT($B420,4)="_Mil","",_xlfn.IFNA(ROUND(INDEX(Spectrum!$N:$N,MATCH(RIGHT($B420,13)&amp;"|"&amp;$C420&amp;"|"&amp;$D420&amp;"|"&amp;AF$14&amp;"|"&amp;"CY2023Q3",Spectrum!$R:$R,0)),0),""))</f>
        <v/>
      </c>
      <c r="AG420" s="90" t="str">
        <f t="shared" si="158"/>
        <v/>
      </c>
      <c r="AH420" s="88" t="str">
        <f>IF(LEFT($B420,4)="_Mil","",_xlfn.IFNA(INDEX(Spectrum!$N:$N,MATCH(RIGHT($B420,13)&amp;"|"&amp;$C420&amp;"|"&amp;$D420&amp;"|"&amp;AH$14&amp;"|"&amp;"CY2023Q3",Spectrum!$R:$R,0)),""))</f>
        <v/>
      </c>
      <c r="AI420" s="14" t="str">
        <f>IF(LEFT($B420,4)="_Mil","",_xlfn.IFNA(ROUND(INDEX(Spectrum!$N:$N,MATCH(RIGHT($B420,13)&amp;"|"&amp;$C420&amp;"|"&amp;$D420&amp;"|"&amp;AI$14&amp;"|"&amp;"CY2023Q3",Spectrum!$R:$R,0)),0),""))</f>
        <v/>
      </c>
      <c r="AJ420" s="42">
        <f>IF(LEFT($B420,4)="_Mil","",_xlfn.IFNA(ROUND(INDEX(Spectrum!$N:$N,MATCH(RIGHT($B420,13)&amp;"|"&amp;$C420&amp;"|"&amp;$D420&amp;"|"&amp;AI$14&amp;"|"&amp;"CY2023Q3",Spectrum!$R:$R,0)),0),SUM($U420)+SUM($AI420)))</f>
        <v>0</v>
      </c>
      <c r="AK420" s="14" t="str">
        <f>IF(LEFT($B420,4)="_Mil","",_xlfn.IFNA(ROUND(INDEX(Spectrum!$N:$N,MATCH(RIGHT($B420,13)&amp;"|"&amp;$C420&amp;"|"&amp;$D420&amp;"|"&amp;AK$14&amp;"|"&amp;"CY2023Q3",Spectrum!$R:$R,0)),0),""))</f>
        <v/>
      </c>
      <c r="AL420" s="90">
        <f t="shared" si="159"/>
        <v>794</v>
      </c>
      <c r="AM420" s="14">
        <f t="shared" si="160"/>
        <v>0</v>
      </c>
      <c r="AN420" s="14" t="str">
        <f>IF($C420="&lt;01",ROUND(INDEX(EID!$P:$P,MATCH($B420,EID!$B:$B,0))/2,0),"")</f>
        <v/>
      </c>
      <c r="AO420" s="14">
        <f t="shared" si="161"/>
        <v>0</v>
      </c>
      <c r="AP420" s="42">
        <f t="shared" si="162"/>
        <v>0</v>
      </c>
      <c r="AQ420" s="42">
        <f t="shared" si="163"/>
        <v>1689</v>
      </c>
      <c r="AR420" s="90" t="str">
        <f t="shared" si="164"/>
        <v/>
      </c>
      <c r="AS420" s="90">
        <f t="shared" si="174"/>
        <v>0.98</v>
      </c>
      <c r="AT420" s="90">
        <f t="shared" si="174"/>
        <v>0.98</v>
      </c>
      <c r="AU420" s="14">
        <f t="shared" si="165"/>
        <v>0</v>
      </c>
      <c r="AV420" s="14">
        <f>IF($C420="&lt;01",ROUND(INDEX(EID!$N:$N,MATCH($B420,EID!$B:$B,0))/2,0),IF(SUM($AT420)=0,"",ROUND((SUM($AP420)-(SUM($O420)*SUM($AS420)))/$AT420,0)))</f>
        <v>0</v>
      </c>
      <c r="AW420" s="90">
        <f t="shared" si="166"/>
        <v>1</v>
      </c>
      <c r="AX420" s="42">
        <f t="shared" si="167"/>
        <v>0</v>
      </c>
      <c r="AY420" s="116">
        <f t="shared" si="168"/>
        <v>0.7</v>
      </c>
      <c r="AZ420" s="93">
        <f>IF($C420="&lt;01",ROUND(INDEX(EID!$R:$R,MATCH($B420,EID!$B:$B,0))/2,0),ROUND(SUM($O420)+(SUM($AV420)*$AY420),0))</f>
        <v>0</v>
      </c>
      <c r="BA420" s="89">
        <f t="shared" si="169"/>
        <v>0.95</v>
      </c>
      <c r="BB420" s="9">
        <f>IF($C420="&lt;01",ROUND(INDEX(EID!$T:$T,MATCH($B420,EID!$B:$B,0))/2,0),ROUND($AZ420*$BA420,0))</f>
        <v>0</v>
      </c>
      <c r="BC420" s="93">
        <f t="shared" si="170"/>
        <v>0</v>
      </c>
      <c r="BD420" s="90">
        <f t="shared" si="171"/>
        <v>0.95</v>
      </c>
      <c r="BE420" s="42">
        <f>IF($C420="&lt;01",ROUND(INDEX(EID!$V:$V,MATCH($B420,EID!$B:$B,0))/2,0),ROUND($BD420*$BB420,0))</f>
        <v>0</v>
      </c>
      <c r="BF420" s="42">
        <f t="shared" si="172"/>
        <v>0</v>
      </c>
      <c r="BG420" s="116">
        <f t="shared" si="173"/>
        <v>0.95</v>
      </c>
      <c r="BH420" s="9">
        <f>IF($C420="&lt;01",ROUND(INDEX(EID!$L:$L,MATCH($B420,EID!$B:$B,0)),0)/2,IF(SUM($BG420)=0,"",ROUND($AX420/$BG420,0)))</f>
        <v>0</v>
      </c>
    </row>
    <row r="421" spans="1:60" x14ac:dyDescent="0.2">
      <c r="AY421" s="116"/>
      <c r="AZ421" s="93"/>
      <c r="BA421" s="89"/>
      <c r="BB421" s="9"/>
      <c r="BC421" s="93"/>
      <c r="BG421" s="116"/>
      <c r="BH421" s="9"/>
    </row>
    <row r="422" spans="1:60" x14ac:dyDescent="0.2">
      <c r="AY422" s="116"/>
      <c r="AZ422" s="93"/>
      <c r="BA422" s="89"/>
      <c r="BB422" s="9"/>
      <c r="BC422" s="93"/>
      <c r="BG422" s="116"/>
      <c r="BH422" s="9"/>
    </row>
    <row r="423" spans="1:60" x14ac:dyDescent="0.2">
      <c r="AY423" s="116"/>
      <c r="AZ423" s="93"/>
      <c r="BA423" s="89"/>
      <c r="BB423" s="9"/>
      <c r="BC423" s="93"/>
      <c r="BG423" s="116"/>
      <c r="BH423" s="9"/>
    </row>
    <row r="424" spans="1:60" x14ac:dyDescent="0.2">
      <c r="AY424" s="116"/>
      <c r="AZ424" s="93"/>
      <c r="BA424" s="89"/>
      <c r="BB424" s="9"/>
      <c r="BC424" s="93"/>
      <c r="BG424" s="116"/>
      <c r="BH424" s="9"/>
    </row>
    <row r="425" spans="1:60" x14ac:dyDescent="0.2">
      <c r="AY425" s="116"/>
      <c r="AZ425" s="93"/>
      <c r="BA425" s="89"/>
      <c r="BB425" s="9"/>
      <c r="BC425" s="93"/>
      <c r="BG425" s="116"/>
      <c r="BH425" s="9"/>
    </row>
    <row r="426" spans="1:60" x14ac:dyDescent="0.2">
      <c r="AY426" s="116"/>
      <c r="AZ426" s="93"/>
      <c r="BA426" s="89"/>
      <c r="BB426" s="9"/>
      <c r="BC426" s="93"/>
      <c r="BG426" s="116"/>
      <c r="BH426" s="9"/>
    </row>
    <row r="427" spans="1:60" x14ac:dyDescent="0.2">
      <c r="AY427" s="116"/>
      <c r="AZ427" s="93"/>
      <c r="BA427" s="89"/>
      <c r="BB427" s="9"/>
      <c r="BC427" s="93"/>
      <c r="BG427" s="116"/>
      <c r="BH427" s="9"/>
    </row>
    <row r="428" spans="1:60" x14ac:dyDescent="0.2">
      <c r="AY428" s="116"/>
      <c r="AZ428" s="93"/>
      <c r="BA428" s="89"/>
      <c r="BB428" s="9"/>
      <c r="BC428" s="93"/>
      <c r="BG428" s="116"/>
      <c r="BH428" s="9"/>
    </row>
    <row r="429" spans="1:60" x14ac:dyDescent="0.2">
      <c r="AY429" s="116"/>
      <c r="AZ429" s="93"/>
      <c r="BA429" s="89"/>
      <c r="BB429" s="9"/>
      <c r="BC429" s="93"/>
      <c r="BG429" s="116"/>
      <c r="BH429" s="9"/>
    </row>
    <row r="430" spans="1:60" x14ac:dyDescent="0.2">
      <c r="AY430" s="116"/>
      <c r="AZ430" s="93"/>
      <c r="BA430" s="89"/>
      <c r="BB430" s="9"/>
      <c r="BC430" s="93"/>
      <c r="BG430" s="116"/>
      <c r="BH430" s="9"/>
    </row>
    <row r="431" spans="1:60" x14ac:dyDescent="0.2">
      <c r="AY431" s="116"/>
      <c r="AZ431" s="93"/>
      <c r="BA431" s="89"/>
      <c r="BB431" s="9"/>
      <c r="BC431" s="93"/>
      <c r="BG431" s="116"/>
      <c r="BH431" s="9"/>
    </row>
    <row r="432" spans="1:60" x14ac:dyDescent="0.2">
      <c r="AY432" s="116"/>
      <c r="AZ432" s="93"/>
      <c r="BA432" s="89"/>
      <c r="BB432" s="9"/>
      <c r="BC432" s="93"/>
      <c r="BG432" s="116"/>
      <c r="BH432" s="9"/>
    </row>
    <row r="433" spans="51:60" x14ac:dyDescent="0.2">
      <c r="AY433" s="116"/>
      <c r="AZ433" s="93"/>
      <c r="BA433" s="89"/>
      <c r="BB433" s="9"/>
      <c r="BC433" s="93"/>
      <c r="BG433" s="116"/>
      <c r="BH433" s="9"/>
    </row>
    <row r="434" spans="51:60" x14ac:dyDescent="0.2">
      <c r="AY434" s="116"/>
      <c r="AZ434" s="93"/>
      <c r="BA434" s="89"/>
      <c r="BB434" s="9"/>
      <c r="BC434" s="93"/>
      <c r="BG434" s="116"/>
      <c r="BH434" s="9"/>
    </row>
    <row r="435" spans="51:60" x14ac:dyDescent="0.2">
      <c r="AY435" s="116"/>
      <c r="AZ435" s="93"/>
      <c r="BA435" s="89"/>
      <c r="BB435" s="9"/>
      <c r="BC435" s="93"/>
      <c r="BG435" s="116"/>
      <c r="BH435" s="9"/>
    </row>
    <row r="436" spans="51:60" x14ac:dyDescent="0.2">
      <c r="AY436" s="116"/>
      <c r="AZ436" s="93"/>
      <c r="BA436" s="89"/>
      <c r="BB436" s="9"/>
      <c r="BC436" s="93"/>
      <c r="BG436" s="116"/>
      <c r="BH436" s="9"/>
    </row>
    <row r="437" spans="51:60" x14ac:dyDescent="0.2">
      <c r="AY437" s="116"/>
      <c r="AZ437" s="93"/>
      <c r="BA437" s="89"/>
      <c r="BB437" s="9"/>
      <c r="BC437" s="93"/>
      <c r="BG437" s="116"/>
      <c r="BH437" s="9"/>
    </row>
    <row r="438" spans="51:60" x14ac:dyDescent="0.2">
      <c r="AY438" s="116"/>
      <c r="AZ438" s="93"/>
      <c r="BA438" s="89"/>
      <c r="BB438" s="9"/>
      <c r="BC438" s="93"/>
      <c r="BG438" s="116"/>
      <c r="BH438" s="9"/>
    </row>
    <row r="439" spans="51:60" x14ac:dyDescent="0.2">
      <c r="AY439" s="116"/>
      <c r="AZ439" s="93"/>
      <c r="BA439" s="89"/>
      <c r="BB439" s="9"/>
      <c r="BC439" s="93"/>
      <c r="BG439" s="116"/>
      <c r="BH439" s="9"/>
    </row>
    <row r="440" spans="51:60" x14ac:dyDescent="0.2">
      <c r="AY440" s="116"/>
      <c r="AZ440" s="93"/>
      <c r="BA440" s="89"/>
      <c r="BB440" s="9"/>
      <c r="BC440" s="93"/>
      <c r="BG440" s="116"/>
      <c r="BH440" s="9"/>
    </row>
    <row r="441" spans="51:60" x14ac:dyDescent="0.2">
      <c r="AY441" s="116"/>
      <c r="AZ441" s="93"/>
      <c r="BA441" s="89"/>
      <c r="BB441" s="9"/>
      <c r="BC441" s="93"/>
      <c r="BG441" s="116"/>
      <c r="BH441" s="9"/>
    </row>
    <row r="442" spans="51:60" x14ac:dyDescent="0.2">
      <c r="AY442" s="116"/>
      <c r="AZ442" s="93"/>
      <c r="BA442" s="89"/>
      <c r="BB442" s="9"/>
      <c r="BC442" s="93"/>
      <c r="BG442" s="116"/>
      <c r="BH442" s="9"/>
    </row>
    <row r="443" spans="51:60" x14ac:dyDescent="0.2">
      <c r="AY443" s="116"/>
      <c r="AZ443" s="93"/>
      <c r="BA443" s="89"/>
      <c r="BB443" s="9"/>
      <c r="BC443" s="93"/>
      <c r="BG443" s="116"/>
      <c r="BH443" s="9"/>
    </row>
    <row r="444" spans="51:60" x14ac:dyDescent="0.2">
      <c r="AY444" s="116"/>
      <c r="AZ444" s="93"/>
      <c r="BA444" s="89"/>
      <c r="BB444" s="9"/>
      <c r="BC444" s="93"/>
      <c r="BG444" s="116"/>
      <c r="BH444" s="9"/>
    </row>
    <row r="445" spans="51:60" x14ac:dyDescent="0.2">
      <c r="AY445" s="116"/>
      <c r="AZ445" s="93"/>
      <c r="BA445" s="89"/>
      <c r="BB445" s="9"/>
      <c r="BC445" s="93"/>
      <c r="BG445" s="116"/>
      <c r="BH445" s="9"/>
    </row>
    <row r="446" spans="51:60" x14ac:dyDescent="0.2">
      <c r="AY446" s="116"/>
      <c r="AZ446" s="93"/>
      <c r="BA446" s="89"/>
      <c r="BB446" s="9"/>
      <c r="BC446" s="93"/>
      <c r="BG446" s="116"/>
      <c r="BH446" s="9"/>
    </row>
    <row r="447" spans="51:60" x14ac:dyDescent="0.2">
      <c r="AY447" s="116"/>
      <c r="AZ447" s="93"/>
      <c r="BA447" s="89"/>
      <c r="BB447" s="9"/>
      <c r="BC447" s="93"/>
      <c r="BG447" s="116"/>
      <c r="BH447" s="9"/>
    </row>
    <row r="448" spans="51:60" x14ac:dyDescent="0.2">
      <c r="AY448" s="116"/>
      <c r="AZ448" s="93"/>
      <c r="BA448" s="89"/>
      <c r="BB448" s="9"/>
      <c r="BC448" s="93"/>
      <c r="BG448" s="116"/>
      <c r="BH448" s="9"/>
    </row>
    <row r="449" spans="51:60" x14ac:dyDescent="0.2">
      <c r="AY449" s="116"/>
      <c r="AZ449" s="93"/>
      <c r="BA449" s="89"/>
      <c r="BB449" s="9"/>
      <c r="BC449" s="93"/>
      <c r="BG449" s="116"/>
      <c r="BH449" s="9"/>
    </row>
    <row r="450" spans="51:60" x14ac:dyDescent="0.2">
      <c r="AY450" s="116"/>
      <c r="AZ450" s="93"/>
      <c r="BA450" s="89"/>
      <c r="BB450" s="9"/>
      <c r="BC450" s="93"/>
      <c r="BG450" s="116"/>
      <c r="BH450" s="9"/>
    </row>
    <row r="451" spans="51:60" x14ac:dyDescent="0.2">
      <c r="AY451" s="116"/>
      <c r="AZ451" s="93"/>
      <c r="BA451" s="89"/>
      <c r="BB451" s="9"/>
      <c r="BC451" s="93"/>
      <c r="BG451" s="116"/>
      <c r="BH451" s="9"/>
    </row>
    <row r="452" spans="51:60" x14ac:dyDescent="0.2">
      <c r="AY452" s="116"/>
      <c r="AZ452" s="93"/>
      <c r="BA452" s="89"/>
      <c r="BB452" s="9"/>
      <c r="BC452" s="93"/>
      <c r="BG452" s="116"/>
      <c r="BH452" s="9"/>
    </row>
    <row r="453" spans="51:60" x14ac:dyDescent="0.2">
      <c r="AY453" s="116"/>
      <c r="AZ453" s="93"/>
      <c r="BA453" s="89"/>
      <c r="BB453" s="9"/>
      <c r="BC453" s="93"/>
      <c r="BG453" s="116"/>
      <c r="BH453" s="9"/>
    </row>
    <row r="454" spans="51:60" x14ac:dyDescent="0.2">
      <c r="AY454" s="116"/>
      <c r="AZ454" s="93"/>
      <c r="BA454" s="89"/>
      <c r="BB454" s="9"/>
      <c r="BC454" s="93"/>
      <c r="BG454" s="116"/>
      <c r="BH454" s="9"/>
    </row>
    <row r="455" spans="51:60" x14ac:dyDescent="0.2">
      <c r="AY455" s="116"/>
      <c r="AZ455" s="93"/>
      <c r="BA455" s="89"/>
      <c r="BB455" s="9"/>
      <c r="BC455" s="93"/>
      <c r="BG455" s="116"/>
      <c r="BH455" s="9"/>
    </row>
    <row r="456" spans="51:60" x14ac:dyDescent="0.2">
      <c r="AY456" s="116"/>
      <c r="AZ456" s="93"/>
      <c r="BA456" s="89"/>
      <c r="BB456" s="9"/>
      <c r="BC456" s="93"/>
      <c r="BG456" s="116"/>
      <c r="BH456" s="9"/>
    </row>
    <row r="457" spans="51:60" x14ac:dyDescent="0.2">
      <c r="AY457" s="116"/>
      <c r="AZ457" s="93"/>
      <c r="BA457" s="89"/>
      <c r="BB457" s="9"/>
      <c r="BC457" s="93"/>
      <c r="BG457" s="116"/>
      <c r="BH457" s="9"/>
    </row>
    <row r="458" spans="51:60" x14ac:dyDescent="0.2">
      <c r="AY458" s="116"/>
      <c r="AZ458" s="93"/>
      <c r="BA458" s="89"/>
      <c r="BB458" s="9"/>
      <c r="BC458" s="93"/>
      <c r="BG458" s="116"/>
      <c r="BH458" s="9"/>
    </row>
    <row r="459" spans="51:60" x14ac:dyDescent="0.2">
      <c r="AY459" s="116"/>
      <c r="AZ459" s="93"/>
      <c r="BA459" s="89"/>
      <c r="BB459" s="9"/>
      <c r="BC459" s="93"/>
      <c r="BG459" s="116"/>
      <c r="BH459" s="9"/>
    </row>
    <row r="460" spans="51:60" x14ac:dyDescent="0.2">
      <c r="AY460" s="116"/>
      <c r="AZ460" s="93"/>
      <c r="BA460" s="89"/>
      <c r="BB460" s="9"/>
      <c r="BC460" s="93"/>
      <c r="BG460" s="116"/>
      <c r="BH460" s="9"/>
    </row>
    <row r="461" spans="51:60" x14ac:dyDescent="0.2">
      <c r="AY461" s="116"/>
      <c r="AZ461" s="93"/>
      <c r="BA461" s="89"/>
      <c r="BB461" s="9"/>
      <c r="BC461" s="93"/>
      <c r="BG461" s="116"/>
      <c r="BH461" s="9"/>
    </row>
    <row r="462" spans="51:60" x14ac:dyDescent="0.2">
      <c r="AY462" s="116"/>
      <c r="AZ462" s="93"/>
      <c r="BA462" s="89"/>
      <c r="BB462" s="9"/>
      <c r="BC462" s="93"/>
      <c r="BG462" s="116"/>
      <c r="BH462" s="9"/>
    </row>
    <row r="463" spans="51:60" x14ac:dyDescent="0.2">
      <c r="AY463" s="116"/>
      <c r="AZ463" s="93"/>
      <c r="BA463" s="89"/>
      <c r="BB463" s="9"/>
      <c r="BC463" s="93"/>
      <c r="BG463" s="116"/>
      <c r="BH463" s="9"/>
    </row>
    <row r="464" spans="51:60" x14ac:dyDescent="0.2">
      <c r="AY464" s="116"/>
      <c r="AZ464" s="93"/>
      <c r="BA464" s="89"/>
      <c r="BB464" s="9"/>
      <c r="BC464" s="93"/>
      <c r="BG464" s="116"/>
      <c r="BH464" s="9"/>
    </row>
    <row r="465" spans="51:60" x14ac:dyDescent="0.2">
      <c r="AY465" s="116"/>
      <c r="AZ465" s="93"/>
      <c r="BA465" s="89"/>
      <c r="BB465" s="9"/>
      <c r="BC465" s="93"/>
      <c r="BG465" s="116"/>
      <c r="BH465" s="9"/>
    </row>
    <row r="466" spans="51:60" x14ac:dyDescent="0.2">
      <c r="AY466" s="116"/>
      <c r="AZ466" s="93"/>
      <c r="BA466" s="89"/>
      <c r="BB466" s="9"/>
      <c r="BC466" s="93"/>
      <c r="BG466" s="116"/>
      <c r="BH466" s="9"/>
    </row>
    <row r="467" spans="51:60" x14ac:dyDescent="0.2">
      <c r="AY467" s="116"/>
      <c r="AZ467" s="93"/>
      <c r="BA467" s="89"/>
      <c r="BB467" s="9"/>
      <c r="BC467" s="93"/>
      <c r="BG467" s="116"/>
      <c r="BH467" s="9"/>
    </row>
    <row r="468" spans="51:60" x14ac:dyDescent="0.2">
      <c r="AY468" s="116"/>
      <c r="AZ468" s="93"/>
      <c r="BA468" s="89"/>
      <c r="BB468" s="9"/>
      <c r="BC468" s="93"/>
      <c r="BG468" s="116"/>
      <c r="BH468" s="9"/>
    </row>
    <row r="469" spans="51:60" x14ac:dyDescent="0.2">
      <c r="AY469" s="116"/>
      <c r="AZ469" s="93"/>
      <c r="BA469" s="89"/>
      <c r="BB469" s="9"/>
      <c r="BC469" s="93"/>
      <c r="BG469" s="116"/>
      <c r="BH469" s="9"/>
    </row>
    <row r="470" spans="51:60" x14ac:dyDescent="0.2">
      <c r="AY470" s="116"/>
      <c r="AZ470" s="93"/>
      <c r="BA470" s="89"/>
      <c r="BB470" s="9"/>
      <c r="BC470" s="93"/>
      <c r="BG470" s="116"/>
      <c r="BH470" s="9"/>
    </row>
    <row r="471" spans="51:60" x14ac:dyDescent="0.2">
      <c r="AY471" s="116"/>
      <c r="AZ471" s="93"/>
      <c r="BA471" s="89"/>
      <c r="BB471" s="9"/>
      <c r="BC471" s="93"/>
      <c r="BG471" s="116"/>
      <c r="BH471" s="9"/>
    </row>
    <row r="472" spans="51:60" x14ac:dyDescent="0.2">
      <c r="AY472" s="116"/>
      <c r="AZ472" s="93"/>
      <c r="BA472" s="89"/>
      <c r="BB472" s="9"/>
      <c r="BC472" s="93"/>
      <c r="BG472" s="116"/>
      <c r="BH472" s="9"/>
    </row>
    <row r="473" spans="51:60" x14ac:dyDescent="0.2">
      <c r="AY473" s="116"/>
      <c r="AZ473" s="93"/>
      <c r="BA473" s="89"/>
      <c r="BB473" s="9"/>
      <c r="BC473" s="93"/>
      <c r="BG473" s="116"/>
      <c r="BH473" s="9"/>
    </row>
    <row r="474" spans="51:60" x14ac:dyDescent="0.2">
      <c r="AY474" s="116"/>
      <c r="AZ474" s="93"/>
      <c r="BA474" s="89"/>
      <c r="BB474" s="9"/>
      <c r="BC474" s="93"/>
      <c r="BG474" s="116"/>
      <c r="BH474" s="9"/>
    </row>
    <row r="475" spans="51:60" x14ac:dyDescent="0.2">
      <c r="AY475" s="116"/>
      <c r="AZ475" s="93"/>
      <c r="BA475" s="89"/>
      <c r="BB475" s="9"/>
      <c r="BC475" s="93"/>
      <c r="BG475" s="116"/>
      <c r="BH475" s="9"/>
    </row>
    <row r="476" spans="51:60" x14ac:dyDescent="0.2">
      <c r="AY476" s="116"/>
      <c r="AZ476" s="93"/>
      <c r="BA476" s="89"/>
      <c r="BB476" s="9"/>
      <c r="BC476" s="93"/>
      <c r="BG476" s="116"/>
      <c r="BH476" s="9"/>
    </row>
    <row r="477" spans="51:60" x14ac:dyDescent="0.2">
      <c r="AY477" s="116"/>
      <c r="AZ477" s="93"/>
      <c r="BA477" s="89"/>
      <c r="BB477" s="9"/>
      <c r="BC477" s="93"/>
      <c r="BG477" s="116"/>
      <c r="BH477" s="9"/>
    </row>
    <row r="478" spans="51:60" x14ac:dyDescent="0.2">
      <c r="AY478" s="116"/>
      <c r="AZ478" s="93"/>
      <c r="BA478" s="89"/>
      <c r="BB478" s="9"/>
      <c r="BC478" s="93"/>
      <c r="BG478" s="116"/>
      <c r="BH478" s="9"/>
    </row>
    <row r="479" spans="51:60" x14ac:dyDescent="0.2">
      <c r="AY479" s="116"/>
      <c r="AZ479" s="93"/>
      <c r="BA479" s="89"/>
      <c r="BB479" s="9"/>
      <c r="BC479" s="93"/>
      <c r="BG479" s="116"/>
      <c r="BH479" s="9"/>
    </row>
    <row r="480" spans="51:60" x14ac:dyDescent="0.2">
      <c r="AY480" s="116"/>
      <c r="AZ480" s="93"/>
      <c r="BA480" s="89"/>
      <c r="BB480" s="9"/>
      <c r="BC480" s="93"/>
      <c r="BG480" s="116"/>
      <c r="BH480" s="9"/>
    </row>
    <row r="481" spans="51:60" x14ac:dyDescent="0.2">
      <c r="AY481" s="116"/>
      <c r="AZ481" s="93"/>
      <c r="BA481" s="89"/>
      <c r="BB481" s="9"/>
      <c r="BC481" s="93"/>
      <c r="BG481" s="116"/>
      <c r="BH481" s="9"/>
    </row>
    <row r="482" spans="51:60" x14ac:dyDescent="0.2">
      <c r="AY482" s="116"/>
      <c r="AZ482" s="93"/>
      <c r="BA482" s="89"/>
      <c r="BB482" s="9"/>
      <c r="BC482" s="93"/>
      <c r="BG482" s="116"/>
      <c r="BH482" s="9"/>
    </row>
    <row r="483" spans="51:60" x14ac:dyDescent="0.2">
      <c r="AY483" s="116"/>
      <c r="AZ483" s="93"/>
      <c r="BA483" s="89"/>
      <c r="BB483" s="9"/>
      <c r="BC483" s="93"/>
      <c r="BG483" s="116"/>
      <c r="BH483" s="9"/>
    </row>
    <row r="484" spans="51:60" x14ac:dyDescent="0.2">
      <c r="AY484" s="116"/>
      <c r="AZ484" s="93"/>
      <c r="BA484" s="89"/>
      <c r="BB484" s="9"/>
      <c r="BC484" s="93"/>
      <c r="BG484" s="116"/>
      <c r="BH484" s="9"/>
    </row>
    <row r="485" spans="51:60" x14ac:dyDescent="0.2">
      <c r="AY485" s="116"/>
      <c r="AZ485" s="93"/>
      <c r="BA485" s="89"/>
      <c r="BB485" s="9"/>
      <c r="BC485" s="93"/>
      <c r="BG485" s="116"/>
      <c r="BH485" s="9"/>
    </row>
    <row r="486" spans="51:60" x14ac:dyDescent="0.2">
      <c r="AY486" s="116"/>
      <c r="AZ486" s="93"/>
      <c r="BA486" s="89"/>
      <c r="BB486" s="9"/>
      <c r="BC486" s="93"/>
      <c r="BG486" s="116"/>
      <c r="BH486" s="9"/>
    </row>
    <row r="487" spans="51:60" x14ac:dyDescent="0.2">
      <c r="AY487" s="116"/>
      <c r="AZ487" s="93"/>
      <c r="BA487" s="89"/>
      <c r="BB487" s="9"/>
      <c r="BC487" s="93"/>
      <c r="BG487" s="116"/>
      <c r="BH487" s="9"/>
    </row>
    <row r="488" spans="51:60" x14ac:dyDescent="0.2">
      <c r="AY488" s="116"/>
      <c r="AZ488" s="93"/>
      <c r="BA488" s="89"/>
      <c r="BB488" s="9"/>
      <c r="BC488" s="93"/>
      <c r="BG488" s="116"/>
      <c r="BH488" s="9"/>
    </row>
    <row r="489" spans="51:60" x14ac:dyDescent="0.2">
      <c r="AY489" s="116"/>
      <c r="AZ489" s="93"/>
      <c r="BA489" s="89"/>
      <c r="BB489" s="9"/>
      <c r="BC489" s="93"/>
      <c r="BG489" s="116"/>
      <c r="BH489" s="9"/>
    </row>
    <row r="490" spans="51:60" x14ac:dyDescent="0.2">
      <c r="AY490" s="116"/>
      <c r="AZ490" s="93"/>
      <c r="BA490" s="89"/>
      <c r="BB490" s="9"/>
      <c r="BC490" s="93"/>
      <c r="BG490" s="116"/>
      <c r="BH490" s="9"/>
    </row>
    <row r="491" spans="51:60" x14ac:dyDescent="0.2">
      <c r="AY491" s="116"/>
      <c r="AZ491" s="93"/>
      <c r="BA491" s="89"/>
      <c r="BB491" s="9"/>
      <c r="BC491" s="93"/>
      <c r="BG491" s="116"/>
      <c r="BH491" s="9"/>
    </row>
    <row r="492" spans="51:60" x14ac:dyDescent="0.2">
      <c r="AY492" s="116"/>
      <c r="AZ492" s="93"/>
      <c r="BA492" s="89"/>
      <c r="BB492" s="9"/>
      <c r="BC492" s="93"/>
      <c r="BG492" s="116"/>
      <c r="BH492" s="9"/>
    </row>
    <row r="493" spans="51:60" x14ac:dyDescent="0.2">
      <c r="AY493" s="116"/>
      <c r="AZ493" s="93"/>
      <c r="BA493" s="89"/>
      <c r="BB493" s="9"/>
      <c r="BC493" s="93"/>
      <c r="BG493" s="116"/>
      <c r="BH493" s="9"/>
    </row>
    <row r="494" spans="51:60" x14ac:dyDescent="0.2">
      <c r="AY494" s="116"/>
      <c r="AZ494" s="93"/>
      <c r="BA494" s="89"/>
      <c r="BB494" s="9"/>
      <c r="BC494" s="93"/>
      <c r="BG494" s="116"/>
      <c r="BH494" s="9"/>
    </row>
    <row r="495" spans="51:60" x14ac:dyDescent="0.2">
      <c r="AY495" s="116"/>
      <c r="AZ495" s="93"/>
      <c r="BA495" s="89"/>
      <c r="BB495" s="9"/>
      <c r="BC495" s="93"/>
      <c r="BG495" s="116"/>
      <c r="BH495" s="9"/>
    </row>
    <row r="496" spans="51:60" x14ac:dyDescent="0.2">
      <c r="AY496" s="116"/>
      <c r="AZ496" s="93"/>
      <c r="BA496" s="89"/>
      <c r="BB496" s="9"/>
      <c r="BC496" s="93"/>
      <c r="BG496" s="116"/>
      <c r="BH496" s="9"/>
    </row>
    <row r="497" spans="51:60" x14ac:dyDescent="0.2">
      <c r="AY497" s="116"/>
      <c r="AZ497" s="93"/>
      <c r="BA497" s="89"/>
      <c r="BB497" s="9"/>
      <c r="BC497" s="93"/>
      <c r="BG497" s="116"/>
      <c r="BH497" s="9"/>
    </row>
    <row r="498" spans="51:60" x14ac:dyDescent="0.2">
      <c r="AY498" s="116"/>
      <c r="AZ498" s="93"/>
      <c r="BA498" s="89"/>
      <c r="BB498" s="9"/>
      <c r="BC498" s="93"/>
      <c r="BG498" s="116"/>
      <c r="BH498" s="9"/>
    </row>
    <row r="499" spans="51:60" x14ac:dyDescent="0.2">
      <c r="AY499" s="116"/>
      <c r="AZ499" s="93"/>
      <c r="BA499" s="89"/>
      <c r="BB499" s="9"/>
      <c r="BC499" s="93"/>
      <c r="BG499" s="116"/>
      <c r="BH499" s="9"/>
    </row>
    <row r="500" spans="51:60" x14ac:dyDescent="0.2">
      <c r="AY500" s="116"/>
      <c r="AZ500" s="93"/>
      <c r="BA500" s="89"/>
      <c r="BB500" s="9"/>
      <c r="BC500" s="93"/>
      <c r="BG500" s="116"/>
      <c r="BH500" s="9"/>
    </row>
    <row r="501" spans="51:60" x14ac:dyDescent="0.2">
      <c r="AY501" s="116"/>
      <c r="AZ501" s="93"/>
      <c r="BA501" s="89"/>
      <c r="BB501" s="9"/>
      <c r="BC501" s="93"/>
      <c r="BG501" s="116"/>
      <c r="BH501" s="9"/>
    </row>
    <row r="502" spans="51:60" x14ac:dyDescent="0.2">
      <c r="AY502" s="116"/>
      <c r="AZ502" s="93"/>
      <c r="BA502" s="89"/>
      <c r="BB502" s="9"/>
      <c r="BC502" s="93"/>
      <c r="BG502" s="116"/>
      <c r="BH502" s="9"/>
    </row>
    <row r="503" spans="51:60" x14ac:dyDescent="0.2">
      <c r="AY503" s="116"/>
      <c r="AZ503" s="93"/>
      <c r="BA503" s="89"/>
      <c r="BB503" s="9"/>
      <c r="BC503" s="93"/>
      <c r="BG503" s="116"/>
      <c r="BH503" s="9"/>
    </row>
    <row r="504" spans="51:60" x14ac:dyDescent="0.2">
      <c r="AY504" s="116"/>
      <c r="AZ504" s="93"/>
      <c r="BA504" s="89"/>
      <c r="BB504" s="9"/>
      <c r="BC504" s="93"/>
      <c r="BG504" s="116"/>
      <c r="BH504" s="9"/>
    </row>
    <row r="505" spans="51:60" x14ac:dyDescent="0.2">
      <c r="AY505" s="116"/>
      <c r="AZ505" s="93"/>
      <c r="BA505" s="89"/>
      <c r="BB505" s="9"/>
      <c r="BC505" s="93"/>
      <c r="BG505" s="116"/>
      <c r="BH505" s="9"/>
    </row>
    <row r="506" spans="51:60" x14ac:dyDescent="0.2">
      <c r="AY506" s="116"/>
      <c r="AZ506" s="93"/>
      <c r="BA506" s="89"/>
      <c r="BB506" s="9"/>
      <c r="BC506" s="93"/>
      <c r="BG506" s="116"/>
      <c r="BH506" s="9"/>
    </row>
    <row r="507" spans="51:60" x14ac:dyDescent="0.2">
      <c r="AY507" s="116"/>
      <c r="AZ507" s="93"/>
      <c r="BA507" s="89"/>
      <c r="BB507" s="9"/>
      <c r="BC507" s="93"/>
      <c r="BG507" s="116"/>
      <c r="BH507" s="9"/>
    </row>
    <row r="508" spans="51:60" x14ac:dyDescent="0.2">
      <c r="AY508" s="116"/>
      <c r="AZ508" s="93"/>
      <c r="BA508" s="89"/>
      <c r="BB508" s="9"/>
      <c r="BC508" s="93"/>
      <c r="BG508" s="116"/>
      <c r="BH508" s="9"/>
    </row>
    <row r="509" spans="51:60" x14ac:dyDescent="0.2">
      <c r="AY509" s="116"/>
      <c r="AZ509" s="93"/>
      <c r="BA509" s="89"/>
      <c r="BB509" s="9"/>
      <c r="BC509" s="93"/>
      <c r="BG509" s="116"/>
      <c r="BH509" s="9"/>
    </row>
    <row r="510" spans="51:60" x14ac:dyDescent="0.2">
      <c r="AY510" s="116"/>
      <c r="AZ510" s="93"/>
      <c r="BA510" s="89"/>
      <c r="BB510" s="9"/>
      <c r="BC510" s="93"/>
      <c r="BG510" s="116"/>
      <c r="BH510" s="9"/>
    </row>
    <row r="511" spans="51:60" x14ac:dyDescent="0.2">
      <c r="AY511" s="116"/>
      <c r="AZ511" s="93"/>
      <c r="BA511" s="89"/>
      <c r="BB511" s="9"/>
      <c r="BC511" s="93"/>
      <c r="BG511" s="116"/>
      <c r="BH511" s="9"/>
    </row>
    <row r="512" spans="51:60" x14ac:dyDescent="0.2">
      <c r="AY512" s="116"/>
      <c r="AZ512" s="93"/>
      <c r="BA512" s="89"/>
      <c r="BB512" s="9"/>
      <c r="BC512" s="93"/>
      <c r="BG512" s="116"/>
      <c r="BH512" s="9"/>
    </row>
    <row r="513" spans="51:60" x14ac:dyDescent="0.2">
      <c r="AY513" s="116"/>
      <c r="AZ513" s="93"/>
      <c r="BA513" s="89"/>
      <c r="BB513" s="9"/>
      <c r="BC513" s="93"/>
      <c r="BG513" s="116"/>
      <c r="BH513" s="9"/>
    </row>
    <row r="514" spans="51:60" x14ac:dyDescent="0.2">
      <c r="AY514" s="116"/>
      <c r="AZ514" s="93"/>
      <c r="BA514" s="89"/>
      <c r="BB514" s="9"/>
      <c r="BC514" s="93"/>
      <c r="BG514" s="116"/>
      <c r="BH514" s="9"/>
    </row>
    <row r="515" spans="51:60" x14ac:dyDescent="0.2">
      <c r="AY515" s="116"/>
      <c r="AZ515" s="93"/>
      <c r="BA515" s="89"/>
      <c r="BB515" s="9"/>
      <c r="BC515" s="93"/>
      <c r="BG515" s="116"/>
      <c r="BH515" s="9"/>
    </row>
    <row r="516" spans="51:60" x14ac:dyDescent="0.2">
      <c r="AY516" s="116"/>
      <c r="AZ516" s="93"/>
      <c r="BA516" s="89"/>
      <c r="BB516" s="9"/>
      <c r="BC516" s="93"/>
      <c r="BG516" s="116"/>
      <c r="BH516" s="9"/>
    </row>
    <row r="517" spans="51:60" x14ac:dyDescent="0.2">
      <c r="AY517" s="116"/>
      <c r="AZ517" s="93"/>
      <c r="BA517" s="89"/>
      <c r="BB517" s="9"/>
      <c r="BC517" s="93"/>
      <c r="BG517" s="116"/>
      <c r="BH517" s="9"/>
    </row>
    <row r="518" spans="51:60" x14ac:dyDescent="0.2">
      <c r="AY518" s="116"/>
      <c r="AZ518" s="93"/>
      <c r="BA518" s="89"/>
      <c r="BB518" s="9"/>
      <c r="BC518" s="93"/>
      <c r="BG518" s="116"/>
      <c r="BH518" s="9"/>
    </row>
    <row r="519" spans="51:60" x14ac:dyDescent="0.2">
      <c r="AY519" s="116"/>
      <c r="AZ519" s="93"/>
      <c r="BA519" s="89"/>
      <c r="BB519" s="9"/>
      <c r="BC519" s="93"/>
      <c r="BG519" s="116"/>
      <c r="BH519" s="9"/>
    </row>
    <row r="520" spans="51:60" x14ac:dyDescent="0.2">
      <c r="AY520" s="116"/>
      <c r="AZ520" s="93"/>
      <c r="BA520" s="89"/>
      <c r="BB520" s="9"/>
      <c r="BC520" s="93"/>
      <c r="BG520" s="116"/>
      <c r="BH520" s="9"/>
    </row>
    <row r="521" spans="51:60" x14ac:dyDescent="0.2">
      <c r="AY521" s="116"/>
      <c r="AZ521" s="93"/>
      <c r="BA521" s="89"/>
      <c r="BB521" s="9"/>
      <c r="BC521" s="93"/>
      <c r="BG521" s="116"/>
      <c r="BH521" s="9"/>
    </row>
    <row r="522" spans="51:60" x14ac:dyDescent="0.2">
      <c r="AY522" s="116"/>
      <c r="AZ522" s="93"/>
      <c r="BA522" s="89"/>
      <c r="BB522" s="9"/>
      <c r="BC522" s="93"/>
      <c r="BG522" s="116"/>
      <c r="BH522" s="9"/>
    </row>
    <row r="523" spans="51:60" x14ac:dyDescent="0.2">
      <c r="AY523" s="116"/>
      <c r="AZ523" s="93"/>
      <c r="BA523" s="89"/>
      <c r="BB523" s="9"/>
      <c r="BC523" s="93"/>
      <c r="BG523" s="116"/>
      <c r="BH523" s="9"/>
    </row>
    <row r="524" spans="51:60" x14ac:dyDescent="0.2">
      <c r="AY524" s="116"/>
      <c r="AZ524" s="93"/>
      <c r="BA524" s="89"/>
      <c r="BB524" s="9"/>
      <c r="BC524" s="93"/>
      <c r="BG524" s="116"/>
      <c r="BH524" s="9"/>
    </row>
    <row r="525" spans="51:60" x14ac:dyDescent="0.2">
      <c r="AY525" s="116"/>
      <c r="AZ525" s="93"/>
      <c r="BA525" s="89"/>
      <c r="BB525" s="9"/>
      <c r="BC525" s="93"/>
      <c r="BG525" s="116"/>
      <c r="BH525" s="9"/>
    </row>
    <row r="526" spans="51:60" x14ac:dyDescent="0.2">
      <c r="AY526" s="116"/>
      <c r="AZ526" s="93"/>
      <c r="BA526" s="89"/>
      <c r="BB526" s="9"/>
      <c r="BC526" s="93"/>
      <c r="BG526" s="116"/>
      <c r="BH526" s="9"/>
    </row>
    <row r="527" spans="51:60" x14ac:dyDescent="0.2">
      <c r="AY527" s="116"/>
      <c r="AZ527" s="93"/>
      <c r="BA527" s="89"/>
      <c r="BB527" s="9"/>
      <c r="BC527" s="93"/>
      <c r="BG527" s="116"/>
      <c r="BH527" s="9"/>
    </row>
    <row r="528" spans="51:60" x14ac:dyDescent="0.2">
      <c r="AY528" s="116"/>
      <c r="AZ528" s="93"/>
      <c r="BA528" s="89"/>
      <c r="BB528" s="9"/>
      <c r="BC528" s="93"/>
      <c r="BG528" s="116"/>
      <c r="BH528" s="9"/>
    </row>
    <row r="529" spans="51:60" x14ac:dyDescent="0.2">
      <c r="AY529" s="116"/>
      <c r="AZ529" s="93"/>
      <c r="BA529" s="89"/>
      <c r="BB529" s="9"/>
      <c r="BC529" s="93"/>
      <c r="BG529" s="116"/>
      <c r="BH529" s="9"/>
    </row>
    <row r="530" spans="51:60" x14ac:dyDescent="0.2">
      <c r="AY530" s="116"/>
      <c r="AZ530" s="93"/>
      <c r="BA530" s="89"/>
      <c r="BB530" s="9"/>
      <c r="BC530" s="93"/>
      <c r="BG530" s="116"/>
      <c r="BH530" s="9"/>
    </row>
    <row r="531" spans="51:60" x14ac:dyDescent="0.2">
      <c r="AY531" s="116"/>
      <c r="AZ531" s="93"/>
      <c r="BA531" s="89"/>
      <c r="BB531" s="9"/>
      <c r="BC531" s="93"/>
      <c r="BG531" s="116"/>
      <c r="BH531" s="9"/>
    </row>
    <row r="532" spans="51:60" x14ac:dyDescent="0.2">
      <c r="AY532" s="116"/>
      <c r="AZ532" s="93"/>
      <c r="BA532" s="89"/>
      <c r="BB532" s="9"/>
      <c r="BC532" s="93"/>
      <c r="BG532" s="116"/>
      <c r="BH532" s="9"/>
    </row>
    <row r="533" spans="51:60" x14ac:dyDescent="0.2">
      <c r="AY533" s="116"/>
      <c r="AZ533" s="93"/>
      <c r="BA533" s="89"/>
      <c r="BB533" s="9"/>
      <c r="BC533" s="93"/>
      <c r="BG533" s="116"/>
      <c r="BH533" s="9"/>
    </row>
    <row r="534" spans="51:60" x14ac:dyDescent="0.2">
      <c r="AY534" s="116"/>
      <c r="AZ534" s="93"/>
      <c r="BA534" s="89"/>
      <c r="BB534" s="9"/>
      <c r="BC534" s="93"/>
      <c r="BG534" s="116"/>
      <c r="BH534" s="9"/>
    </row>
    <row r="535" spans="51:60" x14ac:dyDescent="0.2">
      <c r="AY535" s="116"/>
      <c r="AZ535" s="93"/>
      <c r="BA535" s="89"/>
      <c r="BB535" s="9"/>
      <c r="BC535" s="93"/>
      <c r="BG535" s="116"/>
      <c r="BH535" s="9"/>
    </row>
    <row r="536" spans="51:60" x14ac:dyDescent="0.2">
      <c r="AY536" s="116"/>
      <c r="AZ536" s="93"/>
      <c r="BA536" s="89"/>
      <c r="BB536" s="9"/>
      <c r="BC536" s="93"/>
      <c r="BG536" s="116"/>
      <c r="BH536" s="9"/>
    </row>
    <row r="537" spans="51:60" x14ac:dyDescent="0.2">
      <c r="AY537" s="116"/>
      <c r="AZ537" s="93"/>
      <c r="BA537" s="89"/>
      <c r="BB537" s="9"/>
      <c r="BC537" s="93"/>
      <c r="BG537" s="116"/>
      <c r="BH537" s="9"/>
    </row>
    <row r="538" spans="51:60" x14ac:dyDescent="0.2">
      <c r="AY538" s="116"/>
      <c r="AZ538" s="93"/>
      <c r="BA538" s="89"/>
      <c r="BB538" s="9"/>
      <c r="BC538" s="93"/>
      <c r="BG538" s="116"/>
      <c r="BH538" s="9"/>
    </row>
    <row r="539" spans="51:60" x14ac:dyDescent="0.2">
      <c r="AY539" s="116"/>
      <c r="AZ539" s="93"/>
      <c r="BA539" s="89"/>
      <c r="BB539" s="9"/>
      <c r="BC539" s="93"/>
      <c r="BG539" s="116"/>
      <c r="BH539" s="9"/>
    </row>
    <row r="540" spans="51:60" x14ac:dyDescent="0.2">
      <c r="AY540" s="116"/>
      <c r="AZ540" s="93"/>
      <c r="BA540" s="89"/>
      <c r="BB540" s="9"/>
      <c r="BC540" s="93"/>
      <c r="BG540" s="116"/>
      <c r="BH540" s="9"/>
    </row>
    <row r="541" spans="51:60" x14ac:dyDescent="0.2">
      <c r="AY541" s="116"/>
      <c r="AZ541" s="93"/>
      <c r="BA541" s="89"/>
      <c r="BB541" s="9"/>
      <c r="BC541" s="93"/>
      <c r="BG541" s="116"/>
      <c r="BH541" s="9"/>
    </row>
    <row r="542" spans="51:60" x14ac:dyDescent="0.2">
      <c r="AY542" s="116"/>
      <c r="AZ542" s="93"/>
      <c r="BA542" s="89"/>
      <c r="BB542" s="9"/>
      <c r="BC542" s="93"/>
      <c r="BG542" s="116"/>
      <c r="BH542" s="9"/>
    </row>
    <row r="543" spans="51:60" x14ac:dyDescent="0.2">
      <c r="AY543" s="116"/>
      <c r="AZ543" s="93"/>
      <c r="BA543" s="89"/>
      <c r="BB543" s="9"/>
      <c r="BC543" s="93"/>
      <c r="BG543" s="116"/>
      <c r="BH543" s="9"/>
    </row>
    <row r="544" spans="51:60" x14ac:dyDescent="0.2">
      <c r="AY544" s="116"/>
      <c r="AZ544" s="93"/>
      <c r="BA544" s="89"/>
      <c r="BB544" s="9"/>
      <c r="BC544" s="93"/>
      <c r="BG544" s="116"/>
      <c r="BH544" s="9"/>
    </row>
    <row r="545" spans="51:60" x14ac:dyDescent="0.2">
      <c r="AY545" s="116"/>
      <c r="AZ545" s="93"/>
      <c r="BA545" s="89"/>
      <c r="BB545" s="9"/>
      <c r="BC545" s="93"/>
      <c r="BG545" s="116"/>
      <c r="BH545" s="9"/>
    </row>
    <row r="546" spans="51:60" x14ac:dyDescent="0.2">
      <c r="AY546" s="116"/>
      <c r="AZ546" s="93"/>
      <c r="BA546" s="89"/>
      <c r="BB546" s="9"/>
      <c r="BC546" s="93"/>
      <c r="BG546" s="116"/>
      <c r="BH546" s="9"/>
    </row>
    <row r="547" spans="51:60" x14ac:dyDescent="0.2">
      <c r="AY547" s="116"/>
      <c r="AZ547" s="93"/>
      <c r="BA547" s="89"/>
      <c r="BB547" s="9"/>
      <c r="BC547" s="93"/>
      <c r="BG547" s="116"/>
      <c r="BH547" s="9"/>
    </row>
    <row r="548" spans="51:60" x14ac:dyDescent="0.2">
      <c r="AY548" s="116"/>
      <c r="AZ548" s="93"/>
      <c r="BA548" s="89"/>
      <c r="BB548" s="9"/>
      <c r="BC548" s="93"/>
      <c r="BG548" s="116"/>
      <c r="BH548" s="9"/>
    </row>
    <row r="549" spans="51:60" x14ac:dyDescent="0.2">
      <c r="AY549" s="116"/>
      <c r="AZ549" s="93"/>
      <c r="BA549" s="89"/>
      <c r="BB549" s="9"/>
      <c r="BC549" s="93"/>
      <c r="BG549" s="116"/>
      <c r="BH549" s="9"/>
    </row>
    <row r="550" spans="51:60" x14ac:dyDescent="0.2">
      <c r="AY550" s="116"/>
      <c r="AZ550" s="93"/>
      <c r="BA550" s="89"/>
      <c r="BB550" s="9"/>
      <c r="BC550" s="93"/>
      <c r="BG550" s="116"/>
      <c r="BH550" s="9"/>
    </row>
    <row r="551" spans="51:60" x14ac:dyDescent="0.2">
      <c r="AY551" s="116"/>
      <c r="AZ551" s="93"/>
      <c r="BA551" s="89"/>
      <c r="BB551" s="9"/>
      <c r="BC551" s="93"/>
      <c r="BG551" s="116"/>
      <c r="BH551" s="9"/>
    </row>
    <row r="552" spans="51:60" x14ac:dyDescent="0.2">
      <c r="AY552" s="116"/>
      <c r="AZ552" s="93"/>
      <c r="BA552" s="89"/>
      <c r="BB552" s="9"/>
      <c r="BC552" s="93"/>
      <c r="BG552" s="116"/>
      <c r="BH552" s="9"/>
    </row>
    <row r="553" spans="51:60" x14ac:dyDescent="0.2">
      <c r="AY553" s="116"/>
      <c r="AZ553" s="93"/>
      <c r="BA553" s="89"/>
      <c r="BB553" s="9"/>
      <c r="BC553" s="93"/>
      <c r="BG553" s="116"/>
      <c r="BH553" s="9"/>
    </row>
    <row r="554" spans="51:60" x14ac:dyDescent="0.2">
      <c r="AY554" s="116"/>
      <c r="AZ554" s="93"/>
      <c r="BA554" s="89"/>
      <c r="BB554" s="9"/>
      <c r="BC554" s="93"/>
      <c r="BG554" s="116"/>
      <c r="BH554" s="9"/>
    </row>
    <row r="555" spans="51:60" x14ac:dyDescent="0.2">
      <c r="AY555" s="116"/>
      <c r="AZ555" s="93"/>
      <c r="BA555" s="89"/>
      <c r="BB555" s="9"/>
      <c r="BC555" s="93"/>
      <c r="BG555" s="116"/>
      <c r="BH555" s="9"/>
    </row>
    <row r="556" spans="51:60" x14ac:dyDescent="0.2">
      <c r="AY556" s="116"/>
      <c r="AZ556" s="93"/>
      <c r="BA556" s="89"/>
      <c r="BB556" s="9"/>
      <c r="BC556" s="93"/>
      <c r="BG556" s="116"/>
      <c r="BH556" s="9"/>
    </row>
    <row r="557" spans="51:60" x14ac:dyDescent="0.2">
      <c r="AY557" s="116"/>
      <c r="AZ557" s="93"/>
      <c r="BA557" s="89"/>
      <c r="BB557" s="9"/>
      <c r="BC557" s="93"/>
      <c r="BG557" s="116"/>
      <c r="BH557" s="9"/>
    </row>
    <row r="558" spans="51:60" x14ac:dyDescent="0.2">
      <c r="AY558" s="116"/>
      <c r="AZ558" s="93"/>
      <c r="BA558" s="89"/>
      <c r="BB558" s="9"/>
      <c r="BC558" s="93"/>
      <c r="BG558" s="116"/>
      <c r="BH558" s="9"/>
    </row>
    <row r="559" spans="51:60" x14ac:dyDescent="0.2">
      <c r="AY559" s="116"/>
      <c r="AZ559" s="93"/>
      <c r="BA559" s="89"/>
      <c r="BB559" s="9"/>
      <c r="BC559" s="93"/>
      <c r="BG559" s="116"/>
      <c r="BH559" s="9"/>
    </row>
    <row r="560" spans="51:60" x14ac:dyDescent="0.2">
      <c r="AY560" s="116"/>
      <c r="AZ560" s="93"/>
      <c r="BA560" s="89"/>
      <c r="BB560" s="9"/>
      <c r="BC560" s="93"/>
      <c r="BG560" s="116"/>
      <c r="BH560" s="9"/>
    </row>
    <row r="561" spans="51:60" x14ac:dyDescent="0.2">
      <c r="AY561" s="116"/>
      <c r="AZ561" s="93"/>
      <c r="BA561" s="89"/>
      <c r="BB561" s="9"/>
      <c r="BC561" s="93"/>
      <c r="BG561" s="116"/>
      <c r="BH561" s="9"/>
    </row>
    <row r="562" spans="51:60" x14ac:dyDescent="0.2">
      <c r="AY562" s="116"/>
      <c r="AZ562" s="93"/>
      <c r="BA562" s="89"/>
      <c r="BB562" s="9"/>
      <c r="BC562" s="93"/>
      <c r="BG562" s="116"/>
      <c r="BH562" s="9"/>
    </row>
    <row r="563" spans="51:60" x14ac:dyDescent="0.2">
      <c r="AY563" s="116"/>
      <c r="AZ563" s="93"/>
      <c r="BA563" s="89"/>
      <c r="BB563" s="9"/>
      <c r="BC563" s="93"/>
      <c r="BG563" s="116"/>
      <c r="BH563" s="9"/>
    </row>
    <row r="564" spans="51:60" x14ac:dyDescent="0.2">
      <c r="AY564" s="116"/>
      <c r="AZ564" s="93"/>
      <c r="BA564" s="89"/>
      <c r="BB564" s="9"/>
      <c r="BC564" s="93"/>
      <c r="BG564" s="116"/>
      <c r="BH564" s="9"/>
    </row>
    <row r="565" spans="51:60" x14ac:dyDescent="0.2">
      <c r="AY565" s="116"/>
      <c r="AZ565" s="93"/>
      <c r="BA565" s="89"/>
      <c r="BB565" s="9"/>
      <c r="BC565" s="93"/>
      <c r="BG565" s="116"/>
      <c r="BH565" s="9"/>
    </row>
    <row r="566" spans="51:60" x14ac:dyDescent="0.2">
      <c r="AY566" s="116"/>
      <c r="AZ566" s="93"/>
      <c r="BA566" s="89"/>
      <c r="BB566" s="9"/>
      <c r="BC566" s="93"/>
      <c r="BG566" s="116"/>
      <c r="BH566" s="9"/>
    </row>
    <row r="567" spans="51:60" x14ac:dyDescent="0.2">
      <c r="AY567" s="116"/>
      <c r="AZ567" s="93"/>
      <c r="BA567" s="89"/>
      <c r="BB567" s="9"/>
      <c r="BC567" s="93"/>
      <c r="BG567" s="116"/>
      <c r="BH567" s="9"/>
    </row>
    <row r="568" spans="51:60" x14ac:dyDescent="0.2">
      <c r="AY568" s="116"/>
      <c r="AZ568" s="93"/>
      <c r="BA568" s="89"/>
      <c r="BB568" s="9"/>
      <c r="BC568" s="93"/>
      <c r="BG568" s="116"/>
      <c r="BH568" s="9"/>
    </row>
    <row r="569" spans="51:60" x14ac:dyDescent="0.2">
      <c r="AY569" s="116"/>
      <c r="AZ569" s="93"/>
      <c r="BA569" s="89"/>
      <c r="BB569" s="9"/>
      <c r="BC569" s="93"/>
      <c r="BG569" s="116"/>
      <c r="BH569" s="9"/>
    </row>
    <row r="570" spans="51:60" x14ac:dyDescent="0.2">
      <c r="AY570" s="116"/>
      <c r="AZ570" s="93"/>
      <c r="BA570" s="89"/>
      <c r="BB570" s="9"/>
      <c r="BC570" s="93"/>
      <c r="BG570" s="116"/>
      <c r="BH570" s="9"/>
    </row>
    <row r="571" spans="51:60" x14ac:dyDescent="0.2">
      <c r="AY571" s="116"/>
      <c r="AZ571" s="93"/>
      <c r="BA571" s="89"/>
      <c r="BB571" s="9"/>
      <c r="BC571" s="93"/>
      <c r="BG571" s="116"/>
      <c r="BH571" s="9"/>
    </row>
    <row r="572" spans="51:60" x14ac:dyDescent="0.2">
      <c r="AY572" s="116"/>
      <c r="AZ572" s="93"/>
      <c r="BA572" s="89"/>
      <c r="BB572" s="9"/>
      <c r="BC572" s="93"/>
      <c r="BG572" s="116"/>
      <c r="BH572" s="9"/>
    </row>
    <row r="573" spans="51:60" x14ac:dyDescent="0.2">
      <c r="AY573" s="116"/>
      <c r="AZ573" s="93"/>
      <c r="BA573" s="89"/>
      <c r="BB573" s="9"/>
      <c r="BC573" s="93"/>
      <c r="BG573" s="116"/>
      <c r="BH573" s="9"/>
    </row>
    <row r="574" spans="51:60" x14ac:dyDescent="0.2">
      <c r="AY574" s="116"/>
      <c r="AZ574" s="93"/>
      <c r="BA574" s="89"/>
      <c r="BB574" s="9"/>
      <c r="BC574" s="93"/>
      <c r="BG574" s="116"/>
      <c r="BH574" s="9"/>
    </row>
    <row r="575" spans="51:60" x14ac:dyDescent="0.2">
      <c r="AY575" s="116"/>
      <c r="AZ575" s="93"/>
      <c r="BA575" s="89"/>
      <c r="BB575" s="9"/>
      <c r="BC575" s="93"/>
      <c r="BG575" s="116"/>
      <c r="BH575" s="9"/>
    </row>
    <row r="576" spans="51:60" x14ac:dyDescent="0.2">
      <c r="AY576" s="116"/>
      <c r="AZ576" s="93"/>
      <c r="BA576" s="89"/>
      <c r="BB576" s="9"/>
      <c r="BC576" s="93"/>
      <c r="BG576" s="116"/>
      <c r="BH576" s="9"/>
    </row>
    <row r="577" spans="51:60" x14ac:dyDescent="0.2">
      <c r="AY577" s="116"/>
      <c r="AZ577" s="93"/>
      <c r="BA577" s="89"/>
      <c r="BB577" s="9"/>
      <c r="BC577" s="93"/>
      <c r="BG577" s="116"/>
      <c r="BH577" s="9"/>
    </row>
    <row r="578" spans="51:60" x14ac:dyDescent="0.2">
      <c r="AY578" s="116"/>
      <c r="AZ578" s="93"/>
      <c r="BA578" s="89"/>
      <c r="BB578" s="9"/>
      <c r="BC578" s="93"/>
      <c r="BG578" s="116"/>
      <c r="BH578" s="9"/>
    </row>
    <row r="579" spans="51:60" x14ac:dyDescent="0.2">
      <c r="AY579" s="116"/>
      <c r="AZ579" s="93"/>
      <c r="BA579" s="89"/>
      <c r="BB579" s="9"/>
      <c r="BC579" s="93"/>
      <c r="BG579" s="116"/>
      <c r="BH579" s="9"/>
    </row>
    <row r="580" spans="51:60" x14ac:dyDescent="0.2">
      <c r="AY580" s="116"/>
      <c r="AZ580" s="93"/>
      <c r="BA580" s="89"/>
      <c r="BB580" s="9"/>
      <c r="BC580" s="93"/>
      <c r="BG580" s="116"/>
      <c r="BH580" s="9"/>
    </row>
    <row r="581" spans="51:60" x14ac:dyDescent="0.2">
      <c r="AY581" s="116"/>
      <c r="AZ581" s="93"/>
      <c r="BA581" s="89"/>
      <c r="BB581" s="9"/>
      <c r="BC581" s="93"/>
      <c r="BG581" s="116"/>
      <c r="BH581" s="9"/>
    </row>
    <row r="582" spans="51:60" x14ac:dyDescent="0.2">
      <c r="AY582" s="116"/>
      <c r="AZ582" s="93"/>
      <c r="BA582" s="89"/>
      <c r="BB582" s="9"/>
      <c r="BC582" s="93"/>
      <c r="BG582" s="116"/>
      <c r="BH582" s="9"/>
    </row>
    <row r="583" spans="51:60" x14ac:dyDescent="0.2">
      <c r="AY583" s="116"/>
      <c r="AZ583" s="93"/>
      <c r="BA583" s="89"/>
      <c r="BB583" s="9"/>
      <c r="BC583" s="93"/>
      <c r="BG583" s="116"/>
      <c r="BH583" s="9"/>
    </row>
    <row r="584" spans="51:60" x14ac:dyDescent="0.2">
      <c r="AY584" s="116"/>
      <c r="AZ584" s="93"/>
      <c r="BA584" s="89"/>
      <c r="BB584" s="9"/>
      <c r="BC584" s="93"/>
      <c r="BG584" s="116"/>
      <c r="BH584" s="9"/>
    </row>
    <row r="585" spans="51:60" x14ac:dyDescent="0.2">
      <c r="AY585" s="116"/>
      <c r="AZ585" s="93"/>
      <c r="BA585" s="89"/>
      <c r="BB585" s="9"/>
      <c r="BC585" s="93"/>
      <c r="BG585" s="116"/>
      <c r="BH585" s="9"/>
    </row>
    <row r="586" spans="51:60" x14ac:dyDescent="0.2">
      <c r="AY586" s="116"/>
      <c r="AZ586" s="93"/>
      <c r="BA586" s="89"/>
      <c r="BB586" s="9"/>
      <c r="BC586" s="93"/>
      <c r="BG586" s="116"/>
      <c r="BH586" s="9"/>
    </row>
    <row r="587" spans="51:60" x14ac:dyDescent="0.2">
      <c r="AY587" s="116"/>
      <c r="AZ587" s="93"/>
      <c r="BA587" s="89"/>
      <c r="BB587" s="9"/>
      <c r="BC587" s="93"/>
      <c r="BG587" s="116"/>
      <c r="BH587" s="9"/>
    </row>
    <row r="588" spans="51:60" x14ac:dyDescent="0.2">
      <c r="AY588" s="116"/>
      <c r="AZ588" s="93"/>
      <c r="BA588" s="89"/>
      <c r="BB588" s="9"/>
      <c r="BC588" s="93"/>
      <c r="BG588" s="116"/>
      <c r="BH588" s="9"/>
    </row>
    <row r="589" spans="51:60" x14ac:dyDescent="0.2">
      <c r="AY589" s="116"/>
      <c r="AZ589" s="93"/>
      <c r="BA589" s="89"/>
      <c r="BB589" s="9"/>
      <c r="BC589" s="93"/>
      <c r="BG589" s="116"/>
      <c r="BH589" s="9"/>
    </row>
    <row r="590" spans="51:60" x14ac:dyDescent="0.2">
      <c r="AY590" s="116"/>
      <c r="AZ590" s="93"/>
      <c r="BA590" s="89"/>
      <c r="BB590" s="9"/>
      <c r="BC590" s="93"/>
      <c r="BG590" s="116"/>
      <c r="BH590" s="9"/>
    </row>
    <row r="591" spans="51:60" x14ac:dyDescent="0.2">
      <c r="AY591" s="116"/>
      <c r="AZ591" s="93"/>
      <c r="BA591" s="89"/>
      <c r="BB591" s="9"/>
      <c r="BC591" s="93"/>
      <c r="BG591" s="116"/>
      <c r="BH591" s="9"/>
    </row>
    <row r="592" spans="51:60" x14ac:dyDescent="0.2">
      <c r="AY592" s="116"/>
      <c r="AZ592" s="93"/>
      <c r="BA592" s="89"/>
      <c r="BB592" s="9"/>
      <c r="BC592" s="93"/>
      <c r="BG592" s="116"/>
      <c r="BH592" s="9"/>
    </row>
    <row r="593" spans="51:60" x14ac:dyDescent="0.2">
      <c r="AY593" s="116"/>
      <c r="AZ593" s="93"/>
      <c r="BA593" s="89"/>
      <c r="BB593" s="9"/>
      <c r="BC593" s="93"/>
      <c r="BG593" s="116"/>
      <c r="BH593" s="9"/>
    </row>
    <row r="594" spans="51:60" x14ac:dyDescent="0.2">
      <c r="AY594" s="116"/>
      <c r="AZ594" s="93"/>
      <c r="BA594" s="89"/>
      <c r="BB594" s="9"/>
      <c r="BC594" s="93"/>
      <c r="BG594" s="116"/>
      <c r="BH594" s="9"/>
    </row>
    <row r="595" spans="51:60" x14ac:dyDescent="0.2">
      <c r="AY595" s="116"/>
      <c r="AZ595" s="93"/>
      <c r="BA595" s="89"/>
      <c r="BB595" s="9"/>
      <c r="BC595" s="93"/>
      <c r="BG595" s="116"/>
      <c r="BH595" s="9"/>
    </row>
    <row r="596" spans="51:60" x14ac:dyDescent="0.2">
      <c r="AY596" s="116"/>
      <c r="AZ596" s="93"/>
      <c r="BA596" s="89"/>
      <c r="BB596" s="9"/>
      <c r="BC596" s="93"/>
      <c r="BG596" s="116"/>
      <c r="BH596" s="9"/>
    </row>
    <row r="597" spans="51:60" x14ac:dyDescent="0.2">
      <c r="AY597" s="116"/>
      <c r="AZ597" s="93"/>
      <c r="BA597" s="89"/>
      <c r="BB597" s="9"/>
      <c r="BC597" s="93"/>
      <c r="BG597" s="116"/>
      <c r="BH597" s="9"/>
    </row>
    <row r="598" spans="51:60" x14ac:dyDescent="0.2">
      <c r="AY598" s="116"/>
      <c r="AZ598" s="93"/>
      <c r="BA598" s="89"/>
      <c r="BB598" s="9"/>
      <c r="BC598" s="93"/>
      <c r="BG598" s="116"/>
      <c r="BH598" s="9"/>
    </row>
    <row r="599" spans="51:60" x14ac:dyDescent="0.2">
      <c r="AY599" s="116"/>
      <c r="AZ599" s="93"/>
      <c r="BA599" s="89"/>
      <c r="BB599" s="9"/>
      <c r="BC599" s="93"/>
      <c r="BG599" s="116"/>
      <c r="BH599" s="9"/>
    </row>
    <row r="600" spans="51:60" x14ac:dyDescent="0.2">
      <c r="AY600" s="116"/>
      <c r="AZ600" s="93"/>
      <c r="BA600" s="89"/>
      <c r="BB600" s="9"/>
      <c r="BC600" s="93"/>
      <c r="BG600" s="116"/>
      <c r="BH600" s="9"/>
    </row>
    <row r="601" spans="51:60" x14ac:dyDescent="0.2">
      <c r="AY601" s="116"/>
      <c r="AZ601" s="93"/>
      <c r="BA601" s="89"/>
      <c r="BB601" s="9"/>
      <c r="BC601" s="93"/>
      <c r="BG601" s="116"/>
      <c r="BH601" s="9"/>
    </row>
    <row r="602" spans="51:60" x14ac:dyDescent="0.2">
      <c r="AY602" s="116"/>
      <c r="AZ602" s="93"/>
      <c r="BA602" s="89"/>
      <c r="BB602" s="9"/>
      <c r="BC602" s="93"/>
      <c r="BG602" s="116"/>
      <c r="BH602" s="9"/>
    </row>
    <row r="603" spans="51:60" x14ac:dyDescent="0.2">
      <c r="AY603" s="116"/>
      <c r="AZ603" s="93"/>
      <c r="BA603" s="89"/>
      <c r="BB603" s="9"/>
      <c r="BC603" s="93"/>
      <c r="BG603" s="116"/>
      <c r="BH603" s="9"/>
    </row>
    <row r="604" spans="51:60" x14ac:dyDescent="0.2">
      <c r="AY604" s="116"/>
      <c r="AZ604" s="93"/>
      <c r="BA604" s="89"/>
      <c r="BB604" s="9"/>
      <c r="BC604" s="93"/>
      <c r="BG604" s="116"/>
      <c r="BH604" s="9"/>
    </row>
    <row r="605" spans="51:60" x14ac:dyDescent="0.2">
      <c r="AY605" s="116"/>
      <c r="AZ605" s="93"/>
      <c r="BA605" s="89"/>
      <c r="BB605" s="9"/>
      <c r="BC605" s="93"/>
      <c r="BG605" s="116"/>
      <c r="BH605" s="9"/>
    </row>
    <row r="606" spans="51:60" x14ac:dyDescent="0.2">
      <c r="AY606" s="116"/>
      <c r="AZ606" s="93"/>
      <c r="BA606" s="89"/>
      <c r="BB606" s="9"/>
      <c r="BC606" s="93"/>
      <c r="BG606" s="116"/>
      <c r="BH606" s="9"/>
    </row>
    <row r="607" spans="51:60" x14ac:dyDescent="0.2">
      <c r="AY607" s="116"/>
      <c r="AZ607" s="93"/>
      <c r="BA607" s="89"/>
      <c r="BB607" s="9"/>
      <c r="BC607" s="93"/>
      <c r="BG607" s="116"/>
      <c r="BH607" s="9"/>
    </row>
    <row r="608" spans="51:60" x14ac:dyDescent="0.2">
      <c r="AY608" s="116"/>
      <c r="AZ608" s="93"/>
      <c r="BA608" s="89"/>
      <c r="BB608" s="9"/>
      <c r="BC608" s="93"/>
      <c r="BG608" s="116"/>
      <c r="BH608" s="9"/>
    </row>
    <row r="609" spans="51:60" x14ac:dyDescent="0.2">
      <c r="AY609" s="116"/>
      <c r="AZ609" s="93"/>
      <c r="BA609" s="89"/>
      <c r="BB609" s="9"/>
      <c r="BC609" s="93"/>
      <c r="BG609" s="116"/>
      <c r="BH609" s="9"/>
    </row>
    <row r="610" spans="51:60" x14ac:dyDescent="0.2">
      <c r="AY610" s="116"/>
      <c r="AZ610" s="93"/>
      <c r="BA610" s="89"/>
      <c r="BB610" s="9"/>
      <c r="BC610" s="93"/>
      <c r="BG610" s="116"/>
      <c r="BH610" s="9"/>
    </row>
    <row r="611" spans="51:60" x14ac:dyDescent="0.2">
      <c r="AY611" s="116"/>
      <c r="AZ611" s="93"/>
      <c r="BA611" s="89"/>
      <c r="BB611" s="9"/>
      <c r="BC611" s="93"/>
      <c r="BG611" s="116"/>
      <c r="BH611" s="9"/>
    </row>
    <row r="612" spans="51:60" x14ac:dyDescent="0.2">
      <c r="AY612" s="116"/>
      <c r="AZ612" s="93"/>
      <c r="BA612" s="89"/>
      <c r="BB612" s="9"/>
      <c r="BC612" s="93"/>
      <c r="BG612" s="116"/>
      <c r="BH612" s="9"/>
    </row>
    <row r="613" spans="51:60" x14ac:dyDescent="0.2">
      <c r="AY613" s="116"/>
      <c r="AZ613" s="93"/>
      <c r="BA613" s="89"/>
      <c r="BB613" s="9"/>
      <c r="BC613" s="93"/>
      <c r="BG613" s="116"/>
      <c r="BH613" s="9"/>
    </row>
    <row r="614" spans="51:60" x14ac:dyDescent="0.2">
      <c r="AY614" s="116"/>
      <c r="AZ614" s="93"/>
      <c r="BA614" s="89"/>
      <c r="BB614" s="9"/>
      <c r="BC614" s="93"/>
      <c r="BG614" s="116"/>
      <c r="BH614" s="9"/>
    </row>
    <row r="615" spans="51:60" x14ac:dyDescent="0.2">
      <c r="AY615" s="116"/>
      <c r="AZ615" s="93"/>
      <c r="BA615" s="89"/>
      <c r="BB615" s="9"/>
      <c r="BC615" s="93"/>
      <c r="BG615" s="116"/>
      <c r="BH615" s="9"/>
    </row>
    <row r="616" spans="51:60" x14ac:dyDescent="0.2">
      <c r="AY616" s="116"/>
      <c r="AZ616" s="93"/>
      <c r="BA616" s="89"/>
      <c r="BB616" s="9"/>
      <c r="BC616" s="93"/>
      <c r="BG616" s="116"/>
      <c r="BH616" s="9"/>
    </row>
    <row r="617" spans="51:60" x14ac:dyDescent="0.2">
      <c r="AY617" s="116"/>
      <c r="AZ617" s="93"/>
      <c r="BA617" s="89"/>
      <c r="BB617" s="9"/>
      <c r="BC617" s="93"/>
      <c r="BG617" s="116"/>
      <c r="BH617" s="9"/>
    </row>
    <row r="618" spans="51:60" x14ac:dyDescent="0.2">
      <c r="AY618" s="116"/>
      <c r="AZ618" s="93"/>
      <c r="BA618" s="89"/>
      <c r="BB618" s="9"/>
      <c r="BC618" s="93"/>
      <c r="BG618" s="116"/>
      <c r="BH618" s="9"/>
    </row>
    <row r="619" spans="51:60" x14ac:dyDescent="0.2">
      <c r="AY619" s="116"/>
      <c r="AZ619" s="93"/>
      <c r="BA619" s="89"/>
      <c r="BB619" s="9"/>
      <c r="BC619" s="93"/>
      <c r="BG619" s="116"/>
      <c r="BH619" s="9"/>
    </row>
    <row r="620" spans="51:60" x14ac:dyDescent="0.2">
      <c r="AY620" s="116"/>
      <c r="AZ620" s="93"/>
      <c r="BA620" s="89"/>
      <c r="BB620" s="9"/>
      <c r="BC620" s="93"/>
      <c r="BG620" s="116"/>
      <c r="BH620" s="9"/>
    </row>
    <row r="621" spans="51:60" x14ac:dyDescent="0.2">
      <c r="AY621" s="116"/>
      <c r="AZ621" s="93"/>
      <c r="BA621" s="89"/>
      <c r="BB621" s="9"/>
      <c r="BC621" s="93"/>
      <c r="BG621" s="116"/>
      <c r="BH621" s="9"/>
    </row>
    <row r="622" spans="51:60" x14ac:dyDescent="0.2">
      <c r="AY622" s="116"/>
      <c r="AZ622" s="93"/>
      <c r="BA622" s="89"/>
      <c r="BB622" s="9"/>
      <c r="BC622" s="93"/>
      <c r="BG622" s="116"/>
      <c r="BH622" s="9"/>
    </row>
    <row r="623" spans="51:60" x14ac:dyDescent="0.2">
      <c r="AY623" s="116"/>
      <c r="AZ623" s="93"/>
      <c r="BA623" s="89"/>
      <c r="BB623" s="9"/>
      <c r="BC623" s="93"/>
      <c r="BG623" s="116"/>
      <c r="BH623" s="9"/>
    </row>
    <row r="624" spans="51:60" x14ac:dyDescent="0.2">
      <c r="AY624" s="116"/>
      <c r="AZ624" s="93"/>
      <c r="BA624" s="89"/>
      <c r="BB624" s="9"/>
      <c r="BC624" s="93"/>
      <c r="BG624" s="116"/>
      <c r="BH624" s="9"/>
    </row>
    <row r="625" spans="51:60" x14ac:dyDescent="0.2">
      <c r="AY625" s="116"/>
      <c r="AZ625" s="93"/>
      <c r="BA625" s="89"/>
      <c r="BB625" s="9"/>
      <c r="BC625" s="93"/>
      <c r="BG625" s="116"/>
      <c r="BH625" s="9"/>
    </row>
    <row r="626" spans="51:60" x14ac:dyDescent="0.2">
      <c r="AY626" s="116"/>
      <c r="AZ626" s="93"/>
      <c r="BA626" s="89"/>
      <c r="BB626" s="9"/>
      <c r="BC626" s="93"/>
      <c r="BG626" s="116"/>
      <c r="BH626" s="9"/>
    </row>
    <row r="627" spans="51:60" x14ac:dyDescent="0.2">
      <c r="AY627" s="116"/>
      <c r="AZ627" s="93"/>
      <c r="BA627" s="89"/>
      <c r="BB627" s="9"/>
      <c r="BC627" s="93"/>
      <c r="BG627" s="116"/>
      <c r="BH627" s="9"/>
    </row>
    <row r="628" spans="51:60" x14ac:dyDescent="0.2">
      <c r="AY628" s="116"/>
      <c r="AZ628" s="93"/>
      <c r="BA628" s="89"/>
      <c r="BB628" s="9"/>
      <c r="BC628" s="93"/>
      <c r="BG628" s="116"/>
      <c r="BH628" s="9"/>
    </row>
    <row r="629" spans="51:60" x14ac:dyDescent="0.2">
      <c r="AY629" s="116"/>
      <c r="AZ629" s="93"/>
      <c r="BA629" s="89"/>
      <c r="BB629" s="9"/>
      <c r="BC629" s="93"/>
      <c r="BG629" s="116"/>
      <c r="BH629" s="9"/>
    </row>
    <row r="630" spans="51:60" x14ac:dyDescent="0.2">
      <c r="AY630" s="116"/>
      <c r="AZ630" s="93"/>
      <c r="BA630" s="89"/>
      <c r="BB630" s="9"/>
      <c r="BC630" s="93"/>
      <c r="BG630" s="116"/>
      <c r="BH630" s="9"/>
    </row>
    <row r="631" spans="51:60" x14ac:dyDescent="0.2">
      <c r="AY631" s="116"/>
      <c r="AZ631" s="93"/>
      <c r="BA631" s="89"/>
      <c r="BB631" s="9"/>
      <c r="BC631" s="93"/>
      <c r="BG631" s="116"/>
      <c r="BH631" s="9"/>
    </row>
    <row r="632" spans="51:60" x14ac:dyDescent="0.2">
      <c r="AY632" s="116"/>
      <c r="AZ632" s="93"/>
      <c r="BA632" s="89"/>
      <c r="BB632" s="9"/>
      <c r="BC632" s="93"/>
      <c r="BG632" s="116"/>
      <c r="BH632" s="9"/>
    </row>
    <row r="633" spans="51:60" x14ac:dyDescent="0.2">
      <c r="AY633" s="116"/>
      <c r="AZ633" s="93"/>
      <c r="BA633" s="89"/>
      <c r="BB633" s="9"/>
      <c r="BC633" s="93"/>
      <c r="BG633" s="116"/>
      <c r="BH633" s="9"/>
    </row>
    <row r="634" spans="51:60" x14ac:dyDescent="0.2">
      <c r="AY634" s="116"/>
      <c r="AZ634" s="93"/>
      <c r="BA634" s="89"/>
      <c r="BB634" s="9"/>
      <c r="BC634" s="93"/>
      <c r="BG634" s="116"/>
      <c r="BH634" s="9"/>
    </row>
    <row r="635" spans="51:60" x14ac:dyDescent="0.2">
      <c r="AY635" s="116"/>
      <c r="AZ635" s="93"/>
      <c r="BA635" s="89"/>
      <c r="BB635" s="9"/>
      <c r="BC635" s="93"/>
      <c r="BG635" s="116"/>
      <c r="BH635" s="9"/>
    </row>
    <row r="636" spans="51:60" x14ac:dyDescent="0.2">
      <c r="AY636" s="116"/>
      <c r="AZ636" s="93"/>
      <c r="BA636" s="89"/>
      <c r="BB636" s="9"/>
      <c r="BC636" s="93"/>
      <c r="BG636" s="116"/>
      <c r="BH636" s="9"/>
    </row>
    <row r="637" spans="51:60" x14ac:dyDescent="0.2">
      <c r="AY637" s="116"/>
      <c r="AZ637" s="93"/>
      <c r="BA637" s="89"/>
      <c r="BB637" s="9"/>
      <c r="BC637" s="93"/>
      <c r="BG637" s="116"/>
      <c r="BH637" s="9"/>
    </row>
    <row r="638" spans="51:60" x14ac:dyDescent="0.2">
      <c r="AY638" s="116"/>
      <c r="AZ638" s="93"/>
      <c r="BA638" s="89"/>
      <c r="BB638" s="9"/>
      <c r="BC638" s="93"/>
      <c r="BG638" s="116"/>
      <c r="BH638" s="9"/>
    </row>
    <row r="639" spans="51:60" x14ac:dyDescent="0.2">
      <c r="AY639" s="116"/>
      <c r="AZ639" s="93"/>
      <c r="BA639" s="89"/>
      <c r="BB639" s="9"/>
      <c r="BC639" s="93"/>
      <c r="BG639" s="116"/>
      <c r="BH639" s="9"/>
    </row>
    <row r="640" spans="51:60" x14ac:dyDescent="0.2">
      <c r="AY640" s="116"/>
      <c r="AZ640" s="93"/>
      <c r="BA640" s="89"/>
      <c r="BB640" s="9"/>
      <c r="BC640" s="93"/>
      <c r="BG640" s="116"/>
      <c r="BH640" s="9"/>
    </row>
    <row r="641" spans="51:60" x14ac:dyDescent="0.2">
      <c r="AY641" s="116"/>
      <c r="AZ641" s="93"/>
      <c r="BA641" s="89"/>
      <c r="BB641" s="9"/>
      <c r="BC641" s="93"/>
      <c r="BG641" s="116"/>
      <c r="BH641" s="9"/>
    </row>
    <row r="642" spans="51:60" x14ac:dyDescent="0.2">
      <c r="AY642" s="116"/>
      <c r="AZ642" s="93"/>
      <c r="BA642" s="89"/>
      <c r="BB642" s="9"/>
      <c r="BC642" s="93"/>
      <c r="BG642" s="116"/>
      <c r="BH642" s="9"/>
    </row>
    <row r="643" spans="51:60" x14ac:dyDescent="0.2">
      <c r="AY643" s="116"/>
      <c r="AZ643" s="93"/>
      <c r="BA643" s="89"/>
      <c r="BB643" s="9"/>
      <c r="BC643" s="93"/>
      <c r="BG643" s="116"/>
      <c r="BH643" s="9"/>
    </row>
    <row r="644" spans="51:60" x14ac:dyDescent="0.2">
      <c r="AY644" s="116"/>
      <c r="AZ644" s="93"/>
      <c r="BA644" s="89"/>
      <c r="BB644" s="9"/>
      <c r="BC644" s="93"/>
      <c r="BG644" s="116"/>
      <c r="BH644" s="9"/>
    </row>
    <row r="645" spans="51:60" x14ac:dyDescent="0.2">
      <c r="AY645" s="116"/>
      <c r="AZ645" s="93"/>
      <c r="BA645" s="89"/>
      <c r="BB645" s="9"/>
      <c r="BC645" s="93"/>
      <c r="BG645" s="116"/>
      <c r="BH645" s="9"/>
    </row>
    <row r="646" spans="51:60" x14ac:dyDescent="0.2">
      <c r="AY646" s="116"/>
      <c r="AZ646" s="93"/>
      <c r="BA646" s="89"/>
      <c r="BB646" s="9"/>
      <c r="BC646" s="93"/>
      <c r="BG646" s="116"/>
      <c r="BH646" s="9"/>
    </row>
    <row r="647" spans="51:60" x14ac:dyDescent="0.2">
      <c r="AY647" s="116"/>
      <c r="AZ647" s="93"/>
      <c r="BA647" s="89"/>
      <c r="BB647" s="9"/>
      <c r="BC647" s="93"/>
      <c r="BG647" s="116"/>
      <c r="BH647" s="9"/>
    </row>
    <row r="648" spans="51:60" x14ac:dyDescent="0.2">
      <c r="AY648" s="116"/>
      <c r="AZ648" s="93"/>
      <c r="BA648" s="89"/>
      <c r="BB648" s="9"/>
      <c r="BC648" s="93"/>
      <c r="BG648" s="116"/>
      <c r="BH648" s="9"/>
    </row>
    <row r="649" spans="51:60" x14ac:dyDescent="0.2">
      <c r="AY649" s="116"/>
      <c r="AZ649" s="93"/>
      <c r="BA649" s="89"/>
      <c r="BB649" s="9"/>
      <c r="BC649" s="93"/>
      <c r="BG649" s="116"/>
      <c r="BH649" s="9"/>
    </row>
    <row r="650" spans="51:60" x14ac:dyDescent="0.2">
      <c r="AY650" s="116"/>
      <c r="AZ650" s="93"/>
      <c r="BA650" s="89"/>
      <c r="BB650" s="9"/>
      <c r="BC650" s="93"/>
      <c r="BG650" s="116"/>
      <c r="BH650" s="9"/>
    </row>
    <row r="651" spans="51:60" x14ac:dyDescent="0.2">
      <c r="AY651" s="116"/>
      <c r="AZ651" s="93"/>
      <c r="BA651" s="89"/>
      <c r="BB651" s="9"/>
      <c r="BC651" s="93"/>
      <c r="BG651" s="116"/>
      <c r="BH651" s="9"/>
    </row>
    <row r="652" spans="51:60" x14ac:dyDescent="0.2">
      <c r="AY652" s="116"/>
      <c r="AZ652" s="93"/>
      <c r="BA652" s="89"/>
      <c r="BB652" s="9"/>
      <c r="BC652" s="93"/>
      <c r="BG652" s="116"/>
      <c r="BH652" s="9"/>
    </row>
    <row r="653" spans="51:60" x14ac:dyDescent="0.2">
      <c r="AY653" s="116"/>
      <c r="AZ653" s="93"/>
      <c r="BA653" s="89"/>
      <c r="BB653" s="9"/>
      <c r="BC653" s="93"/>
      <c r="BG653" s="116"/>
      <c r="BH653" s="9"/>
    </row>
    <row r="654" spans="51:60" x14ac:dyDescent="0.2">
      <c r="AY654" s="116"/>
      <c r="AZ654" s="93"/>
      <c r="BA654" s="89"/>
      <c r="BB654" s="9"/>
      <c r="BC654" s="93"/>
      <c r="BG654" s="116"/>
      <c r="BH654" s="9"/>
    </row>
    <row r="655" spans="51:60" x14ac:dyDescent="0.2">
      <c r="AY655" s="116"/>
      <c r="AZ655" s="93"/>
      <c r="BA655" s="89"/>
      <c r="BB655" s="9"/>
      <c r="BC655" s="93"/>
      <c r="BG655" s="116"/>
      <c r="BH655" s="9"/>
    </row>
    <row r="656" spans="51:60" x14ac:dyDescent="0.2">
      <c r="AY656" s="116"/>
      <c r="AZ656" s="93"/>
      <c r="BA656" s="89"/>
      <c r="BB656" s="9"/>
      <c r="BC656" s="93"/>
      <c r="BG656" s="116"/>
      <c r="BH656" s="9"/>
    </row>
    <row r="657" spans="51:60" x14ac:dyDescent="0.2">
      <c r="AY657" s="116"/>
      <c r="AZ657" s="93"/>
      <c r="BA657" s="89"/>
      <c r="BB657" s="9"/>
      <c r="BC657" s="93"/>
      <c r="BG657" s="116"/>
      <c r="BH657" s="9"/>
    </row>
    <row r="658" spans="51:60" x14ac:dyDescent="0.2">
      <c r="AY658" s="116"/>
      <c r="AZ658" s="93"/>
      <c r="BA658" s="89"/>
      <c r="BB658" s="9"/>
      <c r="BC658" s="93"/>
      <c r="BG658" s="116"/>
      <c r="BH658" s="9"/>
    </row>
    <row r="659" spans="51:60" x14ac:dyDescent="0.2">
      <c r="AY659" s="116"/>
      <c r="AZ659" s="93"/>
      <c r="BA659" s="89"/>
      <c r="BB659" s="9"/>
      <c r="BC659" s="93"/>
      <c r="BG659" s="116"/>
      <c r="BH659" s="9"/>
    </row>
    <row r="660" spans="51:60" x14ac:dyDescent="0.2">
      <c r="AY660" s="116"/>
      <c r="AZ660" s="93"/>
      <c r="BA660" s="89"/>
      <c r="BB660" s="9"/>
      <c r="BC660" s="93"/>
      <c r="BG660" s="116"/>
      <c r="BH660" s="9"/>
    </row>
    <row r="661" spans="51:60" x14ac:dyDescent="0.2">
      <c r="AY661" s="116"/>
      <c r="AZ661" s="93"/>
      <c r="BA661" s="89"/>
      <c r="BB661" s="9"/>
      <c r="BC661" s="93"/>
      <c r="BG661" s="116"/>
      <c r="BH661" s="9"/>
    </row>
    <row r="662" spans="51:60" x14ac:dyDescent="0.2">
      <c r="AY662" s="116"/>
      <c r="AZ662" s="93"/>
      <c r="BA662" s="89"/>
      <c r="BB662" s="9"/>
      <c r="BC662" s="93"/>
      <c r="BG662" s="116"/>
      <c r="BH662" s="9"/>
    </row>
    <row r="663" spans="51:60" x14ac:dyDescent="0.2">
      <c r="AY663" s="116"/>
      <c r="AZ663" s="93"/>
      <c r="BA663" s="89"/>
      <c r="BB663" s="9"/>
      <c r="BC663" s="93"/>
      <c r="BG663" s="116"/>
      <c r="BH663" s="9"/>
    </row>
    <row r="664" spans="51:60" x14ac:dyDescent="0.2">
      <c r="AY664" s="116"/>
      <c r="AZ664" s="93"/>
      <c r="BA664" s="89"/>
      <c r="BB664" s="9"/>
      <c r="BC664" s="93"/>
      <c r="BG664" s="116"/>
      <c r="BH664" s="9"/>
    </row>
    <row r="665" spans="51:60" x14ac:dyDescent="0.2">
      <c r="AY665" s="116"/>
      <c r="AZ665" s="93"/>
      <c r="BA665" s="89"/>
      <c r="BB665" s="9"/>
      <c r="BC665" s="93"/>
      <c r="BG665" s="116"/>
      <c r="BH665" s="9"/>
    </row>
    <row r="666" spans="51:60" x14ac:dyDescent="0.2">
      <c r="AY666" s="116"/>
      <c r="AZ666" s="93"/>
      <c r="BA666" s="89"/>
      <c r="BB666" s="9"/>
      <c r="BC666" s="93"/>
      <c r="BG666" s="116"/>
      <c r="BH666" s="9"/>
    </row>
    <row r="667" spans="51:60" x14ac:dyDescent="0.2">
      <c r="AY667" s="116"/>
      <c r="AZ667" s="93"/>
      <c r="BA667" s="89"/>
      <c r="BB667" s="9"/>
      <c r="BC667" s="93"/>
      <c r="BG667" s="116"/>
      <c r="BH667" s="9"/>
    </row>
    <row r="668" spans="51:60" x14ac:dyDescent="0.2">
      <c r="AY668" s="116"/>
      <c r="AZ668" s="93"/>
      <c r="BA668" s="89"/>
      <c r="BB668" s="9"/>
      <c r="BC668" s="93"/>
      <c r="BG668" s="116"/>
      <c r="BH668" s="9"/>
    </row>
    <row r="669" spans="51:60" x14ac:dyDescent="0.2">
      <c r="AY669" s="116"/>
      <c r="AZ669" s="93"/>
      <c r="BA669" s="89"/>
      <c r="BB669" s="9"/>
      <c r="BC669" s="93"/>
      <c r="BG669" s="116"/>
      <c r="BH669" s="9"/>
    </row>
    <row r="670" spans="51:60" x14ac:dyDescent="0.2">
      <c r="AY670" s="116"/>
      <c r="AZ670" s="93"/>
      <c r="BA670" s="89"/>
      <c r="BB670" s="9"/>
      <c r="BC670" s="93"/>
      <c r="BG670" s="116"/>
      <c r="BH670" s="9"/>
    </row>
    <row r="671" spans="51:60" x14ac:dyDescent="0.2">
      <c r="AY671" s="116"/>
      <c r="AZ671" s="93"/>
      <c r="BA671" s="89"/>
      <c r="BB671" s="9"/>
      <c r="BC671" s="93"/>
      <c r="BG671" s="116"/>
      <c r="BH671" s="9"/>
    </row>
    <row r="672" spans="51:60" x14ac:dyDescent="0.2">
      <c r="AY672" s="116"/>
      <c r="AZ672" s="93"/>
      <c r="BA672" s="89"/>
      <c r="BB672" s="9"/>
      <c r="BC672" s="93"/>
      <c r="BG672" s="116"/>
      <c r="BH672" s="9"/>
    </row>
    <row r="673" spans="51:60" x14ac:dyDescent="0.2">
      <c r="AY673" s="116"/>
      <c r="AZ673" s="93"/>
      <c r="BA673" s="89"/>
      <c r="BB673" s="9"/>
      <c r="BC673" s="93"/>
      <c r="BG673" s="116"/>
      <c r="BH673" s="9"/>
    </row>
    <row r="674" spans="51:60" x14ac:dyDescent="0.2">
      <c r="AY674" s="116"/>
      <c r="AZ674" s="93"/>
      <c r="BA674" s="89"/>
      <c r="BB674" s="9"/>
      <c r="BC674" s="93"/>
      <c r="BG674" s="116"/>
      <c r="BH674" s="9"/>
    </row>
    <row r="675" spans="51:60" x14ac:dyDescent="0.2">
      <c r="AY675" s="116"/>
      <c r="AZ675" s="93"/>
      <c r="BA675" s="89"/>
      <c r="BB675" s="9"/>
      <c r="BC675" s="93"/>
      <c r="BG675" s="116"/>
      <c r="BH675" s="9"/>
    </row>
    <row r="676" spans="51:60" x14ac:dyDescent="0.2">
      <c r="AY676" s="116"/>
      <c r="AZ676" s="93"/>
      <c r="BA676" s="89"/>
      <c r="BB676" s="9"/>
      <c r="BC676" s="93"/>
      <c r="BG676" s="116"/>
      <c r="BH676" s="9"/>
    </row>
    <row r="677" spans="51:60" x14ac:dyDescent="0.2">
      <c r="AY677" s="116"/>
      <c r="AZ677" s="93"/>
      <c r="BA677" s="89"/>
      <c r="BB677" s="9"/>
      <c r="BC677" s="93"/>
      <c r="BG677" s="116"/>
      <c r="BH677" s="9"/>
    </row>
    <row r="678" spans="51:60" x14ac:dyDescent="0.2">
      <c r="AY678" s="116"/>
      <c r="AZ678" s="93"/>
      <c r="BA678" s="89"/>
      <c r="BB678" s="9"/>
      <c r="BC678" s="93"/>
      <c r="BG678" s="116"/>
      <c r="BH678" s="9"/>
    </row>
    <row r="679" spans="51:60" x14ac:dyDescent="0.2">
      <c r="AY679" s="116"/>
      <c r="AZ679" s="93"/>
      <c r="BA679" s="89"/>
      <c r="BB679" s="9"/>
      <c r="BC679" s="93"/>
      <c r="BG679" s="116"/>
      <c r="BH679" s="9"/>
    </row>
    <row r="680" spans="51:60" x14ac:dyDescent="0.2">
      <c r="AY680" s="116"/>
      <c r="AZ680" s="93"/>
      <c r="BA680" s="89"/>
      <c r="BB680" s="9"/>
      <c r="BC680" s="93"/>
      <c r="BG680" s="116"/>
      <c r="BH680" s="9"/>
    </row>
    <row r="681" spans="51:60" x14ac:dyDescent="0.2">
      <c r="AY681" s="116"/>
      <c r="AZ681" s="93"/>
      <c r="BA681" s="89"/>
      <c r="BB681" s="9"/>
      <c r="BC681" s="93"/>
      <c r="BG681" s="116"/>
      <c r="BH681" s="9"/>
    </row>
    <row r="682" spans="51:60" x14ac:dyDescent="0.2">
      <c r="AY682" s="116"/>
      <c r="AZ682" s="93"/>
      <c r="BA682" s="89"/>
      <c r="BB682" s="9"/>
      <c r="BC682" s="93"/>
      <c r="BG682" s="116"/>
      <c r="BH682" s="9"/>
    </row>
    <row r="683" spans="51:60" x14ac:dyDescent="0.2">
      <c r="AY683" s="116"/>
      <c r="AZ683" s="93"/>
      <c r="BA683" s="89"/>
      <c r="BB683" s="9"/>
      <c r="BC683" s="93"/>
      <c r="BG683" s="116"/>
      <c r="BH683" s="9"/>
    </row>
    <row r="684" spans="51:60" x14ac:dyDescent="0.2">
      <c r="AY684" s="116"/>
      <c r="AZ684" s="93"/>
      <c r="BA684" s="89"/>
      <c r="BB684" s="9"/>
      <c r="BC684" s="93"/>
      <c r="BG684" s="116"/>
      <c r="BH684" s="9"/>
    </row>
    <row r="685" spans="51:60" x14ac:dyDescent="0.2">
      <c r="AY685" s="116"/>
      <c r="AZ685" s="93"/>
      <c r="BA685" s="89"/>
      <c r="BB685" s="9"/>
      <c r="BC685" s="93"/>
      <c r="BG685" s="116"/>
      <c r="BH685" s="9"/>
    </row>
    <row r="686" spans="51:60" x14ac:dyDescent="0.2">
      <c r="AY686" s="116"/>
      <c r="AZ686" s="93"/>
      <c r="BA686" s="89"/>
      <c r="BB686" s="9"/>
      <c r="BC686" s="93"/>
      <c r="BG686" s="116"/>
      <c r="BH686" s="9"/>
    </row>
    <row r="687" spans="51:60" x14ac:dyDescent="0.2">
      <c r="AY687" s="116"/>
      <c r="AZ687" s="93"/>
      <c r="BA687" s="89"/>
      <c r="BB687" s="9"/>
      <c r="BC687" s="93"/>
      <c r="BG687" s="116"/>
      <c r="BH687" s="9"/>
    </row>
    <row r="688" spans="51:60" x14ac:dyDescent="0.2">
      <c r="AY688" s="116"/>
      <c r="AZ688" s="93"/>
      <c r="BA688" s="89"/>
      <c r="BB688" s="9"/>
      <c r="BC688" s="93"/>
      <c r="BG688" s="116"/>
      <c r="BH688" s="9"/>
    </row>
    <row r="689" spans="51:60" x14ac:dyDescent="0.2">
      <c r="AY689" s="116"/>
      <c r="AZ689" s="93"/>
      <c r="BA689" s="89"/>
      <c r="BB689" s="9"/>
      <c r="BC689" s="93"/>
      <c r="BG689" s="116"/>
      <c r="BH689" s="9"/>
    </row>
    <row r="690" spans="51:60" x14ac:dyDescent="0.2">
      <c r="AY690" s="116"/>
      <c r="AZ690" s="93"/>
      <c r="BA690" s="89"/>
      <c r="BB690" s="9"/>
      <c r="BC690" s="93"/>
      <c r="BG690" s="116"/>
      <c r="BH690" s="9"/>
    </row>
    <row r="691" spans="51:60" x14ac:dyDescent="0.2">
      <c r="AY691" s="116"/>
      <c r="AZ691" s="93"/>
      <c r="BA691" s="89"/>
      <c r="BB691" s="9"/>
      <c r="BC691" s="93"/>
      <c r="BG691" s="116"/>
      <c r="BH691" s="9"/>
    </row>
    <row r="692" spans="51:60" x14ac:dyDescent="0.2">
      <c r="AY692" s="116"/>
      <c r="AZ692" s="93"/>
      <c r="BA692" s="89"/>
      <c r="BB692" s="9"/>
      <c r="BC692" s="93"/>
      <c r="BG692" s="116"/>
      <c r="BH692" s="9"/>
    </row>
    <row r="693" spans="51:60" x14ac:dyDescent="0.2">
      <c r="AY693" s="116"/>
      <c r="AZ693" s="93"/>
      <c r="BA693" s="89"/>
      <c r="BB693" s="9"/>
      <c r="BC693" s="93"/>
      <c r="BG693" s="116"/>
      <c r="BH693" s="9"/>
    </row>
    <row r="694" spans="51:60" x14ac:dyDescent="0.2">
      <c r="AY694" s="116"/>
      <c r="AZ694" s="93"/>
      <c r="BA694" s="89"/>
      <c r="BB694" s="9"/>
      <c r="BC694" s="93"/>
      <c r="BG694" s="116"/>
      <c r="BH694" s="9"/>
    </row>
    <row r="695" spans="51:60" x14ac:dyDescent="0.2">
      <c r="AY695" s="116"/>
      <c r="AZ695" s="93"/>
      <c r="BA695" s="89"/>
      <c r="BB695" s="9"/>
      <c r="BC695" s="93"/>
      <c r="BG695" s="116"/>
      <c r="BH695" s="9"/>
    </row>
    <row r="696" spans="51:60" x14ac:dyDescent="0.2">
      <c r="AY696" s="116"/>
      <c r="AZ696" s="93"/>
      <c r="BA696" s="89"/>
      <c r="BB696" s="9"/>
      <c r="BC696" s="93"/>
      <c r="BG696" s="116"/>
      <c r="BH696" s="9"/>
    </row>
    <row r="697" spans="51:60" x14ac:dyDescent="0.2">
      <c r="AY697" s="116"/>
      <c r="AZ697" s="93"/>
      <c r="BA697" s="89"/>
      <c r="BB697" s="9"/>
      <c r="BC697" s="93"/>
      <c r="BG697" s="116"/>
      <c r="BH697" s="9"/>
    </row>
    <row r="698" spans="51:60" x14ac:dyDescent="0.2">
      <c r="AY698" s="116"/>
      <c r="AZ698" s="93"/>
      <c r="BA698" s="89"/>
      <c r="BB698" s="9"/>
      <c r="BC698" s="93"/>
      <c r="BG698" s="116"/>
      <c r="BH698" s="9"/>
    </row>
    <row r="699" spans="51:60" x14ac:dyDescent="0.2">
      <c r="AY699" s="116"/>
      <c r="AZ699" s="93"/>
      <c r="BA699" s="89"/>
      <c r="BB699" s="9"/>
      <c r="BC699" s="93"/>
      <c r="BG699" s="116"/>
      <c r="BH699" s="9"/>
    </row>
    <row r="700" spans="51:60" x14ac:dyDescent="0.2">
      <c r="AY700" s="116"/>
      <c r="AZ700" s="93"/>
      <c r="BA700" s="89"/>
      <c r="BB700" s="9"/>
      <c r="BC700" s="93"/>
      <c r="BG700" s="116"/>
      <c r="BH700" s="9"/>
    </row>
    <row r="701" spans="51:60" x14ac:dyDescent="0.2">
      <c r="AY701" s="116"/>
      <c r="AZ701" s="93"/>
      <c r="BA701" s="89"/>
      <c r="BB701" s="9"/>
      <c r="BC701" s="93"/>
      <c r="BG701" s="116"/>
      <c r="BH701" s="9"/>
    </row>
    <row r="702" spans="51:60" x14ac:dyDescent="0.2">
      <c r="AY702" s="116"/>
      <c r="AZ702" s="93"/>
      <c r="BA702" s="89"/>
      <c r="BB702" s="9"/>
      <c r="BC702" s="93"/>
      <c r="BG702" s="116"/>
      <c r="BH702" s="9"/>
    </row>
    <row r="703" spans="51:60" x14ac:dyDescent="0.2">
      <c r="AY703" s="116"/>
      <c r="AZ703" s="93"/>
      <c r="BA703" s="89"/>
      <c r="BB703" s="9"/>
      <c r="BC703" s="93"/>
      <c r="BG703" s="116"/>
      <c r="BH703" s="9"/>
    </row>
    <row r="704" spans="51:60" x14ac:dyDescent="0.2">
      <c r="AY704" s="116"/>
      <c r="AZ704" s="93"/>
      <c r="BA704" s="89"/>
      <c r="BB704" s="9"/>
      <c r="BC704" s="93"/>
      <c r="BG704" s="116"/>
      <c r="BH704" s="9"/>
    </row>
    <row r="705" spans="51:60" x14ac:dyDescent="0.2">
      <c r="AY705" s="116"/>
      <c r="AZ705" s="93"/>
      <c r="BA705" s="89"/>
      <c r="BB705" s="9"/>
      <c r="BC705" s="93"/>
      <c r="BG705" s="116"/>
      <c r="BH705" s="9"/>
    </row>
    <row r="706" spans="51:60" x14ac:dyDescent="0.2">
      <c r="AY706" s="116"/>
      <c r="AZ706" s="93"/>
      <c r="BA706" s="89"/>
      <c r="BB706" s="9"/>
      <c r="BC706" s="93"/>
      <c r="BG706" s="116"/>
      <c r="BH706" s="9"/>
    </row>
    <row r="707" spans="51:60" x14ac:dyDescent="0.2">
      <c r="AY707" s="116"/>
      <c r="AZ707" s="93"/>
      <c r="BA707" s="89"/>
      <c r="BB707" s="9"/>
      <c r="BC707" s="93"/>
      <c r="BG707" s="116"/>
      <c r="BH707" s="9"/>
    </row>
    <row r="708" spans="51:60" x14ac:dyDescent="0.2">
      <c r="AY708" s="116"/>
      <c r="AZ708" s="93"/>
      <c r="BA708" s="89"/>
      <c r="BB708" s="9"/>
      <c r="BC708" s="93"/>
      <c r="BG708" s="116"/>
      <c r="BH708" s="9"/>
    </row>
    <row r="709" spans="51:60" x14ac:dyDescent="0.2">
      <c r="AY709" s="116"/>
      <c r="AZ709" s="93"/>
      <c r="BA709" s="89"/>
      <c r="BB709" s="9"/>
      <c r="BC709" s="93"/>
      <c r="BG709" s="116"/>
      <c r="BH709" s="9"/>
    </row>
    <row r="710" spans="51:60" x14ac:dyDescent="0.2">
      <c r="AY710" s="116"/>
      <c r="AZ710" s="93"/>
      <c r="BA710" s="89"/>
      <c r="BB710" s="9"/>
      <c r="BC710" s="93"/>
      <c r="BG710" s="116"/>
      <c r="BH710" s="9"/>
    </row>
    <row r="711" spans="51:60" x14ac:dyDescent="0.2">
      <c r="AY711" s="116"/>
      <c r="AZ711" s="93"/>
      <c r="BA711" s="89"/>
      <c r="BB711" s="9"/>
      <c r="BC711" s="93"/>
      <c r="BG711" s="116"/>
      <c r="BH711" s="9"/>
    </row>
    <row r="712" spans="51:60" x14ac:dyDescent="0.2">
      <c r="AY712" s="116"/>
      <c r="AZ712" s="93"/>
      <c r="BA712" s="89"/>
      <c r="BB712" s="9"/>
      <c r="BC712" s="93"/>
      <c r="BG712" s="116"/>
      <c r="BH712" s="9"/>
    </row>
    <row r="713" spans="51:60" x14ac:dyDescent="0.2">
      <c r="AY713" s="116"/>
      <c r="AZ713" s="93"/>
      <c r="BA713" s="89"/>
      <c r="BB713" s="9"/>
      <c r="BC713" s="93"/>
      <c r="BG713" s="116"/>
      <c r="BH713" s="9"/>
    </row>
    <row r="714" spans="51:60" x14ac:dyDescent="0.2">
      <c r="AY714" s="116"/>
      <c r="AZ714" s="93"/>
      <c r="BA714" s="89"/>
      <c r="BB714" s="9"/>
      <c r="BC714" s="93"/>
      <c r="BG714" s="116"/>
      <c r="BH714" s="9"/>
    </row>
    <row r="715" spans="51:60" x14ac:dyDescent="0.2">
      <c r="AY715" s="116"/>
      <c r="AZ715" s="93"/>
      <c r="BA715" s="89"/>
      <c r="BB715" s="9"/>
      <c r="BC715" s="93"/>
      <c r="BG715" s="116"/>
      <c r="BH715" s="9"/>
    </row>
    <row r="716" spans="51:60" x14ac:dyDescent="0.2">
      <c r="AY716" s="116"/>
      <c r="AZ716" s="93"/>
      <c r="BA716" s="89"/>
      <c r="BB716" s="9"/>
      <c r="BC716" s="93"/>
      <c r="BG716" s="116"/>
      <c r="BH716" s="9"/>
    </row>
    <row r="717" spans="51:60" x14ac:dyDescent="0.2">
      <c r="AY717" s="116"/>
      <c r="AZ717" s="93"/>
      <c r="BA717" s="89"/>
      <c r="BB717" s="9"/>
      <c r="BC717" s="93"/>
      <c r="BG717" s="116"/>
      <c r="BH717" s="9"/>
    </row>
    <row r="718" spans="51:60" x14ac:dyDescent="0.2">
      <c r="AY718" s="116"/>
      <c r="AZ718" s="93"/>
      <c r="BA718" s="89"/>
      <c r="BB718" s="9"/>
      <c r="BC718" s="93"/>
      <c r="BG718" s="116"/>
      <c r="BH718" s="9"/>
    </row>
    <row r="719" spans="51:60" x14ac:dyDescent="0.2">
      <c r="AY719" s="116"/>
      <c r="AZ719" s="93"/>
      <c r="BA719" s="89"/>
      <c r="BB719" s="9"/>
      <c r="BC719" s="93"/>
      <c r="BG719" s="116"/>
      <c r="BH719" s="9"/>
    </row>
    <row r="720" spans="51:60" x14ac:dyDescent="0.2">
      <c r="AY720" s="116"/>
      <c r="AZ720" s="93"/>
      <c r="BA720" s="89"/>
      <c r="BB720" s="9"/>
      <c r="BC720" s="93"/>
      <c r="BG720" s="116"/>
      <c r="BH720" s="9"/>
    </row>
    <row r="721" spans="51:60" x14ac:dyDescent="0.2">
      <c r="AY721" s="116"/>
      <c r="AZ721" s="93"/>
      <c r="BA721" s="89"/>
      <c r="BB721" s="9"/>
      <c r="BC721" s="93"/>
      <c r="BG721" s="116"/>
      <c r="BH721" s="9"/>
    </row>
    <row r="722" spans="51:60" x14ac:dyDescent="0.2">
      <c r="AY722" s="116"/>
      <c r="AZ722" s="93"/>
      <c r="BA722" s="89"/>
      <c r="BB722" s="9"/>
      <c r="BC722" s="93"/>
      <c r="BG722" s="116"/>
      <c r="BH722" s="9"/>
    </row>
    <row r="723" spans="51:60" x14ac:dyDescent="0.2">
      <c r="AY723" s="116"/>
      <c r="AZ723" s="93"/>
      <c r="BA723" s="89"/>
      <c r="BB723" s="9"/>
      <c r="BC723" s="93"/>
      <c r="BG723" s="116"/>
      <c r="BH723" s="9"/>
    </row>
    <row r="724" spans="51:60" x14ac:dyDescent="0.2">
      <c r="AY724" s="116"/>
      <c r="AZ724" s="93"/>
      <c r="BA724" s="89"/>
      <c r="BB724" s="9"/>
      <c r="BC724" s="93"/>
      <c r="BG724" s="116"/>
      <c r="BH724" s="9"/>
    </row>
    <row r="725" spans="51:60" x14ac:dyDescent="0.2">
      <c r="AY725" s="116"/>
      <c r="AZ725" s="93"/>
      <c r="BA725" s="89"/>
      <c r="BB725" s="9"/>
      <c r="BC725" s="93"/>
      <c r="BG725" s="116"/>
      <c r="BH725" s="9"/>
    </row>
    <row r="726" spans="51:60" x14ac:dyDescent="0.2">
      <c r="AY726" s="116"/>
      <c r="AZ726" s="93"/>
      <c r="BA726" s="89"/>
      <c r="BB726" s="9"/>
      <c r="BC726" s="93"/>
      <c r="BG726" s="116"/>
      <c r="BH726" s="9"/>
    </row>
    <row r="727" spans="51:60" x14ac:dyDescent="0.2">
      <c r="AY727" s="116"/>
      <c r="AZ727" s="93"/>
      <c r="BA727" s="89"/>
      <c r="BB727" s="9"/>
      <c r="BC727" s="93"/>
      <c r="BG727" s="116"/>
      <c r="BH727" s="9"/>
    </row>
    <row r="728" spans="51:60" x14ac:dyDescent="0.2">
      <c r="AY728" s="116"/>
      <c r="AZ728" s="93"/>
      <c r="BA728" s="89"/>
      <c r="BB728" s="9"/>
      <c r="BC728" s="93"/>
      <c r="BG728" s="116"/>
      <c r="BH728" s="9"/>
    </row>
    <row r="729" spans="51:60" x14ac:dyDescent="0.2">
      <c r="AY729" s="116"/>
      <c r="AZ729" s="93"/>
      <c r="BA729" s="89"/>
      <c r="BB729" s="9"/>
      <c r="BC729" s="93"/>
      <c r="BG729" s="116"/>
      <c r="BH729" s="9"/>
    </row>
    <row r="730" spans="51:60" x14ac:dyDescent="0.2">
      <c r="AY730" s="116"/>
      <c r="AZ730" s="93"/>
      <c r="BA730" s="89"/>
      <c r="BB730" s="9"/>
      <c r="BC730" s="93"/>
      <c r="BG730" s="116"/>
      <c r="BH730" s="9"/>
    </row>
    <row r="731" spans="51:60" x14ac:dyDescent="0.2">
      <c r="AY731" s="116"/>
      <c r="AZ731" s="93"/>
      <c r="BA731" s="89"/>
      <c r="BB731" s="9"/>
      <c r="BC731" s="93"/>
      <c r="BG731" s="116"/>
      <c r="BH731" s="9"/>
    </row>
    <row r="732" spans="51:60" x14ac:dyDescent="0.2">
      <c r="AY732" s="116"/>
      <c r="AZ732" s="93"/>
      <c r="BA732" s="89"/>
      <c r="BB732" s="9"/>
      <c r="BC732" s="93"/>
      <c r="BG732" s="116"/>
      <c r="BH732" s="9"/>
    </row>
    <row r="733" spans="51:60" x14ac:dyDescent="0.2">
      <c r="AY733" s="116"/>
      <c r="AZ733" s="93"/>
      <c r="BA733" s="89"/>
      <c r="BB733" s="9"/>
      <c r="BC733" s="93"/>
      <c r="BG733" s="116"/>
      <c r="BH733" s="9"/>
    </row>
    <row r="734" spans="51:60" x14ac:dyDescent="0.2">
      <c r="AY734" s="116"/>
      <c r="AZ734" s="93"/>
      <c r="BA734" s="89"/>
      <c r="BB734" s="9"/>
      <c r="BC734" s="93"/>
      <c r="BG734" s="116"/>
      <c r="BH734" s="9"/>
    </row>
    <row r="735" spans="51:60" x14ac:dyDescent="0.2">
      <c r="AY735" s="116"/>
      <c r="AZ735" s="93"/>
      <c r="BA735" s="89"/>
      <c r="BB735" s="9"/>
      <c r="BC735" s="93"/>
      <c r="BG735" s="116"/>
      <c r="BH735" s="9"/>
    </row>
    <row r="736" spans="51:60" x14ac:dyDescent="0.2">
      <c r="AY736" s="116"/>
      <c r="AZ736" s="93"/>
      <c r="BA736" s="89"/>
      <c r="BB736" s="9"/>
      <c r="BC736" s="93"/>
      <c r="BG736" s="116"/>
      <c r="BH736" s="9"/>
    </row>
    <row r="737" spans="51:60" x14ac:dyDescent="0.2">
      <c r="AY737" s="116"/>
      <c r="AZ737" s="93"/>
      <c r="BA737" s="89"/>
      <c r="BB737" s="9"/>
      <c r="BC737" s="93"/>
      <c r="BG737" s="116"/>
      <c r="BH737" s="9"/>
    </row>
    <row r="738" spans="51:60" x14ac:dyDescent="0.2">
      <c r="AY738" s="116"/>
      <c r="AZ738" s="93"/>
      <c r="BA738" s="89"/>
      <c r="BB738" s="9"/>
      <c r="BC738" s="93"/>
      <c r="BG738" s="116"/>
      <c r="BH738" s="9"/>
    </row>
    <row r="739" spans="51:60" x14ac:dyDescent="0.2">
      <c r="AY739" s="116"/>
      <c r="AZ739" s="93"/>
      <c r="BA739" s="89"/>
      <c r="BB739" s="9"/>
      <c r="BC739" s="93"/>
      <c r="BG739" s="116"/>
      <c r="BH739" s="9"/>
    </row>
    <row r="740" spans="51:60" x14ac:dyDescent="0.2">
      <c r="AY740" s="116"/>
      <c r="AZ740" s="93"/>
      <c r="BA740" s="89"/>
      <c r="BB740" s="9"/>
      <c r="BC740" s="93"/>
      <c r="BG740" s="116"/>
      <c r="BH740" s="9"/>
    </row>
    <row r="741" spans="51:60" x14ac:dyDescent="0.2">
      <c r="AY741" s="116"/>
      <c r="AZ741" s="93"/>
      <c r="BA741" s="89"/>
      <c r="BB741" s="9"/>
      <c r="BC741" s="93"/>
      <c r="BG741" s="116"/>
      <c r="BH741" s="9"/>
    </row>
    <row r="742" spans="51:60" x14ac:dyDescent="0.2">
      <c r="AY742" s="116"/>
      <c r="AZ742" s="93"/>
      <c r="BA742" s="89"/>
      <c r="BB742" s="9"/>
      <c r="BC742" s="93"/>
      <c r="BG742" s="116"/>
      <c r="BH742" s="9"/>
    </row>
    <row r="743" spans="51:60" x14ac:dyDescent="0.2">
      <c r="AY743" s="116"/>
      <c r="AZ743" s="93"/>
      <c r="BA743" s="89"/>
      <c r="BB743" s="9"/>
      <c r="BC743" s="93"/>
      <c r="BG743" s="116"/>
      <c r="BH743" s="9"/>
    </row>
    <row r="744" spans="51:60" x14ac:dyDescent="0.2">
      <c r="AY744" s="116"/>
      <c r="AZ744" s="93"/>
      <c r="BA744" s="89"/>
      <c r="BB744" s="9"/>
      <c r="BC744" s="93"/>
      <c r="BG744" s="116"/>
      <c r="BH744" s="9"/>
    </row>
    <row r="745" spans="51:60" x14ac:dyDescent="0.2">
      <c r="AY745" s="116"/>
      <c r="AZ745" s="93"/>
      <c r="BA745" s="89"/>
      <c r="BB745" s="9"/>
      <c r="BC745" s="93"/>
      <c r="BG745" s="116"/>
      <c r="BH745" s="9"/>
    </row>
    <row r="746" spans="51:60" x14ac:dyDescent="0.2">
      <c r="AY746" s="116"/>
      <c r="AZ746" s="93"/>
      <c r="BA746" s="89"/>
      <c r="BB746" s="9"/>
      <c r="BC746" s="93"/>
      <c r="BG746" s="116"/>
      <c r="BH746" s="9"/>
    </row>
    <row r="747" spans="51:60" x14ac:dyDescent="0.2">
      <c r="AY747" s="116"/>
      <c r="AZ747" s="93"/>
      <c r="BA747" s="89"/>
      <c r="BB747" s="9"/>
      <c r="BC747" s="93"/>
      <c r="BG747" s="116"/>
      <c r="BH747" s="9"/>
    </row>
    <row r="748" spans="51:60" x14ac:dyDescent="0.2">
      <c r="AY748" s="116"/>
      <c r="AZ748" s="93"/>
      <c r="BA748" s="89"/>
      <c r="BB748" s="9"/>
      <c r="BC748" s="93"/>
      <c r="BG748" s="116"/>
      <c r="BH748" s="9"/>
    </row>
    <row r="749" spans="51:60" x14ac:dyDescent="0.2">
      <c r="AY749" s="116"/>
      <c r="AZ749" s="93"/>
      <c r="BA749" s="89"/>
      <c r="BB749" s="9"/>
      <c r="BC749" s="93"/>
      <c r="BG749" s="116"/>
      <c r="BH749" s="9"/>
    </row>
    <row r="750" spans="51:60" x14ac:dyDescent="0.2">
      <c r="AY750" s="116"/>
      <c r="AZ750" s="93"/>
      <c r="BA750" s="89"/>
      <c r="BB750" s="9"/>
      <c r="BC750" s="93"/>
      <c r="BG750" s="116"/>
      <c r="BH750" s="9"/>
    </row>
    <row r="751" spans="51:60" x14ac:dyDescent="0.2">
      <c r="AY751" s="116"/>
      <c r="AZ751" s="93"/>
      <c r="BA751" s="89"/>
      <c r="BB751" s="9"/>
      <c r="BC751" s="93"/>
      <c r="BG751" s="116"/>
      <c r="BH751" s="9"/>
    </row>
    <row r="752" spans="51:60" x14ac:dyDescent="0.2">
      <c r="AY752" s="116"/>
      <c r="AZ752" s="93"/>
      <c r="BA752" s="89"/>
      <c r="BB752" s="9"/>
      <c r="BC752" s="93"/>
      <c r="BG752" s="116"/>
      <c r="BH752" s="9"/>
    </row>
    <row r="753" spans="51:60" x14ac:dyDescent="0.2">
      <c r="AY753" s="116"/>
      <c r="AZ753" s="93"/>
      <c r="BA753" s="89"/>
      <c r="BB753" s="9"/>
      <c r="BC753" s="93"/>
      <c r="BG753" s="116"/>
      <c r="BH753" s="9"/>
    </row>
    <row r="754" spans="51:60" x14ac:dyDescent="0.2">
      <c r="AY754" s="116"/>
      <c r="AZ754" s="93"/>
      <c r="BA754" s="89"/>
      <c r="BB754" s="9"/>
      <c r="BC754" s="93"/>
      <c r="BG754" s="116"/>
      <c r="BH754" s="9"/>
    </row>
    <row r="755" spans="51:60" x14ac:dyDescent="0.2">
      <c r="AY755" s="116"/>
      <c r="AZ755" s="93"/>
      <c r="BA755" s="89"/>
      <c r="BB755" s="9"/>
      <c r="BC755" s="93"/>
      <c r="BG755" s="116"/>
      <c r="BH755" s="9"/>
    </row>
    <row r="756" spans="51:60" x14ac:dyDescent="0.2">
      <c r="AY756" s="116"/>
      <c r="AZ756" s="93"/>
      <c r="BA756" s="89"/>
      <c r="BB756" s="9"/>
      <c r="BC756" s="93"/>
      <c r="BG756" s="116"/>
      <c r="BH756" s="9"/>
    </row>
    <row r="757" spans="51:60" x14ac:dyDescent="0.2">
      <c r="AY757" s="116"/>
      <c r="AZ757" s="93"/>
      <c r="BA757" s="89"/>
      <c r="BB757" s="9"/>
      <c r="BC757" s="93"/>
      <c r="BG757" s="116"/>
      <c r="BH757" s="9"/>
    </row>
    <row r="758" spans="51:60" x14ac:dyDescent="0.2">
      <c r="AY758" s="116"/>
      <c r="AZ758" s="93"/>
      <c r="BA758" s="89"/>
      <c r="BB758" s="9"/>
      <c r="BC758" s="93"/>
      <c r="BG758" s="116"/>
      <c r="BH758" s="9"/>
    </row>
    <row r="759" spans="51:60" x14ac:dyDescent="0.2">
      <c r="AY759" s="116"/>
      <c r="AZ759" s="93"/>
      <c r="BA759" s="89"/>
      <c r="BB759" s="9"/>
      <c r="BC759" s="93"/>
      <c r="BG759" s="116"/>
      <c r="BH759" s="9"/>
    </row>
    <row r="760" spans="51:60" x14ac:dyDescent="0.2">
      <c r="AY760" s="116"/>
      <c r="AZ760" s="93"/>
      <c r="BA760" s="89"/>
      <c r="BB760" s="9"/>
      <c r="BC760" s="93"/>
      <c r="BG760" s="116"/>
      <c r="BH760" s="9"/>
    </row>
    <row r="761" spans="51:60" x14ac:dyDescent="0.2">
      <c r="AY761" s="116"/>
      <c r="AZ761" s="93"/>
      <c r="BA761" s="89"/>
      <c r="BB761" s="9"/>
      <c r="BC761" s="93"/>
      <c r="BG761" s="116"/>
      <c r="BH761" s="9"/>
    </row>
    <row r="762" spans="51:60" x14ac:dyDescent="0.2">
      <c r="AY762" s="116"/>
      <c r="AZ762" s="93"/>
      <c r="BA762" s="89"/>
      <c r="BB762" s="9"/>
      <c r="BC762" s="93"/>
      <c r="BG762" s="116"/>
      <c r="BH762" s="9"/>
    </row>
    <row r="763" spans="51:60" x14ac:dyDescent="0.2">
      <c r="AY763" s="116"/>
      <c r="AZ763" s="93"/>
      <c r="BA763" s="89"/>
      <c r="BB763" s="9"/>
      <c r="BC763" s="93"/>
      <c r="BG763" s="116"/>
      <c r="BH763" s="9"/>
    </row>
    <row r="764" spans="51:60" x14ac:dyDescent="0.2">
      <c r="AY764" s="116"/>
      <c r="AZ764" s="93"/>
      <c r="BA764" s="89"/>
      <c r="BB764" s="9"/>
      <c r="BC764" s="93"/>
      <c r="BG764" s="116"/>
      <c r="BH764" s="9"/>
    </row>
    <row r="765" spans="51:60" x14ac:dyDescent="0.2">
      <c r="AY765" s="116"/>
      <c r="AZ765" s="93"/>
      <c r="BA765" s="89"/>
      <c r="BB765" s="9"/>
      <c r="BC765" s="93"/>
      <c r="BG765" s="116"/>
      <c r="BH765" s="9"/>
    </row>
    <row r="766" spans="51:60" x14ac:dyDescent="0.2">
      <c r="AY766" s="116"/>
      <c r="AZ766" s="93"/>
      <c r="BA766" s="89"/>
      <c r="BB766" s="9"/>
      <c r="BC766" s="93"/>
      <c r="BG766" s="116"/>
      <c r="BH766" s="9"/>
    </row>
    <row r="767" spans="51:60" x14ac:dyDescent="0.2">
      <c r="AY767" s="116"/>
      <c r="AZ767" s="93"/>
      <c r="BA767" s="89"/>
      <c r="BB767" s="9"/>
      <c r="BC767" s="93"/>
      <c r="BG767" s="116"/>
      <c r="BH767" s="9"/>
    </row>
    <row r="768" spans="51:60" x14ac:dyDescent="0.2">
      <c r="AY768" s="116"/>
      <c r="AZ768" s="93"/>
      <c r="BA768" s="89"/>
      <c r="BB768" s="9"/>
      <c r="BC768" s="93"/>
      <c r="BG768" s="116"/>
      <c r="BH768" s="9"/>
    </row>
    <row r="769" spans="51:60" x14ac:dyDescent="0.2">
      <c r="AY769" s="116"/>
      <c r="AZ769" s="93"/>
      <c r="BA769" s="89"/>
      <c r="BB769" s="9"/>
      <c r="BC769" s="93"/>
      <c r="BG769" s="116"/>
      <c r="BH769" s="9"/>
    </row>
    <row r="770" spans="51:60" x14ac:dyDescent="0.2">
      <c r="AY770" s="116"/>
      <c r="AZ770" s="93"/>
      <c r="BA770" s="89"/>
      <c r="BB770" s="9"/>
      <c r="BC770" s="93"/>
      <c r="BG770" s="116"/>
      <c r="BH770" s="9"/>
    </row>
    <row r="771" spans="51:60" x14ac:dyDescent="0.2">
      <c r="AY771" s="116"/>
      <c r="AZ771" s="93"/>
      <c r="BA771" s="89"/>
      <c r="BB771" s="9"/>
      <c r="BC771" s="93"/>
      <c r="BG771" s="116"/>
      <c r="BH771" s="9"/>
    </row>
    <row r="772" spans="51:60" x14ac:dyDescent="0.2">
      <c r="AY772" s="116"/>
      <c r="AZ772" s="93"/>
      <c r="BA772" s="89"/>
      <c r="BB772" s="9"/>
      <c r="BC772" s="93"/>
      <c r="BG772" s="116"/>
      <c r="BH772" s="9"/>
    </row>
    <row r="773" spans="51:60" x14ac:dyDescent="0.2">
      <c r="AY773" s="116"/>
      <c r="AZ773" s="93"/>
      <c r="BA773" s="89"/>
      <c r="BB773" s="9"/>
      <c r="BC773" s="93"/>
      <c r="BG773" s="116"/>
      <c r="BH773" s="9"/>
    </row>
    <row r="774" spans="51:60" x14ac:dyDescent="0.2">
      <c r="AY774" s="116"/>
      <c r="AZ774" s="93"/>
      <c r="BA774" s="89"/>
      <c r="BB774" s="9"/>
      <c r="BC774" s="93"/>
      <c r="BG774" s="116"/>
      <c r="BH774" s="9"/>
    </row>
    <row r="775" spans="51:60" x14ac:dyDescent="0.2">
      <c r="AY775" s="116"/>
      <c r="AZ775" s="93"/>
      <c r="BA775" s="89"/>
      <c r="BB775" s="9"/>
      <c r="BC775" s="93"/>
      <c r="BG775" s="116"/>
      <c r="BH775" s="9"/>
    </row>
    <row r="776" spans="51:60" x14ac:dyDescent="0.2">
      <c r="AY776" s="116"/>
      <c r="AZ776" s="93"/>
      <c r="BA776" s="89"/>
      <c r="BB776" s="9"/>
      <c r="BC776" s="93"/>
      <c r="BG776" s="116"/>
      <c r="BH776" s="9"/>
    </row>
    <row r="777" spans="51:60" x14ac:dyDescent="0.2">
      <c r="AY777" s="116"/>
      <c r="AZ777" s="93"/>
      <c r="BA777" s="89"/>
      <c r="BB777" s="9"/>
      <c r="BC777" s="93"/>
      <c r="BG777" s="116"/>
      <c r="BH777" s="9"/>
    </row>
    <row r="778" spans="51:60" x14ac:dyDescent="0.2">
      <c r="AY778" s="116"/>
      <c r="AZ778" s="93"/>
      <c r="BA778" s="89"/>
      <c r="BB778" s="9"/>
      <c r="BC778" s="93"/>
      <c r="BG778" s="116"/>
      <c r="BH778" s="9"/>
    </row>
    <row r="779" spans="51:60" x14ac:dyDescent="0.2">
      <c r="AY779" s="116"/>
      <c r="AZ779" s="93"/>
      <c r="BA779" s="89"/>
      <c r="BB779" s="9"/>
      <c r="BC779" s="93"/>
      <c r="BG779" s="116"/>
      <c r="BH779" s="9"/>
    </row>
    <row r="780" spans="51:60" x14ac:dyDescent="0.2">
      <c r="AY780" s="116"/>
      <c r="AZ780" s="93"/>
      <c r="BA780" s="89"/>
      <c r="BB780" s="9"/>
      <c r="BC780" s="93"/>
      <c r="BG780" s="116"/>
      <c r="BH780" s="9"/>
    </row>
    <row r="781" spans="51:60" x14ac:dyDescent="0.2">
      <c r="AY781" s="116"/>
      <c r="AZ781" s="93"/>
      <c r="BA781" s="89"/>
      <c r="BB781" s="9"/>
      <c r="BC781" s="93"/>
      <c r="BG781" s="116"/>
      <c r="BH781" s="9"/>
    </row>
    <row r="782" spans="51:60" x14ac:dyDescent="0.2">
      <c r="AY782" s="116"/>
      <c r="AZ782" s="93"/>
      <c r="BA782" s="89"/>
      <c r="BB782" s="9"/>
      <c r="BC782" s="93"/>
      <c r="BG782" s="116"/>
      <c r="BH782" s="9"/>
    </row>
    <row r="783" spans="51:60" x14ac:dyDescent="0.2">
      <c r="AY783" s="116"/>
      <c r="AZ783" s="93"/>
      <c r="BA783" s="89"/>
      <c r="BB783" s="9"/>
      <c r="BC783" s="93"/>
      <c r="BG783" s="116"/>
      <c r="BH783" s="9"/>
    </row>
    <row r="784" spans="51:60" x14ac:dyDescent="0.2">
      <c r="AY784" s="116"/>
      <c r="AZ784" s="93"/>
      <c r="BA784" s="89"/>
      <c r="BB784" s="9"/>
      <c r="BC784" s="93"/>
      <c r="BG784" s="116"/>
      <c r="BH784" s="9"/>
    </row>
    <row r="785" spans="51:60" x14ac:dyDescent="0.2">
      <c r="AY785" s="116"/>
      <c r="AZ785" s="93"/>
      <c r="BA785" s="89"/>
      <c r="BB785" s="9"/>
      <c r="BC785" s="93"/>
      <c r="BG785" s="116"/>
      <c r="BH785" s="9"/>
    </row>
    <row r="786" spans="51:60" x14ac:dyDescent="0.2">
      <c r="AY786" s="116"/>
      <c r="AZ786" s="93"/>
      <c r="BA786" s="89"/>
      <c r="BB786" s="9"/>
      <c r="BC786" s="93"/>
      <c r="BG786" s="116"/>
      <c r="BH786" s="9"/>
    </row>
    <row r="787" spans="51:60" x14ac:dyDescent="0.2">
      <c r="AY787" s="116"/>
      <c r="AZ787" s="93"/>
      <c r="BA787" s="89"/>
      <c r="BB787" s="9"/>
      <c r="BC787" s="93"/>
      <c r="BG787" s="116"/>
      <c r="BH787" s="9"/>
    </row>
    <row r="788" spans="51:60" x14ac:dyDescent="0.2">
      <c r="AY788" s="116"/>
      <c r="AZ788" s="93"/>
      <c r="BA788" s="89"/>
      <c r="BB788" s="9"/>
      <c r="BC788" s="93"/>
      <c r="BG788" s="116"/>
      <c r="BH788" s="9"/>
    </row>
    <row r="789" spans="51:60" x14ac:dyDescent="0.2">
      <c r="AY789" s="116"/>
      <c r="AZ789" s="93"/>
      <c r="BA789" s="89"/>
      <c r="BB789" s="9"/>
      <c r="BC789" s="93"/>
      <c r="BG789" s="116"/>
      <c r="BH789" s="9"/>
    </row>
    <row r="790" spans="51:60" x14ac:dyDescent="0.2">
      <c r="AY790" s="116"/>
      <c r="AZ790" s="93"/>
      <c r="BA790" s="89"/>
      <c r="BB790" s="9"/>
      <c r="BC790" s="93"/>
      <c r="BG790" s="116"/>
      <c r="BH790" s="9"/>
    </row>
    <row r="791" spans="51:60" x14ac:dyDescent="0.2">
      <c r="AY791" s="116"/>
      <c r="AZ791" s="93"/>
      <c r="BA791" s="89"/>
      <c r="BB791" s="9"/>
      <c r="BC791" s="93"/>
      <c r="BG791" s="116"/>
      <c r="BH791" s="9"/>
    </row>
    <row r="792" spans="51:60" x14ac:dyDescent="0.2">
      <c r="AY792" s="116"/>
      <c r="AZ792" s="93"/>
      <c r="BA792" s="89"/>
      <c r="BB792" s="9"/>
      <c r="BC792" s="93"/>
      <c r="BG792" s="116"/>
      <c r="BH792" s="9"/>
    </row>
    <row r="793" spans="51:60" x14ac:dyDescent="0.2">
      <c r="AY793" s="116"/>
      <c r="AZ793" s="93"/>
      <c r="BA793" s="89"/>
      <c r="BB793" s="9"/>
      <c r="BC793" s="93"/>
      <c r="BG793" s="116"/>
      <c r="BH793" s="9"/>
    </row>
    <row r="794" spans="51:60" x14ac:dyDescent="0.2">
      <c r="AY794" s="116"/>
      <c r="AZ794" s="93"/>
      <c r="BA794" s="89"/>
      <c r="BB794" s="9"/>
      <c r="BC794" s="93"/>
      <c r="BG794" s="116"/>
      <c r="BH794" s="9"/>
    </row>
    <row r="795" spans="51:60" x14ac:dyDescent="0.2">
      <c r="AY795" s="116"/>
      <c r="AZ795" s="93"/>
      <c r="BA795" s="89"/>
      <c r="BB795" s="9"/>
      <c r="BC795" s="93"/>
      <c r="BG795" s="116"/>
      <c r="BH795" s="9"/>
    </row>
    <row r="796" spans="51:60" x14ac:dyDescent="0.2">
      <c r="AY796" s="116"/>
      <c r="AZ796" s="93"/>
      <c r="BA796" s="89"/>
      <c r="BB796" s="9"/>
      <c r="BC796" s="93"/>
      <c r="BG796" s="116"/>
      <c r="BH796" s="9"/>
    </row>
    <row r="797" spans="51:60" x14ac:dyDescent="0.2">
      <c r="AY797" s="116"/>
      <c r="AZ797" s="93"/>
      <c r="BA797" s="89"/>
      <c r="BB797" s="9"/>
      <c r="BC797" s="93"/>
      <c r="BG797" s="116"/>
      <c r="BH797" s="9"/>
    </row>
    <row r="798" spans="51:60" x14ac:dyDescent="0.2">
      <c r="AY798" s="116"/>
      <c r="AZ798" s="93"/>
      <c r="BA798" s="89"/>
      <c r="BB798" s="9"/>
      <c r="BC798" s="93"/>
      <c r="BG798" s="116"/>
      <c r="BH798" s="9"/>
    </row>
    <row r="799" spans="51:60" x14ac:dyDescent="0.2">
      <c r="AY799" s="116"/>
      <c r="AZ799" s="93"/>
      <c r="BA799" s="89"/>
      <c r="BB799" s="9"/>
      <c r="BC799" s="93"/>
      <c r="BG799" s="116"/>
      <c r="BH799" s="9"/>
    </row>
    <row r="800" spans="51:60" x14ac:dyDescent="0.2">
      <c r="AY800" s="116"/>
      <c r="AZ800" s="93"/>
      <c r="BA800" s="89"/>
      <c r="BB800" s="9"/>
      <c r="BC800" s="93"/>
      <c r="BG800" s="116"/>
      <c r="BH800" s="9"/>
    </row>
    <row r="801" spans="51:60" x14ac:dyDescent="0.2">
      <c r="AY801" s="116"/>
      <c r="AZ801" s="93"/>
      <c r="BA801" s="89"/>
      <c r="BB801" s="9"/>
      <c r="BC801" s="93"/>
      <c r="BG801" s="116"/>
      <c r="BH801" s="9"/>
    </row>
    <row r="802" spans="51:60" x14ac:dyDescent="0.2">
      <c r="AY802" s="116"/>
      <c r="AZ802" s="93"/>
      <c r="BA802" s="89"/>
      <c r="BB802" s="9"/>
      <c r="BC802" s="93"/>
      <c r="BG802" s="116"/>
      <c r="BH802" s="9"/>
    </row>
    <row r="803" spans="51:60" x14ac:dyDescent="0.2">
      <c r="AY803" s="116"/>
      <c r="AZ803" s="93"/>
      <c r="BA803" s="89"/>
      <c r="BB803" s="9"/>
      <c r="BC803" s="93"/>
      <c r="BG803" s="116"/>
      <c r="BH803" s="9"/>
    </row>
    <row r="804" spans="51:60" x14ac:dyDescent="0.2">
      <c r="AY804" s="116"/>
      <c r="AZ804" s="93"/>
      <c r="BA804" s="89"/>
      <c r="BB804" s="9"/>
      <c r="BC804" s="93"/>
      <c r="BG804" s="116"/>
      <c r="BH804" s="9"/>
    </row>
    <row r="805" spans="51:60" x14ac:dyDescent="0.2">
      <c r="AY805" s="116"/>
      <c r="AZ805" s="93"/>
      <c r="BA805" s="89"/>
      <c r="BB805" s="9"/>
      <c r="BC805" s="93"/>
      <c r="BG805" s="116"/>
      <c r="BH805" s="9"/>
    </row>
    <row r="806" spans="51:60" x14ac:dyDescent="0.2">
      <c r="AY806" s="116"/>
      <c r="AZ806" s="93"/>
      <c r="BA806" s="89"/>
      <c r="BB806" s="9"/>
      <c r="BC806" s="93"/>
      <c r="BG806" s="116"/>
      <c r="BH806" s="9"/>
    </row>
    <row r="807" spans="51:60" x14ac:dyDescent="0.2">
      <c r="AY807" s="116"/>
      <c r="AZ807" s="93"/>
      <c r="BA807" s="89"/>
      <c r="BB807" s="9"/>
      <c r="BC807" s="93"/>
      <c r="BG807" s="116"/>
      <c r="BH807" s="9"/>
    </row>
    <row r="808" spans="51:60" x14ac:dyDescent="0.2">
      <c r="AY808" s="116"/>
      <c r="AZ808" s="93"/>
      <c r="BA808" s="89"/>
      <c r="BB808" s="9"/>
      <c r="BC808" s="93"/>
      <c r="BG808" s="116"/>
      <c r="BH808" s="9"/>
    </row>
    <row r="809" spans="51:60" x14ac:dyDescent="0.2">
      <c r="AY809" s="116"/>
      <c r="AZ809" s="93"/>
      <c r="BA809" s="89"/>
      <c r="BB809" s="9"/>
      <c r="BC809" s="93"/>
      <c r="BG809" s="116"/>
      <c r="BH809" s="9"/>
    </row>
    <row r="810" spans="51:60" x14ac:dyDescent="0.2">
      <c r="AY810" s="116"/>
      <c r="AZ810" s="93"/>
      <c r="BA810" s="89"/>
      <c r="BB810" s="9"/>
      <c r="BC810" s="93"/>
      <c r="BG810" s="116"/>
      <c r="BH810" s="9"/>
    </row>
    <row r="811" spans="51:60" x14ac:dyDescent="0.2">
      <c r="AY811" s="116"/>
      <c r="AZ811" s="93"/>
      <c r="BA811" s="89"/>
      <c r="BB811" s="9"/>
      <c r="BC811" s="93"/>
      <c r="BG811" s="116"/>
      <c r="BH811" s="9"/>
    </row>
    <row r="812" spans="51:60" x14ac:dyDescent="0.2">
      <c r="AY812" s="116"/>
      <c r="AZ812" s="93"/>
      <c r="BA812" s="89"/>
      <c r="BB812" s="9"/>
      <c r="BC812" s="93"/>
      <c r="BG812" s="116"/>
      <c r="BH812" s="9"/>
    </row>
    <row r="813" spans="51:60" x14ac:dyDescent="0.2">
      <c r="AY813" s="116"/>
      <c r="AZ813" s="93"/>
      <c r="BA813" s="89"/>
      <c r="BB813" s="9"/>
      <c r="BC813" s="93"/>
      <c r="BG813" s="116"/>
      <c r="BH813" s="9"/>
    </row>
    <row r="814" spans="51:60" x14ac:dyDescent="0.2">
      <c r="AY814" s="116"/>
      <c r="AZ814" s="93"/>
      <c r="BA814" s="89"/>
      <c r="BB814" s="9"/>
      <c r="BC814" s="93"/>
      <c r="BG814" s="116"/>
      <c r="BH814" s="9"/>
    </row>
    <row r="815" spans="51:60" x14ac:dyDescent="0.2">
      <c r="AY815" s="116"/>
      <c r="AZ815" s="93"/>
      <c r="BA815" s="89"/>
      <c r="BB815" s="9"/>
      <c r="BC815" s="93"/>
      <c r="BG815" s="116"/>
      <c r="BH815" s="9"/>
    </row>
    <row r="816" spans="51:60" x14ac:dyDescent="0.2">
      <c r="AY816" s="116"/>
      <c r="AZ816" s="93"/>
      <c r="BA816" s="89"/>
      <c r="BB816" s="9"/>
      <c r="BC816" s="93"/>
      <c r="BG816" s="116"/>
      <c r="BH816" s="9"/>
    </row>
    <row r="817" spans="51:60" x14ac:dyDescent="0.2">
      <c r="AY817" s="116"/>
      <c r="AZ817" s="93"/>
      <c r="BA817" s="89"/>
      <c r="BB817" s="9"/>
      <c r="BC817" s="93"/>
      <c r="BG817" s="116"/>
      <c r="BH817" s="9"/>
    </row>
    <row r="818" spans="51:60" x14ac:dyDescent="0.2">
      <c r="AY818" s="116"/>
      <c r="AZ818" s="93"/>
      <c r="BA818" s="89"/>
      <c r="BB818" s="9"/>
      <c r="BC818" s="93"/>
      <c r="BG818" s="116"/>
      <c r="BH818" s="9"/>
    </row>
    <row r="819" spans="51:60" x14ac:dyDescent="0.2">
      <c r="AY819" s="116"/>
      <c r="AZ819" s="93"/>
      <c r="BA819" s="89"/>
      <c r="BB819" s="9"/>
      <c r="BC819" s="93"/>
      <c r="BG819" s="116"/>
      <c r="BH819" s="9"/>
    </row>
    <row r="820" spans="51:60" x14ac:dyDescent="0.2">
      <c r="AY820" s="116"/>
      <c r="AZ820" s="93"/>
      <c r="BA820" s="89"/>
      <c r="BB820" s="9"/>
      <c r="BC820" s="93"/>
      <c r="BG820" s="116"/>
      <c r="BH820" s="9"/>
    </row>
    <row r="821" spans="51:60" x14ac:dyDescent="0.2">
      <c r="AY821" s="116"/>
      <c r="AZ821" s="93"/>
      <c r="BA821" s="89"/>
      <c r="BB821" s="9"/>
      <c r="BC821" s="93"/>
      <c r="BG821" s="116"/>
      <c r="BH821" s="9"/>
    </row>
    <row r="822" spans="51:60" x14ac:dyDescent="0.2">
      <c r="AY822" s="116"/>
      <c r="AZ822" s="93"/>
      <c r="BA822" s="89"/>
      <c r="BB822" s="9"/>
      <c r="BC822" s="93"/>
      <c r="BG822" s="116"/>
      <c r="BH822" s="9"/>
    </row>
    <row r="823" spans="51:60" x14ac:dyDescent="0.2">
      <c r="AY823" s="116"/>
      <c r="AZ823" s="93"/>
      <c r="BA823" s="89"/>
      <c r="BB823" s="9"/>
      <c r="BC823" s="93"/>
      <c r="BG823" s="116"/>
      <c r="BH823" s="9"/>
    </row>
    <row r="824" spans="51:60" x14ac:dyDescent="0.2">
      <c r="AY824" s="116"/>
      <c r="AZ824" s="93"/>
      <c r="BA824" s="89"/>
      <c r="BB824" s="9"/>
      <c r="BC824" s="93"/>
      <c r="BG824" s="116"/>
      <c r="BH824" s="9"/>
    </row>
    <row r="825" spans="51:60" x14ac:dyDescent="0.2">
      <c r="AY825" s="116"/>
      <c r="AZ825" s="93"/>
      <c r="BA825" s="89"/>
      <c r="BB825" s="9"/>
      <c r="BC825" s="93"/>
      <c r="BG825" s="116"/>
      <c r="BH825" s="9"/>
    </row>
    <row r="826" spans="51:60" x14ac:dyDescent="0.2">
      <c r="AY826" s="116"/>
      <c r="AZ826" s="93"/>
      <c r="BA826" s="89"/>
      <c r="BB826" s="9"/>
      <c r="BC826" s="93"/>
      <c r="BG826" s="116"/>
      <c r="BH826" s="9"/>
    </row>
    <row r="827" spans="51:60" x14ac:dyDescent="0.2">
      <c r="AY827" s="116"/>
      <c r="AZ827" s="93"/>
      <c r="BA827" s="89"/>
      <c r="BB827" s="9"/>
      <c r="BC827" s="93"/>
      <c r="BG827" s="116"/>
      <c r="BH827" s="9"/>
    </row>
    <row r="828" spans="51:60" x14ac:dyDescent="0.2">
      <c r="AY828" s="116"/>
      <c r="AZ828" s="93"/>
      <c r="BA828" s="89"/>
      <c r="BB828" s="9"/>
      <c r="BC828" s="93"/>
      <c r="BG828" s="116"/>
      <c r="BH828" s="9"/>
    </row>
    <row r="829" spans="51:60" x14ac:dyDescent="0.2">
      <c r="AY829" s="116"/>
      <c r="AZ829" s="93"/>
      <c r="BA829" s="89"/>
      <c r="BB829" s="9"/>
      <c r="BC829" s="93"/>
      <c r="BG829" s="116"/>
      <c r="BH829" s="9"/>
    </row>
    <row r="830" spans="51:60" x14ac:dyDescent="0.2">
      <c r="AY830" s="116"/>
      <c r="AZ830" s="93"/>
      <c r="BA830" s="89"/>
      <c r="BB830" s="9"/>
      <c r="BC830" s="93"/>
      <c r="BG830" s="116"/>
      <c r="BH830" s="9"/>
    </row>
    <row r="831" spans="51:60" x14ac:dyDescent="0.2">
      <c r="AY831" s="116"/>
      <c r="AZ831" s="93"/>
      <c r="BA831" s="89"/>
      <c r="BB831" s="9"/>
      <c r="BC831" s="93"/>
      <c r="BG831" s="116"/>
      <c r="BH831" s="9"/>
    </row>
    <row r="832" spans="51:60" x14ac:dyDescent="0.2">
      <c r="AY832" s="116"/>
      <c r="AZ832" s="93"/>
      <c r="BA832" s="89"/>
      <c r="BB832" s="9"/>
      <c r="BC832" s="93"/>
      <c r="BG832" s="116"/>
      <c r="BH832" s="9"/>
    </row>
    <row r="833" spans="51:60" x14ac:dyDescent="0.2">
      <c r="AY833" s="116"/>
      <c r="AZ833" s="93"/>
      <c r="BA833" s="89"/>
      <c r="BB833" s="9"/>
      <c r="BC833" s="93"/>
      <c r="BG833" s="116"/>
      <c r="BH833" s="9"/>
    </row>
    <row r="834" spans="51:60" x14ac:dyDescent="0.2">
      <c r="AY834" s="116"/>
      <c r="AZ834" s="93"/>
      <c r="BA834" s="89"/>
      <c r="BB834" s="9"/>
      <c r="BC834" s="93"/>
      <c r="BG834" s="116"/>
      <c r="BH834" s="9"/>
    </row>
    <row r="835" spans="51:60" x14ac:dyDescent="0.2">
      <c r="AY835" s="116"/>
      <c r="AZ835" s="93"/>
      <c r="BA835" s="89"/>
      <c r="BB835" s="9"/>
      <c r="BC835" s="93"/>
      <c r="BG835" s="116"/>
      <c r="BH835" s="9"/>
    </row>
    <row r="836" spans="51:60" x14ac:dyDescent="0.2">
      <c r="AY836" s="116"/>
      <c r="AZ836" s="93"/>
      <c r="BA836" s="89"/>
      <c r="BB836" s="9"/>
      <c r="BC836" s="93"/>
      <c r="BG836" s="116"/>
      <c r="BH836" s="9"/>
    </row>
    <row r="837" spans="51:60" x14ac:dyDescent="0.2">
      <c r="AY837" s="116"/>
      <c r="AZ837" s="93"/>
      <c r="BA837" s="89"/>
      <c r="BB837" s="9"/>
      <c r="BC837" s="93"/>
      <c r="BG837" s="116"/>
      <c r="BH837" s="9"/>
    </row>
    <row r="838" spans="51:60" x14ac:dyDescent="0.2">
      <c r="AY838" s="116"/>
      <c r="AZ838" s="93"/>
      <c r="BA838" s="89"/>
      <c r="BB838" s="9"/>
      <c r="BC838" s="93"/>
      <c r="BG838" s="116"/>
      <c r="BH838" s="9"/>
    </row>
    <row r="839" spans="51:60" x14ac:dyDescent="0.2">
      <c r="AY839" s="116"/>
      <c r="AZ839" s="93"/>
      <c r="BA839" s="89"/>
      <c r="BB839" s="9"/>
      <c r="BC839" s="93"/>
      <c r="BG839" s="116"/>
      <c r="BH839" s="9"/>
    </row>
    <row r="840" spans="51:60" x14ac:dyDescent="0.2">
      <c r="AY840" s="116"/>
      <c r="AZ840" s="93"/>
      <c r="BA840" s="89"/>
      <c r="BB840" s="9"/>
      <c r="BC840" s="93"/>
      <c r="BG840" s="116"/>
      <c r="BH840" s="9"/>
    </row>
    <row r="841" spans="51:60" x14ac:dyDescent="0.2">
      <c r="AY841" s="116"/>
      <c r="AZ841" s="93"/>
      <c r="BA841" s="89"/>
      <c r="BB841" s="9"/>
      <c r="BC841" s="93"/>
      <c r="BG841" s="116"/>
      <c r="BH841" s="9"/>
    </row>
    <row r="842" spans="51:60" x14ac:dyDescent="0.2">
      <c r="AY842" s="116"/>
      <c r="AZ842" s="93"/>
      <c r="BA842" s="89"/>
      <c r="BB842" s="9"/>
      <c r="BC842" s="93"/>
      <c r="BG842" s="116"/>
      <c r="BH842" s="9"/>
    </row>
    <row r="843" spans="51:60" x14ac:dyDescent="0.2">
      <c r="AY843" s="116"/>
      <c r="AZ843" s="93"/>
      <c r="BA843" s="89"/>
      <c r="BB843" s="9"/>
      <c r="BC843" s="93"/>
      <c r="BG843" s="116"/>
      <c r="BH843" s="9"/>
    </row>
    <row r="844" spans="51:60" x14ac:dyDescent="0.2">
      <c r="AY844" s="116"/>
      <c r="AZ844" s="93"/>
      <c r="BA844" s="89"/>
      <c r="BB844" s="9"/>
      <c r="BC844" s="93"/>
      <c r="BG844" s="116"/>
      <c r="BH844" s="9"/>
    </row>
    <row r="845" spans="51:60" x14ac:dyDescent="0.2">
      <c r="AY845" s="116"/>
      <c r="AZ845" s="93"/>
      <c r="BA845" s="89"/>
      <c r="BB845" s="9"/>
      <c r="BC845" s="93"/>
      <c r="BG845" s="116"/>
      <c r="BH845" s="9"/>
    </row>
    <row r="846" spans="51:60" x14ac:dyDescent="0.2">
      <c r="AY846" s="116"/>
      <c r="AZ846" s="93"/>
      <c r="BA846" s="89"/>
      <c r="BB846" s="9"/>
      <c r="BC846" s="93"/>
      <c r="BG846" s="116"/>
      <c r="BH846" s="9"/>
    </row>
    <row r="847" spans="51:60" x14ac:dyDescent="0.2">
      <c r="AY847" s="116"/>
      <c r="AZ847" s="93"/>
      <c r="BA847" s="89"/>
      <c r="BB847" s="9"/>
      <c r="BC847" s="93"/>
      <c r="BG847" s="116"/>
      <c r="BH847" s="9"/>
    </row>
    <row r="848" spans="51:60" x14ac:dyDescent="0.2">
      <c r="AY848" s="116"/>
      <c r="AZ848" s="93"/>
      <c r="BA848" s="89"/>
      <c r="BB848" s="9"/>
      <c r="BC848" s="93"/>
      <c r="BG848" s="116"/>
      <c r="BH848" s="9"/>
    </row>
    <row r="849" spans="51:60" x14ac:dyDescent="0.2">
      <c r="AY849" s="116"/>
      <c r="AZ849" s="93"/>
      <c r="BA849" s="89"/>
      <c r="BB849" s="9"/>
      <c r="BC849" s="93"/>
      <c r="BG849" s="116"/>
      <c r="BH849" s="9"/>
    </row>
    <row r="850" spans="51:60" x14ac:dyDescent="0.2">
      <c r="AY850" s="116"/>
      <c r="AZ850" s="93"/>
      <c r="BA850" s="89"/>
      <c r="BB850" s="9"/>
      <c r="BC850" s="93"/>
      <c r="BG850" s="116"/>
      <c r="BH850" s="9"/>
    </row>
    <row r="851" spans="51:60" x14ac:dyDescent="0.2">
      <c r="AY851" s="116"/>
      <c r="AZ851" s="93"/>
      <c r="BA851" s="89"/>
      <c r="BB851" s="9"/>
      <c r="BC851" s="93"/>
      <c r="BG851" s="116"/>
      <c r="BH851" s="9"/>
    </row>
    <row r="852" spans="51:60" x14ac:dyDescent="0.2">
      <c r="AY852" s="116"/>
      <c r="AZ852" s="93"/>
      <c r="BA852" s="89"/>
      <c r="BB852" s="9"/>
      <c r="BC852" s="93"/>
      <c r="BG852" s="116"/>
      <c r="BH852" s="9"/>
    </row>
    <row r="853" spans="51:60" x14ac:dyDescent="0.2">
      <c r="AY853" s="116"/>
      <c r="AZ853" s="93"/>
      <c r="BA853" s="89"/>
      <c r="BB853" s="9"/>
      <c r="BC853" s="93"/>
      <c r="BG853" s="116"/>
      <c r="BH853" s="9"/>
    </row>
    <row r="854" spans="51:60" x14ac:dyDescent="0.2">
      <c r="AY854" s="116"/>
      <c r="AZ854" s="93"/>
      <c r="BA854" s="89"/>
      <c r="BB854" s="9"/>
      <c r="BC854" s="93"/>
      <c r="BG854" s="116"/>
      <c r="BH854" s="9"/>
    </row>
    <row r="855" spans="51:60" x14ac:dyDescent="0.2">
      <c r="AY855" s="116"/>
      <c r="AZ855" s="93"/>
      <c r="BA855" s="89"/>
      <c r="BB855" s="9"/>
      <c r="BC855" s="93"/>
      <c r="BG855" s="116"/>
      <c r="BH855" s="9"/>
    </row>
    <row r="856" spans="51:60" x14ac:dyDescent="0.2">
      <c r="AY856" s="116"/>
      <c r="AZ856" s="93"/>
      <c r="BA856" s="89"/>
      <c r="BB856" s="9"/>
      <c r="BC856" s="93"/>
      <c r="BG856" s="116"/>
      <c r="BH856" s="9"/>
    </row>
    <row r="857" spans="51:60" x14ac:dyDescent="0.2">
      <c r="AY857" s="116"/>
      <c r="AZ857" s="93"/>
      <c r="BA857" s="89"/>
      <c r="BB857" s="9"/>
      <c r="BC857" s="93"/>
      <c r="BG857" s="116"/>
      <c r="BH857" s="9"/>
    </row>
    <row r="858" spans="51:60" x14ac:dyDescent="0.2">
      <c r="AY858" s="116"/>
      <c r="AZ858" s="93"/>
      <c r="BA858" s="89"/>
      <c r="BB858" s="9"/>
      <c r="BC858" s="93"/>
      <c r="BG858" s="116"/>
      <c r="BH858" s="9"/>
    </row>
    <row r="859" spans="51:60" x14ac:dyDescent="0.2">
      <c r="AY859" s="116"/>
      <c r="AZ859" s="93"/>
      <c r="BA859" s="89"/>
      <c r="BB859" s="9"/>
      <c r="BC859" s="93"/>
      <c r="BG859" s="116"/>
      <c r="BH859" s="9"/>
    </row>
    <row r="860" spans="51:60" x14ac:dyDescent="0.2">
      <c r="AY860" s="116"/>
      <c r="AZ860" s="93"/>
      <c r="BA860" s="89"/>
      <c r="BB860" s="9"/>
      <c r="BC860" s="93"/>
      <c r="BG860" s="116"/>
      <c r="BH860" s="9"/>
    </row>
    <row r="861" spans="51:60" x14ac:dyDescent="0.2">
      <c r="AY861" s="116"/>
      <c r="AZ861" s="93"/>
      <c r="BA861" s="89"/>
      <c r="BB861" s="9"/>
      <c r="BC861" s="93"/>
      <c r="BG861" s="116"/>
      <c r="BH861" s="9"/>
    </row>
    <row r="862" spans="51:60" x14ac:dyDescent="0.2">
      <c r="AY862" s="116"/>
      <c r="AZ862" s="93"/>
      <c r="BA862" s="89"/>
      <c r="BB862" s="9"/>
      <c r="BC862" s="93"/>
      <c r="BG862" s="116"/>
      <c r="BH862" s="9"/>
    </row>
    <row r="863" spans="51:60" x14ac:dyDescent="0.2">
      <c r="AY863" s="116"/>
      <c r="AZ863" s="93"/>
      <c r="BA863" s="89"/>
      <c r="BB863" s="9"/>
      <c r="BC863" s="93"/>
      <c r="BG863" s="116"/>
      <c r="BH863" s="9"/>
    </row>
    <row r="864" spans="51:60" x14ac:dyDescent="0.2">
      <c r="AY864" s="116"/>
      <c r="AZ864" s="93"/>
      <c r="BA864" s="89"/>
      <c r="BB864" s="9"/>
      <c r="BC864" s="93"/>
      <c r="BG864" s="116"/>
      <c r="BH864" s="9"/>
    </row>
    <row r="865" spans="51:60" x14ac:dyDescent="0.2">
      <c r="AY865" s="116"/>
      <c r="AZ865" s="93"/>
      <c r="BA865" s="89"/>
      <c r="BB865" s="9"/>
      <c r="BC865" s="93"/>
      <c r="BG865" s="116"/>
      <c r="BH865" s="9"/>
    </row>
    <row r="866" spans="51:60" x14ac:dyDescent="0.2">
      <c r="AY866" s="116"/>
      <c r="AZ866" s="93"/>
      <c r="BA866" s="89"/>
      <c r="BB866" s="9"/>
      <c r="BC866" s="93"/>
      <c r="BG866" s="116"/>
      <c r="BH866" s="9"/>
    </row>
    <row r="867" spans="51:60" x14ac:dyDescent="0.2">
      <c r="AY867" s="116"/>
      <c r="AZ867" s="93"/>
      <c r="BA867" s="89"/>
      <c r="BB867" s="9"/>
      <c r="BC867" s="93"/>
      <c r="BG867" s="116"/>
      <c r="BH867" s="9"/>
    </row>
    <row r="868" spans="51:60" x14ac:dyDescent="0.2">
      <c r="AY868" s="116"/>
      <c r="AZ868" s="93"/>
      <c r="BA868" s="89"/>
      <c r="BB868" s="9"/>
      <c r="BC868" s="93"/>
      <c r="BG868" s="116"/>
      <c r="BH868" s="9"/>
    </row>
    <row r="869" spans="51:60" x14ac:dyDescent="0.2">
      <c r="AY869" s="116"/>
      <c r="AZ869" s="93"/>
      <c r="BA869" s="89"/>
      <c r="BB869" s="9"/>
      <c r="BC869" s="93"/>
      <c r="BG869" s="116"/>
      <c r="BH869" s="9"/>
    </row>
    <row r="870" spans="51:60" x14ac:dyDescent="0.2">
      <c r="AY870" s="116"/>
      <c r="AZ870" s="93"/>
      <c r="BA870" s="89"/>
      <c r="BB870" s="9"/>
      <c r="BC870" s="93"/>
      <c r="BG870" s="116"/>
      <c r="BH870" s="9"/>
    </row>
    <row r="871" spans="51:60" x14ac:dyDescent="0.2">
      <c r="AY871" s="116"/>
      <c r="AZ871" s="93"/>
      <c r="BA871" s="89"/>
      <c r="BB871" s="9"/>
      <c r="BC871" s="93"/>
      <c r="BG871" s="116"/>
      <c r="BH871" s="9"/>
    </row>
    <row r="872" spans="51:60" x14ac:dyDescent="0.2">
      <c r="AY872" s="116"/>
      <c r="AZ872" s="93"/>
      <c r="BA872" s="89"/>
      <c r="BB872" s="9"/>
      <c r="BC872" s="93"/>
      <c r="BG872" s="116"/>
      <c r="BH872" s="9"/>
    </row>
    <row r="873" spans="51:60" x14ac:dyDescent="0.2">
      <c r="AY873" s="116"/>
      <c r="AZ873" s="93"/>
      <c r="BA873" s="89"/>
      <c r="BB873" s="9"/>
      <c r="BC873" s="93"/>
      <c r="BG873" s="116"/>
      <c r="BH873" s="9"/>
    </row>
    <row r="874" spans="51:60" x14ac:dyDescent="0.2">
      <c r="AY874" s="116"/>
      <c r="AZ874" s="93"/>
      <c r="BA874" s="89"/>
      <c r="BB874" s="9"/>
      <c r="BC874" s="93"/>
      <c r="BG874" s="116"/>
      <c r="BH874" s="9"/>
    </row>
    <row r="875" spans="51:60" x14ac:dyDescent="0.2">
      <c r="AY875" s="116"/>
      <c r="AZ875" s="93"/>
      <c r="BA875" s="89"/>
      <c r="BB875" s="9"/>
      <c r="BC875" s="93"/>
      <c r="BG875" s="116"/>
      <c r="BH875" s="9"/>
    </row>
    <row r="876" spans="51:60" x14ac:dyDescent="0.2">
      <c r="AY876" s="116"/>
      <c r="AZ876" s="93"/>
      <c r="BA876" s="89"/>
      <c r="BB876" s="9"/>
      <c r="BC876" s="93"/>
      <c r="BG876" s="116"/>
      <c r="BH876" s="9"/>
    </row>
    <row r="877" spans="51:60" x14ac:dyDescent="0.2">
      <c r="AY877" s="116"/>
      <c r="AZ877" s="93"/>
      <c r="BA877" s="89"/>
      <c r="BB877" s="9"/>
      <c r="BC877" s="93"/>
      <c r="BG877" s="116"/>
      <c r="BH877" s="9"/>
    </row>
    <row r="878" spans="51:60" x14ac:dyDescent="0.2">
      <c r="AY878" s="116"/>
      <c r="AZ878" s="93"/>
      <c r="BA878" s="89"/>
      <c r="BB878" s="9"/>
      <c r="BC878" s="93"/>
      <c r="BG878" s="116"/>
      <c r="BH878" s="9"/>
    </row>
    <row r="879" spans="51:60" x14ac:dyDescent="0.2">
      <c r="AY879" s="116"/>
      <c r="AZ879" s="93"/>
      <c r="BA879" s="89"/>
      <c r="BB879" s="9"/>
      <c r="BC879" s="93"/>
      <c r="BG879" s="116"/>
      <c r="BH879" s="9"/>
    </row>
    <row r="880" spans="51:60" x14ac:dyDescent="0.2">
      <c r="AY880" s="116"/>
      <c r="AZ880" s="93"/>
      <c r="BA880" s="89"/>
      <c r="BB880" s="9"/>
      <c r="BC880" s="93"/>
      <c r="BG880" s="116"/>
      <c r="BH880" s="9"/>
    </row>
    <row r="881" spans="51:60" x14ac:dyDescent="0.2">
      <c r="AY881" s="116"/>
      <c r="AZ881" s="93"/>
      <c r="BA881" s="89"/>
      <c r="BB881" s="9"/>
      <c r="BC881" s="93"/>
      <c r="BG881" s="116"/>
      <c r="BH881" s="9"/>
    </row>
    <row r="882" spans="51:60" x14ac:dyDescent="0.2">
      <c r="AY882" s="116"/>
      <c r="AZ882" s="93"/>
      <c r="BA882" s="89"/>
      <c r="BB882" s="9"/>
      <c r="BC882" s="93"/>
      <c r="BG882" s="116"/>
      <c r="BH882" s="9"/>
    </row>
    <row r="883" spans="51:60" x14ac:dyDescent="0.2">
      <c r="AY883" s="116"/>
      <c r="AZ883" s="93"/>
      <c r="BA883" s="89"/>
      <c r="BB883" s="9"/>
      <c r="BC883" s="93"/>
      <c r="BG883" s="116"/>
      <c r="BH883" s="9"/>
    </row>
    <row r="884" spans="51:60" x14ac:dyDescent="0.2">
      <c r="AY884" s="116"/>
      <c r="AZ884" s="93"/>
      <c r="BA884" s="89"/>
      <c r="BB884" s="9"/>
      <c r="BC884" s="93"/>
      <c r="BG884" s="116"/>
      <c r="BH884" s="9"/>
    </row>
    <row r="885" spans="51:60" x14ac:dyDescent="0.2">
      <c r="AY885" s="116"/>
      <c r="AZ885" s="93"/>
      <c r="BA885" s="89"/>
      <c r="BB885" s="9"/>
      <c r="BC885" s="93"/>
      <c r="BG885" s="116"/>
      <c r="BH885" s="9"/>
    </row>
    <row r="886" spans="51:60" x14ac:dyDescent="0.2">
      <c r="AY886" s="116"/>
      <c r="AZ886" s="93"/>
      <c r="BA886" s="89"/>
      <c r="BB886" s="9"/>
      <c r="BC886" s="93"/>
      <c r="BG886" s="116"/>
      <c r="BH886" s="9"/>
    </row>
    <row r="887" spans="51:60" x14ac:dyDescent="0.2">
      <c r="AY887" s="116"/>
      <c r="AZ887" s="93"/>
      <c r="BA887" s="89"/>
      <c r="BB887" s="9"/>
      <c r="BC887" s="93"/>
      <c r="BG887" s="116"/>
      <c r="BH887" s="9"/>
    </row>
    <row r="888" spans="51:60" x14ac:dyDescent="0.2">
      <c r="AY888" s="116"/>
      <c r="AZ888" s="93"/>
      <c r="BA888" s="89"/>
      <c r="BB888" s="9"/>
      <c r="BC888" s="93"/>
      <c r="BG888" s="116"/>
      <c r="BH888" s="9"/>
    </row>
    <row r="889" spans="51:60" x14ac:dyDescent="0.2">
      <c r="AY889" s="116"/>
      <c r="AZ889" s="93"/>
      <c r="BA889" s="89"/>
      <c r="BB889" s="9"/>
      <c r="BC889" s="93"/>
      <c r="BG889" s="116"/>
      <c r="BH889" s="9"/>
    </row>
    <row r="890" spans="51:60" x14ac:dyDescent="0.2">
      <c r="AY890" s="116"/>
      <c r="AZ890" s="93"/>
      <c r="BA890" s="89"/>
      <c r="BB890" s="9"/>
      <c r="BC890" s="93"/>
      <c r="BG890" s="116"/>
      <c r="BH890" s="9"/>
    </row>
    <row r="891" spans="51:60" x14ac:dyDescent="0.2">
      <c r="AY891" s="116"/>
      <c r="AZ891" s="93"/>
      <c r="BA891" s="89"/>
      <c r="BB891" s="9"/>
      <c r="BC891" s="93"/>
      <c r="BG891" s="116"/>
      <c r="BH891" s="9"/>
    </row>
    <row r="892" spans="51:60" x14ac:dyDescent="0.2">
      <c r="AY892" s="116"/>
      <c r="AZ892" s="93"/>
      <c r="BA892" s="89"/>
      <c r="BB892" s="9"/>
      <c r="BC892" s="93"/>
      <c r="BG892" s="116"/>
      <c r="BH892" s="9"/>
    </row>
    <row r="893" spans="51:60" x14ac:dyDescent="0.2">
      <c r="AY893" s="116"/>
      <c r="AZ893" s="93"/>
      <c r="BA893" s="89"/>
      <c r="BB893" s="9"/>
      <c r="BC893" s="93"/>
      <c r="BG893" s="116"/>
      <c r="BH893" s="9"/>
    </row>
    <row r="894" spans="51:60" x14ac:dyDescent="0.2">
      <c r="AY894" s="116"/>
      <c r="AZ894" s="93"/>
      <c r="BA894" s="89"/>
      <c r="BB894" s="9"/>
      <c r="BC894" s="93"/>
      <c r="BG894" s="116"/>
      <c r="BH894" s="9"/>
    </row>
    <row r="895" spans="51:60" x14ac:dyDescent="0.2">
      <c r="AY895" s="116"/>
      <c r="AZ895" s="93"/>
      <c r="BA895" s="89"/>
      <c r="BB895" s="9"/>
      <c r="BC895" s="93"/>
      <c r="BG895" s="116"/>
      <c r="BH895" s="9"/>
    </row>
    <row r="896" spans="51:60" x14ac:dyDescent="0.2">
      <c r="AY896" s="116"/>
      <c r="AZ896" s="93"/>
      <c r="BA896" s="89"/>
      <c r="BB896" s="9"/>
      <c r="BC896" s="93"/>
      <c r="BG896" s="116"/>
      <c r="BH896" s="9"/>
    </row>
    <row r="897" spans="51:60" x14ac:dyDescent="0.2">
      <c r="AY897" s="116"/>
      <c r="AZ897" s="93"/>
      <c r="BA897" s="89"/>
      <c r="BB897" s="9"/>
      <c r="BC897" s="93"/>
      <c r="BG897" s="116"/>
      <c r="BH897" s="9"/>
    </row>
    <row r="898" spans="51:60" x14ac:dyDescent="0.2">
      <c r="AY898" s="116"/>
      <c r="AZ898" s="93"/>
      <c r="BA898" s="89"/>
      <c r="BB898" s="9"/>
      <c r="BC898" s="93"/>
      <c r="BG898" s="116"/>
      <c r="BH898" s="9"/>
    </row>
    <row r="899" spans="51:60" x14ac:dyDescent="0.2">
      <c r="AY899" s="116"/>
      <c r="AZ899" s="93"/>
      <c r="BA899" s="89"/>
      <c r="BB899" s="9"/>
      <c r="BC899" s="93"/>
      <c r="BG899" s="116"/>
      <c r="BH899" s="9"/>
    </row>
    <row r="900" spans="51:60" x14ac:dyDescent="0.2">
      <c r="AY900" s="116"/>
      <c r="AZ900" s="93"/>
      <c r="BA900" s="89"/>
      <c r="BB900" s="9"/>
      <c r="BC900" s="93"/>
      <c r="BG900" s="116"/>
      <c r="BH900" s="9"/>
    </row>
    <row r="901" spans="51:60" x14ac:dyDescent="0.2">
      <c r="AY901" s="116"/>
      <c r="AZ901" s="93"/>
      <c r="BA901" s="89"/>
      <c r="BB901" s="9"/>
      <c r="BC901" s="93"/>
      <c r="BG901" s="116"/>
      <c r="BH901" s="9"/>
    </row>
    <row r="902" spans="51:60" x14ac:dyDescent="0.2">
      <c r="AY902" s="116"/>
      <c r="AZ902" s="93"/>
      <c r="BA902" s="89"/>
      <c r="BB902" s="9"/>
      <c r="BC902" s="93"/>
      <c r="BG902" s="116"/>
      <c r="BH902" s="9"/>
    </row>
    <row r="903" spans="51:60" x14ac:dyDescent="0.2">
      <c r="AY903" s="116"/>
      <c r="AZ903" s="93"/>
      <c r="BA903" s="89"/>
      <c r="BB903" s="9"/>
      <c r="BC903" s="93"/>
      <c r="BG903" s="116"/>
      <c r="BH903" s="9"/>
    </row>
    <row r="904" spans="51:60" x14ac:dyDescent="0.2">
      <c r="AY904" s="116"/>
      <c r="AZ904" s="93"/>
      <c r="BA904" s="89"/>
      <c r="BB904" s="9"/>
      <c r="BC904" s="93"/>
      <c r="BG904" s="116"/>
      <c r="BH904" s="9"/>
    </row>
    <row r="905" spans="51:60" x14ac:dyDescent="0.2">
      <c r="AY905" s="116"/>
      <c r="AZ905" s="93"/>
      <c r="BA905" s="89"/>
      <c r="BB905" s="9"/>
      <c r="BC905" s="93"/>
      <c r="BG905" s="116"/>
      <c r="BH905" s="9"/>
    </row>
    <row r="906" spans="51:60" x14ac:dyDescent="0.2">
      <c r="AY906" s="116"/>
      <c r="AZ906" s="93"/>
      <c r="BA906" s="89"/>
      <c r="BB906" s="9"/>
      <c r="BC906" s="93"/>
      <c r="BG906" s="116"/>
      <c r="BH906" s="9"/>
    </row>
    <row r="907" spans="51:60" x14ac:dyDescent="0.2">
      <c r="AY907" s="116"/>
      <c r="AZ907" s="93"/>
      <c r="BA907" s="89"/>
      <c r="BB907" s="9"/>
      <c r="BC907" s="93"/>
      <c r="BG907" s="116"/>
      <c r="BH907" s="9"/>
    </row>
    <row r="908" spans="51:60" x14ac:dyDescent="0.2">
      <c r="AY908" s="116"/>
      <c r="AZ908" s="93"/>
      <c r="BA908" s="89"/>
      <c r="BB908" s="9"/>
      <c r="BC908" s="93"/>
      <c r="BG908" s="116"/>
      <c r="BH908" s="9"/>
    </row>
    <row r="909" spans="51:60" x14ac:dyDescent="0.2">
      <c r="AY909" s="116"/>
      <c r="AZ909" s="93"/>
      <c r="BA909" s="89"/>
      <c r="BB909" s="9"/>
      <c r="BC909" s="93"/>
      <c r="BG909" s="116"/>
      <c r="BH909" s="9"/>
    </row>
    <row r="910" spans="51:60" x14ac:dyDescent="0.2">
      <c r="AY910" s="116"/>
      <c r="AZ910" s="93"/>
      <c r="BA910" s="89"/>
      <c r="BB910" s="9"/>
      <c r="BC910" s="93"/>
      <c r="BG910" s="116"/>
      <c r="BH910" s="9"/>
    </row>
    <row r="911" spans="51:60" x14ac:dyDescent="0.2">
      <c r="AY911" s="116"/>
      <c r="AZ911" s="93"/>
      <c r="BA911" s="89"/>
      <c r="BB911" s="9"/>
      <c r="BC911" s="93"/>
      <c r="BG911" s="116"/>
      <c r="BH911" s="9"/>
    </row>
    <row r="912" spans="51:60" x14ac:dyDescent="0.2">
      <c r="AY912" s="116"/>
      <c r="AZ912" s="93"/>
      <c r="BA912" s="89"/>
      <c r="BB912" s="9"/>
      <c r="BC912" s="93"/>
      <c r="BG912" s="116"/>
      <c r="BH912" s="9"/>
    </row>
    <row r="913" spans="51:60" x14ac:dyDescent="0.2">
      <c r="AY913" s="116"/>
      <c r="AZ913" s="93"/>
      <c r="BA913" s="89"/>
      <c r="BB913" s="9"/>
      <c r="BC913" s="93"/>
      <c r="BG913" s="116"/>
      <c r="BH913" s="9"/>
    </row>
    <row r="914" spans="51:60" x14ac:dyDescent="0.2">
      <c r="AY914" s="116"/>
      <c r="AZ914" s="93"/>
      <c r="BA914" s="89"/>
      <c r="BB914" s="9"/>
      <c r="BC914" s="93"/>
      <c r="BG914" s="116"/>
      <c r="BH914" s="9"/>
    </row>
    <row r="915" spans="51:60" x14ac:dyDescent="0.2">
      <c r="AY915" s="116"/>
      <c r="AZ915" s="93"/>
      <c r="BA915" s="89"/>
      <c r="BB915" s="9"/>
      <c r="BC915" s="93"/>
      <c r="BG915" s="116"/>
      <c r="BH915" s="9"/>
    </row>
    <row r="916" spans="51:60" x14ac:dyDescent="0.2">
      <c r="AY916" s="116"/>
      <c r="AZ916" s="93"/>
      <c r="BA916" s="89"/>
      <c r="BB916" s="9"/>
      <c r="BC916" s="93"/>
      <c r="BG916" s="116"/>
      <c r="BH916" s="9"/>
    </row>
    <row r="917" spans="51:60" x14ac:dyDescent="0.2">
      <c r="AY917" s="116"/>
      <c r="AZ917" s="93"/>
      <c r="BA917" s="89"/>
      <c r="BB917" s="9"/>
      <c r="BC917" s="93"/>
      <c r="BG917" s="116"/>
      <c r="BH917" s="9"/>
    </row>
    <row r="918" spans="51:60" x14ac:dyDescent="0.2">
      <c r="AY918" s="116"/>
      <c r="AZ918" s="93"/>
      <c r="BA918" s="89"/>
      <c r="BB918" s="9"/>
      <c r="BC918" s="93"/>
      <c r="BG918" s="116"/>
      <c r="BH918" s="9"/>
    </row>
    <row r="919" spans="51:60" x14ac:dyDescent="0.2">
      <c r="AY919" s="116"/>
      <c r="AZ919" s="93"/>
      <c r="BA919" s="89"/>
      <c r="BB919" s="9"/>
      <c r="BC919" s="93"/>
      <c r="BG919" s="116"/>
      <c r="BH919" s="9"/>
    </row>
    <row r="920" spans="51:60" x14ac:dyDescent="0.2">
      <c r="AY920" s="116"/>
      <c r="AZ920" s="93"/>
      <c r="BA920" s="89"/>
      <c r="BB920" s="9"/>
      <c r="BC920" s="93"/>
      <c r="BG920" s="116"/>
      <c r="BH920" s="9"/>
    </row>
    <row r="921" spans="51:60" x14ac:dyDescent="0.2">
      <c r="AY921" s="116"/>
      <c r="AZ921" s="93"/>
      <c r="BA921" s="89"/>
      <c r="BB921" s="9"/>
      <c r="BC921" s="93"/>
      <c r="BG921" s="116"/>
      <c r="BH921" s="9"/>
    </row>
    <row r="922" spans="51:60" x14ac:dyDescent="0.2">
      <c r="AY922" s="116"/>
      <c r="AZ922" s="93"/>
      <c r="BA922" s="89"/>
      <c r="BB922" s="9"/>
      <c r="BC922" s="93"/>
      <c r="BG922" s="116"/>
      <c r="BH922" s="9"/>
    </row>
    <row r="923" spans="51:60" x14ac:dyDescent="0.2">
      <c r="AY923" s="116"/>
      <c r="AZ923" s="93"/>
      <c r="BA923" s="89"/>
      <c r="BB923" s="9"/>
      <c r="BC923" s="93"/>
      <c r="BG923" s="116"/>
      <c r="BH923" s="9"/>
    </row>
    <row r="924" spans="51:60" x14ac:dyDescent="0.2">
      <c r="AY924" s="116"/>
      <c r="AZ924" s="93"/>
      <c r="BA924" s="89"/>
      <c r="BB924" s="9"/>
      <c r="BC924" s="93"/>
      <c r="BG924" s="116"/>
      <c r="BH924" s="9"/>
    </row>
    <row r="925" spans="51:60" x14ac:dyDescent="0.2">
      <c r="AY925" s="116"/>
      <c r="AZ925" s="93"/>
      <c r="BA925" s="89"/>
      <c r="BB925" s="9"/>
      <c r="BC925" s="93"/>
      <c r="BG925" s="116"/>
      <c r="BH925" s="9"/>
    </row>
    <row r="926" spans="51:60" x14ac:dyDescent="0.2">
      <c r="AY926" s="116"/>
      <c r="AZ926" s="93"/>
      <c r="BA926" s="89"/>
      <c r="BB926" s="9"/>
      <c r="BC926" s="93"/>
      <c r="BG926" s="116"/>
      <c r="BH926" s="9"/>
    </row>
    <row r="927" spans="51:60" x14ac:dyDescent="0.2">
      <c r="AY927" s="116"/>
      <c r="AZ927" s="93"/>
      <c r="BA927" s="89"/>
      <c r="BB927" s="9"/>
      <c r="BC927" s="93"/>
      <c r="BG927" s="116"/>
      <c r="BH927" s="9"/>
    </row>
    <row r="928" spans="51:60" x14ac:dyDescent="0.2">
      <c r="AY928" s="116"/>
      <c r="AZ928" s="93"/>
      <c r="BA928" s="89"/>
      <c r="BB928" s="9"/>
      <c r="BC928" s="93"/>
      <c r="BG928" s="116"/>
      <c r="BH928" s="9"/>
    </row>
    <row r="929" spans="51:60" x14ac:dyDescent="0.2">
      <c r="AY929" s="116"/>
      <c r="AZ929" s="93"/>
      <c r="BA929" s="89"/>
      <c r="BB929" s="9"/>
      <c r="BC929" s="93"/>
      <c r="BG929" s="116"/>
      <c r="BH929" s="9"/>
    </row>
    <row r="930" spans="51:60" x14ac:dyDescent="0.2">
      <c r="AY930" s="116"/>
      <c r="AZ930" s="93"/>
      <c r="BA930" s="89"/>
      <c r="BB930" s="9"/>
      <c r="BC930" s="93"/>
      <c r="BG930" s="116"/>
      <c r="BH930" s="9"/>
    </row>
    <row r="931" spans="51:60" x14ac:dyDescent="0.2">
      <c r="AY931" s="116"/>
      <c r="AZ931" s="93"/>
      <c r="BA931" s="89"/>
      <c r="BB931" s="9"/>
      <c r="BC931" s="93"/>
      <c r="BG931" s="116"/>
      <c r="BH931" s="9"/>
    </row>
    <row r="932" spans="51:60" x14ac:dyDescent="0.2">
      <c r="AY932" s="116"/>
      <c r="AZ932" s="93"/>
      <c r="BA932" s="89"/>
      <c r="BB932" s="9"/>
      <c r="BC932" s="93"/>
      <c r="BG932" s="116"/>
      <c r="BH932" s="9"/>
    </row>
    <row r="933" spans="51:60" x14ac:dyDescent="0.2">
      <c r="AY933" s="116"/>
      <c r="AZ933" s="93"/>
      <c r="BA933" s="89"/>
      <c r="BB933" s="9"/>
      <c r="BC933" s="93"/>
      <c r="BG933" s="116"/>
      <c r="BH933" s="9"/>
    </row>
    <row r="934" spans="51:60" x14ac:dyDescent="0.2">
      <c r="AY934" s="116"/>
      <c r="AZ934" s="93"/>
      <c r="BA934" s="89"/>
      <c r="BB934" s="9"/>
      <c r="BC934" s="93"/>
      <c r="BG934" s="116"/>
      <c r="BH934" s="9"/>
    </row>
    <row r="935" spans="51:60" x14ac:dyDescent="0.2">
      <c r="AY935" s="116"/>
      <c r="AZ935" s="93"/>
      <c r="BA935" s="89"/>
      <c r="BB935" s="9"/>
      <c r="BC935" s="93"/>
      <c r="BG935" s="116"/>
      <c r="BH935" s="9"/>
    </row>
    <row r="936" spans="51:60" x14ac:dyDescent="0.2">
      <c r="AY936" s="116"/>
      <c r="AZ936" s="93"/>
      <c r="BA936" s="89"/>
      <c r="BB936" s="9"/>
      <c r="BC936" s="93"/>
      <c r="BG936" s="116"/>
      <c r="BH936" s="9"/>
    </row>
    <row r="937" spans="51:60" x14ac:dyDescent="0.2">
      <c r="AY937" s="116"/>
      <c r="AZ937" s="93"/>
      <c r="BA937" s="89"/>
      <c r="BB937" s="9"/>
      <c r="BC937" s="93"/>
      <c r="BG937" s="116"/>
      <c r="BH937" s="9"/>
    </row>
    <row r="938" spans="51:60" x14ac:dyDescent="0.2">
      <c r="AY938" s="116"/>
      <c r="AZ938" s="93"/>
      <c r="BA938" s="89"/>
      <c r="BB938" s="9"/>
      <c r="BC938" s="93"/>
      <c r="BG938" s="116"/>
      <c r="BH938" s="9"/>
    </row>
    <row r="939" spans="51:60" x14ac:dyDescent="0.2">
      <c r="AY939" s="116"/>
      <c r="AZ939" s="93"/>
      <c r="BA939" s="89"/>
      <c r="BB939" s="9"/>
      <c r="BC939" s="93"/>
      <c r="BG939" s="116"/>
      <c r="BH939" s="9"/>
    </row>
    <row r="940" spans="51:60" x14ac:dyDescent="0.2">
      <c r="AY940" s="116"/>
      <c r="AZ940" s="93"/>
      <c r="BA940" s="89"/>
      <c r="BB940" s="9"/>
      <c r="BC940" s="93"/>
      <c r="BG940" s="116"/>
      <c r="BH940" s="9"/>
    </row>
    <row r="941" spans="51:60" x14ac:dyDescent="0.2">
      <c r="AY941" s="116"/>
      <c r="AZ941" s="93"/>
      <c r="BA941" s="89"/>
      <c r="BB941" s="9"/>
      <c r="BC941" s="93"/>
      <c r="BG941" s="116"/>
      <c r="BH941" s="9"/>
    </row>
    <row r="942" spans="51:60" x14ac:dyDescent="0.2">
      <c r="AY942" s="116"/>
      <c r="AZ942" s="93"/>
      <c r="BA942" s="89"/>
      <c r="BB942" s="9"/>
      <c r="BC942" s="93"/>
      <c r="BG942" s="116"/>
      <c r="BH942" s="9"/>
    </row>
    <row r="943" spans="51:60" x14ac:dyDescent="0.2">
      <c r="AY943" s="116"/>
      <c r="AZ943" s="93"/>
      <c r="BA943" s="89"/>
      <c r="BB943" s="9"/>
      <c r="BC943" s="93"/>
      <c r="BG943" s="116"/>
      <c r="BH943" s="9"/>
    </row>
    <row r="944" spans="51:60" x14ac:dyDescent="0.2">
      <c r="AY944" s="116"/>
      <c r="AZ944" s="93"/>
      <c r="BA944" s="89"/>
      <c r="BB944" s="9"/>
      <c r="BC944" s="93"/>
      <c r="BG944" s="116"/>
      <c r="BH944" s="9"/>
    </row>
    <row r="945" spans="51:60" x14ac:dyDescent="0.2">
      <c r="AY945" s="116"/>
      <c r="AZ945" s="93"/>
      <c r="BA945" s="89"/>
      <c r="BB945" s="9"/>
      <c r="BC945" s="93"/>
      <c r="BG945" s="116"/>
      <c r="BH945" s="9"/>
    </row>
    <row r="946" spans="51:60" x14ac:dyDescent="0.2">
      <c r="AY946" s="116"/>
      <c r="AZ946" s="93"/>
      <c r="BA946" s="89"/>
      <c r="BB946" s="9"/>
      <c r="BC946" s="93"/>
      <c r="BG946" s="116"/>
      <c r="BH946" s="9"/>
    </row>
    <row r="947" spans="51:60" x14ac:dyDescent="0.2">
      <c r="AY947" s="116"/>
      <c r="AZ947" s="93"/>
      <c r="BA947" s="89"/>
      <c r="BB947" s="9"/>
      <c r="BC947" s="93"/>
      <c r="BG947" s="116"/>
      <c r="BH947" s="9"/>
    </row>
    <row r="948" spans="51:60" x14ac:dyDescent="0.2">
      <c r="AY948" s="116"/>
      <c r="AZ948" s="93"/>
      <c r="BA948" s="89"/>
      <c r="BB948" s="9"/>
      <c r="BC948" s="93"/>
      <c r="BG948" s="116"/>
      <c r="BH948" s="9"/>
    </row>
    <row r="949" spans="51:60" x14ac:dyDescent="0.2">
      <c r="AY949" s="116"/>
      <c r="AZ949" s="93"/>
      <c r="BA949" s="89"/>
      <c r="BB949" s="9"/>
      <c r="BC949" s="93"/>
      <c r="BG949" s="116"/>
      <c r="BH949" s="9"/>
    </row>
    <row r="950" spans="51:60" x14ac:dyDescent="0.2">
      <c r="AY950" s="116"/>
      <c r="AZ950" s="93"/>
      <c r="BA950" s="89"/>
      <c r="BB950" s="9"/>
      <c r="BC950" s="93"/>
      <c r="BG950" s="116"/>
      <c r="BH950" s="9"/>
    </row>
    <row r="951" spans="51:60" x14ac:dyDescent="0.2">
      <c r="AY951" s="116"/>
      <c r="AZ951" s="93"/>
      <c r="BA951" s="89"/>
      <c r="BB951" s="9"/>
      <c r="BC951" s="93"/>
      <c r="BG951" s="116"/>
      <c r="BH951" s="9"/>
    </row>
    <row r="952" spans="51:60" x14ac:dyDescent="0.2">
      <c r="AY952" s="116"/>
      <c r="AZ952" s="93"/>
      <c r="BA952" s="89"/>
      <c r="BB952" s="9"/>
      <c r="BC952" s="93"/>
      <c r="BG952" s="116"/>
      <c r="BH952" s="9"/>
    </row>
    <row r="953" spans="51:60" x14ac:dyDescent="0.2">
      <c r="AY953" s="116"/>
      <c r="AZ953" s="93"/>
      <c r="BA953" s="89"/>
      <c r="BB953" s="9"/>
      <c r="BC953" s="93"/>
      <c r="BG953" s="116"/>
      <c r="BH953" s="9"/>
    </row>
    <row r="954" spans="51:60" x14ac:dyDescent="0.2">
      <c r="AY954" s="116"/>
      <c r="AZ954" s="93"/>
      <c r="BA954" s="89"/>
      <c r="BB954" s="9"/>
      <c r="BC954" s="93"/>
      <c r="BG954" s="116"/>
      <c r="BH954" s="9"/>
    </row>
    <row r="955" spans="51:60" x14ac:dyDescent="0.2">
      <c r="AY955" s="116"/>
      <c r="AZ955" s="93"/>
      <c r="BA955" s="89"/>
      <c r="BB955" s="9"/>
      <c r="BC955" s="93"/>
      <c r="BG955" s="116"/>
      <c r="BH955" s="9"/>
    </row>
    <row r="956" spans="51:60" x14ac:dyDescent="0.2">
      <c r="AY956" s="116"/>
      <c r="AZ956" s="93"/>
      <c r="BA956" s="89"/>
      <c r="BB956" s="9"/>
      <c r="BC956" s="93"/>
      <c r="BG956" s="116"/>
      <c r="BH956" s="9"/>
    </row>
    <row r="957" spans="51:60" x14ac:dyDescent="0.2">
      <c r="AY957" s="116"/>
      <c r="AZ957" s="93"/>
      <c r="BA957" s="89"/>
      <c r="BB957" s="9"/>
      <c r="BC957" s="93"/>
      <c r="BG957" s="116"/>
      <c r="BH957" s="9"/>
    </row>
    <row r="958" spans="51:60" x14ac:dyDescent="0.2">
      <c r="AY958" s="116"/>
      <c r="AZ958" s="93"/>
      <c r="BA958" s="89"/>
      <c r="BB958" s="9"/>
      <c r="BC958" s="93"/>
      <c r="BG958" s="116"/>
      <c r="BH958" s="9"/>
    </row>
    <row r="959" spans="51:60" x14ac:dyDescent="0.2">
      <c r="AY959" s="116"/>
      <c r="AZ959" s="93"/>
      <c r="BA959" s="89"/>
      <c r="BB959" s="9"/>
      <c r="BC959" s="93"/>
      <c r="BG959" s="116"/>
      <c r="BH959" s="9"/>
    </row>
    <row r="960" spans="51:60" x14ac:dyDescent="0.2">
      <c r="AY960" s="116"/>
      <c r="AZ960" s="93"/>
      <c r="BA960" s="89"/>
      <c r="BB960" s="9"/>
      <c r="BC960" s="93"/>
      <c r="BG960" s="116"/>
      <c r="BH960" s="9"/>
    </row>
    <row r="961" spans="51:60" x14ac:dyDescent="0.2">
      <c r="AY961" s="116"/>
      <c r="AZ961" s="93"/>
      <c r="BA961" s="89"/>
      <c r="BB961" s="9"/>
      <c r="BC961" s="93"/>
      <c r="BG961" s="116"/>
      <c r="BH961" s="9"/>
    </row>
    <row r="962" spans="51:60" x14ac:dyDescent="0.2">
      <c r="AY962" s="116"/>
      <c r="AZ962" s="93"/>
      <c r="BA962" s="89"/>
      <c r="BB962" s="9"/>
      <c r="BC962" s="93"/>
      <c r="BG962" s="116"/>
      <c r="BH962" s="9"/>
    </row>
    <row r="963" spans="51:60" x14ac:dyDescent="0.2">
      <c r="AY963" s="116"/>
      <c r="AZ963" s="93"/>
      <c r="BA963" s="89"/>
      <c r="BB963" s="9"/>
      <c r="BC963" s="93"/>
      <c r="BG963" s="116"/>
      <c r="BH963" s="9"/>
    </row>
    <row r="964" spans="51:60" x14ac:dyDescent="0.2">
      <c r="AY964" s="116"/>
      <c r="AZ964" s="93"/>
      <c r="BA964" s="89"/>
      <c r="BB964" s="9"/>
      <c r="BC964" s="93"/>
      <c r="BG964" s="116"/>
      <c r="BH964" s="9"/>
    </row>
    <row r="965" spans="51:60" x14ac:dyDescent="0.2">
      <c r="AY965" s="116"/>
      <c r="AZ965" s="93"/>
      <c r="BA965" s="89"/>
      <c r="BB965" s="9"/>
      <c r="BC965" s="93"/>
      <c r="BG965" s="116"/>
      <c r="BH965" s="9"/>
    </row>
    <row r="966" spans="51:60" x14ac:dyDescent="0.2">
      <c r="AY966" s="116"/>
      <c r="AZ966" s="93"/>
      <c r="BA966" s="89"/>
      <c r="BB966" s="9"/>
      <c r="BC966" s="93"/>
      <c r="BG966" s="116"/>
      <c r="BH966" s="9"/>
    </row>
    <row r="967" spans="51:60" x14ac:dyDescent="0.2">
      <c r="AY967" s="116"/>
      <c r="AZ967" s="93"/>
      <c r="BA967" s="89"/>
      <c r="BB967" s="9"/>
      <c r="BC967" s="93"/>
      <c r="BG967" s="116"/>
      <c r="BH967" s="9"/>
    </row>
    <row r="968" spans="51:60" x14ac:dyDescent="0.2">
      <c r="AY968" s="116"/>
      <c r="AZ968" s="93"/>
      <c r="BA968" s="89"/>
      <c r="BB968" s="9"/>
      <c r="BC968" s="93"/>
      <c r="BG968" s="116"/>
      <c r="BH968" s="9"/>
    </row>
    <row r="969" spans="51:60" x14ac:dyDescent="0.2">
      <c r="AY969" s="116"/>
      <c r="AZ969" s="93"/>
      <c r="BA969" s="89"/>
      <c r="BB969" s="9"/>
      <c r="BC969" s="93"/>
      <c r="BG969" s="116"/>
      <c r="BH969" s="9"/>
    </row>
    <row r="970" spans="51:60" x14ac:dyDescent="0.2">
      <c r="AY970" s="116"/>
      <c r="AZ970" s="93"/>
      <c r="BA970" s="89"/>
      <c r="BB970" s="9"/>
      <c r="BC970" s="93"/>
      <c r="BG970" s="116"/>
      <c r="BH970" s="9"/>
    </row>
    <row r="971" spans="51:60" x14ac:dyDescent="0.2">
      <c r="AY971" s="116"/>
      <c r="AZ971" s="93"/>
      <c r="BA971" s="89"/>
      <c r="BB971" s="9"/>
      <c r="BC971" s="93"/>
      <c r="BG971" s="116"/>
      <c r="BH971" s="9"/>
    </row>
    <row r="972" spans="51:60" x14ac:dyDescent="0.2">
      <c r="AY972" s="116"/>
      <c r="AZ972" s="93"/>
      <c r="BA972" s="89"/>
      <c r="BB972" s="9"/>
      <c r="BC972" s="93"/>
      <c r="BG972" s="116"/>
      <c r="BH972" s="9"/>
    </row>
    <row r="973" spans="51:60" x14ac:dyDescent="0.2">
      <c r="AY973" s="116"/>
      <c r="AZ973" s="93"/>
      <c r="BA973" s="89"/>
      <c r="BB973" s="9"/>
      <c r="BC973" s="93"/>
      <c r="BG973" s="116"/>
      <c r="BH973" s="9"/>
    </row>
    <row r="974" spans="51:60" x14ac:dyDescent="0.2">
      <c r="AY974" s="116"/>
      <c r="AZ974" s="93"/>
      <c r="BA974" s="89"/>
      <c r="BB974" s="9"/>
      <c r="BC974" s="93"/>
      <c r="BG974" s="116"/>
      <c r="BH974" s="9"/>
    </row>
    <row r="975" spans="51:60" x14ac:dyDescent="0.2">
      <c r="AY975" s="116"/>
      <c r="AZ975" s="93"/>
      <c r="BA975" s="89"/>
      <c r="BB975" s="9"/>
      <c r="BC975" s="93"/>
      <c r="BG975" s="116"/>
      <c r="BH975" s="9"/>
    </row>
    <row r="976" spans="51:60" x14ac:dyDescent="0.2">
      <c r="AY976" s="116"/>
      <c r="AZ976" s="93"/>
      <c r="BA976" s="89"/>
      <c r="BB976" s="9"/>
      <c r="BC976" s="93"/>
      <c r="BG976" s="116"/>
      <c r="BH976" s="9"/>
    </row>
    <row r="977" spans="51:60" x14ac:dyDescent="0.2">
      <c r="AY977" s="116"/>
      <c r="AZ977" s="93"/>
      <c r="BA977" s="89"/>
      <c r="BB977" s="9"/>
      <c r="BC977" s="93"/>
      <c r="BG977" s="116"/>
      <c r="BH977" s="9"/>
    </row>
    <row r="978" spans="51:60" x14ac:dyDescent="0.2">
      <c r="AY978" s="116"/>
      <c r="AZ978" s="93"/>
      <c r="BA978" s="89"/>
      <c r="BB978" s="9"/>
      <c r="BC978" s="93"/>
      <c r="BG978" s="116"/>
      <c r="BH978" s="9"/>
    </row>
    <row r="979" spans="51:60" x14ac:dyDescent="0.2">
      <c r="AY979" s="116"/>
      <c r="AZ979" s="93"/>
      <c r="BA979" s="89"/>
      <c r="BB979" s="9"/>
      <c r="BC979" s="93"/>
      <c r="BG979" s="116"/>
      <c r="BH979" s="9"/>
    </row>
    <row r="980" spans="51:60" x14ac:dyDescent="0.2">
      <c r="AY980" s="116"/>
      <c r="AZ980" s="93"/>
      <c r="BA980" s="89"/>
      <c r="BB980" s="9"/>
      <c r="BC980" s="93"/>
      <c r="BG980" s="116"/>
      <c r="BH980" s="9"/>
    </row>
    <row r="981" spans="51:60" x14ac:dyDescent="0.2">
      <c r="AY981" s="116"/>
      <c r="AZ981" s="93"/>
      <c r="BA981" s="89"/>
      <c r="BB981" s="9"/>
      <c r="BC981" s="93"/>
      <c r="BG981" s="116"/>
      <c r="BH981" s="9"/>
    </row>
    <row r="982" spans="51:60" x14ac:dyDescent="0.2">
      <c r="AY982" s="116"/>
      <c r="AZ982" s="93"/>
      <c r="BA982" s="89"/>
      <c r="BB982" s="9"/>
      <c r="BC982" s="93"/>
      <c r="BG982" s="116"/>
      <c r="BH982" s="9"/>
    </row>
    <row r="983" spans="51:60" x14ac:dyDescent="0.2">
      <c r="AY983" s="116"/>
      <c r="AZ983" s="93"/>
      <c r="BA983" s="89"/>
      <c r="BB983" s="9"/>
      <c r="BC983" s="93"/>
      <c r="BG983" s="116"/>
      <c r="BH983" s="9"/>
    </row>
    <row r="984" spans="51:60" x14ac:dyDescent="0.2">
      <c r="AY984" s="116"/>
      <c r="AZ984" s="93"/>
      <c r="BA984" s="89"/>
      <c r="BB984" s="9"/>
      <c r="BC984" s="93"/>
      <c r="BG984" s="116"/>
      <c r="BH984" s="9"/>
    </row>
    <row r="985" spans="51:60" x14ac:dyDescent="0.2">
      <c r="AY985" s="116"/>
      <c r="AZ985" s="93"/>
      <c r="BA985" s="89"/>
      <c r="BB985" s="9"/>
      <c r="BC985" s="93"/>
      <c r="BG985" s="116"/>
      <c r="BH985" s="9"/>
    </row>
    <row r="986" spans="51:60" x14ac:dyDescent="0.2">
      <c r="AY986" s="116"/>
      <c r="AZ986" s="93"/>
      <c r="BA986" s="89"/>
      <c r="BB986" s="9"/>
      <c r="BC986" s="93"/>
      <c r="BG986" s="116"/>
      <c r="BH986" s="9"/>
    </row>
    <row r="987" spans="51:60" x14ac:dyDescent="0.2">
      <c r="AY987" s="116"/>
      <c r="AZ987" s="93"/>
      <c r="BA987" s="89"/>
      <c r="BB987" s="9"/>
      <c r="BC987" s="93"/>
      <c r="BG987" s="116"/>
      <c r="BH987" s="9"/>
    </row>
    <row r="988" spans="51:60" x14ac:dyDescent="0.2">
      <c r="AY988" s="116"/>
      <c r="AZ988" s="93"/>
      <c r="BA988" s="89"/>
      <c r="BB988" s="9"/>
      <c r="BC988" s="93"/>
      <c r="BG988" s="116"/>
      <c r="BH988" s="9"/>
    </row>
    <row r="989" spans="51:60" x14ac:dyDescent="0.2">
      <c r="AY989" s="116"/>
      <c r="AZ989" s="93"/>
      <c r="BA989" s="89"/>
      <c r="BB989" s="9"/>
      <c r="BC989" s="93"/>
      <c r="BG989" s="116"/>
      <c r="BH989" s="9"/>
    </row>
    <row r="990" spans="51:60" x14ac:dyDescent="0.2">
      <c r="AY990" s="116"/>
      <c r="AZ990" s="93"/>
      <c r="BA990" s="89"/>
      <c r="BB990" s="9"/>
      <c r="BC990" s="93"/>
      <c r="BG990" s="116"/>
      <c r="BH990" s="9"/>
    </row>
    <row r="991" spans="51:60" x14ac:dyDescent="0.2">
      <c r="AY991" s="116"/>
      <c r="AZ991" s="93"/>
      <c r="BA991" s="89"/>
      <c r="BB991" s="9"/>
      <c r="BC991" s="93"/>
      <c r="BG991" s="116"/>
      <c r="BH991" s="9"/>
    </row>
    <row r="992" spans="51:60" x14ac:dyDescent="0.2">
      <c r="AY992" s="116"/>
      <c r="AZ992" s="93"/>
      <c r="BA992" s="89"/>
      <c r="BB992" s="9"/>
      <c r="BC992" s="93"/>
      <c r="BG992" s="116"/>
      <c r="BH992" s="9"/>
    </row>
    <row r="993" spans="51:60" x14ac:dyDescent="0.2">
      <c r="AY993" s="116"/>
      <c r="AZ993" s="93"/>
      <c r="BA993" s="89"/>
      <c r="BB993" s="9"/>
      <c r="BC993" s="93"/>
      <c r="BG993" s="116"/>
      <c r="BH993" s="9"/>
    </row>
    <row r="994" spans="51:60" x14ac:dyDescent="0.2">
      <c r="AY994" s="116"/>
      <c r="AZ994" s="93"/>
      <c r="BA994" s="89"/>
      <c r="BB994" s="9"/>
      <c r="BC994" s="93"/>
      <c r="BG994" s="116"/>
      <c r="BH994" s="9"/>
    </row>
    <row r="995" spans="51:60" x14ac:dyDescent="0.2">
      <c r="AY995" s="116"/>
      <c r="AZ995" s="93"/>
      <c r="BA995" s="89"/>
      <c r="BB995" s="9"/>
      <c r="BC995" s="93"/>
      <c r="BG995" s="116"/>
      <c r="BH995" s="9"/>
    </row>
    <row r="996" spans="51:60" x14ac:dyDescent="0.2">
      <c r="AY996" s="116"/>
      <c r="AZ996" s="93"/>
      <c r="BA996" s="89"/>
      <c r="BB996" s="9"/>
      <c r="BC996" s="93"/>
      <c r="BG996" s="116"/>
      <c r="BH996" s="9"/>
    </row>
    <row r="997" spans="51:60" x14ac:dyDescent="0.2">
      <c r="AY997" s="116"/>
      <c r="AZ997" s="93"/>
      <c r="BA997" s="89"/>
      <c r="BB997" s="9"/>
      <c r="BC997" s="93"/>
      <c r="BG997" s="116"/>
      <c r="BH997" s="9"/>
    </row>
    <row r="998" spans="51:60" x14ac:dyDescent="0.2">
      <c r="AY998" s="116"/>
      <c r="AZ998" s="93"/>
      <c r="BA998" s="89"/>
      <c r="BB998" s="9"/>
      <c r="BC998" s="93"/>
      <c r="BG998" s="116"/>
      <c r="BH998" s="9"/>
    </row>
    <row r="999" spans="51:60" x14ac:dyDescent="0.2">
      <c r="AY999" s="116"/>
      <c r="AZ999" s="93"/>
      <c r="BA999" s="89"/>
      <c r="BB999" s="9"/>
      <c r="BC999" s="93"/>
      <c r="BG999" s="116"/>
      <c r="BH999" s="9"/>
    </row>
    <row r="1000" spans="51:60" x14ac:dyDescent="0.2">
      <c r="AY1000" s="116"/>
      <c r="AZ1000" s="93"/>
      <c r="BA1000" s="89"/>
      <c r="BB1000" s="9"/>
      <c r="BC1000" s="93"/>
      <c r="BG1000" s="116"/>
      <c r="BH1000" s="9"/>
    </row>
    <row r="1001" spans="51:60" x14ac:dyDescent="0.2">
      <c r="AY1001" s="116"/>
      <c r="AZ1001" s="93"/>
      <c r="BA1001" s="89"/>
      <c r="BB1001" s="9"/>
      <c r="BC1001" s="93"/>
      <c r="BG1001" s="116"/>
      <c r="BH1001" s="9"/>
    </row>
    <row r="1002" spans="51:60" x14ac:dyDescent="0.2">
      <c r="AY1002" s="116"/>
      <c r="AZ1002" s="93"/>
      <c r="BA1002" s="89"/>
      <c r="BB1002" s="9"/>
      <c r="BC1002" s="93"/>
      <c r="BG1002" s="116"/>
      <c r="BH1002" s="9"/>
    </row>
    <row r="1003" spans="51:60" x14ac:dyDescent="0.2">
      <c r="AY1003" s="116"/>
      <c r="AZ1003" s="93"/>
      <c r="BA1003" s="89"/>
      <c r="BB1003" s="9"/>
      <c r="BC1003" s="93"/>
      <c r="BG1003" s="116"/>
      <c r="BH1003" s="9"/>
    </row>
    <row r="1004" spans="51:60" x14ac:dyDescent="0.2">
      <c r="AY1004" s="116"/>
      <c r="AZ1004" s="93"/>
      <c r="BA1004" s="89"/>
      <c r="BB1004" s="9"/>
      <c r="BC1004" s="93"/>
      <c r="BG1004" s="116"/>
      <c r="BH1004" s="9"/>
    </row>
    <row r="1005" spans="51:60" x14ac:dyDescent="0.2">
      <c r="AY1005" s="116"/>
      <c r="AZ1005" s="93"/>
      <c r="BA1005" s="89"/>
      <c r="BB1005" s="9"/>
      <c r="BC1005" s="93"/>
      <c r="BG1005" s="116"/>
      <c r="BH1005" s="9"/>
    </row>
    <row r="1006" spans="51:60" x14ac:dyDescent="0.2">
      <c r="AY1006" s="116"/>
      <c r="AZ1006" s="93"/>
      <c r="BA1006" s="89"/>
      <c r="BB1006" s="9"/>
      <c r="BC1006" s="93"/>
      <c r="BG1006" s="116"/>
      <c r="BH1006" s="9"/>
    </row>
    <row r="1007" spans="51:60" x14ac:dyDescent="0.2">
      <c r="AY1007" s="116"/>
      <c r="AZ1007" s="93"/>
      <c r="BA1007" s="89"/>
      <c r="BB1007" s="9"/>
      <c r="BC1007" s="93"/>
      <c r="BG1007" s="116"/>
      <c r="BH1007" s="9"/>
    </row>
    <row r="1008" spans="51:60" x14ac:dyDescent="0.2">
      <c r="AY1008" s="116"/>
      <c r="AZ1008" s="93"/>
      <c r="BA1008" s="89"/>
      <c r="BB1008" s="9"/>
      <c r="BC1008" s="93"/>
      <c r="BG1008" s="116"/>
      <c r="BH1008" s="9"/>
    </row>
    <row r="1009" spans="51:60" x14ac:dyDescent="0.2">
      <c r="AY1009" s="116"/>
      <c r="AZ1009" s="93"/>
      <c r="BA1009" s="89"/>
      <c r="BB1009" s="9"/>
      <c r="BC1009" s="93"/>
      <c r="BG1009" s="116"/>
      <c r="BH1009" s="9"/>
    </row>
    <row r="1010" spans="51:60" x14ac:dyDescent="0.2">
      <c r="AY1010" s="116"/>
      <c r="AZ1010" s="93"/>
      <c r="BA1010" s="89"/>
      <c r="BB1010" s="9"/>
      <c r="BC1010" s="93"/>
      <c r="BG1010" s="116"/>
      <c r="BH1010" s="9"/>
    </row>
    <row r="1011" spans="51:60" x14ac:dyDescent="0.2">
      <c r="AY1011" s="116"/>
      <c r="AZ1011" s="93"/>
      <c r="BA1011" s="89"/>
      <c r="BB1011" s="9"/>
      <c r="BC1011" s="93"/>
      <c r="BG1011" s="116"/>
      <c r="BH1011" s="9"/>
    </row>
    <row r="1012" spans="51:60" x14ac:dyDescent="0.2">
      <c r="AY1012" s="116"/>
      <c r="AZ1012" s="93"/>
      <c r="BA1012" s="89"/>
      <c r="BB1012" s="9"/>
      <c r="BC1012" s="93"/>
      <c r="BG1012" s="116"/>
      <c r="BH1012" s="9"/>
    </row>
    <row r="1013" spans="51:60" x14ac:dyDescent="0.2">
      <c r="AY1013" s="116"/>
      <c r="AZ1013" s="93"/>
      <c r="BA1013" s="89"/>
      <c r="BB1013" s="9"/>
      <c r="BC1013" s="93"/>
      <c r="BG1013" s="116"/>
      <c r="BH1013" s="9"/>
    </row>
    <row r="1014" spans="51:60" x14ac:dyDescent="0.2">
      <c r="AY1014" s="116"/>
      <c r="AZ1014" s="93"/>
      <c r="BA1014" s="89"/>
      <c r="BB1014" s="9"/>
      <c r="BC1014" s="93"/>
      <c r="BG1014" s="116"/>
      <c r="BH1014" s="9"/>
    </row>
    <row r="1015" spans="51:60" x14ac:dyDescent="0.2">
      <c r="AY1015" s="116"/>
      <c r="AZ1015" s="93"/>
      <c r="BA1015" s="89"/>
      <c r="BB1015" s="9"/>
      <c r="BC1015" s="93"/>
      <c r="BG1015" s="116"/>
      <c r="BH1015" s="9"/>
    </row>
    <row r="1016" spans="51:60" x14ac:dyDescent="0.2">
      <c r="AY1016" s="116"/>
      <c r="AZ1016" s="93"/>
      <c r="BA1016" s="89"/>
      <c r="BB1016" s="9"/>
      <c r="BC1016" s="93"/>
      <c r="BG1016" s="116"/>
      <c r="BH1016" s="9"/>
    </row>
    <row r="1017" spans="51:60" x14ac:dyDescent="0.2">
      <c r="AY1017" s="116"/>
      <c r="AZ1017" s="93"/>
      <c r="BA1017" s="89"/>
      <c r="BB1017" s="9"/>
      <c r="BC1017" s="93"/>
      <c r="BG1017" s="116"/>
      <c r="BH1017" s="9"/>
    </row>
    <row r="1018" spans="51:60" x14ac:dyDescent="0.2">
      <c r="AY1018" s="116"/>
      <c r="AZ1018" s="93"/>
      <c r="BA1018" s="89"/>
      <c r="BB1018" s="9"/>
      <c r="BC1018" s="93"/>
      <c r="BG1018" s="116"/>
      <c r="BH1018" s="9"/>
    </row>
    <row r="1019" spans="51:60" x14ac:dyDescent="0.2">
      <c r="AY1019" s="116"/>
      <c r="AZ1019" s="93"/>
      <c r="BA1019" s="89"/>
      <c r="BB1019" s="9"/>
      <c r="BC1019" s="93"/>
      <c r="BG1019" s="116"/>
      <c r="BH1019" s="9"/>
    </row>
    <row r="1020" spans="51:60" x14ac:dyDescent="0.2">
      <c r="AY1020" s="116"/>
      <c r="AZ1020" s="93"/>
      <c r="BA1020" s="89"/>
      <c r="BB1020" s="9"/>
      <c r="BC1020" s="93"/>
      <c r="BG1020" s="116"/>
      <c r="BH1020" s="9"/>
    </row>
    <row r="1021" spans="51:60" x14ac:dyDescent="0.2">
      <c r="AY1021" s="116"/>
      <c r="AZ1021" s="93"/>
      <c r="BA1021" s="89"/>
      <c r="BB1021" s="9"/>
      <c r="BC1021" s="93"/>
      <c r="BG1021" s="116"/>
      <c r="BH1021" s="9"/>
    </row>
    <row r="1022" spans="51:60" x14ac:dyDescent="0.2">
      <c r="AY1022" s="116"/>
      <c r="AZ1022" s="93"/>
      <c r="BA1022" s="89"/>
      <c r="BB1022" s="9"/>
      <c r="BC1022" s="93"/>
      <c r="BG1022" s="116"/>
      <c r="BH1022" s="9"/>
    </row>
    <row r="1023" spans="51:60" x14ac:dyDescent="0.2">
      <c r="AY1023" s="116"/>
      <c r="AZ1023" s="93"/>
      <c r="BA1023" s="89"/>
      <c r="BB1023" s="9"/>
      <c r="BC1023" s="93"/>
      <c r="BG1023" s="116"/>
      <c r="BH1023" s="9"/>
    </row>
    <row r="1024" spans="51:60" x14ac:dyDescent="0.2">
      <c r="AY1024" s="116"/>
      <c r="AZ1024" s="93"/>
      <c r="BA1024" s="89"/>
      <c r="BB1024" s="9"/>
      <c r="BC1024" s="93"/>
      <c r="BG1024" s="116"/>
      <c r="BH1024" s="9"/>
    </row>
    <row r="1025" spans="51:60" x14ac:dyDescent="0.2">
      <c r="AY1025" s="116"/>
      <c r="AZ1025" s="93"/>
      <c r="BA1025" s="89"/>
      <c r="BB1025" s="9"/>
      <c r="BC1025" s="93"/>
      <c r="BG1025" s="116"/>
      <c r="BH1025" s="9"/>
    </row>
    <row r="1026" spans="51:60" x14ac:dyDescent="0.2">
      <c r="AY1026" s="116"/>
      <c r="AZ1026" s="93"/>
      <c r="BA1026" s="89"/>
      <c r="BB1026" s="9"/>
      <c r="BC1026" s="93"/>
      <c r="BG1026" s="116"/>
      <c r="BH1026" s="9"/>
    </row>
    <row r="1027" spans="51:60" x14ac:dyDescent="0.2">
      <c r="AY1027" s="116"/>
      <c r="AZ1027" s="93"/>
      <c r="BA1027" s="89"/>
      <c r="BB1027" s="9"/>
      <c r="BC1027" s="93"/>
      <c r="BG1027" s="116"/>
      <c r="BH1027" s="9"/>
    </row>
    <row r="1028" spans="51:60" x14ac:dyDescent="0.2">
      <c r="AY1028" s="116"/>
      <c r="AZ1028" s="93"/>
      <c r="BA1028" s="89"/>
      <c r="BB1028" s="9"/>
      <c r="BC1028" s="93"/>
      <c r="BG1028" s="116"/>
      <c r="BH1028" s="9"/>
    </row>
    <row r="1029" spans="51:60" x14ac:dyDescent="0.2">
      <c r="AY1029" s="116"/>
      <c r="AZ1029" s="93"/>
      <c r="BA1029" s="89"/>
      <c r="BB1029" s="9"/>
      <c r="BC1029" s="93"/>
      <c r="BG1029" s="116"/>
      <c r="BH1029" s="9"/>
    </row>
    <row r="1030" spans="51:60" x14ac:dyDescent="0.2">
      <c r="AY1030" s="116"/>
      <c r="AZ1030" s="93"/>
      <c r="BA1030" s="89"/>
      <c r="BB1030" s="9"/>
      <c r="BC1030" s="93"/>
      <c r="BG1030" s="116"/>
      <c r="BH1030" s="9"/>
    </row>
    <row r="1031" spans="51:60" x14ac:dyDescent="0.2">
      <c r="AY1031" s="116"/>
      <c r="AZ1031" s="93"/>
      <c r="BA1031" s="89"/>
      <c r="BB1031" s="9"/>
      <c r="BC1031" s="93"/>
      <c r="BG1031" s="116"/>
      <c r="BH1031" s="9"/>
    </row>
    <row r="1032" spans="51:60" x14ac:dyDescent="0.2">
      <c r="AY1032" s="116"/>
      <c r="AZ1032" s="93"/>
      <c r="BA1032" s="89"/>
      <c r="BB1032" s="9"/>
      <c r="BC1032" s="93"/>
      <c r="BG1032" s="116"/>
      <c r="BH1032" s="9"/>
    </row>
    <row r="1033" spans="51:60" x14ac:dyDescent="0.2">
      <c r="AY1033" s="116"/>
      <c r="AZ1033" s="93"/>
      <c r="BA1033" s="89"/>
      <c r="BB1033" s="9"/>
      <c r="BC1033" s="93"/>
      <c r="BG1033" s="116"/>
      <c r="BH1033" s="9"/>
    </row>
    <row r="1034" spans="51:60" x14ac:dyDescent="0.2">
      <c r="AY1034" s="116"/>
      <c r="AZ1034" s="93"/>
      <c r="BA1034" s="89"/>
      <c r="BB1034" s="9"/>
      <c r="BC1034" s="93"/>
      <c r="BG1034" s="116"/>
      <c r="BH1034" s="9"/>
    </row>
    <row r="1035" spans="51:60" x14ac:dyDescent="0.2">
      <c r="AY1035" s="116"/>
      <c r="AZ1035" s="93"/>
      <c r="BA1035" s="89"/>
      <c r="BB1035" s="9"/>
      <c r="BC1035" s="93"/>
      <c r="BG1035" s="116"/>
      <c r="BH1035" s="9"/>
    </row>
    <row r="1036" spans="51:60" x14ac:dyDescent="0.2">
      <c r="AY1036" s="116"/>
      <c r="AZ1036" s="93"/>
      <c r="BA1036" s="89"/>
      <c r="BB1036" s="9"/>
      <c r="BC1036" s="93"/>
      <c r="BG1036" s="116"/>
      <c r="BH1036" s="9"/>
    </row>
    <row r="1037" spans="51:60" x14ac:dyDescent="0.2">
      <c r="AY1037" s="116"/>
      <c r="AZ1037" s="93"/>
      <c r="BA1037" s="89"/>
      <c r="BB1037" s="9"/>
      <c r="BC1037" s="93"/>
      <c r="BG1037" s="116"/>
      <c r="BH1037" s="9"/>
    </row>
    <row r="1038" spans="51:60" x14ac:dyDescent="0.2">
      <c r="AY1038" s="116"/>
      <c r="AZ1038" s="93"/>
      <c r="BA1038" s="89"/>
      <c r="BB1038" s="9"/>
      <c r="BC1038" s="93"/>
      <c r="BG1038" s="116"/>
      <c r="BH1038" s="9"/>
    </row>
    <row r="1039" spans="51:60" x14ac:dyDescent="0.2">
      <c r="AY1039" s="116"/>
      <c r="AZ1039" s="93"/>
      <c r="BA1039" s="89"/>
      <c r="BB1039" s="9"/>
      <c r="BC1039" s="93"/>
      <c r="BG1039" s="116"/>
      <c r="BH1039" s="9"/>
    </row>
    <row r="1040" spans="51:60" x14ac:dyDescent="0.2">
      <c r="AY1040" s="116"/>
      <c r="AZ1040" s="93"/>
      <c r="BA1040" s="89"/>
      <c r="BB1040" s="9"/>
      <c r="BC1040" s="93"/>
      <c r="BG1040" s="116"/>
      <c r="BH1040" s="9"/>
    </row>
    <row r="1041" spans="51:60" x14ac:dyDescent="0.2">
      <c r="AY1041" s="116"/>
      <c r="AZ1041" s="93"/>
      <c r="BA1041" s="89"/>
      <c r="BB1041" s="9"/>
      <c r="BC1041" s="93"/>
      <c r="BG1041" s="116"/>
      <c r="BH1041" s="9"/>
    </row>
    <row r="1042" spans="51:60" x14ac:dyDescent="0.2">
      <c r="AY1042" s="116"/>
      <c r="AZ1042" s="93"/>
      <c r="BA1042" s="89"/>
      <c r="BB1042" s="9"/>
      <c r="BC1042" s="93"/>
      <c r="BG1042" s="116"/>
      <c r="BH1042" s="9"/>
    </row>
    <row r="1043" spans="51:60" x14ac:dyDescent="0.2">
      <c r="AY1043" s="116"/>
      <c r="AZ1043" s="93"/>
      <c r="BA1043" s="89"/>
      <c r="BB1043" s="9"/>
      <c r="BC1043" s="93"/>
      <c r="BG1043" s="116"/>
      <c r="BH1043" s="9"/>
    </row>
    <row r="1044" spans="51:60" x14ac:dyDescent="0.2">
      <c r="AY1044" s="116"/>
      <c r="AZ1044" s="93"/>
      <c r="BA1044" s="89"/>
      <c r="BB1044" s="9"/>
      <c r="BC1044" s="93"/>
      <c r="BG1044" s="116"/>
      <c r="BH1044" s="9"/>
    </row>
    <row r="1045" spans="51:60" x14ac:dyDescent="0.2">
      <c r="AY1045" s="116"/>
      <c r="AZ1045" s="93"/>
      <c r="BA1045" s="89"/>
      <c r="BB1045" s="9"/>
      <c r="BC1045" s="93"/>
      <c r="BG1045" s="116"/>
      <c r="BH1045" s="9"/>
    </row>
    <row r="1046" spans="51:60" x14ac:dyDescent="0.2">
      <c r="AY1046" s="116"/>
      <c r="AZ1046" s="93"/>
      <c r="BA1046" s="89"/>
      <c r="BB1046" s="9"/>
      <c r="BC1046" s="93"/>
      <c r="BG1046" s="116"/>
      <c r="BH1046" s="9"/>
    </row>
    <row r="1047" spans="51:60" x14ac:dyDescent="0.2">
      <c r="AY1047" s="116"/>
      <c r="AZ1047" s="93"/>
      <c r="BA1047" s="89"/>
      <c r="BB1047" s="9"/>
      <c r="BC1047" s="93"/>
      <c r="BG1047" s="116"/>
      <c r="BH1047" s="9"/>
    </row>
    <row r="1048" spans="51:60" x14ac:dyDescent="0.2">
      <c r="AY1048" s="116"/>
      <c r="AZ1048" s="93"/>
      <c r="BA1048" s="89"/>
      <c r="BB1048" s="9"/>
      <c r="BC1048" s="93"/>
      <c r="BG1048" s="116"/>
      <c r="BH1048" s="9"/>
    </row>
    <row r="1049" spans="51:60" x14ac:dyDescent="0.2">
      <c r="AY1049" s="116"/>
      <c r="AZ1049" s="93"/>
      <c r="BA1049" s="89"/>
      <c r="BB1049" s="9"/>
      <c r="BC1049" s="93"/>
      <c r="BG1049" s="116"/>
      <c r="BH1049" s="9"/>
    </row>
    <row r="1050" spans="51:60" x14ac:dyDescent="0.2">
      <c r="AY1050" s="116"/>
      <c r="AZ1050" s="93"/>
      <c r="BA1050" s="89"/>
      <c r="BB1050" s="9"/>
      <c r="BC1050" s="93"/>
      <c r="BG1050" s="116"/>
      <c r="BH1050" s="9"/>
    </row>
    <row r="1051" spans="51:60" x14ac:dyDescent="0.2">
      <c r="AY1051" s="116"/>
      <c r="AZ1051" s="93"/>
      <c r="BA1051" s="89"/>
      <c r="BB1051" s="9"/>
      <c r="BC1051" s="93"/>
      <c r="BG1051" s="116"/>
      <c r="BH1051" s="9"/>
    </row>
    <row r="1052" spans="51:60" x14ac:dyDescent="0.2">
      <c r="AY1052" s="116"/>
      <c r="AZ1052" s="93"/>
      <c r="BA1052" s="89"/>
      <c r="BB1052" s="9"/>
      <c r="BC1052" s="93"/>
      <c r="BG1052" s="116"/>
      <c r="BH1052" s="9"/>
    </row>
    <row r="1053" spans="51:60" x14ac:dyDescent="0.2">
      <c r="AY1053" s="116"/>
      <c r="AZ1053" s="93"/>
      <c r="BA1053" s="89"/>
      <c r="BB1053" s="9"/>
      <c r="BC1053" s="93"/>
      <c r="BG1053" s="116"/>
      <c r="BH1053" s="9"/>
    </row>
    <row r="1054" spans="51:60" x14ac:dyDescent="0.2">
      <c r="AY1054" s="116"/>
      <c r="AZ1054" s="93"/>
      <c r="BA1054" s="89"/>
      <c r="BB1054" s="9"/>
      <c r="BC1054" s="93"/>
      <c r="BG1054" s="116"/>
      <c r="BH1054" s="9"/>
    </row>
    <row r="1055" spans="51:60" x14ac:dyDescent="0.2">
      <c r="AY1055" s="116"/>
      <c r="AZ1055" s="93"/>
      <c r="BA1055" s="89"/>
      <c r="BB1055" s="9"/>
      <c r="BC1055" s="93"/>
      <c r="BG1055" s="116"/>
      <c r="BH1055" s="9"/>
    </row>
    <row r="1056" spans="51:60" x14ac:dyDescent="0.2">
      <c r="AY1056" s="116"/>
      <c r="AZ1056" s="93"/>
      <c r="BA1056" s="89"/>
      <c r="BB1056" s="9"/>
      <c r="BC1056" s="93"/>
      <c r="BG1056" s="116"/>
      <c r="BH1056" s="9"/>
    </row>
    <row r="1057" spans="51:60" x14ac:dyDescent="0.2">
      <c r="AY1057" s="116"/>
      <c r="AZ1057" s="93"/>
      <c r="BA1057" s="89"/>
      <c r="BB1057" s="9"/>
      <c r="BC1057" s="93"/>
      <c r="BG1057" s="116"/>
      <c r="BH1057" s="9"/>
    </row>
    <row r="1058" spans="51:60" x14ac:dyDescent="0.2">
      <c r="AY1058" s="116"/>
      <c r="AZ1058" s="93"/>
      <c r="BA1058" s="89"/>
      <c r="BB1058" s="9"/>
      <c r="BC1058" s="93"/>
      <c r="BG1058" s="116"/>
      <c r="BH1058" s="9"/>
    </row>
    <row r="1059" spans="51:60" x14ac:dyDescent="0.2">
      <c r="AY1059" s="116"/>
      <c r="AZ1059" s="93"/>
      <c r="BA1059" s="89"/>
      <c r="BB1059" s="9"/>
      <c r="BC1059" s="93"/>
      <c r="BG1059" s="116"/>
      <c r="BH1059" s="9"/>
    </row>
    <row r="1060" spans="51:60" x14ac:dyDescent="0.2">
      <c r="AY1060" s="116"/>
      <c r="AZ1060" s="93"/>
      <c r="BA1060" s="89"/>
      <c r="BB1060" s="9"/>
      <c r="BC1060" s="93"/>
      <c r="BG1060" s="116"/>
      <c r="BH1060" s="9"/>
    </row>
    <row r="1061" spans="51:60" x14ac:dyDescent="0.2">
      <c r="AY1061" s="116"/>
      <c r="AZ1061" s="93"/>
      <c r="BA1061" s="89"/>
      <c r="BB1061" s="9"/>
      <c r="BC1061" s="93"/>
      <c r="BG1061" s="116"/>
      <c r="BH1061" s="9"/>
    </row>
    <row r="1062" spans="51:60" x14ac:dyDescent="0.2">
      <c r="AY1062" s="116"/>
      <c r="AZ1062" s="93"/>
      <c r="BA1062" s="89"/>
      <c r="BB1062" s="9"/>
      <c r="BC1062" s="93"/>
      <c r="BG1062" s="116"/>
      <c r="BH1062" s="9"/>
    </row>
    <row r="1063" spans="51:60" x14ac:dyDescent="0.2">
      <c r="AY1063" s="116"/>
      <c r="AZ1063" s="93"/>
      <c r="BA1063" s="89"/>
      <c r="BB1063" s="9"/>
      <c r="BC1063" s="93"/>
      <c r="BG1063" s="116"/>
      <c r="BH1063" s="9"/>
    </row>
    <row r="1064" spans="51:60" x14ac:dyDescent="0.2">
      <c r="AY1064" s="116"/>
      <c r="AZ1064" s="93"/>
      <c r="BA1064" s="89"/>
      <c r="BB1064" s="9"/>
      <c r="BC1064" s="93"/>
      <c r="BG1064" s="116"/>
      <c r="BH1064" s="9"/>
    </row>
    <row r="1065" spans="51:60" x14ac:dyDescent="0.2">
      <c r="AY1065" s="116"/>
      <c r="AZ1065" s="93"/>
      <c r="BA1065" s="89"/>
      <c r="BB1065" s="9"/>
      <c r="BC1065" s="93"/>
      <c r="BG1065" s="116"/>
      <c r="BH1065" s="9"/>
    </row>
    <row r="1066" spans="51:60" x14ac:dyDescent="0.2">
      <c r="AY1066" s="116"/>
      <c r="AZ1066" s="93"/>
      <c r="BA1066" s="89"/>
      <c r="BB1066" s="9"/>
      <c r="BC1066" s="93"/>
      <c r="BG1066" s="116"/>
      <c r="BH1066" s="9"/>
    </row>
    <row r="1067" spans="51:60" x14ac:dyDescent="0.2">
      <c r="AY1067" s="116"/>
      <c r="AZ1067" s="93"/>
      <c r="BA1067" s="89"/>
      <c r="BB1067" s="9"/>
      <c r="BC1067" s="93"/>
      <c r="BG1067" s="116"/>
      <c r="BH1067" s="9"/>
    </row>
    <row r="1068" spans="51:60" x14ac:dyDescent="0.2">
      <c r="AY1068" s="116"/>
      <c r="AZ1068" s="93"/>
      <c r="BA1068" s="89"/>
      <c r="BB1068" s="9"/>
      <c r="BC1068" s="93"/>
      <c r="BG1068" s="116"/>
      <c r="BH1068" s="9"/>
    </row>
    <row r="1069" spans="51:60" x14ac:dyDescent="0.2">
      <c r="AY1069" s="116"/>
      <c r="AZ1069" s="93"/>
      <c r="BA1069" s="89"/>
      <c r="BB1069" s="9"/>
      <c r="BC1069" s="93"/>
      <c r="BG1069" s="116"/>
      <c r="BH1069" s="9"/>
    </row>
    <row r="1070" spans="51:60" x14ac:dyDescent="0.2">
      <c r="AY1070" s="116"/>
      <c r="AZ1070" s="93"/>
      <c r="BA1070" s="89"/>
      <c r="BB1070" s="9"/>
      <c r="BC1070" s="93"/>
      <c r="BG1070" s="116"/>
      <c r="BH1070" s="9"/>
    </row>
    <row r="1071" spans="51:60" x14ac:dyDescent="0.2">
      <c r="AY1071" s="116"/>
      <c r="AZ1071" s="93"/>
      <c r="BA1071" s="89"/>
      <c r="BB1071" s="9"/>
      <c r="BC1071" s="93"/>
      <c r="BG1071" s="116"/>
      <c r="BH1071" s="9"/>
    </row>
    <row r="1072" spans="51:60" x14ac:dyDescent="0.2">
      <c r="AY1072" s="116"/>
      <c r="AZ1072" s="93"/>
      <c r="BA1072" s="89"/>
      <c r="BB1072" s="9"/>
      <c r="BC1072" s="93"/>
      <c r="BG1072" s="116"/>
      <c r="BH1072" s="9"/>
    </row>
    <row r="1073" spans="51:60" x14ac:dyDescent="0.2">
      <c r="AY1073" s="116"/>
      <c r="AZ1073" s="93"/>
      <c r="BA1073" s="89"/>
      <c r="BB1073" s="9"/>
      <c r="BC1073" s="93"/>
      <c r="BG1073" s="116"/>
      <c r="BH1073" s="9"/>
    </row>
    <row r="1074" spans="51:60" x14ac:dyDescent="0.2">
      <c r="AY1074" s="116"/>
      <c r="AZ1074" s="93"/>
      <c r="BA1074" s="89"/>
      <c r="BB1074" s="9"/>
      <c r="BC1074" s="93"/>
      <c r="BG1074" s="116"/>
      <c r="BH1074" s="9"/>
    </row>
    <row r="1075" spans="51:60" x14ac:dyDescent="0.2">
      <c r="AY1075" s="116"/>
      <c r="AZ1075" s="93"/>
      <c r="BA1075" s="89"/>
      <c r="BB1075" s="9"/>
      <c r="BC1075" s="93"/>
      <c r="BG1075" s="116"/>
      <c r="BH1075" s="9"/>
    </row>
    <row r="1076" spans="51:60" x14ac:dyDescent="0.2">
      <c r="AY1076" s="116"/>
      <c r="AZ1076" s="93"/>
      <c r="BA1076" s="89"/>
      <c r="BB1076" s="9"/>
      <c r="BC1076" s="93"/>
      <c r="BG1076" s="116"/>
      <c r="BH1076" s="9"/>
    </row>
    <row r="1077" spans="51:60" x14ac:dyDescent="0.2">
      <c r="AY1077" s="116"/>
      <c r="AZ1077" s="93"/>
      <c r="BA1077" s="89"/>
      <c r="BB1077" s="9"/>
      <c r="BC1077" s="93"/>
      <c r="BG1077" s="116"/>
      <c r="BH1077" s="9"/>
    </row>
    <row r="1078" spans="51:60" x14ac:dyDescent="0.2">
      <c r="AY1078" s="116"/>
      <c r="AZ1078" s="93"/>
      <c r="BA1078" s="89"/>
      <c r="BB1078" s="9"/>
      <c r="BC1078" s="93"/>
      <c r="BG1078" s="116"/>
      <c r="BH1078" s="9"/>
    </row>
    <row r="1079" spans="51:60" x14ac:dyDescent="0.2">
      <c r="AY1079" s="116"/>
      <c r="AZ1079" s="93"/>
      <c r="BA1079" s="89"/>
      <c r="BB1079" s="9"/>
      <c r="BC1079" s="93"/>
      <c r="BG1079" s="116"/>
      <c r="BH1079" s="9"/>
    </row>
    <row r="1080" spans="51:60" x14ac:dyDescent="0.2">
      <c r="AY1080" s="116"/>
      <c r="AZ1080" s="93"/>
      <c r="BA1080" s="89"/>
      <c r="BB1080" s="9"/>
      <c r="BC1080" s="93"/>
      <c r="BG1080" s="116"/>
      <c r="BH1080" s="9"/>
    </row>
    <row r="1081" spans="51:60" x14ac:dyDescent="0.2">
      <c r="AY1081" s="116"/>
      <c r="AZ1081" s="93"/>
      <c r="BA1081" s="89"/>
      <c r="BB1081" s="9"/>
      <c r="BC1081" s="93"/>
      <c r="BG1081" s="116"/>
      <c r="BH1081" s="9"/>
    </row>
    <row r="1082" spans="51:60" x14ac:dyDescent="0.2">
      <c r="AY1082" s="116"/>
      <c r="AZ1082" s="93"/>
      <c r="BA1082" s="89"/>
      <c r="BB1082" s="9"/>
      <c r="BC1082" s="93"/>
      <c r="BG1082" s="116"/>
      <c r="BH1082" s="9"/>
    </row>
    <row r="1083" spans="51:60" x14ac:dyDescent="0.2">
      <c r="AY1083" s="116"/>
      <c r="AZ1083" s="93"/>
      <c r="BA1083" s="89"/>
      <c r="BB1083" s="9"/>
      <c r="BC1083" s="93"/>
      <c r="BG1083" s="116"/>
      <c r="BH1083" s="9"/>
    </row>
    <row r="1084" spans="51:60" x14ac:dyDescent="0.2">
      <c r="AY1084" s="116"/>
      <c r="AZ1084" s="93"/>
      <c r="BA1084" s="89"/>
      <c r="BB1084" s="9"/>
      <c r="BC1084" s="93"/>
      <c r="BG1084" s="116"/>
      <c r="BH1084" s="9"/>
    </row>
    <row r="1085" spans="51:60" x14ac:dyDescent="0.2">
      <c r="AY1085" s="116"/>
      <c r="AZ1085" s="93"/>
      <c r="BA1085" s="89"/>
      <c r="BB1085" s="9"/>
      <c r="BC1085" s="93"/>
      <c r="BG1085" s="116"/>
      <c r="BH1085" s="9"/>
    </row>
    <row r="1086" spans="51:60" x14ac:dyDescent="0.2">
      <c r="AY1086" s="116"/>
      <c r="AZ1086" s="93"/>
      <c r="BA1086" s="89"/>
      <c r="BB1086" s="9"/>
      <c r="BC1086" s="93"/>
      <c r="BG1086" s="116"/>
      <c r="BH1086" s="9"/>
    </row>
    <row r="1087" spans="51:60" x14ac:dyDescent="0.2">
      <c r="AY1087" s="116"/>
      <c r="AZ1087" s="93"/>
      <c r="BA1087" s="89"/>
      <c r="BB1087" s="9"/>
      <c r="BC1087" s="93"/>
      <c r="BG1087" s="116"/>
      <c r="BH1087" s="9"/>
    </row>
    <row r="1088" spans="51:60" x14ac:dyDescent="0.2">
      <c r="AY1088" s="116"/>
      <c r="AZ1088" s="93"/>
      <c r="BA1088" s="89"/>
      <c r="BB1088" s="9"/>
      <c r="BC1088" s="93"/>
      <c r="BG1088" s="116"/>
      <c r="BH1088" s="9"/>
    </row>
    <row r="1089" spans="51:60" x14ac:dyDescent="0.2">
      <c r="AY1089" s="116"/>
      <c r="AZ1089" s="93"/>
      <c r="BA1089" s="89"/>
      <c r="BB1089" s="9"/>
      <c r="BC1089" s="93"/>
      <c r="BG1089" s="116"/>
      <c r="BH1089" s="9"/>
    </row>
    <row r="1090" spans="51:60" x14ac:dyDescent="0.2">
      <c r="AY1090" s="116"/>
      <c r="AZ1090" s="93"/>
      <c r="BA1090" s="89"/>
      <c r="BB1090" s="9"/>
      <c r="BC1090" s="93"/>
      <c r="BG1090" s="116"/>
      <c r="BH1090" s="9"/>
    </row>
    <row r="1091" spans="51:60" x14ac:dyDescent="0.2">
      <c r="AY1091" s="116"/>
      <c r="AZ1091" s="93"/>
      <c r="BA1091" s="89"/>
      <c r="BB1091" s="9"/>
      <c r="BC1091" s="93"/>
      <c r="BG1091" s="116"/>
      <c r="BH1091" s="9"/>
    </row>
    <row r="1092" spans="51:60" x14ac:dyDescent="0.2">
      <c r="AY1092" s="116"/>
      <c r="AZ1092" s="93"/>
      <c r="BA1092" s="89"/>
      <c r="BB1092" s="9"/>
      <c r="BC1092" s="93"/>
      <c r="BG1092" s="116"/>
      <c r="BH1092" s="9"/>
    </row>
    <row r="1093" spans="51:60" x14ac:dyDescent="0.2">
      <c r="AY1093" s="116"/>
      <c r="AZ1093" s="93"/>
      <c r="BA1093" s="89"/>
      <c r="BB1093" s="9"/>
      <c r="BC1093" s="93"/>
      <c r="BG1093" s="116"/>
      <c r="BH1093" s="9"/>
    </row>
    <row r="1094" spans="51:60" x14ac:dyDescent="0.2">
      <c r="AY1094" s="116"/>
      <c r="AZ1094" s="93"/>
      <c r="BA1094" s="89"/>
      <c r="BB1094" s="9"/>
      <c r="BC1094" s="93"/>
      <c r="BG1094" s="116"/>
      <c r="BH1094" s="9"/>
    </row>
    <row r="1095" spans="51:60" x14ac:dyDescent="0.2">
      <c r="AY1095" s="116"/>
      <c r="AZ1095" s="93"/>
      <c r="BA1095" s="89"/>
      <c r="BB1095" s="9"/>
      <c r="BC1095" s="93"/>
      <c r="BG1095" s="116"/>
      <c r="BH1095" s="9"/>
    </row>
    <row r="1096" spans="51:60" x14ac:dyDescent="0.2">
      <c r="AY1096" s="116"/>
      <c r="AZ1096" s="93"/>
      <c r="BA1096" s="89"/>
      <c r="BB1096" s="9"/>
      <c r="BC1096" s="93"/>
      <c r="BG1096" s="116"/>
      <c r="BH1096" s="9"/>
    </row>
    <row r="1097" spans="51:60" x14ac:dyDescent="0.2">
      <c r="AY1097" s="116"/>
      <c r="AZ1097" s="93"/>
      <c r="BA1097" s="89"/>
      <c r="BB1097" s="9"/>
      <c r="BC1097" s="93"/>
      <c r="BG1097" s="116"/>
      <c r="BH1097" s="9"/>
    </row>
    <row r="1098" spans="51:60" x14ac:dyDescent="0.2">
      <c r="AY1098" s="116"/>
      <c r="AZ1098" s="93"/>
      <c r="BA1098" s="89"/>
      <c r="BB1098" s="9"/>
      <c r="BC1098" s="93"/>
      <c r="BG1098" s="116"/>
      <c r="BH1098" s="9"/>
    </row>
    <row r="1099" spans="51:60" x14ac:dyDescent="0.2">
      <c r="AY1099" s="116"/>
      <c r="AZ1099" s="93"/>
      <c r="BA1099" s="89"/>
      <c r="BB1099" s="9"/>
      <c r="BC1099" s="93"/>
      <c r="BG1099" s="116"/>
      <c r="BH1099" s="9"/>
    </row>
    <row r="1100" spans="51:60" x14ac:dyDescent="0.2">
      <c r="AY1100" s="116"/>
      <c r="AZ1100" s="93"/>
      <c r="BA1100" s="89"/>
      <c r="BB1100" s="9"/>
      <c r="BC1100" s="93"/>
      <c r="BG1100" s="116"/>
      <c r="BH1100" s="9"/>
    </row>
    <row r="1101" spans="51:60" x14ac:dyDescent="0.2">
      <c r="AY1101" s="116"/>
      <c r="AZ1101" s="93"/>
      <c r="BA1101" s="89"/>
      <c r="BB1101" s="9"/>
      <c r="BC1101" s="93"/>
      <c r="BG1101" s="116"/>
      <c r="BH1101" s="9"/>
    </row>
    <row r="1102" spans="51:60" x14ac:dyDescent="0.2">
      <c r="AY1102" s="116"/>
      <c r="AZ1102" s="93"/>
      <c r="BA1102" s="89"/>
      <c r="BB1102" s="9"/>
      <c r="BC1102" s="93"/>
      <c r="BG1102" s="116"/>
      <c r="BH1102" s="9"/>
    </row>
    <row r="1103" spans="51:60" x14ac:dyDescent="0.2">
      <c r="AY1103" s="116"/>
      <c r="AZ1103" s="93"/>
      <c r="BA1103" s="89"/>
      <c r="BB1103" s="9"/>
      <c r="BC1103" s="93"/>
      <c r="BG1103" s="116"/>
      <c r="BH1103" s="9"/>
    </row>
    <row r="1104" spans="51:60" x14ac:dyDescent="0.2">
      <c r="AY1104" s="116"/>
      <c r="AZ1104" s="93"/>
      <c r="BA1104" s="89"/>
      <c r="BB1104" s="9"/>
      <c r="BC1104" s="93"/>
      <c r="BG1104" s="116"/>
      <c r="BH1104" s="9"/>
    </row>
    <row r="1105" spans="51:60" x14ac:dyDescent="0.2">
      <c r="AY1105" s="116"/>
      <c r="AZ1105" s="93"/>
      <c r="BA1105" s="89"/>
      <c r="BB1105" s="9"/>
      <c r="BC1105" s="93"/>
      <c r="BG1105" s="116"/>
      <c r="BH1105" s="9"/>
    </row>
    <row r="1106" spans="51:60" x14ac:dyDescent="0.2">
      <c r="AY1106" s="116"/>
      <c r="AZ1106" s="93"/>
      <c r="BA1106" s="89"/>
      <c r="BB1106" s="9"/>
      <c r="BC1106" s="93"/>
      <c r="BG1106" s="116"/>
      <c r="BH1106" s="9"/>
    </row>
    <row r="1107" spans="51:60" x14ac:dyDescent="0.2">
      <c r="AY1107" s="116"/>
      <c r="AZ1107" s="93"/>
      <c r="BA1107" s="89"/>
      <c r="BB1107" s="9"/>
      <c r="BC1107" s="93"/>
      <c r="BG1107" s="116"/>
      <c r="BH1107" s="9"/>
    </row>
    <row r="1108" spans="51:60" x14ac:dyDescent="0.2">
      <c r="AY1108" s="116"/>
      <c r="AZ1108" s="93"/>
      <c r="BA1108" s="89"/>
      <c r="BB1108" s="9"/>
      <c r="BC1108" s="93"/>
      <c r="BG1108" s="116"/>
      <c r="BH1108" s="9"/>
    </row>
    <row r="1109" spans="51:60" x14ac:dyDescent="0.2">
      <c r="AY1109" s="116"/>
      <c r="AZ1109" s="93"/>
      <c r="BA1109" s="89"/>
      <c r="BB1109" s="9"/>
      <c r="BC1109" s="93"/>
      <c r="BG1109" s="116"/>
      <c r="BH1109" s="9"/>
    </row>
    <row r="1110" spans="51:60" x14ac:dyDescent="0.2">
      <c r="AY1110" s="116"/>
      <c r="AZ1110" s="93"/>
      <c r="BA1110" s="89"/>
      <c r="BB1110" s="9"/>
      <c r="BC1110" s="93"/>
      <c r="BG1110" s="116"/>
      <c r="BH1110" s="9"/>
    </row>
    <row r="1111" spans="51:60" x14ac:dyDescent="0.2">
      <c r="AY1111" s="116"/>
      <c r="AZ1111" s="93"/>
      <c r="BA1111" s="89"/>
      <c r="BB1111" s="9"/>
      <c r="BC1111" s="93"/>
      <c r="BG1111" s="116"/>
      <c r="BH1111" s="9"/>
    </row>
    <row r="1112" spans="51:60" x14ac:dyDescent="0.2">
      <c r="AY1112" s="116"/>
      <c r="AZ1112" s="93"/>
      <c r="BA1112" s="89"/>
      <c r="BB1112" s="9"/>
      <c r="BC1112" s="93"/>
      <c r="BG1112" s="116"/>
      <c r="BH1112" s="9"/>
    </row>
    <row r="1113" spans="51:60" x14ac:dyDescent="0.2">
      <c r="AY1113" s="116"/>
      <c r="AZ1113" s="93"/>
      <c r="BA1113" s="89"/>
      <c r="BB1113" s="9"/>
      <c r="BC1113" s="93"/>
      <c r="BG1113" s="116"/>
      <c r="BH1113" s="9"/>
    </row>
    <row r="1114" spans="51:60" x14ac:dyDescent="0.2">
      <c r="AY1114" s="116"/>
      <c r="AZ1114" s="93"/>
      <c r="BA1114" s="89"/>
      <c r="BB1114" s="9"/>
      <c r="BC1114" s="93"/>
      <c r="BG1114" s="116"/>
      <c r="BH1114" s="9"/>
    </row>
    <row r="1115" spans="51:60" x14ac:dyDescent="0.2">
      <c r="AY1115" s="116"/>
      <c r="AZ1115" s="93"/>
      <c r="BA1115" s="89"/>
      <c r="BB1115" s="9"/>
      <c r="BC1115" s="93"/>
      <c r="BG1115" s="116"/>
      <c r="BH1115" s="9"/>
    </row>
    <row r="1116" spans="51:60" x14ac:dyDescent="0.2">
      <c r="AY1116" s="116"/>
      <c r="AZ1116" s="93"/>
      <c r="BA1116" s="89"/>
      <c r="BB1116" s="9"/>
      <c r="BC1116" s="93"/>
      <c r="BG1116" s="116"/>
      <c r="BH1116" s="9"/>
    </row>
    <row r="1117" spans="51:60" x14ac:dyDescent="0.2">
      <c r="AY1117" s="116"/>
      <c r="AZ1117" s="93"/>
      <c r="BA1117" s="89"/>
      <c r="BB1117" s="9"/>
      <c r="BC1117" s="93"/>
      <c r="BG1117" s="116"/>
      <c r="BH1117" s="9"/>
    </row>
    <row r="1118" spans="51:60" x14ac:dyDescent="0.2">
      <c r="AY1118" s="116"/>
      <c r="AZ1118" s="93"/>
      <c r="BA1118" s="89"/>
      <c r="BB1118" s="9"/>
      <c r="BC1118" s="93"/>
      <c r="BG1118" s="116"/>
      <c r="BH1118" s="9"/>
    </row>
    <row r="1119" spans="51:60" x14ac:dyDescent="0.2">
      <c r="AY1119" s="116"/>
      <c r="AZ1119" s="93"/>
      <c r="BA1119" s="89"/>
      <c r="BB1119" s="9"/>
      <c r="BC1119" s="93"/>
      <c r="BG1119" s="116"/>
      <c r="BH1119" s="9"/>
    </row>
    <row r="1120" spans="51:60" x14ac:dyDescent="0.2">
      <c r="AY1120" s="116"/>
      <c r="AZ1120" s="93"/>
      <c r="BA1120" s="89"/>
      <c r="BB1120" s="9"/>
      <c r="BC1120" s="93"/>
      <c r="BG1120" s="116"/>
      <c r="BH1120" s="9"/>
    </row>
    <row r="1121" spans="51:60" x14ac:dyDescent="0.2">
      <c r="AY1121" s="116"/>
      <c r="AZ1121" s="93"/>
      <c r="BA1121" s="89"/>
      <c r="BB1121" s="9"/>
      <c r="BC1121" s="93"/>
      <c r="BG1121" s="116"/>
      <c r="BH1121" s="9"/>
    </row>
    <row r="1122" spans="51:60" x14ac:dyDescent="0.2">
      <c r="AY1122" s="116"/>
      <c r="AZ1122" s="93"/>
      <c r="BA1122" s="89"/>
      <c r="BB1122" s="9"/>
      <c r="BC1122" s="93"/>
      <c r="BG1122" s="116"/>
      <c r="BH1122" s="9"/>
    </row>
    <row r="1123" spans="51:60" x14ac:dyDescent="0.2">
      <c r="AY1123" s="116"/>
      <c r="AZ1123" s="93"/>
      <c r="BA1123" s="89"/>
      <c r="BB1123" s="9"/>
      <c r="BC1123" s="93"/>
      <c r="BG1123" s="116"/>
      <c r="BH1123" s="9"/>
    </row>
    <row r="1124" spans="51:60" x14ac:dyDescent="0.2">
      <c r="AY1124" s="116"/>
      <c r="AZ1124" s="93"/>
      <c r="BA1124" s="89"/>
      <c r="BB1124" s="9"/>
      <c r="BC1124" s="93"/>
      <c r="BG1124" s="116"/>
      <c r="BH1124" s="9"/>
    </row>
    <row r="1125" spans="51:60" x14ac:dyDescent="0.2">
      <c r="AY1125" s="116"/>
      <c r="AZ1125" s="93"/>
      <c r="BA1125" s="89"/>
      <c r="BB1125" s="9"/>
      <c r="BC1125" s="93"/>
      <c r="BG1125" s="116"/>
      <c r="BH1125" s="9"/>
    </row>
    <row r="1126" spans="51:60" x14ac:dyDescent="0.2">
      <c r="AY1126" s="116"/>
      <c r="AZ1126" s="93"/>
      <c r="BA1126" s="89"/>
      <c r="BB1126" s="9"/>
      <c r="BC1126" s="93"/>
      <c r="BG1126" s="116"/>
      <c r="BH1126" s="9"/>
    </row>
    <row r="1127" spans="51:60" x14ac:dyDescent="0.2">
      <c r="AY1127" s="116"/>
      <c r="AZ1127" s="93"/>
      <c r="BA1127" s="89"/>
      <c r="BB1127" s="9"/>
      <c r="BC1127" s="93"/>
      <c r="BG1127" s="116"/>
      <c r="BH1127" s="9"/>
    </row>
    <row r="1128" spans="51:60" x14ac:dyDescent="0.2">
      <c r="AY1128" s="116"/>
      <c r="AZ1128" s="93"/>
      <c r="BA1128" s="89"/>
      <c r="BB1128" s="9"/>
      <c r="BC1128" s="93"/>
      <c r="BG1128" s="116"/>
      <c r="BH1128" s="9"/>
    </row>
    <row r="1129" spans="51:60" x14ac:dyDescent="0.2">
      <c r="AY1129" s="116"/>
      <c r="AZ1129" s="93"/>
      <c r="BA1129" s="89"/>
      <c r="BB1129" s="9"/>
      <c r="BC1129" s="93"/>
      <c r="BG1129" s="116"/>
      <c r="BH1129" s="9"/>
    </row>
    <row r="1130" spans="51:60" x14ac:dyDescent="0.2">
      <c r="AY1130" s="116"/>
      <c r="AZ1130" s="93"/>
      <c r="BA1130" s="89"/>
      <c r="BB1130" s="9"/>
      <c r="BC1130" s="93"/>
      <c r="BG1130" s="116"/>
      <c r="BH1130" s="9"/>
    </row>
    <row r="1131" spans="51:60" x14ac:dyDescent="0.2">
      <c r="AY1131" s="116"/>
      <c r="AZ1131" s="93"/>
      <c r="BA1131" s="89"/>
      <c r="BB1131" s="9"/>
      <c r="BC1131" s="93"/>
      <c r="BG1131" s="116"/>
      <c r="BH1131" s="9"/>
    </row>
    <row r="1132" spans="51:60" x14ac:dyDescent="0.2">
      <c r="AY1132" s="116"/>
      <c r="AZ1132" s="93"/>
      <c r="BA1132" s="89"/>
      <c r="BB1132" s="9"/>
      <c r="BC1132" s="93"/>
      <c r="BG1132" s="116"/>
      <c r="BH1132" s="9"/>
    </row>
    <row r="1133" spans="51:60" x14ac:dyDescent="0.2">
      <c r="AY1133" s="116"/>
      <c r="AZ1133" s="93"/>
      <c r="BA1133" s="89"/>
      <c r="BB1133" s="9"/>
      <c r="BC1133" s="93"/>
      <c r="BG1133" s="116"/>
      <c r="BH1133" s="9"/>
    </row>
    <row r="1134" spans="51:60" x14ac:dyDescent="0.2">
      <c r="AY1134" s="116"/>
      <c r="AZ1134" s="93"/>
      <c r="BA1134" s="89"/>
      <c r="BB1134" s="9"/>
      <c r="BC1134" s="93"/>
      <c r="BG1134" s="116"/>
      <c r="BH1134" s="9"/>
    </row>
    <row r="1135" spans="51:60" x14ac:dyDescent="0.2">
      <c r="AY1135" s="116"/>
      <c r="AZ1135" s="93"/>
      <c r="BA1135" s="89"/>
      <c r="BB1135" s="9"/>
      <c r="BC1135" s="93"/>
      <c r="BG1135" s="116"/>
      <c r="BH1135" s="9"/>
    </row>
    <row r="1136" spans="51:60" x14ac:dyDescent="0.2">
      <c r="AY1136" s="116"/>
      <c r="AZ1136" s="93"/>
      <c r="BA1136" s="89"/>
      <c r="BB1136" s="9"/>
      <c r="BC1136" s="93"/>
      <c r="BG1136" s="116"/>
      <c r="BH1136" s="9"/>
    </row>
    <row r="1137" spans="51:60" x14ac:dyDescent="0.2">
      <c r="AY1137" s="116"/>
      <c r="AZ1137" s="93"/>
      <c r="BA1137" s="89"/>
      <c r="BB1137" s="9"/>
      <c r="BC1137" s="93"/>
      <c r="BG1137" s="116"/>
      <c r="BH1137" s="9"/>
    </row>
    <row r="1138" spans="51:60" x14ac:dyDescent="0.2">
      <c r="AY1138" s="116"/>
      <c r="AZ1138" s="93"/>
      <c r="BA1138" s="89"/>
      <c r="BB1138" s="9"/>
      <c r="BC1138" s="93"/>
      <c r="BG1138" s="116"/>
      <c r="BH1138" s="9"/>
    </row>
    <row r="1139" spans="51:60" x14ac:dyDescent="0.2">
      <c r="AY1139" s="116"/>
      <c r="AZ1139" s="93"/>
      <c r="BA1139" s="89"/>
      <c r="BB1139" s="9"/>
      <c r="BC1139" s="93"/>
      <c r="BG1139" s="116"/>
      <c r="BH1139" s="9"/>
    </row>
    <row r="1140" spans="51:60" x14ac:dyDescent="0.2">
      <c r="AY1140" s="116"/>
      <c r="AZ1140" s="93"/>
      <c r="BA1140" s="89"/>
      <c r="BB1140" s="9"/>
      <c r="BC1140" s="93"/>
      <c r="BG1140" s="116"/>
      <c r="BH1140" s="9"/>
    </row>
    <row r="1141" spans="51:60" x14ac:dyDescent="0.2">
      <c r="AY1141" s="116"/>
      <c r="AZ1141" s="93"/>
      <c r="BA1141" s="89"/>
      <c r="BB1141" s="9"/>
      <c r="BC1141" s="93"/>
      <c r="BG1141" s="116"/>
      <c r="BH1141" s="9"/>
    </row>
    <row r="1142" spans="51:60" x14ac:dyDescent="0.2">
      <c r="AY1142" s="116"/>
      <c r="AZ1142" s="93"/>
      <c r="BA1142" s="89"/>
      <c r="BB1142" s="9"/>
      <c r="BC1142" s="93"/>
      <c r="BG1142" s="116"/>
      <c r="BH1142" s="9"/>
    </row>
    <row r="1143" spans="51:60" x14ac:dyDescent="0.2">
      <c r="AY1143" s="116"/>
      <c r="AZ1143" s="93"/>
      <c r="BA1143" s="89"/>
      <c r="BB1143" s="9"/>
      <c r="BC1143" s="93"/>
      <c r="BG1143" s="116"/>
      <c r="BH1143" s="9"/>
    </row>
    <row r="1144" spans="51:60" x14ac:dyDescent="0.2">
      <c r="AY1144" s="116"/>
      <c r="AZ1144" s="93"/>
      <c r="BA1144" s="89"/>
      <c r="BB1144" s="9"/>
      <c r="BC1144" s="93"/>
      <c r="BG1144" s="116"/>
      <c r="BH1144" s="9"/>
    </row>
    <row r="1145" spans="51:60" x14ac:dyDescent="0.2">
      <c r="AY1145" s="116"/>
      <c r="AZ1145" s="93"/>
      <c r="BA1145" s="89"/>
      <c r="BB1145" s="9"/>
      <c r="BC1145" s="93"/>
      <c r="BG1145" s="116"/>
      <c r="BH1145" s="9"/>
    </row>
    <row r="1146" spans="51:60" x14ac:dyDescent="0.2">
      <c r="AY1146" s="116"/>
      <c r="AZ1146" s="93"/>
      <c r="BA1146" s="89"/>
      <c r="BB1146" s="9"/>
      <c r="BC1146" s="93"/>
      <c r="BG1146" s="116"/>
      <c r="BH1146" s="9"/>
    </row>
    <row r="1147" spans="51:60" x14ac:dyDescent="0.2">
      <c r="AY1147" s="116"/>
      <c r="AZ1147" s="93"/>
      <c r="BA1147" s="89"/>
      <c r="BB1147" s="9"/>
      <c r="BC1147" s="93"/>
      <c r="BG1147" s="116"/>
      <c r="BH1147" s="9"/>
    </row>
    <row r="1148" spans="51:60" x14ac:dyDescent="0.2">
      <c r="AY1148" s="116"/>
      <c r="AZ1148" s="93"/>
      <c r="BA1148" s="89"/>
      <c r="BB1148" s="9"/>
      <c r="BC1148" s="93"/>
      <c r="BG1148" s="116"/>
      <c r="BH1148" s="9"/>
    </row>
    <row r="1149" spans="51:60" x14ac:dyDescent="0.2">
      <c r="AY1149" s="116"/>
      <c r="AZ1149" s="93"/>
      <c r="BA1149" s="89"/>
      <c r="BB1149" s="9"/>
      <c r="BC1149" s="93"/>
      <c r="BG1149" s="116"/>
      <c r="BH1149" s="9"/>
    </row>
    <row r="1150" spans="51:60" x14ac:dyDescent="0.2">
      <c r="AY1150" s="116"/>
      <c r="AZ1150" s="93"/>
      <c r="BA1150" s="89"/>
      <c r="BB1150" s="9"/>
      <c r="BC1150" s="93"/>
      <c r="BG1150" s="116"/>
      <c r="BH1150" s="9"/>
    </row>
    <row r="1151" spans="51:60" x14ac:dyDescent="0.2">
      <c r="AY1151" s="116"/>
      <c r="AZ1151" s="93"/>
      <c r="BA1151" s="89"/>
      <c r="BB1151" s="9"/>
      <c r="BC1151" s="93"/>
      <c r="BG1151" s="116"/>
      <c r="BH1151" s="9"/>
    </row>
    <row r="1152" spans="51:60" x14ac:dyDescent="0.2">
      <c r="AY1152" s="116"/>
      <c r="AZ1152" s="93"/>
      <c r="BA1152" s="89"/>
      <c r="BB1152" s="9"/>
      <c r="BC1152" s="93"/>
      <c r="BG1152" s="116"/>
      <c r="BH1152" s="9"/>
    </row>
    <row r="1153" spans="51:60" x14ac:dyDescent="0.2">
      <c r="AY1153" s="116"/>
      <c r="AZ1153" s="93"/>
      <c r="BA1153" s="89"/>
      <c r="BB1153" s="9"/>
      <c r="BC1153" s="93"/>
      <c r="BG1153" s="116"/>
      <c r="BH1153" s="9"/>
    </row>
    <row r="1154" spans="51:60" x14ac:dyDescent="0.2">
      <c r="AY1154" s="116"/>
      <c r="AZ1154" s="93"/>
      <c r="BA1154" s="89"/>
      <c r="BB1154" s="9"/>
      <c r="BC1154" s="93"/>
      <c r="BG1154" s="116"/>
      <c r="BH1154" s="9"/>
    </row>
    <row r="1155" spans="51:60" x14ac:dyDescent="0.2">
      <c r="AY1155" s="116"/>
      <c r="AZ1155" s="93"/>
      <c r="BA1155" s="89"/>
      <c r="BB1155" s="9"/>
      <c r="BC1155" s="93"/>
      <c r="BG1155" s="116"/>
      <c r="BH1155" s="9"/>
    </row>
    <row r="1156" spans="51:60" x14ac:dyDescent="0.2">
      <c r="AY1156" s="116"/>
      <c r="AZ1156" s="93"/>
      <c r="BA1156" s="89"/>
      <c r="BB1156" s="9"/>
      <c r="BC1156" s="93"/>
      <c r="BG1156" s="116"/>
      <c r="BH1156" s="9"/>
    </row>
    <row r="1157" spans="51:60" x14ac:dyDescent="0.2">
      <c r="AY1157" s="116"/>
      <c r="AZ1157" s="93"/>
      <c r="BA1157" s="89"/>
      <c r="BB1157" s="9"/>
      <c r="BC1157" s="93"/>
      <c r="BG1157" s="116"/>
      <c r="BH1157" s="9"/>
    </row>
    <row r="1158" spans="51:60" x14ac:dyDescent="0.2">
      <c r="AY1158" s="116"/>
      <c r="AZ1158" s="93"/>
      <c r="BA1158" s="89"/>
      <c r="BB1158" s="9"/>
      <c r="BC1158" s="93"/>
      <c r="BG1158" s="116"/>
      <c r="BH1158" s="9"/>
    </row>
    <row r="1159" spans="51:60" x14ac:dyDescent="0.2">
      <c r="AY1159" s="116"/>
      <c r="AZ1159" s="93"/>
      <c r="BA1159" s="89"/>
      <c r="BB1159" s="9"/>
      <c r="BC1159" s="93"/>
      <c r="BG1159" s="116"/>
      <c r="BH1159" s="9"/>
    </row>
    <row r="1160" spans="51:60" x14ac:dyDescent="0.2">
      <c r="AY1160" s="116"/>
      <c r="AZ1160" s="93"/>
      <c r="BA1160" s="89"/>
      <c r="BB1160" s="9"/>
      <c r="BC1160" s="93"/>
      <c r="BG1160" s="116"/>
      <c r="BH1160" s="9"/>
    </row>
    <row r="1161" spans="51:60" x14ac:dyDescent="0.2">
      <c r="AY1161" s="116"/>
      <c r="AZ1161" s="93"/>
      <c r="BA1161" s="89"/>
      <c r="BB1161" s="9"/>
      <c r="BC1161" s="93"/>
      <c r="BG1161" s="116"/>
      <c r="BH1161" s="9"/>
    </row>
    <row r="1162" spans="51:60" x14ac:dyDescent="0.2">
      <c r="AY1162" s="116"/>
      <c r="AZ1162" s="93"/>
      <c r="BA1162" s="89"/>
      <c r="BB1162" s="9"/>
      <c r="BC1162" s="93"/>
      <c r="BG1162" s="116"/>
      <c r="BH1162" s="9"/>
    </row>
    <row r="1163" spans="51:60" x14ac:dyDescent="0.2">
      <c r="AY1163" s="116"/>
      <c r="AZ1163" s="93"/>
      <c r="BA1163" s="89"/>
      <c r="BB1163" s="9"/>
      <c r="BC1163" s="93"/>
      <c r="BG1163" s="116"/>
      <c r="BH1163" s="9"/>
    </row>
    <row r="1164" spans="51:60" x14ac:dyDescent="0.2">
      <c r="AY1164" s="116"/>
      <c r="AZ1164" s="93"/>
      <c r="BA1164" s="89"/>
      <c r="BB1164" s="9"/>
      <c r="BC1164" s="93"/>
      <c r="BG1164" s="116"/>
      <c r="BH1164" s="9"/>
    </row>
    <row r="1165" spans="51:60" x14ac:dyDescent="0.2">
      <c r="AY1165" s="116"/>
      <c r="AZ1165" s="93"/>
      <c r="BA1165" s="89"/>
      <c r="BB1165" s="9"/>
      <c r="BC1165" s="93"/>
      <c r="BG1165" s="116"/>
      <c r="BH1165" s="9"/>
    </row>
    <row r="1166" spans="51:60" x14ac:dyDescent="0.2">
      <c r="AY1166" s="116"/>
      <c r="AZ1166" s="93"/>
      <c r="BA1166" s="89"/>
      <c r="BB1166" s="9"/>
      <c r="BC1166" s="93"/>
      <c r="BG1166" s="116"/>
      <c r="BH1166" s="9"/>
    </row>
    <row r="1167" spans="51:60" x14ac:dyDescent="0.2">
      <c r="AY1167" s="116"/>
      <c r="AZ1167" s="93"/>
      <c r="BA1167" s="89"/>
      <c r="BB1167" s="9"/>
      <c r="BC1167" s="93"/>
      <c r="BG1167" s="116"/>
      <c r="BH1167" s="9"/>
    </row>
    <row r="1168" spans="51:60" x14ac:dyDescent="0.2">
      <c r="AY1168" s="116"/>
      <c r="AZ1168" s="93"/>
      <c r="BA1168" s="89"/>
      <c r="BB1168" s="9"/>
      <c r="BC1168" s="93"/>
      <c r="BG1168" s="116"/>
      <c r="BH1168" s="9"/>
    </row>
    <row r="1169" spans="51:60" x14ac:dyDescent="0.2">
      <c r="AY1169" s="116"/>
      <c r="AZ1169" s="93"/>
      <c r="BA1169" s="89"/>
      <c r="BB1169" s="9"/>
      <c r="BC1169" s="93"/>
      <c r="BG1169" s="116"/>
      <c r="BH1169" s="9"/>
    </row>
    <row r="1170" spans="51:60" x14ac:dyDescent="0.2">
      <c r="AY1170" s="116"/>
      <c r="AZ1170" s="93"/>
      <c r="BA1170" s="89"/>
      <c r="BB1170" s="9"/>
      <c r="BC1170" s="93"/>
      <c r="BG1170" s="116"/>
      <c r="BH1170" s="9"/>
    </row>
    <row r="1171" spans="51:60" x14ac:dyDescent="0.2">
      <c r="AY1171" s="116"/>
      <c r="AZ1171" s="93"/>
      <c r="BA1171" s="89"/>
      <c r="BB1171" s="9"/>
      <c r="BC1171" s="93"/>
      <c r="BG1171" s="116"/>
      <c r="BH1171" s="9"/>
    </row>
    <row r="1172" spans="51:60" x14ac:dyDescent="0.2">
      <c r="AY1172" s="116"/>
      <c r="AZ1172" s="93"/>
      <c r="BA1172" s="89"/>
      <c r="BB1172" s="9"/>
      <c r="BC1172" s="93"/>
      <c r="BG1172" s="116"/>
      <c r="BH1172" s="9"/>
    </row>
    <row r="1173" spans="51:60" x14ac:dyDescent="0.2">
      <c r="AY1173" s="116"/>
      <c r="AZ1173" s="93"/>
      <c r="BA1173" s="89"/>
      <c r="BB1173" s="9"/>
      <c r="BC1173" s="93"/>
      <c r="BG1173" s="116"/>
      <c r="BH1173" s="9"/>
    </row>
    <row r="1174" spans="51:60" x14ac:dyDescent="0.2">
      <c r="AY1174" s="116"/>
      <c r="AZ1174" s="93"/>
      <c r="BA1174" s="89"/>
      <c r="BB1174" s="9"/>
      <c r="BC1174" s="93"/>
      <c r="BG1174" s="116"/>
      <c r="BH1174" s="9"/>
    </row>
    <row r="1175" spans="51:60" x14ac:dyDescent="0.2">
      <c r="AY1175" s="116"/>
      <c r="AZ1175" s="93"/>
      <c r="BA1175" s="89"/>
      <c r="BB1175" s="9"/>
      <c r="BC1175" s="93"/>
      <c r="BG1175" s="116"/>
      <c r="BH1175" s="9"/>
    </row>
    <row r="1176" spans="51:60" x14ac:dyDescent="0.2">
      <c r="AY1176" s="116"/>
      <c r="AZ1176" s="93"/>
      <c r="BA1176" s="89"/>
      <c r="BB1176" s="9"/>
      <c r="BC1176" s="93"/>
      <c r="BG1176" s="116"/>
      <c r="BH1176" s="9"/>
    </row>
    <row r="1177" spans="51:60" x14ac:dyDescent="0.2">
      <c r="AY1177" s="116"/>
      <c r="AZ1177" s="93"/>
      <c r="BA1177" s="89"/>
      <c r="BB1177" s="9"/>
      <c r="BC1177" s="93"/>
      <c r="BG1177" s="116"/>
      <c r="BH1177" s="9"/>
    </row>
    <row r="1178" spans="51:60" x14ac:dyDescent="0.2">
      <c r="AY1178" s="116"/>
      <c r="AZ1178" s="93"/>
      <c r="BA1178" s="89"/>
      <c r="BB1178" s="9"/>
      <c r="BC1178" s="93"/>
      <c r="BG1178" s="116"/>
      <c r="BH1178" s="9"/>
    </row>
    <row r="1179" spans="51:60" x14ac:dyDescent="0.2">
      <c r="AY1179" s="116"/>
      <c r="AZ1179" s="93"/>
      <c r="BA1179" s="89"/>
      <c r="BB1179" s="9"/>
      <c r="BC1179" s="93"/>
      <c r="BG1179" s="116"/>
      <c r="BH1179" s="9"/>
    </row>
    <row r="1180" spans="51:60" x14ac:dyDescent="0.2">
      <c r="AY1180" s="116"/>
      <c r="AZ1180" s="93"/>
      <c r="BA1180" s="89"/>
      <c r="BB1180" s="9"/>
      <c r="BC1180" s="93"/>
      <c r="BG1180" s="116"/>
      <c r="BH1180" s="9"/>
    </row>
    <row r="1181" spans="51:60" x14ac:dyDescent="0.2">
      <c r="AY1181" s="116"/>
      <c r="AZ1181" s="93"/>
      <c r="BA1181" s="89"/>
      <c r="BB1181" s="9"/>
      <c r="BC1181" s="93"/>
      <c r="BG1181" s="116"/>
      <c r="BH1181" s="9"/>
    </row>
    <row r="1182" spans="51:60" x14ac:dyDescent="0.2">
      <c r="AY1182" s="116"/>
      <c r="AZ1182" s="93"/>
      <c r="BA1182" s="89"/>
      <c r="BB1182" s="9"/>
      <c r="BC1182" s="93"/>
      <c r="BG1182" s="116"/>
      <c r="BH1182" s="9"/>
    </row>
    <row r="1183" spans="51:60" x14ac:dyDescent="0.2">
      <c r="AY1183" s="116"/>
      <c r="AZ1183" s="93"/>
      <c r="BA1183" s="89"/>
      <c r="BB1183" s="9"/>
      <c r="BC1183" s="93"/>
      <c r="BG1183" s="116"/>
      <c r="BH1183" s="9"/>
    </row>
    <row r="1184" spans="51:60" x14ac:dyDescent="0.2">
      <c r="AY1184" s="116"/>
      <c r="AZ1184" s="93"/>
      <c r="BA1184" s="89"/>
      <c r="BB1184" s="9"/>
      <c r="BC1184" s="93"/>
      <c r="BG1184" s="116"/>
      <c r="BH1184" s="9"/>
    </row>
    <row r="1185" spans="51:60" x14ac:dyDescent="0.2">
      <c r="AY1185" s="116"/>
      <c r="AZ1185" s="93"/>
      <c r="BA1185" s="89"/>
      <c r="BB1185" s="9"/>
      <c r="BC1185" s="93"/>
      <c r="BG1185" s="116"/>
      <c r="BH1185" s="9"/>
    </row>
    <row r="1186" spans="51:60" x14ac:dyDescent="0.2">
      <c r="AY1186" s="116"/>
      <c r="AZ1186" s="93"/>
      <c r="BA1186" s="89"/>
      <c r="BB1186" s="9"/>
      <c r="BC1186" s="93"/>
      <c r="BG1186" s="116"/>
      <c r="BH1186" s="9"/>
    </row>
    <row r="1187" spans="51:60" x14ac:dyDescent="0.2">
      <c r="AY1187" s="116"/>
      <c r="AZ1187" s="93"/>
      <c r="BA1187" s="89"/>
      <c r="BB1187" s="9"/>
      <c r="BC1187" s="93"/>
      <c r="BG1187" s="116"/>
      <c r="BH1187" s="9"/>
    </row>
    <row r="1188" spans="51:60" x14ac:dyDescent="0.2">
      <c r="AY1188" s="116"/>
      <c r="AZ1188" s="93"/>
      <c r="BA1188" s="89"/>
      <c r="BB1188" s="9"/>
      <c r="BC1188" s="93"/>
      <c r="BG1188" s="116"/>
      <c r="BH1188" s="9"/>
    </row>
    <row r="1189" spans="51:60" x14ac:dyDescent="0.2">
      <c r="AY1189" s="116"/>
      <c r="AZ1189" s="93"/>
      <c r="BA1189" s="89"/>
      <c r="BB1189" s="9"/>
      <c r="BC1189" s="93"/>
      <c r="BG1189" s="116"/>
      <c r="BH1189" s="9"/>
    </row>
    <row r="1190" spans="51:60" x14ac:dyDescent="0.2">
      <c r="AY1190" s="116"/>
      <c r="AZ1190" s="93"/>
      <c r="BA1190" s="89"/>
      <c r="BB1190" s="9"/>
      <c r="BC1190" s="93"/>
      <c r="BG1190" s="116"/>
      <c r="BH1190" s="9"/>
    </row>
    <row r="1191" spans="51:60" x14ac:dyDescent="0.2">
      <c r="AY1191" s="116"/>
      <c r="AZ1191" s="93"/>
      <c r="BA1191" s="89"/>
      <c r="BB1191" s="9"/>
      <c r="BC1191" s="93"/>
      <c r="BG1191" s="116"/>
      <c r="BH1191" s="9"/>
    </row>
    <row r="1192" spans="51:60" x14ac:dyDescent="0.2">
      <c r="AY1192" s="116"/>
      <c r="AZ1192" s="93"/>
      <c r="BA1192" s="89"/>
      <c r="BB1192" s="9"/>
      <c r="BC1192" s="93"/>
      <c r="BG1192" s="116"/>
      <c r="BH1192" s="9"/>
    </row>
    <row r="1193" spans="51:60" x14ac:dyDescent="0.2">
      <c r="AY1193" s="116"/>
      <c r="AZ1193" s="93"/>
      <c r="BA1193" s="89"/>
      <c r="BB1193" s="9"/>
      <c r="BC1193" s="93"/>
      <c r="BG1193" s="116"/>
      <c r="BH1193" s="9"/>
    </row>
    <row r="1194" spans="51:60" x14ac:dyDescent="0.2">
      <c r="AY1194" s="116"/>
      <c r="AZ1194" s="93"/>
      <c r="BA1194" s="89"/>
      <c r="BB1194" s="9"/>
      <c r="BC1194" s="93"/>
      <c r="BG1194" s="116"/>
      <c r="BH1194" s="9"/>
    </row>
    <row r="1195" spans="51:60" x14ac:dyDescent="0.2">
      <c r="AY1195" s="116"/>
      <c r="AZ1195" s="93"/>
      <c r="BA1195" s="89"/>
      <c r="BB1195" s="9"/>
      <c r="BC1195" s="93"/>
      <c r="BG1195" s="116"/>
      <c r="BH1195" s="9"/>
    </row>
    <row r="1196" spans="51:60" x14ac:dyDescent="0.2">
      <c r="AY1196" s="116"/>
      <c r="AZ1196" s="93"/>
      <c r="BA1196" s="89"/>
      <c r="BB1196" s="9"/>
      <c r="BC1196" s="93"/>
      <c r="BG1196" s="116"/>
      <c r="BH1196" s="9"/>
    </row>
    <row r="1197" spans="51:60" x14ac:dyDescent="0.2">
      <c r="AY1197" s="116"/>
      <c r="AZ1197" s="93"/>
      <c r="BA1197" s="89"/>
      <c r="BB1197" s="9"/>
      <c r="BC1197" s="93"/>
      <c r="BG1197" s="116"/>
      <c r="BH1197" s="9"/>
    </row>
    <row r="1198" spans="51:60" x14ac:dyDescent="0.2">
      <c r="AY1198" s="116"/>
      <c r="AZ1198" s="93"/>
      <c r="BA1198" s="89"/>
      <c r="BB1198" s="9"/>
      <c r="BC1198" s="93"/>
      <c r="BG1198" s="116"/>
      <c r="BH1198" s="9"/>
    </row>
    <row r="1199" spans="51:60" x14ac:dyDescent="0.2">
      <c r="AY1199" s="116"/>
      <c r="AZ1199" s="93"/>
      <c r="BA1199" s="89"/>
      <c r="BB1199" s="9"/>
      <c r="BC1199" s="93"/>
      <c r="BG1199" s="116"/>
      <c r="BH1199" s="9"/>
    </row>
    <row r="1200" spans="51:60" x14ac:dyDescent="0.2">
      <c r="AY1200" s="116"/>
      <c r="AZ1200" s="93"/>
      <c r="BA1200" s="89"/>
      <c r="BB1200" s="9"/>
      <c r="BC1200" s="93"/>
      <c r="BG1200" s="116"/>
      <c r="BH1200" s="9"/>
    </row>
    <row r="1201" spans="51:60" x14ac:dyDescent="0.2">
      <c r="AY1201" s="116"/>
      <c r="AZ1201" s="93"/>
      <c r="BA1201" s="89"/>
      <c r="BB1201" s="9"/>
      <c r="BC1201" s="93"/>
      <c r="BG1201" s="116"/>
      <c r="BH1201" s="9"/>
    </row>
    <row r="1202" spans="51:60" x14ac:dyDescent="0.2">
      <c r="AY1202" s="116"/>
      <c r="AZ1202" s="93"/>
      <c r="BA1202" s="89"/>
      <c r="BB1202" s="9"/>
      <c r="BC1202" s="93"/>
      <c r="BG1202" s="116"/>
      <c r="BH1202" s="9"/>
    </row>
    <row r="1203" spans="51:60" x14ac:dyDescent="0.2">
      <c r="AY1203" s="116"/>
      <c r="AZ1203" s="93"/>
      <c r="BA1203" s="89"/>
      <c r="BB1203" s="9"/>
      <c r="BC1203" s="93"/>
      <c r="BG1203" s="116"/>
      <c r="BH1203" s="9"/>
    </row>
    <row r="1204" spans="51:60" x14ac:dyDescent="0.2">
      <c r="AY1204" s="116"/>
      <c r="AZ1204" s="93"/>
      <c r="BA1204" s="89"/>
      <c r="BB1204" s="9"/>
      <c r="BC1204" s="93"/>
      <c r="BG1204" s="116"/>
      <c r="BH1204" s="9"/>
    </row>
    <row r="1205" spans="51:60" x14ac:dyDescent="0.2">
      <c r="AY1205" s="116"/>
      <c r="AZ1205" s="93"/>
      <c r="BA1205" s="89"/>
      <c r="BB1205" s="9"/>
      <c r="BC1205" s="93"/>
      <c r="BG1205" s="116"/>
      <c r="BH1205" s="9"/>
    </row>
    <row r="1206" spans="51:60" x14ac:dyDescent="0.2">
      <c r="AY1206" s="116"/>
      <c r="AZ1206" s="93"/>
      <c r="BA1206" s="89"/>
      <c r="BB1206" s="9"/>
      <c r="BC1206" s="93"/>
      <c r="BG1206" s="116"/>
      <c r="BH1206" s="9"/>
    </row>
    <row r="1207" spans="51:60" x14ac:dyDescent="0.2">
      <c r="AY1207" s="116"/>
      <c r="AZ1207" s="93"/>
      <c r="BA1207" s="89"/>
      <c r="BB1207" s="9"/>
      <c r="BC1207" s="93"/>
      <c r="BG1207" s="116"/>
      <c r="BH1207" s="9"/>
    </row>
    <row r="1208" spans="51:60" x14ac:dyDescent="0.2">
      <c r="AY1208" s="116"/>
      <c r="AZ1208" s="93"/>
      <c r="BA1208" s="89"/>
      <c r="BB1208" s="9"/>
      <c r="BC1208" s="93"/>
      <c r="BG1208" s="116"/>
      <c r="BH1208" s="9"/>
    </row>
    <row r="1209" spans="51:60" x14ac:dyDescent="0.2">
      <c r="AY1209" s="116"/>
      <c r="AZ1209" s="93"/>
      <c r="BA1209" s="89"/>
      <c r="BB1209" s="9"/>
      <c r="BC1209" s="93"/>
      <c r="BG1209" s="116"/>
      <c r="BH1209" s="9"/>
    </row>
    <row r="1210" spans="51:60" x14ac:dyDescent="0.2">
      <c r="AY1210" s="116"/>
      <c r="AZ1210" s="93"/>
      <c r="BA1210" s="89"/>
      <c r="BB1210" s="9"/>
      <c r="BC1210" s="93"/>
      <c r="BG1210" s="116"/>
      <c r="BH1210" s="9"/>
    </row>
    <row r="1211" spans="51:60" x14ac:dyDescent="0.2">
      <c r="AY1211" s="116"/>
      <c r="AZ1211" s="93"/>
      <c r="BA1211" s="89"/>
      <c r="BB1211" s="9"/>
      <c r="BC1211" s="93"/>
      <c r="BG1211" s="116"/>
      <c r="BH1211" s="9"/>
    </row>
    <row r="1212" spans="51:60" x14ac:dyDescent="0.2">
      <c r="AY1212" s="116"/>
      <c r="AZ1212" s="93"/>
      <c r="BA1212" s="89"/>
      <c r="BB1212" s="9"/>
      <c r="BC1212" s="93"/>
      <c r="BG1212" s="116"/>
      <c r="BH1212" s="9"/>
    </row>
    <row r="1213" spans="51:60" x14ac:dyDescent="0.2">
      <c r="AY1213" s="116"/>
      <c r="AZ1213" s="93"/>
      <c r="BA1213" s="89"/>
      <c r="BB1213" s="9"/>
      <c r="BC1213" s="93"/>
      <c r="BG1213" s="116"/>
      <c r="BH1213" s="9"/>
    </row>
    <row r="1214" spans="51:60" x14ac:dyDescent="0.2">
      <c r="AY1214" s="116"/>
      <c r="AZ1214" s="93"/>
      <c r="BA1214" s="89"/>
      <c r="BB1214" s="9"/>
      <c r="BC1214" s="93"/>
      <c r="BG1214" s="116"/>
      <c r="BH1214" s="9"/>
    </row>
    <row r="1215" spans="51:60" x14ac:dyDescent="0.2">
      <c r="AY1215" s="116"/>
      <c r="AZ1215" s="93"/>
      <c r="BA1215" s="89"/>
      <c r="BB1215" s="9"/>
      <c r="BC1215" s="93"/>
      <c r="BG1215" s="116"/>
      <c r="BH1215" s="9"/>
    </row>
    <row r="1216" spans="51:60" x14ac:dyDescent="0.2">
      <c r="AY1216" s="116"/>
      <c r="AZ1216" s="93"/>
      <c r="BA1216" s="89"/>
      <c r="BB1216" s="9"/>
      <c r="BC1216" s="93"/>
      <c r="BG1216" s="116"/>
      <c r="BH1216" s="9"/>
    </row>
    <row r="1217" spans="51:60" x14ac:dyDescent="0.2">
      <c r="AY1217" s="116"/>
      <c r="AZ1217" s="93"/>
      <c r="BA1217" s="89"/>
      <c r="BB1217" s="9"/>
      <c r="BC1217" s="93"/>
      <c r="BG1217" s="116"/>
      <c r="BH1217" s="9"/>
    </row>
    <row r="1218" spans="51:60" x14ac:dyDescent="0.2">
      <c r="AY1218" s="116"/>
      <c r="AZ1218" s="93"/>
      <c r="BA1218" s="89"/>
      <c r="BB1218" s="9"/>
      <c r="BC1218" s="93"/>
      <c r="BG1218" s="116"/>
      <c r="BH1218" s="9"/>
    </row>
    <row r="1219" spans="51:60" x14ac:dyDescent="0.2">
      <c r="AY1219" s="116"/>
      <c r="AZ1219" s="93"/>
      <c r="BA1219" s="89"/>
      <c r="BB1219" s="9"/>
      <c r="BC1219" s="93"/>
      <c r="BG1219" s="116"/>
      <c r="BH1219" s="9"/>
    </row>
    <row r="1220" spans="51:60" x14ac:dyDescent="0.2">
      <c r="AY1220" s="116"/>
      <c r="AZ1220" s="93"/>
      <c r="BA1220" s="89"/>
      <c r="BB1220" s="9"/>
      <c r="BC1220" s="93"/>
      <c r="BG1220" s="116"/>
      <c r="BH1220" s="9"/>
    </row>
    <row r="1221" spans="51:60" x14ac:dyDescent="0.2">
      <c r="AY1221" s="116"/>
      <c r="AZ1221" s="93"/>
      <c r="BA1221" s="89"/>
      <c r="BB1221" s="9"/>
      <c r="BC1221" s="93"/>
      <c r="BG1221" s="116"/>
      <c r="BH1221" s="9"/>
    </row>
    <row r="1222" spans="51:60" x14ac:dyDescent="0.2">
      <c r="AY1222" s="116"/>
      <c r="AZ1222" s="93"/>
      <c r="BA1222" s="89"/>
      <c r="BB1222" s="9"/>
      <c r="BC1222" s="93"/>
      <c r="BG1222" s="116"/>
      <c r="BH1222" s="9"/>
    </row>
    <row r="1223" spans="51:60" x14ac:dyDescent="0.2">
      <c r="AY1223" s="116"/>
      <c r="AZ1223" s="93"/>
      <c r="BA1223" s="89"/>
      <c r="BB1223" s="9"/>
      <c r="BC1223" s="93"/>
      <c r="BG1223" s="116"/>
      <c r="BH1223" s="9"/>
    </row>
    <row r="1224" spans="51:60" x14ac:dyDescent="0.2">
      <c r="AY1224" s="116"/>
      <c r="AZ1224" s="93"/>
      <c r="BA1224" s="89"/>
      <c r="BB1224" s="9"/>
      <c r="BC1224" s="93"/>
      <c r="BG1224" s="116"/>
      <c r="BH1224" s="9"/>
    </row>
    <row r="1225" spans="51:60" x14ac:dyDescent="0.2">
      <c r="AY1225" s="116"/>
      <c r="AZ1225" s="93"/>
      <c r="BA1225" s="89"/>
      <c r="BB1225" s="9"/>
      <c r="BC1225" s="93"/>
      <c r="BG1225" s="116"/>
      <c r="BH1225" s="9"/>
    </row>
    <row r="1226" spans="51:60" x14ac:dyDescent="0.2">
      <c r="AY1226" s="116"/>
      <c r="AZ1226" s="93"/>
      <c r="BA1226" s="89"/>
      <c r="BB1226" s="9"/>
      <c r="BC1226" s="93"/>
      <c r="BG1226" s="116"/>
      <c r="BH1226" s="9"/>
    </row>
    <row r="1227" spans="51:60" x14ac:dyDescent="0.2">
      <c r="AY1227" s="116"/>
      <c r="AZ1227" s="93"/>
      <c r="BA1227" s="89"/>
      <c r="BB1227" s="9"/>
      <c r="BC1227" s="93"/>
      <c r="BG1227" s="116"/>
      <c r="BH1227" s="9"/>
    </row>
    <row r="1228" spans="51:60" x14ac:dyDescent="0.2">
      <c r="AY1228" s="116"/>
      <c r="AZ1228" s="93"/>
      <c r="BA1228" s="89"/>
      <c r="BB1228" s="9"/>
      <c r="BC1228" s="93"/>
      <c r="BG1228" s="116"/>
      <c r="BH1228" s="9"/>
    </row>
    <row r="1229" spans="51:60" x14ac:dyDescent="0.2">
      <c r="AY1229" s="116"/>
      <c r="AZ1229" s="93"/>
      <c r="BA1229" s="89"/>
      <c r="BB1229" s="9"/>
      <c r="BC1229" s="93"/>
      <c r="BG1229" s="116"/>
      <c r="BH1229" s="9"/>
    </row>
    <row r="1230" spans="51:60" x14ac:dyDescent="0.2">
      <c r="AY1230" s="116"/>
      <c r="AZ1230" s="93"/>
      <c r="BA1230" s="89"/>
      <c r="BB1230" s="9"/>
      <c r="BC1230" s="93"/>
      <c r="BG1230" s="116"/>
      <c r="BH1230" s="9"/>
    </row>
    <row r="1231" spans="51:60" x14ac:dyDescent="0.2">
      <c r="AY1231" s="116"/>
      <c r="AZ1231" s="93"/>
      <c r="BA1231" s="89"/>
      <c r="BB1231" s="9"/>
      <c r="BC1231" s="93"/>
      <c r="BG1231" s="116"/>
      <c r="BH1231" s="9"/>
    </row>
    <row r="1232" spans="51:60" x14ac:dyDescent="0.2">
      <c r="AY1232" s="116"/>
      <c r="AZ1232" s="93"/>
      <c r="BA1232" s="89"/>
      <c r="BB1232" s="9"/>
      <c r="BC1232" s="93"/>
      <c r="BG1232" s="116"/>
      <c r="BH1232" s="9"/>
    </row>
    <row r="1233" spans="51:60" x14ac:dyDescent="0.2">
      <c r="AY1233" s="116"/>
      <c r="AZ1233" s="93"/>
      <c r="BA1233" s="89"/>
      <c r="BB1233" s="9"/>
      <c r="BC1233" s="93"/>
      <c r="BG1233" s="116"/>
      <c r="BH1233" s="9"/>
    </row>
    <row r="1234" spans="51:60" x14ac:dyDescent="0.2">
      <c r="AY1234" s="116"/>
      <c r="AZ1234" s="93"/>
      <c r="BA1234" s="89"/>
      <c r="BB1234" s="9"/>
      <c r="BC1234" s="93"/>
      <c r="BG1234" s="116"/>
      <c r="BH1234" s="9"/>
    </row>
    <row r="1235" spans="51:60" x14ac:dyDescent="0.2">
      <c r="AY1235" s="116"/>
      <c r="AZ1235" s="93"/>
      <c r="BA1235" s="89"/>
      <c r="BB1235" s="9"/>
      <c r="BC1235" s="93"/>
      <c r="BG1235" s="116"/>
      <c r="BH1235" s="9"/>
    </row>
    <row r="1236" spans="51:60" x14ac:dyDescent="0.2">
      <c r="AY1236" s="116"/>
      <c r="AZ1236" s="93"/>
      <c r="BA1236" s="89"/>
      <c r="BB1236" s="9"/>
      <c r="BC1236" s="93"/>
      <c r="BG1236" s="116"/>
      <c r="BH1236" s="9"/>
    </row>
    <row r="1237" spans="51:60" x14ac:dyDescent="0.2">
      <c r="AY1237" s="116"/>
      <c r="AZ1237" s="93"/>
      <c r="BA1237" s="89"/>
      <c r="BB1237" s="9"/>
      <c r="BC1237" s="93"/>
      <c r="BG1237" s="116"/>
      <c r="BH1237" s="9"/>
    </row>
    <row r="1238" spans="51:60" x14ac:dyDescent="0.2">
      <c r="AY1238" s="116"/>
      <c r="AZ1238" s="93"/>
      <c r="BA1238" s="89"/>
      <c r="BB1238" s="9"/>
      <c r="BC1238" s="93"/>
      <c r="BG1238" s="116"/>
      <c r="BH1238" s="9"/>
    </row>
    <row r="1239" spans="51:60" x14ac:dyDescent="0.2">
      <c r="AY1239" s="116"/>
      <c r="AZ1239" s="93"/>
      <c r="BA1239" s="89"/>
      <c r="BB1239" s="9"/>
      <c r="BC1239" s="93"/>
      <c r="BG1239" s="116"/>
      <c r="BH1239" s="9"/>
    </row>
    <row r="1240" spans="51:60" x14ac:dyDescent="0.2">
      <c r="AY1240" s="116"/>
      <c r="AZ1240" s="93"/>
      <c r="BA1240" s="89"/>
      <c r="BB1240" s="9"/>
      <c r="BC1240" s="93"/>
      <c r="BG1240" s="116"/>
      <c r="BH1240" s="9"/>
    </row>
    <row r="1241" spans="51:60" x14ac:dyDescent="0.2">
      <c r="AY1241" s="116"/>
      <c r="AZ1241" s="93"/>
      <c r="BA1241" s="89"/>
      <c r="BB1241" s="9"/>
      <c r="BC1241" s="93"/>
      <c r="BG1241" s="116"/>
      <c r="BH1241" s="9"/>
    </row>
    <row r="1242" spans="51:60" x14ac:dyDescent="0.2">
      <c r="AY1242" s="116"/>
      <c r="AZ1242" s="93"/>
      <c r="BA1242" s="89"/>
      <c r="BB1242" s="9"/>
      <c r="BC1242" s="93"/>
      <c r="BG1242" s="116"/>
      <c r="BH1242" s="9"/>
    </row>
    <row r="1243" spans="51:60" x14ac:dyDescent="0.2">
      <c r="AY1243" s="116"/>
      <c r="AZ1243" s="93"/>
      <c r="BA1243" s="89"/>
      <c r="BB1243" s="9"/>
      <c r="BC1243" s="93"/>
      <c r="BG1243" s="116"/>
      <c r="BH1243" s="9"/>
    </row>
    <row r="1244" spans="51:60" x14ac:dyDescent="0.2">
      <c r="AY1244" s="116"/>
      <c r="AZ1244" s="93"/>
      <c r="BA1244" s="89"/>
      <c r="BB1244" s="9"/>
      <c r="BC1244" s="93"/>
      <c r="BG1244" s="116"/>
      <c r="BH1244" s="9"/>
    </row>
    <row r="1245" spans="51:60" x14ac:dyDescent="0.2">
      <c r="AY1245" s="116"/>
      <c r="AZ1245" s="93"/>
      <c r="BA1245" s="89"/>
      <c r="BB1245" s="9"/>
      <c r="BC1245" s="93"/>
      <c r="BG1245" s="116"/>
      <c r="BH1245" s="9"/>
    </row>
    <row r="1246" spans="51:60" x14ac:dyDescent="0.2">
      <c r="AY1246" s="116"/>
      <c r="AZ1246" s="93"/>
      <c r="BA1246" s="89"/>
      <c r="BB1246" s="9"/>
      <c r="BC1246" s="93"/>
      <c r="BG1246" s="116"/>
      <c r="BH1246" s="9"/>
    </row>
    <row r="1247" spans="51:60" x14ac:dyDescent="0.2">
      <c r="AY1247" s="116"/>
      <c r="AZ1247" s="93"/>
      <c r="BA1247" s="89"/>
      <c r="BB1247" s="9"/>
      <c r="BC1247" s="93"/>
      <c r="BG1247" s="116"/>
      <c r="BH1247" s="9"/>
    </row>
    <row r="1248" spans="51:60" x14ac:dyDescent="0.2">
      <c r="AY1248" s="116"/>
      <c r="AZ1248" s="93"/>
      <c r="BA1248" s="89"/>
      <c r="BB1248" s="9"/>
      <c r="BC1248" s="93"/>
      <c r="BG1248" s="116"/>
      <c r="BH1248" s="9"/>
    </row>
    <row r="1249" spans="51:60" x14ac:dyDescent="0.2">
      <c r="AY1249" s="116"/>
      <c r="AZ1249" s="93"/>
      <c r="BA1249" s="89"/>
      <c r="BB1249" s="9"/>
      <c r="BC1249" s="93"/>
      <c r="BG1249" s="116"/>
      <c r="BH1249" s="9"/>
    </row>
    <row r="1250" spans="51:60" x14ac:dyDescent="0.2">
      <c r="AY1250" s="116"/>
      <c r="AZ1250" s="93"/>
      <c r="BA1250" s="89"/>
      <c r="BB1250" s="9"/>
      <c r="BC1250" s="93"/>
      <c r="BG1250" s="116"/>
      <c r="BH1250" s="9"/>
    </row>
    <row r="1251" spans="51:60" x14ac:dyDescent="0.2">
      <c r="AY1251" s="116"/>
      <c r="AZ1251" s="93"/>
      <c r="BA1251" s="89"/>
      <c r="BB1251" s="9"/>
      <c r="BC1251" s="93"/>
      <c r="BG1251" s="116"/>
      <c r="BH1251" s="9"/>
    </row>
    <row r="1252" spans="51:60" x14ac:dyDescent="0.2">
      <c r="AY1252" s="116"/>
      <c r="AZ1252" s="93"/>
      <c r="BA1252" s="89"/>
      <c r="BB1252" s="9"/>
      <c r="BC1252" s="93"/>
      <c r="BG1252" s="116"/>
      <c r="BH1252" s="9"/>
    </row>
    <row r="1253" spans="51:60" x14ac:dyDescent="0.2">
      <c r="AY1253" s="116"/>
      <c r="AZ1253" s="93"/>
      <c r="BA1253" s="89"/>
      <c r="BB1253" s="9"/>
      <c r="BC1253" s="93"/>
      <c r="BG1253" s="116"/>
      <c r="BH1253" s="9"/>
    </row>
    <row r="1254" spans="51:60" x14ac:dyDescent="0.2">
      <c r="AY1254" s="116"/>
      <c r="AZ1254" s="93"/>
      <c r="BA1254" s="89"/>
      <c r="BB1254" s="9"/>
      <c r="BC1254" s="93"/>
      <c r="BG1254" s="116"/>
      <c r="BH1254" s="9"/>
    </row>
    <row r="1255" spans="51:60" x14ac:dyDescent="0.2">
      <c r="AY1255" s="116"/>
      <c r="AZ1255" s="93"/>
      <c r="BA1255" s="89"/>
      <c r="BB1255" s="9"/>
      <c r="BC1255" s="93"/>
      <c r="BG1255" s="116"/>
      <c r="BH1255" s="9"/>
    </row>
    <row r="1256" spans="51:60" x14ac:dyDescent="0.2">
      <c r="AY1256" s="116"/>
      <c r="AZ1256" s="93"/>
      <c r="BA1256" s="89"/>
      <c r="BB1256" s="9"/>
      <c r="BC1256" s="93"/>
      <c r="BG1256" s="116"/>
      <c r="BH1256" s="9"/>
    </row>
    <row r="1257" spans="51:60" x14ac:dyDescent="0.2">
      <c r="AY1257" s="116"/>
      <c r="AZ1257" s="93"/>
      <c r="BA1257" s="89"/>
      <c r="BB1257" s="9"/>
      <c r="BC1257" s="93"/>
      <c r="BG1257" s="116"/>
      <c r="BH1257" s="9"/>
    </row>
    <row r="1258" spans="51:60" x14ac:dyDescent="0.2">
      <c r="AY1258" s="116"/>
      <c r="AZ1258" s="93"/>
      <c r="BA1258" s="89"/>
      <c r="BB1258" s="9"/>
      <c r="BC1258" s="93"/>
      <c r="BG1258" s="116"/>
      <c r="BH1258" s="9"/>
    </row>
    <row r="1259" spans="51:60" x14ac:dyDescent="0.2">
      <c r="AY1259" s="116"/>
      <c r="AZ1259" s="93"/>
      <c r="BA1259" s="89"/>
      <c r="BB1259" s="9"/>
      <c r="BC1259" s="93"/>
      <c r="BG1259" s="116"/>
      <c r="BH1259" s="9"/>
    </row>
    <row r="1260" spans="51:60" x14ac:dyDescent="0.2">
      <c r="AY1260" s="116"/>
      <c r="AZ1260" s="93"/>
      <c r="BA1260" s="89"/>
      <c r="BB1260" s="9"/>
      <c r="BC1260" s="93"/>
      <c r="BG1260" s="116"/>
      <c r="BH1260" s="9"/>
    </row>
    <row r="1261" spans="51:60" x14ac:dyDescent="0.2">
      <c r="AY1261" s="116"/>
      <c r="AZ1261" s="93"/>
      <c r="BA1261" s="89"/>
      <c r="BB1261" s="9"/>
      <c r="BC1261" s="93"/>
      <c r="BG1261" s="116"/>
      <c r="BH1261" s="9"/>
    </row>
    <row r="1262" spans="51:60" x14ac:dyDescent="0.2">
      <c r="AY1262" s="116"/>
      <c r="AZ1262" s="93"/>
      <c r="BA1262" s="89"/>
      <c r="BB1262" s="9"/>
      <c r="BC1262" s="93"/>
      <c r="BG1262" s="116"/>
      <c r="BH1262" s="9"/>
    </row>
    <row r="1263" spans="51:60" x14ac:dyDescent="0.2">
      <c r="AY1263" s="116"/>
      <c r="AZ1263" s="93"/>
      <c r="BA1263" s="89"/>
      <c r="BB1263" s="9"/>
      <c r="BC1263" s="93"/>
      <c r="BG1263" s="116"/>
      <c r="BH1263" s="9"/>
    </row>
    <row r="1264" spans="51:60" x14ac:dyDescent="0.2">
      <c r="AY1264" s="116"/>
      <c r="AZ1264" s="93"/>
      <c r="BA1264" s="89"/>
      <c r="BB1264" s="9"/>
      <c r="BC1264" s="93"/>
      <c r="BG1264" s="116"/>
      <c r="BH1264" s="9"/>
    </row>
    <row r="1265" spans="51:60" x14ac:dyDescent="0.2">
      <c r="AY1265" s="116"/>
      <c r="AZ1265" s="93"/>
      <c r="BA1265" s="89"/>
      <c r="BB1265" s="9"/>
      <c r="BC1265" s="93"/>
      <c r="BG1265" s="116"/>
      <c r="BH1265" s="9"/>
    </row>
    <row r="1266" spans="51:60" x14ac:dyDescent="0.2">
      <c r="AY1266" s="116"/>
      <c r="AZ1266" s="93"/>
      <c r="BA1266" s="89"/>
      <c r="BB1266" s="9"/>
      <c r="BC1266" s="93"/>
      <c r="BG1266" s="116"/>
      <c r="BH1266" s="9"/>
    </row>
    <row r="1267" spans="51:60" x14ac:dyDescent="0.2">
      <c r="AY1267" s="116"/>
      <c r="AZ1267" s="93"/>
      <c r="BA1267" s="89"/>
      <c r="BB1267" s="9"/>
      <c r="BC1267" s="93"/>
      <c r="BG1267" s="116"/>
      <c r="BH1267" s="9"/>
    </row>
    <row r="1268" spans="51:60" x14ac:dyDescent="0.2">
      <c r="AY1268" s="116"/>
      <c r="AZ1268" s="93"/>
      <c r="BA1268" s="89"/>
      <c r="BB1268" s="9"/>
      <c r="BC1268" s="93"/>
      <c r="BG1268" s="116"/>
      <c r="BH1268" s="9"/>
    </row>
    <row r="1269" spans="51:60" x14ac:dyDescent="0.2">
      <c r="AY1269" s="116"/>
      <c r="AZ1269" s="93"/>
      <c r="BA1269" s="89"/>
      <c r="BB1269" s="9"/>
      <c r="BC1269" s="93"/>
      <c r="BG1269" s="116"/>
      <c r="BH1269" s="9"/>
    </row>
    <row r="1270" spans="51:60" x14ac:dyDescent="0.2">
      <c r="AY1270" s="116"/>
      <c r="AZ1270" s="93"/>
      <c r="BA1270" s="89"/>
      <c r="BB1270" s="9"/>
      <c r="BC1270" s="93"/>
      <c r="BG1270" s="116"/>
      <c r="BH1270" s="9"/>
    </row>
    <row r="1271" spans="51:60" x14ac:dyDescent="0.2">
      <c r="AY1271" s="116"/>
      <c r="AZ1271" s="93"/>
      <c r="BA1271" s="89"/>
      <c r="BB1271" s="9"/>
      <c r="BC1271" s="93"/>
      <c r="BG1271" s="116"/>
      <c r="BH1271" s="9"/>
    </row>
    <row r="1272" spans="51:60" x14ac:dyDescent="0.2">
      <c r="AY1272" s="116"/>
      <c r="AZ1272" s="93"/>
      <c r="BA1272" s="89"/>
      <c r="BB1272" s="9"/>
      <c r="BC1272" s="93"/>
      <c r="BG1272" s="116"/>
      <c r="BH1272" s="9"/>
    </row>
    <row r="1273" spans="51:60" x14ac:dyDescent="0.2">
      <c r="AY1273" s="116"/>
      <c r="AZ1273" s="93"/>
      <c r="BA1273" s="89"/>
      <c r="BB1273" s="9"/>
      <c r="BC1273" s="93"/>
      <c r="BG1273" s="116"/>
      <c r="BH1273" s="9"/>
    </row>
    <row r="1274" spans="51:60" x14ac:dyDescent="0.2">
      <c r="AY1274" s="116"/>
      <c r="AZ1274" s="93"/>
      <c r="BA1274" s="89"/>
      <c r="BB1274" s="9"/>
      <c r="BC1274" s="93"/>
      <c r="BG1274" s="116"/>
      <c r="BH1274" s="9"/>
    </row>
    <row r="1275" spans="51:60" x14ac:dyDescent="0.2">
      <c r="AY1275" s="116"/>
      <c r="AZ1275" s="93"/>
      <c r="BA1275" s="89"/>
      <c r="BB1275" s="9"/>
      <c r="BC1275" s="93"/>
      <c r="BG1275" s="116"/>
      <c r="BH1275" s="9"/>
    </row>
    <row r="1276" spans="51:60" x14ac:dyDescent="0.2">
      <c r="AY1276" s="116"/>
      <c r="AZ1276" s="93"/>
      <c r="BA1276" s="89"/>
      <c r="BB1276" s="9"/>
      <c r="BC1276" s="93"/>
      <c r="BG1276" s="116"/>
      <c r="BH1276" s="9"/>
    </row>
    <row r="1277" spans="51:60" x14ac:dyDescent="0.2">
      <c r="AY1277" s="116"/>
      <c r="AZ1277" s="93"/>
      <c r="BA1277" s="89"/>
      <c r="BB1277" s="9"/>
      <c r="BC1277" s="93"/>
      <c r="BG1277" s="116"/>
      <c r="BH1277" s="9"/>
    </row>
    <row r="1278" spans="51:60" x14ac:dyDescent="0.2">
      <c r="AY1278" s="116"/>
      <c r="AZ1278" s="93"/>
      <c r="BA1278" s="89"/>
      <c r="BB1278" s="9"/>
      <c r="BC1278" s="93"/>
      <c r="BG1278" s="116"/>
      <c r="BH1278" s="9"/>
    </row>
    <row r="1279" spans="51:60" x14ac:dyDescent="0.2">
      <c r="AY1279" s="116"/>
      <c r="AZ1279" s="93"/>
      <c r="BA1279" s="89"/>
      <c r="BB1279" s="9"/>
      <c r="BC1279" s="93"/>
      <c r="BG1279" s="116"/>
      <c r="BH1279" s="9"/>
    </row>
    <row r="1280" spans="51:60" x14ac:dyDescent="0.2">
      <c r="AY1280" s="116"/>
      <c r="AZ1280" s="93"/>
      <c r="BA1280" s="89"/>
      <c r="BB1280" s="9"/>
      <c r="BC1280" s="93"/>
      <c r="BG1280" s="116"/>
      <c r="BH1280" s="9"/>
    </row>
    <row r="1281" spans="51:60" x14ac:dyDescent="0.2">
      <c r="AY1281" s="116"/>
      <c r="AZ1281" s="93"/>
      <c r="BA1281" s="89"/>
      <c r="BB1281" s="9"/>
      <c r="BC1281" s="93"/>
      <c r="BG1281" s="116"/>
      <c r="BH1281" s="9"/>
    </row>
    <row r="1282" spans="51:60" x14ac:dyDescent="0.2">
      <c r="AY1282" s="116"/>
      <c r="AZ1282" s="93"/>
      <c r="BA1282" s="89"/>
      <c r="BB1282" s="9"/>
      <c r="BC1282" s="93"/>
      <c r="BG1282" s="116"/>
      <c r="BH1282" s="9"/>
    </row>
    <row r="1283" spans="51:60" x14ac:dyDescent="0.2">
      <c r="AY1283" s="116"/>
      <c r="AZ1283" s="93"/>
      <c r="BA1283" s="89"/>
      <c r="BB1283" s="9"/>
      <c r="BC1283" s="93"/>
      <c r="BG1283" s="116"/>
      <c r="BH1283" s="9"/>
    </row>
    <row r="1284" spans="51:60" x14ac:dyDescent="0.2">
      <c r="AY1284" s="116"/>
      <c r="AZ1284" s="93"/>
      <c r="BA1284" s="89"/>
      <c r="BB1284" s="9"/>
      <c r="BC1284" s="93"/>
      <c r="BG1284" s="116"/>
      <c r="BH1284" s="9"/>
    </row>
    <row r="1285" spans="51:60" x14ac:dyDescent="0.2">
      <c r="AY1285" s="116"/>
      <c r="AZ1285" s="93"/>
      <c r="BA1285" s="89"/>
      <c r="BB1285" s="9"/>
      <c r="BC1285" s="93"/>
      <c r="BG1285" s="116"/>
      <c r="BH1285" s="9"/>
    </row>
    <row r="1286" spans="51:60" x14ac:dyDescent="0.2">
      <c r="AY1286" s="116"/>
      <c r="AZ1286" s="93"/>
      <c r="BA1286" s="89"/>
      <c r="BB1286" s="9"/>
      <c r="BC1286" s="93"/>
      <c r="BG1286" s="116"/>
      <c r="BH1286" s="9"/>
    </row>
    <row r="1287" spans="51:60" x14ac:dyDescent="0.2">
      <c r="AY1287" s="116"/>
      <c r="AZ1287" s="93"/>
      <c r="BA1287" s="89"/>
      <c r="BB1287" s="9"/>
      <c r="BC1287" s="93"/>
      <c r="BG1287" s="116"/>
      <c r="BH1287" s="9"/>
    </row>
    <row r="1288" spans="51:60" x14ac:dyDescent="0.2">
      <c r="AY1288" s="116"/>
      <c r="AZ1288" s="93"/>
      <c r="BA1288" s="89"/>
      <c r="BB1288" s="9"/>
      <c r="BC1288" s="93"/>
      <c r="BG1288" s="116"/>
      <c r="BH1288" s="9"/>
    </row>
    <row r="1289" spans="51:60" x14ac:dyDescent="0.2">
      <c r="AY1289" s="116"/>
      <c r="AZ1289" s="93"/>
      <c r="BA1289" s="89"/>
      <c r="BB1289" s="9"/>
      <c r="BC1289" s="93"/>
      <c r="BG1289" s="116"/>
      <c r="BH1289" s="9"/>
    </row>
    <row r="1290" spans="51:60" x14ac:dyDescent="0.2">
      <c r="AY1290" s="116"/>
      <c r="AZ1290" s="93"/>
      <c r="BA1290" s="89"/>
      <c r="BB1290" s="9"/>
      <c r="BC1290" s="93"/>
      <c r="BG1290" s="116"/>
      <c r="BH1290" s="9"/>
    </row>
    <row r="1291" spans="51:60" x14ac:dyDescent="0.2">
      <c r="AY1291" s="116"/>
      <c r="AZ1291" s="93"/>
      <c r="BA1291" s="89"/>
      <c r="BB1291" s="9"/>
      <c r="BC1291" s="93"/>
      <c r="BG1291" s="116"/>
      <c r="BH1291" s="9"/>
    </row>
    <row r="1292" spans="51:60" x14ac:dyDescent="0.2">
      <c r="AY1292" s="116"/>
      <c r="AZ1292" s="93"/>
      <c r="BA1292" s="89"/>
      <c r="BB1292" s="9"/>
      <c r="BC1292" s="93"/>
      <c r="BG1292" s="116"/>
      <c r="BH1292" s="9"/>
    </row>
    <row r="1293" spans="51:60" x14ac:dyDescent="0.2">
      <c r="AY1293" s="116"/>
      <c r="AZ1293" s="93"/>
      <c r="BA1293" s="89"/>
      <c r="BB1293" s="9"/>
      <c r="BC1293" s="93"/>
      <c r="BG1293" s="116"/>
      <c r="BH1293" s="9"/>
    </row>
    <row r="1294" spans="51:60" x14ac:dyDescent="0.2">
      <c r="AY1294" s="116"/>
      <c r="AZ1294" s="93"/>
      <c r="BA1294" s="89"/>
      <c r="BB1294" s="9"/>
      <c r="BC1294" s="93"/>
      <c r="BG1294" s="116"/>
      <c r="BH1294" s="9"/>
    </row>
    <row r="1295" spans="51:60" x14ac:dyDescent="0.2">
      <c r="AY1295" s="116"/>
      <c r="AZ1295" s="93"/>
      <c r="BA1295" s="89"/>
      <c r="BB1295" s="9"/>
      <c r="BC1295" s="93"/>
      <c r="BG1295" s="116"/>
      <c r="BH1295" s="9"/>
    </row>
    <row r="1296" spans="51:60" x14ac:dyDescent="0.2">
      <c r="AY1296" s="116"/>
      <c r="AZ1296" s="93"/>
      <c r="BA1296" s="89"/>
      <c r="BB1296" s="9"/>
      <c r="BC1296" s="93"/>
      <c r="BG1296" s="116"/>
      <c r="BH1296" s="9"/>
    </row>
    <row r="1297" spans="51:60" x14ac:dyDescent="0.2">
      <c r="AY1297" s="116"/>
      <c r="AZ1297" s="93"/>
      <c r="BA1297" s="89"/>
      <c r="BB1297" s="9"/>
      <c r="BC1297" s="93"/>
      <c r="BG1297" s="116"/>
      <c r="BH1297" s="9"/>
    </row>
    <row r="1298" spans="51:60" x14ac:dyDescent="0.2">
      <c r="AY1298" s="116"/>
      <c r="AZ1298" s="93"/>
      <c r="BA1298" s="89"/>
      <c r="BB1298" s="9"/>
      <c r="BC1298" s="93"/>
      <c r="BG1298" s="116"/>
      <c r="BH1298" s="9"/>
    </row>
    <row r="1299" spans="51:60" x14ac:dyDescent="0.2">
      <c r="AY1299" s="116"/>
      <c r="AZ1299" s="93"/>
      <c r="BA1299" s="89"/>
      <c r="BB1299" s="9"/>
      <c r="BC1299" s="93"/>
      <c r="BG1299" s="116"/>
      <c r="BH1299" s="9"/>
    </row>
    <row r="1300" spans="51:60" x14ac:dyDescent="0.2">
      <c r="AY1300" s="116"/>
      <c r="AZ1300" s="93"/>
      <c r="BA1300" s="89"/>
      <c r="BB1300" s="9"/>
      <c r="BC1300" s="93"/>
      <c r="BG1300" s="116"/>
      <c r="BH1300" s="9"/>
    </row>
    <row r="1301" spans="51:60" x14ac:dyDescent="0.2">
      <c r="AY1301" s="116"/>
      <c r="AZ1301" s="93"/>
      <c r="BA1301" s="89"/>
      <c r="BB1301" s="9"/>
      <c r="BC1301" s="93"/>
      <c r="BG1301" s="116"/>
      <c r="BH1301" s="9"/>
    </row>
    <row r="1302" spans="51:60" x14ac:dyDescent="0.2">
      <c r="AY1302" s="116"/>
      <c r="AZ1302" s="93"/>
      <c r="BA1302" s="89"/>
      <c r="BB1302" s="9"/>
      <c r="BC1302" s="93"/>
      <c r="BG1302" s="116"/>
      <c r="BH1302" s="9"/>
    </row>
    <row r="1303" spans="51:60" x14ac:dyDescent="0.2">
      <c r="AY1303" s="116"/>
      <c r="AZ1303" s="93"/>
      <c r="BA1303" s="89"/>
      <c r="BB1303" s="9"/>
      <c r="BC1303" s="93"/>
      <c r="BG1303" s="116"/>
      <c r="BH1303" s="9"/>
    </row>
    <row r="1304" spans="51:60" x14ac:dyDescent="0.2">
      <c r="AY1304" s="116"/>
      <c r="AZ1304" s="93"/>
      <c r="BA1304" s="89"/>
      <c r="BB1304" s="9"/>
      <c r="BC1304" s="93"/>
      <c r="BG1304" s="116"/>
      <c r="BH1304" s="9"/>
    </row>
    <row r="1305" spans="51:60" x14ac:dyDescent="0.2">
      <c r="AY1305" s="116"/>
      <c r="AZ1305" s="93"/>
      <c r="BA1305" s="89"/>
      <c r="BB1305" s="9"/>
      <c r="BC1305" s="93"/>
      <c r="BG1305" s="116"/>
      <c r="BH1305" s="9"/>
    </row>
    <row r="1306" spans="51:60" x14ac:dyDescent="0.2">
      <c r="AY1306" s="116"/>
      <c r="AZ1306" s="93"/>
      <c r="BA1306" s="89"/>
      <c r="BB1306" s="9"/>
      <c r="BC1306" s="93"/>
      <c r="BG1306" s="116"/>
      <c r="BH1306" s="9"/>
    </row>
    <row r="1307" spans="51:60" x14ac:dyDescent="0.2">
      <c r="AY1307" s="116"/>
      <c r="AZ1307" s="93"/>
      <c r="BA1307" s="89"/>
      <c r="BB1307" s="9"/>
      <c r="BC1307" s="93"/>
      <c r="BG1307" s="116"/>
      <c r="BH1307" s="9"/>
    </row>
    <row r="1308" spans="51:60" x14ac:dyDescent="0.2">
      <c r="AY1308" s="116"/>
      <c r="AZ1308" s="93"/>
      <c r="BA1308" s="89"/>
      <c r="BB1308" s="9"/>
      <c r="BC1308" s="93"/>
      <c r="BG1308" s="116"/>
      <c r="BH1308" s="9"/>
    </row>
    <row r="1309" spans="51:60" x14ac:dyDescent="0.2">
      <c r="AY1309" s="116"/>
      <c r="AZ1309" s="93"/>
      <c r="BA1309" s="89"/>
      <c r="BB1309" s="9"/>
      <c r="BC1309" s="93"/>
      <c r="BG1309" s="116"/>
      <c r="BH1309" s="9"/>
    </row>
    <row r="1310" spans="51:60" x14ac:dyDescent="0.2">
      <c r="AY1310" s="116"/>
      <c r="AZ1310" s="93"/>
      <c r="BA1310" s="89"/>
      <c r="BB1310" s="9"/>
      <c r="BC1310" s="93"/>
      <c r="BG1310" s="116"/>
      <c r="BH1310" s="9"/>
    </row>
    <row r="1311" spans="51:60" x14ac:dyDescent="0.2">
      <c r="AY1311" s="116"/>
      <c r="AZ1311" s="93"/>
      <c r="BA1311" s="89"/>
      <c r="BB1311" s="9"/>
      <c r="BC1311" s="93"/>
      <c r="BG1311" s="116"/>
      <c r="BH1311" s="9"/>
    </row>
    <row r="1312" spans="51:60" x14ac:dyDescent="0.2">
      <c r="AY1312" s="116"/>
      <c r="AZ1312" s="93"/>
      <c r="BA1312" s="89"/>
      <c r="BB1312" s="9"/>
      <c r="BC1312" s="93"/>
      <c r="BG1312" s="116"/>
      <c r="BH1312" s="9"/>
    </row>
    <row r="1313" spans="51:60" x14ac:dyDescent="0.2">
      <c r="AY1313" s="116"/>
      <c r="AZ1313" s="93"/>
      <c r="BA1313" s="89"/>
      <c r="BB1313" s="9"/>
      <c r="BC1313" s="93"/>
      <c r="BG1313" s="116"/>
      <c r="BH1313" s="9"/>
    </row>
    <row r="1314" spans="51:60" x14ac:dyDescent="0.2">
      <c r="AY1314" s="116"/>
      <c r="AZ1314" s="93"/>
      <c r="BA1314" s="89"/>
      <c r="BB1314" s="9"/>
      <c r="BC1314" s="93"/>
      <c r="BG1314" s="116"/>
      <c r="BH1314" s="9"/>
    </row>
    <row r="1315" spans="51:60" x14ac:dyDescent="0.2">
      <c r="AY1315" s="116"/>
      <c r="AZ1315" s="93"/>
      <c r="BA1315" s="89"/>
      <c r="BB1315" s="9"/>
      <c r="BC1315" s="93"/>
      <c r="BG1315" s="116"/>
      <c r="BH1315" s="9"/>
    </row>
    <row r="1316" spans="51:60" x14ac:dyDescent="0.2">
      <c r="AY1316" s="116"/>
      <c r="AZ1316" s="93"/>
      <c r="BA1316" s="89"/>
      <c r="BB1316" s="9"/>
      <c r="BC1316" s="93"/>
      <c r="BG1316" s="116"/>
      <c r="BH1316" s="9"/>
    </row>
    <row r="1317" spans="51:60" x14ac:dyDescent="0.2">
      <c r="AY1317" s="116"/>
      <c r="AZ1317" s="93"/>
      <c r="BA1317" s="89"/>
      <c r="BB1317" s="9"/>
      <c r="BC1317" s="93"/>
      <c r="BG1317" s="116"/>
      <c r="BH1317" s="9"/>
    </row>
    <row r="1318" spans="51:60" x14ac:dyDescent="0.2">
      <c r="AY1318" s="116"/>
      <c r="AZ1318" s="93"/>
      <c r="BA1318" s="89"/>
      <c r="BB1318" s="9"/>
      <c r="BC1318" s="93"/>
      <c r="BG1318" s="116"/>
      <c r="BH1318" s="9"/>
    </row>
    <row r="1319" spans="51:60" x14ac:dyDescent="0.2">
      <c r="AY1319" s="116"/>
      <c r="AZ1319" s="93"/>
      <c r="BA1319" s="89"/>
      <c r="BB1319" s="9"/>
      <c r="BC1319" s="93"/>
      <c r="BG1319" s="116"/>
      <c r="BH1319" s="9"/>
    </row>
    <row r="1320" spans="51:60" x14ac:dyDescent="0.2">
      <c r="AY1320" s="116"/>
      <c r="AZ1320" s="93"/>
      <c r="BA1320" s="89"/>
      <c r="BB1320" s="9"/>
      <c r="BC1320" s="93"/>
      <c r="BG1320" s="116"/>
      <c r="BH1320" s="9"/>
    </row>
    <row r="1321" spans="51:60" x14ac:dyDescent="0.2">
      <c r="AY1321" s="116"/>
      <c r="AZ1321" s="93"/>
      <c r="BA1321" s="89"/>
      <c r="BB1321" s="9"/>
      <c r="BC1321" s="93"/>
      <c r="BG1321" s="116"/>
      <c r="BH1321" s="9"/>
    </row>
    <row r="1322" spans="51:60" x14ac:dyDescent="0.2">
      <c r="AY1322" s="116"/>
      <c r="AZ1322" s="93"/>
      <c r="BA1322" s="89"/>
      <c r="BB1322" s="9"/>
      <c r="BC1322" s="93"/>
      <c r="BG1322" s="116"/>
      <c r="BH1322" s="9"/>
    </row>
    <row r="1323" spans="51:60" x14ac:dyDescent="0.2">
      <c r="AY1323" s="116"/>
      <c r="AZ1323" s="93"/>
      <c r="BA1323" s="89"/>
      <c r="BB1323" s="9"/>
      <c r="BC1323" s="93"/>
      <c r="BG1323" s="116"/>
      <c r="BH1323" s="9"/>
    </row>
    <row r="1324" spans="51:60" x14ac:dyDescent="0.2">
      <c r="AY1324" s="116"/>
      <c r="AZ1324" s="93"/>
      <c r="BA1324" s="89"/>
      <c r="BB1324" s="9"/>
      <c r="BC1324" s="93"/>
      <c r="BG1324" s="116"/>
      <c r="BH1324" s="9"/>
    </row>
    <row r="1325" spans="51:60" x14ac:dyDescent="0.2">
      <c r="AY1325" s="116"/>
      <c r="AZ1325" s="93"/>
      <c r="BA1325" s="89"/>
      <c r="BB1325" s="9"/>
      <c r="BC1325" s="93"/>
      <c r="BG1325" s="116"/>
      <c r="BH1325" s="9"/>
    </row>
    <row r="1326" spans="51:60" x14ac:dyDescent="0.2">
      <c r="AY1326" s="116"/>
      <c r="AZ1326" s="93"/>
      <c r="BA1326" s="89"/>
      <c r="BB1326" s="9"/>
      <c r="BC1326" s="93"/>
      <c r="BG1326" s="116"/>
      <c r="BH1326" s="9"/>
    </row>
    <row r="1327" spans="51:60" x14ac:dyDescent="0.2">
      <c r="AY1327" s="116"/>
      <c r="AZ1327" s="93"/>
      <c r="BA1327" s="89"/>
      <c r="BB1327" s="9"/>
      <c r="BC1327" s="93"/>
      <c r="BG1327" s="116"/>
      <c r="BH1327" s="9"/>
    </row>
    <row r="1328" spans="51:60" x14ac:dyDescent="0.2">
      <c r="AY1328" s="116"/>
      <c r="AZ1328" s="93"/>
      <c r="BA1328" s="89"/>
      <c r="BB1328" s="9"/>
      <c r="BC1328" s="93"/>
      <c r="BG1328" s="116"/>
      <c r="BH1328" s="9"/>
    </row>
    <row r="1329" spans="51:60" x14ac:dyDescent="0.2">
      <c r="AY1329" s="116"/>
      <c r="AZ1329" s="93"/>
      <c r="BA1329" s="89"/>
      <c r="BB1329" s="9"/>
      <c r="BC1329" s="93"/>
      <c r="BG1329" s="116"/>
      <c r="BH1329" s="9"/>
    </row>
    <row r="1330" spans="51:60" x14ac:dyDescent="0.2">
      <c r="AY1330" s="116"/>
      <c r="AZ1330" s="93"/>
      <c r="BA1330" s="89"/>
      <c r="BB1330" s="9"/>
      <c r="BC1330" s="93"/>
      <c r="BG1330" s="116"/>
      <c r="BH1330" s="9"/>
    </row>
    <row r="1331" spans="51:60" x14ac:dyDescent="0.2">
      <c r="AY1331" s="116"/>
      <c r="AZ1331" s="93"/>
      <c r="BA1331" s="89"/>
      <c r="BB1331" s="9"/>
      <c r="BC1331" s="93"/>
      <c r="BG1331" s="116"/>
      <c r="BH1331" s="9"/>
    </row>
    <row r="1332" spans="51:60" x14ac:dyDescent="0.2">
      <c r="AY1332" s="116"/>
      <c r="AZ1332" s="93"/>
      <c r="BA1332" s="89"/>
      <c r="BB1332" s="9"/>
      <c r="BC1332" s="93"/>
      <c r="BG1332" s="116"/>
      <c r="BH1332" s="9"/>
    </row>
    <row r="1333" spans="51:60" x14ac:dyDescent="0.2">
      <c r="AY1333" s="116"/>
      <c r="AZ1333" s="93"/>
      <c r="BA1333" s="89"/>
      <c r="BB1333" s="9"/>
      <c r="BC1333" s="93"/>
      <c r="BG1333" s="116"/>
      <c r="BH1333" s="9"/>
    </row>
    <row r="1334" spans="51:60" x14ac:dyDescent="0.2">
      <c r="AY1334" s="116"/>
      <c r="AZ1334" s="93"/>
      <c r="BA1334" s="89"/>
      <c r="BB1334" s="9"/>
      <c r="BC1334" s="93"/>
      <c r="BG1334" s="116"/>
      <c r="BH1334" s="9"/>
    </row>
    <row r="1335" spans="51:60" x14ac:dyDescent="0.2">
      <c r="AY1335" s="116"/>
      <c r="AZ1335" s="93"/>
      <c r="BA1335" s="89"/>
      <c r="BB1335" s="9"/>
      <c r="BC1335" s="93"/>
      <c r="BG1335" s="116"/>
      <c r="BH1335" s="9"/>
    </row>
    <row r="1336" spans="51:60" x14ac:dyDescent="0.2">
      <c r="AY1336" s="116"/>
      <c r="AZ1336" s="93"/>
      <c r="BA1336" s="89"/>
      <c r="BB1336" s="9"/>
      <c r="BC1336" s="93"/>
      <c r="BG1336" s="116"/>
      <c r="BH1336" s="9"/>
    </row>
    <row r="1337" spans="51:60" x14ac:dyDescent="0.2">
      <c r="AY1337" s="116"/>
      <c r="AZ1337" s="93"/>
      <c r="BA1337" s="89"/>
      <c r="BB1337" s="9"/>
      <c r="BC1337" s="93"/>
      <c r="BG1337" s="116"/>
      <c r="BH1337" s="9"/>
    </row>
    <row r="1338" spans="51:60" x14ac:dyDescent="0.2">
      <c r="AY1338" s="116"/>
      <c r="AZ1338" s="93"/>
      <c r="BA1338" s="89"/>
      <c r="BB1338" s="9"/>
      <c r="BC1338" s="93"/>
      <c r="BG1338" s="116"/>
      <c r="BH1338" s="9"/>
    </row>
    <row r="1339" spans="51:60" x14ac:dyDescent="0.2">
      <c r="AY1339" s="116"/>
      <c r="AZ1339" s="93"/>
      <c r="BA1339" s="89"/>
      <c r="BB1339" s="9"/>
      <c r="BC1339" s="93"/>
      <c r="BG1339" s="116"/>
      <c r="BH1339" s="9"/>
    </row>
    <row r="1340" spans="51:60" x14ac:dyDescent="0.2">
      <c r="AY1340" s="116"/>
      <c r="AZ1340" s="93"/>
      <c r="BA1340" s="89"/>
      <c r="BB1340" s="9"/>
      <c r="BC1340" s="93"/>
      <c r="BG1340" s="116"/>
      <c r="BH1340" s="9"/>
    </row>
    <row r="1341" spans="51:60" x14ac:dyDescent="0.2">
      <c r="AY1341" s="116"/>
      <c r="AZ1341" s="93"/>
      <c r="BA1341" s="89"/>
      <c r="BB1341" s="9"/>
      <c r="BC1341" s="93"/>
      <c r="BG1341" s="116"/>
      <c r="BH1341" s="9"/>
    </row>
    <row r="1342" spans="51:60" x14ac:dyDescent="0.2">
      <c r="AY1342" s="116"/>
      <c r="AZ1342" s="93"/>
      <c r="BA1342" s="89"/>
      <c r="BB1342" s="9"/>
      <c r="BC1342" s="93"/>
      <c r="BG1342" s="116"/>
      <c r="BH1342" s="9"/>
    </row>
    <row r="1343" spans="51:60" x14ac:dyDescent="0.2">
      <c r="AY1343" s="116"/>
      <c r="AZ1343" s="93"/>
      <c r="BA1343" s="89"/>
      <c r="BB1343" s="9"/>
      <c r="BC1343" s="93"/>
      <c r="BG1343" s="116"/>
      <c r="BH1343" s="9"/>
    </row>
    <row r="1344" spans="51:60" x14ac:dyDescent="0.2">
      <c r="AY1344" s="116"/>
      <c r="AZ1344" s="93"/>
      <c r="BA1344" s="89"/>
      <c r="BB1344" s="9"/>
      <c r="BC1344" s="93"/>
      <c r="BG1344" s="116"/>
      <c r="BH1344" s="9"/>
    </row>
    <row r="1345" spans="51:60" x14ac:dyDescent="0.2">
      <c r="AY1345" s="116"/>
      <c r="AZ1345" s="93"/>
      <c r="BA1345" s="89"/>
      <c r="BB1345" s="9"/>
      <c r="BC1345" s="93"/>
      <c r="BG1345" s="116"/>
      <c r="BH1345" s="9"/>
    </row>
    <row r="1346" spans="51:60" x14ac:dyDescent="0.2">
      <c r="AY1346" s="116"/>
      <c r="AZ1346" s="93"/>
      <c r="BA1346" s="89"/>
      <c r="BB1346" s="9"/>
      <c r="BC1346" s="93"/>
      <c r="BG1346" s="116"/>
      <c r="BH1346" s="9"/>
    </row>
    <row r="1347" spans="51:60" x14ac:dyDescent="0.2">
      <c r="AY1347" s="116"/>
      <c r="AZ1347" s="93"/>
      <c r="BA1347" s="89"/>
      <c r="BB1347" s="9"/>
      <c r="BC1347" s="93"/>
      <c r="BG1347" s="116"/>
      <c r="BH1347" s="9"/>
    </row>
    <row r="1348" spans="51:60" x14ac:dyDescent="0.2">
      <c r="AY1348" s="116"/>
      <c r="AZ1348" s="93"/>
      <c r="BA1348" s="89"/>
      <c r="BB1348" s="9"/>
      <c r="BC1348" s="93"/>
      <c r="BG1348" s="116"/>
      <c r="BH1348" s="9"/>
    </row>
    <row r="1349" spans="51:60" x14ac:dyDescent="0.2">
      <c r="AY1349" s="116"/>
      <c r="AZ1349" s="93"/>
      <c r="BA1349" s="89"/>
      <c r="BB1349" s="9"/>
      <c r="BC1349" s="93"/>
      <c r="BG1349" s="116"/>
      <c r="BH1349" s="9"/>
    </row>
    <row r="1350" spans="51:60" x14ac:dyDescent="0.2">
      <c r="AY1350" s="116"/>
      <c r="AZ1350" s="93"/>
      <c r="BA1350" s="89"/>
      <c r="BB1350" s="9"/>
      <c r="BC1350" s="93"/>
      <c r="BG1350" s="116"/>
      <c r="BH1350" s="9"/>
    </row>
    <row r="1351" spans="51:60" x14ac:dyDescent="0.2">
      <c r="AY1351" s="116"/>
      <c r="AZ1351" s="93"/>
      <c r="BA1351" s="89"/>
      <c r="BB1351" s="9"/>
      <c r="BC1351" s="93"/>
      <c r="BG1351" s="116"/>
      <c r="BH1351" s="9"/>
    </row>
    <row r="1352" spans="51:60" x14ac:dyDescent="0.2">
      <c r="AY1352" s="116"/>
      <c r="AZ1352" s="93"/>
      <c r="BA1352" s="89"/>
      <c r="BB1352" s="9"/>
      <c r="BC1352" s="93"/>
      <c r="BG1352" s="116"/>
      <c r="BH1352" s="9"/>
    </row>
    <row r="1353" spans="51:60" x14ac:dyDescent="0.2">
      <c r="AY1353" s="116"/>
      <c r="AZ1353" s="93"/>
      <c r="BA1353" s="89"/>
      <c r="BB1353" s="9"/>
      <c r="BC1353" s="93"/>
      <c r="BG1353" s="116"/>
      <c r="BH1353" s="9"/>
    </row>
    <row r="1354" spans="51:60" x14ac:dyDescent="0.2">
      <c r="AY1354" s="116"/>
      <c r="AZ1354" s="93"/>
      <c r="BA1354" s="89"/>
      <c r="BB1354" s="9"/>
      <c r="BC1354" s="93"/>
      <c r="BG1354" s="116"/>
      <c r="BH1354" s="9"/>
    </row>
    <row r="1355" spans="51:60" x14ac:dyDescent="0.2">
      <c r="AY1355" s="116"/>
      <c r="AZ1355" s="93"/>
      <c r="BA1355" s="89"/>
      <c r="BB1355" s="9"/>
      <c r="BC1355" s="93"/>
      <c r="BG1355" s="116"/>
      <c r="BH1355" s="9"/>
    </row>
    <row r="1356" spans="51:60" x14ac:dyDescent="0.2">
      <c r="AY1356" s="116"/>
      <c r="AZ1356" s="93"/>
      <c r="BA1356" s="89"/>
      <c r="BB1356" s="9"/>
      <c r="BC1356" s="93"/>
      <c r="BG1356" s="116"/>
      <c r="BH1356" s="9"/>
    </row>
    <row r="1357" spans="51:60" x14ac:dyDescent="0.2">
      <c r="AY1357" s="116"/>
      <c r="AZ1357" s="93"/>
      <c r="BA1357" s="89"/>
      <c r="BB1357" s="9"/>
      <c r="BC1357" s="93"/>
      <c r="BG1357" s="116"/>
      <c r="BH1357" s="9"/>
    </row>
    <row r="1358" spans="51:60" x14ac:dyDescent="0.2">
      <c r="AY1358" s="116"/>
      <c r="AZ1358" s="93"/>
      <c r="BA1358" s="89"/>
      <c r="BB1358" s="9"/>
      <c r="BC1358" s="93"/>
      <c r="BG1358" s="116"/>
      <c r="BH1358" s="9"/>
    </row>
    <row r="1359" spans="51:60" x14ac:dyDescent="0.2">
      <c r="AY1359" s="116"/>
      <c r="AZ1359" s="93"/>
      <c r="BA1359" s="89"/>
      <c r="BB1359" s="9"/>
      <c r="BC1359" s="93"/>
      <c r="BG1359" s="116"/>
      <c r="BH1359" s="9"/>
    </row>
    <row r="1360" spans="51:60" x14ac:dyDescent="0.2">
      <c r="AY1360" s="116"/>
      <c r="AZ1360" s="93"/>
      <c r="BA1360" s="89"/>
      <c r="BB1360" s="9"/>
      <c r="BC1360" s="93"/>
      <c r="BG1360" s="116"/>
      <c r="BH1360" s="9"/>
    </row>
    <row r="1361" spans="51:60" x14ac:dyDescent="0.2">
      <c r="AY1361" s="116"/>
      <c r="AZ1361" s="93"/>
      <c r="BA1361" s="89"/>
      <c r="BB1361" s="9"/>
      <c r="BC1361" s="93"/>
      <c r="BG1361" s="116"/>
      <c r="BH1361" s="9"/>
    </row>
    <row r="1362" spans="51:60" x14ac:dyDescent="0.2">
      <c r="AY1362" s="116"/>
      <c r="AZ1362" s="93"/>
      <c r="BA1362" s="89"/>
      <c r="BB1362" s="9"/>
      <c r="BC1362" s="93"/>
      <c r="BG1362" s="116"/>
      <c r="BH1362" s="9"/>
    </row>
    <row r="1363" spans="51:60" x14ac:dyDescent="0.2">
      <c r="AY1363" s="116"/>
      <c r="AZ1363" s="93"/>
      <c r="BA1363" s="89"/>
      <c r="BB1363" s="9"/>
      <c r="BC1363" s="93"/>
      <c r="BG1363" s="116"/>
      <c r="BH1363" s="9"/>
    </row>
    <row r="1364" spans="51:60" x14ac:dyDescent="0.2">
      <c r="AY1364" s="116"/>
      <c r="AZ1364" s="93"/>
      <c r="BA1364" s="89"/>
      <c r="BB1364" s="9"/>
      <c r="BC1364" s="93"/>
      <c r="BG1364" s="116"/>
      <c r="BH1364" s="9"/>
    </row>
    <row r="1365" spans="51:60" x14ac:dyDescent="0.2">
      <c r="AY1365" s="116"/>
      <c r="AZ1365" s="93"/>
      <c r="BA1365" s="89"/>
      <c r="BB1365" s="9"/>
      <c r="BC1365" s="93"/>
      <c r="BG1365" s="116"/>
      <c r="BH1365" s="9"/>
    </row>
    <row r="1366" spans="51:60" x14ac:dyDescent="0.2">
      <c r="AY1366" s="116"/>
      <c r="AZ1366" s="93"/>
      <c r="BA1366" s="89"/>
      <c r="BB1366" s="9"/>
      <c r="BC1366" s="93"/>
      <c r="BG1366" s="116"/>
      <c r="BH1366" s="9"/>
    </row>
    <row r="1367" spans="51:60" x14ac:dyDescent="0.2">
      <c r="AY1367" s="116"/>
      <c r="AZ1367" s="93"/>
      <c r="BA1367" s="89"/>
      <c r="BB1367" s="9"/>
      <c r="BC1367" s="93"/>
      <c r="BG1367" s="116"/>
      <c r="BH1367" s="9"/>
    </row>
    <row r="1368" spans="51:60" x14ac:dyDescent="0.2">
      <c r="AY1368" s="116"/>
      <c r="AZ1368" s="93"/>
      <c r="BA1368" s="89"/>
      <c r="BB1368" s="9"/>
      <c r="BC1368" s="93"/>
      <c r="BG1368" s="116"/>
      <c r="BH1368" s="9"/>
    </row>
    <row r="1369" spans="51:60" x14ac:dyDescent="0.2">
      <c r="AY1369" s="116"/>
      <c r="AZ1369" s="93"/>
      <c r="BA1369" s="89"/>
      <c r="BB1369" s="9"/>
      <c r="BC1369" s="93"/>
      <c r="BG1369" s="116"/>
      <c r="BH1369" s="9"/>
    </row>
    <row r="1370" spans="51:60" x14ac:dyDescent="0.2">
      <c r="AY1370" s="116"/>
      <c r="AZ1370" s="93"/>
      <c r="BA1370" s="89"/>
      <c r="BB1370" s="9"/>
      <c r="BC1370" s="93"/>
      <c r="BG1370" s="116"/>
      <c r="BH1370" s="9"/>
    </row>
    <row r="1371" spans="51:60" x14ac:dyDescent="0.2">
      <c r="AY1371" s="116"/>
      <c r="AZ1371" s="93"/>
      <c r="BA1371" s="89"/>
      <c r="BB1371" s="9"/>
      <c r="BC1371" s="93"/>
      <c r="BG1371" s="116"/>
      <c r="BH1371" s="9"/>
    </row>
    <row r="1372" spans="51:60" x14ac:dyDescent="0.2">
      <c r="AY1372" s="116"/>
      <c r="AZ1372" s="93"/>
      <c r="BA1372" s="89"/>
      <c r="BB1372" s="9"/>
      <c r="BC1372" s="93"/>
      <c r="BG1372" s="116"/>
      <c r="BH1372" s="9"/>
    </row>
    <row r="1373" spans="51:60" x14ac:dyDescent="0.2">
      <c r="AY1373" s="116"/>
      <c r="AZ1373" s="93"/>
      <c r="BA1373" s="89"/>
      <c r="BB1373" s="9"/>
      <c r="BC1373" s="93"/>
      <c r="BG1373" s="116"/>
      <c r="BH1373" s="9"/>
    </row>
    <row r="1374" spans="51:60" x14ac:dyDescent="0.2">
      <c r="AY1374" s="116"/>
      <c r="AZ1374" s="93"/>
      <c r="BA1374" s="89"/>
      <c r="BB1374" s="9"/>
      <c r="BC1374" s="93"/>
      <c r="BG1374" s="116"/>
      <c r="BH1374" s="9"/>
    </row>
    <row r="1375" spans="51:60" x14ac:dyDescent="0.2">
      <c r="AY1375" s="116"/>
      <c r="AZ1375" s="93"/>
      <c r="BA1375" s="89"/>
      <c r="BB1375" s="9"/>
      <c r="BC1375" s="93"/>
      <c r="BG1375" s="116"/>
      <c r="BH1375" s="9"/>
    </row>
    <row r="1376" spans="51:60" x14ac:dyDescent="0.2">
      <c r="AY1376" s="116"/>
      <c r="AZ1376" s="93"/>
      <c r="BA1376" s="89"/>
      <c r="BB1376" s="9"/>
      <c r="BC1376" s="93"/>
      <c r="BG1376" s="116"/>
      <c r="BH1376" s="9"/>
    </row>
    <row r="1377" spans="51:60" x14ac:dyDescent="0.2">
      <c r="AY1377" s="116"/>
      <c r="AZ1377" s="93"/>
      <c r="BA1377" s="89"/>
      <c r="BB1377" s="9"/>
      <c r="BC1377" s="93"/>
      <c r="BG1377" s="116"/>
      <c r="BH1377" s="9"/>
    </row>
    <row r="1378" spans="51:60" x14ac:dyDescent="0.2">
      <c r="AY1378" s="116"/>
      <c r="AZ1378" s="93"/>
      <c r="BA1378" s="89"/>
      <c r="BB1378" s="9"/>
      <c r="BC1378" s="93"/>
      <c r="BG1378" s="116"/>
      <c r="BH1378" s="9"/>
    </row>
    <row r="1379" spans="51:60" x14ac:dyDescent="0.2">
      <c r="AY1379" s="116"/>
      <c r="AZ1379" s="93"/>
      <c r="BA1379" s="89"/>
      <c r="BB1379" s="9"/>
      <c r="BC1379" s="93"/>
      <c r="BG1379" s="116"/>
      <c r="BH1379" s="9"/>
    </row>
    <row r="1380" spans="51:60" x14ac:dyDescent="0.2">
      <c r="AY1380" s="116"/>
      <c r="AZ1380" s="93"/>
      <c r="BA1380" s="89"/>
      <c r="BB1380" s="9"/>
      <c r="BC1380" s="93"/>
      <c r="BG1380" s="116"/>
      <c r="BH1380" s="9"/>
    </row>
    <row r="1381" spans="51:60" x14ac:dyDescent="0.2">
      <c r="AY1381" s="116"/>
      <c r="AZ1381" s="93"/>
      <c r="BA1381" s="89"/>
      <c r="BB1381" s="9"/>
      <c r="BC1381" s="93"/>
      <c r="BG1381" s="116"/>
      <c r="BH1381" s="9"/>
    </row>
    <row r="1382" spans="51:60" x14ac:dyDescent="0.2">
      <c r="AY1382" s="116"/>
      <c r="AZ1382" s="93"/>
      <c r="BA1382" s="89"/>
      <c r="BB1382" s="9"/>
      <c r="BC1382" s="93"/>
      <c r="BG1382" s="116"/>
      <c r="BH1382" s="9"/>
    </row>
    <row r="1383" spans="51:60" x14ac:dyDescent="0.2">
      <c r="AY1383" s="116"/>
      <c r="AZ1383" s="93"/>
      <c r="BA1383" s="89"/>
      <c r="BB1383" s="9"/>
      <c r="BC1383" s="93"/>
      <c r="BG1383" s="116"/>
      <c r="BH1383" s="9"/>
    </row>
    <row r="1384" spans="51:60" x14ac:dyDescent="0.2">
      <c r="AY1384" s="116"/>
      <c r="AZ1384" s="93"/>
      <c r="BA1384" s="89"/>
      <c r="BB1384" s="9"/>
      <c r="BC1384" s="93"/>
      <c r="BG1384" s="116"/>
      <c r="BH1384" s="9"/>
    </row>
    <row r="1385" spans="51:60" x14ac:dyDescent="0.2">
      <c r="AY1385" s="116"/>
      <c r="AZ1385" s="93"/>
      <c r="BA1385" s="89"/>
      <c r="BB1385" s="9"/>
      <c r="BC1385" s="93"/>
      <c r="BG1385" s="116"/>
      <c r="BH1385" s="9"/>
    </row>
    <row r="1386" spans="51:60" x14ac:dyDescent="0.2">
      <c r="AY1386" s="116"/>
      <c r="AZ1386" s="93"/>
      <c r="BA1386" s="89"/>
      <c r="BB1386" s="9"/>
      <c r="BC1386" s="93"/>
      <c r="BG1386" s="116"/>
      <c r="BH1386" s="9"/>
    </row>
    <row r="1387" spans="51:60" x14ac:dyDescent="0.2">
      <c r="AY1387" s="116"/>
      <c r="AZ1387" s="93"/>
      <c r="BA1387" s="89"/>
      <c r="BB1387" s="9"/>
      <c r="BC1387" s="93"/>
      <c r="BG1387" s="116"/>
      <c r="BH1387" s="9"/>
    </row>
    <row r="1388" spans="51:60" x14ac:dyDescent="0.2">
      <c r="AY1388" s="116"/>
      <c r="AZ1388" s="93"/>
      <c r="BA1388" s="89"/>
      <c r="BB1388" s="9"/>
      <c r="BC1388" s="93"/>
      <c r="BG1388" s="116"/>
      <c r="BH1388" s="9"/>
    </row>
    <row r="1389" spans="51:60" x14ac:dyDescent="0.2">
      <c r="AY1389" s="116"/>
      <c r="AZ1389" s="93"/>
      <c r="BA1389" s="89"/>
      <c r="BB1389" s="9"/>
      <c r="BC1389" s="93"/>
      <c r="BG1389" s="116"/>
      <c r="BH1389" s="9"/>
    </row>
    <row r="1390" spans="51:60" x14ac:dyDescent="0.2">
      <c r="AY1390" s="116"/>
      <c r="AZ1390" s="93"/>
      <c r="BA1390" s="89"/>
      <c r="BB1390" s="9"/>
      <c r="BC1390" s="93"/>
      <c r="BG1390" s="116"/>
      <c r="BH1390" s="9"/>
    </row>
    <row r="1391" spans="51:60" x14ac:dyDescent="0.2">
      <c r="AY1391" s="116"/>
      <c r="AZ1391" s="93"/>
      <c r="BA1391" s="89"/>
      <c r="BB1391" s="9"/>
      <c r="BC1391" s="93"/>
      <c r="BG1391" s="116"/>
      <c r="BH1391" s="9"/>
    </row>
    <row r="1392" spans="51:60" x14ac:dyDescent="0.2">
      <c r="AY1392" s="116"/>
      <c r="AZ1392" s="93"/>
      <c r="BA1392" s="89"/>
      <c r="BB1392" s="9"/>
      <c r="BC1392" s="93"/>
      <c r="BG1392" s="116"/>
      <c r="BH1392" s="9"/>
    </row>
    <row r="1393" spans="51:60" x14ac:dyDescent="0.2">
      <c r="AY1393" s="116"/>
      <c r="AZ1393" s="93"/>
      <c r="BA1393" s="89"/>
      <c r="BB1393" s="9"/>
      <c r="BC1393" s="93"/>
      <c r="BG1393" s="116"/>
      <c r="BH1393" s="9"/>
    </row>
    <row r="1394" spans="51:60" x14ac:dyDescent="0.2">
      <c r="AY1394" s="116"/>
      <c r="AZ1394" s="93"/>
      <c r="BA1394" s="89"/>
      <c r="BB1394" s="9"/>
      <c r="BC1394" s="93"/>
      <c r="BG1394" s="116"/>
      <c r="BH1394" s="9"/>
    </row>
    <row r="1395" spans="51:60" x14ac:dyDescent="0.2">
      <c r="AY1395" s="116"/>
      <c r="AZ1395" s="93"/>
      <c r="BA1395" s="89"/>
      <c r="BB1395" s="9"/>
      <c r="BC1395" s="93"/>
      <c r="BG1395" s="116"/>
      <c r="BH1395" s="9"/>
    </row>
    <row r="1396" spans="51:60" x14ac:dyDescent="0.2">
      <c r="AY1396" s="116"/>
      <c r="AZ1396" s="93"/>
      <c r="BA1396" s="89"/>
      <c r="BB1396" s="9"/>
      <c r="BC1396" s="93"/>
      <c r="BG1396" s="116"/>
      <c r="BH1396" s="9"/>
    </row>
    <row r="1397" spans="51:60" x14ac:dyDescent="0.2">
      <c r="AY1397" s="116"/>
      <c r="AZ1397" s="93"/>
      <c r="BA1397" s="89"/>
      <c r="BB1397" s="9"/>
      <c r="BC1397" s="93"/>
      <c r="BG1397" s="116"/>
      <c r="BH1397" s="9"/>
    </row>
    <row r="1398" spans="51:60" x14ac:dyDescent="0.2">
      <c r="AY1398" s="116"/>
      <c r="AZ1398" s="93"/>
      <c r="BA1398" s="89"/>
      <c r="BB1398" s="9"/>
      <c r="BC1398" s="93"/>
      <c r="BG1398" s="116"/>
      <c r="BH1398" s="9"/>
    </row>
    <row r="1399" spans="51:60" x14ac:dyDescent="0.2">
      <c r="AY1399" s="116"/>
      <c r="AZ1399" s="93"/>
      <c r="BA1399" s="89"/>
      <c r="BB1399" s="9"/>
      <c r="BC1399" s="93"/>
      <c r="BG1399" s="116"/>
      <c r="BH1399" s="9"/>
    </row>
    <row r="1400" spans="51:60" x14ac:dyDescent="0.2">
      <c r="AY1400" s="116"/>
      <c r="AZ1400" s="93"/>
      <c r="BA1400" s="89"/>
      <c r="BB1400" s="9"/>
      <c r="BC1400" s="93"/>
      <c r="BG1400" s="116"/>
      <c r="BH1400" s="9"/>
    </row>
    <row r="1401" spans="51:60" x14ac:dyDescent="0.2">
      <c r="AY1401" s="116"/>
      <c r="AZ1401" s="93"/>
      <c r="BA1401" s="89"/>
      <c r="BB1401" s="9"/>
      <c r="BC1401" s="93"/>
      <c r="BG1401" s="116"/>
      <c r="BH1401" s="9"/>
    </row>
    <row r="1402" spans="51:60" x14ac:dyDescent="0.2">
      <c r="AY1402" s="116"/>
      <c r="AZ1402" s="93"/>
      <c r="BA1402" s="89"/>
      <c r="BB1402" s="9"/>
      <c r="BC1402" s="93"/>
      <c r="BG1402" s="116"/>
      <c r="BH1402" s="9"/>
    </row>
    <row r="1403" spans="51:60" x14ac:dyDescent="0.2">
      <c r="AY1403" s="116"/>
      <c r="AZ1403" s="93"/>
      <c r="BA1403" s="89"/>
      <c r="BB1403" s="9"/>
      <c r="BC1403" s="93"/>
      <c r="BG1403" s="116"/>
      <c r="BH1403" s="9"/>
    </row>
    <row r="1404" spans="51:60" x14ac:dyDescent="0.2">
      <c r="AY1404" s="116"/>
      <c r="AZ1404" s="93"/>
      <c r="BA1404" s="89"/>
      <c r="BB1404" s="9"/>
      <c r="BC1404" s="93"/>
      <c r="BG1404" s="116"/>
      <c r="BH1404" s="9"/>
    </row>
    <row r="1405" spans="51:60" x14ac:dyDescent="0.2">
      <c r="AY1405" s="116"/>
      <c r="AZ1405" s="93"/>
      <c r="BA1405" s="89"/>
      <c r="BB1405" s="9"/>
      <c r="BC1405" s="93"/>
      <c r="BG1405" s="116"/>
      <c r="BH1405" s="9"/>
    </row>
    <row r="1406" spans="51:60" x14ac:dyDescent="0.2">
      <c r="AY1406" s="116"/>
      <c r="AZ1406" s="93"/>
      <c r="BA1406" s="89"/>
      <c r="BB1406" s="9"/>
      <c r="BC1406" s="93"/>
      <c r="BG1406" s="116"/>
      <c r="BH1406" s="9"/>
    </row>
    <row r="1407" spans="51:60" x14ac:dyDescent="0.2">
      <c r="AY1407" s="116"/>
      <c r="AZ1407" s="93"/>
      <c r="BA1407" s="89"/>
      <c r="BB1407" s="9"/>
      <c r="BC1407" s="93"/>
      <c r="BG1407" s="116"/>
      <c r="BH1407" s="9"/>
    </row>
    <row r="1408" spans="51:60" x14ac:dyDescent="0.2">
      <c r="AY1408" s="116"/>
      <c r="AZ1408" s="93"/>
      <c r="BA1408" s="89"/>
      <c r="BB1408" s="9"/>
      <c r="BC1408" s="93"/>
      <c r="BG1408" s="116"/>
      <c r="BH1408" s="9"/>
    </row>
    <row r="1409" spans="51:60" x14ac:dyDescent="0.2">
      <c r="AY1409" s="116"/>
      <c r="AZ1409" s="93"/>
      <c r="BA1409" s="89"/>
      <c r="BB1409" s="9"/>
      <c r="BC1409" s="93"/>
      <c r="BG1409" s="116"/>
      <c r="BH1409" s="9"/>
    </row>
    <row r="1410" spans="51:60" x14ac:dyDescent="0.2">
      <c r="AY1410" s="116"/>
      <c r="AZ1410" s="93"/>
      <c r="BA1410" s="89"/>
      <c r="BB1410" s="9"/>
      <c r="BC1410" s="93"/>
      <c r="BG1410" s="116"/>
      <c r="BH1410" s="9"/>
    </row>
    <row r="1411" spans="51:60" x14ac:dyDescent="0.2">
      <c r="AY1411" s="116"/>
      <c r="AZ1411" s="93"/>
      <c r="BA1411" s="89"/>
      <c r="BB1411" s="9"/>
      <c r="BC1411" s="93"/>
      <c r="BG1411" s="116"/>
      <c r="BH1411" s="9"/>
    </row>
    <row r="1412" spans="51:60" x14ac:dyDescent="0.2">
      <c r="AY1412" s="116"/>
      <c r="AZ1412" s="93"/>
      <c r="BA1412" s="89"/>
      <c r="BB1412" s="9"/>
      <c r="BC1412" s="93"/>
      <c r="BG1412" s="116"/>
      <c r="BH1412" s="9"/>
    </row>
    <row r="1413" spans="51:60" x14ac:dyDescent="0.2">
      <c r="AY1413" s="116"/>
      <c r="AZ1413" s="93"/>
      <c r="BA1413" s="89"/>
      <c r="BB1413" s="9"/>
      <c r="BC1413" s="93"/>
      <c r="BG1413" s="116"/>
      <c r="BH1413" s="9"/>
    </row>
    <row r="1414" spans="51:60" x14ac:dyDescent="0.2">
      <c r="AY1414" s="116"/>
      <c r="AZ1414" s="93"/>
      <c r="BA1414" s="89"/>
      <c r="BB1414" s="9"/>
      <c r="BC1414" s="93"/>
      <c r="BG1414" s="116"/>
      <c r="BH1414" s="9"/>
    </row>
    <row r="1415" spans="51:60" x14ac:dyDescent="0.2">
      <c r="AY1415" s="116"/>
      <c r="AZ1415" s="93"/>
      <c r="BA1415" s="89"/>
      <c r="BB1415" s="9"/>
      <c r="BC1415" s="93"/>
      <c r="BG1415" s="116"/>
      <c r="BH1415" s="9"/>
    </row>
    <row r="1416" spans="51:60" x14ac:dyDescent="0.2">
      <c r="AY1416" s="116"/>
      <c r="AZ1416" s="93"/>
      <c r="BA1416" s="89"/>
      <c r="BB1416" s="9"/>
      <c r="BC1416" s="93"/>
      <c r="BG1416" s="116"/>
      <c r="BH1416" s="9"/>
    </row>
    <row r="1417" spans="51:60" x14ac:dyDescent="0.2">
      <c r="AY1417" s="116"/>
      <c r="AZ1417" s="93"/>
      <c r="BA1417" s="89"/>
      <c r="BB1417" s="9"/>
      <c r="BC1417" s="93"/>
      <c r="BG1417" s="116"/>
      <c r="BH1417" s="9"/>
    </row>
    <row r="1418" spans="51:60" x14ac:dyDescent="0.2">
      <c r="AY1418" s="116"/>
      <c r="AZ1418" s="93"/>
      <c r="BA1418" s="89"/>
      <c r="BB1418" s="9"/>
      <c r="BC1418" s="93"/>
      <c r="BG1418" s="116"/>
      <c r="BH1418" s="9"/>
    </row>
    <row r="1419" spans="51:60" x14ac:dyDescent="0.2">
      <c r="AY1419" s="116"/>
      <c r="AZ1419" s="93"/>
      <c r="BA1419" s="89"/>
      <c r="BB1419" s="9"/>
      <c r="BC1419" s="93"/>
      <c r="BG1419" s="116"/>
      <c r="BH1419" s="9"/>
    </row>
    <row r="1420" spans="51:60" x14ac:dyDescent="0.2">
      <c r="AY1420" s="116"/>
      <c r="AZ1420" s="93"/>
      <c r="BA1420" s="89"/>
      <c r="BB1420" s="9"/>
      <c r="BC1420" s="93"/>
      <c r="BG1420" s="116"/>
      <c r="BH1420" s="9"/>
    </row>
  </sheetData>
  <mergeCells count="1">
    <mergeCell ref="A2:B3"/>
  </mergeCells>
  <conditionalFormatting sqref="O1:O1048576">
    <cfRule type="expression" dxfId="146" priority="2">
      <formula>AND($N1&lt;&gt;$O1,ISNUMBER($O1))</formula>
    </cfRule>
  </conditionalFormatting>
  <conditionalFormatting sqref="F1:BH1048576">
    <cfRule type="expression" dxfId="145" priority="3">
      <formula>AND(ISNUMBER(F1),F1&lt;0)</formula>
    </cfRule>
  </conditionalFormatting>
  <conditionalFormatting sqref="F1:F1048576 AL1:AM1048576 AS1:AT1048576 AW1:AW1048576 AY1:AY1048576 BA1:BA1048576 BD1:BD1048576 BG1:BG1048576">
    <cfRule type="expression" dxfId="144" priority="4">
      <formula>$C1="&lt;01"</formula>
    </cfRule>
  </conditionalFormatting>
  <conditionalFormatting sqref="AQ1:AR1048576 BC1:BC1048576 BF1:BF1048576 S1:AM1048576">
    <cfRule type="expression" dxfId="143" priority="5">
      <formula>AND(ROW($S1)&gt;14,$E1&lt;&gt;"",LEFT($B1,4)="_Mil")</formula>
    </cfRule>
  </conditionalFormatting>
  <conditionalFormatting sqref="AN1:AN1048576">
    <cfRule type="expression" dxfId="142" priority="6">
      <formula>AND(ROW($AN1)&gt;14,$E1&lt;&gt;"",$C1&lt;&gt;"&lt;01")</formula>
    </cfRule>
  </conditionalFormatting>
  <conditionalFormatting sqref="W1:W1048576 Y1:Y1048576 AB1:AB1048576 AE1:AE1048576 AG1:AH1048576 AS1:AT1048576 AW1:AW1048576 AY1:AY1048576 BA1:BA1048576 BD1:BD1048576 BG1:BG1048576">
    <cfRule type="expression" dxfId="141" priority="7">
      <formula>AND(ISNUMBER(W1),W1&gt;1)</formula>
    </cfRule>
  </conditionalFormatting>
  <conditionalFormatting sqref="AA1:AA1048576 AL1:AL1048576 AR1:AR1048576">
    <cfRule type="expression" dxfId="140" priority="8">
      <formula>AND(ISNUMBER(AA1),AA1&gt;1)</formula>
    </cfRule>
    <cfRule type="expression" dxfId="139" priority="9">
      <formula>AND(ISNUMBER(AA1),AA1&lt;0.9)</formula>
    </cfRule>
  </conditionalFormatting>
  <conditionalFormatting sqref="Y1:Y1048576 AB1:AB1048576 AE1:AE1048576 AG1:AG1048576 BA1:BA1048576 BD1:BD1048576 BG1:BG1048576">
    <cfRule type="expression" dxfId="138" priority="10">
      <formula>AND(ISNUMBER(Y1),Y1&lt;0.95)</formula>
    </cfRule>
  </conditionalFormatting>
  <conditionalFormatting sqref="AS1:AT1048576">
    <cfRule type="expression" dxfId="137" priority="11">
      <formula>AND(ISNUMBER(AS1),AS1&lt;0.98)</formula>
    </cfRule>
  </conditionalFormatting>
  <conditionalFormatting sqref="AW1:AW1048576">
    <cfRule type="expression" dxfId="136" priority="12">
      <formula>AND(ISNUMBER(AW1),AW1&lt;1)</formula>
    </cfRule>
  </conditionalFormatting>
  <conditionalFormatting sqref="AY1:AY1048576">
    <cfRule type="expression" dxfId="135" priority="13">
      <formula>AND(ISNUMBER(AY1),AY1&lt;0.7)</formula>
    </cfRule>
  </conditionalFormatting>
  <pageMargins left="0.7" right="0.7" top="0.75" bottom="0.75" header="0.511811023622047" footer="0.511811023622047"/>
  <pageSetup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59"/>
  <sheetViews>
    <sheetView zoomScaleNormal="100" workbookViewId="0">
      <pane xSplit="4" ySplit="14" topLeftCell="E15" activePane="bottomRight" state="frozen"/>
      <selection pane="topRight" activeCell="E1" sqref="E1"/>
      <selection pane="bottomLeft" activeCell="A15" sqref="A15"/>
      <selection pane="bottomRight" activeCell="R15" sqref="R15"/>
    </sheetView>
  </sheetViews>
  <sheetFormatPr baseColWidth="10" defaultColWidth="10.5" defaultRowHeight="16" x14ac:dyDescent="0.2"/>
  <cols>
    <col min="1" max="1" width="16.1640625" customWidth="1"/>
    <col min="2" max="2" width="30.83203125" customWidth="1"/>
    <col min="3" max="3" width="35.5" customWidth="1"/>
    <col min="4" max="4" width="10.1640625" hidden="1" customWidth="1"/>
    <col min="5" max="42" width="11.83203125" customWidth="1"/>
  </cols>
  <sheetData>
    <row r="1" spans="1:42" ht="30.75" customHeight="1" x14ac:dyDescent="0.2">
      <c r="A1" s="44" t="s">
        <v>368</v>
      </c>
      <c r="B1" s="18"/>
      <c r="C1" s="18"/>
      <c r="D1" s="18"/>
      <c r="E1" s="45" t="s">
        <v>369</v>
      </c>
      <c r="F1" s="46"/>
      <c r="G1" s="47"/>
      <c r="H1" s="45" t="s">
        <v>370</v>
      </c>
      <c r="I1" s="46"/>
      <c r="J1" s="45" t="s">
        <v>371</v>
      </c>
      <c r="K1" s="46"/>
      <c r="L1" s="45" t="s">
        <v>372</v>
      </c>
      <c r="M1" s="46"/>
      <c r="N1" s="45" t="s">
        <v>241</v>
      </c>
      <c r="O1" s="21"/>
      <c r="P1" s="21"/>
      <c r="Q1" s="46"/>
      <c r="R1" s="21"/>
      <c r="S1" s="21"/>
      <c r="T1" s="45" t="s">
        <v>240</v>
      </c>
      <c r="U1" s="48"/>
      <c r="V1" s="48"/>
      <c r="W1" s="21"/>
      <c r="X1" s="21"/>
      <c r="Y1" s="50"/>
      <c r="Z1" s="46"/>
      <c r="AA1" s="51" t="s">
        <v>242</v>
      </c>
      <c r="AB1" s="46"/>
      <c r="AC1" s="48"/>
      <c r="AD1" s="46"/>
      <c r="AE1" s="51" t="s">
        <v>243</v>
      </c>
      <c r="AF1" s="46"/>
      <c r="AG1" s="45" t="s">
        <v>373</v>
      </c>
      <c r="AH1" s="21"/>
      <c r="AI1" s="50"/>
      <c r="AJ1" s="50"/>
      <c r="AK1" s="46"/>
      <c r="AL1" s="46"/>
      <c r="AM1" s="51" t="s">
        <v>374</v>
      </c>
      <c r="AN1" s="46"/>
      <c r="AO1" s="45" t="s">
        <v>375</v>
      </c>
      <c r="AP1" s="46"/>
    </row>
    <row r="2" spans="1:42" ht="18.75" customHeight="1" x14ac:dyDescent="0.25">
      <c r="A2" s="25"/>
      <c r="B2" s="22"/>
      <c r="C2" s="22"/>
      <c r="D2" s="22"/>
      <c r="E2" s="57" t="s">
        <v>176</v>
      </c>
      <c r="F2" s="24" t="s">
        <v>176</v>
      </c>
      <c r="G2" s="117" t="s">
        <v>176</v>
      </c>
      <c r="H2" s="52"/>
      <c r="I2" s="24" t="s">
        <v>176</v>
      </c>
      <c r="J2" s="52"/>
      <c r="K2" s="24" t="s">
        <v>176</v>
      </c>
      <c r="L2" s="52"/>
      <c r="M2" s="24" t="s">
        <v>176</v>
      </c>
      <c r="N2" s="52"/>
      <c r="O2" s="25"/>
      <c r="P2" s="25"/>
      <c r="Q2" s="24" t="s">
        <v>176</v>
      </c>
      <c r="R2" s="118"/>
      <c r="S2" s="118"/>
      <c r="T2" s="52"/>
      <c r="U2" s="54"/>
      <c r="V2" s="54"/>
      <c r="W2" s="118"/>
      <c r="X2" s="118"/>
      <c r="Y2" s="54"/>
      <c r="Z2" s="24" t="s">
        <v>176</v>
      </c>
      <c r="AA2" s="56"/>
      <c r="AB2" s="25"/>
      <c r="AC2" s="54"/>
      <c r="AD2" s="24" t="s">
        <v>176</v>
      </c>
      <c r="AE2" s="56"/>
      <c r="AF2" s="24" t="s">
        <v>176</v>
      </c>
      <c r="AG2" s="52"/>
      <c r="AH2" s="25"/>
      <c r="AI2" s="54"/>
      <c r="AJ2" s="54"/>
      <c r="AK2" s="24" t="s">
        <v>176</v>
      </c>
      <c r="AL2" s="24" t="s">
        <v>176</v>
      </c>
      <c r="AM2" s="56"/>
      <c r="AN2" s="24" t="s">
        <v>176</v>
      </c>
      <c r="AO2" s="52"/>
      <c r="AP2" s="24" t="s">
        <v>176</v>
      </c>
    </row>
    <row r="3" spans="1:42" ht="117" customHeight="1" x14ac:dyDescent="0.2">
      <c r="D3" s="119"/>
      <c r="E3" s="120" t="s">
        <v>376</v>
      </c>
      <c r="F3" s="28" t="s">
        <v>377</v>
      </c>
      <c r="G3" s="121" t="s">
        <v>378</v>
      </c>
      <c r="H3" s="27" t="s">
        <v>379</v>
      </c>
      <c r="I3" s="28" t="s">
        <v>380</v>
      </c>
      <c r="J3" s="63" t="s">
        <v>381</v>
      </c>
      <c r="K3" s="28" t="s">
        <v>382</v>
      </c>
      <c r="L3" s="63" t="s">
        <v>383</v>
      </c>
      <c r="M3" s="28" t="s">
        <v>384</v>
      </c>
      <c r="N3" s="63" t="s">
        <v>385</v>
      </c>
      <c r="O3" s="29" t="s">
        <v>386</v>
      </c>
      <c r="P3" s="64" t="s">
        <v>387</v>
      </c>
      <c r="Q3" s="28" t="s">
        <v>388</v>
      </c>
      <c r="R3" s="69" t="s">
        <v>389</v>
      </c>
      <c r="S3" s="71" t="s">
        <v>390</v>
      </c>
      <c r="T3" s="63" t="s">
        <v>391</v>
      </c>
      <c r="U3" s="67" t="s">
        <v>271</v>
      </c>
      <c r="V3" s="67" t="s">
        <v>272</v>
      </c>
      <c r="W3" s="29" t="s">
        <v>392</v>
      </c>
      <c r="X3" s="29" t="s">
        <v>274</v>
      </c>
      <c r="Y3" s="67" t="s">
        <v>275</v>
      </c>
      <c r="Z3" s="74" t="s">
        <v>393</v>
      </c>
      <c r="AA3" s="70" t="s">
        <v>277</v>
      </c>
      <c r="AB3" s="29" t="s">
        <v>278</v>
      </c>
      <c r="AC3" s="67" t="s">
        <v>279</v>
      </c>
      <c r="AD3" s="74" t="s">
        <v>394</v>
      </c>
      <c r="AE3" s="70" t="s">
        <v>282</v>
      </c>
      <c r="AF3" s="74" t="s">
        <v>395</v>
      </c>
      <c r="AG3" s="27" t="s">
        <v>396</v>
      </c>
      <c r="AH3" s="71" t="s">
        <v>397</v>
      </c>
      <c r="AI3" s="67" t="s">
        <v>285</v>
      </c>
      <c r="AJ3" s="67" t="s">
        <v>398</v>
      </c>
      <c r="AK3" s="74" t="s">
        <v>399</v>
      </c>
      <c r="AL3" s="28" t="s">
        <v>400</v>
      </c>
      <c r="AM3" s="70" t="s">
        <v>401</v>
      </c>
      <c r="AN3" s="74" t="s">
        <v>402</v>
      </c>
      <c r="AO3" s="27" t="s">
        <v>403</v>
      </c>
      <c r="AP3" s="28" t="s">
        <v>404</v>
      </c>
    </row>
    <row r="4" spans="1:42" x14ac:dyDescent="0.2">
      <c r="A4" s="77"/>
      <c r="B4" s="122"/>
      <c r="C4" s="122" t="s">
        <v>287</v>
      </c>
      <c r="D4" s="122"/>
      <c r="E4" s="123">
        <f>SUBTOTAL(109,E$15:INDEX(E:E,COUNTA($B:$B)+14-COUNTA($B$1:$B$14)))</f>
        <v>0</v>
      </c>
      <c r="F4" s="84">
        <f>SUBTOTAL(109,F$15:INDEX(F:F,COUNTA($B:$B)+14-COUNTA($B$1:$B$14)))</f>
        <v>0</v>
      </c>
      <c r="G4" s="124" t="str">
        <f>IF($E$4=0,"",$F$4/$E$4)</f>
        <v/>
      </c>
      <c r="H4" s="76">
        <f>SUBTOTAL(109,H$15:INDEX(H:H,COUNTA($B:$B)+14-COUNTA($B$1:$B$14)))</f>
        <v>0</v>
      </c>
      <c r="I4" s="84">
        <f>SUBTOTAL(109,I$15:INDEX(I:I,COUNTA($B:$B)+14-COUNTA($B$1:$B$14)))</f>
        <v>0</v>
      </c>
      <c r="J4" s="123">
        <f>SUBTOTAL(109,J$15:INDEX(J:J,COUNTA($B:$B)+14-COUNTA($B$1:$B$14)))</f>
        <v>969</v>
      </c>
      <c r="K4" s="84">
        <f>SUBTOTAL(109,K$15:INDEX(K:K,COUNTA($B:$B)+14-COUNTA($B$1:$B$14)))</f>
        <v>0</v>
      </c>
      <c r="L4" s="123">
        <f>SUBTOTAL(109,L$15:INDEX(L:L,COUNTA($B:$B)+14-COUNTA($B$1:$B$14)))</f>
        <v>9769</v>
      </c>
      <c r="M4" s="84">
        <f>SUBTOTAL(109,M$15:INDEX(M:M,COUNTA($B:$B)+14-COUNTA($B$1:$B$14)))</f>
        <v>0</v>
      </c>
      <c r="N4" s="78">
        <f>SUBTOTAL(109,N$15:INDEX(N:N,COUNTA($B:$B)+14-COUNTA($B$1:$B$14)))</f>
        <v>1104</v>
      </c>
      <c r="O4" s="77">
        <f>SUBTOTAL(109,O$15:INDEX(O:O,COUNTA($B:$B)+14-COUNTA($B$1:$B$14)))</f>
        <v>1823</v>
      </c>
      <c r="P4" s="77">
        <f>SUBTOTAL(109,P$15:INDEX(P:P,COUNTA($B:$B)+14-COUNTA($B$1:$B$14)))</f>
        <v>2231</v>
      </c>
      <c r="Q4" s="84">
        <f>SUBTOTAL(109,Q$15:INDEX(Q:Q,COUNTA($B:$B)+14-COUNTA($B$1:$B$14)))</f>
        <v>2231</v>
      </c>
      <c r="R4" s="75">
        <f>SUBTOTAL(109,R$15:INDEX(R:R,COUNTA($B:$B)+14-COUNTA($B$1:$B$14)))</f>
        <v>0</v>
      </c>
      <c r="S4" s="75" t="str">
        <f>IF(SUM($F4)=0,"",SUM($R4)/$F4)</f>
        <v/>
      </c>
      <c r="T4" s="78">
        <f>SUBTOTAL(109,T$15:INDEX(T:T,COUNTA($B:$B)+14-COUNTA($B$1:$B$14)))</f>
        <v>716</v>
      </c>
      <c r="U4" s="80"/>
      <c r="V4" s="80"/>
      <c r="W4" s="75">
        <f>SUBTOTAL(109,W$15:INDEX(W:W,COUNTA($B:$B)+14-COUNTA($B$1:$B$14)))</f>
        <v>0</v>
      </c>
      <c r="X4" s="75">
        <f>SUBTOTAL(109,X$15:INDEX(X:X,COUNTA($B:$B)+14-COUNTA($B$1:$B$14)))</f>
        <v>45</v>
      </c>
      <c r="Y4" s="80">
        <f>IF($X$4=0,"",$Z$4/$X$4)</f>
        <v>1</v>
      </c>
      <c r="Z4" s="84">
        <f>SUBTOTAL(109,Z$15:INDEX(Z:Z,COUNTA($B:$B)+14-COUNTA($B$1:$B$14)))</f>
        <v>45</v>
      </c>
      <c r="AA4" s="82">
        <f>IF($X$4=0,"",($AB$4-$P$4)/$X$4)</f>
        <v>0.64444444444444449</v>
      </c>
      <c r="AB4" s="77">
        <f>SUBTOTAL(109,AB$15:INDEX(AB:AB,COUNTA($B:$B)+14-COUNTA($B$1:$B$14)))</f>
        <v>2260</v>
      </c>
      <c r="AC4" s="80">
        <f>IF($AB$4=0,"",$AD$4/$AB$4)</f>
        <v>0.95265486725663717</v>
      </c>
      <c r="AD4" s="84">
        <f>SUBTOTAL(109,AD$15:INDEX(AD:AD,COUNTA($B:$B)+14-COUNTA($B$1:$B$14)))</f>
        <v>2153</v>
      </c>
      <c r="AE4" s="82">
        <f>IF($AD$4=0,"",$AF$4/$AD$4)</f>
        <v>0.95308871342313051</v>
      </c>
      <c r="AF4" s="84">
        <f>SUBTOTAL(109,AF$15:INDEX(AF:AF,COUNTA($B:$B)+14-COUNTA($B$1:$B$14)))</f>
        <v>2052</v>
      </c>
      <c r="AG4" s="76">
        <f>SUBTOTAL(109,AG$15:INDEX(AG:AG,COUNTA($B:$B)+14-COUNTA($B$1:$B$14)))</f>
        <v>619</v>
      </c>
      <c r="AH4" s="75">
        <f>SUBTOTAL(109,AH$15:INDEX(AH:AH,COUNTA($B:$B)+14-COUNTA($B$1:$B$14)))</f>
        <v>38</v>
      </c>
      <c r="AI4" s="80">
        <f>IF($AK$4=0,"",$Z$4/$AK$4)</f>
        <v>0.97826086956521741</v>
      </c>
      <c r="AJ4" s="80">
        <f>IF(SUM($AK$4,$AL$4)=0,"",$AK$4/SUM($AK$4,$AL$4))</f>
        <v>1</v>
      </c>
      <c r="AK4" s="84">
        <f>SUBTOTAL(109,AK$15:INDEX(AK:AK,COUNTA($B:$B)+14-COUNTA($B$1:$B$14)))</f>
        <v>46</v>
      </c>
      <c r="AL4" s="84">
        <f>SUBTOTAL(109,AL$15:INDEX(AL:AL,COUNTA($B:$B)+14-COUNTA($B$1:$B$14)))</f>
        <v>0</v>
      </c>
      <c r="AM4" s="82">
        <f>IF($AK$4=0,"",$AN$4/$AK$4)</f>
        <v>1</v>
      </c>
      <c r="AN4" s="84">
        <f>SUBTOTAL(109,AN$15:INDEX(AN:AN,COUNTA($B:$B)+14-COUNTA($B$1:$B$14)))</f>
        <v>46</v>
      </c>
      <c r="AO4" s="76">
        <f>SUBTOTAL(109,AO$15:INDEX(AO:AO,COUNTA($B:$B)+14-COUNTA($B$1:$B$14)))</f>
        <v>8214</v>
      </c>
      <c r="AP4" s="84">
        <f>SUBTOTAL(109,AP$15:INDEX(AP:AP,COUNTA($B:$B)+14-COUNTA($B$1:$B$14)))</f>
        <v>0</v>
      </c>
    </row>
    <row r="5" spans="1:42" x14ac:dyDescent="0.2">
      <c r="A5" s="93" t="s">
        <v>180</v>
      </c>
      <c r="B5" s="43" t="s">
        <v>180</v>
      </c>
      <c r="C5" s="43" t="s">
        <v>180</v>
      </c>
      <c r="D5" s="43" t="s">
        <v>180</v>
      </c>
      <c r="E5" s="83" t="s">
        <v>181</v>
      </c>
      <c r="F5" s="9" t="s">
        <v>181</v>
      </c>
      <c r="G5" s="125" t="s">
        <v>181</v>
      </c>
      <c r="H5" s="87" t="s">
        <v>288</v>
      </c>
      <c r="I5" s="9" t="s">
        <v>288</v>
      </c>
      <c r="J5" s="114" t="s">
        <v>288</v>
      </c>
      <c r="K5" s="9" t="s">
        <v>288</v>
      </c>
      <c r="L5" s="114" t="s">
        <v>288</v>
      </c>
      <c r="M5" s="9" t="s">
        <v>288</v>
      </c>
      <c r="N5" s="114" t="s">
        <v>288</v>
      </c>
      <c r="O5" s="93" t="s">
        <v>288</v>
      </c>
      <c r="P5" s="93" t="s">
        <v>180</v>
      </c>
      <c r="Q5" s="9" t="s">
        <v>288</v>
      </c>
      <c r="R5" s="14" t="s">
        <v>180</v>
      </c>
      <c r="S5" s="14" t="s">
        <v>180</v>
      </c>
      <c r="T5" s="114" t="s">
        <v>288</v>
      </c>
      <c r="U5" s="89" t="s">
        <v>180</v>
      </c>
      <c r="V5" s="89" t="s">
        <v>180</v>
      </c>
      <c r="W5" s="14" t="s">
        <v>180</v>
      </c>
      <c r="X5" s="14" t="s">
        <v>180</v>
      </c>
      <c r="Y5" s="89" t="s">
        <v>180</v>
      </c>
      <c r="Z5" s="9" t="s">
        <v>288</v>
      </c>
      <c r="AA5" s="116" t="s">
        <v>180</v>
      </c>
      <c r="AB5" s="93" t="s">
        <v>180</v>
      </c>
      <c r="AC5" s="89" t="s">
        <v>180</v>
      </c>
      <c r="AD5" s="9" t="s">
        <v>288</v>
      </c>
      <c r="AE5" s="116" t="s">
        <v>180</v>
      </c>
      <c r="AF5" s="9" t="s">
        <v>288</v>
      </c>
      <c r="AG5" s="87" t="s">
        <v>288</v>
      </c>
      <c r="AH5" s="14" t="s">
        <v>288</v>
      </c>
      <c r="AI5" s="89" t="s">
        <v>180</v>
      </c>
      <c r="AJ5" s="89" t="s">
        <v>180</v>
      </c>
      <c r="AK5" s="9" t="s">
        <v>288</v>
      </c>
      <c r="AL5" s="9" t="s">
        <v>288</v>
      </c>
      <c r="AM5" s="116" t="s">
        <v>180</v>
      </c>
      <c r="AN5" s="9" t="s">
        <v>288</v>
      </c>
      <c r="AO5" s="87" t="s">
        <v>288</v>
      </c>
      <c r="AP5" s="9" t="s">
        <v>288</v>
      </c>
    </row>
    <row r="6" spans="1:42" x14ac:dyDescent="0.2">
      <c r="A6" s="93" t="s">
        <v>182</v>
      </c>
      <c r="B6" s="43" t="s">
        <v>182</v>
      </c>
      <c r="C6" s="43" t="s">
        <v>182</v>
      </c>
      <c r="D6" s="43" t="s">
        <v>182</v>
      </c>
      <c r="E6" s="83" t="s">
        <v>184</v>
      </c>
      <c r="F6" s="9" t="s">
        <v>184</v>
      </c>
      <c r="G6" s="125" t="s">
        <v>184</v>
      </c>
      <c r="H6" s="87" t="s">
        <v>183</v>
      </c>
      <c r="I6" s="9" t="s">
        <v>184</v>
      </c>
      <c r="J6" s="114" t="s">
        <v>183</v>
      </c>
      <c r="K6" s="9" t="s">
        <v>184</v>
      </c>
      <c r="L6" s="114" t="s">
        <v>183</v>
      </c>
      <c r="M6" s="9" t="s">
        <v>184</v>
      </c>
      <c r="N6" s="114" t="s">
        <v>183</v>
      </c>
      <c r="O6" s="93" t="s">
        <v>183</v>
      </c>
      <c r="P6" s="93" t="s">
        <v>290</v>
      </c>
      <c r="Q6" s="9" t="s">
        <v>184</v>
      </c>
      <c r="R6" s="14" t="s">
        <v>290</v>
      </c>
      <c r="S6" s="14" t="s">
        <v>290</v>
      </c>
      <c r="T6" s="114" t="s">
        <v>183</v>
      </c>
      <c r="U6" s="89" t="s">
        <v>290</v>
      </c>
      <c r="V6" s="89" t="s">
        <v>290</v>
      </c>
      <c r="W6" s="14" t="s">
        <v>185</v>
      </c>
      <c r="X6" s="14" t="s">
        <v>185</v>
      </c>
      <c r="Y6" s="89" t="s">
        <v>290</v>
      </c>
      <c r="Z6" s="9" t="s">
        <v>184</v>
      </c>
      <c r="AA6" s="116" t="s">
        <v>290</v>
      </c>
      <c r="AB6" s="93" t="s">
        <v>185</v>
      </c>
      <c r="AC6" s="89" t="s">
        <v>290</v>
      </c>
      <c r="AD6" s="9" t="s">
        <v>184</v>
      </c>
      <c r="AE6" s="116" t="s">
        <v>290</v>
      </c>
      <c r="AF6" s="9" t="s">
        <v>184</v>
      </c>
      <c r="AG6" s="87" t="s">
        <v>183</v>
      </c>
      <c r="AH6" s="14" t="s">
        <v>183</v>
      </c>
      <c r="AI6" s="89" t="s">
        <v>290</v>
      </c>
      <c r="AJ6" s="89" t="s">
        <v>291</v>
      </c>
      <c r="AK6" s="9" t="s">
        <v>184</v>
      </c>
      <c r="AL6" s="9" t="s">
        <v>184</v>
      </c>
      <c r="AM6" s="116" t="s">
        <v>290</v>
      </c>
      <c r="AN6" s="9" t="s">
        <v>184</v>
      </c>
      <c r="AO6" s="87" t="s">
        <v>183</v>
      </c>
      <c r="AP6" s="9" t="s">
        <v>184</v>
      </c>
    </row>
    <row r="7" spans="1:42" x14ac:dyDescent="0.2">
      <c r="A7" s="93" t="s">
        <v>186</v>
      </c>
      <c r="B7" s="43" t="s">
        <v>186</v>
      </c>
      <c r="C7" s="43" t="s">
        <v>186</v>
      </c>
      <c r="D7" s="43" t="s">
        <v>186</v>
      </c>
      <c r="E7" s="83" t="s">
        <v>187</v>
      </c>
      <c r="F7" s="9" t="s">
        <v>187</v>
      </c>
      <c r="G7" s="125" t="s">
        <v>293</v>
      </c>
      <c r="H7" s="87" t="s">
        <v>187</v>
      </c>
      <c r="I7" s="9" t="s">
        <v>187</v>
      </c>
      <c r="J7" s="114" t="s">
        <v>187</v>
      </c>
      <c r="K7" s="9" t="s">
        <v>187</v>
      </c>
      <c r="L7" s="114" t="s">
        <v>187</v>
      </c>
      <c r="M7" s="9" t="s">
        <v>187</v>
      </c>
      <c r="N7" s="114" t="s">
        <v>187</v>
      </c>
      <c r="O7" s="93" t="s">
        <v>187</v>
      </c>
      <c r="P7" s="93" t="s">
        <v>187</v>
      </c>
      <c r="Q7" s="9" t="s">
        <v>187</v>
      </c>
      <c r="R7" s="14" t="s">
        <v>187</v>
      </c>
      <c r="S7" s="14" t="s">
        <v>187</v>
      </c>
      <c r="T7" s="114" t="s">
        <v>187</v>
      </c>
      <c r="U7" s="89" t="s">
        <v>293</v>
      </c>
      <c r="V7" s="89" t="s">
        <v>293</v>
      </c>
      <c r="W7" s="14" t="s">
        <v>187</v>
      </c>
      <c r="X7" s="14" t="s">
        <v>187</v>
      </c>
      <c r="Y7" s="89" t="s">
        <v>293</v>
      </c>
      <c r="Z7" s="9" t="s">
        <v>187</v>
      </c>
      <c r="AA7" s="116" t="s">
        <v>293</v>
      </c>
      <c r="AB7" s="93" t="s">
        <v>187</v>
      </c>
      <c r="AC7" s="89" t="s">
        <v>293</v>
      </c>
      <c r="AD7" s="9" t="s">
        <v>187</v>
      </c>
      <c r="AE7" s="116" t="s">
        <v>293</v>
      </c>
      <c r="AF7" s="9" t="s">
        <v>187</v>
      </c>
      <c r="AG7" s="87" t="s">
        <v>187</v>
      </c>
      <c r="AH7" s="14" t="s">
        <v>187</v>
      </c>
      <c r="AI7" s="89" t="s">
        <v>293</v>
      </c>
      <c r="AJ7" s="89" t="s">
        <v>293</v>
      </c>
      <c r="AK7" s="9" t="s">
        <v>187</v>
      </c>
      <c r="AL7" s="9" t="s">
        <v>187</v>
      </c>
      <c r="AM7" s="116" t="s">
        <v>293</v>
      </c>
      <c r="AN7" s="9" t="s">
        <v>187</v>
      </c>
      <c r="AO7" s="87" t="s">
        <v>187</v>
      </c>
      <c r="AP7" s="9" t="s">
        <v>187</v>
      </c>
    </row>
    <row r="8" spans="1:42" x14ac:dyDescent="0.2">
      <c r="B8" s="43"/>
      <c r="C8" s="43"/>
      <c r="D8" s="43"/>
      <c r="E8" s="98" t="s">
        <v>405</v>
      </c>
      <c r="F8" s="99" t="s">
        <v>406</v>
      </c>
      <c r="G8" s="126" t="s">
        <v>407</v>
      </c>
      <c r="H8" s="95" t="s">
        <v>408</v>
      </c>
      <c r="I8" s="99" t="s">
        <v>408</v>
      </c>
      <c r="J8" s="127" t="s">
        <v>409</v>
      </c>
      <c r="K8" s="99" t="s">
        <v>409</v>
      </c>
      <c r="L8" s="127" t="s">
        <v>410</v>
      </c>
      <c r="M8" s="99" t="s">
        <v>410</v>
      </c>
      <c r="N8" s="127" t="s">
        <v>411</v>
      </c>
      <c r="O8" s="128" t="s">
        <v>412</v>
      </c>
      <c r="P8" s="93"/>
      <c r="Q8" s="99" t="s">
        <v>412</v>
      </c>
      <c r="R8" s="14"/>
      <c r="S8" s="14"/>
      <c r="T8" s="127" t="s">
        <v>413</v>
      </c>
      <c r="U8" s="89"/>
      <c r="V8" s="89"/>
      <c r="W8" s="14"/>
      <c r="X8" s="14"/>
      <c r="Y8" s="89"/>
      <c r="Z8" s="99" t="s">
        <v>413</v>
      </c>
      <c r="AA8" s="116"/>
      <c r="AB8" s="93"/>
      <c r="AC8" s="89"/>
      <c r="AD8" s="99" t="s">
        <v>414</v>
      </c>
      <c r="AE8" s="116"/>
      <c r="AF8" s="99" t="s">
        <v>415</v>
      </c>
      <c r="AG8" s="95" t="s">
        <v>416</v>
      </c>
      <c r="AH8" s="96" t="s">
        <v>416</v>
      </c>
      <c r="AI8" s="89"/>
      <c r="AJ8" s="89"/>
      <c r="AK8" s="99" t="s">
        <v>416</v>
      </c>
      <c r="AL8" s="99" t="s">
        <v>416</v>
      </c>
      <c r="AM8" s="116"/>
      <c r="AN8" s="99" t="s">
        <v>417</v>
      </c>
      <c r="AO8" s="127" t="s">
        <v>418</v>
      </c>
      <c r="AP8" s="99" t="s">
        <v>418</v>
      </c>
    </row>
    <row r="9" spans="1:42" x14ac:dyDescent="0.2">
      <c r="B9" s="43"/>
      <c r="C9" s="43"/>
      <c r="D9" s="43"/>
      <c r="E9" s="98"/>
      <c r="F9" s="99"/>
      <c r="G9" s="126"/>
      <c r="H9" s="95" t="s">
        <v>419</v>
      </c>
      <c r="I9" s="99" t="s">
        <v>419</v>
      </c>
      <c r="J9" s="127" t="s">
        <v>420</v>
      </c>
      <c r="K9" s="99" t="s">
        <v>420</v>
      </c>
      <c r="L9" s="127" t="s">
        <v>421</v>
      </c>
      <c r="M9" s="99" t="s">
        <v>421</v>
      </c>
      <c r="N9" s="127" t="s">
        <v>422</v>
      </c>
      <c r="O9" s="128" t="s">
        <v>423</v>
      </c>
      <c r="P9" s="93"/>
      <c r="Q9" s="99" t="s">
        <v>423</v>
      </c>
      <c r="R9" s="14"/>
      <c r="S9" s="14"/>
      <c r="T9" s="127" t="s">
        <v>424</v>
      </c>
      <c r="U9" s="89"/>
      <c r="V9" s="89"/>
      <c r="W9" s="14"/>
      <c r="X9" s="14"/>
      <c r="Y9" s="89"/>
      <c r="Z9" s="99" t="s">
        <v>424</v>
      </c>
      <c r="AA9" s="116"/>
      <c r="AB9" s="93"/>
      <c r="AC9" s="89"/>
      <c r="AD9" s="99" t="s">
        <v>425</v>
      </c>
      <c r="AE9" s="116"/>
      <c r="AF9" s="99" t="s">
        <v>426</v>
      </c>
      <c r="AG9" s="95" t="s">
        <v>427</v>
      </c>
      <c r="AH9" s="96" t="s">
        <v>427</v>
      </c>
      <c r="AI9" s="89"/>
      <c r="AJ9" s="89"/>
      <c r="AK9" s="99" t="s">
        <v>427</v>
      </c>
      <c r="AL9" s="99" t="s">
        <v>427</v>
      </c>
      <c r="AM9" s="116"/>
      <c r="AN9" s="99" t="s">
        <v>428</v>
      </c>
      <c r="AO9" s="127" t="s">
        <v>429</v>
      </c>
      <c r="AP9" s="99" t="s">
        <v>429</v>
      </c>
    </row>
    <row r="10" spans="1:42" x14ac:dyDescent="0.2">
      <c r="B10" s="43"/>
      <c r="C10" s="43"/>
      <c r="D10" s="43"/>
      <c r="E10" s="98"/>
      <c r="F10" s="99" t="s">
        <v>311</v>
      </c>
      <c r="G10" s="126" t="s">
        <v>311</v>
      </c>
      <c r="H10" s="95"/>
      <c r="I10" s="99"/>
      <c r="J10" s="127"/>
      <c r="K10" s="99"/>
      <c r="L10" s="127"/>
      <c r="M10" s="99"/>
      <c r="N10" s="127" t="s">
        <v>311</v>
      </c>
      <c r="O10" s="128" t="s">
        <v>311</v>
      </c>
      <c r="P10" s="93"/>
      <c r="Q10" s="99" t="s">
        <v>311</v>
      </c>
      <c r="R10" s="14"/>
      <c r="S10" s="14"/>
      <c r="T10" s="127" t="s">
        <v>311</v>
      </c>
      <c r="U10" s="89"/>
      <c r="V10" s="89"/>
      <c r="W10" s="14"/>
      <c r="X10" s="14"/>
      <c r="Y10" s="89"/>
      <c r="Z10" s="99" t="s">
        <v>311</v>
      </c>
      <c r="AA10" s="116"/>
      <c r="AB10" s="93"/>
      <c r="AC10" s="89"/>
      <c r="AD10" s="99" t="s">
        <v>311</v>
      </c>
      <c r="AE10" s="116"/>
      <c r="AF10" s="99" t="s">
        <v>311</v>
      </c>
      <c r="AG10" s="95" t="s">
        <v>311</v>
      </c>
      <c r="AH10" s="96" t="s">
        <v>430</v>
      </c>
      <c r="AI10" s="89"/>
      <c r="AJ10" s="89"/>
      <c r="AK10" s="99" t="s">
        <v>311</v>
      </c>
      <c r="AL10" s="99" t="s">
        <v>430</v>
      </c>
      <c r="AM10" s="116"/>
      <c r="AN10" s="99" t="s">
        <v>311</v>
      </c>
      <c r="AO10" s="127"/>
      <c r="AP10" s="99"/>
    </row>
    <row r="11" spans="1:42" x14ac:dyDescent="0.2">
      <c r="B11" s="43"/>
      <c r="C11" s="43"/>
      <c r="D11" s="43"/>
      <c r="E11" s="83"/>
      <c r="F11" s="9"/>
      <c r="G11" s="125"/>
      <c r="H11" s="87"/>
      <c r="I11" s="9"/>
      <c r="J11" s="114"/>
      <c r="K11" s="9"/>
      <c r="L11" s="114"/>
      <c r="M11" s="9"/>
      <c r="N11" s="114"/>
      <c r="O11" s="93"/>
      <c r="P11" s="93"/>
      <c r="Q11" s="9"/>
      <c r="R11" s="14"/>
      <c r="S11" s="14"/>
      <c r="T11" s="114"/>
      <c r="U11" s="89"/>
      <c r="V11" s="89"/>
      <c r="W11" s="14"/>
      <c r="X11" s="14"/>
      <c r="Y11" s="89"/>
      <c r="Z11" s="9"/>
      <c r="AA11" s="116"/>
      <c r="AB11" s="93"/>
      <c r="AC11" s="89"/>
      <c r="AD11" s="9"/>
      <c r="AE11" s="116"/>
      <c r="AF11" s="9"/>
      <c r="AG11" s="87"/>
      <c r="AH11" s="14"/>
      <c r="AI11" s="89"/>
      <c r="AJ11" s="89"/>
      <c r="AK11" s="9"/>
      <c r="AL11" s="9"/>
      <c r="AM11" s="116"/>
      <c r="AN11" s="9"/>
      <c r="AO11" s="87"/>
      <c r="AP11" s="9"/>
    </row>
    <row r="12" spans="1:42" x14ac:dyDescent="0.2">
      <c r="B12" s="43"/>
      <c r="C12" s="43"/>
      <c r="D12" s="43"/>
      <c r="E12" s="83"/>
      <c r="F12" s="9"/>
      <c r="G12" s="125"/>
      <c r="H12" s="87"/>
      <c r="I12" s="9"/>
      <c r="J12" s="114"/>
      <c r="K12" s="9"/>
      <c r="L12" s="114"/>
      <c r="M12" s="9"/>
      <c r="N12" s="114"/>
      <c r="O12" s="93"/>
      <c r="P12" s="93"/>
      <c r="Q12" s="9"/>
      <c r="R12" s="14"/>
      <c r="S12" s="14"/>
      <c r="T12" s="114"/>
      <c r="U12" s="89"/>
      <c r="V12" s="89"/>
      <c r="W12" s="14"/>
      <c r="X12" s="14"/>
      <c r="Y12" s="89"/>
      <c r="Z12" s="9"/>
      <c r="AA12" s="116"/>
      <c r="AB12" s="93"/>
      <c r="AC12" s="89"/>
      <c r="AD12" s="9"/>
      <c r="AE12" s="116"/>
      <c r="AF12" s="9"/>
      <c r="AG12" s="87"/>
      <c r="AH12" s="14"/>
      <c r="AI12" s="89"/>
      <c r="AJ12" s="89"/>
      <c r="AK12" s="9"/>
      <c r="AL12" s="9"/>
      <c r="AM12" s="116"/>
      <c r="AN12" s="9"/>
      <c r="AO12" s="87"/>
      <c r="AP12" s="9"/>
    </row>
    <row r="13" spans="1:42" x14ac:dyDescent="0.2">
      <c r="B13" s="43"/>
      <c r="C13" s="43"/>
      <c r="D13" s="43"/>
      <c r="E13" s="83" t="s">
        <v>431</v>
      </c>
      <c r="F13" s="9" t="s">
        <v>431</v>
      </c>
      <c r="G13" s="125" t="s">
        <v>431</v>
      </c>
      <c r="H13" s="87" t="s">
        <v>431</v>
      </c>
      <c r="I13" s="9" t="s">
        <v>431</v>
      </c>
      <c r="J13" s="114" t="s">
        <v>431</v>
      </c>
      <c r="K13" s="9" t="s">
        <v>431</v>
      </c>
      <c r="L13" s="114" t="s">
        <v>431</v>
      </c>
      <c r="M13" s="9" t="s">
        <v>431</v>
      </c>
      <c r="N13" s="114" t="s">
        <v>431</v>
      </c>
      <c r="O13" s="93" t="s">
        <v>431</v>
      </c>
      <c r="P13" s="93" t="s">
        <v>431</v>
      </c>
      <c r="Q13" s="9" t="s">
        <v>431</v>
      </c>
      <c r="R13" s="14" t="s">
        <v>431</v>
      </c>
      <c r="S13" s="14" t="s">
        <v>431</v>
      </c>
      <c r="T13" s="114" t="s">
        <v>431</v>
      </c>
      <c r="U13" s="89" t="s">
        <v>431</v>
      </c>
      <c r="V13" s="89" t="s">
        <v>431</v>
      </c>
      <c r="W13" s="14" t="s">
        <v>431</v>
      </c>
      <c r="X13" s="14" t="s">
        <v>431</v>
      </c>
      <c r="Y13" s="89" t="s">
        <v>431</v>
      </c>
      <c r="Z13" s="9" t="s">
        <v>431</v>
      </c>
      <c r="AA13" s="116" t="s">
        <v>431</v>
      </c>
      <c r="AB13" s="93" t="s">
        <v>431</v>
      </c>
      <c r="AC13" s="89" t="s">
        <v>431</v>
      </c>
      <c r="AD13" s="9" t="s">
        <v>431</v>
      </c>
      <c r="AE13" s="116" t="s">
        <v>431</v>
      </c>
      <c r="AF13" s="9" t="s">
        <v>431</v>
      </c>
      <c r="AG13" s="87" t="s">
        <v>431</v>
      </c>
      <c r="AH13" s="14" t="s">
        <v>431</v>
      </c>
      <c r="AI13" s="89" t="s">
        <v>431</v>
      </c>
      <c r="AJ13" s="89" t="s">
        <v>431</v>
      </c>
      <c r="AK13" s="9" t="s">
        <v>431</v>
      </c>
      <c r="AL13" s="9" t="s">
        <v>431</v>
      </c>
      <c r="AM13" s="116" t="s">
        <v>431</v>
      </c>
      <c r="AN13" s="9" t="s">
        <v>431</v>
      </c>
      <c r="AO13" s="87" t="s">
        <v>431</v>
      </c>
      <c r="AP13" s="9" t="s">
        <v>431</v>
      </c>
    </row>
    <row r="14" spans="1:42" x14ac:dyDescent="0.2">
      <c r="A14" s="102" t="s">
        <v>175</v>
      </c>
      <c r="B14" s="36" t="s">
        <v>189</v>
      </c>
      <c r="C14" s="36" t="s">
        <v>432</v>
      </c>
      <c r="D14" s="36" t="s">
        <v>19</v>
      </c>
      <c r="E14" s="108" t="s">
        <v>433</v>
      </c>
      <c r="F14" s="109" t="s">
        <v>434</v>
      </c>
      <c r="G14" s="129" t="s">
        <v>435</v>
      </c>
      <c r="H14" s="103" t="s">
        <v>436</v>
      </c>
      <c r="I14" s="109" t="s">
        <v>437</v>
      </c>
      <c r="J14" s="103" t="s">
        <v>438</v>
      </c>
      <c r="K14" s="109" t="s">
        <v>439</v>
      </c>
      <c r="L14" s="103" t="s">
        <v>440</v>
      </c>
      <c r="M14" s="109" t="s">
        <v>441</v>
      </c>
      <c r="N14" s="103" t="s">
        <v>442</v>
      </c>
      <c r="O14" s="39" t="s">
        <v>443</v>
      </c>
      <c r="P14" s="39" t="s">
        <v>444</v>
      </c>
      <c r="Q14" s="109" t="s">
        <v>445</v>
      </c>
      <c r="R14" s="39" t="s">
        <v>446</v>
      </c>
      <c r="S14" s="39" t="s">
        <v>447</v>
      </c>
      <c r="T14" s="103" t="s">
        <v>448</v>
      </c>
      <c r="U14" s="105" t="s">
        <v>449</v>
      </c>
      <c r="V14" s="105" t="s">
        <v>450</v>
      </c>
      <c r="W14" s="39" t="s">
        <v>451</v>
      </c>
      <c r="X14" s="39" t="s">
        <v>452</v>
      </c>
      <c r="Y14" s="105" t="s">
        <v>453</v>
      </c>
      <c r="Z14" s="109" t="s">
        <v>454</v>
      </c>
      <c r="AA14" s="107" t="s">
        <v>352</v>
      </c>
      <c r="AB14" s="39" t="s">
        <v>353</v>
      </c>
      <c r="AC14" s="105" t="s">
        <v>455</v>
      </c>
      <c r="AD14" s="109" t="s">
        <v>456</v>
      </c>
      <c r="AE14" s="107" t="s">
        <v>457</v>
      </c>
      <c r="AF14" s="109" t="s">
        <v>458</v>
      </c>
      <c r="AG14" s="103" t="s">
        <v>459</v>
      </c>
      <c r="AH14" s="39" t="s">
        <v>460</v>
      </c>
      <c r="AI14" s="105" t="s">
        <v>461</v>
      </c>
      <c r="AJ14" s="105" t="s">
        <v>462</v>
      </c>
      <c r="AK14" s="109" t="s">
        <v>463</v>
      </c>
      <c r="AL14" s="109" t="s">
        <v>464</v>
      </c>
      <c r="AM14" s="107" t="s">
        <v>465</v>
      </c>
      <c r="AN14" s="109" t="s">
        <v>466</v>
      </c>
      <c r="AO14" s="103" t="s">
        <v>467</v>
      </c>
      <c r="AP14" s="109" t="s">
        <v>468</v>
      </c>
    </row>
    <row r="15" spans="1:42" x14ac:dyDescent="0.2">
      <c r="A15" s="93" t="str">
        <f>INDEX(Prioritization!$D:$D,MATCH($B15,Prioritization!$A:$A,0))</f>
        <v>Military</v>
      </c>
      <c r="B15" s="43" t="s">
        <v>193</v>
      </c>
      <c r="C15" s="43" t="s">
        <v>469</v>
      </c>
      <c r="D15" s="43" t="str">
        <f t="shared" ref="D15:D46" si="0">B15&amp;"|"&amp;C15</f>
        <v>_Military Malawi [PQZgU9dagaH]|FSW</v>
      </c>
      <c r="E15" s="42"/>
      <c r="F15" s="42"/>
      <c r="G15" s="9"/>
      <c r="H15" s="14"/>
      <c r="I15" s="42"/>
      <c r="J15" s="14"/>
      <c r="K15" s="42"/>
      <c r="L15" s="83"/>
      <c r="M15" s="9"/>
      <c r="N15" s="87"/>
      <c r="O15" s="14"/>
      <c r="P15" s="14" t="str">
        <f t="shared" ref="P15:P46" si="1">IF(MAX($N15,$O15)=0,"",MAX($N15,$O15))</f>
        <v/>
      </c>
      <c r="Q15" s="9" t="str">
        <f t="shared" ref="Q15:Q46" si="2">IF(SUM($P15)=0,"",SUM($P15))</f>
        <v/>
      </c>
      <c r="R15" s="14"/>
      <c r="S15" s="14" t="str">
        <f t="shared" ref="S15:S46" si="3">IF(SUM($F15)=0,"",SUM($R15)/$F15)</f>
        <v/>
      </c>
      <c r="T15" s="87"/>
      <c r="U15" s="90">
        <f t="shared" ref="U15:V34" si="4">0.98</f>
        <v>0.98</v>
      </c>
      <c r="V15" s="90">
        <f t="shared" si="4"/>
        <v>0.98</v>
      </c>
      <c r="W15" s="93" t="str">
        <f t="shared" ref="W15:W46" si="5">IF(SUM($P15,$Q15)=0,"",SUM($Q15)-SUM($P15))</f>
        <v/>
      </c>
      <c r="X15" s="93" t="str">
        <f t="shared" ref="X15:X46" si="6">IFERROR(1/(1/ROUND((SUM($Q15)-(SUM($P15)*SUM($U15)))/$V15,0)),"")</f>
        <v/>
      </c>
      <c r="Y15" s="90">
        <f>1</f>
        <v>1</v>
      </c>
      <c r="Z15" s="9" t="str">
        <f t="shared" ref="Z15:Z46" si="7">IFERROR(1/(1/ROUND(SUM($X15)*SUM($Y15),0)),"")</f>
        <v/>
      </c>
      <c r="AA15" s="116">
        <f t="shared" ref="AA15:AA46" si="8">0.7</f>
        <v>0.7</v>
      </c>
      <c r="AB15" s="93" t="str">
        <f t="shared" ref="AB15:AB46" si="9">IFERROR(1/(1/ROUND($P15+(SUM($X15)*$AA15),0)),"")</f>
        <v/>
      </c>
      <c r="AC15" s="89">
        <f t="shared" ref="AC15:AC46" si="10">0.95</f>
        <v>0.95</v>
      </c>
      <c r="AD15" s="9" t="str">
        <f t="shared" ref="AD15:AD46" si="11">IF(SUM($AB15)=0,"",ROUND($AB15*$AC15,0))</f>
        <v/>
      </c>
      <c r="AE15" s="116">
        <f t="shared" ref="AE15:AE46" si="12">0.95</f>
        <v>0.95</v>
      </c>
      <c r="AF15" s="9" t="str">
        <f t="shared" ref="AF15:AF46" si="13">IF(SUM($AD15)=0,"",ROUND($AD15*$AE15,0))</f>
        <v/>
      </c>
      <c r="AG15" s="14"/>
      <c r="AH15" s="14"/>
      <c r="AI15" s="90">
        <f t="shared" ref="AI15:AI46" si="14">0.95</f>
        <v>0.95</v>
      </c>
      <c r="AJ15" s="90"/>
      <c r="AK15" s="9" t="str">
        <f t="shared" ref="AK15:AK46" si="15">IF(SUM($Z15)=0,"",IF(AND(SUM($Z15)&gt;0,$AI15=""),"ENTER LINKAGE RATE",ROUND($Z15/$AI15,0)))</f>
        <v/>
      </c>
      <c r="AL15" s="9" t="str">
        <f t="shared" ref="AL15:AL46" si="16">IF(SUM($AK15)=0,"",IF(AND($AK15&gt;0,$AJ15=""),"ENTER YIELD RATE",ROUND($AK15/$AJ15-$AK15,0)))</f>
        <v/>
      </c>
      <c r="AM15" s="94">
        <f>1</f>
        <v>1</v>
      </c>
      <c r="AN15" s="9" t="str">
        <f t="shared" ref="AN15:AN46" si="17">IF(SUM($AK15)=0,"",ROUND($AK15*$AM15,0))</f>
        <v/>
      </c>
      <c r="AO15" s="14"/>
      <c r="AP15" s="42"/>
    </row>
    <row r="16" spans="1:42" x14ac:dyDescent="0.2">
      <c r="A16" t="str">
        <f>INDEX(Prioritization!$D:$D,MATCH($B16,Prioritization!$A:$A,0))</f>
        <v>Military</v>
      </c>
      <c r="B16" t="s">
        <v>193</v>
      </c>
      <c r="C16" t="s">
        <v>470</v>
      </c>
      <c r="D16" t="str">
        <f t="shared" si="0"/>
        <v>_Military Malawi [PQZgU9dagaH]|MSM</v>
      </c>
      <c r="E16" s="42"/>
      <c r="F16" s="42"/>
      <c r="G16" s="42"/>
      <c r="H16" s="14"/>
      <c r="I16" s="42"/>
      <c r="J16" s="14"/>
      <c r="K16" s="42"/>
      <c r="L16" s="14"/>
      <c r="M16" s="42"/>
      <c r="N16" s="14"/>
      <c r="O16" s="14"/>
      <c r="P16" s="14" t="str">
        <f t="shared" si="1"/>
        <v/>
      </c>
      <c r="Q16" s="42" t="str">
        <f t="shared" si="2"/>
        <v/>
      </c>
      <c r="R16" s="14"/>
      <c r="S16" s="14" t="str">
        <f t="shared" si="3"/>
        <v/>
      </c>
      <c r="T16" s="14"/>
      <c r="U16" s="90">
        <f t="shared" si="4"/>
        <v>0.98</v>
      </c>
      <c r="V16" s="90">
        <f t="shared" si="4"/>
        <v>0.98</v>
      </c>
      <c r="W16" s="14" t="str">
        <f t="shared" si="5"/>
        <v/>
      </c>
      <c r="X16" s="14" t="str">
        <f t="shared" si="6"/>
        <v/>
      </c>
      <c r="Y16" s="90">
        <f>1</f>
        <v>1</v>
      </c>
      <c r="Z16" s="42" t="str">
        <f t="shared" si="7"/>
        <v/>
      </c>
      <c r="AA16" s="90">
        <f t="shared" si="8"/>
        <v>0.7</v>
      </c>
      <c r="AB16" s="14" t="str">
        <f t="shared" si="9"/>
        <v/>
      </c>
      <c r="AC16" s="90">
        <f t="shared" si="10"/>
        <v>0.95</v>
      </c>
      <c r="AD16" s="42" t="str">
        <f t="shared" si="11"/>
        <v/>
      </c>
      <c r="AE16" s="90">
        <f t="shared" si="12"/>
        <v>0.95</v>
      </c>
      <c r="AF16" s="42" t="str">
        <f t="shared" si="13"/>
        <v/>
      </c>
      <c r="AG16" s="14"/>
      <c r="AH16" s="14"/>
      <c r="AI16" s="90">
        <f t="shared" si="14"/>
        <v>0.95</v>
      </c>
      <c r="AJ16" s="90"/>
      <c r="AK16" s="42" t="str">
        <f t="shared" si="15"/>
        <v/>
      </c>
      <c r="AL16" s="42" t="str">
        <f t="shared" si="16"/>
        <v/>
      </c>
      <c r="AM16" s="90">
        <f>1</f>
        <v>1</v>
      </c>
      <c r="AN16" s="42" t="str">
        <f t="shared" si="17"/>
        <v/>
      </c>
      <c r="AO16" s="14"/>
      <c r="AP16" s="42"/>
    </row>
    <row r="17" spans="1:42" x14ac:dyDescent="0.2">
      <c r="A17" t="str">
        <f>INDEX(Prioritization!$D:$D,MATCH($B17,Prioritization!$A:$A,0))</f>
        <v>Military</v>
      </c>
      <c r="B17" t="s">
        <v>193</v>
      </c>
      <c r="C17" t="s">
        <v>471</v>
      </c>
      <c r="D17" t="str">
        <f t="shared" si="0"/>
        <v>_Military Malawi [PQZgU9dagaH]|People in prisons and other enclosed settings</v>
      </c>
      <c r="E17" s="42"/>
      <c r="F17" s="42"/>
      <c r="G17" s="42"/>
      <c r="H17" s="14"/>
      <c r="I17" s="42"/>
      <c r="J17" s="14"/>
      <c r="K17" s="42"/>
      <c r="L17" s="14"/>
      <c r="M17" s="42"/>
      <c r="N17" s="14"/>
      <c r="O17" s="14"/>
      <c r="P17" s="14" t="str">
        <f t="shared" si="1"/>
        <v/>
      </c>
      <c r="Q17" s="42" t="str">
        <f t="shared" si="2"/>
        <v/>
      </c>
      <c r="R17" s="14"/>
      <c r="S17" s="14" t="str">
        <f t="shared" si="3"/>
        <v/>
      </c>
      <c r="T17" s="14"/>
      <c r="U17" s="90">
        <f t="shared" si="4"/>
        <v>0.98</v>
      </c>
      <c r="V17" s="90">
        <f t="shared" si="4"/>
        <v>0.98</v>
      </c>
      <c r="W17" s="14" t="str">
        <f t="shared" si="5"/>
        <v/>
      </c>
      <c r="X17" s="14" t="str">
        <f t="shared" si="6"/>
        <v/>
      </c>
      <c r="Y17" s="90">
        <f>1</f>
        <v>1</v>
      </c>
      <c r="Z17" s="42" t="str">
        <f t="shared" si="7"/>
        <v/>
      </c>
      <c r="AA17" s="90">
        <f t="shared" si="8"/>
        <v>0.7</v>
      </c>
      <c r="AB17" s="14" t="str">
        <f t="shared" si="9"/>
        <v/>
      </c>
      <c r="AC17" s="90">
        <f t="shared" si="10"/>
        <v>0.95</v>
      </c>
      <c r="AD17" s="42" t="str">
        <f t="shared" si="11"/>
        <v/>
      </c>
      <c r="AE17" s="90">
        <f t="shared" si="12"/>
        <v>0.95</v>
      </c>
      <c r="AF17" s="42" t="str">
        <f t="shared" si="13"/>
        <v/>
      </c>
      <c r="AG17" s="14"/>
      <c r="AH17" s="14"/>
      <c r="AI17" s="90">
        <f t="shared" si="14"/>
        <v>0.95</v>
      </c>
      <c r="AJ17" s="90"/>
      <c r="AK17" s="42" t="str">
        <f t="shared" si="15"/>
        <v/>
      </c>
      <c r="AL17" s="42" t="str">
        <f t="shared" si="16"/>
        <v/>
      </c>
      <c r="AM17" s="90">
        <f>1</f>
        <v>1</v>
      </c>
      <c r="AN17" s="42" t="str">
        <f t="shared" si="17"/>
        <v/>
      </c>
      <c r="AO17" s="14"/>
      <c r="AP17" s="42"/>
    </row>
    <row r="18" spans="1:42" x14ac:dyDescent="0.2">
      <c r="A18" t="str">
        <f>INDEX(Prioritization!$D:$D,MATCH($B18,Prioritization!$A:$A,0))</f>
        <v>Military</v>
      </c>
      <c r="B18" t="s">
        <v>193</v>
      </c>
      <c r="C18" t="s">
        <v>472</v>
      </c>
      <c r="D18" t="str">
        <f t="shared" si="0"/>
        <v>_Military Malawi [PQZgU9dagaH]|PWID</v>
      </c>
      <c r="E18" s="42"/>
      <c r="F18" s="42"/>
      <c r="G18" s="42"/>
      <c r="H18" s="14"/>
      <c r="I18" s="42"/>
      <c r="J18" s="14"/>
      <c r="K18" s="42"/>
      <c r="L18" s="14"/>
      <c r="M18" s="42"/>
      <c r="N18" s="14"/>
      <c r="O18" s="14"/>
      <c r="P18" s="14" t="str">
        <f t="shared" si="1"/>
        <v/>
      </c>
      <c r="Q18" s="42" t="str">
        <f t="shared" si="2"/>
        <v/>
      </c>
      <c r="R18" s="14"/>
      <c r="S18" s="14" t="str">
        <f t="shared" si="3"/>
        <v/>
      </c>
      <c r="T18" s="14"/>
      <c r="U18" s="90">
        <f t="shared" si="4"/>
        <v>0.98</v>
      </c>
      <c r="V18" s="90">
        <f t="shared" si="4"/>
        <v>0.98</v>
      </c>
      <c r="W18" s="14" t="str">
        <f t="shared" si="5"/>
        <v/>
      </c>
      <c r="X18" s="14" t="str">
        <f t="shared" si="6"/>
        <v/>
      </c>
      <c r="Y18" s="90">
        <f>1</f>
        <v>1</v>
      </c>
      <c r="Z18" s="42" t="str">
        <f t="shared" si="7"/>
        <v/>
      </c>
      <c r="AA18" s="90">
        <f t="shared" si="8"/>
        <v>0.7</v>
      </c>
      <c r="AB18" s="14" t="str">
        <f t="shared" si="9"/>
        <v/>
      </c>
      <c r="AC18" s="90">
        <f t="shared" si="10"/>
        <v>0.95</v>
      </c>
      <c r="AD18" s="42" t="str">
        <f t="shared" si="11"/>
        <v/>
      </c>
      <c r="AE18" s="90">
        <f t="shared" si="12"/>
        <v>0.95</v>
      </c>
      <c r="AF18" s="42" t="str">
        <f t="shared" si="13"/>
        <v/>
      </c>
      <c r="AG18" s="14"/>
      <c r="AH18" s="14"/>
      <c r="AI18" s="90">
        <f t="shared" si="14"/>
        <v>0.95</v>
      </c>
      <c r="AJ18" s="90"/>
      <c r="AK18" s="42" t="str">
        <f t="shared" si="15"/>
        <v/>
      </c>
      <c r="AL18" s="42" t="str">
        <f t="shared" si="16"/>
        <v/>
      </c>
      <c r="AM18" s="90">
        <f>1</f>
        <v>1</v>
      </c>
      <c r="AN18" s="42" t="str">
        <f t="shared" si="17"/>
        <v/>
      </c>
      <c r="AO18" s="14"/>
      <c r="AP18" s="42"/>
    </row>
    <row r="19" spans="1:42" x14ac:dyDescent="0.2">
      <c r="A19" t="str">
        <f>INDEX(Prioritization!$D:$D,MATCH($B19,Prioritization!$A:$A,0))</f>
        <v>Military</v>
      </c>
      <c r="B19" t="s">
        <v>193</v>
      </c>
      <c r="C19" t="s">
        <v>473</v>
      </c>
      <c r="D19" t="str">
        <f t="shared" si="0"/>
        <v>_Military Malawi [PQZgU9dagaH]|TG</v>
      </c>
      <c r="E19" s="42"/>
      <c r="F19" s="42"/>
      <c r="G19" s="42"/>
      <c r="H19" s="14"/>
      <c r="I19" s="42"/>
      <c r="J19" s="14"/>
      <c r="K19" s="42"/>
      <c r="L19" s="14"/>
      <c r="M19" s="42"/>
      <c r="N19" s="14"/>
      <c r="O19" s="14"/>
      <c r="P19" s="14" t="str">
        <f t="shared" si="1"/>
        <v/>
      </c>
      <c r="Q19" s="42" t="str">
        <f t="shared" si="2"/>
        <v/>
      </c>
      <c r="R19" s="14"/>
      <c r="S19" s="14" t="str">
        <f t="shared" si="3"/>
        <v/>
      </c>
      <c r="T19" s="14"/>
      <c r="U19" s="90">
        <f t="shared" si="4"/>
        <v>0.98</v>
      </c>
      <c r="V19" s="90">
        <f t="shared" si="4"/>
        <v>0.98</v>
      </c>
      <c r="W19" s="14" t="str">
        <f t="shared" si="5"/>
        <v/>
      </c>
      <c r="X19" s="14" t="str">
        <f t="shared" si="6"/>
        <v/>
      </c>
      <c r="Y19" s="90">
        <f>1</f>
        <v>1</v>
      </c>
      <c r="Z19" s="42" t="str">
        <f t="shared" si="7"/>
        <v/>
      </c>
      <c r="AA19" s="90">
        <f t="shared" si="8"/>
        <v>0.7</v>
      </c>
      <c r="AB19" s="14" t="str">
        <f t="shared" si="9"/>
        <v/>
      </c>
      <c r="AC19" s="90">
        <f t="shared" si="10"/>
        <v>0.95</v>
      </c>
      <c r="AD19" s="42" t="str">
        <f t="shared" si="11"/>
        <v/>
      </c>
      <c r="AE19" s="90">
        <f t="shared" si="12"/>
        <v>0.95</v>
      </c>
      <c r="AF19" s="42" t="str">
        <f t="shared" si="13"/>
        <v/>
      </c>
      <c r="AG19" s="14"/>
      <c r="AH19" s="14"/>
      <c r="AI19" s="90">
        <f t="shared" si="14"/>
        <v>0.95</v>
      </c>
      <c r="AJ19" s="90"/>
      <c r="AK19" s="42" t="str">
        <f t="shared" si="15"/>
        <v/>
      </c>
      <c r="AL19" s="42" t="str">
        <f t="shared" si="16"/>
        <v/>
      </c>
      <c r="AM19" s="90">
        <f>1</f>
        <v>1</v>
      </c>
      <c r="AN19" s="42" t="str">
        <f t="shared" si="17"/>
        <v/>
      </c>
      <c r="AO19" s="14"/>
      <c r="AP19" s="42"/>
    </row>
    <row r="20" spans="1:42" x14ac:dyDescent="0.2">
      <c r="A20" t="str">
        <f>INDEX(Prioritization!$D:$D,MATCH($B20,Prioritization!$A:$A,0))</f>
        <v>1 - Scale-up: Saturation</v>
      </c>
      <c r="B20" t="s">
        <v>194</v>
      </c>
      <c r="C20" t="s">
        <v>469</v>
      </c>
      <c r="D20" t="str">
        <f t="shared" si="0"/>
        <v>Dedza District [PekKUkKHAzY]|FSW</v>
      </c>
      <c r="E20" s="42"/>
      <c r="F20" s="42"/>
      <c r="G20" s="42"/>
      <c r="H20" s="14"/>
      <c r="I20" s="42"/>
      <c r="J20" s="14"/>
      <c r="K20" s="42"/>
      <c r="L20" s="14"/>
      <c r="M20" s="42"/>
      <c r="N20" s="14"/>
      <c r="O20" s="14"/>
      <c r="P20" s="14" t="str">
        <f t="shared" si="1"/>
        <v/>
      </c>
      <c r="Q20" s="42" t="str">
        <f t="shared" si="2"/>
        <v/>
      </c>
      <c r="R20" s="14"/>
      <c r="S20" s="14" t="str">
        <f t="shared" si="3"/>
        <v/>
      </c>
      <c r="T20" s="14"/>
      <c r="U20" s="90">
        <f t="shared" si="4"/>
        <v>0.98</v>
      </c>
      <c r="V20" s="90">
        <f t="shared" si="4"/>
        <v>0.98</v>
      </c>
      <c r="W20" s="14" t="str">
        <f t="shared" si="5"/>
        <v/>
      </c>
      <c r="X20" s="14" t="str">
        <f t="shared" si="6"/>
        <v/>
      </c>
      <c r="Y20" s="90">
        <f>1</f>
        <v>1</v>
      </c>
      <c r="Z20" s="42" t="str">
        <f t="shared" si="7"/>
        <v/>
      </c>
      <c r="AA20" s="90">
        <f t="shared" si="8"/>
        <v>0.7</v>
      </c>
      <c r="AB20" s="14" t="str">
        <f t="shared" si="9"/>
        <v/>
      </c>
      <c r="AC20" s="90">
        <f t="shared" si="10"/>
        <v>0.95</v>
      </c>
      <c r="AD20" s="42" t="str">
        <f t="shared" si="11"/>
        <v/>
      </c>
      <c r="AE20" s="90">
        <f t="shared" si="12"/>
        <v>0.95</v>
      </c>
      <c r="AF20" s="42" t="str">
        <f t="shared" si="13"/>
        <v/>
      </c>
      <c r="AG20" s="14"/>
      <c r="AH20" s="14"/>
      <c r="AI20" s="90">
        <f t="shared" si="14"/>
        <v>0.95</v>
      </c>
      <c r="AJ20" s="90"/>
      <c r="AK20" s="42" t="str">
        <f t="shared" si="15"/>
        <v/>
      </c>
      <c r="AL20" s="42" t="str">
        <f t="shared" si="16"/>
        <v/>
      </c>
      <c r="AM20" s="90">
        <f>1</f>
        <v>1</v>
      </c>
      <c r="AN20" s="42" t="str">
        <f t="shared" si="17"/>
        <v/>
      </c>
      <c r="AO20" s="14"/>
      <c r="AP20" s="42"/>
    </row>
    <row r="21" spans="1:42" x14ac:dyDescent="0.2">
      <c r="A21" t="str">
        <f>INDEX(Prioritization!$D:$D,MATCH($B21,Prioritization!$A:$A,0))</f>
        <v>1 - Scale-up: Saturation</v>
      </c>
      <c r="B21" t="s">
        <v>194</v>
      </c>
      <c r="C21" t="s">
        <v>470</v>
      </c>
      <c r="D21" t="str">
        <f t="shared" si="0"/>
        <v>Dedza District [PekKUkKHAzY]|MSM</v>
      </c>
      <c r="E21" s="42"/>
      <c r="F21" s="42"/>
      <c r="G21" s="42"/>
      <c r="H21" s="14"/>
      <c r="I21" s="42"/>
      <c r="J21" s="14"/>
      <c r="K21" s="42"/>
      <c r="L21" s="14"/>
      <c r="M21" s="42"/>
      <c r="N21" s="14"/>
      <c r="O21" s="14"/>
      <c r="P21" s="14" t="str">
        <f t="shared" si="1"/>
        <v/>
      </c>
      <c r="Q21" s="42" t="str">
        <f t="shared" si="2"/>
        <v/>
      </c>
      <c r="R21" s="14"/>
      <c r="S21" s="14" t="str">
        <f t="shared" si="3"/>
        <v/>
      </c>
      <c r="T21" s="14"/>
      <c r="U21" s="90">
        <f t="shared" si="4"/>
        <v>0.98</v>
      </c>
      <c r="V21" s="90">
        <f t="shared" si="4"/>
        <v>0.98</v>
      </c>
      <c r="W21" s="14" t="str">
        <f t="shared" si="5"/>
        <v/>
      </c>
      <c r="X21" s="14" t="str">
        <f t="shared" si="6"/>
        <v/>
      </c>
      <c r="Y21" s="90">
        <f>1</f>
        <v>1</v>
      </c>
      <c r="Z21" s="42" t="str">
        <f t="shared" si="7"/>
        <v/>
      </c>
      <c r="AA21" s="90">
        <f t="shared" si="8"/>
        <v>0.7</v>
      </c>
      <c r="AB21" s="14" t="str">
        <f t="shared" si="9"/>
        <v/>
      </c>
      <c r="AC21" s="90">
        <f t="shared" si="10"/>
        <v>0.95</v>
      </c>
      <c r="AD21" s="42" t="str">
        <f t="shared" si="11"/>
        <v/>
      </c>
      <c r="AE21" s="90">
        <f t="shared" si="12"/>
        <v>0.95</v>
      </c>
      <c r="AF21" s="42" t="str">
        <f t="shared" si="13"/>
        <v/>
      </c>
      <c r="AG21" s="14"/>
      <c r="AH21" s="14"/>
      <c r="AI21" s="90">
        <f t="shared" si="14"/>
        <v>0.95</v>
      </c>
      <c r="AJ21" s="90"/>
      <c r="AK21" s="42" t="str">
        <f t="shared" si="15"/>
        <v/>
      </c>
      <c r="AL21" s="42" t="str">
        <f t="shared" si="16"/>
        <v/>
      </c>
      <c r="AM21" s="90">
        <f>1</f>
        <v>1</v>
      </c>
      <c r="AN21" s="42" t="str">
        <f t="shared" si="17"/>
        <v/>
      </c>
      <c r="AO21" s="14"/>
      <c r="AP21" s="42"/>
    </row>
    <row r="22" spans="1:42" x14ac:dyDescent="0.2">
      <c r="A22" t="str">
        <f>INDEX(Prioritization!$D:$D,MATCH($B22,Prioritization!$A:$A,0))</f>
        <v>1 - Scale-up: Saturation</v>
      </c>
      <c r="B22" t="s">
        <v>194</v>
      </c>
      <c r="C22" t="s">
        <v>471</v>
      </c>
      <c r="D22" t="str">
        <f t="shared" si="0"/>
        <v>Dedza District [PekKUkKHAzY]|People in prisons and other enclosed settings</v>
      </c>
      <c r="E22" s="42"/>
      <c r="F22" s="42"/>
      <c r="G22" s="42"/>
      <c r="H22" s="14"/>
      <c r="I22" s="42"/>
      <c r="J22" s="14"/>
      <c r="K22" s="42"/>
      <c r="L22" s="14">
        <v>53</v>
      </c>
      <c r="M22" s="42"/>
      <c r="N22" s="14">
        <v>1</v>
      </c>
      <c r="O22" s="14">
        <v>7</v>
      </c>
      <c r="P22" s="14">
        <f t="shared" si="1"/>
        <v>7</v>
      </c>
      <c r="Q22" s="42">
        <f t="shared" si="2"/>
        <v>7</v>
      </c>
      <c r="R22" s="14"/>
      <c r="S22" s="14" t="str">
        <f t="shared" si="3"/>
        <v/>
      </c>
      <c r="T22" s="14">
        <v>4</v>
      </c>
      <c r="U22" s="90">
        <f t="shared" si="4"/>
        <v>0.98</v>
      </c>
      <c r="V22" s="90">
        <f t="shared" si="4"/>
        <v>0.98</v>
      </c>
      <c r="W22" s="14">
        <f t="shared" si="5"/>
        <v>0</v>
      </c>
      <c r="X22" s="14" t="str">
        <f t="shared" si="6"/>
        <v/>
      </c>
      <c r="Y22" s="90">
        <f>1</f>
        <v>1</v>
      </c>
      <c r="Z22" s="42" t="str">
        <f t="shared" si="7"/>
        <v/>
      </c>
      <c r="AA22" s="90">
        <f t="shared" si="8"/>
        <v>0.7</v>
      </c>
      <c r="AB22" s="14">
        <f t="shared" si="9"/>
        <v>7</v>
      </c>
      <c r="AC22" s="90">
        <f t="shared" si="10"/>
        <v>0.95</v>
      </c>
      <c r="AD22" s="42">
        <f t="shared" si="11"/>
        <v>7</v>
      </c>
      <c r="AE22" s="90">
        <f t="shared" si="12"/>
        <v>0.95</v>
      </c>
      <c r="AF22" s="42">
        <f t="shared" si="13"/>
        <v>7</v>
      </c>
      <c r="AG22" s="14">
        <v>1</v>
      </c>
      <c r="AH22" s="14">
        <v>1</v>
      </c>
      <c r="AI22" s="90">
        <f t="shared" si="14"/>
        <v>0.95</v>
      </c>
      <c r="AJ22" s="90"/>
      <c r="AK22" s="42" t="str">
        <f t="shared" si="15"/>
        <v/>
      </c>
      <c r="AL22" s="42" t="str">
        <f t="shared" si="16"/>
        <v/>
      </c>
      <c r="AM22" s="90">
        <f>1</f>
        <v>1</v>
      </c>
      <c r="AN22" s="42" t="str">
        <f t="shared" si="17"/>
        <v/>
      </c>
      <c r="AO22" s="14">
        <v>65</v>
      </c>
      <c r="AP22" s="42"/>
    </row>
    <row r="23" spans="1:42" x14ac:dyDescent="0.2">
      <c r="A23" t="str">
        <f>INDEX(Prioritization!$D:$D,MATCH($B23,Prioritization!$A:$A,0))</f>
        <v>1 - Scale-up: Saturation</v>
      </c>
      <c r="B23" t="s">
        <v>194</v>
      </c>
      <c r="C23" t="s">
        <v>472</v>
      </c>
      <c r="D23" t="str">
        <f t="shared" si="0"/>
        <v>Dedza District [PekKUkKHAzY]|PWID</v>
      </c>
      <c r="E23" s="42"/>
      <c r="F23" s="42"/>
      <c r="G23" s="42"/>
      <c r="H23" s="14"/>
      <c r="I23" s="42"/>
      <c r="J23" s="14"/>
      <c r="K23" s="42"/>
      <c r="L23" s="14"/>
      <c r="M23" s="42"/>
      <c r="N23" s="14"/>
      <c r="O23" s="14"/>
      <c r="P23" s="14" t="str">
        <f t="shared" si="1"/>
        <v/>
      </c>
      <c r="Q23" s="42" t="str">
        <f t="shared" si="2"/>
        <v/>
      </c>
      <c r="R23" s="14"/>
      <c r="S23" s="14" t="str">
        <f t="shared" si="3"/>
        <v/>
      </c>
      <c r="T23" s="14"/>
      <c r="U23" s="90">
        <f t="shared" si="4"/>
        <v>0.98</v>
      </c>
      <c r="V23" s="90">
        <f t="shared" si="4"/>
        <v>0.98</v>
      </c>
      <c r="W23" s="14" t="str">
        <f t="shared" si="5"/>
        <v/>
      </c>
      <c r="X23" s="14" t="str">
        <f t="shared" si="6"/>
        <v/>
      </c>
      <c r="Y23" s="90">
        <f>1</f>
        <v>1</v>
      </c>
      <c r="Z23" s="42" t="str">
        <f t="shared" si="7"/>
        <v/>
      </c>
      <c r="AA23" s="90">
        <f t="shared" si="8"/>
        <v>0.7</v>
      </c>
      <c r="AB23" s="14" t="str">
        <f t="shared" si="9"/>
        <v/>
      </c>
      <c r="AC23" s="90">
        <f t="shared" si="10"/>
        <v>0.95</v>
      </c>
      <c r="AD23" s="42" t="str">
        <f t="shared" si="11"/>
        <v/>
      </c>
      <c r="AE23" s="90">
        <f t="shared" si="12"/>
        <v>0.95</v>
      </c>
      <c r="AF23" s="42" t="str">
        <f t="shared" si="13"/>
        <v/>
      </c>
      <c r="AG23" s="14"/>
      <c r="AH23" s="14"/>
      <c r="AI23" s="90">
        <f t="shared" si="14"/>
        <v>0.95</v>
      </c>
      <c r="AJ23" s="90"/>
      <c r="AK23" s="42" t="str">
        <f t="shared" si="15"/>
        <v/>
      </c>
      <c r="AL23" s="42" t="str">
        <f t="shared" si="16"/>
        <v/>
      </c>
      <c r="AM23" s="90">
        <f>1</f>
        <v>1</v>
      </c>
      <c r="AN23" s="42" t="str">
        <f t="shared" si="17"/>
        <v/>
      </c>
      <c r="AO23" s="14"/>
      <c r="AP23" s="42"/>
    </row>
    <row r="24" spans="1:42" x14ac:dyDescent="0.2">
      <c r="A24" t="str">
        <f>INDEX(Prioritization!$D:$D,MATCH($B24,Prioritization!$A:$A,0))</f>
        <v>1 - Scale-up: Saturation</v>
      </c>
      <c r="B24" t="s">
        <v>194</v>
      </c>
      <c r="C24" t="s">
        <v>473</v>
      </c>
      <c r="D24" t="str">
        <f t="shared" si="0"/>
        <v>Dedza District [PekKUkKHAzY]|TG</v>
      </c>
      <c r="E24" s="42"/>
      <c r="F24" s="42"/>
      <c r="G24" s="42"/>
      <c r="H24" s="14"/>
      <c r="I24" s="42"/>
      <c r="J24" s="14"/>
      <c r="K24" s="42"/>
      <c r="L24" s="14"/>
      <c r="M24" s="42"/>
      <c r="N24" s="14"/>
      <c r="O24" s="14"/>
      <c r="P24" s="14" t="str">
        <f t="shared" si="1"/>
        <v/>
      </c>
      <c r="Q24" s="42" t="str">
        <f t="shared" si="2"/>
        <v/>
      </c>
      <c r="R24" s="14"/>
      <c r="S24" s="14" t="str">
        <f t="shared" si="3"/>
        <v/>
      </c>
      <c r="T24" s="14"/>
      <c r="U24" s="90">
        <f t="shared" si="4"/>
        <v>0.98</v>
      </c>
      <c r="V24" s="90">
        <f t="shared" si="4"/>
        <v>0.98</v>
      </c>
      <c r="W24" s="14" t="str">
        <f t="shared" si="5"/>
        <v/>
      </c>
      <c r="X24" s="14" t="str">
        <f t="shared" si="6"/>
        <v/>
      </c>
      <c r="Y24" s="90">
        <f>1</f>
        <v>1</v>
      </c>
      <c r="Z24" s="42" t="str">
        <f t="shared" si="7"/>
        <v/>
      </c>
      <c r="AA24" s="90">
        <f t="shared" si="8"/>
        <v>0.7</v>
      </c>
      <c r="AB24" s="14" t="str">
        <f t="shared" si="9"/>
        <v/>
      </c>
      <c r="AC24" s="90">
        <f t="shared" si="10"/>
        <v>0.95</v>
      </c>
      <c r="AD24" s="42" t="str">
        <f t="shared" si="11"/>
        <v/>
      </c>
      <c r="AE24" s="90">
        <f t="shared" si="12"/>
        <v>0.95</v>
      </c>
      <c r="AF24" s="42" t="str">
        <f t="shared" si="13"/>
        <v/>
      </c>
      <c r="AG24" s="14"/>
      <c r="AH24" s="14"/>
      <c r="AI24" s="90">
        <f t="shared" si="14"/>
        <v>0.95</v>
      </c>
      <c r="AJ24" s="90"/>
      <c r="AK24" s="42" t="str">
        <f t="shared" si="15"/>
        <v/>
      </c>
      <c r="AL24" s="42" t="str">
        <f t="shared" si="16"/>
        <v/>
      </c>
      <c r="AM24" s="90">
        <f>1</f>
        <v>1</v>
      </c>
      <c r="AN24" s="42" t="str">
        <f t="shared" si="17"/>
        <v/>
      </c>
      <c r="AO24" s="14"/>
      <c r="AP24" s="42"/>
    </row>
    <row r="25" spans="1:42" x14ac:dyDescent="0.2">
      <c r="A25" t="str">
        <f>INDEX(Prioritization!$D:$D,MATCH($B25,Prioritization!$A:$A,0))</f>
        <v>1 - Scale-up: Saturation</v>
      </c>
      <c r="B25" t="s">
        <v>195</v>
      </c>
      <c r="C25" t="s">
        <v>469</v>
      </c>
      <c r="D25" t="str">
        <f t="shared" si="0"/>
        <v>Dowa District [zphK9WV8JB4]|FSW</v>
      </c>
      <c r="E25" s="42"/>
      <c r="F25" s="42"/>
      <c r="G25" s="42"/>
      <c r="H25" s="14"/>
      <c r="I25" s="42"/>
      <c r="J25" s="14"/>
      <c r="K25" s="42"/>
      <c r="L25" s="14"/>
      <c r="M25" s="42"/>
      <c r="N25" s="14"/>
      <c r="O25" s="14"/>
      <c r="P25" s="14" t="str">
        <f t="shared" si="1"/>
        <v/>
      </c>
      <c r="Q25" s="42" t="str">
        <f t="shared" si="2"/>
        <v/>
      </c>
      <c r="R25" s="14"/>
      <c r="S25" s="14" t="str">
        <f t="shared" si="3"/>
        <v/>
      </c>
      <c r="T25" s="14"/>
      <c r="U25" s="90">
        <f t="shared" si="4"/>
        <v>0.98</v>
      </c>
      <c r="V25" s="90">
        <f t="shared" si="4"/>
        <v>0.98</v>
      </c>
      <c r="W25" s="14" t="str">
        <f t="shared" si="5"/>
        <v/>
      </c>
      <c r="X25" s="14" t="str">
        <f t="shared" si="6"/>
        <v/>
      </c>
      <c r="Y25" s="90">
        <f>1</f>
        <v>1</v>
      </c>
      <c r="Z25" s="42" t="str">
        <f t="shared" si="7"/>
        <v/>
      </c>
      <c r="AA25" s="90">
        <f t="shared" si="8"/>
        <v>0.7</v>
      </c>
      <c r="AB25" s="14" t="str">
        <f t="shared" si="9"/>
        <v/>
      </c>
      <c r="AC25" s="90">
        <f t="shared" si="10"/>
        <v>0.95</v>
      </c>
      <c r="AD25" s="42" t="str">
        <f t="shared" si="11"/>
        <v/>
      </c>
      <c r="AE25" s="90">
        <f t="shared" si="12"/>
        <v>0.95</v>
      </c>
      <c r="AF25" s="42" t="str">
        <f t="shared" si="13"/>
        <v/>
      </c>
      <c r="AG25" s="14"/>
      <c r="AH25" s="14"/>
      <c r="AI25" s="90">
        <f t="shared" si="14"/>
        <v>0.95</v>
      </c>
      <c r="AJ25" s="90"/>
      <c r="AK25" s="42" t="str">
        <f t="shared" si="15"/>
        <v/>
      </c>
      <c r="AL25" s="42" t="str">
        <f t="shared" si="16"/>
        <v/>
      </c>
      <c r="AM25" s="90">
        <f>1</f>
        <v>1</v>
      </c>
      <c r="AN25" s="42" t="str">
        <f t="shared" si="17"/>
        <v/>
      </c>
      <c r="AO25" s="14"/>
      <c r="AP25" s="42"/>
    </row>
    <row r="26" spans="1:42" x14ac:dyDescent="0.2">
      <c r="A26" t="str">
        <f>INDEX(Prioritization!$D:$D,MATCH($B26,Prioritization!$A:$A,0))</f>
        <v>1 - Scale-up: Saturation</v>
      </c>
      <c r="B26" t="s">
        <v>195</v>
      </c>
      <c r="C26" t="s">
        <v>470</v>
      </c>
      <c r="D26" t="str">
        <f t="shared" si="0"/>
        <v>Dowa District [zphK9WV8JB4]|MSM</v>
      </c>
      <c r="E26" s="42"/>
      <c r="F26" s="42"/>
      <c r="G26" s="42"/>
      <c r="H26" s="14"/>
      <c r="I26" s="42"/>
      <c r="J26" s="14"/>
      <c r="K26" s="42"/>
      <c r="L26" s="14"/>
      <c r="M26" s="42"/>
      <c r="N26" s="14"/>
      <c r="O26" s="14"/>
      <c r="P26" s="14" t="str">
        <f t="shared" si="1"/>
        <v/>
      </c>
      <c r="Q26" s="42" t="str">
        <f t="shared" si="2"/>
        <v/>
      </c>
      <c r="R26" s="14"/>
      <c r="S26" s="14" t="str">
        <f t="shared" si="3"/>
        <v/>
      </c>
      <c r="T26" s="14"/>
      <c r="U26" s="90">
        <f t="shared" si="4"/>
        <v>0.98</v>
      </c>
      <c r="V26" s="90">
        <f t="shared" si="4"/>
        <v>0.98</v>
      </c>
      <c r="W26" s="14" t="str">
        <f t="shared" si="5"/>
        <v/>
      </c>
      <c r="X26" s="14" t="str">
        <f t="shared" si="6"/>
        <v/>
      </c>
      <c r="Y26" s="90">
        <f>1</f>
        <v>1</v>
      </c>
      <c r="Z26" s="42" t="str">
        <f t="shared" si="7"/>
        <v/>
      </c>
      <c r="AA26" s="90">
        <f t="shared" si="8"/>
        <v>0.7</v>
      </c>
      <c r="AB26" s="14" t="str">
        <f t="shared" si="9"/>
        <v/>
      </c>
      <c r="AC26" s="90">
        <f t="shared" si="10"/>
        <v>0.95</v>
      </c>
      <c r="AD26" s="42" t="str">
        <f t="shared" si="11"/>
        <v/>
      </c>
      <c r="AE26" s="90">
        <f t="shared" si="12"/>
        <v>0.95</v>
      </c>
      <c r="AF26" s="42" t="str">
        <f t="shared" si="13"/>
        <v/>
      </c>
      <c r="AG26" s="14"/>
      <c r="AH26" s="14"/>
      <c r="AI26" s="90">
        <f t="shared" si="14"/>
        <v>0.95</v>
      </c>
      <c r="AJ26" s="90"/>
      <c r="AK26" s="42" t="str">
        <f t="shared" si="15"/>
        <v/>
      </c>
      <c r="AL26" s="42" t="str">
        <f t="shared" si="16"/>
        <v/>
      </c>
      <c r="AM26" s="90">
        <f>1</f>
        <v>1</v>
      </c>
      <c r="AN26" s="42" t="str">
        <f t="shared" si="17"/>
        <v/>
      </c>
      <c r="AO26" s="14"/>
      <c r="AP26" s="42"/>
    </row>
    <row r="27" spans="1:42" x14ac:dyDescent="0.2">
      <c r="A27" t="str">
        <f>INDEX(Prioritization!$D:$D,MATCH($B27,Prioritization!$A:$A,0))</f>
        <v>1 - Scale-up: Saturation</v>
      </c>
      <c r="B27" t="s">
        <v>195</v>
      </c>
      <c r="C27" t="s">
        <v>471</v>
      </c>
      <c r="D27" t="str">
        <f t="shared" si="0"/>
        <v>Dowa District [zphK9WV8JB4]|People in prisons and other enclosed settings</v>
      </c>
      <c r="E27" s="42"/>
      <c r="F27" s="42"/>
      <c r="G27" s="42"/>
      <c r="H27" s="14"/>
      <c r="I27" s="42"/>
      <c r="J27" s="14"/>
      <c r="K27" s="42"/>
      <c r="L27" s="14"/>
      <c r="M27" s="42"/>
      <c r="N27" s="14"/>
      <c r="O27" s="14"/>
      <c r="P27" s="14" t="str">
        <f t="shared" si="1"/>
        <v/>
      </c>
      <c r="Q27" s="42" t="str">
        <f t="shared" si="2"/>
        <v/>
      </c>
      <c r="R27" s="14"/>
      <c r="S27" s="14" t="str">
        <f t="shared" si="3"/>
        <v/>
      </c>
      <c r="T27" s="14"/>
      <c r="U27" s="90">
        <f t="shared" si="4"/>
        <v>0.98</v>
      </c>
      <c r="V27" s="90">
        <f t="shared" si="4"/>
        <v>0.98</v>
      </c>
      <c r="W27" s="14" t="str">
        <f t="shared" si="5"/>
        <v/>
      </c>
      <c r="X27" s="14" t="str">
        <f t="shared" si="6"/>
        <v/>
      </c>
      <c r="Y27" s="90">
        <f>1</f>
        <v>1</v>
      </c>
      <c r="Z27" s="42" t="str">
        <f t="shared" si="7"/>
        <v/>
      </c>
      <c r="AA27" s="90">
        <f t="shared" si="8"/>
        <v>0.7</v>
      </c>
      <c r="AB27" s="14" t="str">
        <f t="shared" si="9"/>
        <v/>
      </c>
      <c r="AC27" s="90">
        <f t="shared" si="10"/>
        <v>0.95</v>
      </c>
      <c r="AD27" s="42" t="str">
        <f t="shared" si="11"/>
        <v/>
      </c>
      <c r="AE27" s="90">
        <f t="shared" si="12"/>
        <v>0.95</v>
      </c>
      <c r="AF27" s="42" t="str">
        <f t="shared" si="13"/>
        <v/>
      </c>
      <c r="AG27" s="14"/>
      <c r="AH27" s="14"/>
      <c r="AI27" s="90">
        <f t="shared" si="14"/>
        <v>0.95</v>
      </c>
      <c r="AJ27" s="90"/>
      <c r="AK27" s="42" t="str">
        <f t="shared" si="15"/>
        <v/>
      </c>
      <c r="AL27" s="42" t="str">
        <f t="shared" si="16"/>
        <v/>
      </c>
      <c r="AM27" s="90">
        <f>1</f>
        <v>1</v>
      </c>
      <c r="AN27" s="42" t="str">
        <f t="shared" si="17"/>
        <v/>
      </c>
      <c r="AO27" s="14"/>
      <c r="AP27" s="42"/>
    </row>
    <row r="28" spans="1:42" x14ac:dyDescent="0.2">
      <c r="A28" t="str">
        <f>INDEX(Prioritization!$D:$D,MATCH($B28,Prioritization!$A:$A,0))</f>
        <v>1 - Scale-up: Saturation</v>
      </c>
      <c r="B28" t="s">
        <v>195</v>
      </c>
      <c r="C28" t="s">
        <v>472</v>
      </c>
      <c r="D28" t="str">
        <f t="shared" si="0"/>
        <v>Dowa District [zphK9WV8JB4]|PWID</v>
      </c>
      <c r="E28" s="42"/>
      <c r="F28" s="42"/>
      <c r="G28" s="42"/>
      <c r="H28" s="14"/>
      <c r="I28" s="42"/>
      <c r="J28" s="14"/>
      <c r="K28" s="42"/>
      <c r="L28" s="14"/>
      <c r="M28" s="42"/>
      <c r="N28" s="14"/>
      <c r="O28" s="14"/>
      <c r="P28" s="14" t="str">
        <f t="shared" si="1"/>
        <v/>
      </c>
      <c r="Q28" s="42" t="str">
        <f t="shared" si="2"/>
        <v/>
      </c>
      <c r="R28" s="14"/>
      <c r="S28" s="14" t="str">
        <f t="shared" si="3"/>
        <v/>
      </c>
      <c r="T28" s="14"/>
      <c r="U28" s="90">
        <f t="shared" si="4"/>
        <v>0.98</v>
      </c>
      <c r="V28" s="90">
        <f t="shared" si="4"/>
        <v>0.98</v>
      </c>
      <c r="W28" s="14" t="str">
        <f t="shared" si="5"/>
        <v/>
      </c>
      <c r="X28" s="14" t="str">
        <f t="shared" si="6"/>
        <v/>
      </c>
      <c r="Y28" s="90">
        <f>1</f>
        <v>1</v>
      </c>
      <c r="Z28" s="42" t="str">
        <f t="shared" si="7"/>
        <v/>
      </c>
      <c r="AA28" s="90">
        <f t="shared" si="8"/>
        <v>0.7</v>
      </c>
      <c r="AB28" s="14" t="str">
        <f t="shared" si="9"/>
        <v/>
      </c>
      <c r="AC28" s="90">
        <f t="shared" si="10"/>
        <v>0.95</v>
      </c>
      <c r="AD28" s="42" t="str">
        <f t="shared" si="11"/>
        <v/>
      </c>
      <c r="AE28" s="90">
        <f t="shared" si="12"/>
        <v>0.95</v>
      </c>
      <c r="AF28" s="42" t="str">
        <f t="shared" si="13"/>
        <v/>
      </c>
      <c r="AG28" s="14"/>
      <c r="AH28" s="14"/>
      <c r="AI28" s="90">
        <f t="shared" si="14"/>
        <v>0.95</v>
      </c>
      <c r="AJ28" s="90"/>
      <c r="AK28" s="42" t="str">
        <f t="shared" si="15"/>
        <v/>
      </c>
      <c r="AL28" s="42" t="str">
        <f t="shared" si="16"/>
        <v/>
      </c>
      <c r="AM28" s="90">
        <f>1</f>
        <v>1</v>
      </c>
      <c r="AN28" s="42" t="str">
        <f t="shared" si="17"/>
        <v/>
      </c>
      <c r="AO28" s="14"/>
      <c r="AP28" s="42"/>
    </row>
    <row r="29" spans="1:42" x14ac:dyDescent="0.2">
      <c r="A29" t="str">
        <f>INDEX(Prioritization!$D:$D,MATCH($B29,Prioritization!$A:$A,0))</f>
        <v>1 - Scale-up: Saturation</v>
      </c>
      <c r="B29" t="s">
        <v>195</v>
      </c>
      <c r="C29" t="s">
        <v>473</v>
      </c>
      <c r="D29" t="str">
        <f t="shared" si="0"/>
        <v>Dowa District [zphK9WV8JB4]|TG</v>
      </c>
      <c r="E29" s="42"/>
      <c r="F29" s="42"/>
      <c r="G29" s="42"/>
      <c r="H29" s="14"/>
      <c r="I29" s="42"/>
      <c r="J29" s="14"/>
      <c r="K29" s="42"/>
      <c r="L29" s="14"/>
      <c r="M29" s="42"/>
      <c r="N29" s="14"/>
      <c r="O29" s="14"/>
      <c r="P29" s="14" t="str">
        <f t="shared" si="1"/>
        <v/>
      </c>
      <c r="Q29" s="42" t="str">
        <f t="shared" si="2"/>
        <v/>
      </c>
      <c r="R29" s="14"/>
      <c r="S29" s="14" t="str">
        <f t="shared" si="3"/>
        <v/>
      </c>
      <c r="T29" s="14"/>
      <c r="U29" s="90">
        <f t="shared" si="4"/>
        <v>0.98</v>
      </c>
      <c r="V29" s="90">
        <f t="shared" si="4"/>
        <v>0.98</v>
      </c>
      <c r="W29" s="14" t="str">
        <f t="shared" si="5"/>
        <v/>
      </c>
      <c r="X29" s="14" t="str">
        <f t="shared" si="6"/>
        <v/>
      </c>
      <c r="Y29" s="90">
        <f>1</f>
        <v>1</v>
      </c>
      <c r="Z29" s="42" t="str">
        <f t="shared" si="7"/>
        <v/>
      </c>
      <c r="AA29" s="90">
        <f t="shared" si="8"/>
        <v>0.7</v>
      </c>
      <c r="AB29" s="14" t="str">
        <f t="shared" si="9"/>
        <v/>
      </c>
      <c r="AC29" s="90">
        <f t="shared" si="10"/>
        <v>0.95</v>
      </c>
      <c r="AD29" s="42" t="str">
        <f t="shared" si="11"/>
        <v/>
      </c>
      <c r="AE29" s="90">
        <f t="shared" si="12"/>
        <v>0.95</v>
      </c>
      <c r="AF29" s="42" t="str">
        <f t="shared" si="13"/>
        <v/>
      </c>
      <c r="AG29" s="14"/>
      <c r="AH29" s="14"/>
      <c r="AI29" s="90">
        <f t="shared" si="14"/>
        <v>0.95</v>
      </c>
      <c r="AJ29" s="90"/>
      <c r="AK29" s="42" t="str">
        <f t="shared" si="15"/>
        <v/>
      </c>
      <c r="AL29" s="42" t="str">
        <f t="shared" si="16"/>
        <v/>
      </c>
      <c r="AM29" s="90">
        <f>1</f>
        <v>1</v>
      </c>
      <c r="AN29" s="42" t="str">
        <f t="shared" si="17"/>
        <v/>
      </c>
      <c r="AO29" s="14"/>
      <c r="AP29" s="42"/>
    </row>
    <row r="30" spans="1:42" x14ac:dyDescent="0.2">
      <c r="A30" t="str">
        <f>INDEX(Prioritization!$D:$D,MATCH($B30,Prioritization!$A:$A,0))</f>
        <v>INVALID</v>
      </c>
      <c r="B30" t="s">
        <v>196</v>
      </c>
      <c r="C30" t="s">
        <v>469</v>
      </c>
      <c r="D30" t="str">
        <f t="shared" si="0"/>
        <v>Kasungu District [JQKLKuVuY61]|FSW</v>
      </c>
      <c r="E30" s="42"/>
      <c r="F30" s="42"/>
      <c r="G30" s="42"/>
      <c r="H30" s="14"/>
      <c r="I30" s="42"/>
      <c r="J30" s="14"/>
      <c r="K30" s="42"/>
      <c r="L30" s="14"/>
      <c r="M30" s="42"/>
      <c r="N30" s="14"/>
      <c r="O30" s="14"/>
      <c r="P30" s="14" t="str">
        <f t="shared" si="1"/>
        <v/>
      </c>
      <c r="Q30" s="42" t="str">
        <f t="shared" si="2"/>
        <v/>
      </c>
      <c r="R30" s="14"/>
      <c r="S30" s="14" t="str">
        <f t="shared" si="3"/>
        <v/>
      </c>
      <c r="T30" s="14"/>
      <c r="U30" s="90">
        <f t="shared" si="4"/>
        <v>0.98</v>
      </c>
      <c r="V30" s="90">
        <f t="shared" si="4"/>
        <v>0.98</v>
      </c>
      <c r="W30" s="14" t="str">
        <f t="shared" si="5"/>
        <v/>
      </c>
      <c r="X30" s="14" t="str">
        <f t="shared" si="6"/>
        <v/>
      </c>
      <c r="Y30" s="90">
        <f>1</f>
        <v>1</v>
      </c>
      <c r="Z30" s="42" t="str">
        <f t="shared" si="7"/>
        <v/>
      </c>
      <c r="AA30" s="90">
        <f t="shared" si="8"/>
        <v>0.7</v>
      </c>
      <c r="AB30" s="14" t="str">
        <f t="shared" si="9"/>
        <v/>
      </c>
      <c r="AC30" s="90">
        <f t="shared" si="10"/>
        <v>0.95</v>
      </c>
      <c r="AD30" s="42" t="str">
        <f t="shared" si="11"/>
        <v/>
      </c>
      <c r="AE30" s="90">
        <f t="shared" si="12"/>
        <v>0.95</v>
      </c>
      <c r="AF30" s="42" t="str">
        <f t="shared" si="13"/>
        <v/>
      </c>
      <c r="AG30" s="14"/>
      <c r="AH30" s="14"/>
      <c r="AI30" s="90">
        <f t="shared" si="14"/>
        <v>0.95</v>
      </c>
      <c r="AJ30" s="90"/>
      <c r="AK30" s="42" t="str">
        <f t="shared" si="15"/>
        <v/>
      </c>
      <c r="AL30" s="42" t="str">
        <f t="shared" si="16"/>
        <v/>
      </c>
      <c r="AM30" s="90">
        <f>1</f>
        <v>1</v>
      </c>
      <c r="AN30" s="42" t="str">
        <f t="shared" si="17"/>
        <v/>
      </c>
      <c r="AO30" s="14"/>
      <c r="AP30" s="42"/>
    </row>
    <row r="31" spans="1:42" x14ac:dyDescent="0.2">
      <c r="A31" t="str">
        <f>INDEX(Prioritization!$D:$D,MATCH($B31,Prioritization!$A:$A,0))</f>
        <v>INVALID</v>
      </c>
      <c r="B31" t="s">
        <v>196</v>
      </c>
      <c r="C31" t="s">
        <v>470</v>
      </c>
      <c r="D31" t="str">
        <f t="shared" si="0"/>
        <v>Kasungu District [JQKLKuVuY61]|MSM</v>
      </c>
      <c r="E31" s="42"/>
      <c r="F31" s="42"/>
      <c r="G31" s="42"/>
      <c r="H31" s="14"/>
      <c r="I31" s="42"/>
      <c r="J31" s="14"/>
      <c r="K31" s="42"/>
      <c r="L31" s="14"/>
      <c r="M31" s="42"/>
      <c r="N31" s="14"/>
      <c r="O31" s="14"/>
      <c r="P31" s="14" t="str">
        <f t="shared" si="1"/>
        <v/>
      </c>
      <c r="Q31" s="42" t="str">
        <f t="shared" si="2"/>
        <v/>
      </c>
      <c r="R31" s="14"/>
      <c r="S31" s="14" t="str">
        <f t="shared" si="3"/>
        <v/>
      </c>
      <c r="T31" s="14"/>
      <c r="U31" s="90">
        <f t="shared" si="4"/>
        <v>0.98</v>
      </c>
      <c r="V31" s="90">
        <f t="shared" si="4"/>
        <v>0.98</v>
      </c>
      <c r="W31" s="14" t="str">
        <f t="shared" si="5"/>
        <v/>
      </c>
      <c r="X31" s="14" t="str">
        <f t="shared" si="6"/>
        <v/>
      </c>
      <c r="Y31" s="90">
        <f>1</f>
        <v>1</v>
      </c>
      <c r="Z31" s="42" t="str">
        <f t="shared" si="7"/>
        <v/>
      </c>
      <c r="AA31" s="90">
        <f t="shared" si="8"/>
        <v>0.7</v>
      </c>
      <c r="AB31" s="14" t="str">
        <f t="shared" si="9"/>
        <v/>
      </c>
      <c r="AC31" s="90">
        <f t="shared" si="10"/>
        <v>0.95</v>
      </c>
      <c r="AD31" s="42" t="str">
        <f t="shared" si="11"/>
        <v/>
      </c>
      <c r="AE31" s="90">
        <f t="shared" si="12"/>
        <v>0.95</v>
      </c>
      <c r="AF31" s="42" t="str">
        <f t="shared" si="13"/>
        <v/>
      </c>
      <c r="AG31" s="14"/>
      <c r="AH31" s="14"/>
      <c r="AI31" s="90">
        <f t="shared" si="14"/>
        <v>0.95</v>
      </c>
      <c r="AJ31" s="90"/>
      <c r="AK31" s="42" t="str">
        <f t="shared" si="15"/>
        <v/>
      </c>
      <c r="AL31" s="42" t="str">
        <f t="shared" si="16"/>
        <v/>
      </c>
      <c r="AM31" s="90">
        <f>1</f>
        <v>1</v>
      </c>
      <c r="AN31" s="42" t="str">
        <f t="shared" si="17"/>
        <v/>
      </c>
      <c r="AO31" s="14"/>
      <c r="AP31" s="42"/>
    </row>
    <row r="32" spans="1:42" x14ac:dyDescent="0.2">
      <c r="A32" t="str">
        <f>INDEX(Prioritization!$D:$D,MATCH($B32,Prioritization!$A:$A,0))</f>
        <v>INVALID</v>
      </c>
      <c r="B32" t="s">
        <v>196</v>
      </c>
      <c r="C32" t="s">
        <v>471</v>
      </c>
      <c r="D32" t="str">
        <f t="shared" si="0"/>
        <v>Kasungu District [JQKLKuVuY61]|People in prisons and other enclosed settings</v>
      </c>
      <c r="E32" s="42"/>
      <c r="F32" s="42"/>
      <c r="G32" s="42"/>
      <c r="H32" s="14"/>
      <c r="I32" s="42"/>
      <c r="J32" s="14"/>
      <c r="K32" s="42"/>
      <c r="L32" s="14"/>
      <c r="M32" s="42"/>
      <c r="N32" s="14"/>
      <c r="O32" s="14"/>
      <c r="P32" s="14" t="str">
        <f t="shared" si="1"/>
        <v/>
      </c>
      <c r="Q32" s="42" t="str">
        <f t="shared" si="2"/>
        <v/>
      </c>
      <c r="R32" s="14"/>
      <c r="S32" s="14" t="str">
        <f t="shared" si="3"/>
        <v/>
      </c>
      <c r="T32" s="14"/>
      <c r="U32" s="90">
        <f t="shared" si="4"/>
        <v>0.98</v>
      </c>
      <c r="V32" s="90">
        <f t="shared" si="4"/>
        <v>0.98</v>
      </c>
      <c r="W32" s="14" t="str">
        <f t="shared" si="5"/>
        <v/>
      </c>
      <c r="X32" s="14" t="str">
        <f t="shared" si="6"/>
        <v/>
      </c>
      <c r="Y32" s="90">
        <f>1</f>
        <v>1</v>
      </c>
      <c r="Z32" s="42" t="str">
        <f t="shared" si="7"/>
        <v/>
      </c>
      <c r="AA32" s="90">
        <f t="shared" si="8"/>
        <v>0.7</v>
      </c>
      <c r="AB32" s="14" t="str">
        <f t="shared" si="9"/>
        <v/>
      </c>
      <c r="AC32" s="90">
        <f t="shared" si="10"/>
        <v>0.95</v>
      </c>
      <c r="AD32" s="42" t="str">
        <f t="shared" si="11"/>
        <v/>
      </c>
      <c r="AE32" s="90">
        <f t="shared" si="12"/>
        <v>0.95</v>
      </c>
      <c r="AF32" s="42" t="str">
        <f t="shared" si="13"/>
        <v/>
      </c>
      <c r="AG32" s="14"/>
      <c r="AH32" s="14"/>
      <c r="AI32" s="90">
        <f t="shared" si="14"/>
        <v>0.95</v>
      </c>
      <c r="AJ32" s="90"/>
      <c r="AK32" s="42" t="str">
        <f t="shared" si="15"/>
        <v/>
      </c>
      <c r="AL32" s="42" t="str">
        <f t="shared" si="16"/>
        <v/>
      </c>
      <c r="AM32" s="90">
        <f>1</f>
        <v>1</v>
      </c>
      <c r="AN32" s="42" t="str">
        <f t="shared" si="17"/>
        <v/>
      </c>
      <c r="AO32" s="14"/>
      <c r="AP32" s="42"/>
    </row>
    <row r="33" spans="1:42" x14ac:dyDescent="0.2">
      <c r="A33" t="str">
        <f>INDEX(Prioritization!$D:$D,MATCH($B33,Prioritization!$A:$A,0))</f>
        <v>INVALID</v>
      </c>
      <c r="B33" t="s">
        <v>196</v>
      </c>
      <c r="C33" t="s">
        <v>472</v>
      </c>
      <c r="D33" t="str">
        <f t="shared" si="0"/>
        <v>Kasungu District [JQKLKuVuY61]|PWID</v>
      </c>
      <c r="E33" s="42"/>
      <c r="F33" s="42"/>
      <c r="G33" s="42"/>
      <c r="H33" s="14"/>
      <c r="I33" s="42"/>
      <c r="J33" s="14"/>
      <c r="K33" s="42"/>
      <c r="L33" s="14"/>
      <c r="M33" s="42"/>
      <c r="N33" s="14"/>
      <c r="O33" s="14"/>
      <c r="P33" s="14" t="str">
        <f t="shared" si="1"/>
        <v/>
      </c>
      <c r="Q33" s="42" t="str">
        <f t="shared" si="2"/>
        <v/>
      </c>
      <c r="R33" s="14"/>
      <c r="S33" s="14" t="str">
        <f t="shared" si="3"/>
        <v/>
      </c>
      <c r="T33" s="14"/>
      <c r="U33" s="90">
        <f t="shared" si="4"/>
        <v>0.98</v>
      </c>
      <c r="V33" s="90">
        <f t="shared" si="4"/>
        <v>0.98</v>
      </c>
      <c r="W33" s="14" t="str">
        <f t="shared" si="5"/>
        <v/>
      </c>
      <c r="X33" s="14" t="str">
        <f t="shared" si="6"/>
        <v/>
      </c>
      <c r="Y33" s="90">
        <f>1</f>
        <v>1</v>
      </c>
      <c r="Z33" s="42" t="str">
        <f t="shared" si="7"/>
        <v/>
      </c>
      <c r="AA33" s="90">
        <f t="shared" si="8"/>
        <v>0.7</v>
      </c>
      <c r="AB33" s="14" t="str">
        <f t="shared" si="9"/>
        <v/>
      </c>
      <c r="AC33" s="90">
        <f t="shared" si="10"/>
        <v>0.95</v>
      </c>
      <c r="AD33" s="42" t="str">
        <f t="shared" si="11"/>
        <v/>
      </c>
      <c r="AE33" s="90">
        <f t="shared" si="12"/>
        <v>0.95</v>
      </c>
      <c r="AF33" s="42" t="str">
        <f t="shared" si="13"/>
        <v/>
      </c>
      <c r="AG33" s="14"/>
      <c r="AH33" s="14"/>
      <c r="AI33" s="90">
        <f t="shared" si="14"/>
        <v>0.95</v>
      </c>
      <c r="AJ33" s="90"/>
      <c r="AK33" s="42" t="str">
        <f t="shared" si="15"/>
        <v/>
      </c>
      <c r="AL33" s="42" t="str">
        <f t="shared" si="16"/>
        <v/>
      </c>
      <c r="AM33" s="90">
        <f>1</f>
        <v>1</v>
      </c>
      <c r="AN33" s="42" t="str">
        <f t="shared" si="17"/>
        <v/>
      </c>
      <c r="AO33" s="14"/>
      <c r="AP33" s="42"/>
    </row>
    <row r="34" spans="1:42" x14ac:dyDescent="0.2">
      <c r="A34" t="str">
        <f>INDEX(Prioritization!$D:$D,MATCH($B34,Prioritization!$A:$A,0))</f>
        <v>INVALID</v>
      </c>
      <c r="B34" t="s">
        <v>196</v>
      </c>
      <c r="C34" t="s">
        <v>473</v>
      </c>
      <c r="D34" t="str">
        <f t="shared" si="0"/>
        <v>Kasungu District [JQKLKuVuY61]|TG</v>
      </c>
      <c r="E34" s="42"/>
      <c r="F34" s="42"/>
      <c r="G34" s="42"/>
      <c r="H34" s="14"/>
      <c r="I34" s="42"/>
      <c r="J34" s="14"/>
      <c r="K34" s="42"/>
      <c r="L34" s="14"/>
      <c r="M34" s="42"/>
      <c r="N34" s="14"/>
      <c r="O34" s="14"/>
      <c r="P34" s="14" t="str">
        <f t="shared" si="1"/>
        <v/>
      </c>
      <c r="Q34" s="42" t="str">
        <f t="shared" si="2"/>
        <v/>
      </c>
      <c r="R34" s="14"/>
      <c r="S34" s="14" t="str">
        <f t="shared" si="3"/>
        <v/>
      </c>
      <c r="T34" s="14"/>
      <c r="U34" s="90">
        <f t="shared" si="4"/>
        <v>0.98</v>
      </c>
      <c r="V34" s="90">
        <f t="shared" si="4"/>
        <v>0.98</v>
      </c>
      <c r="W34" s="14" t="str">
        <f t="shared" si="5"/>
        <v/>
      </c>
      <c r="X34" s="14" t="str">
        <f t="shared" si="6"/>
        <v/>
      </c>
      <c r="Y34" s="90">
        <f>1</f>
        <v>1</v>
      </c>
      <c r="Z34" s="42" t="str">
        <f t="shared" si="7"/>
        <v/>
      </c>
      <c r="AA34" s="90">
        <f t="shared" si="8"/>
        <v>0.7</v>
      </c>
      <c r="AB34" s="14" t="str">
        <f t="shared" si="9"/>
        <v/>
      </c>
      <c r="AC34" s="90">
        <f t="shared" si="10"/>
        <v>0.95</v>
      </c>
      <c r="AD34" s="42" t="str">
        <f t="shared" si="11"/>
        <v/>
      </c>
      <c r="AE34" s="90">
        <f t="shared" si="12"/>
        <v>0.95</v>
      </c>
      <c r="AF34" s="42" t="str">
        <f t="shared" si="13"/>
        <v/>
      </c>
      <c r="AG34" s="14"/>
      <c r="AH34" s="14"/>
      <c r="AI34" s="90">
        <f t="shared" si="14"/>
        <v>0.95</v>
      </c>
      <c r="AJ34" s="90"/>
      <c r="AK34" s="42" t="str">
        <f t="shared" si="15"/>
        <v/>
      </c>
      <c r="AL34" s="42" t="str">
        <f t="shared" si="16"/>
        <v/>
      </c>
      <c r="AM34" s="90">
        <f>1</f>
        <v>1</v>
      </c>
      <c r="AN34" s="42" t="str">
        <f t="shared" si="17"/>
        <v/>
      </c>
      <c r="AO34" s="14"/>
      <c r="AP34" s="42"/>
    </row>
    <row r="35" spans="1:42" x14ac:dyDescent="0.2">
      <c r="A35" t="str">
        <f>INDEX(Prioritization!$D:$D,MATCH($B35,Prioritization!$A:$A,0))</f>
        <v>1 - Scale-up: Saturation</v>
      </c>
      <c r="B35" t="s">
        <v>197</v>
      </c>
      <c r="C35" t="s">
        <v>469</v>
      </c>
      <c r="D35" t="str">
        <f t="shared" si="0"/>
        <v>Lilongwe District [ScR9iFKAasW]|FSW</v>
      </c>
      <c r="E35" s="42"/>
      <c r="F35" s="42"/>
      <c r="G35" s="42"/>
      <c r="H35" s="14"/>
      <c r="I35" s="42"/>
      <c r="J35" s="14">
        <v>34</v>
      </c>
      <c r="K35" s="42"/>
      <c r="L35" s="14">
        <v>329</v>
      </c>
      <c r="M35" s="42"/>
      <c r="N35" s="14">
        <v>63</v>
      </c>
      <c r="O35" s="14">
        <v>631</v>
      </c>
      <c r="P35" s="14">
        <f t="shared" si="1"/>
        <v>631</v>
      </c>
      <c r="Q35" s="42">
        <f t="shared" si="2"/>
        <v>631</v>
      </c>
      <c r="R35" s="14"/>
      <c r="S35" s="14" t="str">
        <f t="shared" si="3"/>
        <v/>
      </c>
      <c r="T35" s="14">
        <v>35</v>
      </c>
      <c r="U35" s="90">
        <f t="shared" ref="U35:V54" si="18">0.98</f>
        <v>0.98</v>
      </c>
      <c r="V35" s="90">
        <f t="shared" si="18"/>
        <v>0.98</v>
      </c>
      <c r="W35" s="14">
        <f t="shared" si="5"/>
        <v>0</v>
      </c>
      <c r="X35" s="14">
        <f t="shared" si="6"/>
        <v>13</v>
      </c>
      <c r="Y35" s="90">
        <f>1</f>
        <v>1</v>
      </c>
      <c r="Z35" s="42">
        <f t="shared" si="7"/>
        <v>13</v>
      </c>
      <c r="AA35" s="90">
        <f t="shared" si="8"/>
        <v>0.7</v>
      </c>
      <c r="AB35" s="14">
        <f t="shared" si="9"/>
        <v>640</v>
      </c>
      <c r="AC35" s="90">
        <f t="shared" si="10"/>
        <v>0.95</v>
      </c>
      <c r="AD35" s="42">
        <f t="shared" si="11"/>
        <v>608</v>
      </c>
      <c r="AE35" s="90">
        <f t="shared" si="12"/>
        <v>0.95</v>
      </c>
      <c r="AF35" s="42">
        <f t="shared" si="13"/>
        <v>578</v>
      </c>
      <c r="AG35" s="14">
        <v>32</v>
      </c>
      <c r="AH35" s="14">
        <v>5</v>
      </c>
      <c r="AI35" s="90">
        <f t="shared" si="14"/>
        <v>0.95</v>
      </c>
      <c r="AJ35" s="90"/>
      <c r="AK35" s="42">
        <f t="shared" si="15"/>
        <v>14</v>
      </c>
      <c r="AL35" s="42" t="str">
        <f t="shared" si="16"/>
        <v>ENTER YIELD RATE</v>
      </c>
      <c r="AM35" s="90">
        <f>1</f>
        <v>1</v>
      </c>
      <c r="AN35" s="42">
        <f t="shared" si="17"/>
        <v>14</v>
      </c>
      <c r="AO35" s="14">
        <v>310</v>
      </c>
      <c r="AP35" s="42"/>
    </row>
    <row r="36" spans="1:42" x14ac:dyDescent="0.2">
      <c r="A36" t="str">
        <f>INDEX(Prioritization!$D:$D,MATCH($B36,Prioritization!$A:$A,0))</f>
        <v>1 - Scale-up: Saturation</v>
      </c>
      <c r="B36" t="s">
        <v>197</v>
      </c>
      <c r="C36" t="s">
        <v>470</v>
      </c>
      <c r="D36" t="str">
        <f t="shared" si="0"/>
        <v>Lilongwe District [ScR9iFKAasW]|MSM</v>
      </c>
      <c r="E36" s="42"/>
      <c r="F36" s="42"/>
      <c r="G36" s="42"/>
      <c r="H36" s="14"/>
      <c r="I36" s="42"/>
      <c r="J36" s="14">
        <v>122</v>
      </c>
      <c r="K36" s="42"/>
      <c r="L36" s="14">
        <v>672</v>
      </c>
      <c r="M36" s="42"/>
      <c r="N36" s="14">
        <v>65</v>
      </c>
      <c r="O36" s="14">
        <v>76</v>
      </c>
      <c r="P36" s="14">
        <f t="shared" si="1"/>
        <v>76</v>
      </c>
      <c r="Q36" s="42">
        <f t="shared" si="2"/>
        <v>76</v>
      </c>
      <c r="R36" s="14"/>
      <c r="S36" s="14" t="str">
        <f t="shared" si="3"/>
        <v/>
      </c>
      <c r="T36" s="14">
        <v>2</v>
      </c>
      <c r="U36" s="90">
        <f t="shared" si="18"/>
        <v>0.98</v>
      </c>
      <c r="V36" s="90">
        <f t="shared" si="18"/>
        <v>0.98</v>
      </c>
      <c r="W36" s="14">
        <f t="shared" si="5"/>
        <v>0</v>
      </c>
      <c r="X36" s="14">
        <f t="shared" si="6"/>
        <v>2</v>
      </c>
      <c r="Y36" s="90">
        <f>1</f>
        <v>1</v>
      </c>
      <c r="Z36" s="42">
        <f t="shared" si="7"/>
        <v>2</v>
      </c>
      <c r="AA36" s="90">
        <f t="shared" si="8"/>
        <v>0.7</v>
      </c>
      <c r="AB36" s="14">
        <f t="shared" si="9"/>
        <v>77</v>
      </c>
      <c r="AC36" s="90">
        <f t="shared" si="10"/>
        <v>0.95</v>
      </c>
      <c r="AD36" s="42">
        <f t="shared" si="11"/>
        <v>73</v>
      </c>
      <c r="AE36" s="90">
        <f t="shared" si="12"/>
        <v>0.95</v>
      </c>
      <c r="AF36" s="42">
        <f t="shared" si="13"/>
        <v>69</v>
      </c>
      <c r="AG36" s="14">
        <v>5</v>
      </c>
      <c r="AH36" s="14">
        <v>1</v>
      </c>
      <c r="AI36" s="90">
        <f t="shared" si="14"/>
        <v>0.95</v>
      </c>
      <c r="AJ36" s="90"/>
      <c r="AK36" s="42">
        <f t="shared" si="15"/>
        <v>2</v>
      </c>
      <c r="AL36" s="42" t="str">
        <f t="shared" si="16"/>
        <v>ENTER YIELD RATE</v>
      </c>
      <c r="AM36" s="90">
        <f>1</f>
        <v>1</v>
      </c>
      <c r="AN36" s="42">
        <f t="shared" si="17"/>
        <v>2</v>
      </c>
      <c r="AO36" s="14">
        <v>984</v>
      </c>
      <c r="AP36" s="42"/>
    </row>
    <row r="37" spans="1:42" x14ac:dyDescent="0.2">
      <c r="A37" t="str">
        <f>INDEX(Prioritization!$D:$D,MATCH($B37,Prioritization!$A:$A,0))</f>
        <v>1 - Scale-up: Saturation</v>
      </c>
      <c r="B37" t="s">
        <v>197</v>
      </c>
      <c r="C37" t="s">
        <v>471</v>
      </c>
      <c r="D37" t="str">
        <f t="shared" si="0"/>
        <v>Lilongwe District [ScR9iFKAasW]|People in prisons and other enclosed settings</v>
      </c>
      <c r="E37" s="42"/>
      <c r="F37" s="42"/>
      <c r="G37" s="42"/>
      <c r="H37" s="14"/>
      <c r="I37" s="42"/>
      <c r="J37" s="14"/>
      <c r="K37" s="42"/>
      <c r="L37" s="14">
        <v>677</v>
      </c>
      <c r="M37" s="42"/>
      <c r="N37" s="14">
        <v>81</v>
      </c>
      <c r="O37" s="14">
        <v>79</v>
      </c>
      <c r="P37" s="14">
        <f t="shared" si="1"/>
        <v>81</v>
      </c>
      <c r="Q37" s="42">
        <f t="shared" si="2"/>
        <v>81</v>
      </c>
      <c r="R37" s="14"/>
      <c r="S37" s="14" t="str">
        <f t="shared" si="3"/>
        <v/>
      </c>
      <c r="T37" s="14">
        <v>40</v>
      </c>
      <c r="U37" s="90">
        <f t="shared" si="18"/>
        <v>0.98</v>
      </c>
      <c r="V37" s="90">
        <f t="shared" si="18"/>
        <v>0.98</v>
      </c>
      <c r="W37" s="14">
        <f t="shared" si="5"/>
        <v>0</v>
      </c>
      <c r="X37" s="14">
        <f t="shared" si="6"/>
        <v>2</v>
      </c>
      <c r="Y37" s="90">
        <f>1</f>
        <v>1</v>
      </c>
      <c r="Z37" s="42">
        <f t="shared" si="7"/>
        <v>2</v>
      </c>
      <c r="AA37" s="90">
        <f t="shared" si="8"/>
        <v>0.7</v>
      </c>
      <c r="AB37" s="14">
        <f t="shared" si="9"/>
        <v>82</v>
      </c>
      <c r="AC37" s="90">
        <f t="shared" si="10"/>
        <v>0.95</v>
      </c>
      <c r="AD37" s="42">
        <f t="shared" si="11"/>
        <v>78</v>
      </c>
      <c r="AE37" s="90">
        <f t="shared" si="12"/>
        <v>0.95</v>
      </c>
      <c r="AF37" s="42">
        <f t="shared" si="13"/>
        <v>74</v>
      </c>
      <c r="AG37" s="14">
        <v>57</v>
      </c>
      <c r="AH37" s="14">
        <v>2</v>
      </c>
      <c r="AI37" s="90">
        <f t="shared" si="14"/>
        <v>0.95</v>
      </c>
      <c r="AJ37" s="90"/>
      <c r="AK37" s="42">
        <f t="shared" si="15"/>
        <v>2</v>
      </c>
      <c r="AL37" s="42" t="str">
        <f t="shared" si="16"/>
        <v>ENTER YIELD RATE</v>
      </c>
      <c r="AM37" s="90">
        <f>1</f>
        <v>1</v>
      </c>
      <c r="AN37" s="42">
        <f t="shared" si="17"/>
        <v>2</v>
      </c>
      <c r="AO37" s="14">
        <v>790</v>
      </c>
      <c r="AP37" s="42"/>
    </row>
    <row r="38" spans="1:42" x14ac:dyDescent="0.2">
      <c r="A38" t="str">
        <f>INDEX(Prioritization!$D:$D,MATCH($B38,Prioritization!$A:$A,0))</f>
        <v>1 - Scale-up: Saturation</v>
      </c>
      <c r="B38" t="s">
        <v>197</v>
      </c>
      <c r="C38" t="s">
        <v>472</v>
      </c>
      <c r="D38" t="str">
        <f t="shared" si="0"/>
        <v>Lilongwe District [ScR9iFKAasW]|PWID</v>
      </c>
      <c r="E38" s="42"/>
      <c r="F38" s="42"/>
      <c r="G38" s="42"/>
      <c r="H38" s="14"/>
      <c r="I38" s="42"/>
      <c r="J38" s="14"/>
      <c r="K38" s="42"/>
      <c r="L38" s="14"/>
      <c r="M38" s="42"/>
      <c r="N38" s="14"/>
      <c r="O38" s="14"/>
      <c r="P38" s="14" t="str">
        <f t="shared" si="1"/>
        <v/>
      </c>
      <c r="Q38" s="42" t="str">
        <f t="shared" si="2"/>
        <v/>
      </c>
      <c r="R38" s="14"/>
      <c r="S38" s="14" t="str">
        <f t="shared" si="3"/>
        <v/>
      </c>
      <c r="T38" s="14"/>
      <c r="U38" s="90">
        <f t="shared" si="18"/>
        <v>0.98</v>
      </c>
      <c r="V38" s="90">
        <f t="shared" si="18"/>
        <v>0.98</v>
      </c>
      <c r="W38" s="14" t="str">
        <f t="shared" si="5"/>
        <v/>
      </c>
      <c r="X38" s="14" t="str">
        <f t="shared" si="6"/>
        <v/>
      </c>
      <c r="Y38" s="90">
        <f>1</f>
        <v>1</v>
      </c>
      <c r="Z38" s="42" t="str">
        <f t="shared" si="7"/>
        <v/>
      </c>
      <c r="AA38" s="90">
        <f t="shared" si="8"/>
        <v>0.7</v>
      </c>
      <c r="AB38" s="14" t="str">
        <f t="shared" si="9"/>
        <v/>
      </c>
      <c r="AC38" s="90">
        <f t="shared" si="10"/>
        <v>0.95</v>
      </c>
      <c r="AD38" s="42" t="str">
        <f t="shared" si="11"/>
        <v/>
      </c>
      <c r="AE38" s="90">
        <f t="shared" si="12"/>
        <v>0.95</v>
      </c>
      <c r="AF38" s="42" t="str">
        <f t="shared" si="13"/>
        <v/>
      </c>
      <c r="AG38" s="14"/>
      <c r="AH38" s="14"/>
      <c r="AI38" s="90">
        <f t="shared" si="14"/>
        <v>0.95</v>
      </c>
      <c r="AJ38" s="90"/>
      <c r="AK38" s="42" t="str">
        <f t="shared" si="15"/>
        <v/>
      </c>
      <c r="AL38" s="42" t="str">
        <f t="shared" si="16"/>
        <v/>
      </c>
      <c r="AM38" s="90">
        <f>1</f>
        <v>1</v>
      </c>
      <c r="AN38" s="42" t="str">
        <f t="shared" si="17"/>
        <v/>
      </c>
      <c r="AO38" s="14"/>
      <c r="AP38" s="42"/>
    </row>
    <row r="39" spans="1:42" x14ac:dyDescent="0.2">
      <c r="A39" t="str">
        <f>INDEX(Prioritization!$D:$D,MATCH($B39,Prioritization!$A:$A,0))</f>
        <v>1 - Scale-up: Saturation</v>
      </c>
      <c r="B39" t="s">
        <v>197</v>
      </c>
      <c r="C39" t="s">
        <v>473</v>
      </c>
      <c r="D39" t="str">
        <f t="shared" si="0"/>
        <v>Lilongwe District [ScR9iFKAasW]|TG</v>
      </c>
      <c r="E39" s="42"/>
      <c r="F39" s="42"/>
      <c r="G39" s="42"/>
      <c r="H39" s="14"/>
      <c r="I39" s="42"/>
      <c r="J39" s="14"/>
      <c r="K39" s="42"/>
      <c r="L39" s="14">
        <v>31</v>
      </c>
      <c r="M39" s="42"/>
      <c r="N39" s="14">
        <v>5</v>
      </c>
      <c r="O39" s="14">
        <v>4</v>
      </c>
      <c r="P39" s="14">
        <f t="shared" si="1"/>
        <v>5</v>
      </c>
      <c r="Q39" s="42">
        <f t="shared" si="2"/>
        <v>5</v>
      </c>
      <c r="R39" s="14"/>
      <c r="S39" s="14" t="str">
        <f t="shared" si="3"/>
        <v/>
      </c>
      <c r="T39" s="14">
        <v>5</v>
      </c>
      <c r="U39" s="90">
        <f t="shared" si="18"/>
        <v>0.98</v>
      </c>
      <c r="V39" s="90">
        <f t="shared" si="18"/>
        <v>0.98</v>
      </c>
      <c r="W39" s="14">
        <f t="shared" si="5"/>
        <v>0</v>
      </c>
      <c r="X39" s="14" t="str">
        <f t="shared" si="6"/>
        <v/>
      </c>
      <c r="Y39" s="90">
        <f>1</f>
        <v>1</v>
      </c>
      <c r="Z39" s="42" t="str">
        <f t="shared" si="7"/>
        <v/>
      </c>
      <c r="AA39" s="90">
        <f t="shared" si="8"/>
        <v>0.7</v>
      </c>
      <c r="AB39" s="14">
        <f t="shared" si="9"/>
        <v>5</v>
      </c>
      <c r="AC39" s="90">
        <f t="shared" si="10"/>
        <v>0.95</v>
      </c>
      <c r="AD39" s="42">
        <f t="shared" si="11"/>
        <v>5</v>
      </c>
      <c r="AE39" s="90">
        <f t="shared" si="12"/>
        <v>0.95</v>
      </c>
      <c r="AF39" s="42">
        <f t="shared" si="13"/>
        <v>5</v>
      </c>
      <c r="AG39" s="14">
        <v>2</v>
      </c>
      <c r="AH39" s="14">
        <v>1</v>
      </c>
      <c r="AI39" s="90">
        <f t="shared" si="14"/>
        <v>0.95</v>
      </c>
      <c r="AJ39" s="90"/>
      <c r="AK39" s="42" t="str">
        <f t="shared" si="15"/>
        <v/>
      </c>
      <c r="AL39" s="42" t="str">
        <f t="shared" si="16"/>
        <v/>
      </c>
      <c r="AM39" s="90">
        <f>1</f>
        <v>1</v>
      </c>
      <c r="AN39" s="42" t="str">
        <f t="shared" si="17"/>
        <v/>
      </c>
      <c r="AO39" s="14"/>
      <c r="AP39" s="42"/>
    </row>
    <row r="40" spans="1:42" x14ac:dyDescent="0.2">
      <c r="A40" t="str">
        <f>INDEX(Prioritization!$D:$D,MATCH($B40,Prioritization!$A:$A,0))</f>
        <v>1 - Scale-up: Saturation</v>
      </c>
      <c r="B40" t="s">
        <v>198</v>
      </c>
      <c r="C40" t="s">
        <v>469</v>
      </c>
      <c r="D40" t="str">
        <f t="shared" si="0"/>
        <v>Mchinji District [kxuuIFpOXyO]|FSW</v>
      </c>
      <c r="E40" s="42"/>
      <c r="F40" s="42"/>
      <c r="G40" s="42"/>
      <c r="H40" s="14"/>
      <c r="I40" s="42"/>
      <c r="J40" s="14"/>
      <c r="K40" s="42"/>
      <c r="L40" s="14"/>
      <c r="M40" s="42"/>
      <c r="N40" s="14"/>
      <c r="O40" s="14"/>
      <c r="P40" s="14" t="str">
        <f t="shared" si="1"/>
        <v/>
      </c>
      <c r="Q40" s="42" t="str">
        <f t="shared" si="2"/>
        <v/>
      </c>
      <c r="R40" s="14"/>
      <c r="S40" s="14" t="str">
        <f t="shared" si="3"/>
        <v/>
      </c>
      <c r="T40" s="14"/>
      <c r="U40" s="90">
        <f t="shared" si="18"/>
        <v>0.98</v>
      </c>
      <c r="V40" s="90">
        <f t="shared" si="18"/>
        <v>0.98</v>
      </c>
      <c r="W40" s="14" t="str">
        <f t="shared" si="5"/>
        <v/>
      </c>
      <c r="X40" s="14" t="str">
        <f t="shared" si="6"/>
        <v/>
      </c>
      <c r="Y40" s="90">
        <f>1</f>
        <v>1</v>
      </c>
      <c r="Z40" s="42" t="str">
        <f t="shared" si="7"/>
        <v/>
      </c>
      <c r="AA40" s="90">
        <f t="shared" si="8"/>
        <v>0.7</v>
      </c>
      <c r="AB40" s="14" t="str">
        <f t="shared" si="9"/>
        <v/>
      </c>
      <c r="AC40" s="90">
        <f t="shared" si="10"/>
        <v>0.95</v>
      </c>
      <c r="AD40" s="42" t="str">
        <f t="shared" si="11"/>
        <v/>
      </c>
      <c r="AE40" s="90">
        <f t="shared" si="12"/>
        <v>0.95</v>
      </c>
      <c r="AF40" s="42" t="str">
        <f t="shared" si="13"/>
        <v/>
      </c>
      <c r="AG40" s="14"/>
      <c r="AH40" s="14"/>
      <c r="AI40" s="90">
        <f t="shared" si="14"/>
        <v>0.95</v>
      </c>
      <c r="AJ40" s="90"/>
      <c r="AK40" s="42" t="str">
        <f t="shared" si="15"/>
        <v/>
      </c>
      <c r="AL40" s="42" t="str">
        <f t="shared" si="16"/>
        <v/>
      </c>
      <c r="AM40" s="90">
        <f>1</f>
        <v>1</v>
      </c>
      <c r="AN40" s="42" t="str">
        <f t="shared" si="17"/>
        <v/>
      </c>
      <c r="AO40" s="14"/>
      <c r="AP40" s="42"/>
    </row>
    <row r="41" spans="1:42" x14ac:dyDescent="0.2">
      <c r="A41" t="str">
        <f>INDEX(Prioritization!$D:$D,MATCH($B41,Prioritization!$A:$A,0))</f>
        <v>1 - Scale-up: Saturation</v>
      </c>
      <c r="B41" t="s">
        <v>198</v>
      </c>
      <c r="C41" t="s">
        <v>470</v>
      </c>
      <c r="D41" t="str">
        <f t="shared" si="0"/>
        <v>Mchinji District [kxuuIFpOXyO]|MSM</v>
      </c>
      <c r="E41" s="42"/>
      <c r="F41" s="42"/>
      <c r="G41" s="42"/>
      <c r="H41" s="14"/>
      <c r="I41" s="42"/>
      <c r="J41" s="14"/>
      <c r="K41" s="42"/>
      <c r="L41" s="14"/>
      <c r="M41" s="42"/>
      <c r="N41" s="14"/>
      <c r="O41" s="14"/>
      <c r="P41" s="14" t="str">
        <f t="shared" si="1"/>
        <v/>
      </c>
      <c r="Q41" s="42" t="str">
        <f t="shared" si="2"/>
        <v/>
      </c>
      <c r="R41" s="14"/>
      <c r="S41" s="14" t="str">
        <f t="shared" si="3"/>
        <v/>
      </c>
      <c r="T41" s="14"/>
      <c r="U41" s="90">
        <f t="shared" si="18"/>
        <v>0.98</v>
      </c>
      <c r="V41" s="90">
        <f t="shared" si="18"/>
        <v>0.98</v>
      </c>
      <c r="W41" s="14" t="str">
        <f t="shared" si="5"/>
        <v/>
      </c>
      <c r="X41" s="14" t="str">
        <f t="shared" si="6"/>
        <v/>
      </c>
      <c r="Y41" s="90">
        <f>1</f>
        <v>1</v>
      </c>
      <c r="Z41" s="42" t="str">
        <f t="shared" si="7"/>
        <v/>
      </c>
      <c r="AA41" s="90">
        <f t="shared" si="8"/>
        <v>0.7</v>
      </c>
      <c r="AB41" s="14" t="str">
        <f t="shared" si="9"/>
        <v/>
      </c>
      <c r="AC41" s="90">
        <f t="shared" si="10"/>
        <v>0.95</v>
      </c>
      <c r="AD41" s="42" t="str">
        <f t="shared" si="11"/>
        <v/>
      </c>
      <c r="AE41" s="90">
        <f t="shared" si="12"/>
        <v>0.95</v>
      </c>
      <c r="AF41" s="42" t="str">
        <f t="shared" si="13"/>
        <v/>
      </c>
      <c r="AG41" s="14"/>
      <c r="AH41" s="14"/>
      <c r="AI41" s="90">
        <f t="shared" si="14"/>
        <v>0.95</v>
      </c>
      <c r="AJ41" s="90"/>
      <c r="AK41" s="42" t="str">
        <f t="shared" si="15"/>
        <v/>
      </c>
      <c r="AL41" s="42" t="str">
        <f t="shared" si="16"/>
        <v/>
      </c>
      <c r="AM41" s="90">
        <f>1</f>
        <v>1</v>
      </c>
      <c r="AN41" s="42" t="str">
        <f t="shared" si="17"/>
        <v/>
      </c>
      <c r="AO41" s="14"/>
      <c r="AP41" s="42"/>
    </row>
    <row r="42" spans="1:42" x14ac:dyDescent="0.2">
      <c r="A42" t="str">
        <f>INDEX(Prioritization!$D:$D,MATCH($B42,Prioritization!$A:$A,0))</f>
        <v>1 - Scale-up: Saturation</v>
      </c>
      <c r="B42" t="s">
        <v>198</v>
      </c>
      <c r="C42" t="s">
        <v>471</v>
      </c>
      <c r="D42" t="str">
        <f t="shared" si="0"/>
        <v>Mchinji District [kxuuIFpOXyO]|People in prisons and other enclosed settings</v>
      </c>
      <c r="E42" s="42"/>
      <c r="F42" s="42"/>
      <c r="G42" s="42"/>
      <c r="H42" s="14"/>
      <c r="I42" s="42"/>
      <c r="J42" s="14"/>
      <c r="K42" s="42"/>
      <c r="L42" s="14"/>
      <c r="M42" s="42"/>
      <c r="N42" s="14"/>
      <c r="O42" s="14"/>
      <c r="P42" s="14" t="str">
        <f t="shared" si="1"/>
        <v/>
      </c>
      <c r="Q42" s="42" t="str">
        <f t="shared" si="2"/>
        <v/>
      </c>
      <c r="R42" s="14"/>
      <c r="S42" s="14" t="str">
        <f t="shared" si="3"/>
        <v/>
      </c>
      <c r="T42" s="14"/>
      <c r="U42" s="90">
        <f t="shared" si="18"/>
        <v>0.98</v>
      </c>
      <c r="V42" s="90">
        <f t="shared" si="18"/>
        <v>0.98</v>
      </c>
      <c r="W42" s="14" t="str">
        <f t="shared" si="5"/>
        <v/>
      </c>
      <c r="X42" s="14" t="str">
        <f t="shared" si="6"/>
        <v/>
      </c>
      <c r="Y42" s="90">
        <f>1</f>
        <v>1</v>
      </c>
      <c r="Z42" s="42" t="str">
        <f t="shared" si="7"/>
        <v/>
      </c>
      <c r="AA42" s="90">
        <f t="shared" si="8"/>
        <v>0.7</v>
      </c>
      <c r="AB42" s="14" t="str">
        <f t="shared" si="9"/>
        <v/>
      </c>
      <c r="AC42" s="90">
        <f t="shared" si="10"/>
        <v>0.95</v>
      </c>
      <c r="AD42" s="42" t="str">
        <f t="shared" si="11"/>
        <v/>
      </c>
      <c r="AE42" s="90">
        <f t="shared" si="12"/>
        <v>0.95</v>
      </c>
      <c r="AF42" s="42" t="str">
        <f t="shared" si="13"/>
        <v/>
      </c>
      <c r="AG42" s="14"/>
      <c r="AH42" s="14"/>
      <c r="AI42" s="90">
        <f t="shared" si="14"/>
        <v>0.95</v>
      </c>
      <c r="AJ42" s="90"/>
      <c r="AK42" s="42" t="str">
        <f t="shared" si="15"/>
        <v/>
      </c>
      <c r="AL42" s="42" t="str">
        <f t="shared" si="16"/>
        <v/>
      </c>
      <c r="AM42" s="90">
        <f>1</f>
        <v>1</v>
      </c>
      <c r="AN42" s="42" t="str">
        <f t="shared" si="17"/>
        <v/>
      </c>
      <c r="AO42" s="14"/>
      <c r="AP42" s="42"/>
    </row>
    <row r="43" spans="1:42" x14ac:dyDescent="0.2">
      <c r="A43" t="str">
        <f>INDEX(Prioritization!$D:$D,MATCH($B43,Prioritization!$A:$A,0))</f>
        <v>1 - Scale-up: Saturation</v>
      </c>
      <c r="B43" t="s">
        <v>198</v>
      </c>
      <c r="C43" t="s">
        <v>472</v>
      </c>
      <c r="D43" t="str">
        <f t="shared" si="0"/>
        <v>Mchinji District [kxuuIFpOXyO]|PWID</v>
      </c>
      <c r="E43" s="42"/>
      <c r="F43" s="42"/>
      <c r="G43" s="42"/>
      <c r="H43" s="14"/>
      <c r="I43" s="42"/>
      <c r="J43" s="14"/>
      <c r="K43" s="42"/>
      <c r="L43" s="14"/>
      <c r="M43" s="42"/>
      <c r="N43" s="14"/>
      <c r="O43" s="14"/>
      <c r="P43" s="14" t="str">
        <f t="shared" si="1"/>
        <v/>
      </c>
      <c r="Q43" s="42" t="str">
        <f t="shared" si="2"/>
        <v/>
      </c>
      <c r="R43" s="14"/>
      <c r="S43" s="14" t="str">
        <f t="shared" si="3"/>
        <v/>
      </c>
      <c r="T43" s="14"/>
      <c r="U43" s="90">
        <f t="shared" si="18"/>
        <v>0.98</v>
      </c>
      <c r="V43" s="90">
        <f t="shared" si="18"/>
        <v>0.98</v>
      </c>
      <c r="W43" s="14" t="str">
        <f t="shared" si="5"/>
        <v/>
      </c>
      <c r="X43" s="14" t="str">
        <f t="shared" si="6"/>
        <v/>
      </c>
      <c r="Y43" s="90">
        <f>1</f>
        <v>1</v>
      </c>
      <c r="Z43" s="42" t="str">
        <f t="shared" si="7"/>
        <v/>
      </c>
      <c r="AA43" s="90">
        <f t="shared" si="8"/>
        <v>0.7</v>
      </c>
      <c r="AB43" s="14" t="str">
        <f t="shared" si="9"/>
        <v/>
      </c>
      <c r="AC43" s="90">
        <f t="shared" si="10"/>
        <v>0.95</v>
      </c>
      <c r="AD43" s="42" t="str">
        <f t="shared" si="11"/>
        <v/>
      </c>
      <c r="AE43" s="90">
        <f t="shared" si="12"/>
        <v>0.95</v>
      </c>
      <c r="AF43" s="42" t="str">
        <f t="shared" si="13"/>
        <v/>
      </c>
      <c r="AG43" s="14"/>
      <c r="AH43" s="14"/>
      <c r="AI43" s="90">
        <f t="shared" si="14"/>
        <v>0.95</v>
      </c>
      <c r="AJ43" s="90"/>
      <c r="AK43" s="42" t="str">
        <f t="shared" si="15"/>
        <v/>
      </c>
      <c r="AL43" s="42" t="str">
        <f t="shared" si="16"/>
        <v/>
      </c>
      <c r="AM43" s="90">
        <f>1</f>
        <v>1</v>
      </c>
      <c r="AN43" s="42" t="str">
        <f t="shared" si="17"/>
        <v/>
      </c>
      <c r="AO43" s="14"/>
      <c r="AP43" s="42"/>
    </row>
    <row r="44" spans="1:42" x14ac:dyDescent="0.2">
      <c r="A44" t="str">
        <f>INDEX(Prioritization!$D:$D,MATCH($B44,Prioritization!$A:$A,0))</f>
        <v>1 - Scale-up: Saturation</v>
      </c>
      <c r="B44" t="s">
        <v>198</v>
      </c>
      <c r="C44" t="s">
        <v>473</v>
      </c>
      <c r="D44" t="str">
        <f t="shared" si="0"/>
        <v>Mchinji District [kxuuIFpOXyO]|TG</v>
      </c>
      <c r="E44" s="42"/>
      <c r="F44" s="42"/>
      <c r="G44" s="42"/>
      <c r="H44" s="14"/>
      <c r="I44" s="42"/>
      <c r="J44" s="14"/>
      <c r="K44" s="42"/>
      <c r="L44" s="14"/>
      <c r="M44" s="42"/>
      <c r="N44" s="14"/>
      <c r="O44" s="14"/>
      <c r="P44" s="14" t="str">
        <f t="shared" si="1"/>
        <v/>
      </c>
      <c r="Q44" s="42" t="str">
        <f t="shared" si="2"/>
        <v/>
      </c>
      <c r="R44" s="14"/>
      <c r="S44" s="14" t="str">
        <f t="shared" si="3"/>
        <v/>
      </c>
      <c r="T44" s="14"/>
      <c r="U44" s="90">
        <f t="shared" si="18"/>
        <v>0.98</v>
      </c>
      <c r="V44" s="90">
        <f t="shared" si="18"/>
        <v>0.98</v>
      </c>
      <c r="W44" s="14" t="str">
        <f t="shared" si="5"/>
        <v/>
      </c>
      <c r="X44" s="14" t="str">
        <f t="shared" si="6"/>
        <v/>
      </c>
      <c r="Y44" s="90">
        <f>1</f>
        <v>1</v>
      </c>
      <c r="Z44" s="42" t="str">
        <f t="shared" si="7"/>
        <v/>
      </c>
      <c r="AA44" s="90">
        <f t="shared" si="8"/>
        <v>0.7</v>
      </c>
      <c r="AB44" s="14" t="str">
        <f t="shared" si="9"/>
        <v/>
      </c>
      <c r="AC44" s="90">
        <f t="shared" si="10"/>
        <v>0.95</v>
      </c>
      <c r="AD44" s="42" t="str">
        <f t="shared" si="11"/>
        <v/>
      </c>
      <c r="AE44" s="90">
        <f t="shared" si="12"/>
        <v>0.95</v>
      </c>
      <c r="AF44" s="42" t="str">
        <f t="shared" si="13"/>
        <v/>
      </c>
      <c r="AG44" s="14"/>
      <c r="AH44" s="14"/>
      <c r="AI44" s="90">
        <f t="shared" si="14"/>
        <v>0.95</v>
      </c>
      <c r="AJ44" s="90"/>
      <c r="AK44" s="42" t="str">
        <f t="shared" si="15"/>
        <v/>
      </c>
      <c r="AL44" s="42" t="str">
        <f t="shared" si="16"/>
        <v/>
      </c>
      <c r="AM44" s="90">
        <f>1</f>
        <v>1</v>
      </c>
      <c r="AN44" s="42" t="str">
        <f t="shared" si="17"/>
        <v/>
      </c>
      <c r="AO44" s="14"/>
      <c r="AP44" s="42"/>
    </row>
    <row r="45" spans="1:42" x14ac:dyDescent="0.2">
      <c r="A45" t="str">
        <f>INDEX(Prioritization!$D:$D,MATCH($B45,Prioritization!$A:$A,0))</f>
        <v>1 - Scale-up: Saturation</v>
      </c>
      <c r="B45" t="s">
        <v>199</v>
      </c>
      <c r="C45" t="s">
        <v>469</v>
      </c>
      <c r="D45" t="str">
        <f t="shared" si="0"/>
        <v>Nkhotakota District [YCKiBAp8QAg]|FSW</v>
      </c>
      <c r="E45" s="42"/>
      <c r="F45" s="42"/>
      <c r="G45" s="42"/>
      <c r="H45" s="14"/>
      <c r="I45" s="42"/>
      <c r="J45" s="14"/>
      <c r="K45" s="42"/>
      <c r="L45" s="14"/>
      <c r="M45" s="42"/>
      <c r="N45" s="14"/>
      <c r="O45" s="14"/>
      <c r="P45" s="14" t="str">
        <f t="shared" si="1"/>
        <v/>
      </c>
      <c r="Q45" s="42" t="str">
        <f t="shared" si="2"/>
        <v/>
      </c>
      <c r="R45" s="14"/>
      <c r="S45" s="14" t="str">
        <f t="shared" si="3"/>
        <v/>
      </c>
      <c r="T45" s="14"/>
      <c r="U45" s="90">
        <f t="shared" si="18"/>
        <v>0.98</v>
      </c>
      <c r="V45" s="90">
        <f t="shared" si="18"/>
        <v>0.98</v>
      </c>
      <c r="W45" s="14" t="str">
        <f t="shared" si="5"/>
        <v/>
      </c>
      <c r="X45" s="14" t="str">
        <f t="shared" si="6"/>
        <v/>
      </c>
      <c r="Y45" s="90">
        <f>1</f>
        <v>1</v>
      </c>
      <c r="Z45" s="42" t="str">
        <f t="shared" si="7"/>
        <v/>
      </c>
      <c r="AA45" s="90">
        <f t="shared" si="8"/>
        <v>0.7</v>
      </c>
      <c r="AB45" s="14" t="str">
        <f t="shared" si="9"/>
        <v/>
      </c>
      <c r="AC45" s="90">
        <f t="shared" si="10"/>
        <v>0.95</v>
      </c>
      <c r="AD45" s="42" t="str">
        <f t="shared" si="11"/>
        <v/>
      </c>
      <c r="AE45" s="90">
        <f t="shared" si="12"/>
        <v>0.95</v>
      </c>
      <c r="AF45" s="42" t="str">
        <f t="shared" si="13"/>
        <v/>
      </c>
      <c r="AG45" s="14"/>
      <c r="AH45" s="14"/>
      <c r="AI45" s="90">
        <f t="shared" si="14"/>
        <v>0.95</v>
      </c>
      <c r="AJ45" s="90"/>
      <c r="AK45" s="42" t="str">
        <f t="shared" si="15"/>
        <v/>
      </c>
      <c r="AL45" s="42" t="str">
        <f t="shared" si="16"/>
        <v/>
      </c>
      <c r="AM45" s="90">
        <f>1</f>
        <v>1</v>
      </c>
      <c r="AN45" s="42" t="str">
        <f t="shared" si="17"/>
        <v/>
      </c>
      <c r="AO45" s="14"/>
      <c r="AP45" s="42"/>
    </row>
    <row r="46" spans="1:42" x14ac:dyDescent="0.2">
      <c r="A46" t="str">
        <f>INDEX(Prioritization!$D:$D,MATCH($B46,Prioritization!$A:$A,0))</f>
        <v>1 - Scale-up: Saturation</v>
      </c>
      <c r="B46" t="s">
        <v>199</v>
      </c>
      <c r="C46" t="s">
        <v>470</v>
      </c>
      <c r="D46" t="str">
        <f t="shared" si="0"/>
        <v>Nkhotakota District [YCKiBAp8QAg]|MSM</v>
      </c>
      <c r="E46" s="42"/>
      <c r="F46" s="42"/>
      <c r="G46" s="42"/>
      <c r="H46" s="14"/>
      <c r="I46" s="42"/>
      <c r="J46" s="14"/>
      <c r="K46" s="42"/>
      <c r="L46" s="14"/>
      <c r="M46" s="42"/>
      <c r="N46" s="14"/>
      <c r="O46" s="14"/>
      <c r="P46" s="14" t="str">
        <f t="shared" si="1"/>
        <v/>
      </c>
      <c r="Q46" s="42" t="str">
        <f t="shared" si="2"/>
        <v/>
      </c>
      <c r="R46" s="14"/>
      <c r="S46" s="14" t="str">
        <f t="shared" si="3"/>
        <v/>
      </c>
      <c r="T46" s="14"/>
      <c r="U46" s="90">
        <f t="shared" si="18"/>
        <v>0.98</v>
      </c>
      <c r="V46" s="90">
        <f t="shared" si="18"/>
        <v>0.98</v>
      </c>
      <c r="W46" s="14" t="str">
        <f t="shared" si="5"/>
        <v/>
      </c>
      <c r="X46" s="14" t="str">
        <f t="shared" si="6"/>
        <v/>
      </c>
      <c r="Y46" s="90">
        <f>1</f>
        <v>1</v>
      </c>
      <c r="Z46" s="42" t="str">
        <f t="shared" si="7"/>
        <v/>
      </c>
      <c r="AA46" s="90">
        <f t="shared" si="8"/>
        <v>0.7</v>
      </c>
      <c r="AB46" s="14" t="str">
        <f t="shared" si="9"/>
        <v/>
      </c>
      <c r="AC46" s="90">
        <f t="shared" si="10"/>
        <v>0.95</v>
      </c>
      <c r="AD46" s="42" t="str">
        <f t="shared" si="11"/>
        <v/>
      </c>
      <c r="AE46" s="90">
        <f t="shared" si="12"/>
        <v>0.95</v>
      </c>
      <c r="AF46" s="42" t="str">
        <f t="shared" si="13"/>
        <v/>
      </c>
      <c r="AG46" s="14"/>
      <c r="AH46" s="14"/>
      <c r="AI46" s="90">
        <f t="shared" si="14"/>
        <v>0.95</v>
      </c>
      <c r="AJ46" s="90"/>
      <c r="AK46" s="42" t="str">
        <f t="shared" si="15"/>
        <v/>
      </c>
      <c r="AL46" s="42" t="str">
        <f t="shared" si="16"/>
        <v/>
      </c>
      <c r="AM46" s="90">
        <f>1</f>
        <v>1</v>
      </c>
      <c r="AN46" s="42" t="str">
        <f t="shared" si="17"/>
        <v/>
      </c>
      <c r="AO46" s="14"/>
      <c r="AP46" s="42"/>
    </row>
    <row r="47" spans="1:42" x14ac:dyDescent="0.2">
      <c r="A47" t="str">
        <f>INDEX(Prioritization!$D:$D,MATCH($B47,Prioritization!$A:$A,0))</f>
        <v>1 - Scale-up: Saturation</v>
      </c>
      <c r="B47" t="s">
        <v>199</v>
      </c>
      <c r="C47" t="s">
        <v>471</v>
      </c>
      <c r="D47" t="str">
        <f t="shared" ref="D47:D78" si="19">B47&amp;"|"&amp;C47</f>
        <v>Nkhotakota District [YCKiBAp8QAg]|People in prisons and other enclosed settings</v>
      </c>
      <c r="E47" s="42"/>
      <c r="F47" s="42"/>
      <c r="G47" s="42"/>
      <c r="H47" s="14"/>
      <c r="I47" s="42"/>
      <c r="J47" s="14"/>
      <c r="K47" s="42"/>
      <c r="L47" s="14"/>
      <c r="M47" s="42"/>
      <c r="N47" s="14"/>
      <c r="O47" s="14"/>
      <c r="P47" s="14" t="str">
        <f t="shared" ref="P47:P78" si="20">IF(MAX($N47,$O47)=0,"",MAX($N47,$O47))</f>
        <v/>
      </c>
      <c r="Q47" s="42" t="str">
        <f t="shared" ref="Q47:Q78" si="21">IF(SUM($P47)=0,"",SUM($P47))</f>
        <v/>
      </c>
      <c r="R47" s="14"/>
      <c r="S47" s="14" t="str">
        <f t="shared" ref="S47:S78" si="22">IF(SUM($F47)=0,"",SUM($R47)/$F47)</f>
        <v/>
      </c>
      <c r="T47" s="14"/>
      <c r="U47" s="90">
        <f t="shared" si="18"/>
        <v>0.98</v>
      </c>
      <c r="V47" s="90">
        <f t="shared" si="18"/>
        <v>0.98</v>
      </c>
      <c r="W47" s="14" t="str">
        <f t="shared" ref="W47:W78" si="23">IF(SUM($P47,$Q47)=0,"",SUM($Q47)-SUM($P47))</f>
        <v/>
      </c>
      <c r="X47" s="14" t="str">
        <f t="shared" ref="X47:X78" si="24">IFERROR(1/(1/ROUND((SUM($Q47)-(SUM($P47)*SUM($U47)))/$V47,0)),"")</f>
        <v/>
      </c>
      <c r="Y47" s="90">
        <f>1</f>
        <v>1</v>
      </c>
      <c r="Z47" s="42" t="str">
        <f t="shared" ref="Z47:Z78" si="25">IFERROR(1/(1/ROUND(SUM($X47)*SUM($Y47),0)),"")</f>
        <v/>
      </c>
      <c r="AA47" s="90">
        <f t="shared" ref="AA47:AA78" si="26">0.7</f>
        <v>0.7</v>
      </c>
      <c r="AB47" s="14" t="str">
        <f t="shared" ref="AB47:AB78" si="27">IFERROR(1/(1/ROUND($P47+(SUM($X47)*$AA47),0)),"")</f>
        <v/>
      </c>
      <c r="AC47" s="90">
        <f t="shared" ref="AC47:AC78" si="28">0.95</f>
        <v>0.95</v>
      </c>
      <c r="AD47" s="42" t="str">
        <f t="shared" ref="AD47:AD78" si="29">IF(SUM($AB47)=0,"",ROUND($AB47*$AC47,0))</f>
        <v/>
      </c>
      <c r="AE47" s="90">
        <f t="shared" ref="AE47:AE78" si="30">0.95</f>
        <v>0.95</v>
      </c>
      <c r="AF47" s="42" t="str">
        <f t="shared" ref="AF47:AF78" si="31">IF(SUM($AD47)=0,"",ROUND($AD47*$AE47,0))</f>
        <v/>
      </c>
      <c r="AG47" s="14"/>
      <c r="AH47" s="14"/>
      <c r="AI47" s="90">
        <f t="shared" ref="AI47:AI78" si="32">0.95</f>
        <v>0.95</v>
      </c>
      <c r="AJ47" s="90"/>
      <c r="AK47" s="42" t="str">
        <f t="shared" ref="AK47:AK78" si="33">IF(SUM($Z47)=0,"",IF(AND(SUM($Z47)&gt;0,$AI47=""),"ENTER LINKAGE RATE",ROUND($Z47/$AI47,0)))</f>
        <v/>
      </c>
      <c r="AL47" s="42" t="str">
        <f t="shared" ref="AL47:AL78" si="34">IF(SUM($AK47)=0,"",IF(AND($AK47&gt;0,$AJ47=""),"ENTER YIELD RATE",ROUND($AK47/$AJ47-$AK47,0)))</f>
        <v/>
      </c>
      <c r="AM47" s="90">
        <f>1</f>
        <v>1</v>
      </c>
      <c r="AN47" s="42" t="str">
        <f t="shared" ref="AN47:AN78" si="35">IF(SUM($AK47)=0,"",ROUND($AK47*$AM47,0))</f>
        <v/>
      </c>
      <c r="AO47" s="14"/>
      <c r="AP47" s="42"/>
    </row>
    <row r="48" spans="1:42" x14ac:dyDescent="0.2">
      <c r="A48" t="str">
        <f>INDEX(Prioritization!$D:$D,MATCH($B48,Prioritization!$A:$A,0))</f>
        <v>1 - Scale-up: Saturation</v>
      </c>
      <c r="B48" t="s">
        <v>199</v>
      </c>
      <c r="C48" t="s">
        <v>472</v>
      </c>
      <c r="D48" t="str">
        <f t="shared" si="19"/>
        <v>Nkhotakota District [YCKiBAp8QAg]|PWID</v>
      </c>
      <c r="E48" s="42"/>
      <c r="F48" s="42"/>
      <c r="G48" s="42"/>
      <c r="H48" s="14"/>
      <c r="I48" s="42"/>
      <c r="J48" s="14"/>
      <c r="K48" s="42"/>
      <c r="L48" s="14"/>
      <c r="M48" s="42"/>
      <c r="N48" s="14"/>
      <c r="O48" s="14"/>
      <c r="P48" s="14" t="str">
        <f t="shared" si="20"/>
        <v/>
      </c>
      <c r="Q48" s="42" t="str">
        <f t="shared" si="21"/>
        <v/>
      </c>
      <c r="R48" s="14"/>
      <c r="S48" s="14" t="str">
        <f t="shared" si="22"/>
        <v/>
      </c>
      <c r="T48" s="14"/>
      <c r="U48" s="90">
        <f t="shared" si="18"/>
        <v>0.98</v>
      </c>
      <c r="V48" s="90">
        <f t="shared" si="18"/>
        <v>0.98</v>
      </c>
      <c r="W48" s="14" t="str">
        <f t="shared" si="23"/>
        <v/>
      </c>
      <c r="X48" s="14" t="str">
        <f t="shared" si="24"/>
        <v/>
      </c>
      <c r="Y48" s="90">
        <f>1</f>
        <v>1</v>
      </c>
      <c r="Z48" s="42" t="str">
        <f t="shared" si="25"/>
        <v/>
      </c>
      <c r="AA48" s="90">
        <f t="shared" si="26"/>
        <v>0.7</v>
      </c>
      <c r="AB48" s="14" t="str">
        <f t="shared" si="27"/>
        <v/>
      </c>
      <c r="AC48" s="90">
        <f t="shared" si="28"/>
        <v>0.95</v>
      </c>
      <c r="AD48" s="42" t="str">
        <f t="shared" si="29"/>
        <v/>
      </c>
      <c r="AE48" s="90">
        <f t="shared" si="30"/>
        <v>0.95</v>
      </c>
      <c r="AF48" s="42" t="str">
        <f t="shared" si="31"/>
        <v/>
      </c>
      <c r="AG48" s="14"/>
      <c r="AH48" s="14"/>
      <c r="AI48" s="90">
        <f t="shared" si="32"/>
        <v>0.95</v>
      </c>
      <c r="AJ48" s="90"/>
      <c r="AK48" s="42" t="str">
        <f t="shared" si="33"/>
        <v/>
      </c>
      <c r="AL48" s="42" t="str">
        <f t="shared" si="34"/>
        <v/>
      </c>
      <c r="AM48" s="90">
        <f>1</f>
        <v>1</v>
      </c>
      <c r="AN48" s="42" t="str">
        <f t="shared" si="35"/>
        <v/>
      </c>
      <c r="AO48" s="14"/>
      <c r="AP48" s="42"/>
    </row>
    <row r="49" spans="1:42" x14ac:dyDescent="0.2">
      <c r="A49" t="str">
        <f>INDEX(Prioritization!$D:$D,MATCH($B49,Prioritization!$A:$A,0))</f>
        <v>1 - Scale-up: Saturation</v>
      </c>
      <c r="B49" t="s">
        <v>199</v>
      </c>
      <c r="C49" t="s">
        <v>473</v>
      </c>
      <c r="D49" t="str">
        <f t="shared" si="19"/>
        <v>Nkhotakota District [YCKiBAp8QAg]|TG</v>
      </c>
      <c r="E49" s="42"/>
      <c r="F49" s="42"/>
      <c r="G49" s="42"/>
      <c r="H49" s="14"/>
      <c r="I49" s="42"/>
      <c r="J49" s="14"/>
      <c r="K49" s="42"/>
      <c r="L49" s="14"/>
      <c r="M49" s="42"/>
      <c r="N49" s="14"/>
      <c r="O49" s="14"/>
      <c r="P49" s="14" t="str">
        <f t="shared" si="20"/>
        <v/>
      </c>
      <c r="Q49" s="42" t="str">
        <f t="shared" si="21"/>
        <v/>
      </c>
      <c r="R49" s="14"/>
      <c r="S49" s="14" t="str">
        <f t="shared" si="22"/>
        <v/>
      </c>
      <c r="T49" s="14"/>
      <c r="U49" s="90">
        <f t="shared" si="18"/>
        <v>0.98</v>
      </c>
      <c r="V49" s="90">
        <f t="shared" si="18"/>
        <v>0.98</v>
      </c>
      <c r="W49" s="14" t="str">
        <f t="shared" si="23"/>
        <v/>
      </c>
      <c r="X49" s="14" t="str">
        <f t="shared" si="24"/>
        <v/>
      </c>
      <c r="Y49" s="90">
        <f>1</f>
        <v>1</v>
      </c>
      <c r="Z49" s="42" t="str">
        <f t="shared" si="25"/>
        <v/>
      </c>
      <c r="AA49" s="90">
        <f t="shared" si="26"/>
        <v>0.7</v>
      </c>
      <c r="AB49" s="14" t="str">
        <f t="shared" si="27"/>
        <v/>
      </c>
      <c r="AC49" s="90">
        <f t="shared" si="28"/>
        <v>0.95</v>
      </c>
      <c r="AD49" s="42" t="str">
        <f t="shared" si="29"/>
        <v/>
      </c>
      <c r="AE49" s="90">
        <f t="shared" si="30"/>
        <v>0.95</v>
      </c>
      <c r="AF49" s="42" t="str">
        <f t="shared" si="31"/>
        <v/>
      </c>
      <c r="AG49" s="14"/>
      <c r="AH49" s="14"/>
      <c r="AI49" s="90">
        <f t="shared" si="32"/>
        <v>0.95</v>
      </c>
      <c r="AJ49" s="90"/>
      <c r="AK49" s="42" t="str">
        <f t="shared" si="33"/>
        <v/>
      </c>
      <c r="AL49" s="42" t="str">
        <f t="shared" si="34"/>
        <v/>
      </c>
      <c r="AM49" s="90">
        <f>1</f>
        <v>1</v>
      </c>
      <c r="AN49" s="42" t="str">
        <f t="shared" si="35"/>
        <v/>
      </c>
      <c r="AO49" s="14"/>
      <c r="AP49" s="42"/>
    </row>
    <row r="50" spans="1:42" x14ac:dyDescent="0.2">
      <c r="A50" t="str">
        <f>INDEX(Prioritization!$D:$D,MATCH($B50,Prioritization!$A:$A,0))</f>
        <v>INVALID</v>
      </c>
      <c r="B50" t="s">
        <v>200</v>
      </c>
      <c r="C50" t="s">
        <v>469</v>
      </c>
      <c r="D50" t="str">
        <f t="shared" si="19"/>
        <v>Ntcheu District [am530wpaGvr]|FSW</v>
      </c>
      <c r="E50" s="42"/>
      <c r="F50" s="42"/>
      <c r="G50" s="42"/>
      <c r="H50" s="14"/>
      <c r="I50" s="42"/>
      <c r="J50" s="14"/>
      <c r="K50" s="42"/>
      <c r="L50" s="14"/>
      <c r="M50" s="42"/>
      <c r="N50" s="14"/>
      <c r="O50" s="14"/>
      <c r="P50" s="14" t="str">
        <f t="shared" si="20"/>
        <v/>
      </c>
      <c r="Q50" s="42" t="str">
        <f t="shared" si="21"/>
        <v/>
      </c>
      <c r="R50" s="14"/>
      <c r="S50" s="14" t="str">
        <f t="shared" si="22"/>
        <v/>
      </c>
      <c r="T50" s="14"/>
      <c r="U50" s="90">
        <f t="shared" si="18"/>
        <v>0.98</v>
      </c>
      <c r="V50" s="90">
        <f t="shared" si="18"/>
        <v>0.98</v>
      </c>
      <c r="W50" s="14" t="str">
        <f t="shared" si="23"/>
        <v/>
      </c>
      <c r="X50" s="14" t="str">
        <f t="shared" si="24"/>
        <v/>
      </c>
      <c r="Y50" s="90">
        <f>1</f>
        <v>1</v>
      </c>
      <c r="Z50" s="42" t="str">
        <f t="shared" si="25"/>
        <v/>
      </c>
      <c r="AA50" s="90">
        <f t="shared" si="26"/>
        <v>0.7</v>
      </c>
      <c r="AB50" s="14" t="str">
        <f t="shared" si="27"/>
        <v/>
      </c>
      <c r="AC50" s="90">
        <f t="shared" si="28"/>
        <v>0.95</v>
      </c>
      <c r="AD50" s="42" t="str">
        <f t="shared" si="29"/>
        <v/>
      </c>
      <c r="AE50" s="90">
        <f t="shared" si="30"/>
        <v>0.95</v>
      </c>
      <c r="AF50" s="42" t="str">
        <f t="shared" si="31"/>
        <v/>
      </c>
      <c r="AG50" s="14"/>
      <c r="AH50" s="14"/>
      <c r="AI50" s="90">
        <f t="shared" si="32"/>
        <v>0.95</v>
      </c>
      <c r="AJ50" s="90"/>
      <c r="AK50" s="42" t="str">
        <f t="shared" si="33"/>
        <v/>
      </c>
      <c r="AL50" s="42" t="str">
        <f t="shared" si="34"/>
        <v/>
      </c>
      <c r="AM50" s="90">
        <f>1</f>
        <v>1</v>
      </c>
      <c r="AN50" s="42" t="str">
        <f t="shared" si="35"/>
        <v/>
      </c>
      <c r="AO50" s="14"/>
      <c r="AP50" s="42"/>
    </row>
    <row r="51" spans="1:42" x14ac:dyDescent="0.2">
      <c r="A51" t="str">
        <f>INDEX(Prioritization!$D:$D,MATCH($B51,Prioritization!$A:$A,0))</f>
        <v>INVALID</v>
      </c>
      <c r="B51" t="s">
        <v>200</v>
      </c>
      <c r="C51" t="s">
        <v>470</v>
      </c>
      <c r="D51" t="str">
        <f t="shared" si="19"/>
        <v>Ntcheu District [am530wpaGvr]|MSM</v>
      </c>
      <c r="E51" s="42"/>
      <c r="F51" s="42"/>
      <c r="G51" s="42"/>
      <c r="H51" s="14"/>
      <c r="I51" s="42"/>
      <c r="J51" s="14"/>
      <c r="K51" s="42"/>
      <c r="L51" s="14"/>
      <c r="M51" s="42"/>
      <c r="N51" s="14"/>
      <c r="O51" s="14"/>
      <c r="P51" s="14" t="str">
        <f t="shared" si="20"/>
        <v/>
      </c>
      <c r="Q51" s="42" t="str">
        <f t="shared" si="21"/>
        <v/>
      </c>
      <c r="R51" s="14"/>
      <c r="S51" s="14" t="str">
        <f t="shared" si="22"/>
        <v/>
      </c>
      <c r="T51" s="14"/>
      <c r="U51" s="90">
        <f t="shared" si="18"/>
        <v>0.98</v>
      </c>
      <c r="V51" s="90">
        <f t="shared" si="18"/>
        <v>0.98</v>
      </c>
      <c r="W51" s="14" t="str">
        <f t="shared" si="23"/>
        <v/>
      </c>
      <c r="X51" s="14" t="str">
        <f t="shared" si="24"/>
        <v/>
      </c>
      <c r="Y51" s="90">
        <f>1</f>
        <v>1</v>
      </c>
      <c r="Z51" s="42" t="str">
        <f t="shared" si="25"/>
        <v/>
      </c>
      <c r="AA51" s="90">
        <f t="shared" si="26"/>
        <v>0.7</v>
      </c>
      <c r="AB51" s="14" t="str">
        <f t="shared" si="27"/>
        <v/>
      </c>
      <c r="AC51" s="90">
        <f t="shared" si="28"/>
        <v>0.95</v>
      </c>
      <c r="AD51" s="42" t="str">
        <f t="shared" si="29"/>
        <v/>
      </c>
      <c r="AE51" s="90">
        <f t="shared" si="30"/>
        <v>0.95</v>
      </c>
      <c r="AF51" s="42" t="str">
        <f t="shared" si="31"/>
        <v/>
      </c>
      <c r="AG51" s="14"/>
      <c r="AH51" s="14"/>
      <c r="AI51" s="90">
        <f t="shared" si="32"/>
        <v>0.95</v>
      </c>
      <c r="AJ51" s="90"/>
      <c r="AK51" s="42" t="str">
        <f t="shared" si="33"/>
        <v/>
      </c>
      <c r="AL51" s="42" t="str">
        <f t="shared" si="34"/>
        <v/>
      </c>
      <c r="AM51" s="90">
        <f>1</f>
        <v>1</v>
      </c>
      <c r="AN51" s="42" t="str">
        <f t="shared" si="35"/>
        <v/>
      </c>
      <c r="AO51" s="14"/>
      <c r="AP51" s="42"/>
    </row>
    <row r="52" spans="1:42" x14ac:dyDescent="0.2">
      <c r="A52" t="str">
        <f>INDEX(Prioritization!$D:$D,MATCH($B52,Prioritization!$A:$A,0))</f>
        <v>INVALID</v>
      </c>
      <c r="B52" t="s">
        <v>200</v>
      </c>
      <c r="C52" t="s">
        <v>471</v>
      </c>
      <c r="D52" t="str">
        <f t="shared" si="19"/>
        <v>Ntcheu District [am530wpaGvr]|People in prisons and other enclosed settings</v>
      </c>
      <c r="E52" s="42"/>
      <c r="F52" s="42"/>
      <c r="G52" s="42"/>
      <c r="H52" s="14"/>
      <c r="I52" s="42"/>
      <c r="J52" s="14"/>
      <c r="K52" s="42"/>
      <c r="L52" s="14">
        <v>39</v>
      </c>
      <c r="M52" s="42"/>
      <c r="N52" s="14">
        <v>7</v>
      </c>
      <c r="O52" s="14">
        <v>5</v>
      </c>
      <c r="P52" s="14">
        <f t="shared" si="20"/>
        <v>7</v>
      </c>
      <c r="Q52" s="42">
        <f t="shared" si="21"/>
        <v>7</v>
      </c>
      <c r="R52" s="14"/>
      <c r="S52" s="14" t="str">
        <f t="shared" si="22"/>
        <v/>
      </c>
      <c r="T52" s="14">
        <v>4</v>
      </c>
      <c r="U52" s="90">
        <f t="shared" si="18"/>
        <v>0.98</v>
      </c>
      <c r="V52" s="90">
        <f t="shared" si="18"/>
        <v>0.98</v>
      </c>
      <c r="W52" s="14">
        <f t="shared" si="23"/>
        <v>0</v>
      </c>
      <c r="X52" s="14" t="str">
        <f t="shared" si="24"/>
        <v/>
      </c>
      <c r="Y52" s="90">
        <f>1</f>
        <v>1</v>
      </c>
      <c r="Z52" s="42" t="str">
        <f t="shared" si="25"/>
        <v/>
      </c>
      <c r="AA52" s="90">
        <f t="shared" si="26"/>
        <v>0.7</v>
      </c>
      <c r="AB52" s="14">
        <f t="shared" si="27"/>
        <v>7</v>
      </c>
      <c r="AC52" s="90">
        <f t="shared" si="28"/>
        <v>0.95</v>
      </c>
      <c r="AD52" s="42">
        <f t="shared" si="29"/>
        <v>7</v>
      </c>
      <c r="AE52" s="90">
        <f t="shared" si="30"/>
        <v>0.95</v>
      </c>
      <c r="AF52" s="42">
        <f t="shared" si="31"/>
        <v>7</v>
      </c>
      <c r="AG52" s="14">
        <v>4</v>
      </c>
      <c r="AH52" s="14">
        <v>0</v>
      </c>
      <c r="AI52" s="90">
        <f t="shared" si="32"/>
        <v>0.95</v>
      </c>
      <c r="AJ52" s="90"/>
      <c r="AK52" s="42" t="str">
        <f t="shared" si="33"/>
        <v/>
      </c>
      <c r="AL52" s="42" t="str">
        <f t="shared" si="34"/>
        <v/>
      </c>
      <c r="AM52" s="90">
        <f>1</f>
        <v>1</v>
      </c>
      <c r="AN52" s="42" t="str">
        <f t="shared" si="35"/>
        <v/>
      </c>
      <c r="AO52" s="14">
        <v>57</v>
      </c>
      <c r="AP52" s="42"/>
    </row>
    <row r="53" spans="1:42" x14ac:dyDescent="0.2">
      <c r="A53" t="str">
        <f>INDEX(Prioritization!$D:$D,MATCH($B53,Prioritization!$A:$A,0))</f>
        <v>INVALID</v>
      </c>
      <c r="B53" t="s">
        <v>200</v>
      </c>
      <c r="C53" t="s">
        <v>472</v>
      </c>
      <c r="D53" t="str">
        <f t="shared" si="19"/>
        <v>Ntcheu District [am530wpaGvr]|PWID</v>
      </c>
      <c r="E53" s="42"/>
      <c r="F53" s="42"/>
      <c r="G53" s="42"/>
      <c r="H53" s="14"/>
      <c r="I53" s="42"/>
      <c r="J53" s="14"/>
      <c r="K53" s="42"/>
      <c r="L53" s="14"/>
      <c r="M53" s="42"/>
      <c r="N53" s="14"/>
      <c r="O53" s="14"/>
      <c r="P53" s="14" t="str">
        <f t="shared" si="20"/>
        <v/>
      </c>
      <c r="Q53" s="42" t="str">
        <f t="shared" si="21"/>
        <v/>
      </c>
      <c r="R53" s="14"/>
      <c r="S53" s="14" t="str">
        <f t="shared" si="22"/>
        <v/>
      </c>
      <c r="T53" s="14"/>
      <c r="U53" s="90">
        <f t="shared" si="18"/>
        <v>0.98</v>
      </c>
      <c r="V53" s="90">
        <f t="shared" si="18"/>
        <v>0.98</v>
      </c>
      <c r="W53" s="14" t="str">
        <f t="shared" si="23"/>
        <v/>
      </c>
      <c r="X53" s="14" t="str">
        <f t="shared" si="24"/>
        <v/>
      </c>
      <c r="Y53" s="90">
        <f>1</f>
        <v>1</v>
      </c>
      <c r="Z53" s="42" t="str">
        <f t="shared" si="25"/>
        <v/>
      </c>
      <c r="AA53" s="90">
        <f t="shared" si="26"/>
        <v>0.7</v>
      </c>
      <c r="AB53" s="14" t="str">
        <f t="shared" si="27"/>
        <v/>
      </c>
      <c r="AC53" s="90">
        <f t="shared" si="28"/>
        <v>0.95</v>
      </c>
      <c r="AD53" s="42" t="str">
        <f t="shared" si="29"/>
        <v/>
      </c>
      <c r="AE53" s="90">
        <f t="shared" si="30"/>
        <v>0.95</v>
      </c>
      <c r="AF53" s="42" t="str">
        <f t="shared" si="31"/>
        <v/>
      </c>
      <c r="AG53" s="14"/>
      <c r="AH53" s="14"/>
      <c r="AI53" s="90">
        <f t="shared" si="32"/>
        <v>0.95</v>
      </c>
      <c r="AJ53" s="90"/>
      <c r="AK53" s="42" t="str">
        <f t="shared" si="33"/>
        <v/>
      </c>
      <c r="AL53" s="42" t="str">
        <f t="shared" si="34"/>
        <v/>
      </c>
      <c r="AM53" s="90">
        <f>1</f>
        <v>1</v>
      </c>
      <c r="AN53" s="42" t="str">
        <f t="shared" si="35"/>
        <v/>
      </c>
      <c r="AO53" s="14"/>
      <c r="AP53" s="42"/>
    </row>
    <row r="54" spans="1:42" x14ac:dyDescent="0.2">
      <c r="A54" t="str">
        <f>INDEX(Prioritization!$D:$D,MATCH($B54,Prioritization!$A:$A,0))</f>
        <v>INVALID</v>
      </c>
      <c r="B54" t="s">
        <v>200</v>
      </c>
      <c r="C54" t="s">
        <v>473</v>
      </c>
      <c r="D54" t="str">
        <f t="shared" si="19"/>
        <v>Ntcheu District [am530wpaGvr]|TG</v>
      </c>
      <c r="E54" s="42"/>
      <c r="F54" s="42"/>
      <c r="G54" s="42"/>
      <c r="H54" s="14"/>
      <c r="I54" s="42"/>
      <c r="J54" s="14"/>
      <c r="K54" s="42"/>
      <c r="L54" s="14"/>
      <c r="M54" s="42"/>
      <c r="N54" s="14"/>
      <c r="O54" s="14"/>
      <c r="P54" s="14" t="str">
        <f t="shared" si="20"/>
        <v/>
      </c>
      <c r="Q54" s="42" t="str">
        <f t="shared" si="21"/>
        <v/>
      </c>
      <c r="R54" s="14"/>
      <c r="S54" s="14" t="str">
        <f t="shared" si="22"/>
        <v/>
      </c>
      <c r="T54" s="14"/>
      <c r="U54" s="90">
        <f t="shared" si="18"/>
        <v>0.98</v>
      </c>
      <c r="V54" s="90">
        <f t="shared" si="18"/>
        <v>0.98</v>
      </c>
      <c r="W54" s="14" t="str">
        <f t="shared" si="23"/>
        <v/>
      </c>
      <c r="X54" s="14" t="str">
        <f t="shared" si="24"/>
        <v/>
      </c>
      <c r="Y54" s="90">
        <f>1</f>
        <v>1</v>
      </c>
      <c r="Z54" s="42" t="str">
        <f t="shared" si="25"/>
        <v/>
      </c>
      <c r="AA54" s="90">
        <f t="shared" si="26"/>
        <v>0.7</v>
      </c>
      <c r="AB54" s="14" t="str">
        <f t="shared" si="27"/>
        <v/>
      </c>
      <c r="AC54" s="90">
        <f t="shared" si="28"/>
        <v>0.95</v>
      </c>
      <c r="AD54" s="42" t="str">
        <f t="shared" si="29"/>
        <v/>
      </c>
      <c r="AE54" s="90">
        <f t="shared" si="30"/>
        <v>0.95</v>
      </c>
      <c r="AF54" s="42" t="str">
        <f t="shared" si="31"/>
        <v/>
      </c>
      <c r="AG54" s="14"/>
      <c r="AH54" s="14"/>
      <c r="AI54" s="90">
        <f t="shared" si="32"/>
        <v>0.95</v>
      </c>
      <c r="AJ54" s="90"/>
      <c r="AK54" s="42" t="str">
        <f t="shared" si="33"/>
        <v/>
      </c>
      <c r="AL54" s="42" t="str">
        <f t="shared" si="34"/>
        <v/>
      </c>
      <c r="AM54" s="90">
        <f>1</f>
        <v>1</v>
      </c>
      <c r="AN54" s="42" t="str">
        <f t="shared" si="35"/>
        <v/>
      </c>
      <c r="AO54" s="14"/>
      <c r="AP54" s="42"/>
    </row>
    <row r="55" spans="1:42" x14ac:dyDescent="0.2">
      <c r="A55" t="str">
        <f>INDEX(Prioritization!$D:$D,MATCH($B55,Prioritization!$A:$A,0))</f>
        <v>INVALID</v>
      </c>
      <c r="B55" t="s">
        <v>201</v>
      </c>
      <c r="C55" t="s">
        <v>469</v>
      </c>
      <c r="D55" t="str">
        <f t="shared" si="19"/>
        <v>Ntchisi District [fiRkU6gEjLz]|FSW</v>
      </c>
      <c r="E55" s="42"/>
      <c r="F55" s="42"/>
      <c r="G55" s="42"/>
      <c r="H55" s="14"/>
      <c r="I55" s="42"/>
      <c r="J55" s="14"/>
      <c r="K55" s="42"/>
      <c r="L55" s="14"/>
      <c r="M55" s="42"/>
      <c r="N55" s="14"/>
      <c r="O55" s="14"/>
      <c r="P55" s="14" t="str">
        <f t="shared" si="20"/>
        <v/>
      </c>
      <c r="Q55" s="42" t="str">
        <f t="shared" si="21"/>
        <v/>
      </c>
      <c r="R55" s="14"/>
      <c r="S55" s="14" t="str">
        <f t="shared" si="22"/>
        <v/>
      </c>
      <c r="T55" s="14"/>
      <c r="U55" s="90">
        <f t="shared" ref="U55:V74" si="36">0.98</f>
        <v>0.98</v>
      </c>
      <c r="V55" s="90">
        <f t="shared" si="36"/>
        <v>0.98</v>
      </c>
      <c r="W55" s="14" t="str">
        <f t="shared" si="23"/>
        <v/>
      </c>
      <c r="X55" s="14" t="str">
        <f t="shared" si="24"/>
        <v/>
      </c>
      <c r="Y55" s="90">
        <f>1</f>
        <v>1</v>
      </c>
      <c r="Z55" s="42" t="str">
        <f t="shared" si="25"/>
        <v/>
      </c>
      <c r="AA55" s="90">
        <f t="shared" si="26"/>
        <v>0.7</v>
      </c>
      <c r="AB55" s="14" t="str">
        <f t="shared" si="27"/>
        <v/>
      </c>
      <c r="AC55" s="90">
        <f t="shared" si="28"/>
        <v>0.95</v>
      </c>
      <c r="AD55" s="42" t="str">
        <f t="shared" si="29"/>
        <v/>
      </c>
      <c r="AE55" s="90">
        <f t="shared" si="30"/>
        <v>0.95</v>
      </c>
      <c r="AF55" s="42" t="str">
        <f t="shared" si="31"/>
        <v/>
      </c>
      <c r="AG55" s="14"/>
      <c r="AH55" s="14"/>
      <c r="AI55" s="90">
        <f t="shared" si="32"/>
        <v>0.95</v>
      </c>
      <c r="AJ55" s="90"/>
      <c r="AK55" s="42" t="str">
        <f t="shared" si="33"/>
        <v/>
      </c>
      <c r="AL55" s="42" t="str">
        <f t="shared" si="34"/>
        <v/>
      </c>
      <c r="AM55" s="90">
        <f>1</f>
        <v>1</v>
      </c>
      <c r="AN55" s="42" t="str">
        <f t="shared" si="35"/>
        <v/>
      </c>
      <c r="AO55" s="14"/>
      <c r="AP55" s="42"/>
    </row>
    <row r="56" spans="1:42" x14ac:dyDescent="0.2">
      <c r="A56" t="str">
        <f>INDEX(Prioritization!$D:$D,MATCH($B56,Prioritization!$A:$A,0))</f>
        <v>INVALID</v>
      </c>
      <c r="B56" t="s">
        <v>201</v>
      </c>
      <c r="C56" t="s">
        <v>470</v>
      </c>
      <c r="D56" t="str">
        <f t="shared" si="19"/>
        <v>Ntchisi District [fiRkU6gEjLz]|MSM</v>
      </c>
      <c r="E56" s="42"/>
      <c r="F56" s="42"/>
      <c r="G56" s="42"/>
      <c r="H56" s="14"/>
      <c r="I56" s="42"/>
      <c r="J56" s="14"/>
      <c r="K56" s="42"/>
      <c r="L56" s="14"/>
      <c r="M56" s="42"/>
      <c r="N56" s="14"/>
      <c r="O56" s="14"/>
      <c r="P56" s="14" t="str">
        <f t="shared" si="20"/>
        <v/>
      </c>
      <c r="Q56" s="42" t="str">
        <f t="shared" si="21"/>
        <v/>
      </c>
      <c r="R56" s="14"/>
      <c r="S56" s="14" t="str">
        <f t="shared" si="22"/>
        <v/>
      </c>
      <c r="T56" s="14"/>
      <c r="U56" s="90">
        <f t="shared" si="36"/>
        <v>0.98</v>
      </c>
      <c r="V56" s="90">
        <f t="shared" si="36"/>
        <v>0.98</v>
      </c>
      <c r="W56" s="14" t="str">
        <f t="shared" si="23"/>
        <v/>
      </c>
      <c r="X56" s="14" t="str">
        <f t="shared" si="24"/>
        <v/>
      </c>
      <c r="Y56" s="90">
        <f>1</f>
        <v>1</v>
      </c>
      <c r="Z56" s="42" t="str">
        <f t="shared" si="25"/>
        <v/>
      </c>
      <c r="AA56" s="90">
        <f t="shared" si="26"/>
        <v>0.7</v>
      </c>
      <c r="AB56" s="14" t="str">
        <f t="shared" si="27"/>
        <v/>
      </c>
      <c r="AC56" s="90">
        <f t="shared" si="28"/>
        <v>0.95</v>
      </c>
      <c r="AD56" s="42" t="str">
        <f t="shared" si="29"/>
        <v/>
      </c>
      <c r="AE56" s="90">
        <f t="shared" si="30"/>
        <v>0.95</v>
      </c>
      <c r="AF56" s="42" t="str">
        <f t="shared" si="31"/>
        <v/>
      </c>
      <c r="AG56" s="14"/>
      <c r="AH56" s="14"/>
      <c r="AI56" s="90">
        <f t="shared" si="32"/>
        <v>0.95</v>
      </c>
      <c r="AJ56" s="90"/>
      <c r="AK56" s="42" t="str">
        <f t="shared" si="33"/>
        <v/>
      </c>
      <c r="AL56" s="42" t="str">
        <f t="shared" si="34"/>
        <v/>
      </c>
      <c r="AM56" s="90">
        <f>1</f>
        <v>1</v>
      </c>
      <c r="AN56" s="42" t="str">
        <f t="shared" si="35"/>
        <v/>
      </c>
      <c r="AO56" s="14"/>
      <c r="AP56" s="42"/>
    </row>
    <row r="57" spans="1:42" x14ac:dyDescent="0.2">
      <c r="A57" t="str">
        <f>INDEX(Prioritization!$D:$D,MATCH($B57,Prioritization!$A:$A,0))</f>
        <v>INVALID</v>
      </c>
      <c r="B57" t="s">
        <v>201</v>
      </c>
      <c r="C57" t="s">
        <v>471</v>
      </c>
      <c r="D57" t="str">
        <f t="shared" si="19"/>
        <v>Ntchisi District [fiRkU6gEjLz]|People in prisons and other enclosed settings</v>
      </c>
      <c r="E57" s="42"/>
      <c r="F57" s="42"/>
      <c r="G57" s="42"/>
      <c r="H57" s="14"/>
      <c r="I57" s="42"/>
      <c r="J57" s="14"/>
      <c r="K57" s="42"/>
      <c r="L57" s="14">
        <v>53</v>
      </c>
      <c r="M57" s="42"/>
      <c r="N57" s="14">
        <v>6</v>
      </c>
      <c r="O57" s="14">
        <v>8</v>
      </c>
      <c r="P57" s="14">
        <f t="shared" si="20"/>
        <v>8</v>
      </c>
      <c r="Q57" s="42">
        <f t="shared" si="21"/>
        <v>8</v>
      </c>
      <c r="R57" s="14"/>
      <c r="S57" s="14" t="str">
        <f t="shared" si="22"/>
        <v/>
      </c>
      <c r="T57" s="14">
        <v>7</v>
      </c>
      <c r="U57" s="90">
        <f t="shared" si="36"/>
        <v>0.98</v>
      </c>
      <c r="V57" s="90">
        <f t="shared" si="36"/>
        <v>0.98</v>
      </c>
      <c r="W57" s="14">
        <f t="shared" si="23"/>
        <v>0</v>
      </c>
      <c r="X57" s="14" t="str">
        <f t="shared" si="24"/>
        <v/>
      </c>
      <c r="Y57" s="90">
        <f>1</f>
        <v>1</v>
      </c>
      <c r="Z57" s="42" t="str">
        <f t="shared" si="25"/>
        <v/>
      </c>
      <c r="AA57" s="90">
        <f t="shared" si="26"/>
        <v>0.7</v>
      </c>
      <c r="AB57" s="14">
        <f t="shared" si="27"/>
        <v>8</v>
      </c>
      <c r="AC57" s="90">
        <f t="shared" si="28"/>
        <v>0.95</v>
      </c>
      <c r="AD57" s="42">
        <f t="shared" si="29"/>
        <v>8</v>
      </c>
      <c r="AE57" s="90">
        <f t="shared" si="30"/>
        <v>0.95</v>
      </c>
      <c r="AF57" s="42">
        <f t="shared" si="31"/>
        <v>8</v>
      </c>
      <c r="AG57" s="14">
        <v>8</v>
      </c>
      <c r="AH57" s="14">
        <v>1</v>
      </c>
      <c r="AI57" s="90">
        <f t="shared" si="32"/>
        <v>0.95</v>
      </c>
      <c r="AJ57" s="90"/>
      <c r="AK57" s="42" t="str">
        <f t="shared" si="33"/>
        <v/>
      </c>
      <c r="AL57" s="42" t="str">
        <f t="shared" si="34"/>
        <v/>
      </c>
      <c r="AM57" s="90">
        <f>1</f>
        <v>1</v>
      </c>
      <c r="AN57" s="42" t="str">
        <f t="shared" si="35"/>
        <v/>
      </c>
      <c r="AO57" s="14">
        <v>55</v>
      </c>
      <c r="AP57" s="42"/>
    </row>
    <row r="58" spans="1:42" x14ac:dyDescent="0.2">
      <c r="A58" t="str">
        <f>INDEX(Prioritization!$D:$D,MATCH($B58,Prioritization!$A:$A,0))</f>
        <v>INVALID</v>
      </c>
      <c r="B58" t="s">
        <v>201</v>
      </c>
      <c r="C58" t="s">
        <v>472</v>
      </c>
      <c r="D58" t="str">
        <f t="shared" si="19"/>
        <v>Ntchisi District [fiRkU6gEjLz]|PWID</v>
      </c>
      <c r="E58" s="42"/>
      <c r="F58" s="42"/>
      <c r="G58" s="42"/>
      <c r="H58" s="14"/>
      <c r="I58" s="42"/>
      <c r="J58" s="14"/>
      <c r="K58" s="42"/>
      <c r="L58" s="14"/>
      <c r="M58" s="42"/>
      <c r="N58" s="14"/>
      <c r="O58" s="14"/>
      <c r="P58" s="14" t="str">
        <f t="shared" si="20"/>
        <v/>
      </c>
      <c r="Q58" s="42" t="str">
        <f t="shared" si="21"/>
        <v/>
      </c>
      <c r="R58" s="14"/>
      <c r="S58" s="14" t="str">
        <f t="shared" si="22"/>
        <v/>
      </c>
      <c r="T58" s="14"/>
      <c r="U58" s="90">
        <f t="shared" si="36"/>
        <v>0.98</v>
      </c>
      <c r="V58" s="90">
        <f t="shared" si="36"/>
        <v>0.98</v>
      </c>
      <c r="W58" s="14" t="str">
        <f t="shared" si="23"/>
        <v/>
      </c>
      <c r="X58" s="14" t="str">
        <f t="shared" si="24"/>
        <v/>
      </c>
      <c r="Y58" s="90">
        <f>1</f>
        <v>1</v>
      </c>
      <c r="Z58" s="42" t="str">
        <f t="shared" si="25"/>
        <v/>
      </c>
      <c r="AA58" s="90">
        <f t="shared" si="26"/>
        <v>0.7</v>
      </c>
      <c r="AB58" s="14" t="str">
        <f t="shared" si="27"/>
        <v/>
      </c>
      <c r="AC58" s="90">
        <f t="shared" si="28"/>
        <v>0.95</v>
      </c>
      <c r="AD58" s="42" t="str">
        <f t="shared" si="29"/>
        <v/>
      </c>
      <c r="AE58" s="90">
        <f t="shared" si="30"/>
        <v>0.95</v>
      </c>
      <c r="AF58" s="42" t="str">
        <f t="shared" si="31"/>
        <v/>
      </c>
      <c r="AG58" s="14"/>
      <c r="AH58" s="14"/>
      <c r="AI58" s="90">
        <f t="shared" si="32"/>
        <v>0.95</v>
      </c>
      <c r="AJ58" s="90"/>
      <c r="AK58" s="42" t="str">
        <f t="shared" si="33"/>
        <v/>
      </c>
      <c r="AL58" s="42" t="str">
        <f t="shared" si="34"/>
        <v/>
      </c>
      <c r="AM58" s="90">
        <f>1</f>
        <v>1</v>
      </c>
      <c r="AN58" s="42" t="str">
        <f t="shared" si="35"/>
        <v/>
      </c>
      <c r="AO58" s="14"/>
      <c r="AP58" s="42"/>
    </row>
    <row r="59" spans="1:42" x14ac:dyDescent="0.2">
      <c r="A59" t="str">
        <f>INDEX(Prioritization!$D:$D,MATCH($B59,Prioritization!$A:$A,0))</f>
        <v>INVALID</v>
      </c>
      <c r="B59" t="s">
        <v>201</v>
      </c>
      <c r="C59" t="s">
        <v>473</v>
      </c>
      <c r="D59" t="str">
        <f t="shared" si="19"/>
        <v>Ntchisi District [fiRkU6gEjLz]|TG</v>
      </c>
      <c r="E59" s="42"/>
      <c r="F59" s="42"/>
      <c r="G59" s="42"/>
      <c r="H59" s="14"/>
      <c r="I59" s="42"/>
      <c r="J59" s="14"/>
      <c r="K59" s="42"/>
      <c r="L59" s="14"/>
      <c r="M59" s="42"/>
      <c r="N59" s="14"/>
      <c r="O59" s="14"/>
      <c r="P59" s="14" t="str">
        <f t="shared" si="20"/>
        <v/>
      </c>
      <c r="Q59" s="42" t="str">
        <f t="shared" si="21"/>
        <v/>
      </c>
      <c r="R59" s="14"/>
      <c r="S59" s="14" t="str">
        <f t="shared" si="22"/>
        <v/>
      </c>
      <c r="T59" s="14"/>
      <c r="U59" s="90">
        <f t="shared" si="36"/>
        <v>0.98</v>
      </c>
      <c r="V59" s="90">
        <f t="shared" si="36"/>
        <v>0.98</v>
      </c>
      <c r="W59" s="14" t="str">
        <f t="shared" si="23"/>
        <v/>
      </c>
      <c r="X59" s="14" t="str">
        <f t="shared" si="24"/>
        <v/>
      </c>
      <c r="Y59" s="90">
        <f>1</f>
        <v>1</v>
      </c>
      <c r="Z59" s="42" t="str">
        <f t="shared" si="25"/>
        <v/>
      </c>
      <c r="AA59" s="90">
        <f t="shared" si="26"/>
        <v>0.7</v>
      </c>
      <c r="AB59" s="14" t="str">
        <f t="shared" si="27"/>
        <v/>
      </c>
      <c r="AC59" s="90">
        <f t="shared" si="28"/>
        <v>0.95</v>
      </c>
      <c r="AD59" s="42" t="str">
        <f t="shared" si="29"/>
        <v/>
      </c>
      <c r="AE59" s="90">
        <f t="shared" si="30"/>
        <v>0.95</v>
      </c>
      <c r="AF59" s="42" t="str">
        <f t="shared" si="31"/>
        <v/>
      </c>
      <c r="AG59" s="14"/>
      <c r="AH59" s="14"/>
      <c r="AI59" s="90">
        <f t="shared" si="32"/>
        <v>0.95</v>
      </c>
      <c r="AJ59" s="90"/>
      <c r="AK59" s="42" t="str">
        <f t="shared" si="33"/>
        <v/>
      </c>
      <c r="AL59" s="42" t="str">
        <f t="shared" si="34"/>
        <v/>
      </c>
      <c r="AM59" s="90">
        <f>1</f>
        <v>1</v>
      </c>
      <c r="AN59" s="42" t="str">
        <f t="shared" si="35"/>
        <v/>
      </c>
      <c r="AO59" s="14"/>
      <c r="AP59" s="42"/>
    </row>
    <row r="60" spans="1:42" x14ac:dyDescent="0.2">
      <c r="A60" t="str">
        <f>INDEX(Prioritization!$D:$D,MATCH($B60,Prioritization!$A:$A,0))</f>
        <v>INVALID</v>
      </c>
      <c r="B60" t="s">
        <v>202</v>
      </c>
      <c r="C60" t="s">
        <v>469</v>
      </c>
      <c r="D60" t="str">
        <f t="shared" si="19"/>
        <v>Salima District [msW2zpIN7up]|FSW</v>
      </c>
      <c r="E60" s="42"/>
      <c r="F60" s="42"/>
      <c r="G60" s="42"/>
      <c r="H60" s="14"/>
      <c r="I60" s="42"/>
      <c r="J60" s="14"/>
      <c r="K60" s="42"/>
      <c r="L60" s="14"/>
      <c r="M60" s="42"/>
      <c r="N60" s="14"/>
      <c r="O60" s="14"/>
      <c r="P60" s="14" t="str">
        <f t="shared" si="20"/>
        <v/>
      </c>
      <c r="Q60" s="42" t="str">
        <f t="shared" si="21"/>
        <v/>
      </c>
      <c r="R60" s="14"/>
      <c r="S60" s="14" t="str">
        <f t="shared" si="22"/>
        <v/>
      </c>
      <c r="T60" s="14"/>
      <c r="U60" s="90">
        <f t="shared" si="36"/>
        <v>0.98</v>
      </c>
      <c r="V60" s="90">
        <f t="shared" si="36"/>
        <v>0.98</v>
      </c>
      <c r="W60" s="14" t="str">
        <f t="shared" si="23"/>
        <v/>
      </c>
      <c r="X60" s="14" t="str">
        <f t="shared" si="24"/>
        <v/>
      </c>
      <c r="Y60" s="90">
        <f>1</f>
        <v>1</v>
      </c>
      <c r="Z60" s="42" t="str">
        <f t="shared" si="25"/>
        <v/>
      </c>
      <c r="AA60" s="90">
        <f t="shared" si="26"/>
        <v>0.7</v>
      </c>
      <c r="AB60" s="14" t="str">
        <f t="shared" si="27"/>
        <v/>
      </c>
      <c r="AC60" s="90">
        <f t="shared" si="28"/>
        <v>0.95</v>
      </c>
      <c r="AD60" s="42" t="str">
        <f t="shared" si="29"/>
        <v/>
      </c>
      <c r="AE60" s="90">
        <f t="shared" si="30"/>
        <v>0.95</v>
      </c>
      <c r="AF60" s="42" t="str">
        <f t="shared" si="31"/>
        <v/>
      </c>
      <c r="AG60" s="14"/>
      <c r="AH60" s="14"/>
      <c r="AI60" s="90">
        <f t="shared" si="32"/>
        <v>0.95</v>
      </c>
      <c r="AJ60" s="90"/>
      <c r="AK60" s="42" t="str">
        <f t="shared" si="33"/>
        <v/>
      </c>
      <c r="AL60" s="42" t="str">
        <f t="shared" si="34"/>
        <v/>
      </c>
      <c r="AM60" s="90">
        <f>1</f>
        <v>1</v>
      </c>
      <c r="AN60" s="42" t="str">
        <f t="shared" si="35"/>
        <v/>
      </c>
      <c r="AO60" s="14"/>
      <c r="AP60" s="42"/>
    </row>
    <row r="61" spans="1:42" x14ac:dyDescent="0.2">
      <c r="A61" t="str">
        <f>INDEX(Prioritization!$D:$D,MATCH($B61,Prioritization!$A:$A,0))</f>
        <v>INVALID</v>
      </c>
      <c r="B61" t="s">
        <v>202</v>
      </c>
      <c r="C61" t="s">
        <v>470</v>
      </c>
      <c r="D61" t="str">
        <f t="shared" si="19"/>
        <v>Salima District [msW2zpIN7up]|MSM</v>
      </c>
      <c r="E61" s="42"/>
      <c r="F61" s="42"/>
      <c r="G61" s="42"/>
      <c r="H61" s="14"/>
      <c r="I61" s="42"/>
      <c r="J61" s="14"/>
      <c r="K61" s="42"/>
      <c r="L61" s="14"/>
      <c r="M61" s="42"/>
      <c r="N61" s="14"/>
      <c r="O61" s="14"/>
      <c r="P61" s="14" t="str">
        <f t="shared" si="20"/>
        <v/>
      </c>
      <c r="Q61" s="42" t="str">
        <f t="shared" si="21"/>
        <v/>
      </c>
      <c r="R61" s="14"/>
      <c r="S61" s="14" t="str">
        <f t="shared" si="22"/>
        <v/>
      </c>
      <c r="T61" s="14"/>
      <c r="U61" s="90">
        <f t="shared" si="36"/>
        <v>0.98</v>
      </c>
      <c r="V61" s="90">
        <f t="shared" si="36"/>
        <v>0.98</v>
      </c>
      <c r="W61" s="14" t="str">
        <f t="shared" si="23"/>
        <v/>
      </c>
      <c r="X61" s="14" t="str">
        <f t="shared" si="24"/>
        <v/>
      </c>
      <c r="Y61" s="90">
        <f>1</f>
        <v>1</v>
      </c>
      <c r="Z61" s="42" t="str">
        <f t="shared" si="25"/>
        <v/>
      </c>
      <c r="AA61" s="90">
        <f t="shared" si="26"/>
        <v>0.7</v>
      </c>
      <c r="AB61" s="14" t="str">
        <f t="shared" si="27"/>
        <v/>
      </c>
      <c r="AC61" s="90">
        <f t="shared" si="28"/>
        <v>0.95</v>
      </c>
      <c r="AD61" s="42" t="str">
        <f t="shared" si="29"/>
        <v/>
      </c>
      <c r="AE61" s="90">
        <f t="shared" si="30"/>
        <v>0.95</v>
      </c>
      <c r="AF61" s="42" t="str">
        <f t="shared" si="31"/>
        <v/>
      </c>
      <c r="AG61" s="14"/>
      <c r="AH61" s="14"/>
      <c r="AI61" s="90">
        <f t="shared" si="32"/>
        <v>0.95</v>
      </c>
      <c r="AJ61" s="90"/>
      <c r="AK61" s="42" t="str">
        <f t="shared" si="33"/>
        <v/>
      </c>
      <c r="AL61" s="42" t="str">
        <f t="shared" si="34"/>
        <v/>
      </c>
      <c r="AM61" s="90">
        <f>1</f>
        <v>1</v>
      </c>
      <c r="AN61" s="42" t="str">
        <f t="shared" si="35"/>
        <v/>
      </c>
      <c r="AO61" s="14"/>
      <c r="AP61" s="42"/>
    </row>
    <row r="62" spans="1:42" x14ac:dyDescent="0.2">
      <c r="A62" t="str">
        <f>INDEX(Prioritization!$D:$D,MATCH($B62,Prioritization!$A:$A,0))</f>
        <v>INVALID</v>
      </c>
      <c r="B62" t="s">
        <v>202</v>
      </c>
      <c r="C62" t="s">
        <v>471</v>
      </c>
      <c r="D62" t="str">
        <f t="shared" si="19"/>
        <v>Salima District [msW2zpIN7up]|People in prisons and other enclosed settings</v>
      </c>
      <c r="E62" s="42"/>
      <c r="F62" s="42"/>
      <c r="G62" s="42"/>
      <c r="H62" s="14"/>
      <c r="I62" s="42"/>
      <c r="J62" s="14"/>
      <c r="K62" s="42"/>
      <c r="L62" s="14"/>
      <c r="M62" s="42"/>
      <c r="N62" s="14"/>
      <c r="O62" s="14"/>
      <c r="P62" s="14" t="str">
        <f t="shared" si="20"/>
        <v/>
      </c>
      <c r="Q62" s="42" t="str">
        <f t="shared" si="21"/>
        <v/>
      </c>
      <c r="R62" s="14"/>
      <c r="S62" s="14" t="str">
        <f t="shared" si="22"/>
        <v/>
      </c>
      <c r="T62" s="14"/>
      <c r="U62" s="90">
        <f t="shared" si="36"/>
        <v>0.98</v>
      </c>
      <c r="V62" s="90">
        <f t="shared" si="36"/>
        <v>0.98</v>
      </c>
      <c r="W62" s="14" t="str">
        <f t="shared" si="23"/>
        <v/>
      </c>
      <c r="X62" s="14" t="str">
        <f t="shared" si="24"/>
        <v/>
      </c>
      <c r="Y62" s="90">
        <f>1</f>
        <v>1</v>
      </c>
      <c r="Z62" s="42" t="str">
        <f t="shared" si="25"/>
        <v/>
      </c>
      <c r="AA62" s="90">
        <f t="shared" si="26"/>
        <v>0.7</v>
      </c>
      <c r="AB62" s="14" t="str">
        <f t="shared" si="27"/>
        <v/>
      </c>
      <c r="AC62" s="90">
        <f t="shared" si="28"/>
        <v>0.95</v>
      </c>
      <c r="AD62" s="42" t="str">
        <f t="shared" si="29"/>
        <v/>
      </c>
      <c r="AE62" s="90">
        <f t="shared" si="30"/>
        <v>0.95</v>
      </c>
      <c r="AF62" s="42" t="str">
        <f t="shared" si="31"/>
        <v/>
      </c>
      <c r="AG62" s="14"/>
      <c r="AH62" s="14"/>
      <c r="AI62" s="90">
        <f t="shared" si="32"/>
        <v>0.95</v>
      </c>
      <c r="AJ62" s="90"/>
      <c r="AK62" s="42" t="str">
        <f t="shared" si="33"/>
        <v/>
      </c>
      <c r="AL62" s="42" t="str">
        <f t="shared" si="34"/>
        <v/>
      </c>
      <c r="AM62" s="90">
        <f>1</f>
        <v>1</v>
      </c>
      <c r="AN62" s="42" t="str">
        <f t="shared" si="35"/>
        <v/>
      </c>
      <c r="AO62" s="14"/>
      <c r="AP62" s="42"/>
    </row>
    <row r="63" spans="1:42" x14ac:dyDescent="0.2">
      <c r="A63" t="str">
        <f>INDEX(Prioritization!$D:$D,MATCH($B63,Prioritization!$A:$A,0))</f>
        <v>INVALID</v>
      </c>
      <c r="B63" t="s">
        <v>202</v>
      </c>
      <c r="C63" t="s">
        <v>472</v>
      </c>
      <c r="D63" t="str">
        <f t="shared" si="19"/>
        <v>Salima District [msW2zpIN7up]|PWID</v>
      </c>
      <c r="E63" s="42"/>
      <c r="F63" s="42"/>
      <c r="G63" s="42"/>
      <c r="H63" s="14"/>
      <c r="I63" s="42"/>
      <c r="J63" s="14"/>
      <c r="K63" s="42"/>
      <c r="L63" s="14"/>
      <c r="M63" s="42"/>
      <c r="N63" s="14"/>
      <c r="O63" s="14"/>
      <c r="P63" s="14" t="str">
        <f t="shared" si="20"/>
        <v/>
      </c>
      <c r="Q63" s="42" t="str">
        <f t="shared" si="21"/>
        <v/>
      </c>
      <c r="R63" s="14"/>
      <c r="S63" s="14" t="str">
        <f t="shared" si="22"/>
        <v/>
      </c>
      <c r="T63" s="14"/>
      <c r="U63" s="90">
        <f t="shared" si="36"/>
        <v>0.98</v>
      </c>
      <c r="V63" s="90">
        <f t="shared" si="36"/>
        <v>0.98</v>
      </c>
      <c r="W63" s="14" t="str">
        <f t="shared" si="23"/>
        <v/>
      </c>
      <c r="X63" s="14" t="str">
        <f t="shared" si="24"/>
        <v/>
      </c>
      <c r="Y63" s="90">
        <f>1</f>
        <v>1</v>
      </c>
      <c r="Z63" s="42" t="str">
        <f t="shared" si="25"/>
        <v/>
      </c>
      <c r="AA63" s="90">
        <f t="shared" si="26"/>
        <v>0.7</v>
      </c>
      <c r="AB63" s="14" t="str">
        <f t="shared" si="27"/>
        <v/>
      </c>
      <c r="AC63" s="90">
        <f t="shared" si="28"/>
        <v>0.95</v>
      </c>
      <c r="AD63" s="42" t="str">
        <f t="shared" si="29"/>
        <v/>
      </c>
      <c r="AE63" s="90">
        <f t="shared" si="30"/>
        <v>0.95</v>
      </c>
      <c r="AF63" s="42" t="str">
        <f t="shared" si="31"/>
        <v/>
      </c>
      <c r="AG63" s="14"/>
      <c r="AH63" s="14"/>
      <c r="AI63" s="90">
        <f t="shared" si="32"/>
        <v>0.95</v>
      </c>
      <c r="AJ63" s="90"/>
      <c r="AK63" s="42" t="str">
        <f t="shared" si="33"/>
        <v/>
      </c>
      <c r="AL63" s="42" t="str">
        <f t="shared" si="34"/>
        <v/>
      </c>
      <c r="AM63" s="90">
        <f>1</f>
        <v>1</v>
      </c>
      <c r="AN63" s="42" t="str">
        <f t="shared" si="35"/>
        <v/>
      </c>
      <c r="AO63" s="14"/>
      <c r="AP63" s="42"/>
    </row>
    <row r="64" spans="1:42" x14ac:dyDescent="0.2">
      <c r="A64" t="str">
        <f>INDEX(Prioritization!$D:$D,MATCH($B64,Prioritization!$A:$A,0))</f>
        <v>INVALID</v>
      </c>
      <c r="B64" t="s">
        <v>202</v>
      </c>
      <c r="C64" t="s">
        <v>473</v>
      </c>
      <c r="D64" t="str">
        <f t="shared" si="19"/>
        <v>Salima District [msW2zpIN7up]|TG</v>
      </c>
      <c r="E64" s="42"/>
      <c r="F64" s="42"/>
      <c r="G64" s="42"/>
      <c r="H64" s="14"/>
      <c r="I64" s="42"/>
      <c r="J64" s="14"/>
      <c r="K64" s="42"/>
      <c r="L64" s="14"/>
      <c r="M64" s="42"/>
      <c r="N64" s="14"/>
      <c r="O64" s="14"/>
      <c r="P64" s="14" t="str">
        <f t="shared" si="20"/>
        <v/>
      </c>
      <c r="Q64" s="42" t="str">
        <f t="shared" si="21"/>
        <v/>
      </c>
      <c r="R64" s="14"/>
      <c r="S64" s="14" t="str">
        <f t="shared" si="22"/>
        <v/>
      </c>
      <c r="T64" s="14"/>
      <c r="U64" s="90">
        <f t="shared" si="36"/>
        <v>0.98</v>
      </c>
      <c r="V64" s="90">
        <f t="shared" si="36"/>
        <v>0.98</v>
      </c>
      <c r="W64" s="14" t="str">
        <f t="shared" si="23"/>
        <v/>
      </c>
      <c r="X64" s="14" t="str">
        <f t="shared" si="24"/>
        <v/>
      </c>
      <c r="Y64" s="90">
        <f>1</f>
        <v>1</v>
      </c>
      <c r="Z64" s="42" t="str">
        <f t="shared" si="25"/>
        <v/>
      </c>
      <c r="AA64" s="90">
        <f t="shared" si="26"/>
        <v>0.7</v>
      </c>
      <c r="AB64" s="14" t="str">
        <f t="shared" si="27"/>
        <v/>
      </c>
      <c r="AC64" s="90">
        <f t="shared" si="28"/>
        <v>0.95</v>
      </c>
      <c r="AD64" s="42" t="str">
        <f t="shared" si="29"/>
        <v/>
      </c>
      <c r="AE64" s="90">
        <f t="shared" si="30"/>
        <v>0.95</v>
      </c>
      <c r="AF64" s="42" t="str">
        <f t="shared" si="31"/>
        <v/>
      </c>
      <c r="AG64" s="14"/>
      <c r="AH64" s="14"/>
      <c r="AI64" s="90">
        <f t="shared" si="32"/>
        <v>0.95</v>
      </c>
      <c r="AJ64" s="90"/>
      <c r="AK64" s="42" t="str">
        <f t="shared" si="33"/>
        <v/>
      </c>
      <c r="AL64" s="42" t="str">
        <f t="shared" si="34"/>
        <v/>
      </c>
      <c r="AM64" s="90">
        <f>1</f>
        <v>1</v>
      </c>
      <c r="AN64" s="42" t="str">
        <f t="shared" si="35"/>
        <v/>
      </c>
      <c r="AO64" s="14"/>
      <c r="AP64" s="42"/>
    </row>
    <row r="65" spans="1:42" x14ac:dyDescent="0.2">
      <c r="A65" t="str">
        <f>INDEX(Prioritization!$D:$D,MATCH($B65,Prioritization!$A:$A,0))</f>
        <v>1 - Scale-up: Saturation</v>
      </c>
      <c r="B65" t="s">
        <v>203</v>
      </c>
      <c r="C65" t="s">
        <v>469</v>
      </c>
      <c r="D65" t="str">
        <f t="shared" si="19"/>
        <v>Chitipa District [GkIwZrXy1h2]|FSW</v>
      </c>
      <c r="E65" s="42"/>
      <c r="F65" s="42"/>
      <c r="G65" s="42"/>
      <c r="H65" s="14"/>
      <c r="I65" s="42"/>
      <c r="J65" s="14"/>
      <c r="K65" s="42"/>
      <c r="L65" s="14"/>
      <c r="M65" s="42"/>
      <c r="N65" s="14"/>
      <c r="O65" s="14"/>
      <c r="P65" s="14" t="str">
        <f t="shared" si="20"/>
        <v/>
      </c>
      <c r="Q65" s="42" t="str">
        <f t="shared" si="21"/>
        <v/>
      </c>
      <c r="R65" s="14"/>
      <c r="S65" s="14" t="str">
        <f t="shared" si="22"/>
        <v/>
      </c>
      <c r="T65" s="14"/>
      <c r="U65" s="90">
        <f t="shared" si="36"/>
        <v>0.98</v>
      </c>
      <c r="V65" s="90">
        <f t="shared" si="36"/>
        <v>0.98</v>
      </c>
      <c r="W65" s="14" t="str">
        <f t="shared" si="23"/>
        <v/>
      </c>
      <c r="X65" s="14" t="str">
        <f t="shared" si="24"/>
        <v/>
      </c>
      <c r="Y65" s="90">
        <f>1</f>
        <v>1</v>
      </c>
      <c r="Z65" s="42" t="str">
        <f t="shared" si="25"/>
        <v/>
      </c>
      <c r="AA65" s="90">
        <f t="shared" si="26"/>
        <v>0.7</v>
      </c>
      <c r="AB65" s="14" t="str">
        <f t="shared" si="27"/>
        <v/>
      </c>
      <c r="AC65" s="90">
        <f t="shared" si="28"/>
        <v>0.95</v>
      </c>
      <c r="AD65" s="42" t="str">
        <f t="shared" si="29"/>
        <v/>
      </c>
      <c r="AE65" s="90">
        <f t="shared" si="30"/>
        <v>0.95</v>
      </c>
      <c r="AF65" s="42" t="str">
        <f t="shared" si="31"/>
        <v/>
      </c>
      <c r="AG65" s="14"/>
      <c r="AH65" s="14"/>
      <c r="AI65" s="90">
        <f t="shared" si="32"/>
        <v>0.95</v>
      </c>
      <c r="AJ65" s="90"/>
      <c r="AK65" s="42" t="str">
        <f t="shared" si="33"/>
        <v/>
      </c>
      <c r="AL65" s="42" t="str">
        <f t="shared" si="34"/>
        <v/>
      </c>
      <c r="AM65" s="90">
        <f>1</f>
        <v>1</v>
      </c>
      <c r="AN65" s="42" t="str">
        <f t="shared" si="35"/>
        <v/>
      </c>
      <c r="AO65" s="14"/>
      <c r="AP65" s="42"/>
    </row>
    <row r="66" spans="1:42" x14ac:dyDescent="0.2">
      <c r="A66" t="str">
        <f>INDEX(Prioritization!$D:$D,MATCH($B66,Prioritization!$A:$A,0))</f>
        <v>1 - Scale-up: Saturation</v>
      </c>
      <c r="B66" t="s">
        <v>203</v>
      </c>
      <c r="C66" t="s">
        <v>470</v>
      </c>
      <c r="D66" t="str">
        <f t="shared" si="19"/>
        <v>Chitipa District [GkIwZrXy1h2]|MSM</v>
      </c>
      <c r="E66" s="42"/>
      <c r="F66" s="42"/>
      <c r="G66" s="42"/>
      <c r="H66" s="14"/>
      <c r="I66" s="42"/>
      <c r="J66" s="14"/>
      <c r="K66" s="42"/>
      <c r="L66" s="14"/>
      <c r="M66" s="42"/>
      <c r="N66" s="14"/>
      <c r="O66" s="14"/>
      <c r="P66" s="14" t="str">
        <f t="shared" si="20"/>
        <v/>
      </c>
      <c r="Q66" s="42" t="str">
        <f t="shared" si="21"/>
        <v/>
      </c>
      <c r="R66" s="14"/>
      <c r="S66" s="14" t="str">
        <f t="shared" si="22"/>
        <v/>
      </c>
      <c r="T66" s="14"/>
      <c r="U66" s="90">
        <f t="shared" si="36"/>
        <v>0.98</v>
      </c>
      <c r="V66" s="90">
        <f t="shared" si="36"/>
        <v>0.98</v>
      </c>
      <c r="W66" s="14" t="str">
        <f t="shared" si="23"/>
        <v/>
      </c>
      <c r="X66" s="14" t="str">
        <f t="shared" si="24"/>
        <v/>
      </c>
      <c r="Y66" s="90">
        <f>1</f>
        <v>1</v>
      </c>
      <c r="Z66" s="42" t="str">
        <f t="shared" si="25"/>
        <v/>
      </c>
      <c r="AA66" s="90">
        <f t="shared" si="26"/>
        <v>0.7</v>
      </c>
      <c r="AB66" s="14" t="str">
        <f t="shared" si="27"/>
        <v/>
      </c>
      <c r="AC66" s="90">
        <f t="shared" si="28"/>
        <v>0.95</v>
      </c>
      <c r="AD66" s="42" t="str">
        <f t="shared" si="29"/>
        <v/>
      </c>
      <c r="AE66" s="90">
        <f t="shared" si="30"/>
        <v>0.95</v>
      </c>
      <c r="AF66" s="42" t="str">
        <f t="shared" si="31"/>
        <v/>
      </c>
      <c r="AG66" s="14"/>
      <c r="AH66" s="14"/>
      <c r="AI66" s="90">
        <f t="shared" si="32"/>
        <v>0.95</v>
      </c>
      <c r="AJ66" s="90"/>
      <c r="AK66" s="42" t="str">
        <f t="shared" si="33"/>
        <v/>
      </c>
      <c r="AL66" s="42" t="str">
        <f t="shared" si="34"/>
        <v/>
      </c>
      <c r="AM66" s="90">
        <f>1</f>
        <v>1</v>
      </c>
      <c r="AN66" s="42" t="str">
        <f t="shared" si="35"/>
        <v/>
      </c>
      <c r="AO66" s="14"/>
      <c r="AP66" s="42"/>
    </row>
    <row r="67" spans="1:42" x14ac:dyDescent="0.2">
      <c r="A67" t="str">
        <f>INDEX(Prioritization!$D:$D,MATCH($B67,Prioritization!$A:$A,0))</f>
        <v>1 - Scale-up: Saturation</v>
      </c>
      <c r="B67" t="s">
        <v>203</v>
      </c>
      <c r="C67" t="s">
        <v>471</v>
      </c>
      <c r="D67" t="str">
        <f t="shared" si="19"/>
        <v>Chitipa District [GkIwZrXy1h2]|People in prisons and other enclosed settings</v>
      </c>
      <c r="E67" s="42"/>
      <c r="F67" s="42"/>
      <c r="G67" s="42"/>
      <c r="H67" s="14"/>
      <c r="I67" s="42"/>
      <c r="J67" s="14"/>
      <c r="K67" s="42"/>
      <c r="L67" s="14"/>
      <c r="M67" s="42"/>
      <c r="N67" s="14"/>
      <c r="O67" s="14"/>
      <c r="P67" s="14" t="str">
        <f t="shared" si="20"/>
        <v/>
      </c>
      <c r="Q67" s="42" t="str">
        <f t="shared" si="21"/>
        <v/>
      </c>
      <c r="R67" s="14"/>
      <c r="S67" s="14" t="str">
        <f t="shared" si="22"/>
        <v/>
      </c>
      <c r="T67" s="14"/>
      <c r="U67" s="90">
        <f t="shared" si="36"/>
        <v>0.98</v>
      </c>
      <c r="V67" s="90">
        <f t="shared" si="36"/>
        <v>0.98</v>
      </c>
      <c r="W67" s="14" t="str">
        <f t="shared" si="23"/>
        <v/>
      </c>
      <c r="X67" s="14" t="str">
        <f t="shared" si="24"/>
        <v/>
      </c>
      <c r="Y67" s="90">
        <f>1</f>
        <v>1</v>
      </c>
      <c r="Z67" s="42" t="str">
        <f t="shared" si="25"/>
        <v/>
      </c>
      <c r="AA67" s="90">
        <f t="shared" si="26"/>
        <v>0.7</v>
      </c>
      <c r="AB67" s="14" t="str">
        <f t="shared" si="27"/>
        <v/>
      </c>
      <c r="AC67" s="90">
        <f t="shared" si="28"/>
        <v>0.95</v>
      </c>
      <c r="AD67" s="42" t="str">
        <f t="shared" si="29"/>
        <v/>
      </c>
      <c r="AE67" s="90">
        <f t="shared" si="30"/>
        <v>0.95</v>
      </c>
      <c r="AF67" s="42" t="str">
        <f t="shared" si="31"/>
        <v/>
      </c>
      <c r="AG67" s="14"/>
      <c r="AH67" s="14"/>
      <c r="AI67" s="90">
        <f t="shared" si="32"/>
        <v>0.95</v>
      </c>
      <c r="AJ67" s="90"/>
      <c r="AK67" s="42" t="str">
        <f t="shared" si="33"/>
        <v/>
      </c>
      <c r="AL67" s="42" t="str">
        <f t="shared" si="34"/>
        <v/>
      </c>
      <c r="AM67" s="90">
        <f>1</f>
        <v>1</v>
      </c>
      <c r="AN67" s="42" t="str">
        <f t="shared" si="35"/>
        <v/>
      </c>
      <c r="AO67" s="14"/>
      <c r="AP67" s="42"/>
    </row>
    <row r="68" spans="1:42" x14ac:dyDescent="0.2">
      <c r="A68" t="str">
        <f>INDEX(Prioritization!$D:$D,MATCH($B68,Prioritization!$A:$A,0))</f>
        <v>1 - Scale-up: Saturation</v>
      </c>
      <c r="B68" t="s">
        <v>203</v>
      </c>
      <c r="C68" t="s">
        <v>472</v>
      </c>
      <c r="D68" t="str">
        <f t="shared" si="19"/>
        <v>Chitipa District [GkIwZrXy1h2]|PWID</v>
      </c>
      <c r="E68" s="42"/>
      <c r="F68" s="42"/>
      <c r="G68" s="42"/>
      <c r="H68" s="14"/>
      <c r="I68" s="42"/>
      <c r="J68" s="14"/>
      <c r="K68" s="42"/>
      <c r="L68" s="14"/>
      <c r="M68" s="42"/>
      <c r="N68" s="14"/>
      <c r="O68" s="14"/>
      <c r="P68" s="14" t="str">
        <f t="shared" si="20"/>
        <v/>
      </c>
      <c r="Q68" s="42" t="str">
        <f t="shared" si="21"/>
        <v/>
      </c>
      <c r="R68" s="14"/>
      <c r="S68" s="14" t="str">
        <f t="shared" si="22"/>
        <v/>
      </c>
      <c r="T68" s="14"/>
      <c r="U68" s="90">
        <f t="shared" si="36"/>
        <v>0.98</v>
      </c>
      <c r="V68" s="90">
        <f t="shared" si="36"/>
        <v>0.98</v>
      </c>
      <c r="W68" s="14" t="str">
        <f t="shared" si="23"/>
        <v/>
      </c>
      <c r="X68" s="14" t="str">
        <f t="shared" si="24"/>
        <v/>
      </c>
      <c r="Y68" s="90">
        <f>1</f>
        <v>1</v>
      </c>
      <c r="Z68" s="42" t="str">
        <f t="shared" si="25"/>
        <v/>
      </c>
      <c r="AA68" s="90">
        <f t="shared" si="26"/>
        <v>0.7</v>
      </c>
      <c r="AB68" s="14" t="str">
        <f t="shared" si="27"/>
        <v/>
      </c>
      <c r="AC68" s="90">
        <f t="shared" si="28"/>
        <v>0.95</v>
      </c>
      <c r="AD68" s="42" t="str">
        <f t="shared" si="29"/>
        <v/>
      </c>
      <c r="AE68" s="90">
        <f t="shared" si="30"/>
        <v>0.95</v>
      </c>
      <c r="AF68" s="42" t="str">
        <f t="shared" si="31"/>
        <v/>
      </c>
      <c r="AG68" s="14"/>
      <c r="AH68" s="14"/>
      <c r="AI68" s="90">
        <f t="shared" si="32"/>
        <v>0.95</v>
      </c>
      <c r="AJ68" s="90"/>
      <c r="AK68" s="42" t="str">
        <f t="shared" si="33"/>
        <v/>
      </c>
      <c r="AL68" s="42" t="str">
        <f t="shared" si="34"/>
        <v/>
      </c>
      <c r="AM68" s="90">
        <f>1</f>
        <v>1</v>
      </c>
      <c r="AN68" s="42" t="str">
        <f t="shared" si="35"/>
        <v/>
      </c>
      <c r="AO68" s="14"/>
      <c r="AP68" s="42"/>
    </row>
    <row r="69" spans="1:42" x14ac:dyDescent="0.2">
      <c r="A69" t="str">
        <f>INDEX(Prioritization!$D:$D,MATCH($B69,Prioritization!$A:$A,0))</f>
        <v>1 - Scale-up: Saturation</v>
      </c>
      <c r="B69" t="s">
        <v>203</v>
      </c>
      <c r="C69" t="s">
        <v>473</v>
      </c>
      <c r="D69" t="str">
        <f t="shared" si="19"/>
        <v>Chitipa District [GkIwZrXy1h2]|TG</v>
      </c>
      <c r="E69" s="42"/>
      <c r="F69" s="42"/>
      <c r="G69" s="42"/>
      <c r="H69" s="14"/>
      <c r="I69" s="42"/>
      <c r="J69" s="14"/>
      <c r="K69" s="42"/>
      <c r="L69" s="14"/>
      <c r="M69" s="42"/>
      <c r="N69" s="14"/>
      <c r="O69" s="14"/>
      <c r="P69" s="14" t="str">
        <f t="shared" si="20"/>
        <v/>
      </c>
      <c r="Q69" s="42" t="str">
        <f t="shared" si="21"/>
        <v/>
      </c>
      <c r="R69" s="14"/>
      <c r="S69" s="14" t="str">
        <f t="shared" si="22"/>
        <v/>
      </c>
      <c r="T69" s="14"/>
      <c r="U69" s="90">
        <f t="shared" si="36"/>
        <v>0.98</v>
      </c>
      <c r="V69" s="90">
        <f t="shared" si="36"/>
        <v>0.98</v>
      </c>
      <c r="W69" s="14" t="str">
        <f t="shared" si="23"/>
        <v/>
      </c>
      <c r="X69" s="14" t="str">
        <f t="shared" si="24"/>
        <v/>
      </c>
      <c r="Y69" s="90">
        <f>1</f>
        <v>1</v>
      </c>
      <c r="Z69" s="42" t="str">
        <f t="shared" si="25"/>
        <v/>
      </c>
      <c r="AA69" s="90">
        <f t="shared" si="26"/>
        <v>0.7</v>
      </c>
      <c r="AB69" s="14" t="str">
        <f t="shared" si="27"/>
        <v/>
      </c>
      <c r="AC69" s="90">
        <f t="shared" si="28"/>
        <v>0.95</v>
      </c>
      <c r="AD69" s="42" t="str">
        <f t="shared" si="29"/>
        <v/>
      </c>
      <c r="AE69" s="90">
        <f t="shared" si="30"/>
        <v>0.95</v>
      </c>
      <c r="AF69" s="42" t="str">
        <f t="shared" si="31"/>
        <v/>
      </c>
      <c r="AG69" s="14"/>
      <c r="AH69" s="14"/>
      <c r="AI69" s="90">
        <f t="shared" si="32"/>
        <v>0.95</v>
      </c>
      <c r="AJ69" s="90"/>
      <c r="AK69" s="42" t="str">
        <f t="shared" si="33"/>
        <v/>
      </c>
      <c r="AL69" s="42" t="str">
        <f t="shared" si="34"/>
        <v/>
      </c>
      <c r="AM69" s="90">
        <f>1</f>
        <v>1</v>
      </c>
      <c r="AN69" s="42" t="str">
        <f t="shared" si="35"/>
        <v/>
      </c>
      <c r="AO69" s="14"/>
      <c r="AP69" s="42"/>
    </row>
    <row r="70" spans="1:42" x14ac:dyDescent="0.2">
      <c r="A70" t="str">
        <f>INDEX(Prioritization!$D:$D,MATCH($B70,Prioritization!$A:$A,0))</f>
        <v>INVALID</v>
      </c>
      <c r="B70" t="s">
        <v>204</v>
      </c>
      <c r="C70" t="s">
        <v>469</v>
      </c>
      <c r="D70" t="str">
        <f t="shared" si="19"/>
        <v>Karonga District [cPtvxaZqXIH]|FSW</v>
      </c>
      <c r="E70" s="42"/>
      <c r="F70" s="42"/>
      <c r="G70" s="42"/>
      <c r="H70" s="14"/>
      <c r="I70" s="42"/>
      <c r="J70" s="14"/>
      <c r="K70" s="42"/>
      <c r="L70" s="14"/>
      <c r="M70" s="42"/>
      <c r="N70" s="14"/>
      <c r="O70" s="14"/>
      <c r="P70" s="14" t="str">
        <f t="shared" si="20"/>
        <v/>
      </c>
      <c r="Q70" s="42" t="str">
        <f t="shared" si="21"/>
        <v/>
      </c>
      <c r="R70" s="14"/>
      <c r="S70" s="14" t="str">
        <f t="shared" si="22"/>
        <v/>
      </c>
      <c r="T70" s="14"/>
      <c r="U70" s="90">
        <f t="shared" si="36"/>
        <v>0.98</v>
      </c>
      <c r="V70" s="90">
        <f t="shared" si="36"/>
        <v>0.98</v>
      </c>
      <c r="W70" s="14" t="str">
        <f t="shared" si="23"/>
        <v/>
      </c>
      <c r="X70" s="14" t="str">
        <f t="shared" si="24"/>
        <v/>
      </c>
      <c r="Y70" s="90">
        <f>1</f>
        <v>1</v>
      </c>
      <c r="Z70" s="42" t="str">
        <f t="shared" si="25"/>
        <v/>
      </c>
      <c r="AA70" s="90">
        <f t="shared" si="26"/>
        <v>0.7</v>
      </c>
      <c r="AB70" s="14" t="str">
        <f t="shared" si="27"/>
        <v/>
      </c>
      <c r="AC70" s="90">
        <f t="shared" si="28"/>
        <v>0.95</v>
      </c>
      <c r="AD70" s="42" t="str">
        <f t="shared" si="29"/>
        <v/>
      </c>
      <c r="AE70" s="90">
        <f t="shared" si="30"/>
        <v>0.95</v>
      </c>
      <c r="AF70" s="42" t="str">
        <f t="shared" si="31"/>
        <v/>
      </c>
      <c r="AG70" s="14"/>
      <c r="AH70" s="14"/>
      <c r="AI70" s="90">
        <f t="shared" si="32"/>
        <v>0.95</v>
      </c>
      <c r="AJ70" s="90"/>
      <c r="AK70" s="42" t="str">
        <f t="shared" si="33"/>
        <v/>
      </c>
      <c r="AL70" s="42" t="str">
        <f t="shared" si="34"/>
        <v/>
      </c>
      <c r="AM70" s="90">
        <f>1</f>
        <v>1</v>
      </c>
      <c r="AN70" s="42" t="str">
        <f t="shared" si="35"/>
        <v/>
      </c>
      <c r="AO70" s="14"/>
      <c r="AP70" s="42"/>
    </row>
    <row r="71" spans="1:42" x14ac:dyDescent="0.2">
      <c r="A71" t="str">
        <f>INDEX(Prioritization!$D:$D,MATCH($B71,Prioritization!$A:$A,0))</f>
        <v>INVALID</v>
      </c>
      <c r="B71" t="s">
        <v>204</v>
      </c>
      <c r="C71" t="s">
        <v>470</v>
      </c>
      <c r="D71" t="str">
        <f t="shared" si="19"/>
        <v>Karonga District [cPtvxaZqXIH]|MSM</v>
      </c>
      <c r="E71" s="42"/>
      <c r="F71" s="42"/>
      <c r="G71" s="42"/>
      <c r="H71" s="14"/>
      <c r="I71" s="42"/>
      <c r="J71" s="14"/>
      <c r="K71" s="42"/>
      <c r="L71" s="14"/>
      <c r="M71" s="42"/>
      <c r="N71" s="14"/>
      <c r="O71" s="14"/>
      <c r="P71" s="14" t="str">
        <f t="shared" si="20"/>
        <v/>
      </c>
      <c r="Q71" s="42" t="str">
        <f t="shared" si="21"/>
        <v/>
      </c>
      <c r="R71" s="14"/>
      <c r="S71" s="14" t="str">
        <f t="shared" si="22"/>
        <v/>
      </c>
      <c r="T71" s="14"/>
      <c r="U71" s="90">
        <f t="shared" si="36"/>
        <v>0.98</v>
      </c>
      <c r="V71" s="90">
        <f t="shared" si="36"/>
        <v>0.98</v>
      </c>
      <c r="W71" s="14" t="str">
        <f t="shared" si="23"/>
        <v/>
      </c>
      <c r="X71" s="14" t="str">
        <f t="shared" si="24"/>
        <v/>
      </c>
      <c r="Y71" s="90">
        <f>1</f>
        <v>1</v>
      </c>
      <c r="Z71" s="42" t="str">
        <f t="shared" si="25"/>
        <v/>
      </c>
      <c r="AA71" s="90">
        <f t="shared" si="26"/>
        <v>0.7</v>
      </c>
      <c r="AB71" s="14" t="str">
        <f t="shared" si="27"/>
        <v/>
      </c>
      <c r="AC71" s="90">
        <f t="shared" si="28"/>
        <v>0.95</v>
      </c>
      <c r="AD71" s="42" t="str">
        <f t="shared" si="29"/>
        <v/>
      </c>
      <c r="AE71" s="90">
        <f t="shared" si="30"/>
        <v>0.95</v>
      </c>
      <c r="AF71" s="42" t="str">
        <f t="shared" si="31"/>
        <v/>
      </c>
      <c r="AG71" s="14"/>
      <c r="AH71" s="14"/>
      <c r="AI71" s="90">
        <f t="shared" si="32"/>
        <v>0.95</v>
      </c>
      <c r="AJ71" s="90"/>
      <c r="AK71" s="42" t="str">
        <f t="shared" si="33"/>
        <v/>
      </c>
      <c r="AL71" s="42" t="str">
        <f t="shared" si="34"/>
        <v/>
      </c>
      <c r="AM71" s="90">
        <f>1</f>
        <v>1</v>
      </c>
      <c r="AN71" s="42" t="str">
        <f t="shared" si="35"/>
        <v/>
      </c>
      <c r="AO71" s="14"/>
      <c r="AP71" s="42"/>
    </row>
    <row r="72" spans="1:42" x14ac:dyDescent="0.2">
      <c r="A72" t="str">
        <f>INDEX(Prioritization!$D:$D,MATCH($B72,Prioritization!$A:$A,0))</f>
        <v>INVALID</v>
      </c>
      <c r="B72" t="s">
        <v>204</v>
      </c>
      <c r="C72" t="s">
        <v>471</v>
      </c>
      <c r="D72" t="str">
        <f t="shared" si="19"/>
        <v>Karonga District [cPtvxaZqXIH]|People in prisons and other enclosed settings</v>
      </c>
      <c r="E72" s="42"/>
      <c r="F72" s="42"/>
      <c r="G72" s="42"/>
      <c r="H72" s="14"/>
      <c r="I72" s="42"/>
      <c r="J72" s="14"/>
      <c r="K72" s="42"/>
      <c r="L72" s="14"/>
      <c r="M72" s="42"/>
      <c r="N72" s="14"/>
      <c r="O72" s="14"/>
      <c r="P72" s="14" t="str">
        <f t="shared" si="20"/>
        <v/>
      </c>
      <c r="Q72" s="42" t="str">
        <f t="shared" si="21"/>
        <v/>
      </c>
      <c r="R72" s="14"/>
      <c r="S72" s="14" t="str">
        <f t="shared" si="22"/>
        <v/>
      </c>
      <c r="T72" s="14"/>
      <c r="U72" s="90">
        <f t="shared" si="36"/>
        <v>0.98</v>
      </c>
      <c r="V72" s="90">
        <f t="shared" si="36"/>
        <v>0.98</v>
      </c>
      <c r="W72" s="14" t="str">
        <f t="shared" si="23"/>
        <v/>
      </c>
      <c r="X72" s="14" t="str">
        <f t="shared" si="24"/>
        <v/>
      </c>
      <c r="Y72" s="90">
        <f>1</f>
        <v>1</v>
      </c>
      <c r="Z72" s="42" t="str">
        <f t="shared" si="25"/>
        <v/>
      </c>
      <c r="AA72" s="90">
        <f t="shared" si="26"/>
        <v>0.7</v>
      </c>
      <c r="AB72" s="14" t="str">
        <f t="shared" si="27"/>
        <v/>
      </c>
      <c r="AC72" s="90">
        <f t="shared" si="28"/>
        <v>0.95</v>
      </c>
      <c r="AD72" s="42" t="str">
        <f t="shared" si="29"/>
        <v/>
      </c>
      <c r="AE72" s="90">
        <f t="shared" si="30"/>
        <v>0.95</v>
      </c>
      <c r="AF72" s="42" t="str">
        <f t="shared" si="31"/>
        <v/>
      </c>
      <c r="AG72" s="14"/>
      <c r="AH72" s="14"/>
      <c r="AI72" s="90">
        <f t="shared" si="32"/>
        <v>0.95</v>
      </c>
      <c r="AJ72" s="90"/>
      <c r="AK72" s="42" t="str">
        <f t="shared" si="33"/>
        <v/>
      </c>
      <c r="AL72" s="42" t="str">
        <f t="shared" si="34"/>
        <v/>
      </c>
      <c r="AM72" s="90">
        <f>1</f>
        <v>1</v>
      </c>
      <c r="AN72" s="42" t="str">
        <f t="shared" si="35"/>
        <v/>
      </c>
      <c r="AO72" s="14"/>
      <c r="AP72" s="42"/>
    </row>
    <row r="73" spans="1:42" x14ac:dyDescent="0.2">
      <c r="A73" t="str">
        <f>INDEX(Prioritization!$D:$D,MATCH($B73,Prioritization!$A:$A,0))</f>
        <v>INVALID</v>
      </c>
      <c r="B73" t="s">
        <v>204</v>
      </c>
      <c r="C73" t="s">
        <v>472</v>
      </c>
      <c r="D73" t="str">
        <f t="shared" si="19"/>
        <v>Karonga District [cPtvxaZqXIH]|PWID</v>
      </c>
      <c r="E73" s="42"/>
      <c r="F73" s="42"/>
      <c r="G73" s="42"/>
      <c r="H73" s="14"/>
      <c r="I73" s="42"/>
      <c r="J73" s="14"/>
      <c r="K73" s="42"/>
      <c r="L73" s="14"/>
      <c r="M73" s="42"/>
      <c r="N73" s="14"/>
      <c r="O73" s="14"/>
      <c r="P73" s="14" t="str">
        <f t="shared" si="20"/>
        <v/>
      </c>
      <c r="Q73" s="42" t="str">
        <f t="shared" si="21"/>
        <v/>
      </c>
      <c r="R73" s="14"/>
      <c r="S73" s="14" t="str">
        <f t="shared" si="22"/>
        <v/>
      </c>
      <c r="T73" s="14"/>
      <c r="U73" s="90">
        <f t="shared" si="36"/>
        <v>0.98</v>
      </c>
      <c r="V73" s="90">
        <f t="shared" si="36"/>
        <v>0.98</v>
      </c>
      <c r="W73" s="14" t="str">
        <f t="shared" si="23"/>
        <v/>
      </c>
      <c r="X73" s="14" t="str">
        <f t="shared" si="24"/>
        <v/>
      </c>
      <c r="Y73" s="90">
        <f>1</f>
        <v>1</v>
      </c>
      <c r="Z73" s="42" t="str">
        <f t="shared" si="25"/>
        <v/>
      </c>
      <c r="AA73" s="90">
        <f t="shared" si="26"/>
        <v>0.7</v>
      </c>
      <c r="AB73" s="14" t="str">
        <f t="shared" si="27"/>
        <v/>
      </c>
      <c r="AC73" s="90">
        <f t="shared" si="28"/>
        <v>0.95</v>
      </c>
      <c r="AD73" s="42" t="str">
        <f t="shared" si="29"/>
        <v/>
      </c>
      <c r="AE73" s="90">
        <f t="shared" si="30"/>
        <v>0.95</v>
      </c>
      <c r="AF73" s="42" t="str">
        <f t="shared" si="31"/>
        <v/>
      </c>
      <c r="AG73" s="14"/>
      <c r="AH73" s="14"/>
      <c r="AI73" s="90">
        <f t="shared" si="32"/>
        <v>0.95</v>
      </c>
      <c r="AJ73" s="90"/>
      <c r="AK73" s="42" t="str">
        <f t="shared" si="33"/>
        <v/>
      </c>
      <c r="AL73" s="42" t="str">
        <f t="shared" si="34"/>
        <v/>
      </c>
      <c r="AM73" s="90">
        <f>1</f>
        <v>1</v>
      </c>
      <c r="AN73" s="42" t="str">
        <f t="shared" si="35"/>
        <v/>
      </c>
      <c r="AO73" s="14"/>
      <c r="AP73" s="42"/>
    </row>
    <row r="74" spans="1:42" x14ac:dyDescent="0.2">
      <c r="A74" t="str">
        <f>INDEX(Prioritization!$D:$D,MATCH($B74,Prioritization!$A:$A,0))</f>
        <v>INVALID</v>
      </c>
      <c r="B74" t="s">
        <v>204</v>
      </c>
      <c r="C74" t="s">
        <v>473</v>
      </c>
      <c r="D74" t="str">
        <f t="shared" si="19"/>
        <v>Karonga District [cPtvxaZqXIH]|TG</v>
      </c>
      <c r="E74" s="42"/>
      <c r="F74" s="42"/>
      <c r="G74" s="42"/>
      <c r="H74" s="14"/>
      <c r="I74" s="42"/>
      <c r="J74" s="14"/>
      <c r="K74" s="42"/>
      <c r="L74" s="14"/>
      <c r="M74" s="42"/>
      <c r="N74" s="14"/>
      <c r="O74" s="14"/>
      <c r="P74" s="14" t="str">
        <f t="shared" si="20"/>
        <v/>
      </c>
      <c r="Q74" s="42" t="str">
        <f t="shared" si="21"/>
        <v/>
      </c>
      <c r="R74" s="14"/>
      <c r="S74" s="14" t="str">
        <f t="shared" si="22"/>
        <v/>
      </c>
      <c r="T74" s="14"/>
      <c r="U74" s="90">
        <f t="shared" si="36"/>
        <v>0.98</v>
      </c>
      <c r="V74" s="90">
        <f t="shared" si="36"/>
        <v>0.98</v>
      </c>
      <c r="W74" s="14" t="str">
        <f t="shared" si="23"/>
        <v/>
      </c>
      <c r="X74" s="14" t="str">
        <f t="shared" si="24"/>
        <v/>
      </c>
      <c r="Y74" s="90">
        <f>1</f>
        <v>1</v>
      </c>
      <c r="Z74" s="42" t="str">
        <f t="shared" si="25"/>
        <v/>
      </c>
      <c r="AA74" s="90">
        <f t="shared" si="26"/>
        <v>0.7</v>
      </c>
      <c r="AB74" s="14" t="str">
        <f t="shared" si="27"/>
        <v/>
      </c>
      <c r="AC74" s="90">
        <f t="shared" si="28"/>
        <v>0.95</v>
      </c>
      <c r="AD74" s="42" t="str">
        <f t="shared" si="29"/>
        <v/>
      </c>
      <c r="AE74" s="90">
        <f t="shared" si="30"/>
        <v>0.95</v>
      </c>
      <c r="AF74" s="42" t="str">
        <f t="shared" si="31"/>
        <v/>
      </c>
      <c r="AG74" s="14"/>
      <c r="AH74" s="14"/>
      <c r="AI74" s="90">
        <f t="shared" si="32"/>
        <v>0.95</v>
      </c>
      <c r="AJ74" s="90"/>
      <c r="AK74" s="42" t="str">
        <f t="shared" si="33"/>
        <v/>
      </c>
      <c r="AL74" s="42" t="str">
        <f t="shared" si="34"/>
        <v/>
      </c>
      <c r="AM74" s="90">
        <f>1</f>
        <v>1</v>
      </c>
      <c r="AN74" s="42" t="str">
        <f t="shared" si="35"/>
        <v/>
      </c>
      <c r="AO74" s="14"/>
      <c r="AP74" s="42"/>
    </row>
    <row r="75" spans="1:42" x14ac:dyDescent="0.2">
      <c r="A75" t="str">
        <f>INDEX(Prioritization!$D:$D,MATCH($B75,Prioritization!$A:$A,0))</f>
        <v>INVALID</v>
      </c>
      <c r="B75" t="s">
        <v>205</v>
      </c>
      <c r="C75" t="s">
        <v>469</v>
      </c>
      <c r="D75" t="str">
        <f t="shared" si="19"/>
        <v>Likoma District [ZCjuwgaMB9u]|FSW</v>
      </c>
      <c r="E75" s="42"/>
      <c r="F75" s="42"/>
      <c r="G75" s="42"/>
      <c r="H75" s="14"/>
      <c r="I75" s="42"/>
      <c r="J75" s="14"/>
      <c r="K75" s="42"/>
      <c r="L75" s="14"/>
      <c r="M75" s="42"/>
      <c r="N75" s="14"/>
      <c r="O75" s="14"/>
      <c r="P75" s="14" t="str">
        <f t="shared" si="20"/>
        <v/>
      </c>
      <c r="Q75" s="42" t="str">
        <f t="shared" si="21"/>
        <v/>
      </c>
      <c r="R75" s="14"/>
      <c r="S75" s="14" t="str">
        <f t="shared" si="22"/>
        <v/>
      </c>
      <c r="T75" s="14"/>
      <c r="U75" s="90">
        <f t="shared" ref="U75:V94" si="37">0.98</f>
        <v>0.98</v>
      </c>
      <c r="V75" s="90">
        <f t="shared" si="37"/>
        <v>0.98</v>
      </c>
      <c r="W75" s="14" t="str">
        <f t="shared" si="23"/>
        <v/>
      </c>
      <c r="X75" s="14" t="str">
        <f t="shared" si="24"/>
        <v/>
      </c>
      <c r="Y75" s="90">
        <f>1</f>
        <v>1</v>
      </c>
      <c r="Z75" s="42" t="str">
        <f t="shared" si="25"/>
        <v/>
      </c>
      <c r="AA75" s="90">
        <f t="shared" si="26"/>
        <v>0.7</v>
      </c>
      <c r="AB75" s="14" t="str">
        <f t="shared" si="27"/>
        <v/>
      </c>
      <c r="AC75" s="90">
        <f t="shared" si="28"/>
        <v>0.95</v>
      </c>
      <c r="AD75" s="42" t="str">
        <f t="shared" si="29"/>
        <v/>
      </c>
      <c r="AE75" s="90">
        <f t="shared" si="30"/>
        <v>0.95</v>
      </c>
      <c r="AF75" s="42" t="str">
        <f t="shared" si="31"/>
        <v/>
      </c>
      <c r="AG75" s="14"/>
      <c r="AH75" s="14"/>
      <c r="AI75" s="90">
        <f t="shared" si="32"/>
        <v>0.95</v>
      </c>
      <c r="AJ75" s="90"/>
      <c r="AK75" s="42" t="str">
        <f t="shared" si="33"/>
        <v/>
      </c>
      <c r="AL75" s="42" t="str">
        <f t="shared" si="34"/>
        <v/>
      </c>
      <c r="AM75" s="90">
        <f>1</f>
        <v>1</v>
      </c>
      <c r="AN75" s="42" t="str">
        <f t="shared" si="35"/>
        <v/>
      </c>
      <c r="AO75" s="14"/>
      <c r="AP75" s="42"/>
    </row>
    <row r="76" spans="1:42" x14ac:dyDescent="0.2">
      <c r="A76" t="str">
        <f>INDEX(Prioritization!$D:$D,MATCH($B76,Prioritization!$A:$A,0))</f>
        <v>INVALID</v>
      </c>
      <c r="B76" t="s">
        <v>205</v>
      </c>
      <c r="C76" t="s">
        <v>470</v>
      </c>
      <c r="D76" t="str">
        <f t="shared" si="19"/>
        <v>Likoma District [ZCjuwgaMB9u]|MSM</v>
      </c>
      <c r="E76" s="42"/>
      <c r="F76" s="42"/>
      <c r="G76" s="42"/>
      <c r="H76" s="14"/>
      <c r="I76" s="42"/>
      <c r="J76" s="14"/>
      <c r="K76" s="42"/>
      <c r="L76" s="14"/>
      <c r="M76" s="42"/>
      <c r="N76" s="14"/>
      <c r="O76" s="14"/>
      <c r="P76" s="14" t="str">
        <f t="shared" si="20"/>
        <v/>
      </c>
      <c r="Q76" s="42" t="str">
        <f t="shared" si="21"/>
        <v/>
      </c>
      <c r="R76" s="14"/>
      <c r="S76" s="14" t="str">
        <f t="shared" si="22"/>
        <v/>
      </c>
      <c r="T76" s="14"/>
      <c r="U76" s="90">
        <f t="shared" si="37"/>
        <v>0.98</v>
      </c>
      <c r="V76" s="90">
        <f t="shared" si="37"/>
        <v>0.98</v>
      </c>
      <c r="W76" s="14" t="str">
        <f t="shared" si="23"/>
        <v/>
      </c>
      <c r="X76" s="14" t="str">
        <f t="shared" si="24"/>
        <v/>
      </c>
      <c r="Y76" s="90">
        <f>1</f>
        <v>1</v>
      </c>
      <c r="Z76" s="42" t="str">
        <f t="shared" si="25"/>
        <v/>
      </c>
      <c r="AA76" s="90">
        <f t="shared" si="26"/>
        <v>0.7</v>
      </c>
      <c r="AB76" s="14" t="str">
        <f t="shared" si="27"/>
        <v/>
      </c>
      <c r="AC76" s="90">
        <f t="shared" si="28"/>
        <v>0.95</v>
      </c>
      <c r="AD76" s="42" t="str">
        <f t="shared" si="29"/>
        <v/>
      </c>
      <c r="AE76" s="90">
        <f t="shared" si="30"/>
        <v>0.95</v>
      </c>
      <c r="AF76" s="42" t="str">
        <f t="shared" si="31"/>
        <v/>
      </c>
      <c r="AG76" s="14"/>
      <c r="AH76" s="14"/>
      <c r="AI76" s="90">
        <f t="shared" si="32"/>
        <v>0.95</v>
      </c>
      <c r="AJ76" s="90"/>
      <c r="AK76" s="42" t="str">
        <f t="shared" si="33"/>
        <v/>
      </c>
      <c r="AL76" s="42" t="str">
        <f t="shared" si="34"/>
        <v/>
      </c>
      <c r="AM76" s="90">
        <f>1</f>
        <v>1</v>
      </c>
      <c r="AN76" s="42" t="str">
        <f t="shared" si="35"/>
        <v/>
      </c>
      <c r="AO76" s="14"/>
      <c r="AP76" s="42"/>
    </row>
    <row r="77" spans="1:42" x14ac:dyDescent="0.2">
      <c r="A77" t="str">
        <f>INDEX(Prioritization!$D:$D,MATCH($B77,Prioritization!$A:$A,0))</f>
        <v>INVALID</v>
      </c>
      <c r="B77" t="s">
        <v>205</v>
      </c>
      <c r="C77" t="s">
        <v>471</v>
      </c>
      <c r="D77" t="str">
        <f t="shared" si="19"/>
        <v>Likoma District [ZCjuwgaMB9u]|People in prisons and other enclosed settings</v>
      </c>
      <c r="E77" s="42"/>
      <c r="F77" s="42"/>
      <c r="G77" s="42"/>
      <c r="H77" s="14"/>
      <c r="I77" s="42"/>
      <c r="J77" s="14"/>
      <c r="K77" s="42"/>
      <c r="L77" s="14"/>
      <c r="M77" s="42"/>
      <c r="N77" s="14"/>
      <c r="O77" s="14"/>
      <c r="P77" s="14" t="str">
        <f t="shared" si="20"/>
        <v/>
      </c>
      <c r="Q77" s="42" t="str">
        <f t="shared" si="21"/>
        <v/>
      </c>
      <c r="R77" s="14"/>
      <c r="S77" s="14" t="str">
        <f t="shared" si="22"/>
        <v/>
      </c>
      <c r="T77" s="14"/>
      <c r="U77" s="90">
        <f t="shared" si="37"/>
        <v>0.98</v>
      </c>
      <c r="V77" s="90">
        <f t="shared" si="37"/>
        <v>0.98</v>
      </c>
      <c r="W77" s="14" t="str">
        <f t="shared" si="23"/>
        <v/>
      </c>
      <c r="X77" s="14" t="str">
        <f t="shared" si="24"/>
        <v/>
      </c>
      <c r="Y77" s="90">
        <f>1</f>
        <v>1</v>
      </c>
      <c r="Z77" s="42" t="str">
        <f t="shared" si="25"/>
        <v/>
      </c>
      <c r="AA77" s="90">
        <f t="shared" si="26"/>
        <v>0.7</v>
      </c>
      <c r="AB77" s="14" t="str">
        <f t="shared" si="27"/>
        <v/>
      </c>
      <c r="AC77" s="90">
        <f t="shared" si="28"/>
        <v>0.95</v>
      </c>
      <c r="AD77" s="42" t="str">
        <f t="shared" si="29"/>
        <v/>
      </c>
      <c r="AE77" s="90">
        <f t="shared" si="30"/>
        <v>0.95</v>
      </c>
      <c r="AF77" s="42" t="str">
        <f t="shared" si="31"/>
        <v/>
      </c>
      <c r="AG77" s="14"/>
      <c r="AH77" s="14"/>
      <c r="AI77" s="90">
        <f t="shared" si="32"/>
        <v>0.95</v>
      </c>
      <c r="AJ77" s="90"/>
      <c r="AK77" s="42" t="str">
        <f t="shared" si="33"/>
        <v/>
      </c>
      <c r="AL77" s="42" t="str">
        <f t="shared" si="34"/>
        <v/>
      </c>
      <c r="AM77" s="90">
        <f>1</f>
        <v>1</v>
      </c>
      <c r="AN77" s="42" t="str">
        <f t="shared" si="35"/>
        <v/>
      </c>
      <c r="AO77" s="14"/>
      <c r="AP77" s="42"/>
    </row>
    <row r="78" spans="1:42" x14ac:dyDescent="0.2">
      <c r="A78" t="str">
        <f>INDEX(Prioritization!$D:$D,MATCH($B78,Prioritization!$A:$A,0))</f>
        <v>INVALID</v>
      </c>
      <c r="B78" t="s">
        <v>205</v>
      </c>
      <c r="C78" t="s">
        <v>472</v>
      </c>
      <c r="D78" t="str">
        <f t="shared" si="19"/>
        <v>Likoma District [ZCjuwgaMB9u]|PWID</v>
      </c>
      <c r="E78" s="42"/>
      <c r="F78" s="42"/>
      <c r="G78" s="42"/>
      <c r="H78" s="14"/>
      <c r="I78" s="42"/>
      <c r="J78" s="14"/>
      <c r="K78" s="42"/>
      <c r="L78" s="14"/>
      <c r="M78" s="42"/>
      <c r="N78" s="14"/>
      <c r="O78" s="14"/>
      <c r="P78" s="14" t="str">
        <f t="shared" si="20"/>
        <v/>
      </c>
      <c r="Q78" s="42" t="str">
        <f t="shared" si="21"/>
        <v/>
      </c>
      <c r="R78" s="14"/>
      <c r="S78" s="14" t="str">
        <f t="shared" si="22"/>
        <v/>
      </c>
      <c r="T78" s="14"/>
      <c r="U78" s="90">
        <f t="shared" si="37"/>
        <v>0.98</v>
      </c>
      <c r="V78" s="90">
        <f t="shared" si="37"/>
        <v>0.98</v>
      </c>
      <c r="W78" s="14" t="str">
        <f t="shared" si="23"/>
        <v/>
      </c>
      <c r="X78" s="14" t="str">
        <f t="shared" si="24"/>
        <v/>
      </c>
      <c r="Y78" s="90">
        <f>1</f>
        <v>1</v>
      </c>
      <c r="Z78" s="42" t="str">
        <f t="shared" si="25"/>
        <v/>
      </c>
      <c r="AA78" s="90">
        <f t="shared" si="26"/>
        <v>0.7</v>
      </c>
      <c r="AB78" s="14" t="str">
        <f t="shared" si="27"/>
        <v/>
      </c>
      <c r="AC78" s="90">
        <f t="shared" si="28"/>
        <v>0.95</v>
      </c>
      <c r="AD78" s="42" t="str">
        <f t="shared" si="29"/>
        <v/>
      </c>
      <c r="AE78" s="90">
        <f t="shared" si="30"/>
        <v>0.95</v>
      </c>
      <c r="AF78" s="42" t="str">
        <f t="shared" si="31"/>
        <v/>
      </c>
      <c r="AG78" s="14"/>
      <c r="AH78" s="14"/>
      <c r="AI78" s="90">
        <f t="shared" si="32"/>
        <v>0.95</v>
      </c>
      <c r="AJ78" s="90"/>
      <c r="AK78" s="42" t="str">
        <f t="shared" si="33"/>
        <v/>
      </c>
      <c r="AL78" s="42" t="str">
        <f t="shared" si="34"/>
        <v/>
      </c>
      <c r="AM78" s="90">
        <f>1</f>
        <v>1</v>
      </c>
      <c r="AN78" s="42" t="str">
        <f t="shared" si="35"/>
        <v/>
      </c>
      <c r="AO78" s="14"/>
      <c r="AP78" s="42"/>
    </row>
    <row r="79" spans="1:42" x14ac:dyDescent="0.2">
      <c r="A79" t="str">
        <f>INDEX(Prioritization!$D:$D,MATCH($B79,Prioritization!$A:$A,0))</f>
        <v>INVALID</v>
      </c>
      <c r="B79" t="s">
        <v>205</v>
      </c>
      <c r="C79" t="s">
        <v>473</v>
      </c>
      <c r="D79" t="str">
        <f t="shared" ref="D79:D110" si="38">B79&amp;"|"&amp;C79</f>
        <v>Likoma District [ZCjuwgaMB9u]|TG</v>
      </c>
      <c r="E79" s="42"/>
      <c r="F79" s="42"/>
      <c r="G79" s="42"/>
      <c r="H79" s="14"/>
      <c r="I79" s="42"/>
      <c r="J79" s="14"/>
      <c r="K79" s="42"/>
      <c r="L79" s="14"/>
      <c r="M79" s="42"/>
      <c r="N79" s="14"/>
      <c r="O79" s="14"/>
      <c r="P79" s="14" t="str">
        <f t="shared" ref="P79:P110" si="39">IF(MAX($N79,$O79)=0,"",MAX($N79,$O79))</f>
        <v/>
      </c>
      <c r="Q79" s="42" t="str">
        <f t="shared" ref="Q79:Q110" si="40">IF(SUM($P79)=0,"",SUM($P79))</f>
        <v/>
      </c>
      <c r="R79" s="14"/>
      <c r="S79" s="14" t="str">
        <f t="shared" ref="S79:S110" si="41">IF(SUM($F79)=0,"",SUM($R79)/$F79)</f>
        <v/>
      </c>
      <c r="T79" s="14"/>
      <c r="U79" s="90">
        <f t="shared" si="37"/>
        <v>0.98</v>
      </c>
      <c r="V79" s="90">
        <f t="shared" si="37"/>
        <v>0.98</v>
      </c>
      <c r="W79" s="14" t="str">
        <f t="shared" ref="W79:W110" si="42">IF(SUM($P79,$Q79)=0,"",SUM($Q79)-SUM($P79))</f>
        <v/>
      </c>
      <c r="X79" s="14" t="str">
        <f t="shared" ref="X79:X110" si="43">IFERROR(1/(1/ROUND((SUM($Q79)-(SUM($P79)*SUM($U79)))/$V79,0)),"")</f>
        <v/>
      </c>
      <c r="Y79" s="90">
        <f>1</f>
        <v>1</v>
      </c>
      <c r="Z79" s="42" t="str">
        <f t="shared" ref="Z79:Z110" si="44">IFERROR(1/(1/ROUND(SUM($X79)*SUM($Y79),0)),"")</f>
        <v/>
      </c>
      <c r="AA79" s="90">
        <f t="shared" ref="AA79:AA110" si="45">0.7</f>
        <v>0.7</v>
      </c>
      <c r="AB79" s="14" t="str">
        <f t="shared" ref="AB79:AB110" si="46">IFERROR(1/(1/ROUND($P79+(SUM($X79)*$AA79),0)),"")</f>
        <v/>
      </c>
      <c r="AC79" s="90">
        <f t="shared" ref="AC79:AC110" si="47">0.95</f>
        <v>0.95</v>
      </c>
      <c r="AD79" s="42" t="str">
        <f t="shared" ref="AD79:AD110" si="48">IF(SUM($AB79)=0,"",ROUND($AB79*$AC79,0))</f>
        <v/>
      </c>
      <c r="AE79" s="90">
        <f t="shared" ref="AE79:AE110" si="49">0.95</f>
        <v>0.95</v>
      </c>
      <c r="AF79" s="42" t="str">
        <f t="shared" ref="AF79:AF110" si="50">IF(SUM($AD79)=0,"",ROUND($AD79*$AE79,0))</f>
        <v/>
      </c>
      <c r="AG79" s="14"/>
      <c r="AH79" s="14"/>
      <c r="AI79" s="90">
        <f t="shared" ref="AI79:AI110" si="51">0.95</f>
        <v>0.95</v>
      </c>
      <c r="AJ79" s="90"/>
      <c r="AK79" s="42" t="str">
        <f t="shared" ref="AK79:AK110" si="52">IF(SUM($Z79)=0,"",IF(AND(SUM($Z79)&gt;0,$AI79=""),"ENTER LINKAGE RATE",ROUND($Z79/$AI79,0)))</f>
        <v/>
      </c>
      <c r="AL79" s="42" t="str">
        <f t="shared" ref="AL79:AL110" si="53">IF(SUM($AK79)=0,"",IF(AND($AK79&gt;0,$AJ79=""),"ENTER YIELD RATE",ROUND($AK79/$AJ79-$AK79,0)))</f>
        <v/>
      </c>
      <c r="AM79" s="90">
        <f>1</f>
        <v>1</v>
      </c>
      <c r="AN79" s="42" t="str">
        <f t="shared" ref="AN79:AN110" si="54">IF(SUM($AK79)=0,"",ROUND($AK79*$AM79,0))</f>
        <v/>
      </c>
      <c r="AO79" s="14"/>
      <c r="AP79" s="42"/>
    </row>
    <row r="80" spans="1:42" x14ac:dyDescent="0.2">
      <c r="A80" t="str">
        <f>INDEX(Prioritization!$D:$D,MATCH($B80,Prioritization!$A:$A,0))</f>
        <v>1 - Scale-up: Saturation</v>
      </c>
      <c r="B80" t="s">
        <v>206</v>
      </c>
      <c r="C80" t="s">
        <v>469</v>
      </c>
      <c r="D80" t="str">
        <f t="shared" si="38"/>
        <v>Mzimba District [vA4NcHxfMBq]|FSW</v>
      </c>
      <c r="E80" s="42"/>
      <c r="F80" s="42"/>
      <c r="G80" s="42"/>
      <c r="H80" s="14"/>
      <c r="I80" s="42"/>
      <c r="J80" s="14">
        <v>37</v>
      </c>
      <c r="K80" s="42"/>
      <c r="L80" s="14">
        <v>161</v>
      </c>
      <c r="M80" s="42"/>
      <c r="N80" s="14">
        <v>70</v>
      </c>
      <c r="O80" s="14">
        <v>20</v>
      </c>
      <c r="P80" s="14">
        <f t="shared" si="39"/>
        <v>70</v>
      </c>
      <c r="Q80" s="42">
        <f t="shared" si="40"/>
        <v>70</v>
      </c>
      <c r="R80" s="14"/>
      <c r="S80" s="14" t="str">
        <f t="shared" si="41"/>
        <v/>
      </c>
      <c r="T80" s="14">
        <v>6</v>
      </c>
      <c r="U80" s="90">
        <f t="shared" si="37"/>
        <v>0.98</v>
      </c>
      <c r="V80" s="90">
        <f t="shared" si="37"/>
        <v>0.98</v>
      </c>
      <c r="W80" s="14">
        <f t="shared" si="42"/>
        <v>0</v>
      </c>
      <c r="X80" s="14">
        <f t="shared" si="43"/>
        <v>1</v>
      </c>
      <c r="Y80" s="90">
        <f>1</f>
        <v>1</v>
      </c>
      <c r="Z80" s="42">
        <f t="shared" si="44"/>
        <v>1</v>
      </c>
      <c r="AA80" s="90">
        <f t="shared" si="45"/>
        <v>0.7</v>
      </c>
      <c r="AB80" s="14">
        <f t="shared" si="46"/>
        <v>71</v>
      </c>
      <c r="AC80" s="90">
        <f t="shared" si="47"/>
        <v>0.95</v>
      </c>
      <c r="AD80" s="42">
        <f t="shared" si="48"/>
        <v>67</v>
      </c>
      <c r="AE80" s="90">
        <f t="shared" si="49"/>
        <v>0.95</v>
      </c>
      <c r="AF80" s="42">
        <f t="shared" si="50"/>
        <v>64</v>
      </c>
      <c r="AG80" s="14">
        <v>7</v>
      </c>
      <c r="AH80" s="14">
        <v>0</v>
      </c>
      <c r="AI80" s="90">
        <f t="shared" si="51"/>
        <v>0.95</v>
      </c>
      <c r="AJ80" s="90"/>
      <c r="AK80" s="42">
        <f t="shared" si="52"/>
        <v>1</v>
      </c>
      <c r="AL80" s="42" t="str">
        <f t="shared" si="53"/>
        <v>ENTER YIELD RATE</v>
      </c>
      <c r="AM80" s="90">
        <f>1</f>
        <v>1</v>
      </c>
      <c r="AN80" s="42">
        <f t="shared" si="54"/>
        <v>1</v>
      </c>
      <c r="AO80" s="14">
        <v>544</v>
      </c>
      <c r="AP80" s="42"/>
    </row>
    <row r="81" spans="1:42" x14ac:dyDescent="0.2">
      <c r="A81" t="str">
        <f>INDEX(Prioritization!$D:$D,MATCH($B81,Prioritization!$A:$A,0))</f>
        <v>1 - Scale-up: Saturation</v>
      </c>
      <c r="B81" t="s">
        <v>206</v>
      </c>
      <c r="C81" t="s">
        <v>470</v>
      </c>
      <c r="D81" t="str">
        <f t="shared" si="38"/>
        <v>Mzimba District [vA4NcHxfMBq]|MSM</v>
      </c>
      <c r="E81" s="42"/>
      <c r="F81" s="42"/>
      <c r="G81" s="42"/>
      <c r="H81" s="14"/>
      <c r="I81" s="42"/>
      <c r="J81" s="14">
        <v>97</v>
      </c>
      <c r="K81" s="42"/>
      <c r="L81" s="14">
        <v>12</v>
      </c>
      <c r="M81" s="42"/>
      <c r="N81" s="14">
        <v>71</v>
      </c>
      <c r="O81" s="14">
        <v>77</v>
      </c>
      <c r="P81" s="14">
        <f t="shared" si="39"/>
        <v>77</v>
      </c>
      <c r="Q81" s="42">
        <f t="shared" si="40"/>
        <v>77</v>
      </c>
      <c r="R81" s="14"/>
      <c r="S81" s="14" t="str">
        <f t="shared" si="41"/>
        <v/>
      </c>
      <c r="T81" s="14">
        <v>2</v>
      </c>
      <c r="U81" s="90">
        <f t="shared" si="37"/>
        <v>0.98</v>
      </c>
      <c r="V81" s="90">
        <f t="shared" si="37"/>
        <v>0.98</v>
      </c>
      <c r="W81" s="14">
        <f t="shared" si="42"/>
        <v>0</v>
      </c>
      <c r="X81" s="14">
        <f t="shared" si="43"/>
        <v>2</v>
      </c>
      <c r="Y81" s="90">
        <f>1</f>
        <v>1</v>
      </c>
      <c r="Z81" s="42">
        <f t="shared" si="44"/>
        <v>2</v>
      </c>
      <c r="AA81" s="90">
        <f t="shared" si="45"/>
        <v>0.7</v>
      </c>
      <c r="AB81" s="14">
        <f t="shared" si="46"/>
        <v>78</v>
      </c>
      <c r="AC81" s="90">
        <f t="shared" si="47"/>
        <v>0.95</v>
      </c>
      <c r="AD81" s="42">
        <f t="shared" si="48"/>
        <v>74</v>
      </c>
      <c r="AE81" s="90">
        <f t="shared" si="49"/>
        <v>0.95</v>
      </c>
      <c r="AF81" s="42">
        <f t="shared" si="50"/>
        <v>70</v>
      </c>
      <c r="AG81" s="14">
        <v>8</v>
      </c>
      <c r="AH81" s="14">
        <v>0</v>
      </c>
      <c r="AI81" s="90">
        <f t="shared" si="51"/>
        <v>0.95</v>
      </c>
      <c r="AJ81" s="90"/>
      <c r="AK81" s="42">
        <f t="shared" si="52"/>
        <v>2</v>
      </c>
      <c r="AL81" s="42" t="str">
        <f t="shared" si="53"/>
        <v>ENTER YIELD RATE</v>
      </c>
      <c r="AM81" s="90">
        <f>1</f>
        <v>1</v>
      </c>
      <c r="AN81" s="42">
        <f t="shared" si="54"/>
        <v>2</v>
      </c>
      <c r="AO81" s="14">
        <v>86</v>
      </c>
      <c r="AP81" s="42"/>
    </row>
    <row r="82" spans="1:42" x14ac:dyDescent="0.2">
      <c r="A82" t="str">
        <f>INDEX(Prioritization!$D:$D,MATCH($B82,Prioritization!$A:$A,0))</f>
        <v>1 - Scale-up: Saturation</v>
      </c>
      <c r="B82" t="s">
        <v>206</v>
      </c>
      <c r="C82" t="s">
        <v>471</v>
      </c>
      <c r="D82" t="str">
        <f t="shared" si="38"/>
        <v>Mzimba District [vA4NcHxfMBq]|People in prisons and other enclosed settings</v>
      </c>
      <c r="E82" s="42"/>
      <c r="F82" s="42"/>
      <c r="G82" s="42"/>
      <c r="H82" s="14"/>
      <c r="I82" s="42"/>
      <c r="J82" s="14"/>
      <c r="K82" s="42"/>
      <c r="L82" s="14">
        <v>745</v>
      </c>
      <c r="M82" s="42"/>
      <c r="N82" s="14">
        <v>22</v>
      </c>
      <c r="O82" s="14">
        <v>86</v>
      </c>
      <c r="P82" s="14">
        <f t="shared" si="39"/>
        <v>86</v>
      </c>
      <c r="Q82" s="42">
        <f t="shared" si="40"/>
        <v>86</v>
      </c>
      <c r="R82" s="14"/>
      <c r="S82" s="14" t="str">
        <f t="shared" si="41"/>
        <v/>
      </c>
      <c r="T82" s="14">
        <v>5</v>
      </c>
      <c r="U82" s="90">
        <f t="shared" si="37"/>
        <v>0.98</v>
      </c>
      <c r="V82" s="90">
        <f t="shared" si="37"/>
        <v>0.98</v>
      </c>
      <c r="W82" s="14">
        <f t="shared" si="42"/>
        <v>0</v>
      </c>
      <c r="X82" s="14">
        <f t="shared" si="43"/>
        <v>2</v>
      </c>
      <c r="Y82" s="90">
        <f>1</f>
        <v>1</v>
      </c>
      <c r="Z82" s="42">
        <f t="shared" si="44"/>
        <v>2</v>
      </c>
      <c r="AA82" s="90">
        <f t="shared" si="45"/>
        <v>0.7</v>
      </c>
      <c r="AB82" s="14">
        <f t="shared" si="46"/>
        <v>87</v>
      </c>
      <c r="AC82" s="90">
        <f t="shared" si="47"/>
        <v>0.95</v>
      </c>
      <c r="AD82" s="42">
        <f t="shared" si="48"/>
        <v>83</v>
      </c>
      <c r="AE82" s="90">
        <f t="shared" si="49"/>
        <v>0.95</v>
      </c>
      <c r="AF82" s="42">
        <f t="shared" si="50"/>
        <v>79</v>
      </c>
      <c r="AG82" s="14">
        <v>8</v>
      </c>
      <c r="AH82" s="14">
        <v>1</v>
      </c>
      <c r="AI82" s="90">
        <f t="shared" si="51"/>
        <v>0.95</v>
      </c>
      <c r="AJ82" s="90"/>
      <c r="AK82" s="42">
        <f t="shared" si="52"/>
        <v>2</v>
      </c>
      <c r="AL82" s="42" t="str">
        <f t="shared" si="53"/>
        <v>ENTER YIELD RATE</v>
      </c>
      <c r="AM82" s="90">
        <f>1</f>
        <v>1</v>
      </c>
      <c r="AN82" s="42">
        <f t="shared" si="54"/>
        <v>2</v>
      </c>
      <c r="AO82" s="14">
        <v>543</v>
      </c>
      <c r="AP82" s="42"/>
    </row>
    <row r="83" spans="1:42" x14ac:dyDescent="0.2">
      <c r="A83" t="str">
        <f>INDEX(Prioritization!$D:$D,MATCH($B83,Prioritization!$A:$A,0))</f>
        <v>1 - Scale-up: Saturation</v>
      </c>
      <c r="B83" t="s">
        <v>206</v>
      </c>
      <c r="C83" t="s">
        <v>472</v>
      </c>
      <c r="D83" t="str">
        <f t="shared" si="38"/>
        <v>Mzimba District [vA4NcHxfMBq]|PWID</v>
      </c>
      <c r="E83" s="42"/>
      <c r="F83" s="42"/>
      <c r="G83" s="42"/>
      <c r="H83" s="14"/>
      <c r="I83" s="42"/>
      <c r="J83" s="14"/>
      <c r="K83" s="42"/>
      <c r="L83" s="14"/>
      <c r="M83" s="42"/>
      <c r="N83" s="14"/>
      <c r="O83" s="14"/>
      <c r="P83" s="14" t="str">
        <f t="shared" si="39"/>
        <v/>
      </c>
      <c r="Q83" s="42" t="str">
        <f t="shared" si="40"/>
        <v/>
      </c>
      <c r="R83" s="14"/>
      <c r="S83" s="14" t="str">
        <f t="shared" si="41"/>
        <v/>
      </c>
      <c r="T83" s="14"/>
      <c r="U83" s="90">
        <f t="shared" si="37"/>
        <v>0.98</v>
      </c>
      <c r="V83" s="90">
        <f t="shared" si="37"/>
        <v>0.98</v>
      </c>
      <c r="W83" s="14" t="str">
        <f t="shared" si="42"/>
        <v/>
      </c>
      <c r="X83" s="14" t="str">
        <f t="shared" si="43"/>
        <v/>
      </c>
      <c r="Y83" s="90">
        <f>1</f>
        <v>1</v>
      </c>
      <c r="Z83" s="42" t="str">
        <f t="shared" si="44"/>
        <v/>
      </c>
      <c r="AA83" s="90">
        <f t="shared" si="45"/>
        <v>0.7</v>
      </c>
      <c r="AB83" s="14" t="str">
        <f t="shared" si="46"/>
        <v/>
      </c>
      <c r="AC83" s="90">
        <f t="shared" si="47"/>
        <v>0.95</v>
      </c>
      <c r="AD83" s="42" t="str">
        <f t="shared" si="48"/>
        <v/>
      </c>
      <c r="AE83" s="90">
        <f t="shared" si="49"/>
        <v>0.95</v>
      </c>
      <c r="AF83" s="42" t="str">
        <f t="shared" si="50"/>
        <v/>
      </c>
      <c r="AG83" s="14"/>
      <c r="AH83" s="14"/>
      <c r="AI83" s="90">
        <f t="shared" si="51"/>
        <v>0.95</v>
      </c>
      <c r="AJ83" s="90"/>
      <c r="AK83" s="42" t="str">
        <f t="shared" si="52"/>
        <v/>
      </c>
      <c r="AL83" s="42" t="str">
        <f t="shared" si="53"/>
        <v/>
      </c>
      <c r="AM83" s="90">
        <f>1</f>
        <v>1</v>
      </c>
      <c r="AN83" s="42" t="str">
        <f t="shared" si="54"/>
        <v/>
      </c>
      <c r="AO83" s="14"/>
      <c r="AP83" s="42"/>
    </row>
    <row r="84" spans="1:42" x14ac:dyDescent="0.2">
      <c r="A84" t="str">
        <f>INDEX(Prioritization!$D:$D,MATCH($B84,Prioritization!$A:$A,0))</f>
        <v>1 - Scale-up: Saturation</v>
      </c>
      <c r="B84" t="s">
        <v>206</v>
      </c>
      <c r="C84" t="s">
        <v>473</v>
      </c>
      <c r="D84" t="str">
        <f t="shared" si="38"/>
        <v>Mzimba District [vA4NcHxfMBq]|TG</v>
      </c>
      <c r="E84" s="42"/>
      <c r="F84" s="42"/>
      <c r="G84" s="42"/>
      <c r="H84" s="14"/>
      <c r="I84" s="42"/>
      <c r="J84" s="14"/>
      <c r="K84" s="42"/>
      <c r="L84" s="14">
        <v>4</v>
      </c>
      <c r="M84" s="42"/>
      <c r="N84" s="14">
        <v>1</v>
      </c>
      <c r="O84" s="14">
        <v>6</v>
      </c>
      <c r="P84" s="14">
        <f t="shared" si="39"/>
        <v>6</v>
      </c>
      <c r="Q84" s="42">
        <f t="shared" si="40"/>
        <v>6</v>
      </c>
      <c r="R84" s="14"/>
      <c r="S84" s="14" t="str">
        <f t="shared" si="41"/>
        <v/>
      </c>
      <c r="T84" s="14">
        <v>4</v>
      </c>
      <c r="U84" s="90">
        <f t="shared" si="37"/>
        <v>0.98</v>
      </c>
      <c r="V84" s="90">
        <f t="shared" si="37"/>
        <v>0.98</v>
      </c>
      <c r="W84" s="14">
        <f t="shared" si="42"/>
        <v>0</v>
      </c>
      <c r="X84" s="14" t="str">
        <f t="shared" si="43"/>
        <v/>
      </c>
      <c r="Y84" s="90">
        <f>1</f>
        <v>1</v>
      </c>
      <c r="Z84" s="42" t="str">
        <f t="shared" si="44"/>
        <v/>
      </c>
      <c r="AA84" s="90">
        <f t="shared" si="45"/>
        <v>0.7</v>
      </c>
      <c r="AB84" s="14">
        <f t="shared" si="46"/>
        <v>6</v>
      </c>
      <c r="AC84" s="90">
        <f t="shared" si="47"/>
        <v>0.95</v>
      </c>
      <c r="AD84" s="42">
        <f t="shared" si="48"/>
        <v>6</v>
      </c>
      <c r="AE84" s="90">
        <f t="shared" si="49"/>
        <v>0.95</v>
      </c>
      <c r="AF84" s="42">
        <f t="shared" si="50"/>
        <v>6</v>
      </c>
      <c r="AG84" s="14">
        <v>8</v>
      </c>
      <c r="AH84" s="14">
        <v>1</v>
      </c>
      <c r="AI84" s="90">
        <f t="shared" si="51"/>
        <v>0.95</v>
      </c>
      <c r="AJ84" s="90"/>
      <c r="AK84" s="42" t="str">
        <f t="shared" si="52"/>
        <v/>
      </c>
      <c r="AL84" s="42" t="str">
        <f t="shared" si="53"/>
        <v/>
      </c>
      <c r="AM84" s="90">
        <f>1</f>
        <v>1</v>
      </c>
      <c r="AN84" s="42" t="str">
        <f t="shared" si="54"/>
        <v/>
      </c>
      <c r="AO84" s="14"/>
      <c r="AP84" s="42"/>
    </row>
    <row r="85" spans="1:42" x14ac:dyDescent="0.2">
      <c r="A85" t="str">
        <f>INDEX(Prioritization!$D:$D,MATCH($B85,Prioritization!$A:$A,0))</f>
        <v>INVALID</v>
      </c>
      <c r="B85" t="s">
        <v>207</v>
      </c>
      <c r="C85" t="s">
        <v>469</v>
      </c>
      <c r="D85" t="str">
        <f t="shared" si="38"/>
        <v>Nkhata Bay District [E7zpfyBt7Tw]|FSW</v>
      </c>
      <c r="E85" s="42"/>
      <c r="F85" s="42"/>
      <c r="G85" s="42"/>
      <c r="H85" s="14"/>
      <c r="I85" s="42"/>
      <c r="J85" s="14"/>
      <c r="K85" s="42"/>
      <c r="L85" s="14"/>
      <c r="M85" s="42"/>
      <c r="N85" s="14"/>
      <c r="O85" s="14"/>
      <c r="P85" s="14" t="str">
        <f t="shared" si="39"/>
        <v/>
      </c>
      <c r="Q85" s="42" t="str">
        <f t="shared" si="40"/>
        <v/>
      </c>
      <c r="R85" s="14"/>
      <c r="S85" s="14" t="str">
        <f t="shared" si="41"/>
        <v/>
      </c>
      <c r="T85" s="14"/>
      <c r="U85" s="90">
        <f t="shared" si="37"/>
        <v>0.98</v>
      </c>
      <c r="V85" s="90">
        <f t="shared" si="37"/>
        <v>0.98</v>
      </c>
      <c r="W85" s="14" t="str">
        <f t="shared" si="42"/>
        <v/>
      </c>
      <c r="X85" s="14" t="str">
        <f t="shared" si="43"/>
        <v/>
      </c>
      <c r="Y85" s="90">
        <f>1</f>
        <v>1</v>
      </c>
      <c r="Z85" s="42" t="str">
        <f t="shared" si="44"/>
        <v/>
      </c>
      <c r="AA85" s="90">
        <f t="shared" si="45"/>
        <v>0.7</v>
      </c>
      <c r="AB85" s="14" t="str">
        <f t="shared" si="46"/>
        <v/>
      </c>
      <c r="AC85" s="90">
        <f t="shared" si="47"/>
        <v>0.95</v>
      </c>
      <c r="AD85" s="42" t="str">
        <f t="shared" si="48"/>
        <v/>
      </c>
      <c r="AE85" s="90">
        <f t="shared" si="49"/>
        <v>0.95</v>
      </c>
      <c r="AF85" s="42" t="str">
        <f t="shared" si="50"/>
        <v/>
      </c>
      <c r="AG85" s="14"/>
      <c r="AH85" s="14"/>
      <c r="AI85" s="90">
        <f t="shared" si="51"/>
        <v>0.95</v>
      </c>
      <c r="AJ85" s="90"/>
      <c r="AK85" s="42" t="str">
        <f t="shared" si="52"/>
        <v/>
      </c>
      <c r="AL85" s="42" t="str">
        <f t="shared" si="53"/>
        <v/>
      </c>
      <c r="AM85" s="90">
        <f>1</f>
        <v>1</v>
      </c>
      <c r="AN85" s="42" t="str">
        <f t="shared" si="54"/>
        <v/>
      </c>
      <c r="AO85" s="14"/>
      <c r="AP85" s="42"/>
    </row>
    <row r="86" spans="1:42" x14ac:dyDescent="0.2">
      <c r="A86" t="str">
        <f>INDEX(Prioritization!$D:$D,MATCH($B86,Prioritization!$A:$A,0))</f>
        <v>INVALID</v>
      </c>
      <c r="B86" t="s">
        <v>207</v>
      </c>
      <c r="C86" t="s">
        <v>470</v>
      </c>
      <c r="D86" t="str">
        <f t="shared" si="38"/>
        <v>Nkhata Bay District [E7zpfyBt7Tw]|MSM</v>
      </c>
      <c r="E86" s="42"/>
      <c r="F86" s="42"/>
      <c r="G86" s="42"/>
      <c r="H86" s="14"/>
      <c r="I86" s="42"/>
      <c r="J86" s="14"/>
      <c r="K86" s="42"/>
      <c r="L86" s="14"/>
      <c r="M86" s="42"/>
      <c r="N86" s="14"/>
      <c r="O86" s="14"/>
      <c r="P86" s="14" t="str">
        <f t="shared" si="39"/>
        <v/>
      </c>
      <c r="Q86" s="42" t="str">
        <f t="shared" si="40"/>
        <v/>
      </c>
      <c r="R86" s="14"/>
      <c r="S86" s="14" t="str">
        <f t="shared" si="41"/>
        <v/>
      </c>
      <c r="T86" s="14"/>
      <c r="U86" s="90">
        <f t="shared" si="37"/>
        <v>0.98</v>
      </c>
      <c r="V86" s="90">
        <f t="shared" si="37"/>
        <v>0.98</v>
      </c>
      <c r="W86" s="14" t="str">
        <f t="shared" si="42"/>
        <v/>
      </c>
      <c r="X86" s="14" t="str">
        <f t="shared" si="43"/>
        <v/>
      </c>
      <c r="Y86" s="90">
        <f>1</f>
        <v>1</v>
      </c>
      <c r="Z86" s="42" t="str">
        <f t="shared" si="44"/>
        <v/>
      </c>
      <c r="AA86" s="90">
        <f t="shared" si="45"/>
        <v>0.7</v>
      </c>
      <c r="AB86" s="14" t="str">
        <f t="shared" si="46"/>
        <v/>
      </c>
      <c r="AC86" s="90">
        <f t="shared" si="47"/>
        <v>0.95</v>
      </c>
      <c r="AD86" s="42" t="str">
        <f t="shared" si="48"/>
        <v/>
      </c>
      <c r="AE86" s="90">
        <f t="shared" si="49"/>
        <v>0.95</v>
      </c>
      <c r="AF86" s="42" t="str">
        <f t="shared" si="50"/>
        <v/>
      </c>
      <c r="AG86" s="14"/>
      <c r="AH86" s="14"/>
      <c r="AI86" s="90">
        <f t="shared" si="51"/>
        <v>0.95</v>
      </c>
      <c r="AJ86" s="90"/>
      <c r="AK86" s="42" t="str">
        <f t="shared" si="52"/>
        <v/>
      </c>
      <c r="AL86" s="42" t="str">
        <f t="shared" si="53"/>
        <v/>
      </c>
      <c r="AM86" s="90">
        <f>1</f>
        <v>1</v>
      </c>
      <c r="AN86" s="42" t="str">
        <f t="shared" si="54"/>
        <v/>
      </c>
      <c r="AO86" s="14"/>
      <c r="AP86" s="42"/>
    </row>
    <row r="87" spans="1:42" x14ac:dyDescent="0.2">
      <c r="A87" t="str">
        <f>INDEX(Prioritization!$D:$D,MATCH($B87,Prioritization!$A:$A,0))</f>
        <v>INVALID</v>
      </c>
      <c r="B87" t="s">
        <v>207</v>
      </c>
      <c r="C87" t="s">
        <v>471</v>
      </c>
      <c r="D87" t="str">
        <f t="shared" si="38"/>
        <v>Nkhata Bay District [E7zpfyBt7Tw]|People in prisons and other enclosed settings</v>
      </c>
      <c r="E87" s="42"/>
      <c r="F87" s="42"/>
      <c r="G87" s="42"/>
      <c r="H87" s="14"/>
      <c r="I87" s="42"/>
      <c r="J87" s="14"/>
      <c r="K87" s="42"/>
      <c r="L87" s="14">
        <v>89</v>
      </c>
      <c r="M87" s="42"/>
      <c r="N87" s="14">
        <v>5</v>
      </c>
      <c r="O87" s="14">
        <v>7</v>
      </c>
      <c r="P87" s="14">
        <f t="shared" si="39"/>
        <v>7</v>
      </c>
      <c r="Q87" s="42">
        <f t="shared" si="40"/>
        <v>7</v>
      </c>
      <c r="R87" s="14"/>
      <c r="S87" s="14" t="str">
        <f t="shared" si="41"/>
        <v/>
      </c>
      <c r="T87" s="14">
        <v>2</v>
      </c>
      <c r="U87" s="90">
        <f t="shared" si="37"/>
        <v>0.98</v>
      </c>
      <c r="V87" s="90">
        <f t="shared" si="37"/>
        <v>0.98</v>
      </c>
      <c r="W87" s="14">
        <f t="shared" si="42"/>
        <v>0</v>
      </c>
      <c r="X87" s="14" t="str">
        <f t="shared" si="43"/>
        <v/>
      </c>
      <c r="Y87" s="90">
        <f>1</f>
        <v>1</v>
      </c>
      <c r="Z87" s="42" t="str">
        <f t="shared" si="44"/>
        <v/>
      </c>
      <c r="AA87" s="90">
        <f t="shared" si="45"/>
        <v>0.7</v>
      </c>
      <c r="AB87" s="14">
        <f t="shared" si="46"/>
        <v>7</v>
      </c>
      <c r="AC87" s="90">
        <f t="shared" si="47"/>
        <v>0.95</v>
      </c>
      <c r="AD87" s="42">
        <f t="shared" si="48"/>
        <v>7</v>
      </c>
      <c r="AE87" s="90">
        <f t="shared" si="49"/>
        <v>0.95</v>
      </c>
      <c r="AF87" s="42">
        <f t="shared" si="50"/>
        <v>7</v>
      </c>
      <c r="AG87" s="14">
        <v>6</v>
      </c>
      <c r="AH87" s="14">
        <v>1</v>
      </c>
      <c r="AI87" s="90">
        <f t="shared" si="51"/>
        <v>0.95</v>
      </c>
      <c r="AJ87" s="90"/>
      <c r="AK87" s="42" t="str">
        <f t="shared" si="52"/>
        <v/>
      </c>
      <c r="AL87" s="42" t="str">
        <f t="shared" si="53"/>
        <v/>
      </c>
      <c r="AM87" s="90">
        <f>1</f>
        <v>1</v>
      </c>
      <c r="AN87" s="42" t="str">
        <f t="shared" si="54"/>
        <v/>
      </c>
      <c r="AO87" s="14">
        <v>44</v>
      </c>
      <c r="AP87" s="42"/>
    </row>
    <row r="88" spans="1:42" x14ac:dyDescent="0.2">
      <c r="A88" t="str">
        <f>INDEX(Prioritization!$D:$D,MATCH($B88,Prioritization!$A:$A,0))</f>
        <v>INVALID</v>
      </c>
      <c r="B88" t="s">
        <v>207</v>
      </c>
      <c r="C88" t="s">
        <v>472</v>
      </c>
      <c r="D88" t="str">
        <f t="shared" si="38"/>
        <v>Nkhata Bay District [E7zpfyBt7Tw]|PWID</v>
      </c>
      <c r="E88" s="42"/>
      <c r="F88" s="42"/>
      <c r="G88" s="42"/>
      <c r="H88" s="14"/>
      <c r="I88" s="42"/>
      <c r="J88" s="14"/>
      <c r="K88" s="42"/>
      <c r="L88" s="14"/>
      <c r="M88" s="42"/>
      <c r="N88" s="14"/>
      <c r="O88" s="14"/>
      <c r="P88" s="14" t="str">
        <f t="shared" si="39"/>
        <v/>
      </c>
      <c r="Q88" s="42" t="str">
        <f t="shared" si="40"/>
        <v/>
      </c>
      <c r="R88" s="14"/>
      <c r="S88" s="14" t="str">
        <f t="shared" si="41"/>
        <v/>
      </c>
      <c r="T88" s="14"/>
      <c r="U88" s="90">
        <f t="shared" si="37"/>
        <v>0.98</v>
      </c>
      <c r="V88" s="90">
        <f t="shared" si="37"/>
        <v>0.98</v>
      </c>
      <c r="W88" s="14" t="str">
        <f t="shared" si="42"/>
        <v/>
      </c>
      <c r="X88" s="14" t="str">
        <f t="shared" si="43"/>
        <v/>
      </c>
      <c r="Y88" s="90">
        <f>1</f>
        <v>1</v>
      </c>
      <c r="Z88" s="42" t="str">
        <f t="shared" si="44"/>
        <v/>
      </c>
      <c r="AA88" s="90">
        <f t="shared" si="45"/>
        <v>0.7</v>
      </c>
      <c r="AB88" s="14" t="str">
        <f t="shared" si="46"/>
        <v/>
      </c>
      <c r="AC88" s="90">
        <f t="shared" si="47"/>
        <v>0.95</v>
      </c>
      <c r="AD88" s="42" t="str">
        <f t="shared" si="48"/>
        <v/>
      </c>
      <c r="AE88" s="90">
        <f t="shared" si="49"/>
        <v>0.95</v>
      </c>
      <c r="AF88" s="42" t="str">
        <f t="shared" si="50"/>
        <v/>
      </c>
      <c r="AG88" s="14"/>
      <c r="AH88" s="14"/>
      <c r="AI88" s="90">
        <f t="shared" si="51"/>
        <v>0.95</v>
      </c>
      <c r="AJ88" s="90"/>
      <c r="AK88" s="42" t="str">
        <f t="shared" si="52"/>
        <v/>
      </c>
      <c r="AL88" s="42" t="str">
        <f t="shared" si="53"/>
        <v/>
      </c>
      <c r="AM88" s="90">
        <f>1</f>
        <v>1</v>
      </c>
      <c r="AN88" s="42" t="str">
        <f t="shared" si="54"/>
        <v/>
      </c>
      <c r="AO88" s="14"/>
      <c r="AP88" s="42"/>
    </row>
    <row r="89" spans="1:42" x14ac:dyDescent="0.2">
      <c r="A89" t="str">
        <f>INDEX(Prioritization!$D:$D,MATCH($B89,Prioritization!$A:$A,0))</f>
        <v>INVALID</v>
      </c>
      <c r="B89" t="s">
        <v>207</v>
      </c>
      <c r="C89" t="s">
        <v>473</v>
      </c>
      <c r="D89" t="str">
        <f t="shared" si="38"/>
        <v>Nkhata Bay District [E7zpfyBt7Tw]|TG</v>
      </c>
      <c r="E89" s="42"/>
      <c r="F89" s="42"/>
      <c r="G89" s="42"/>
      <c r="H89" s="14"/>
      <c r="I89" s="42"/>
      <c r="J89" s="14"/>
      <c r="K89" s="42"/>
      <c r="L89" s="14"/>
      <c r="M89" s="42"/>
      <c r="N89" s="14"/>
      <c r="O89" s="14"/>
      <c r="P89" s="14" t="str">
        <f t="shared" si="39"/>
        <v/>
      </c>
      <c r="Q89" s="42" t="str">
        <f t="shared" si="40"/>
        <v/>
      </c>
      <c r="R89" s="14"/>
      <c r="S89" s="14" t="str">
        <f t="shared" si="41"/>
        <v/>
      </c>
      <c r="T89" s="14"/>
      <c r="U89" s="90">
        <f t="shared" si="37"/>
        <v>0.98</v>
      </c>
      <c r="V89" s="90">
        <f t="shared" si="37"/>
        <v>0.98</v>
      </c>
      <c r="W89" s="14" t="str">
        <f t="shared" si="42"/>
        <v/>
      </c>
      <c r="X89" s="14" t="str">
        <f t="shared" si="43"/>
        <v/>
      </c>
      <c r="Y89" s="90">
        <f>1</f>
        <v>1</v>
      </c>
      <c r="Z89" s="42" t="str">
        <f t="shared" si="44"/>
        <v/>
      </c>
      <c r="AA89" s="90">
        <f t="shared" si="45"/>
        <v>0.7</v>
      </c>
      <c r="AB89" s="14" t="str">
        <f t="shared" si="46"/>
        <v/>
      </c>
      <c r="AC89" s="90">
        <f t="shared" si="47"/>
        <v>0.95</v>
      </c>
      <c r="AD89" s="42" t="str">
        <f t="shared" si="48"/>
        <v/>
      </c>
      <c r="AE89" s="90">
        <f t="shared" si="49"/>
        <v>0.95</v>
      </c>
      <c r="AF89" s="42" t="str">
        <f t="shared" si="50"/>
        <v/>
      </c>
      <c r="AG89" s="14"/>
      <c r="AH89" s="14"/>
      <c r="AI89" s="90">
        <f t="shared" si="51"/>
        <v>0.95</v>
      </c>
      <c r="AJ89" s="90"/>
      <c r="AK89" s="42" t="str">
        <f t="shared" si="52"/>
        <v/>
      </c>
      <c r="AL89" s="42" t="str">
        <f t="shared" si="53"/>
        <v/>
      </c>
      <c r="AM89" s="90">
        <f>1</f>
        <v>1</v>
      </c>
      <c r="AN89" s="42" t="str">
        <f t="shared" si="54"/>
        <v/>
      </c>
      <c r="AO89" s="14"/>
      <c r="AP89" s="42"/>
    </row>
    <row r="90" spans="1:42" x14ac:dyDescent="0.2">
      <c r="A90" t="str">
        <f>INDEX(Prioritization!$D:$D,MATCH($B90,Prioritization!$A:$A,0))</f>
        <v>INVALID</v>
      </c>
      <c r="B90" t="s">
        <v>208</v>
      </c>
      <c r="C90" t="s">
        <v>469</v>
      </c>
      <c r="D90" t="str">
        <f t="shared" si="38"/>
        <v>Rumphi District [lPTyjLi4w3d]|FSW</v>
      </c>
      <c r="E90" s="42"/>
      <c r="F90" s="42"/>
      <c r="G90" s="42"/>
      <c r="H90" s="14"/>
      <c r="I90" s="42"/>
      <c r="J90" s="14"/>
      <c r="K90" s="42"/>
      <c r="L90" s="14"/>
      <c r="M90" s="42"/>
      <c r="N90" s="14"/>
      <c r="O90" s="14"/>
      <c r="P90" s="14" t="str">
        <f t="shared" si="39"/>
        <v/>
      </c>
      <c r="Q90" s="42" t="str">
        <f t="shared" si="40"/>
        <v/>
      </c>
      <c r="R90" s="14"/>
      <c r="S90" s="14" t="str">
        <f t="shared" si="41"/>
        <v/>
      </c>
      <c r="T90" s="14"/>
      <c r="U90" s="90">
        <f t="shared" si="37"/>
        <v>0.98</v>
      </c>
      <c r="V90" s="90">
        <f t="shared" si="37"/>
        <v>0.98</v>
      </c>
      <c r="W90" s="14" t="str">
        <f t="shared" si="42"/>
        <v/>
      </c>
      <c r="X90" s="14" t="str">
        <f t="shared" si="43"/>
        <v/>
      </c>
      <c r="Y90" s="90">
        <f>1</f>
        <v>1</v>
      </c>
      <c r="Z90" s="42" t="str">
        <f t="shared" si="44"/>
        <v/>
      </c>
      <c r="AA90" s="90">
        <f t="shared" si="45"/>
        <v>0.7</v>
      </c>
      <c r="AB90" s="14" t="str">
        <f t="shared" si="46"/>
        <v/>
      </c>
      <c r="AC90" s="90">
        <f t="shared" si="47"/>
        <v>0.95</v>
      </c>
      <c r="AD90" s="42" t="str">
        <f t="shared" si="48"/>
        <v/>
      </c>
      <c r="AE90" s="90">
        <f t="shared" si="49"/>
        <v>0.95</v>
      </c>
      <c r="AF90" s="42" t="str">
        <f t="shared" si="50"/>
        <v/>
      </c>
      <c r="AG90" s="14"/>
      <c r="AH90" s="14"/>
      <c r="AI90" s="90">
        <f t="shared" si="51"/>
        <v>0.95</v>
      </c>
      <c r="AJ90" s="90"/>
      <c r="AK90" s="42" t="str">
        <f t="shared" si="52"/>
        <v/>
      </c>
      <c r="AL90" s="42" t="str">
        <f t="shared" si="53"/>
        <v/>
      </c>
      <c r="AM90" s="90">
        <f>1</f>
        <v>1</v>
      </c>
      <c r="AN90" s="42" t="str">
        <f t="shared" si="54"/>
        <v/>
      </c>
      <c r="AO90" s="14"/>
      <c r="AP90" s="42"/>
    </row>
    <row r="91" spans="1:42" x14ac:dyDescent="0.2">
      <c r="A91" t="str">
        <f>INDEX(Prioritization!$D:$D,MATCH($B91,Prioritization!$A:$A,0))</f>
        <v>INVALID</v>
      </c>
      <c r="B91" t="s">
        <v>208</v>
      </c>
      <c r="C91" t="s">
        <v>470</v>
      </c>
      <c r="D91" t="str">
        <f t="shared" si="38"/>
        <v>Rumphi District [lPTyjLi4w3d]|MSM</v>
      </c>
      <c r="E91" s="42"/>
      <c r="F91" s="42"/>
      <c r="G91" s="42"/>
      <c r="H91" s="14"/>
      <c r="I91" s="42"/>
      <c r="J91" s="14"/>
      <c r="K91" s="42"/>
      <c r="L91" s="14"/>
      <c r="M91" s="42"/>
      <c r="N91" s="14"/>
      <c r="O91" s="14"/>
      <c r="P91" s="14" t="str">
        <f t="shared" si="39"/>
        <v/>
      </c>
      <c r="Q91" s="42" t="str">
        <f t="shared" si="40"/>
        <v/>
      </c>
      <c r="R91" s="14"/>
      <c r="S91" s="14" t="str">
        <f t="shared" si="41"/>
        <v/>
      </c>
      <c r="T91" s="14"/>
      <c r="U91" s="90">
        <f t="shared" si="37"/>
        <v>0.98</v>
      </c>
      <c r="V91" s="90">
        <f t="shared" si="37"/>
        <v>0.98</v>
      </c>
      <c r="W91" s="14" t="str">
        <f t="shared" si="42"/>
        <v/>
      </c>
      <c r="X91" s="14" t="str">
        <f t="shared" si="43"/>
        <v/>
      </c>
      <c r="Y91" s="90">
        <f>1</f>
        <v>1</v>
      </c>
      <c r="Z91" s="42" t="str">
        <f t="shared" si="44"/>
        <v/>
      </c>
      <c r="AA91" s="90">
        <f t="shared" si="45"/>
        <v>0.7</v>
      </c>
      <c r="AB91" s="14" t="str">
        <f t="shared" si="46"/>
        <v/>
      </c>
      <c r="AC91" s="90">
        <f t="shared" si="47"/>
        <v>0.95</v>
      </c>
      <c r="AD91" s="42" t="str">
        <f t="shared" si="48"/>
        <v/>
      </c>
      <c r="AE91" s="90">
        <f t="shared" si="49"/>
        <v>0.95</v>
      </c>
      <c r="AF91" s="42" t="str">
        <f t="shared" si="50"/>
        <v/>
      </c>
      <c r="AG91" s="14"/>
      <c r="AH91" s="14"/>
      <c r="AI91" s="90">
        <f t="shared" si="51"/>
        <v>0.95</v>
      </c>
      <c r="AJ91" s="90"/>
      <c r="AK91" s="42" t="str">
        <f t="shared" si="52"/>
        <v/>
      </c>
      <c r="AL91" s="42" t="str">
        <f t="shared" si="53"/>
        <v/>
      </c>
      <c r="AM91" s="90">
        <f>1</f>
        <v>1</v>
      </c>
      <c r="AN91" s="42" t="str">
        <f t="shared" si="54"/>
        <v/>
      </c>
      <c r="AO91" s="14"/>
      <c r="AP91" s="42"/>
    </row>
    <row r="92" spans="1:42" x14ac:dyDescent="0.2">
      <c r="A92" t="str">
        <f>INDEX(Prioritization!$D:$D,MATCH($B92,Prioritization!$A:$A,0))</f>
        <v>INVALID</v>
      </c>
      <c r="B92" t="s">
        <v>208</v>
      </c>
      <c r="C92" t="s">
        <v>471</v>
      </c>
      <c r="D92" t="str">
        <f t="shared" si="38"/>
        <v>Rumphi District [lPTyjLi4w3d]|People in prisons and other enclosed settings</v>
      </c>
      <c r="E92" s="42"/>
      <c r="F92" s="42"/>
      <c r="G92" s="42"/>
      <c r="H92" s="14"/>
      <c r="I92" s="42"/>
      <c r="J92" s="14"/>
      <c r="K92" s="42"/>
      <c r="L92" s="14">
        <v>60</v>
      </c>
      <c r="M92" s="42"/>
      <c r="N92" s="14">
        <v>8</v>
      </c>
      <c r="O92" s="14">
        <v>5</v>
      </c>
      <c r="P92" s="14">
        <f t="shared" si="39"/>
        <v>8</v>
      </c>
      <c r="Q92" s="42">
        <f t="shared" si="40"/>
        <v>8</v>
      </c>
      <c r="R92" s="14"/>
      <c r="S92" s="14" t="str">
        <f t="shared" si="41"/>
        <v/>
      </c>
      <c r="T92" s="14">
        <v>3</v>
      </c>
      <c r="U92" s="90">
        <f t="shared" si="37"/>
        <v>0.98</v>
      </c>
      <c r="V92" s="90">
        <f t="shared" si="37"/>
        <v>0.98</v>
      </c>
      <c r="W92" s="14">
        <f t="shared" si="42"/>
        <v>0</v>
      </c>
      <c r="X92" s="14" t="str">
        <f t="shared" si="43"/>
        <v/>
      </c>
      <c r="Y92" s="90">
        <f>1</f>
        <v>1</v>
      </c>
      <c r="Z92" s="42" t="str">
        <f t="shared" si="44"/>
        <v/>
      </c>
      <c r="AA92" s="90">
        <f t="shared" si="45"/>
        <v>0.7</v>
      </c>
      <c r="AB92" s="14">
        <f t="shared" si="46"/>
        <v>8</v>
      </c>
      <c r="AC92" s="90">
        <f t="shared" si="47"/>
        <v>0.95</v>
      </c>
      <c r="AD92" s="42">
        <f t="shared" si="48"/>
        <v>8</v>
      </c>
      <c r="AE92" s="90">
        <f t="shared" si="49"/>
        <v>0.95</v>
      </c>
      <c r="AF92" s="42">
        <f t="shared" si="50"/>
        <v>8</v>
      </c>
      <c r="AG92" s="14">
        <v>8</v>
      </c>
      <c r="AH92" s="14">
        <v>1</v>
      </c>
      <c r="AI92" s="90">
        <f t="shared" si="51"/>
        <v>0.95</v>
      </c>
      <c r="AJ92" s="90"/>
      <c r="AK92" s="42" t="str">
        <f t="shared" si="52"/>
        <v/>
      </c>
      <c r="AL92" s="42" t="str">
        <f t="shared" si="53"/>
        <v/>
      </c>
      <c r="AM92" s="90">
        <f>1</f>
        <v>1</v>
      </c>
      <c r="AN92" s="42" t="str">
        <f t="shared" si="54"/>
        <v/>
      </c>
      <c r="AO92" s="14">
        <v>99</v>
      </c>
      <c r="AP92" s="42"/>
    </row>
    <row r="93" spans="1:42" x14ac:dyDescent="0.2">
      <c r="A93" t="str">
        <f>INDEX(Prioritization!$D:$D,MATCH($B93,Prioritization!$A:$A,0))</f>
        <v>INVALID</v>
      </c>
      <c r="B93" t="s">
        <v>208</v>
      </c>
      <c r="C93" t="s">
        <v>472</v>
      </c>
      <c r="D93" t="str">
        <f t="shared" si="38"/>
        <v>Rumphi District [lPTyjLi4w3d]|PWID</v>
      </c>
      <c r="E93" s="42"/>
      <c r="F93" s="42"/>
      <c r="G93" s="42"/>
      <c r="H93" s="14"/>
      <c r="I93" s="42"/>
      <c r="J93" s="14"/>
      <c r="K93" s="42"/>
      <c r="L93" s="14"/>
      <c r="M93" s="42"/>
      <c r="N93" s="14"/>
      <c r="O93" s="14"/>
      <c r="P93" s="14" t="str">
        <f t="shared" si="39"/>
        <v/>
      </c>
      <c r="Q93" s="42" t="str">
        <f t="shared" si="40"/>
        <v/>
      </c>
      <c r="R93" s="14"/>
      <c r="S93" s="14" t="str">
        <f t="shared" si="41"/>
        <v/>
      </c>
      <c r="T93" s="14"/>
      <c r="U93" s="90">
        <f t="shared" si="37"/>
        <v>0.98</v>
      </c>
      <c r="V93" s="90">
        <f t="shared" si="37"/>
        <v>0.98</v>
      </c>
      <c r="W93" s="14" t="str">
        <f t="shared" si="42"/>
        <v/>
      </c>
      <c r="X93" s="14" t="str">
        <f t="shared" si="43"/>
        <v/>
      </c>
      <c r="Y93" s="90">
        <f>1</f>
        <v>1</v>
      </c>
      <c r="Z93" s="42" t="str">
        <f t="shared" si="44"/>
        <v/>
      </c>
      <c r="AA93" s="90">
        <f t="shared" si="45"/>
        <v>0.7</v>
      </c>
      <c r="AB93" s="14" t="str">
        <f t="shared" si="46"/>
        <v/>
      </c>
      <c r="AC93" s="90">
        <f t="shared" si="47"/>
        <v>0.95</v>
      </c>
      <c r="AD93" s="42" t="str">
        <f t="shared" si="48"/>
        <v/>
      </c>
      <c r="AE93" s="90">
        <f t="shared" si="49"/>
        <v>0.95</v>
      </c>
      <c r="AF93" s="42" t="str">
        <f t="shared" si="50"/>
        <v/>
      </c>
      <c r="AG93" s="14"/>
      <c r="AH93" s="14"/>
      <c r="AI93" s="90">
        <f t="shared" si="51"/>
        <v>0.95</v>
      </c>
      <c r="AJ93" s="90"/>
      <c r="AK93" s="42" t="str">
        <f t="shared" si="52"/>
        <v/>
      </c>
      <c r="AL93" s="42" t="str">
        <f t="shared" si="53"/>
        <v/>
      </c>
      <c r="AM93" s="90">
        <f>1</f>
        <v>1</v>
      </c>
      <c r="AN93" s="42" t="str">
        <f t="shared" si="54"/>
        <v/>
      </c>
      <c r="AO93" s="14"/>
      <c r="AP93" s="42"/>
    </row>
    <row r="94" spans="1:42" x14ac:dyDescent="0.2">
      <c r="A94" t="str">
        <f>INDEX(Prioritization!$D:$D,MATCH($B94,Prioritization!$A:$A,0))</f>
        <v>INVALID</v>
      </c>
      <c r="B94" t="s">
        <v>208</v>
      </c>
      <c r="C94" t="s">
        <v>473</v>
      </c>
      <c r="D94" t="str">
        <f t="shared" si="38"/>
        <v>Rumphi District [lPTyjLi4w3d]|TG</v>
      </c>
      <c r="E94" s="42"/>
      <c r="F94" s="42"/>
      <c r="G94" s="42"/>
      <c r="H94" s="14"/>
      <c r="I94" s="42"/>
      <c r="J94" s="14"/>
      <c r="K94" s="42"/>
      <c r="L94" s="14"/>
      <c r="M94" s="42"/>
      <c r="N94" s="14"/>
      <c r="O94" s="14"/>
      <c r="P94" s="14" t="str">
        <f t="shared" si="39"/>
        <v/>
      </c>
      <c r="Q94" s="42" t="str">
        <f t="shared" si="40"/>
        <v/>
      </c>
      <c r="R94" s="14"/>
      <c r="S94" s="14" t="str">
        <f t="shared" si="41"/>
        <v/>
      </c>
      <c r="T94" s="14"/>
      <c r="U94" s="90">
        <f t="shared" si="37"/>
        <v>0.98</v>
      </c>
      <c r="V94" s="90">
        <f t="shared" si="37"/>
        <v>0.98</v>
      </c>
      <c r="W94" s="14" t="str">
        <f t="shared" si="42"/>
        <v/>
      </c>
      <c r="X94" s="14" t="str">
        <f t="shared" si="43"/>
        <v/>
      </c>
      <c r="Y94" s="90">
        <f>1</f>
        <v>1</v>
      </c>
      <c r="Z94" s="42" t="str">
        <f t="shared" si="44"/>
        <v/>
      </c>
      <c r="AA94" s="90">
        <f t="shared" si="45"/>
        <v>0.7</v>
      </c>
      <c r="AB94" s="14" t="str">
        <f t="shared" si="46"/>
        <v/>
      </c>
      <c r="AC94" s="90">
        <f t="shared" si="47"/>
        <v>0.95</v>
      </c>
      <c r="AD94" s="42" t="str">
        <f t="shared" si="48"/>
        <v/>
      </c>
      <c r="AE94" s="90">
        <f t="shared" si="49"/>
        <v>0.95</v>
      </c>
      <c r="AF94" s="42" t="str">
        <f t="shared" si="50"/>
        <v/>
      </c>
      <c r="AG94" s="14"/>
      <c r="AH94" s="14"/>
      <c r="AI94" s="90">
        <f t="shared" si="51"/>
        <v>0.95</v>
      </c>
      <c r="AJ94" s="90"/>
      <c r="AK94" s="42" t="str">
        <f t="shared" si="52"/>
        <v/>
      </c>
      <c r="AL94" s="42" t="str">
        <f t="shared" si="53"/>
        <v/>
      </c>
      <c r="AM94" s="90">
        <f>1</f>
        <v>1</v>
      </c>
      <c r="AN94" s="42" t="str">
        <f t="shared" si="54"/>
        <v/>
      </c>
      <c r="AO94" s="14"/>
      <c r="AP94" s="42"/>
    </row>
    <row r="95" spans="1:42" x14ac:dyDescent="0.2">
      <c r="A95" t="str">
        <f>INDEX(Prioritization!$D:$D,MATCH($B95,Prioritization!$A:$A,0))</f>
        <v>1 - Scale-up: Saturation</v>
      </c>
      <c r="B95" t="s">
        <v>209</v>
      </c>
      <c r="C95" t="s">
        <v>469</v>
      </c>
      <c r="D95" t="str">
        <f t="shared" si="38"/>
        <v>Balaka District [ir8wuHHzoSs]|FSW</v>
      </c>
      <c r="E95" s="42"/>
      <c r="F95" s="42"/>
      <c r="G95" s="42"/>
      <c r="H95" s="14"/>
      <c r="I95" s="42"/>
      <c r="J95" s="14">
        <v>27</v>
      </c>
      <c r="K95" s="42"/>
      <c r="L95" s="14">
        <v>92</v>
      </c>
      <c r="M95" s="42"/>
      <c r="N95" s="14"/>
      <c r="O95" s="14">
        <v>94</v>
      </c>
      <c r="P95" s="14">
        <f t="shared" si="39"/>
        <v>94</v>
      </c>
      <c r="Q95" s="42">
        <f t="shared" si="40"/>
        <v>94</v>
      </c>
      <c r="R95" s="14"/>
      <c r="S95" s="14" t="str">
        <f t="shared" si="41"/>
        <v/>
      </c>
      <c r="T95" s="14">
        <v>6</v>
      </c>
      <c r="U95" s="90">
        <f t="shared" ref="U95:V114" si="55">0.98</f>
        <v>0.98</v>
      </c>
      <c r="V95" s="90">
        <f t="shared" si="55"/>
        <v>0.98</v>
      </c>
      <c r="W95" s="14">
        <f t="shared" si="42"/>
        <v>0</v>
      </c>
      <c r="X95" s="14">
        <f t="shared" si="43"/>
        <v>2</v>
      </c>
      <c r="Y95" s="90">
        <f>1</f>
        <v>1</v>
      </c>
      <c r="Z95" s="42">
        <f t="shared" si="44"/>
        <v>2</v>
      </c>
      <c r="AA95" s="90">
        <f t="shared" si="45"/>
        <v>0.7</v>
      </c>
      <c r="AB95" s="14">
        <f t="shared" si="46"/>
        <v>95</v>
      </c>
      <c r="AC95" s="90">
        <f t="shared" si="47"/>
        <v>0.95</v>
      </c>
      <c r="AD95" s="42">
        <f t="shared" si="48"/>
        <v>90</v>
      </c>
      <c r="AE95" s="90">
        <f t="shared" si="49"/>
        <v>0.95</v>
      </c>
      <c r="AF95" s="42">
        <f t="shared" si="50"/>
        <v>86</v>
      </c>
      <c r="AG95" s="14">
        <v>4</v>
      </c>
      <c r="AH95" s="14">
        <v>0</v>
      </c>
      <c r="AI95" s="90">
        <f t="shared" si="51"/>
        <v>0.95</v>
      </c>
      <c r="AJ95" s="90"/>
      <c r="AK95" s="42">
        <f t="shared" si="52"/>
        <v>2</v>
      </c>
      <c r="AL95" s="42" t="str">
        <f t="shared" si="53"/>
        <v>ENTER YIELD RATE</v>
      </c>
      <c r="AM95" s="90">
        <f>1</f>
        <v>1</v>
      </c>
      <c r="AN95" s="42">
        <f t="shared" si="54"/>
        <v>2</v>
      </c>
      <c r="AO95" s="14">
        <v>69</v>
      </c>
      <c r="AP95" s="42"/>
    </row>
    <row r="96" spans="1:42" x14ac:dyDescent="0.2">
      <c r="A96" t="str">
        <f>INDEX(Prioritization!$D:$D,MATCH($B96,Prioritization!$A:$A,0))</f>
        <v>1 - Scale-up: Saturation</v>
      </c>
      <c r="B96" t="s">
        <v>209</v>
      </c>
      <c r="C96" t="s">
        <v>470</v>
      </c>
      <c r="D96" t="str">
        <f t="shared" si="38"/>
        <v>Balaka District [ir8wuHHzoSs]|MSM</v>
      </c>
      <c r="E96" s="42"/>
      <c r="F96" s="42"/>
      <c r="G96" s="42"/>
      <c r="H96" s="14"/>
      <c r="I96" s="42"/>
      <c r="J96" s="14">
        <v>49</v>
      </c>
      <c r="K96" s="42"/>
      <c r="L96" s="14">
        <v>67</v>
      </c>
      <c r="M96" s="42"/>
      <c r="N96" s="14"/>
      <c r="O96" s="14">
        <v>9</v>
      </c>
      <c r="P96" s="14">
        <f t="shared" si="39"/>
        <v>9</v>
      </c>
      <c r="Q96" s="42">
        <f t="shared" si="40"/>
        <v>9</v>
      </c>
      <c r="R96" s="14"/>
      <c r="S96" s="14" t="str">
        <f t="shared" si="41"/>
        <v/>
      </c>
      <c r="T96" s="14">
        <v>2</v>
      </c>
      <c r="U96" s="90">
        <f t="shared" si="55"/>
        <v>0.98</v>
      </c>
      <c r="V96" s="90">
        <f t="shared" si="55"/>
        <v>0.98</v>
      </c>
      <c r="W96" s="14">
        <f t="shared" si="42"/>
        <v>0</v>
      </c>
      <c r="X96" s="14" t="str">
        <f t="shared" si="43"/>
        <v/>
      </c>
      <c r="Y96" s="90">
        <f>1</f>
        <v>1</v>
      </c>
      <c r="Z96" s="42" t="str">
        <f t="shared" si="44"/>
        <v/>
      </c>
      <c r="AA96" s="90">
        <f t="shared" si="45"/>
        <v>0.7</v>
      </c>
      <c r="AB96" s="14">
        <f t="shared" si="46"/>
        <v>9</v>
      </c>
      <c r="AC96" s="90">
        <f t="shared" si="47"/>
        <v>0.95</v>
      </c>
      <c r="AD96" s="42">
        <f t="shared" si="48"/>
        <v>9</v>
      </c>
      <c r="AE96" s="90">
        <f t="shared" si="49"/>
        <v>0.95</v>
      </c>
      <c r="AF96" s="42">
        <f t="shared" si="50"/>
        <v>9</v>
      </c>
      <c r="AG96" s="14">
        <v>2</v>
      </c>
      <c r="AH96" s="14">
        <v>1</v>
      </c>
      <c r="AI96" s="90">
        <f t="shared" si="51"/>
        <v>0.95</v>
      </c>
      <c r="AJ96" s="90"/>
      <c r="AK96" s="42" t="str">
        <f t="shared" si="52"/>
        <v/>
      </c>
      <c r="AL96" s="42" t="str">
        <f t="shared" si="53"/>
        <v/>
      </c>
      <c r="AM96" s="90">
        <f>1</f>
        <v>1</v>
      </c>
      <c r="AN96" s="42" t="str">
        <f t="shared" si="54"/>
        <v/>
      </c>
      <c r="AO96" s="14">
        <v>22</v>
      </c>
      <c r="AP96" s="42"/>
    </row>
    <row r="97" spans="1:42" x14ac:dyDescent="0.2">
      <c r="A97" t="str">
        <f>INDEX(Prioritization!$D:$D,MATCH($B97,Prioritization!$A:$A,0))</f>
        <v>1 - Scale-up: Saturation</v>
      </c>
      <c r="B97" t="s">
        <v>209</v>
      </c>
      <c r="C97" t="s">
        <v>471</v>
      </c>
      <c r="D97" t="str">
        <f t="shared" si="38"/>
        <v>Balaka District [ir8wuHHzoSs]|People in prisons and other enclosed settings</v>
      </c>
      <c r="E97" s="42"/>
      <c r="F97" s="42"/>
      <c r="G97" s="42"/>
      <c r="H97" s="14"/>
      <c r="I97" s="42"/>
      <c r="J97" s="14"/>
      <c r="K97" s="42"/>
      <c r="L97" s="14"/>
      <c r="M97" s="42"/>
      <c r="N97" s="14"/>
      <c r="O97" s="14"/>
      <c r="P97" s="14" t="str">
        <f t="shared" si="39"/>
        <v/>
      </c>
      <c r="Q97" s="42" t="str">
        <f t="shared" si="40"/>
        <v/>
      </c>
      <c r="R97" s="14"/>
      <c r="S97" s="14" t="str">
        <f t="shared" si="41"/>
        <v/>
      </c>
      <c r="T97" s="14"/>
      <c r="U97" s="90">
        <f t="shared" si="55"/>
        <v>0.98</v>
      </c>
      <c r="V97" s="90">
        <f t="shared" si="55"/>
        <v>0.98</v>
      </c>
      <c r="W97" s="14" t="str">
        <f t="shared" si="42"/>
        <v/>
      </c>
      <c r="X97" s="14" t="str">
        <f t="shared" si="43"/>
        <v/>
      </c>
      <c r="Y97" s="90">
        <f>1</f>
        <v>1</v>
      </c>
      <c r="Z97" s="42" t="str">
        <f t="shared" si="44"/>
        <v/>
      </c>
      <c r="AA97" s="90">
        <f t="shared" si="45"/>
        <v>0.7</v>
      </c>
      <c r="AB97" s="14" t="str">
        <f t="shared" si="46"/>
        <v/>
      </c>
      <c r="AC97" s="90">
        <f t="shared" si="47"/>
        <v>0.95</v>
      </c>
      <c r="AD97" s="42" t="str">
        <f t="shared" si="48"/>
        <v/>
      </c>
      <c r="AE97" s="90">
        <f t="shared" si="49"/>
        <v>0.95</v>
      </c>
      <c r="AF97" s="42" t="str">
        <f t="shared" si="50"/>
        <v/>
      </c>
      <c r="AG97" s="14"/>
      <c r="AH97" s="14"/>
      <c r="AI97" s="90">
        <f t="shared" si="51"/>
        <v>0.95</v>
      </c>
      <c r="AJ97" s="90"/>
      <c r="AK97" s="42" t="str">
        <f t="shared" si="52"/>
        <v/>
      </c>
      <c r="AL97" s="42" t="str">
        <f t="shared" si="53"/>
        <v/>
      </c>
      <c r="AM97" s="90">
        <f>1</f>
        <v>1</v>
      </c>
      <c r="AN97" s="42" t="str">
        <f t="shared" si="54"/>
        <v/>
      </c>
      <c r="AO97" s="14"/>
      <c r="AP97" s="42"/>
    </row>
    <row r="98" spans="1:42" x14ac:dyDescent="0.2">
      <c r="A98" t="str">
        <f>INDEX(Prioritization!$D:$D,MATCH($B98,Prioritization!$A:$A,0))</f>
        <v>1 - Scale-up: Saturation</v>
      </c>
      <c r="B98" t="s">
        <v>209</v>
      </c>
      <c r="C98" t="s">
        <v>472</v>
      </c>
      <c r="D98" t="str">
        <f t="shared" si="38"/>
        <v>Balaka District [ir8wuHHzoSs]|PWID</v>
      </c>
      <c r="E98" s="42"/>
      <c r="F98" s="42"/>
      <c r="G98" s="42"/>
      <c r="H98" s="14"/>
      <c r="I98" s="42"/>
      <c r="J98" s="14"/>
      <c r="K98" s="42"/>
      <c r="L98" s="14"/>
      <c r="M98" s="42"/>
      <c r="N98" s="14"/>
      <c r="O98" s="14"/>
      <c r="P98" s="14" t="str">
        <f t="shared" si="39"/>
        <v/>
      </c>
      <c r="Q98" s="42" t="str">
        <f t="shared" si="40"/>
        <v/>
      </c>
      <c r="R98" s="14"/>
      <c r="S98" s="14" t="str">
        <f t="shared" si="41"/>
        <v/>
      </c>
      <c r="T98" s="14"/>
      <c r="U98" s="90">
        <f t="shared" si="55"/>
        <v>0.98</v>
      </c>
      <c r="V98" s="90">
        <f t="shared" si="55"/>
        <v>0.98</v>
      </c>
      <c r="W98" s="14" t="str">
        <f t="shared" si="42"/>
        <v/>
      </c>
      <c r="X98" s="14" t="str">
        <f t="shared" si="43"/>
        <v/>
      </c>
      <c r="Y98" s="90">
        <f>1</f>
        <v>1</v>
      </c>
      <c r="Z98" s="42" t="str">
        <f t="shared" si="44"/>
        <v/>
      </c>
      <c r="AA98" s="90">
        <f t="shared" si="45"/>
        <v>0.7</v>
      </c>
      <c r="AB98" s="14" t="str">
        <f t="shared" si="46"/>
        <v/>
      </c>
      <c r="AC98" s="90">
        <f t="shared" si="47"/>
        <v>0.95</v>
      </c>
      <c r="AD98" s="42" t="str">
        <f t="shared" si="48"/>
        <v/>
      </c>
      <c r="AE98" s="90">
        <f t="shared" si="49"/>
        <v>0.95</v>
      </c>
      <c r="AF98" s="42" t="str">
        <f t="shared" si="50"/>
        <v/>
      </c>
      <c r="AG98" s="14"/>
      <c r="AH98" s="14"/>
      <c r="AI98" s="90">
        <f t="shared" si="51"/>
        <v>0.95</v>
      </c>
      <c r="AJ98" s="90"/>
      <c r="AK98" s="42" t="str">
        <f t="shared" si="52"/>
        <v/>
      </c>
      <c r="AL98" s="42" t="str">
        <f t="shared" si="53"/>
        <v/>
      </c>
      <c r="AM98" s="90">
        <f>1</f>
        <v>1</v>
      </c>
      <c r="AN98" s="42" t="str">
        <f t="shared" si="54"/>
        <v/>
      </c>
      <c r="AO98" s="14"/>
      <c r="AP98" s="42"/>
    </row>
    <row r="99" spans="1:42" x14ac:dyDescent="0.2">
      <c r="A99" t="str">
        <f>INDEX(Prioritization!$D:$D,MATCH($B99,Prioritization!$A:$A,0))</f>
        <v>1 - Scale-up: Saturation</v>
      </c>
      <c r="B99" t="s">
        <v>209</v>
      </c>
      <c r="C99" t="s">
        <v>473</v>
      </c>
      <c r="D99" t="str">
        <f t="shared" si="38"/>
        <v>Balaka District [ir8wuHHzoSs]|TG</v>
      </c>
      <c r="E99" s="42"/>
      <c r="F99" s="42"/>
      <c r="G99" s="42"/>
      <c r="H99" s="14"/>
      <c r="I99" s="42"/>
      <c r="J99" s="14"/>
      <c r="K99" s="42"/>
      <c r="L99" s="14"/>
      <c r="M99" s="42"/>
      <c r="N99" s="14"/>
      <c r="O99" s="14"/>
      <c r="P99" s="14" t="str">
        <f t="shared" si="39"/>
        <v/>
      </c>
      <c r="Q99" s="42" t="str">
        <f t="shared" si="40"/>
        <v/>
      </c>
      <c r="R99" s="14"/>
      <c r="S99" s="14" t="str">
        <f t="shared" si="41"/>
        <v/>
      </c>
      <c r="T99" s="14"/>
      <c r="U99" s="90">
        <f t="shared" si="55"/>
        <v>0.98</v>
      </c>
      <c r="V99" s="90">
        <f t="shared" si="55"/>
        <v>0.98</v>
      </c>
      <c r="W99" s="14" t="str">
        <f t="shared" si="42"/>
        <v/>
      </c>
      <c r="X99" s="14" t="str">
        <f t="shared" si="43"/>
        <v/>
      </c>
      <c r="Y99" s="90">
        <f>1</f>
        <v>1</v>
      </c>
      <c r="Z99" s="42" t="str">
        <f t="shared" si="44"/>
        <v/>
      </c>
      <c r="AA99" s="90">
        <f t="shared" si="45"/>
        <v>0.7</v>
      </c>
      <c r="AB99" s="14" t="str">
        <f t="shared" si="46"/>
        <v/>
      </c>
      <c r="AC99" s="90">
        <f t="shared" si="47"/>
        <v>0.95</v>
      </c>
      <c r="AD99" s="42" t="str">
        <f t="shared" si="48"/>
        <v/>
      </c>
      <c r="AE99" s="90">
        <f t="shared" si="49"/>
        <v>0.95</v>
      </c>
      <c r="AF99" s="42" t="str">
        <f t="shared" si="50"/>
        <v/>
      </c>
      <c r="AG99" s="14"/>
      <c r="AH99" s="14"/>
      <c r="AI99" s="90">
        <f t="shared" si="51"/>
        <v>0.95</v>
      </c>
      <c r="AJ99" s="90"/>
      <c r="AK99" s="42" t="str">
        <f t="shared" si="52"/>
        <v/>
      </c>
      <c r="AL99" s="42" t="str">
        <f t="shared" si="53"/>
        <v/>
      </c>
      <c r="AM99" s="90">
        <f>1</f>
        <v>1</v>
      </c>
      <c r="AN99" s="42" t="str">
        <f t="shared" si="54"/>
        <v/>
      </c>
      <c r="AO99" s="14"/>
      <c r="AP99" s="42"/>
    </row>
    <row r="100" spans="1:42" x14ac:dyDescent="0.2">
      <c r="A100" t="str">
        <f>INDEX(Prioritization!$D:$D,MATCH($B100,Prioritization!$A:$A,0))</f>
        <v>1 - Scale-up: Saturation</v>
      </c>
      <c r="B100" t="s">
        <v>210</v>
      </c>
      <c r="C100" t="s">
        <v>469</v>
      </c>
      <c r="D100" t="str">
        <f t="shared" si="38"/>
        <v>Blantyre District [mxqa3CDFmIT]|FSW</v>
      </c>
      <c r="E100" s="42"/>
      <c r="F100" s="42"/>
      <c r="G100" s="42"/>
      <c r="H100" s="14"/>
      <c r="I100" s="42"/>
      <c r="J100" s="14">
        <v>14</v>
      </c>
      <c r="K100" s="42"/>
      <c r="L100" s="14">
        <v>559</v>
      </c>
      <c r="M100" s="42"/>
      <c r="N100" s="14">
        <v>34</v>
      </c>
      <c r="O100" s="14">
        <v>47</v>
      </c>
      <c r="P100" s="14">
        <f t="shared" si="39"/>
        <v>47</v>
      </c>
      <c r="Q100" s="42">
        <f t="shared" si="40"/>
        <v>47</v>
      </c>
      <c r="R100" s="14"/>
      <c r="S100" s="14" t="str">
        <f t="shared" si="41"/>
        <v/>
      </c>
      <c r="T100" s="14">
        <v>46</v>
      </c>
      <c r="U100" s="90">
        <f t="shared" si="55"/>
        <v>0.98</v>
      </c>
      <c r="V100" s="90">
        <f t="shared" si="55"/>
        <v>0.98</v>
      </c>
      <c r="W100" s="14">
        <f t="shared" si="42"/>
        <v>0</v>
      </c>
      <c r="X100" s="14">
        <f t="shared" si="43"/>
        <v>1</v>
      </c>
      <c r="Y100" s="90">
        <f>1</f>
        <v>1</v>
      </c>
      <c r="Z100" s="42">
        <f t="shared" si="44"/>
        <v>1</v>
      </c>
      <c r="AA100" s="90">
        <f t="shared" si="45"/>
        <v>0.7</v>
      </c>
      <c r="AB100" s="14">
        <f t="shared" si="46"/>
        <v>48</v>
      </c>
      <c r="AC100" s="90">
        <f t="shared" si="47"/>
        <v>0.95</v>
      </c>
      <c r="AD100" s="42">
        <f t="shared" si="48"/>
        <v>46</v>
      </c>
      <c r="AE100" s="90">
        <f t="shared" si="49"/>
        <v>0.95</v>
      </c>
      <c r="AF100" s="42">
        <f t="shared" si="50"/>
        <v>44</v>
      </c>
      <c r="AG100" s="14">
        <v>98</v>
      </c>
      <c r="AH100" s="14">
        <v>1</v>
      </c>
      <c r="AI100" s="90">
        <f t="shared" si="51"/>
        <v>0.95</v>
      </c>
      <c r="AJ100" s="90"/>
      <c r="AK100" s="42">
        <f t="shared" si="52"/>
        <v>1</v>
      </c>
      <c r="AL100" s="42" t="str">
        <f t="shared" si="53"/>
        <v>ENTER YIELD RATE</v>
      </c>
      <c r="AM100" s="90">
        <f>1</f>
        <v>1</v>
      </c>
      <c r="AN100" s="42">
        <f t="shared" si="54"/>
        <v>1</v>
      </c>
      <c r="AO100" s="14">
        <v>726</v>
      </c>
      <c r="AP100" s="42"/>
    </row>
    <row r="101" spans="1:42" x14ac:dyDescent="0.2">
      <c r="A101" t="str">
        <f>INDEX(Prioritization!$D:$D,MATCH($B101,Prioritization!$A:$A,0))</f>
        <v>1 - Scale-up: Saturation</v>
      </c>
      <c r="B101" t="s">
        <v>210</v>
      </c>
      <c r="C101" t="s">
        <v>470</v>
      </c>
      <c r="D101" t="str">
        <f t="shared" si="38"/>
        <v>Blantyre District [mxqa3CDFmIT]|MSM</v>
      </c>
      <c r="E101" s="42"/>
      <c r="F101" s="42"/>
      <c r="G101" s="42"/>
      <c r="H101" s="14"/>
      <c r="I101" s="42"/>
      <c r="J101" s="14">
        <v>50</v>
      </c>
      <c r="K101" s="42"/>
      <c r="L101" s="14">
        <v>489</v>
      </c>
      <c r="M101" s="42"/>
      <c r="N101" s="14">
        <v>24</v>
      </c>
      <c r="O101" s="14">
        <v>12</v>
      </c>
      <c r="P101" s="14">
        <f t="shared" si="39"/>
        <v>24</v>
      </c>
      <c r="Q101" s="42">
        <f t="shared" si="40"/>
        <v>24</v>
      </c>
      <c r="R101" s="14"/>
      <c r="S101" s="14" t="str">
        <f t="shared" si="41"/>
        <v/>
      </c>
      <c r="T101" s="14">
        <v>7</v>
      </c>
      <c r="U101" s="90">
        <f t="shared" si="55"/>
        <v>0.98</v>
      </c>
      <c r="V101" s="90">
        <f t="shared" si="55"/>
        <v>0.98</v>
      </c>
      <c r="W101" s="14">
        <f t="shared" si="42"/>
        <v>0</v>
      </c>
      <c r="X101" s="14" t="str">
        <f t="shared" si="43"/>
        <v/>
      </c>
      <c r="Y101" s="90">
        <f>1</f>
        <v>1</v>
      </c>
      <c r="Z101" s="42" t="str">
        <f t="shared" si="44"/>
        <v/>
      </c>
      <c r="AA101" s="90">
        <f t="shared" si="45"/>
        <v>0.7</v>
      </c>
      <c r="AB101" s="14">
        <f t="shared" si="46"/>
        <v>24</v>
      </c>
      <c r="AC101" s="90">
        <f t="shared" si="47"/>
        <v>0.95</v>
      </c>
      <c r="AD101" s="42">
        <f t="shared" si="48"/>
        <v>23</v>
      </c>
      <c r="AE101" s="90">
        <f t="shared" si="49"/>
        <v>0.95</v>
      </c>
      <c r="AF101" s="42">
        <f t="shared" si="50"/>
        <v>22</v>
      </c>
      <c r="AG101" s="14">
        <v>7</v>
      </c>
      <c r="AH101" s="14">
        <v>1</v>
      </c>
      <c r="AI101" s="90">
        <f t="shared" si="51"/>
        <v>0.95</v>
      </c>
      <c r="AJ101" s="90"/>
      <c r="AK101" s="42" t="str">
        <f t="shared" si="52"/>
        <v/>
      </c>
      <c r="AL101" s="42" t="str">
        <f t="shared" si="53"/>
        <v/>
      </c>
      <c r="AM101" s="90">
        <f>1</f>
        <v>1</v>
      </c>
      <c r="AN101" s="42" t="str">
        <f t="shared" si="54"/>
        <v/>
      </c>
      <c r="AO101" s="14">
        <v>871</v>
      </c>
      <c r="AP101" s="42"/>
    </row>
    <row r="102" spans="1:42" x14ac:dyDescent="0.2">
      <c r="A102" t="str">
        <f>INDEX(Prioritization!$D:$D,MATCH($B102,Prioritization!$A:$A,0))</f>
        <v>1 - Scale-up: Saturation</v>
      </c>
      <c r="B102" t="s">
        <v>210</v>
      </c>
      <c r="C102" t="s">
        <v>471</v>
      </c>
      <c r="D102" t="str">
        <f t="shared" si="38"/>
        <v>Blantyre District [mxqa3CDFmIT]|People in prisons and other enclosed settings</v>
      </c>
      <c r="E102" s="42"/>
      <c r="F102" s="42"/>
      <c r="G102" s="42"/>
      <c r="H102" s="14"/>
      <c r="I102" s="42"/>
      <c r="J102" s="14"/>
      <c r="K102" s="42"/>
      <c r="L102" s="14">
        <v>525</v>
      </c>
      <c r="M102" s="42"/>
      <c r="N102" s="14">
        <v>29</v>
      </c>
      <c r="O102" s="14">
        <v>79</v>
      </c>
      <c r="P102" s="14">
        <f t="shared" si="39"/>
        <v>79</v>
      </c>
      <c r="Q102" s="42">
        <f t="shared" si="40"/>
        <v>79</v>
      </c>
      <c r="R102" s="14"/>
      <c r="S102" s="14" t="str">
        <f t="shared" si="41"/>
        <v/>
      </c>
      <c r="T102" s="14">
        <v>5</v>
      </c>
      <c r="U102" s="90">
        <f t="shared" si="55"/>
        <v>0.98</v>
      </c>
      <c r="V102" s="90">
        <f t="shared" si="55"/>
        <v>0.98</v>
      </c>
      <c r="W102" s="14">
        <f t="shared" si="42"/>
        <v>0</v>
      </c>
      <c r="X102" s="14">
        <f t="shared" si="43"/>
        <v>2</v>
      </c>
      <c r="Y102" s="90">
        <f>1</f>
        <v>1</v>
      </c>
      <c r="Z102" s="42">
        <f t="shared" si="44"/>
        <v>2</v>
      </c>
      <c r="AA102" s="90">
        <f t="shared" si="45"/>
        <v>0.7</v>
      </c>
      <c r="AB102" s="14">
        <f t="shared" si="46"/>
        <v>80</v>
      </c>
      <c r="AC102" s="90">
        <f t="shared" si="47"/>
        <v>0.95</v>
      </c>
      <c r="AD102" s="42">
        <f t="shared" si="48"/>
        <v>76</v>
      </c>
      <c r="AE102" s="90">
        <f t="shared" si="49"/>
        <v>0.95</v>
      </c>
      <c r="AF102" s="42">
        <f t="shared" si="50"/>
        <v>72</v>
      </c>
      <c r="AG102" s="14">
        <v>2</v>
      </c>
      <c r="AH102" s="14">
        <v>0</v>
      </c>
      <c r="AI102" s="90">
        <f t="shared" si="51"/>
        <v>0.95</v>
      </c>
      <c r="AJ102" s="90"/>
      <c r="AK102" s="42">
        <f t="shared" si="52"/>
        <v>2</v>
      </c>
      <c r="AL102" s="42" t="str">
        <f t="shared" si="53"/>
        <v>ENTER YIELD RATE</v>
      </c>
      <c r="AM102" s="90">
        <f>1</f>
        <v>1</v>
      </c>
      <c r="AN102" s="42">
        <f t="shared" si="54"/>
        <v>2</v>
      </c>
      <c r="AO102" s="14">
        <v>106</v>
      </c>
      <c r="AP102" s="42"/>
    </row>
    <row r="103" spans="1:42" x14ac:dyDescent="0.2">
      <c r="A103" t="str">
        <f>INDEX(Prioritization!$D:$D,MATCH($B103,Prioritization!$A:$A,0))</f>
        <v>1 - Scale-up: Saturation</v>
      </c>
      <c r="B103" t="s">
        <v>210</v>
      </c>
      <c r="C103" t="s">
        <v>472</v>
      </c>
      <c r="D103" t="str">
        <f t="shared" si="38"/>
        <v>Blantyre District [mxqa3CDFmIT]|PWID</v>
      </c>
      <c r="E103" s="42"/>
      <c r="F103" s="42"/>
      <c r="G103" s="42"/>
      <c r="H103" s="14"/>
      <c r="I103" s="42"/>
      <c r="J103" s="14"/>
      <c r="K103" s="42"/>
      <c r="L103" s="14"/>
      <c r="M103" s="42"/>
      <c r="N103" s="14"/>
      <c r="O103" s="14"/>
      <c r="P103" s="14" t="str">
        <f t="shared" si="39"/>
        <v/>
      </c>
      <c r="Q103" s="42" t="str">
        <f t="shared" si="40"/>
        <v/>
      </c>
      <c r="R103" s="14"/>
      <c r="S103" s="14" t="str">
        <f t="shared" si="41"/>
        <v/>
      </c>
      <c r="T103" s="14"/>
      <c r="U103" s="90">
        <f t="shared" si="55"/>
        <v>0.98</v>
      </c>
      <c r="V103" s="90">
        <f t="shared" si="55"/>
        <v>0.98</v>
      </c>
      <c r="W103" s="14" t="str">
        <f t="shared" si="42"/>
        <v/>
      </c>
      <c r="X103" s="14" t="str">
        <f t="shared" si="43"/>
        <v/>
      </c>
      <c r="Y103" s="90">
        <f>1</f>
        <v>1</v>
      </c>
      <c r="Z103" s="42" t="str">
        <f t="shared" si="44"/>
        <v/>
      </c>
      <c r="AA103" s="90">
        <f t="shared" si="45"/>
        <v>0.7</v>
      </c>
      <c r="AB103" s="14" t="str">
        <f t="shared" si="46"/>
        <v/>
      </c>
      <c r="AC103" s="90">
        <f t="shared" si="47"/>
        <v>0.95</v>
      </c>
      <c r="AD103" s="42" t="str">
        <f t="shared" si="48"/>
        <v/>
      </c>
      <c r="AE103" s="90">
        <f t="shared" si="49"/>
        <v>0.95</v>
      </c>
      <c r="AF103" s="42" t="str">
        <f t="shared" si="50"/>
        <v/>
      </c>
      <c r="AG103" s="14"/>
      <c r="AH103" s="14"/>
      <c r="AI103" s="90">
        <f t="shared" si="51"/>
        <v>0.95</v>
      </c>
      <c r="AJ103" s="90"/>
      <c r="AK103" s="42" t="str">
        <f t="shared" si="52"/>
        <v/>
      </c>
      <c r="AL103" s="42" t="str">
        <f t="shared" si="53"/>
        <v/>
      </c>
      <c r="AM103" s="90">
        <f>1</f>
        <v>1</v>
      </c>
      <c r="AN103" s="42" t="str">
        <f t="shared" si="54"/>
        <v/>
      </c>
      <c r="AO103" s="14"/>
      <c r="AP103" s="42"/>
    </row>
    <row r="104" spans="1:42" x14ac:dyDescent="0.2">
      <c r="A104" t="str">
        <f>INDEX(Prioritization!$D:$D,MATCH($B104,Prioritization!$A:$A,0))</f>
        <v>1 - Scale-up: Saturation</v>
      </c>
      <c r="B104" t="s">
        <v>210</v>
      </c>
      <c r="C104" t="s">
        <v>473</v>
      </c>
      <c r="D104" t="str">
        <f t="shared" si="38"/>
        <v>Blantyre District [mxqa3CDFmIT]|TG</v>
      </c>
      <c r="E104" s="42"/>
      <c r="F104" s="42"/>
      <c r="G104" s="42"/>
      <c r="H104" s="14"/>
      <c r="I104" s="42"/>
      <c r="J104" s="14"/>
      <c r="K104" s="42"/>
      <c r="L104" s="14">
        <v>71</v>
      </c>
      <c r="M104" s="42"/>
      <c r="N104" s="14">
        <v>4</v>
      </c>
      <c r="O104" s="14">
        <v>6</v>
      </c>
      <c r="P104" s="14">
        <f t="shared" si="39"/>
        <v>6</v>
      </c>
      <c r="Q104" s="42">
        <f t="shared" si="40"/>
        <v>6</v>
      </c>
      <c r="R104" s="14"/>
      <c r="S104" s="14" t="str">
        <f t="shared" si="41"/>
        <v/>
      </c>
      <c r="T104" s="14">
        <v>6</v>
      </c>
      <c r="U104" s="90">
        <f t="shared" si="55"/>
        <v>0.98</v>
      </c>
      <c r="V104" s="90">
        <f t="shared" si="55"/>
        <v>0.98</v>
      </c>
      <c r="W104" s="14">
        <f t="shared" si="42"/>
        <v>0</v>
      </c>
      <c r="X104" s="14" t="str">
        <f t="shared" si="43"/>
        <v/>
      </c>
      <c r="Y104" s="90">
        <f>1</f>
        <v>1</v>
      </c>
      <c r="Z104" s="42" t="str">
        <f t="shared" si="44"/>
        <v/>
      </c>
      <c r="AA104" s="90">
        <f t="shared" si="45"/>
        <v>0.7</v>
      </c>
      <c r="AB104" s="14">
        <f t="shared" si="46"/>
        <v>6</v>
      </c>
      <c r="AC104" s="90">
        <f t="shared" si="47"/>
        <v>0.95</v>
      </c>
      <c r="AD104" s="42">
        <f t="shared" si="48"/>
        <v>6</v>
      </c>
      <c r="AE104" s="90">
        <f t="shared" si="49"/>
        <v>0.95</v>
      </c>
      <c r="AF104" s="42">
        <f t="shared" si="50"/>
        <v>6</v>
      </c>
      <c r="AG104" s="14">
        <v>6</v>
      </c>
      <c r="AH104" s="14">
        <v>0</v>
      </c>
      <c r="AI104" s="90">
        <f t="shared" si="51"/>
        <v>0.95</v>
      </c>
      <c r="AJ104" s="90"/>
      <c r="AK104" s="42" t="str">
        <f t="shared" si="52"/>
        <v/>
      </c>
      <c r="AL104" s="42" t="str">
        <f t="shared" si="53"/>
        <v/>
      </c>
      <c r="AM104" s="90">
        <f>1</f>
        <v>1</v>
      </c>
      <c r="AN104" s="42" t="str">
        <f t="shared" si="54"/>
        <v/>
      </c>
      <c r="AO104" s="14"/>
      <c r="AP104" s="42"/>
    </row>
    <row r="105" spans="1:42" x14ac:dyDescent="0.2">
      <c r="A105" t="str">
        <f>INDEX(Prioritization!$D:$D,MATCH($B105,Prioritization!$A:$A,0))</f>
        <v>1 - Scale-up: Saturation</v>
      </c>
      <c r="B105" t="s">
        <v>211</v>
      </c>
      <c r="C105" t="s">
        <v>469</v>
      </c>
      <c r="D105" t="str">
        <f t="shared" si="38"/>
        <v>Chikwawa District [U8c0so51kT6]|FSW</v>
      </c>
      <c r="E105" s="42"/>
      <c r="F105" s="42"/>
      <c r="G105" s="42"/>
      <c r="H105" s="14"/>
      <c r="I105" s="42"/>
      <c r="J105" s="14">
        <v>91</v>
      </c>
      <c r="K105" s="42"/>
      <c r="L105" s="14">
        <v>452</v>
      </c>
      <c r="M105" s="42"/>
      <c r="N105" s="14">
        <v>71</v>
      </c>
      <c r="O105" s="14">
        <v>86</v>
      </c>
      <c r="P105" s="14">
        <f t="shared" si="39"/>
        <v>86</v>
      </c>
      <c r="Q105" s="42">
        <f t="shared" si="40"/>
        <v>86</v>
      </c>
      <c r="R105" s="14"/>
      <c r="S105" s="14" t="str">
        <f t="shared" si="41"/>
        <v/>
      </c>
      <c r="T105" s="14">
        <v>4</v>
      </c>
      <c r="U105" s="90">
        <f t="shared" si="55"/>
        <v>0.98</v>
      </c>
      <c r="V105" s="90">
        <f t="shared" si="55"/>
        <v>0.98</v>
      </c>
      <c r="W105" s="14">
        <f t="shared" si="42"/>
        <v>0</v>
      </c>
      <c r="X105" s="14">
        <f t="shared" si="43"/>
        <v>2</v>
      </c>
      <c r="Y105" s="90">
        <f>1</f>
        <v>1</v>
      </c>
      <c r="Z105" s="42">
        <f t="shared" si="44"/>
        <v>2</v>
      </c>
      <c r="AA105" s="90">
        <f t="shared" si="45"/>
        <v>0.7</v>
      </c>
      <c r="AB105" s="14">
        <f t="shared" si="46"/>
        <v>87</v>
      </c>
      <c r="AC105" s="90">
        <f t="shared" si="47"/>
        <v>0.95</v>
      </c>
      <c r="AD105" s="42">
        <f t="shared" si="48"/>
        <v>83</v>
      </c>
      <c r="AE105" s="90">
        <f t="shared" si="49"/>
        <v>0.95</v>
      </c>
      <c r="AF105" s="42">
        <f t="shared" si="50"/>
        <v>79</v>
      </c>
      <c r="AG105" s="14">
        <v>2</v>
      </c>
      <c r="AH105" s="14">
        <v>1</v>
      </c>
      <c r="AI105" s="90">
        <f t="shared" si="51"/>
        <v>0.95</v>
      </c>
      <c r="AJ105" s="90"/>
      <c r="AK105" s="42">
        <f t="shared" si="52"/>
        <v>2</v>
      </c>
      <c r="AL105" s="42" t="str">
        <f t="shared" si="53"/>
        <v>ENTER YIELD RATE</v>
      </c>
      <c r="AM105" s="90">
        <f>1</f>
        <v>1</v>
      </c>
      <c r="AN105" s="42">
        <f t="shared" si="54"/>
        <v>2</v>
      </c>
      <c r="AO105" s="14">
        <v>39</v>
      </c>
      <c r="AP105" s="42"/>
    </row>
    <row r="106" spans="1:42" x14ac:dyDescent="0.2">
      <c r="A106" t="str">
        <f>INDEX(Prioritization!$D:$D,MATCH($B106,Prioritization!$A:$A,0))</f>
        <v>1 - Scale-up: Saturation</v>
      </c>
      <c r="B106" t="s">
        <v>211</v>
      </c>
      <c r="C106" t="s">
        <v>470</v>
      </c>
      <c r="D106" t="str">
        <f t="shared" si="38"/>
        <v>Chikwawa District [U8c0so51kT6]|MSM</v>
      </c>
      <c r="E106" s="42"/>
      <c r="F106" s="42"/>
      <c r="G106" s="42"/>
      <c r="H106" s="14"/>
      <c r="I106" s="42"/>
      <c r="J106" s="14">
        <v>19</v>
      </c>
      <c r="K106" s="42"/>
      <c r="L106" s="14">
        <v>93</v>
      </c>
      <c r="M106" s="42"/>
      <c r="N106" s="14">
        <v>53</v>
      </c>
      <c r="O106" s="14">
        <v>42</v>
      </c>
      <c r="P106" s="14">
        <f t="shared" si="39"/>
        <v>53</v>
      </c>
      <c r="Q106" s="42">
        <f t="shared" si="40"/>
        <v>53</v>
      </c>
      <c r="R106" s="14"/>
      <c r="S106" s="14" t="str">
        <f t="shared" si="41"/>
        <v/>
      </c>
      <c r="T106" s="14">
        <v>7</v>
      </c>
      <c r="U106" s="90">
        <f t="shared" si="55"/>
        <v>0.98</v>
      </c>
      <c r="V106" s="90">
        <f t="shared" si="55"/>
        <v>0.98</v>
      </c>
      <c r="W106" s="14">
        <f t="shared" si="42"/>
        <v>0</v>
      </c>
      <c r="X106" s="14">
        <f t="shared" si="43"/>
        <v>1</v>
      </c>
      <c r="Y106" s="90">
        <f>1</f>
        <v>1</v>
      </c>
      <c r="Z106" s="42">
        <f t="shared" si="44"/>
        <v>1</v>
      </c>
      <c r="AA106" s="90">
        <f t="shared" si="45"/>
        <v>0.7</v>
      </c>
      <c r="AB106" s="14">
        <f t="shared" si="46"/>
        <v>54</v>
      </c>
      <c r="AC106" s="90">
        <f t="shared" si="47"/>
        <v>0.95</v>
      </c>
      <c r="AD106" s="42">
        <f t="shared" si="48"/>
        <v>51</v>
      </c>
      <c r="AE106" s="90">
        <f t="shared" si="49"/>
        <v>0.95</v>
      </c>
      <c r="AF106" s="42">
        <f t="shared" si="50"/>
        <v>48</v>
      </c>
      <c r="AG106" s="14">
        <v>2</v>
      </c>
      <c r="AH106" s="14">
        <v>1</v>
      </c>
      <c r="AI106" s="90">
        <f t="shared" si="51"/>
        <v>0.95</v>
      </c>
      <c r="AJ106" s="90"/>
      <c r="AK106" s="42">
        <f t="shared" si="52"/>
        <v>1</v>
      </c>
      <c r="AL106" s="42" t="str">
        <f t="shared" si="53"/>
        <v>ENTER YIELD RATE</v>
      </c>
      <c r="AM106" s="90">
        <f>1</f>
        <v>1</v>
      </c>
      <c r="AN106" s="42">
        <f t="shared" si="54"/>
        <v>1</v>
      </c>
      <c r="AO106" s="14">
        <v>64</v>
      </c>
      <c r="AP106" s="42"/>
    </row>
    <row r="107" spans="1:42" x14ac:dyDescent="0.2">
      <c r="A107" t="str">
        <f>INDEX(Prioritization!$D:$D,MATCH($B107,Prioritization!$A:$A,0))</f>
        <v>1 - Scale-up: Saturation</v>
      </c>
      <c r="B107" t="s">
        <v>211</v>
      </c>
      <c r="C107" t="s">
        <v>471</v>
      </c>
      <c r="D107" t="str">
        <f t="shared" si="38"/>
        <v>Chikwawa District [U8c0so51kT6]|People in prisons and other enclosed settings</v>
      </c>
      <c r="E107" s="42"/>
      <c r="F107" s="42"/>
      <c r="G107" s="42"/>
      <c r="H107" s="14"/>
      <c r="I107" s="42"/>
      <c r="J107" s="14"/>
      <c r="K107" s="42"/>
      <c r="L107" s="14"/>
      <c r="M107" s="42"/>
      <c r="N107" s="14"/>
      <c r="O107" s="14"/>
      <c r="P107" s="14" t="str">
        <f t="shared" si="39"/>
        <v/>
      </c>
      <c r="Q107" s="42" t="str">
        <f t="shared" si="40"/>
        <v/>
      </c>
      <c r="R107" s="14"/>
      <c r="S107" s="14" t="str">
        <f t="shared" si="41"/>
        <v/>
      </c>
      <c r="T107" s="14"/>
      <c r="U107" s="90">
        <f t="shared" si="55"/>
        <v>0.98</v>
      </c>
      <c r="V107" s="90">
        <f t="shared" si="55"/>
        <v>0.98</v>
      </c>
      <c r="W107" s="14" t="str">
        <f t="shared" si="42"/>
        <v/>
      </c>
      <c r="X107" s="14" t="str">
        <f t="shared" si="43"/>
        <v/>
      </c>
      <c r="Y107" s="90">
        <f>1</f>
        <v>1</v>
      </c>
      <c r="Z107" s="42" t="str">
        <f t="shared" si="44"/>
        <v/>
      </c>
      <c r="AA107" s="90">
        <f t="shared" si="45"/>
        <v>0.7</v>
      </c>
      <c r="AB107" s="14" t="str">
        <f t="shared" si="46"/>
        <v/>
      </c>
      <c r="AC107" s="90">
        <f t="shared" si="47"/>
        <v>0.95</v>
      </c>
      <c r="AD107" s="42" t="str">
        <f t="shared" si="48"/>
        <v/>
      </c>
      <c r="AE107" s="90">
        <f t="shared" si="49"/>
        <v>0.95</v>
      </c>
      <c r="AF107" s="42" t="str">
        <f t="shared" si="50"/>
        <v/>
      </c>
      <c r="AG107" s="14"/>
      <c r="AH107" s="14"/>
      <c r="AI107" s="90">
        <f t="shared" si="51"/>
        <v>0.95</v>
      </c>
      <c r="AJ107" s="90"/>
      <c r="AK107" s="42" t="str">
        <f t="shared" si="52"/>
        <v/>
      </c>
      <c r="AL107" s="42" t="str">
        <f t="shared" si="53"/>
        <v/>
      </c>
      <c r="AM107" s="90">
        <f>1</f>
        <v>1</v>
      </c>
      <c r="AN107" s="42" t="str">
        <f t="shared" si="54"/>
        <v/>
      </c>
      <c r="AO107" s="14"/>
      <c r="AP107" s="42"/>
    </row>
    <row r="108" spans="1:42" x14ac:dyDescent="0.2">
      <c r="A108" t="str">
        <f>INDEX(Prioritization!$D:$D,MATCH($B108,Prioritization!$A:$A,0))</f>
        <v>1 - Scale-up: Saturation</v>
      </c>
      <c r="B108" t="s">
        <v>211</v>
      </c>
      <c r="C108" t="s">
        <v>472</v>
      </c>
      <c r="D108" t="str">
        <f t="shared" si="38"/>
        <v>Chikwawa District [U8c0so51kT6]|PWID</v>
      </c>
      <c r="E108" s="42"/>
      <c r="F108" s="42"/>
      <c r="G108" s="42"/>
      <c r="H108" s="14"/>
      <c r="I108" s="42"/>
      <c r="J108" s="14"/>
      <c r="K108" s="42"/>
      <c r="L108" s="14"/>
      <c r="M108" s="42"/>
      <c r="N108" s="14"/>
      <c r="O108" s="14"/>
      <c r="P108" s="14" t="str">
        <f t="shared" si="39"/>
        <v/>
      </c>
      <c r="Q108" s="42" t="str">
        <f t="shared" si="40"/>
        <v/>
      </c>
      <c r="R108" s="14"/>
      <c r="S108" s="14" t="str">
        <f t="shared" si="41"/>
        <v/>
      </c>
      <c r="T108" s="14"/>
      <c r="U108" s="90">
        <f t="shared" si="55"/>
        <v>0.98</v>
      </c>
      <c r="V108" s="90">
        <f t="shared" si="55"/>
        <v>0.98</v>
      </c>
      <c r="W108" s="14" t="str">
        <f t="shared" si="42"/>
        <v/>
      </c>
      <c r="X108" s="14" t="str">
        <f t="shared" si="43"/>
        <v/>
      </c>
      <c r="Y108" s="90">
        <f>1</f>
        <v>1</v>
      </c>
      <c r="Z108" s="42" t="str">
        <f t="shared" si="44"/>
        <v/>
      </c>
      <c r="AA108" s="90">
        <f t="shared" si="45"/>
        <v>0.7</v>
      </c>
      <c r="AB108" s="14" t="str">
        <f t="shared" si="46"/>
        <v/>
      </c>
      <c r="AC108" s="90">
        <f t="shared" si="47"/>
        <v>0.95</v>
      </c>
      <c r="AD108" s="42" t="str">
        <f t="shared" si="48"/>
        <v/>
      </c>
      <c r="AE108" s="90">
        <f t="shared" si="49"/>
        <v>0.95</v>
      </c>
      <c r="AF108" s="42" t="str">
        <f t="shared" si="50"/>
        <v/>
      </c>
      <c r="AG108" s="14"/>
      <c r="AH108" s="14"/>
      <c r="AI108" s="90">
        <f t="shared" si="51"/>
        <v>0.95</v>
      </c>
      <c r="AJ108" s="90"/>
      <c r="AK108" s="42" t="str">
        <f t="shared" si="52"/>
        <v/>
      </c>
      <c r="AL108" s="42" t="str">
        <f t="shared" si="53"/>
        <v/>
      </c>
      <c r="AM108" s="90">
        <f>1</f>
        <v>1</v>
      </c>
      <c r="AN108" s="42" t="str">
        <f t="shared" si="54"/>
        <v/>
      </c>
      <c r="AO108" s="14"/>
      <c r="AP108" s="42"/>
    </row>
    <row r="109" spans="1:42" x14ac:dyDescent="0.2">
      <c r="A109" t="str">
        <f>INDEX(Prioritization!$D:$D,MATCH($B109,Prioritization!$A:$A,0))</f>
        <v>1 - Scale-up: Saturation</v>
      </c>
      <c r="B109" t="s">
        <v>211</v>
      </c>
      <c r="C109" t="s">
        <v>473</v>
      </c>
      <c r="D109" t="str">
        <f t="shared" si="38"/>
        <v>Chikwawa District [U8c0so51kT6]|TG</v>
      </c>
      <c r="E109" s="42"/>
      <c r="F109" s="42"/>
      <c r="G109" s="42"/>
      <c r="H109" s="14"/>
      <c r="I109" s="42"/>
      <c r="J109" s="14"/>
      <c r="K109" s="42"/>
      <c r="L109" s="14"/>
      <c r="M109" s="42"/>
      <c r="N109" s="14"/>
      <c r="O109" s="14"/>
      <c r="P109" s="14" t="str">
        <f t="shared" si="39"/>
        <v/>
      </c>
      <c r="Q109" s="42" t="str">
        <f t="shared" si="40"/>
        <v/>
      </c>
      <c r="R109" s="14"/>
      <c r="S109" s="14" t="str">
        <f t="shared" si="41"/>
        <v/>
      </c>
      <c r="T109" s="14"/>
      <c r="U109" s="90">
        <f t="shared" si="55"/>
        <v>0.98</v>
      </c>
      <c r="V109" s="90">
        <f t="shared" si="55"/>
        <v>0.98</v>
      </c>
      <c r="W109" s="14" t="str">
        <f t="shared" si="42"/>
        <v/>
      </c>
      <c r="X109" s="14" t="str">
        <f t="shared" si="43"/>
        <v/>
      </c>
      <c r="Y109" s="90">
        <f>1</f>
        <v>1</v>
      </c>
      <c r="Z109" s="42" t="str">
        <f t="shared" si="44"/>
        <v/>
      </c>
      <c r="AA109" s="90">
        <f t="shared" si="45"/>
        <v>0.7</v>
      </c>
      <c r="AB109" s="14" t="str">
        <f t="shared" si="46"/>
        <v/>
      </c>
      <c r="AC109" s="90">
        <f t="shared" si="47"/>
        <v>0.95</v>
      </c>
      <c r="AD109" s="42" t="str">
        <f t="shared" si="48"/>
        <v/>
      </c>
      <c r="AE109" s="90">
        <f t="shared" si="49"/>
        <v>0.95</v>
      </c>
      <c r="AF109" s="42" t="str">
        <f t="shared" si="50"/>
        <v/>
      </c>
      <c r="AG109" s="14"/>
      <c r="AH109" s="14"/>
      <c r="AI109" s="90">
        <f t="shared" si="51"/>
        <v>0.95</v>
      </c>
      <c r="AJ109" s="90"/>
      <c r="AK109" s="42" t="str">
        <f t="shared" si="52"/>
        <v/>
      </c>
      <c r="AL109" s="42" t="str">
        <f t="shared" si="53"/>
        <v/>
      </c>
      <c r="AM109" s="90">
        <f>1</f>
        <v>1</v>
      </c>
      <c r="AN109" s="42" t="str">
        <f t="shared" si="54"/>
        <v/>
      </c>
      <c r="AO109" s="14"/>
      <c r="AP109" s="42"/>
    </row>
    <row r="110" spans="1:42" x14ac:dyDescent="0.2">
      <c r="A110" t="str">
        <f>INDEX(Prioritization!$D:$D,MATCH($B110,Prioritization!$A:$A,0))</f>
        <v>1 - Scale-up: Saturation</v>
      </c>
      <c r="B110" t="s">
        <v>212</v>
      </c>
      <c r="C110" t="s">
        <v>469</v>
      </c>
      <c r="D110" t="str">
        <f t="shared" si="38"/>
        <v>Chiradzulu District [oiPR2CiVJbf]|FSW</v>
      </c>
      <c r="E110" s="42"/>
      <c r="F110" s="42"/>
      <c r="G110" s="42"/>
      <c r="H110" s="14"/>
      <c r="I110" s="42"/>
      <c r="J110" s="14">
        <v>56</v>
      </c>
      <c r="K110" s="42"/>
      <c r="L110" s="14">
        <v>95</v>
      </c>
      <c r="M110" s="42"/>
      <c r="N110" s="14">
        <v>99</v>
      </c>
      <c r="O110" s="14">
        <v>29</v>
      </c>
      <c r="P110" s="14">
        <f t="shared" si="39"/>
        <v>99</v>
      </c>
      <c r="Q110" s="42">
        <f t="shared" si="40"/>
        <v>99</v>
      </c>
      <c r="R110" s="14"/>
      <c r="S110" s="14" t="str">
        <f t="shared" si="41"/>
        <v/>
      </c>
      <c r="T110" s="14">
        <v>2</v>
      </c>
      <c r="U110" s="90">
        <f t="shared" si="55"/>
        <v>0.98</v>
      </c>
      <c r="V110" s="90">
        <f t="shared" si="55"/>
        <v>0.98</v>
      </c>
      <c r="W110" s="14">
        <f t="shared" si="42"/>
        <v>0</v>
      </c>
      <c r="X110" s="14">
        <f t="shared" si="43"/>
        <v>2</v>
      </c>
      <c r="Y110" s="90">
        <f>1</f>
        <v>1</v>
      </c>
      <c r="Z110" s="42">
        <f t="shared" si="44"/>
        <v>2</v>
      </c>
      <c r="AA110" s="90">
        <f t="shared" si="45"/>
        <v>0.7</v>
      </c>
      <c r="AB110" s="14">
        <f t="shared" si="46"/>
        <v>100</v>
      </c>
      <c r="AC110" s="90">
        <f t="shared" si="47"/>
        <v>0.95</v>
      </c>
      <c r="AD110" s="42">
        <f t="shared" si="48"/>
        <v>95</v>
      </c>
      <c r="AE110" s="90">
        <f t="shared" si="49"/>
        <v>0.95</v>
      </c>
      <c r="AF110" s="42">
        <f t="shared" si="50"/>
        <v>90</v>
      </c>
      <c r="AG110" s="14">
        <v>8</v>
      </c>
      <c r="AH110" s="14">
        <v>1</v>
      </c>
      <c r="AI110" s="90">
        <f t="shared" si="51"/>
        <v>0.95</v>
      </c>
      <c r="AJ110" s="90"/>
      <c r="AK110" s="42">
        <f t="shared" si="52"/>
        <v>2</v>
      </c>
      <c r="AL110" s="42" t="str">
        <f t="shared" si="53"/>
        <v>ENTER YIELD RATE</v>
      </c>
      <c r="AM110" s="90">
        <f>1</f>
        <v>1</v>
      </c>
      <c r="AN110" s="42">
        <f t="shared" si="54"/>
        <v>2</v>
      </c>
      <c r="AO110" s="14">
        <v>69</v>
      </c>
      <c r="AP110" s="42"/>
    </row>
    <row r="111" spans="1:42" x14ac:dyDescent="0.2">
      <c r="A111" t="str">
        <f>INDEX(Prioritization!$D:$D,MATCH($B111,Prioritization!$A:$A,0))</f>
        <v>1 - Scale-up: Saturation</v>
      </c>
      <c r="B111" t="s">
        <v>212</v>
      </c>
      <c r="C111" t="s">
        <v>470</v>
      </c>
      <c r="D111" t="str">
        <f t="shared" ref="D111:D142" si="56">B111&amp;"|"&amp;C111</f>
        <v>Chiradzulu District [oiPR2CiVJbf]|MSM</v>
      </c>
      <c r="E111" s="42"/>
      <c r="F111" s="42"/>
      <c r="G111" s="42"/>
      <c r="H111" s="14"/>
      <c r="I111" s="42"/>
      <c r="J111" s="14">
        <v>93</v>
      </c>
      <c r="K111" s="42"/>
      <c r="L111" s="14">
        <v>56</v>
      </c>
      <c r="M111" s="42"/>
      <c r="N111" s="14">
        <v>10</v>
      </c>
      <c r="O111" s="14">
        <v>4</v>
      </c>
      <c r="P111" s="14">
        <f t="shared" ref="P111:P142" si="57">IF(MAX($N111,$O111)=0,"",MAX($N111,$O111))</f>
        <v>10</v>
      </c>
      <c r="Q111" s="42">
        <f t="shared" ref="Q111:Q142" si="58">IF(SUM($P111)=0,"",SUM($P111))</f>
        <v>10</v>
      </c>
      <c r="R111" s="14"/>
      <c r="S111" s="14" t="str">
        <f t="shared" ref="S111:S142" si="59">IF(SUM($F111)=0,"",SUM($R111)/$F111)</f>
        <v/>
      </c>
      <c r="T111" s="14">
        <v>7</v>
      </c>
      <c r="U111" s="90">
        <f t="shared" si="55"/>
        <v>0.98</v>
      </c>
      <c r="V111" s="90">
        <f t="shared" si="55"/>
        <v>0.98</v>
      </c>
      <c r="W111" s="14">
        <f t="shared" ref="W111:W142" si="60">IF(SUM($P111,$Q111)=0,"",SUM($Q111)-SUM($P111))</f>
        <v>0</v>
      </c>
      <c r="X111" s="14" t="str">
        <f t="shared" ref="X111:X142" si="61">IFERROR(1/(1/ROUND((SUM($Q111)-(SUM($P111)*SUM($U111)))/$V111,0)),"")</f>
        <v/>
      </c>
      <c r="Y111" s="90">
        <f>1</f>
        <v>1</v>
      </c>
      <c r="Z111" s="42" t="str">
        <f t="shared" ref="Z111:Z142" si="62">IFERROR(1/(1/ROUND(SUM($X111)*SUM($Y111),0)),"")</f>
        <v/>
      </c>
      <c r="AA111" s="90">
        <f t="shared" ref="AA111:AA142" si="63">0.7</f>
        <v>0.7</v>
      </c>
      <c r="AB111" s="14">
        <f t="shared" ref="AB111:AB142" si="64">IFERROR(1/(1/ROUND($P111+(SUM($X111)*$AA111),0)),"")</f>
        <v>10</v>
      </c>
      <c r="AC111" s="90">
        <f t="shared" ref="AC111:AC142" si="65">0.95</f>
        <v>0.95</v>
      </c>
      <c r="AD111" s="42">
        <f t="shared" ref="AD111:AD142" si="66">IF(SUM($AB111)=0,"",ROUND($AB111*$AC111,0))</f>
        <v>10</v>
      </c>
      <c r="AE111" s="90">
        <f t="shared" ref="AE111:AE142" si="67">0.95</f>
        <v>0.95</v>
      </c>
      <c r="AF111" s="42">
        <f t="shared" ref="AF111:AF142" si="68">IF(SUM($AD111)=0,"",ROUND($AD111*$AE111,0))</f>
        <v>10</v>
      </c>
      <c r="AG111" s="14">
        <v>9</v>
      </c>
      <c r="AH111" s="14">
        <v>1</v>
      </c>
      <c r="AI111" s="90">
        <f t="shared" ref="AI111:AI142" si="69">0.95</f>
        <v>0.95</v>
      </c>
      <c r="AJ111" s="90"/>
      <c r="AK111" s="42" t="str">
        <f t="shared" ref="AK111:AK142" si="70">IF(SUM($Z111)=0,"",IF(AND(SUM($Z111)&gt;0,$AI111=""),"ENTER LINKAGE RATE",ROUND($Z111/$AI111,0)))</f>
        <v/>
      </c>
      <c r="AL111" s="42" t="str">
        <f t="shared" ref="AL111:AL142" si="71">IF(SUM($AK111)=0,"",IF(AND($AK111&gt;0,$AJ111=""),"ENTER YIELD RATE",ROUND($AK111/$AJ111-$AK111,0)))</f>
        <v/>
      </c>
      <c r="AM111" s="90">
        <f>1</f>
        <v>1</v>
      </c>
      <c r="AN111" s="42" t="str">
        <f t="shared" ref="AN111:AN142" si="72">IF(SUM($AK111)=0,"",ROUND($AK111*$AM111,0))</f>
        <v/>
      </c>
      <c r="AO111" s="14">
        <v>32</v>
      </c>
      <c r="AP111" s="42"/>
    </row>
    <row r="112" spans="1:42" x14ac:dyDescent="0.2">
      <c r="A112" t="str">
        <f>INDEX(Prioritization!$D:$D,MATCH($B112,Prioritization!$A:$A,0))</f>
        <v>1 - Scale-up: Saturation</v>
      </c>
      <c r="B112" t="s">
        <v>212</v>
      </c>
      <c r="C112" t="s">
        <v>471</v>
      </c>
      <c r="D112" t="str">
        <f t="shared" si="56"/>
        <v>Chiradzulu District [oiPR2CiVJbf]|People in prisons and other enclosed settings</v>
      </c>
      <c r="E112" s="42"/>
      <c r="F112" s="42"/>
      <c r="G112" s="42"/>
      <c r="H112" s="14"/>
      <c r="I112" s="42"/>
      <c r="J112" s="14"/>
      <c r="K112" s="42"/>
      <c r="L112" s="14"/>
      <c r="M112" s="42"/>
      <c r="N112" s="14"/>
      <c r="O112" s="14"/>
      <c r="P112" s="14" t="str">
        <f t="shared" si="57"/>
        <v/>
      </c>
      <c r="Q112" s="42" t="str">
        <f t="shared" si="58"/>
        <v/>
      </c>
      <c r="R112" s="14"/>
      <c r="S112" s="14" t="str">
        <f t="shared" si="59"/>
        <v/>
      </c>
      <c r="T112" s="14"/>
      <c r="U112" s="90">
        <f t="shared" si="55"/>
        <v>0.98</v>
      </c>
      <c r="V112" s="90">
        <f t="shared" si="55"/>
        <v>0.98</v>
      </c>
      <c r="W112" s="14" t="str">
        <f t="shared" si="60"/>
        <v/>
      </c>
      <c r="X112" s="14" t="str">
        <f t="shared" si="61"/>
        <v/>
      </c>
      <c r="Y112" s="90">
        <f>1</f>
        <v>1</v>
      </c>
      <c r="Z112" s="42" t="str">
        <f t="shared" si="62"/>
        <v/>
      </c>
      <c r="AA112" s="90">
        <f t="shared" si="63"/>
        <v>0.7</v>
      </c>
      <c r="AB112" s="14" t="str">
        <f t="shared" si="64"/>
        <v/>
      </c>
      <c r="AC112" s="90">
        <f t="shared" si="65"/>
        <v>0.95</v>
      </c>
      <c r="AD112" s="42" t="str">
        <f t="shared" si="66"/>
        <v/>
      </c>
      <c r="AE112" s="90">
        <f t="shared" si="67"/>
        <v>0.95</v>
      </c>
      <c r="AF112" s="42" t="str">
        <f t="shared" si="68"/>
        <v/>
      </c>
      <c r="AG112" s="14"/>
      <c r="AH112" s="14"/>
      <c r="AI112" s="90">
        <f t="shared" si="69"/>
        <v>0.95</v>
      </c>
      <c r="AJ112" s="90"/>
      <c r="AK112" s="42" t="str">
        <f t="shared" si="70"/>
        <v/>
      </c>
      <c r="AL112" s="42" t="str">
        <f t="shared" si="71"/>
        <v/>
      </c>
      <c r="AM112" s="90">
        <f>1</f>
        <v>1</v>
      </c>
      <c r="AN112" s="42" t="str">
        <f t="shared" si="72"/>
        <v/>
      </c>
      <c r="AO112" s="14"/>
      <c r="AP112" s="42"/>
    </row>
    <row r="113" spans="1:42" x14ac:dyDescent="0.2">
      <c r="A113" t="str">
        <f>INDEX(Prioritization!$D:$D,MATCH($B113,Prioritization!$A:$A,0))</f>
        <v>1 - Scale-up: Saturation</v>
      </c>
      <c r="B113" t="s">
        <v>212</v>
      </c>
      <c r="C113" t="s">
        <v>472</v>
      </c>
      <c r="D113" t="str">
        <f t="shared" si="56"/>
        <v>Chiradzulu District [oiPR2CiVJbf]|PWID</v>
      </c>
      <c r="E113" s="42"/>
      <c r="F113" s="42"/>
      <c r="G113" s="42"/>
      <c r="H113" s="14"/>
      <c r="I113" s="42"/>
      <c r="J113" s="14"/>
      <c r="K113" s="42"/>
      <c r="L113" s="14"/>
      <c r="M113" s="42"/>
      <c r="N113" s="14"/>
      <c r="O113" s="14"/>
      <c r="P113" s="14" t="str">
        <f t="shared" si="57"/>
        <v/>
      </c>
      <c r="Q113" s="42" t="str">
        <f t="shared" si="58"/>
        <v/>
      </c>
      <c r="R113" s="14"/>
      <c r="S113" s="14" t="str">
        <f t="shared" si="59"/>
        <v/>
      </c>
      <c r="T113" s="14"/>
      <c r="U113" s="90">
        <f t="shared" si="55"/>
        <v>0.98</v>
      </c>
      <c r="V113" s="90">
        <f t="shared" si="55"/>
        <v>0.98</v>
      </c>
      <c r="W113" s="14" t="str">
        <f t="shared" si="60"/>
        <v/>
      </c>
      <c r="X113" s="14" t="str">
        <f t="shared" si="61"/>
        <v/>
      </c>
      <c r="Y113" s="90">
        <f>1</f>
        <v>1</v>
      </c>
      <c r="Z113" s="42" t="str">
        <f t="shared" si="62"/>
        <v/>
      </c>
      <c r="AA113" s="90">
        <f t="shared" si="63"/>
        <v>0.7</v>
      </c>
      <c r="AB113" s="14" t="str">
        <f t="shared" si="64"/>
        <v/>
      </c>
      <c r="AC113" s="90">
        <f t="shared" si="65"/>
        <v>0.95</v>
      </c>
      <c r="AD113" s="42" t="str">
        <f t="shared" si="66"/>
        <v/>
      </c>
      <c r="AE113" s="90">
        <f t="shared" si="67"/>
        <v>0.95</v>
      </c>
      <c r="AF113" s="42" t="str">
        <f t="shared" si="68"/>
        <v/>
      </c>
      <c r="AG113" s="14"/>
      <c r="AH113" s="14"/>
      <c r="AI113" s="90">
        <f t="shared" si="69"/>
        <v>0.95</v>
      </c>
      <c r="AJ113" s="90"/>
      <c r="AK113" s="42" t="str">
        <f t="shared" si="70"/>
        <v/>
      </c>
      <c r="AL113" s="42" t="str">
        <f t="shared" si="71"/>
        <v/>
      </c>
      <c r="AM113" s="90">
        <f>1</f>
        <v>1</v>
      </c>
      <c r="AN113" s="42" t="str">
        <f t="shared" si="72"/>
        <v/>
      </c>
      <c r="AO113" s="14"/>
      <c r="AP113" s="42"/>
    </row>
    <row r="114" spans="1:42" x14ac:dyDescent="0.2">
      <c r="A114" t="str">
        <f>INDEX(Prioritization!$D:$D,MATCH($B114,Prioritization!$A:$A,0))</f>
        <v>1 - Scale-up: Saturation</v>
      </c>
      <c r="B114" t="s">
        <v>212</v>
      </c>
      <c r="C114" t="s">
        <v>473</v>
      </c>
      <c r="D114" t="str">
        <f t="shared" si="56"/>
        <v>Chiradzulu District [oiPR2CiVJbf]|TG</v>
      </c>
      <c r="E114" s="42"/>
      <c r="F114" s="42"/>
      <c r="G114" s="42"/>
      <c r="H114" s="14"/>
      <c r="I114" s="42"/>
      <c r="J114" s="14"/>
      <c r="K114" s="42"/>
      <c r="L114" s="14"/>
      <c r="M114" s="42"/>
      <c r="N114" s="14"/>
      <c r="O114" s="14"/>
      <c r="P114" s="14" t="str">
        <f t="shared" si="57"/>
        <v/>
      </c>
      <c r="Q114" s="42" t="str">
        <f t="shared" si="58"/>
        <v/>
      </c>
      <c r="R114" s="14"/>
      <c r="S114" s="14" t="str">
        <f t="shared" si="59"/>
        <v/>
      </c>
      <c r="T114" s="14"/>
      <c r="U114" s="90">
        <f t="shared" si="55"/>
        <v>0.98</v>
      </c>
      <c r="V114" s="90">
        <f t="shared" si="55"/>
        <v>0.98</v>
      </c>
      <c r="W114" s="14" t="str">
        <f t="shared" si="60"/>
        <v/>
      </c>
      <c r="X114" s="14" t="str">
        <f t="shared" si="61"/>
        <v/>
      </c>
      <c r="Y114" s="90">
        <f>1</f>
        <v>1</v>
      </c>
      <c r="Z114" s="42" t="str">
        <f t="shared" si="62"/>
        <v/>
      </c>
      <c r="AA114" s="90">
        <f t="shared" si="63"/>
        <v>0.7</v>
      </c>
      <c r="AB114" s="14" t="str">
        <f t="shared" si="64"/>
        <v/>
      </c>
      <c r="AC114" s="90">
        <f t="shared" si="65"/>
        <v>0.95</v>
      </c>
      <c r="AD114" s="42" t="str">
        <f t="shared" si="66"/>
        <v/>
      </c>
      <c r="AE114" s="90">
        <f t="shared" si="67"/>
        <v>0.95</v>
      </c>
      <c r="AF114" s="42" t="str">
        <f t="shared" si="68"/>
        <v/>
      </c>
      <c r="AG114" s="14"/>
      <c r="AH114" s="14"/>
      <c r="AI114" s="90">
        <f t="shared" si="69"/>
        <v>0.95</v>
      </c>
      <c r="AJ114" s="90"/>
      <c r="AK114" s="42" t="str">
        <f t="shared" si="70"/>
        <v/>
      </c>
      <c r="AL114" s="42" t="str">
        <f t="shared" si="71"/>
        <v/>
      </c>
      <c r="AM114" s="90">
        <f>1</f>
        <v>1</v>
      </c>
      <c r="AN114" s="42" t="str">
        <f t="shared" si="72"/>
        <v/>
      </c>
      <c r="AO114" s="14"/>
      <c r="AP114" s="42"/>
    </row>
    <row r="115" spans="1:42" x14ac:dyDescent="0.2">
      <c r="A115" t="str">
        <f>INDEX(Prioritization!$D:$D,MATCH($B115,Prioritization!$A:$A,0))</f>
        <v>1 - Scale-up: Saturation</v>
      </c>
      <c r="B115" t="s">
        <v>213</v>
      </c>
      <c r="C115" t="s">
        <v>469</v>
      </c>
      <c r="D115" t="str">
        <f t="shared" si="56"/>
        <v>Machinga District [TYnMSwzko3z]|FSW</v>
      </c>
      <c r="E115" s="42"/>
      <c r="F115" s="42"/>
      <c r="G115" s="42"/>
      <c r="H115" s="14"/>
      <c r="I115" s="42"/>
      <c r="J115" s="14">
        <v>50</v>
      </c>
      <c r="K115" s="42"/>
      <c r="L115" s="14">
        <v>932</v>
      </c>
      <c r="M115" s="42"/>
      <c r="N115" s="14"/>
      <c r="O115" s="14">
        <v>61</v>
      </c>
      <c r="P115" s="14">
        <f t="shared" si="57"/>
        <v>61</v>
      </c>
      <c r="Q115" s="42">
        <f t="shared" si="58"/>
        <v>61</v>
      </c>
      <c r="R115" s="14"/>
      <c r="S115" s="14" t="str">
        <f t="shared" si="59"/>
        <v/>
      </c>
      <c r="T115" s="14">
        <v>95</v>
      </c>
      <c r="U115" s="90">
        <f t="shared" ref="U115:V134" si="73">0.98</f>
        <v>0.98</v>
      </c>
      <c r="V115" s="90">
        <f t="shared" si="73"/>
        <v>0.98</v>
      </c>
      <c r="W115" s="14">
        <f t="shared" si="60"/>
        <v>0</v>
      </c>
      <c r="X115" s="14">
        <f t="shared" si="61"/>
        <v>1</v>
      </c>
      <c r="Y115" s="90">
        <f>1</f>
        <v>1</v>
      </c>
      <c r="Z115" s="42">
        <f t="shared" si="62"/>
        <v>1</v>
      </c>
      <c r="AA115" s="90">
        <f t="shared" si="63"/>
        <v>0.7</v>
      </c>
      <c r="AB115" s="14">
        <f t="shared" si="64"/>
        <v>62</v>
      </c>
      <c r="AC115" s="90">
        <f t="shared" si="65"/>
        <v>0.95</v>
      </c>
      <c r="AD115" s="42">
        <f t="shared" si="66"/>
        <v>59</v>
      </c>
      <c r="AE115" s="90">
        <f t="shared" si="67"/>
        <v>0.95</v>
      </c>
      <c r="AF115" s="42">
        <f t="shared" si="68"/>
        <v>56</v>
      </c>
      <c r="AG115" s="14">
        <v>20</v>
      </c>
      <c r="AH115" s="14">
        <v>4</v>
      </c>
      <c r="AI115" s="90">
        <f t="shared" si="69"/>
        <v>0.95</v>
      </c>
      <c r="AJ115" s="90"/>
      <c r="AK115" s="42">
        <f t="shared" si="70"/>
        <v>1</v>
      </c>
      <c r="AL115" s="42" t="str">
        <f t="shared" si="71"/>
        <v>ENTER YIELD RATE</v>
      </c>
      <c r="AM115" s="90">
        <f>1</f>
        <v>1</v>
      </c>
      <c r="AN115" s="42">
        <f t="shared" si="72"/>
        <v>1</v>
      </c>
      <c r="AO115" s="14">
        <v>811</v>
      </c>
      <c r="AP115" s="42"/>
    </row>
    <row r="116" spans="1:42" x14ac:dyDescent="0.2">
      <c r="A116" t="str">
        <f>INDEX(Prioritization!$D:$D,MATCH($B116,Prioritization!$A:$A,0))</f>
        <v>1 - Scale-up: Saturation</v>
      </c>
      <c r="B116" t="s">
        <v>213</v>
      </c>
      <c r="C116" t="s">
        <v>470</v>
      </c>
      <c r="D116" t="str">
        <f t="shared" si="56"/>
        <v>Machinga District [TYnMSwzko3z]|MSM</v>
      </c>
      <c r="E116" s="42"/>
      <c r="F116" s="42"/>
      <c r="G116" s="42"/>
      <c r="H116" s="14"/>
      <c r="I116" s="42"/>
      <c r="J116" s="14">
        <v>75</v>
      </c>
      <c r="K116" s="42"/>
      <c r="L116" s="14">
        <v>26</v>
      </c>
      <c r="M116" s="42"/>
      <c r="N116" s="14"/>
      <c r="O116" s="14">
        <v>5</v>
      </c>
      <c r="P116" s="14">
        <f t="shared" si="57"/>
        <v>5</v>
      </c>
      <c r="Q116" s="42">
        <f t="shared" si="58"/>
        <v>5</v>
      </c>
      <c r="R116" s="14"/>
      <c r="S116" s="14" t="str">
        <f t="shared" si="59"/>
        <v/>
      </c>
      <c r="T116" s="14">
        <v>3</v>
      </c>
      <c r="U116" s="90">
        <f t="shared" si="73"/>
        <v>0.98</v>
      </c>
      <c r="V116" s="90">
        <f t="shared" si="73"/>
        <v>0.98</v>
      </c>
      <c r="W116" s="14">
        <f t="shared" si="60"/>
        <v>0</v>
      </c>
      <c r="X116" s="14" t="str">
        <f t="shared" si="61"/>
        <v/>
      </c>
      <c r="Y116" s="90">
        <f>1</f>
        <v>1</v>
      </c>
      <c r="Z116" s="42" t="str">
        <f t="shared" si="62"/>
        <v/>
      </c>
      <c r="AA116" s="90">
        <f t="shared" si="63"/>
        <v>0.7</v>
      </c>
      <c r="AB116" s="14">
        <f t="shared" si="64"/>
        <v>5</v>
      </c>
      <c r="AC116" s="90">
        <f t="shared" si="65"/>
        <v>0.95</v>
      </c>
      <c r="AD116" s="42">
        <f t="shared" si="66"/>
        <v>5</v>
      </c>
      <c r="AE116" s="90">
        <f t="shared" si="67"/>
        <v>0.95</v>
      </c>
      <c r="AF116" s="42">
        <f t="shared" si="68"/>
        <v>5</v>
      </c>
      <c r="AG116" s="14">
        <v>6</v>
      </c>
      <c r="AH116" s="14">
        <v>1</v>
      </c>
      <c r="AI116" s="90">
        <f t="shared" si="69"/>
        <v>0.95</v>
      </c>
      <c r="AJ116" s="90"/>
      <c r="AK116" s="42" t="str">
        <f t="shared" si="70"/>
        <v/>
      </c>
      <c r="AL116" s="42" t="str">
        <f t="shared" si="71"/>
        <v/>
      </c>
      <c r="AM116" s="90">
        <f>1</f>
        <v>1</v>
      </c>
      <c r="AN116" s="42" t="str">
        <f t="shared" si="72"/>
        <v/>
      </c>
      <c r="AO116" s="14">
        <v>12</v>
      </c>
      <c r="AP116" s="42"/>
    </row>
    <row r="117" spans="1:42" x14ac:dyDescent="0.2">
      <c r="A117" t="str">
        <f>INDEX(Prioritization!$D:$D,MATCH($B117,Prioritization!$A:$A,0))</f>
        <v>1 - Scale-up: Saturation</v>
      </c>
      <c r="B117" t="s">
        <v>213</v>
      </c>
      <c r="C117" t="s">
        <v>471</v>
      </c>
      <c r="D117" t="str">
        <f t="shared" si="56"/>
        <v>Machinga District [TYnMSwzko3z]|People in prisons and other enclosed settings</v>
      </c>
      <c r="E117" s="42"/>
      <c r="F117" s="42"/>
      <c r="G117" s="42"/>
      <c r="H117" s="14"/>
      <c r="I117" s="42"/>
      <c r="J117" s="14"/>
      <c r="K117" s="42"/>
      <c r="L117" s="14"/>
      <c r="M117" s="42"/>
      <c r="N117" s="14"/>
      <c r="O117" s="14"/>
      <c r="P117" s="14" t="str">
        <f t="shared" si="57"/>
        <v/>
      </c>
      <c r="Q117" s="42" t="str">
        <f t="shared" si="58"/>
        <v/>
      </c>
      <c r="R117" s="14"/>
      <c r="S117" s="14" t="str">
        <f t="shared" si="59"/>
        <v/>
      </c>
      <c r="T117" s="14"/>
      <c r="U117" s="90">
        <f t="shared" si="73"/>
        <v>0.98</v>
      </c>
      <c r="V117" s="90">
        <f t="shared" si="73"/>
        <v>0.98</v>
      </c>
      <c r="W117" s="14" t="str">
        <f t="shared" si="60"/>
        <v/>
      </c>
      <c r="X117" s="14" t="str">
        <f t="shared" si="61"/>
        <v/>
      </c>
      <c r="Y117" s="90">
        <f>1</f>
        <v>1</v>
      </c>
      <c r="Z117" s="42" t="str">
        <f t="shared" si="62"/>
        <v/>
      </c>
      <c r="AA117" s="90">
        <f t="shared" si="63"/>
        <v>0.7</v>
      </c>
      <c r="AB117" s="14" t="str">
        <f t="shared" si="64"/>
        <v/>
      </c>
      <c r="AC117" s="90">
        <f t="shared" si="65"/>
        <v>0.95</v>
      </c>
      <c r="AD117" s="42" t="str">
        <f t="shared" si="66"/>
        <v/>
      </c>
      <c r="AE117" s="90">
        <f t="shared" si="67"/>
        <v>0.95</v>
      </c>
      <c r="AF117" s="42" t="str">
        <f t="shared" si="68"/>
        <v/>
      </c>
      <c r="AG117" s="14"/>
      <c r="AH117" s="14"/>
      <c r="AI117" s="90">
        <f t="shared" si="69"/>
        <v>0.95</v>
      </c>
      <c r="AJ117" s="90"/>
      <c r="AK117" s="42" t="str">
        <f t="shared" si="70"/>
        <v/>
      </c>
      <c r="AL117" s="42" t="str">
        <f t="shared" si="71"/>
        <v/>
      </c>
      <c r="AM117" s="90">
        <f>1</f>
        <v>1</v>
      </c>
      <c r="AN117" s="42" t="str">
        <f t="shared" si="72"/>
        <v/>
      </c>
      <c r="AO117" s="14"/>
      <c r="AP117" s="42"/>
    </row>
    <row r="118" spans="1:42" x14ac:dyDescent="0.2">
      <c r="A118" t="str">
        <f>INDEX(Prioritization!$D:$D,MATCH($B118,Prioritization!$A:$A,0))</f>
        <v>1 - Scale-up: Saturation</v>
      </c>
      <c r="B118" t="s">
        <v>213</v>
      </c>
      <c r="C118" t="s">
        <v>472</v>
      </c>
      <c r="D118" t="str">
        <f t="shared" si="56"/>
        <v>Machinga District [TYnMSwzko3z]|PWID</v>
      </c>
      <c r="E118" s="42"/>
      <c r="F118" s="42"/>
      <c r="G118" s="42"/>
      <c r="H118" s="14"/>
      <c r="I118" s="42"/>
      <c r="J118" s="14"/>
      <c r="K118" s="42"/>
      <c r="L118" s="14"/>
      <c r="M118" s="42"/>
      <c r="N118" s="14"/>
      <c r="O118" s="14"/>
      <c r="P118" s="14" t="str">
        <f t="shared" si="57"/>
        <v/>
      </c>
      <c r="Q118" s="42" t="str">
        <f t="shared" si="58"/>
        <v/>
      </c>
      <c r="R118" s="14"/>
      <c r="S118" s="14" t="str">
        <f t="shared" si="59"/>
        <v/>
      </c>
      <c r="T118" s="14"/>
      <c r="U118" s="90">
        <f t="shared" si="73"/>
        <v>0.98</v>
      </c>
      <c r="V118" s="90">
        <f t="shared" si="73"/>
        <v>0.98</v>
      </c>
      <c r="W118" s="14" t="str">
        <f t="shared" si="60"/>
        <v/>
      </c>
      <c r="X118" s="14" t="str">
        <f t="shared" si="61"/>
        <v/>
      </c>
      <c r="Y118" s="90">
        <f>1</f>
        <v>1</v>
      </c>
      <c r="Z118" s="42" t="str">
        <f t="shared" si="62"/>
        <v/>
      </c>
      <c r="AA118" s="90">
        <f t="shared" si="63"/>
        <v>0.7</v>
      </c>
      <c r="AB118" s="14" t="str">
        <f t="shared" si="64"/>
        <v/>
      </c>
      <c r="AC118" s="90">
        <f t="shared" si="65"/>
        <v>0.95</v>
      </c>
      <c r="AD118" s="42" t="str">
        <f t="shared" si="66"/>
        <v/>
      </c>
      <c r="AE118" s="90">
        <f t="shared" si="67"/>
        <v>0.95</v>
      </c>
      <c r="AF118" s="42" t="str">
        <f t="shared" si="68"/>
        <v/>
      </c>
      <c r="AG118" s="14"/>
      <c r="AH118" s="14"/>
      <c r="AI118" s="90">
        <f t="shared" si="69"/>
        <v>0.95</v>
      </c>
      <c r="AJ118" s="90"/>
      <c r="AK118" s="42" t="str">
        <f t="shared" si="70"/>
        <v/>
      </c>
      <c r="AL118" s="42" t="str">
        <f t="shared" si="71"/>
        <v/>
      </c>
      <c r="AM118" s="90">
        <f>1</f>
        <v>1</v>
      </c>
      <c r="AN118" s="42" t="str">
        <f t="shared" si="72"/>
        <v/>
      </c>
      <c r="AO118" s="14"/>
      <c r="AP118" s="42"/>
    </row>
    <row r="119" spans="1:42" x14ac:dyDescent="0.2">
      <c r="A119" t="str">
        <f>INDEX(Prioritization!$D:$D,MATCH($B119,Prioritization!$A:$A,0))</f>
        <v>1 - Scale-up: Saturation</v>
      </c>
      <c r="B119" t="s">
        <v>213</v>
      </c>
      <c r="C119" t="s">
        <v>473</v>
      </c>
      <c r="D119" t="str">
        <f t="shared" si="56"/>
        <v>Machinga District [TYnMSwzko3z]|TG</v>
      </c>
      <c r="E119" s="42"/>
      <c r="F119" s="42"/>
      <c r="G119" s="42"/>
      <c r="H119" s="14"/>
      <c r="I119" s="42"/>
      <c r="J119" s="14"/>
      <c r="K119" s="42"/>
      <c r="L119" s="14"/>
      <c r="M119" s="42"/>
      <c r="N119" s="14"/>
      <c r="O119" s="14"/>
      <c r="P119" s="14" t="str">
        <f t="shared" si="57"/>
        <v/>
      </c>
      <c r="Q119" s="42" t="str">
        <f t="shared" si="58"/>
        <v/>
      </c>
      <c r="R119" s="14"/>
      <c r="S119" s="14" t="str">
        <f t="shared" si="59"/>
        <v/>
      </c>
      <c r="T119" s="14"/>
      <c r="U119" s="90">
        <f t="shared" si="73"/>
        <v>0.98</v>
      </c>
      <c r="V119" s="90">
        <f t="shared" si="73"/>
        <v>0.98</v>
      </c>
      <c r="W119" s="14" t="str">
        <f t="shared" si="60"/>
        <v/>
      </c>
      <c r="X119" s="14" t="str">
        <f t="shared" si="61"/>
        <v/>
      </c>
      <c r="Y119" s="90">
        <f>1</f>
        <v>1</v>
      </c>
      <c r="Z119" s="42" t="str">
        <f t="shared" si="62"/>
        <v/>
      </c>
      <c r="AA119" s="90">
        <f t="shared" si="63"/>
        <v>0.7</v>
      </c>
      <c r="AB119" s="14" t="str">
        <f t="shared" si="64"/>
        <v/>
      </c>
      <c r="AC119" s="90">
        <f t="shared" si="65"/>
        <v>0.95</v>
      </c>
      <c r="AD119" s="42" t="str">
        <f t="shared" si="66"/>
        <v/>
      </c>
      <c r="AE119" s="90">
        <f t="shared" si="67"/>
        <v>0.95</v>
      </c>
      <c r="AF119" s="42" t="str">
        <f t="shared" si="68"/>
        <v/>
      </c>
      <c r="AG119" s="14"/>
      <c r="AH119" s="14"/>
      <c r="AI119" s="90">
        <f t="shared" si="69"/>
        <v>0.95</v>
      </c>
      <c r="AJ119" s="90"/>
      <c r="AK119" s="42" t="str">
        <f t="shared" si="70"/>
        <v/>
      </c>
      <c r="AL119" s="42" t="str">
        <f t="shared" si="71"/>
        <v/>
      </c>
      <c r="AM119" s="90">
        <f>1</f>
        <v>1</v>
      </c>
      <c r="AN119" s="42" t="str">
        <f t="shared" si="72"/>
        <v/>
      </c>
      <c r="AO119" s="14"/>
      <c r="AP119" s="42"/>
    </row>
    <row r="120" spans="1:42" x14ac:dyDescent="0.2">
      <c r="A120" t="str">
        <f>INDEX(Prioritization!$D:$D,MATCH($B120,Prioritization!$A:$A,0))</f>
        <v>INVALID</v>
      </c>
      <c r="B120" t="s">
        <v>214</v>
      </c>
      <c r="C120" t="s">
        <v>469</v>
      </c>
      <c r="D120" t="str">
        <f t="shared" si="56"/>
        <v>Mangochi District [lLDyBx5XyUi]|FSW</v>
      </c>
      <c r="E120" s="42"/>
      <c r="F120" s="42"/>
      <c r="G120" s="42"/>
      <c r="H120" s="14"/>
      <c r="I120" s="42"/>
      <c r="J120" s="14">
        <v>22</v>
      </c>
      <c r="K120" s="42"/>
      <c r="L120" s="14">
        <v>513</v>
      </c>
      <c r="M120" s="42"/>
      <c r="N120" s="14">
        <v>148</v>
      </c>
      <c r="O120" s="14">
        <v>28</v>
      </c>
      <c r="P120" s="14">
        <f t="shared" si="57"/>
        <v>148</v>
      </c>
      <c r="Q120" s="42">
        <f t="shared" si="58"/>
        <v>148</v>
      </c>
      <c r="R120" s="14"/>
      <c r="S120" s="14" t="str">
        <f t="shared" si="59"/>
        <v/>
      </c>
      <c r="T120" s="14">
        <v>89</v>
      </c>
      <c r="U120" s="90">
        <f t="shared" si="73"/>
        <v>0.98</v>
      </c>
      <c r="V120" s="90">
        <f t="shared" si="73"/>
        <v>0.98</v>
      </c>
      <c r="W120" s="14">
        <f t="shared" si="60"/>
        <v>0</v>
      </c>
      <c r="X120" s="14">
        <f t="shared" si="61"/>
        <v>3</v>
      </c>
      <c r="Y120" s="90">
        <f>1</f>
        <v>1</v>
      </c>
      <c r="Z120" s="42">
        <f t="shared" si="62"/>
        <v>3</v>
      </c>
      <c r="AA120" s="90">
        <f t="shared" si="63"/>
        <v>0.7</v>
      </c>
      <c r="AB120" s="14">
        <f t="shared" si="64"/>
        <v>150</v>
      </c>
      <c r="AC120" s="90">
        <f t="shared" si="65"/>
        <v>0.95</v>
      </c>
      <c r="AD120" s="42">
        <f t="shared" si="66"/>
        <v>143</v>
      </c>
      <c r="AE120" s="90">
        <f t="shared" si="67"/>
        <v>0.95</v>
      </c>
      <c r="AF120" s="42">
        <f t="shared" si="68"/>
        <v>136</v>
      </c>
      <c r="AG120" s="14">
        <v>85</v>
      </c>
      <c r="AH120" s="14">
        <v>4</v>
      </c>
      <c r="AI120" s="90">
        <f t="shared" si="69"/>
        <v>0.95</v>
      </c>
      <c r="AJ120" s="90"/>
      <c r="AK120" s="42">
        <f t="shared" si="70"/>
        <v>3</v>
      </c>
      <c r="AL120" s="42" t="str">
        <f t="shared" si="71"/>
        <v>ENTER YIELD RATE</v>
      </c>
      <c r="AM120" s="90">
        <f>1</f>
        <v>1</v>
      </c>
      <c r="AN120" s="42">
        <f t="shared" si="72"/>
        <v>3</v>
      </c>
      <c r="AO120" s="14">
        <v>37</v>
      </c>
      <c r="AP120" s="42"/>
    </row>
    <row r="121" spans="1:42" x14ac:dyDescent="0.2">
      <c r="A121" t="str">
        <f>INDEX(Prioritization!$D:$D,MATCH($B121,Prioritization!$A:$A,0))</f>
        <v>INVALID</v>
      </c>
      <c r="B121" t="s">
        <v>214</v>
      </c>
      <c r="C121" t="s">
        <v>470</v>
      </c>
      <c r="D121" t="str">
        <f t="shared" si="56"/>
        <v>Mangochi District [lLDyBx5XyUi]|MSM</v>
      </c>
      <c r="E121" s="42"/>
      <c r="F121" s="42"/>
      <c r="G121" s="42"/>
      <c r="H121" s="14"/>
      <c r="I121" s="42"/>
      <c r="J121" s="14">
        <v>26</v>
      </c>
      <c r="K121" s="42"/>
      <c r="L121" s="14">
        <v>707</v>
      </c>
      <c r="M121" s="42"/>
      <c r="N121" s="14">
        <v>76</v>
      </c>
      <c r="O121" s="14">
        <v>30</v>
      </c>
      <c r="P121" s="14">
        <f t="shared" si="57"/>
        <v>76</v>
      </c>
      <c r="Q121" s="42">
        <f t="shared" si="58"/>
        <v>76</v>
      </c>
      <c r="R121" s="14"/>
      <c r="S121" s="14" t="str">
        <f t="shared" si="59"/>
        <v/>
      </c>
      <c r="T121" s="14">
        <v>98</v>
      </c>
      <c r="U121" s="90">
        <f t="shared" si="73"/>
        <v>0.98</v>
      </c>
      <c r="V121" s="90">
        <f t="shared" si="73"/>
        <v>0.98</v>
      </c>
      <c r="W121" s="14">
        <f t="shared" si="60"/>
        <v>0</v>
      </c>
      <c r="X121" s="14">
        <f t="shared" si="61"/>
        <v>2</v>
      </c>
      <c r="Y121" s="90">
        <f>1</f>
        <v>1</v>
      </c>
      <c r="Z121" s="42">
        <f t="shared" si="62"/>
        <v>2</v>
      </c>
      <c r="AA121" s="90">
        <f t="shared" si="63"/>
        <v>0.7</v>
      </c>
      <c r="AB121" s="14">
        <f t="shared" si="64"/>
        <v>77</v>
      </c>
      <c r="AC121" s="90">
        <f t="shared" si="65"/>
        <v>0.95</v>
      </c>
      <c r="AD121" s="42">
        <f t="shared" si="66"/>
        <v>73</v>
      </c>
      <c r="AE121" s="90">
        <f t="shared" si="67"/>
        <v>0.95</v>
      </c>
      <c r="AF121" s="42">
        <f t="shared" si="68"/>
        <v>69</v>
      </c>
      <c r="AG121" s="14">
        <v>49</v>
      </c>
      <c r="AH121" s="14">
        <v>1</v>
      </c>
      <c r="AI121" s="90">
        <f t="shared" si="69"/>
        <v>0.95</v>
      </c>
      <c r="AJ121" s="90"/>
      <c r="AK121" s="42">
        <f t="shared" si="70"/>
        <v>2</v>
      </c>
      <c r="AL121" s="42" t="str">
        <f t="shared" si="71"/>
        <v>ENTER YIELD RATE</v>
      </c>
      <c r="AM121" s="90">
        <f>1</f>
        <v>1</v>
      </c>
      <c r="AN121" s="42">
        <f t="shared" si="72"/>
        <v>2</v>
      </c>
      <c r="AO121" s="14">
        <v>98</v>
      </c>
      <c r="AP121" s="42"/>
    </row>
    <row r="122" spans="1:42" x14ac:dyDescent="0.2">
      <c r="A122" t="str">
        <f>INDEX(Prioritization!$D:$D,MATCH($B122,Prioritization!$A:$A,0))</f>
        <v>INVALID</v>
      </c>
      <c r="B122" t="s">
        <v>214</v>
      </c>
      <c r="C122" t="s">
        <v>471</v>
      </c>
      <c r="D122" t="str">
        <f t="shared" si="56"/>
        <v>Mangochi District [lLDyBx5XyUi]|People in prisons and other enclosed settings</v>
      </c>
      <c r="E122" s="42"/>
      <c r="F122" s="42"/>
      <c r="G122" s="42"/>
      <c r="H122" s="14"/>
      <c r="I122" s="42"/>
      <c r="J122" s="14"/>
      <c r="K122" s="42"/>
      <c r="L122" s="14"/>
      <c r="M122" s="42"/>
      <c r="N122" s="14"/>
      <c r="O122" s="14"/>
      <c r="P122" s="14" t="str">
        <f t="shared" si="57"/>
        <v/>
      </c>
      <c r="Q122" s="42" t="str">
        <f t="shared" si="58"/>
        <v/>
      </c>
      <c r="R122" s="14"/>
      <c r="S122" s="14" t="str">
        <f t="shared" si="59"/>
        <v/>
      </c>
      <c r="T122" s="14"/>
      <c r="U122" s="90">
        <f t="shared" si="73"/>
        <v>0.98</v>
      </c>
      <c r="V122" s="90">
        <f t="shared" si="73"/>
        <v>0.98</v>
      </c>
      <c r="W122" s="14" t="str">
        <f t="shared" si="60"/>
        <v/>
      </c>
      <c r="X122" s="14" t="str">
        <f t="shared" si="61"/>
        <v/>
      </c>
      <c r="Y122" s="90">
        <f>1</f>
        <v>1</v>
      </c>
      <c r="Z122" s="42" t="str">
        <f t="shared" si="62"/>
        <v/>
      </c>
      <c r="AA122" s="90">
        <f t="shared" si="63"/>
        <v>0.7</v>
      </c>
      <c r="AB122" s="14" t="str">
        <f t="shared" si="64"/>
        <v/>
      </c>
      <c r="AC122" s="90">
        <f t="shared" si="65"/>
        <v>0.95</v>
      </c>
      <c r="AD122" s="42" t="str">
        <f t="shared" si="66"/>
        <v/>
      </c>
      <c r="AE122" s="90">
        <f t="shared" si="67"/>
        <v>0.95</v>
      </c>
      <c r="AF122" s="42" t="str">
        <f t="shared" si="68"/>
        <v/>
      </c>
      <c r="AG122" s="14"/>
      <c r="AH122" s="14"/>
      <c r="AI122" s="90">
        <f t="shared" si="69"/>
        <v>0.95</v>
      </c>
      <c r="AJ122" s="90"/>
      <c r="AK122" s="42" t="str">
        <f t="shared" si="70"/>
        <v/>
      </c>
      <c r="AL122" s="42" t="str">
        <f t="shared" si="71"/>
        <v/>
      </c>
      <c r="AM122" s="90">
        <f>1</f>
        <v>1</v>
      </c>
      <c r="AN122" s="42" t="str">
        <f t="shared" si="72"/>
        <v/>
      </c>
      <c r="AO122" s="14"/>
      <c r="AP122" s="42"/>
    </row>
    <row r="123" spans="1:42" x14ac:dyDescent="0.2">
      <c r="A123" t="str">
        <f>INDEX(Prioritization!$D:$D,MATCH($B123,Prioritization!$A:$A,0))</f>
        <v>INVALID</v>
      </c>
      <c r="B123" t="s">
        <v>214</v>
      </c>
      <c r="C123" t="s">
        <v>472</v>
      </c>
      <c r="D123" t="str">
        <f t="shared" si="56"/>
        <v>Mangochi District [lLDyBx5XyUi]|PWID</v>
      </c>
      <c r="E123" s="42"/>
      <c r="F123" s="42"/>
      <c r="G123" s="42"/>
      <c r="H123" s="14"/>
      <c r="I123" s="42"/>
      <c r="J123" s="14"/>
      <c r="K123" s="42"/>
      <c r="L123" s="14"/>
      <c r="M123" s="42"/>
      <c r="N123" s="14"/>
      <c r="O123" s="14"/>
      <c r="P123" s="14" t="str">
        <f t="shared" si="57"/>
        <v/>
      </c>
      <c r="Q123" s="42" t="str">
        <f t="shared" si="58"/>
        <v/>
      </c>
      <c r="R123" s="14"/>
      <c r="S123" s="14" t="str">
        <f t="shared" si="59"/>
        <v/>
      </c>
      <c r="T123" s="14"/>
      <c r="U123" s="90">
        <f t="shared" si="73"/>
        <v>0.98</v>
      </c>
      <c r="V123" s="90">
        <f t="shared" si="73"/>
        <v>0.98</v>
      </c>
      <c r="W123" s="14" t="str">
        <f t="shared" si="60"/>
        <v/>
      </c>
      <c r="X123" s="14" t="str">
        <f t="shared" si="61"/>
        <v/>
      </c>
      <c r="Y123" s="90">
        <f>1</f>
        <v>1</v>
      </c>
      <c r="Z123" s="42" t="str">
        <f t="shared" si="62"/>
        <v/>
      </c>
      <c r="AA123" s="90">
        <f t="shared" si="63"/>
        <v>0.7</v>
      </c>
      <c r="AB123" s="14" t="str">
        <f t="shared" si="64"/>
        <v/>
      </c>
      <c r="AC123" s="90">
        <f t="shared" si="65"/>
        <v>0.95</v>
      </c>
      <c r="AD123" s="42" t="str">
        <f t="shared" si="66"/>
        <v/>
      </c>
      <c r="AE123" s="90">
        <f t="shared" si="67"/>
        <v>0.95</v>
      </c>
      <c r="AF123" s="42" t="str">
        <f t="shared" si="68"/>
        <v/>
      </c>
      <c r="AG123" s="14"/>
      <c r="AH123" s="14"/>
      <c r="AI123" s="90">
        <f t="shared" si="69"/>
        <v>0.95</v>
      </c>
      <c r="AJ123" s="90"/>
      <c r="AK123" s="42" t="str">
        <f t="shared" si="70"/>
        <v/>
      </c>
      <c r="AL123" s="42" t="str">
        <f t="shared" si="71"/>
        <v/>
      </c>
      <c r="AM123" s="90">
        <f>1</f>
        <v>1</v>
      </c>
      <c r="AN123" s="42" t="str">
        <f t="shared" si="72"/>
        <v/>
      </c>
      <c r="AO123" s="14"/>
      <c r="AP123" s="42"/>
    </row>
    <row r="124" spans="1:42" x14ac:dyDescent="0.2">
      <c r="A124" t="str">
        <f>INDEX(Prioritization!$D:$D,MATCH($B124,Prioritization!$A:$A,0))</f>
        <v>INVALID</v>
      </c>
      <c r="B124" t="s">
        <v>214</v>
      </c>
      <c r="C124" t="s">
        <v>473</v>
      </c>
      <c r="D124" t="str">
        <f t="shared" si="56"/>
        <v>Mangochi District [lLDyBx5XyUi]|TG</v>
      </c>
      <c r="E124" s="42"/>
      <c r="F124" s="42"/>
      <c r="G124" s="42"/>
      <c r="H124" s="14"/>
      <c r="I124" s="42"/>
      <c r="J124" s="14"/>
      <c r="K124" s="42"/>
      <c r="L124" s="14"/>
      <c r="M124" s="42"/>
      <c r="N124" s="14">
        <v>5</v>
      </c>
      <c r="O124" s="14"/>
      <c r="P124" s="14">
        <f t="shared" si="57"/>
        <v>5</v>
      </c>
      <c r="Q124" s="42">
        <f t="shared" si="58"/>
        <v>5</v>
      </c>
      <c r="R124" s="14"/>
      <c r="S124" s="14" t="str">
        <f t="shared" si="59"/>
        <v/>
      </c>
      <c r="T124" s="14"/>
      <c r="U124" s="90">
        <f t="shared" si="73"/>
        <v>0.98</v>
      </c>
      <c r="V124" s="90">
        <f t="shared" si="73"/>
        <v>0.98</v>
      </c>
      <c r="W124" s="14">
        <f t="shared" si="60"/>
        <v>0</v>
      </c>
      <c r="X124" s="14" t="str">
        <f t="shared" si="61"/>
        <v/>
      </c>
      <c r="Y124" s="90">
        <f>1</f>
        <v>1</v>
      </c>
      <c r="Z124" s="42" t="str">
        <f t="shared" si="62"/>
        <v/>
      </c>
      <c r="AA124" s="90">
        <f t="shared" si="63"/>
        <v>0.7</v>
      </c>
      <c r="AB124" s="14">
        <f t="shared" si="64"/>
        <v>5</v>
      </c>
      <c r="AC124" s="90">
        <f t="shared" si="65"/>
        <v>0.95</v>
      </c>
      <c r="AD124" s="42">
        <f t="shared" si="66"/>
        <v>5</v>
      </c>
      <c r="AE124" s="90">
        <f t="shared" si="67"/>
        <v>0.95</v>
      </c>
      <c r="AF124" s="42">
        <f t="shared" si="68"/>
        <v>5</v>
      </c>
      <c r="AG124" s="14"/>
      <c r="AH124" s="14"/>
      <c r="AI124" s="90">
        <f t="shared" si="69"/>
        <v>0.95</v>
      </c>
      <c r="AJ124" s="90"/>
      <c r="AK124" s="42" t="str">
        <f t="shared" si="70"/>
        <v/>
      </c>
      <c r="AL124" s="42" t="str">
        <f t="shared" si="71"/>
        <v/>
      </c>
      <c r="AM124" s="90">
        <f>1</f>
        <v>1</v>
      </c>
      <c r="AN124" s="42" t="str">
        <f t="shared" si="72"/>
        <v/>
      </c>
      <c r="AO124" s="14"/>
      <c r="AP124" s="42"/>
    </row>
    <row r="125" spans="1:42" x14ac:dyDescent="0.2">
      <c r="A125" t="str">
        <f>INDEX(Prioritization!$D:$D,MATCH($B125,Prioritization!$A:$A,0))</f>
        <v>INVALID</v>
      </c>
      <c r="B125" t="s">
        <v>215</v>
      </c>
      <c r="C125" t="s">
        <v>469</v>
      </c>
      <c r="D125" t="str">
        <f t="shared" si="56"/>
        <v>Mulanje District [umc2n1Z4wNv]|FSW</v>
      </c>
      <c r="E125" s="42"/>
      <c r="F125" s="42"/>
      <c r="G125" s="42"/>
      <c r="H125" s="14"/>
      <c r="I125" s="42"/>
      <c r="J125" s="14"/>
      <c r="K125" s="42"/>
      <c r="L125" s="14"/>
      <c r="M125" s="42"/>
      <c r="N125" s="14"/>
      <c r="O125" s="14"/>
      <c r="P125" s="14" t="str">
        <f t="shared" si="57"/>
        <v/>
      </c>
      <c r="Q125" s="42" t="str">
        <f t="shared" si="58"/>
        <v/>
      </c>
      <c r="R125" s="14"/>
      <c r="S125" s="14" t="str">
        <f t="shared" si="59"/>
        <v/>
      </c>
      <c r="T125" s="14"/>
      <c r="U125" s="90">
        <f t="shared" si="73"/>
        <v>0.98</v>
      </c>
      <c r="V125" s="90">
        <f t="shared" si="73"/>
        <v>0.98</v>
      </c>
      <c r="W125" s="14" t="str">
        <f t="shared" si="60"/>
        <v/>
      </c>
      <c r="X125" s="14" t="str">
        <f t="shared" si="61"/>
        <v/>
      </c>
      <c r="Y125" s="90">
        <f>1</f>
        <v>1</v>
      </c>
      <c r="Z125" s="42" t="str">
        <f t="shared" si="62"/>
        <v/>
      </c>
      <c r="AA125" s="90">
        <f t="shared" si="63"/>
        <v>0.7</v>
      </c>
      <c r="AB125" s="14" t="str">
        <f t="shared" si="64"/>
        <v/>
      </c>
      <c r="AC125" s="90">
        <f t="shared" si="65"/>
        <v>0.95</v>
      </c>
      <c r="AD125" s="42" t="str">
        <f t="shared" si="66"/>
        <v/>
      </c>
      <c r="AE125" s="90">
        <f t="shared" si="67"/>
        <v>0.95</v>
      </c>
      <c r="AF125" s="42" t="str">
        <f t="shared" si="68"/>
        <v/>
      </c>
      <c r="AG125" s="14"/>
      <c r="AH125" s="14"/>
      <c r="AI125" s="90">
        <f t="shared" si="69"/>
        <v>0.95</v>
      </c>
      <c r="AJ125" s="90"/>
      <c r="AK125" s="42" t="str">
        <f t="shared" si="70"/>
        <v/>
      </c>
      <c r="AL125" s="42" t="str">
        <f t="shared" si="71"/>
        <v/>
      </c>
      <c r="AM125" s="90">
        <f>1</f>
        <v>1</v>
      </c>
      <c r="AN125" s="42" t="str">
        <f t="shared" si="72"/>
        <v/>
      </c>
      <c r="AO125" s="14"/>
      <c r="AP125" s="42"/>
    </row>
    <row r="126" spans="1:42" x14ac:dyDescent="0.2">
      <c r="A126" t="str">
        <f>INDEX(Prioritization!$D:$D,MATCH($B126,Prioritization!$A:$A,0))</f>
        <v>INVALID</v>
      </c>
      <c r="B126" t="s">
        <v>215</v>
      </c>
      <c r="C126" t="s">
        <v>470</v>
      </c>
      <c r="D126" t="str">
        <f t="shared" si="56"/>
        <v>Mulanje District [umc2n1Z4wNv]|MSM</v>
      </c>
      <c r="E126" s="42"/>
      <c r="F126" s="42"/>
      <c r="G126" s="42"/>
      <c r="H126" s="14"/>
      <c r="I126" s="42"/>
      <c r="J126" s="14"/>
      <c r="K126" s="42"/>
      <c r="L126" s="14"/>
      <c r="M126" s="42"/>
      <c r="N126" s="14"/>
      <c r="O126" s="14"/>
      <c r="P126" s="14" t="str">
        <f t="shared" si="57"/>
        <v/>
      </c>
      <c r="Q126" s="42" t="str">
        <f t="shared" si="58"/>
        <v/>
      </c>
      <c r="R126" s="14"/>
      <c r="S126" s="14" t="str">
        <f t="shared" si="59"/>
        <v/>
      </c>
      <c r="T126" s="14"/>
      <c r="U126" s="90">
        <f t="shared" si="73"/>
        <v>0.98</v>
      </c>
      <c r="V126" s="90">
        <f t="shared" si="73"/>
        <v>0.98</v>
      </c>
      <c r="W126" s="14" t="str">
        <f t="shared" si="60"/>
        <v/>
      </c>
      <c r="X126" s="14" t="str">
        <f t="shared" si="61"/>
        <v/>
      </c>
      <c r="Y126" s="90">
        <f>1</f>
        <v>1</v>
      </c>
      <c r="Z126" s="42" t="str">
        <f t="shared" si="62"/>
        <v/>
      </c>
      <c r="AA126" s="90">
        <f t="shared" si="63"/>
        <v>0.7</v>
      </c>
      <c r="AB126" s="14" t="str">
        <f t="shared" si="64"/>
        <v/>
      </c>
      <c r="AC126" s="90">
        <f t="shared" si="65"/>
        <v>0.95</v>
      </c>
      <c r="AD126" s="42" t="str">
        <f t="shared" si="66"/>
        <v/>
      </c>
      <c r="AE126" s="90">
        <f t="shared" si="67"/>
        <v>0.95</v>
      </c>
      <c r="AF126" s="42" t="str">
        <f t="shared" si="68"/>
        <v/>
      </c>
      <c r="AG126" s="14"/>
      <c r="AH126" s="14"/>
      <c r="AI126" s="90">
        <f t="shared" si="69"/>
        <v>0.95</v>
      </c>
      <c r="AJ126" s="90"/>
      <c r="AK126" s="42" t="str">
        <f t="shared" si="70"/>
        <v/>
      </c>
      <c r="AL126" s="42" t="str">
        <f t="shared" si="71"/>
        <v/>
      </c>
      <c r="AM126" s="90">
        <f>1</f>
        <v>1</v>
      </c>
      <c r="AN126" s="42" t="str">
        <f t="shared" si="72"/>
        <v/>
      </c>
      <c r="AO126" s="14"/>
      <c r="AP126" s="42"/>
    </row>
    <row r="127" spans="1:42" x14ac:dyDescent="0.2">
      <c r="A127" t="str">
        <f>INDEX(Prioritization!$D:$D,MATCH($B127,Prioritization!$A:$A,0))</f>
        <v>INVALID</v>
      </c>
      <c r="B127" t="s">
        <v>215</v>
      </c>
      <c r="C127" t="s">
        <v>471</v>
      </c>
      <c r="D127" t="str">
        <f t="shared" si="56"/>
        <v>Mulanje District [umc2n1Z4wNv]|People in prisons and other enclosed settings</v>
      </c>
      <c r="E127" s="42"/>
      <c r="F127" s="42"/>
      <c r="G127" s="42"/>
      <c r="H127" s="14"/>
      <c r="I127" s="42"/>
      <c r="J127" s="14"/>
      <c r="K127" s="42"/>
      <c r="L127" s="14"/>
      <c r="M127" s="42"/>
      <c r="N127" s="14"/>
      <c r="O127" s="14"/>
      <c r="P127" s="14" t="str">
        <f t="shared" si="57"/>
        <v/>
      </c>
      <c r="Q127" s="42" t="str">
        <f t="shared" si="58"/>
        <v/>
      </c>
      <c r="R127" s="14"/>
      <c r="S127" s="14" t="str">
        <f t="shared" si="59"/>
        <v/>
      </c>
      <c r="T127" s="14"/>
      <c r="U127" s="90">
        <f t="shared" si="73"/>
        <v>0.98</v>
      </c>
      <c r="V127" s="90">
        <f t="shared" si="73"/>
        <v>0.98</v>
      </c>
      <c r="W127" s="14" t="str">
        <f t="shared" si="60"/>
        <v/>
      </c>
      <c r="X127" s="14" t="str">
        <f t="shared" si="61"/>
        <v/>
      </c>
      <c r="Y127" s="90">
        <f>1</f>
        <v>1</v>
      </c>
      <c r="Z127" s="42" t="str">
        <f t="shared" si="62"/>
        <v/>
      </c>
      <c r="AA127" s="90">
        <f t="shared" si="63"/>
        <v>0.7</v>
      </c>
      <c r="AB127" s="14" t="str">
        <f t="shared" si="64"/>
        <v/>
      </c>
      <c r="AC127" s="90">
        <f t="shared" si="65"/>
        <v>0.95</v>
      </c>
      <c r="AD127" s="42" t="str">
        <f t="shared" si="66"/>
        <v/>
      </c>
      <c r="AE127" s="90">
        <f t="shared" si="67"/>
        <v>0.95</v>
      </c>
      <c r="AF127" s="42" t="str">
        <f t="shared" si="68"/>
        <v/>
      </c>
      <c r="AG127" s="14"/>
      <c r="AH127" s="14"/>
      <c r="AI127" s="90">
        <f t="shared" si="69"/>
        <v>0.95</v>
      </c>
      <c r="AJ127" s="90"/>
      <c r="AK127" s="42" t="str">
        <f t="shared" si="70"/>
        <v/>
      </c>
      <c r="AL127" s="42" t="str">
        <f t="shared" si="71"/>
        <v/>
      </c>
      <c r="AM127" s="90">
        <f>1</f>
        <v>1</v>
      </c>
      <c r="AN127" s="42" t="str">
        <f t="shared" si="72"/>
        <v/>
      </c>
      <c r="AO127" s="14"/>
      <c r="AP127" s="42"/>
    </row>
    <row r="128" spans="1:42" x14ac:dyDescent="0.2">
      <c r="A128" t="str">
        <f>INDEX(Prioritization!$D:$D,MATCH($B128,Prioritization!$A:$A,0))</f>
        <v>INVALID</v>
      </c>
      <c r="B128" t="s">
        <v>215</v>
      </c>
      <c r="C128" t="s">
        <v>472</v>
      </c>
      <c r="D128" t="str">
        <f t="shared" si="56"/>
        <v>Mulanje District [umc2n1Z4wNv]|PWID</v>
      </c>
      <c r="E128" s="42"/>
      <c r="F128" s="42"/>
      <c r="G128" s="42"/>
      <c r="H128" s="14"/>
      <c r="I128" s="42"/>
      <c r="J128" s="14"/>
      <c r="K128" s="42"/>
      <c r="L128" s="14"/>
      <c r="M128" s="42"/>
      <c r="N128" s="14"/>
      <c r="O128" s="14"/>
      <c r="P128" s="14" t="str">
        <f t="shared" si="57"/>
        <v/>
      </c>
      <c r="Q128" s="42" t="str">
        <f t="shared" si="58"/>
        <v/>
      </c>
      <c r="R128" s="14"/>
      <c r="S128" s="14" t="str">
        <f t="shared" si="59"/>
        <v/>
      </c>
      <c r="T128" s="14"/>
      <c r="U128" s="90">
        <f t="shared" si="73"/>
        <v>0.98</v>
      </c>
      <c r="V128" s="90">
        <f t="shared" si="73"/>
        <v>0.98</v>
      </c>
      <c r="W128" s="14" t="str">
        <f t="shared" si="60"/>
        <v/>
      </c>
      <c r="X128" s="14" t="str">
        <f t="shared" si="61"/>
        <v/>
      </c>
      <c r="Y128" s="90">
        <f>1</f>
        <v>1</v>
      </c>
      <c r="Z128" s="42" t="str">
        <f t="shared" si="62"/>
        <v/>
      </c>
      <c r="AA128" s="90">
        <f t="shared" si="63"/>
        <v>0.7</v>
      </c>
      <c r="AB128" s="14" t="str">
        <f t="shared" si="64"/>
        <v/>
      </c>
      <c r="AC128" s="90">
        <f t="shared" si="65"/>
        <v>0.95</v>
      </c>
      <c r="AD128" s="42" t="str">
        <f t="shared" si="66"/>
        <v/>
      </c>
      <c r="AE128" s="90">
        <f t="shared" si="67"/>
        <v>0.95</v>
      </c>
      <c r="AF128" s="42" t="str">
        <f t="shared" si="68"/>
        <v/>
      </c>
      <c r="AG128" s="14"/>
      <c r="AH128" s="14"/>
      <c r="AI128" s="90">
        <f t="shared" si="69"/>
        <v>0.95</v>
      </c>
      <c r="AJ128" s="90"/>
      <c r="AK128" s="42" t="str">
        <f t="shared" si="70"/>
        <v/>
      </c>
      <c r="AL128" s="42" t="str">
        <f t="shared" si="71"/>
        <v/>
      </c>
      <c r="AM128" s="90">
        <f>1</f>
        <v>1</v>
      </c>
      <c r="AN128" s="42" t="str">
        <f t="shared" si="72"/>
        <v/>
      </c>
      <c r="AO128" s="14"/>
      <c r="AP128" s="42"/>
    </row>
    <row r="129" spans="1:42" x14ac:dyDescent="0.2">
      <c r="A129" t="str">
        <f>INDEX(Prioritization!$D:$D,MATCH($B129,Prioritization!$A:$A,0))</f>
        <v>INVALID</v>
      </c>
      <c r="B129" t="s">
        <v>215</v>
      </c>
      <c r="C129" t="s">
        <v>473</v>
      </c>
      <c r="D129" t="str">
        <f t="shared" si="56"/>
        <v>Mulanje District [umc2n1Z4wNv]|TG</v>
      </c>
      <c r="E129" s="42"/>
      <c r="F129" s="42"/>
      <c r="G129" s="42"/>
      <c r="H129" s="14"/>
      <c r="I129" s="42"/>
      <c r="J129" s="14"/>
      <c r="K129" s="42"/>
      <c r="L129" s="14"/>
      <c r="M129" s="42"/>
      <c r="N129" s="14"/>
      <c r="O129" s="14"/>
      <c r="P129" s="14" t="str">
        <f t="shared" si="57"/>
        <v/>
      </c>
      <c r="Q129" s="42" t="str">
        <f t="shared" si="58"/>
        <v/>
      </c>
      <c r="R129" s="14"/>
      <c r="S129" s="14" t="str">
        <f t="shared" si="59"/>
        <v/>
      </c>
      <c r="T129" s="14"/>
      <c r="U129" s="90">
        <f t="shared" si="73"/>
        <v>0.98</v>
      </c>
      <c r="V129" s="90">
        <f t="shared" si="73"/>
        <v>0.98</v>
      </c>
      <c r="W129" s="14" t="str">
        <f t="shared" si="60"/>
        <v/>
      </c>
      <c r="X129" s="14" t="str">
        <f t="shared" si="61"/>
        <v/>
      </c>
      <c r="Y129" s="90">
        <f>1</f>
        <v>1</v>
      </c>
      <c r="Z129" s="42" t="str">
        <f t="shared" si="62"/>
        <v/>
      </c>
      <c r="AA129" s="90">
        <f t="shared" si="63"/>
        <v>0.7</v>
      </c>
      <c r="AB129" s="14" t="str">
        <f t="shared" si="64"/>
        <v/>
      </c>
      <c r="AC129" s="90">
        <f t="shared" si="65"/>
        <v>0.95</v>
      </c>
      <c r="AD129" s="42" t="str">
        <f t="shared" si="66"/>
        <v/>
      </c>
      <c r="AE129" s="90">
        <f t="shared" si="67"/>
        <v>0.95</v>
      </c>
      <c r="AF129" s="42" t="str">
        <f t="shared" si="68"/>
        <v/>
      </c>
      <c r="AG129" s="14"/>
      <c r="AH129" s="14"/>
      <c r="AI129" s="90">
        <f t="shared" si="69"/>
        <v>0.95</v>
      </c>
      <c r="AJ129" s="90"/>
      <c r="AK129" s="42" t="str">
        <f t="shared" si="70"/>
        <v/>
      </c>
      <c r="AL129" s="42" t="str">
        <f t="shared" si="71"/>
        <v/>
      </c>
      <c r="AM129" s="90">
        <f>1</f>
        <v>1</v>
      </c>
      <c r="AN129" s="42" t="str">
        <f t="shared" si="72"/>
        <v/>
      </c>
      <c r="AO129" s="14"/>
      <c r="AP129" s="42"/>
    </row>
    <row r="130" spans="1:42" x14ac:dyDescent="0.2">
      <c r="A130" t="str">
        <f>INDEX(Prioritization!$D:$D,MATCH($B130,Prioritization!$A:$A,0))</f>
        <v>INVALID</v>
      </c>
      <c r="B130" t="s">
        <v>216</v>
      </c>
      <c r="C130" t="s">
        <v>469</v>
      </c>
      <c r="D130" t="str">
        <f t="shared" si="56"/>
        <v>Mwanza District [wNqJp8oRIcF]|FSW</v>
      </c>
      <c r="E130" s="42"/>
      <c r="F130" s="42"/>
      <c r="G130" s="42"/>
      <c r="H130" s="14"/>
      <c r="I130" s="42"/>
      <c r="J130" s="14">
        <v>5</v>
      </c>
      <c r="K130" s="42"/>
      <c r="L130" s="14">
        <v>72</v>
      </c>
      <c r="M130" s="42"/>
      <c r="N130" s="14">
        <v>38</v>
      </c>
      <c r="O130" s="14">
        <v>56</v>
      </c>
      <c r="P130" s="14">
        <f t="shared" si="57"/>
        <v>56</v>
      </c>
      <c r="Q130" s="42">
        <f t="shared" si="58"/>
        <v>56</v>
      </c>
      <c r="R130" s="14"/>
      <c r="S130" s="14" t="str">
        <f t="shared" si="59"/>
        <v/>
      </c>
      <c r="T130" s="14">
        <v>10</v>
      </c>
      <c r="U130" s="90">
        <f t="shared" si="73"/>
        <v>0.98</v>
      </c>
      <c r="V130" s="90">
        <f t="shared" si="73"/>
        <v>0.98</v>
      </c>
      <c r="W130" s="14">
        <f t="shared" si="60"/>
        <v>0</v>
      </c>
      <c r="X130" s="14">
        <f t="shared" si="61"/>
        <v>1</v>
      </c>
      <c r="Y130" s="90">
        <f>1</f>
        <v>1</v>
      </c>
      <c r="Z130" s="42">
        <f t="shared" si="62"/>
        <v>1</v>
      </c>
      <c r="AA130" s="90">
        <f t="shared" si="63"/>
        <v>0.7</v>
      </c>
      <c r="AB130" s="14">
        <f t="shared" si="64"/>
        <v>57</v>
      </c>
      <c r="AC130" s="90">
        <f t="shared" si="65"/>
        <v>0.95</v>
      </c>
      <c r="AD130" s="42">
        <f t="shared" si="66"/>
        <v>54</v>
      </c>
      <c r="AE130" s="90">
        <f t="shared" si="67"/>
        <v>0.95</v>
      </c>
      <c r="AF130" s="42">
        <f t="shared" si="68"/>
        <v>51</v>
      </c>
      <c r="AG130" s="14">
        <v>8</v>
      </c>
      <c r="AH130" s="14">
        <v>0</v>
      </c>
      <c r="AI130" s="90">
        <f t="shared" si="69"/>
        <v>0.95</v>
      </c>
      <c r="AJ130" s="90"/>
      <c r="AK130" s="42">
        <f t="shared" si="70"/>
        <v>1</v>
      </c>
      <c r="AL130" s="42" t="str">
        <f t="shared" si="71"/>
        <v>ENTER YIELD RATE</v>
      </c>
      <c r="AM130" s="90">
        <f>1</f>
        <v>1</v>
      </c>
      <c r="AN130" s="42">
        <f t="shared" si="72"/>
        <v>1</v>
      </c>
      <c r="AO130" s="14">
        <v>40</v>
      </c>
      <c r="AP130" s="42"/>
    </row>
    <row r="131" spans="1:42" x14ac:dyDescent="0.2">
      <c r="A131" t="str">
        <f>INDEX(Prioritization!$D:$D,MATCH($B131,Prioritization!$A:$A,0))</f>
        <v>INVALID</v>
      </c>
      <c r="B131" t="s">
        <v>216</v>
      </c>
      <c r="C131" t="s">
        <v>470</v>
      </c>
      <c r="D131" t="str">
        <f t="shared" si="56"/>
        <v>Mwanza District [wNqJp8oRIcF]|MSM</v>
      </c>
      <c r="E131" s="42"/>
      <c r="F131" s="42"/>
      <c r="G131" s="42"/>
      <c r="H131" s="14"/>
      <c r="I131" s="42"/>
      <c r="J131" s="14">
        <v>5</v>
      </c>
      <c r="K131" s="42"/>
      <c r="L131" s="14">
        <v>6</v>
      </c>
      <c r="M131" s="42"/>
      <c r="N131" s="14">
        <v>5</v>
      </c>
      <c r="O131" s="14">
        <v>8</v>
      </c>
      <c r="P131" s="14">
        <f t="shared" si="57"/>
        <v>8</v>
      </c>
      <c r="Q131" s="42">
        <f t="shared" si="58"/>
        <v>8</v>
      </c>
      <c r="R131" s="14"/>
      <c r="S131" s="14" t="str">
        <f t="shared" si="59"/>
        <v/>
      </c>
      <c r="T131" s="14">
        <v>1</v>
      </c>
      <c r="U131" s="90">
        <f t="shared" si="73"/>
        <v>0.98</v>
      </c>
      <c r="V131" s="90">
        <f t="shared" si="73"/>
        <v>0.98</v>
      </c>
      <c r="W131" s="14">
        <f t="shared" si="60"/>
        <v>0</v>
      </c>
      <c r="X131" s="14" t="str">
        <f t="shared" si="61"/>
        <v/>
      </c>
      <c r="Y131" s="90">
        <f>1</f>
        <v>1</v>
      </c>
      <c r="Z131" s="42" t="str">
        <f t="shared" si="62"/>
        <v/>
      </c>
      <c r="AA131" s="90">
        <f t="shared" si="63"/>
        <v>0.7</v>
      </c>
      <c r="AB131" s="14">
        <f t="shared" si="64"/>
        <v>8</v>
      </c>
      <c r="AC131" s="90">
        <f t="shared" si="65"/>
        <v>0.95</v>
      </c>
      <c r="AD131" s="42">
        <f t="shared" si="66"/>
        <v>8</v>
      </c>
      <c r="AE131" s="90">
        <f t="shared" si="67"/>
        <v>0.95</v>
      </c>
      <c r="AF131" s="42">
        <f t="shared" si="68"/>
        <v>8</v>
      </c>
      <c r="AG131" s="14">
        <v>1</v>
      </c>
      <c r="AH131" s="14"/>
      <c r="AI131" s="90">
        <f t="shared" si="69"/>
        <v>0.95</v>
      </c>
      <c r="AJ131" s="90"/>
      <c r="AK131" s="42" t="str">
        <f t="shared" si="70"/>
        <v/>
      </c>
      <c r="AL131" s="42" t="str">
        <f t="shared" si="71"/>
        <v/>
      </c>
      <c r="AM131" s="90">
        <f>1</f>
        <v>1</v>
      </c>
      <c r="AN131" s="42" t="str">
        <f t="shared" si="72"/>
        <v/>
      </c>
      <c r="AO131" s="14">
        <v>9</v>
      </c>
      <c r="AP131" s="42"/>
    </row>
    <row r="132" spans="1:42" x14ac:dyDescent="0.2">
      <c r="A132" t="str">
        <f>INDEX(Prioritization!$D:$D,MATCH($B132,Prioritization!$A:$A,0))</f>
        <v>INVALID</v>
      </c>
      <c r="B132" t="s">
        <v>216</v>
      </c>
      <c r="C132" t="s">
        <v>471</v>
      </c>
      <c r="D132" t="str">
        <f t="shared" si="56"/>
        <v>Mwanza District [wNqJp8oRIcF]|People in prisons and other enclosed settings</v>
      </c>
      <c r="E132" s="42"/>
      <c r="F132" s="42"/>
      <c r="G132" s="42"/>
      <c r="H132" s="14"/>
      <c r="I132" s="42"/>
      <c r="J132" s="14"/>
      <c r="K132" s="42"/>
      <c r="L132" s="14">
        <v>99</v>
      </c>
      <c r="M132" s="42"/>
      <c r="N132" s="14">
        <v>3</v>
      </c>
      <c r="O132" s="14">
        <v>6</v>
      </c>
      <c r="P132" s="14">
        <f t="shared" si="57"/>
        <v>6</v>
      </c>
      <c r="Q132" s="42">
        <f t="shared" si="58"/>
        <v>6</v>
      </c>
      <c r="R132" s="14"/>
      <c r="S132" s="14" t="str">
        <f t="shared" si="59"/>
        <v/>
      </c>
      <c r="T132" s="14">
        <v>5</v>
      </c>
      <c r="U132" s="90">
        <f t="shared" si="73"/>
        <v>0.98</v>
      </c>
      <c r="V132" s="90">
        <f t="shared" si="73"/>
        <v>0.98</v>
      </c>
      <c r="W132" s="14">
        <f t="shared" si="60"/>
        <v>0</v>
      </c>
      <c r="X132" s="14" t="str">
        <f t="shared" si="61"/>
        <v/>
      </c>
      <c r="Y132" s="90">
        <f>1</f>
        <v>1</v>
      </c>
      <c r="Z132" s="42" t="str">
        <f t="shared" si="62"/>
        <v/>
      </c>
      <c r="AA132" s="90">
        <f t="shared" si="63"/>
        <v>0.7</v>
      </c>
      <c r="AB132" s="14">
        <f t="shared" si="64"/>
        <v>6</v>
      </c>
      <c r="AC132" s="90">
        <f t="shared" si="65"/>
        <v>0.95</v>
      </c>
      <c r="AD132" s="42">
        <f t="shared" si="66"/>
        <v>6</v>
      </c>
      <c r="AE132" s="90">
        <f t="shared" si="67"/>
        <v>0.95</v>
      </c>
      <c r="AF132" s="42">
        <f t="shared" si="68"/>
        <v>6</v>
      </c>
      <c r="AG132" s="14">
        <v>3</v>
      </c>
      <c r="AH132" s="14">
        <v>1</v>
      </c>
      <c r="AI132" s="90">
        <f t="shared" si="69"/>
        <v>0.95</v>
      </c>
      <c r="AJ132" s="90"/>
      <c r="AK132" s="42" t="str">
        <f t="shared" si="70"/>
        <v/>
      </c>
      <c r="AL132" s="42" t="str">
        <f t="shared" si="71"/>
        <v/>
      </c>
      <c r="AM132" s="90">
        <f>1</f>
        <v>1</v>
      </c>
      <c r="AN132" s="42" t="str">
        <f t="shared" si="72"/>
        <v/>
      </c>
      <c r="AO132" s="14">
        <v>15</v>
      </c>
      <c r="AP132" s="42"/>
    </row>
    <row r="133" spans="1:42" x14ac:dyDescent="0.2">
      <c r="A133" t="str">
        <f>INDEX(Prioritization!$D:$D,MATCH($B133,Prioritization!$A:$A,0))</f>
        <v>INVALID</v>
      </c>
      <c r="B133" t="s">
        <v>216</v>
      </c>
      <c r="C133" t="s">
        <v>472</v>
      </c>
      <c r="D133" t="str">
        <f t="shared" si="56"/>
        <v>Mwanza District [wNqJp8oRIcF]|PWID</v>
      </c>
      <c r="E133" s="42"/>
      <c r="F133" s="42"/>
      <c r="G133" s="42"/>
      <c r="H133" s="14"/>
      <c r="I133" s="42"/>
      <c r="J133" s="14"/>
      <c r="K133" s="42"/>
      <c r="L133" s="14"/>
      <c r="M133" s="42"/>
      <c r="N133" s="14"/>
      <c r="O133" s="14"/>
      <c r="P133" s="14" t="str">
        <f t="shared" si="57"/>
        <v/>
      </c>
      <c r="Q133" s="42" t="str">
        <f t="shared" si="58"/>
        <v/>
      </c>
      <c r="R133" s="14"/>
      <c r="S133" s="14" t="str">
        <f t="shared" si="59"/>
        <v/>
      </c>
      <c r="T133" s="14"/>
      <c r="U133" s="90">
        <f t="shared" si="73"/>
        <v>0.98</v>
      </c>
      <c r="V133" s="90">
        <f t="shared" si="73"/>
        <v>0.98</v>
      </c>
      <c r="W133" s="14" t="str">
        <f t="shared" si="60"/>
        <v/>
      </c>
      <c r="X133" s="14" t="str">
        <f t="shared" si="61"/>
        <v/>
      </c>
      <c r="Y133" s="90">
        <f>1</f>
        <v>1</v>
      </c>
      <c r="Z133" s="42" t="str">
        <f t="shared" si="62"/>
        <v/>
      </c>
      <c r="AA133" s="90">
        <f t="shared" si="63"/>
        <v>0.7</v>
      </c>
      <c r="AB133" s="14" t="str">
        <f t="shared" si="64"/>
        <v/>
      </c>
      <c r="AC133" s="90">
        <f t="shared" si="65"/>
        <v>0.95</v>
      </c>
      <c r="AD133" s="42" t="str">
        <f t="shared" si="66"/>
        <v/>
      </c>
      <c r="AE133" s="90">
        <f t="shared" si="67"/>
        <v>0.95</v>
      </c>
      <c r="AF133" s="42" t="str">
        <f t="shared" si="68"/>
        <v/>
      </c>
      <c r="AG133" s="14"/>
      <c r="AH133" s="14"/>
      <c r="AI133" s="90">
        <f t="shared" si="69"/>
        <v>0.95</v>
      </c>
      <c r="AJ133" s="90"/>
      <c r="AK133" s="42" t="str">
        <f t="shared" si="70"/>
        <v/>
      </c>
      <c r="AL133" s="42" t="str">
        <f t="shared" si="71"/>
        <v/>
      </c>
      <c r="AM133" s="90">
        <f>1</f>
        <v>1</v>
      </c>
      <c r="AN133" s="42" t="str">
        <f t="shared" si="72"/>
        <v/>
      </c>
      <c r="AO133" s="14"/>
      <c r="AP133" s="42"/>
    </row>
    <row r="134" spans="1:42" x14ac:dyDescent="0.2">
      <c r="A134" t="str">
        <f>INDEX(Prioritization!$D:$D,MATCH($B134,Prioritization!$A:$A,0))</f>
        <v>INVALID</v>
      </c>
      <c r="B134" t="s">
        <v>216</v>
      </c>
      <c r="C134" t="s">
        <v>473</v>
      </c>
      <c r="D134" t="str">
        <f t="shared" si="56"/>
        <v>Mwanza District [wNqJp8oRIcF]|TG</v>
      </c>
      <c r="E134" s="42"/>
      <c r="F134" s="42"/>
      <c r="G134" s="42"/>
      <c r="H134" s="14"/>
      <c r="I134" s="42"/>
      <c r="J134" s="14"/>
      <c r="K134" s="42"/>
      <c r="L134" s="14"/>
      <c r="M134" s="42"/>
      <c r="N134" s="14"/>
      <c r="O134" s="14"/>
      <c r="P134" s="14" t="str">
        <f t="shared" si="57"/>
        <v/>
      </c>
      <c r="Q134" s="42" t="str">
        <f t="shared" si="58"/>
        <v/>
      </c>
      <c r="R134" s="14"/>
      <c r="S134" s="14" t="str">
        <f t="shared" si="59"/>
        <v/>
      </c>
      <c r="T134" s="14"/>
      <c r="U134" s="90">
        <f t="shared" si="73"/>
        <v>0.98</v>
      </c>
      <c r="V134" s="90">
        <f t="shared" si="73"/>
        <v>0.98</v>
      </c>
      <c r="W134" s="14" t="str">
        <f t="shared" si="60"/>
        <v/>
      </c>
      <c r="X134" s="14" t="str">
        <f t="shared" si="61"/>
        <v/>
      </c>
      <c r="Y134" s="90">
        <f>1</f>
        <v>1</v>
      </c>
      <c r="Z134" s="42" t="str">
        <f t="shared" si="62"/>
        <v/>
      </c>
      <c r="AA134" s="90">
        <f t="shared" si="63"/>
        <v>0.7</v>
      </c>
      <c r="AB134" s="14" t="str">
        <f t="shared" si="64"/>
        <v/>
      </c>
      <c r="AC134" s="90">
        <f t="shared" si="65"/>
        <v>0.95</v>
      </c>
      <c r="AD134" s="42" t="str">
        <f t="shared" si="66"/>
        <v/>
      </c>
      <c r="AE134" s="90">
        <f t="shared" si="67"/>
        <v>0.95</v>
      </c>
      <c r="AF134" s="42" t="str">
        <f t="shared" si="68"/>
        <v/>
      </c>
      <c r="AG134" s="14"/>
      <c r="AH134" s="14"/>
      <c r="AI134" s="90">
        <f t="shared" si="69"/>
        <v>0.95</v>
      </c>
      <c r="AJ134" s="90"/>
      <c r="AK134" s="42" t="str">
        <f t="shared" si="70"/>
        <v/>
      </c>
      <c r="AL134" s="42" t="str">
        <f t="shared" si="71"/>
        <v/>
      </c>
      <c r="AM134" s="90">
        <f>1</f>
        <v>1</v>
      </c>
      <c r="AN134" s="42" t="str">
        <f t="shared" si="72"/>
        <v/>
      </c>
      <c r="AO134" s="14"/>
      <c r="AP134" s="42"/>
    </row>
    <row r="135" spans="1:42" x14ac:dyDescent="0.2">
      <c r="A135" t="str">
        <f>INDEX(Prioritization!$D:$D,MATCH($B135,Prioritization!$A:$A,0))</f>
        <v>INVALID</v>
      </c>
      <c r="B135" t="s">
        <v>217</v>
      </c>
      <c r="C135" t="s">
        <v>469</v>
      </c>
      <c r="D135" t="str">
        <f t="shared" si="56"/>
        <v>Neno District [gwVYinjBAe9]|FSW</v>
      </c>
      <c r="E135" s="42"/>
      <c r="F135" s="42"/>
      <c r="G135" s="42"/>
      <c r="H135" s="14"/>
      <c r="I135" s="42"/>
      <c r="J135" s="14"/>
      <c r="K135" s="42"/>
      <c r="L135" s="14"/>
      <c r="M135" s="42"/>
      <c r="N135" s="14"/>
      <c r="O135" s="14"/>
      <c r="P135" s="14" t="str">
        <f t="shared" si="57"/>
        <v/>
      </c>
      <c r="Q135" s="42" t="str">
        <f t="shared" si="58"/>
        <v/>
      </c>
      <c r="R135" s="14"/>
      <c r="S135" s="14" t="str">
        <f t="shared" si="59"/>
        <v/>
      </c>
      <c r="T135" s="14"/>
      <c r="U135" s="90">
        <f t="shared" ref="U135:V159" si="74">0.98</f>
        <v>0.98</v>
      </c>
      <c r="V135" s="90">
        <f t="shared" si="74"/>
        <v>0.98</v>
      </c>
      <c r="W135" s="14" t="str">
        <f t="shared" si="60"/>
        <v/>
      </c>
      <c r="X135" s="14" t="str">
        <f t="shared" si="61"/>
        <v/>
      </c>
      <c r="Y135" s="90">
        <f>1</f>
        <v>1</v>
      </c>
      <c r="Z135" s="42" t="str">
        <f t="shared" si="62"/>
        <v/>
      </c>
      <c r="AA135" s="90">
        <f t="shared" si="63"/>
        <v>0.7</v>
      </c>
      <c r="AB135" s="14" t="str">
        <f t="shared" si="64"/>
        <v/>
      </c>
      <c r="AC135" s="90">
        <f t="shared" si="65"/>
        <v>0.95</v>
      </c>
      <c r="AD135" s="42" t="str">
        <f t="shared" si="66"/>
        <v/>
      </c>
      <c r="AE135" s="90">
        <f t="shared" si="67"/>
        <v>0.95</v>
      </c>
      <c r="AF135" s="42" t="str">
        <f t="shared" si="68"/>
        <v/>
      </c>
      <c r="AG135" s="14"/>
      <c r="AH135" s="14"/>
      <c r="AI135" s="90">
        <f t="shared" si="69"/>
        <v>0.95</v>
      </c>
      <c r="AJ135" s="90"/>
      <c r="AK135" s="42" t="str">
        <f t="shared" si="70"/>
        <v/>
      </c>
      <c r="AL135" s="42" t="str">
        <f t="shared" si="71"/>
        <v/>
      </c>
      <c r="AM135" s="90">
        <f>1</f>
        <v>1</v>
      </c>
      <c r="AN135" s="42" t="str">
        <f t="shared" si="72"/>
        <v/>
      </c>
      <c r="AO135" s="14"/>
      <c r="AP135" s="42"/>
    </row>
    <row r="136" spans="1:42" x14ac:dyDescent="0.2">
      <c r="A136" t="str">
        <f>INDEX(Prioritization!$D:$D,MATCH($B136,Prioritization!$A:$A,0))</f>
        <v>INVALID</v>
      </c>
      <c r="B136" t="s">
        <v>217</v>
      </c>
      <c r="C136" t="s">
        <v>470</v>
      </c>
      <c r="D136" t="str">
        <f t="shared" si="56"/>
        <v>Neno District [gwVYinjBAe9]|MSM</v>
      </c>
      <c r="E136" s="42"/>
      <c r="F136" s="42"/>
      <c r="G136" s="42"/>
      <c r="H136" s="14"/>
      <c r="I136" s="42"/>
      <c r="J136" s="14"/>
      <c r="K136" s="42"/>
      <c r="L136" s="14"/>
      <c r="M136" s="42"/>
      <c r="N136" s="14"/>
      <c r="O136" s="14"/>
      <c r="P136" s="14" t="str">
        <f t="shared" si="57"/>
        <v/>
      </c>
      <c r="Q136" s="42" t="str">
        <f t="shared" si="58"/>
        <v/>
      </c>
      <c r="R136" s="14"/>
      <c r="S136" s="14" t="str">
        <f t="shared" si="59"/>
        <v/>
      </c>
      <c r="T136" s="14"/>
      <c r="U136" s="90">
        <f t="shared" si="74"/>
        <v>0.98</v>
      </c>
      <c r="V136" s="90">
        <f t="shared" si="74"/>
        <v>0.98</v>
      </c>
      <c r="W136" s="14" t="str">
        <f t="shared" si="60"/>
        <v/>
      </c>
      <c r="X136" s="14" t="str">
        <f t="shared" si="61"/>
        <v/>
      </c>
      <c r="Y136" s="90">
        <f>1</f>
        <v>1</v>
      </c>
      <c r="Z136" s="42" t="str">
        <f t="shared" si="62"/>
        <v/>
      </c>
      <c r="AA136" s="90">
        <f t="shared" si="63"/>
        <v>0.7</v>
      </c>
      <c r="AB136" s="14" t="str">
        <f t="shared" si="64"/>
        <v/>
      </c>
      <c r="AC136" s="90">
        <f t="shared" si="65"/>
        <v>0.95</v>
      </c>
      <c r="AD136" s="42" t="str">
        <f t="shared" si="66"/>
        <v/>
      </c>
      <c r="AE136" s="90">
        <f t="shared" si="67"/>
        <v>0.95</v>
      </c>
      <c r="AF136" s="42" t="str">
        <f t="shared" si="68"/>
        <v/>
      </c>
      <c r="AG136" s="14"/>
      <c r="AH136" s="14"/>
      <c r="AI136" s="90">
        <f t="shared" si="69"/>
        <v>0.95</v>
      </c>
      <c r="AJ136" s="90"/>
      <c r="AK136" s="42" t="str">
        <f t="shared" si="70"/>
        <v/>
      </c>
      <c r="AL136" s="42" t="str">
        <f t="shared" si="71"/>
        <v/>
      </c>
      <c r="AM136" s="90">
        <f>1</f>
        <v>1</v>
      </c>
      <c r="AN136" s="42" t="str">
        <f t="shared" si="72"/>
        <v/>
      </c>
      <c r="AO136" s="14"/>
      <c r="AP136" s="42"/>
    </row>
    <row r="137" spans="1:42" x14ac:dyDescent="0.2">
      <c r="A137" t="str">
        <f>INDEX(Prioritization!$D:$D,MATCH($B137,Prioritization!$A:$A,0))</f>
        <v>INVALID</v>
      </c>
      <c r="B137" t="s">
        <v>217</v>
      </c>
      <c r="C137" t="s">
        <v>471</v>
      </c>
      <c r="D137" t="str">
        <f t="shared" si="56"/>
        <v>Neno District [gwVYinjBAe9]|People in prisons and other enclosed settings</v>
      </c>
      <c r="E137" s="42"/>
      <c r="F137" s="42"/>
      <c r="G137" s="42"/>
      <c r="H137" s="14"/>
      <c r="I137" s="42"/>
      <c r="J137" s="14"/>
      <c r="K137" s="42"/>
      <c r="L137" s="14">
        <v>2</v>
      </c>
      <c r="M137" s="42"/>
      <c r="N137" s="14">
        <v>1</v>
      </c>
      <c r="O137" s="14">
        <v>4</v>
      </c>
      <c r="P137" s="14">
        <f t="shared" si="57"/>
        <v>4</v>
      </c>
      <c r="Q137" s="42">
        <f t="shared" si="58"/>
        <v>4</v>
      </c>
      <c r="R137" s="14"/>
      <c r="S137" s="14" t="str">
        <f t="shared" si="59"/>
        <v/>
      </c>
      <c r="T137" s="14">
        <v>0</v>
      </c>
      <c r="U137" s="90">
        <f t="shared" si="74"/>
        <v>0.98</v>
      </c>
      <c r="V137" s="90">
        <f t="shared" si="74"/>
        <v>0.98</v>
      </c>
      <c r="W137" s="14">
        <f t="shared" si="60"/>
        <v>0</v>
      </c>
      <c r="X137" s="14" t="str">
        <f t="shared" si="61"/>
        <v/>
      </c>
      <c r="Y137" s="90">
        <f>1</f>
        <v>1</v>
      </c>
      <c r="Z137" s="42" t="str">
        <f t="shared" si="62"/>
        <v/>
      </c>
      <c r="AA137" s="90">
        <f t="shared" si="63"/>
        <v>0.7</v>
      </c>
      <c r="AB137" s="14">
        <f t="shared" si="64"/>
        <v>4</v>
      </c>
      <c r="AC137" s="90">
        <f t="shared" si="65"/>
        <v>0.95</v>
      </c>
      <c r="AD137" s="42">
        <f t="shared" si="66"/>
        <v>4</v>
      </c>
      <c r="AE137" s="90">
        <f t="shared" si="67"/>
        <v>0.95</v>
      </c>
      <c r="AF137" s="42">
        <f t="shared" si="68"/>
        <v>4</v>
      </c>
      <c r="AG137" s="14">
        <v>0</v>
      </c>
      <c r="AH137" s="14"/>
      <c r="AI137" s="90">
        <f t="shared" si="69"/>
        <v>0.95</v>
      </c>
      <c r="AJ137" s="90"/>
      <c r="AK137" s="42" t="str">
        <f t="shared" si="70"/>
        <v/>
      </c>
      <c r="AL137" s="42" t="str">
        <f t="shared" si="71"/>
        <v/>
      </c>
      <c r="AM137" s="90">
        <f>1</f>
        <v>1</v>
      </c>
      <c r="AN137" s="42" t="str">
        <f t="shared" si="72"/>
        <v/>
      </c>
      <c r="AO137" s="14">
        <v>7</v>
      </c>
      <c r="AP137" s="42"/>
    </row>
    <row r="138" spans="1:42" x14ac:dyDescent="0.2">
      <c r="A138" t="str">
        <f>INDEX(Prioritization!$D:$D,MATCH($B138,Prioritization!$A:$A,0))</f>
        <v>INVALID</v>
      </c>
      <c r="B138" t="s">
        <v>217</v>
      </c>
      <c r="C138" t="s">
        <v>472</v>
      </c>
      <c r="D138" t="str">
        <f t="shared" si="56"/>
        <v>Neno District [gwVYinjBAe9]|PWID</v>
      </c>
      <c r="E138" s="42"/>
      <c r="F138" s="42"/>
      <c r="G138" s="42"/>
      <c r="H138" s="14"/>
      <c r="I138" s="42"/>
      <c r="J138" s="14"/>
      <c r="K138" s="42"/>
      <c r="L138" s="14"/>
      <c r="M138" s="42"/>
      <c r="N138" s="14"/>
      <c r="O138" s="14"/>
      <c r="P138" s="14" t="str">
        <f t="shared" si="57"/>
        <v/>
      </c>
      <c r="Q138" s="42" t="str">
        <f t="shared" si="58"/>
        <v/>
      </c>
      <c r="R138" s="14"/>
      <c r="S138" s="14" t="str">
        <f t="shared" si="59"/>
        <v/>
      </c>
      <c r="T138" s="14"/>
      <c r="U138" s="90">
        <f t="shared" si="74"/>
        <v>0.98</v>
      </c>
      <c r="V138" s="90">
        <f t="shared" si="74"/>
        <v>0.98</v>
      </c>
      <c r="W138" s="14" t="str">
        <f t="shared" si="60"/>
        <v/>
      </c>
      <c r="X138" s="14" t="str">
        <f t="shared" si="61"/>
        <v/>
      </c>
      <c r="Y138" s="90">
        <f>1</f>
        <v>1</v>
      </c>
      <c r="Z138" s="42" t="str">
        <f t="shared" si="62"/>
        <v/>
      </c>
      <c r="AA138" s="90">
        <f t="shared" si="63"/>
        <v>0.7</v>
      </c>
      <c r="AB138" s="14" t="str">
        <f t="shared" si="64"/>
        <v/>
      </c>
      <c r="AC138" s="90">
        <f t="shared" si="65"/>
        <v>0.95</v>
      </c>
      <c r="AD138" s="42" t="str">
        <f t="shared" si="66"/>
        <v/>
      </c>
      <c r="AE138" s="90">
        <f t="shared" si="67"/>
        <v>0.95</v>
      </c>
      <c r="AF138" s="42" t="str">
        <f t="shared" si="68"/>
        <v/>
      </c>
      <c r="AG138" s="14"/>
      <c r="AH138" s="14"/>
      <c r="AI138" s="90">
        <f t="shared" si="69"/>
        <v>0.95</v>
      </c>
      <c r="AJ138" s="90"/>
      <c r="AK138" s="42" t="str">
        <f t="shared" si="70"/>
        <v/>
      </c>
      <c r="AL138" s="42" t="str">
        <f t="shared" si="71"/>
        <v/>
      </c>
      <c r="AM138" s="90">
        <f>1</f>
        <v>1</v>
      </c>
      <c r="AN138" s="42" t="str">
        <f t="shared" si="72"/>
        <v/>
      </c>
      <c r="AO138" s="14"/>
      <c r="AP138" s="42"/>
    </row>
    <row r="139" spans="1:42" x14ac:dyDescent="0.2">
      <c r="A139" t="str">
        <f>INDEX(Prioritization!$D:$D,MATCH($B139,Prioritization!$A:$A,0))</f>
        <v>INVALID</v>
      </c>
      <c r="B139" t="s">
        <v>217</v>
      </c>
      <c r="C139" t="s">
        <v>473</v>
      </c>
      <c r="D139" t="str">
        <f t="shared" si="56"/>
        <v>Neno District [gwVYinjBAe9]|TG</v>
      </c>
      <c r="E139" s="42"/>
      <c r="F139" s="42"/>
      <c r="G139" s="42"/>
      <c r="H139" s="14"/>
      <c r="I139" s="42"/>
      <c r="J139" s="14"/>
      <c r="K139" s="42"/>
      <c r="L139" s="14"/>
      <c r="M139" s="42"/>
      <c r="N139" s="14"/>
      <c r="O139" s="14"/>
      <c r="P139" s="14" t="str">
        <f t="shared" si="57"/>
        <v/>
      </c>
      <c r="Q139" s="42" t="str">
        <f t="shared" si="58"/>
        <v/>
      </c>
      <c r="R139" s="14"/>
      <c r="S139" s="14" t="str">
        <f t="shared" si="59"/>
        <v/>
      </c>
      <c r="T139" s="14"/>
      <c r="U139" s="90">
        <f t="shared" si="74"/>
        <v>0.98</v>
      </c>
      <c r="V139" s="90">
        <f t="shared" si="74"/>
        <v>0.98</v>
      </c>
      <c r="W139" s="14" t="str">
        <f t="shared" si="60"/>
        <v/>
      </c>
      <c r="X139" s="14" t="str">
        <f t="shared" si="61"/>
        <v/>
      </c>
      <c r="Y139" s="90">
        <f>1</f>
        <v>1</v>
      </c>
      <c r="Z139" s="42" t="str">
        <f t="shared" si="62"/>
        <v/>
      </c>
      <c r="AA139" s="90">
        <f t="shared" si="63"/>
        <v>0.7</v>
      </c>
      <c r="AB139" s="14" t="str">
        <f t="shared" si="64"/>
        <v/>
      </c>
      <c r="AC139" s="90">
        <f t="shared" si="65"/>
        <v>0.95</v>
      </c>
      <c r="AD139" s="42" t="str">
        <f t="shared" si="66"/>
        <v/>
      </c>
      <c r="AE139" s="90">
        <f t="shared" si="67"/>
        <v>0.95</v>
      </c>
      <c r="AF139" s="42" t="str">
        <f t="shared" si="68"/>
        <v/>
      </c>
      <c r="AG139" s="14"/>
      <c r="AH139" s="14"/>
      <c r="AI139" s="90">
        <f t="shared" si="69"/>
        <v>0.95</v>
      </c>
      <c r="AJ139" s="90"/>
      <c r="AK139" s="42" t="str">
        <f t="shared" si="70"/>
        <v/>
      </c>
      <c r="AL139" s="42" t="str">
        <f t="shared" si="71"/>
        <v/>
      </c>
      <c r="AM139" s="90">
        <f>1</f>
        <v>1</v>
      </c>
      <c r="AN139" s="42" t="str">
        <f t="shared" si="72"/>
        <v/>
      </c>
      <c r="AO139" s="14"/>
      <c r="AP139" s="42"/>
    </row>
    <row r="140" spans="1:42" x14ac:dyDescent="0.2">
      <c r="A140" t="str">
        <f>INDEX(Prioritization!$D:$D,MATCH($B140,Prioritization!$A:$A,0))</f>
        <v>INVALID</v>
      </c>
      <c r="B140" t="s">
        <v>218</v>
      </c>
      <c r="C140" t="s">
        <v>469</v>
      </c>
      <c r="D140" t="str">
        <f t="shared" si="56"/>
        <v>Nsanje District [rpw540fmNUz]|FSW</v>
      </c>
      <c r="E140" s="42"/>
      <c r="F140" s="42"/>
      <c r="G140" s="42"/>
      <c r="H140" s="14"/>
      <c r="I140" s="42"/>
      <c r="J140" s="14"/>
      <c r="K140" s="42"/>
      <c r="L140" s="14"/>
      <c r="M140" s="42"/>
      <c r="N140" s="14"/>
      <c r="O140" s="14"/>
      <c r="P140" s="14" t="str">
        <f t="shared" si="57"/>
        <v/>
      </c>
      <c r="Q140" s="42" t="str">
        <f t="shared" si="58"/>
        <v/>
      </c>
      <c r="R140" s="14"/>
      <c r="S140" s="14" t="str">
        <f t="shared" si="59"/>
        <v/>
      </c>
      <c r="T140" s="14"/>
      <c r="U140" s="90">
        <f t="shared" si="74"/>
        <v>0.98</v>
      </c>
      <c r="V140" s="90">
        <f t="shared" si="74"/>
        <v>0.98</v>
      </c>
      <c r="W140" s="14" t="str">
        <f t="shared" si="60"/>
        <v/>
      </c>
      <c r="X140" s="14" t="str">
        <f t="shared" si="61"/>
        <v/>
      </c>
      <c r="Y140" s="90">
        <f>1</f>
        <v>1</v>
      </c>
      <c r="Z140" s="42" t="str">
        <f t="shared" si="62"/>
        <v/>
      </c>
      <c r="AA140" s="90">
        <f t="shared" si="63"/>
        <v>0.7</v>
      </c>
      <c r="AB140" s="14" t="str">
        <f t="shared" si="64"/>
        <v/>
      </c>
      <c r="AC140" s="90">
        <f t="shared" si="65"/>
        <v>0.95</v>
      </c>
      <c r="AD140" s="42" t="str">
        <f t="shared" si="66"/>
        <v/>
      </c>
      <c r="AE140" s="90">
        <f t="shared" si="67"/>
        <v>0.95</v>
      </c>
      <c r="AF140" s="42" t="str">
        <f t="shared" si="68"/>
        <v/>
      </c>
      <c r="AG140" s="14"/>
      <c r="AH140" s="14"/>
      <c r="AI140" s="90">
        <f t="shared" si="69"/>
        <v>0.95</v>
      </c>
      <c r="AJ140" s="90"/>
      <c r="AK140" s="42" t="str">
        <f t="shared" si="70"/>
        <v/>
      </c>
      <c r="AL140" s="42" t="str">
        <f t="shared" si="71"/>
        <v/>
      </c>
      <c r="AM140" s="90">
        <f>1</f>
        <v>1</v>
      </c>
      <c r="AN140" s="42" t="str">
        <f t="shared" si="72"/>
        <v/>
      </c>
      <c r="AO140" s="14"/>
      <c r="AP140" s="42"/>
    </row>
    <row r="141" spans="1:42" x14ac:dyDescent="0.2">
      <c r="A141" t="str">
        <f>INDEX(Prioritization!$D:$D,MATCH($B141,Prioritization!$A:$A,0))</f>
        <v>INVALID</v>
      </c>
      <c r="B141" t="s">
        <v>218</v>
      </c>
      <c r="C141" t="s">
        <v>470</v>
      </c>
      <c r="D141" t="str">
        <f t="shared" si="56"/>
        <v>Nsanje District [rpw540fmNUz]|MSM</v>
      </c>
      <c r="E141" s="42"/>
      <c r="F141" s="42"/>
      <c r="G141" s="42"/>
      <c r="H141" s="14"/>
      <c r="I141" s="42"/>
      <c r="J141" s="14"/>
      <c r="K141" s="42"/>
      <c r="L141" s="14"/>
      <c r="M141" s="42"/>
      <c r="N141" s="14"/>
      <c r="O141" s="14"/>
      <c r="P141" s="14" t="str">
        <f t="shared" si="57"/>
        <v/>
      </c>
      <c r="Q141" s="42" t="str">
        <f t="shared" si="58"/>
        <v/>
      </c>
      <c r="R141" s="14"/>
      <c r="S141" s="14" t="str">
        <f t="shared" si="59"/>
        <v/>
      </c>
      <c r="T141" s="14"/>
      <c r="U141" s="90">
        <f t="shared" si="74"/>
        <v>0.98</v>
      </c>
      <c r="V141" s="90">
        <f t="shared" si="74"/>
        <v>0.98</v>
      </c>
      <c r="W141" s="14" t="str">
        <f t="shared" si="60"/>
        <v/>
      </c>
      <c r="X141" s="14" t="str">
        <f t="shared" si="61"/>
        <v/>
      </c>
      <c r="Y141" s="90">
        <f>1</f>
        <v>1</v>
      </c>
      <c r="Z141" s="42" t="str">
        <f t="shared" si="62"/>
        <v/>
      </c>
      <c r="AA141" s="90">
        <f t="shared" si="63"/>
        <v>0.7</v>
      </c>
      <c r="AB141" s="14" t="str">
        <f t="shared" si="64"/>
        <v/>
      </c>
      <c r="AC141" s="90">
        <f t="shared" si="65"/>
        <v>0.95</v>
      </c>
      <c r="AD141" s="42" t="str">
        <f t="shared" si="66"/>
        <v/>
      </c>
      <c r="AE141" s="90">
        <f t="shared" si="67"/>
        <v>0.95</v>
      </c>
      <c r="AF141" s="42" t="str">
        <f t="shared" si="68"/>
        <v/>
      </c>
      <c r="AG141" s="14"/>
      <c r="AH141" s="14"/>
      <c r="AI141" s="90">
        <f t="shared" si="69"/>
        <v>0.95</v>
      </c>
      <c r="AJ141" s="90"/>
      <c r="AK141" s="42" t="str">
        <f t="shared" si="70"/>
        <v/>
      </c>
      <c r="AL141" s="42" t="str">
        <f t="shared" si="71"/>
        <v/>
      </c>
      <c r="AM141" s="90">
        <f>1</f>
        <v>1</v>
      </c>
      <c r="AN141" s="42" t="str">
        <f t="shared" si="72"/>
        <v/>
      </c>
      <c r="AO141" s="14"/>
      <c r="AP141" s="42"/>
    </row>
    <row r="142" spans="1:42" x14ac:dyDescent="0.2">
      <c r="A142" t="str">
        <f>INDEX(Prioritization!$D:$D,MATCH($B142,Prioritization!$A:$A,0))</f>
        <v>INVALID</v>
      </c>
      <c r="B142" t="s">
        <v>218</v>
      </c>
      <c r="C142" t="s">
        <v>471</v>
      </c>
      <c r="D142" t="str">
        <f t="shared" si="56"/>
        <v>Nsanje District [rpw540fmNUz]|People in prisons and other enclosed settings</v>
      </c>
      <c r="E142" s="42"/>
      <c r="F142" s="42"/>
      <c r="G142" s="42"/>
      <c r="H142" s="14"/>
      <c r="I142" s="42"/>
      <c r="J142" s="14"/>
      <c r="K142" s="42"/>
      <c r="L142" s="14"/>
      <c r="M142" s="42"/>
      <c r="N142" s="14"/>
      <c r="O142" s="14"/>
      <c r="P142" s="14" t="str">
        <f t="shared" si="57"/>
        <v/>
      </c>
      <c r="Q142" s="42" t="str">
        <f t="shared" si="58"/>
        <v/>
      </c>
      <c r="R142" s="14"/>
      <c r="S142" s="14" t="str">
        <f t="shared" si="59"/>
        <v/>
      </c>
      <c r="T142" s="14"/>
      <c r="U142" s="90">
        <f t="shared" si="74"/>
        <v>0.98</v>
      </c>
      <c r="V142" s="90">
        <f t="shared" si="74"/>
        <v>0.98</v>
      </c>
      <c r="W142" s="14" t="str">
        <f t="shared" si="60"/>
        <v/>
      </c>
      <c r="X142" s="14" t="str">
        <f t="shared" si="61"/>
        <v/>
      </c>
      <c r="Y142" s="90">
        <f>1</f>
        <v>1</v>
      </c>
      <c r="Z142" s="42" t="str">
        <f t="shared" si="62"/>
        <v/>
      </c>
      <c r="AA142" s="90">
        <f t="shared" si="63"/>
        <v>0.7</v>
      </c>
      <c r="AB142" s="14" t="str">
        <f t="shared" si="64"/>
        <v/>
      </c>
      <c r="AC142" s="90">
        <f t="shared" si="65"/>
        <v>0.95</v>
      </c>
      <c r="AD142" s="42" t="str">
        <f t="shared" si="66"/>
        <v/>
      </c>
      <c r="AE142" s="90">
        <f t="shared" si="67"/>
        <v>0.95</v>
      </c>
      <c r="AF142" s="42" t="str">
        <f t="shared" si="68"/>
        <v/>
      </c>
      <c r="AG142" s="14"/>
      <c r="AH142" s="14"/>
      <c r="AI142" s="90">
        <f t="shared" si="69"/>
        <v>0.95</v>
      </c>
      <c r="AJ142" s="90"/>
      <c r="AK142" s="42" t="str">
        <f t="shared" si="70"/>
        <v/>
      </c>
      <c r="AL142" s="42" t="str">
        <f t="shared" si="71"/>
        <v/>
      </c>
      <c r="AM142" s="90">
        <f>1</f>
        <v>1</v>
      </c>
      <c r="AN142" s="42" t="str">
        <f t="shared" si="72"/>
        <v/>
      </c>
      <c r="AO142" s="14"/>
      <c r="AP142" s="42"/>
    </row>
    <row r="143" spans="1:42" x14ac:dyDescent="0.2">
      <c r="A143" t="str">
        <f>INDEX(Prioritization!$D:$D,MATCH($B143,Prioritization!$A:$A,0))</f>
        <v>INVALID</v>
      </c>
      <c r="B143" t="s">
        <v>218</v>
      </c>
      <c r="C143" t="s">
        <v>472</v>
      </c>
      <c r="D143" t="str">
        <f t="shared" ref="D143:D174" si="75">B143&amp;"|"&amp;C143</f>
        <v>Nsanje District [rpw540fmNUz]|PWID</v>
      </c>
      <c r="E143" s="42"/>
      <c r="F143" s="42"/>
      <c r="G143" s="42"/>
      <c r="H143" s="14"/>
      <c r="I143" s="42"/>
      <c r="J143" s="14"/>
      <c r="K143" s="42"/>
      <c r="L143" s="14"/>
      <c r="M143" s="42"/>
      <c r="N143" s="14"/>
      <c r="O143" s="14"/>
      <c r="P143" s="14" t="str">
        <f t="shared" ref="P143:P159" si="76">IF(MAX($N143,$O143)=0,"",MAX($N143,$O143))</f>
        <v/>
      </c>
      <c r="Q143" s="42" t="str">
        <f t="shared" ref="Q143:Q159" si="77">IF(SUM($P143)=0,"",SUM($P143))</f>
        <v/>
      </c>
      <c r="R143" s="14"/>
      <c r="S143" s="14" t="str">
        <f t="shared" ref="S143:S159" si="78">IF(SUM($F143)=0,"",SUM($R143)/$F143)</f>
        <v/>
      </c>
      <c r="T143" s="14"/>
      <c r="U143" s="90">
        <f t="shared" si="74"/>
        <v>0.98</v>
      </c>
      <c r="V143" s="90">
        <f t="shared" si="74"/>
        <v>0.98</v>
      </c>
      <c r="W143" s="14" t="str">
        <f t="shared" ref="W143:W159" si="79">IF(SUM($P143,$Q143)=0,"",SUM($Q143)-SUM($P143))</f>
        <v/>
      </c>
      <c r="X143" s="14" t="str">
        <f t="shared" ref="X143:X159" si="80">IFERROR(1/(1/ROUND((SUM($Q143)-(SUM($P143)*SUM($U143)))/$V143,0)),"")</f>
        <v/>
      </c>
      <c r="Y143" s="90">
        <f>1</f>
        <v>1</v>
      </c>
      <c r="Z143" s="42" t="str">
        <f t="shared" ref="Z143:Z159" si="81">IFERROR(1/(1/ROUND(SUM($X143)*SUM($Y143),0)),"")</f>
        <v/>
      </c>
      <c r="AA143" s="90">
        <f t="shared" ref="AA143:AA159" si="82">0.7</f>
        <v>0.7</v>
      </c>
      <c r="AB143" s="14" t="str">
        <f t="shared" ref="AB143:AB159" si="83">IFERROR(1/(1/ROUND($P143+(SUM($X143)*$AA143),0)),"")</f>
        <v/>
      </c>
      <c r="AC143" s="90">
        <f t="shared" ref="AC143:AC159" si="84">0.95</f>
        <v>0.95</v>
      </c>
      <c r="AD143" s="42" t="str">
        <f t="shared" ref="AD143:AD159" si="85">IF(SUM($AB143)=0,"",ROUND($AB143*$AC143,0))</f>
        <v/>
      </c>
      <c r="AE143" s="90">
        <f t="shared" ref="AE143:AE159" si="86">0.95</f>
        <v>0.95</v>
      </c>
      <c r="AF143" s="42" t="str">
        <f t="shared" ref="AF143:AF159" si="87">IF(SUM($AD143)=0,"",ROUND($AD143*$AE143,0))</f>
        <v/>
      </c>
      <c r="AG143" s="14"/>
      <c r="AH143" s="14"/>
      <c r="AI143" s="90">
        <f t="shared" ref="AI143:AI159" si="88">0.95</f>
        <v>0.95</v>
      </c>
      <c r="AJ143" s="90"/>
      <c r="AK143" s="42" t="str">
        <f t="shared" ref="AK143:AK159" si="89">IF(SUM($Z143)=0,"",IF(AND(SUM($Z143)&gt;0,$AI143=""),"ENTER LINKAGE RATE",ROUND($Z143/$AI143,0)))</f>
        <v/>
      </c>
      <c r="AL143" s="42" t="str">
        <f t="shared" ref="AL143:AL159" si="90">IF(SUM($AK143)=0,"",IF(AND($AK143&gt;0,$AJ143=""),"ENTER YIELD RATE",ROUND($AK143/$AJ143-$AK143,0)))</f>
        <v/>
      </c>
      <c r="AM143" s="90">
        <f>1</f>
        <v>1</v>
      </c>
      <c r="AN143" s="42" t="str">
        <f t="shared" ref="AN143:AN159" si="91">IF(SUM($AK143)=0,"",ROUND($AK143*$AM143,0))</f>
        <v/>
      </c>
      <c r="AO143" s="14"/>
      <c r="AP143" s="42"/>
    </row>
    <row r="144" spans="1:42" x14ac:dyDescent="0.2">
      <c r="A144" t="str">
        <f>INDEX(Prioritization!$D:$D,MATCH($B144,Prioritization!$A:$A,0))</f>
        <v>INVALID</v>
      </c>
      <c r="B144" t="s">
        <v>218</v>
      </c>
      <c r="C144" t="s">
        <v>473</v>
      </c>
      <c r="D144" t="str">
        <f t="shared" si="75"/>
        <v>Nsanje District [rpw540fmNUz]|TG</v>
      </c>
      <c r="E144" s="42"/>
      <c r="F144" s="42"/>
      <c r="G144" s="42"/>
      <c r="H144" s="14"/>
      <c r="I144" s="42"/>
      <c r="J144" s="14"/>
      <c r="K144" s="42"/>
      <c r="L144" s="14"/>
      <c r="M144" s="42"/>
      <c r="N144" s="14"/>
      <c r="O144" s="14"/>
      <c r="P144" s="14" t="str">
        <f t="shared" si="76"/>
        <v/>
      </c>
      <c r="Q144" s="42" t="str">
        <f t="shared" si="77"/>
        <v/>
      </c>
      <c r="R144" s="14"/>
      <c r="S144" s="14" t="str">
        <f t="shared" si="78"/>
        <v/>
      </c>
      <c r="T144" s="14"/>
      <c r="U144" s="90">
        <f t="shared" si="74"/>
        <v>0.98</v>
      </c>
      <c r="V144" s="90">
        <f t="shared" si="74"/>
        <v>0.98</v>
      </c>
      <c r="W144" s="14" t="str">
        <f t="shared" si="79"/>
        <v/>
      </c>
      <c r="X144" s="14" t="str">
        <f t="shared" si="80"/>
        <v/>
      </c>
      <c r="Y144" s="90">
        <f>1</f>
        <v>1</v>
      </c>
      <c r="Z144" s="42" t="str">
        <f t="shared" si="81"/>
        <v/>
      </c>
      <c r="AA144" s="90">
        <f t="shared" si="82"/>
        <v>0.7</v>
      </c>
      <c r="AB144" s="14" t="str">
        <f t="shared" si="83"/>
        <v/>
      </c>
      <c r="AC144" s="90">
        <f t="shared" si="84"/>
        <v>0.95</v>
      </c>
      <c r="AD144" s="42" t="str">
        <f t="shared" si="85"/>
        <v/>
      </c>
      <c r="AE144" s="90">
        <f t="shared" si="86"/>
        <v>0.95</v>
      </c>
      <c r="AF144" s="42" t="str">
        <f t="shared" si="87"/>
        <v/>
      </c>
      <c r="AG144" s="14"/>
      <c r="AH144" s="14"/>
      <c r="AI144" s="90">
        <f t="shared" si="88"/>
        <v>0.95</v>
      </c>
      <c r="AJ144" s="90"/>
      <c r="AK144" s="42" t="str">
        <f t="shared" si="89"/>
        <v/>
      </c>
      <c r="AL144" s="42" t="str">
        <f t="shared" si="90"/>
        <v/>
      </c>
      <c r="AM144" s="90">
        <f>1</f>
        <v>1</v>
      </c>
      <c r="AN144" s="42" t="str">
        <f t="shared" si="91"/>
        <v/>
      </c>
      <c r="AO144" s="14"/>
      <c r="AP144" s="42"/>
    </row>
    <row r="145" spans="1:42" x14ac:dyDescent="0.2">
      <c r="A145" t="str">
        <f>INDEX(Prioritization!$D:$D,MATCH($B145,Prioritization!$A:$A,0))</f>
        <v>INVALID</v>
      </c>
      <c r="B145" t="s">
        <v>219</v>
      </c>
      <c r="C145" t="s">
        <v>469</v>
      </c>
      <c r="D145" t="str">
        <f t="shared" si="75"/>
        <v>Phalombe District [AZyWpGzhcaA]|FSW</v>
      </c>
      <c r="E145" s="42"/>
      <c r="F145" s="42"/>
      <c r="G145" s="42"/>
      <c r="H145" s="14"/>
      <c r="I145" s="42"/>
      <c r="J145" s="14">
        <v>45</v>
      </c>
      <c r="K145" s="42"/>
      <c r="L145" s="14">
        <v>50</v>
      </c>
      <c r="M145" s="42"/>
      <c r="N145" s="14"/>
      <c r="O145" s="14">
        <v>36</v>
      </c>
      <c r="P145" s="14">
        <f t="shared" si="76"/>
        <v>36</v>
      </c>
      <c r="Q145" s="42">
        <f t="shared" si="77"/>
        <v>36</v>
      </c>
      <c r="R145" s="14"/>
      <c r="S145" s="14" t="str">
        <f t="shared" si="78"/>
        <v/>
      </c>
      <c r="T145" s="14">
        <v>7</v>
      </c>
      <c r="U145" s="90">
        <f t="shared" si="74"/>
        <v>0.98</v>
      </c>
      <c r="V145" s="90">
        <f t="shared" si="74"/>
        <v>0.98</v>
      </c>
      <c r="W145" s="14">
        <f t="shared" si="79"/>
        <v>0</v>
      </c>
      <c r="X145" s="14">
        <f t="shared" si="80"/>
        <v>1</v>
      </c>
      <c r="Y145" s="90">
        <f>1</f>
        <v>1</v>
      </c>
      <c r="Z145" s="42">
        <f t="shared" si="81"/>
        <v>1</v>
      </c>
      <c r="AA145" s="90">
        <f t="shared" si="82"/>
        <v>0.7</v>
      </c>
      <c r="AB145" s="14">
        <f t="shared" si="83"/>
        <v>37</v>
      </c>
      <c r="AC145" s="90">
        <f t="shared" si="84"/>
        <v>0.95</v>
      </c>
      <c r="AD145" s="42">
        <f t="shared" si="85"/>
        <v>35</v>
      </c>
      <c r="AE145" s="90">
        <f t="shared" si="86"/>
        <v>0.95</v>
      </c>
      <c r="AF145" s="42">
        <f t="shared" si="87"/>
        <v>33</v>
      </c>
      <c r="AG145" s="14">
        <v>5</v>
      </c>
      <c r="AH145" s="14">
        <v>1</v>
      </c>
      <c r="AI145" s="90">
        <f t="shared" si="88"/>
        <v>0.95</v>
      </c>
      <c r="AJ145" s="90"/>
      <c r="AK145" s="42">
        <f t="shared" si="89"/>
        <v>1</v>
      </c>
      <c r="AL145" s="42" t="str">
        <f t="shared" si="90"/>
        <v>ENTER YIELD RATE</v>
      </c>
      <c r="AM145" s="90">
        <f>1</f>
        <v>1</v>
      </c>
      <c r="AN145" s="42">
        <f t="shared" si="91"/>
        <v>1</v>
      </c>
      <c r="AO145" s="14">
        <v>84</v>
      </c>
      <c r="AP145" s="42"/>
    </row>
    <row r="146" spans="1:42" x14ac:dyDescent="0.2">
      <c r="A146" t="str">
        <f>INDEX(Prioritization!$D:$D,MATCH($B146,Prioritization!$A:$A,0))</f>
        <v>INVALID</v>
      </c>
      <c r="B146" t="s">
        <v>219</v>
      </c>
      <c r="C146" t="s">
        <v>470</v>
      </c>
      <c r="D146" t="str">
        <f t="shared" si="75"/>
        <v>Phalombe District [AZyWpGzhcaA]|MSM</v>
      </c>
      <c r="E146" s="42"/>
      <c r="F146" s="42"/>
      <c r="G146" s="42"/>
      <c r="H146" s="14"/>
      <c r="I146" s="42"/>
      <c r="J146" s="14">
        <v>1</v>
      </c>
      <c r="K146" s="42"/>
      <c r="L146" s="14">
        <v>25</v>
      </c>
      <c r="M146" s="42"/>
      <c r="N146" s="14"/>
      <c r="O146" s="14">
        <v>8</v>
      </c>
      <c r="P146" s="14">
        <f t="shared" si="76"/>
        <v>8</v>
      </c>
      <c r="Q146" s="42">
        <f t="shared" si="77"/>
        <v>8</v>
      </c>
      <c r="R146" s="14"/>
      <c r="S146" s="14" t="str">
        <f t="shared" si="78"/>
        <v/>
      </c>
      <c r="T146" s="14">
        <v>2</v>
      </c>
      <c r="U146" s="90">
        <f t="shared" si="74"/>
        <v>0.98</v>
      </c>
      <c r="V146" s="90">
        <f t="shared" si="74"/>
        <v>0.98</v>
      </c>
      <c r="W146" s="14">
        <f t="shared" si="79"/>
        <v>0</v>
      </c>
      <c r="X146" s="14" t="str">
        <f t="shared" si="80"/>
        <v/>
      </c>
      <c r="Y146" s="90">
        <f>1</f>
        <v>1</v>
      </c>
      <c r="Z146" s="42" t="str">
        <f t="shared" si="81"/>
        <v/>
      </c>
      <c r="AA146" s="90">
        <f t="shared" si="82"/>
        <v>0.7</v>
      </c>
      <c r="AB146" s="14">
        <f t="shared" si="83"/>
        <v>8</v>
      </c>
      <c r="AC146" s="90">
        <f t="shared" si="84"/>
        <v>0.95</v>
      </c>
      <c r="AD146" s="42">
        <f t="shared" si="85"/>
        <v>8</v>
      </c>
      <c r="AE146" s="90">
        <f t="shared" si="86"/>
        <v>0.95</v>
      </c>
      <c r="AF146" s="42">
        <f t="shared" si="87"/>
        <v>8</v>
      </c>
      <c r="AG146" s="14">
        <v>10</v>
      </c>
      <c r="AH146" s="14">
        <v>1</v>
      </c>
      <c r="AI146" s="90">
        <f t="shared" si="88"/>
        <v>0.95</v>
      </c>
      <c r="AJ146" s="90"/>
      <c r="AK146" s="42" t="str">
        <f t="shared" si="89"/>
        <v/>
      </c>
      <c r="AL146" s="42" t="str">
        <f t="shared" si="90"/>
        <v/>
      </c>
      <c r="AM146" s="90">
        <f>1</f>
        <v>1</v>
      </c>
      <c r="AN146" s="42" t="str">
        <f t="shared" si="91"/>
        <v/>
      </c>
      <c r="AO146" s="14">
        <v>55</v>
      </c>
      <c r="AP146" s="42"/>
    </row>
    <row r="147" spans="1:42" x14ac:dyDescent="0.2">
      <c r="A147" t="str">
        <f>INDEX(Prioritization!$D:$D,MATCH($B147,Prioritization!$A:$A,0))</f>
        <v>INVALID</v>
      </c>
      <c r="B147" t="s">
        <v>219</v>
      </c>
      <c r="C147" t="s">
        <v>471</v>
      </c>
      <c r="D147" t="str">
        <f t="shared" si="75"/>
        <v>Phalombe District [AZyWpGzhcaA]|People in prisons and other enclosed settings</v>
      </c>
      <c r="E147" s="42"/>
      <c r="F147" s="42"/>
      <c r="G147" s="42"/>
      <c r="H147" s="14"/>
      <c r="I147" s="42"/>
      <c r="J147" s="14"/>
      <c r="K147" s="42"/>
      <c r="L147" s="14"/>
      <c r="M147" s="42"/>
      <c r="N147" s="14"/>
      <c r="O147" s="14"/>
      <c r="P147" s="14" t="str">
        <f t="shared" si="76"/>
        <v/>
      </c>
      <c r="Q147" s="42" t="str">
        <f t="shared" si="77"/>
        <v/>
      </c>
      <c r="R147" s="14"/>
      <c r="S147" s="14" t="str">
        <f t="shared" si="78"/>
        <v/>
      </c>
      <c r="T147" s="14"/>
      <c r="U147" s="90">
        <f t="shared" si="74"/>
        <v>0.98</v>
      </c>
      <c r="V147" s="90">
        <f t="shared" si="74"/>
        <v>0.98</v>
      </c>
      <c r="W147" s="14" t="str">
        <f t="shared" si="79"/>
        <v/>
      </c>
      <c r="X147" s="14" t="str">
        <f t="shared" si="80"/>
        <v/>
      </c>
      <c r="Y147" s="90">
        <f>1</f>
        <v>1</v>
      </c>
      <c r="Z147" s="42" t="str">
        <f t="shared" si="81"/>
        <v/>
      </c>
      <c r="AA147" s="90">
        <f t="shared" si="82"/>
        <v>0.7</v>
      </c>
      <c r="AB147" s="14" t="str">
        <f t="shared" si="83"/>
        <v/>
      </c>
      <c r="AC147" s="90">
        <f t="shared" si="84"/>
        <v>0.95</v>
      </c>
      <c r="AD147" s="42" t="str">
        <f t="shared" si="85"/>
        <v/>
      </c>
      <c r="AE147" s="90">
        <f t="shared" si="86"/>
        <v>0.95</v>
      </c>
      <c r="AF147" s="42" t="str">
        <f t="shared" si="87"/>
        <v/>
      </c>
      <c r="AG147" s="14"/>
      <c r="AH147" s="14"/>
      <c r="AI147" s="90">
        <f t="shared" si="88"/>
        <v>0.95</v>
      </c>
      <c r="AJ147" s="90"/>
      <c r="AK147" s="42" t="str">
        <f t="shared" si="89"/>
        <v/>
      </c>
      <c r="AL147" s="42" t="str">
        <f t="shared" si="90"/>
        <v/>
      </c>
      <c r="AM147" s="90">
        <f>1</f>
        <v>1</v>
      </c>
      <c r="AN147" s="42" t="str">
        <f t="shared" si="91"/>
        <v/>
      </c>
      <c r="AO147" s="14"/>
      <c r="AP147" s="42"/>
    </row>
    <row r="148" spans="1:42" x14ac:dyDescent="0.2">
      <c r="A148" t="str">
        <f>INDEX(Prioritization!$D:$D,MATCH($B148,Prioritization!$A:$A,0))</f>
        <v>INVALID</v>
      </c>
      <c r="B148" t="s">
        <v>219</v>
      </c>
      <c r="C148" t="s">
        <v>472</v>
      </c>
      <c r="D148" t="str">
        <f t="shared" si="75"/>
        <v>Phalombe District [AZyWpGzhcaA]|PWID</v>
      </c>
      <c r="E148" s="42"/>
      <c r="F148" s="42"/>
      <c r="G148" s="42"/>
      <c r="H148" s="14"/>
      <c r="I148" s="42"/>
      <c r="J148" s="14"/>
      <c r="K148" s="42"/>
      <c r="L148" s="14"/>
      <c r="M148" s="42"/>
      <c r="N148" s="14"/>
      <c r="O148" s="14"/>
      <c r="P148" s="14" t="str">
        <f t="shared" si="76"/>
        <v/>
      </c>
      <c r="Q148" s="42" t="str">
        <f t="shared" si="77"/>
        <v/>
      </c>
      <c r="R148" s="14"/>
      <c r="S148" s="14" t="str">
        <f t="shared" si="78"/>
        <v/>
      </c>
      <c r="T148" s="14"/>
      <c r="U148" s="90">
        <f t="shared" si="74"/>
        <v>0.98</v>
      </c>
      <c r="V148" s="90">
        <f t="shared" si="74"/>
        <v>0.98</v>
      </c>
      <c r="W148" s="14" t="str">
        <f t="shared" si="79"/>
        <v/>
      </c>
      <c r="X148" s="14" t="str">
        <f t="shared" si="80"/>
        <v/>
      </c>
      <c r="Y148" s="90">
        <f>1</f>
        <v>1</v>
      </c>
      <c r="Z148" s="42" t="str">
        <f t="shared" si="81"/>
        <v/>
      </c>
      <c r="AA148" s="90">
        <f t="shared" si="82"/>
        <v>0.7</v>
      </c>
      <c r="AB148" s="14" t="str">
        <f t="shared" si="83"/>
        <v/>
      </c>
      <c r="AC148" s="90">
        <f t="shared" si="84"/>
        <v>0.95</v>
      </c>
      <c r="AD148" s="42" t="str">
        <f t="shared" si="85"/>
        <v/>
      </c>
      <c r="AE148" s="90">
        <f t="shared" si="86"/>
        <v>0.95</v>
      </c>
      <c r="AF148" s="42" t="str">
        <f t="shared" si="87"/>
        <v/>
      </c>
      <c r="AG148" s="14"/>
      <c r="AH148" s="14"/>
      <c r="AI148" s="90">
        <f t="shared" si="88"/>
        <v>0.95</v>
      </c>
      <c r="AJ148" s="90"/>
      <c r="AK148" s="42" t="str">
        <f t="shared" si="89"/>
        <v/>
      </c>
      <c r="AL148" s="42" t="str">
        <f t="shared" si="90"/>
        <v/>
      </c>
      <c r="AM148" s="90">
        <f>1</f>
        <v>1</v>
      </c>
      <c r="AN148" s="42" t="str">
        <f t="shared" si="91"/>
        <v/>
      </c>
      <c r="AO148" s="14"/>
      <c r="AP148" s="42"/>
    </row>
    <row r="149" spans="1:42" x14ac:dyDescent="0.2">
      <c r="A149" t="str">
        <f>INDEX(Prioritization!$D:$D,MATCH($B149,Prioritization!$A:$A,0))</f>
        <v>INVALID</v>
      </c>
      <c r="B149" t="s">
        <v>219</v>
      </c>
      <c r="C149" t="s">
        <v>473</v>
      </c>
      <c r="D149" t="str">
        <f t="shared" si="75"/>
        <v>Phalombe District [AZyWpGzhcaA]|TG</v>
      </c>
      <c r="E149" s="42"/>
      <c r="F149" s="42"/>
      <c r="G149" s="42"/>
      <c r="H149" s="14"/>
      <c r="I149" s="42"/>
      <c r="J149" s="14"/>
      <c r="K149" s="42"/>
      <c r="L149" s="14"/>
      <c r="M149" s="42"/>
      <c r="N149" s="14"/>
      <c r="O149" s="14"/>
      <c r="P149" s="14" t="str">
        <f t="shared" si="76"/>
        <v/>
      </c>
      <c r="Q149" s="42" t="str">
        <f t="shared" si="77"/>
        <v/>
      </c>
      <c r="R149" s="14"/>
      <c r="S149" s="14" t="str">
        <f t="shared" si="78"/>
        <v/>
      </c>
      <c r="T149" s="14"/>
      <c r="U149" s="90">
        <f t="shared" si="74"/>
        <v>0.98</v>
      </c>
      <c r="V149" s="90">
        <f t="shared" si="74"/>
        <v>0.98</v>
      </c>
      <c r="W149" s="14" t="str">
        <f t="shared" si="79"/>
        <v/>
      </c>
      <c r="X149" s="14" t="str">
        <f t="shared" si="80"/>
        <v/>
      </c>
      <c r="Y149" s="90">
        <f>1</f>
        <v>1</v>
      </c>
      <c r="Z149" s="42" t="str">
        <f t="shared" si="81"/>
        <v/>
      </c>
      <c r="AA149" s="90">
        <f t="shared" si="82"/>
        <v>0.7</v>
      </c>
      <c r="AB149" s="14" t="str">
        <f t="shared" si="83"/>
        <v/>
      </c>
      <c r="AC149" s="90">
        <f t="shared" si="84"/>
        <v>0.95</v>
      </c>
      <c r="AD149" s="42" t="str">
        <f t="shared" si="85"/>
        <v/>
      </c>
      <c r="AE149" s="90">
        <f t="shared" si="86"/>
        <v>0.95</v>
      </c>
      <c r="AF149" s="42" t="str">
        <f t="shared" si="87"/>
        <v/>
      </c>
      <c r="AG149" s="14"/>
      <c r="AH149" s="14"/>
      <c r="AI149" s="90">
        <f t="shared" si="88"/>
        <v>0.95</v>
      </c>
      <c r="AJ149" s="90"/>
      <c r="AK149" s="42" t="str">
        <f t="shared" si="89"/>
        <v/>
      </c>
      <c r="AL149" s="42" t="str">
        <f t="shared" si="90"/>
        <v/>
      </c>
      <c r="AM149" s="90">
        <f>1</f>
        <v>1</v>
      </c>
      <c r="AN149" s="42" t="str">
        <f t="shared" si="91"/>
        <v/>
      </c>
      <c r="AO149" s="14"/>
      <c r="AP149" s="42"/>
    </row>
    <row r="150" spans="1:42" x14ac:dyDescent="0.2">
      <c r="A150" t="str">
        <f>INDEX(Prioritization!$D:$D,MATCH($B150,Prioritization!$A:$A,0))</f>
        <v>1 - Scale-up: Saturation</v>
      </c>
      <c r="B150" t="s">
        <v>220</v>
      </c>
      <c r="C150" t="s">
        <v>469</v>
      </c>
      <c r="D150" t="str">
        <f t="shared" si="75"/>
        <v>Thyolo District [ul0y9diGujK]|FSW</v>
      </c>
      <c r="E150" s="42"/>
      <c r="F150" s="42"/>
      <c r="G150" s="42"/>
      <c r="H150" s="14"/>
      <c r="I150" s="42"/>
      <c r="J150" s="14"/>
      <c r="K150" s="42"/>
      <c r="L150" s="14"/>
      <c r="M150" s="42"/>
      <c r="N150" s="14"/>
      <c r="O150" s="14"/>
      <c r="P150" s="14" t="str">
        <f t="shared" si="76"/>
        <v/>
      </c>
      <c r="Q150" s="42" t="str">
        <f t="shared" si="77"/>
        <v/>
      </c>
      <c r="R150" s="14"/>
      <c r="S150" s="14" t="str">
        <f t="shared" si="78"/>
        <v/>
      </c>
      <c r="T150" s="14"/>
      <c r="U150" s="90">
        <f t="shared" si="74"/>
        <v>0.98</v>
      </c>
      <c r="V150" s="90">
        <f t="shared" si="74"/>
        <v>0.98</v>
      </c>
      <c r="W150" s="14" t="str">
        <f t="shared" si="79"/>
        <v/>
      </c>
      <c r="X150" s="14" t="str">
        <f t="shared" si="80"/>
        <v/>
      </c>
      <c r="Y150" s="90">
        <f>1</f>
        <v>1</v>
      </c>
      <c r="Z150" s="42" t="str">
        <f t="shared" si="81"/>
        <v/>
      </c>
      <c r="AA150" s="90">
        <f t="shared" si="82"/>
        <v>0.7</v>
      </c>
      <c r="AB150" s="14" t="str">
        <f t="shared" si="83"/>
        <v/>
      </c>
      <c r="AC150" s="90">
        <f t="shared" si="84"/>
        <v>0.95</v>
      </c>
      <c r="AD150" s="42" t="str">
        <f t="shared" si="85"/>
        <v/>
      </c>
      <c r="AE150" s="90">
        <f t="shared" si="86"/>
        <v>0.95</v>
      </c>
      <c r="AF150" s="42" t="str">
        <f t="shared" si="87"/>
        <v/>
      </c>
      <c r="AG150" s="14"/>
      <c r="AH150" s="14"/>
      <c r="AI150" s="90">
        <f t="shared" si="88"/>
        <v>0.95</v>
      </c>
      <c r="AJ150" s="90"/>
      <c r="AK150" s="42" t="str">
        <f t="shared" si="89"/>
        <v/>
      </c>
      <c r="AL150" s="42" t="str">
        <f t="shared" si="90"/>
        <v/>
      </c>
      <c r="AM150" s="90">
        <f>1</f>
        <v>1</v>
      </c>
      <c r="AN150" s="42" t="str">
        <f t="shared" si="91"/>
        <v/>
      </c>
      <c r="AO150" s="14"/>
      <c r="AP150" s="42"/>
    </row>
    <row r="151" spans="1:42" x14ac:dyDescent="0.2">
      <c r="A151" t="str">
        <f>INDEX(Prioritization!$D:$D,MATCH($B151,Prioritization!$A:$A,0))</f>
        <v>1 - Scale-up: Saturation</v>
      </c>
      <c r="B151" t="s">
        <v>220</v>
      </c>
      <c r="C151" t="s">
        <v>470</v>
      </c>
      <c r="D151" t="str">
        <f t="shared" si="75"/>
        <v>Thyolo District [ul0y9diGujK]|MSM</v>
      </c>
      <c r="E151" s="42"/>
      <c r="F151" s="42"/>
      <c r="G151" s="42"/>
      <c r="H151" s="14"/>
      <c r="I151" s="42"/>
      <c r="J151" s="14"/>
      <c r="K151" s="42"/>
      <c r="L151" s="14"/>
      <c r="M151" s="42"/>
      <c r="N151" s="14"/>
      <c r="O151" s="14"/>
      <c r="P151" s="14" t="str">
        <f t="shared" si="76"/>
        <v/>
      </c>
      <c r="Q151" s="42" t="str">
        <f t="shared" si="77"/>
        <v/>
      </c>
      <c r="R151" s="14"/>
      <c r="S151" s="14" t="str">
        <f t="shared" si="78"/>
        <v/>
      </c>
      <c r="T151" s="14"/>
      <c r="U151" s="90">
        <f t="shared" si="74"/>
        <v>0.98</v>
      </c>
      <c r="V151" s="90">
        <f t="shared" si="74"/>
        <v>0.98</v>
      </c>
      <c r="W151" s="14" t="str">
        <f t="shared" si="79"/>
        <v/>
      </c>
      <c r="X151" s="14" t="str">
        <f t="shared" si="80"/>
        <v/>
      </c>
      <c r="Y151" s="90">
        <f>1</f>
        <v>1</v>
      </c>
      <c r="Z151" s="42" t="str">
        <f t="shared" si="81"/>
        <v/>
      </c>
      <c r="AA151" s="90">
        <f t="shared" si="82"/>
        <v>0.7</v>
      </c>
      <c r="AB151" s="14" t="str">
        <f t="shared" si="83"/>
        <v/>
      </c>
      <c r="AC151" s="90">
        <f t="shared" si="84"/>
        <v>0.95</v>
      </c>
      <c r="AD151" s="42" t="str">
        <f t="shared" si="85"/>
        <v/>
      </c>
      <c r="AE151" s="90">
        <f t="shared" si="86"/>
        <v>0.95</v>
      </c>
      <c r="AF151" s="42" t="str">
        <f t="shared" si="87"/>
        <v/>
      </c>
      <c r="AG151" s="14"/>
      <c r="AH151" s="14"/>
      <c r="AI151" s="90">
        <f t="shared" si="88"/>
        <v>0.95</v>
      </c>
      <c r="AJ151" s="90"/>
      <c r="AK151" s="42" t="str">
        <f t="shared" si="89"/>
        <v/>
      </c>
      <c r="AL151" s="42" t="str">
        <f t="shared" si="90"/>
        <v/>
      </c>
      <c r="AM151" s="90">
        <f>1</f>
        <v>1</v>
      </c>
      <c r="AN151" s="42" t="str">
        <f t="shared" si="91"/>
        <v/>
      </c>
      <c r="AO151" s="14"/>
      <c r="AP151" s="42"/>
    </row>
    <row r="152" spans="1:42" x14ac:dyDescent="0.2">
      <c r="A152" t="str">
        <f>INDEX(Prioritization!$D:$D,MATCH($B152,Prioritization!$A:$A,0))</f>
        <v>1 - Scale-up: Saturation</v>
      </c>
      <c r="B152" t="s">
        <v>220</v>
      </c>
      <c r="C152" t="s">
        <v>471</v>
      </c>
      <c r="D152" t="str">
        <f t="shared" si="75"/>
        <v>Thyolo District [ul0y9diGujK]|People in prisons and other enclosed settings</v>
      </c>
      <c r="E152" s="42"/>
      <c r="F152" s="42"/>
      <c r="G152" s="42"/>
      <c r="H152" s="14"/>
      <c r="I152" s="42"/>
      <c r="J152" s="14"/>
      <c r="K152" s="42"/>
      <c r="L152" s="14">
        <v>42</v>
      </c>
      <c r="M152" s="42"/>
      <c r="N152" s="14">
        <v>6</v>
      </c>
      <c r="O152" s="14">
        <v>6</v>
      </c>
      <c r="P152" s="14">
        <f t="shared" si="76"/>
        <v>6</v>
      </c>
      <c r="Q152" s="42">
        <f t="shared" si="77"/>
        <v>6</v>
      </c>
      <c r="R152" s="14"/>
      <c r="S152" s="14" t="str">
        <f t="shared" si="78"/>
        <v/>
      </c>
      <c r="T152" s="14">
        <v>10</v>
      </c>
      <c r="U152" s="90">
        <f t="shared" si="74"/>
        <v>0.98</v>
      </c>
      <c r="V152" s="90">
        <f t="shared" si="74"/>
        <v>0.98</v>
      </c>
      <c r="W152" s="14">
        <f t="shared" si="79"/>
        <v>0</v>
      </c>
      <c r="X152" s="14" t="str">
        <f t="shared" si="80"/>
        <v/>
      </c>
      <c r="Y152" s="90">
        <f>1</f>
        <v>1</v>
      </c>
      <c r="Z152" s="42" t="str">
        <f t="shared" si="81"/>
        <v/>
      </c>
      <c r="AA152" s="90">
        <f t="shared" si="82"/>
        <v>0.7</v>
      </c>
      <c r="AB152" s="14">
        <f t="shared" si="83"/>
        <v>6</v>
      </c>
      <c r="AC152" s="90">
        <f t="shared" si="84"/>
        <v>0.95</v>
      </c>
      <c r="AD152" s="42">
        <f t="shared" si="85"/>
        <v>6</v>
      </c>
      <c r="AE152" s="90">
        <f t="shared" si="86"/>
        <v>0.95</v>
      </c>
      <c r="AF152" s="42">
        <f t="shared" si="87"/>
        <v>6</v>
      </c>
      <c r="AG152" s="14">
        <v>1</v>
      </c>
      <c r="AH152" s="14">
        <v>1</v>
      </c>
      <c r="AI152" s="90">
        <f t="shared" si="88"/>
        <v>0.95</v>
      </c>
      <c r="AJ152" s="90"/>
      <c r="AK152" s="42" t="str">
        <f t="shared" si="89"/>
        <v/>
      </c>
      <c r="AL152" s="42" t="str">
        <f t="shared" si="90"/>
        <v/>
      </c>
      <c r="AM152" s="90">
        <f>1</f>
        <v>1</v>
      </c>
      <c r="AN152" s="42" t="str">
        <f t="shared" si="91"/>
        <v/>
      </c>
      <c r="AO152" s="14">
        <v>93</v>
      </c>
      <c r="AP152" s="42"/>
    </row>
    <row r="153" spans="1:42" x14ac:dyDescent="0.2">
      <c r="A153" t="str">
        <f>INDEX(Prioritization!$D:$D,MATCH($B153,Prioritization!$A:$A,0))</f>
        <v>1 - Scale-up: Saturation</v>
      </c>
      <c r="B153" t="s">
        <v>220</v>
      </c>
      <c r="C153" t="s">
        <v>472</v>
      </c>
      <c r="D153" t="str">
        <f t="shared" si="75"/>
        <v>Thyolo District [ul0y9diGujK]|PWID</v>
      </c>
      <c r="E153" s="42"/>
      <c r="F153" s="42"/>
      <c r="G153" s="42"/>
      <c r="H153" s="14"/>
      <c r="I153" s="42"/>
      <c r="J153" s="14"/>
      <c r="K153" s="42"/>
      <c r="L153" s="14"/>
      <c r="M153" s="42"/>
      <c r="N153" s="14"/>
      <c r="O153" s="14"/>
      <c r="P153" s="14" t="str">
        <f t="shared" si="76"/>
        <v/>
      </c>
      <c r="Q153" s="42" t="str">
        <f t="shared" si="77"/>
        <v/>
      </c>
      <c r="R153" s="14"/>
      <c r="S153" s="14" t="str">
        <f t="shared" si="78"/>
        <v/>
      </c>
      <c r="T153" s="14"/>
      <c r="U153" s="90">
        <f t="shared" si="74"/>
        <v>0.98</v>
      </c>
      <c r="V153" s="90">
        <f t="shared" si="74"/>
        <v>0.98</v>
      </c>
      <c r="W153" s="14" t="str">
        <f t="shared" si="79"/>
        <v/>
      </c>
      <c r="X153" s="14" t="str">
        <f t="shared" si="80"/>
        <v/>
      </c>
      <c r="Y153" s="90">
        <f>1</f>
        <v>1</v>
      </c>
      <c r="Z153" s="42" t="str">
        <f t="shared" si="81"/>
        <v/>
      </c>
      <c r="AA153" s="90">
        <f t="shared" si="82"/>
        <v>0.7</v>
      </c>
      <c r="AB153" s="14" t="str">
        <f t="shared" si="83"/>
        <v/>
      </c>
      <c r="AC153" s="90">
        <f t="shared" si="84"/>
        <v>0.95</v>
      </c>
      <c r="AD153" s="42" t="str">
        <f t="shared" si="85"/>
        <v/>
      </c>
      <c r="AE153" s="90">
        <f t="shared" si="86"/>
        <v>0.95</v>
      </c>
      <c r="AF153" s="42" t="str">
        <f t="shared" si="87"/>
        <v/>
      </c>
      <c r="AG153" s="14"/>
      <c r="AH153" s="14"/>
      <c r="AI153" s="90">
        <f t="shared" si="88"/>
        <v>0.95</v>
      </c>
      <c r="AJ153" s="90"/>
      <c r="AK153" s="42" t="str">
        <f t="shared" si="89"/>
        <v/>
      </c>
      <c r="AL153" s="42" t="str">
        <f t="shared" si="90"/>
        <v/>
      </c>
      <c r="AM153" s="90">
        <f>1</f>
        <v>1</v>
      </c>
      <c r="AN153" s="42" t="str">
        <f t="shared" si="91"/>
        <v/>
      </c>
      <c r="AO153" s="14"/>
      <c r="AP153" s="42"/>
    </row>
    <row r="154" spans="1:42" x14ac:dyDescent="0.2">
      <c r="A154" t="str">
        <f>INDEX(Prioritization!$D:$D,MATCH($B154,Prioritization!$A:$A,0))</f>
        <v>1 - Scale-up: Saturation</v>
      </c>
      <c r="B154" t="s">
        <v>220</v>
      </c>
      <c r="C154" t="s">
        <v>473</v>
      </c>
      <c r="D154" t="str">
        <f t="shared" si="75"/>
        <v>Thyolo District [ul0y9diGujK]|TG</v>
      </c>
      <c r="E154" s="42"/>
      <c r="F154" s="42"/>
      <c r="G154" s="42"/>
      <c r="H154" s="14"/>
      <c r="I154" s="42"/>
      <c r="J154" s="14"/>
      <c r="K154" s="42"/>
      <c r="L154" s="14"/>
      <c r="M154" s="42"/>
      <c r="N154" s="14"/>
      <c r="O154" s="14"/>
      <c r="P154" s="14" t="str">
        <f t="shared" si="76"/>
        <v/>
      </c>
      <c r="Q154" s="42" t="str">
        <f t="shared" si="77"/>
        <v/>
      </c>
      <c r="R154" s="14"/>
      <c r="S154" s="14" t="str">
        <f t="shared" si="78"/>
        <v/>
      </c>
      <c r="T154" s="14"/>
      <c r="U154" s="90">
        <f t="shared" si="74"/>
        <v>0.98</v>
      </c>
      <c r="V154" s="90">
        <f t="shared" si="74"/>
        <v>0.98</v>
      </c>
      <c r="W154" s="14" t="str">
        <f t="shared" si="79"/>
        <v/>
      </c>
      <c r="X154" s="14" t="str">
        <f t="shared" si="80"/>
        <v/>
      </c>
      <c r="Y154" s="90">
        <f>1</f>
        <v>1</v>
      </c>
      <c r="Z154" s="42" t="str">
        <f t="shared" si="81"/>
        <v/>
      </c>
      <c r="AA154" s="90">
        <f t="shared" si="82"/>
        <v>0.7</v>
      </c>
      <c r="AB154" s="14" t="str">
        <f t="shared" si="83"/>
        <v/>
      </c>
      <c r="AC154" s="90">
        <f t="shared" si="84"/>
        <v>0.95</v>
      </c>
      <c r="AD154" s="42" t="str">
        <f t="shared" si="85"/>
        <v/>
      </c>
      <c r="AE154" s="90">
        <f t="shared" si="86"/>
        <v>0.95</v>
      </c>
      <c r="AF154" s="42" t="str">
        <f t="shared" si="87"/>
        <v/>
      </c>
      <c r="AG154" s="14"/>
      <c r="AH154" s="14"/>
      <c r="AI154" s="90">
        <f t="shared" si="88"/>
        <v>0.95</v>
      </c>
      <c r="AJ154" s="90"/>
      <c r="AK154" s="42" t="str">
        <f t="shared" si="89"/>
        <v/>
      </c>
      <c r="AL154" s="42" t="str">
        <f t="shared" si="90"/>
        <v/>
      </c>
      <c r="AM154" s="90">
        <f>1</f>
        <v>1</v>
      </c>
      <c r="AN154" s="42" t="str">
        <f t="shared" si="91"/>
        <v/>
      </c>
      <c r="AO154" s="14"/>
      <c r="AP154" s="42"/>
    </row>
    <row r="155" spans="1:42" x14ac:dyDescent="0.2">
      <c r="A155" t="str">
        <f>INDEX(Prioritization!$D:$D,MATCH($B155,Prioritization!$A:$A,0))</f>
        <v>1 - Scale-up: Saturation</v>
      </c>
      <c r="B155" t="s">
        <v>221</v>
      </c>
      <c r="C155" t="s">
        <v>469</v>
      </c>
      <c r="D155" t="str">
        <f t="shared" si="75"/>
        <v>Zomba District [fyEoGEPERdI]|FSW</v>
      </c>
      <c r="E155" s="42"/>
      <c r="F155" s="42"/>
      <c r="G155" s="42"/>
      <c r="H155" s="14"/>
      <c r="I155" s="42"/>
      <c r="J155" s="14">
        <v>26</v>
      </c>
      <c r="K155" s="42"/>
      <c r="L155" s="14">
        <v>702</v>
      </c>
      <c r="M155" s="42"/>
      <c r="N155" s="14"/>
      <c r="O155" s="14">
        <v>86</v>
      </c>
      <c r="P155" s="14">
        <f t="shared" si="76"/>
        <v>86</v>
      </c>
      <c r="Q155" s="42">
        <f t="shared" si="77"/>
        <v>86</v>
      </c>
      <c r="R155" s="14"/>
      <c r="S155" s="14" t="str">
        <f t="shared" si="78"/>
        <v/>
      </c>
      <c r="T155" s="14">
        <v>9</v>
      </c>
      <c r="U155" s="90">
        <f t="shared" si="74"/>
        <v>0.98</v>
      </c>
      <c r="V155" s="90">
        <f t="shared" si="74"/>
        <v>0.98</v>
      </c>
      <c r="W155" s="14">
        <f t="shared" si="79"/>
        <v>0</v>
      </c>
      <c r="X155" s="14">
        <f t="shared" si="80"/>
        <v>2</v>
      </c>
      <c r="Y155" s="90">
        <f>1</f>
        <v>1</v>
      </c>
      <c r="Z155" s="42">
        <f t="shared" si="81"/>
        <v>2</v>
      </c>
      <c r="AA155" s="90">
        <f t="shared" si="82"/>
        <v>0.7</v>
      </c>
      <c r="AB155" s="14">
        <f t="shared" si="83"/>
        <v>87</v>
      </c>
      <c r="AC155" s="90">
        <f t="shared" si="84"/>
        <v>0.95</v>
      </c>
      <c r="AD155" s="42">
        <f t="shared" si="85"/>
        <v>83</v>
      </c>
      <c r="AE155" s="90">
        <f t="shared" si="86"/>
        <v>0.95</v>
      </c>
      <c r="AF155" s="42">
        <f t="shared" si="87"/>
        <v>79</v>
      </c>
      <c r="AG155" s="14">
        <v>2</v>
      </c>
      <c r="AH155" s="14">
        <v>0</v>
      </c>
      <c r="AI155" s="90">
        <f t="shared" si="88"/>
        <v>0.95</v>
      </c>
      <c r="AJ155" s="90"/>
      <c r="AK155" s="42">
        <f t="shared" si="89"/>
        <v>2</v>
      </c>
      <c r="AL155" s="42" t="str">
        <f t="shared" si="90"/>
        <v>ENTER YIELD RATE</v>
      </c>
      <c r="AM155" s="90">
        <f>1</f>
        <v>1</v>
      </c>
      <c r="AN155" s="42">
        <f t="shared" si="91"/>
        <v>2</v>
      </c>
      <c r="AO155" s="14">
        <v>85</v>
      </c>
      <c r="AP155" s="42"/>
    </row>
    <row r="156" spans="1:42" x14ac:dyDescent="0.2">
      <c r="A156" t="str">
        <f>INDEX(Prioritization!$D:$D,MATCH($B156,Prioritization!$A:$A,0))</f>
        <v>1 - Scale-up: Saturation</v>
      </c>
      <c r="B156" t="s">
        <v>221</v>
      </c>
      <c r="C156" t="s">
        <v>470</v>
      </c>
      <c r="D156" t="str">
        <f t="shared" si="75"/>
        <v>Zomba District [fyEoGEPERdI]|MSM</v>
      </c>
      <c r="E156" s="42"/>
      <c r="F156" s="42"/>
      <c r="G156" s="42"/>
      <c r="H156" s="14"/>
      <c r="I156" s="42"/>
      <c r="J156" s="14">
        <v>25</v>
      </c>
      <c r="K156" s="42"/>
      <c r="L156" s="14">
        <v>644</v>
      </c>
      <c r="M156" s="42"/>
      <c r="N156" s="14"/>
      <c r="O156" s="14">
        <v>52</v>
      </c>
      <c r="P156" s="14">
        <f t="shared" si="76"/>
        <v>52</v>
      </c>
      <c r="Q156" s="42">
        <f t="shared" si="77"/>
        <v>52</v>
      </c>
      <c r="R156" s="14"/>
      <c r="S156" s="14" t="str">
        <f t="shared" si="78"/>
        <v/>
      </c>
      <c r="T156" s="14">
        <v>78</v>
      </c>
      <c r="U156" s="90">
        <f t="shared" si="74"/>
        <v>0.98</v>
      </c>
      <c r="V156" s="90">
        <f t="shared" si="74"/>
        <v>0.98</v>
      </c>
      <c r="W156" s="14">
        <f t="shared" si="79"/>
        <v>0</v>
      </c>
      <c r="X156" s="14">
        <f t="shared" si="80"/>
        <v>1</v>
      </c>
      <c r="Y156" s="90">
        <f>1</f>
        <v>1</v>
      </c>
      <c r="Z156" s="42">
        <f t="shared" si="81"/>
        <v>1</v>
      </c>
      <c r="AA156" s="90">
        <f t="shared" si="82"/>
        <v>0.7</v>
      </c>
      <c r="AB156" s="14">
        <f t="shared" si="83"/>
        <v>53</v>
      </c>
      <c r="AC156" s="90">
        <f t="shared" si="84"/>
        <v>0.95</v>
      </c>
      <c r="AD156" s="42">
        <f t="shared" si="85"/>
        <v>50</v>
      </c>
      <c r="AE156" s="90">
        <f t="shared" si="86"/>
        <v>0.95</v>
      </c>
      <c r="AF156" s="42">
        <f t="shared" si="87"/>
        <v>48</v>
      </c>
      <c r="AG156" s="14">
        <v>60</v>
      </c>
      <c r="AH156" s="14">
        <v>1</v>
      </c>
      <c r="AI156" s="90">
        <f t="shared" si="88"/>
        <v>0.95</v>
      </c>
      <c r="AJ156" s="90"/>
      <c r="AK156" s="42">
        <f t="shared" si="89"/>
        <v>1</v>
      </c>
      <c r="AL156" s="42" t="str">
        <f t="shared" si="90"/>
        <v>ENTER YIELD RATE</v>
      </c>
      <c r="AM156" s="90">
        <f>1</f>
        <v>1</v>
      </c>
      <c r="AN156" s="42">
        <f t="shared" si="91"/>
        <v>1</v>
      </c>
      <c r="AO156" s="14">
        <v>363</v>
      </c>
      <c r="AP156" s="42"/>
    </row>
    <row r="157" spans="1:42" x14ac:dyDescent="0.2">
      <c r="A157" t="str">
        <f>INDEX(Prioritization!$D:$D,MATCH($B157,Prioritization!$A:$A,0))</f>
        <v>1 - Scale-up: Saturation</v>
      </c>
      <c r="B157" t="s">
        <v>221</v>
      </c>
      <c r="C157" t="s">
        <v>471</v>
      </c>
      <c r="D157" t="str">
        <f t="shared" si="75"/>
        <v>Zomba District [fyEoGEPERdI]|People in prisons and other enclosed settings</v>
      </c>
      <c r="E157" s="42"/>
      <c r="F157" s="42"/>
      <c r="G157" s="42"/>
      <c r="H157" s="14"/>
      <c r="I157" s="42"/>
      <c r="J157" s="14"/>
      <c r="K157" s="42"/>
      <c r="L157" s="14">
        <v>523</v>
      </c>
      <c r="M157" s="42"/>
      <c r="N157" s="14">
        <v>93</v>
      </c>
      <c r="O157" s="14">
        <v>13</v>
      </c>
      <c r="P157" s="14">
        <f t="shared" si="76"/>
        <v>93</v>
      </c>
      <c r="Q157" s="42">
        <f t="shared" si="77"/>
        <v>93</v>
      </c>
      <c r="R157" s="14"/>
      <c r="S157" s="14" t="str">
        <f t="shared" si="78"/>
        <v/>
      </c>
      <c r="T157" s="14">
        <v>94</v>
      </c>
      <c r="U157" s="90">
        <f t="shared" si="74"/>
        <v>0.98</v>
      </c>
      <c r="V157" s="90">
        <f t="shared" si="74"/>
        <v>0.98</v>
      </c>
      <c r="W157" s="14">
        <f t="shared" si="79"/>
        <v>0</v>
      </c>
      <c r="X157" s="14">
        <f t="shared" si="80"/>
        <v>2</v>
      </c>
      <c r="Y157" s="90">
        <f>1</f>
        <v>1</v>
      </c>
      <c r="Z157" s="42">
        <f t="shared" si="81"/>
        <v>2</v>
      </c>
      <c r="AA157" s="90">
        <f t="shared" si="82"/>
        <v>0.7</v>
      </c>
      <c r="AB157" s="14">
        <f t="shared" si="83"/>
        <v>94</v>
      </c>
      <c r="AC157" s="90">
        <f t="shared" si="84"/>
        <v>0.95</v>
      </c>
      <c r="AD157" s="42">
        <f t="shared" si="85"/>
        <v>89</v>
      </c>
      <c r="AE157" s="90">
        <f t="shared" si="86"/>
        <v>0.95</v>
      </c>
      <c r="AF157" s="42">
        <f t="shared" si="87"/>
        <v>85</v>
      </c>
      <c r="AG157" s="14">
        <v>73</v>
      </c>
      <c r="AH157" s="14">
        <v>0</v>
      </c>
      <c r="AI157" s="90">
        <f t="shared" si="88"/>
        <v>0.95</v>
      </c>
      <c r="AJ157" s="90"/>
      <c r="AK157" s="42">
        <f t="shared" si="89"/>
        <v>2</v>
      </c>
      <c r="AL157" s="42" t="str">
        <f t="shared" si="90"/>
        <v>ENTER YIELD RATE</v>
      </c>
      <c r="AM157" s="90">
        <f>1</f>
        <v>1</v>
      </c>
      <c r="AN157" s="42">
        <f t="shared" si="91"/>
        <v>2</v>
      </c>
      <c r="AO157" s="14">
        <v>930</v>
      </c>
      <c r="AP157" s="42"/>
    </row>
    <row r="158" spans="1:42" x14ac:dyDescent="0.2">
      <c r="A158" t="str">
        <f>INDEX(Prioritization!$D:$D,MATCH($B158,Prioritization!$A:$A,0))</f>
        <v>1 - Scale-up: Saturation</v>
      </c>
      <c r="B158" t="s">
        <v>221</v>
      </c>
      <c r="C158" t="s">
        <v>472</v>
      </c>
      <c r="D158" t="str">
        <f t="shared" si="75"/>
        <v>Zomba District [fyEoGEPERdI]|PWID</v>
      </c>
      <c r="E158" s="42"/>
      <c r="F158" s="42"/>
      <c r="G158" s="42"/>
      <c r="H158" s="14"/>
      <c r="I158" s="42"/>
      <c r="J158" s="14"/>
      <c r="K158" s="42"/>
      <c r="L158" s="14"/>
      <c r="M158" s="42"/>
      <c r="N158" s="14"/>
      <c r="O158" s="14"/>
      <c r="P158" s="14" t="str">
        <f t="shared" si="76"/>
        <v/>
      </c>
      <c r="Q158" s="42" t="str">
        <f t="shared" si="77"/>
        <v/>
      </c>
      <c r="R158" s="14"/>
      <c r="S158" s="14" t="str">
        <f t="shared" si="78"/>
        <v/>
      </c>
      <c r="T158" s="14"/>
      <c r="U158" s="90">
        <f t="shared" si="74"/>
        <v>0.98</v>
      </c>
      <c r="V158" s="90">
        <f t="shared" si="74"/>
        <v>0.98</v>
      </c>
      <c r="W158" s="14" t="str">
        <f t="shared" si="79"/>
        <v/>
      </c>
      <c r="X158" s="14" t="str">
        <f t="shared" si="80"/>
        <v/>
      </c>
      <c r="Y158" s="90">
        <f>1</f>
        <v>1</v>
      </c>
      <c r="Z158" s="42" t="str">
        <f t="shared" si="81"/>
        <v/>
      </c>
      <c r="AA158" s="90">
        <f t="shared" si="82"/>
        <v>0.7</v>
      </c>
      <c r="AB158" s="14" t="str">
        <f t="shared" si="83"/>
        <v/>
      </c>
      <c r="AC158" s="90">
        <f t="shared" si="84"/>
        <v>0.95</v>
      </c>
      <c r="AD158" s="42" t="str">
        <f t="shared" si="85"/>
        <v/>
      </c>
      <c r="AE158" s="90">
        <f t="shared" si="86"/>
        <v>0.95</v>
      </c>
      <c r="AF158" s="42" t="str">
        <f t="shared" si="87"/>
        <v/>
      </c>
      <c r="AG158" s="14"/>
      <c r="AH158" s="14"/>
      <c r="AI158" s="90">
        <f t="shared" si="88"/>
        <v>0.95</v>
      </c>
      <c r="AJ158" s="90"/>
      <c r="AK158" s="42" t="str">
        <f t="shared" si="89"/>
        <v/>
      </c>
      <c r="AL158" s="42" t="str">
        <f t="shared" si="90"/>
        <v/>
      </c>
      <c r="AM158" s="90">
        <f>1</f>
        <v>1</v>
      </c>
      <c r="AN158" s="42" t="str">
        <f t="shared" si="91"/>
        <v/>
      </c>
      <c r="AO158" s="14"/>
      <c r="AP158" s="42"/>
    </row>
    <row r="159" spans="1:42" x14ac:dyDescent="0.2">
      <c r="A159" t="str">
        <f>INDEX(Prioritization!$D:$D,MATCH($B159,Prioritization!$A:$A,0))</f>
        <v>1 - Scale-up: Saturation</v>
      </c>
      <c r="B159" t="s">
        <v>221</v>
      </c>
      <c r="C159" t="s">
        <v>473</v>
      </c>
      <c r="D159" t="str">
        <f t="shared" si="75"/>
        <v>Zomba District [fyEoGEPERdI]|TG</v>
      </c>
      <c r="E159" s="42"/>
      <c r="F159" s="42"/>
      <c r="G159" s="42"/>
      <c r="H159" s="14"/>
      <c r="I159" s="42"/>
      <c r="J159" s="14"/>
      <c r="K159" s="42"/>
      <c r="L159" s="14">
        <v>2</v>
      </c>
      <c r="M159" s="42"/>
      <c r="N159" s="14"/>
      <c r="O159" s="14">
        <v>5</v>
      </c>
      <c r="P159" s="14">
        <f t="shared" si="76"/>
        <v>5</v>
      </c>
      <c r="Q159" s="42">
        <f t="shared" si="77"/>
        <v>5</v>
      </c>
      <c r="R159" s="14"/>
      <c r="S159" s="14" t="str">
        <f t="shared" si="78"/>
        <v/>
      </c>
      <c r="T159" s="14">
        <v>4</v>
      </c>
      <c r="U159" s="90">
        <f t="shared" si="74"/>
        <v>0.98</v>
      </c>
      <c r="V159" s="90">
        <f t="shared" si="74"/>
        <v>0.98</v>
      </c>
      <c r="W159" s="14">
        <f t="shared" si="79"/>
        <v>0</v>
      </c>
      <c r="X159" s="14" t="str">
        <f t="shared" si="80"/>
        <v/>
      </c>
      <c r="Y159" s="90">
        <f>1</f>
        <v>1</v>
      </c>
      <c r="Z159" s="42" t="str">
        <f t="shared" si="81"/>
        <v/>
      </c>
      <c r="AA159" s="90">
        <f t="shared" si="82"/>
        <v>0.7</v>
      </c>
      <c r="AB159" s="14">
        <f t="shared" si="83"/>
        <v>5</v>
      </c>
      <c r="AC159" s="90">
        <f t="shared" si="84"/>
        <v>0.95</v>
      </c>
      <c r="AD159" s="42">
        <f t="shared" si="85"/>
        <v>5</v>
      </c>
      <c r="AE159" s="90">
        <f t="shared" si="86"/>
        <v>0.95</v>
      </c>
      <c r="AF159" s="42">
        <f t="shared" si="87"/>
        <v>5</v>
      </c>
      <c r="AG159" s="14">
        <v>2</v>
      </c>
      <c r="AH159" s="14">
        <v>1</v>
      </c>
      <c r="AI159" s="90">
        <f t="shared" si="88"/>
        <v>0.95</v>
      </c>
      <c r="AJ159" s="90"/>
      <c r="AK159" s="42" t="str">
        <f t="shared" si="89"/>
        <v/>
      </c>
      <c r="AL159" s="42" t="str">
        <f t="shared" si="90"/>
        <v/>
      </c>
      <c r="AM159" s="90">
        <f>1</f>
        <v>1</v>
      </c>
      <c r="AN159" s="42" t="str">
        <f t="shared" si="91"/>
        <v/>
      </c>
      <c r="AO159" s="14"/>
      <c r="AP159" s="42"/>
    </row>
  </sheetData>
  <conditionalFormatting sqref="AC1:AC1048576 AE1:AE1048576 AI1:AI1048576">
    <cfRule type="expression" dxfId="134" priority="2">
      <formula>AND(ISNUMBER(AC1),SUM(AC1)&lt;95%)</formula>
    </cfRule>
  </conditionalFormatting>
  <conditionalFormatting sqref="E1:G1048576">
    <cfRule type="expression" dxfId="133" priority="3">
      <formula>LEFT($B1,4)="_Mil"</formula>
    </cfRule>
  </conditionalFormatting>
  <conditionalFormatting sqref="AA1:AA1048576">
    <cfRule type="expression" dxfId="132" priority="4">
      <formula>AND(ISNUMBER($AA1),ROUND(SUM($X1),0)&gt;0,ROUND(SUM($AA1),2)&lt;70%)</formula>
    </cfRule>
  </conditionalFormatting>
  <conditionalFormatting sqref="V1:V1048576">
    <cfRule type="expression" dxfId="131" priority="5">
      <formula>AND(ISNUMBER($V1),SUM($V1)&lt;98%)</formula>
    </cfRule>
  </conditionalFormatting>
  <conditionalFormatting sqref="E1:AP1048576">
    <cfRule type="expression" dxfId="130" priority="6">
      <formula>AND(ISNUMBER(E1),E1&lt;0)</formula>
    </cfRule>
  </conditionalFormatting>
  <conditionalFormatting sqref="G1:G1048576 U1:V1048576 Y1:Y1048576 AA1:AA1048576 AC1:AC1048576 AE1:AE1048576 AI1:AJ1048576 AM1:AM1048576">
    <cfRule type="expression" dxfId="129" priority="7">
      <formula>AND(ISNUMBER(G1),G1&gt;1)</formula>
    </cfRule>
  </conditionalFormatting>
  <conditionalFormatting sqref="Y1:Y1048576 AM1:AM1048576">
    <cfRule type="expression" dxfId="128" priority="8">
      <formula>AND(ISNUMBER(Y1),SUM(Y1)&lt;100%)</formula>
    </cfRule>
  </conditionalFormatting>
  <conditionalFormatting sqref="U1:U1048576">
    <cfRule type="expression" dxfId="127" priority="9">
      <formula>AND(ISNUMBER($U1),SUM($U1)&lt;98%)</formula>
    </cfRule>
  </conditionalFormatting>
  <conditionalFormatting sqref="AI1:AI1048576">
    <cfRule type="expression" dxfId="126" priority="10">
      <formula>AND(ROW($AI1)&gt;14,$AK1="ENTER LINKAGE RATE")</formula>
    </cfRule>
  </conditionalFormatting>
  <conditionalFormatting sqref="AJ1:AJ1048576">
    <cfRule type="expression" dxfId="125" priority="11">
      <formula>AND(ROW($AJ1)&gt;14,$AL1="ENTER YIELD RATE")</formula>
    </cfRule>
  </conditionalFormatting>
  <pageMargins left="0.7" right="0.7" top="0.75" bottom="0.75"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C58"/>
  <sheetViews>
    <sheetView zoomScaleNormal="100" workbookViewId="0">
      <pane xSplit="4" ySplit="14" topLeftCell="CD15" activePane="bottomRight" state="frozen"/>
      <selection pane="topRight" activeCell="CD1" sqref="CD1"/>
      <selection pane="bottomLeft" activeCell="A15" sqref="A15"/>
      <selection pane="bottomRight" activeCell="CQ4" sqref="CQ4"/>
    </sheetView>
  </sheetViews>
  <sheetFormatPr baseColWidth="10" defaultColWidth="10.5" defaultRowHeight="16" x14ac:dyDescent="0.2"/>
  <cols>
    <col min="1" max="1" width="14.33203125" customWidth="1"/>
    <col min="2" max="2" width="8.5" customWidth="1"/>
    <col min="3" max="3" width="8.83203125" customWidth="1"/>
    <col min="4" max="4" width="38.33203125" customWidth="1"/>
    <col min="5" max="159" width="11.83203125" customWidth="1"/>
    <col min="160" max="160" width="10.83203125" customWidth="1"/>
  </cols>
  <sheetData>
    <row r="1" spans="1:159" ht="30.75" customHeight="1" x14ac:dyDescent="0.2">
      <c r="A1" s="18" t="s">
        <v>474</v>
      </c>
      <c r="B1" s="18"/>
      <c r="C1" s="18"/>
      <c r="D1" s="18"/>
      <c r="E1" s="45" t="s">
        <v>222</v>
      </c>
      <c r="F1" s="21"/>
      <c r="G1" s="46"/>
      <c r="H1" s="21"/>
      <c r="I1" s="21"/>
      <c r="J1" s="46"/>
      <c r="K1" s="46"/>
      <c r="L1" s="50"/>
      <c r="M1" s="21"/>
      <c r="N1" s="46"/>
      <c r="O1" s="50"/>
      <c r="P1" s="21"/>
      <c r="Q1" s="50"/>
      <c r="R1" s="46"/>
      <c r="S1" s="46"/>
      <c r="T1" s="50"/>
      <c r="U1" s="50"/>
      <c r="V1" s="50"/>
      <c r="W1" s="46"/>
      <c r="X1" s="50"/>
      <c r="Y1" s="46"/>
      <c r="Z1" s="50"/>
      <c r="AA1" s="46"/>
      <c r="AB1" s="50"/>
      <c r="AC1" s="46"/>
      <c r="AD1" s="50"/>
      <c r="AE1" s="46"/>
      <c r="AF1" s="50"/>
      <c r="AG1" s="46"/>
      <c r="AH1" s="51" t="s">
        <v>475</v>
      </c>
      <c r="AI1" s="48"/>
      <c r="AJ1" s="48"/>
      <c r="AK1" s="48"/>
      <c r="AL1" s="48"/>
      <c r="AM1" s="48"/>
      <c r="AN1" s="48"/>
      <c r="AO1" s="48"/>
      <c r="AP1" s="48"/>
      <c r="AQ1" s="50"/>
      <c r="AR1" s="50"/>
      <c r="AS1" s="50"/>
      <c r="AT1" s="50"/>
      <c r="AU1" s="50"/>
      <c r="AV1" s="50"/>
      <c r="AW1" s="50"/>
      <c r="AX1" s="50"/>
      <c r="AY1" s="50"/>
      <c r="AZ1" s="48"/>
      <c r="BA1" s="45" t="s">
        <v>476</v>
      </c>
      <c r="BB1" s="48"/>
      <c r="BC1" s="48"/>
      <c r="BD1" s="46"/>
      <c r="BE1" s="130"/>
      <c r="BF1" s="46"/>
      <c r="BG1" s="48"/>
      <c r="BH1" s="130"/>
      <c r="BI1" s="21"/>
      <c r="BJ1" s="21"/>
      <c r="BK1" s="21"/>
      <c r="BL1" s="46"/>
      <c r="BM1" s="46"/>
      <c r="BN1" s="46"/>
      <c r="BO1" s="21"/>
      <c r="BP1" s="21"/>
      <c r="BQ1" s="130"/>
      <c r="BR1" s="21"/>
      <c r="BS1" s="48"/>
      <c r="BT1" s="46"/>
      <c r="BU1" s="46"/>
      <c r="BV1" s="130"/>
      <c r="BW1" s="21"/>
      <c r="BX1" s="21"/>
      <c r="BY1" s="21"/>
      <c r="BZ1" s="46"/>
      <c r="CA1" s="46"/>
      <c r="CB1" s="46"/>
      <c r="CC1" s="21"/>
      <c r="CD1" s="48"/>
      <c r="CE1" s="130"/>
      <c r="CF1" s="21"/>
      <c r="CG1" s="48"/>
      <c r="CH1" s="46"/>
      <c r="CI1" s="46"/>
      <c r="CJ1" s="130"/>
      <c r="CK1" s="21"/>
      <c r="CL1" s="21"/>
      <c r="CM1" s="21"/>
      <c r="CN1" s="21"/>
      <c r="CO1" s="21"/>
      <c r="CP1" s="21"/>
      <c r="CQ1" s="21"/>
      <c r="CR1" s="48"/>
      <c r="CS1" s="45"/>
      <c r="CT1" s="21"/>
      <c r="CU1" s="46"/>
      <c r="CV1" s="46"/>
      <c r="CW1" s="48"/>
      <c r="CX1" s="48"/>
      <c r="CY1" s="130"/>
      <c r="CZ1" s="46"/>
      <c r="DA1" s="48"/>
      <c r="DB1" s="130"/>
      <c r="DC1" s="46"/>
      <c r="DD1" s="48"/>
      <c r="DE1" s="130"/>
      <c r="DF1" s="21"/>
      <c r="DG1" s="48"/>
      <c r="DH1" s="48"/>
      <c r="DI1" s="46"/>
      <c r="DJ1" s="48"/>
      <c r="DK1" s="131"/>
      <c r="DL1" s="48"/>
      <c r="DM1" s="48"/>
      <c r="DN1" s="48"/>
      <c r="DO1" s="48"/>
      <c r="DP1" s="48"/>
      <c r="DQ1" s="46"/>
      <c r="DR1" s="46"/>
      <c r="DS1" s="46"/>
      <c r="DT1" s="46"/>
      <c r="DU1" s="130"/>
      <c r="DV1" s="48"/>
      <c r="DW1" s="48"/>
      <c r="DX1" s="48"/>
      <c r="DY1" s="46"/>
      <c r="DZ1" s="46"/>
      <c r="EA1" s="131"/>
      <c r="EB1" s="46"/>
      <c r="EC1" s="46"/>
      <c r="ED1" s="130"/>
      <c r="EE1" s="21"/>
      <c r="EF1" s="21"/>
      <c r="EG1" s="21"/>
      <c r="EH1" s="46"/>
      <c r="EI1" s="46"/>
      <c r="EJ1" s="46"/>
      <c r="EK1" s="46"/>
      <c r="EL1" s="48"/>
      <c r="EM1" s="48"/>
      <c r="EN1" s="48"/>
      <c r="EO1" s="48"/>
      <c r="EP1" s="131"/>
      <c r="EQ1" s="46"/>
      <c r="ER1" s="130"/>
      <c r="ES1" s="21"/>
      <c r="ET1" s="46"/>
      <c r="EU1" s="46"/>
      <c r="EV1" s="48"/>
      <c r="EW1" s="48"/>
      <c r="EX1" s="130"/>
      <c r="EY1" s="46"/>
      <c r="EZ1" s="48"/>
      <c r="FA1" s="130"/>
      <c r="FB1" s="46"/>
      <c r="FC1" s="48"/>
    </row>
    <row r="2" spans="1:159" ht="18.75" customHeight="1" x14ac:dyDescent="0.25">
      <c r="A2" s="2" t="s">
        <v>477</v>
      </c>
      <c r="B2" s="2"/>
      <c r="C2" s="2"/>
      <c r="D2" s="132"/>
      <c r="E2" s="133" t="s">
        <v>478</v>
      </c>
      <c r="F2" s="134"/>
      <c r="G2" s="134"/>
      <c r="H2" s="134"/>
      <c r="I2" s="134"/>
      <c r="J2" s="134"/>
      <c r="K2" s="134"/>
      <c r="L2" s="135"/>
      <c r="M2" s="133" t="s">
        <v>479</v>
      </c>
      <c r="N2" s="134"/>
      <c r="O2" s="135"/>
      <c r="P2" s="136"/>
      <c r="Q2" s="135"/>
      <c r="R2" s="133" t="s">
        <v>228</v>
      </c>
      <c r="S2" s="134"/>
      <c r="T2" s="135"/>
      <c r="U2" s="137" t="s">
        <v>229</v>
      </c>
      <c r="V2" s="135"/>
      <c r="W2" s="134"/>
      <c r="X2" s="135"/>
      <c r="Y2" s="134"/>
      <c r="Z2" s="137" t="s">
        <v>230</v>
      </c>
      <c r="AA2" s="134"/>
      <c r="AB2" s="135"/>
      <c r="AC2" s="134"/>
      <c r="AD2" s="137" t="s">
        <v>480</v>
      </c>
      <c r="AE2" s="134"/>
      <c r="AF2" s="137" t="s">
        <v>232</v>
      </c>
      <c r="AG2" s="134"/>
      <c r="AH2" s="137" t="s">
        <v>481</v>
      </c>
      <c r="AI2" s="135"/>
      <c r="AJ2" s="135"/>
      <c r="AK2" s="135"/>
      <c r="AL2" s="135"/>
      <c r="AM2" s="135"/>
      <c r="AN2" s="135"/>
      <c r="AO2" s="135"/>
      <c r="AP2" s="135"/>
      <c r="AQ2" s="137" t="s">
        <v>482</v>
      </c>
      <c r="AR2" s="135"/>
      <c r="AS2" s="135"/>
      <c r="AT2" s="135"/>
      <c r="AU2" s="135"/>
      <c r="AV2" s="135"/>
      <c r="AW2" s="135"/>
      <c r="AX2" s="135"/>
      <c r="AY2" s="135"/>
      <c r="AZ2" s="135"/>
      <c r="BA2" s="133" t="s">
        <v>374</v>
      </c>
      <c r="BB2" s="135"/>
      <c r="BC2" s="135"/>
      <c r="BD2" s="134"/>
      <c r="BE2" s="133" t="s">
        <v>375</v>
      </c>
      <c r="BF2" s="134"/>
      <c r="BG2" s="54"/>
      <c r="BH2" s="133" t="s">
        <v>483</v>
      </c>
      <c r="BI2" s="25"/>
      <c r="BJ2" s="25"/>
      <c r="BK2" s="25"/>
      <c r="BL2" s="134"/>
      <c r="BM2" s="134"/>
      <c r="BN2" s="134"/>
      <c r="BO2" s="25"/>
      <c r="BP2" s="25"/>
      <c r="BQ2" s="133" t="s">
        <v>484</v>
      </c>
      <c r="BR2" s="25"/>
      <c r="BS2" s="135"/>
      <c r="BT2" s="134"/>
      <c r="BU2" s="25"/>
      <c r="BV2" s="133" t="s">
        <v>485</v>
      </c>
      <c r="BW2" s="25"/>
      <c r="BX2" s="25"/>
      <c r="BY2" s="25"/>
      <c r="BZ2" s="25"/>
      <c r="CA2" s="25"/>
      <c r="CB2" s="25"/>
      <c r="CC2" s="25"/>
      <c r="CD2" s="54"/>
      <c r="CE2" s="133" t="s">
        <v>486</v>
      </c>
      <c r="CF2" s="25"/>
      <c r="CG2" s="135"/>
      <c r="CH2" s="134"/>
      <c r="CI2" s="134"/>
      <c r="CJ2" s="133" t="s">
        <v>487</v>
      </c>
      <c r="CK2" s="25"/>
      <c r="CL2" s="25"/>
      <c r="CM2" s="25"/>
      <c r="CN2" s="25"/>
      <c r="CO2" s="25"/>
      <c r="CP2" s="25"/>
      <c r="CQ2" s="25"/>
      <c r="CR2" s="54"/>
      <c r="CS2" s="133" t="s">
        <v>488</v>
      </c>
      <c r="CT2" s="134"/>
      <c r="CU2" s="134"/>
      <c r="CV2" s="134"/>
      <c r="CW2" s="54"/>
      <c r="CX2" s="54"/>
      <c r="CY2" s="133" t="s">
        <v>489</v>
      </c>
      <c r="CZ2" s="134"/>
      <c r="DA2" s="54"/>
      <c r="DB2" s="133" t="s">
        <v>372</v>
      </c>
      <c r="DC2" s="134"/>
      <c r="DD2" s="54"/>
      <c r="DE2" s="133" t="s">
        <v>490</v>
      </c>
      <c r="DF2" s="134"/>
      <c r="DG2" s="135"/>
      <c r="DH2" s="135"/>
      <c r="DI2" s="134"/>
      <c r="DJ2" s="54"/>
      <c r="DK2" s="133" t="s">
        <v>491</v>
      </c>
      <c r="DL2" s="134"/>
      <c r="DM2" s="134"/>
      <c r="DN2" s="135"/>
      <c r="DO2" s="135"/>
      <c r="DP2" s="135"/>
      <c r="DQ2" s="134"/>
      <c r="DR2" s="134"/>
      <c r="DS2" s="134"/>
      <c r="DT2" s="134"/>
      <c r="DU2" s="133" t="s">
        <v>492</v>
      </c>
      <c r="DV2" s="135"/>
      <c r="DW2" s="135"/>
      <c r="DX2" s="135"/>
      <c r="DY2" s="134"/>
      <c r="DZ2" s="134"/>
      <c r="EA2" s="137" t="s">
        <v>493</v>
      </c>
      <c r="EB2" s="134"/>
      <c r="EC2" s="134"/>
      <c r="ED2" s="133" t="s">
        <v>494</v>
      </c>
      <c r="EE2" s="134"/>
      <c r="EF2" s="134"/>
      <c r="EG2" s="134"/>
      <c r="EH2" s="134"/>
      <c r="EI2" s="134"/>
      <c r="EJ2" s="134"/>
      <c r="EK2" s="134"/>
      <c r="EL2" s="54"/>
      <c r="EM2" s="54"/>
      <c r="EN2" s="54"/>
      <c r="EO2" s="54"/>
      <c r="EP2" s="137" t="s">
        <v>495</v>
      </c>
      <c r="EQ2" s="134"/>
      <c r="ER2" s="133" t="s">
        <v>496</v>
      </c>
      <c r="ES2" s="134"/>
      <c r="ET2" s="134"/>
      <c r="EU2" s="134"/>
      <c r="EV2" s="54"/>
      <c r="EW2" s="54"/>
      <c r="EX2" s="133" t="s">
        <v>497</v>
      </c>
      <c r="EY2" s="134"/>
      <c r="EZ2" s="54"/>
      <c r="FA2" s="133" t="s">
        <v>498</v>
      </c>
      <c r="FB2" s="134"/>
      <c r="FC2" s="54"/>
    </row>
    <row r="3" spans="1:159" ht="133.5" customHeight="1" x14ac:dyDescent="0.2">
      <c r="A3" s="2"/>
      <c r="B3" s="2"/>
      <c r="C3" s="2"/>
      <c r="D3" s="132"/>
      <c r="E3" s="138" t="s">
        <v>499</v>
      </c>
      <c r="F3" s="139" t="s">
        <v>276</v>
      </c>
      <c r="G3" s="139" t="s">
        <v>223</v>
      </c>
      <c r="H3" s="139" t="s">
        <v>280</v>
      </c>
      <c r="I3" s="139" t="s">
        <v>283</v>
      </c>
      <c r="J3" s="139" t="s">
        <v>500</v>
      </c>
      <c r="K3" s="139" t="s">
        <v>501</v>
      </c>
      <c r="L3" s="140" t="s">
        <v>502</v>
      </c>
      <c r="M3" s="65" t="s">
        <v>503</v>
      </c>
      <c r="N3" s="28" t="s">
        <v>504</v>
      </c>
      <c r="O3" s="67" t="s">
        <v>505</v>
      </c>
      <c r="P3" s="29" t="s">
        <v>506</v>
      </c>
      <c r="Q3" s="67" t="s">
        <v>507</v>
      </c>
      <c r="R3" s="120" t="s">
        <v>508</v>
      </c>
      <c r="S3" s="28" t="s">
        <v>509</v>
      </c>
      <c r="T3" s="73" t="s">
        <v>510</v>
      </c>
      <c r="U3" s="70" t="s">
        <v>511</v>
      </c>
      <c r="V3" s="67" t="s">
        <v>512</v>
      </c>
      <c r="W3" s="29" t="s">
        <v>513</v>
      </c>
      <c r="X3" s="67" t="s">
        <v>514</v>
      </c>
      <c r="Y3" s="74" t="s">
        <v>515</v>
      </c>
      <c r="Z3" s="70" t="s">
        <v>516</v>
      </c>
      <c r="AA3" s="29" t="s">
        <v>517</v>
      </c>
      <c r="AB3" s="67" t="s">
        <v>518</v>
      </c>
      <c r="AC3" s="74" t="s">
        <v>519</v>
      </c>
      <c r="AD3" s="70" t="s">
        <v>520</v>
      </c>
      <c r="AE3" s="74" t="s">
        <v>521</v>
      </c>
      <c r="AF3" s="70" t="s">
        <v>522</v>
      </c>
      <c r="AG3" s="74" t="s">
        <v>523</v>
      </c>
      <c r="AH3" s="141" t="s">
        <v>524</v>
      </c>
      <c r="AI3" s="73" t="s">
        <v>525</v>
      </c>
      <c r="AJ3" s="73" t="s">
        <v>526</v>
      </c>
      <c r="AK3" s="73" t="s">
        <v>527</v>
      </c>
      <c r="AL3" s="73" t="s">
        <v>528</v>
      </c>
      <c r="AM3" s="73" t="s">
        <v>529</v>
      </c>
      <c r="AN3" s="73" t="s">
        <v>530</v>
      </c>
      <c r="AO3" s="73" t="s">
        <v>531</v>
      </c>
      <c r="AP3" s="73" t="s">
        <v>532</v>
      </c>
      <c r="AQ3" s="142" t="s">
        <v>524</v>
      </c>
      <c r="AR3" s="143" t="s">
        <v>525</v>
      </c>
      <c r="AS3" s="143" t="s">
        <v>526</v>
      </c>
      <c r="AT3" s="143" t="s">
        <v>527</v>
      </c>
      <c r="AU3" s="143" t="s">
        <v>528</v>
      </c>
      <c r="AV3" s="143" t="s">
        <v>529</v>
      </c>
      <c r="AW3" s="143" t="s">
        <v>530</v>
      </c>
      <c r="AX3" s="143" t="s">
        <v>531</v>
      </c>
      <c r="AY3" s="143" t="s">
        <v>532</v>
      </c>
      <c r="AZ3" s="73" t="s">
        <v>533</v>
      </c>
      <c r="BA3" s="63" t="s">
        <v>534</v>
      </c>
      <c r="BB3" s="73" t="s">
        <v>535</v>
      </c>
      <c r="BC3" s="67" t="s">
        <v>536</v>
      </c>
      <c r="BD3" s="74" t="s">
        <v>537</v>
      </c>
      <c r="BE3" s="63" t="s">
        <v>538</v>
      </c>
      <c r="BF3" s="28" t="s">
        <v>539</v>
      </c>
      <c r="BG3" s="73" t="s">
        <v>540</v>
      </c>
      <c r="BH3" s="63" t="s">
        <v>541</v>
      </c>
      <c r="BI3" s="29" t="s">
        <v>542</v>
      </c>
      <c r="BJ3" s="29" t="s">
        <v>543</v>
      </c>
      <c r="BK3" s="29" t="s">
        <v>544</v>
      </c>
      <c r="BL3" s="28" t="s">
        <v>545</v>
      </c>
      <c r="BM3" s="74" t="s">
        <v>546</v>
      </c>
      <c r="BN3" s="28" t="s">
        <v>547</v>
      </c>
      <c r="BO3" s="29" t="s">
        <v>548</v>
      </c>
      <c r="BP3" s="29" t="s">
        <v>549</v>
      </c>
      <c r="BQ3" s="63" t="s">
        <v>550</v>
      </c>
      <c r="BR3" s="29" t="s">
        <v>551</v>
      </c>
      <c r="BS3" s="73" t="s">
        <v>522</v>
      </c>
      <c r="BT3" s="28" t="s">
        <v>552</v>
      </c>
      <c r="BU3" s="28" t="s">
        <v>553</v>
      </c>
      <c r="BV3" s="63" t="s">
        <v>554</v>
      </c>
      <c r="BW3" s="29" t="s">
        <v>555</v>
      </c>
      <c r="BX3" s="29" t="s">
        <v>556</v>
      </c>
      <c r="BY3" s="29" t="s">
        <v>557</v>
      </c>
      <c r="BZ3" s="74" t="s">
        <v>558</v>
      </c>
      <c r="CA3" s="28" t="s">
        <v>559</v>
      </c>
      <c r="CB3" s="74" t="s">
        <v>560</v>
      </c>
      <c r="CC3" s="29" t="s">
        <v>561</v>
      </c>
      <c r="CD3" s="73" t="s">
        <v>562</v>
      </c>
      <c r="CE3" s="63" t="s">
        <v>550</v>
      </c>
      <c r="CF3" s="29" t="s">
        <v>551</v>
      </c>
      <c r="CG3" s="73" t="s">
        <v>522</v>
      </c>
      <c r="CH3" s="28" t="s">
        <v>552</v>
      </c>
      <c r="CI3" s="28" t="s">
        <v>553</v>
      </c>
      <c r="CJ3" s="63" t="s">
        <v>563</v>
      </c>
      <c r="CK3" s="29" t="s">
        <v>564</v>
      </c>
      <c r="CL3" s="29" t="s">
        <v>565</v>
      </c>
      <c r="CM3" s="29" t="s">
        <v>566</v>
      </c>
      <c r="CN3" s="29" t="s">
        <v>567</v>
      </c>
      <c r="CO3" s="64" t="s">
        <v>568</v>
      </c>
      <c r="CP3" s="29" t="s">
        <v>569</v>
      </c>
      <c r="CQ3" s="29" t="s">
        <v>570</v>
      </c>
      <c r="CR3" s="73" t="s">
        <v>571</v>
      </c>
      <c r="CS3" s="63" t="s">
        <v>572</v>
      </c>
      <c r="CT3" s="29" t="s">
        <v>573</v>
      </c>
      <c r="CU3" s="28" t="s">
        <v>574</v>
      </c>
      <c r="CV3" s="28" t="s">
        <v>575</v>
      </c>
      <c r="CW3" s="73" t="s">
        <v>576</v>
      </c>
      <c r="CX3" s="73" t="s">
        <v>577</v>
      </c>
      <c r="CY3" s="63" t="s">
        <v>578</v>
      </c>
      <c r="CZ3" s="28" t="s">
        <v>579</v>
      </c>
      <c r="DA3" s="73" t="s">
        <v>580</v>
      </c>
      <c r="DB3" s="63" t="s">
        <v>384</v>
      </c>
      <c r="DC3" s="28" t="s">
        <v>581</v>
      </c>
      <c r="DD3" s="73" t="s">
        <v>582</v>
      </c>
      <c r="DE3" s="63" t="s">
        <v>583</v>
      </c>
      <c r="DF3" s="29" t="s">
        <v>584</v>
      </c>
      <c r="DG3" s="67" t="s">
        <v>585</v>
      </c>
      <c r="DH3" s="67" t="s">
        <v>586</v>
      </c>
      <c r="DI3" s="74" t="s">
        <v>587</v>
      </c>
      <c r="DJ3" s="73" t="s">
        <v>588</v>
      </c>
      <c r="DK3" s="141" t="s">
        <v>589</v>
      </c>
      <c r="DL3" s="73" t="s">
        <v>590</v>
      </c>
      <c r="DM3" s="67" t="s">
        <v>591</v>
      </c>
      <c r="DN3" s="67" t="s">
        <v>592</v>
      </c>
      <c r="DO3" s="67" t="s">
        <v>593</v>
      </c>
      <c r="DP3" s="67" t="s">
        <v>594</v>
      </c>
      <c r="DQ3" s="74" t="s">
        <v>595</v>
      </c>
      <c r="DR3" s="74" t="s">
        <v>596</v>
      </c>
      <c r="DS3" s="74" t="s">
        <v>597</v>
      </c>
      <c r="DT3" s="74" t="s">
        <v>598</v>
      </c>
      <c r="DU3" s="65" t="s">
        <v>599</v>
      </c>
      <c r="DV3" s="67" t="s">
        <v>600</v>
      </c>
      <c r="DW3" s="67" t="s">
        <v>601</v>
      </c>
      <c r="DX3" s="67" t="s">
        <v>602</v>
      </c>
      <c r="DY3" s="74" t="s">
        <v>603</v>
      </c>
      <c r="DZ3" s="74" t="s">
        <v>604</v>
      </c>
      <c r="EA3" s="70" t="s">
        <v>605</v>
      </c>
      <c r="EB3" s="74" t="s">
        <v>606</v>
      </c>
      <c r="EC3" s="74" t="s">
        <v>607</v>
      </c>
      <c r="ED3" s="63" t="s">
        <v>608</v>
      </c>
      <c r="EE3" s="29" t="s">
        <v>609</v>
      </c>
      <c r="EF3" s="29" t="s">
        <v>610</v>
      </c>
      <c r="EG3" s="29" t="s">
        <v>611</v>
      </c>
      <c r="EH3" s="28" t="s">
        <v>612</v>
      </c>
      <c r="EI3" s="28" t="s">
        <v>613</v>
      </c>
      <c r="EJ3" s="28" t="s">
        <v>614</v>
      </c>
      <c r="EK3" s="28" t="s">
        <v>615</v>
      </c>
      <c r="EL3" s="73" t="s">
        <v>616</v>
      </c>
      <c r="EM3" s="73" t="s">
        <v>617</v>
      </c>
      <c r="EN3" s="73" t="s">
        <v>618</v>
      </c>
      <c r="EO3" s="73" t="s">
        <v>619</v>
      </c>
      <c r="EP3" s="70" t="s">
        <v>620</v>
      </c>
      <c r="EQ3" s="74" t="s">
        <v>621</v>
      </c>
      <c r="ER3" s="63" t="s">
        <v>622</v>
      </c>
      <c r="ES3" s="29" t="s">
        <v>623</v>
      </c>
      <c r="ET3" s="28" t="s">
        <v>624</v>
      </c>
      <c r="EU3" s="28" t="s">
        <v>625</v>
      </c>
      <c r="EV3" s="73" t="s">
        <v>626</v>
      </c>
      <c r="EW3" s="73" t="s">
        <v>627</v>
      </c>
      <c r="EX3" s="63" t="s">
        <v>628</v>
      </c>
      <c r="EY3" s="28" t="s">
        <v>629</v>
      </c>
      <c r="EZ3" s="73" t="s">
        <v>630</v>
      </c>
      <c r="FA3" s="63" t="s">
        <v>631</v>
      </c>
      <c r="FB3" s="28" t="s">
        <v>632</v>
      </c>
      <c r="FC3" s="73" t="s">
        <v>633</v>
      </c>
    </row>
    <row r="4" spans="1:159" x14ac:dyDescent="0.2">
      <c r="B4" s="30"/>
      <c r="D4" s="30" t="s">
        <v>287</v>
      </c>
    </row>
    <row r="5" spans="1:159" x14ac:dyDescent="0.2">
      <c r="A5" s="13" t="s">
        <v>180</v>
      </c>
      <c r="B5" s="13" t="s">
        <v>180</v>
      </c>
      <c r="C5" s="13" t="s">
        <v>180</v>
      </c>
      <c r="D5" s="13" t="s">
        <v>180</v>
      </c>
      <c r="E5" s="87" t="s">
        <v>180</v>
      </c>
      <c r="F5" s="14" t="s">
        <v>180</v>
      </c>
      <c r="G5" s="14" t="s">
        <v>180</v>
      </c>
      <c r="H5" s="14" t="s">
        <v>180</v>
      </c>
      <c r="I5" s="14" t="s">
        <v>180</v>
      </c>
      <c r="J5" s="14" t="s">
        <v>180</v>
      </c>
      <c r="K5" s="14" t="s">
        <v>180</v>
      </c>
      <c r="L5" s="90" t="s">
        <v>180</v>
      </c>
      <c r="M5" s="87" t="s">
        <v>180</v>
      </c>
      <c r="N5" s="9" t="s">
        <v>181</v>
      </c>
      <c r="O5" s="90" t="s">
        <v>180</v>
      </c>
      <c r="P5" s="14" t="s">
        <v>180</v>
      </c>
      <c r="Q5" s="90" t="s">
        <v>180</v>
      </c>
      <c r="R5" s="83" t="s">
        <v>288</v>
      </c>
      <c r="S5" s="9" t="s">
        <v>289</v>
      </c>
      <c r="T5" s="90" t="s">
        <v>180</v>
      </c>
      <c r="U5" s="94" t="s">
        <v>180</v>
      </c>
      <c r="V5" s="90" t="s">
        <v>180</v>
      </c>
      <c r="W5" s="14" t="s">
        <v>180</v>
      </c>
      <c r="X5" s="90" t="s">
        <v>180</v>
      </c>
      <c r="Y5" s="9" t="s">
        <v>288</v>
      </c>
      <c r="Z5" s="94" t="s">
        <v>180</v>
      </c>
      <c r="AA5" s="14" t="s">
        <v>180</v>
      </c>
      <c r="AB5" s="90" t="s">
        <v>180</v>
      </c>
      <c r="AC5" s="9" t="s">
        <v>288</v>
      </c>
      <c r="AD5" s="94" t="s">
        <v>180</v>
      </c>
      <c r="AE5" s="9" t="s">
        <v>288</v>
      </c>
      <c r="AF5" s="94" t="s">
        <v>180</v>
      </c>
      <c r="AG5" s="9" t="s">
        <v>288</v>
      </c>
      <c r="AH5" s="94" t="s">
        <v>180</v>
      </c>
      <c r="AI5" s="90" t="s">
        <v>180</v>
      </c>
      <c r="AJ5" s="90" t="s">
        <v>180</v>
      </c>
      <c r="AK5" s="90" t="s">
        <v>180</v>
      </c>
      <c r="AL5" s="90" t="s">
        <v>180</v>
      </c>
      <c r="AM5" s="90" t="s">
        <v>180</v>
      </c>
      <c r="AN5" s="90" t="s">
        <v>180</v>
      </c>
      <c r="AO5" s="90" t="s">
        <v>180</v>
      </c>
      <c r="AP5" s="90" t="s">
        <v>180</v>
      </c>
      <c r="AQ5" s="144" t="s">
        <v>288</v>
      </c>
      <c r="AR5" s="145" t="s">
        <v>288</v>
      </c>
      <c r="AS5" s="145" t="s">
        <v>288</v>
      </c>
      <c r="AT5" s="145" t="s">
        <v>288</v>
      </c>
      <c r="AU5" s="145" t="s">
        <v>288</v>
      </c>
      <c r="AV5" s="145" t="s">
        <v>288</v>
      </c>
      <c r="AW5" s="145" t="s">
        <v>288</v>
      </c>
      <c r="AX5" s="145" t="s">
        <v>288</v>
      </c>
      <c r="AY5" s="145" t="s">
        <v>288</v>
      </c>
      <c r="AZ5" s="90" t="s">
        <v>180</v>
      </c>
      <c r="BA5" s="87" t="s">
        <v>180</v>
      </c>
      <c r="BB5" s="90" t="s">
        <v>180</v>
      </c>
      <c r="BC5" s="90" t="s">
        <v>180</v>
      </c>
      <c r="BD5" s="9" t="s">
        <v>288</v>
      </c>
      <c r="BE5" s="87" t="s">
        <v>180</v>
      </c>
      <c r="BF5" s="9" t="s">
        <v>288</v>
      </c>
      <c r="BG5" s="90" t="s">
        <v>180</v>
      </c>
      <c r="BS5" s="89" t="s">
        <v>180</v>
      </c>
      <c r="BT5" s="9" t="s">
        <v>288</v>
      </c>
      <c r="BU5" s="9" t="s">
        <v>288</v>
      </c>
      <c r="CG5" s="90" t="s">
        <v>180</v>
      </c>
      <c r="CH5" s="9" t="s">
        <v>288</v>
      </c>
      <c r="CI5" s="9" t="s">
        <v>288</v>
      </c>
      <c r="CS5" s="87" t="s">
        <v>180</v>
      </c>
      <c r="CT5" s="14" t="s">
        <v>180</v>
      </c>
      <c r="CU5" s="9" t="s">
        <v>288</v>
      </c>
      <c r="CV5" s="9" t="s">
        <v>288</v>
      </c>
      <c r="CW5" s="90" t="s">
        <v>180</v>
      </c>
      <c r="CX5" s="90" t="s">
        <v>180</v>
      </c>
      <c r="CY5" s="87" t="s">
        <v>180</v>
      </c>
      <c r="CZ5" s="9" t="s">
        <v>288</v>
      </c>
      <c r="DA5" s="90" t="s">
        <v>180</v>
      </c>
      <c r="DB5" s="87" t="s">
        <v>180</v>
      </c>
      <c r="DC5" s="9" t="s">
        <v>288</v>
      </c>
      <c r="DD5" s="90" t="s">
        <v>180</v>
      </c>
      <c r="DE5" s="87" t="s">
        <v>180</v>
      </c>
      <c r="DF5" s="14" t="s">
        <v>180</v>
      </c>
      <c r="DG5" s="90" t="s">
        <v>180</v>
      </c>
      <c r="DH5" s="90" t="s">
        <v>180</v>
      </c>
      <c r="DI5" s="9" t="s">
        <v>288</v>
      </c>
      <c r="DJ5" s="90" t="s">
        <v>180</v>
      </c>
      <c r="DK5" s="94" t="s">
        <v>180</v>
      </c>
      <c r="DL5" s="90" t="s">
        <v>180</v>
      </c>
      <c r="DM5" s="90" t="s">
        <v>180</v>
      </c>
      <c r="DN5" s="90" t="s">
        <v>180</v>
      </c>
      <c r="DO5" s="90" t="s">
        <v>180</v>
      </c>
      <c r="DP5" s="90" t="s">
        <v>180</v>
      </c>
      <c r="DQ5" s="9" t="s">
        <v>288</v>
      </c>
      <c r="DR5" s="9" t="s">
        <v>288</v>
      </c>
      <c r="DS5" s="9" t="s">
        <v>288</v>
      </c>
      <c r="DT5" s="9" t="s">
        <v>288</v>
      </c>
      <c r="DU5" s="87" t="s">
        <v>180</v>
      </c>
      <c r="DV5" s="90" t="s">
        <v>180</v>
      </c>
      <c r="DW5" s="90" t="s">
        <v>180</v>
      </c>
      <c r="DX5" s="90" t="s">
        <v>180</v>
      </c>
      <c r="DY5" s="9" t="s">
        <v>288</v>
      </c>
      <c r="DZ5" s="9" t="s">
        <v>288</v>
      </c>
      <c r="EA5" s="94" t="s">
        <v>180</v>
      </c>
      <c r="EB5" s="9" t="s">
        <v>288</v>
      </c>
      <c r="EC5" s="9" t="s">
        <v>288</v>
      </c>
      <c r="ED5" s="87" t="s">
        <v>180</v>
      </c>
      <c r="EE5" s="14" t="s">
        <v>180</v>
      </c>
      <c r="EF5" s="14" t="s">
        <v>180</v>
      </c>
      <c r="EG5" s="14" t="s">
        <v>180</v>
      </c>
      <c r="EH5" s="9" t="s">
        <v>288</v>
      </c>
      <c r="EI5" s="9" t="s">
        <v>288</v>
      </c>
      <c r="EJ5" s="9" t="s">
        <v>288</v>
      </c>
      <c r="EK5" s="9" t="s">
        <v>288</v>
      </c>
      <c r="EL5" s="90" t="s">
        <v>180</v>
      </c>
      <c r="EM5" s="90" t="s">
        <v>180</v>
      </c>
      <c r="EN5" s="90" t="s">
        <v>180</v>
      </c>
      <c r="EO5" s="90" t="s">
        <v>180</v>
      </c>
      <c r="EP5" s="94" t="s">
        <v>180</v>
      </c>
      <c r="EQ5" s="9" t="s">
        <v>288</v>
      </c>
      <c r="ER5" s="87" t="s">
        <v>180</v>
      </c>
      <c r="ES5" s="14" t="s">
        <v>180</v>
      </c>
      <c r="ET5" s="9" t="s">
        <v>288</v>
      </c>
      <c r="EU5" s="9" t="s">
        <v>288</v>
      </c>
      <c r="EV5" s="90" t="s">
        <v>180</v>
      </c>
      <c r="EW5" s="90" t="s">
        <v>180</v>
      </c>
      <c r="EX5" s="87" t="s">
        <v>180</v>
      </c>
      <c r="EY5" s="9" t="s">
        <v>288</v>
      </c>
      <c r="EZ5" s="90" t="s">
        <v>180</v>
      </c>
      <c r="FA5" s="87" t="s">
        <v>180</v>
      </c>
      <c r="FB5" s="9" t="s">
        <v>288</v>
      </c>
      <c r="FC5" s="89" t="s">
        <v>180</v>
      </c>
    </row>
    <row r="6" spans="1:159" x14ac:dyDescent="0.2">
      <c r="A6" s="13" t="s">
        <v>182</v>
      </c>
      <c r="B6" s="13" t="s">
        <v>182</v>
      </c>
      <c r="C6" s="13" t="s">
        <v>182</v>
      </c>
      <c r="D6" s="13" t="s">
        <v>182</v>
      </c>
      <c r="E6" s="87" t="s">
        <v>185</v>
      </c>
      <c r="F6" s="14" t="s">
        <v>185</v>
      </c>
      <c r="G6" s="14" t="s">
        <v>185</v>
      </c>
      <c r="H6" s="14" t="s">
        <v>185</v>
      </c>
      <c r="I6" s="14" t="s">
        <v>185</v>
      </c>
      <c r="J6" s="14" t="s">
        <v>185</v>
      </c>
      <c r="K6" s="14" t="s">
        <v>185</v>
      </c>
      <c r="L6" s="90" t="s">
        <v>185</v>
      </c>
      <c r="M6" s="87" t="s">
        <v>290</v>
      </c>
      <c r="N6" s="9" t="s">
        <v>184</v>
      </c>
      <c r="O6" s="90" t="s">
        <v>290</v>
      </c>
      <c r="P6" s="14" t="s">
        <v>185</v>
      </c>
      <c r="Q6" s="90" t="s">
        <v>290</v>
      </c>
      <c r="R6" s="83" t="s">
        <v>184</v>
      </c>
      <c r="S6" s="9" t="s">
        <v>184</v>
      </c>
      <c r="T6" s="90" t="s">
        <v>185</v>
      </c>
      <c r="U6" s="94" t="s">
        <v>290</v>
      </c>
      <c r="V6" s="90" t="s">
        <v>290</v>
      </c>
      <c r="W6" s="14" t="s">
        <v>185</v>
      </c>
      <c r="X6" s="90" t="s">
        <v>290</v>
      </c>
      <c r="Y6" s="9" t="s">
        <v>184</v>
      </c>
      <c r="Z6" s="94" t="s">
        <v>290</v>
      </c>
      <c r="AA6" s="14" t="s">
        <v>290</v>
      </c>
      <c r="AB6" s="90" t="s">
        <v>290</v>
      </c>
      <c r="AC6" s="9" t="s">
        <v>184</v>
      </c>
      <c r="AD6" s="94" t="s">
        <v>290</v>
      </c>
      <c r="AE6" s="9" t="s">
        <v>184</v>
      </c>
      <c r="AF6" s="94" t="s">
        <v>290</v>
      </c>
      <c r="AG6" s="9" t="s">
        <v>184</v>
      </c>
      <c r="AH6" s="94" t="s">
        <v>185</v>
      </c>
      <c r="AI6" s="90" t="s">
        <v>185</v>
      </c>
      <c r="AJ6" s="90" t="s">
        <v>185</v>
      </c>
      <c r="AK6" s="90" t="s">
        <v>185</v>
      </c>
      <c r="AL6" s="90" t="s">
        <v>185</v>
      </c>
      <c r="AM6" s="90" t="s">
        <v>185</v>
      </c>
      <c r="AN6" s="90" t="s">
        <v>185</v>
      </c>
      <c r="AO6" s="90" t="s">
        <v>185</v>
      </c>
      <c r="AP6" s="90" t="s">
        <v>185</v>
      </c>
      <c r="AQ6" s="144" t="s">
        <v>184</v>
      </c>
      <c r="AR6" s="145" t="s">
        <v>184</v>
      </c>
      <c r="AS6" s="145" t="s">
        <v>184</v>
      </c>
      <c r="AT6" s="145" t="s">
        <v>184</v>
      </c>
      <c r="AU6" s="145" t="s">
        <v>184</v>
      </c>
      <c r="AV6" s="145" t="s">
        <v>184</v>
      </c>
      <c r="AW6" s="145" t="s">
        <v>184</v>
      </c>
      <c r="AX6" s="145" t="s">
        <v>184</v>
      </c>
      <c r="AY6" s="145" t="s">
        <v>184</v>
      </c>
      <c r="AZ6" s="90" t="s">
        <v>185</v>
      </c>
      <c r="BA6" s="87" t="s">
        <v>185</v>
      </c>
      <c r="BB6" s="90" t="s">
        <v>185</v>
      </c>
      <c r="BC6" s="90" t="s">
        <v>290</v>
      </c>
      <c r="BD6" s="9" t="s">
        <v>184</v>
      </c>
      <c r="BE6" s="87" t="s">
        <v>185</v>
      </c>
      <c r="BF6" s="9" t="s">
        <v>184</v>
      </c>
      <c r="BG6" s="90" t="s">
        <v>185</v>
      </c>
      <c r="BS6" s="89" t="s">
        <v>185</v>
      </c>
      <c r="BT6" s="9" t="s">
        <v>184</v>
      </c>
      <c r="BU6" s="9" t="s">
        <v>184</v>
      </c>
      <c r="CG6" s="90" t="s">
        <v>185</v>
      </c>
      <c r="CH6" s="9" t="s">
        <v>184</v>
      </c>
      <c r="CI6" s="9" t="s">
        <v>184</v>
      </c>
      <c r="CS6" s="87" t="s">
        <v>185</v>
      </c>
      <c r="CT6" s="14" t="s">
        <v>185</v>
      </c>
      <c r="CU6" s="9" t="s">
        <v>184</v>
      </c>
      <c r="CV6" s="9" t="s">
        <v>184</v>
      </c>
      <c r="CW6" s="90" t="s">
        <v>185</v>
      </c>
      <c r="CX6" s="90" t="s">
        <v>185</v>
      </c>
      <c r="CY6" s="87" t="s">
        <v>185</v>
      </c>
      <c r="CZ6" s="9" t="s">
        <v>184</v>
      </c>
      <c r="DA6" s="90" t="s">
        <v>185</v>
      </c>
      <c r="DB6" s="87" t="s">
        <v>185</v>
      </c>
      <c r="DC6" s="9" t="s">
        <v>184</v>
      </c>
      <c r="DD6" s="90" t="s">
        <v>185</v>
      </c>
      <c r="DE6" s="87" t="s">
        <v>185</v>
      </c>
      <c r="DF6" s="14" t="s">
        <v>185</v>
      </c>
      <c r="DG6" s="90" t="s">
        <v>290</v>
      </c>
      <c r="DH6" s="90" t="s">
        <v>290</v>
      </c>
      <c r="DI6" s="9" t="s">
        <v>184</v>
      </c>
      <c r="DJ6" s="90" t="s">
        <v>185</v>
      </c>
      <c r="DK6" s="94" t="s">
        <v>185</v>
      </c>
      <c r="DL6" s="90" t="s">
        <v>185</v>
      </c>
      <c r="DM6" s="90" t="s">
        <v>290</v>
      </c>
      <c r="DN6" s="90" t="s">
        <v>290</v>
      </c>
      <c r="DO6" s="90" t="s">
        <v>290</v>
      </c>
      <c r="DP6" s="90" t="s">
        <v>290</v>
      </c>
      <c r="DQ6" s="9" t="s">
        <v>184</v>
      </c>
      <c r="DR6" s="9" t="s">
        <v>184</v>
      </c>
      <c r="DS6" s="9" t="s">
        <v>184</v>
      </c>
      <c r="DT6" s="9" t="s">
        <v>184</v>
      </c>
      <c r="DU6" s="87" t="s">
        <v>185</v>
      </c>
      <c r="DV6" s="90" t="s">
        <v>185</v>
      </c>
      <c r="DW6" s="90" t="s">
        <v>185</v>
      </c>
      <c r="DX6" s="90" t="s">
        <v>185</v>
      </c>
      <c r="DY6" s="9" t="s">
        <v>184</v>
      </c>
      <c r="DZ6" s="9" t="s">
        <v>184</v>
      </c>
      <c r="EA6" s="94" t="s">
        <v>185</v>
      </c>
      <c r="EB6" s="9" t="s">
        <v>184</v>
      </c>
      <c r="EC6" s="9" t="s">
        <v>184</v>
      </c>
      <c r="ED6" s="87" t="s">
        <v>185</v>
      </c>
      <c r="EE6" s="14" t="s">
        <v>185</v>
      </c>
      <c r="EF6" s="14" t="s">
        <v>185</v>
      </c>
      <c r="EG6" s="14" t="s">
        <v>185</v>
      </c>
      <c r="EH6" s="9" t="s">
        <v>184</v>
      </c>
      <c r="EI6" s="9" t="s">
        <v>184</v>
      </c>
      <c r="EJ6" s="9" t="s">
        <v>184</v>
      </c>
      <c r="EK6" s="9" t="s">
        <v>184</v>
      </c>
      <c r="EL6" s="90" t="s">
        <v>185</v>
      </c>
      <c r="EM6" s="90" t="s">
        <v>185</v>
      </c>
      <c r="EN6" s="90" t="s">
        <v>185</v>
      </c>
      <c r="EO6" s="90" t="s">
        <v>185</v>
      </c>
      <c r="EP6" s="94" t="s">
        <v>290</v>
      </c>
      <c r="EQ6" s="9" t="s">
        <v>184</v>
      </c>
      <c r="ER6" s="87" t="s">
        <v>185</v>
      </c>
      <c r="ES6" s="14" t="s">
        <v>185</v>
      </c>
      <c r="ET6" s="9" t="s">
        <v>184</v>
      </c>
      <c r="EU6" s="9" t="s">
        <v>184</v>
      </c>
      <c r="EV6" s="90" t="s">
        <v>185</v>
      </c>
      <c r="EW6" s="90" t="s">
        <v>185</v>
      </c>
      <c r="EX6" s="87" t="s">
        <v>185</v>
      </c>
      <c r="EY6" s="9" t="s">
        <v>184</v>
      </c>
      <c r="EZ6" s="90" t="s">
        <v>185</v>
      </c>
      <c r="FA6" s="87" t="s">
        <v>185</v>
      </c>
      <c r="FB6" s="9" t="s">
        <v>184</v>
      </c>
      <c r="FC6" s="89" t="s">
        <v>185</v>
      </c>
    </row>
    <row r="7" spans="1:159" x14ac:dyDescent="0.2">
      <c r="A7" s="13" t="s">
        <v>186</v>
      </c>
      <c r="B7" s="13" t="s">
        <v>186</v>
      </c>
      <c r="C7" s="13" t="s">
        <v>186</v>
      </c>
      <c r="D7" s="13" t="s">
        <v>186</v>
      </c>
      <c r="E7" s="87" t="s">
        <v>187</v>
      </c>
      <c r="F7" s="14" t="s">
        <v>187</v>
      </c>
      <c r="G7" s="14" t="s">
        <v>187</v>
      </c>
      <c r="H7" s="14" t="s">
        <v>187</v>
      </c>
      <c r="I7" s="14" t="s">
        <v>187</v>
      </c>
      <c r="J7" s="14" t="s">
        <v>187</v>
      </c>
      <c r="K7" s="14" t="s">
        <v>187</v>
      </c>
      <c r="L7" s="90" t="s">
        <v>293</v>
      </c>
      <c r="M7" s="87" t="s">
        <v>187</v>
      </c>
      <c r="N7" s="9" t="s">
        <v>187</v>
      </c>
      <c r="O7" s="90" t="s">
        <v>293</v>
      </c>
      <c r="P7" s="14" t="s">
        <v>187</v>
      </c>
      <c r="Q7" s="90" t="s">
        <v>293</v>
      </c>
      <c r="R7" s="83" t="s">
        <v>187</v>
      </c>
      <c r="S7" s="9" t="s">
        <v>187</v>
      </c>
      <c r="T7" s="90" t="s">
        <v>293</v>
      </c>
      <c r="U7" s="94" t="s">
        <v>293</v>
      </c>
      <c r="V7" s="90" t="s">
        <v>293</v>
      </c>
      <c r="W7" s="14" t="s">
        <v>187</v>
      </c>
      <c r="X7" s="90" t="s">
        <v>293</v>
      </c>
      <c r="Y7" s="9" t="s">
        <v>187</v>
      </c>
      <c r="Z7" s="94" t="s">
        <v>293</v>
      </c>
      <c r="AA7" s="14" t="s">
        <v>187</v>
      </c>
      <c r="AB7" s="90" t="s">
        <v>293</v>
      </c>
      <c r="AC7" s="9" t="s">
        <v>187</v>
      </c>
      <c r="AD7" s="94" t="s">
        <v>293</v>
      </c>
      <c r="AE7" s="9" t="s">
        <v>187</v>
      </c>
      <c r="AF7" s="94" t="s">
        <v>293</v>
      </c>
      <c r="AG7" s="9" t="s">
        <v>187</v>
      </c>
      <c r="AH7" s="94" t="s">
        <v>293</v>
      </c>
      <c r="AI7" s="90" t="s">
        <v>293</v>
      </c>
      <c r="AJ7" s="90" t="s">
        <v>293</v>
      </c>
      <c r="AK7" s="90" t="s">
        <v>293</v>
      </c>
      <c r="AL7" s="90" t="s">
        <v>293</v>
      </c>
      <c r="AM7" s="90" t="s">
        <v>293</v>
      </c>
      <c r="AN7" s="90" t="s">
        <v>293</v>
      </c>
      <c r="AO7" s="90" t="s">
        <v>293</v>
      </c>
      <c r="AP7" s="90" t="s">
        <v>293</v>
      </c>
      <c r="AQ7" s="144" t="s">
        <v>293</v>
      </c>
      <c r="AR7" s="145" t="s">
        <v>293</v>
      </c>
      <c r="AS7" s="145" t="s">
        <v>293</v>
      </c>
      <c r="AT7" s="145" t="s">
        <v>293</v>
      </c>
      <c r="AU7" s="145" t="s">
        <v>293</v>
      </c>
      <c r="AV7" s="145" t="s">
        <v>293</v>
      </c>
      <c r="AW7" s="145" t="s">
        <v>293</v>
      </c>
      <c r="AX7" s="145" t="s">
        <v>293</v>
      </c>
      <c r="AY7" s="145" t="s">
        <v>293</v>
      </c>
      <c r="AZ7" s="90" t="s">
        <v>293</v>
      </c>
      <c r="BA7" s="87" t="s">
        <v>187</v>
      </c>
      <c r="BB7" s="90" t="s">
        <v>293</v>
      </c>
      <c r="BC7" s="90" t="s">
        <v>293</v>
      </c>
      <c r="BD7" s="9" t="s">
        <v>187</v>
      </c>
      <c r="BE7" s="87" t="s">
        <v>187</v>
      </c>
      <c r="BF7" s="9" t="s">
        <v>187</v>
      </c>
      <c r="BG7" s="90" t="s">
        <v>293</v>
      </c>
      <c r="BS7" s="89" t="s">
        <v>293</v>
      </c>
      <c r="BT7" s="9" t="s">
        <v>187</v>
      </c>
      <c r="BU7" s="9" t="s">
        <v>187</v>
      </c>
      <c r="CG7" s="90" t="s">
        <v>293</v>
      </c>
      <c r="CH7" s="9" t="s">
        <v>187</v>
      </c>
      <c r="CI7" s="9" t="s">
        <v>187</v>
      </c>
      <c r="CS7" s="87" t="s">
        <v>187</v>
      </c>
      <c r="CT7" s="14" t="s">
        <v>187</v>
      </c>
      <c r="CU7" s="9" t="s">
        <v>187</v>
      </c>
      <c r="CV7" s="9" t="s">
        <v>187</v>
      </c>
      <c r="CW7" s="90" t="s">
        <v>293</v>
      </c>
      <c r="CX7" s="90" t="s">
        <v>293</v>
      </c>
      <c r="CY7" s="87" t="s">
        <v>187</v>
      </c>
      <c r="CZ7" s="9" t="s">
        <v>187</v>
      </c>
      <c r="DA7" s="90" t="s">
        <v>293</v>
      </c>
      <c r="DB7" s="87" t="s">
        <v>187</v>
      </c>
      <c r="DC7" s="9" t="s">
        <v>187</v>
      </c>
      <c r="DD7" s="90" t="s">
        <v>293</v>
      </c>
      <c r="DE7" s="87" t="s">
        <v>187</v>
      </c>
      <c r="DF7" s="14" t="s">
        <v>293</v>
      </c>
      <c r="DG7" s="90" t="s">
        <v>293</v>
      </c>
      <c r="DH7" s="90" t="s">
        <v>293</v>
      </c>
      <c r="DI7" s="9" t="s">
        <v>187</v>
      </c>
      <c r="DJ7" s="90" t="s">
        <v>293</v>
      </c>
      <c r="DK7" s="94" t="s">
        <v>293</v>
      </c>
      <c r="DL7" s="90" t="s">
        <v>293</v>
      </c>
      <c r="DM7" s="90" t="s">
        <v>293</v>
      </c>
      <c r="DN7" s="90" t="s">
        <v>293</v>
      </c>
      <c r="DO7" s="90" t="s">
        <v>293</v>
      </c>
      <c r="DP7" s="90" t="s">
        <v>293</v>
      </c>
      <c r="DQ7" s="9" t="s">
        <v>187</v>
      </c>
      <c r="DR7" s="9" t="s">
        <v>187</v>
      </c>
      <c r="DS7" s="9" t="s">
        <v>187</v>
      </c>
      <c r="DT7" s="9" t="s">
        <v>187</v>
      </c>
      <c r="DU7" s="87" t="s">
        <v>187</v>
      </c>
      <c r="DV7" s="90" t="s">
        <v>293</v>
      </c>
      <c r="DW7" s="90" t="s">
        <v>293</v>
      </c>
      <c r="DX7" s="90" t="s">
        <v>293</v>
      </c>
      <c r="DY7" s="9" t="s">
        <v>187</v>
      </c>
      <c r="DZ7" s="9" t="s">
        <v>187</v>
      </c>
      <c r="EA7" s="94" t="s">
        <v>293</v>
      </c>
      <c r="EB7" s="9" t="s">
        <v>187</v>
      </c>
      <c r="EC7" s="9" t="s">
        <v>187</v>
      </c>
      <c r="ED7" s="87" t="s">
        <v>187</v>
      </c>
      <c r="EE7" s="14" t="s">
        <v>187</v>
      </c>
      <c r="EF7" s="14" t="s">
        <v>187</v>
      </c>
      <c r="EG7" s="14" t="s">
        <v>187</v>
      </c>
      <c r="EH7" s="9" t="s">
        <v>187</v>
      </c>
      <c r="EI7" s="9" t="s">
        <v>187</v>
      </c>
      <c r="EJ7" s="9" t="s">
        <v>187</v>
      </c>
      <c r="EK7" s="9" t="s">
        <v>187</v>
      </c>
      <c r="EL7" s="90" t="s">
        <v>293</v>
      </c>
      <c r="EM7" s="90" t="s">
        <v>293</v>
      </c>
      <c r="EN7" s="90" t="s">
        <v>293</v>
      </c>
      <c r="EO7" s="90" t="s">
        <v>293</v>
      </c>
      <c r="EP7" s="94" t="s">
        <v>293</v>
      </c>
      <c r="EQ7" s="9" t="s">
        <v>187</v>
      </c>
      <c r="ER7" s="87" t="s">
        <v>187</v>
      </c>
      <c r="ES7" s="14" t="s">
        <v>187</v>
      </c>
      <c r="ET7" s="9" t="s">
        <v>187</v>
      </c>
      <c r="EU7" s="9" t="s">
        <v>187</v>
      </c>
      <c r="EV7" s="90" t="s">
        <v>293</v>
      </c>
      <c r="EW7" s="90" t="s">
        <v>293</v>
      </c>
      <c r="EX7" s="87" t="s">
        <v>187</v>
      </c>
      <c r="EY7" s="9" t="s">
        <v>187</v>
      </c>
      <c r="EZ7" s="90" t="s">
        <v>293</v>
      </c>
      <c r="FA7" s="87" t="s">
        <v>187</v>
      </c>
      <c r="FB7" s="9" t="s">
        <v>187</v>
      </c>
      <c r="FC7" s="89" t="s">
        <v>293</v>
      </c>
    </row>
    <row r="8" spans="1:159" x14ac:dyDescent="0.2">
      <c r="C8" s="13"/>
      <c r="D8" s="13"/>
      <c r="N8" s="99" t="s">
        <v>634</v>
      </c>
      <c r="R8" s="98" t="s">
        <v>635</v>
      </c>
      <c r="S8" s="99" t="s">
        <v>146</v>
      </c>
      <c r="Y8" s="99" t="s">
        <v>636</v>
      </c>
      <c r="AC8" s="99" t="s">
        <v>637</v>
      </c>
      <c r="AE8" s="99" t="s">
        <v>638</v>
      </c>
      <c r="AG8" s="99" t="s">
        <v>639</v>
      </c>
      <c r="AQ8" s="146" t="s">
        <v>640</v>
      </c>
      <c r="AR8" s="147" t="s">
        <v>641</v>
      </c>
      <c r="AS8" s="147" t="s">
        <v>642</v>
      </c>
      <c r="AT8" s="147" t="s">
        <v>643</v>
      </c>
      <c r="AU8" s="147" t="s">
        <v>644</v>
      </c>
      <c r="AV8" s="147" t="s">
        <v>645</v>
      </c>
      <c r="AW8" s="147" t="s">
        <v>646</v>
      </c>
      <c r="AX8" s="147" t="s">
        <v>647</v>
      </c>
      <c r="AY8" s="147" t="s">
        <v>648</v>
      </c>
      <c r="BD8" s="99" t="s">
        <v>649</v>
      </c>
      <c r="BF8" s="99" t="s">
        <v>650</v>
      </c>
      <c r="BS8" s="89"/>
      <c r="BT8" s="99" t="s">
        <v>651</v>
      </c>
      <c r="BU8" s="99" t="s">
        <v>651</v>
      </c>
      <c r="CD8" s="90"/>
      <c r="CG8" s="90"/>
      <c r="CH8" s="99" t="s">
        <v>652</v>
      </c>
      <c r="CI8" s="99" t="s">
        <v>652</v>
      </c>
      <c r="CR8" s="90"/>
      <c r="CU8" s="99" t="s">
        <v>653</v>
      </c>
      <c r="CV8" s="99" t="s">
        <v>654</v>
      </c>
      <c r="CZ8" s="99" t="s">
        <v>655</v>
      </c>
      <c r="DC8" s="99" t="s">
        <v>410</v>
      </c>
      <c r="DI8" s="99" t="s">
        <v>656</v>
      </c>
      <c r="DQ8" s="99" t="s">
        <v>657</v>
      </c>
      <c r="DR8" s="99" t="s">
        <v>657</v>
      </c>
      <c r="DS8" s="99" t="s">
        <v>657</v>
      </c>
      <c r="DT8" s="99" t="s">
        <v>657</v>
      </c>
      <c r="DY8" s="99" t="s">
        <v>658</v>
      </c>
      <c r="DZ8" s="99" t="s">
        <v>658</v>
      </c>
      <c r="EB8" s="99" t="s">
        <v>659</v>
      </c>
      <c r="EC8" s="99" t="s">
        <v>659</v>
      </c>
      <c r="EH8" s="99" t="s">
        <v>660</v>
      </c>
      <c r="EI8" s="99" t="s">
        <v>661</v>
      </c>
      <c r="EJ8" s="99" t="s">
        <v>662</v>
      </c>
      <c r="EK8" s="99" t="s">
        <v>662</v>
      </c>
      <c r="EQ8" s="99" t="s">
        <v>663</v>
      </c>
      <c r="ET8" s="99" t="s">
        <v>664</v>
      </c>
      <c r="EU8" s="99" t="s">
        <v>665</v>
      </c>
      <c r="EY8" s="99" t="s">
        <v>666</v>
      </c>
      <c r="FB8" s="99" t="s">
        <v>667</v>
      </c>
    </row>
    <row r="9" spans="1:159" x14ac:dyDescent="0.2">
      <c r="C9" s="13"/>
      <c r="D9" s="13"/>
      <c r="N9" s="99"/>
      <c r="R9" s="98"/>
      <c r="S9" s="99"/>
      <c r="Y9" s="99"/>
      <c r="AC9" s="99"/>
      <c r="AE9" s="99"/>
      <c r="AG9" s="99"/>
      <c r="AQ9" s="146"/>
      <c r="AR9" s="147"/>
      <c r="AS9" s="147"/>
      <c r="AT9" s="147"/>
      <c r="AU9" s="147"/>
      <c r="AV9" s="147"/>
      <c r="AW9" s="147"/>
      <c r="AX9" s="147"/>
      <c r="AY9" s="147"/>
      <c r="BD9" s="99"/>
      <c r="BF9" s="99"/>
      <c r="BS9" s="89"/>
      <c r="BT9" s="99"/>
      <c r="BU9" s="99"/>
      <c r="CD9" s="90"/>
      <c r="CG9" s="90"/>
      <c r="CH9" s="99"/>
      <c r="CI9" s="99"/>
      <c r="CR9" s="90"/>
      <c r="CU9" s="99"/>
      <c r="CV9" s="99"/>
      <c r="CZ9" s="99"/>
      <c r="DC9" s="99"/>
      <c r="DI9" s="99"/>
      <c r="DQ9" s="99"/>
      <c r="DR9" s="99"/>
      <c r="DS9" s="99"/>
      <c r="DT9" s="99"/>
      <c r="DY9" s="99"/>
      <c r="DZ9" s="99"/>
      <c r="EB9" s="99"/>
      <c r="EC9" s="99"/>
      <c r="EH9" s="99"/>
      <c r="EI9" s="99"/>
      <c r="EJ9" s="99"/>
      <c r="EK9" s="99"/>
      <c r="EQ9" s="99"/>
      <c r="ET9" s="99"/>
      <c r="EU9" s="99"/>
      <c r="EY9" s="99"/>
      <c r="FB9" s="99"/>
    </row>
    <row r="10" spans="1:159" x14ac:dyDescent="0.2">
      <c r="C10" s="13"/>
      <c r="D10" s="13"/>
      <c r="N10" s="99" t="s">
        <v>668</v>
      </c>
      <c r="R10" s="98" t="s">
        <v>668</v>
      </c>
      <c r="S10" s="99" t="s">
        <v>311</v>
      </c>
      <c r="Y10" s="99" t="s">
        <v>668</v>
      </c>
      <c r="AC10" s="99" t="s">
        <v>669</v>
      </c>
      <c r="AE10" s="99" t="s">
        <v>669</v>
      </c>
      <c r="AG10" s="99" t="s">
        <v>670</v>
      </c>
      <c r="AQ10" s="146" t="s">
        <v>671</v>
      </c>
      <c r="AR10" s="147" t="s">
        <v>311</v>
      </c>
      <c r="AS10" s="147" t="s">
        <v>671</v>
      </c>
      <c r="AT10" s="147" t="s">
        <v>311</v>
      </c>
      <c r="AU10" s="147" t="s">
        <v>671</v>
      </c>
      <c r="AV10" s="147" t="s">
        <v>311</v>
      </c>
      <c r="AW10" s="147" t="s">
        <v>311</v>
      </c>
      <c r="AX10" s="147" t="s">
        <v>311</v>
      </c>
      <c r="AY10" s="147" t="s">
        <v>311</v>
      </c>
      <c r="BD10" s="99" t="s">
        <v>668</v>
      </c>
      <c r="BF10" s="99"/>
      <c r="BS10" s="89"/>
      <c r="BT10" s="99" t="s">
        <v>672</v>
      </c>
      <c r="BU10" s="99" t="s">
        <v>673</v>
      </c>
      <c r="CD10" s="90"/>
      <c r="CG10" s="90"/>
      <c r="CH10" s="99" t="s">
        <v>672</v>
      </c>
      <c r="CI10" s="99" t="s">
        <v>673</v>
      </c>
      <c r="CR10" s="90"/>
      <c r="CU10" s="99"/>
      <c r="CV10" s="99"/>
      <c r="CZ10" s="99"/>
      <c r="DC10" s="99"/>
      <c r="DI10" s="99" t="s">
        <v>311</v>
      </c>
      <c r="DQ10" s="99" t="s">
        <v>674</v>
      </c>
      <c r="DR10" s="99" t="s">
        <v>675</v>
      </c>
      <c r="DS10" s="99" t="s">
        <v>676</v>
      </c>
      <c r="DT10" s="99" t="s">
        <v>677</v>
      </c>
      <c r="DY10" s="99" t="s">
        <v>672</v>
      </c>
      <c r="DZ10" s="99" t="s">
        <v>673</v>
      </c>
      <c r="EB10" s="99" t="s">
        <v>672</v>
      </c>
      <c r="EC10" s="99" t="s">
        <v>673</v>
      </c>
      <c r="EH10" s="99"/>
      <c r="EI10" s="99"/>
      <c r="EJ10" s="99" t="s">
        <v>678</v>
      </c>
      <c r="EK10" s="99" t="s">
        <v>679</v>
      </c>
      <c r="EQ10" s="99"/>
      <c r="ET10" s="99" t="s">
        <v>680</v>
      </c>
      <c r="EU10" s="99" t="s">
        <v>681</v>
      </c>
      <c r="EY10" s="99"/>
      <c r="FB10" s="99"/>
    </row>
    <row r="11" spans="1:159" x14ac:dyDescent="0.2">
      <c r="C11" s="13"/>
      <c r="D11" s="13"/>
      <c r="E11" s="87" t="s">
        <v>314</v>
      </c>
      <c r="F11" s="14" t="s">
        <v>314</v>
      </c>
      <c r="G11" s="14" t="s">
        <v>314</v>
      </c>
      <c r="H11" s="14" t="s">
        <v>314</v>
      </c>
      <c r="I11" s="14" t="s">
        <v>314</v>
      </c>
      <c r="J11" s="14" t="s">
        <v>314</v>
      </c>
      <c r="K11" s="14" t="s">
        <v>314</v>
      </c>
      <c r="L11" s="90" t="s">
        <v>314</v>
      </c>
      <c r="M11" s="87" t="s">
        <v>314</v>
      </c>
      <c r="N11" s="9" t="s">
        <v>314</v>
      </c>
      <c r="O11" s="90" t="s">
        <v>314</v>
      </c>
      <c r="P11" s="14" t="s">
        <v>314</v>
      </c>
      <c r="Q11" s="90" t="s">
        <v>314</v>
      </c>
      <c r="R11" s="83" t="s">
        <v>314</v>
      </c>
      <c r="S11" s="9" t="s">
        <v>314</v>
      </c>
      <c r="T11" s="90" t="s">
        <v>314</v>
      </c>
      <c r="U11" s="94" t="s">
        <v>314</v>
      </c>
      <c r="V11" s="90" t="s">
        <v>314</v>
      </c>
      <c r="W11" s="14" t="s">
        <v>314</v>
      </c>
      <c r="X11" s="90" t="s">
        <v>314</v>
      </c>
      <c r="Y11" s="9" t="s">
        <v>314</v>
      </c>
      <c r="Z11" s="94" t="s">
        <v>314</v>
      </c>
      <c r="AA11" s="14" t="s">
        <v>314</v>
      </c>
      <c r="AB11" s="90" t="s">
        <v>314</v>
      </c>
      <c r="AC11" s="9" t="s">
        <v>314</v>
      </c>
      <c r="AD11" s="94" t="s">
        <v>314</v>
      </c>
      <c r="AE11" s="9" t="s">
        <v>314</v>
      </c>
      <c r="AF11" s="94" t="s">
        <v>314</v>
      </c>
      <c r="AG11" s="9" t="s">
        <v>314</v>
      </c>
      <c r="AH11" s="94" t="s">
        <v>682</v>
      </c>
      <c r="AI11" s="90" t="s">
        <v>682</v>
      </c>
      <c r="AJ11" s="90" t="s">
        <v>313</v>
      </c>
      <c r="AK11" s="90" t="s">
        <v>683</v>
      </c>
      <c r="AL11" s="90" t="s">
        <v>313</v>
      </c>
      <c r="AM11" s="90" t="s">
        <v>313</v>
      </c>
      <c r="AN11" s="90" t="s">
        <v>313</v>
      </c>
      <c r="AO11" s="90" t="s">
        <v>313</v>
      </c>
      <c r="AP11" s="90" t="s">
        <v>313</v>
      </c>
      <c r="AQ11" s="144" t="s">
        <v>682</v>
      </c>
      <c r="AR11" s="145" t="s">
        <v>682</v>
      </c>
      <c r="AS11" s="145" t="s">
        <v>313</v>
      </c>
      <c r="AT11" s="145" t="s">
        <v>683</v>
      </c>
      <c r="AU11" s="145" t="s">
        <v>313</v>
      </c>
      <c r="AV11" s="145" t="s">
        <v>313</v>
      </c>
      <c r="AW11" s="145" t="s">
        <v>313</v>
      </c>
      <c r="AX11" s="145" t="s">
        <v>313</v>
      </c>
      <c r="AY11" s="145" t="s">
        <v>313</v>
      </c>
      <c r="AZ11" s="90" t="s">
        <v>313</v>
      </c>
      <c r="BA11" s="87" t="s">
        <v>683</v>
      </c>
      <c r="BB11" s="90" t="s">
        <v>683</v>
      </c>
      <c r="BC11" s="90" t="s">
        <v>683</v>
      </c>
      <c r="BD11" s="9" t="s">
        <v>683</v>
      </c>
      <c r="BE11" s="87" t="s">
        <v>682</v>
      </c>
      <c r="BF11" s="9" t="s">
        <v>682</v>
      </c>
      <c r="BG11" s="90" t="s">
        <v>682</v>
      </c>
      <c r="BS11" s="89" t="s">
        <v>682</v>
      </c>
      <c r="BT11" s="9" t="s">
        <v>682</v>
      </c>
      <c r="BU11" s="9" t="s">
        <v>682</v>
      </c>
      <c r="CG11" s="90" t="s">
        <v>313</v>
      </c>
      <c r="CH11" s="9" t="s">
        <v>313</v>
      </c>
      <c r="CI11" s="9" t="s">
        <v>313</v>
      </c>
      <c r="CS11" s="87" t="s">
        <v>683</v>
      </c>
      <c r="CT11" s="14" t="s">
        <v>683</v>
      </c>
      <c r="CU11" s="9" t="s">
        <v>683</v>
      </c>
      <c r="CV11" s="9" t="s">
        <v>683</v>
      </c>
      <c r="CW11" s="90" t="s">
        <v>683</v>
      </c>
      <c r="CX11" s="90" t="s">
        <v>683</v>
      </c>
      <c r="CY11" s="87" t="s">
        <v>682</v>
      </c>
      <c r="CZ11" s="9" t="s">
        <v>682</v>
      </c>
      <c r="DA11" s="90" t="s">
        <v>682</v>
      </c>
      <c r="DE11" s="87" t="s">
        <v>684</v>
      </c>
      <c r="DF11" s="14" t="s">
        <v>684</v>
      </c>
      <c r="DG11" s="90" t="s">
        <v>684</v>
      </c>
      <c r="DH11" s="90" t="s">
        <v>684</v>
      </c>
      <c r="DI11" s="9" t="s">
        <v>684</v>
      </c>
      <c r="DJ11" s="90" t="s">
        <v>684</v>
      </c>
      <c r="DK11" s="94" t="s">
        <v>685</v>
      </c>
      <c r="DL11" s="90" t="s">
        <v>685</v>
      </c>
      <c r="DM11" s="90" t="s">
        <v>685</v>
      </c>
      <c r="DN11" s="90" t="s">
        <v>685</v>
      </c>
      <c r="DO11" s="90" t="s">
        <v>685</v>
      </c>
      <c r="DP11" s="90" t="s">
        <v>685</v>
      </c>
      <c r="DQ11" s="9" t="s">
        <v>685</v>
      </c>
      <c r="DR11" s="9" t="s">
        <v>685</v>
      </c>
      <c r="DS11" s="9" t="s">
        <v>685</v>
      </c>
      <c r="DT11" s="9" t="s">
        <v>685</v>
      </c>
      <c r="DU11" s="87" t="s">
        <v>685</v>
      </c>
      <c r="DV11" s="90" t="s">
        <v>685</v>
      </c>
      <c r="DW11" s="90" t="s">
        <v>685</v>
      </c>
      <c r="DX11" s="90" t="s">
        <v>685</v>
      </c>
      <c r="DY11" s="9" t="s">
        <v>685</v>
      </c>
      <c r="DZ11" s="9" t="s">
        <v>685</v>
      </c>
      <c r="EA11" s="94" t="s">
        <v>685</v>
      </c>
      <c r="EB11" s="9" t="s">
        <v>685</v>
      </c>
      <c r="EC11" s="9" t="s">
        <v>685</v>
      </c>
      <c r="ED11" s="87" t="s">
        <v>686</v>
      </c>
      <c r="EE11" s="14" t="s">
        <v>686</v>
      </c>
      <c r="EF11" s="14" t="s">
        <v>686</v>
      </c>
      <c r="EG11" s="14" t="s">
        <v>686</v>
      </c>
      <c r="EH11" s="9" t="s">
        <v>686</v>
      </c>
      <c r="EI11" s="9" t="s">
        <v>686</v>
      </c>
      <c r="EJ11" s="9" t="s">
        <v>686</v>
      </c>
      <c r="EK11" s="9" t="s">
        <v>686</v>
      </c>
      <c r="EL11" s="90" t="s">
        <v>686</v>
      </c>
      <c r="EM11" s="90" t="s">
        <v>686</v>
      </c>
      <c r="EN11" s="90" t="s">
        <v>686</v>
      </c>
      <c r="EO11" s="90" t="s">
        <v>686</v>
      </c>
      <c r="EP11" s="94" t="s">
        <v>687</v>
      </c>
      <c r="EQ11" s="9" t="s">
        <v>687</v>
      </c>
      <c r="ER11" s="87" t="s">
        <v>688</v>
      </c>
      <c r="ES11" s="14" t="s">
        <v>688</v>
      </c>
      <c r="ET11" s="9" t="s">
        <v>688</v>
      </c>
      <c r="EU11" s="9" t="s">
        <v>688</v>
      </c>
      <c r="EV11" s="90" t="s">
        <v>688</v>
      </c>
      <c r="EW11" s="90" t="s">
        <v>688</v>
      </c>
    </row>
    <row r="12" spans="1:159" x14ac:dyDescent="0.2">
      <c r="C12" s="13"/>
      <c r="D12" s="13"/>
      <c r="E12" s="87" t="s">
        <v>316</v>
      </c>
      <c r="F12" s="14" t="s">
        <v>316</v>
      </c>
      <c r="G12" s="14" t="s">
        <v>316</v>
      </c>
      <c r="H12" s="14" t="s">
        <v>316</v>
      </c>
      <c r="I12" s="14" t="s">
        <v>316</v>
      </c>
      <c r="J12" s="14" t="s">
        <v>316</v>
      </c>
      <c r="K12" s="14" t="s">
        <v>316</v>
      </c>
      <c r="L12" s="90" t="s">
        <v>316</v>
      </c>
      <c r="M12" s="87" t="s">
        <v>316</v>
      </c>
      <c r="N12" s="9" t="s">
        <v>316</v>
      </c>
      <c r="O12" s="90" t="s">
        <v>316</v>
      </c>
      <c r="P12" s="14" t="s">
        <v>316</v>
      </c>
      <c r="Q12" s="90" t="s">
        <v>316</v>
      </c>
      <c r="R12" s="83" t="s">
        <v>316</v>
      </c>
      <c r="S12" s="9" t="s">
        <v>316</v>
      </c>
      <c r="T12" s="90" t="s">
        <v>316</v>
      </c>
      <c r="U12" s="94" t="s">
        <v>316</v>
      </c>
      <c r="V12" s="90" t="s">
        <v>316</v>
      </c>
      <c r="W12" s="14" t="s">
        <v>316</v>
      </c>
      <c r="X12" s="90" t="s">
        <v>316</v>
      </c>
      <c r="Y12" s="9" t="s">
        <v>316</v>
      </c>
      <c r="Z12" s="94" t="s">
        <v>316</v>
      </c>
      <c r="AA12" s="14" t="s">
        <v>316</v>
      </c>
      <c r="AB12" s="90" t="s">
        <v>316</v>
      </c>
      <c r="AC12" s="9" t="s">
        <v>316</v>
      </c>
      <c r="AD12" s="94" t="s">
        <v>316</v>
      </c>
      <c r="AE12" s="9" t="s">
        <v>316</v>
      </c>
      <c r="AF12" s="94" t="s">
        <v>316</v>
      </c>
      <c r="AG12" s="9" t="s">
        <v>316</v>
      </c>
      <c r="AH12" s="94" t="s">
        <v>689</v>
      </c>
      <c r="AI12" s="90" t="s">
        <v>689</v>
      </c>
      <c r="AJ12" s="90" t="s">
        <v>316</v>
      </c>
      <c r="AK12" s="90" t="s">
        <v>690</v>
      </c>
      <c r="AL12" s="90" t="s">
        <v>316</v>
      </c>
      <c r="AM12" s="90" t="s">
        <v>316</v>
      </c>
      <c r="AN12" s="90" t="s">
        <v>316</v>
      </c>
      <c r="AO12" s="90" t="s">
        <v>316</v>
      </c>
      <c r="AP12" s="90" t="s">
        <v>316</v>
      </c>
      <c r="AQ12" s="144" t="s">
        <v>689</v>
      </c>
      <c r="AR12" s="145" t="s">
        <v>689</v>
      </c>
      <c r="AS12" s="145" t="s">
        <v>316</v>
      </c>
      <c r="AT12" s="145" t="s">
        <v>690</v>
      </c>
      <c r="AU12" s="145" t="s">
        <v>316</v>
      </c>
      <c r="AV12" s="145" t="s">
        <v>316</v>
      </c>
      <c r="AW12" s="145" t="s">
        <v>316</v>
      </c>
      <c r="AX12" s="145" t="s">
        <v>316</v>
      </c>
      <c r="AY12" s="145" t="s">
        <v>316</v>
      </c>
      <c r="AZ12" s="90" t="s">
        <v>316</v>
      </c>
      <c r="BA12" s="87" t="s">
        <v>316</v>
      </c>
      <c r="BB12" s="90" t="s">
        <v>316</v>
      </c>
      <c r="BC12" s="90" t="s">
        <v>316</v>
      </c>
      <c r="BD12" s="9" t="s">
        <v>316</v>
      </c>
      <c r="BE12" s="87" t="s">
        <v>316</v>
      </c>
      <c r="BF12" s="9" t="s">
        <v>316</v>
      </c>
      <c r="BG12" s="90" t="s">
        <v>316</v>
      </c>
      <c r="BS12" s="89" t="s">
        <v>689</v>
      </c>
      <c r="BT12" s="9" t="s">
        <v>689</v>
      </c>
      <c r="BU12" s="9" t="s">
        <v>689</v>
      </c>
      <c r="CG12" s="90" t="s">
        <v>316</v>
      </c>
      <c r="CH12" s="9" t="s">
        <v>316</v>
      </c>
      <c r="CI12" s="9" t="s">
        <v>316</v>
      </c>
      <c r="CS12" s="87" t="s">
        <v>316</v>
      </c>
      <c r="CT12" s="14" t="s">
        <v>316</v>
      </c>
      <c r="CU12" s="9" t="s">
        <v>316</v>
      </c>
      <c r="CV12" s="9" t="s">
        <v>316</v>
      </c>
      <c r="CW12" s="90" t="s">
        <v>316</v>
      </c>
      <c r="CX12" s="90" t="s">
        <v>316</v>
      </c>
      <c r="CY12" s="87" t="s">
        <v>316</v>
      </c>
      <c r="CZ12" s="9" t="s">
        <v>316</v>
      </c>
      <c r="DA12" s="90" t="s">
        <v>316</v>
      </c>
      <c r="DE12" s="87" t="s">
        <v>689</v>
      </c>
      <c r="DF12" s="14" t="s">
        <v>689</v>
      </c>
      <c r="DG12" s="90" t="s">
        <v>689</v>
      </c>
      <c r="DH12" s="90" t="s">
        <v>689</v>
      </c>
      <c r="DI12" s="9" t="s">
        <v>689</v>
      </c>
      <c r="DJ12" s="90" t="s">
        <v>689</v>
      </c>
      <c r="DK12" s="94" t="s">
        <v>316</v>
      </c>
      <c r="DL12" s="90" t="s">
        <v>316</v>
      </c>
      <c r="DM12" s="90" t="s">
        <v>316</v>
      </c>
      <c r="DN12" s="90" t="s">
        <v>316</v>
      </c>
      <c r="DO12" s="90" t="s">
        <v>316</v>
      </c>
      <c r="DP12" s="90" t="s">
        <v>316</v>
      </c>
      <c r="DQ12" s="9" t="s">
        <v>316</v>
      </c>
      <c r="DR12" s="9" t="s">
        <v>316</v>
      </c>
      <c r="DS12" s="9" t="s">
        <v>316</v>
      </c>
      <c r="DT12" s="9" t="s">
        <v>316</v>
      </c>
      <c r="DU12" s="87" t="s">
        <v>316</v>
      </c>
      <c r="DV12" s="90" t="s">
        <v>316</v>
      </c>
      <c r="DW12" s="90" t="s">
        <v>316</v>
      </c>
      <c r="DX12" s="90" t="s">
        <v>316</v>
      </c>
      <c r="DY12" s="9" t="s">
        <v>316</v>
      </c>
      <c r="DZ12" s="9" t="s">
        <v>316</v>
      </c>
      <c r="EA12" s="94" t="s">
        <v>316</v>
      </c>
      <c r="EB12" s="9" t="s">
        <v>316</v>
      </c>
      <c r="EC12" s="9" t="s">
        <v>316</v>
      </c>
      <c r="ED12" s="87" t="s">
        <v>316</v>
      </c>
      <c r="EE12" s="14" t="s">
        <v>316</v>
      </c>
      <c r="EF12" s="14" t="s">
        <v>316</v>
      </c>
      <c r="EG12" s="14" t="s">
        <v>316</v>
      </c>
      <c r="EH12" s="9" t="s">
        <v>316</v>
      </c>
      <c r="EI12" s="9" t="s">
        <v>316</v>
      </c>
      <c r="EJ12" s="9" t="s">
        <v>316</v>
      </c>
      <c r="EK12" s="9" t="s">
        <v>316</v>
      </c>
      <c r="EL12" s="90" t="s">
        <v>316</v>
      </c>
      <c r="EM12" s="90" t="s">
        <v>316</v>
      </c>
      <c r="EN12" s="90" t="s">
        <v>316</v>
      </c>
      <c r="EO12" s="90" t="s">
        <v>316</v>
      </c>
      <c r="EP12" s="94" t="s">
        <v>316</v>
      </c>
      <c r="EQ12" s="9" t="s">
        <v>316</v>
      </c>
      <c r="ER12" s="87" t="s">
        <v>689</v>
      </c>
      <c r="ES12" s="14" t="s">
        <v>689</v>
      </c>
      <c r="ET12" s="9" t="s">
        <v>689</v>
      </c>
      <c r="EU12" s="9" t="s">
        <v>689</v>
      </c>
      <c r="EV12" s="90" t="s">
        <v>689</v>
      </c>
      <c r="EW12" s="90" t="s">
        <v>689</v>
      </c>
      <c r="EX12" s="87" t="s">
        <v>316</v>
      </c>
      <c r="EY12" s="9" t="s">
        <v>316</v>
      </c>
      <c r="EZ12" s="90" t="s">
        <v>316</v>
      </c>
    </row>
    <row r="13" spans="1:159" x14ac:dyDescent="0.2">
      <c r="C13" s="13"/>
      <c r="D13" s="13"/>
      <c r="DB13" s="87" t="s">
        <v>431</v>
      </c>
      <c r="DC13" s="9" t="s">
        <v>431</v>
      </c>
      <c r="DD13" s="90" t="s">
        <v>431</v>
      </c>
    </row>
    <row r="14" spans="1:159" x14ac:dyDescent="0.2">
      <c r="A14" s="36" t="s">
        <v>691</v>
      </c>
      <c r="B14" s="36" t="s">
        <v>317</v>
      </c>
      <c r="C14" s="36" t="s">
        <v>318</v>
      </c>
      <c r="D14" s="36" t="s">
        <v>432</v>
      </c>
      <c r="E14" s="103" t="s">
        <v>361</v>
      </c>
      <c r="F14" s="39" t="s">
        <v>351</v>
      </c>
      <c r="G14" s="39" t="s">
        <v>343</v>
      </c>
      <c r="H14" s="39" t="s">
        <v>355</v>
      </c>
      <c r="I14" s="39" t="s">
        <v>358</v>
      </c>
      <c r="J14" s="39" t="s">
        <v>165</v>
      </c>
      <c r="K14" s="39" t="s">
        <v>344</v>
      </c>
      <c r="L14" s="105" t="s">
        <v>345</v>
      </c>
      <c r="M14" s="103" t="s">
        <v>174</v>
      </c>
      <c r="N14" s="109" t="s">
        <v>171</v>
      </c>
      <c r="O14" s="105" t="s">
        <v>692</v>
      </c>
      <c r="P14" s="39" t="s">
        <v>693</v>
      </c>
      <c r="Q14" s="105" t="s">
        <v>694</v>
      </c>
      <c r="R14" s="108" t="s">
        <v>695</v>
      </c>
      <c r="S14" s="109" t="s">
        <v>696</v>
      </c>
      <c r="T14" s="105" t="s">
        <v>697</v>
      </c>
      <c r="U14" s="107" t="s">
        <v>698</v>
      </c>
      <c r="V14" s="105" t="s">
        <v>699</v>
      </c>
      <c r="W14" s="39" t="s">
        <v>700</v>
      </c>
      <c r="X14" s="105" t="s">
        <v>701</v>
      </c>
      <c r="Y14" s="109" t="s">
        <v>702</v>
      </c>
      <c r="Z14" s="107" t="s">
        <v>703</v>
      </c>
      <c r="AA14" s="39" t="s">
        <v>704</v>
      </c>
      <c r="AB14" s="105" t="s">
        <v>705</v>
      </c>
      <c r="AC14" s="109" t="s">
        <v>706</v>
      </c>
      <c r="AD14" s="107" t="s">
        <v>707</v>
      </c>
      <c r="AE14" s="109" t="s">
        <v>708</v>
      </c>
      <c r="AF14" s="107" t="s">
        <v>709</v>
      </c>
      <c r="AG14" s="109" t="s">
        <v>710</v>
      </c>
      <c r="AH14" s="107" t="s">
        <v>711</v>
      </c>
      <c r="AI14" s="105" t="s">
        <v>712</v>
      </c>
      <c r="AJ14" s="105" t="s">
        <v>713</v>
      </c>
      <c r="AK14" s="105" t="s">
        <v>714</v>
      </c>
      <c r="AL14" s="105" t="s">
        <v>715</v>
      </c>
      <c r="AM14" s="105" t="s">
        <v>716</v>
      </c>
      <c r="AN14" s="105" t="s">
        <v>717</v>
      </c>
      <c r="AO14" s="105" t="s">
        <v>718</v>
      </c>
      <c r="AP14" s="105" t="s">
        <v>719</v>
      </c>
      <c r="AQ14" s="148" t="s">
        <v>720</v>
      </c>
      <c r="AR14" s="149" t="s">
        <v>721</v>
      </c>
      <c r="AS14" s="149" t="s">
        <v>722</v>
      </c>
      <c r="AT14" s="149" t="s">
        <v>723</v>
      </c>
      <c r="AU14" s="149" t="s">
        <v>724</v>
      </c>
      <c r="AV14" s="149" t="s">
        <v>725</v>
      </c>
      <c r="AW14" s="149" t="s">
        <v>726</v>
      </c>
      <c r="AX14" s="149" t="s">
        <v>727</v>
      </c>
      <c r="AY14" s="149" t="s">
        <v>728</v>
      </c>
      <c r="AZ14" s="105" t="s">
        <v>729</v>
      </c>
      <c r="BA14" s="103" t="s">
        <v>730</v>
      </c>
      <c r="BB14" s="105" t="s">
        <v>731</v>
      </c>
      <c r="BC14" s="105" t="s">
        <v>732</v>
      </c>
      <c r="BD14" s="109" t="s">
        <v>733</v>
      </c>
      <c r="BE14" s="103" t="s">
        <v>734</v>
      </c>
      <c r="BF14" s="109" t="s">
        <v>735</v>
      </c>
      <c r="BG14" s="105" t="s">
        <v>736</v>
      </c>
      <c r="BH14" s="103"/>
      <c r="BI14" s="39"/>
      <c r="BJ14" s="39"/>
      <c r="BK14" s="39"/>
      <c r="BL14" s="109"/>
      <c r="BM14" s="109"/>
      <c r="BN14" s="109"/>
      <c r="BO14" s="39"/>
      <c r="BP14" s="39"/>
      <c r="BQ14" s="103"/>
      <c r="BR14" s="39"/>
      <c r="BS14" s="105" t="s">
        <v>737</v>
      </c>
      <c r="BT14" s="109" t="s">
        <v>738</v>
      </c>
      <c r="BU14" s="109" t="s">
        <v>739</v>
      </c>
      <c r="BV14" s="103"/>
      <c r="BW14" s="39"/>
      <c r="BX14" s="39"/>
      <c r="BY14" s="39"/>
      <c r="BZ14" s="109"/>
      <c r="CA14" s="109"/>
      <c r="CB14" s="109"/>
      <c r="CC14" s="39"/>
      <c r="CD14" s="105"/>
      <c r="CE14" s="103"/>
      <c r="CF14" s="39"/>
      <c r="CG14" s="105" t="s">
        <v>740</v>
      </c>
      <c r="CH14" s="109" t="s">
        <v>741</v>
      </c>
      <c r="CI14" s="109" t="s">
        <v>742</v>
      </c>
      <c r="CJ14" s="103"/>
      <c r="CK14" s="39"/>
      <c r="CL14" s="39"/>
      <c r="CM14" s="39"/>
      <c r="CN14" s="39"/>
      <c r="CO14" s="39"/>
      <c r="CP14" s="39"/>
      <c r="CQ14" s="39"/>
      <c r="CR14" s="105"/>
      <c r="CS14" s="103" t="s">
        <v>743</v>
      </c>
      <c r="CT14" s="39" t="s">
        <v>744</v>
      </c>
      <c r="CU14" s="109" t="s">
        <v>745</v>
      </c>
      <c r="CV14" s="109" t="s">
        <v>746</v>
      </c>
      <c r="CW14" s="105" t="s">
        <v>747</v>
      </c>
      <c r="CX14" s="105" t="s">
        <v>748</v>
      </c>
      <c r="CY14" s="103" t="s">
        <v>749</v>
      </c>
      <c r="CZ14" s="109" t="s">
        <v>750</v>
      </c>
      <c r="DA14" s="105" t="s">
        <v>751</v>
      </c>
      <c r="DB14" s="103" t="s">
        <v>441</v>
      </c>
      <c r="DC14" s="109" t="s">
        <v>752</v>
      </c>
      <c r="DD14" s="105" t="s">
        <v>753</v>
      </c>
      <c r="DE14" s="103" t="s">
        <v>754</v>
      </c>
      <c r="DF14" s="39" t="s">
        <v>755</v>
      </c>
      <c r="DG14" s="105" t="s">
        <v>756</v>
      </c>
      <c r="DH14" s="105" t="s">
        <v>757</v>
      </c>
      <c r="DI14" s="109" t="s">
        <v>758</v>
      </c>
      <c r="DJ14" s="105" t="s">
        <v>759</v>
      </c>
      <c r="DK14" s="107" t="s">
        <v>760</v>
      </c>
      <c r="DL14" s="105" t="s">
        <v>761</v>
      </c>
      <c r="DM14" s="105" t="s">
        <v>762</v>
      </c>
      <c r="DN14" s="105" t="s">
        <v>763</v>
      </c>
      <c r="DO14" s="105" t="s">
        <v>764</v>
      </c>
      <c r="DP14" s="105" t="s">
        <v>765</v>
      </c>
      <c r="DQ14" s="109" t="s">
        <v>766</v>
      </c>
      <c r="DR14" s="109" t="s">
        <v>767</v>
      </c>
      <c r="DS14" s="109" t="s">
        <v>768</v>
      </c>
      <c r="DT14" s="109" t="s">
        <v>769</v>
      </c>
      <c r="DU14" s="103" t="s">
        <v>770</v>
      </c>
      <c r="DV14" s="105" t="s">
        <v>771</v>
      </c>
      <c r="DW14" s="105" t="s">
        <v>772</v>
      </c>
      <c r="DX14" s="105" t="s">
        <v>773</v>
      </c>
      <c r="DY14" s="109" t="s">
        <v>774</v>
      </c>
      <c r="DZ14" s="109" t="s">
        <v>775</v>
      </c>
      <c r="EA14" s="107" t="s">
        <v>776</v>
      </c>
      <c r="EB14" s="109" t="s">
        <v>777</v>
      </c>
      <c r="EC14" s="109" t="s">
        <v>778</v>
      </c>
      <c r="ED14" s="103" t="s">
        <v>779</v>
      </c>
      <c r="EE14" s="39" t="s">
        <v>780</v>
      </c>
      <c r="EF14" s="39" t="s">
        <v>781</v>
      </c>
      <c r="EG14" s="39" t="s">
        <v>782</v>
      </c>
      <c r="EH14" s="109" t="s">
        <v>783</v>
      </c>
      <c r="EI14" s="109" t="s">
        <v>784</v>
      </c>
      <c r="EJ14" s="109" t="s">
        <v>785</v>
      </c>
      <c r="EK14" s="109" t="s">
        <v>786</v>
      </c>
      <c r="EL14" s="105" t="s">
        <v>787</v>
      </c>
      <c r="EM14" s="105" t="s">
        <v>788</v>
      </c>
      <c r="EN14" s="105" t="s">
        <v>789</v>
      </c>
      <c r="EO14" s="105" t="s">
        <v>790</v>
      </c>
      <c r="EP14" s="107" t="s">
        <v>791</v>
      </c>
      <c r="EQ14" s="109" t="s">
        <v>792</v>
      </c>
      <c r="ER14" s="103" t="s">
        <v>793</v>
      </c>
      <c r="ES14" s="39" t="s">
        <v>794</v>
      </c>
      <c r="ET14" s="109" t="s">
        <v>795</v>
      </c>
      <c r="EU14" s="109" t="s">
        <v>796</v>
      </c>
      <c r="EV14" s="105" t="s">
        <v>797</v>
      </c>
      <c r="EW14" s="105" t="s">
        <v>798</v>
      </c>
      <c r="EX14" s="103" t="s">
        <v>799</v>
      </c>
      <c r="EY14" s="109" t="s">
        <v>800</v>
      </c>
      <c r="EZ14" s="105" t="s">
        <v>801</v>
      </c>
      <c r="FA14" s="103" t="s">
        <v>802</v>
      </c>
      <c r="FB14" s="109" t="s">
        <v>803</v>
      </c>
      <c r="FC14" s="105" t="s">
        <v>804</v>
      </c>
    </row>
    <row r="15" spans="1:159" x14ac:dyDescent="0.2">
      <c r="A15" t="s">
        <v>222</v>
      </c>
      <c r="B15" s="13" t="s">
        <v>315</v>
      </c>
      <c r="C15" s="13" t="s">
        <v>29</v>
      </c>
      <c r="D15" s="13"/>
      <c r="E15" s="87">
        <f>IFERROR(1/(1/IF($B15="&lt;01",ROUND(SUM(EID!$L:$L)/2,0),SUMIFS(HTS!$AM:$AM,HTS!$C:$C,$B15,HTS!$D:$D,$C15))),"")</f>
        <v>32</v>
      </c>
      <c r="F15" s="14">
        <f>IFERROR(1/(1/IF($B15="&lt;01",ROUND(SUM(EID!$N:$N)/2,0),SUMIFS(Cascade!$AX:$AX,Cascade!$C:$C,$B15,Cascade!$D:$D,$C15))),"")</f>
        <v>31</v>
      </c>
      <c r="G15" s="14">
        <f>IFERROR(1/(1/IF($B15="&lt;01",ROUND(SUM(EID!$P:$P)/2,0),SUMIFS(Cascade!$AP:$AP,Cascade!$C:$C,$B15,Cascade!$D:$D,$C15))),"")</f>
        <v>31</v>
      </c>
      <c r="H15" s="14">
        <f>IFERROR(1/(1/IF($B15="&lt;01",ROUND(SUM(EID!$T:$T)/2,0),SUMIFS(Cascade!$BB:$BB,Cascade!$C:$C,$B15,Cascade!$D:$D,$C15))),"")</f>
        <v>20</v>
      </c>
      <c r="I15" s="14">
        <f>IFERROR(1/(1/IF($B15="&lt;01",ROUND(SUM(EID!$V:$V)/2,0),SUMIFS(Cascade!$BE:$BE,Cascade!$C:$C,$B15,Cascade!$D:$D,$C15))),"")</f>
        <v>20</v>
      </c>
      <c r="J15" s="14" t="str">
        <f>IFERROR(1/(1/SUMIFS(Cascade!$AJ:$AJ,Cascade!$C:$C,"="&amp;$B15,Cascade!$D:$D,$C15)),"")</f>
        <v/>
      </c>
      <c r="K15" s="14">
        <f>IFERROR(1/(1/SUMIFS(Cascade!$AQ:$AQ,Cascade!$C:$C,"="&amp;$B15,Cascade!$D:$D,$C15)),"")</f>
        <v>35172.28571428571</v>
      </c>
      <c r="L15" s="90" t="str">
        <f t="shared" ref="L15:L28" si="0">IF(SUM($J15)=0,"",SUM($K15)/$J15)</f>
        <v/>
      </c>
      <c r="M15" s="87" t="str">
        <f>IFERROR(1/(1/ROUND(SUMIFS(Spectrum!$N:$N,Spectrum!$Q:$Q,"="&amp;$B15,Spectrum!$K:$K,$C15,Spectrum!$G:$G,M$14,Spectrum!$M:$M,"CY2024Q3"),0)),"")</f>
        <v/>
      </c>
      <c r="N15" s="9" t="str">
        <f>IFERROR(1/(1/ROUND(SUMIFS(Spectrum!$N:$N,Spectrum!$Q:$Q,"="&amp;$B15,Spectrum!$K:$K,$C15,Spectrum!$G:$G,N$14,Spectrum!$M:$M,"CY2025Q3"),0)),IFERROR(1/(1/SUM($J15,$M15)),""))</f>
        <v/>
      </c>
      <c r="O15" s="90">
        <f t="shared" ref="O15:O33" si="1">MAX(SUM($L15),90%)</f>
        <v>0.9</v>
      </c>
      <c r="P15" s="14">
        <f>IFERROR(1/(1/ROUND(IF(SUM($N15)=0,IF(SUM($J15)=0,SUM($G15)/SUM($O15),SUM($J15)),SUM($N15))*SUM($O15),0)),"")</f>
        <v>31</v>
      </c>
      <c r="Q15" s="90">
        <f t="shared" ref="Q15:Q33" si="2">IF(SUM($K15)=0,1,SUM($G15)/$K15)</f>
        <v>8.8137575851116555E-4</v>
      </c>
      <c r="R15" s="83" t="str">
        <f t="shared" ref="R15:R33" si="3">IFERROR(1/(1/ROUND(SUM($P15)*SUM($Q15),0)),"")</f>
        <v/>
      </c>
      <c r="S15" s="9">
        <f t="shared" ref="S15:S33" si="4">IFERROR(1/(1/IF(SUM($R15)=0,IF(SUM($P15)=0,SUM($K15),SUM($P15)),ROUND(SUM($R15)/IF(SUM($Q15)=0,1,SUM($Q15)),0))),"")</f>
        <v>31</v>
      </c>
      <c r="T15" s="90" t="str">
        <f t="shared" ref="T15:T33" si="5">IF(SUM($N15)=0,"",SUM($S15)/$N15)</f>
        <v/>
      </c>
      <c r="U15" s="94">
        <v>0.98</v>
      </c>
      <c r="V15" s="90">
        <v>0.98</v>
      </c>
      <c r="W15" s="14" t="str">
        <f t="shared" ref="W15:W33" si="6">IF(OR(SUM($V15)=0,SUM($R15)=0),"",ROUND((SUM($R15)-(SUM($G15)*SUM($U15)))/$V15,0))</f>
        <v/>
      </c>
      <c r="X15" s="90">
        <v>1</v>
      </c>
      <c r="Y15" s="9" t="str">
        <f t="shared" ref="Y15:Y33" si="7">IF(SUM($W15)=0,"",ROUND(SUM($W15)*SUM($X15),0))</f>
        <v/>
      </c>
      <c r="Z15" s="94">
        <v>0.7</v>
      </c>
      <c r="AA15" s="14">
        <f t="shared" ref="AA15:AA33" si="8">IF(SUM($G15,$W15)=0,"",ROUND(SUM($G15)+(SUM($W15)*$Z15),0))</f>
        <v>31</v>
      </c>
      <c r="AB15" s="90">
        <v>0.95</v>
      </c>
      <c r="AC15" s="9">
        <f t="shared" ref="AC15:AC33" si="9">IF(SUM($AA15)=0,"",ROUND($AA15*$AB15,0))</f>
        <v>29</v>
      </c>
      <c r="AD15" s="94">
        <v>0.95</v>
      </c>
      <c r="AE15" s="9">
        <f t="shared" ref="AE15:AE33" si="10">IF(SUM($AC15)=0,"",ROUND($AD15*$AC15,0))</f>
        <v>28</v>
      </c>
      <c r="AF15" s="94">
        <v>0.95</v>
      </c>
      <c r="AG15" s="9" t="str">
        <f t="shared" ref="AG15:AG33" si="11">IF(SUM($Y15)=0,"",ROUND($Y15/$AF15,0))</f>
        <v/>
      </c>
      <c r="AH15" s="150"/>
      <c r="AI15" s="151"/>
      <c r="AJ15" s="151"/>
      <c r="AK15" s="151"/>
      <c r="AL15" s="151"/>
      <c r="AM15" s="151"/>
      <c r="AN15" s="151"/>
      <c r="AO15" s="151"/>
      <c r="AP15" s="151"/>
      <c r="AQ15" s="152"/>
      <c r="AR15" s="153"/>
      <c r="AS15" s="153"/>
      <c r="AT15" s="153"/>
      <c r="AU15" s="153"/>
      <c r="AV15" s="153"/>
      <c r="AW15" s="153"/>
      <c r="AX15" s="153"/>
      <c r="AY15" s="153"/>
      <c r="AZ15" s="151"/>
      <c r="BA15" s="154"/>
      <c r="BB15" s="151"/>
      <c r="BC15" s="151"/>
      <c r="BD15" s="102"/>
      <c r="BE15" s="154"/>
      <c r="BF15" s="102"/>
      <c r="BG15" s="151"/>
      <c r="BH15" s="154"/>
      <c r="BI15" s="155"/>
      <c r="BJ15" s="155"/>
      <c r="BK15" s="155"/>
      <c r="BL15" s="102"/>
      <c r="BM15" s="102"/>
      <c r="BN15" s="102"/>
      <c r="BO15" s="155"/>
      <c r="BP15" s="155"/>
      <c r="BQ15" s="154"/>
      <c r="BR15" s="155"/>
      <c r="BS15" s="156"/>
      <c r="BT15" s="102"/>
      <c r="BU15" s="102"/>
      <c r="BV15" s="154"/>
      <c r="BW15" s="155"/>
      <c r="BX15" s="155"/>
      <c r="BY15" s="155"/>
      <c r="BZ15" s="102"/>
      <c r="CA15" s="102"/>
      <c r="CB15" s="102"/>
      <c r="CC15" s="155"/>
      <c r="CD15" s="151"/>
      <c r="CE15" s="154"/>
      <c r="CF15" s="155"/>
      <c r="CG15" s="151"/>
      <c r="CH15" s="102"/>
      <c r="CI15" s="102"/>
      <c r="CJ15" s="154"/>
      <c r="CK15" s="155"/>
      <c r="CL15" s="155"/>
      <c r="CM15" s="155"/>
      <c r="CN15" s="155"/>
      <c r="CO15" s="155"/>
      <c r="CP15" s="155"/>
      <c r="CQ15" s="155"/>
      <c r="CR15" s="151"/>
      <c r="CS15" s="154"/>
      <c r="CT15" s="155"/>
      <c r="CU15" s="102"/>
      <c r="CV15" s="102"/>
      <c r="CW15" s="151"/>
      <c r="CX15" s="151"/>
      <c r="CY15" s="154"/>
      <c r="CZ15" s="102"/>
      <c r="DA15" s="151"/>
      <c r="DB15" s="154"/>
      <c r="DC15" s="102"/>
      <c r="DD15" s="151"/>
      <c r="DE15" s="154"/>
      <c r="DF15" s="155"/>
      <c r="DG15" s="151"/>
      <c r="DH15" s="151"/>
      <c r="DI15" s="102"/>
      <c r="DJ15" s="151"/>
      <c r="DK15" s="150"/>
      <c r="DL15" s="151"/>
      <c r="DM15" s="151"/>
      <c r="DN15" s="151"/>
      <c r="DO15" s="151"/>
      <c r="DP15" s="151"/>
      <c r="DQ15" s="102"/>
      <c r="DR15" s="102"/>
      <c r="DS15" s="102"/>
      <c r="DT15" s="102"/>
      <c r="DU15" s="154"/>
      <c r="DV15" s="151"/>
      <c r="DW15" s="151"/>
      <c r="DX15" s="151"/>
      <c r="DY15" s="102"/>
      <c r="DZ15" s="102"/>
      <c r="EA15" s="150"/>
      <c r="EB15" s="102"/>
      <c r="EC15" s="102"/>
      <c r="ED15" s="154"/>
      <c r="EE15" s="155"/>
      <c r="EF15" s="155"/>
      <c r="EG15" s="155"/>
      <c r="EH15" s="102"/>
      <c r="EI15" s="102"/>
      <c r="EJ15" s="102"/>
      <c r="EK15" s="102"/>
      <c r="EL15" s="151"/>
      <c r="EM15" s="151"/>
      <c r="EN15" s="151"/>
      <c r="EO15" s="151"/>
      <c r="EP15" s="150"/>
      <c r="EQ15" s="102"/>
      <c r="ER15" s="154"/>
      <c r="ES15" s="155"/>
      <c r="ET15" s="102"/>
      <c r="EU15" s="102"/>
      <c r="EV15" s="151"/>
      <c r="EW15" s="151"/>
      <c r="EX15" s="154"/>
      <c r="EY15" s="102"/>
      <c r="EZ15" s="151"/>
      <c r="FA15" s="154"/>
      <c r="FB15" s="102"/>
      <c r="FC15" s="156"/>
    </row>
    <row r="16" spans="1:159" x14ac:dyDescent="0.2">
      <c r="A16" t="s">
        <v>222</v>
      </c>
      <c r="B16" s="13" t="s">
        <v>315</v>
      </c>
      <c r="C16" t="s">
        <v>47</v>
      </c>
      <c r="E16" s="87">
        <f>IFERROR(1/(1/IF($B16="&lt;01",ROUND(SUM(EID!$L:$L)/2,0),SUMIFS(HTS!$AM:$AM,HTS!$C:$C,$B16,HTS!$D:$D,$C16))),"")</f>
        <v>32</v>
      </c>
      <c r="F16" s="14">
        <f>IFERROR(1/(1/IF($B16="&lt;01",ROUND(SUM(EID!$N:$N)/2,0),SUMIFS(Cascade!$AX:$AX,Cascade!$C:$C,$B16,Cascade!$D:$D,$C16))),"")</f>
        <v>31</v>
      </c>
      <c r="G16" s="14">
        <f>IFERROR(1/(1/IF($B16="&lt;01",ROUND(SUM(EID!$P:$P)/2,0),SUMIFS(Cascade!$AP:$AP,Cascade!$C:$C,$B16,Cascade!$D:$D,$C16))),"")</f>
        <v>31</v>
      </c>
      <c r="H16" s="14">
        <f>IFERROR(1/(1/IF($B16="&lt;01",ROUND(SUM(EID!$T:$T)/2,0),SUMIFS(Cascade!$BB:$BB,Cascade!$C:$C,$B16,Cascade!$D:$D,$C16))),"")</f>
        <v>20</v>
      </c>
      <c r="I16" s="14">
        <f>IFERROR(1/(1/IF($B16="&lt;01",ROUND(SUM(EID!$V:$V)/2,0),SUMIFS(Cascade!$BE:$BE,Cascade!$C:$C,$B16,Cascade!$D:$D,$C16))),"")</f>
        <v>20</v>
      </c>
      <c r="J16" s="14" t="str">
        <f>IFERROR(1/(1/SUMIFS(Cascade!$AJ:$AJ,Cascade!$C:$C,"="&amp;$B16,Cascade!$D:$D,$C16)),"")</f>
        <v/>
      </c>
      <c r="K16" s="14">
        <f>IFERROR(1/(1/SUMIFS(Cascade!$AQ:$AQ,Cascade!$C:$C,"="&amp;$B16,Cascade!$D:$D,$C16)),"")</f>
        <v>34261.171428571426</v>
      </c>
      <c r="L16" s="90" t="str">
        <f t="shared" si="0"/>
        <v/>
      </c>
      <c r="M16" s="87" t="str">
        <f>IFERROR(1/(1/ROUND(SUMIFS(Spectrum!$N:$N,Spectrum!$Q:$Q,"="&amp;$B16,Spectrum!$K:$K,$C16,Spectrum!$G:$G,M$14,Spectrum!$M:$M,"CY2024Q3"),0)),"")</f>
        <v/>
      </c>
      <c r="N16" s="9" t="str">
        <f>IFERROR(1/(1/ROUND(SUMIFS(Spectrum!$N:$N,Spectrum!$Q:$Q,"="&amp;$B16,Spectrum!$K:$K,$C16,Spectrum!$G:$G,N$14,Spectrum!$M:$M,"CY2025Q3"),0)),IFERROR(1/(1/SUM($J16,$M16)),""))</f>
        <v/>
      </c>
      <c r="O16" s="90">
        <f t="shared" si="1"/>
        <v>0.9</v>
      </c>
      <c r="P16" s="14">
        <f t="shared" ref="P16:P33" si="12">IFERROR(1/(1/IF(SUM($N16)=0,SUM($G16),ROUND(SUM($N16)*SUM($O16),0))),"")</f>
        <v>31</v>
      </c>
      <c r="Q16" s="90">
        <f t="shared" si="2"/>
        <v>9.0481436294814375E-4</v>
      </c>
      <c r="R16" s="83" t="str">
        <f t="shared" si="3"/>
        <v/>
      </c>
      <c r="S16" s="9">
        <f t="shared" si="4"/>
        <v>31</v>
      </c>
      <c r="T16" s="90" t="str">
        <f t="shared" si="5"/>
        <v/>
      </c>
      <c r="U16" s="94">
        <v>0.98</v>
      </c>
      <c r="V16" s="90">
        <v>0.98</v>
      </c>
      <c r="W16" s="14" t="str">
        <f t="shared" si="6"/>
        <v/>
      </c>
      <c r="X16" s="90">
        <v>1</v>
      </c>
      <c r="Y16" s="9" t="str">
        <f t="shared" si="7"/>
        <v/>
      </c>
      <c r="Z16" s="94">
        <v>0.7</v>
      </c>
      <c r="AA16" s="14">
        <f t="shared" si="8"/>
        <v>31</v>
      </c>
      <c r="AB16" s="90">
        <v>0.95</v>
      </c>
      <c r="AC16" s="9">
        <f t="shared" si="9"/>
        <v>29</v>
      </c>
      <c r="AD16" s="94">
        <v>0.95</v>
      </c>
      <c r="AE16" s="9">
        <f t="shared" si="10"/>
        <v>28</v>
      </c>
      <c r="AF16" s="94">
        <v>0.95</v>
      </c>
      <c r="AG16" s="9" t="str">
        <f t="shared" si="11"/>
        <v/>
      </c>
      <c r="AH16" s="150"/>
      <c r="AI16" s="151"/>
      <c r="AJ16" s="151"/>
      <c r="AK16" s="151"/>
      <c r="AL16" s="151"/>
      <c r="AM16" s="151"/>
      <c r="AN16" s="151"/>
      <c r="AO16" s="151"/>
      <c r="AP16" s="151"/>
      <c r="AQ16" s="152"/>
      <c r="AR16" s="153"/>
      <c r="AS16" s="153"/>
      <c r="AT16" s="153"/>
      <c r="AU16" s="153"/>
      <c r="AV16" s="153"/>
      <c r="AW16" s="153"/>
      <c r="AX16" s="153"/>
      <c r="AY16" s="153"/>
      <c r="AZ16" s="151"/>
      <c r="BA16" s="154"/>
      <c r="BB16" s="151"/>
      <c r="BC16" s="151"/>
      <c r="BD16" s="102"/>
      <c r="BE16" s="154"/>
      <c r="BF16" s="102"/>
      <c r="BG16" s="151"/>
      <c r="BH16" s="154"/>
      <c r="BI16" s="155"/>
      <c r="BJ16" s="155"/>
      <c r="BK16" s="155"/>
      <c r="BL16" s="102"/>
      <c r="BM16" s="102"/>
      <c r="BN16" s="102"/>
      <c r="BO16" s="155"/>
      <c r="BP16" s="155"/>
      <c r="BQ16" s="154"/>
      <c r="BR16" s="155"/>
      <c r="BS16" s="156"/>
      <c r="BT16" s="102"/>
      <c r="BU16" s="102"/>
      <c r="BV16" s="154"/>
      <c r="BW16" s="155"/>
      <c r="BX16" s="155"/>
      <c r="BY16" s="155"/>
      <c r="BZ16" s="102"/>
      <c r="CA16" s="102"/>
      <c r="CB16" s="102"/>
      <c r="CC16" s="155"/>
      <c r="CD16" s="151"/>
      <c r="CE16" s="154"/>
      <c r="CF16" s="155"/>
      <c r="CG16" s="151"/>
      <c r="CH16" s="102"/>
      <c r="CI16" s="102"/>
      <c r="CJ16" s="154"/>
      <c r="CK16" s="155"/>
      <c r="CL16" s="155"/>
      <c r="CM16" s="155"/>
      <c r="CN16" s="155"/>
      <c r="CO16" s="155"/>
      <c r="CP16" s="155"/>
      <c r="CQ16" s="155"/>
      <c r="CR16" s="151"/>
      <c r="CS16" s="154"/>
      <c r="CT16" s="155"/>
      <c r="CU16" s="102"/>
      <c r="CV16" s="102"/>
      <c r="CW16" s="151"/>
      <c r="CX16" s="151"/>
      <c r="CY16" s="154"/>
      <c r="CZ16" s="102"/>
      <c r="DA16" s="151"/>
      <c r="DB16" s="154"/>
      <c r="DC16" s="102"/>
      <c r="DD16" s="151"/>
      <c r="DE16" s="154"/>
      <c r="DF16" s="155"/>
      <c r="DG16" s="151"/>
      <c r="DH16" s="151"/>
      <c r="DI16" s="102"/>
      <c r="DJ16" s="151"/>
      <c r="DK16" s="150"/>
      <c r="DL16" s="151"/>
      <c r="DM16" s="151"/>
      <c r="DN16" s="151"/>
      <c r="DO16" s="151"/>
      <c r="DP16" s="151"/>
      <c r="DQ16" s="102"/>
      <c r="DR16" s="102"/>
      <c r="DS16" s="102"/>
      <c r="DT16" s="102"/>
      <c r="DU16" s="154"/>
      <c r="DV16" s="151"/>
      <c r="DW16" s="151"/>
      <c r="DX16" s="151"/>
      <c r="DY16" s="102"/>
      <c r="DZ16" s="102"/>
      <c r="EA16" s="150"/>
      <c r="EB16" s="102"/>
      <c r="EC16" s="102"/>
      <c r="ED16" s="154"/>
      <c r="EE16" s="155"/>
      <c r="EF16" s="155"/>
      <c r="EG16" s="155"/>
      <c r="EH16" s="102"/>
      <c r="EI16" s="102"/>
      <c r="EJ16" s="102"/>
      <c r="EK16" s="102"/>
      <c r="EL16" s="151"/>
      <c r="EM16" s="151"/>
      <c r="EN16" s="151"/>
      <c r="EO16" s="151"/>
      <c r="EP16" s="150"/>
      <c r="EQ16" s="102"/>
      <c r="ER16" s="154"/>
      <c r="ES16" s="155"/>
      <c r="ET16" s="102"/>
      <c r="EU16" s="102"/>
      <c r="EV16" s="151"/>
      <c r="EW16" s="151"/>
      <c r="EX16" s="154"/>
      <c r="EY16" s="102"/>
      <c r="EZ16" s="151"/>
      <c r="FA16" s="154"/>
      <c r="FB16" s="102"/>
      <c r="FC16" s="156"/>
    </row>
    <row r="17" spans="1:159" x14ac:dyDescent="0.2">
      <c r="A17" t="s">
        <v>222</v>
      </c>
      <c r="B17" s="13" t="s">
        <v>362</v>
      </c>
      <c r="C17" s="13" t="s">
        <v>29</v>
      </c>
      <c r="E17" s="87" t="str">
        <f>IFERROR(1/(1/IF($B17="&lt;01",ROUND(SUM(EID!$L:$L)/2,0),SUMIFS(HTS!$AM:$AM,HTS!$C:$C,$B17,HTS!$D:$D,$C17))),"")</f>
        <v/>
      </c>
      <c r="F17" s="14" t="str">
        <f>IFERROR(1/(1/IF($B17="&lt;01",ROUND(SUM(EID!$N:$N)/2,0),SUMIFS(Cascade!$AX:$AX,Cascade!$C:$C,$B17,Cascade!$D:$D,$C17))),"")</f>
        <v/>
      </c>
      <c r="G17" s="14" t="str">
        <f>IFERROR(1/(1/IF($B17="&lt;01",ROUND(SUM(EID!$P:$P)/2,0),SUMIFS(Cascade!$AP:$AP,Cascade!$C:$C,$B17,Cascade!$D:$D,$C17))),"")</f>
        <v/>
      </c>
      <c r="H17" s="14" t="str">
        <f>IFERROR(1/(1/IF($B17="&lt;01",ROUND(SUM(EID!$T:$T)/2,0),SUMIFS(Cascade!$BB:$BB,Cascade!$C:$C,$B17,Cascade!$D:$D,$C17))),"")</f>
        <v/>
      </c>
      <c r="I17" s="14" t="str">
        <f>IFERROR(1/(1/IF($B17="&lt;01",ROUND(SUM(EID!$V:$V)/2,0),SUMIFS(Cascade!$BE:$BE,Cascade!$C:$C,$B17,Cascade!$D:$D,$C17))),"")</f>
        <v/>
      </c>
      <c r="J17" s="14" t="str">
        <f>IFERROR(1/(1/SUMIFS(Cascade!$AJ:$AJ,Cascade!$C:$C,"="&amp;$B17,Cascade!$D:$D,$C17)),"")</f>
        <v/>
      </c>
      <c r="K17" s="14">
        <f>IFERROR(1/(1/SUMIFS(Cascade!$AQ:$AQ,Cascade!$C:$C,"="&amp;$B17,Cascade!$D:$D,$C17)),"")</f>
        <v>39317</v>
      </c>
      <c r="L17" s="90" t="str">
        <f t="shared" si="0"/>
        <v/>
      </c>
      <c r="M17" s="87" t="str">
        <f>IFERROR(1/(1/ROUND(SUMIFS(Spectrum!$N:$N,Spectrum!$Q:$Q,"="&amp;$B17,Spectrum!$K:$K,$C17,Spectrum!$G:$G,M$14,Spectrum!$M:$M,"CY2024Q3"),0)),"")</f>
        <v/>
      </c>
      <c r="N17" s="9" t="str">
        <f>IFERROR(1/(1/ROUND(SUMIFS(Spectrum!$N:$N,Spectrum!$Q:$Q,"="&amp;$B17,Spectrum!$K:$K,$C17,Spectrum!$G:$G,N$14,Spectrum!$M:$M,"CY2025Q3"),0)),IFERROR(1/(1/SUM($J17,$M17)),""))</f>
        <v/>
      </c>
      <c r="O17" s="90">
        <f t="shared" si="1"/>
        <v>0.9</v>
      </c>
      <c r="P17" s="14" t="str">
        <f t="shared" si="12"/>
        <v/>
      </c>
      <c r="Q17" s="90">
        <f t="shared" si="2"/>
        <v>0</v>
      </c>
      <c r="R17" s="83" t="str">
        <f t="shared" si="3"/>
        <v/>
      </c>
      <c r="S17" s="9">
        <f t="shared" si="4"/>
        <v>39317</v>
      </c>
      <c r="T17" s="90" t="str">
        <f t="shared" si="5"/>
        <v/>
      </c>
      <c r="U17" s="94">
        <v>0.98</v>
      </c>
      <c r="V17" s="90">
        <v>0.98</v>
      </c>
      <c r="W17" s="14" t="str">
        <f t="shared" si="6"/>
        <v/>
      </c>
      <c r="X17" s="90">
        <v>1</v>
      </c>
      <c r="Y17" s="9" t="str">
        <f t="shared" si="7"/>
        <v/>
      </c>
      <c r="Z17" s="94">
        <v>0.7</v>
      </c>
      <c r="AA17" s="14" t="str">
        <f t="shared" si="8"/>
        <v/>
      </c>
      <c r="AB17" s="90">
        <v>0.95</v>
      </c>
      <c r="AC17" s="9" t="str">
        <f t="shared" si="9"/>
        <v/>
      </c>
      <c r="AD17" s="94">
        <v>0.95</v>
      </c>
      <c r="AE17" s="9" t="str">
        <f t="shared" si="10"/>
        <v/>
      </c>
      <c r="AF17" s="94">
        <v>0.95</v>
      </c>
      <c r="AG17" s="9" t="str">
        <f t="shared" si="11"/>
        <v/>
      </c>
      <c r="AH17" s="150"/>
      <c r="AI17" s="151"/>
      <c r="AJ17" s="90" t="str">
        <f>IFERROR(1/(1/SUMIFS(TB!$P:$P,TB!$C:$C,$B17,TB!$D:$D,$C17))/SUM($E17),"")</f>
        <v/>
      </c>
      <c r="AK17" s="151"/>
      <c r="AL17" s="90" t="str">
        <f>IFERROR(1/(1/SUMIFS(HTS!$X:$X,HTS!$C:$C,$B17,HTS!$D:$D,$C17))/SUM($E17),"")</f>
        <v/>
      </c>
      <c r="AM17" s="90" t="str">
        <f>IFERROR(1/(1/SUMIFS(HTS!$AA:$AA,HTS!$C:$C,$B17,HTS!$D:$D,$C17))/SUM($E17),"")</f>
        <v/>
      </c>
      <c r="AN17" s="90" t="str">
        <f>IFERROR(1/(1/SUMIFS(HTS!$AD:$AD,HTS!$C:$C,$B17,HTS!$D:$D,$C17))/SUM($E17),"")</f>
        <v/>
      </c>
      <c r="AO17" s="90" t="str">
        <f>IFERROR(1/(1/SUMIFS(HTS!$AG:$AG,HTS!$C:$C,$B17,HTS!$D:$D,$C17))/SUM($E17),"")</f>
        <v/>
      </c>
      <c r="AP17" s="90" t="str">
        <f>IFERROR(1/(1/SUMIFS(HTS!$AJ:$AJ,HTS!$C:$C,$B17,HTS!$D:$D,$C17))/SUM($E17),"")</f>
        <v/>
      </c>
      <c r="AQ17" s="152"/>
      <c r="AR17" s="153"/>
      <c r="AS17" s="145" t="str">
        <f t="shared" ref="AS17:AS28" si="13">AJ17</f>
        <v/>
      </c>
      <c r="AT17" s="153"/>
      <c r="AU17" s="145" t="str">
        <f t="shared" ref="AU17:AU28" si="14">AL17</f>
        <v/>
      </c>
      <c r="AV17" s="145" t="str">
        <f t="shared" ref="AV17:AV28" si="15">AM17</f>
        <v/>
      </c>
      <c r="AW17" s="145" t="str">
        <f t="shared" ref="AW17:AW28" si="16">AN17</f>
        <v/>
      </c>
      <c r="AX17" s="145" t="str">
        <f t="shared" ref="AX17:AX28" si="17">AO17</f>
        <v/>
      </c>
      <c r="AY17" s="145" t="str">
        <f t="shared" ref="AY17:AY28" si="18">AP17</f>
        <v/>
      </c>
      <c r="AZ17" s="90" t="str">
        <f t="shared" ref="AZ17:AZ28" si="19">IFERROR(1/(1/SUM(AQ17:AY17)),"")</f>
        <v/>
      </c>
      <c r="BA17" s="154"/>
      <c r="BB17" s="151"/>
      <c r="BC17" s="151"/>
      <c r="BD17" s="102"/>
      <c r="BE17" s="154"/>
      <c r="BF17" s="102"/>
      <c r="BG17" s="151"/>
      <c r="BH17" s="154"/>
      <c r="BI17" s="155"/>
      <c r="BJ17" s="155"/>
      <c r="BK17" s="155"/>
      <c r="BL17" s="102"/>
      <c r="BM17" s="102"/>
      <c r="BN17" s="102"/>
      <c r="BO17" s="155"/>
      <c r="BP17" s="155"/>
      <c r="BQ17" s="154"/>
      <c r="BR17" s="155"/>
      <c r="BS17" s="156"/>
      <c r="BT17" s="102"/>
      <c r="BU17" s="102"/>
      <c r="BV17" s="154"/>
      <c r="BW17" s="155"/>
      <c r="BX17" s="155"/>
      <c r="BY17" s="155"/>
      <c r="BZ17" s="102"/>
      <c r="CA17" s="102"/>
      <c r="CB17" s="102"/>
      <c r="CC17" s="155"/>
      <c r="CD17" s="151"/>
      <c r="CE17" s="154"/>
      <c r="CF17" s="155"/>
      <c r="CG17" s="90">
        <f t="shared" ref="CG17:CG28" si="20">AF17</f>
        <v>0.95</v>
      </c>
      <c r="CI17" s="9" t="str">
        <f t="shared" ref="CI17:CI28" si="21">IF(SUM($AG17)=0,"",IF(AND($AS17="",SUM($AG17)&gt;0),"&lt;- Enter Linkage Rate",ROUND($AG17*$AS17*$CG17,0)))</f>
        <v/>
      </c>
      <c r="CS17" s="154"/>
      <c r="CT17" s="155"/>
      <c r="CU17" s="102"/>
      <c r="CV17" s="102"/>
      <c r="CW17" s="151"/>
      <c r="CX17" s="151"/>
      <c r="CY17" s="154"/>
      <c r="CZ17" s="102"/>
      <c r="DA17" s="151"/>
      <c r="DB17" s="154"/>
      <c r="DC17" s="102"/>
      <c r="DD17" s="151"/>
      <c r="DE17" s="154"/>
      <c r="DF17" s="155"/>
      <c r="DG17" s="151"/>
      <c r="DH17" s="151"/>
      <c r="DI17" s="102"/>
      <c r="DJ17" s="151"/>
      <c r="DK17" s="150"/>
      <c r="DL17" s="151"/>
      <c r="DM17" s="151"/>
      <c r="DN17" s="151"/>
      <c r="DO17" s="151"/>
      <c r="DP17" s="151"/>
      <c r="DQ17" s="102"/>
      <c r="DR17" s="102"/>
      <c r="DS17" s="102"/>
      <c r="DT17" s="102"/>
      <c r="DU17" s="154"/>
      <c r="DV17" s="151"/>
      <c r="DW17" s="151"/>
      <c r="DX17" s="151"/>
      <c r="DY17" s="102"/>
      <c r="DZ17" s="102"/>
      <c r="EA17" s="150"/>
      <c r="EB17" s="102"/>
      <c r="EC17" s="102"/>
      <c r="ED17" s="154"/>
      <c r="EE17" s="155"/>
      <c r="EF17" s="155"/>
      <c r="EG17" s="155"/>
      <c r="EH17" s="102"/>
      <c r="EI17" s="102"/>
      <c r="EJ17" s="102"/>
      <c r="EK17" s="102"/>
      <c r="EL17" s="151"/>
      <c r="EM17" s="151"/>
      <c r="EN17" s="151"/>
      <c r="EO17" s="151"/>
      <c r="EP17" s="150"/>
      <c r="EQ17" s="102"/>
      <c r="ER17" s="154"/>
      <c r="ES17" s="155"/>
      <c r="ET17" s="102"/>
      <c r="EU17" s="102"/>
      <c r="EV17" s="151"/>
      <c r="EW17" s="151"/>
      <c r="EX17" s="154"/>
      <c r="EY17" s="102"/>
      <c r="EZ17" s="151"/>
      <c r="FA17" s="154"/>
      <c r="FB17" s="102"/>
      <c r="FC17" s="156"/>
    </row>
    <row r="18" spans="1:159" x14ac:dyDescent="0.2">
      <c r="A18" t="s">
        <v>222</v>
      </c>
      <c r="B18" s="13" t="s">
        <v>362</v>
      </c>
      <c r="C18" t="s">
        <v>47</v>
      </c>
      <c r="E18" s="87" t="str">
        <f>IFERROR(1/(1/IF($B18="&lt;01",ROUND(SUM(EID!$L:$L)/2,0),SUMIFS(HTS!$AM:$AM,HTS!$C:$C,$B18,HTS!$D:$D,$C18))),"")</f>
        <v/>
      </c>
      <c r="F18" s="14" t="str">
        <f>IFERROR(1/(1/IF($B18="&lt;01",ROUND(SUM(EID!$N:$N)/2,0),SUMIFS(Cascade!$AX:$AX,Cascade!$C:$C,$B18,Cascade!$D:$D,$C18))),"")</f>
        <v/>
      </c>
      <c r="G18" s="14" t="str">
        <f>IFERROR(1/(1/IF($B18="&lt;01",ROUND(SUM(EID!$P:$P)/2,0),SUMIFS(Cascade!$AP:$AP,Cascade!$C:$C,$B18,Cascade!$D:$D,$C18))),"")</f>
        <v/>
      </c>
      <c r="H18" s="14" t="str">
        <f>IFERROR(1/(1/IF($B18="&lt;01",ROUND(SUM(EID!$T:$T)/2,0),SUMIFS(Cascade!$BB:$BB,Cascade!$C:$C,$B18,Cascade!$D:$D,$C18))),"")</f>
        <v/>
      </c>
      <c r="I18" s="14" t="str">
        <f>IFERROR(1/(1/IF($B18="&lt;01",ROUND(SUM(EID!$V:$V)/2,0),SUMIFS(Cascade!$BE:$BE,Cascade!$C:$C,$B18,Cascade!$D:$D,$C18))),"")</f>
        <v/>
      </c>
      <c r="J18" s="14" t="str">
        <f>IFERROR(1/(1/SUMIFS(Cascade!$AJ:$AJ,Cascade!$C:$C,"="&amp;$B18,Cascade!$D:$D,$C18)),"")</f>
        <v/>
      </c>
      <c r="K18" s="14">
        <f>IFERROR(1/(1/SUMIFS(Cascade!$AQ:$AQ,Cascade!$C:$C,"="&amp;$B18,Cascade!$D:$D,$C18)),"")</f>
        <v>38907</v>
      </c>
      <c r="L18" s="90" t="str">
        <f t="shared" si="0"/>
        <v/>
      </c>
      <c r="M18" s="87" t="str">
        <f>IFERROR(1/(1/ROUND(SUMIFS(Spectrum!$N:$N,Spectrum!$Q:$Q,"="&amp;$B18,Spectrum!$K:$K,$C18,Spectrum!$G:$G,M$14,Spectrum!$M:$M,"CY2024Q3"),0)),"")</f>
        <v/>
      </c>
      <c r="N18" s="9" t="str">
        <f>IFERROR(1/(1/ROUND(SUMIFS(Spectrum!$N:$N,Spectrum!$Q:$Q,"="&amp;$B18,Spectrum!$K:$K,$C18,Spectrum!$G:$G,N$14,Spectrum!$M:$M,"CY2025Q3"),0)),IFERROR(1/(1/SUM($J18,$M18)),""))</f>
        <v/>
      </c>
      <c r="O18" s="90">
        <f t="shared" si="1"/>
        <v>0.9</v>
      </c>
      <c r="P18" s="14" t="str">
        <f t="shared" si="12"/>
        <v/>
      </c>
      <c r="Q18" s="90">
        <f t="shared" si="2"/>
        <v>0</v>
      </c>
      <c r="R18" s="83" t="str">
        <f t="shared" si="3"/>
        <v/>
      </c>
      <c r="S18" s="9">
        <f t="shared" si="4"/>
        <v>38907</v>
      </c>
      <c r="T18" s="90" t="str">
        <f t="shared" si="5"/>
        <v/>
      </c>
      <c r="U18" s="94">
        <v>0.98</v>
      </c>
      <c r="V18" s="90">
        <v>0.98</v>
      </c>
      <c r="W18" s="14" t="str">
        <f t="shared" si="6"/>
        <v/>
      </c>
      <c r="X18" s="90">
        <v>1</v>
      </c>
      <c r="Y18" s="9" t="str">
        <f t="shared" si="7"/>
        <v/>
      </c>
      <c r="Z18" s="94">
        <v>0.7</v>
      </c>
      <c r="AA18" s="14" t="str">
        <f t="shared" si="8"/>
        <v/>
      </c>
      <c r="AB18" s="90">
        <v>0.95</v>
      </c>
      <c r="AC18" s="9" t="str">
        <f t="shared" si="9"/>
        <v/>
      </c>
      <c r="AD18" s="94">
        <v>0.95</v>
      </c>
      <c r="AE18" s="9" t="str">
        <f t="shared" si="10"/>
        <v/>
      </c>
      <c r="AF18" s="94">
        <v>0.95</v>
      </c>
      <c r="AG18" s="9" t="str">
        <f t="shared" si="11"/>
        <v/>
      </c>
      <c r="AH18" s="150"/>
      <c r="AI18" s="151"/>
      <c r="AJ18" s="90" t="str">
        <f>IFERROR(1/(1/SUMIFS(TB!$P:$P,TB!$C:$C,$B18,TB!$D:$D,$C18))/SUM($E18),"")</f>
        <v/>
      </c>
      <c r="AK18" s="151"/>
      <c r="AL18" s="90" t="str">
        <f>IFERROR(1/(1/SUMIFS(HTS!$X:$X,HTS!$C:$C,$B18,HTS!$D:$D,$C18))/SUM($E18),"")</f>
        <v/>
      </c>
      <c r="AM18" s="90" t="str">
        <f>IFERROR(1/(1/SUMIFS(HTS!$AA:$AA,HTS!$C:$C,$B18,HTS!$D:$D,$C18))/SUM($E18),"")</f>
        <v/>
      </c>
      <c r="AN18" s="90" t="str">
        <f>IFERROR(1/(1/SUMIFS(HTS!$AD:$AD,HTS!$C:$C,$B18,HTS!$D:$D,$C18))/SUM($E18),"")</f>
        <v/>
      </c>
      <c r="AO18" s="90" t="str">
        <f>IFERROR(1/(1/SUMIFS(HTS!$AG:$AG,HTS!$C:$C,$B18,HTS!$D:$D,$C18))/SUM($E18),"")</f>
        <v/>
      </c>
      <c r="AP18" s="90" t="str">
        <f>IFERROR(1/(1/SUMIFS(HTS!$AJ:$AJ,HTS!$C:$C,$B18,HTS!$D:$D,$C18))/SUM($E18),"")</f>
        <v/>
      </c>
      <c r="AQ18" s="152"/>
      <c r="AR18" s="153"/>
      <c r="AS18" s="145" t="str">
        <f t="shared" si="13"/>
        <v/>
      </c>
      <c r="AT18" s="153"/>
      <c r="AU18" s="145" t="str">
        <f t="shared" si="14"/>
        <v/>
      </c>
      <c r="AV18" s="145" t="str">
        <f t="shared" si="15"/>
        <v/>
      </c>
      <c r="AW18" s="145" t="str">
        <f t="shared" si="16"/>
        <v/>
      </c>
      <c r="AX18" s="145" t="str">
        <f t="shared" si="17"/>
        <v/>
      </c>
      <c r="AY18" s="145" t="str">
        <f t="shared" si="18"/>
        <v/>
      </c>
      <c r="AZ18" s="90" t="str">
        <f t="shared" si="19"/>
        <v/>
      </c>
      <c r="BA18" s="154"/>
      <c r="BB18" s="151"/>
      <c r="BC18" s="151"/>
      <c r="BD18" s="102"/>
      <c r="BE18" s="154"/>
      <c r="BF18" s="102"/>
      <c r="BG18" s="151"/>
      <c r="BH18" s="154"/>
      <c r="BI18" s="155"/>
      <c r="BJ18" s="155"/>
      <c r="BK18" s="155"/>
      <c r="BL18" s="102"/>
      <c r="BM18" s="102"/>
      <c r="BN18" s="102"/>
      <c r="BO18" s="155"/>
      <c r="BP18" s="155"/>
      <c r="BQ18" s="154"/>
      <c r="BR18" s="155"/>
      <c r="BS18" s="156"/>
      <c r="BT18" s="102"/>
      <c r="BU18" s="102"/>
      <c r="BV18" s="154"/>
      <c r="BW18" s="155"/>
      <c r="BX18" s="155"/>
      <c r="BY18" s="155"/>
      <c r="BZ18" s="102"/>
      <c r="CA18" s="102"/>
      <c r="CB18" s="102"/>
      <c r="CC18" s="155"/>
      <c r="CD18" s="151"/>
      <c r="CE18" s="154"/>
      <c r="CF18" s="155"/>
      <c r="CG18" s="90">
        <f t="shared" si="20"/>
        <v>0.95</v>
      </c>
      <c r="CI18" s="9" t="str">
        <f t="shared" si="21"/>
        <v/>
      </c>
      <c r="CS18" s="154"/>
      <c r="CT18" s="155"/>
      <c r="CU18" s="102"/>
      <c r="CV18" s="102"/>
      <c r="CW18" s="151"/>
      <c r="CX18" s="151"/>
      <c r="CY18" s="154"/>
      <c r="CZ18" s="102"/>
      <c r="DA18" s="151"/>
      <c r="DB18" s="154"/>
      <c r="DC18" s="102"/>
      <c r="DD18" s="151"/>
      <c r="DE18" s="154"/>
      <c r="DF18" s="155"/>
      <c r="DG18" s="151"/>
      <c r="DH18" s="151"/>
      <c r="DI18" s="102"/>
      <c r="DJ18" s="151"/>
      <c r="DK18" s="150"/>
      <c r="DL18" s="151"/>
      <c r="DM18" s="151"/>
      <c r="DN18" s="151"/>
      <c r="DO18" s="151"/>
      <c r="DP18" s="151"/>
      <c r="DQ18" s="102"/>
      <c r="DR18" s="102"/>
      <c r="DS18" s="102"/>
      <c r="DT18" s="102"/>
      <c r="DU18" s="154"/>
      <c r="DV18" s="151"/>
      <c r="DW18" s="151"/>
      <c r="DX18" s="151"/>
      <c r="DY18" s="102"/>
      <c r="DZ18" s="102"/>
      <c r="EA18" s="150"/>
      <c r="EB18" s="102"/>
      <c r="EC18" s="102"/>
      <c r="ED18" s="154"/>
      <c r="EE18" s="155"/>
      <c r="EF18" s="155"/>
      <c r="EG18" s="155"/>
      <c r="EH18" s="102"/>
      <c r="EI18" s="102"/>
      <c r="EJ18" s="102"/>
      <c r="EK18" s="102"/>
      <c r="EL18" s="151"/>
      <c r="EM18" s="151"/>
      <c r="EN18" s="151"/>
      <c r="EO18" s="151"/>
      <c r="EP18" s="150"/>
      <c r="EQ18" s="102"/>
      <c r="ER18" s="154"/>
      <c r="ES18" s="155"/>
      <c r="ET18" s="102"/>
      <c r="EU18" s="102"/>
      <c r="EV18" s="151"/>
      <c r="EW18" s="151"/>
      <c r="EX18" s="154"/>
      <c r="EY18" s="102"/>
      <c r="EZ18" s="151"/>
      <c r="FA18" s="154"/>
      <c r="FB18" s="102"/>
      <c r="FC18" s="156"/>
    </row>
    <row r="19" spans="1:159" x14ac:dyDescent="0.2">
      <c r="A19" t="s">
        <v>222</v>
      </c>
      <c r="B19" s="13" t="s">
        <v>363</v>
      </c>
      <c r="C19" s="13" t="s">
        <v>29</v>
      </c>
      <c r="E19" s="87">
        <f>IFERROR(1/(1/IF($B19="&lt;01",ROUND(SUM(EID!$L:$L)/2,0),SUMIFS(HTS!$AM:$AM,HTS!$C:$C,$B19,HTS!$D:$D,$C19))),"")</f>
        <v>-3359.9999999999995</v>
      </c>
      <c r="F19" s="14">
        <f>IFERROR(1/(1/IF($B19="&lt;01",ROUND(SUM(EID!$N:$N)/2,0),SUMIFS(Cascade!$AX:$AX,Cascade!$C:$C,$B19,Cascade!$D:$D,$C19))),"")</f>
        <v>-2938</v>
      </c>
      <c r="G19" s="14" t="str">
        <f>IFERROR(1/(1/IF($B19="&lt;01",ROUND(SUM(EID!$P:$P)/2,0),SUMIFS(Cascade!$AP:$AP,Cascade!$C:$C,$B19,Cascade!$D:$D,$C19))),"")</f>
        <v/>
      </c>
      <c r="H19" s="14">
        <f>IFERROR(1/(1/IF($B19="&lt;01",ROUND(SUM(EID!$T:$T)/2,0),SUMIFS(Cascade!$BB:$BB,Cascade!$C:$C,$B19,Cascade!$D:$D,$C19))),"")</f>
        <v>842.99999999999989</v>
      </c>
      <c r="I19" s="14">
        <f>IFERROR(1/(1/IF($B19="&lt;01",ROUND(SUM(EID!$V:$V)/2,0),SUMIFS(Cascade!$BE:$BE,Cascade!$C:$C,$B19,Cascade!$D:$D,$C19))),"")</f>
        <v>804</v>
      </c>
      <c r="J19" s="14" t="str">
        <f>IFERROR(1/(1/SUMIFS(Cascade!$AJ:$AJ,Cascade!$C:$C,"="&amp;$B19,Cascade!$D:$D,$C19)),"")</f>
        <v/>
      </c>
      <c r="K19" s="14">
        <f>IFERROR(1/(1/SUMIFS(Cascade!$AQ:$AQ,Cascade!$C:$C,"="&amp;$B19,Cascade!$D:$D,$C19)),"")</f>
        <v>33121</v>
      </c>
      <c r="L19" s="90" t="str">
        <f t="shared" si="0"/>
        <v/>
      </c>
      <c r="M19" s="87" t="str">
        <f>IFERROR(1/(1/ROUND(SUMIFS(Spectrum!$N:$N,Spectrum!$Q:$Q,"="&amp;$B19,Spectrum!$K:$K,$C19,Spectrum!$G:$G,M$14,Spectrum!$M:$M,"CY2024Q3"),0)),"")</f>
        <v/>
      </c>
      <c r="N19" s="9" t="str">
        <f>IFERROR(1/(1/ROUND(SUMIFS(Spectrum!$N:$N,Spectrum!$Q:$Q,"="&amp;$B19,Spectrum!$K:$K,$C19,Spectrum!$G:$G,N$14,Spectrum!$M:$M,"CY2025Q3"),0)),IFERROR(1/(1/SUM($J19,$M19)),""))</f>
        <v/>
      </c>
      <c r="O19" s="90">
        <f t="shared" si="1"/>
        <v>0.9</v>
      </c>
      <c r="P19" s="14" t="str">
        <f t="shared" si="12"/>
        <v/>
      </c>
      <c r="Q19" s="90">
        <f t="shared" si="2"/>
        <v>0</v>
      </c>
      <c r="R19" s="83" t="str">
        <f t="shared" si="3"/>
        <v/>
      </c>
      <c r="S19" s="9">
        <f t="shared" si="4"/>
        <v>33121</v>
      </c>
      <c r="T19" s="90" t="str">
        <f t="shared" si="5"/>
        <v/>
      </c>
      <c r="U19" s="94">
        <v>0.98</v>
      </c>
      <c r="V19" s="90">
        <v>0.98</v>
      </c>
      <c r="W19" s="14" t="str">
        <f t="shared" si="6"/>
        <v/>
      </c>
      <c r="X19" s="90">
        <v>1</v>
      </c>
      <c r="Y19" s="9" t="str">
        <f t="shared" si="7"/>
        <v/>
      </c>
      <c r="Z19" s="94">
        <v>0.7</v>
      </c>
      <c r="AA19" s="14" t="str">
        <f t="shared" si="8"/>
        <v/>
      </c>
      <c r="AB19" s="90">
        <v>0.95</v>
      </c>
      <c r="AC19" s="9" t="str">
        <f t="shared" si="9"/>
        <v/>
      </c>
      <c r="AD19" s="94">
        <v>0.95</v>
      </c>
      <c r="AE19" s="9" t="str">
        <f t="shared" si="10"/>
        <v/>
      </c>
      <c r="AF19" s="94">
        <v>0.95</v>
      </c>
      <c r="AG19" s="9" t="str">
        <f t="shared" si="11"/>
        <v/>
      </c>
      <c r="AH19" s="94">
        <f>IFERROR(1/(1/SUMIFS(PMTCT!$AC:$AC,PMTCT!$C:$C,$B19,PMTCT!$D:$D,$C19))/SUM($E19),"")</f>
        <v>-4.4642857142857149E-3</v>
      </c>
      <c r="AI19" s="90">
        <f>IFERROR(1/(1/SUMIFS(PMTCT!$AS:$AS,PMTCT!$C:$C,$B19,PMTCT!$D:$D,$C19))/SUM($E19),"")</f>
        <v>-4.4642857142857149E-3</v>
      </c>
      <c r="AJ19" s="90" t="str">
        <f>IFERROR(1/(1/SUMIFS(TB!$P:$P,TB!$C:$C,$B19,TB!$D:$D,$C19))/SUM($E19),"")</f>
        <v/>
      </c>
      <c r="AK19" s="151"/>
      <c r="AL19" s="90">
        <f>IFERROR(1/(1/SUMIFS(HTS!$X:$X,HTS!$C:$C,$B19,HTS!$D:$D,$C19))/SUM($E19),"")</f>
        <v>0.55267857142857146</v>
      </c>
      <c r="AM19" s="90" t="str">
        <f>IFERROR(1/(1/SUMIFS(HTS!$AA:$AA,HTS!$C:$C,$B19,HTS!$D:$D,$C19))/SUM($E19),"")</f>
        <v/>
      </c>
      <c r="AN19" s="90" t="str">
        <f>IFERROR(1/(1/SUMIFS(HTS!$AD:$AD,HTS!$C:$C,$B19,HTS!$D:$D,$C19))/SUM($E19),"")</f>
        <v/>
      </c>
      <c r="AO19" s="90" t="str">
        <f>IFERROR(1/(1/SUMIFS(HTS!$AG:$AG,HTS!$C:$C,$B19,HTS!$D:$D,$C19))/SUM($E19),"")</f>
        <v/>
      </c>
      <c r="AP19" s="90">
        <f>IFERROR(1/(1/SUMIFS(HTS!$AJ:$AJ,HTS!$C:$C,$B19,HTS!$D:$D,$C19))/SUM($E19),"")</f>
        <v>0.45625000000000004</v>
      </c>
      <c r="AQ19" s="144">
        <f>AH19</f>
        <v>-4.4642857142857149E-3</v>
      </c>
      <c r="AR19" s="145">
        <f>AI19</f>
        <v>-4.4642857142857149E-3</v>
      </c>
      <c r="AS19" s="145" t="str">
        <f t="shared" si="13"/>
        <v/>
      </c>
      <c r="AT19" s="153"/>
      <c r="AU19" s="145">
        <f t="shared" si="14"/>
        <v>0.55267857142857146</v>
      </c>
      <c r="AV19" s="145" t="str">
        <f t="shared" si="15"/>
        <v/>
      </c>
      <c r="AW19" s="145" t="str">
        <f t="shared" si="16"/>
        <v/>
      </c>
      <c r="AX19" s="145" t="str">
        <f t="shared" si="17"/>
        <v/>
      </c>
      <c r="AY19" s="145">
        <f t="shared" si="18"/>
        <v>0.45625000000000004</v>
      </c>
      <c r="AZ19" s="90">
        <f t="shared" si="19"/>
        <v>1</v>
      </c>
      <c r="BA19" s="154"/>
      <c r="BB19" s="151"/>
      <c r="BC19" s="151"/>
      <c r="BD19" s="102"/>
      <c r="BE19" s="87">
        <f>IFERROR(1/(1/SUMIFS(HTS!$AY:$AY,HTS!$C:$C,$B19,HTS!$D:$D,$C19)),"")</f>
        <v>10374</v>
      </c>
      <c r="BF19" s="9">
        <f t="shared" ref="BF19:BF33" si="22">BE19</f>
        <v>10374</v>
      </c>
      <c r="BG19" s="90">
        <f t="shared" ref="BG19:BG33" si="23">IF(SUM($BE19)=0,"",(SUM($BF19)-$BE19)/$BE19)</f>
        <v>0</v>
      </c>
      <c r="BK19" s="14">
        <f>SUM(BH19:BJ19)</f>
        <v>0</v>
      </c>
      <c r="BM19" s="9">
        <f>ROUND(SUM(AQ$19)*SUM(AG$19),0)</f>
        <v>0</v>
      </c>
      <c r="BO19" s="14">
        <f>SUM(BL19:BN19)</f>
        <v>0</v>
      </c>
      <c r="BS19" s="89">
        <f>$AF19</f>
        <v>0.95</v>
      </c>
      <c r="BU19" s="9" t="str">
        <f>IF(SUM($AG19)=0,"",IF(AND($AH19="",SUM($AG19)&gt;0),"&lt;- Enter Linkage Rate",ROUND($AG19*$AH19*$BS19,0)))</f>
        <v/>
      </c>
      <c r="CG19" s="90">
        <f t="shared" si="20"/>
        <v>0.95</v>
      </c>
      <c r="CI19" s="9" t="str">
        <f t="shared" si="21"/>
        <v/>
      </c>
      <c r="CS19" s="154"/>
      <c r="CT19" s="155"/>
      <c r="CU19" s="102"/>
      <c r="CV19" s="102"/>
      <c r="CW19" s="151"/>
      <c r="CX19" s="151"/>
      <c r="CY19" s="87">
        <f>IFERROR(1/(1/SUMIFS(PP!$H:$H,PP!$C:$C,$B19,PP!$D:$D,$C19)),"")</f>
        <v>260</v>
      </c>
      <c r="CZ19" s="9">
        <f t="shared" ref="CZ19:CZ28" si="24">CY19</f>
        <v>260</v>
      </c>
      <c r="DA19" s="90">
        <f t="shared" ref="DA19:DA28" si="25">IF(SUM($CY19)=0,"",(SUM($CZ19)-$CY19)/$CY19)</f>
        <v>0</v>
      </c>
      <c r="DB19" s="154"/>
      <c r="DC19" s="102"/>
      <c r="DD19" s="151"/>
      <c r="DE19" s="154"/>
      <c r="DF19" s="155"/>
      <c r="DG19" s="151"/>
      <c r="DH19" s="151"/>
      <c r="DI19" s="102"/>
      <c r="DJ19" s="151"/>
      <c r="DK19" s="150"/>
      <c r="DL19" s="151"/>
      <c r="DM19" s="151"/>
      <c r="DN19" s="151"/>
      <c r="DO19" s="151"/>
      <c r="DP19" s="151"/>
      <c r="DQ19" s="102"/>
      <c r="DR19" s="102"/>
      <c r="DS19" s="102"/>
      <c r="DT19" s="102"/>
      <c r="DU19" s="154"/>
      <c r="DV19" s="151"/>
      <c r="DW19" s="151"/>
      <c r="DX19" s="151"/>
      <c r="DY19" s="102"/>
      <c r="DZ19" s="102"/>
      <c r="EA19" s="150"/>
      <c r="EB19" s="102"/>
      <c r="EC19" s="102"/>
      <c r="ED19" s="154"/>
      <c r="EE19" s="155"/>
      <c r="EF19" s="155"/>
      <c r="EG19" s="155"/>
      <c r="EH19" s="102"/>
      <c r="EI19" s="102"/>
      <c r="EJ19" s="102"/>
      <c r="EK19" s="102"/>
      <c r="EL19" s="151"/>
      <c r="EM19" s="151"/>
      <c r="EN19" s="151"/>
      <c r="EO19" s="151"/>
      <c r="EP19" s="150"/>
      <c r="EQ19" s="102"/>
      <c r="ER19" s="154"/>
      <c r="ES19" s="155"/>
      <c r="ET19" s="102"/>
      <c r="EU19" s="102"/>
      <c r="EV19" s="151"/>
      <c r="EW19" s="151"/>
      <c r="EX19" s="154"/>
      <c r="EY19" s="102"/>
      <c r="EZ19" s="151"/>
      <c r="FA19" s="154"/>
      <c r="FB19" s="102"/>
      <c r="FC19" s="156"/>
    </row>
    <row r="20" spans="1:159" x14ac:dyDescent="0.2">
      <c r="A20" t="s">
        <v>222</v>
      </c>
      <c r="B20" s="13" t="s">
        <v>363</v>
      </c>
      <c r="C20" t="s">
        <v>47</v>
      </c>
      <c r="E20" s="87">
        <f>IFERROR(1/(1/IF($B20="&lt;01",ROUND(SUM(EID!$L:$L)/2,0),SUMIFS(HTS!$AM:$AM,HTS!$C:$C,$B20,HTS!$D:$D,$C20))),"")</f>
        <v>-3009.0000000000005</v>
      </c>
      <c r="F20" s="14">
        <f>IFERROR(1/(1/IF($B20="&lt;01",ROUND(SUM(EID!$N:$N)/2,0),SUMIFS(Cascade!$AX:$AX,Cascade!$C:$C,$B20,Cascade!$D:$D,$C20))),"")</f>
        <v>-3146.9999999999995</v>
      </c>
      <c r="G20" s="14" t="str">
        <f>IFERROR(1/(1/IF($B20="&lt;01",ROUND(SUM(EID!$P:$P)/2,0),SUMIFS(Cascade!$AP:$AP,Cascade!$C:$C,$B20,Cascade!$D:$D,$C20))),"")</f>
        <v/>
      </c>
      <c r="H20" s="14">
        <f>IFERROR(1/(1/IF($B20="&lt;01",ROUND(SUM(EID!$T:$T)/2,0),SUMIFS(Cascade!$BB:$BB,Cascade!$C:$C,$B20,Cascade!$D:$D,$C20))),"")</f>
        <v>901</v>
      </c>
      <c r="I20" s="14">
        <f>IFERROR(1/(1/IF($B20="&lt;01",ROUND(SUM(EID!$V:$V)/2,0),SUMIFS(Cascade!$BE:$BE,Cascade!$C:$C,$B20,Cascade!$D:$D,$C20))),"")</f>
        <v>860</v>
      </c>
      <c r="J20" s="14" t="str">
        <f>IFERROR(1/(1/SUMIFS(Cascade!$AJ:$AJ,Cascade!$C:$C,"="&amp;$B20,Cascade!$D:$D,$C20)),"")</f>
        <v/>
      </c>
      <c r="K20" s="14">
        <f>IFERROR(1/(1/SUMIFS(Cascade!$AQ:$AQ,Cascade!$C:$C,"="&amp;$B20,Cascade!$D:$D,$C20)),"")</f>
        <v>35097</v>
      </c>
      <c r="L20" s="90" t="str">
        <f t="shared" si="0"/>
        <v/>
      </c>
      <c r="M20" s="87" t="str">
        <f>IFERROR(1/(1/ROUND(SUMIFS(Spectrum!$N:$N,Spectrum!$Q:$Q,"="&amp;$B20,Spectrum!$K:$K,$C20,Spectrum!$G:$G,M$14,Spectrum!$M:$M,"CY2024Q3"),0)),"")</f>
        <v/>
      </c>
      <c r="N20" s="9" t="str">
        <f>IFERROR(1/(1/ROUND(SUMIFS(Spectrum!$N:$N,Spectrum!$Q:$Q,"="&amp;$B20,Spectrum!$K:$K,$C20,Spectrum!$G:$G,N$14,Spectrum!$M:$M,"CY2025Q3"),0)),IFERROR(1/(1/SUM($J20,$M20)),""))</f>
        <v/>
      </c>
      <c r="O20" s="90">
        <f t="shared" si="1"/>
        <v>0.9</v>
      </c>
      <c r="P20" s="14" t="str">
        <f t="shared" si="12"/>
        <v/>
      </c>
      <c r="Q20" s="90">
        <f t="shared" si="2"/>
        <v>0</v>
      </c>
      <c r="R20" s="83" t="str">
        <f t="shared" si="3"/>
        <v/>
      </c>
      <c r="S20" s="9">
        <f t="shared" si="4"/>
        <v>35097</v>
      </c>
      <c r="T20" s="90" t="str">
        <f t="shared" si="5"/>
        <v/>
      </c>
      <c r="U20" s="94">
        <v>0.98</v>
      </c>
      <c r="V20" s="90">
        <v>0.98</v>
      </c>
      <c r="W20" s="14" t="str">
        <f t="shared" si="6"/>
        <v/>
      </c>
      <c r="X20" s="90">
        <v>1</v>
      </c>
      <c r="Y20" s="9" t="str">
        <f t="shared" si="7"/>
        <v/>
      </c>
      <c r="Z20" s="94">
        <v>0.7</v>
      </c>
      <c r="AA20" s="14" t="str">
        <f t="shared" si="8"/>
        <v/>
      </c>
      <c r="AB20" s="90">
        <v>0.95</v>
      </c>
      <c r="AC20" s="9" t="str">
        <f t="shared" si="9"/>
        <v/>
      </c>
      <c r="AD20" s="94">
        <v>0.95</v>
      </c>
      <c r="AE20" s="9" t="str">
        <f t="shared" si="10"/>
        <v/>
      </c>
      <c r="AF20" s="94">
        <v>0.95</v>
      </c>
      <c r="AG20" s="9" t="str">
        <f t="shared" si="11"/>
        <v/>
      </c>
      <c r="AH20" s="150"/>
      <c r="AI20" s="151"/>
      <c r="AJ20" s="90" t="str">
        <f>IFERROR(1/(1/SUMIFS(TB!$P:$P,TB!$C:$C,$B20,TB!$D:$D,$C20))/SUM($E20),"")</f>
        <v/>
      </c>
      <c r="AK20" s="151"/>
      <c r="AL20" s="90">
        <f>IFERROR(1/(1/SUMIFS(HTS!$X:$X,HTS!$C:$C,$B20,HTS!$D:$D,$C20))/SUM($E20),"")</f>
        <v>0.35526753074110995</v>
      </c>
      <c r="AM20" s="90" t="str">
        <f>IFERROR(1/(1/SUMIFS(HTS!$AA:$AA,HTS!$C:$C,$B20,HTS!$D:$D,$C20))/SUM($E20),"")</f>
        <v/>
      </c>
      <c r="AN20" s="90" t="str">
        <f>IFERROR(1/(1/SUMIFS(HTS!$AD:$AD,HTS!$C:$C,$B20,HTS!$D:$D,$C20))/SUM($E20),"")</f>
        <v/>
      </c>
      <c r="AO20" s="90" t="str">
        <f>IFERROR(1/(1/SUMIFS(HTS!$AG:$AG,HTS!$C:$C,$B20,HTS!$D:$D,$C20))/SUM($E20),"")</f>
        <v/>
      </c>
      <c r="AP20" s="90">
        <f>IFERROR(1/(1/SUMIFS(HTS!$AJ:$AJ,HTS!$C:$C,$B20,HTS!$D:$D,$C20))/SUM($E20),"")</f>
        <v>0.64473246925888994</v>
      </c>
      <c r="AQ20" s="152"/>
      <c r="AR20" s="153"/>
      <c r="AS20" s="145" t="str">
        <f t="shared" si="13"/>
        <v/>
      </c>
      <c r="AT20" s="153"/>
      <c r="AU20" s="145">
        <f t="shared" si="14"/>
        <v>0.35526753074110995</v>
      </c>
      <c r="AV20" s="145" t="str">
        <f t="shared" si="15"/>
        <v/>
      </c>
      <c r="AW20" s="145" t="str">
        <f t="shared" si="16"/>
        <v/>
      </c>
      <c r="AX20" s="145" t="str">
        <f t="shared" si="17"/>
        <v/>
      </c>
      <c r="AY20" s="145">
        <f t="shared" si="18"/>
        <v>0.64473246925888994</v>
      </c>
      <c r="AZ20" s="90">
        <f t="shared" si="19"/>
        <v>1</v>
      </c>
      <c r="BA20" s="154"/>
      <c r="BB20" s="151"/>
      <c r="BC20" s="151"/>
      <c r="BD20" s="102"/>
      <c r="BE20" s="87" t="str">
        <f>IFERROR(1/(1/SUMIFS(HTS!$AY:$AY,HTS!$C:$C,$B20,HTS!$D:$D,$C20)),"")</f>
        <v/>
      </c>
      <c r="BF20" s="9" t="str">
        <f t="shared" si="22"/>
        <v/>
      </c>
      <c r="BG20" s="90" t="str">
        <f t="shared" si="23"/>
        <v/>
      </c>
      <c r="BS20" s="156"/>
      <c r="BT20" s="102"/>
      <c r="BU20" s="102"/>
      <c r="BV20" s="154"/>
      <c r="BW20" s="155"/>
      <c r="BX20" s="155"/>
      <c r="BY20" s="155"/>
      <c r="BZ20" s="102"/>
      <c r="CA20" s="102"/>
      <c r="CB20" s="102"/>
      <c r="CC20" s="155"/>
      <c r="CD20" s="151"/>
      <c r="CE20" s="154"/>
      <c r="CF20" s="155"/>
      <c r="CG20" s="90">
        <f t="shared" si="20"/>
        <v>0.95</v>
      </c>
      <c r="CI20" s="9" t="str">
        <f t="shared" si="21"/>
        <v/>
      </c>
      <c r="CS20" s="154"/>
      <c r="CT20" s="155"/>
      <c r="CU20" s="102"/>
      <c r="CV20" s="102"/>
      <c r="CW20" s="151"/>
      <c r="CX20" s="151"/>
      <c r="CY20" s="87" t="str">
        <f>IFERROR(1/(1/SUMIFS(PP!$H:$H,PP!$C:$C,$B20,PP!$D:$D,$C20)),"")</f>
        <v/>
      </c>
      <c r="CZ20" s="9" t="str">
        <f t="shared" si="24"/>
        <v/>
      </c>
      <c r="DA20" s="90" t="str">
        <f t="shared" si="25"/>
        <v/>
      </c>
      <c r="DB20" s="154"/>
      <c r="DC20" s="102"/>
      <c r="DD20" s="151"/>
      <c r="DE20" s="154"/>
      <c r="DF20" s="155"/>
      <c r="DG20" s="151"/>
      <c r="DH20" s="151"/>
      <c r="DI20" s="102"/>
      <c r="DJ20" s="151"/>
      <c r="DK20" s="150"/>
      <c r="DL20" s="151"/>
      <c r="DM20" s="151"/>
      <c r="DN20" s="151"/>
      <c r="DO20" s="151"/>
      <c r="DP20" s="151"/>
      <c r="DQ20" s="102"/>
      <c r="DR20" s="102"/>
      <c r="DS20" s="102"/>
      <c r="DT20" s="102"/>
      <c r="DU20" s="154"/>
      <c r="DV20" s="151"/>
      <c r="DW20" s="151"/>
      <c r="DX20" s="151"/>
      <c r="DY20" s="102"/>
      <c r="DZ20" s="102"/>
      <c r="EA20" s="150"/>
      <c r="EB20" s="102"/>
      <c r="EC20" s="102"/>
      <c r="ED20" s="154"/>
      <c r="EE20" s="155"/>
      <c r="EF20" s="155"/>
      <c r="EG20" s="155"/>
      <c r="EH20" s="102"/>
      <c r="EI20" s="102"/>
      <c r="EJ20" s="102"/>
      <c r="EK20" s="102"/>
      <c r="EL20" s="151"/>
      <c r="EM20" s="151"/>
      <c r="EN20" s="151"/>
      <c r="EO20" s="151"/>
      <c r="EP20" s="150"/>
      <c r="EQ20" s="102"/>
      <c r="ER20" s="154"/>
      <c r="ES20" s="155"/>
      <c r="ET20" s="102"/>
      <c r="EU20" s="102"/>
      <c r="EV20" s="151"/>
      <c r="EW20" s="151"/>
      <c r="EX20" s="154"/>
      <c r="EY20" s="102"/>
      <c r="EZ20" s="151"/>
      <c r="FA20" s="154"/>
      <c r="FB20" s="102"/>
      <c r="FC20" s="156"/>
    </row>
    <row r="21" spans="1:159" x14ac:dyDescent="0.2">
      <c r="A21" t="s">
        <v>222</v>
      </c>
      <c r="B21" s="13" t="s">
        <v>364</v>
      </c>
      <c r="C21" s="13" t="s">
        <v>29</v>
      </c>
      <c r="E21" s="87" t="str">
        <f>IFERROR(1/(1/IF($B21="&lt;01",ROUND(SUM(EID!$L:$L)/2,0),SUMIFS(HTS!$AM:$AM,HTS!$C:$C,$B21,HTS!$D:$D,$C21))),"")</f>
        <v/>
      </c>
      <c r="F21" s="14" t="str">
        <f>IFERROR(1/(1/IF($B21="&lt;01",ROUND(SUM(EID!$N:$N)/2,0),SUMIFS(Cascade!$AX:$AX,Cascade!$C:$C,$B21,Cascade!$D:$D,$C21))),"")</f>
        <v/>
      </c>
      <c r="G21" s="14" t="str">
        <f>IFERROR(1/(1/IF($B21="&lt;01",ROUND(SUM(EID!$P:$P)/2,0),SUMIFS(Cascade!$AP:$AP,Cascade!$C:$C,$B21,Cascade!$D:$D,$C21))),"")</f>
        <v/>
      </c>
      <c r="H21" s="14" t="str">
        <f>IFERROR(1/(1/IF($B21="&lt;01",ROUND(SUM(EID!$T:$T)/2,0),SUMIFS(Cascade!$BB:$BB,Cascade!$C:$C,$B21,Cascade!$D:$D,$C21))),"")</f>
        <v/>
      </c>
      <c r="I21" s="14" t="str">
        <f>IFERROR(1/(1/IF($B21="&lt;01",ROUND(SUM(EID!$V:$V)/2,0),SUMIFS(Cascade!$BE:$BE,Cascade!$C:$C,$B21,Cascade!$D:$D,$C21))),"")</f>
        <v/>
      </c>
      <c r="J21" s="14" t="str">
        <f>IFERROR(1/(1/SUMIFS(Cascade!$AJ:$AJ,Cascade!$C:$C,"="&amp;$B21,Cascade!$D:$D,$C21)),"")</f>
        <v/>
      </c>
      <c r="K21" s="14">
        <f>IFERROR(1/(1/SUMIFS(Cascade!$AQ:$AQ,Cascade!$C:$C,"="&amp;$B21,Cascade!$D:$D,$C21)),"")</f>
        <v>34665</v>
      </c>
      <c r="L21" s="90" t="str">
        <f t="shared" si="0"/>
        <v/>
      </c>
      <c r="M21" s="87" t="str">
        <f>IFERROR(1/(1/ROUND(SUMIFS(Spectrum!$N:$N,Spectrum!$Q:$Q,"="&amp;$B21,Spectrum!$K:$K,$C21,Spectrum!$G:$G,M$14,Spectrum!$M:$M,"CY2024Q3"),0)),"")</f>
        <v/>
      </c>
      <c r="N21" s="9" t="str">
        <f>IFERROR(1/(1/ROUND(SUMIFS(Spectrum!$N:$N,Spectrum!$Q:$Q,"="&amp;$B21,Spectrum!$K:$K,$C21,Spectrum!$G:$G,N$14,Spectrum!$M:$M,"CY2025Q3"),0)),IFERROR(1/(1/SUM($J21,$M21)),""))</f>
        <v/>
      </c>
      <c r="O21" s="90">
        <f t="shared" si="1"/>
        <v>0.9</v>
      </c>
      <c r="P21" s="14" t="str">
        <f t="shared" si="12"/>
        <v/>
      </c>
      <c r="Q21" s="90">
        <f t="shared" si="2"/>
        <v>0</v>
      </c>
      <c r="R21" s="83" t="str">
        <f t="shared" si="3"/>
        <v/>
      </c>
      <c r="S21" s="9">
        <f t="shared" si="4"/>
        <v>34665</v>
      </c>
      <c r="T21" s="90" t="str">
        <f t="shared" si="5"/>
        <v/>
      </c>
      <c r="U21" s="94">
        <v>0.98</v>
      </c>
      <c r="V21" s="90">
        <v>0.98</v>
      </c>
      <c r="W21" s="14" t="str">
        <f t="shared" si="6"/>
        <v/>
      </c>
      <c r="X21" s="90">
        <v>1</v>
      </c>
      <c r="Y21" s="9" t="str">
        <f t="shared" si="7"/>
        <v/>
      </c>
      <c r="Z21" s="94">
        <v>0.7</v>
      </c>
      <c r="AA21" s="14" t="str">
        <f t="shared" si="8"/>
        <v/>
      </c>
      <c r="AB21" s="90">
        <v>0.95</v>
      </c>
      <c r="AC21" s="9" t="str">
        <f t="shared" si="9"/>
        <v/>
      </c>
      <c r="AD21" s="94">
        <v>0.95</v>
      </c>
      <c r="AE21" s="9" t="str">
        <f t="shared" si="10"/>
        <v/>
      </c>
      <c r="AF21" s="94">
        <v>0.95</v>
      </c>
      <c r="AG21" s="9" t="str">
        <f t="shared" si="11"/>
        <v/>
      </c>
      <c r="AH21" s="94" t="str">
        <f>IFERROR(1/(1/SUMIFS(PMTCT!$AC:$AC,PMTCT!$C:$C,$B21,PMTCT!$D:$D,$C21))/SUM($E21),"")</f>
        <v/>
      </c>
      <c r="AI21" s="90" t="str">
        <f>IFERROR(1/(1/SUMIFS(PMTCT!$AS:$AS,PMTCT!$C:$C,$B21,PMTCT!$D:$D,$C21))/SUM($E21),"")</f>
        <v/>
      </c>
      <c r="AJ21" s="90" t="str">
        <f>IFERROR(1/(1/SUMIFS(TB!$P:$P,TB!$C:$C,$B21,TB!$D:$D,$C21))/SUM($E21),"")</f>
        <v/>
      </c>
      <c r="AK21" s="151"/>
      <c r="AL21" s="90" t="str">
        <f>IFERROR(1/(1/SUMIFS(HTS!$X:$X,HTS!$C:$C,$B21,HTS!$D:$D,$C21))/SUM($E21),"")</f>
        <v/>
      </c>
      <c r="AM21" s="90" t="str">
        <f>IFERROR(1/(1/SUMIFS(HTS!$AA:$AA,HTS!$C:$C,$B21,HTS!$D:$D,$C21))/SUM($E21),"")</f>
        <v/>
      </c>
      <c r="AN21" s="90" t="str">
        <f>IFERROR(1/(1/SUMIFS(HTS!$AD:$AD,HTS!$C:$C,$B21,HTS!$D:$D,$C21))/SUM($E21),"")</f>
        <v/>
      </c>
      <c r="AO21" s="90" t="str">
        <f>IFERROR(1/(1/SUMIFS(HTS!$AG:$AG,HTS!$C:$C,$B21,HTS!$D:$D,$C21))/SUM($E21),"")</f>
        <v/>
      </c>
      <c r="AP21" s="90" t="str">
        <f>IFERROR(1/(1/SUMIFS(HTS!$AJ:$AJ,HTS!$C:$C,$B21,HTS!$D:$D,$C21))/SUM($E21),"")</f>
        <v/>
      </c>
      <c r="AQ21" s="144" t="str">
        <f>AH21</f>
        <v/>
      </c>
      <c r="AR21" s="145" t="str">
        <f>AI21</f>
        <v/>
      </c>
      <c r="AS21" s="145" t="str">
        <f t="shared" si="13"/>
        <v/>
      </c>
      <c r="AT21" s="153"/>
      <c r="AU21" s="145" t="str">
        <f t="shared" si="14"/>
        <v/>
      </c>
      <c r="AV21" s="145" t="str">
        <f t="shared" si="15"/>
        <v/>
      </c>
      <c r="AW21" s="145" t="str">
        <f t="shared" si="16"/>
        <v/>
      </c>
      <c r="AX21" s="145" t="str">
        <f t="shared" si="17"/>
        <v/>
      </c>
      <c r="AY21" s="145" t="str">
        <f t="shared" si="18"/>
        <v/>
      </c>
      <c r="AZ21" s="90" t="str">
        <f t="shared" si="19"/>
        <v/>
      </c>
      <c r="BA21" s="87" t="str">
        <f>IFERROR(1/(1/SUMIFS(HTS!$BA:$BA,HTS!$C:$C,$B21,HTS!$D:$D,$C21)),"")</f>
        <v/>
      </c>
      <c r="BB21" s="90" t="str">
        <f t="shared" ref="BB21:BB33" si="26">IF(SUM($E21)=0,"",SUM($BA21)/SUM($E21))</f>
        <v/>
      </c>
      <c r="BC21" s="90" t="str">
        <f t="shared" ref="BC21:BC33" si="27">$BB21</f>
        <v/>
      </c>
      <c r="BD21" s="9" t="str">
        <f t="shared" ref="BD21:BD33" si="28">IF(SUM($AG21)=0,"",ROUND(SUM($BC21)*SUM($AG21),0))</f>
        <v/>
      </c>
      <c r="BE21" s="87" t="str">
        <f>IFERROR(1/(1/SUMIFS(HTS!$AY:$AY,HTS!$C:$C,$B21,HTS!$D:$D,$C21)),"")</f>
        <v/>
      </c>
      <c r="BF21" s="9" t="str">
        <f t="shared" si="22"/>
        <v/>
      </c>
      <c r="BG21" s="90" t="str">
        <f t="shared" si="23"/>
        <v/>
      </c>
      <c r="BS21" s="89">
        <f>$AF21</f>
        <v>0.95</v>
      </c>
      <c r="BU21" s="9" t="str">
        <f>IF(SUM($AG21)=0,"",IF(AND($AH21="",SUM($AG21)&gt;0),"&lt;- Enter Linkage Rate",ROUND($AG21*$AH21*$BS21,0)))</f>
        <v/>
      </c>
      <c r="CG21" s="90">
        <f t="shared" si="20"/>
        <v>0.95</v>
      </c>
      <c r="CI21" s="9" t="str">
        <f t="shared" si="21"/>
        <v/>
      </c>
      <c r="CS21" s="87" t="str">
        <f>IFERROR(1/(1/SUMIFS(PrEP!$L:$L,PrEP!$C:$C,$B21,PrEP!$D:$D,$C21)),"")</f>
        <v/>
      </c>
      <c r="CT21" s="14" t="str">
        <f>IFERROR(1/(1/SUMIFS(PrEP!$O:$O,PrEP!$C:$C,$B21,PrEP!$D:$D,$C21)),"")</f>
        <v/>
      </c>
      <c r="CU21" s="9" t="str">
        <f t="shared" ref="CU21:CU33" si="29">CS21</f>
        <v/>
      </c>
      <c r="CV21" s="9" t="str">
        <f t="shared" ref="CV21:CV33" si="30">CT21</f>
        <v/>
      </c>
      <c r="CW21" s="90" t="str">
        <f t="shared" ref="CW21:CW33" si="31">IF(SUM($CS21)=0,"",(SUM($CU21)-$CS21)/$CS21)</f>
        <v/>
      </c>
      <c r="CX21" s="90" t="str">
        <f t="shared" ref="CX21:CX33" si="32">IF(SUM($CT21)=0,"",(SUM($CV21)-$CT21)/$CT21)</f>
        <v/>
      </c>
      <c r="CY21" s="87" t="str">
        <f>IFERROR(1/(1/SUMIFS(PP!$H:$H,PP!$C:$C,$B21,PP!$D:$D,$C21)),"")</f>
        <v/>
      </c>
      <c r="CZ21" s="9" t="str">
        <f t="shared" si="24"/>
        <v/>
      </c>
      <c r="DA21" s="90" t="str">
        <f t="shared" si="25"/>
        <v/>
      </c>
      <c r="DB21" s="154"/>
      <c r="DC21" s="102"/>
      <c r="DD21" s="153"/>
      <c r="DE21" s="154"/>
      <c r="DF21" s="155"/>
      <c r="DG21" s="151"/>
      <c r="DH21" s="151"/>
      <c r="DI21" s="102"/>
      <c r="DJ21" s="151"/>
      <c r="DK21" s="150"/>
      <c r="DL21" s="151"/>
      <c r="DM21" s="151"/>
      <c r="DN21" s="151"/>
      <c r="DO21" s="151"/>
      <c r="DP21" s="151"/>
      <c r="DQ21" s="102"/>
      <c r="DR21" s="102"/>
      <c r="DS21" s="102"/>
      <c r="DT21" s="102"/>
      <c r="DU21" s="154"/>
      <c r="DV21" s="151"/>
      <c r="DW21" s="151"/>
      <c r="DX21" s="151"/>
      <c r="DY21" s="102"/>
      <c r="DZ21" s="102"/>
      <c r="EA21" s="150"/>
      <c r="EB21" s="102"/>
      <c r="EC21" s="102"/>
      <c r="ED21" s="154"/>
      <c r="EE21" s="155"/>
      <c r="EF21" s="155"/>
      <c r="EG21" s="155"/>
      <c r="EH21" s="102"/>
      <c r="EI21" s="102"/>
      <c r="EJ21" s="102"/>
      <c r="EK21" s="102"/>
      <c r="EL21" s="151"/>
      <c r="EM21" s="151"/>
      <c r="EN21" s="151"/>
      <c r="EO21" s="151"/>
      <c r="EP21" s="150"/>
      <c r="EQ21" s="102"/>
      <c r="ER21" s="154"/>
      <c r="ES21" s="155"/>
      <c r="ET21" s="102"/>
      <c r="EU21" s="102"/>
      <c r="EV21" s="151"/>
      <c r="EW21" s="151"/>
      <c r="EX21" s="154"/>
      <c r="EY21" s="102"/>
      <c r="EZ21" s="151"/>
      <c r="FA21" s="154"/>
      <c r="FB21" s="102"/>
      <c r="FC21" s="156"/>
    </row>
    <row r="22" spans="1:159" x14ac:dyDescent="0.2">
      <c r="A22" t="s">
        <v>222</v>
      </c>
      <c r="B22" s="13" t="s">
        <v>364</v>
      </c>
      <c r="C22" t="s">
        <v>47</v>
      </c>
      <c r="E22" s="87" t="str">
        <f>IFERROR(1/(1/IF($B22="&lt;01",ROUND(SUM(EID!$L:$L)/2,0),SUMIFS(HTS!$AM:$AM,HTS!$C:$C,$B22,HTS!$D:$D,$C22))),"")</f>
        <v/>
      </c>
      <c r="F22" s="14" t="str">
        <f>IFERROR(1/(1/IF($B22="&lt;01",ROUND(SUM(EID!$N:$N)/2,0),SUMIFS(Cascade!$AX:$AX,Cascade!$C:$C,$B22,Cascade!$D:$D,$C22))),"")</f>
        <v/>
      </c>
      <c r="G22" s="14" t="str">
        <f>IFERROR(1/(1/IF($B22="&lt;01",ROUND(SUM(EID!$P:$P)/2,0),SUMIFS(Cascade!$AP:$AP,Cascade!$C:$C,$B22,Cascade!$D:$D,$C22))),"")</f>
        <v/>
      </c>
      <c r="H22" s="14" t="str">
        <f>IFERROR(1/(1/IF($B22="&lt;01",ROUND(SUM(EID!$T:$T)/2,0),SUMIFS(Cascade!$BB:$BB,Cascade!$C:$C,$B22,Cascade!$D:$D,$C22))),"")</f>
        <v/>
      </c>
      <c r="I22" s="14" t="str">
        <f>IFERROR(1/(1/IF($B22="&lt;01",ROUND(SUM(EID!$V:$V)/2,0),SUMIFS(Cascade!$BE:$BE,Cascade!$C:$C,$B22,Cascade!$D:$D,$C22))),"")</f>
        <v/>
      </c>
      <c r="J22" s="14" t="str">
        <f>IFERROR(1/(1/SUMIFS(Cascade!$AJ:$AJ,Cascade!$C:$C,"="&amp;$B22,Cascade!$D:$D,$C22)),"")</f>
        <v/>
      </c>
      <c r="K22" s="14">
        <f>IFERROR(1/(1/SUMIFS(Cascade!$AQ:$AQ,Cascade!$C:$C,"="&amp;$B22,Cascade!$D:$D,$C22)),"")</f>
        <v>31832.000000000004</v>
      </c>
      <c r="L22" s="90" t="str">
        <f t="shared" si="0"/>
        <v/>
      </c>
      <c r="M22" s="87" t="str">
        <f>IFERROR(1/(1/ROUND(SUMIFS(Spectrum!$N:$N,Spectrum!$Q:$Q,"="&amp;$B22,Spectrum!$K:$K,$C22,Spectrum!$G:$G,M$14,Spectrum!$M:$M,"CY2024Q3"),0)),"")</f>
        <v/>
      </c>
      <c r="N22" s="9" t="str">
        <f>IFERROR(1/(1/ROUND(SUMIFS(Spectrum!$N:$N,Spectrum!$Q:$Q,"="&amp;$B22,Spectrum!$K:$K,$C22,Spectrum!$G:$G,N$14,Spectrum!$M:$M,"CY2025Q3"),0)),IFERROR(1/(1/SUM($J22,$M22)),""))</f>
        <v/>
      </c>
      <c r="O22" s="90">
        <f t="shared" si="1"/>
        <v>0.9</v>
      </c>
      <c r="P22" s="14" t="str">
        <f t="shared" si="12"/>
        <v/>
      </c>
      <c r="Q22" s="90">
        <f t="shared" si="2"/>
        <v>0</v>
      </c>
      <c r="R22" s="83" t="str">
        <f t="shared" si="3"/>
        <v/>
      </c>
      <c r="S22" s="9">
        <f t="shared" si="4"/>
        <v>31832.000000000004</v>
      </c>
      <c r="T22" s="90" t="str">
        <f t="shared" si="5"/>
        <v/>
      </c>
      <c r="U22" s="94">
        <v>0.98</v>
      </c>
      <c r="V22" s="90">
        <v>0.98</v>
      </c>
      <c r="W22" s="14" t="str">
        <f t="shared" si="6"/>
        <v/>
      </c>
      <c r="X22" s="90">
        <v>1</v>
      </c>
      <c r="Y22" s="9" t="str">
        <f t="shared" si="7"/>
        <v/>
      </c>
      <c r="Z22" s="94">
        <v>0.7</v>
      </c>
      <c r="AA22" s="14" t="str">
        <f t="shared" si="8"/>
        <v/>
      </c>
      <c r="AB22" s="90">
        <v>0.95</v>
      </c>
      <c r="AC22" s="9" t="str">
        <f t="shared" si="9"/>
        <v/>
      </c>
      <c r="AD22" s="94">
        <v>0.95</v>
      </c>
      <c r="AE22" s="9" t="str">
        <f t="shared" si="10"/>
        <v/>
      </c>
      <c r="AF22" s="94">
        <v>0.95</v>
      </c>
      <c r="AG22" s="9" t="str">
        <f t="shared" si="11"/>
        <v/>
      </c>
      <c r="AH22" s="150"/>
      <c r="AI22" s="151"/>
      <c r="AJ22" s="90" t="str">
        <f>IFERROR(1/(1/SUMIFS(TB!$P:$P,TB!$C:$C,$B22,TB!$D:$D,$C22))/SUM($E22),"")</f>
        <v/>
      </c>
      <c r="AK22" s="90" t="str">
        <f>IFERROR(1/(1/SUMIFS(VMMC!$AA:$AA,VMMC!$C:$C,$B22,VMMC!$D:$D,$C22))/SUM($E22),"")</f>
        <v/>
      </c>
      <c r="AL22" s="90" t="str">
        <f>IFERROR(1/(1/SUMIFS(HTS!$X:$X,HTS!$C:$C,$B22,HTS!$D:$D,$C22))/SUM($E22),"")</f>
        <v/>
      </c>
      <c r="AM22" s="90" t="str">
        <f>IFERROR(1/(1/SUMIFS(HTS!$AA:$AA,HTS!$C:$C,$B22,HTS!$D:$D,$C22))/SUM($E22),"")</f>
        <v/>
      </c>
      <c r="AN22" s="90" t="str">
        <f>IFERROR(1/(1/SUMIFS(HTS!$AD:$AD,HTS!$C:$C,$B22,HTS!$D:$D,$C22))/SUM($E22),"")</f>
        <v/>
      </c>
      <c r="AO22" s="90" t="str">
        <f>IFERROR(1/(1/SUMIFS(HTS!$AG:$AG,HTS!$C:$C,$B22,HTS!$D:$D,$C22))/SUM($E22),"")</f>
        <v/>
      </c>
      <c r="AP22" s="90" t="str">
        <f>IFERROR(1/(1/SUMIFS(HTS!$AJ:$AJ,HTS!$C:$C,$B22,HTS!$D:$D,$C22))/SUM($E22),"")</f>
        <v/>
      </c>
      <c r="AQ22" s="152"/>
      <c r="AR22" s="153"/>
      <c r="AS22" s="145" t="str">
        <f t="shared" si="13"/>
        <v/>
      </c>
      <c r="AT22" s="145" t="str">
        <f>AK22</f>
        <v/>
      </c>
      <c r="AU22" s="145" t="str">
        <f t="shared" si="14"/>
        <v/>
      </c>
      <c r="AV22" s="145" t="str">
        <f t="shared" si="15"/>
        <v/>
      </c>
      <c r="AW22" s="145" t="str">
        <f t="shared" si="16"/>
        <v/>
      </c>
      <c r="AX22" s="145" t="str">
        <f t="shared" si="17"/>
        <v/>
      </c>
      <c r="AY22" s="145" t="str">
        <f t="shared" si="18"/>
        <v/>
      </c>
      <c r="AZ22" s="90" t="str">
        <f t="shared" si="19"/>
        <v/>
      </c>
      <c r="BA22" s="87" t="str">
        <f>IFERROR(1/(1/SUMIFS(HTS!$BA:$BA,HTS!$C:$C,$B22,HTS!$D:$D,$C22)),"")</f>
        <v/>
      </c>
      <c r="BB22" s="90" t="str">
        <f t="shared" si="26"/>
        <v/>
      </c>
      <c r="BC22" s="90" t="str">
        <f t="shared" si="27"/>
        <v/>
      </c>
      <c r="BD22" s="9" t="str">
        <f t="shared" si="28"/>
        <v/>
      </c>
      <c r="BE22" s="87" t="str">
        <f>IFERROR(1/(1/SUMIFS(HTS!$AY:$AY,HTS!$C:$C,$B22,HTS!$D:$D,$C22)),"")</f>
        <v/>
      </c>
      <c r="BF22" s="9" t="str">
        <f t="shared" si="22"/>
        <v/>
      </c>
      <c r="BG22" s="90" t="str">
        <f t="shared" si="23"/>
        <v/>
      </c>
      <c r="BS22" s="156"/>
      <c r="BT22" s="102"/>
      <c r="BU22" s="102"/>
      <c r="BV22" s="154"/>
      <c r="BW22" s="155"/>
      <c r="BX22" s="155"/>
      <c r="BY22" s="155"/>
      <c r="BZ22" s="102"/>
      <c r="CA22" s="102"/>
      <c r="CB22" s="102"/>
      <c r="CC22" s="155"/>
      <c r="CD22" s="151"/>
      <c r="CE22" s="154"/>
      <c r="CF22" s="155"/>
      <c r="CG22" s="90">
        <f t="shared" si="20"/>
        <v>0.95</v>
      </c>
      <c r="CI22" s="9" t="str">
        <f t="shared" si="21"/>
        <v/>
      </c>
      <c r="CS22" s="87" t="str">
        <f>IFERROR(1/(1/SUMIFS(PrEP!$L:$L,PrEP!$C:$C,$B22,PrEP!$D:$D,$C22)),"")</f>
        <v/>
      </c>
      <c r="CT22" s="14" t="str">
        <f>IFERROR(1/(1/SUMIFS(PrEP!$O:$O,PrEP!$C:$C,$B22,PrEP!$D:$D,$C22)),"")</f>
        <v/>
      </c>
      <c r="CU22" s="9" t="str">
        <f t="shared" si="29"/>
        <v/>
      </c>
      <c r="CV22" s="9" t="str">
        <f t="shared" si="30"/>
        <v/>
      </c>
      <c r="CW22" s="90" t="str">
        <f t="shared" si="31"/>
        <v/>
      </c>
      <c r="CX22" s="90" t="str">
        <f t="shared" si="32"/>
        <v/>
      </c>
      <c r="CY22" s="87" t="str">
        <f>IFERROR(1/(1/SUMIFS(PP!$H:$H,PP!$C:$C,$B22,PP!$D:$D,$C22)),"")</f>
        <v/>
      </c>
      <c r="CZ22" s="9" t="str">
        <f t="shared" si="24"/>
        <v/>
      </c>
      <c r="DA22" s="90" t="str">
        <f t="shared" si="25"/>
        <v/>
      </c>
      <c r="DB22" s="154"/>
      <c r="DC22" s="102"/>
      <c r="DD22" s="153"/>
      <c r="DE22" s="154"/>
      <c r="DF22" s="155"/>
      <c r="DG22" s="151"/>
      <c r="DH22" s="151"/>
      <c r="DI22" s="102"/>
      <c r="DJ22" s="151"/>
      <c r="DK22" s="150"/>
      <c r="DL22" s="151"/>
      <c r="DM22" s="151"/>
      <c r="DN22" s="151"/>
      <c r="DO22" s="151"/>
      <c r="DP22" s="151"/>
      <c r="DQ22" s="102"/>
      <c r="DR22" s="102"/>
      <c r="DS22" s="102"/>
      <c r="DT22" s="102"/>
      <c r="DU22" s="154"/>
      <c r="DV22" s="151"/>
      <c r="DW22" s="151"/>
      <c r="DX22" s="151"/>
      <c r="DY22" s="102"/>
      <c r="DZ22" s="102"/>
      <c r="EA22" s="150"/>
      <c r="EB22" s="102"/>
      <c r="EC22" s="102"/>
      <c r="ED22" s="154"/>
      <c r="EE22" s="155"/>
      <c r="EF22" s="155"/>
      <c r="EG22" s="155"/>
      <c r="EH22" s="102"/>
      <c r="EI22" s="102"/>
      <c r="EJ22" s="102"/>
      <c r="EK22" s="102"/>
      <c r="EL22" s="151"/>
      <c r="EM22" s="151"/>
      <c r="EN22" s="151"/>
      <c r="EO22" s="151"/>
      <c r="EP22" s="150"/>
      <c r="EQ22" s="102"/>
      <c r="ER22" s="154"/>
      <c r="ES22" s="155"/>
      <c r="ET22" s="102"/>
      <c r="EU22" s="102"/>
      <c r="EV22" s="151"/>
      <c r="EW22" s="151"/>
      <c r="EX22" s="154"/>
      <c r="EY22" s="102"/>
      <c r="EZ22" s="151"/>
      <c r="FA22" s="154"/>
      <c r="FB22" s="102"/>
      <c r="FC22" s="156"/>
    </row>
    <row r="23" spans="1:159" x14ac:dyDescent="0.2">
      <c r="A23" t="s">
        <v>222</v>
      </c>
      <c r="B23" s="13" t="s">
        <v>365</v>
      </c>
      <c r="C23" s="13" t="s">
        <v>29</v>
      </c>
      <c r="E23" s="87" t="str">
        <f>IFERROR(1/(1/IF($B23="&lt;01",ROUND(SUM(EID!$L:$L)/2,0),SUMIFS(HTS!$AM:$AM,HTS!$C:$C,$B23,HTS!$D:$D,$C23))),"")</f>
        <v/>
      </c>
      <c r="F23" s="14" t="str">
        <f>IFERROR(1/(1/IF($B23="&lt;01",ROUND(SUM(EID!$N:$N)/2,0),SUMIFS(Cascade!$AX:$AX,Cascade!$C:$C,$B23,Cascade!$D:$D,$C23))),"")</f>
        <v/>
      </c>
      <c r="G23" s="14" t="str">
        <f>IFERROR(1/(1/IF($B23="&lt;01",ROUND(SUM(EID!$P:$P)/2,0),SUMIFS(Cascade!$AP:$AP,Cascade!$C:$C,$B23,Cascade!$D:$D,$C23))),"")</f>
        <v/>
      </c>
      <c r="H23" s="14" t="str">
        <f>IFERROR(1/(1/IF($B23="&lt;01",ROUND(SUM(EID!$T:$T)/2,0),SUMIFS(Cascade!$BB:$BB,Cascade!$C:$C,$B23,Cascade!$D:$D,$C23))),"")</f>
        <v/>
      </c>
      <c r="I23" s="14" t="str">
        <f>IFERROR(1/(1/IF($B23="&lt;01",ROUND(SUM(EID!$V:$V)/2,0),SUMIFS(Cascade!$BE:$BE,Cascade!$C:$C,$B23,Cascade!$D:$D,$C23))),"")</f>
        <v/>
      </c>
      <c r="J23" s="14" t="str">
        <f>IFERROR(1/(1/SUMIFS(Cascade!$AJ:$AJ,Cascade!$C:$C,"="&amp;$B23,Cascade!$D:$D,$C23)),"")</f>
        <v/>
      </c>
      <c r="K23" s="14">
        <f>IFERROR(1/(1/SUMIFS(Cascade!$AQ:$AQ,Cascade!$C:$C,"="&amp;$B23,Cascade!$D:$D,$C23)),"")</f>
        <v>35818</v>
      </c>
      <c r="L23" s="90" t="str">
        <f t="shared" si="0"/>
        <v/>
      </c>
      <c r="M23" s="87" t="str">
        <f>IFERROR(1/(1/ROUND(SUMIFS(Spectrum!$N:$N,Spectrum!$Q:$Q,"="&amp;$B23,Spectrum!$K:$K,$C23,Spectrum!$G:$G,M$14,Spectrum!$M:$M,"CY2024Q3"),0)),"")</f>
        <v/>
      </c>
      <c r="N23" s="9" t="str">
        <f>IFERROR(1/(1/ROUND(SUMIFS(Spectrum!$N:$N,Spectrum!$Q:$Q,"="&amp;$B23,Spectrum!$K:$K,$C23,Spectrum!$G:$G,N$14,Spectrum!$M:$M,"CY2025Q3"),0)),IFERROR(1/(1/SUM($J23,$M23)),""))</f>
        <v/>
      </c>
      <c r="O23" s="90">
        <f t="shared" si="1"/>
        <v>0.9</v>
      </c>
      <c r="P23" s="14" t="str">
        <f t="shared" si="12"/>
        <v/>
      </c>
      <c r="Q23" s="90">
        <f t="shared" si="2"/>
        <v>0</v>
      </c>
      <c r="R23" s="83" t="str">
        <f t="shared" si="3"/>
        <v/>
      </c>
      <c r="S23" s="9">
        <f t="shared" si="4"/>
        <v>35818</v>
      </c>
      <c r="T23" s="90" t="str">
        <f t="shared" si="5"/>
        <v/>
      </c>
      <c r="U23" s="94">
        <v>0.98</v>
      </c>
      <c r="V23" s="90">
        <v>0.98</v>
      </c>
      <c r="W23" s="14" t="str">
        <f t="shared" si="6"/>
        <v/>
      </c>
      <c r="X23" s="90">
        <v>1</v>
      </c>
      <c r="Y23" s="9" t="str">
        <f t="shared" si="7"/>
        <v/>
      </c>
      <c r="Z23" s="94">
        <v>0.7</v>
      </c>
      <c r="AA23" s="14" t="str">
        <f t="shared" si="8"/>
        <v/>
      </c>
      <c r="AB23" s="90">
        <v>0.95</v>
      </c>
      <c r="AC23" s="9" t="str">
        <f t="shared" si="9"/>
        <v/>
      </c>
      <c r="AD23" s="94">
        <v>0.95</v>
      </c>
      <c r="AE23" s="9" t="str">
        <f t="shared" si="10"/>
        <v/>
      </c>
      <c r="AF23" s="94">
        <v>0.95</v>
      </c>
      <c r="AG23" s="9" t="str">
        <f t="shared" si="11"/>
        <v/>
      </c>
      <c r="AH23" s="94" t="str">
        <f>IFERROR(1/(1/SUMIFS(PMTCT!$AC:$AC,PMTCT!$C:$C,$B23,PMTCT!$D:$D,$C23))/SUM($E23),"")</f>
        <v/>
      </c>
      <c r="AI23" s="90" t="str">
        <f>IFERROR(1/(1/SUMIFS(PMTCT!$AS:$AS,PMTCT!$C:$C,$B23,PMTCT!$D:$D,$C23))/SUM($E23),"")</f>
        <v/>
      </c>
      <c r="AJ23" s="90" t="str">
        <f>IFERROR(1/(1/SUMIFS(TB!$P:$P,TB!$C:$C,$B23,TB!$D:$D,$C23))/SUM($E23),"")</f>
        <v/>
      </c>
      <c r="AK23" s="151"/>
      <c r="AL23" s="90" t="str">
        <f>IFERROR(1/(1/SUMIFS(HTS!$X:$X,HTS!$C:$C,$B23,HTS!$D:$D,$C23))/SUM($E23),"")</f>
        <v/>
      </c>
      <c r="AM23" s="90" t="str">
        <f>IFERROR(1/(1/SUMIFS(HTS!$AA:$AA,HTS!$C:$C,$B23,HTS!$D:$D,$C23))/SUM($E23),"")</f>
        <v/>
      </c>
      <c r="AN23" s="90" t="str">
        <f>IFERROR(1/(1/SUMIFS(HTS!$AD:$AD,HTS!$C:$C,$B23,HTS!$D:$D,$C23))/SUM($E23),"")</f>
        <v/>
      </c>
      <c r="AO23" s="90" t="str">
        <f>IFERROR(1/(1/SUMIFS(HTS!$AG:$AG,HTS!$C:$C,$B23,HTS!$D:$D,$C23))/SUM($E23),"")</f>
        <v/>
      </c>
      <c r="AP23" s="90" t="str">
        <f>IFERROR(1/(1/SUMIFS(HTS!$AJ:$AJ,HTS!$C:$C,$B23,HTS!$D:$D,$C23))/SUM($E23),"")</f>
        <v/>
      </c>
      <c r="AQ23" s="144" t="str">
        <f>AH23</f>
        <v/>
      </c>
      <c r="AR23" s="145" t="str">
        <f>AI23</f>
        <v/>
      </c>
      <c r="AS23" s="145" t="str">
        <f t="shared" si="13"/>
        <v/>
      </c>
      <c r="AT23" s="153"/>
      <c r="AU23" s="145" t="str">
        <f t="shared" si="14"/>
        <v/>
      </c>
      <c r="AV23" s="145" t="str">
        <f t="shared" si="15"/>
        <v/>
      </c>
      <c r="AW23" s="145" t="str">
        <f t="shared" si="16"/>
        <v/>
      </c>
      <c r="AX23" s="145" t="str">
        <f t="shared" si="17"/>
        <v/>
      </c>
      <c r="AY23" s="145" t="str">
        <f t="shared" si="18"/>
        <v/>
      </c>
      <c r="AZ23" s="90" t="str">
        <f t="shared" si="19"/>
        <v/>
      </c>
      <c r="BA23" s="87" t="str">
        <f>IFERROR(1/(1/SUMIFS(HTS!$BA:$BA,HTS!$C:$C,$B23,HTS!$D:$D,$C23)),"")</f>
        <v/>
      </c>
      <c r="BB23" s="90" t="str">
        <f t="shared" si="26"/>
        <v/>
      </c>
      <c r="BC23" s="90" t="str">
        <f t="shared" si="27"/>
        <v/>
      </c>
      <c r="BD23" s="9" t="str">
        <f t="shared" si="28"/>
        <v/>
      </c>
      <c r="BE23" s="87" t="str">
        <f>IFERROR(1/(1/SUMIFS(HTS!$AY:$AY,HTS!$C:$C,$B23,HTS!$D:$D,$C23)),"")</f>
        <v/>
      </c>
      <c r="BF23" s="9" t="str">
        <f t="shared" si="22"/>
        <v/>
      </c>
      <c r="BG23" s="90" t="str">
        <f t="shared" si="23"/>
        <v/>
      </c>
      <c r="BS23" s="89">
        <f>$AF23</f>
        <v>0.95</v>
      </c>
      <c r="BU23" s="9" t="str">
        <f>IF(SUM($AG23)=0,"",IF(AND($AH23="",SUM($AG23)&gt;0),"&lt;- Enter Linkage Rate",ROUND($AG23*$AH23*$BS23,0)))</f>
        <v/>
      </c>
      <c r="CG23" s="90">
        <f t="shared" si="20"/>
        <v>0.95</v>
      </c>
      <c r="CI23" s="9" t="str">
        <f t="shared" si="21"/>
        <v/>
      </c>
      <c r="CS23" s="87" t="str">
        <f>IFERROR(1/(1/SUMIFS(PrEP!$L:$L,PrEP!$C:$C,$B23,PrEP!$D:$D,$C23)),"")</f>
        <v/>
      </c>
      <c r="CT23" s="14" t="str">
        <f>IFERROR(1/(1/SUMIFS(PrEP!$O:$O,PrEP!$C:$C,$B23,PrEP!$D:$D,$C23)),"")</f>
        <v/>
      </c>
      <c r="CU23" s="9" t="str">
        <f t="shared" si="29"/>
        <v/>
      </c>
      <c r="CV23" s="9" t="str">
        <f t="shared" si="30"/>
        <v/>
      </c>
      <c r="CW23" s="90" t="str">
        <f t="shared" si="31"/>
        <v/>
      </c>
      <c r="CX23" s="90" t="str">
        <f t="shared" si="32"/>
        <v/>
      </c>
      <c r="CY23" s="87" t="str">
        <f>IFERROR(1/(1/SUMIFS(PP!$H:$H,PP!$C:$C,$B23,PP!$D:$D,$C23)),"")</f>
        <v/>
      </c>
      <c r="CZ23" s="9" t="str">
        <f t="shared" si="24"/>
        <v/>
      </c>
      <c r="DA23" s="90" t="str">
        <f t="shared" si="25"/>
        <v/>
      </c>
      <c r="DB23" s="154"/>
      <c r="DC23" s="102"/>
      <c r="DD23" s="153"/>
      <c r="DE23" s="87" t="str">
        <f>IFERROR(1/(1/SUMIFS(CXCA!$M:$M,CXCA!$C:$C,$B23,CXCA!$D:$D,$C23)),"")</f>
        <v/>
      </c>
      <c r="DF23" s="14" t="str">
        <f>IF(SUM($DE23)=0,"",$DE23/SUM(SUMIFS(CXCA!$H:$H,CXCA!$C:$C,$B23,CXCA!$D:$D,$C23),SUMIFS(CXCA!$I:$I,CXCA!$C:$C,$B23,CXCA!$D:$D,$C23)))</f>
        <v/>
      </c>
      <c r="DG23" s="90">
        <v>0.33</v>
      </c>
      <c r="DH23" s="90">
        <v>1</v>
      </c>
      <c r="DI23" s="9" t="str">
        <f>IF(SUM($G23)=0,"",ROUND($G23*$DG23+$W23*$DH23,0))</f>
        <v/>
      </c>
      <c r="DJ23" s="90" t="str">
        <f>IF(SUM($DI23)=0,"",SUM($DI23)/(SUM($G23)+SUM($W23)))</f>
        <v/>
      </c>
      <c r="DK23" s="150"/>
      <c r="DL23" s="151"/>
      <c r="DM23" s="151"/>
      <c r="DN23" s="151"/>
      <c r="DO23" s="151"/>
      <c r="DP23" s="151"/>
      <c r="DQ23" s="102"/>
      <c r="DR23" s="102"/>
      <c r="DS23" s="102"/>
      <c r="DT23" s="102"/>
      <c r="DU23" s="154"/>
      <c r="DV23" s="151"/>
      <c r="DW23" s="151"/>
      <c r="DX23" s="151"/>
      <c r="DY23" s="102"/>
      <c r="DZ23" s="102"/>
      <c r="EA23" s="150"/>
      <c r="EB23" s="102"/>
      <c r="EC23" s="102"/>
      <c r="ED23" s="154"/>
      <c r="EE23" s="155"/>
      <c r="EF23" s="155"/>
      <c r="EG23" s="155"/>
      <c r="EH23" s="102"/>
      <c r="EI23" s="102"/>
      <c r="EJ23" s="102"/>
      <c r="EK23" s="102"/>
      <c r="EL23" s="151"/>
      <c r="EM23" s="151"/>
      <c r="EN23" s="151"/>
      <c r="EO23" s="151"/>
      <c r="EP23" s="150"/>
      <c r="EQ23" s="102"/>
      <c r="ER23" s="154"/>
      <c r="ES23" s="155"/>
      <c r="ET23" s="102"/>
      <c r="EU23" s="102"/>
      <c r="EV23" s="151"/>
      <c r="EW23" s="151"/>
      <c r="EX23" s="154"/>
      <c r="EY23" s="102"/>
      <c r="EZ23" s="151"/>
      <c r="FA23" s="154"/>
      <c r="FB23" s="102"/>
      <c r="FC23" s="156"/>
    </row>
    <row r="24" spans="1:159" x14ac:dyDescent="0.2">
      <c r="A24" t="s">
        <v>222</v>
      </c>
      <c r="B24" s="13" t="s">
        <v>365</v>
      </c>
      <c r="C24" t="s">
        <v>47</v>
      </c>
      <c r="E24" s="87" t="str">
        <f>IFERROR(1/(1/IF($B24="&lt;01",ROUND(SUM(EID!$L:$L)/2,0),SUMIFS(HTS!$AM:$AM,HTS!$C:$C,$B24,HTS!$D:$D,$C24))),"")</f>
        <v/>
      </c>
      <c r="F24" s="14" t="str">
        <f>IFERROR(1/(1/IF($B24="&lt;01",ROUND(SUM(EID!$N:$N)/2,0),SUMIFS(Cascade!$AX:$AX,Cascade!$C:$C,$B24,Cascade!$D:$D,$C24))),"")</f>
        <v/>
      </c>
      <c r="G24" s="14" t="str">
        <f>IFERROR(1/(1/IF($B24="&lt;01",ROUND(SUM(EID!$P:$P)/2,0),SUMIFS(Cascade!$AP:$AP,Cascade!$C:$C,$B24,Cascade!$D:$D,$C24))),"")</f>
        <v/>
      </c>
      <c r="H24" s="14" t="str">
        <f>IFERROR(1/(1/IF($B24="&lt;01",ROUND(SUM(EID!$T:$T)/2,0),SUMIFS(Cascade!$BB:$BB,Cascade!$C:$C,$B24,Cascade!$D:$D,$C24))),"")</f>
        <v/>
      </c>
      <c r="I24" s="14" t="str">
        <f>IFERROR(1/(1/IF($B24="&lt;01",ROUND(SUM(EID!$V:$V)/2,0),SUMIFS(Cascade!$BE:$BE,Cascade!$C:$C,$B24,Cascade!$D:$D,$C24))),"")</f>
        <v/>
      </c>
      <c r="J24" s="14" t="str">
        <f>IFERROR(1/(1/SUMIFS(Cascade!$AJ:$AJ,Cascade!$C:$C,"="&amp;$B24,Cascade!$D:$D,$C24)),"")</f>
        <v/>
      </c>
      <c r="K24" s="14">
        <f>IFERROR(1/(1/SUMIFS(Cascade!$AQ:$AQ,Cascade!$C:$C,"="&amp;$B24,Cascade!$D:$D,$C24)),"")</f>
        <v>31902</v>
      </c>
      <c r="L24" s="90" t="str">
        <f t="shared" si="0"/>
        <v/>
      </c>
      <c r="M24" s="87" t="str">
        <f>IFERROR(1/(1/ROUND(SUMIFS(Spectrum!$N:$N,Spectrum!$Q:$Q,"="&amp;$B24,Spectrum!$K:$K,$C24,Spectrum!$G:$G,M$14,Spectrum!$M:$M,"CY2024Q3"),0)),"")</f>
        <v/>
      </c>
      <c r="N24" s="9" t="str">
        <f>IFERROR(1/(1/ROUND(SUMIFS(Spectrum!$N:$N,Spectrum!$Q:$Q,"="&amp;$B24,Spectrum!$K:$K,$C24,Spectrum!$G:$G,N$14,Spectrum!$M:$M,"CY2025Q3"),0)),IFERROR(1/(1/SUM($J24,$M24)),""))</f>
        <v/>
      </c>
      <c r="O24" s="90">
        <f t="shared" si="1"/>
        <v>0.9</v>
      </c>
      <c r="P24" s="14" t="str">
        <f t="shared" si="12"/>
        <v/>
      </c>
      <c r="Q24" s="90">
        <f t="shared" si="2"/>
        <v>0</v>
      </c>
      <c r="R24" s="83" t="str">
        <f t="shared" si="3"/>
        <v/>
      </c>
      <c r="S24" s="9">
        <f t="shared" si="4"/>
        <v>31902</v>
      </c>
      <c r="T24" s="90" t="str">
        <f t="shared" si="5"/>
        <v/>
      </c>
      <c r="U24" s="94">
        <v>0.98</v>
      </c>
      <c r="V24" s="90">
        <v>0.98</v>
      </c>
      <c r="W24" s="14" t="str">
        <f t="shared" si="6"/>
        <v/>
      </c>
      <c r="X24" s="90">
        <v>1</v>
      </c>
      <c r="Y24" s="9" t="str">
        <f t="shared" si="7"/>
        <v/>
      </c>
      <c r="Z24" s="94">
        <v>0.7</v>
      </c>
      <c r="AA24" s="14" t="str">
        <f t="shared" si="8"/>
        <v/>
      </c>
      <c r="AB24" s="90">
        <v>0.95</v>
      </c>
      <c r="AC24" s="9" t="str">
        <f t="shared" si="9"/>
        <v/>
      </c>
      <c r="AD24" s="94">
        <v>0.95</v>
      </c>
      <c r="AE24" s="9" t="str">
        <f t="shared" si="10"/>
        <v/>
      </c>
      <c r="AF24" s="94">
        <v>0.95</v>
      </c>
      <c r="AG24" s="9" t="str">
        <f t="shared" si="11"/>
        <v/>
      </c>
      <c r="AH24" s="150"/>
      <c r="AI24" s="151"/>
      <c r="AJ24" s="90" t="str">
        <f>IFERROR(1/(1/SUMIFS(TB!$P:$P,TB!$C:$C,$B24,TB!$D:$D,$C24))/SUM($E24),"")</f>
        <v/>
      </c>
      <c r="AK24" s="90" t="str">
        <f>IFERROR(1/(1/SUMIFS(VMMC!$AA:$AA,VMMC!$C:$C,$B24,VMMC!$D:$D,$C24))/SUM($E24),"")</f>
        <v/>
      </c>
      <c r="AL24" s="90" t="str">
        <f>IFERROR(1/(1/SUMIFS(HTS!$X:$X,HTS!$C:$C,$B24,HTS!$D:$D,$C24))/SUM($E24),"")</f>
        <v/>
      </c>
      <c r="AM24" s="90" t="str">
        <f>IFERROR(1/(1/SUMIFS(HTS!$AA:$AA,HTS!$C:$C,$B24,HTS!$D:$D,$C24))/SUM($E24),"")</f>
        <v/>
      </c>
      <c r="AN24" s="90" t="str">
        <f>IFERROR(1/(1/SUMIFS(HTS!$AD:$AD,HTS!$C:$C,$B24,HTS!$D:$D,$C24))/SUM($E24),"")</f>
        <v/>
      </c>
      <c r="AO24" s="90" t="str">
        <f>IFERROR(1/(1/SUMIFS(HTS!$AG:$AG,HTS!$C:$C,$B24,HTS!$D:$D,$C24))/SUM($E24),"")</f>
        <v/>
      </c>
      <c r="AP24" s="90" t="str">
        <f>IFERROR(1/(1/SUMIFS(HTS!$AJ:$AJ,HTS!$C:$C,$B24,HTS!$D:$D,$C24))/SUM($E24),"")</f>
        <v/>
      </c>
      <c r="AQ24" s="152"/>
      <c r="AR24" s="153"/>
      <c r="AS24" s="145" t="str">
        <f t="shared" si="13"/>
        <v/>
      </c>
      <c r="AT24" s="145" t="str">
        <f>AK24</f>
        <v/>
      </c>
      <c r="AU24" s="145" t="str">
        <f t="shared" si="14"/>
        <v/>
      </c>
      <c r="AV24" s="145" t="str">
        <f t="shared" si="15"/>
        <v/>
      </c>
      <c r="AW24" s="145" t="str">
        <f t="shared" si="16"/>
        <v/>
      </c>
      <c r="AX24" s="145" t="str">
        <f t="shared" si="17"/>
        <v/>
      </c>
      <c r="AY24" s="145" t="str">
        <f t="shared" si="18"/>
        <v/>
      </c>
      <c r="AZ24" s="90" t="str">
        <f t="shared" si="19"/>
        <v/>
      </c>
      <c r="BA24" s="87" t="str">
        <f>IFERROR(1/(1/SUMIFS(HTS!$BA:$BA,HTS!$C:$C,$B24,HTS!$D:$D,$C24)),"")</f>
        <v/>
      </c>
      <c r="BB24" s="90" t="str">
        <f t="shared" si="26"/>
        <v/>
      </c>
      <c r="BC24" s="90" t="str">
        <f t="shared" si="27"/>
        <v/>
      </c>
      <c r="BD24" s="9" t="str">
        <f t="shared" si="28"/>
        <v/>
      </c>
      <c r="BE24" s="87" t="str">
        <f>IFERROR(1/(1/SUMIFS(HTS!$AY:$AY,HTS!$C:$C,$B24,HTS!$D:$D,$C24)),"")</f>
        <v/>
      </c>
      <c r="BF24" s="9" t="str">
        <f t="shared" si="22"/>
        <v/>
      </c>
      <c r="BG24" s="90" t="str">
        <f t="shared" si="23"/>
        <v/>
      </c>
      <c r="BS24" s="156"/>
      <c r="BT24" s="102"/>
      <c r="BU24" s="102"/>
      <c r="BV24" s="154"/>
      <c r="BW24" s="155"/>
      <c r="BX24" s="155"/>
      <c r="BY24" s="155"/>
      <c r="BZ24" s="102"/>
      <c r="CA24" s="102"/>
      <c r="CB24" s="102"/>
      <c r="CC24" s="155"/>
      <c r="CD24" s="151"/>
      <c r="CE24" s="154"/>
      <c r="CF24" s="155"/>
      <c r="CG24" s="90">
        <f t="shared" si="20"/>
        <v>0.95</v>
      </c>
      <c r="CI24" s="9" t="str">
        <f t="shared" si="21"/>
        <v/>
      </c>
      <c r="CS24" s="87" t="str">
        <f>IFERROR(1/(1/SUMIFS(PrEP!$L:$L,PrEP!$C:$C,$B24,PrEP!$D:$D,$C24)),"")</f>
        <v/>
      </c>
      <c r="CT24" s="14" t="str">
        <f>IFERROR(1/(1/SUMIFS(PrEP!$O:$O,PrEP!$C:$C,$B24,PrEP!$D:$D,$C24)),"")</f>
        <v/>
      </c>
      <c r="CU24" s="9" t="str">
        <f t="shared" si="29"/>
        <v/>
      </c>
      <c r="CV24" s="9" t="str">
        <f t="shared" si="30"/>
        <v/>
      </c>
      <c r="CW24" s="90" t="str">
        <f t="shared" si="31"/>
        <v/>
      </c>
      <c r="CX24" s="90" t="str">
        <f t="shared" si="32"/>
        <v/>
      </c>
      <c r="CY24" s="87" t="str">
        <f>IFERROR(1/(1/SUMIFS(PP!$H:$H,PP!$C:$C,$B24,PP!$D:$D,$C24)),"")</f>
        <v/>
      </c>
      <c r="CZ24" s="9" t="str">
        <f t="shared" si="24"/>
        <v/>
      </c>
      <c r="DA24" s="90" t="str">
        <f t="shared" si="25"/>
        <v/>
      </c>
      <c r="DB24" s="154"/>
      <c r="DC24" s="102"/>
      <c r="DD24" s="153"/>
      <c r="DE24" s="154"/>
      <c r="DF24" s="155"/>
      <c r="DG24" s="151"/>
      <c r="DH24" s="151"/>
      <c r="DI24" s="102"/>
      <c r="DJ24" s="151"/>
      <c r="DK24" s="150"/>
      <c r="DL24" s="151"/>
      <c r="DM24" s="151"/>
      <c r="DN24" s="151"/>
      <c r="DO24" s="151"/>
      <c r="DP24" s="151"/>
      <c r="DQ24" s="102"/>
      <c r="DR24" s="102"/>
      <c r="DS24" s="102"/>
      <c r="DT24" s="102"/>
      <c r="DU24" s="154"/>
      <c r="DV24" s="151"/>
      <c r="DW24" s="151"/>
      <c r="DX24" s="151"/>
      <c r="DY24" s="102"/>
      <c r="DZ24" s="102"/>
      <c r="EA24" s="150"/>
      <c r="EB24" s="102"/>
      <c r="EC24" s="102"/>
      <c r="ED24" s="154"/>
      <c r="EE24" s="155"/>
      <c r="EF24" s="155"/>
      <c r="EG24" s="155"/>
      <c r="EH24" s="102"/>
      <c r="EI24" s="102"/>
      <c r="EJ24" s="102"/>
      <c r="EK24" s="102"/>
      <c r="EL24" s="151"/>
      <c r="EM24" s="151"/>
      <c r="EN24" s="151"/>
      <c r="EO24" s="151"/>
      <c r="EP24" s="150"/>
      <c r="EQ24" s="102"/>
      <c r="ER24" s="154"/>
      <c r="ES24" s="155"/>
      <c r="ET24" s="102"/>
      <c r="EU24" s="102"/>
      <c r="EV24" s="151"/>
      <c r="EW24" s="151"/>
      <c r="EX24" s="154"/>
      <c r="EY24" s="102"/>
      <c r="EZ24" s="151"/>
      <c r="FA24" s="154"/>
      <c r="FB24" s="102"/>
      <c r="FC24" s="156"/>
    </row>
    <row r="25" spans="1:159" x14ac:dyDescent="0.2">
      <c r="A25" t="s">
        <v>222</v>
      </c>
      <c r="B25" s="13" t="s">
        <v>366</v>
      </c>
      <c r="C25" s="13" t="s">
        <v>29</v>
      </c>
      <c r="E25" s="87" t="str">
        <f>IFERROR(1/(1/IF($B25="&lt;01",ROUND(SUM(EID!$L:$L)/2,0),SUMIFS(HTS!$AM:$AM,HTS!$C:$C,$B25,HTS!$D:$D,$C25))),"")</f>
        <v/>
      </c>
      <c r="F25" s="14" t="str">
        <f>IFERROR(1/(1/IF($B25="&lt;01",ROUND(SUM(EID!$N:$N)/2,0),SUMIFS(Cascade!$AX:$AX,Cascade!$C:$C,$B25,Cascade!$D:$D,$C25))),"")</f>
        <v/>
      </c>
      <c r="G25" s="14" t="str">
        <f>IFERROR(1/(1/IF($B25="&lt;01",ROUND(SUM(EID!$P:$P)/2,0),SUMIFS(Cascade!$AP:$AP,Cascade!$C:$C,$B25,Cascade!$D:$D,$C25))),"")</f>
        <v/>
      </c>
      <c r="H25" s="14" t="str">
        <f>IFERROR(1/(1/IF($B25="&lt;01",ROUND(SUM(EID!$T:$T)/2,0),SUMIFS(Cascade!$BB:$BB,Cascade!$C:$C,$B25,Cascade!$D:$D,$C25))),"")</f>
        <v/>
      </c>
      <c r="I25" s="14" t="str">
        <f>IFERROR(1/(1/IF($B25="&lt;01",ROUND(SUM(EID!$V:$V)/2,0),SUMIFS(Cascade!$BE:$BE,Cascade!$C:$C,$B25,Cascade!$D:$D,$C25))),"")</f>
        <v/>
      </c>
      <c r="J25" s="14" t="str">
        <f>IFERROR(1/(1/SUMIFS(Cascade!$AJ:$AJ,Cascade!$C:$C,"="&amp;$B25,Cascade!$D:$D,$C25)),"")</f>
        <v/>
      </c>
      <c r="K25" s="14">
        <f>IFERROR(1/(1/SUMIFS(Cascade!$AQ:$AQ,Cascade!$C:$C,"="&amp;$B25,Cascade!$D:$D,$C25)),"")</f>
        <v>37739</v>
      </c>
      <c r="L25" s="90" t="str">
        <f t="shared" si="0"/>
        <v/>
      </c>
      <c r="M25" s="87" t="str">
        <f>IFERROR(1/(1/ROUND(SUMIFS(Spectrum!$N:$N,Spectrum!$Q:$Q,"="&amp;$B25,Spectrum!$K:$K,$C25,Spectrum!$G:$G,M$14,Spectrum!$M:$M,"CY2024Q3"),0)),"")</f>
        <v/>
      </c>
      <c r="N25" s="9" t="str">
        <f>IFERROR(1/(1/ROUND(SUMIFS(Spectrum!$N:$N,Spectrum!$Q:$Q,"="&amp;$B25,Spectrum!$K:$K,$C25,Spectrum!$G:$G,N$14,Spectrum!$M:$M,"CY2025Q3"),0)),IFERROR(1/(1/SUM($J25,$M25)),""))</f>
        <v/>
      </c>
      <c r="O25" s="90">
        <f t="shared" si="1"/>
        <v>0.9</v>
      </c>
      <c r="P25" s="14" t="str">
        <f t="shared" si="12"/>
        <v/>
      </c>
      <c r="Q25" s="90">
        <f t="shared" si="2"/>
        <v>0</v>
      </c>
      <c r="R25" s="83" t="str">
        <f t="shared" si="3"/>
        <v/>
      </c>
      <c r="S25" s="9">
        <f t="shared" si="4"/>
        <v>37739</v>
      </c>
      <c r="T25" s="90" t="str">
        <f t="shared" si="5"/>
        <v/>
      </c>
      <c r="U25" s="94">
        <v>0.98</v>
      </c>
      <c r="V25" s="90">
        <v>0.98</v>
      </c>
      <c r="W25" s="14" t="str">
        <f t="shared" si="6"/>
        <v/>
      </c>
      <c r="X25" s="90">
        <v>1</v>
      </c>
      <c r="Y25" s="9" t="str">
        <f t="shared" si="7"/>
        <v/>
      </c>
      <c r="Z25" s="94">
        <v>0.7</v>
      </c>
      <c r="AA25" s="14" t="str">
        <f t="shared" si="8"/>
        <v/>
      </c>
      <c r="AB25" s="90">
        <v>0.95</v>
      </c>
      <c r="AC25" s="9" t="str">
        <f t="shared" si="9"/>
        <v/>
      </c>
      <c r="AD25" s="94">
        <v>0.95</v>
      </c>
      <c r="AE25" s="9" t="str">
        <f t="shared" si="10"/>
        <v/>
      </c>
      <c r="AF25" s="94">
        <v>0.95</v>
      </c>
      <c r="AG25" s="9" t="str">
        <f t="shared" si="11"/>
        <v/>
      </c>
      <c r="AH25" s="94" t="str">
        <f>IFERROR(1/(1/SUMIFS(PMTCT!$AC:$AC,PMTCT!$C:$C,$B25,PMTCT!$D:$D,$C25))/SUM($E25),"")</f>
        <v/>
      </c>
      <c r="AI25" s="90" t="str">
        <f>IFERROR(1/(1/SUMIFS(PMTCT!$AS:$AS,PMTCT!$C:$C,$B25,PMTCT!$D:$D,$C25))/SUM($E25),"")</f>
        <v/>
      </c>
      <c r="AJ25" s="90" t="str">
        <f>IFERROR(1/(1/SUMIFS(TB!$P:$P,TB!$C:$C,$B25,TB!$D:$D,$C25))/SUM($E25),"")</f>
        <v/>
      </c>
      <c r="AK25" s="151"/>
      <c r="AL25" s="90" t="str">
        <f>IFERROR(1/(1/SUMIFS(HTS!$X:$X,HTS!$C:$C,$B25,HTS!$D:$D,$C25))/SUM($E25),"")</f>
        <v/>
      </c>
      <c r="AM25" s="90" t="str">
        <f>IFERROR(1/(1/SUMIFS(HTS!$AA:$AA,HTS!$C:$C,$B25,HTS!$D:$D,$C25))/SUM($E25),"")</f>
        <v/>
      </c>
      <c r="AN25" s="90" t="str">
        <f>IFERROR(1/(1/SUMIFS(HTS!$AD:$AD,HTS!$C:$C,$B25,HTS!$D:$D,$C25))/SUM($E25),"")</f>
        <v/>
      </c>
      <c r="AO25" s="90" t="str">
        <f>IFERROR(1/(1/SUMIFS(HTS!$AG:$AG,HTS!$C:$C,$B25,HTS!$D:$D,$C25))/SUM($E25),"")</f>
        <v/>
      </c>
      <c r="AP25" s="90" t="str">
        <f>IFERROR(1/(1/SUMIFS(HTS!$AJ:$AJ,HTS!$C:$C,$B25,HTS!$D:$D,$C25))/SUM($E25),"")</f>
        <v/>
      </c>
      <c r="AQ25" s="144" t="str">
        <f>AH25</f>
        <v/>
      </c>
      <c r="AR25" s="145" t="str">
        <f>AI25</f>
        <v/>
      </c>
      <c r="AS25" s="145" t="str">
        <f t="shared" si="13"/>
        <v/>
      </c>
      <c r="AT25" s="153"/>
      <c r="AU25" s="145" t="str">
        <f t="shared" si="14"/>
        <v/>
      </c>
      <c r="AV25" s="145" t="str">
        <f t="shared" si="15"/>
        <v/>
      </c>
      <c r="AW25" s="145" t="str">
        <f t="shared" si="16"/>
        <v/>
      </c>
      <c r="AX25" s="145" t="str">
        <f t="shared" si="17"/>
        <v/>
      </c>
      <c r="AY25" s="145" t="str">
        <f t="shared" si="18"/>
        <v/>
      </c>
      <c r="AZ25" s="90" t="str">
        <f t="shared" si="19"/>
        <v/>
      </c>
      <c r="BA25" s="87" t="str">
        <f>IFERROR(1/(1/SUMIFS(HTS!$BA:$BA,HTS!$C:$C,$B25,HTS!$D:$D,$C25)),"")</f>
        <v/>
      </c>
      <c r="BB25" s="90" t="str">
        <f t="shared" si="26"/>
        <v/>
      </c>
      <c r="BC25" s="90" t="str">
        <f t="shared" si="27"/>
        <v/>
      </c>
      <c r="BD25" s="9" t="str">
        <f t="shared" si="28"/>
        <v/>
      </c>
      <c r="BE25" s="87" t="str">
        <f>IFERROR(1/(1/SUMIFS(HTS!$AY:$AY,HTS!$C:$C,$B25,HTS!$D:$D,$C25)),"")</f>
        <v/>
      </c>
      <c r="BF25" s="9" t="str">
        <f t="shared" si="22"/>
        <v/>
      </c>
      <c r="BG25" s="90" t="str">
        <f t="shared" si="23"/>
        <v/>
      </c>
      <c r="BS25" s="89">
        <f>$AF25</f>
        <v>0.95</v>
      </c>
      <c r="BU25" s="9" t="str">
        <f>IF(SUM($AG25)=0,"",IF(AND($AH25="",SUM($AG25)&gt;0),"&lt;- Enter Linkage Rate",ROUND($AG25*$AH25*$BS25,0)))</f>
        <v/>
      </c>
      <c r="CG25" s="90">
        <f t="shared" si="20"/>
        <v>0.95</v>
      </c>
      <c r="CI25" s="9" t="str">
        <f t="shared" si="21"/>
        <v/>
      </c>
      <c r="CS25" s="87" t="str">
        <f>IFERROR(1/(1/SUMIFS(PrEP!$L:$L,PrEP!$C:$C,$B25,PrEP!$D:$D,$C25)),"")</f>
        <v/>
      </c>
      <c r="CT25" s="14" t="str">
        <f>IFERROR(1/(1/SUMIFS(PrEP!$O:$O,PrEP!$C:$C,$B25,PrEP!$D:$D,$C25)),"")</f>
        <v/>
      </c>
      <c r="CU25" s="9" t="str">
        <f t="shared" si="29"/>
        <v/>
      </c>
      <c r="CV25" s="9" t="str">
        <f t="shared" si="30"/>
        <v/>
      </c>
      <c r="CW25" s="90" t="str">
        <f t="shared" si="31"/>
        <v/>
      </c>
      <c r="CX25" s="90" t="str">
        <f t="shared" si="32"/>
        <v/>
      </c>
      <c r="CY25" s="87" t="str">
        <f>IFERROR(1/(1/SUMIFS(PP!$H:$H,PP!$C:$C,$B25,PP!$D:$D,$C25)),"")</f>
        <v/>
      </c>
      <c r="CZ25" s="9" t="str">
        <f t="shared" si="24"/>
        <v/>
      </c>
      <c r="DA25" s="90" t="str">
        <f t="shared" si="25"/>
        <v/>
      </c>
      <c r="DB25" s="154"/>
      <c r="DC25" s="102"/>
      <c r="DD25" s="153"/>
      <c r="DE25" s="87" t="str">
        <f>IFERROR(1/(1/SUMIFS(CXCA!$M:$M,CXCA!$C:$C,$B25,CXCA!$D:$D,$C25)),"")</f>
        <v/>
      </c>
      <c r="DF25" s="14" t="str">
        <f>IF(SUM($DE25)=0,"",$DE25/SUM(SUMIFS(CXCA!$H:$H,CXCA!$C:$C,$B25,CXCA!$D:$D,$C25),SUMIFS(CXCA!$I:$I,CXCA!$C:$C,$B25,CXCA!$D:$D,$C25)))</f>
        <v/>
      </c>
      <c r="DG25" s="90">
        <v>0.33</v>
      </c>
      <c r="DH25" s="90">
        <v>1</v>
      </c>
      <c r="DI25" s="9" t="str">
        <f>IF(SUM($G25)=0,"",ROUND($G25*$DG25+$W25*$DH25,0))</f>
        <v/>
      </c>
      <c r="DJ25" s="90" t="str">
        <f>IF(SUM($DI25)=0,"",SUM($DI25)/(SUM($G25)+SUM($W25)))</f>
        <v/>
      </c>
      <c r="DK25" s="150"/>
      <c r="DL25" s="151"/>
      <c r="DM25" s="151"/>
      <c r="DN25" s="151"/>
      <c r="DO25" s="151"/>
      <c r="DP25" s="151"/>
      <c r="DQ25" s="102"/>
      <c r="DR25" s="102"/>
      <c r="DS25" s="102"/>
      <c r="DT25" s="102"/>
      <c r="DU25" s="154"/>
      <c r="DV25" s="151"/>
      <c r="DW25" s="151"/>
      <c r="DX25" s="151"/>
      <c r="DY25" s="102"/>
      <c r="DZ25" s="102"/>
      <c r="EA25" s="150"/>
      <c r="EB25" s="102"/>
      <c r="EC25" s="102"/>
      <c r="ED25" s="154"/>
      <c r="EE25" s="155"/>
      <c r="EF25" s="155"/>
      <c r="EG25" s="155"/>
      <c r="EH25" s="102"/>
      <c r="EI25" s="102"/>
      <c r="EJ25" s="102"/>
      <c r="EK25" s="102"/>
      <c r="EL25" s="151"/>
      <c r="EM25" s="151"/>
      <c r="EN25" s="151"/>
      <c r="EO25" s="151"/>
      <c r="EP25" s="150"/>
      <c r="EQ25" s="102"/>
      <c r="ER25" s="154"/>
      <c r="ES25" s="155"/>
      <c r="ET25" s="102"/>
      <c r="EU25" s="102"/>
      <c r="EV25" s="151"/>
      <c r="EW25" s="151"/>
      <c r="EX25" s="154"/>
      <c r="EY25" s="102"/>
      <c r="EZ25" s="151"/>
      <c r="FA25" s="154"/>
      <c r="FB25" s="102"/>
      <c r="FC25" s="156"/>
    </row>
    <row r="26" spans="1:159" x14ac:dyDescent="0.2">
      <c r="A26" t="s">
        <v>222</v>
      </c>
      <c r="B26" s="13" t="s">
        <v>366</v>
      </c>
      <c r="C26" t="s">
        <v>47</v>
      </c>
      <c r="E26" s="87" t="str">
        <f>IFERROR(1/(1/IF($B26="&lt;01",ROUND(SUM(EID!$L:$L)/2,0),SUMIFS(HTS!$AM:$AM,HTS!$C:$C,$B26,HTS!$D:$D,$C26))),"")</f>
        <v/>
      </c>
      <c r="F26" s="14" t="str">
        <f>IFERROR(1/(1/IF($B26="&lt;01",ROUND(SUM(EID!$N:$N)/2,0),SUMIFS(Cascade!$AX:$AX,Cascade!$C:$C,$B26,Cascade!$D:$D,$C26))),"")</f>
        <v/>
      </c>
      <c r="G26" s="14" t="str">
        <f>IFERROR(1/(1/IF($B26="&lt;01",ROUND(SUM(EID!$P:$P)/2,0),SUMIFS(Cascade!$AP:$AP,Cascade!$C:$C,$B26,Cascade!$D:$D,$C26))),"")</f>
        <v/>
      </c>
      <c r="H26" s="14" t="str">
        <f>IFERROR(1/(1/IF($B26="&lt;01",ROUND(SUM(EID!$T:$T)/2,0),SUMIFS(Cascade!$BB:$BB,Cascade!$C:$C,$B26,Cascade!$D:$D,$C26))),"")</f>
        <v/>
      </c>
      <c r="I26" s="14" t="str">
        <f>IFERROR(1/(1/IF($B26="&lt;01",ROUND(SUM(EID!$V:$V)/2,0),SUMIFS(Cascade!$BE:$BE,Cascade!$C:$C,$B26,Cascade!$D:$D,$C26))),"")</f>
        <v/>
      </c>
      <c r="J26" s="14" t="str">
        <f>IFERROR(1/(1/SUMIFS(Cascade!$AJ:$AJ,Cascade!$C:$C,"="&amp;$B26,Cascade!$D:$D,$C26)),"")</f>
        <v/>
      </c>
      <c r="K26" s="14">
        <f>IFERROR(1/(1/SUMIFS(Cascade!$AQ:$AQ,Cascade!$C:$C,"="&amp;$B26,Cascade!$D:$D,$C26)),"")</f>
        <v>37717</v>
      </c>
      <c r="L26" s="90" t="str">
        <f t="shared" si="0"/>
        <v/>
      </c>
      <c r="M26" s="87" t="str">
        <f>IFERROR(1/(1/ROUND(SUMIFS(Spectrum!$N:$N,Spectrum!$Q:$Q,"="&amp;$B26,Spectrum!$K:$K,$C26,Spectrum!$G:$G,M$14,Spectrum!$M:$M,"CY2024Q3"),0)),"")</f>
        <v/>
      </c>
      <c r="N26" s="9" t="str">
        <f>IFERROR(1/(1/ROUND(SUMIFS(Spectrum!$N:$N,Spectrum!$Q:$Q,"="&amp;$B26,Spectrum!$K:$K,$C26,Spectrum!$G:$G,N$14,Spectrum!$M:$M,"CY2025Q3"),0)),IFERROR(1/(1/SUM($J26,$M26)),""))</f>
        <v/>
      </c>
      <c r="O26" s="90">
        <f t="shared" si="1"/>
        <v>0.9</v>
      </c>
      <c r="P26" s="14" t="str">
        <f t="shared" si="12"/>
        <v/>
      </c>
      <c r="Q26" s="90">
        <f t="shared" si="2"/>
        <v>0</v>
      </c>
      <c r="R26" s="83" t="str">
        <f t="shared" si="3"/>
        <v/>
      </c>
      <c r="S26" s="9">
        <f t="shared" si="4"/>
        <v>37717</v>
      </c>
      <c r="T26" s="90" t="str">
        <f t="shared" si="5"/>
        <v/>
      </c>
      <c r="U26" s="94">
        <v>0.98</v>
      </c>
      <c r="V26" s="90">
        <v>0.98</v>
      </c>
      <c r="W26" s="14" t="str">
        <f t="shared" si="6"/>
        <v/>
      </c>
      <c r="X26" s="90">
        <v>1</v>
      </c>
      <c r="Y26" s="9" t="str">
        <f t="shared" si="7"/>
        <v/>
      </c>
      <c r="Z26" s="94">
        <v>0.7</v>
      </c>
      <c r="AA26" s="14" t="str">
        <f t="shared" si="8"/>
        <v/>
      </c>
      <c r="AB26" s="90">
        <v>0.95</v>
      </c>
      <c r="AC26" s="9" t="str">
        <f t="shared" si="9"/>
        <v/>
      </c>
      <c r="AD26" s="94">
        <v>0.95</v>
      </c>
      <c r="AE26" s="9" t="str">
        <f t="shared" si="10"/>
        <v/>
      </c>
      <c r="AF26" s="94">
        <v>0.95</v>
      </c>
      <c r="AG26" s="9" t="str">
        <f t="shared" si="11"/>
        <v/>
      </c>
      <c r="AH26" s="150"/>
      <c r="AI26" s="151"/>
      <c r="AJ26" s="90" t="str">
        <f>IFERROR(1/(1/SUMIFS(TB!$P:$P,TB!$C:$C,$B26,TB!$D:$D,$C26))/SUM($E26),"")</f>
        <v/>
      </c>
      <c r="AK26" s="90" t="str">
        <f>IFERROR(1/(1/SUMIFS(VMMC!$AA:$AA,VMMC!$C:$C,$B26,VMMC!$D:$D,$C26))/SUM($E26),"")</f>
        <v/>
      </c>
      <c r="AL26" s="90" t="str">
        <f>IFERROR(1/(1/SUMIFS(HTS!$X:$X,HTS!$C:$C,$B26,HTS!$D:$D,$C26))/SUM($E26),"")</f>
        <v/>
      </c>
      <c r="AM26" s="90" t="str">
        <f>IFERROR(1/(1/SUMIFS(HTS!$AA:$AA,HTS!$C:$C,$B26,HTS!$D:$D,$C26))/SUM($E26),"")</f>
        <v/>
      </c>
      <c r="AN26" s="90" t="str">
        <f>IFERROR(1/(1/SUMIFS(HTS!$AD:$AD,HTS!$C:$C,$B26,HTS!$D:$D,$C26))/SUM($E26),"")</f>
        <v/>
      </c>
      <c r="AO26" s="90" t="str">
        <f>IFERROR(1/(1/SUMIFS(HTS!$AG:$AG,HTS!$C:$C,$B26,HTS!$D:$D,$C26))/SUM($E26),"")</f>
        <v/>
      </c>
      <c r="AP26" s="90" t="str">
        <f>IFERROR(1/(1/SUMIFS(HTS!$AJ:$AJ,HTS!$C:$C,$B26,HTS!$D:$D,$C26))/SUM($E26),"")</f>
        <v/>
      </c>
      <c r="AQ26" s="152"/>
      <c r="AR26" s="153"/>
      <c r="AS26" s="145" t="str">
        <f t="shared" si="13"/>
        <v/>
      </c>
      <c r="AT26" s="145" t="str">
        <f>AK26</f>
        <v/>
      </c>
      <c r="AU26" s="145" t="str">
        <f t="shared" si="14"/>
        <v/>
      </c>
      <c r="AV26" s="145" t="str">
        <f t="shared" si="15"/>
        <v/>
      </c>
      <c r="AW26" s="145" t="str">
        <f t="shared" si="16"/>
        <v/>
      </c>
      <c r="AX26" s="145" t="str">
        <f t="shared" si="17"/>
        <v/>
      </c>
      <c r="AY26" s="145" t="str">
        <f t="shared" si="18"/>
        <v/>
      </c>
      <c r="AZ26" s="90" t="str">
        <f t="shared" si="19"/>
        <v/>
      </c>
      <c r="BA26" s="87" t="str">
        <f>IFERROR(1/(1/SUMIFS(HTS!$BA:$BA,HTS!$C:$C,$B26,HTS!$D:$D,$C26)),"")</f>
        <v/>
      </c>
      <c r="BB26" s="90" t="str">
        <f t="shared" si="26"/>
        <v/>
      </c>
      <c r="BC26" s="90" t="str">
        <f t="shared" si="27"/>
        <v/>
      </c>
      <c r="BD26" s="9" t="str">
        <f t="shared" si="28"/>
        <v/>
      </c>
      <c r="BE26" s="87" t="str">
        <f>IFERROR(1/(1/SUMIFS(HTS!$AY:$AY,HTS!$C:$C,$B26,HTS!$D:$D,$C26)),"")</f>
        <v/>
      </c>
      <c r="BF26" s="9" t="str">
        <f t="shared" si="22"/>
        <v/>
      </c>
      <c r="BG26" s="90" t="str">
        <f t="shared" si="23"/>
        <v/>
      </c>
      <c r="BS26" s="156"/>
      <c r="BT26" s="102"/>
      <c r="BU26" s="102"/>
      <c r="BV26" s="154"/>
      <c r="BW26" s="155"/>
      <c r="BX26" s="155"/>
      <c r="BY26" s="155"/>
      <c r="BZ26" s="102"/>
      <c r="CA26" s="102"/>
      <c r="CB26" s="102"/>
      <c r="CC26" s="155"/>
      <c r="CD26" s="151"/>
      <c r="CE26" s="154"/>
      <c r="CF26" s="155"/>
      <c r="CG26" s="90">
        <f t="shared" si="20"/>
        <v>0.95</v>
      </c>
      <c r="CI26" s="9" t="str">
        <f t="shared" si="21"/>
        <v/>
      </c>
      <c r="CS26" s="87" t="str">
        <f>IFERROR(1/(1/SUMIFS(PrEP!$L:$L,PrEP!$C:$C,$B26,PrEP!$D:$D,$C26)),"")</f>
        <v/>
      </c>
      <c r="CT26" s="14" t="str">
        <f>IFERROR(1/(1/SUMIFS(PrEP!$O:$O,PrEP!$C:$C,$B26,PrEP!$D:$D,$C26)),"")</f>
        <v/>
      </c>
      <c r="CU26" s="9" t="str">
        <f t="shared" si="29"/>
        <v/>
      </c>
      <c r="CV26" s="9" t="str">
        <f t="shared" si="30"/>
        <v/>
      </c>
      <c r="CW26" s="90" t="str">
        <f t="shared" si="31"/>
        <v/>
      </c>
      <c r="CX26" s="90" t="str">
        <f t="shared" si="32"/>
        <v/>
      </c>
      <c r="CY26" s="87" t="str">
        <f>IFERROR(1/(1/SUMIFS(PP!$H:$H,PP!$C:$C,$B26,PP!$D:$D,$C26)),"")</f>
        <v/>
      </c>
      <c r="CZ26" s="9" t="str">
        <f t="shared" si="24"/>
        <v/>
      </c>
      <c r="DA26" s="90" t="str">
        <f t="shared" si="25"/>
        <v/>
      </c>
      <c r="DB26" s="154"/>
      <c r="DC26" s="102"/>
      <c r="DD26" s="153"/>
      <c r="DE26" s="154"/>
      <c r="DF26" s="155"/>
      <c r="DG26" s="151"/>
      <c r="DH26" s="151"/>
      <c r="DI26" s="102"/>
      <c r="DJ26" s="151"/>
      <c r="DK26" s="150"/>
      <c r="DL26" s="151"/>
      <c r="DM26" s="151"/>
      <c r="DN26" s="151"/>
      <c r="DO26" s="151"/>
      <c r="DP26" s="151"/>
      <c r="DQ26" s="102"/>
      <c r="DR26" s="102"/>
      <c r="DS26" s="102"/>
      <c r="DT26" s="102"/>
      <c r="DU26" s="154"/>
      <c r="DV26" s="151"/>
      <c r="DW26" s="151"/>
      <c r="DX26" s="151"/>
      <c r="DY26" s="102"/>
      <c r="DZ26" s="102"/>
      <c r="EA26" s="150"/>
      <c r="EB26" s="102"/>
      <c r="EC26" s="102"/>
      <c r="ED26" s="154"/>
      <c r="EE26" s="155"/>
      <c r="EF26" s="155"/>
      <c r="EG26" s="155"/>
      <c r="EH26" s="102"/>
      <c r="EI26" s="102"/>
      <c r="EJ26" s="102"/>
      <c r="EK26" s="102"/>
      <c r="EL26" s="151"/>
      <c r="EM26" s="151"/>
      <c r="EN26" s="151"/>
      <c r="EO26" s="151"/>
      <c r="EP26" s="150"/>
      <c r="EQ26" s="102"/>
      <c r="ER26" s="154"/>
      <c r="ES26" s="155"/>
      <c r="ET26" s="102"/>
      <c r="EU26" s="102"/>
      <c r="EV26" s="151"/>
      <c r="EW26" s="151"/>
      <c r="EX26" s="154"/>
      <c r="EY26" s="102"/>
      <c r="EZ26" s="151"/>
      <c r="FA26" s="154"/>
      <c r="FB26" s="102"/>
      <c r="FC26" s="156"/>
    </row>
    <row r="27" spans="1:159" x14ac:dyDescent="0.2">
      <c r="A27" t="s">
        <v>222</v>
      </c>
      <c r="B27" s="13" t="s">
        <v>367</v>
      </c>
      <c r="C27" s="13" t="s">
        <v>29</v>
      </c>
      <c r="E27" s="87" t="str">
        <f>IFERROR(1/(1/IF($B27="&lt;01",ROUND(SUM(EID!$L:$L)/2,0),SUMIFS(HTS!$AM:$AM,HTS!$C:$C,$B27,HTS!$D:$D,$C27))),"")</f>
        <v/>
      </c>
      <c r="F27" s="14" t="str">
        <f>IFERROR(1/(1/IF($B27="&lt;01",ROUND(SUM(EID!$N:$N)/2,0),SUMIFS(Cascade!$AX:$AX,Cascade!$C:$C,$B27,Cascade!$D:$D,$C27))),"")</f>
        <v/>
      </c>
      <c r="G27" s="14" t="str">
        <f>IFERROR(1/(1/IF($B27="&lt;01",ROUND(SUM(EID!$P:$P)/2,0),SUMIFS(Cascade!$AP:$AP,Cascade!$C:$C,$B27,Cascade!$D:$D,$C27))),"")</f>
        <v/>
      </c>
      <c r="H27" s="14" t="str">
        <f>IFERROR(1/(1/IF($B27="&lt;01",ROUND(SUM(EID!$T:$T)/2,0),SUMIFS(Cascade!$BB:$BB,Cascade!$C:$C,$B27,Cascade!$D:$D,$C27))),"")</f>
        <v/>
      </c>
      <c r="I27" s="14" t="str">
        <f>IFERROR(1/(1/IF($B27="&lt;01",ROUND(SUM(EID!$V:$V)/2,0),SUMIFS(Cascade!$BE:$BE,Cascade!$C:$C,$B27,Cascade!$D:$D,$C27))),"")</f>
        <v/>
      </c>
      <c r="J27" s="14" t="str">
        <f>IFERROR(1/(1/SUMIFS(Cascade!$AJ:$AJ,Cascade!$C:$C,"="&amp;$B27,Cascade!$D:$D,$C27)),"")</f>
        <v/>
      </c>
      <c r="K27" s="14">
        <f>IFERROR(1/(1/SUMIFS(Cascade!$AQ:$AQ,Cascade!$C:$C,"="&amp;$B27,Cascade!$D:$D,$C27)),"")</f>
        <v>34683</v>
      </c>
      <c r="L27" s="90" t="str">
        <f t="shared" si="0"/>
        <v/>
      </c>
      <c r="M27" s="87" t="str">
        <f>IFERROR(1/(1/ROUND(SUMIFS(Spectrum!$N:$N,Spectrum!$Q:$Q,"="&amp;$B27,Spectrum!$K:$K,$C27,Spectrum!$G:$G,M$14,Spectrum!$M:$M,"CY2024Q3"),0)),"")</f>
        <v/>
      </c>
      <c r="N27" s="9" t="str">
        <f>IFERROR(1/(1/ROUND(SUMIFS(Spectrum!$N:$N,Spectrum!$Q:$Q,"="&amp;$B27,Spectrum!$K:$K,$C27,Spectrum!$G:$G,N$14,Spectrum!$M:$M,"CY2025Q3"),0)),IFERROR(1/(1/SUM($J27,$M27)),""))</f>
        <v/>
      </c>
      <c r="O27" s="90">
        <f t="shared" si="1"/>
        <v>0.9</v>
      </c>
      <c r="P27" s="14" t="str">
        <f t="shared" si="12"/>
        <v/>
      </c>
      <c r="Q27" s="90">
        <f t="shared" si="2"/>
        <v>0</v>
      </c>
      <c r="R27" s="83" t="str">
        <f t="shared" si="3"/>
        <v/>
      </c>
      <c r="S27" s="9">
        <f t="shared" si="4"/>
        <v>34683</v>
      </c>
      <c r="T27" s="90" t="str">
        <f t="shared" si="5"/>
        <v/>
      </c>
      <c r="U27" s="94">
        <v>0.98</v>
      </c>
      <c r="V27" s="90">
        <v>0.98</v>
      </c>
      <c r="W27" s="14" t="str">
        <f t="shared" si="6"/>
        <v/>
      </c>
      <c r="X27" s="90">
        <v>1</v>
      </c>
      <c r="Y27" s="9" t="str">
        <f t="shared" si="7"/>
        <v/>
      </c>
      <c r="Z27" s="94">
        <v>0.7</v>
      </c>
      <c r="AA27" s="14" t="str">
        <f t="shared" si="8"/>
        <v/>
      </c>
      <c r="AB27" s="90">
        <v>0.95</v>
      </c>
      <c r="AC27" s="9" t="str">
        <f t="shared" si="9"/>
        <v/>
      </c>
      <c r="AD27" s="94">
        <v>0.95</v>
      </c>
      <c r="AE27" s="9" t="str">
        <f t="shared" si="10"/>
        <v/>
      </c>
      <c r="AF27" s="94">
        <v>0.95</v>
      </c>
      <c r="AG27" s="9" t="str">
        <f t="shared" si="11"/>
        <v/>
      </c>
      <c r="AH27" s="94" t="str">
        <f>IFERROR(1/(1/SUMIFS(PMTCT!$AC:$AC,PMTCT!$C:$C,$B27,PMTCT!$D:$D,$C27))/SUM($E27),"")</f>
        <v/>
      </c>
      <c r="AI27" s="90" t="str">
        <f>IFERROR(1/(1/SUMIFS(PMTCT!$AS:$AS,PMTCT!$C:$C,$B27,PMTCT!$D:$D,$C27))/SUM($E27),"")</f>
        <v/>
      </c>
      <c r="AJ27" s="90" t="str">
        <f>IFERROR(1/(1/SUMIFS(TB!$P:$P,TB!$C:$C,$B27,TB!$D:$D,$C27))/SUM($E27),"")</f>
        <v/>
      </c>
      <c r="AK27" s="151"/>
      <c r="AL27" s="90" t="str">
        <f>IFERROR(1/(1/SUMIFS(HTS!$X:$X,HTS!$C:$C,$B27,HTS!$D:$D,$C27))/SUM($E27),"")</f>
        <v/>
      </c>
      <c r="AM27" s="90" t="str">
        <f>IFERROR(1/(1/SUMIFS(HTS!$AA:$AA,HTS!$C:$C,$B27,HTS!$D:$D,$C27))/SUM($E27),"")</f>
        <v/>
      </c>
      <c r="AN27" s="90" t="str">
        <f>IFERROR(1/(1/SUMIFS(HTS!$AD:$AD,HTS!$C:$C,$B27,HTS!$D:$D,$C27))/SUM($E27),"")</f>
        <v/>
      </c>
      <c r="AO27" s="90" t="str">
        <f>IFERROR(1/(1/SUMIFS(HTS!$AG:$AG,HTS!$C:$C,$B27,HTS!$D:$D,$C27))/SUM($E27),"")</f>
        <v/>
      </c>
      <c r="AP27" s="90" t="str">
        <f>IFERROR(1/(1/SUMIFS(HTS!$AJ:$AJ,HTS!$C:$C,$B27,HTS!$D:$D,$C27))/SUM($E27),"")</f>
        <v/>
      </c>
      <c r="AQ27" s="144" t="str">
        <f>AH27</f>
        <v/>
      </c>
      <c r="AR27" s="145" t="str">
        <f>AI27</f>
        <v/>
      </c>
      <c r="AS27" s="145" t="str">
        <f t="shared" si="13"/>
        <v/>
      </c>
      <c r="AT27" s="153"/>
      <c r="AU27" s="145" t="str">
        <f t="shared" si="14"/>
        <v/>
      </c>
      <c r="AV27" s="145" t="str">
        <f t="shared" si="15"/>
        <v/>
      </c>
      <c r="AW27" s="145" t="str">
        <f t="shared" si="16"/>
        <v/>
      </c>
      <c r="AX27" s="145" t="str">
        <f t="shared" si="17"/>
        <v/>
      </c>
      <c r="AY27" s="145" t="str">
        <f t="shared" si="18"/>
        <v/>
      </c>
      <c r="AZ27" s="90" t="str">
        <f t="shared" si="19"/>
        <v/>
      </c>
      <c r="BA27" s="87" t="str">
        <f>IFERROR(1/(1/SUMIFS(HTS!$BA:$BA,HTS!$C:$C,$B27,HTS!$D:$D,$C27)),"")</f>
        <v/>
      </c>
      <c r="BB27" s="90" t="str">
        <f t="shared" si="26"/>
        <v/>
      </c>
      <c r="BC27" s="90" t="str">
        <f t="shared" si="27"/>
        <v/>
      </c>
      <c r="BD27" s="9" t="str">
        <f t="shared" si="28"/>
        <v/>
      </c>
      <c r="BE27" s="87">
        <f>IFERROR(1/(1/SUMIFS(HTS!$AY:$AY,HTS!$C:$C,$B27,HTS!$D:$D,$C27)),"")</f>
        <v>3363.0000000000005</v>
      </c>
      <c r="BF27" s="9">
        <f t="shared" si="22"/>
        <v>3363.0000000000005</v>
      </c>
      <c r="BG27" s="90">
        <f t="shared" si="23"/>
        <v>0</v>
      </c>
      <c r="BS27" s="89">
        <f>$AF27</f>
        <v>0.95</v>
      </c>
      <c r="BU27" s="9" t="str">
        <f>IF(SUM($AG27)=0,"",IF(AND($AH27="",SUM($AG27)&gt;0),"&lt;- Enter Linkage Rate",ROUND($AG27*$AH27*$BS27,0)))</f>
        <v/>
      </c>
      <c r="CG27" s="90">
        <f t="shared" si="20"/>
        <v>0.95</v>
      </c>
      <c r="CI27" s="9" t="str">
        <f t="shared" si="21"/>
        <v/>
      </c>
      <c r="CS27" s="87">
        <f>IFERROR(1/(1/SUMIFS(PrEP!$L:$L,PrEP!$C:$C,$B27,PrEP!$D:$D,$C27)),"")</f>
        <v>34</v>
      </c>
      <c r="CT27" s="14" t="str">
        <f>IFERROR(1/(1/SUMIFS(PrEP!$O:$O,PrEP!$C:$C,$B27,PrEP!$D:$D,$C27)),"")</f>
        <v/>
      </c>
      <c r="CU27" s="9">
        <f t="shared" si="29"/>
        <v>34</v>
      </c>
      <c r="CV27" s="9" t="str">
        <f t="shared" si="30"/>
        <v/>
      </c>
      <c r="CW27" s="90">
        <f t="shared" si="31"/>
        <v>0</v>
      </c>
      <c r="CX27" s="90" t="str">
        <f t="shared" si="32"/>
        <v/>
      </c>
      <c r="CY27" s="87">
        <f>IFERROR(1/(1/SUMIFS(PP!$H:$H,PP!$C:$C,$B27,PP!$D:$D,$C27)),"")</f>
        <v>155</v>
      </c>
      <c r="CZ27" s="9">
        <f t="shared" si="24"/>
        <v>155</v>
      </c>
      <c r="DA27" s="90">
        <f t="shared" si="25"/>
        <v>0</v>
      </c>
      <c r="DB27" s="154"/>
      <c r="DC27" s="102"/>
      <c r="DD27" s="153"/>
      <c r="DE27" s="154"/>
      <c r="DF27" s="155"/>
      <c r="DG27" s="151"/>
      <c r="DH27" s="151"/>
      <c r="DI27" s="102"/>
      <c r="DJ27" s="151"/>
      <c r="DK27" s="150"/>
      <c r="DL27" s="151"/>
      <c r="DM27" s="151"/>
      <c r="DN27" s="151"/>
      <c r="DO27" s="151"/>
      <c r="DP27" s="151"/>
      <c r="DQ27" s="102"/>
      <c r="DR27" s="102"/>
      <c r="DS27" s="102"/>
      <c r="DT27" s="102"/>
      <c r="DU27" s="154"/>
      <c r="DV27" s="151"/>
      <c r="DW27" s="151"/>
      <c r="DX27" s="151"/>
      <c r="DY27" s="102"/>
      <c r="DZ27" s="102"/>
      <c r="EA27" s="150"/>
      <c r="EB27" s="102"/>
      <c r="EC27" s="102"/>
      <c r="ED27" s="154"/>
      <c r="EE27" s="155"/>
      <c r="EF27" s="155"/>
      <c r="EG27" s="155"/>
      <c r="EH27" s="102"/>
      <c r="EI27" s="102"/>
      <c r="EJ27" s="102"/>
      <c r="EK27" s="102"/>
      <c r="EL27" s="151"/>
      <c r="EM27" s="151"/>
      <c r="EN27" s="151"/>
      <c r="EO27" s="151"/>
      <c r="EP27" s="150"/>
      <c r="EQ27" s="102"/>
      <c r="ER27" s="154"/>
      <c r="ES27" s="155"/>
      <c r="ET27" s="102"/>
      <c r="EU27" s="102"/>
      <c r="EV27" s="151"/>
      <c r="EW27" s="151"/>
      <c r="EX27" s="154"/>
      <c r="EY27" s="102"/>
      <c r="EZ27" s="151"/>
      <c r="FA27" s="154"/>
      <c r="FB27" s="102"/>
      <c r="FC27" s="156"/>
    </row>
    <row r="28" spans="1:159" x14ac:dyDescent="0.2">
      <c r="A28" t="s">
        <v>222</v>
      </c>
      <c r="B28" s="13" t="s">
        <v>367</v>
      </c>
      <c r="C28" t="s">
        <v>47</v>
      </c>
      <c r="E28" s="87" t="str">
        <f>IFERROR(1/(1/IF($B28="&lt;01",ROUND(SUM(EID!$L:$L)/2,0),SUMIFS(HTS!$AM:$AM,HTS!$C:$C,$B28,HTS!$D:$D,$C28))),"")</f>
        <v/>
      </c>
      <c r="F28" s="14" t="str">
        <f>IFERROR(1/(1/IF($B28="&lt;01",ROUND(SUM(EID!$N:$N)/2,0),SUMIFS(Cascade!$AX:$AX,Cascade!$C:$C,$B28,Cascade!$D:$D,$C28))),"")</f>
        <v/>
      </c>
      <c r="G28" s="14" t="str">
        <f>IFERROR(1/(1/IF($B28="&lt;01",ROUND(SUM(EID!$P:$P)/2,0),SUMIFS(Cascade!$AP:$AP,Cascade!$C:$C,$B28,Cascade!$D:$D,$C28))),"")</f>
        <v/>
      </c>
      <c r="H28" s="14" t="str">
        <f>IFERROR(1/(1/IF($B28="&lt;01",ROUND(SUM(EID!$T:$T)/2,0),SUMIFS(Cascade!$BB:$BB,Cascade!$C:$C,$B28,Cascade!$D:$D,$C28))),"")</f>
        <v/>
      </c>
      <c r="I28" s="14" t="str">
        <f>IFERROR(1/(1/IF($B28="&lt;01",ROUND(SUM(EID!$V:$V)/2,0),SUMIFS(Cascade!$BE:$BE,Cascade!$C:$C,$B28,Cascade!$D:$D,$C28))),"")</f>
        <v/>
      </c>
      <c r="J28" s="14" t="str">
        <f>IFERROR(1/(1/SUMIFS(Cascade!$AJ:$AJ,Cascade!$C:$C,"="&amp;$B28,Cascade!$D:$D,$C28)),"")</f>
        <v/>
      </c>
      <c r="K28" s="14">
        <f>IFERROR(1/(1/SUMIFS(Cascade!$AQ:$AQ,Cascade!$C:$C,"="&amp;$B28,Cascade!$D:$D,$C28)),"")</f>
        <v>38938</v>
      </c>
      <c r="L28" s="90" t="str">
        <f t="shared" si="0"/>
        <v/>
      </c>
      <c r="M28" s="87" t="str">
        <f>IFERROR(1/(1/ROUND(SUMIFS(Spectrum!$N:$N,Spectrum!$Q:$Q,"="&amp;$B28,Spectrum!$K:$K,$C28,Spectrum!$G:$G,M$14,Spectrum!$M:$M,"CY2024Q3"),0)),"")</f>
        <v/>
      </c>
      <c r="N28" s="9" t="str">
        <f>IFERROR(1/(1/ROUND(SUMIFS(Spectrum!$N:$N,Spectrum!$Q:$Q,"="&amp;$B28,Spectrum!$K:$K,$C28,Spectrum!$G:$G,N$14,Spectrum!$M:$M,"CY2025Q3"),0)),IFERROR(1/(1/SUM($J28,$M28)),""))</f>
        <v/>
      </c>
      <c r="O28" s="90">
        <f t="shared" si="1"/>
        <v>0.9</v>
      </c>
      <c r="P28" s="14" t="str">
        <f t="shared" si="12"/>
        <v/>
      </c>
      <c r="Q28" s="90">
        <f t="shared" si="2"/>
        <v>0</v>
      </c>
      <c r="R28" s="83" t="str">
        <f t="shared" si="3"/>
        <v/>
      </c>
      <c r="S28" s="9">
        <f t="shared" si="4"/>
        <v>38938</v>
      </c>
      <c r="T28" s="90" t="str">
        <f t="shared" si="5"/>
        <v/>
      </c>
      <c r="U28" s="94">
        <v>0.98</v>
      </c>
      <c r="V28" s="90">
        <v>0.98</v>
      </c>
      <c r="W28" s="14" t="str">
        <f t="shared" si="6"/>
        <v/>
      </c>
      <c r="X28" s="90">
        <v>1</v>
      </c>
      <c r="Y28" s="9" t="str">
        <f t="shared" si="7"/>
        <v/>
      </c>
      <c r="Z28" s="94">
        <v>0.7</v>
      </c>
      <c r="AA28" s="14" t="str">
        <f t="shared" si="8"/>
        <v/>
      </c>
      <c r="AB28" s="90">
        <v>0.95</v>
      </c>
      <c r="AC28" s="9" t="str">
        <f t="shared" si="9"/>
        <v/>
      </c>
      <c r="AD28" s="94">
        <v>0.95</v>
      </c>
      <c r="AE28" s="9" t="str">
        <f t="shared" si="10"/>
        <v/>
      </c>
      <c r="AF28" s="94">
        <v>0.95</v>
      </c>
      <c r="AG28" s="9" t="str">
        <f t="shared" si="11"/>
        <v/>
      </c>
      <c r="AH28" s="150"/>
      <c r="AI28" s="151"/>
      <c r="AJ28" s="90" t="str">
        <f>IFERROR(1/(1/SUMIFS(TB!$P:$P,TB!$C:$C,$B28,TB!$D:$D,$C28))/SUM($E28),"")</f>
        <v/>
      </c>
      <c r="AK28" s="90" t="str">
        <f>IFERROR(1/(1/SUMIFS(VMMC!$AA:$AA,VMMC!$C:$C,$B28,VMMC!$D:$D,$C28))/SUM($E28),"")</f>
        <v/>
      </c>
      <c r="AL28" s="90" t="str">
        <f>IFERROR(1/(1/SUMIFS(HTS!$X:$X,HTS!$C:$C,$B28,HTS!$D:$D,$C28))/SUM($E28),"")</f>
        <v/>
      </c>
      <c r="AM28" s="90" t="str">
        <f>IFERROR(1/(1/SUMIFS(HTS!$AA:$AA,HTS!$C:$C,$B28,HTS!$D:$D,$C28))/SUM($E28),"")</f>
        <v/>
      </c>
      <c r="AN28" s="90" t="str">
        <f>IFERROR(1/(1/SUMIFS(HTS!$AD:$AD,HTS!$C:$C,$B28,HTS!$D:$D,$C28))/SUM($E28),"")</f>
        <v/>
      </c>
      <c r="AO28" s="90" t="str">
        <f>IFERROR(1/(1/SUMIFS(HTS!$AG:$AG,HTS!$C:$C,$B28,HTS!$D:$D,$C28))/SUM($E28),"")</f>
        <v/>
      </c>
      <c r="AP28" s="90" t="str">
        <f>IFERROR(1/(1/SUMIFS(HTS!$AJ:$AJ,HTS!$C:$C,$B28,HTS!$D:$D,$C28))/SUM($E28),"")</f>
        <v/>
      </c>
      <c r="AQ28" s="152"/>
      <c r="AR28" s="153"/>
      <c r="AS28" s="145" t="str">
        <f t="shared" si="13"/>
        <v/>
      </c>
      <c r="AT28" s="145" t="str">
        <f>AK28</f>
        <v/>
      </c>
      <c r="AU28" s="145" t="str">
        <f t="shared" si="14"/>
        <v/>
      </c>
      <c r="AV28" s="145" t="str">
        <f t="shared" si="15"/>
        <v/>
      </c>
      <c r="AW28" s="145" t="str">
        <f t="shared" si="16"/>
        <v/>
      </c>
      <c r="AX28" s="145" t="str">
        <f t="shared" si="17"/>
        <v/>
      </c>
      <c r="AY28" s="145" t="str">
        <f t="shared" si="18"/>
        <v/>
      </c>
      <c r="AZ28" s="90" t="str">
        <f t="shared" si="19"/>
        <v/>
      </c>
      <c r="BA28" s="87" t="str">
        <f>IFERROR(1/(1/SUMIFS(HTS!$BA:$BA,HTS!$C:$C,$B28,HTS!$D:$D,$C28)),"")</f>
        <v/>
      </c>
      <c r="BB28" s="90" t="str">
        <f t="shared" si="26"/>
        <v/>
      </c>
      <c r="BC28" s="90" t="str">
        <f t="shared" si="27"/>
        <v/>
      </c>
      <c r="BD28" s="9" t="str">
        <f t="shared" si="28"/>
        <v/>
      </c>
      <c r="BE28" s="87">
        <f>IFERROR(1/(1/SUMIFS(HTS!$AY:$AY,HTS!$C:$C,$B28,HTS!$D:$D,$C28)),"")</f>
        <v>3855</v>
      </c>
      <c r="BF28" s="9">
        <f t="shared" si="22"/>
        <v>3855</v>
      </c>
      <c r="BG28" s="90">
        <f t="shared" si="23"/>
        <v>0</v>
      </c>
      <c r="BS28" s="156"/>
      <c r="BT28" s="102"/>
      <c r="BU28" s="102"/>
      <c r="BV28" s="154"/>
      <c r="BW28" s="155"/>
      <c r="BX28" s="155"/>
      <c r="BY28" s="155"/>
      <c r="BZ28" s="102"/>
      <c r="CA28" s="102"/>
      <c r="CB28" s="102"/>
      <c r="CC28" s="155"/>
      <c r="CD28" s="151"/>
      <c r="CE28" s="154"/>
      <c r="CF28" s="155"/>
      <c r="CG28" s="90">
        <f t="shared" si="20"/>
        <v>0.95</v>
      </c>
      <c r="CI28" s="9" t="str">
        <f t="shared" si="21"/>
        <v/>
      </c>
      <c r="CS28" s="87">
        <f>IFERROR(1/(1/SUMIFS(PrEP!$L:$L,PrEP!$C:$C,$B28,PrEP!$D:$D,$C28)),"")</f>
        <v>116</v>
      </c>
      <c r="CT28" s="14" t="str">
        <f>IFERROR(1/(1/SUMIFS(PrEP!$O:$O,PrEP!$C:$C,$B28,PrEP!$D:$D,$C28)),"")</f>
        <v/>
      </c>
      <c r="CU28" s="9">
        <f t="shared" si="29"/>
        <v>116</v>
      </c>
      <c r="CV28" s="9" t="str">
        <f t="shared" si="30"/>
        <v/>
      </c>
      <c r="CW28" s="90">
        <f t="shared" si="31"/>
        <v>0</v>
      </c>
      <c r="CX28" s="90" t="str">
        <f t="shared" si="32"/>
        <v/>
      </c>
      <c r="CY28" s="87">
        <f>IFERROR(1/(1/SUMIFS(PP!$H:$H,PP!$C:$C,$B28,PP!$D:$D,$C28)),"")</f>
        <v>102</v>
      </c>
      <c r="CZ28" s="9">
        <f t="shared" si="24"/>
        <v>102</v>
      </c>
      <c r="DA28" s="90">
        <f t="shared" si="25"/>
        <v>0</v>
      </c>
      <c r="DB28" s="154"/>
      <c r="DC28" s="102"/>
      <c r="DD28" s="153"/>
      <c r="DE28" s="154"/>
      <c r="DF28" s="155"/>
      <c r="DG28" s="151"/>
      <c r="DH28" s="151"/>
      <c r="DI28" s="102"/>
      <c r="DJ28" s="151"/>
      <c r="DK28" s="150"/>
      <c r="DL28" s="151"/>
      <c r="DM28" s="151"/>
      <c r="DN28" s="151"/>
      <c r="DO28" s="151"/>
      <c r="DP28" s="151"/>
      <c r="DQ28" s="102"/>
      <c r="DR28" s="102"/>
      <c r="DS28" s="102"/>
      <c r="DT28" s="102"/>
      <c r="DU28" s="154"/>
      <c r="DV28" s="151"/>
      <c r="DW28" s="151"/>
      <c r="DX28" s="151"/>
      <c r="DY28" s="102"/>
      <c r="DZ28" s="102"/>
      <c r="EA28" s="150"/>
      <c r="EB28" s="102"/>
      <c r="EC28" s="102"/>
      <c r="ED28" s="154"/>
      <c r="EE28" s="155"/>
      <c r="EF28" s="155"/>
      <c r="EG28" s="155"/>
      <c r="EH28" s="102"/>
      <c r="EI28" s="102"/>
      <c r="EJ28" s="102"/>
      <c r="EK28" s="102"/>
      <c r="EL28" s="151"/>
      <c r="EM28" s="151"/>
      <c r="EN28" s="151"/>
      <c r="EO28" s="151"/>
      <c r="EP28" s="150"/>
      <c r="EQ28" s="102"/>
      <c r="ER28" s="154"/>
      <c r="ES28" s="155"/>
      <c r="ET28" s="102"/>
      <c r="EU28" s="102"/>
      <c r="EV28" s="151"/>
      <c r="EW28" s="151"/>
      <c r="EX28" s="154"/>
      <c r="EY28" s="102"/>
      <c r="EZ28" s="151"/>
      <c r="FA28" s="154"/>
      <c r="FB28" s="102"/>
      <c r="FC28" s="156"/>
    </row>
    <row r="29" spans="1:159" x14ac:dyDescent="0.2">
      <c r="A29" t="s">
        <v>368</v>
      </c>
      <c r="D29" t="s">
        <v>469</v>
      </c>
      <c r="E29" s="87">
        <f>IFERROR(1/(1/SUMIFS(KP!$AK:$AK,KP!$C:$C,$D29)),"")</f>
        <v>30</v>
      </c>
      <c r="F29" s="14">
        <f>IFERROR(1/(1/SUMIFS(KP!$Z:$Z,KP!$C:$C,$D29)),"")</f>
        <v>29</v>
      </c>
      <c r="G29" s="14">
        <f>IFERROR(1/(1/SUMIFS(KP!$Q:$Q,KP!$C:$C,$D29)),"")</f>
        <v>1414</v>
      </c>
      <c r="H29" s="14">
        <f>IFERROR(1/(1/SUMIFS(KP!$AD:$AD,KP!$C:$C,$D29)),"")</f>
        <v>1363</v>
      </c>
      <c r="I29" s="14">
        <f>IFERROR(1/(1/SUMIFS(KP!$AF:$AF,KP!$C:$C,$D29)),"")</f>
        <v>1296</v>
      </c>
      <c r="J29" s="14" t="str">
        <f>IFERROR(1/(1/SUMIFS(KP!$F:$F,KP!$C:$C,$D29)),"")</f>
        <v/>
      </c>
      <c r="K29" s="155"/>
      <c r="L29" s="151"/>
      <c r="N29" s="9" t="str">
        <f>IFERROR(1/(1/SUM($J29)+SUM($M29)),"")</f>
        <v/>
      </c>
      <c r="O29" s="90">
        <f t="shared" si="1"/>
        <v>0.9</v>
      </c>
      <c r="P29" s="14">
        <f t="shared" si="12"/>
        <v>1414</v>
      </c>
      <c r="Q29" s="90">
        <f t="shared" si="2"/>
        <v>1</v>
      </c>
      <c r="R29" s="83">
        <f t="shared" si="3"/>
        <v>1414</v>
      </c>
      <c r="S29" s="9">
        <f t="shared" si="4"/>
        <v>1414</v>
      </c>
      <c r="T29" s="90" t="str">
        <f t="shared" si="5"/>
        <v/>
      </c>
      <c r="U29" s="94">
        <v>0.98</v>
      </c>
      <c r="V29" s="90">
        <v>0.98</v>
      </c>
      <c r="W29" s="14">
        <f t="shared" si="6"/>
        <v>29</v>
      </c>
      <c r="X29" s="90">
        <v>1</v>
      </c>
      <c r="Y29" s="9">
        <f t="shared" si="7"/>
        <v>29</v>
      </c>
      <c r="Z29" s="94">
        <v>0.7</v>
      </c>
      <c r="AA29" s="14">
        <f t="shared" si="8"/>
        <v>1434</v>
      </c>
      <c r="AB29" s="90">
        <v>0.95</v>
      </c>
      <c r="AC29" s="9">
        <f t="shared" si="9"/>
        <v>1362</v>
      </c>
      <c r="AD29" s="94">
        <v>0.95</v>
      </c>
      <c r="AE29" s="9">
        <f t="shared" si="10"/>
        <v>1294</v>
      </c>
      <c r="AF29" s="94">
        <v>0.95</v>
      </c>
      <c r="AG29" s="9">
        <f t="shared" si="11"/>
        <v>31</v>
      </c>
      <c r="AH29" s="150"/>
      <c r="AI29" s="151"/>
      <c r="AJ29" s="151"/>
      <c r="AK29" s="151"/>
      <c r="AL29" s="151"/>
      <c r="AM29" s="151"/>
      <c r="AN29" s="151"/>
      <c r="AO29" s="151"/>
      <c r="AP29" s="151"/>
      <c r="AQ29" s="152"/>
      <c r="AR29" s="153"/>
      <c r="AS29" s="153"/>
      <c r="AT29" s="153"/>
      <c r="AU29" s="153"/>
      <c r="AV29" s="153"/>
      <c r="AW29" s="153"/>
      <c r="AX29" s="153"/>
      <c r="AY29" s="153"/>
      <c r="AZ29" s="151"/>
      <c r="BA29" s="87">
        <f>IFERROR(1/(1/SUMIFS(KP!$AN:$AN,KP!$C:$C,$D29)),"")</f>
        <v>30</v>
      </c>
      <c r="BB29" s="90">
        <f t="shared" si="26"/>
        <v>1</v>
      </c>
      <c r="BC29" s="90">
        <f t="shared" si="27"/>
        <v>1</v>
      </c>
      <c r="BD29" s="9">
        <f t="shared" si="28"/>
        <v>31</v>
      </c>
      <c r="BE29" s="87" t="str">
        <f>IFERROR(1/(1/SUMIFS(KP!$AP:$AP,KP!$C:$C,$D29)),"")</f>
        <v/>
      </c>
      <c r="BF29" s="9" t="str">
        <f t="shared" si="22"/>
        <v/>
      </c>
      <c r="BG29" s="90" t="str">
        <f t="shared" si="23"/>
        <v/>
      </c>
      <c r="BS29" s="156"/>
      <c r="BT29" s="102"/>
      <c r="BU29" s="102"/>
      <c r="BV29" s="154"/>
      <c r="BW29" s="155"/>
      <c r="BX29" s="155"/>
      <c r="BY29" s="155"/>
      <c r="BZ29" s="102"/>
      <c r="CA29" s="102"/>
      <c r="CB29" s="102"/>
      <c r="CC29" s="155"/>
      <c r="CD29" s="151"/>
      <c r="CE29" s="154"/>
      <c r="CF29" s="155"/>
      <c r="CG29" s="151"/>
      <c r="CH29" s="102"/>
      <c r="CI29" s="102"/>
      <c r="CJ29" s="154"/>
      <c r="CK29" s="155"/>
      <c r="CL29" s="155"/>
      <c r="CM29" s="155"/>
      <c r="CN29" s="155"/>
      <c r="CO29" s="155"/>
      <c r="CP29" s="155"/>
      <c r="CQ29" s="155"/>
      <c r="CR29" s="151"/>
      <c r="CS29" s="87" t="str">
        <f>IFERROR(1/(1/SUMIFS(KP!$K:$K,KP!$C:$C,$D29)),"")</f>
        <v/>
      </c>
      <c r="CT29" s="14" t="str">
        <f>IFERROR(1/(1/SUMIFS(KP!$I:$I,KP!$C:$C,$D29)),"")</f>
        <v/>
      </c>
      <c r="CU29" s="9" t="str">
        <f t="shared" si="29"/>
        <v/>
      </c>
      <c r="CV29" s="9" t="str">
        <f t="shared" si="30"/>
        <v/>
      </c>
      <c r="CW29" s="90" t="str">
        <f t="shared" si="31"/>
        <v/>
      </c>
      <c r="CX29" s="90" t="str">
        <f t="shared" si="32"/>
        <v/>
      </c>
      <c r="CY29" s="154"/>
      <c r="CZ29" s="102"/>
      <c r="DA29" s="151"/>
      <c r="DB29" s="87" t="str">
        <f>IFERROR(1/(1/SUMIFS(KP!$M:$M,KP!$C:$C,$D29)),"")</f>
        <v/>
      </c>
      <c r="DC29" s="9" t="str">
        <f>DB29</f>
        <v/>
      </c>
      <c r="DD29" s="90" t="str">
        <f>IF(SUM($DB29)=0,"",(SUM($DC29)-$DB29)/$DB29)</f>
        <v/>
      </c>
      <c r="DE29" s="154"/>
      <c r="DF29" s="155"/>
      <c r="DG29" s="151"/>
      <c r="DH29" s="151"/>
      <c r="DI29" s="102"/>
      <c r="DJ29" s="151"/>
      <c r="DK29" s="150"/>
      <c r="DL29" s="151"/>
      <c r="DM29" s="151"/>
      <c r="DN29" s="151"/>
      <c r="DO29" s="151"/>
      <c r="DP29" s="151"/>
      <c r="DQ29" s="102"/>
      <c r="DR29" s="102"/>
      <c r="DS29" s="102"/>
      <c r="DT29" s="102"/>
      <c r="DU29" s="154"/>
      <c r="DV29" s="151"/>
      <c r="DW29" s="151"/>
      <c r="DX29" s="151"/>
      <c r="DY29" s="102"/>
      <c r="DZ29" s="102"/>
      <c r="EA29" s="150"/>
      <c r="EB29" s="102"/>
      <c r="EC29" s="102"/>
      <c r="ED29" s="154"/>
      <c r="EE29" s="155"/>
      <c r="EF29" s="155"/>
      <c r="EG29" s="155"/>
      <c r="EH29" s="102"/>
      <c r="EI29" s="102"/>
      <c r="EJ29" s="102"/>
      <c r="EK29" s="102"/>
      <c r="EL29" s="151"/>
      <c r="EM29" s="151"/>
      <c r="EN29" s="151"/>
      <c r="EO29" s="151"/>
      <c r="EP29" s="150"/>
      <c r="EQ29" s="102"/>
      <c r="ER29" s="154"/>
      <c r="ES29" s="155"/>
      <c r="ET29" s="102"/>
      <c r="EU29" s="102"/>
      <c r="EV29" s="151"/>
      <c r="EW29" s="151"/>
      <c r="EX29" s="154"/>
      <c r="EY29" s="102"/>
      <c r="EZ29" s="151"/>
      <c r="FA29" s="154"/>
      <c r="FB29" s="102"/>
      <c r="FC29" s="156"/>
    </row>
    <row r="30" spans="1:159" x14ac:dyDescent="0.2">
      <c r="A30" t="s">
        <v>368</v>
      </c>
      <c r="D30" t="s">
        <v>470</v>
      </c>
      <c r="E30" s="87">
        <f>IFERROR(1/(1/SUMIFS(KP!$AK:$AK,KP!$C:$C,$D30)),"")</f>
        <v>8</v>
      </c>
      <c r="F30" s="14">
        <f>IFERROR(1/(1/SUMIFS(KP!$Z:$Z,KP!$C:$C,$D30)),"")</f>
        <v>8</v>
      </c>
      <c r="G30" s="14">
        <f>IFERROR(1/(1/SUMIFS(KP!$Q:$Q,KP!$C:$C,$D30)),"")</f>
        <v>398</v>
      </c>
      <c r="H30" s="14">
        <f>IFERROR(1/(1/SUMIFS(KP!$AD:$AD,KP!$C:$C,$D30)),"")</f>
        <v>384</v>
      </c>
      <c r="I30" s="14">
        <f>IFERROR(1/(1/SUMIFS(KP!$AF:$AF,KP!$C:$C,$D30)),"")</f>
        <v>366</v>
      </c>
      <c r="J30" s="14" t="str">
        <f>IFERROR(1/(1/SUMIFS(KP!$F:$F,KP!$C:$C,$D30)),"")</f>
        <v/>
      </c>
      <c r="K30" s="155"/>
      <c r="L30" s="151"/>
      <c r="N30" s="9" t="str">
        <f>IFERROR(1/(1/SUM($J30)+SUM($M30)),"")</f>
        <v/>
      </c>
      <c r="O30" s="90">
        <f t="shared" si="1"/>
        <v>0.9</v>
      </c>
      <c r="P30" s="14">
        <f t="shared" si="12"/>
        <v>398</v>
      </c>
      <c r="Q30" s="90">
        <f t="shared" si="2"/>
        <v>1</v>
      </c>
      <c r="R30" s="83">
        <f t="shared" si="3"/>
        <v>398</v>
      </c>
      <c r="S30" s="9">
        <f t="shared" si="4"/>
        <v>398</v>
      </c>
      <c r="T30" s="90" t="str">
        <f t="shared" si="5"/>
        <v/>
      </c>
      <c r="U30" s="94">
        <v>0.98</v>
      </c>
      <c r="V30" s="90">
        <v>0.98</v>
      </c>
      <c r="W30" s="14">
        <f t="shared" si="6"/>
        <v>8</v>
      </c>
      <c r="X30" s="90">
        <v>1</v>
      </c>
      <c r="Y30" s="9">
        <f t="shared" si="7"/>
        <v>8</v>
      </c>
      <c r="Z30" s="94">
        <v>0.7</v>
      </c>
      <c r="AA30" s="14">
        <f t="shared" si="8"/>
        <v>404</v>
      </c>
      <c r="AB30" s="90">
        <v>0.95</v>
      </c>
      <c r="AC30" s="9">
        <f t="shared" si="9"/>
        <v>384</v>
      </c>
      <c r="AD30" s="94">
        <v>0.95</v>
      </c>
      <c r="AE30" s="9">
        <f t="shared" si="10"/>
        <v>365</v>
      </c>
      <c r="AF30" s="94">
        <v>0.95</v>
      </c>
      <c r="AG30" s="9">
        <f t="shared" si="11"/>
        <v>8</v>
      </c>
      <c r="AH30" s="150"/>
      <c r="AI30" s="151"/>
      <c r="AJ30" s="151"/>
      <c r="AK30" s="151"/>
      <c r="AL30" s="151"/>
      <c r="AM30" s="151"/>
      <c r="AN30" s="151"/>
      <c r="AO30" s="151"/>
      <c r="AP30" s="151"/>
      <c r="AQ30" s="152"/>
      <c r="AR30" s="153"/>
      <c r="AS30" s="153"/>
      <c r="AT30" s="153"/>
      <c r="AU30" s="153"/>
      <c r="AV30" s="153"/>
      <c r="AW30" s="153"/>
      <c r="AX30" s="153"/>
      <c r="AY30" s="153"/>
      <c r="AZ30" s="151"/>
      <c r="BA30" s="87">
        <f>IFERROR(1/(1/SUMIFS(KP!$AN:$AN,KP!$C:$C,$D30)),"")</f>
        <v>8</v>
      </c>
      <c r="BB30" s="90">
        <f t="shared" si="26"/>
        <v>1</v>
      </c>
      <c r="BC30" s="90">
        <f t="shared" si="27"/>
        <v>1</v>
      </c>
      <c r="BD30" s="9">
        <f t="shared" si="28"/>
        <v>8</v>
      </c>
      <c r="BE30" s="87" t="str">
        <f>IFERROR(1/(1/SUMIFS(KP!$AP:$AP,KP!$C:$C,$D30)),"")</f>
        <v/>
      </c>
      <c r="BF30" s="9" t="str">
        <f t="shared" si="22"/>
        <v/>
      </c>
      <c r="BG30" s="90" t="str">
        <f t="shared" si="23"/>
        <v/>
      </c>
      <c r="BS30" s="156"/>
      <c r="BT30" s="102"/>
      <c r="BU30" s="102"/>
      <c r="BV30" s="154"/>
      <c r="BW30" s="155"/>
      <c r="BX30" s="155"/>
      <c r="BY30" s="155"/>
      <c r="BZ30" s="102"/>
      <c r="CA30" s="102"/>
      <c r="CB30" s="102"/>
      <c r="CC30" s="155"/>
      <c r="CD30" s="151"/>
      <c r="CE30" s="154"/>
      <c r="CF30" s="155"/>
      <c r="CG30" s="151"/>
      <c r="CH30" s="102"/>
      <c r="CI30" s="102"/>
      <c r="CJ30" s="154"/>
      <c r="CK30" s="155"/>
      <c r="CL30" s="155"/>
      <c r="CM30" s="155"/>
      <c r="CN30" s="155"/>
      <c r="CO30" s="155"/>
      <c r="CP30" s="155"/>
      <c r="CQ30" s="155"/>
      <c r="CR30" s="151"/>
      <c r="CS30" s="87" t="str">
        <f>IFERROR(1/(1/SUMIFS(KP!$K:$K,KP!$C:$C,$D30)),"")</f>
        <v/>
      </c>
      <c r="CT30" s="14" t="str">
        <f>IFERROR(1/(1/SUMIFS(KP!$I:$I,KP!$C:$C,$D30)),"")</f>
        <v/>
      </c>
      <c r="CU30" s="9" t="str">
        <f t="shared" si="29"/>
        <v/>
      </c>
      <c r="CV30" s="9" t="str">
        <f t="shared" si="30"/>
        <v/>
      </c>
      <c r="CW30" s="90" t="str">
        <f t="shared" si="31"/>
        <v/>
      </c>
      <c r="CX30" s="90" t="str">
        <f t="shared" si="32"/>
        <v/>
      </c>
      <c r="CY30" s="154"/>
      <c r="CZ30" s="102"/>
      <c r="DA30" s="151"/>
      <c r="DB30" s="87" t="str">
        <f>IFERROR(1/(1/SUMIFS(KP!$M:$M,KP!$C:$C,$D30)),"")</f>
        <v/>
      </c>
      <c r="DC30" s="9" t="str">
        <f>DB30</f>
        <v/>
      </c>
      <c r="DD30" s="90" t="str">
        <f>IF(SUM($DB30)=0,"",(SUM($DC30)-$DB30)/$DB30)</f>
        <v/>
      </c>
      <c r="DE30" s="154"/>
      <c r="DF30" s="155"/>
      <c r="DG30" s="151"/>
      <c r="DH30" s="151"/>
      <c r="DI30" s="102"/>
      <c r="DJ30" s="151"/>
      <c r="DK30" s="150"/>
      <c r="DL30" s="151"/>
      <c r="DM30" s="151"/>
      <c r="DN30" s="151"/>
      <c r="DO30" s="151"/>
      <c r="DP30" s="151"/>
      <c r="DQ30" s="102"/>
      <c r="DR30" s="102"/>
      <c r="DS30" s="102"/>
      <c r="DT30" s="102"/>
      <c r="DU30" s="154"/>
      <c r="DV30" s="151"/>
      <c r="DW30" s="151"/>
      <c r="DX30" s="151"/>
      <c r="DY30" s="102"/>
      <c r="DZ30" s="102"/>
      <c r="EA30" s="150"/>
      <c r="EB30" s="102"/>
      <c r="EC30" s="102"/>
      <c r="ED30" s="154"/>
      <c r="EE30" s="155"/>
      <c r="EF30" s="155"/>
      <c r="EG30" s="155"/>
      <c r="EH30" s="102"/>
      <c r="EI30" s="102"/>
      <c r="EJ30" s="102"/>
      <c r="EK30" s="102"/>
      <c r="EL30" s="151"/>
      <c r="EM30" s="151"/>
      <c r="EN30" s="151"/>
      <c r="EO30" s="151"/>
      <c r="EP30" s="150"/>
      <c r="EQ30" s="102"/>
      <c r="ER30" s="154"/>
      <c r="ES30" s="155"/>
      <c r="ET30" s="102"/>
      <c r="EU30" s="102"/>
      <c r="EV30" s="151"/>
      <c r="EW30" s="151"/>
      <c r="EX30" s="154"/>
      <c r="EY30" s="102"/>
      <c r="EZ30" s="151"/>
      <c r="FA30" s="154"/>
      <c r="FB30" s="102"/>
      <c r="FC30" s="156"/>
    </row>
    <row r="31" spans="1:159" x14ac:dyDescent="0.2">
      <c r="A31" t="s">
        <v>368</v>
      </c>
      <c r="D31" t="s">
        <v>471</v>
      </c>
      <c r="E31" s="87">
        <f>IFERROR(1/(1/SUMIFS(KP!$AK:$AK,KP!$C:$C,$D31)),"")</f>
        <v>8</v>
      </c>
      <c r="F31" s="14">
        <f>IFERROR(1/(1/SUMIFS(KP!$Z:$Z,KP!$C:$C,$D31)),"")</f>
        <v>8</v>
      </c>
      <c r="G31" s="14">
        <f>IFERROR(1/(1/SUMIFS(KP!$Q:$Q,KP!$C:$C,$D31)),"")</f>
        <v>392.00000000000006</v>
      </c>
      <c r="H31" s="14">
        <f>IFERROR(1/(1/SUMIFS(KP!$AD:$AD,KP!$C:$C,$D31)),"")</f>
        <v>379</v>
      </c>
      <c r="I31" s="14">
        <f>IFERROR(1/(1/SUMIFS(KP!$AF:$AF,KP!$C:$C,$D31)),"")</f>
        <v>363</v>
      </c>
      <c r="J31" s="14" t="str">
        <f>IFERROR(1/(1/SUMIFS(KP!$F:$F,KP!$C:$C,$D31)),"")</f>
        <v/>
      </c>
      <c r="K31" s="155"/>
      <c r="L31" s="151"/>
      <c r="N31" s="9" t="str">
        <f>IFERROR(1/(1/SUM($J31)+SUM($M31)),"")</f>
        <v/>
      </c>
      <c r="O31" s="90">
        <f t="shared" si="1"/>
        <v>0.9</v>
      </c>
      <c r="P31" s="14">
        <f t="shared" si="12"/>
        <v>392.00000000000006</v>
      </c>
      <c r="Q31" s="90">
        <f t="shared" si="2"/>
        <v>1</v>
      </c>
      <c r="R31" s="83">
        <f t="shared" si="3"/>
        <v>392.00000000000006</v>
      </c>
      <c r="S31" s="9">
        <f t="shared" si="4"/>
        <v>392.00000000000006</v>
      </c>
      <c r="T31" s="90" t="str">
        <f t="shared" si="5"/>
        <v/>
      </c>
      <c r="U31" s="94">
        <v>0.98</v>
      </c>
      <c r="V31" s="90">
        <v>0.98</v>
      </c>
      <c r="W31" s="14">
        <f t="shared" si="6"/>
        <v>8</v>
      </c>
      <c r="X31" s="90">
        <v>1</v>
      </c>
      <c r="Y31" s="9">
        <f t="shared" si="7"/>
        <v>8</v>
      </c>
      <c r="Z31" s="94">
        <v>0.7</v>
      </c>
      <c r="AA31" s="14">
        <f t="shared" si="8"/>
        <v>398</v>
      </c>
      <c r="AB31" s="90">
        <v>0.95</v>
      </c>
      <c r="AC31" s="9">
        <f t="shared" si="9"/>
        <v>378</v>
      </c>
      <c r="AD31" s="94">
        <v>0.95</v>
      </c>
      <c r="AE31" s="9">
        <f t="shared" si="10"/>
        <v>359</v>
      </c>
      <c r="AF31" s="94">
        <v>0.95</v>
      </c>
      <c r="AG31" s="9">
        <f t="shared" si="11"/>
        <v>8</v>
      </c>
      <c r="AH31" s="150"/>
      <c r="AI31" s="151"/>
      <c r="AJ31" s="151"/>
      <c r="AK31" s="151"/>
      <c r="AL31" s="151"/>
      <c r="AM31" s="151"/>
      <c r="AN31" s="151"/>
      <c r="AO31" s="151"/>
      <c r="AP31" s="151"/>
      <c r="AQ31" s="152"/>
      <c r="AR31" s="153"/>
      <c r="AS31" s="153"/>
      <c r="AT31" s="153"/>
      <c r="AU31" s="153"/>
      <c r="AV31" s="153"/>
      <c r="AW31" s="153"/>
      <c r="AX31" s="153"/>
      <c r="AY31" s="153"/>
      <c r="AZ31" s="151"/>
      <c r="BA31" s="87">
        <f>IFERROR(1/(1/SUMIFS(KP!$AN:$AN,KP!$C:$C,$D31)),"")</f>
        <v>8</v>
      </c>
      <c r="BB31" s="90">
        <f t="shared" si="26"/>
        <v>1</v>
      </c>
      <c r="BC31" s="90">
        <f t="shared" si="27"/>
        <v>1</v>
      </c>
      <c r="BD31" s="9">
        <f t="shared" si="28"/>
        <v>8</v>
      </c>
      <c r="BE31" s="87" t="str">
        <f>IFERROR(1/(1/SUMIFS(KP!$AP:$AP,KP!$C:$C,$D31)),"")</f>
        <v/>
      </c>
      <c r="BF31" s="9" t="str">
        <f t="shared" si="22"/>
        <v/>
      </c>
      <c r="BG31" s="90" t="str">
        <f t="shared" si="23"/>
        <v/>
      </c>
      <c r="BS31" s="156"/>
      <c r="BT31" s="102"/>
      <c r="BU31" s="102"/>
      <c r="BV31" s="154"/>
      <c r="BW31" s="155"/>
      <c r="BX31" s="155"/>
      <c r="BY31" s="155"/>
      <c r="BZ31" s="102"/>
      <c r="CA31" s="102"/>
      <c r="CB31" s="102"/>
      <c r="CC31" s="155"/>
      <c r="CD31" s="151"/>
      <c r="CE31" s="154"/>
      <c r="CF31" s="155"/>
      <c r="CG31" s="151"/>
      <c r="CH31" s="102"/>
      <c r="CI31" s="102"/>
      <c r="CJ31" s="154"/>
      <c r="CK31" s="155"/>
      <c r="CL31" s="155"/>
      <c r="CM31" s="155"/>
      <c r="CN31" s="155"/>
      <c r="CO31" s="155"/>
      <c r="CP31" s="155"/>
      <c r="CQ31" s="155"/>
      <c r="CR31" s="151"/>
      <c r="CS31" s="87" t="str">
        <f>IFERROR(1/(1/SUMIFS(KP!$K:$K,KP!$C:$C,$D31)),"")</f>
        <v/>
      </c>
      <c r="CT31" s="14" t="str">
        <f>IFERROR(1/(1/SUMIFS(KP!$I:$I,KP!$C:$C,$D31)),"")</f>
        <v/>
      </c>
      <c r="CU31" s="9" t="str">
        <f t="shared" si="29"/>
        <v/>
      </c>
      <c r="CV31" s="9" t="str">
        <f t="shared" si="30"/>
        <v/>
      </c>
      <c r="CW31" s="90" t="str">
        <f t="shared" si="31"/>
        <v/>
      </c>
      <c r="CX31" s="90" t="str">
        <f t="shared" si="32"/>
        <v/>
      </c>
      <c r="CY31" s="154"/>
      <c r="CZ31" s="102"/>
      <c r="DA31" s="151"/>
      <c r="DB31" s="87" t="str">
        <f>IFERROR(1/(1/SUMIFS(KP!$M:$M,KP!$C:$C,$D31)),"")</f>
        <v/>
      </c>
      <c r="DC31" s="9" t="str">
        <f>DB31</f>
        <v/>
      </c>
      <c r="DD31" s="90" t="str">
        <f>IF(SUM($DB31)=0,"",(SUM($DC31)-$DB31)/$DB31)</f>
        <v/>
      </c>
      <c r="DE31" s="154"/>
      <c r="DF31" s="155"/>
      <c r="DG31" s="151"/>
      <c r="DH31" s="151"/>
      <c r="DI31" s="102"/>
      <c r="DJ31" s="151"/>
      <c r="DK31" s="150"/>
      <c r="DL31" s="151"/>
      <c r="DM31" s="151"/>
      <c r="DN31" s="151"/>
      <c r="DO31" s="151"/>
      <c r="DP31" s="151"/>
      <c r="DQ31" s="102"/>
      <c r="DR31" s="102"/>
      <c r="DS31" s="102"/>
      <c r="DT31" s="102"/>
      <c r="DU31" s="154"/>
      <c r="DV31" s="151"/>
      <c r="DW31" s="151"/>
      <c r="DX31" s="151"/>
      <c r="DY31" s="102"/>
      <c r="DZ31" s="102"/>
      <c r="EA31" s="150"/>
      <c r="EB31" s="102"/>
      <c r="EC31" s="102"/>
      <c r="ED31" s="154"/>
      <c r="EE31" s="155"/>
      <c r="EF31" s="155"/>
      <c r="EG31" s="155"/>
      <c r="EH31" s="102"/>
      <c r="EI31" s="102"/>
      <c r="EJ31" s="102"/>
      <c r="EK31" s="102"/>
      <c r="EL31" s="151"/>
      <c r="EM31" s="151"/>
      <c r="EN31" s="151"/>
      <c r="EO31" s="151"/>
      <c r="EP31" s="150"/>
      <c r="EQ31" s="102"/>
      <c r="ER31" s="154"/>
      <c r="ES31" s="155"/>
      <c r="ET31" s="102"/>
      <c r="EU31" s="102"/>
      <c r="EV31" s="151"/>
      <c r="EW31" s="151"/>
      <c r="EX31" s="154"/>
      <c r="EY31" s="102"/>
      <c r="EZ31" s="151"/>
      <c r="FA31" s="154"/>
      <c r="FB31" s="102"/>
      <c r="FC31" s="156"/>
    </row>
    <row r="32" spans="1:159" x14ac:dyDescent="0.2">
      <c r="A32" t="s">
        <v>368</v>
      </c>
      <c r="D32" t="s">
        <v>472</v>
      </c>
      <c r="E32" s="87" t="str">
        <f>IFERROR(1/(1/SUMIFS(KP!$AK:$AK,KP!$C:$C,$D32)),"")</f>
        <v/>
      </c>
      <c r="F32" s="14" t="str">
        <f>IFERROR(1/(1/SUMIFS(KP!$Z:$Z,KP!$C:$C,$D32)),"")</f>
        <v/>
      </c>
      <c r="G32" s="14" t="str">
        <f>IFERROR(1/(1/SUMIFS(KP!$Q:$Q,KP!$C:$C,$D32)),"")</f>
        <v/>
      </c>
      <c r="H32" s="14" t="str">
        <f>IFERROR(1/(1/SUMIFS(KP!$AD:$AD,KP!$C:$C,$D32)),"")</f>
        <v/>
      </c>
      <c r="I32" s="14" t="str">
        <f>IFERROR(1/(1/SUMIFS(KP!$AF:$AF,KP!$C:$C,$D32)),"")</f>
        <v/>
      </c>
      <c r="J32" s="14" t="str">
        <f>IFERROR(1/(1/SUMIFS(KP!$F:$F,KP!$C:$C,$D32)),"")</f>
        <v/>
      </c>
      <c r="K32" s="155"/>
      <c r="L32" s="151"/>
      <c r="N32" s="9" t="str">
        <f>IFERROR(1/(1/SUM($J32)+SUM($M32)),"")</f>
        <v/>
      </c>
      <c r="O32" s="90">
        <f t="shared" si="1"/>
        <v>0.9</v>
      </c>
      <c r="P32" s="14" t="str">
        <f t="shared" si="12"/>
        <v/>
      </c>
      <c r="Q32" s="90">
        <f t="shared" si="2"/>
        <v>1</v>
      </c>
      <c r="R32" s="83" t="str">
        <f t="shared" si="3"/>
        <v/>
      </c>
      <c r="S32" s="9" t="str">
        <f t="shared" si="4"/>
        <v/>
      </c>
      <c r="T32" s="90" t="str">
        <f t="shared" si="5"/>
        <v/>
      </c>
      <c r="U32" s="94">
        <v>0.98</v>
      </c>
      <c r="V32" s="90">
        <v>0.98</v>
      </c>
      <c r="W32" s="14" t="str">
        <f t="shared" si="6"/>
        <v/>
      </c>
      <c r="X32" s="90">
        <v>1</v>
      </c>
      <c r="Y32" s="9" t="str">
        <f t="shared" si="7"/>
        <v/>
      </c>
      <c r="Z32" s="94">
        <v>0.7</v>
      </c>
      <c r="AA32" s="14" t="str">
        <f t="shared" si="8"/>
        <v/>
      </c>
      <c r="AB32" s="90">
        <v>0.95</v>
      </c>
      <c r="AC32" s="9" t="str">
        <f t="shared" si="9"/>
        <v/>
      </c>
      <c r="AD32" s="94">
        <v>0.95</v>
      </c>
      <c r="AE32" s="9" t="str">
        <f t="shared" si="10"/>
        <v/>
      </c>
      <c r="AF32" s="94">
        <v>0.95</v>
      </c>
      <c r="AG32" s="9" t="str">
        <f t="shared" si="11"/>
        <v/>
      </c>
      <c r="AH32" s="150"/>
      <c r="AI32" s="151"/>
      <c r="AJ32" s="151"/>
      <c r="AK32" s="151"/>
      <c r="AL32" s="151"/>
      <c r="AM32" s="151"/>
      <c r="AN32" s="151"/>
      <c r="AO32" s="151"/>
      <c r="AP32" s="151"/>
      <c r="AQ32" s="152"/>
      <c r="AR32" s="153"/>
      <c r="AS32" s="153"/>
      <c r="AT32" s="153"/>
      <c r="AU32" s="153"/>
      <c r="AV32" s="153"/>
      <c r="AW32" s="153"/>
      <c r="AX32" s="153"/>
      <c r="AY32" s="153"/>
      <c r="AZ32" s="151"/>
      <c r="BA32" s="87" t="str">
        <f>IFERROR(1/(1/SUMIFS(KP!$AN:$AN,KP!$C:$C,$D32)),"")</f>
        <v/>
      </c>
      <c r="BB32" s="90" t="str">
        <f t="shared" si="26"/>
        <v/>
      </c>
      <c r="BC32" s="90" t="str">
        <f t="shared" si="27"/>
        <v/>
      </c>
      <c r="BD32" s="9" t="str">
        <f t="shared" si="28"/>
        <v/>
      </c>
      <c r="BE32" s="87" t="str">
        <f>IFERROR(1/(1/SUMIFS(KP!$AP:$AP,KP!$C:$C,$D32)),"")</f>
        <v/>
      </c>
      <c r="BF32" s="9" t="str">
        <f t="shared" si="22"/>
        <v/>
      </c>
      <c r="BG32" s="90" t="str">
        <f t="shared" si="23"/>
        <v/>
      </c>
      <c r="BS32" s="156"/>
      <c r="BT32" s="102"/>
      <c r="BU32" s="102"/>
      <c r="BV32" s="154"/>
      <c r="BW32" s="155"/>
      <c r="BX32" s="155"/>
      <c r="BY32" s="155"/>
      <c r="BZ32" s="102"/>
      <c r="CA32" s="102"/>
      <c r="CB32" s="102"/>
      <c r="CC32" s="155"/>
      <c r="CD32" s="151"/>
      <c r="CE32" s="154"/>
      <c r="CF32" s="155"/>
      <c r="CG32" s="151"/>
      <c r="CH32" s="102"/>
      <c r="CI32" s="102"/>
      <c r="CJ32" s="154"/>
      <c r="CK32" s="155"/>
      <c r="CL32" s="155"/>
      <c r="CM32" s="155"/>
      <c r="CN32" s="155"/>
      <c r="CO32" s="155"/>
      <c r="CP32" s="155"/>
      <c r="CQ32" s="155"/>
      <c r="CR32" s="151"/>
      <c r="CS32" s="87" t="str">
        <f>IFERROR(1/(1/SUMIFS(KP!$K:$K,KP!$C:$C,$D32)),"")</f>
        <v/>
      </c>
      <c r="CT32" s="14" t="str">
        <f>IFERROR(1/(1/SUMIFS(KP!$I:$I,KP!$C:$C,$D32)),"")</f>
        <v/>
      </c>
      <c r="CU32" s="9" t="str">
        <f t="shared" si="29"/>
        <v/>
      </c>
      <c r="CV32" s="9" t="str">
        <f t="shared" si="30"/>
        <v/>
      </c>
      <c r="CW32" s="90" t="str">
        <f t="shared" si="31"/>
        <v/>
      </c>
      <c r="CX32" s="90" t="str">
        <f t="shared" si="32"/>
        <v/>
      </c>
      <c r="CY32" s="154"/>
      <c r="CZ32" s="102"/>
      <c r="DA32" s="151"/>
      <c r="DB32" s="87" t="str">
        <f>IFERROR(1/(1/SUMIFS(KP!$M:$M,KP!$C:$C,$D32)),"")</f>
        <v/>
      </c>
      <c r="DC32" s="9" t="str">
        <f>DB32</f>
        <v/>
      </c>
      <c r="DD32" s="90" t="str">
        <f>IF(SUM($DB32)=0,"",(SUM($DC32)-$DB32)/$DB32)</f>
        <v/>
      </c>
      <c r="DE32" s="154"/>
      <c r="DF32" s="155"/>
      <c r="DG32" s="151"/>
      <c r="DH32" s="151"/>
      <c r="DI32" s="102"/>
      <c r="DJ32" s="151"/>
      <c r="DK32" s="150"/>
      <c r="DL32" s="151"/>
      <c r="DM32" s="151"/>
      <c r="DN32" s="151"/>
      <c r="DO32" s="151"/>
      <c r="DP32" s="151"/>
      <c r="DQ32" s="102"/>
      <c r="DR32" s="102"/>
      <c r="DS32" s="102"/>
      <c r="DT32" s="102"/>
      <c r="DU32" s="154"/>
      <c r="DV32" s="151"/>
      <c r="DW32" s="151"/>
      <c r="DX32" s="151"/>
      <c r="DY32" s="102"/>
      <c r="DZ32" s="102"/>
      <c r="EA32" s="150"/>
      <c r="EB32" s="102"/>
      <c r="EC32" s="102"/>
      <c r="ED32" s="154"/>
      <c r="EE32" s="155"/>
      <c r="EF32" s="155"/>
      <c r="EG32" s="155"/>
      <c r="EH32" s="102"/>
      <c r="EI32" s="102"/>
      <c r="EJ32" s="102"/>
      <c r="EK32" s="102"/>
      <c r="EL32" s="151"/>
      <c r="EM32" s="151"/>
      <c r="EN32" s="151"/>
      <c r="EO32" s="151"/>
      <c r="EP32" s="150"/>
      <c r="EQ32" s="102"/>
      <c r="ER32" s="154"/>
      <c r="ES32" s="155"/>
      <c r="ET32" s="102"/>
      <c r="EU32" s="102"/>
      <c r="EV32" s="151"/>
      <c r="EW32" s="151"/>
      <c r="EX32" s="154"/>
      <c r="EY32" s="102"/>
      <c r="EZ32" s="151"/>
      <c r="FA32" s="154"/>
      <c r="FB32" s="102"/>
      <c r="FC32" s="156"/>
    </row>
    <row r="33" spans="1:159" x14ac:dyDescent="0.2">
      <c r="A33" t="s">
        <v>368</v>
      </c>
      <c r="D33" t="s">
        <v>473</v>
      </c>
      <c r="E33" s="87" t="str">
        <f>IFERROR(1/(1/SUMIFS(KP!$AK:$AK,KP!$C:$C,$D33)),"")</f>
        <v/>
      </c>
      <c r="F33" s="14" t="str">
        <f>IFERROR(1/(1/SUMIFS(KP!$Z:$Z,KP!$C:$C,$D33)),"")</f>
        <v/>
      </c>
      <c r="G33" s="14">
        <f>IFERROR(1/(1/SUMIFS(KP!$Q:$Q,KP!$C:$C,$D33)),"")</f>
        <v>27</v>
      </c>
      <c r="H33" s="14">
        <f>IFERROR(1/(1/SUMIFS(KP!$AD:$AD,KP!$C:$C,$D33)),"")</f>
        <v>27</v>
      </c>
      <c r="I33" s="14">
        <f>IFERROR(1/(1/SUMIFS(KP!$AF:$AF,KP!$C:$C,$D33)),"")</f>
        <v>27</v>
      </c>
      <c r="J33" s="14" t="str">
        <f>IFERROR(1/(1/SUMIFS(KP!$F:$F,KP!$C:$C,$D33)),"")</f>
        <v/>
      </c>
      <c r="K33" s="155"/>
      <c r="L33" s="151"/>
      <c r="N33" s="9" t="str">
        <f>IFERROR(1/(1/SUM($J33)+SUM($M33)),"")</f>
        <v/>
      </c>
      <c r="O33" s="90">
        <f t="shared" si="1"/>
        <v>0.9</v>
      </c>
      <c r="P33" s="14">
        <f t="shared" si="12"/>
        <v>27</v>
      </c>
      <c r="Q33" s="90">
        <f t="shared" si="2"/>
        <v>1</v>
      </c>
      <c r="R33" s="83">
        <f t="shared" si="3"/>
        <v>27</v>
      </c>
      <c r="S33" s="9">
        <f t="shared" si="4"/>
        <v>27</v>
      </c>
      <c r="T33" s="90" t="str">
        <f t="shared" si="5"/>
        <v/>
      </c>
      <c r="U33" s="94">
        <v>0.98</v>
      </c>
      <c r="V33" s="90">
        <v>0.98</v>
      </c>
      <c r="W33" s="14">
        <f t="shared" si="6"/>
        <v>1</v>
      </c>
      <c r="X33" s="90">
        <v>1</v>
      </c>
      <c r="Y33" s="9">
        <f t="shared" si="7"/>
        <v>1</v>
      </c>
      <c r="Z33" s="94">
        <v>0.7</v>
      </c>
      <c r="AA33" s="14">
        <f t="shared" si="8"/>
        <v>28</v>
      </c>
      <c r="AB33" s="90">
        <v>0.95</v>
      </c>
      <c r="AC33" s="9">
        <f t="shared" si="9"/>
        <v>27</v>
      </c>
      <c r="AD33" s="94">
        <v>0.95</v>
      </c>
      <c r="AE33" s="9">
        <f t="shared" si="10"/>
        <v>26</v>
      </c>
      <c r="AF33" s="94">
        <v>0.95</v>
      </c>
      <c r="AG33" s="9">
        <f t="shared" si="11"/>
        <v>1</v>
      </c>
      <c r="AH33" s="150"/>
      <c r="AI33" s="151"/>
      <c r="AJ33" s="151"/>
      <c r="AK33" s="151"/>
      <c r="AL33" s="151"/>
      <c r="AM33" s="151"/>
      <c r="AN33" s="151"/>
      <c r="AO33" s="151"/>
      <c r="AP33" s="151"/>
      <c r="AQ33" s="152"/>
      <c r="AR33" s="153"/>
      <c r="AS33" s="153"/>
      <c r="AT33" s="153"/>
      <c r="AU33" s="153"/>
      <c r="AV33" s="153"/>
      <c r="AW33" s="153"/>
      <c r="AX33" s="153"/>
      <c r="AY33" s="153"/>
      <c r="AZ33" s="151"/>
      <c r="BA33" s="87" t="str">
        <f>IFERROR(1/(1/SUMIFS(KP!$AN:$AN,KP!$C:$C,$D33)),"")</f>
        <v/>
      </c>
      <c r="BB33" s="90" t="str">
        <f t="shared" si="26"/>
        <v/>
      </c>
      <c r="BC33" s="90" t="str">
        <f t="shared" si="27"/>
        <v/>
      </c>
      <c r="BD33" s="9">
        <f t="shared" si="28"/>
        <v>0</v>
      </c>
      <c r="BE33" s="87" t="str">
        <f>IFERROR(1/(1/SUMIFS(KP!$AP:$AP,KP!$C:$C,$D33)),"")</f>
        <v/>
      </c>
      <c r="BF33" s="9" t="str">
        <f t="shared" si="22"/>
        <v/>
      </c>
      <c r="BG33" s="90" t="str">
        <f t="shared" si="23"/>
        <v/>
      </c>
      <c r="BS33" s="156"/>
      <c r="BT33" s="102"/>
      <c r="BU33" s="102"/>
      <c r="BV33" s="154"/>
      <c r="BW33" s="155"/>
      <c r="BX33" s="155"/>
      <c r="BY33" s="155"/>
      <c r="BZ33" s="102"/>
      <c r="CA33" s="102"/>
      <c r="CB33" s="102"/>
      <c r="CC33" s="155"/>
      <c r="CD33" s="151"/>
      <c r="CE33" s="154"/>
      <c r="CF33" s="155"/>
      <c r="CG33" s="151"/>
      <c r="CH33" s="102"/>
      <c r="CI33" s="102"/>
      <c r="CJ33" s="154"/>
      <c r="CK33" s="155"/>
      <c r="CL33" s="155"/>
      <c r="CM33" s="155"/>
      <c r="CN33" s="155"/>
      <c r="CO33" s="155"/>
      <c r="CP33" s="155"/>
      <c r="CQ33" s="155"/>
      <c r="CR33" s="151"/>
      <c r="CS33" s="87" t="str">
        <f>IFERROR(1/(1/SUMIFS(KP!$K:$K,KP!$C:$C,$D33)),"")</f>
        <v/>
      </c>
      <c r="CT33" s="14" t="str">
        <f>IFERROR(1/(1/SUMIFS(KP!$I:$I,KP!$C:$C,$D33)),"")</f>
        <v/>
      </c>
      <c r="CU33" s="9" t="str">
        <f t="shared" si="29"/>
        <v/>
      </c>
      <c r="CV33" s="9" t="str">
        <f t="shared" si="30"/>
        <v/>
      </c>
      <c r="CW33" s="90" t="str">
        <f t="shared" si="31"/>
        <v/>
      </c>
      <c r="CX33" s="90" t="str">
        <f t="shared" si="32"/>
        <v/>
      </c>
      <c r="CY33" s="154"/>
      <c r="CZ33" s="102"/>
      <c r="DA33" s="151"/>
      <c r="DB33" s="87" t="str">
        <f>IFERROR(1/(1/SUMIFS(KP!$M:$M,KP!$C:$C,$D33)),"")</f>
        <v/>
      </c>
      <c r="DC33" s="9" t="str">
        <f>DB33</f>
        <v/>
      </c>
      <c r="DD33" s="90" t="str">
        <f>IF(SUM($DB33)=0,"",(SUM($DC33)-$DB33)/$DB33)</f>
        <v/>
      </c>
      <c r="DE33" s="154"/>
      <c r="DF33" s="155"/>
      <c r="DG33" s="151"/>
      <c r="DH33" s="151"/>
      <c r="DI33" s="102"/>
      <c r="DJ33" s="151"/>
      <c r="DK33" s="150"/>
      <c r="DL33" s="151"/>
      <c r="DM33" s="151"/>
      <c r="DN33" s="151"/>
      <c r="DO33" s="151"/>
      <c r="DP33" s="151"/>
      <c r="DQ33" s="102"/>
      <c r="DR33" s="102"/>
      <c r="DS33" s="102"/>
      <c r="DT33" s="102"/>
      <c r="DU33" s="154"/>
      <c r="DV33" s="151"/>
      <c r="DW33" s="151"/>
      <c r="DX33" s="151"/>
      <c r="DY33" s="102"/>
      <c r="DZ33" s="102"/>
      <c r="EA33" s="150"/>
      <c r="EB33" s="102"/>
      <c r="EC33" s="102"/>
      <c r="ED33" s="154"/>
      <c r="EE33" s="155"/>
      <c r="EF33" s="155"/>
      <c r="EG33" s="155"/>
      <c r="EH33" s="102"/>
      <c r="EI33" s="102"/>
      <c r="EJ33" s="102"/>
      <c r="EK33" s="102"/>
      <c r="EL33" s="151"/>
      <c r="EM33" s="151"/>
      <c r="EN33" s="151"/>
      <c r="EO33" s="151"/>
      <c r="EP33" s="150"/>
      <c r="EQ33" s="102"/>
      <c r="ER33" s="154"/>
      <c r="ES33" s="155"/>
      <c r="ET33" s="102"/>
      <c r="EU33" s="102"/>
      <c r="EV33" s="151"/>
      <c r="EW33" s="151"/>
      <c r="EX33" s="154"/>
      <c r="EY33" s="102"/>
      <c r="EZ33" s="151"/>
      <c r="FA33" s="154"/>
      <c r="FB33" s="102"/>
      <c r="FC33" s="156"/>
    </row>
    <row r="34" spans="1:159" x14ac:dyDescent="0.2">
      <c r="A34" t="s">
        <v>805</v>
      </c>
      <c r="B34" s="13" t="s">
        <v>806</v>
      </c>
      <c r="C34" t="s">
        <v>29</v>
      </c>
      <c r="E34" s="155"/>
      <c r="F34" s="155"/>
      <c r="G34" s="155"/>
      <c r="H34" s="155"/>
      <c r="I34" s="155"/>
      <c r="J34" s="155"/>
      <c r="K34" s="155"/>
      <c r="L34" s="155"/>
      <c r="M34" s="154"/>
      <c r="N34" s="155"/>
      <c r="O34" s="155"/>
      <c r="P34" s="155"/>
      <c r="Q34" s="155"/>
      <c r="R34" s="154"/>
      <c r="S34" s="155"/>
      <c r="T34" s="155"/>
      <c r="U34" s="154"/>
      <c r="V34" s="155"/>
      <c r="W34" s="155"/>
      <c r="X34" s="155"/>
      <c r="Y34" s="155"/>
      <c r="Z34" s="154"/>
      <c r="AA34" s="155"/>
      <c r="AB34" s="155"/>
      <c r="AC34" s="155"/>
      <c r="AD34" s="154"/>
      <c r="AE34" s="155"/>
      <c r="AF34" s="154"/>
      <c r="AG34" s="155"/>
      <c r="AH34" s="150"/>
      <c r="AI34" s="151"/>
      <c r="AJ34" s="151"/>
      <c r="AK34" s="151"/>
      <c r="AL34" s="151"/>
      <c r="AM34" s="151"/>
      <c r="AN34" s="151"/>
      <c r="AO34" s="151"/>
      <c r="AP34" s="151"/>
      <c r="AQ34" s="152"/>
      <c r="AR34" s="153"/>
      <c r="AS34" s="153"/>
      <c r="AT34" s="153"/>
      <c r="AU34" s="153"/>
      <c r="AV34" s="153"/>
      <c r="AW34" s="153"/>
      <c r="AX34" s="153"/>
      <c r="AY34" s="153"/>
      <c r="AZ34" s="151"/>
      <c r="BA34" s="154"/>
      <c r="BB34" s="151"/>
      <c r="BC34" s="151"/>
      <c r="BD34" s="155"/>
      <c r="BE34" s="154"/>
      <c r="BF34" s="155"/>
      <c r="BG34" s="155"/>
      <c r="BH34" s="154"/>
      <c r="BI34" s="155"/>
      <c r="BJ34" s="155"/>
      <c r="BK34" s="155"/>
      <c r="BL34" s="102"/>
      <c r="BM34" s="102"/>
      <c r="BN34" s="102"/>
      <c r="BO34" s="155"/>
      <c r="BP34" s="155"/>
      <c r="BQ34" s="154"/>
      <c r="BR34" s="155"/>
      <c r="BS34" s="156"/>
      <c r="BT34" s="155"/>
      <c r="BU34" s="155"/>
      <c r="BV34" s="154"/>
      <c r="BW34" s="155"/>
      <c r="BX34" s="155"/>
      <c r="BY34" s="155"/>
      <c r="BZ34" s="155"/>
      <c r="CA34" s="155"/>
      <c r="CB34" s="155"/>
      <c r="CC34" s="155"/>
      <c r="CD34" s="151"/>
      <c r="CE34" s="154"/>
      <c r="CF34" s="155"/>
      <c r="CG34" s="151"/>
      <c r="CH34" s="155"/>
      <c r="CI34" s="155"/>
      <c r="CJ34" s="154"/>
      <c r="CK34" s="155"/>
      <c r="CL34" s="155"/>
      <c r="CM34" s="155"/>
      <c r="CN34" s="155"/>
      <c r="CO34" s="155"/>
      <c r="CP34" s="155"/>
      <c r="CQ34" s="155"/>
      <c r="CR34" s="151"/>
      <c r="CS34" s="154"/>
      <c r="CT34" s="155"/>
      <c r="CU34" s="155"/>
      <c r="CV34" s="155"/>
      <c r="CW34" s="155"/>
      <c r="CX34" s="155"/>
      <c r="CY34" s="154"/>
      <c r="CZ34" s="102"/>
      <c r="DA34" s="151"/>
      <c r="DB34" s="154"/>
      <c r="DC34" s="155"/>
      <c r="DD34" s="155"/>
      <c r="DE34" s="154"/>
      <c r="DF34" s="155"/>
      <c r="DG34" s="151"/>
      <c r="DH34" s="151"/>
      <c r="DI34" s="102"/>
      <c r="DJ34" s="151"/>
      <c r="DK34" s="94">
        <f>IFERROR(SUM(SUMIFS(TX_TB_PREV!$N:$N,TX_TB_PREV!$C:$C,"="&amp;$B34,TX_TB_PREV!$D:$D,$C34),SUMIFS(TX_TB_PREV!$O:$O,TX_TB_PREV!$C:$C,"="&amp;$B34,TX_TB_PREV!$D:$D,$C34))/SUMIFS(TX_TB_PREV!$G:$G,TX_TB_PREV!$C:$C,"="&amp;$B34,TX_TB_PREV!$D:$D,$C34),"")</f>
        <v>1</v>
      </c>
      <c r="DL34" s="90">
        <f>IFERROR(SUM(SUMIFS(TX_TB_PREV!$L:$L,TX_TB_PREV!$C:$C,"="&amp;$B34,TX_TB_PREV!$D:$D,$C34),SUMIFS(TX_TB_PREV!$M:$M,TX_TB_PREV!$C:$C,"="&amp;$B34,TX_TB_PREV!$D:$D,$C34))/SUMIFS(TX_TB_PREV!$F:$F,TX_TB_PREV!$C:$C,"="&amp;$B34,TX_TB_PREV!$D:$D,$C34),"")</f>
        <v>1</v>
      </c>
      <c r="DM34" s="90">
        <v>1</v>
      </c>
      <c r="DN34" s="90">
        <v>1</v>
      </c>
      <c r="DO34" s="90">
        <f>IFERROR(SUMIFS(TX_TB_PREV!$N:$N,TX_TB_PREV!$C:$C,"="&amp;$B34,TX_TB_PREV!$D:$D,$C34)/SUM(SUMIFS(TX_TB_PREV!$N:$N,TX_TB_PREV!$C:$C,"="&amp;$B34,TX_TB_PREV!$D:$D,$C34),SUMIFS(TX_TB_PREV!$O:$O,TX_TB_PREV!$C:$C,"="&amp;$B34,TX_TB_PREV!$D:$D,$C34)),"")</f>
        <v>0</v>
      </c>
      <c r="DP34" s="90">
        <f>IFERROR(SUMIFS(TX_TB_PREV!$L:$L,TX_TB_PREV!$C:$C,"="&amp;$B34,TX_TB_PREV!$D:$D,$C34)/SUM(SUMIFS(TX_TB_PREV!$L:$L,TX_TB_PREV!$C:$C,"="&amp;$B34,TX_TB_PREV!$D:$D,$C34),SUMIFS(TX_TB_PREV!$M:$M,TX_TB_PREV!$C:$C,"="&amp;$B34,TX_TB_PREV!$D:$D,$C34)),"")</f>
        <v>0</v>
      </c>
      <c r="DQ34" s="9">
        <f t="array" ref="DQ34">IFERROR(ROUND(SUM(SUMIFS($G:$G,$B:$B,IF($B34="&lt;15",{"&lt;01","01-09","10-14"},{"15-24","24-34","35-49","50+"}),$C:$C,$C34))*$DM34*$DO34,0),"")</f>
        <v>0</v>
      </c>
      <c r="DR34" s="9">
        <f t="array" ref="DR34">IFERROR(ROUND(SUM(SUMIFS($G:$G,$B:$B,IF($B34="&lt;15",{"&lt;01","01-09","10-14"},{"15-24","24-34","35-49","50+"}),$C:$C,$C34))*$DM34,0)-$DQ34,"")</f>
        <v>0</v>
      </c>
      <c r="DS34" s="9">
        <f t="array" ref="DS34">IFERROR(ROUND(SUM(SUMIFS($W:$W,$B:$B,IF($B34="&lt;15",{"&lt;01","01-09","10-14"},{"15-24","24-34","35-49","50+"}),$C:$C,$C34))*$DN34*$DP34,0),"")</f>
        <v>0</v>
      </c>
      <c r="DT34" s="9">
        <f t="array" ref="DT34">IFERROR(ROUND(SUM(SUMIFS($W:$W,$B:$B,IF($B34="&lt;15",{"&lt;01","01-09","10-14"},{"15-24","24-34","35-49","50+"}),$C:$C,$C34))*$DN34,0)-$DS34,"")</f>
        <v>0</v>
      </c>
      <c r="DU34" s="87" t="str">
        <f>IFERROR(1/(1/SUM(SUMIFS(TX_TB_PREV!$S:$S,TX_TB_PREV!$C:$C,"="&amp;$B34,TX_TB_PREV!$D:$D,$C34),SUMIFS(TX_TB_PREV!$Z:$Z,TX_TB_PREV!$C:$C,"="&amp;$B34,TX_TB_PREV!$D:$D,$C34),SUMIFS(TX_TB_PREV!$AA:$AA,TX_TB_PREV!$C:$C,"="&amp;$B34,TX_TB_PREV!$D:$D,$C34))),"")</f>
        <v/>
      </c>
      <c r="DV34" s="90" t="str">
        <f t="array" ref="DV34">IFERROR(MIN($DU34/SUM(SUMIFS($G:$G,$B:$B,IF($B34="&lt;15",{"&lt;01","01-09","10-14"},{"15-24","24-34","35-49","50+"}),$C:$C,$C34)),1),"")</f>
        <v/>
      </c>
      <c r="DW34" s="90">
        <v>1</v>
      </c>
      <c r="DX34" s="90">
        <v>1</v>
      </c>
      <c r="DY34" s="9" t="str">
        <f>IF(SUM($DR34)=0,"",IF($DV34="","ENTER ELIGIBILITY RATE",IF($DW34 = "","ENTER INITIATION RATE",ROUND($DR34*$DV34*$DW34,0))))</f>
        <v/>
      </c>
      <c r="DZ34" s="9" t="str">
        <f>IF(SUM($DT34)=0,"",IF($DX34="","ENTER INITIATION RATE",ROUND($DT34*$DX34,0)))</f>
        <v/>
      </c>
      <c r="EA34" s="94">
        <v>0.9</v>
      </c>
      <c r="EB34" s="9" t="str">
        <f>IF(SUM($DY34)=0,"",IF($EA34="","ENTER COMPLETION RATE",ROUND($DY34*$EA34,0)))</f>
        <v/>
      </c>
      <c r="EC34" s="9" t="str">
        <f>IF(SUM($DZ34)=0,"",IF($EA34="","ENTER COMPLETION RATE",ROUND($DZ34*$EA34,0)))</f>
        <v/>
      </c>
      <c r="ED34" s="154"/>
      <c r="EE34" s="155"/>
      <c r="EF34" s="155"/>
      <c r="EG34" s="155"/>
      <c r="EH34" s="102"/>
      <c r="EI34" s="102"/>
      <c r="EJ34" s="102"/>
      <c r="EK34" s="102"/>
      <c r="EL34" s="151"/>
      <c r="EM34" s="151"/>
      <c r="EN34" s="151"/>
      <c r="EO34" s="151"/>
      <c r="EP34" s="150"/>
      <c r="EQ34" s="102"/>
      <c r="ER34" s="154"/>
      <c r="ES34" s="155"/>
      <c r="ET34" s="102"/>
      <c r="EU34" s="102"/>
      <c r="EV34" s="151"/>
      <c r="EW34" s="151"/>
      <c r="EX34" s="154"/>
      <c r="EY34" s="102"/>
      <c r="EZ34" s="151"/>
      <c r="FA34" s="154"/>
      <c r="FB34" s="102"/>
      <c r="FC34" s="156"/>
    </row>
    <row r="35" spans="1:159" x14ac:dyDescent="0.2">
      <c r="A35" t="s">
        <v>805</v>
      </c>
      <c r="B35" s="13" t="s">
        <v>806</v>
      </c>
      <c r="C35" t="s">
        <v>47</v>
      </c>
      <c r="E35" s="155"/>
      <c r="F35" s="155"/>
      <c r="G35" s="155"/>
      <c r="H35" s="155"/>
      <c r="I35" s="155"/>
      <c r="J35" s="155"/>
      <c r="K35" s="155"/>
      <c r="L35" s="155"/>
      <c r="M35" s="154"/>
      <c r="N35" s="155"/>
      <c r="O35" s="155"/>
      <c r="P35" s="155"/>
      <c r="Q35" s="155"/>
      <c r="R35" s="154"/>
      <c r="S35" s="155"/>
      <c r="T35" s="155"/>
      <c r="U35" s="154"/>
      <c r="V35" s="155"/>
      <c r="W35" s="155"/>
      <c r="X35" s="155"/>
      <c r="Y35" s="155"/>
      <c r="Z35" s="154"/>
      <c r="AA35" s="155"/>
      <c r="AB35" s="155"/>
      <c r="AC35" s="155"/>
      <c r="AD35" s="154"/>
      <c r="AE35" s="155"/>
      <c r="AF35" s="154"/>
      <c r="AG35" s="155"/>
      <c r="AH35" s="150"/>
      <c r="AI35" s="151"/>
      <c r="AJ35" s="151"/>
      <c r="AK35" s="151"/>
      <c r="AL35" s="151"/>
      <c r="AM35" s="151"/>
      <c r="AN35" s="151"/>
      <c r="AO35" s="151"/>
      <c r="AP35" s="151"/>
      <c r="AQ35" s="152"/>
      <c r="AR35" s="153"/>
      <c r="AS35" s="153"/>
      <c r="AT35" s="153"/>
      <c r="AU35" s="153"/>
      <c r="AV35" s="153"/>
      <c r="AW35" s="153"/>
      <c r="AX35" s="153"/>
      <c r="AY35" s="153"/>
      <c r="AZ35" s="151"/>
      <c r="BA35" s="154"/>
      <c r="BB35" s="151"/>
      <c r="BC35" s="151"/>
      <c r="BD35" s="155"/>
      <c r="BE35" s="154"/>
      <c r="BF35" s="155"/>
      <c r="BG35" s="155"/>
      <c r="BH35" s="154"/>
      <c r="BI35" s="155"/>
      <c r="BJ35" s="155"/>
      <c r="BK35" s="155"/>
      <c r="BL35" s="102"/>
      <c r="BM35" s="102"/>
      <c r="BN35" s="102"/>
      <c r="BO35" s="155"/>
      <c r="BP35" s="155"/>
      <c r="BQ35" s="154"/>
      <c r="BR35" s="155"/>
      <c r="BS35" s="156"/>
      <c r="BT35" s="155"/>
      <c r="BU35" s="155"/>
      <c r="BV35" s="154"/>
      <c r="BW35" s="155"/>
      <c r="BX35" s="155"/>
      <c r="BY35" s="155"/>
      <c r="BZ35" s="155"/>
      <c r="CA35" s="155"/>
      <c r="CB35" s="155"/>
      <c r="CC35" s="155"/>
      <c r="CD35" s="151"/>
      <c r="CE35" s="154"/>
      <c r="CF35" s="155"/>
      <c r="CG35" s="151"/>
      <c r="CH35" s="155"/>
      <c r="CI35" s="155"/>
      <c r="CJ35" s="154"/>
      <c r="CK35" s="155"/>
      <c r="CL35" s="155"/>
      <c r="CM35" s="155"/>
      <c r="CN35" s="155"/>
      <c r="CO35" s="155"/>
      <c r="CP35" s="155"/>
      <c r="CQ35" s="155"/>
      <c r="CR35" s="151"/>
      <c r="CS35" s="154"/>
      <c r="CT35" s="155"/>
      <c r="CU35" s="155"/>
      <c r="CV35" s="155"/>
      <c r="CW35" s="155"/>
      <c r="CX35" s="155"/>
      <c r="CY35" s="154"/>
      <c r="CZ35" s="102"/>
      <c r="DA35" s="151"/>
      <c r="DB35" s="154"/>
      <c r="DC35" s="155"/>
      <c r="DD35" s="155"/>
      <c r="DE35" s="154"/>
      <c r="DF35" s="155"/>
      <c r="DG35" s="151"/>
      <c r="DH35" s="151"/>
      <c r="DI35" s="102"/>
      <c r="DJ35" s="151"/>
      <c r="DK35" s="94">
        <f>IFERROR(SUM(SUMIFS(TX_TB_PREV!$N:$N,TX_TB_PREV!$C:$C,"="&amp;$B35,TX_TB_PREV!$D:$D,$C35),SUMIFS(TX_TB_PREV!$O:$O,TX_TB_PREV!$C:$C,"="&amp;$B35,TX_TB_PREV!$D:$D,$C35))/SUMIFS(TX_TB_PREV!$G:$G,TX_TB_PREV!$C:$C,"="&amp;$B35,TX_TB_PREV!$D:$D,$C35),"")</f>
        <v>1</v>
      </c>
      <c r="DL35" s="90">
        <f>IFERROR(SUM(SUMIFS(TX_TB_PREV!$L:$L,TX_TB_PREV!$C:$C,"="&amp;$B35,TX_TB_PREV!$D:$D,$C35),SUMIFS(TX_TB_PREV!$M:$M,TX_TB_PREV!$C:$C,"="&amp;$B35,TX_TB_PREV!$D:$D,$C35))/SUMIFS(TX_TB_PREV!$F:$F,TX_TB_PREV!$C:$C,"="&amp;$B35,TX_TB_PREV!$D:$D,$C35),"")</f>
        <v>1</v>
      </c>
      <c r="DM35" s="90">
        <v>1</v>
      </c>
      <c r="DN35" s="90">
        <v>1</v>
      </c>
      <c r="DO35" s="90">
        <f>IFERROR(SUMIFS(TX_TB_PREV!$N:$N,TX_TB_PREV!$C:$C,"="&amp;$B35,TX_TB_PREV!$D:$D,$C35)/SUM(SUMIFS(TX_TB_PREV!$N:$N,TX_TB_PREV!$C:$C,"="&amp;$B35,TX_TB_PREV!$D:$D,$C35),SUMIFS(TX_TB_PREV!$O:$O,TX_TB_PREV!$C:$C,"="&amp;$B35,TX_TB_PREV!$D:$D,$C35)),"")</f>
        <v>0</v>
      </c>
      <c r="DP35" s="90">
        <f>IFERROR(SUMIFS(TX_TB_PREV!$L:$L,TX_TB_PREV!$C:$C,"="&amp;$B35,TX_TB_PREV!$D:$D,$C35)/SUM(SUMIFS(TX_TB_PREV!$L:$L,TX_TB_PREV!$C:$C,"="&amp;$B35,TX_TB_PREV!$D:$D,$C35),SUMIFS(TX_TB_PREV!$M:$M,TX_TB_PREV!$C:$C,"="&amp;$B35,TX_TB_PREV!$D:$D,$C35)),"")</f>
        <v>0</v>
      </c>
      <c r="DQ35" s="9">
        <f t="array" ref="DQ35">IFERROR(ROUND(SUM(SUMIFS($G:$G,$B:$B,IF($B35="&lt;15",{"&lt;01","01-09","10-14"},{"15-24","24-34","35-49","50+"}),$C:$C,$C35))*$DM35*$DO35,0),"")</f>
        <v>0</v>
      </c>
      <c r="DR35" s="9">
        <f t="array" ref="DR35">IFERROR(ROUND(SUM(SUMIFS($G:$G,$B:$B,IF($B35="&lt;15",{"&lt;01","01-09","10-14"},{"15-24","24-34","35-49","50+"}),$C:$C,$C35))*$DM35,0)-$DQ35,"")</f>
        <v>0</v>
      </c>
      <c r="DS35" s="9">
        <f t="array" ref="DS35">IFERROR(ROUND(SUM(SUMIFS($G:$G,$B:$B,IF($B35="&lt;15",{"&lt;01","01-09","10-14"},{"15-24","24-34","35-49","50+"}),$C:$C,$C35))*$DM35,0)-$DQ35,"")</f>
        <v>0</v>
      </c>
      <c r="DT35" s="9">
        <f t="array" ref="DT35">IFERROR(ROUND(SUM(SUMIFS($W:$W,$B:$B,IF($B35="&lt;15",{"&lt;01","01-09","10-14"},{"15-24","24-34","35-49","50+"}),$C:$C,$C35))*$DN35,0)-$DS35,"")</f>
        <v>0</v>
      </c>
      <c r="DU35" s="87" t="str">
        <f>IFERROR(1/(1/SUM(SUMIFS(TX_TB_PREV!$S:$S,TX_TB_PREV!$C:$C,"="&amp;$B35,TX_TB_PREV!$D:$D,$C35),SUMIFS(TX_TB_PREV!$Z:$Z,TX_TB_PREV!$C:$C,"="&amp;$B35,TX_TB_PREV!$D:$D,$C35),SUMIFS(TX_TB_PREV!$AA:$AA,TX_TB_PREV!$C:$C,"="&amp;$B35,TX_TB_PREV!$D:$D,$C35))),"")</f>
        <v/>
      </c>
      <c r="DV35" s="90" t="str">
        <f t="array" ref="DV35">IFERROR(MIN($DU35/SUM(SUMIFS($G:$G,$B:$B,IF($B35="&lt;15",{"&lt;01","01-09","10-14"},{"15-24","24-34","35-49","50+"}),$C:$C,$C35)),1),"")</f>
        <v/>
      </c>
      <c r="DW35" s="90">
        <v>1</v>
      </c>
      <c r="DX35" s="90">
        <v>1</v>
      </c>
      <c r="DY35" s="9" t="str">
        <f>IF(SUM($DR35)=0,"",IF($DV35="","ENTER ELIGIBILITY RATE",IF($DW35 = "","ENTER INITIATION RATE",ROUND($DR35*$DV35*$DW35,0))))</f>
        <v/>
      </c>
      <c r="DZ35" s="9" t="str">
        <f>IF(SUM($DT35)=0,"",IF($DX35="","ENTER INITIATION RATE",ROUND($DT35*$DX35,0)))</f>
        <v/>
      </c>
      <c r="EA35" s="94">
        <v>0.9</v>
      </c>
      <c r="EB35" s="9" t="str">
        <f>IF(SUM($DY35)=0,"",IF($EA35="","ENTER COMPLETION RATE",ROUND($DY35*$EA35,0)))</f>
        <v/>
      </c>
      <c r="EC35" s="9" t="str">
        <f>IF(SUM($DZ35)=0,"",IF($EA35="","ENTER COMPLETION RATE",ROUND($DZ35*$EA35,0)))</f>
        <v/>
      </c>
      <c r="ED35" s="154"/>
      <c r="EE35" s="155"/>
      <c r="EF35" s="155"/>
      <c r="EG35" s="155"/>
      <c r="EH35" s="102"/>
      <c r="EI35" s="102"/>
      <c r="EJ35" s="102"/>
      <c r="EK35" s="102"/>
      <c r="EL35" s="151"/>
      <c r="EM35" s="151"/>
      <c r="EN35" s="151"/>
      <c r="EO35" s="151"/>
      <c r="EP35" s="150"/>
      <c r="EQ35" s="102"/>
      <c r="ER35" s="154"/>
      <c r="ES35" s="155"/>
      <c r="ET35" s="102"/>
      <c r="EU35" s="102"/>
      <c r="EV35" s="151"/>
      <c r="EW35" s="151"/>
      <c r="EX35" s="154"/>
      <c r="EY35" s="102"/>
      <c r="EZ35" s="151"/>
      <c r="FA35" s="154"/>
      <c r="FB35" s="102"/>
      <c r="FC35" s="156"/>
    </row>
    <row r="36" spans="1:159" x14ac:dyDescent="0.2">
      <c r="A36" t="s">
        <v>805</v>
      </c>
      <c r="B36" s="13" t="s">
        <v>807</v>
      </c>
      <c r="C36" t="s">
        <v>29</v>
      </c>
      <c r="E36" s="155"/>
      <c r="F36" s="155"/>
      <c r="G36" s="155"/>
      <c r="H36" s="155"/>
      <c r="I36" s="155"/>
      <c r="J36" s="155"/>
      <c r="K36" s="155"/>
      <c r="L36" s="155"/>
      <c r="M36" s="154"/>
      <c r="N36" s="155"/>
      <c r="O36" s="155"/>
      <c r="P36" s="155"/>
      <c r="Q36" s="155"/>
      <c r="R36" s="154"/>
      <c r="S36" s="155"/>
      <c r="T36" s="155"/>
      <c r="U36" s="154"/>
      <c r="V36" s="155"/>
      <c r="W36" s="155"/>
      <c r="X36" s="155"/>
      <c r="Y36" s="155"/>
      <c r="Z36" s="154"/>
      <c r="AA36" s="155"/>
      <c r="AB36" s="155"/>
      <c r="AC36" s="155"/>
      <c r="AD36" s="154"/>
      <c r="AE36" s="155"/>
      <c r="AF36" s="154"/>
      <c r="AG36" s="155"/>
      <c r="AH36" s="150"/>
      <c r="AI36" s="151"/>
      <c r="AJ36" s="151"/>
      <c r="AK36" s="151"/>
      <c r="AL36" s="151"/>
      <c r="AM36" s="151"/>
      <c r="AN36" s="151"/>
      <c r="AO36" s="151"/>
      <c r="AP36" s="151"/>
      <c r="AQ36" s="152"/>
      <c r="AR36" s="153"/>
      <c r="AS36" s="153"/>
      <c r="AT36" s="153"/>
      <c r="AU36" s="153"/>
      <c r="AV36" s="153"/>
      <c r="AW36" s="153"/>
      <c r="AX36" s="153"/>
      <c r="AY36" s="153"/>
      <c r="AZ36" s="151"/>
      <c r="BA36" s="154"/>
      <c r="BB36" s="151"/>
      <c r="BC36" s="151"/>
      <c r="BD36" s="155"/>
      <c r="BE36" s="154"/>
      <c r="BF36" s="155"/>
      <c r="BG36" s="155"/>
      <c r="BH36" s="154"/>
      <c r="BI36" s="155"/>
      <c r="BJ36" s="155"/>
      <c r="BK36" s="155"/>
      <c r="BL36" s="102"/>
      <c r="BM36" s="102"/>
      <c r="BN36" s="102"/>
      <c r="BO36" s="155"/>
      <c r="BP36" s="155"/>
      <c r="BQ36" s="154"/>
      <c r="BR36" s="155"/>
      <c r="BS36" s="156"/>
      <c r="BT36" s="155"/>
      <c r="BU36" s="155"/>
      <c r="BV36" s="154"/>
      <c r="BW36" s="155"/>
      <c r="BX36" s="155"/>
      <c r="BY36" s="155"/>
      <c r="BZ36" s="155"/>
      <c r="CA36" s="155"/>
      <c r="CB36" s="155"/>
      <c r="CC36" s="155"/>
      <c r="CD36" s="151"/>
      <c r="CE36" s="154"/>
      <c r="CF36" s="155"/>
      <c r="CG36" s="151"/>
      <c r="CH36" s="155"/>
      <c r="CI36" s="155"/>
      <c r="CJ36" s="154"/>
      <c r="CK36" s="155"/>
      <c r="CL36" s="155"/>
      <c r="CM36" s="155"/>
      <c r="CN36" s="155"/>
      <c r="CO36" s="155"/>
      <c r="CP36" s="155"/>
      <c r="CQ36" s="155"/>
      <c r="CR36" s="151"/>
      <c r="CS36" s="154"/>
      <c r="CT36" s="155"/>
      <c r="CU36" s="155"/>
      <c r="CV36" s="155"/>
      <c r="CW36" s="155"/>
      <c r="CX36" s="155"/>
      <c r="CY36" s="154"/>
      <c r="CZ36" s="102"/>
      <c r="DA36" s="151"/>
      <c r="DB36" s="154"/>
      <c r="DC36" s="155"/>
      <c r="DD36" s="155"/>
      <c r="DE36" s="154"/>
      <c r="DF36" s="155"/>
      <c r="DG36" s="151"/>
      <c r="DH36" s="151"/>
      <c r="DI36" s="102"/>
      <c r="DJ36" s="151"/>
      <c r="DK36" s="94" t="str">
        <f>IFERROR(SUM(SUMIFS(TX_TB_PREV!$N:$N,TX_TB_PREV!$C:$C,"="&amp;$B36,TX_TB_PREV!$D:$D,$C36),SUMIFS(TX_TB_PREV!$O:$O,TX_TB_PREV!$C:$C,"="&amp;$B36,TX_TB_PREV!$D:$D,$C36))/SUMIFS(TX_TB_PREV!$G:$G,TX_TB_PREV!$C:$C,"="&amp;$B36,TX_TB_PREV!$D:$D,$C36),"")</f>
        <v/>
      </c>
      <c r="DL36" s="90" t="str">
        <f>IFERROR(SUM(SUMIFS(TX_TB_PREV!$L:$L,TX_TB_PREV!$C:$C,"="&amp;$B36,TX_TB_PREV!$D:$D,$C36),SUMIFS(TX_TB_PREV!$M:$M,TX_TB_PREV!$C:$C,"="&amp;$B36,TX_TB_PREV!$D:$D,$C36))/SUMIFS(TX_TB_PREV!$F:$F,TX_TB_PREV!$C:$C,"="&amp;$B36,TX_TB_PREV!$D:$D,$C36),"")</f>
        <v/>
      </c>
      <c r="DM36" s="90">
        <v>1</v>
      </c>
      <c r="DN36" s="90">
        <v>1</v>
      </c>
      <c r="DO36" s="90" t="str">
        <f>IFERROR(SUMIFS(TX_TB_PREV!$N:$N,TX_TB_PREV!$C:$C,"="&amp;$B36,TX_TB_PREV!$D:$D,$C36)/SUM(SUMIFS(TX_TB_PREV!$N:$N,TX_TB_PREV!$C:$C,"="&amp;$B36,TX_TB_PREV!$D:$D,$C36),SUMIFS(TX_TB_PREV!$O:$O,TX_TB_PREV!$C:$C,"="&amp;$B36,TX_TB_PREV!$D:$D,$C36)),"")</f>
        <v/>
      </c>
      <c r="DP36" s="90" t="str">
        <f>IFERROR(SUMIFS(TX_TB_PREV!$L:$L,TX_TB_PREV!$C:$C,"="&amp;$B36,TX_TB_PREV!$D:$D,$C36)/SUM(SUMIFS(TX_TB_PREV!$L:$L,TX_TB_PREV!$C:$C,"="&amp;$B36,TX_TB_PREV!$D:$D,$C36),SUMIFS(TX_TB_PREV!$M:$M,TX_TB_PREV!$C:$C,"="&amp;$B36,TX_TB_PREV!$D:$D,$C36)),"")</f>
        <v/>
      </c>
      <c r="DQ36" s="9" t="str">
        <f t="array" ref="DQ36">IFERROR(ROUND(SUM(SUMIFS($G:$G,$B:$B,IF($B36="&lt;15",{"&lt;01","01-09","10-14"},{"15-24","24-34","35-49","50+"}),$C:$C,$C36))*$DM36*$DO36,0),"")</f>
        <v/>
      </c>
      <c r="DR36" s="9" t="str">
        <f t="array" ref="DR36">IFERROR(ROUND(SUM(SUMIFS($G:$G,$B:$B,IF($B36="&lt;15",{"&lt;01","01-09","10-14"},{"15-24","24-34","35-49","50+"}),$C:$C,$C36))*$DM36,0)-$DQ36,"")</f>
        <v/>
      </c>
      <c r="DS36" s="9" t="str">
        <f t="array" ref="DS36">IFERROR(ROUND(SUM(SUMIFS($G:$G,$B:$B,IF($B36="&lt;15",{"&lt;01","01-09","10-14"},{"15-24","24-34","35-49","50+"}),$C:$C,$C36))*$DM36,0)-$DQ36,"")</f>
        <v/>
      </c>
      <c r="DT36" s="9" t="str">
        <f t="array" ref="DT36">IFERROR(ROUND(SUM(SUMIFS($W:$W,$B:$B,IF($B36="&lt;15",{"&lt;01","01-09","10-14"},{"15-24","24-34","35-49","50+"}),$C:$C,$C36))*$DN36,0)-$DS36,"")</f>
        <v/>
      </c>
      <c r="DU36" s="87">
        <f>IFERROR(1/(1/SUM(SUMIFS(TX_TB_PREV!$S:$S,TX_TB_PREV!$C:$C,"="&amp;$B36,TX_TB_PREV!$D:$D,$C36),SUMIFS(TX_TB_PREV!$Z:$Z,TX_TB_PREV!$C:$C,"="&amp;$B36,TX_TB_PREV!$D:$D,$C36),SUMIFS(TX_TB_PREV!$AA:$AA,TX_TB_PREV!$C:$C,"="&amp;$B36,TX_TB_PREV!$D:$D,$C36))),"")</f>
        <v>29543</v>
      </c>
      <c r="DV36" s="90" t="str">
        <f t="array" ref="DV36">IFERROR(MIN($DU36/SUM(SUMIFS($G:$G,$B:$B,IF($B36="&lt;15",{"&lt;01","01-09","10-14"},{"15-24","24-34","35-49","50+"}),$C:$C,$C36)),1),"")</f>
        <v/>
      </c>
      <c r="DW36" s="90">
        <v>1</v>
      </c>
      <c r="DX36" s="90">
        <v>1</v>
      </c>
      <c r="DY36" s="9" t="str">
        <f>IF(SUM($DR36)=0,"",IF($DV36="","ENTER ELIGIBILITY RATE",IF($DW36 = "","ENTER INITIATION RATE",ROUND($DR36*$DV36*$DW36,0))))</f>
        <v/>
      </c>
      <c r="DZ36" s="9" t="str">
        <f>IF(SUM($DT36)=0,"",IF($DX36="","ENTER INITIATION RATE",ROUND($DT36*$DX36,0)))</f>
        <v/>
      </c>
      <c r="EA36" s="94">
        <v>0.9</v>
      </c>
      <c r="EB36" s="9" t="str">
        <f>IF(SUM($DY36)=0,"",IF($EA36="","ENTER COMPLETION RATE",ROUND($DY36*$EA36,0)))</f>
        <v/>
      </c>
      <c r="EC36" s="9" t="str">
        <f>IF(SUM($DZ36)=0,"",IF($EA36="","ENTER COMPLETION RATE",ROUND($DZ36*$EA36,0)))</f>
        <v/>
      </c>
      <c r="ED36" s="154"/>
      <c r="EE36" s="155"/>
      <c r="EF36" s="155"/>
      <c r="EG36" s="155"/>
      <c r="EH36" s="102"/>
      <c r="EI36" s="102"/>
      <c r="EJ36" s="102"/>
      <c r="EK36" s="102"/>
      <c r="EL36" s="151"/>
      <c r="EM36" s="151"/>
      <c r="EN36" s="151"/>
      <c r="EO36" s="151"/>
      <c r="EP36" s="150"/>
      <c r="EQ36" s="102"/>
      <c r="ER36" s="154"/>
      <c r="ES36" s="155"/>
      <c r="ET36" s="102"/>
      <c r="EU36" s="102"/>
      <c r="EV36" s="151"/>
      <c r="EW36" s="151"/>
      <c r="EX36" s="154"/>
      <c r="EY36" s="102"/>
      <c r="EZ36" s="151"/>
      <c r="FA36" s="154"/>
      <c r="FB36" s="102"/>
      <c r="FC36" s="156"/>
    </row>
    <row r="37" spans="1:159" x14ac:dyDescent="0.2">
      <c r="A37" t="s">
        <v>805</v>
      </c>
      <c r="B37" s="13" t="s">
        <v>807</v>
      </c>
      <c r="C37" t="s">
        <v>47</v>
      </c>
      <c r="E37" s="155"/>
      <c r="F37" s="155"/>
      <c r="G37" s="155"/>
      <c r="H37" s="155"/>
      <c r="I37" s="155"/>
      <c r="J37" s="155"/>
      <c r="K37" s="155"/>
      <c r="L37" s="155"/>
      <c r="M37" s="154"/>
      <c r="N37" s="155"/>
      <c r="O37" s="155"/>
      <c r="P37" s="155"/>
      <c r="Q37" s="155"/>
      <c r="R37" s="154"/>
      <c r="S37" s="155"/>
      <c r="T37" s="155"/>
      <c r="U37" s="154"/>
      <c r="V37" s="155"/>
      <c r="W37" s="155"/>
      <c r="X37" s="155"/>
      <c r="Y37" s="155"/>
      <c r="Z37" s="154"/>
      <c r="AA37" s="155"/>
      <c r="AB37" s="155"/>
      <c r="AC37" s="155"/>
      <c r="AD37" s="154"/>
      <c r="AE37" s="155"/>
      <c r="AF37" s="154"/>
      <c r="AG37" s="155"/>
      <c r="AH37" s="150"/>
      <c r="AI37" s="151"/>
      <c r="AJ37" s="151"/>
      <c r="AK37" s="151"/>
      <c r="AL37" s="151"/>
      <c r="AM37" s="151"/>
      <c r="AN37" s="151"/>
      <c r="AO37" s="151"/>
      <c r="AP37" s="151"/>
      <c r="AQ37" s="152"/>
      <c r="AR37" s="153"/>
      <c r="AS37" s="153"/>
      <c r="AT37" s="153"/>
      <c r="AU37" s="153"/>
      <c r="AV37" s="153"/>
      <c r="AW37" s="153"/>
      <c r="AX37" s="153"/>
      <c r="AY37" s="153"/>
      <c r="AZ37" s="151"/>
      <c r="BA37" s="154"/>
      <c r="BB37" s="151"/>
      <c r="BC37" s="151"/>
      <c r="BD37" s="155"/>
      <c r="BE37" s="154"/>
      <c r="BF37" s="155"/>
      <c r="BG37" s="155"/>
      <c r="BH37" s="154"/>
      <c r="BI37" s="155"/>
      <c r="BJ37" s="155"/>
      <c r="BK37" s="155"/>
      <c r="BL37" s="102"/>
      <c r="BM37" s="102"/>
      <c r="BN37" s="102"/>
      <c r="BO37" s="155"/>
      <c r="BP37" s="155"/>
      <c r="BQ37" s="154"/>
      <c r="BR37" s="155"/>
      <c r="BS37" s="156"/>
      <c r="BT37" s="155"/>
      <c r="BU37" s="155"/>
      <c r="BV37" s="154"/>
      <c r="BW37" s="155"/>
      <c r="BX37" s="155"/>
      <c r="BY37" s="155"/>
      <c r="BZ37" s="155"/>
      <c r="CA37" s="155"/>
      <c r="CB37" s="155"/>
      <c r="CC37" s="155"/>
      <c r="CD37" s="151"/>
      <c r="CE37" s="154"/>
      <c r="CF37" s="155"/>
      <c r="CG37" s="151"/>
      <c r="CH37" s="155"/>
      <c r="CI37" s="155"/>
      <c r="CJ37" s="154"/>
      <c r="CK37" s="155"/>
      <c r="CL37" s="155"/>
      <c r="CM37" s="155"/>
      <c r="CN37" s="155"/>
      <c r="CO37" s="155"/>
      <c r="CP37" s="155"/>
      <c r="CQ37" s="155"/>
      <c r="CR37" s="151"/>
      <c r="CS37" s="154"/>
      <c r="CT37" s="155"/>
      <c r="CU37" s="155"/>
      <c r="CV37" s="155"/>
      <c r="CW37" s="155"/>
      <c r="CX37" s="155"/>
      <c r="CY37" s="154"/>
      <c r="CZ37" s="102"/>
      <c r="DA37" s="151"/>
      <c r="DB37" s="154"/>
      <c r="DC37" s="155"/>
      <c r="DD37" s="155"/>
      <c r="DE37" s="154"/>
      <c r="DF37" s="155"/>
      <c r="DG37" s="151"/>
      <c r="DH37" s="151"/>
      <c r="DI37" s="102"/>
      <c r="DJ37" s="151"/>
      <c r="DK37" s="94" t="str">
        <f>IFERROR(SUM(SUMIFS(TX_TB_PREV!$N:$N,TX_TB_PREV!$C:$C,"="&amp;$B37,TX_TB_PREV!$D:$D,$C37),SUMIFS(TX_TB_PREV!$O:$O,TX_TB_PREV!$C:$C,"="&amp;$B37,TX_TB_PREV!$D:$D,$C37))/SUMIFS(TX_TB_PREV!$G:$G,TX_TB_PREV!$C:$C,"="&amp;$B37,TX_TB_PREV!$D:$D,$C37),"")</f>
        <v/>
      </c>
      <c r="DL37" s="90" t="str">
        <f>IFERROR(SUM(SUMIFS(TX_TB_PREV!$L:$L,TX_TB_PREV!$C:$C,"="&amp;$B37,TX_TB_PREV!$D:$D,$C37),SUMIFS(TX_TB_PREV!$M:$M,TX_TB_PREV!$C:$C,"="&amp;$B37,TX_TB_PREV!$D:$D,$C37))/SUMIFS(TX_TB_PREV!$F:$F,TX_TB_PREV!$C:$C,"="&amp;$B37,TX_TB_PREV!$D:$D,$C37),"")</f>
        <v/>
      </c>
      <c r="DM37" s="90">
        <v>1</v>
      </c>
      <c r="DN37" s="90">
        <v>1</v>
      </c>
      <c r="DO37" s="90" t="str">
        <f>IFERROR(SUMIFS(TX_TB_PREV!$N:$N,TX_TB_PREV!$C:$C,"="&amp;$B37,TX_TB_PREV!$D:$D,$C37)/SUM(SUMIFS(TX_TB_PREV!$N:$N,TX_TB_PREV!$C:$C,"="&amp;$B37,TX_TB_PREV!$D:$D,$C37),SUMIFS(TX_TB_PREV!$O:$O,TX_TB_PREV!$C:$C,"="&amp;$B37,TX_TB_PREV!$D:$D,$C37)),"")</f>
        <v/>
      </c>
      <c r="DP37" s="90" t="str">
        <f>IFERROR(SUMIFS(TX_TB_PREV!$L:$L,TX_TB_PREV!$C:$C,"="&amp;$B37,TX_TB_PREV!$D:$D,$C37)/SUM(SUMIFS(TX_TB_PREV!$L:$L,TX_TB_PREV!$C:$C,"="&amp;$B37,TX_TB_PREV!$D:$D,$C37),SUMIFS(TX_TB_PREV!$M:$M,TX_TB_PREV!$C:$C,"="&amp;$B37,TX_TB_PREV!$D:$D,$C37)),"")</f>
        <v/>
      </c>
      <c r="DQ37" s="9" t="str">
        <f t="array" ref="DQ37">IFERROR(ROUND(SUM(SUMIFS($G:$G,$B:$B,IF($B37="&lt;15",{"&lt;01","01-09","10-14"},{"15-24","24-34","35-49","50+"}),$C:$C,$C37))*$DM37*$DO37,0),"")</f>
        <v/>
      </c>
      <c r="DR37" s="9" t="str">
        <f t="array" ref="DR37">IFERROR(ROUND(SUM(SUMIFS($G:$G,$B:$B,IF($B37="&lt;15",{"&lt;01","01-09","10-14"},{"15-24","24-34","35-49","50+"}),$C:$C,$C37))*$DM37,0)-$DQ37,"")</f>
        <v/>
      </c>
      <c r="DS37" s="9" t="str">
        <f t="array" ref="DS37">IFERROR(ROUND(SUM(SUMIFS($G:$G,$B:$B,IF($B37="&lt;15",{"&lt;01","01-09","10-14"},{"15-24","24-34","35-49","50+"}),$C:$C,$C37))*$DM37,0)-$DQ37,"")</f>
        <v/>
      </c>
      <c r="DT37" s="9" t="str">
        <f t="array" ref="DT37">IFERROR(ROUND(SUM(SUMIFS($W:$W,$B:$B,IF($B37="&lt;15",{"&lt;01","01-09","10-14"},{"15-24","24-34","35-49","50+"}),$C:$C,$C37))*$DN37,0)-$DS37,"")</f>
        <v/>
      </c>
      <c r="DU37" s="87">
        <f>IFERROR(1/(1/SUM(SUMIFS(TX_TB_PREV!$S:$S,TX_TB_PREV!$C:$C,"="&amp;$B37,TX_TB_PREV!$D:$D,$C37),SUMIFS(TX_TB_PREV!$Z:$Z,TX_TB_PREV!$C:$C,"="&amp;$B37,TX_TB_PREV!$D:$D,$C37),SUMIFS(TX_TB_PREV!$AA:$AA,TX_TB_PREV!$C:$C,"="&amp;$B37,TX_TB_PREV!$D:$D,$C37))),"")</f>
        <v>20715</v>
      </c>
      <c r="DV37" s="90" t="str">
        <f t="array" ref="DV37">IFERROR(MIN($DU37/SUM(SUMIFS($G:$G,$B:$B,IF($B37="&lt;15",{"&lt;01","01-09","10-14"},{"15-24","24-34","35-49","50+"}),$C:$C,$C37)),1),"")</f>
        <v/>
      </c>
      <c r="DW37" s="90">
        <v>1</v>
      </c>
      <c r="DX37" s="90">
        <v>1</v>
      </c>
      <c r="DY37" s="9" t="str">
        <f>IF(SUM($DR37)=0,"",IF($DV37="","ENTER ELIGIBILITY RATE",IF($DW37 = "","ENTER INITIATION RATE",ROUND($DR37*$DV37*$DW37,0))))</f>
        <v/>
      </c>
      <c r="DZ37" s="9" t="str">
        <f>IF(SUM($DT37)=0,"",IF($DX37="","ENTER INITIATION RATE",ROUND($DT37*$DX37,0)))</f>
        <v/>
      </c>
      <c r="EA37" s="94">
        <v>0.9</v>
      </c>
      <c r="EB37" s="9" t="str">
        <f>IF(SUM($DY37)=0,"",IF($EA37="","ENTER COMPLETION RATE",ROUND($DY37*$EA37,0)))</f>
        <v/>
      </c>
      <c r="EC37" s="9" t="str">
        <f>IF(SUM($DZ37)=0,"",IF($EA37="","ENTER COMPLETION RATE",ROUND($DZ37*$EA37,0)))</f>
        <v/>
      </c>
      <c r="ED37" s="154"/>
      <c r="EE37" s="155"/>
      <c r="EF37" s="155"/>
      <c r="EG37" s="155"/>
      <c r="EH37" s="102"/>
      <c r="EI37" s="102"/>
      <c r="EJ37" s="102"/>
      <c r="EK37" s="102"/>
      <c r="EL37" s="151"/>
      <c r="EM37" s="151"/>
      <c r="EN37" s="151"/>
      <c r="EO37" s="151"/>
      <c r="EP37" s="150"/>
      <c r="EQ37" s="102"/>
      <c r="ER37" s="154"/>
      <c r="ES37" s="155"/>
      <c r="ET37" s="102"/>
      <c r="EU37" s="102"/>
      <c r="EV37" s="151"/>
      <c r="EW37" s="151"/>
      <c r="EX37" s="154"/>
      <c r="EY37" s="102"/>
      <c r="EZ37" s="151"/>
      <c r="FA37" s="154"/>
      <c r="FB37" s="102"/>
      <c r="FC37" s="156"/>
    </row>
    <row r="38" spans="1:159" x14ac:dyDescent="0.2">
      <c r="A38" t="s">
        <v>808</v>
      </c>
      <c r="B38" s="13" t="s">
        <v>315</v>
      </c>
      <c r="C38" t="s">
        <v>29</v>
      </c>
      <c r="E38" s="155"/>
      <c r="F38" s="155"/>
      <c r="G38" s="155"/>
      <c r="H38" s="155"/>
      <c r="I38" s="155"/>
      <c r="J38" s="155"/>
      <c r="K38" s="155"/>
      <c r="L38" s="155"/>
      <c r="M38" s="154"/>
      <c r="N38" s="155"/>
      <c r="O38" s="155"/>
      <c r="P38" s="155"/>
      <c r="Q38" s="155"/>
      <c r="R38" s="154"/>
      <c r="S38" s="155"/>
      <c r="T38" s="155"/>
      <c r="U38" s="154"/>
      <c r="V38" s="155"/>
      <c r="W38" s="155"/>
      <c r="X38" s="155"/>
      <c r="Y38" s="155"/>
      <c r="Z38" s="154"/>
      <c r="AA38" s="155"/>
      <c r="AB38" s="155"/>
      <c r="AC38" s="155"/>
      <c r="AD38" s="154"/>
      <c r="AE38" s="155"/>
      <c r="AF38" s="154"/>
      <c r="AG38" s="155"/>
      <c r="AH38" s="150"/>
      <c r="AI38" s="151"/>
      <c r="AJ38" s="151"/>
      <c r="AK38" s="151"/>
      <c r="AL38" s="151"/>
      <c r="AM38" s="151"/>
      <c r="AN38" s="151"/>
      <c r="AO38" s="151"/>
      <c r="AP38" s="151"/>
      <c r="AQ38" s="152"/>
      <c r="AR38" s="153"/>
      <c r="AS38" s="153"/>
      <c r="AT38" s="153"/>
      <c r="AU38" s="153"/>
      <c r="AV38" s="153"/>
      <c r="AW38" s="153"/>
      <c r="AX38" s="153"/>
      <c r="AY38" s="153"/>
      <c r="AZ38" s="151"/>
      <c r="BA38" s="154"/>
      <c r="BB38" s="151"/>
      <c r="BC38" s="151"/>
      <c r="BD38" s="155"/>
      <c r="BE38" s="154"/>
      <c r="BF38" s="155"/>
      <c r="BG38" s="155"/>
      <c r="BH38" s="154"/>
      <c r="BI38" s="155"/>
      <c r="BJ38" s="155"/>
      <c r="BK38" s="155"/>
      <c r="BL38" s="102"/>
      <c r="BM38" s="102"/>
      <c r="BN38" s="102"/>
      <c r="BO38" s="155"/>
      <c r="BP38" s="155"/>
      <c r="BQ38" s="154"/>
      <c r="BR38" s="155"/>
      <c r="BS38" s="156"/>
      <c r="BT38" s="155"/>
      <c r="BU38" s="155"/>
      <c r="BV38" s="154"/>
      <c r="BW38" s="155"/>
      <c r="BX38" s="155"/>
      <c r="BY38" s="155"/>
      <c r="BZ38" s="155"/>
      <c r="CA38" s="155"/>
      <c r="CB38" s="155"/>
      <c r="CC38" s="155"/>
      <c r="CD38" s="151"/>
      <c r="CE38" s="154"/>
      <c r="CF38" s="155"/>
      <c r="CG38" s="151"/>
      <c r="CH38" s="155"/>
      <c r="CI38" s="155"/>
      <c r="CJ38" s="154"/>
      <c r="CK38" s="155"/>
      <c r="CL38" s="155"/>
      <c r="CM38" s="155"/>
      <c r="CN38" s="155"/>
      <c r="CO38" s="155"/>
      <c r="CP38" s="155"/>
      <c r="CQ38" s="155"/>
      <c r="CR38" s="151"/>
      <c r="CS38" s="154"/>
      <c r="CT38" s="155"/>
      <c r="CU38" s="155"/>
      <c r="CV38" s="155"/>
      <c r="CW38" s="155"/>
      <c r="CX38" s="155"/>
      <c r="CY38" s="154"/>
      <c r="CZ38" s="102"/>
      <c r="DA38" s="151"/>
      <c r="DB38" s="154"/>
      <c r="DC38" s="155"/>
      <c r="DD38" s="155"/>
      <c r="DE38" s="154"/>
      <c r="DF38" s="155"/>
      <c r="DG38" s="151"/>
      <c r="DH38" s="151"/>
      <c r="DI38" s="102"/>
      <c r="DJ38" s="151"/>
      <c r="DK38" s="154"/>
      <c r="DL38" s="155"/>
      <c r="DM38" s="155"/>
      <c r="DN38" s="155"/>
      <c r="DO38" s="155"/>
      <c r="DP38" s="155"/>
      <c r="DQ38" s="155"/>
      <c r="DR38" s="155"/>
      <c r="DS38" s="155"/>
      <c r="DT38" s="155"/>
      <c r="DU38" s="154"/>
      <c r="DV38" s="151"/>
      <c r="DW38" s="151"/>
      <c r="DX38" s="151"/>
      <c r="DY38" s="155"/>
      <c r="DZ38" s="155"/>
      <c r="EA38" s="150"/>
      <c r="EB38" s="155"/>
      <c r="EC38" s="155"/>
      <c r="ED38" s="87" t="str">
        <f>IFERROR(1/(1/SUMIFS(OVC!$O:$O,OVC!$C:$C,"="&amp;$B38,OVC!$D:$D,$C38)),"")</f>
        <v/>
      </c>
      <c r="EE38" s="14" t="str">
        <f>IFERROR(1/(1/SUMIFS(OVC!$P:$P,OVC!$C:$C,"="&amp;$B38,OVC!$D:$D,$C38)),"")</f>
        <v/>
      </c>
      <c r="EF38" s="14">
        <f>IFERROR(1/(1/SUMIFS(OVC!$Q:$Q,OVC!$C:$C,"="&amp;$B38,OVC!$D:$D,$C38)),"")</f>
        <v>104.99999999999999</v>
      </c>
      <c r="EG38" s="14">
        <f>IFERROR(1/(1/SUMIFS(OVC!$R:$R,OVC!$C:$C,"="&amp;$B38,OVC!$D:$D,$C38)),"")</f>
        <v>423</v>
      </c>
      <c r="EH38" s="9" t="str">
        <f t="shared" ref="EH38:EH51" si="33">$ED38</f>
        <v/>
      </c>
      <c r="EI38" s="9" t="str">
        <f t="shared" ref="EI38:EI51" si="34">$EE38</f>
        <v/>
      </c>
      <c r="EJ38" s="9">
        <f t="shared" ref="EJ38:EJ51" si="35">$EF38</f>
        <v>104.99999999999999</v>
      </c>
      <c r="EK38" s="9">
        <f t="shared" ref="EK38:EK51" si="36">$EG38</f>
        <v>423</v>
      </c>
      <c r="EL38" s="90" t="str">
        <f t="shared" ref="EL38:EL51" si="37">IF(SUM($ED38)=0,"",(SUM($EH38)-$ED38)/$ED38)</f>
        <v/>
      </c>
      <c r="EM38" s="90" t="str">
        <f t="shared" ref="EM38:EM51" si="38">IF(SUM($EE38)=0,"",(SUM($EI38)-$EE38)/$EE38)</f>
        <v/>
      </c>
      <c r="EN38" s="90">
        <f t="shared" ref="EN38:EN51" si="39">IF(SUM($EF38)=0,"",(SUM($EJ38)-$EF38)/$EF38)</f>
        <v>0</v>
      </c>
      <c r="EO38" s="90">
        <f t="shared" ref="EO38:EO51" si="40">IF(SUM($EG38)=0,"",(SUM($EK38)-$EG38)/$EG38)</f>
        <v>0</v>
      </c>
      <c r="EP38" s="94">
        <f t="shared" ref="EP38:EP47" si="41">IF(OR($B38="18+",$B38="18-20",SUM($EJ38,$EK38)=0),"",100%)</f>
        <v>1</v>
      </c>
      <c r="EQ38" s="9">
        <f t="shared" ref="EQ38:EQ47" si="42">IF(OR($C38="18+",$C38="18-20",SUM($EJ38,$EK38)=0),"",ROUND(SUM($EJ38,$EK38)*$EP38,0))</f>
        <v>528</v>
      </c>
      <c r="ER38" s="154"/>
      <c r="ES38" s="155"/>
      <c r="ET38" s="102"/>
      <c r="EU38" s="102"/>
      <c r="EV38" s="151"/>
      <c r="EW38" s="151"/>
      <c r="EX38" s="154"/>
      <c r="EY38" s="102"/>
      <c r="EZ38" s="151"/>
      <c r="FA38" s="154"/>
      <c r="FB38" s="102"/>
      <c r="FC38" s="156"/>
    </row>
    <row r="39" spans="1:159" x14ac:dyDescent="0.2">
      <c r="A39" t="s">
        <v>808</v>
      </c>
      <c r="B39" s="13" t="s">
        <v>315</v>
      </c>
      <c r="C39" t="s">
        <v>47</v>
      </c>
      <c r="E39" s="155"/>
      <c r="F39" s="155"/>
      <c r="G39" s="155"/>
      <c r="H39" s="155"/>
      <c r="I39" s="155"/>
      <c r="J39" s="155"/>
      <c r="K39" s="155"/>
      <c r="L39" s="155"/>
      <c r="M39" s="154"/>
      <c r="N39" s="155"/>
      <c r="O39" s="155"/>
      <c r="P39" s="155"/>
      <c r="Q39" s="155"/>
      <c r="R39" s="154"/>
      <c r="S39" s="155"/>
      <c r="T39" s="155"/>
      <c r="U39" s="154"/>
      <c r="V39" s="155"/>
      <c r="W39" s="155"/>
      <c r="X39" s="155"/>
      <c r="Y39" s="155"/>
      <c r="Z39" s="154"/>
      <c r="AA39" s="155"/>
      <c r="AB39" s="155"/>
      <c r="AC39" s="155"/>
      <c r="AD39" s="154"/>
      <c r="AE39" s="155"/>
      <c r="AF39" s="154"/>
      <c r="AG39" s="155"/>
      <c r="AH39" s="150"/>
      <c r="AI39" s="151"/>
      <c r="AJ39" s="151"/>
      <c r="AK39" s="151"/>
      <c r="AL39" s="151"/>
      <c r="AM39" s="151"/>
      <c r="AN39" s="151"/>
      <c r="AO39" s="151"/>
      <c r="AP39" s="151"/>
      <c r="AQ39" s="152"/>
      <c r="AR39" s="153"/>
      <c r="AS39" s="153"/>
      <c r="AT39" s="153"/>
      <c r="AU39" s="153"/>
      <c r="AV39" s="153"/>
      <c r="AW39" s="153"/>
      <c r="AX39" s="153"/>
      <c r="AY39" s="153"/>
      <c r="AZ39" s="151"/>
      <c r="BA39" s="154"/>
      <c r="BB39" s="151"/>
      <c r="BC39" s="151"/>
      <c r="BD39" s="155"/>
      <c r="BE39" s="154"/>
      <c r="BF39" s="155"/>
      <c r="BG39" s="155"/>
      <c r="BH39" s="154"/>
      <c r="BI39" s="155"/>
      <c r="BJ39" s="155"/>
      <c r="BK39" s="155"/>
      <c r="BL39" s="102"/>
      <c r="BM39" s="102"/>
      <c r="BN39" s="102"/>
      <c r="BO39" s="155"/>
      <c r="BP39" s="155"/>
      <c r="BQ39" s="154"/>
      <c r="BR39" s="155"/>
      <c r="BS39" s="156"/>
      <c r="BT39" s="155"/>
      <c r="BU39" s="155"/>
      <c r="BV39" s="154"/>
      <c r="BW39" s="155"/>
      <c r="BX39" s="155"/>
      <c r="BY39" s="155"/>
      <c r="BZ39" s="155"/>
      <c r="CA39" s="155"/>
      <c r="CB39" s="155"/>
      <c r="CC39" s="155"/>
      <c r="CD39" s="151"/>
      <c r="CE39" s="154"/>
      <c r="CF39" s="155"/>
      <c r="CG39" s="151"/>
      <c r="CH39" s="155"/>
      <c r="CI39" s="155"/>
      <c r="CJ39" s="154"/>
      <c r="CK39" s="155"/>
      <c r="CL39" s="155"/>
      <c r="CM39" s="155"/>
      <c r="CN39" s="155"/>
      <c r="CO39" s="155"/>
      <c r="CP39" s="155"/>
      <c r="CQ39" s="155"/>
      <c r="CR39" s="151"/>
      <c r="CS39" s="154"/>
      <c r="CT39" s="155"/>
      <c r="CU39" s="155"/>
      <c r="CV39" s="155"/>
      <c r="CW39" s="155"/>
      <c r="CX39" s="155"/>
      <c r="CY39" s="154"/>
      <c r="CZ39" s="102"/>
      <c r="DA39" s="151"/>
      <c r="DB39" s="154"/>
      <c r="DC39" s="155"/>
      <c r="DD39" s="155"/>
      <c r="DE39" s="154"/>
      <c r="DF39" s="155"/>
      <c r="DG39" s="151"/>
      <c r="DH39" s="151"/>
      <c r="DI39" s="102"/>
      <c r="DJ39" s="151"/>
      <c r="DK39" s="154"/>
      <c r="DL39" s="155"/>
      <c r="DM39" s="155"/>
      <c r="DN39" s="155"/>
      <c r="DO39" s="155"/>
      <c r="DP39" s="155"/>
      <c r="DQ39" s="155"/>
      <c r="DR39" s="155"/>
      <c r="DS39" s="155"/>
      <c r="DT39" s="155"/>
      <c r="DU39" s="154"/>
      <c r="DV39" s="151"/>
      <c r="DW39" s="151"/>
      <c r="DX39" s="151"/>
      <c r="DY39" s="155"/>
      <c r="DZ39" s="155"/>
      <c r="EA39" s="150"/>
      <c r="EB39" s="155"/>
      <c r="EC39" s="155"/>
      <c r="ED39" s="87" t="str">
        <f>IFERROR(1/(1/SUMIFS(OVC!$O:$O,OVC!$C:$C,"="&amp;$B39,OVC!$D:$D,$C39)),"")</f>
        <v/>
      </c>
      <c r="EE39" s="14" t="str">
        <f>IFERROR(1/(1/SUMIFS(OVC!$P:$P,OVC!$C:$C,"="&amp;$B39,OVC!$D:$D,$C39)),"")</f>
        <v/>
      </c>
      <c r="EF39" s="14">
        <f>IFERROR(1/(1/SUMIFS(OVC!$Q:$Q,OVC!$C:$C,"="&amp;$B39,OVC!$D:$D,$C39)),"")</f>
        <v>111</v>
      </c>
      <c r="EG39" s="14">
        <f>IFERROR(1/(1/SUMIFS(OVC!$R:$R,OVC!$C:$C,"="&amp;$B39,OVC!$D:$D,$C39)),"")</f>
        <v>437</v>
      </c>
      <c r="EH39" s="9" t="str">
        <f t="shared" si="33"/>
        <v/>
      </c>
      <c r="EI39" s="9" t="str">
        <f t="shared" si="34"/>
        <v/>
      </c>
      <c r="EJ39" s="9">
        <f t="shared" si="35"/>
        <v>111</v>
      </c>
      <c r="EK39" s="9">
        <f t="shared" si="36"/>
        <v>437</v>
      </c>
      <c r="EL39" s="90" t="str">
        <f t="shared" si="37"/>
        <v/>
      </c>
      <c r="EM39" s="90" t="str">
        <f t="shared" si="38"/>
        <v/>
      </c>
      <c r="EN39" s="90">
        <f t="shared" si="39"/>
        <v>0</v>
      </c>
      <c r="EO39" s="90">
        <f t="shared" si="40"/>
        <v>0</v>
      </c>
      <c r="EP39" s="94">
        <f t="shared" si="41"/>
        <v>1</v>
      </c>
      <c r="EQ39" s="9">
        <f t="shared" si="42"/>
        <v>548</v>
      </c>
      <c r="ER39" s="154"/>
      <c r="ES39" s="155"/>
      <c r="ET39" s="102"/>
      <c r="EU39" s="102"/>
      <c r="EV39" s="151"/>
      <c r="EW39" s="151"/>
      <c r="EX39" s="154"/>
      <c r="EY39" s="102"/>
      <c r="EZ39" s="151"/>
      <c r="FA39" s="154"/>
      <c r="FB39" s="102"/>
      <c r="FC39" s="156"/>
    </row>
    <row r="40" spans="1:159" x14ac:dyDescent="0.2">
      <c r="A40" t="s">
        <v>808</v>
      </c>
      <c r="B40" s="13" t="s">
        <v>809</v>
      </c>
      <c r="C40" t="s">
        <v>29</v>
      </c>
      <c r="E40" s="155"/>
      <c r="F40" s="155"/>
      <c r="G40" s="155"/>
      <c r="H40" s="155"/>
      <c r="I40" s="155"/>
      <c r="J40" s="155"/>
      <c r="K40" s="155"/>
      <c r="L40" s="155"/>
      <c r="M40" s="154"/>
      <c r="N40" s="155"/>
      <c r="O40" s="155"/>
      <c r="P40" s="155"/>
      <c r="Q40" s="155"/>
      <c r="R40" s="154"/>
      <c r="S40" s="155"/>
      <c r="T40" s="155"/>
      <c r="U40" s="154"/>
      <c r="V40" s="155"/>
      <c r="W40" s="155"/>
      <c r="X40" s="155"/>
      <c r="Y40" s="155"/>
      <c r="Z40" s="154"/>
      <c r="AA40" s="155"/>
      <c r="AB40" s="155"/>
      <c r="AC40" s="155"/>
      <c r="AD40" s="154"/>
      <c r="AE40" s="155"/>
      <c r="AF40" s="154"/>
      <c r="AG40" s="155"/>
      <c r="AH40" s="150"/>
      <c r="AI40" s="151"/>
      <c r="AJ40" s="151"/>
      <c r="AK40" s="151"/>
      <c r="AL40" s="151"/>
      <c r="AM40" s="151"/>
      <c r="AN40" s="151"/>
      <c r="AO40" s="151"/>
      <c r="AP40" s="151"/>
      <c r="AQ40" s="152"/>
      <c r="AR40" s="153"/>
      <c r="AS40" s="153"/>
      <c r="AT40" s="153"/>
      <c r="AU40" s="153"/>
      <c r="AV40" s="153"/>
      <c r="AW40" s="153"/>
      <c r="AX40" s="153"/>
      <c r="AY40" s="153"/>
      <c r="AZ40" s="151"/>
      <c r="BA40" s="154"/>
      <c r="BB40" s="151"/>
      <c r="BC40" s="151"/>
      <c r="BD40" s="155"/>
      <c r="BE40" s="154"/>
      <c r="BF40" s="155"/>
      <c r="BG40" s="155"/>
      <c r="BH40" s="154"/>
      <c r="BI40" s="155"/>
      <c r="BJ40" s="155"/>
      <c r="BK40" s="155"/>
      <c r="BL40" s="102"/>
      <c r="BM40" s="102"/>
      <c r="BN40" s="102"/>
      <c r="BO40" s="155"/>
      <c r="BP40" s="155"/>
      <c r="BQ40" s="154"/>
      <c r="BR40" s="155"/>
      <c r="BS40" s="156"/>
      <c r="BT40" s="155"/>
      <c r="BU40" s="155"/>
      <c r="BV40" s="154"/>
      <c r="BW40" s="155"/>
      <c r="BX40" s="155"/>
      <c r="BY40" s="155"/>
      <c r="BZ40" s="155"/>
      <c r="CA40" s="155"/>
      <c r="CB40" s="155"/>
      <c r="CC40" s="155"/>
      <c r="CD40" s="151"/>
      <c r="CE40" s="154"/>
      <c r="CF40" s="155"/>
      <c r="CG40" s="151"/>
      <c r="CH40" s="155"/>
      <c r="CI40" s="155"/>
      <c r="CJ40" s="154"/>
      <c r="CK40" s="155"/>
      <c r="CL40" s="155"/>
      <c r="CM40" s="155"/>
      <c r="CN40" s="155"/>
      <c r="CO40" s="155"/>
      <c r="CP40" s="155"/>
      <c r="CQ40" s="155"/>
      <c r="CR40" s="151"/>
      <c r="CS40" s="154"/>
      <c r="CT40" s="155"/>
      <c r="CU40" s="155"/>
      <c r="CV40" s="155"/>
      <c r="CW40" s="155"/>
      <c r="CX40" s="155"/>
      <c r="CY40" s="154"/>
      <c r="CZ40" s="102"/>
      <c r="DA40" s="151"/>
      <c r="DB40" s="154"/>
      <c r="DC40" s="155"/>
      <c r="DD40" s="155"/>
      <c r="DE40" s="154"/>
      <c r="DF40" s="155"/>
      <c r="DG40" s="151"/>
      <c r="DH40" s="151"/>
      <c r="DI40" s="102"/>
      <c r="DJ40" s="151"/>
      <c r="DK40" s="154"/>
      <c r="DL40" s="155"/>
      <c r="DM40" s="155"/>
      <c r="DN40" s="155"/>
      <c r="DO40" s="155"/>
      <c r="DP40" s="155"/>
      <c r="DQ40" s="155"/>
      <c r="DR40" s="155"/>
      <c r="DS40" s="155"/>
      <c r="DT40" s="155"/>
      <c r="DU40" s="154"/>
      <c r="DV40" s="151"/>
      <c r="DW40" s="151"/>
      <c r="DX40" s="151"/>
      <c r="DY40" s="155"/>
      <c r="DZ40" s="155"/>
      <c r="EA40" s="150"/>
      <c r="EB40" s="155"/>
      <c r="EC40" s="155"/>
      <c r="ED40" s="87" t="str">
        <f>IFERROR(1/(1/SUMIFS(OVC!$O:$O,OVC!$C:$C,"="&amp;$B40,OVC!$D:$D,$C40)),"")</f>
        <v/>
      </c>
      <c r="EE40" s="14" t="str">
        <f>IFERROR(1/(1/SUMIFS(OVC!$P:$P,OVC!$C:$C,"="&amp;$B40,OVC!$D:$D,$C40)),"")</f>
        <v/>
      </c>
      <c r="EF40" s="14">
        <f>IFERROR(1/(1/SUMIFS(OVC!$Q:$Q,OVC!$C:$C,"="&amp;$B40,OVC!$D:$D,$C40)),"")</f>
        <v>370</v>
      </c>
      <c r="EG40" s="14">
        <f>IFERROR(1/(1/SUMIFS(OVC!$R:$R,OVC!$C:$C,"="&amp;$B40,OVC!$D:$D,$C40)),"")</f>
        <v>1475</v>
      </c>
      <c r="EH40" s="9" t="str">
        <f t="shared" si="33"/>
        <v/>
      </c>
      <c r="EI40" s="9" t="str">
        <f t="shared" si="34"/>
        <v/>
      </c>
      <c r="EJ40" s="9">
        <f t="shared" si="35"/>
        <v>370</v>
      </c>
      <c r="EK40" s="9">
        <f t="shared" si="36"/>
        <v>1475</v>
      </c>
      <c r="EL40" s="90" t="str">
        <f t="shared" si="37"/>
        <v/>
      </c>
      <c r="EM40" s="90" t="str">
        <f t="shared" si="38"/>
        <v/>
      </c>
      <c r="EN40" s="90">
        <f t="shared" si="39"/>
        <v>0</v>
      </c>
      <c r="EO40" s="90">
        <f t="shared" si="40"/>
        <v>0</v>
      </c>
      <c r="EP40" s="94">
        <f t="shared" si="41"/>
        <v>1</v>
      </c>
      <c r="EQ40" s="9">
        <f t="shared" si="42"/>
        <v>1845</v>
      </c>
      <c r="ER40" s="154"/>
      <c r="ES40" s="155"/>
      <c r="ET40" s="102"/>
      <c r="EU40" s="102"/>
      <c r="EV40" s="151"/>
      <c r="EW40" s="151"/>
      <c r="EX40" s="154"/>
      <c r="EY40" s="102"/>
      <c r="EZ40" s="151"/>
      <c r="FA40" s="154"/>
      <c r="FB40" s="102"/>
      <c r="FC40" s="156"/>
    </row>
    <row r="41" spans="1:159" x14ac:dyDescent="0.2">
      <c r="A41" t="s">
        <v>808</v>
      </c>
      <c r="B41" s="13" t="s">
        <v>809</v>
      </c>
      <c r="C41" t="s">
        <v>47</v>
      </c>
      <c r="E41" s="155"/>
      <c r="F41" s="155"/>
      <c r="G41" s="155"/>
      <c r="H41" s="155"/>
      <c r="I41" s="155"/>
      <c r="J41" s="155"/>
      <c r="K41" s="155"/>
      <c r="L41" s="155"/>
      <c r="M41" s="154"/>
      <c r="N41" s="155"/>
      <c r="O41" s="155"/>
      <c r="P41" s="155"/>
      <c r="Q41" s="155"/>
      <c r="R41" s="154"/>
      <c r="S41" s="155"/>
      <c r="T41" s="155"/>
      <c r="U41" s="154"/>
      <c r="V41" s="155"/>
      <c r="W41" s="155"/>
      <c r="X41" s="155"/>
      <c r="Y41" s="155"/>
      <c r="Z41" s="154"/>
      <c r="AA41" s="155"/>
      <c r="AB41" s="155"/>
      <c r="AC41" s="155"/>
      <c r="AD41" s="154"/>
      <c r="AE41" s="155"/>
      <c r="AF41" s="154"/>
      <c r="AG41" s="155"/>
      <c r="AH41" s="150"/>
      <c r="AI41" s="151"/>
      <c r="AJ41" s="151"/>
      <c r="AK41" s="151"/>
      <c r="AL41" s="151"/>
      <c r="AM41" s="151"/>
      <c r="AN41" s="151"/>
      <c r="AO41" s="151"/>
      <c r="AP41" s="151"/>
      <c r="AQ41" s="152"/>
      <c r="AR41" s="153"/>
      <c r="AS41" s="153"/>
      <c r="AT41" s="153"/>
      <c r="AU41" s="153"/>
      <c r="AV41" s="153"/>
      <c r="AW41" s="153"/>
      <c r="AX41" s="153"/>
      <c r="AY41" s="153"/>
      <c r="AZ41" s="151"/>
      <c r="BA41" s="154"/>
      <c r="BB41" s="151"/>
      <c r="BC41" s="151"/>
      <c r="BD41" s="155"/>
      <c r="BE41" s="154"/>
      <c r="BF41" s="155"/>
      <c r="BG41" s="155"/>
      <c r="BH41" s="154"/>
      <c r="BI41" s="155"/>
      <c r="BJ41" s="155"/>
      <c r="BK41" s="155"/>
      <c r="BL41" s="102"/>
      <c r="BM41" s="102"/>
      <c r="BN41" s="102"/>
      <c r="BO41" s="155"/>
      <c r="BP41" s="155"/>
      <c r="BQ41" s="154"/>
      <c r="BR41" s="155"/>
      <c r="BS41" s="156"/>
      <c r="BT41" s="155"/>
      <c r="BU41" s="155"/>
      <c r="BV41" s="154"/>
      <c r="BW41" s="155"/>
      <c r="BX41" s="155"/>
      <c r="BY41" s="155"/>
      <c r="BZ41" s="155"/>
      <c r="CA41" s="155"/>
      <c r="CB41" s="155"/>
      <c r="CC41" s="155"/>
      <c r="CD41" s="151"/>
      <c r="CE41" s="154"/>
      <c r="CF41" s="155"/>
      <c r="CG41" s="151"/>
      <c r="CH41" s="155"/>
      <c r="CI41" s="155"/>
      <c r="CJ41" s="154"/>
      <c r="CK41" s="155"/>
      <c r="CL41" s="155"/>
      <c r="CM41" s="155"/>
      <c r="CN41" s="155"/>
      <c r="CO41" s="155"/>
      <c r="CP41" s="155"/>
      <c r="CQ41" s="155"/>
      <c r="CR41" s="151"/>
      <c r="CS41" s="154"/>
      <c r="CT41" s="155"/>
      <c r="CU41" s="155"/>
      <c r="CV41" s="155"/>
      <c r="CW41" s="155"/>
      <c r="CX41" s="155"/>
      <c r="CY41" s="154"/>
      <c r="CZ41" s="102"/>
      <c r="DA41" s="151"/>
      <c r="DB41" s="154"/>
      <c r="DC41" s="155"/>
      <c r="DD41" s="155"/>
      <c r="DE41" s="154"/>
      <c r="DF41" s="155"/>
      <c r="DG41" s="151"/>
      <c r="DH41" s="151"/>
      <c r="DI41" s="102"/>
      <c r="DJ41" s="151"/>
      <c r="DK41" s="154"/>
      <c r="DL41" s="155"/>
      <c r="DM41" s="155"/>
      <c r="DN41" s="155"/>
      <c r="DO41" s="155"/>
      <c r="DP41" s="155"/>
      <c r="DQ41" s="155"/>
      <c r="DR41" s="155"/>
      <c r="DS41" s="155"/>
      <c r="DT41" s="155"/>
      <c r="DU41" s="154"/>
      <c r="DV41" s="151"/>
      <c r="DW41" s="151"/>
      <c r="DX41" s="151"/>
      <c r="DY41" s="155"/>
      <c r="DZ41" s="155"/>
      <c r="EA41" s="150"/>
      <c r="EB41" s="155"/>
      <c r="EC41" s="155"/>
      <c r="ED41" s="87" t="str">
        <f>IFERROR(1/(1/SUMIFS(OVC!$O:$O,OVC!$C:$C,"="&amp;$B41,OVC!$D:$D,$C41)),"")</f>
        <v/>
      </c>
      <c r="EE41" s="14" t="str">
        <f>IFERROR(1/(1/SUMIFS(OVC!$P:$P,OVC!$C:$C,"="&amp;$B41,OVC!$D:$D,$C41)),"")</f>
        <v/>
      </c>
      <c r="EF41" s="14">
        <f>IFERROR(1/(1/SUMIFS(OVC!$Q:$Q,OVC!$C:$C,"="&amp;$B41,OVC!$D:$D,$C41)),"")</f>
        <v>353</v>
      </c>
      <c r="EG41" s="14">
        <f>IFERROR(1/(1/SUMIFS(OVC!$R:$R,OVC!$C:$C,"="&amp;$B41,OVC!$D:$D,$C41)),"")</f>
        <v>1412</v>
      </c>
      <c r="EH41" s="9" t="str">
        <f t="shared" si="33"/>
        <v/>
      </c>
      <c r="EI41" s="9" t="str">
        <f t="shared" si="34"/>
        <v/>
      </c>
      <c r="EJ41" s="9">
        <f t="shared" si="35"/>
        <v>353</v>
      </c>
      <c r="EK41" s="9">
        <f t="shared" si="36"/>
        <v>1412</v>
      </c>
      <c r="EL41" s="90" t="str">
        <f t="shared" si="37"/>
        <v/>
      </c>
      <c r="EM41" s="90" t="str">
        <f t="shared" si="38"/>
        <v/>
      </c>
      <c r="EN41" s="90">
        <f t="shared" si="39"/>
        <v>0</v>
      </c>
      <c r="EO41" s="90">
        <f t="shared" si="40"/>
        <v>0</v>
      </c>
      <c r="EP41" s="94">
        <f t="shared" si="41"/>
        <v>1</v>
      </c>
      <c r="EQ41" s="9">
        <f t="shared" si="42"/>
        <v>1765</v>
      </c>
      <c r="ER41" s="154"/>
      <c r="ES41" s="155"/>
      <c r="ET41" s="102"/>
      <c r="EU41" s="102"/>
      <c r="EV41" s="151"/>
      <c r="EW41" s="151"/>
      <c r="EX41" s="154"/>
      <c r="EY41" s="102"/>
      <c r="EZ41" s="151"/>
      <c r="FA41" s="154"/>
      <c r="FB41" s="102"/>
      <c r="FC41" s="156"/>
    </row>
    <row r="42" spans="1:159" x14ac:dyDescent="0.2">
      <c r="A42" t="s">
        <v>808</v>
      </c>
      <c r="B42" s="13" t="s">
        <v>810</v>
      </c>
      <c r="C42" t="s">
        <v>29</v>
      </c>
      <c r="E42" s="155"/>
      <c r="F42" s="155"/>
      <c r="G42" s="155"/>
      <c r="H42" s="155"/>
      <c r="I42" s="155"/>
      <c r="J42" s="155"/>
      <c r="K42" s="155"/>
      <c r="L42" s="155"/>
      <c r="M42" s="154"/>
      <c r="N42" s="155"/>
      <c r="O42" s="155"/>
      <c r="P42" s="155"/>
      <c r="Q42" s="155"/>
      <c r="R42" s="154"/>
      <c r="S42" s="155"/>
      <c r="T42" s="155"/>
      <c r="U42" s="154"/>
      <c r="V42" s="155"/>
      <c r="W42" s="155"/>
      <c r="X42" s="155"/>
      <c r="Y42" s="155"/>
      <c r="Z42" s="154"/>
      <c r="AA42" s="155"/>
      <c r="AB42" s="155"/>
      <c r="AC42" s="155"/>
      <c r="AD42" s="154"/>
      <c r="AE42" s="155"/>
      <c r="AF42" s="154"/>
      <c r="AG42" s="155"/>
      <c r="AH42" s="150"/>
      <c r="AI42" s="151"/>
      <c r="AJ42" s="151"/>
      <c r="AK42" s="151"/>
      <c r="AL42" s="151"/>
      <c r="AM42" s="151"/>
      <c r="AN42" s="151"/>
      <c r="AO42" s="151"/>
      <c r="AP42" s="151"/>
      <c r="AQ42" s="152"/>
      <c r="AR42" s="153"/>
      <c r="AS42" s="153"/>
      <c r="AT42" s="153"/>
      <c r="AU42" s="153"/>
      <c r="AV42" s="153"/>
      <c r="AW42" s="153"/>
      <c r="AX42" s="153"/>
      <c r="AY42" s="153"/>
      <c r="AZ42" s="151"/>
      <c r="BA42" s="154"/>
      <c r="BB42" s="151"/>
      <c r="BC42" s="151"/>
      <c r="BD42" s="155"/>
      <c r="BE42" s="154"/>
      <c r="BF42" s="155"/>
      <c r="BG42" s="155"/>
      <c r="BH42" s="154"/>
      <c r="BI42" s="155"/>
      <c r="BJ42" s="155"/>
      <c r="BK42" s="155"/>
      <c r="BL42" s="102"/>
      <c r="BM42" s="102"/>
      <c r="BN42" s="102"/>
      <c r="BO42" s="155"/>
      <c r="BP42" s="155"/>
      <c r="BQ42" s="154"/>
      <c r="BR42" s="155"/>
      <c r="BS42" s="156"/>
      <c r="BT42" s="155"/>
      <c r="BU42" s="155"/>
      <c r="BV42" s="154"/>
      <c r="BW42" s="155"/>
      <c r="BX42" s="155"/>
      <c r="BY42" s="155"/>
      <c r="BZ42" s="155"/>
      <c r="CA42" s="155"/>
      <c r="CB42" s="155"/>
      <c r="CC42" s="155"/>
      <c r="CD42" s="151"/>
      <c r="CE42" s="154"/>
      <c r="CF42" s="155"/>
      <c r="CG42" s="151"/>
      <c r="CH42" s="155"/>
      <c r="CI42" s="155"/>
      <c r="CJ42" s="154"/>
      <c r="CK42" s="155"/>
      <c r="CL42" s="155"/>
      <c r="CM42" s="155"/>
      <c r="CN42" s="155"/>
      <c r="CO42" s="155"/>
      <c r="CP42" s="155"/>
      <c r="CQ42" s="155"/>
      <c r="CR42" s="151"/>
      <c r="CS42" s="154"/>
      <c r="CT42" s="155"/>
      <c r="CU42" s="155"/>
      <c r="CV42" s="155"/>
      <c r="CW42" s="155"/>
      <c r="CX42" s="155"/>
      <c r="CY42" s="154"/>
      <c r="CZ42" s="102"/>
      <c r="DA42" s="151"/>
      <c r="DB42" s="154"/>
      <c r="DC42" s="155"/>
      <c r="DD42" s="155"/>
      <c r="DE42" s="154"/>
      <c r="DF42" s="155"/>
      <c r="DG42" s="151"/>
      <c r="DH42" s="151"/>
      <c r="DI42" s="102"/>
      <c r="DJ42" s="151"/>
      <c r="DK42" s="154"/>
      <c r="DL42" s="155"/>
      <c r="DM42" s="155"/>
      <c r="DN42" s="155"/>
      <c r="DO42" s="155"/>
      <c r="DP42" s="155"/>
      <c r="DQ42" s="155"/>
      <c r="DR42" s="155"/>
      <c r="DS42" s="155"/>
      <c r="DT42" s="155"/>
      <c r="DU42" s="154"/>
      <c r="DV42" s="151"/>
      <c r="DW42" s="151"/>
      <c r="DX42" s="151"/>
      <c r="DY42" s="155"/>
      <c r="DZ42" s="155"/>
      <c r="EA42" s="150"/>
      <c r="EB42" s="155"/>
      <c r="EC42" s="155"/>
      <c r="ED42" s="87" t="str">
        <f>IFERROR(1/(1/SUMIFS(OVC!$O:$O,OVC!$C:$C,"="&amp;$B42,OVC!$D:$D,$C42)),"")</f>
        <v/>
      </c>
      <c r="EE42" s="14" t="str">
        <f>IFERROR(1/(1/SUMIFS(OVC!$P:$P,OVC!$C:$C,"="&amp;$B42,OVC!$D:$D,$C42)),"")</f>
        <v/>
      </c>
      <c r="EF42" s="14">
        <f>IFERROR(1/(1/SUMIFS(OVC!$Q:$Q,OVC!$C:$C,"="&amp;$B42,OVC!$D:$D,$C42)),"")</f>
        <v>594</v>
      </c>
      <c r="EG42" s="14">
        <f>IFERROR(1/(1/SUMIFS(OVC!$R:$R,OVC!$C:$C,"="&amp;$B42,OVC!$D:$D,$C42)),"")</f>
        <v>2382</v>
      </c>
      <c r="EH42" s="9" t="str">
        <f t="shared" si="33"/>
        <v/>
      </c>
      <c r="EI42" s="9" t="str">
        <f t="shared" si="34"/>
        <v/>
      </c>
      <c r="EJ42" s="9">
        <f t="shared" si="35"/>
        <v>594</v>
      </c>
      <c r="EK42" s="9">
        <f t="shared" si="36"/>
        <v>2382</v>
      </c>
      <c r="EL42" s="90" t="str">
        <f t="shared" si="37"/>
        <v/>
      </c>
      <c r="EM42" s="90" t="str">
        <f t="shared" si="38"/>
        <v/>
      </c>
      <c r="EN42" s="90">
        <f t="shared" si="39"/>
        <v>0</v>
      </c>
      <c r="EO42" s="90">
        <f t="shared" si="40"/>
        <v>0</v>
      </c>
      <c r="EP42" s="94">
        <f t="shared" si="41"/>
        <v>1</v>
      </c>
      <c r="EQ42" s="9">
        <f t="shared" si="42"/>
        <v>2976</v>
      </c>
      <c r="ER42" s="154"/>
      <c r="ES42" s="155"/>
      <c r="ET42" s="102"/>
      <c r="EU42" s="102"/>
      <c r="EV42" s="151"/>
      <c r="EW42" s="151"/>
      <c r="EX42" s="154"/>
      <c r="EY42" s="102"/>
      <c r="EZ42" s="151"/>
      <c r="FA42" s="154"/>
      <c r="FB42" s="102"/>
      <c r="FC42" s="156"/>
    </row>
    <row r="43" spans="1:159" x14ac:dyDescent="0.2">
      <c r="A43" t="s">
        <v>808</v>
      </c>
      <c r="B43" s="13" t="s">
        <v>810</v>
      </c>
      <c r="C43" t="s">
        <v>47</v>
      </c>
      <c r="E43" s="155"/>
      <c r="F43" s="155"/>
      <c r="G43" s="155"/>
      <c r="H43" s="155"/>
      <c r="I43" s="155"/>
      <c r="J43" s="155"/>
      <c r="K43" s="155"/>
      <c r="L43" s="155"/>
      <c r="M43" s="154"/>
      <c r="N43" s="155"/>
      <c r="O43" s="155"/>
      <c r="P43" s="155"/>
      <c r="Q43" s="155"/>
      <c r="R43" s="154"/>
      <c r="S43" s="155"/>
      <c r="T43" s="155"/>
      <c r="U43" s="154"/>
      <c r="V43" s="155"/>
      <c r="W43" s="155"/>
      <c r="X43" s="155"/>
      <c r="Y43" s="155"/>
      <c r="Z43" s="154"/>
      <c r="AA43" s="155"/>
      <c r="AB43" s="155"/>
      <c r="AC43" s="155"/>
      <c r="AD43" s="154"/>
      <c r="AE43" s="155"/>
      <c r="AF43" s="154"/>
      <c r="AG43" s="155"/>
      <c r="AH43" s="150"/>
      <c r="AI43" s="151"/>
      <c r="AJ43" s="151"/>
      <c r="AK43" s="151"/>
      <c r="AL43" s="151"/>
      <c r="AM43" s="151"/>
      <c r="AN43" s="151"/>
      <c r="AO43" s="151"/>
      <c r="AP43" s="151"/>
      <c r="AQ43" s="152"/>
      <c r="AR43" s="153"/>
      <c r="AS43" s="153"/>
      <c r="AT43" s="153"/>
      <c r="AU43" s="153"/>
      <c r="AV43" s="153"/>
      <c r="AW43" s="153"/>
      <c r="AX43" s="153"/>
      <c r="AY43" s="153"/>
      <c r="AZ43" s="151"/>
      <c r="BA43" s="154"/>
      <c r="BB43" s="151"/>
      <c r="BC43" s="151"/>
      <c r="BD43" s="155"/>
      <c r="BE43" s="154"/>
      <c r="BF43" s="155"/>
      <c r="BG43" s="155"/>
      <c r="BH43" s="154"/>
      <c r="BI43" s="155"/>
      <c r="BJ43" s="155"/>
      <c r="BK43" s="155"/>
      <c r="BL43" s="102"/>
      <c r="BM43" s="102"/>
      <c r="BN43" s="102"/>
      <c r="BO43" s="155"/>
      <c r="BP43" s="155"/>
      <c r="BQ43" s="154"/>
      <c r="BR43" s="155"/>
      <c r="BS43" s="156"/>
      <c r="BT43" s="155"/>
      <c r="BU43" s="155"/>
      <c r="BV43" s="154"/>
      <c r="BW43" s="155"/>
      <c r="BX43" s="155"/>
      <c r="BY43" s="155"/>
      <c r="BZ43" s="155"/>
      <c r="CA43" s="155"/>
      <c r="CB43" s="155"/>
      <c r="CC43" s="155"/>
      <c r="CD43" s="151"/>
      <c r="CE43" s="154"/>
      <c r="CF43" s="155"/>
      <c r="CG43" s="151"/>
      <c r="CH43" s="155"/>
      <c r="CI43" s="155"/>
      <c r="CJ43" s="154"/>
      <c r="CK43" s="155"/>
      <c r="CL43" s="155"/>
      <c r="CM43" s="155"/>
      <c r="CN43" s="155"/>
      <c r="CO43" s="155"/>
      <c r="CP43" s="155"/>
      <c r="CQ43" s="155"/>
      <c r="CR43" s="151"/>
      <c r="CS43" s="154"/>
      <c r="CT43" s="155"/>
      <c r="CU43" s="155"/>
      <c r="CV43" s="155"/>
      <c r="CW43" s="155"/>
      <c r="CX43" s="155"/>
      <c r="CY43" s="154"/>
      <c r="CZ43" s="102"/>
      <c r="DA43" s="151"/>
      <c r="DB43" s="154"/>
      <c r="DC43" s="155"/>
      <c r="DD43" s="155"/>
      <c r="DE43" s="154"/>
      <c r="DF43" s="155"/>
      <c r="DG43" s="151"/>
      <c r="DH43" s="151"/>
      <c r="DI43" s="102"/>
      <c r="DJ43" s="151"/>
      <c r="DK43" s="154"/>
      <c r="DL43" s="155"/>
      <c r="DM43" s="155"/>
      <c r="DN43" s="155"/>
      <c r="DO43" s="155"/>
      <c r="DP43" s="155"/>
      <c r="DQ43" s="155"/>
      <c r="DR43" s="155"/>
      <c r="DS43" s="155"/>
      <c r="DT43" s="155"/>
      <c r="DU43" s="154"/>
      <c r="DV43" s="151"/>
      <c r="DW43" s="151"/>
      <c r="DX43" s="151"/>
      <c r="DY43" s="155"/>
      <c r="DZ43" s="155"/>
      <c r="EA43" s="150"/>
      <c r="EB43" s="155"/>
      <c r="EC43" s="155"/>
      <c r="ED43" s="87" t="str">
        <f>IFERROR(1/(1/SUMIFS(OVC!$O:$O,OVC!$C:$C,"="&amp;$B43,OVC!$D:$D,$C43)),"")</f>
        <v/>
      </c>
      <c r="EE43" s="14" t="str">
        <f>IFERROR(1/(1/SUMIFS(OVC!$P:$P,OVC!$C:$C,"="&amp;$B43,OVC!$D:$D,$C43)),"")</f>
        <v/>
      </c>
      <c r="EF43" s="14">
        <f>IFERROR(1/(1/SUMIFS(OVC!$Q:$Q,OVC!$C:$C,"="&amp;$B43,OVC!$D:$D,$C43)),"")</f>
        <v>387</v>
      </c>
      <c r="EG43" s="14">
        <f>IFERROR(1/(1/SUMIFS(OVC!$R:$R,OVC!$C:$C,"="&amp;$B43,OVC!$D:$D,$C43)),"")</f>
        <v>1549</v>
      </c>
      <c r="EH43" s="9" t="str">
        <f t="shared" si="33"/>
        <v/>
      </c>
      <c r="EI43" s="9" t="str">
        <f t="shared" si="34"/>
        <v/>
      </c>
      <c r="EJ43" s="9">
        <f t="shared" si="35"/>
        <v>387</v>
      </c>
      <c r="EK43" s="9">
        <f t="shared" si="36"/>
        <v>1549</v>
      </c>
      <c r="EL43" s="90" t="str">
        <f t="shared" si="37"/>
        <v/>
      </c>
      <c r="EM43" s="90" t="str">
        <f t="shared" si="38"/>
        <v/>
      </c>
      <c r="EN43" s="90">
        <f t="shared" si="39"/>
        <v>0</v>
      </c>
      <c r="EO43" s="90">
        <f t="shared" si="40"/>
        <v>0</v>
      </c>
      <c r="EP43" s="94">
        <f t="shared" si="41"/>
        <v>1</v>
      </c>
      <c r="EQ43" s="9">
        <f t="shared" si="42"/>
        <v>1936</v>
      </c>
      <c r="ER43" s="154"/>
      <c r="ES43" s="155"/>
      <c r="ET43" s="102"/>
      <c r="EU43" s="102"/>
      <c r="EV43" s="151"/>
      <c r="EW43" s="151"/>
      <c r="EX43" s="154"/>
      <c r="EY43" s="102"/>
      <c r="EZ43" s="151"/>
      <c r="FA43" s="154"/>
      <c r="FB43" s="102"/>
      <c r="FC43" s="156"/>
    </row>
    <row r="44" spans="1:159" x14ac:dyDescent="0.2">
      <c r="A44" t="s">
        <v>808</v>
      </c>
      <c r="B44" s="13" t="s">
        <v>363</v>
      </c>
      <c r="C44" t="s">
        <v>29</v>
      </c>
      <c r="E44" s="155"/>
      <c r="F44" s="155"/>
      <c r="G44" s="155"/>
      <c r="H44" s="155"/>
      <c r="I44" s="155"/>
      <c r="J44" s="155"/>
      <c r="K44" s="155"/>
      <c r="L44" s="155"/>
      <c r="M44" s="154"/>
      <c r="N44" s="155"/>
      <c r="O44" s="155"/>
      <c r="P44" s="155"/>
      <c r="Q44" s="155"/>
      <c r="R44" s="154"/>
      <c r="S44" s="155"/>
      <c r="T44" s="155"/>
      <c r="U44" s="154"/>
      <c r="V44" s="155"/>
      <c r="W44" s="155"/>
      <c r="X44" s="155"/>
      <c r="Y44" s="155"/>
      <c r="Z44" s="154"/>
      <c r="AA44" s="155"/>
      <c r="AB44" s="155"/>
      <c r="AC44" s="155"/>
      <c r="AD44" s="154"/>
      <c r="AE44" s="155"/>
      <c r="AF44" s="154"/>
      <c r="AG44" s="155"/>
      <c r="AH44" s="150"/>
      <c r="AI44" s="151"/>
      <c r="AJ44" s="151"/>
      <c r="AK44" s="151"/>
      <c r="AL44" s="151"/>
      <c r="AM44" s="151"/>
      <c r="AN44" s="151"/>
      <c r="AO44" s="151"/>
      <c r="AP44" s="151"/>
      <c r="AQ44" s="152"/>
      <c r="AR44" s="153"/>
      <c r="AS44" s="153"/>
      <c r="AT44" s="153"/>
      <c r="AU44" s="153"/>
      <c r="AV44" s="153"/>
      <c r="AW44" s="153"/>
      <c r="AX44" s="153"/>
      <c r="AY44" s="153"/>
      <c r="AZ44" s="151"/>
      <c r="BA44" s="154"/>
      <c r="BB44" s="151"/>
      <c r="BC44" s="151"/>
      <c r="BD44" s="155"/>
      <c r="BE44" s="154"/>
      <c r="BF44" s="155"/>
      <c r="BG44" s="155"/>
      <c r="BH44" s="154"/>
      <c r="BI44" s="155"/>
      <c r="BJ44" s="155"/>
      <c r="BK44" s="155"/>
      <c r="BL44" s="102"/>
      <c r="BM44" s="102"/>
      <c r="BN44" s="102"/>
      <c r="BO44" s="155"/>
      <c r="BP44" s="155"/>
      <c r="BQ44" s="154"/>
      <c r="BR44" s="155"/>
      <c r="BS44" s="156"/>
      <c r="BT44" s="155"/>
      <c r="BU44" s="155"/>
      <c r="BV44" s="154"/>
      <c r="BW44" s="155"/>
      <c r="BX44" s="155"/>
      <c r="BY44" s="155"/>
      <c r="BZ44" s="155"/>
      <c r="CA44" s="155"/>
      <c r="CB44" s="155"/>
      <c r="CC44" s="155"/>
      <c r="CD44" s="151"/>
      <c r="CE44" s="154"/>
      <c r="CF44" s="155"/>
      <c r="CG44" s="151"/>
      <c r="CH44" s="155"/>
      <c r="CI44" s="155"/>
      <c r="CJ44" s="154"/>
      <c r="CK44" s="155"/>
      <c r="CL44" s="155"/>
      <c r="CM44" s="155"/>
      <c r="CN44" s="155"/>
      <c r="CO44" s="155"/>
      <c r="CP44" s="155"/>
      <c r="CQ44" s="155"/>
      <c r="CR44" s="151"/>
      <c r="CS44" s="154"/>
      <c r="CT44" s="155"/>
      <c r="CU44" s="155"/>
      <c r="CV44" s="155"/>
      <c r="CW44" s="155"/>
      <c r="CX44" s="155"/>
      <c r="CY44" s="154"/>
      <c r="CZ44" s="102"/>
      <c r="DA44" s="151"/>
      <c r="DB44" s="154"/>
      <c r="DC44" s="155"/>
      <c r="DD44" s="155"/>
      <c r="DE44" s="154"/>
      <c r="DF44" s="155"/>
      <c r="DG44" s="151"/>
      <c r="DH44" s="151"/>
      <c r="DI44" s="102"/>
      <c r="DJ44" s="151"/>
      <c r="DK44" s="154"/>
      <c r="DL44" s="155"/>
      <c r="DM44" s="155"/>
      <c r="DN44" s="155"/>
      <c r="DO44" s="155"/>
      <c r="DP44" s="155"/>
      <c r="DQ44" s="155"/>
      <c r="DR44" s="155"/>
      <c r="DS44" s="155"/>
      <c r="DT44" s="155"/>
      <c r="DU44" s="154"/>
      <c r="DV44" s="151"/>
      <c r="DW44" s="151"/>
      <c r="DX44" s="151"/>
      <c r="DY44" s="155"/>
      <c r="DZ44" s="155"/>
      <c r="EA44" s="150"/>
      <c r="EB44" s="155"/>
      <c r="EC44" s="155"/>
      <c r="ED44" s="87" t="str">
        <f>IFERROR(1/(1/SUMIFS(OVC!$O:$O,OVC!$C:$C,"="&amp;$B44,OVC!$D:$D,$C44)),"")</f>
        <v/>
      </c>
      <c r="EE44" s="14" t="str">
        <f>IFERROR(1/(1/SUMIFS(OVC!$P:$P,OVC!$C:$C,"="&amp;$B44,OVC!$D:$D,$C44)),"")</f>
        <v/>
      </c>
      <c r="EF44" s="14">
        <f>IFERROR(1/(1/SUMIFS(OVC!$Q:$Q,OVC!$C:$C,"="&amp;$B44,OVC!$D:$D,$C44)),"")</f>
        <v>1160</v>
      </c>
      <c r="EG44" s="14">
        <f>IFERROR(1/(1/SUMIFS(OVC!$R:$R,OVC!$C:$C,"="&amp;$B44,OVC!$D:$D,$C44)),"")</f>
        <v>4628</v>
      </c>
      <c r="EH44" s="9" t="str">
        <f t="shared" si="33"/>
        <v/>
      </c>
      <c r="EI44" s="9" t="str">
        <f t="shared" si="34"/>
        <v/>
      </c>
      <c r="EJ44" s="9">
        <f t="shared" si="35"/>
        <v>1160</v>
      </c>
      <c r="EK44" s="9">
        <f t="shared" si="36"/>
        <v>4628</v>
      </c>
      <c r="EL44" s="90" t="str">
        <f t="shared" si="37"/>
        <v/>
      </c>
      <c r="EM44" s="90" t="str">
        <f t="shared" si="38"/>
        <v/>
      </c>
      <c r="EN44" s="90">
        <f t="shared" si="39"/>
        <v>0</v>
      </c>
      <c r="EO44" s="90">
        <f t="shared" si="40"/>
        <v>0</v>
      </c>
      <c r="EP44" s="94">
        <f t="shared" si="41"/>
        <v>1</v>
      </c>
      <c r="EQ44" s="9">
        <f t="shared" si="42"/>
        <v>5788</v>
      </c>
      <c r="ER44" s="154"/>
      <c r="ES44" s="155"/>
      <c r="ET44" s="102"/>
      <c r="EU44" s="102"/>
      <c r="EV44" s="151"/>
      <c r="EW44" s="151"/>
      <c r="EX44" s="154"/>
      <c r="EY44" s="102"/>
      <c r="EZ44" s="151"/>
      <c r="FA44" s="154"/>
      <c r="FB44" s="102"/>
      <c r="FC44" s="156"/>
    </row>
    <row r="45" spans="1:159" x14ac:dyDescent="0.2">
      <c r="A45" t="s">
        <v>808</v>
      </c>
      <c r="B45" s="13" t="s">
        <v>363</v>
      </c>
      <c r="C45" t="s">
        <v>47</v>
      </c>
      <c r="E45" s="155"/>
      <c r="F45" s="155"/>
      <c r="G45" s="155"/>
      <c r="H45" s="155"/>
      <c r="I45" s="155"/>
      <c r="J45" s="155"/>
      <c r="K45" s="155"/>
      <c r="L45" s="155"/>
      <c r="M45" s="154"/>
      <c r="N45" s="155"/>
      <c r="O45" s="155"/>
      <c r="P45" s="155"/>
      <c r="Q45" s="155"/>
      <c r="R45" s="154"/>
      <c r="S45" s="155"/>
      <c r="T45" s="155"/>
      <c r="U45" s="154"/>
      <c r="V45" s="155"/>
      <c r="W45" s="155"/>
      <c r="X45" s="155"/>
      <c r="Y45" s="155"/>
      <c r="Z45" s="154"/>
      <c r="AA45" s="155"/>
      <c r="AB45" s="155"/>
      <c r="AC45" s="155"/>
      <c r="AD45" s="154"/>
      <c r="AE45" s="155"/>
      <c r="AF45" s="154"/>
      <c r="AG45" s="155"/>
      <c r="AH45" s="150"/>
      <c r="AI45" s="151"/>
      <c r="AJ45" s="151"/>
      <c r="AK45" s="151"/>
      <c r="AL45" s="151"/>
      <c r="AM45" s="151"/>
      <c r="AN45" s="151"/>
      <c r="AO45" s="151"/>
      <c r="AP45" s="151"/>
      <c r="AQ45" s="152"/>
      <c r="AR45" s="153"/>
      <c r="AS45" s="153"/>
      <c r="AT45" s="153"/>
      <c r="AU45" s="153"/>
      <c r="AV45" s="153"/>
      <c r="AW45" s="153"/>
      <c r="AX45" s="153"/>
      <c r="AY45" s="153"/>
      <c r="AZ45" s="151"/>
      <c r="BA45" s="154"/>
      <c r="BB45" s="151"/>
      <c r="BC45" s="151"/>
      <c r="BD45" s="155"/>
      <c r="BE45" s="154"/>
      <c r="BF45" s="155"/>
      <c r="BG45" s="155"/>
      <c r="BH45" s="154"/>
      <c r="BI45" s="155"/>
      <c r="BJ45" s="155"/>
      <c r="BK45" s="155"/>
      <c r="BL45" s="102"/>
      <c r="BM45" s="102"/>
      <c r="BN45" s="102"/>
      <c r="BO45" s="155"/>
      <c r="BP45" s="155"/>
      <c r="BQ45" s="154"/>
      <c r="BR45" s="155"/>
      <c r="BS45" s="156"/>
      <c r="BT45" s="155"/>
      <c r="BU45" s="155"/>
      <c r="BV45" s="154"/>
      <c r="BW45" s="155"/>
      <c r="BX45" s="155"/>
      <c r="BY45" s="155"/>
      <c r="BZ45" s="155"/>
      <c r="CA45" s="155"/>
      <c r="CB45" s="155"/>
      <c r="CC45" s="155"/>
      <c r="CD45" s="151"/>
      <c r="CE45" s="154"/>
      <c r="CF45" s="155"/>
      <c r="CG45" s="151"/>
      <c r="CH45" s="155"/>
      <c r="CI45" s="155"/>
      <c r="CJ45" s="154"/>
      <c r="CK45" s="155"/>
      <c r="CL45" s="155"/>
      <c r="CM45" s="155"/>
      <c r="CN45" s="155"/>
      <c r="CO45" s="155"/>
      <c r="CP45" s="155"/>
      <c r="CQ45" s="155"/>
      <c r="CR45" s="151"/>
      <c r="CS45" s="154"/>
      <c r="CT45" s="155"/>
      <c r="CU45" s="155"/>
      <c r="CV45" s="155"/>
      <c r="CW45" s="155"/>
      <c r="CX45" s="155"/>
      <c r="CY45" s="154"/>
      <c r="CZ45" s="102"/>
      <c r="DA45" s="151"/>
      <c r="DB45" s="154"/>
      <c r="DC45" s="155"/>
      <c r="DD45" s="155"/>
      <c r="DE45" s="154"/>
      <c r="DF45" s="155"/>
      <c r="DG45" s="151"/>
      <c r="DH45" s="151"/>
      <c r="DI45" s="102"/>
      <c r="DJ45" s="151"/>
      <c r="DK45" s="154"/>
      <c r="DL45" s="155"/>
      <c r="DM45" s="155"/>
      <c r="DN45" s="155"/>
      <c r="DO45" s="155"/>
      <c r="DP45" s="155"/>
      <c r="DQ45" s="155"/>
      <c r="DR45" s="155"/>
      <c r="DS45" s="155"/>
      <c r="DT45" s="155"/>
      <c r="DU45" s="154"/>
      <c r="DV45" s="151"/>
      <c r="DW45" s="151"/>
      <c r="DX45" s="151"/>
      <c r="DY45" s="155"/>
      <c r="DZ45" s="155"/>
      <c r="EA45" s="150"/>
      <c r="EB45" s="155"/>
      <c r="EC45" s="155"/>
      <c r="ED45" s="87" t="str">
        <f>IFERROR(1/(1/SUMIFS(OVC!$O:$O,OVC!$C:$C,"="&amp;$B45,OVC!$D:$D,$C45)),"")</f>
        <v/>
      </c>
      <c r="EE45" s="14" t="str">
        <f>IFERROR(1/(1/SUMIFS(OVC!$P:$P,OVC!$C:$C,"="&amp;$B45,OVC!$D:$D,$C45)),"")</f>
        <v/>
      </c>
      <c r="EF45" s="14">
        <f>IFERROR(1/(1/SUMIFS(OVC!$Q:$Q,OVC!$C:$C,"="&amp;$B45,OVC!$D:$D,$C45)),"")</f>
        <v>1028</v>
      </c>
      <c r="EG45" s="14">
        <f>IFERROR(1/(1/SUMIFS(OVC!$R:$R,OVC!$C:$C,"="&amp;$B45,OVC!$D:$D,$C45)),"")</f>
        <v>4101</v>
      </c>
      <c r="EH45" s="9" t="str">
        <f t="shared" si="33"/>
        <v/>
      </c>
      <c r="EI45" s="9" t="str">
        <f t="shared" si="34"/>
        <v/>
      </c>
      <c r="EJ45" s="9">
        <f t="shared" si="35"/>
        <v>1028</v>
      </c>
      <c r="EK45" s="9">
        <f t="shared" si="36"/>
        <v>4101</v>
      </c>
      <c r="EL45" s="90" t="str">
        <f t="shared" si="37"/>
        <v/>
      </c>
      <c r="EM45" s="90" t="str">
        <f t="shared" si="38"/>
        <v/>
      </c>
      <c r="EN45" s="90">
        <f t="shared" si="39"/>
        <v>0</v>
      </c>
      <c r="EO45" s="90">
        <f t="shared" si="40"/>
        <v>0</v>
      </c>
      <c r="EP45" s="94">
        <f t="shared" si="41"/>
        <v>1</v>
      </c>
      <c r="EQ45" s="9">
        <f t="shared" si="42"/>
        <v>5129</v>
      </c>
      <c r="ER45" s="154"/>
      <c r="ES45" s="155"/>
      <c r="ET45" s="102"/>
      <c r="EU45" s="102"/>
      <c r="EV45" s="151"/>
      <c r="EW45" s="151"/>
      <c r="EX45" s="154"/>
      <c r="EY45" s="102"/>
      <c r="EZ45" s="151"/>
      <c r="FA45" s="154"/>
      <c r="FB45" s="102"/>
      <c r="FC45" s="156"/>
    </row>
    <row r="46" spans="1:159" x14ac:dyDescent="0.2">
      <c r="A46" t="s">
        <v>808</v>
      </c>
      <c r="B46" s="13" t="s">
        <v>811</v>
      </c>
      <c r="C46" t="s">
        <v>29</v>
      </c>
      <c r="E46" s="155"/>
      <c r="F46" s="155"/>
      <c r="G46" s="155"/>
      <c r="H46" s="155"/>
      <c r="I46" s="155"/>
      <c r="J46" s="155"/>
      <c r="K46" s="155"/>
      <c r="L46" s="155"/>
      <c r="M46" s="154"/>
      <c r="N46" s="155"/>
      <c r="O46" s="155"/>
      <c r="P46" s="155"/>
      <c r="Q46" s="155"/>
      <c r="R46" s="154"/>
      <c r="S46" s="155"/>
      <c r="T46" s="155"/>
      <c r="U46" s="154"/>
      <c r="V46" s="155"/>
      <c r="W46" s="155"/>
      <c r="X46" s="155"/>
      <c r="Y46" s="155"/>
      <c r="Z46" s="154"/>
      <c r="AA46" s="155"/>
      <c r="AB46" s="155"/>
      <c r="AC46" s="155"/>
      <c r="AD46" s="154"/>
      <c r="AE46" s="155"/>
      <c r="AF46" s="154"/>
      <c r="AG46" s="155"/>
      <c r="AH46" s="150"/>
      <c r="AI46" s="151"/>
      <c r="AJ46" s="151"/>
      <c r="AK46" s="151"/>
      <c r="AL46" s="151"/>
      <c r="AM46" s="151"/>
      <c r="AN46" s="151"/>
      <c r="AO46" s="151"/>
      <c r="AP46" s="151"/>
      <c r="AQ46" s="152"/>
      <c r="AR46" s="153"/>
      <c r="AS46" s="153"/>
      <c r="AT46" s="153"/>
      <c r="AU46" s="153"/>
      <c r="AV46" s="153"/>
      <c r="AW46" s="153"/>
      <c r="AX46" s="153"/>
      <c r="AY46" s="153"/>
      <c r="AZ46" s="151"/>
      <c r="BA46" s="154"/>
      <c r="BB46" s="151"/>
      <c r="BC46" s="151"/>
      <c r="BD46" s="155"/>
      <c r="BE46" s="154"/>
      <c r="BF46" s="155"/>
      <c r="BG46" s="155"/>
      <c r="BH46" s="154"/>
      <c r="BI46" s="155"/>
      <c r="BJ46" s="155"/>
      <c r="BK46" s="155"/>
      <c r="BL46" s="102"/>
      <c r="BM46" s="102"/>
      <c r="BN46" s="102"/>
      <c r="BO46" s="155"/>
      <c r="BP46" s="155"/>
      <c r="BQ46" s="154"/>
      <c r="BR46" s="155"/>
      <c r="BS46" s="156"/>
      <c r="BT46" s="155"/>
      <c r="BU46" s="155"/>
      <c r="BV46" s="154"/>
      <c r="BW46" s="155"/>
      <c r="BX46" s="155"/>
      <c r="BY46" s="155"/>
      <c r="BZ46" s="155"/>
      <c r="CA46" s="155"/>
      <c r="CB46" s="155"/>
      <c r="CC46" s="155"/>
      <c r="CD46" s="151"/>
      <c r="CE46" s="154"/>
      <c r="CF46" s="155"/>
      <c r="CG46" s="151"/>
      <c r="CH46" s="155"/>
      <c r="CI46" s="155"/>
      <c r="CJ46" s="154"/>
      <c r="CK46" s="155"/>
      <c r="CL46" s="155"/>
      <c r="CM46" s="155"/>
      <c r="CN46" s="155"/>
      <c r="CO46" s="155"/>
      <c r="CP46" s="155"/>
      <c r="CQ46" s="155"/>
      <c r="CR46" s="151"/>
      <c r="CS46" s="154"/>
      <c r="CT46" s="155"/>
      <c r="CU46" s="155"/>
      <c r="CV46" s="155"/>
      <c r="CW46" s="155"/>
      <c r="CX46" s="155"/>
      <c r="CY46" s="154"/>
      <c r="CZ46" s="102"/>
      <c r="DA46" s="151"/>
      <c r="DB46" s="154"/>
      <c r="DC46" s="155"/>
      <c r="DD46" s="155"/>
      <c r="DE46" s="154"/>
      <c r="DF46" s="155"/>
      <c r="DG46" s="151"/>
      <c r="DH46" s="151"/>
      <c r="DI46" s="102"/>
      <c r="DJ46" s="151"/>
      <c r="DK46" s="154"/>
      <c r="DL46" s="155"/>
      <c r="DM46" s="155"/>
      <c r="DN46" s="155"/>
      <c r="DO46" s="155"/>
      <c r="DP46" s="155"/>
      <c r="DQ46" s="155"/>
      <c r="DR46" s="155"/>
      <c r="DS46" s="155"/>
      <c r="DT46" s="155"/>
      <c r="DU46" s="154"/>
      <c r="DV46" s="151"/>
      <c r="DW46" s="151"/>
      <c r="DX46" s="151"/>
      <c r="DY46" s="155"/>
      <c r="DZ46" s="155"/>
      <c r="EA46" s="150"/>
      <c r="EB46" s="155"/>
      <c r="EC46" s="155"/>
      <c r="ED46" s="87" t="str">
        <f>IFERROR(1/(1/SUMIFS(OVC!$O:$O,OVC!$C:$C,"="&amp;$B46,OVC!$D:$D,$C46)),"")</f>
        <v/>
      </c>
      <c r="EE46" s="14" t="str">
        <f>IFERROR(1/(1/SUMIFS(OVC!$P:$P,OVC!$C:$C,"="&amp;$B46,OVC!$D:$D,$C46)),"")</f>
        <v/>
      </c>
      <c r="EF46" s="14">
        <f>IFERROR(1/(1/SUMIFS(OVC!$Q:$Q,OVC!$C:$C,"="&amp;$B46,OVC!$D:$D,$C46)),"")</f>
        <v>2050</v>
      </c>
      <c r="EG46" s="14">
        <f>IFERROR(1/(1/SUMIFS(OVC!$R:$R,OVC!$C:$C,"="&amp;$B46,OVC!$D:$D,$C46)),"")</f>
        <v>8197.9999999999982</v>
      </c>
      <c r="EH46" s="9" t="str">
        <f t="shared" si="33"/>
        <v/>
      </c>
      <c r="EI46" s="9" t="str">
        <f t="shared" si="34"/>
        <v/>
      </c>
      <c r="EJ46" s="9">
        <f t="shared" si="35"/>
        <v>2050</v>
      </c>
      <c r="EK46" s="9">
        <f t="shared" si="36"/>
        <v>8197.9999999999982</v>
      </c>
      <c r="EL46" s="90" t="str">
        <f t="shared" si="37"/>
        <v/>
      </c>
      <c r="EM46" s="90" t="str">
        <f t="shared" si="38"/>
        <v/>
      </c>
      <c r="EN46" s="90">
        <f t="shared" si="39"/>
        <v>0</v>
      </c>
      <c r="EO46" s="90">
        <f t="shared" si="40"/>
        <v>0</v>
      </c>
      <c r="EP46" s="94">
        <f t="shared" si="41"/>
        <v>1</v>
      </c>
      <c r="EQ46" s="9">
        <f t="shared" si="42"/>
        <v>10248</v>
      </c>
      <c r="ER46" s="154"/>
      <c r="ES46" s="155"/>
      <c r="ET46" s="102"/>
      <c r="EU46" s="102"/>
      <c r="EV46" s="151"/>
      <c r="EW46" s="151"/>
      <c r="EX46" s="154"/>
      <c r="EY46" s="102"/>
      <c r="EZ46" s="151"/>
      <c r="FA46" s="154"/>
      <c r="FB46" s="102"/>
      <c r="FC46" s="156"/>
    </row>
    <row r="47" spans="1:159" x14ac:dyDescent="0.2">
      <c r="A47" t="s">
        <v>808</v>
      </c>
      <c r="B47" s="13" t="s">
        <v>811</v>
      </c>
      <c r="C47" t="s">
        <v>47</v>
      </c>
      <c r="E47" s="155"/>
      <c r="F47" s="155"/>
      <c r="G47" s="155"/>
      <c r="H47" s="155"/>
      <c r="I47" s="155"/>
      <c r="J47" s="155"/>
      <c r="K47" s="155"/>
      <c r="L47" s="155"/>
      <c r="M47" s="154"/>
      <c r="N47" s="155"/>
      <c r="O47" s="155"/>
      <c r="P47" s="155"/>
      <c r="Q47" s="155"/>
      <c r="R47" s="154"/>
      <c r="S47" s="155"/>
      <c r="T47" s="155"/>
      <c r="U47" s="154"/>
      <c r="V47" s="155"/>
      <c r="W47" s="155"/>
      <c r="X47" s="155"/>
      <c r="Y47" s="155"/>
      <c r="Z47" s="154"/>
      <c r="AA47" s="155"/>
      <c r="AB47" s="155"/>
      <c r="AC47" s="155"/>
      <c r="AD47" s="154"/>
      <c r="AE47" s="155"/>
      <c r="AF47" s="154"/>
      <c r="AG47" s="155"/>
      <c r="AH47" s="150"/>
      <c r="AI47" s="151"/>
      <c r="AJ47" s="151"/>
      <c r="AK47" s="151"/>
      <c r="AL47" s="151"/>
      <c r="AM47" s="151"/>
      <c r="AN47" s="151"/>
      <c r="AO47" s="151"/>
      <c r="AP47" s="151"/>
      <c r="AQ47" s="152"/>
      <c r="AR47" s="153"/>
      <c r="AS47" s="153"/>
      <c r="AT47" s="153"/>
      <c r="AU47" s="153"/>
      <c r="AV47" s="153"/>
      <c r="AW47" s="153"/>
      <c r="AX47" s="153"/>
      <c r="AY47" s="153"/>
      <c r="AZ47" s="151"/>
      <c r="BA47" s="154"/>
      <c r="BB47" s="151"/>
      <c r="BC47" s="151"/>
      <c r="BD47" s="155"/>
      <c r="BE47" s="154"/>
      <c r="BF47" s="155"/>
      <c r="BG47" s="155"/>
      <c r="BH47" s="154"/>
      <c r="BI47" s="155"/>
      <c r="BJ47" s="155"/>
      <c r="BK47" s="155"/>
      <c r="BL47" s="102"/>
      <c r="BM47" s="102"/>
      <c r="BN47" s="102"/>
      <c r="BO47" s="155"/>
      <c r="BP47" s="155"/>
      <c r="BQ47" s="154"/>
      <c r="BR47" s="155"/>
      <c r="BS47" s="156"/>
      <c r="BT47" s="155"/>
      <c r="BU47" s="155"/>
      <c r="BV47" s="154"/>
      <c r="BW47" s="155"/>
      <c r="BX47" s="155"/>
      <c r="BY47" s="155"/>
      <c r="BZ47" s="155"/>
      <c r="CA47" s="155"/>
      <c r="CB47" s="155"/>
      <c r="CC47" s="155"/>
      <c r="CD47" s="151"/>
      <c r="CE47" s="154"/>
      <c r="CF47" s="155"/>
      <c r="CG47" s="151"/>
      <c r="CH47" s="155"/>
      <c r="CI47" s="155"/>
      <c r="CJ47" s="154"/>
      <c r="CK47" s="155"/>
      <c r="CL47" s="155"/>
      <c r="CM47" s="155"/>
      <c r="CN47" s="155"/>
      <c r="CO47" s="155"/>
      <c r="CP47" s="155"/>
      <c r="CQ47" s="155"/>
      <c r="CR47" s="151"/>
      <c r="CS47" s="154"/>
      <c r="CT47" s="155"/>
      <c r="CU47" s="155"/>
      <c r="CV47" s="155"/>
      <c r="CW47" s="155"/>
      <c r="CX47" s="155"/>
      <c r="CY47" s="154"/>
      <c r="CZ47" s="102"/>
      <c r="DA47" s="151"/>
      <c r="DB47" s="154"/>
      <c r="DC47" s="155"/>
      <c r="DD47" s="155"/>
      <c r="DE47" s="154"/>
      <c r="DF47" s="155"/>
      <c r="DG47" s="151"/>
      <c r="DH47" s="151"/>
      <c r="DI47" s="102"/>
      <c r="DJ47" s="151"/>
      <c r="DK47" s="154"/>
      <c r="DL47" s="155"/>
      <c r="DM47" s="155"/>
      <c r="DN47" s="155"/>
      <c r="DO47" s="155"/>
      <c r="DP47" s="155"/>
      <c r="DQ47" s="155"/>
      <c r="DR47" s="155"/>
      <c r="DS47" s="155"/>
      <c r="DT47" s="155"/>
      <c r="DU47" s="154"/>
      <c r="DV47" s="151"/>
      <c r="DW47" s="151"/>
      <c r="DX47" s="151"/>
      <c r="DY47" s="155"/>
      <c r="DZ47" s="155"/>
      <c r="EA47" s="150"/>
      <c r="EB47" s="155"/>
      <c r="EC47" s="155"/>
      <c r="ED47" s="87" t="str">
        <f>IFERROR(1/(1/SUMIFS(OVC!$O:$O,OVC!$C:$C,"="&amp;$B47,OVC!$D:$D,$C47)),"")</f>
        <v/>
      </c>
      <c r="EE47" s="14" t="str">
        <f>IFERROR(1/(1/SUMIFS(OVC!$P:$P,OVC!$C:$C,"="&amp;$B47,OVC!$D:$D,$C47)),"")</f>
        <v/>
      </c>
      <c r="EF47" s="14">
        <f>IFERROR(1/(1/SUMIFS(OVC!$Q:$Q,OVC!$C:$C,"="&amp;$B47,OVC!$D:$D,$C47)),"")</f>
        <v>215</v>
      </c>
      <c r="EG47" s="14">
        <f>IFERROR(1/(1/SUMIFS(OVC!$R:$R,OVC!$C:$C,"="&amp;$B47,OVC!$D:$D,$C47)),"")</f>
        <v>853.00000000000011</v>
      </c>
      <c r="EH47" s="9" t="str">
        <f t="shared" si="33"/>
        <v/>
      </c>
      <c r="EI47" s="9" t="str">
        <f t="shared" si="34"/>
        <v/>
      </c>
      <c r="EJ47" s="9">
        <f t="shared" si="35"/>
        <v>215</v>
      </c>
      <c r="EK47" s="9">
        <f t="shared" si="36"/>
        <v>853.00000000000011</v>
      </c>
      <c r="EL47" s="90" t="str">
        <f t="shared" si="37"/>
        <v/>
      </c>
      <c r="EM47" s="90" t="str">
        <f t="shared" si="38"/>
        <v/>
      </c>
      <c r="EN47" s="90">
        <f t="shared" si="39"/>
        <v>0</v>
      </c>
      <c r="EO47" s="90">
        <f t="shared" si="40"/>
        <v>0</v>
      </c>
      <c r="EP47" s="94">
        <f t="shared" si="41"/>
        <v>1</v>
      </c>
      <c r="EQ47" s="9">
        <f t="shared" si="42"/>
        <v>1068</v>
      </c>
      <c r="ER47" s="154"/>
      <c r="ES47" s="155"/>
      <c r="ET47" s="102"/>
      <c r="EU47" s="102"/>
      <c r="EV47" s="151"/>
      <c r="EW47" s="151"/>
      <c r="EX47" s="154"/>
      <c r="EY47" s="102"/>
      <c r="EZ47" s="151"/>
      <c r="FA47" s="154"/>
      <c r="FB47" s="102"/>
      <c r="FC47" s="156"/>
    </row>
    <row r="48" spans="1:159" x14ac:dyDescent="0.2">
      <c r="A48" t="s">
        <v>808</v>
      </c>
      <c r="B48" s="13" t="s">
        <v>812</v>
      </c>
      <c r="C48" t="s">
        <v>29</v>
      </c>
      <c r="E48" s="155"/>
      <c r="F48" s="155"/>
      <c r="G48" s="155"/>
      <c r="H48" s="155"/>
      <c r="I48" s="155"/>
      <c r="J48" s="155"/>
      <c r="K48" s="155"/>
      <c r="L48" s="155"/>
      <c r="M48" s="154"/>
      <c r="N48" s="155"/>
      <c r="O48" s="155"/>
      <c r="P48" s="155"/>
      <c r="Q48" s="155"/>
      <c r="R48" s="154"/>
      <c r="S48" s="155"/>
      <c r="T48" s="155"/>
      <c r="U48" s="154"/>
      <c r="V48" s="155"/>
      <c r="W48" s="155"/>
      <c r="X48" s="155"/>
      <c r="Y48" s="155"/>
      <c r="Z48" s="154"/>
      <c r="AA48" s="155"/>
      <c r="AB48" s="155"/>
      <c r="AC48" s="155"/>
      <c r="AD48" s="154"/>
      <c r="AE48" s="155"/>
      <c r="AF48" s="154"/>
      <c r="AG48" s="155"/>
      <c r="AH48" s="150"/>
      <c r="AI48" s="151"/>
      <c r="AJ48" s="151"/>
      <c r="AK48" s="151"/>
      <c r="AL48" s="151"/>
      <c r="AM48" s="151"/>
      <c r="AN48" s="151"/>
      <c r="AO48" s="151"/>
      <c r="AP48" s="151"/>
      <c r="AQ48" s="152"/>
      <c r="AR48" s="153"/>
      <c r="AS48" s="153"/>
      <c r="AT48" s="153"/>
      <c r="AU48" s="153"/>
      <c r="AV48" s="153"/>
      <c r="AW48" s="153"/>
      <c r="AX48" s="153"/>
      <c r="AY48" s="153"/>
      <c r="AZ48" s="151"/>
      <c r="BA48" s="154"/>
      <c r="BB48" s="151"/>
      <c r="BC48" s="151"/>
      <c r="BD48" s="155"/>
      <c r="BE48" s="154"/>
      <c r="BF48" s="155"/>
      <c r="BG48" s="155"/>
      <c r="BH48" s="154"/>
      <c r="BI48" s="155"/>
      <c r="BJ48" s="155"/>
      <c r="BK48" s="155"/>
      <c r="BL48" s="102"/>
      <c r="BM48" s="102"/>
      <c r="BN48" s="102"/>
      <c r="BO48" s="155"/>
      <c r="BP48" s="155"/>
      <c r="BQ48" s="154"/>
      <c r="BR48" s="155"/>
      <c r="BS48" s="156"/>
      <c r="BT48" s="155"/>
      <c r="BU48" s="155"/>
      <c r="BV48" s="154"/>
      <c r="BW48" s="155"/>
      <c r="BX48" s="155"/>
      <c r="BY48" s="155"/>
      <c r="BZ48" s="155"/>
      <c r="CA48" s="155"/>
      <c r="CB48" s="155"/>
      <c r="CC48" s="155"/>
      <c r="CD48" s="151"/>
      <c r="CE48" s="154"/>
      <c r="CF48" s="155"/>
      <c r="CG48" s="151"/>
      <c r="CH48" s="155"/>
      <c r="CI48" s="155"/>
      <c r="CJ48" s="154"/>
      <c r="CK48" s="155"/>
      <c r="CL48" s="155"/>
      <c r="CM48" s="155"/>
      <c r="CN48" s="155"/>
      <c r="CO48" s="155"/>
      <c r="CP48" s="155"/>
      <c r="CQ48" s="155"/>
      <c r="CR48" s="151"/>
      <c r="CS48" s="154"/>
      <c r="CT48" s="155"/>
      <c r="CU48" s="155"/>
      <c r="CV48" s="155"/>
      <c r="CW48" s="155"/>
      <c r="CX48" s="155"/>
      <c r="CY48" s="154"/>
      <c r="CZ48" s="102"/>
      <c r="DA48" s="151"/>
      <c r="DB48" s="154"/>
      <c r="DC48" s="155"/>
      <c r="DD48" s="155"/>
      <c r="DE48" s="154"/>
      <c r="DF48" s="155"/>
      <c r="DG48" s="151"/>
      <c r="DH48" s="151"/>
      <c r="DI48" s="102"/>
      <c r="DJ48" s="151"/>
      <c r="DK48" s="154"/>
      <c r="DL48" s="155"/>
      <c r="DM48" s="155"/>
      <c r="DN48" s="155"/>
      <c r="DO48" s="155"/>
      <c r="DP48" s="155"/>
      <c r="DQ48" s="155"/>
      <c r="DR48" s="155"/>
      <c r="DS48" s="155"/>
      <c r="DT48" s="155"/>
      <c r="DU48" s="154"/>
      <c r="DV48" s="151"/>
      <c r="DW48" s="151"/>
      <c r="DX48" s="151"/>
      <c r="DY48" s="155"/>
      <c r="DZ48" s="155"/>
      <c r="EA48" s="150"/>
      <c r="EB48" s="155"/>
      <c r="EC48" s="155"/>
      <c r="ED48" s="87" t="str">
        <f>IFERROR(1/(1/SUMIFS(OVC!$O:$O,OVC!$C:$C,"="&amp;$B48,OVC!$D:$D,$C48)),"")</f>
        <v/>
      </c>
      <c r="EE48" s="14" t="str">
        <f>IFERROR(1/(1/SUMIFS(OVC!$P:$P,OVC!$C:$C,"="&amp;$B48,OVC!$D:$D,$C48)),"")</f>
        <v/>
      </c>
      <c r="EF48" s="14">
        <f>IFERROR(1/(1/SUMIFS(OVC!$Q:$Q,OVC!$C:$C,"="&amp;$B48,OVC!$D:$D,$C48)),"")</f>
        <v>10</v>
      </c>
      <c r="EG48" s="14">
        <f>IFERROR(1/(1/SUMIFS(OVC!$R:$R,OVC!$C:$C,"="&amp;$B48,OVC!$D:$D,$C48)),"")</f>
        <v>32</v>
      </c>
      <c r="EH48" s="9" t="str">
        <f t="shared" si="33"/>
        <v/>
      </c>
      <c r="EI48" s="9" t="str">
        <f t="shared" si="34"/>
        <v/>
      </c>
      <c r="EJ48" s="9">
        <f t="shared" si="35"/>
        <v>10</v>
      </c>
      <c r="EK48" s="9">
        <f t="shared" si="36"/>
        <v>32</v>
      </c>
      <c r="EL48" s="90" t="str">
        <f t="shared" si="37"/>
        <v/>
      </c>
      <c r="EM48" s="90" t="str">
        <f t="shared" si="38"/>
        <v/>
      </c>
      <c r="EN48" s="90">
        <f t="shared" si="39"/>
        <v>0</v>
      </c>
      <c r="EO48" s="90">
        <f t="shared" si="40"/>
        <v>0</v>
      </c>
      <c r="EP48" s="150"/>
      <c r="EQ48" s="102"/>
      <c r="ER48" s="154"/>
      <c r="ES48" s="155"/>
      <c r="ET48" s="102"/>
      <c r="EU48" s="102"/>
      <c r="EV48" s="151"/>
      <c r="EW48" s="151"/>
      <c r="EX48" s="154"/>
      <c r="EY48" s="102"/>
      <c r="EZ48" s="151"/>
      <c r="FA48" s="154"/>
      <c r="FB48" s="102"/>
      <c r="FC48" s="156"/>
    </row>
    <row r="49" spans="1:159" x14ac:dyDescent="0.2">
      <c r="A49" t="s">
        <v>808</v>
      </c>
      <c r="B49" s="13" t="s">
        <v>812</v>
      </c>
      <c r="C49" t="s">
        <v>47</v>
      </c>
      <c r="E49" s="155"/>
      <c r="F49" s="155"/>
      <c r="G49" s="155"/>
      <c r="H49" s="155"/>
      <c r="I49" s="155"/>
      <c r="J49" s="155"/>
      <c r="K49" s="155"/>
      <c r="L49" s="155"/>
      <c r="M49" s="154"/>
      <c r="N49" s="155"/>
      <c r="O49" s="155"/>
      <c r="P49" s="155"/>
      <c r="Q49" s="155"/>
      <c r="R49" s="154"/>
      <c r="S49" s="155"/>
      <c r="T49" s="155"/>
      <c r="U49" s="154"/>
      <c r="V49" s="155"/>
      <c r="W49" s="155"/>
      <c r="X49" s="155"/>
      <c r="Y49" s="155"/>
      <c r="Z49" s="154"/>
      <c r="AA49" s="155"/>
      <c r="AB49" s="155"/>
      <c r="AC49" s="155"/>
      <c r="AD49" s="154"/>
      <c r="AE49" s="155"/>
      <c r="AF49" s="154"/>
      <c r="AG49" s="155"/>
      <c r="AH49" s="150"/>
      <c r="AI49" s="151"/>
      <c r="AJ49" s="151"/>
      <c r="AK49" s="151"/>
      <c r="AL49" s="151"/>
      <c r="AM49" s="151"/>
      <c r="AN49" s="151"/>
      <c r="AO49" s="151"/>
      <c r="AP49" s="151"/>
      <c r="AQ49" s="152"/>
      <c r="AR49" s="153"/>
      <c r="AS49" s="153"/>
      <c r="AT49" s="153"/>
      <c r="AU49" s="153"/>
      <c r="AV49" s="153"/>
      <c r="AW49" s="153"/>
      <c r="AX49" s="153"/>
      <c r="AY49" s="153"/>
      <c r="AZ49" s="151"/>
      <c r="BA49" s="154"/>
      <c r="BB49" s="151"/>
      <c r="BC49" s="151"/>
      <c r="BD49" s="155"/>
      <c r="BE49" s="154"/>
      <c r="BF49" s="155"/>
      <c r="BG49" s="155"/>
      <c r="BH49" s="154"/>
      <c r="BI49" s="155"/>
      <c r="BJ49" s="155"/>
      <c r="BK49" s="155"/>
      <c r="BL49" s="102"/>
      <c r="BM49" s="102"/>
      <c r="BN49" s="102"/>
      <c r="BO49" s="155"/>
      <c r="BP49" s="155"/>
      <c r="BQ49" s="154"/>
      <c r="BR49" s="155"/>
      <c r="BS49" s="156"/>
      <c r="BT49" s="155"/>
      <c r="BU49" s="155"/>
      <c r="BV49" s="154"/>
      <c r="BW49" s="155"/>
      <c r="BX49" s="155"/>
      <c r="BY49" s="155"/>
      <c r="BZ49" s="155"/>
      <c r="CA49" s="155"/>
      <c r="CB49" s="155"/>
      <c r="CC49" s="155"/>
      <c r="CD49" s="151"/>
      <c r="CE49" s="154"/>
      <c r="CF49" s="155"/>
      <c r="CG49" s="151"/>
      <c r="CH49" s="155"/>
      <c r="CI49" s="155"/>
      <c r="CJ49" s="154"/>
      <c r="CK49" s="155"/>
      <c r="CL49" s="155"/>
      <c r="CM49" s="155"/>
      <c r="CN49" s="155"/>
      <c r="CO49" s="155"/>
      <c r="CP49" s="155"/>
      <c r="CQ49" s="155"/>
      <c r="CR49" s="151"/>
      <c r="CS49" s="154"/>
      <c r="CT49" s="155"/>
      <c r="CU49" s="155"/>
      <c r="CV49" s="155"/>
      <c r="CW49" s="155"/>
      <c r="CX49" s="155"/>
      <c r="CY49" s="154"/>
      <c r="CZ49" s="102"/>
      <c r="DA49" s="151"/>
      <c r="DB49" s="154"/>
      <c r="DC49" s="155"/>
      <c r="DD49" s="155"/>
      <c r="DE49" s="154"/>
      <c r="DF49" s="155"/>
      <c r="DG49" s="151"/>
      <c r="DH49" s="151"/>
      <c r="DI49" s="102"/>
      <c r="DJ49" s="151"/>
      <c r="DK49" s="154"/>
      <c r="DL49" s="155"/>
      <c r="DM49" s="155"/>
      <c r="DN49" s="155"/>
      <c r="DO49" s="155"/>
      <c r="DP49" s="155"/>
      <c r="DQ49" s="155"/>
      <c r="DR49" s="155"/>
      <c r="DS49" s="155"/>
      <c r="DT49" s="155"/>
      <c r="DU49" s="154"/>
      <c r="DV49" s="151"/>
      <c r="DW49" s="151"/>
      <c r="DX49" s="151"/>
      <c r="DY49" s="155"/>
      <c r="DZ49" s="155"/>
      <c r="EA49" s="150"/>
      <c r="EB49" s="155"/>
      <c r="EC49" s="155"/>
      <c r="ED49" s="87" t="str">
        <f>IFERROR(1/(1/SUMIFS(OVC!$O:$O,OVC!$C:$C,"="&amp;$B49,OVC!$D:$D,$C49)),"")</f>
        <v/>
      </c>
      <c r="EE49" s="14" t="str">
        <f>IFERROR(1/(1/SUMIFS(OVC!$P:$P,OVC!$C:$C,"="&amp;$B49,OVC!$D:$D,$C49)),"")</f>
        <v/>
      </c>
      <c r="EF49" s="14">
        <f>IFERROR(1/(1/SUMIFS(OVC!$Q:$Q,OVC!$C:$C,"="&amp;$B49,OVC!$D:$D,$C49)),"")</f>
        <v>9</v>
      </c>
      <c r="EG49" s="14">
        <f>IFERROR(1/(1/SUMIFS(OVC!$R:$R,OVC!$C:$C,"="&amp;$B49,OVC!$D:$D,$C49)),"")</f>
        <v>39</v>
      </c>
      <c r="EH49" s="9" t="str">
        <f t="shared" si="33"/>
        <v/>
      </c>
      <c r="EI49" s="9" t="str">
        <f t="shared" si="34"/>
        <v/>
      </c>
      <c r="EJ49" s="9">
        <f t="shared" si="35"/>
        <v>9</v>
      </c>
      <c r="EK49" s="9">
        <f t="shared" si="36"/>
        <v>39</v>
      </c>
      <c r="EL49" s="90" t="str">
        <f t="shared" si="37"/>
        <v/>
      </c>
      <c r="EM49" s="90" t="str">
        <f t="shared" si="38"/>
        <v/>
      </c>
      <c r="EN49" s="90">
        <f t="shared" si="39"/>
        <v>0</v>
      </c>
      <c r="EO49" s="90">
        <f t="shared" si="40"/>
        <v>0</v>
      </c>
      <c r="EP49" s="150"/>
      <c r="EQ49" s="102"/>
      <c r="ER49" s="154"/>
      <c r="ES49" s="155"/>
      <c r="ET49" s="102"/>
      <c r="EU49" s="102"/>
      <c r="EV49" s="151"/>
      <c r="EW49" s="151"/>
      <c r="EX49" s="154"/>
      <c r="EY49" s="102"/>
      <c r="EZ49" s="151"/>
      <c r="FA49" s="154"/>
      <c r="FB49" s="102"/>
      <c r="FC49" s="156"/>
    </row>
    <row r="50" spans="1:159" x14ac:dyDescent="0.2">
      <c r="A50" t="s">
        <v>808</v>
      </c>
      <c r="B50" s="13" t="s">
        <v>813</v>
      </c>
      <c r="C50" t="s">
        <v>29</v>
      </c>
      <c r="E50" s="155"/>
      <c r="F50" s="155"/>
      <c r="G50" s="155"/>
      <c r="H50" s="155"/>
      <c r="I50" s="155"/>
      <c r="J50" s="155"/>
      <c r="K50" s="155"/>
      <c r="L50" s="155"/>
      <c r="M50" s="154"/>
      <c r="N50" s="155"/>
      <c r="O50" s="155"/>
      <c r="P50" s="155"/>
      <c r="Q50" s="155"/>
      <c r="R50" s="154"/>
      <c r="S50" s="155"/>
      <c r="T50" s="155"/>
      <c r="U50" s="154"/>
      <c r="V50" s="155"/>
      <c r="W50" s="155"/>
      <c r="X50" s="155"/>
      <c r="Y50" s="155"/>
      <c r="Z50" s="154"/>
      <c r="AA50" s="155"/>
      <c r="AB50" s="155"/>
      <c r="AC50" s="155"/>
      <c r="AD50" s="154"/>
      <c r="AE50" s="155"/>
      <c r="AF50" s="154"/>
      <c r="AG50" s="155"/>
      <c r="AH50" s="150"/>
      <c r="AI50" s="151"/>
      <c r="AJ50" s="151"/>
      <c r="AK50" s="151"/>
      <c r="AL50" s="151"/>
      <c r="AM50" s="151"/>
      <c r="AN50" s="151"/>
      <c r="AO50" s="151"/>
      <c r="AP50" s="151"/>
      <c r="AQ50" s="152"/>
      <c r="AR50" s="153"/>
      <c r="AS50" s="153"/>
      <c r="AT50" s="153"/>
      <c r="AU50" s="153"/>
      <c r="AV50" s="153"/>
      <c r="AW50" s="153"/>
      <c r="AX50" s="153"/>
      <c r="AY50" s="153"/>
      <c r="AZ50" s="151"/>
      <c r="BA50" s="154"/>
      <c r="BB50" s="151"/>
      <c r="BC50" s="151"/>
      <c r="BD50" s="155"/>
      <c r="BE50" s="154"/>
      <c r="BF50" s="155"/>
      <c r="BG50" s="155"/>
      <c r="BH50" s="154"/>
      <c r="BI50" s="155"/>
      <c r="BJ50" s="155"/>
      <c r="BK50" s="155"/>
      <c r="BL50" s="102"/>
      <c r="BM50" s="102"/>
      <c r="BN50" s="102"/>
      <c r="BO50" s="155"/>
      <c r="BP50" s="155"/>
      <c r="BQ50" s="154"/>
      <c r="BR50" s="155"/>
      <c r="BS50" s="156"/>
      <c r="BT50" s="155"/>
      <c r="BU50" s="155"/>
      <c r="BV50" s="154"/>
      <c r="BW50" s="155"/>
      <c r="BX50" s="155"/>
      <c r="BY50" s="155"/>
      <c r="BZ50" s="155"/>
      <c r="CA50" s="155"/>
      <c r="CB50" s="155"/>
      <c r="CC50" s="155"/>
      <c r="CD50" s="151"/>
      <c r="CE50" s="154"/>
      <c r="CF50" s="155"/>
      <c r="CG50" s="151"/>
      <c r="CH50" s="155"/>
      <c r="CI50" s="155"/>
      <c r="CJ50" s="154"/>
      <c r="CK50" s="155"/>
      <c r="CL50" s="155"/>
      <c r="CM50" s="155"/>
      <c r="CN50" s="155"/>
      <c r="CO50" s="155"/>
      <c r="CP50" s="155"/>
      <c r="CQ50" s="155"/>
      <c r="CR50" s="151"/>
      <c r="CS50" s="154"/>
      <c r="CT50" s="155"/>
      <c r="CU50" s="155"/>
      <c r="CV50" s="155"/>
      <c r="CW50" s="155"/>
      <c r="CX50" s="155"/>
      <c r="CY50" s="154"/>
      <c r="CZ50" s="102"/>
      <c r="DA50" s="151"/>
      <c r="DB50" s="154"/>
      <c r="DC50" s="155"/>
      <c r="DD50" s="155"/>
      <c r="DE50" s="154"/>
      <c r="DF50" s="155"/>
      <c r="DG50" s="151"/>
      <c r="DH50" s="151"/>
      <c r="DI50" s="102"/>
      <c r="DJ50" s="151"/>
      <c r="DK50" s="154"/>
      <c r="DL50" s="155"/>
      <c r="DM50" s="155"/>
      <c r="DN50" s="155"/>
      <c r="DO50" s="155"/>
      <c r="DP50" s="155"/>
      <c r="DQ50" s="155"/>
      <c r="DR50" s="155"/>
      <c r="DS50" s="155"/>
      <c r="DT50" s="155"/>
      <c r="DU50" s="154"/>
      <c r="DV50" s="151"/>
      <c r="DW50" s="151"/>
      <c r="DX50" s="151"/>
      <c r="DY50" s="155"/>
      <c r="DZ50" s="155"/>
      <c r="EA50" s="150"/>
      <c r="EB50" s="155"/>
      <c r="EC50" s="155"/>
      <c r="ED50" s="87" t="str">
        <f>IFERROR(1/(1/SUMIFS(OVC!$O:$O,OVC!$C:$C,"="&amp;$B50,OVC!$D:$D,$C50)),"")</f>
        <v/>
      </c>
      <c r="EE50" s="14" t="str">
        <f>IFERROR(1/(1/SUMIFS(OVC!$P:$P,OVC!$C:$C,"="&amp;$B50,OVC!$D:$D,$C50)),"")</f>
        <v/>
      </c>
      <c r="EF50" s="14">
        <f>IFERROR(1/(1/SUMIFS(OVC!$Q:$Q,OVC!$C:$C,"="&amp;$B50,OVC!$D:$D,$C50)),"")</f>
        <v>944</v>
      </c>
      <c r="EG50" s="14">
        <f>IFERROR(1/(1/SUMIFS(OVC!$R:$R,OVC!$C:$C,"="&amp;$B50,OVC!$D:$D,$C50)),"")</f>
        <v>3775</v>
      </c>
      <c r="EH50" s="9" t="str">
        <f t="shared" si="33"/>
        <v/>
      </c>
      <c r="EI50" s="9" t="str">
        <f t="shared" si="34"/>
        <v/>
      </c>
      <c r="EJ50" s="9">
        <f t="shared" si="35"/>
        <v>944</v>
      </c>
      <c r="EK50" s="9">
        <f t="shared" si="36"/>
        <v>3775</v>
      </c>
      <c r="EL50" s="90" t="str">
        <f t="shared" si="37"/>
        <v/>
      </c>
      <c r="EM50" s="90" t="str">
        <f t="shared" si="38"/>
        <v/>
      </c>
      <c r="EN50" s="90">
        <f t="shared" si="39"/>
        <v>0</v>
      </c>
      <c r="EO50" s="90">
        <f t="shared" si="40"/>
        <v>0</v>
      </c>
      <c r="EP50" s="150"/>
      <c r="EQ50" s="102"/>
      <c r="ER50" s="154"/>
      <c r="ES50" s="155"/>
      <c r="ET50" s="102"/>
      <c r="EU50" s="102"/>
      <c r="EV50" s="151"/>
      <c r="EW50" s="151"/>
      <c r="EX50" s="154"/>
      <c r="EY50" s="102"/>
      <c r="EZ50" s="151"/>
      <c r="FA50" s="154"/>
      <c r="FB50" s="102"/>
      <c r="FC50" s="156"/>
    </row>
    <row r="51" spans="1:159" x14ac:dyDescent="0.2">
      <c r="A51" t="s">
        <v>808</v>
      </c>
      <c r="B51" s="13" t="s">
        <v>813</v>
      </c>
      <c r="C51" t="s">
        <v>47</v>
      </c>
      <c r="E51" s="155"/>
      <c r="F51" s="155"/>
      <c r="G51" s="155"/>
      <c r="H51" s="155"/>
      <c r="I51" s="155"/>
      <c r="J51" s="155"/>
      <c r="K51" s="155"/>
      <c r="L51" s="155"/>
      <c r="M51" s="154"/>
      <c r="N51" s="155"/>
      <c r="O51" s="155"/>
      <c r="P51" s="155"/>
      <c r="Q51" s="155"/>
      <c r="R51" s="154"/>
      <c r="S51" s="155"/>
      <c r="T51" s="155"/>
      <c r="U51" s="154"/>
      <c r="V51" s="155"/>
      <c r="W51" s="155"/>
      <c r="X51" s="155"/>
      <c r="Y51" s="155"/>
      <c r="Z51" s="154"/>
      <c r="AA51" s="155"/>
      <c r="AB51" s="155"/>
      <c r="AC51" s="155"/>
      <c r="AD51" s="154"/>
      <c r="AE51" s="155"/>
      <c r="AF51" s="154"/>
      <c r="AG51" s="155"/>
      <c r="AH51" s="150"/>
      <c r="AI51" s="151"/>
      <c r="AJ51" s="151"/>
      <c r="AK51" s="151"/>
      <c r="AL51" s="151"/>
      <c r="AM51" s="151"/>
      <c r="AN51" s="151"/>
      <c r="AO51" s="151"/>
      <c r="AP51" s="151"/>
      <c r="AQ51" s="152"/>
      <c r="AR51" s="153"/>
      <c r="AS51" s="153"/>
      <c r="AT51" s="153"/>
      <c r="AU51" s="153"/>
      <c r="AV51" s="153"/>
      <c r="AW51" s="153"/>
      <c r="AX51" s="153"/>
      <c r="AY51" s="153"/>
      <c r="AZ51" s="151"/>
      <c r="BA51" s="154"/>
      <c r="BB51" s="151"/>
      <c r="BC51" s="151"/>
      <c r="BD51" s="155"/>
      <c r="BE51" s="154"/>
      <c r="BF51" s="155"/>
      <c r="BG51" s="155"/>
      <c r="BH51" s="154"/>
      <c r="BI51" s="155"/>
      <c r="BJ51" s="155"/>
      <c r="BK51" s="155"/>
      <c r="BL51" s="102"/>
      <c r="BM51" s="102"/>
      <c r="BN51" s="102"/>
      <c r="BO51" s="155"/>
      <c r="BP51" s="155"/>
      <c r="BQ51" s="154"/>
      <c r="BR51" s="155"/>
      <c r="BS51" s="156"/>
      <c r="BT51" s="155"/>
      <c r="BU51" s="155"/>
      <c r="BV51" s="154"/>
      <c r="BW51" s="155"/>
      <c r="BX51" s="155"/>
      <c r="BY51" s="155"/>
      <c r="BZ51" s="155"/>
      <c r="CA51" s="155"/>
      <c r="CB51" s="155"/>
      <c r="CC51" s="155"/>
      <c r="CD51" s="151"/>
      <c r="CE51" s="154"/>
      <c r="CF51" s="155"/>
      <c r="CG51" s="151"/>
      <c r="CH51" s="155"/>
      <c r="CI51" s="155"/>
      <c r="CJ51" s="154"/>
      <c r="CK51" s="155"/>
      <c r="CL51" s="155"/>
      <c r="CM51" s="155"/>
      <c r="CN51" s="155"/>
      <c r="CO51" s="155"/>
      <c r="CP51" s="155"/>
      <c r="CQ51" s="155"/>
      <c r="CR51" s="151"/>
      <c r="CS51" s="154"/>
      <c r="CT51" s="155"/>
      <c r="CU51" s="155"/>
      <c r="CV51" s="155"/>
      <c r="CW51" s="155"/>
      <c r="CX51" s="155"/>
      <c r="CY51" s="154"/>
      <c r="CZ51" s="102"/>
      <c r="DA51" s="151"/>
      <c r="DB51" s="154"/>
      <c r="DC51" s="155"/>
      <c r="DD51" s="155"/>
      <c r="DE51" s="154"/>
      <c r="DF51" s="155"/>
      <c r="DG51" s="151"/>
      <c r="DH51" s="151"/>
      <c r="DI51" s="102"/>
      <c r="DJ51" s="151"/>
      <c r="DK51" s="154"/>
      <c r="DL51" s="155"/>
      <c r="DM51" s="155"/>
      <c r="DN51" s="155"/>
      <c r="DO51" s="155"/>
      <c r="DP51" s="155"/>
      <c r="DQ51" s="155"/>
      <c r="DR51" s="155"/>
      <c r="DS51" s="155"/>
      <c r="DT51" s="155"/>
      <c r="DU51" s="154"/>
      <c r="DV51" s="151"/>
      <c r="DW51" s="151"/>
      <c r="DX51" s="151"/>
      <c r="DY51" s="155"/>
      <c r="DZ51" s="155"/>
      <c r="EA51" s="150"/>
      <c r="EB51" s="155"/>
      <c r="EC51" s="155"/>
      <c r="ED51" s="87" t="str">
        <f>IFERROR(1/(1/SUMIFS(OVC!$O:$O,OVC!$C:$C,"="&amp;$B51,OVC!$D:$D,$C51)),"")</f>
        <v/>
      </c>
      <c r="EE51" s="14" t="str">
        <f>IFERROR(1/(1/SUMIFS(OVC!$P:$P,OVC!$C:$C,"="&amp;$B51,OVC!$D:$D,$C51)),"")</f>
        <v/>
      </c>
      <c r="EF51" s="14">
        <f>IFERROR(1/(1/SUMIFS(OVC!$Q:$Q,OVC!$C:$C,"="&amp;$B51,OVC!$D:$D,$C51)),"")</f>
        <v>92.999999999999986</v>
      </c>
      <c r="EG51" s="14">
        <f>IFERROR(1/(1/SUMIFS(OVC!$R:$R,OVC!$C:$C,"="&amp;$B51,OVC!$D:$D,$C51)),"")</f>
        <v>370</v>
      </c>
      <c r="EH51" s="9" t="str">
        <f t="shared" si="33"/>
        <v/>
      </c>
      <c r="EI51" s="9" t="str">
        <f t="shared" si="34"/>
        <v/>
      </c>
      <c r="EJ51" s="9">
        <f t="shared" si="35"/>
        <v>92.999999999999986</v>
      </c>
      <c r="EK51" s="9">
        <f t="shared" si="36"/>
        <v>370</v>
      </c>
      <c r="EL51" s="90" t="str">
        <f t="shared" si="37"/>
        <v/>
      </c>
      <c r="EM51" s="90" t="str">
        <f t="shared" si="38"/>
        <v/>
      </c>
      <c r="EN51" s="90">
        <f t="shared" si="39"/>
        <v>0</v>
      </c>
      <c r="EO51" s="90">
        <f t="shared" si="40"/>
        <v>0</v>
      </c>
      <c r="EP51" s="150"/>
      <c r="EQ51" s="102"/>
      <c r="ER51" s="154"/>
      <c r="ES51" s="155"/>
      <c r="ET51" s="102"/>
      <c r="EU51" s="102"/>
      <c r="EV51" s="151"/>
      <c r="EW51" s="151"/>
      <c r="EX51" s="154"/>
      <c r="EY51" s="102"/>
      <c r="EZ51" s="151"/>
      <c r="FA51" s="154"/>
      <c r="FB51" s="102"/>
      <c r="FC51" s="156"/>
    </row>
    <row r="52" spans="1:159" x14ac:dyDescent="0.2">
      <c r="A52" t="s">
        <v>814</v>
      </c>
      <c r="B52" s="13" t="s">
        <v>363</v>
      </c>
      <c r="C52" t="s">
        <v>29</v>
      </c>
      <c r="E52" s="154"/>
      <c r="F52" s="155"/>
      <c r="G52" s="155"/>
      <c r="H52" s="155"/>
      <c r="I52" s="155"/>
      <c r="J52" s="155"/>
      <c r="K52" s="155"/>
      <c r="L52" s="151"/>
      <c r="M52" s="154"/>
      <c r="N52" s="102"/>
      <c r="O52" s="151"/>
      <c r="P52" s="155"/>
      <c r="Q52" s="151"/>
      <c r="R52" s="157"/>
      <c r="S52" s="102"/>
      <c r="T52" s="151"/>
      <c r="U52" s="150"/>
      <c r="V52" s="151"/>
      <c r="W52" s="155"/>
      <c r="X52" s="151"/>
      <c r="Y52" s="102"/>
      <c r="Z52" s="150"/>
      <c r="AA52" s="155"/>
      <c r="AB52" s="151"/>
      <c r="AC52" s="102"/>
      <c r="AD52" s="150"/>
      <c r="AE52" s="102"/>
      <c r="AF52" s="150"/>
      <c r="AG52" s="102"/>
      <c r="AH52" s="150"/>
      <c r="AI52" s="151"/>
      <c r="AJ52" s="151"/>
      <c r="AK52" s="151"/>
      <c r="AL52" s="151"/>
      <c r="AM52" s="151"/>
      <c r="AN52" s="151"/>
      <c r="AO52" s="151"/>
      <c r="AP52" s="151"/>
      <c r="AQ52" s="152"/>
      <c r="AR52" s="153"/>
      <c r="AS52" s="153"/>
      <c r="AT52" s="153"/>
      <c r="AU52" s="153"/>
      <c r="AV52" s="153"/>
      <c r="AW52" s="153"/>
      <c r="AX52" s="153"/>
      <c r="AY52" s="153"/>
      <c r="AZ52" s="151"/>
      <c r="BA52" s="154"/>
      <c r="BB52" s="151"/>
      <c r="BC52" s="151"/>
      <c r="BD52" s="102"/>
      <c r="BE52" s="154"/>
      <c r="BF52" s="102"/>
      <c r="BG52" s="151"/>
      <c r="BH52" s="154"/>
      <c r="BI52" s="155"/>
      <c r="BJ52" s="155"/>
      <c r="BK52" s="155"/>
      <c r="BL52" s="102"/>
      <c r="BM52" s="102"/>
      <c r="BN52" s="102"/>
      <c r="BO52" s="155"/>
      <c r="BP52" s="155"/>
      <c r="BQ52" s="154"/>
      <c r="BR52" s="155"/>
      <c r="BS52" s="156"/>
      <c r="BT52" s="102"/>
      <c r="BU52" s="102"/>
      <c r="BV52" s="154"/>
      <c r="BW52" s="155"/>
      <c r="BX52" s="155"/>
      <c r="BY52" s="155"/>
      <c r="BZ52" s="102"/>
      <c r="CA52" s="102"/>
      <c r="CB52" s="102"/>
      <c r="CC52" s="155"/>
      <c r="CD52" s="151"/>
      <c r="CE52" s="154"/>
      <c r="CF52" s="155"/>
      <c r="CG52" s="151"/>
      <c r="CH52" s="102"/>
      <c r="CI52" s="102"/>
      <c r="CJ52" s="154"/>
      <c r="CK52" s="155"/>
      <c r="CL52" s="155"/>
      <c r="CM52" s="155"/>
      <c r="CN52" s="155"/>
      <c r="CO52" s="155"/>
      <c r="CP52" s="155"/>
      <c r="CQ52" s="155"/>
      <c r="CR52" s="151"/>
      <c r="CS52" s="154"/>
      <c r="CT52" s="155"/>
      <c r="CU52" s="102"/>
      <c r="CV52" s="102"/>
      <c r="CW52" s="151"/>
      <c r="CX52" s="151"/>
      <c r="CY52" s="154"/>
      <c r="CZ52" s="102"/>
      <c r="DA52" s="151"/>
      <c r="DB52" s="154"/>
      <c r="DC52" s="102"/>
      <c r="DD52" s="151"/>
      <c r="DE52" s="154"/>
      <c r="DF52" s="155"/>
      <c r="DG52" s="151"/>
      <c r="DH52" s="151"/>
      <c r="DI52" s="102"/>
      <c r="DJ52" s="151"/>
      <c r="DK52" s="150"/>
      <c r="DL52" s="151"/>
      <c r="DM52" s="151"/>
      <c r="DN52" s="151"/>
      <c r="DO52" s="151"/>
      <c r="DP52" s="151"/>
      <c r="DQ52" s="102"/>
      <c r="DR52" s="102"/>
      <c r="DS52" s="102"/>
      <c r="DT52" s="102"/>
      <c r="DU52" s="154"/>
      <c r="DV52" s="151"/>
      <c r="DW52" s="151"/>
      <c r="DX52" s="151"/>
      <c r="DY52" s="102"/>
      <c r="DZ52" s="102"/>
      <c r="EA52" s="150"/>
      <c r="EB52" s="102"/>
      <c r="EC52" s="102"/>
      <c r="ED52" s="154"/>
      <c r="EE52" s="155"/>
      <c r="EF52" s="155"/>
      <c r="EG52" s="155"/>
      <c r="EH52" s="102"/>
      <c r="EI52" s="102"/>
      <c r="EJ52" s="102"/>
      <c r="EK52" s="102"/>
      <c r="EL52" s="151"/>
      <c r="EM52" s="151"/>
      <c r="EN52" s="151"/>
      <c r="EO52" s="151"/>
      <c r="EP52" s="150"/>
      <c r="EQ52" s="102"/>
      <c r="ER52" s="87" t="str">
        <f ca="1">IFERROR(1/(1/SUMIFS(AGYW!$S:$S,AGYW!$C:$C,$B52,AGYW!$D:$D,$C52)),"")</f>
        <v/>
      </c>
      <c r="ES52" s="14" t="str">
        <f ca="1">IFERROR(1/(1/SUMIFS(AGYW!$T:$T,AGYW!$C:$C,$B52,AGYW!$D:$D,$C52)),"")</f>
        <v/>
      </c>
      <c r="ET52" s="9" t="str">
        <f ca="1">$ER52</f>
        <v/>
      </c>
      <c r="EU52" s="9" t="str">
        <f ca="1">$ES52</f>
        <v/>
      </c>
      <c r="EV52" s="90" t="str">
        <f ca="1">IF(SUM($ER52)=0,"",(SUM($ET52)-$ER52)/$ER52)</f>
        <v/>
      </c>
      <c r="EW52" s="90" t="str">
        <f ca="1">IF(SUM($ES52)=0,"",(SUM($EU52)-$ES52)/$ES52)</f>
        <v/>
      </c>
      <c r="EX52" s="154"/>
      <c r="EY52" s="102"/>
      <c r="EZ52" s="151"/>
      <c r="FA52" s="154"/>
      <c r="FB52" s="102"/>
      <c r="FC52" s="156"/>
    </row>
    <row r="53" spans="1:159" x14ac:dyDescent="0.2">
      <c r="A53" t="s">
        <v>814</v>
      </c>
      <c r="B53" s="13" t="s">
        <v>815</v>
      </c>
      <c r="C53" t="s">
        <v>29</v>
      </c>
      <c r="E53" s="154"/>
      <c r="F53" s="155"/>
      <c r="G53" s="155"/>
      <c r="H53" s="155"/>
      <c r="I53" s="155"/>
      <c r="J53" s="155"/>
      <c r="K53" s="155"/>
      <c r="L53" s="151"/>
      <c r="M53" s="154"/>
      <c r="N53" s="102"/>
      <c r="O53" s="151"/>
      <c r="P53" s="155"/>
      <c r="Q53" s="151"/>
      <c r="R53" s="157"/>
      <c r="S53" s="102"/>
      <c r="T53" s="151"/>
      <c r="U53" s="150"/>
      <c r="V53" s="151"/>
      <c r="W53" s="155"/>
      <c r="X53" s="151"/>
      <c r="Y53" s="102"/>
      <c r="Z53" s="150"/>
      <c r="AA53" s="155"/>
      <c r="AB53" s="151"/>
      <c r="AC53" s="102"/>
      <c r="AD53" s="150"/>
      <c r="AE53" s="102"/>
      <c r="AF53" s="150"/>
      <c r="AG53" s="102"/>
      <c r="AH53" s="150"/>
      <c r="AI53" s="151"/>
      <c r="AJ53" s="151"/>
      <c r="AK53" s="151"/>
      <c r="AL53" s="151"/>
      <c r="AM53" s="151"/>
      <c r="AN53" s="151"/>
      <c r="AO53" s="151"/>
      <c r="AP53" s="151"/>
      <c r="AQ53" s="152"/>
      <c r="AR53" s="153"/>
      <c r="AS53" s="153"/>
      <c r="AT53" s="153"/>
      <c r="AU53" s="153"/>
      <c r="AV53" s="153"/>
      <c r="AW53" s="153"/>
      <c r="AX53" s="153"/>
      <c r="AY53" s="153"/>
      <c r="AZ53" s="151"/>
      <c r="BA53" s="154"/>
      <c r="BB53" s="151"/>
      <c r="BC53" s="151"/>
      <c r="BD53" s="102"/>
      <c r="BE53" s="154"/>
      <c r="BF53" s="102"/>
      <c r="BG53" s="151"/>
      <c r="BH53" s="154"/>
      <c r="BI53" s="155"/>
      <c r="BJ53" s="155"/>
      <c r="BK53" s="155"/>
      <c r="BL53" s="102"/>
      <c r="BM53" s="102"/>
      <c r="BN53" s="102"/>
      <c r="BO53" s="155"/>
      <c r="BP53" s="155"/>
      <c r="BQ53" s="154"/>
      <c r="BR53" s="155"/>
      <c r="BS53" s="156"/>
      <c r="BT53" s="102"/>
      <c r="BU53" s="102"/>
      <c r="BV53" s="154"/>
      <c r="BW53" s="155"/>
      <c r="BX53" s="155"/>
      <c r="BY53" s="155"/>
      <c r="BZ53" s="102"/>
      <c r="CA53" s="102"/>
      <c r="CB53" s="102"/>
      <c r="CC53" s="155"/>
      <c r="CD53" s="151"/>
      <c r="CE53" s="154"/>
      <c r="CF53" s="155"/>
      <c r="CG53" s="151"/>
      <c r="CH53" s="102"/>
      <c r="CI53" s="102"/>
      <c r="CJ53" s="154"/>
      <c r="CK53" s="155"/>
      <c r="CL53" s="155"/>
      <c r="CM53" s="155"/>
      <c r="CN53" s="155"/>
      <c r="CO53" s="155"/>
      <c r="CP53" s="155"/>
      <c r="CQ53" s="155"/>
      <c r="CR53" s="151"/>
      <c r="CS53" s="154"/>
      <c r="CT53" s="155"/>
      <c r="CU53" s="102"/>
      <c r="CV53" s="102"/>
      <c r="CW53" s="151"/>
      <c r="CX53" s="151"/>
      <c r="CY53" s="154"/>
      <c r="CZ53" s="102"/>
      <c r="DA53" s="151"/>
      <c r="DB53" s="154"/>
      <c r="DC53" s="102"/>
      <c r="DD53" s="151"/>
      <c r="DE53" s="154"/>
      <c r="DF53" s="155"/>
      <c r="DG53" s="151"/>
      <c r="DH53" s="151"/>
      <c r="DI53" s="102"/>
      <c r="DJ53" s="151"/>
      <c r="DK53" s="150"/>
      <c r="DL53" s="151"/>
      <c r="DM53" s="151"/>
      <c r="DN53" s="151"/>
      <c r="DO53" s="151"/>
      <c r="DP53" s="151"/>
      <c r="DQ53" s="102"/>
      <c r="DR53" s="102"/>
      <c r="DS53" s="102"/>
      <c r="DT53" s="102"/>
      <c r="DU53" s="154"/>
      <c r="DV53" s="151"/>
      <c r="DW53" s="151"/>
      <c r="DX53" s="151"/>
      <c r="DY53" s="102"/>
      <c r="DZ53" s="102"/>
      <c r="EA53" s="150"/>
      <c r="EB53" s="102"/>
      <c r="EC53" s="102"/>
      <c r="ED53" s="154"/>
      <c r="EE53" s="155"/>
      <c r="EF53" s="155"/>
      <c r="EG53" s="155"/>
      <c r="EH53" s="102"/>
      <c r="EI53" s="102"/>
      <c r="EJ53" s="102"/>
      <c r="EK53" s="102"/>
      <c r="EL53" s="151"/>
      <c r="EM53" s="151"/>
      <c r="EN53" s="151"/>
      <c r="EO53" s="151"/>
      <c r="EP53" s="150"/>
      <c r="EQ53" s="102"/>
      <c r="ER53" s="87" t="str">
        <f>IFERROR(1/(1/SUMIFS(AGYW!$S:$S,AGYW!$C:$C,$B53,AGYW!$D:$D,$C53)),"")</f>
        <v/>
      </c>
      <c r="ES53" s="14" t="str">
        <f>IFERROR(1/(1/SUMIFS(AGYW!$T:$T,AGYW!$C:$C,$B53,AGYW!$D:$D,$C53)),"")</f>
        <v/>
      </c>
      <c r="ET53" s="9" t="str">
        <f>$ER53</f>
        <v/>
      </c>
      <c r="EU53" s="9" t="str">
        <f>$ES53</f>
        <v/>
      </c>
      <c r="EV53" s="90" t="str">
        <f>IF(SUM($ER53)=0,"",(SUM($ET53)-$ER53)/$ER53)</f>
        <v/>
      </c>
      <c r="EW53" s="90" t="str">
        <f>IF(SUM($ES53)=0,"",(SUM($EU53)-$ES53)/$ES53)</f>
        <v/>
      </c>
      <c r="EX53" s="154"/>
      <c r="EY53" s="102"/>
      <c r="EZ53" s="151"/>
      <c r="FA53" s="154"/>
      <c r="FB53" s="102"/>
      <c r="FC53" s="156"/>
    </row>
    <row r="54" spans="1:159" x14ac:dyDescent="0.2">
      <c r="A54" t="s">
        <v>814</v>
      </c>
      <c r="B54" s="13" t="s">
        <v>816</v>
      </c>
      <c r="C54" t="s">
        <v>29</v>
      </c>
      <c r="E54" s="154"/>
      <c r="F54" s="155"/>
      <c r="G54" s="155"/>
      <c r="H54" s="155"/>
      <c r="I54" s="155"/>
      <c r="J54" s="155"/>
      <c r="K54" s="155"/>
      <c r="L54" s="151"/>
      <c r="M54" s="154"/>
      <c r="N54" s="102"/>
      <c r="O54" s="151"/>
      <c r="P54" s="155"/>
      <c r="Q54" s="151"/>
      <c r="R54" s="157"/>
      <c r="S54" s="102"/>
      <c r="T54" s="151"/>
      <c r="U54" s="150"/>
      <c r="V54" s="151"/>
      <c r="W54" s="155"/>
      <c r="X54" s="151"/>
      <c r="Y54" s="102"/>
      <c r="Z54" s="150"/>
      <c r="AA54" s="155"/>
      <c r="AB54" s="151"/>
      <c r="AC54" s="102"/>
      <c r="AD54" s="150"/>
      <c r="AE54" s="102"/>
      <c r="AF54" s="150"/>
      <c r="AG54" s="102"/>
      <c r="AH54" s="150"/>
      <c r="AI54" s="151"/>
      <c r="AJ54" s="151"/>
      <c r="AK54" s="151"/>
      <c r="AL54" s="151"/>
      <c r="AM54" s="151"/>
      <c r="AN54" s="151"/>
      <c r="AO54" s="151"/>
      <c r="AP54" s="151"/>
      <c r="AQ54" s="152"/>
      <c r="AR54" s="153"/>
      <c r="AS54" s="153"/>
      <c r="AT54" s="153"/>
      <c r="AU54" s="153"/>
      <c r="AV54" s="153"/>
      <c r="AW54" s="153"/>
      <c r="AX54" s="153"/>
      <c r="AY54" s="153"/>
      <c r="AZ54" s="151"/>
      <c r="BA54" s="154"/>
      <c r="BB54" s="151"/>
      <c r="BC54" s="151"/>
      <c r="BD54" s="102"/>
      <c r="BE54" s="154"/>
      <c r="BF54" s="102"/>
      <c r="BG54" s="151"/>
      <c r="BH54" s="154"/>
      <c r="BI54" s="155"/>
      <c r="BJ54" s="155"/>
      <c r="BK54" s="155"/>
      <c r="BL54" s="102"/>
      <c r="BM54" s="102"/>
      <c r="BN54" s="102"/>
      <c r="BO54" s="155"/>
      <c r="BP54" s="155"/>
      <c r="BQ54" s="154"/>
      <c r="BR54" s="155"/>
      <c r="BS54" s="156"/>
      <c r="BT54" s="102"/>
      <c r="BU54" s="102"/>
      <c r="BV54" s="154"/>
      <c r="BW54" s="155"/>
      <c r="BX54" s="155"/>
      <c r="BY54" s="155"/>
      <c r="BZ54" s="102"/>
      <c r="CA54" s="102"/>
      <c r="CB54" s="102"/>
      <c r="CC54" s="155"/>
      <c r="CD54" s="151"/>
      <c r="CE54" s="154"/>
      <c r="CF54" s="155"/>
      <c r="CG54" s="151"/>
      <c r="CH54" s="102"/>
      <c r="CI54" s="102"/>
      <c r="CJ54" s="154"/>
      <c r="CK54" s="155"/>
      <c r="CL54" s="155"/>
      <c r="CM54" s="155"/>
      <c r="CN54" s="155"/>
      <c r="CO54" s="155"/>
      <c r="CP54" s="155"/>
      <c r="CQ54" s="155"/>
      <c r="CR54" s="151"/>
      <c r="CS54" s="154"/>
      <c r="CT54" s="155"/>
      <c r="CU54" s="102"/>
      <c r="CV54" s="102"/>
      <c r="CW54" s="151"/>
      <c r="CX54" s="151"/>
      <c r="CY54" s="154"/>
      <c r="CZ54" s="102"/>
      <c r="DA54" s="151"/>
      <c r="DB54" s="154"/>
      <c r="DC54" s="102"/>
      <c r="DD54" s="151"/>
      <c r="DE54" s="154"/>
      <c r="DF54" s="155"/>
      <c r="DG54" s="151"/>
      <c r="DH54" s="151"/>
      <c r="DI54" s="102"/>
      <c r="DJ54" s="151"/>
      <c r="DK54" s="150"/>
      <c r="DL54" s="151"/>
      <c r="DM54" s="151"/>
      <c r="DN54" s="151"/>
      <c r="DO54" s="151"/>
      <c r="DP54" s="151"/>
      <c r="DQ54" s="102"/>
      <c r="DR54" s="102"/>
      <c r="DS54" s="102"/>
      <c r="DT54" s="102"/>
      <c r="DU54" s="154"/>
      <c r="DV54" s="151"/>
      <c r="DW54" s="151"/>
      <c r="DX54" s="151"/>
      <c r="DY54" s="102"/>
      <c r="DZ54" s="102"/>
      <c r="EA54" s="150"/>
      <c r="EB54" s="102"/>
      <c r="EC54" s="102"/>
      <c r="ED54" s="154"/>
      <c r="EE54" s="155"/>
      <c r="EF54" s="155"/>
      <c r="EG54" s="155"/>
      <c r="EH54" s="102"/>
      <c r="EI54" s="102"/>
      <c r="EJ54" s="102"/>
      <c r="EK54" s="102"/>
      <c r="EL54" s="151"/>
      <c r="EM54" s="151"/>
      <c r="EN54" s="151"/>
      <c r="EO54" s="151"/>
      <c r="EP54" s="150"/>
      <c r="EQ54" s="102"/>
      <c r="ER54" s="87" t="str">
        <f>IFERROR(1/(1/SUMIFS(AGYW!$S:$S,AGYW!$C:$C,$B54,AGYW!$D:$D,$C54)),"")</f>
        <v/>
      </c>
      <c r="ES54" s="14" t="str">
        <f>IFERROR(1/(1/SUMIFS(AGYW!$T:$T,AGYW!$C:$C,$B54,AGYW!$D:$D,$C54)),"")</f>
        <v/>
      </c>
      <c r="ET54" s="9" t="str">
        <f>$ER54</f>
        <v/>
      </c>
      <c r="EU54" s="9" t="str">
        <f>$ES54</f>
        <v/>
      </c>
      <c r="EV54" s="90" t="str">
        <f>IF(SUM($ER54)=0,"",(SUM($ET54)-$ER54)/$ER54)</f>
        <v/>
      </c>
      <c r="EW54" s="90" t="str">
        <f>IF(SUM($ES54)=0,"",(SUM($EU54)-$ES54)/$ES54)</f>
        <v/>
      </c>
      <c r="EX54" s="154"/>
      <c r="EY54" s="102"/>
      <c r="EZ54" s="151"/>
      <c r="FA54" s="154"/>
      <c r="FB54" s="102"/>
      <c r="FC54" s="156"/>
    </row>
    <row r="55" spans="1:159" x14ac:dyDescent="0.2">
      <c r="A55" t="s">
        <v>814</v>
      </c>
      <c r="B55" s="13" t="s">
        <v>817</v>
      </c>
      <c r="C55" t="s">
        <v>29</v>
      </c>
      <c r="E55" s="154"/>
      <c r="F55" s="155"/>
      <c r="G55" s="155"/>
      <c r="H55" s="155"/>
      <c r="I55" s="155"/>
      <c r="J55" s="155"/>
      <c r="K55" s="155"/>
      <c r="L55" s="151"/>
      <c r="M55" s="154"/>
      <c r="N55" s="102"/>
      <c r="O55" s="151"/>
      <c r="P55" s="155"/>
      <c r="Q55" s="151"/>
      <c r="R55" s="157"/>
      <c r="S55" s="102"/>
      <c r="T55" s="151"/>
      <c r="U55" s="150"/>
      <c r="V55" s="151"/>
      <c r="W55" s="155"/>
      <c r="X55" s="151"/>
      <c r="Y55" s="102"/>
      <c r="Z55" s="150"/>
      <c r="AA55" s="155"/>
      <c r="AB55" s="151"/>
      <c r="AC55" s="102"/>
      <c r="AD55" s="150"/>
      <c r="AE55" s="102"/>
      <c r="AF55" s="150"/>
      <c r="AG55" s="102"/>
      <c r="AH55" s="150"/>
      <c r="AI55" s="151"/>
      <c r="AJ55" s="151"/>
      <c r="AK55" s="151"/>
      <c r="AL55" s="151"/>
      <c r="AM55" s="151"/>
      <c r="AN55" s="151"/>
      <c r="AO55" s="151"/>
      <c r="AP55" s="151"/>
      <c r="AQ55" s="152"/>
      <c r="AR55" s="153"/>
      <c r="AS55" s="153"/>
      <c r="AT55" s="153"/>
      <c r="AU55" s="153"/>
      <c r="AV55" s="153"/>
      <c r="AW55" s="153"/>
      <c r="AX55" s="153"/>
      <c r="AY55" s="153"/>
      <c r="AZ55" s="151"/>
      <c r="BA55" s="154"/>
      <c r="BB55" s="151"/>
      <c r="BC55" s="151"/>
      <c r="BD55" s="102"/>
      <c r="BE55" s="154"/>
      <c r="BF55" s="102"/>
      <c r="BG55" s="151"/>
      <c r="BH55" s="154"/>
      <c r="BI55" s="155"/>
      <c r="BJ55" s="155"/>
      <c r="BK55" s="155"/>
      <c r="BL55" s="102"/>
      <c r="BM55" s="102"/>
      <c r="BN55" s="102"/>
      <c r="BO55" s="155"/>
      <c r="BP55" s="155"/>
      <c r="BQ55" s="154"/>
      <c r="BR55" s="155"/>
      <c r="BS55" s="156"/>
      <c r="BT55" s="102"/>
      <c r="BU55" s="102"/>
      <c r="BV55" s="154"/>
      <c r="BW55" s="155"/>
      <c r="BX55" s="155"/>
      <c r="BY55" s="155"/>
      <c r="BZ55" s="102"/>
      <c r="CA55" s="102"/>
      <c r="CB55" s="102"/>
      <c r="CC55" s="155"/>
      <c r="CD55" s="151"/>
      <c r="CE55" s="154"/>
      <c r="CF55" s="155"/>
      <c r="CG55" s="151"/>
      <c r="CH55" s="102"/>
      <c r="CI55" s="102"/>
      <c r="CJ55" s="154"/>
      <c r="CK55" s="155"/>
      <c r="CL55" s="155"/>
      <c r="CM55" s="155"/>
      <c r="CN55" s="155"/>
      <c r="CO55" s="155"/>
      <c r="CP55" s="155"/>
      <c r="CQ55" s="155"/>
      <c r="CR55" s="151"/>
      <c r="CS55" s="154"/>
      <c r="CT55" s="155"/>
      <c r="CU55" s="102"/>
      <c r="CV55" s="102"/>
      <c r="CW55" s="151"/>
      <c r="CX55" s="151"/>
      <c r="CY55" s="154"/>
      <c r="CZ55" s="102"/>
      <c r="DA55" s="151"/>
      <c r="DB55" s="154"/>
      <c r="DC55" s="102"/>
      <c r="DD55" s="151"/>
      <c r="DE55" s="154"/>
      <c r="DF55" s="155"/>
      <c r="DG55" s="151"/>
      <c r="DH55" s="151"/>
      <c r="DI55" s="102"/>
      <c r="DJ55" s="151"/>
      <c r="DK55" s="150"/>
      <c r="DL55" s="151"/>
      <c r="DM55" s="151"/>
      <c r="DN55" s="151"/>
      <c r="DO55" s="151"/>
      <c r="DP55" s="151"/>
      <c r="DQ55" s="102"/>
      <c r="DR55" s="102"/>
      <c r="DS55" s="102"/>
      <c r="DT55" s="102"/>
      <c r="DU55" s="154"/>
      <c r="DV55" s="151"/>
      <c r="DW55" s="151"/>
      <c r="DX55" s="151"/>
      <c r="DY55" s="102"/>
      <c r="DZ55" s="102"/>
      <c r="EA55" s="150"/>
      <c r="EB55" s="102"/>
      <c r="EC55" s="102"/>
      <c r="ED55" s="154"/>
      <c r="EE55" s="155"/>
      <c r="EF55" s="155"/>
      <c r="EG55" s="155"/>
      <c r="EH55" s="102"/>
      <c r="EI55" s="102"/>
      <c r="EJ55" s="102"/>
      <c r="EK55" s="102"/>
      <c r="EL55" s="151"/>
      <c r="EM55" s="151"/>
      <c r="EN55" s="151"/>
      <c r="EO55" s="151"/>
      <c r="EP55" s="150"/>
      <c r="EQ55" s="102"/>
      <c r="ER55" s="87" t="str">
        <f>IFERROR(1/(1/SUMIFS(AGYW!$S:$S,AGYW!$C:$C,$B55,AGYW!$D:$D,$C55)),"")</f>
        <v/>
      </c>
      <c r="ES55" s="14" t="str">
        <f>IFERROR(1/(1/SUMIFS(AGYW!$T:$T,AGYW!$C:$C,$B55,AGYW!$D:$D,$C55)),"")</f>
        <v/>
      </c>
      <c r="ET55" s="9" t="str">
        <f>$ER55</f>
        <v/>
      </c>
      <c r="EU55" s="9" t="str">
        <f>$ES55</f>
        <v/>
      </c>
      <c r="EV55" s="90" t="str">
        <f>IF(SUM($ER55)=0,"",(SUM($ET55)-$ER55)/$ER55)</f>
        <v/>
      </c>
      <c r="EW55" s="90" t="str">
        <f>IF(SUM($ES55)=0,"",(SUM($EU55)-$ES55)/$ES55)</f>
        <v/>
      </c>
      <c r="EX55" s="154"/>
      <c r="EY55" s="102"/>
      <c r="EZ55" s="151"/>
      <c r="FA55" s="154"/>
      <c r="FB55" s="102"/>
      <c r="FC55" s="156"/>
    </row>
    <row r="56" spans="1:159" x14ac:dyDescent="0.2">
      <c r="A56" t="s">
        <v>497</v>
      </c>
      <c r="C56" t="s">
        <v>29</v>
      </c>
      <c r="E56" s="154"/>
      <c r="F56" s="155"/>
      <c r="G56" s="155"/>
      <c r="H56" s="155"/>
      <c r="I56" s="155"/>
      <c r="J56" s="155"/>
      <c r="K56" s="155"/>
      <c r="L56" s="151"/>
      <c r="M56" s="154"/>
      <c r="N56" s="102"/>
      <c r="O56" s="151"/>
      <c r="P56" s="155"/>
      <c r="Q56" s="151"/>
      <c r="R56" s="157"/>
      <c r="S56" s="102"/>
      <c r="T56" s="151"/>
      <c r="U56" s="150"/>
      <c r="V56" s="151"/>
      <c r="W56" s="155"/>
      <c r="X56" s="151"/>
      <c r="Y56" s="102"/>
      <c r="Z56" s="150"/>
      <c r="AA56" s="155"/>
      <c r="AB56" s="151"/>
      <c r="AC56" s="102"/>
      <c r="AD56" s="150"/>
      <c r="AE56" s="102"/>
      <c r="AF56" s="150"/>
      <c r="AG56" s="102"/>
      <c r="AH56" s="150"/>
      <c r="AI56" s="151"/>
      <c r="AJ56" s="151"/>
      <c r="AK56" s="151"/>
      <c r="AL56" s="151"/>
      <c r="AM56" s="151"/>
      <c r="AN56" s="151"/>
      <c r="AO56" s="151"/>
      <c r="AP56" s="151"/>
      <c r="AQ56" s="152"/>
      <c r="AR56" s="153"/>
      <c r="AS56" s="153"/>
      <c r="AT56" s="153"/>
      <c r="AU56" s="153"/>
      <c r="AV56" s="153"/>
      <c r="AW56" s="153"/>
      <c r="AX56" s="153"/>
      <c r="AY56" s="153"/>
      <c r="AZ56" s="151"/>
      <c r="BA56" s="154"/>
      <c r="BB56" s="151"/>
      <c r="BC56" s="151"/>
      <c r="BD56" s="102"/>
      <c r="BE56" s="154"/>
      <c r="BF56" s="102"/>
      <c r="BG56" s="151"/>
      <c r="BH56" s="154"/>
      <c r="BI56" s="155"/>
      <c r="BJ56" s="155"/>
      <c r="BK56" s="155"/>
      <c r="BL56" s="102"/>
      <c r="BM56" s="102"/>
      <c r="BN56" s="102"/>
      <c r="BO56" s="155"/>
      <c r="BP56" s="155"/>
      <c r="BQ56" s="154"/>
      <c r="BR56" s="155"/>
      <c r="BS56" s="156"/>
      <c r="BT56" s="102"/>
      <c r="BU56" s="102"/>
      <c r="BV56" s="154"/>
      <c r="BW56" s="155"/>
      <c r="BX56" s="155"/>
      <c r="BY56" s="155"/>
      <c r="BZ56" s="102"/>
      <c r="CA56" s="102"/>
      <c r="CB56" s="102"/>
      <c r="CC56" s="155"/>
      <c r="CD56" s="151"/>
      <c r="CE56" s="154"/>
      <c r="CF56" s="155"/>
      <c r="CG56" s="151"/>
      <c r="CH56" s="102"/>
      <c r="CI56" s="102"/>
      <c r="CJ56" s="154"/>
      <c r="CK56" s="155"/>
      <c r="CL56" s="155"/>
      <c r="CM56" s="155"/>
      <c r="CN56" s="155"/>
      <c r="CO56" s="155"/>
      <c r="CP56" s="155"/>
      <c r="CQ56" s="155"/>
      <c r="CR56" s="151"/>
      <c r="CS56" s="154"/>
      <c r="CT56" s="155"/>
      <c r="CU56" s="102"/>
      <c r="CV56" s="102"/>
      <c r="CW56" s="151"/>
      <c r="CX56" s="151"/>
      <c r="CY56" s="154"/>
      <c r="CZ56" s="102"/>
      <c r="DA56" s="151"/>
      <c r="DB56" s="154"/>
      <c r="DC56" s="102"/>
      <c r="DD56" s="151"/>
      <c r="DE56" s="154"/>
      <c r="DF56" s="155"/>
      <c r="DG56" s="151"/>
      <c r="DH56" s="151"/>
      <c r="DI56" s="102"/>
      <c r="DJ56" s="151"/>
      <c r="DK56" s="150"/>
      <c r="DL56" s="151"/>
      <c r="DM56" s="151"/>
      <c r="DN56" s="151"/>
      <c r="DO56" s="151"/>
      <c r="DP56" s="151"/>
      <c r="DQ56" s="102"/>
      <c r="DR56" s="102"/>
      <c r="DS56" s="102"/>
      <c r="DT56" s="102"/>
      <c r="DU56" s="154"/>
      <c r="DV56" s="151"/>
      <c r="DW56" s="151"/>
      <c r="DX56" s="151"/>
      <c r="DY56" s="102"/>
      <c r="DZ56" s="102"/>
      <c r="EA56" s="150"/>
      <c r="EB56" s="102"/>
      <c r="EC56" s="102"/>
      <c r="ED56" s="154"/>
      <c r="EE56" s="155"/>
      <c r="EF56" s="155"/>
      <c r="EG56" s="155"/>
      <c r="EH56" s="102"/>
      <c r="EI56" s="102"/>
      <c r="EJ56" s="102"/>
      <c r="EK56" s="102"/>
      <c r="EL56" s="151"/>
      <c r="EM56" s="151"/>
      <c r="EN56" s="151"/>
      <c r="EO56" s="151"/>
      <c r="EP56" s="150"/>
      <c r="EQ56" s="102"/>
      <c r="ER56" s="154"/>
      <c r="ES56" s="155"/>
      <c r="ET56" s="102"/>
      <c r="EU56" s="102"/>
      <c r="EV56" s="151"/>
      <c r="EW56" s="151"/>
      <c r="EX56" s="87" t="str">
        <f>IFERROR(1/(1/SUMIFS(KP_MAT!$J:$J,KP_MAT!$C:$C,$C56)),"")</f>
        <v/>
      </c>
      <c r="EY56" s="9" t="str">
        <f>$EX56</f>
        <v/>
      </c>
      <c r="EZ56" s="90" t="str">
        <f>IF(SUM($EX56)=0,"",(SUM($EY56)-$EX56)/$EX56)</f>
        <v/>
      </c>
      <c r="FA56" s="154"/>
      <c r="FB56" s="102"/>
      <c r="FC56" s="156"/>
    </row>
    <row r="57" spans="1:159" x14ac:dyDescent="0.2">
      <c r="A57" t="s">
        <v>497</v>
      </c>
      <c r="C57" t="s">
        <v>47</v>
      </c>
      <c r="E57" s="154"/>
      <c r="F57" s="155"/>
      <c r="G57" s="155"/>
      <c r="H57" s="155"/>
      <c r="I57" s="155"/>
      <c r="J57" s="155"/>
      <c r="K57" s="155"/>
      <c r="L57" s="151"/>
      <c r="M57" s="154"/>
      <c r="N57" s="102"/>
      <c r="O57" s="151"/>
      <c r="P57" s="155"/>
      <c r="Q57" s="151"/>
      <c r="R57" s="157"/>
      <c r="S57" s="102"/>
      <c r="T57" s="151"/>
      <c r="U57" s="150"/>
      <c r="V57" s="151"/>
      <c r="W57" s="155"/>
      <c r="X57" s="151"/>
      <c r="Y57" s="102"/>
      <c r="Z57" s="150"/>
      <c r="AA57" s="155"/>
      <c r="AB57" s="151"/>
      <c r="AC57" s="102"/>
      <c r="AD57" s="150"/>
      <c r="AE57" s="102"/>
      <c r="AF57" s="150"/>
      <c r="AG57" s="102"/>
      <c r="AH57" s="150"/>
      <c r="AI57" s="151"/>
      <c r="AJ57" s="151"/>
      <c r="AK57" s="151"/>
      <c r="AL57" s="151"/>
      <c r="AM57" s="151"/>
      <c r="AN57" s="151"/>
      <c r="AO57" s="151"/>
      <c r="AP57" s="151"/>
      <c r="AQ57" s="152"/>
      <c r="AR57" s="153"/>
      <c r="AS57" s="153"/>
      <c r="AT57" s="153"/>
      <c r="AU57" s="153"/>
      <c r="AV57" s="153"/>
      <c r="AW57" s="153"/>
      <c r="AX57" s="153"/>
      <c r="AY57" s="153"/>
      <c r="AZ57" s="151"/>
      <c r="BA57" s="154"/>
      <c r="BB57" s="151"/>
      <c r="BC57" s="151"/>
      <c r="BD57" s="102"/>
      <c r="BE57" s="154"/>
      <c r="BF57" s="102"/>
      <c r="BG57" s="151"/>
      <c r="BH57" s="154"/>
      <c r="BI57" s="155"/>
      <c r="BJ57" s="155"/>
      <c r="BK57" s="155"/>
      <c r="BL57" s="102"/>
      <c r="BM57" s="102"/>
      <c r="BN57" s="102"/>
      <c r="BO57" s="155"/>
      <c r="BP57" s="155"/>
      <c r="BQ57" s="154"/>
      <c r="BR57" s="155"/>
      <c r="BS57" s="156"/>
      <c r="BT57" s="102"/>
      <c r="BU57" s="102"/>
      <c r="BV57" s="154"/>
      <c r="BW57" s="155"/>
      <c r="BX57" s="155"/>
      <c r="BY57" s="155"/>
      <c r="BZ57" s="102"/>
      <c r="CA57" s="102"/>
      <c r="CB57" s="102"/>
      <c r="CC57" s="155"/>
      <c r="CD57" s="151"/>
      <c r="CE57" s="154"/>
      <c r="CF57" s="155"/>
      <c r="CG57" s="151"/>
      <c r="CH57" s="102"/>
      <c r="CI57" s="102"/>
      <c r="CJ57" s="154"/>
      <c r="CK57" s="155"/>
      <c r="CL57" s="155"/>
      <c r="CM57" s="155"/>
      <c r="CN57" s="155"/>
      <c r="CO57" s="155"/>
      <c r="CP57" s="155"/>
      <c r="CQ57" s="155"/>
      <c r="CR57" s="151"/>
      <c r="CS57" s="154"/>
      <c r="CT57" s="155"/>
      <c r="CU57" s="102"/>
      <c r="CV57" s="102"/>
      <c r="CW57" s="151"/>
      <c r="CX57" s="151"/>
      <c r="CY57" s="154"/>
      <c r="CZ57" s="102"/>
      <c r="DA57" s="151"/>
      <c r="DB57" s="154"/>
      <c r="DC57" s="102"/>
      <c r="DD57" s="151"/>
      <c r="DE57" s="154"/>
      <c r="DF57" s="155"/>
      <c r="DG57" s="151"/>
      <c r="DH57" s="151"/>
      <c r="DI57" s="102"/>
      <c r="DJ57" s="151"/>
      <c r="DK57" s="150"/>
      <c r="DL57" s="151"/>
      <c r="DM57" s="151"/>
      <c r="DN57" s="151"/>
      <c r="DO57" s="151"/>
      <c r="DP57" s="151"/>
      <c r="DQ57" s="102"/>
      <c r="DR57" s="102"/>
      <c r="DS57" s="102"/>
      <c r="DT57" s="102"/>
      <c r="DU57" s="154"/>
      <c r="DV57" s="151"/>
      <c r="DW57" s="151"/>
      <c r="DX57" s="151"/>
      <c r="DY57" s="102"/>
      <c r="DZ57" s="102"/>
      <c r="EA57" s="150"/>
      <c r="EB57" s="102"/>
      <c r="EC57" s="102"/>
      <c r="ED57" s="154"/>
      <c r="EE57" s="155"/>
      <c r="EF57" s="155"/>
      <c r="EG57" s="155"/>
      <c r="EH57" s="102"/>
      <c r="EI57" s="102"/>
      <c r="EJ57" s="102"/>
      <c r="EK57" s="102"/>
      <c r="EL57" s="151"/>
      <c r="EM57" s="151"/>
      <c r="EN57" s="151"/>
      <c r="EO57" s="151"/>
      <c r="EP57" s="150"/>
      <c r="EQ57" s="102"/>
      <c r="ER57" s="154"/>
      <c r="ES57" s="155"/>
      <c r="ET57" s="102"/>
      <c r="EU57" s="102"/>
      <c r="EV57" s="151"/>
      <c r="EW57" s="151"/>
      <c r="EX57" s="87" t="str">
        <f>IFERROR(1/(1/SUMIFS(KP_MAT!$J:$J,KP_MAT!$C:$C,$C57)),"")</f>
        <v/>
      </c>
      <c r="EY57" s="9" t="str">
        <f>$EX57</f>
        <v/>
      </c>
      <c r="EZ57" s="90" t="str">
        <f>IF(SUM($EX57)=0,"",(SUM($EY57)-$EX57)/$EX57)</f>
        <v/>
      </c>
      <c r="FA57" s="154"/>
      <c r="FB57" s="102"/>
      <c r="FC57" s="156"/>
    </row>
    <row r="58" spans="1:159" x14ac:dyDescent="0.2">
      <c r="A58" t="s">
        <v>818</v>
      </c>
      <c r="E58" s="154"/>
      <c r="F58" s="155"/>
      <c r="G58" s="155"/>
      <c r="H58" s="155"/>
      <c r="I58" s="155"/>
      <c r="J58" s="155"/>
      <c r="K58" s="155"/>
      <c r="L58" s="151"/>
      <c r="M58" s="154"/>
      <c r="N58" s="102"/>
      <c r="O58" s="151"/>
      <c r="P58" s="155"/>
      <c r="Q58" s="151"/>
      <c r="R58" s="157"/>
      <c r="S58" s="102"/>
      <c r="T58" s="151"/>
      <c r="U58" s="150"/>
      <c r="V58" s="151"/>
      <c r="W58" s="155"/>
      <c r="X58" s="151"/>
      <c r="Y58" s="102"/>
      <c r="Z58" s="150"/>
      <c r="AA58" s="155"/>
      <c r="AB58" s="151"/>
      <c r="AC58" s="102"/>
      <c r="AD58" s="150"/>
      <c r="AE58" s="102"/>
      <c r="AF58" s="150"/>
      <c r="AG58" s="102"/>
      <c r="AH58" s="150"/>
      <c r="AI58" s="151"/>
      <c r="AJ58" s="151"/>
      <c r="AK58" s="151"/>
      <c r="AL58" s="151"/>
      <c r="AM58" s="151"/>
      <c r="AN58" s="151"/>
      <c r="AO58" s="151"/>
      <c r="AP58" s="151"/>
      <c r="AQ58" s="152"/>
      <c r="AR58" s="153"/>
      <c r="AS58" s="153"/>
      <c r="AT58" s="153"/>
      <c r="AU58" s="153"/>
      <c r="AV58" s="153"/>
      <c r="AW58" s="153"/>
      <c r="AX58" s="153"/>
      <c r="AY58" s="153"/>
      <c r="AZ58" s="151"/>
      <c r="BA58" s="154"/>
      <c r="BB58" s="151"/>
      <c r="BC58" s="151"/>
      <c r="BD58" s="102"/>
      <c r="BE58" s="154"/>
      <c r="BF58" s="102"/>
      <c r="BG58" s="151"/>
      <c r="BH58" s="154"/>
      <c r="BI58" s="155"/>
      <c r="BJ58" s="155"/>
      <c r="BK58" s="155"/>
      <c r="BL58" s="102"/>
      <c r="BM58" s="102"/>
      <c r="BN58" s="102"/>
      <c r="BO58" s="155"/>
      <c r="BP58" s="155"/>
      <c r="BQ58" s="154"/>
      <c r="BR58" s="155"/>
      <c r="BS58" s="156"/>
      <c r="BT58" s="102"/>
      <c r="BU58" s="102"/>
      <c r="BV58" s="154"/>
      <c r="BW58" s="155"/>
      <c r="BX58" s="155"/>
      <c r="BY58" s="155"/>
      <c r="BZ58" s="102"/>
      <c r="CA58" s="102"/>
      <c r="CB58" s="102"/>
      <c r="CC58" s="155"/>
      <c r="CD58" s="151"/>
      <c r="CE58" s="154"/>
      <c r="CF58" s="155"/>
      <c r="CG58" s="151"/>
      <c r="CH58" s="102"/>
      <c r="CI58" s="102"/>
      <c r="CJ58" s="154"/>
      <c r="CK58" s="155"/>
      <c r="CL58" s="155"/>
      <c r="CM58" s="155"/>
      <c r="CN58" s="155"/>
      <c r="CO58" s="155"/>
      <c r="CP58" s="155"/>
      <c r="CQ58" s="155"/>
      <c r="CR58" s="151"/>
      <c r="CS58" s="154"/>
      <c r="CT58" s="155"/>
      <c r="CU58" s="102"/>
      <c r="CV58" s="102"/>
      <c r="CW58" s="151"/>
      <c r="CX58" s="151"/>
      <c r="CY58" s="154"/>
      <c r="CZ58" s="102"/>
      <c r="DA58" s="151"/>
      <c r="DB58" s="154"/>
      <c r="DC58" s="102"/>
      <c r="DD58" s="151"/>
      <c r="DE58" s="154"/>
      <c r="DF58" s="155"/>
      <c r="DG58" s="151"/>
      <c r="DH58" s="151"/>
      <c r="DI58" s="102"/>
      <c r="DJ58" s="151"/>
      <c r="DK58" s="150"/>
      <c r="DL58" s="151"/>
      <c r="DM58" s="151"/>
      <c r="DN58" s="151"/>
      <c r="DO58" s="151"/>
      <c r="DP58" s="151"/>
      <c r="DQ58" s="151"/>
      <c r="DR58" s="151"/>
      <c r="DS58" s="151"/>
      <c r="DT58" s="151"/>
      <c r="DU58" s="150"/>
      <c r="DV58" s="151"/>
      <c r="DW58" s="151"/>
      <c r="DX58" s="151"/>
      <c r="DY58" s="151"/>
      <c r="DZ58" s="151"/>
      <c r="EA58" s="150"/>
      <c r="EB58" s="151"/>
      <c r="EC58" s="151"/>
      <c r="ED58" s="154"/>
      <c r="EE58" s="155"/>
      <c r="EF58" s="155"/>
      <c r="EG58" s="155"/>
      <c r="EH58" s="102"/>
      <c r="EI58" s="102"/>
      <c r="EJ58" s="102"/>
      <c r="EK58" s="102"/>
      <c r="EL58" s="151"/>
      <c r="EM58" s="151"/>
      <c r="EN58" s="151"/>
      <c r="EO58" s="151"/>
      <c r="EP58" s="150"/>
      <c r="EQ58" s="102"/>
      <c r="ER58" s="154"/>
      <c r="ES58" s="155"/>
      <c r="ET58" s="102"/>
      <c r="EU58" s="102"/>
      <c r="EV58" s="151"/>
      <c r="EW58" s="151"/>
      <c r="EX58" s="154"/>
      <c r="EY58" s="102"/>
      <c r="EZ58" s="151"/>
      <c r="FA58" s="87">
        <f>IFERROR(1/(1/SUM(GEND!$G:$H)),"")</f>
        <v>4032</v>
      </c>
      <c r="FC58" s="89">
        <f>IF(SUM($FA58)=0,"",(SUM($FB58)-$FA58)/$FA58)</f>
        <v>-1</v>
      </c>
    </row>
  </sheetData>
  <mergeCells count="1">
    <mergeCell ref="A2:C3"/>
  </mergeCells>
  <conditionalFormatting sqref="AQ1:AY1048576">
    <cfRule type="expression" dxfId="124" priority="2">
      <formula>AND(ISNUMBER(AQ1),AQ1&lt;&gt;AH1)</formula>
    </cfRule>
  </conditionalFormatting>
  <conditionalFormatting sqref="AZ1:AZ1048576">
    <cfRule type="expression" dxfId="123" priority="3">
      <formula>AND(ISNUMBER($AZ1),SUM($AG1)&lt;&gt;0,$AZ1&lt;&gt;1)</formula>
    </cfRule>
  </conditionalFormatting>
  <hyperlinks>
    <hyperlink ref="E3" location="Cascade!BE:BE" display="Total Positives (FY24)" xr:uid="{00000000-0004-0000-0500-000000000000}"/>
    <hyperlink ref="F3" location="Cascade!AU:AU" display="TX_NEW_x000a_(FY24)" xr:uid="{00000000-0004-0000-0500-000001000000}"/>
    <hyperlink ref="G3" location="Cascade!AM:AM" display="TX_CURR (FY24)" xr:uid="{00000000-0004-0000-0500-000002000000}"/>
    <hyperlink ref="H3" location="Cascade!AY:AY" display="TX_PVLS (D) Routine (FY24)" xr:uid="{00000000-0004-0000-0500-000003000000}"/>
    <hyperlink ref="I3" location="Cascade!BB:BB" display="TX_PVLS (N) Routine (FY24)" xr:uid="{00000000-0004-0000-0500-000004000000}"/>
    <hyperlink ref="J3" location="Cascade!AH:AH" display="PLHIV_x000a_(FY24)" xr:uid="{00000000-0004-0000-0500-000005000000}"/>
    <hyperlink ref="K3" location="Cascade!AN:AN" display="P.C. # on ART_x000a_(FY24)" xr:uid="{00000000-0004-0000-0500-000006000000}"/>
    <hyperlink ref="L3" location="Cascade!AO:AO" display="P.C. ART Coverage (ART/PLHIV)_x000a_(FY24)_x000a_(%)" xr:uid="{00000000-0004-0000-0500-000007000000}"/>
  </hyperlinks>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A159"/>
  <sheetViews>
    <sheetView zoomScaleNormal="100" workbookViewId="0">
      <pane xSplit="5" ySplit="14" topLeftCell="AB15" activePane="bottomRight" state="frozen"/>
      <selection pane="topRight" activeCell="AB1" sqref="AB1"/>
      <selection pane="bottomLeft" activeCell="A15" sqref="A15"/>
      <selection pane="bottomRight" activeCell="AJ3" sqref="AJ3"/>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15.5" hidden="1" customWidth="1"/>
    <col min="6" max="53" width="11.83203125" customWidth="1"/>
  </cols>
  <sheetData>
    <row r="1" spans="1:53" ht="30.75" customHeight="1" x14ac:dyDescent="0.2">
      <c r="A1" s="44" t="s">
        <v>819</v>
      </c>
      <c r="C1" s="18"/>
      <c r="D1" s="18"/>
      <c r="E1" s="18"/>
      <c r="F1" s="45" t="s">
        <v>820</v>
      </c>
      <c r="G1" s="21"/>
      <c r="H1" s="158"/>
      <c r="I1" s="21"/>
      <c r="J1" s="48"/>
      <c r="K1" s="21"/>
      <c r="L1" s="21"/>
      <c r="M1" s="21"/>
      <c r="N1" s="21"/>
      <c r="O1" s="21"/>
      <c r="P1" s="21"/>
      <c r="Q1" s="21"/>
      <c r="R1" s="45" t="s">
        <v>821</v>
      </c>
      <c r="S1" s="50"/>
      <c r="T1" s="46"/>
      <c r="U1" s="50"/>
      <c r="V1" s="46"/>
      <c r="W1" s="51" t="s">
        <v>822</v>
      </c>
      <c r="X1" s="50"/>
      <c r="Y1" s="50"/>
      <c r="Z1" s="50"/>
      <c r="AA1" s="46"/>
      <c r="AB1" s="46"/>
      <c r="AC1" s="46"/>
      <c r="AD1" s="46"/>
      <c r="AE1" s="45" t="s">
        <v>823</v>
      </c>
      <c r="AF1" s="46"/>
      <c r="AG1" s="46"/>
      <c r="AH1" s="46"/>
      <c r="AI1" s="51" t="s">
        <v>824</v>
      </c>
      <c r="AJ1" s="46"/>
      <c r="AK1" s="46"/>
      <c r="AL1" s="45" t="s">
        <v>825</v>
      </c>
      <c r="AM1" s="46"/>
      <c r="AN1" s="46"/>
      <c r="AO1" s="45" t="s">
        <v>826</v>
      </c>
      <c r="AP1" s="50"/>
      <c r="AQ1" s="50"/>
      <c r="AR1" s="50"/>
      <c r="AS1" s="46"/>
      <c r="AT1" s="46"/>
      <c r="AU1" s="46"/>
      <c r="AV1" s="45" t="s">
        <v>827</v>
      </c>
      <c r="AW1" s="46"/>
      <c r="AX1" s="46"/>
      <c r="AY1" s="46"/>
      <c r="AZ1" s="46"/>
      <c r="BA1" s="46"/>
    </row>
    <row r="2" spans="1:53" ht="18.75" customHeight="1" x14ac:dyDescent="0.25">
      <c r="A2" s="1" t="s">
        <v>828</v>
      </c>
      <c r="B2" s="1"/>
      <c r="D2" s="22"/>
      <c r="E2" s="22"/>
      <c r="F2" s="52"/>
      <c r="G2" s="25"/>
      <c r="H2" s="53"/>
      <c r="I2" s="25"/>
      <c r="J2" s="54"/>
      <c r="K2" s="25"/>
      <c r="L2" s="25"/>
      <c r="M2" s="25"/>
      <c r="N2" s="25"/>
      <c r="O2" s="25"/>
      <c r="P2" s="25"/>
      <c r="Q2" s="25"/>
      <c r="R2" s="52"/>
      <c r="S2" s="54"/>
      <c r="T2" s="24" t="s">
        <v>176</v>
      </c>
      <c r="U2" s="54"/>
      <c r="V2" s="24" t="s">
        <v>176</v>
      </c>
      <c r="W2" s="56"/>
      <c r="X2" s="54"/>
      <c r="Y2" s="54"/>
      <c r="Z2" s="54"/>
      <c r="AA2" s="24" t="s">
        <v>176</v>
      </c>
      <c r="AB2" s="24" t="s">
        <v>176</v>
      </c>
      <c r="AC2" s="24" t="s">
        <v>176</v>
      </c>
      <c r="AD2" s="24" t="s">
        <v>176</v>
      </c>
      <c r="AE2" s="57" t="s">
        <v>176</v>
      </c>
      <c r="AF2" s="24" t="s">
        <v>176</v>
      </c>
      <c r="AG2" s="24" t="s">
        <v>176</v>
      </c>
      <c r="AH2" s="24" t="s">
        <v>176</v>
      </c>
      <c r="AI2" s="56"/>
      <c r="AJ2" s="24" t="s">
        <v>176</v>
      </c>
      <c r="AK2" s="24" t="s">
        <v>176</v>
      </c>
      <c r="AL2" s="57" t="s">
        <v>176</v>
      </c>
      <c r="AM2" s="24" t="s">
        <v>176</v>
      </c>
      <c r="AN2" s="24" t="s">
        <v>176</v>
      </c>
      <c r="AO2" s="52"/>
      <c r="AP2" s="54"/>
      <c r="AQ2" s="54"/>
      <c r="AR2" s="54"/>
      <c r="AS2" s="24" t="s">
        <v>176</v>
      </c>
      <c r="AT2" s="24" t="s">
        <v>176</v>
      </c>
      <c r="AU2" s="25"/>
      <c r="AV2" s="52"/>
      <c r="AW2" s="25"/>
      <c r="AX2" s="25"/>
      <c r="AY2" s="25"/>
      <c r="AZ2" s="25"/>
      <c r="BA2" s="25"/>
    </row>
    <row r="3" spans="1:53" ht="117" customHeight="1" x14ac:dyDescent="0.2">
      <c r="A3" s="1"/>
      <c r="B3" s="1"/>
      <c r="D3" s="26"/>
      <c r="E3" s="26"/>
      <c r="F3" s="138" t="s">
        <v>829</v>
      </c>
      <c r="G3" s="139" t="s">
        <v>830</v>
      </c>
      <c r="H3" s="159" t="s">
        <v>378</v>
      </c>
      <c r="I3" s="139" t="s">
        <v>831</v>
      </c>
      <c r="J3" s="140" t="s">
        <v>832</v>
      </c>
      <c r="K3" s="64" t="s">
        <v>833</v>
      </c>
      <c r="L3" s="64" t="s">
        <v>834</v>
      </c>
      <c r="M3" s="64" t="s">
        <v>835</v>
      </c>
      <c r="N3" s="64" t="s">
        <v>836</v>
      </c>
      <c r="O3" s="64" t="s">
        <v>837</v>
      </c>
      <c r="P3" s="64" t="s">
        <v>838</v>
      </c>
      <c r="Q3" s="64" t="s">
        <v>839</v>
      </c>
      <c r="R3" s="27" t="s">
        <v>840</v>
      </c>
      <c r="S3" s="160" t="s">
        <v>841</v>
      </c>
      <c r="T3" s="74" t="s">
        <v>842</v>
      </c>
      <c r="U3" s="160" t="s">
        <v>843</v>
      </c>
      <c r="V3" s="74" t="s">
        <v>844</v>
      </c>
      <c r="W3" s="161" t="s">
        <v>845</v>
      </c>
      <c r="X3" s="160" t="s">
        <v>846</v>
      </c>
      <c r="Y3" s="162" t="s">
        <v>847</v>
      </c>
      <c r="Z3" s="160" t="s">
        <v>848</v>
      </c>
      <c r="AA3" s="74" t="s">
        <v>544</v>
      </c>
      <c r="AB3" s="74" t="s">
        <v>541</v>
      </c>
      <c r="AC3" s="74" t="s">
        <v>542</v>
      </c>
      <c r="AD3" s="74" t="s">
        <v>543</v>
      </c>
      <c r="AE3" s="120" t="s">
        <v>849</v>
      </c>
      <c r="AF3" s="28" t="s">
        <v>850</v>
      </c>
      <c r="AG3" s="28" t="s">
        <v>851</v>
      </c>
      <c r="AH3" s="28" t="s">
        <v>852</v>
      </c>
      <c r="AI3" s="141" t="s">
        <v>285</v>
      </c>
      <c r="AJ3" s="74" t="s">
        <v>550</v>
      </c>
      <c r="AK3" s="74" t="s">
        <v>551</v>
      </c>
      <c r="AL3" s="120" t="s">
        <v>853</v>
      </c>
      <c r="AM3" s="28" t="s">
        <v>854</v>
      </c>
      <c r="AN3" s="28" t="s">
        <v>855</v>
      </c>
      <c r="AO3" s="65" t="s">
        <v>856</v>
      </c>
      <c r="AP3" s="73" t="s">
        <v>857</v>
      </c>
      <c r="AQ3" s="67" t="s">
        <v>858</v>
      </c>
      <c r="AR3" s="73" t="s">
        <v>285</v>
      </c>
      <c r="AS3" s="74" t="s">
        <v>859</v>
      </c>
      <c r="AT3" s="74" t="s">
        <v>860</v>
      </c>
      <c r="AU3" s="71" t="s">
        <v>861</v>
      </c>
      <c r="AV3" s="27" t="s">
        <v>862</v>
      </c>
      <c r="AW3" s="139" t="s">
        <v>863</v>
      </c>
      <c r="AX3" s="139" t="s">
        <v>864</v>
      </c>
      <c r="AY3" s="139" t="s">
        <v>865</v>
      </c>
      <c r="AZ3" s="139" t="s">
        <v>866</v>
      </c>
      <c r="BA3" s="71" t="s">
        <v>867</v>
      </c>
    </row>
    <row r="4" spans="1:53" x14ac:dyDescent="0.2">
      <c r="B4" s="30"/>
      <c r="C4" s="30"/>
      <c r="D4" s="30" t="s">
        <v>287</v>
      </c>
      <c r="E4" s="30"/>
      <c r="F4" s="78">
        <f>SUBTOTAL(109,F$15:INDEX(F:F,COUNTA($B:$B)+14-COUNTA($B$1:$B$14)))</f>
        <v>180694</v>
      </c>
      <c r="G4" s="77">
        <f>SUBTOTAL(109,G$15:INDEX(G:G,COUNTA($B:$B)+14-COUNTA($B$1:$B$14)))</f>
        <v>0</v>
      </c>
      <c r="H4" s="79">
        <f>IF($F$4=0,"",$G4/$F4)</f>
        <v>0</v>
      </c>
      <c r="I4" s="77">
        <f>SUBTOTAL(109,I$15:INDEX(I:I,COUNTA($B:$B)+14-COUNTA($B$1:$B$14)))</f>
        <v>176026</v>
      </c>
      <c r="J4" s="80" t="str">
        <f>IF($G$4=0,"",$I4/$G4)</f>
        <v/>
      </c>
      <c r="K4" s="77">
        <f>SUBTOTAL(109,K$15:INDEX(K:K,COUNTA($B:$B)+14-COUNTA($B$1:$B$14)))</f>
        <v>101145</v>
      </c>
      <c r="L4" s="77">
        <f>SUBTOTAL(109,L$15:INDEX(L:L,COUNTA($B:$B)+14-COUNTA($B$1:$B$14)))</f>
        <v>0</v>
      </c>
      <c r="M4" s="77">
        <f>SUBTOTAL(109,M$15:INDEX(M:M,COUNTA($B:$B)+14-COUNTA($B$1:$B$14)))</f>
        <v>108694</v>
      </c>
      <c r="N4" s="77">
        <f>SUBTOTAL(109,N$15:INDEX(N:N,COUNTA($B:$B)+14-COUNTA($B$1:$B$14)))</f>
        <v>104605</v>
      </c>
      <c r="O4" s="77">
        <f>SUBTOTAL(109,O$15:INDEX(O:O,COUNTA($B:$B)+14-COUNTA($B$1:$B$14)))</f>
        <v>99756</v>
      </c>
      <c r="P4" s="77">
        <f>SUBTOTAL(109,P$15:INDEX(P:P,COUNTA($B:$B)+14-COUNTA($B$1:$B$14)))</f>
        <v>108454</v>
      </c>
      <c r="Q4" s="77">
        <f>SUBTOTAL(109,Q$15:INDEX(Q:Q,COUNTA($B:$B)+14-COUNTA($B$1:$B$14)))</f>
        <v>0</v>
      </c>
      <c r="R4" s="78">
        <f>SUBTOTAL(109,R$15:INDEX(R:R,COUNTA($B:$B)+14-COUNTA($B$1:$B$14)))</f>
        <v>248</v>
      </c>
      <c r="S4" s="86">
        <f>IF(SUM($R$4)=0,"",$T$4/$R$4-1)</f>
        <v>0</v>
      </c>
      <c r="T4" s="84">
        <f>SUBTOTAL(109,T$15:INDEX(T:T,COUNTA($B:$B)+14-COUNTA($B$1:$B$14)))</f>
        <v>248</v>
      </c>
      <c r="U4" s="86">
        <f>IF($V$4=0,"",$T$4/$V$4)</f>
        <v>1.024793388429752</v>
      </c>
      <c r="V4" s="84">
        <f>SUBTOTAL(109,V$15:INDEX(V:V,COUNTA($B:$B)+14-COUNTA($B$1:$B$14)))</f>
        <v>242</v>
      </c>
      <c r="W4" s="85"/>
      <c r="X4" s="86">
        <f>IF($AA$4=0,"",$AB$4/$AA$4)</f>
        <v>0.17741935483870969</v>
      </c>
      <c r="Y4" s="86"/>
      <c r="Z4" s="86">
        <f>IF($AA$4=0,"",$AC$4/($AA$4-$AB$4))</f>
        <v>7.3529411764705885E-2</v>
      </c>
      <c r="AA4" s="84">
        <f>SUBTOTAL(109,AA$15:INDEX(AA:AA,COUNTA($B:$B)+14-COUNTA($B$1:$B$14)))</f>
        <v>248</v>
      </c>
      <c r="AB4" s="163">
        <f>IF(COUNTIF(AB$15:INDEX($AB:$AB,COUNTA($B:$B)+14-COUNTA($B$1:$B$14)),"&lt;0")&gt;0,"RESOLVE NEGATIVES",SUBTOTAL(109,AB$15:INDEX(AB:AB,COUNTA($B:$B)+14-COUNTA($B$1:$B$14))))</f>
        <v>44</v>
      </c>
      <c r="AC4" s="84">
        <f>SUBTOTAL(109,AC$15:INDEX(AC:AC,COUNTA($B:$B)+14-COUNTA($B$1:$B$14)))</f>
        <v>15</v>
      </c>
      <c r="AD4" s="84">
        <f>SUBTOTAL(109,AD$15:INDEX(AD:AD,COUNTA($B:$B)+14-COUNTA($B$1:$B$14)))</f>
        <v>189</v>
      </c>
      <c r="AE4" s="123">
        <f>SUBTOTAL(109,AE$15:INDEX(AE:AE,COUNTA($B:$B)+14-COUNTA($B$1:$B$14)))</f>
        <v>242</v>
      </c>
      <c r="AF4" s="84">
        <f>SUBTOTAL(109,AF$15:INDEX(AF:AF,COUNTA($B:$B)+14-COUNTA($B$1:$B$14)))</f>
        <v>44</v>
      </c>
      <c r="AG4" s="84">
        <f>SUBTOTAL(109,AG$15:INDEX(AG:AG,COUNTA($B:$B)+14-COUNTA($B$1:$B$14)))</f>
        <v>15</v>
      </c>
      <c r="AH4" s="84">
        <f>SUBTOTAL(109,AH$15:INDEX(AH:AH,COUNTA($B:$B)+14-COUNTA($B$1:$B$14)))</f>
        <v>183</v>
      </c>
      <c r="AI4" s="85">
        <f>IF($AC$4=0,"",$AK$4/$AC$4)</f>
        <v>1</v>
      </c>
      <c r="AJ4" s="84">
        <f>SUBTOTAL(109,AJ$15:INDEX(AJ:AJ,COUNTA($B:$B)+14-COUNTA($B$1:$B$14)))</f>
        <v>44</v>
      </c>
      <c r="AK4" s="84">
        <f>SUBTOTAL(109,AK$15:INDEX(AK:AK,COUNTA($B:$B)+14-COUNTA($B$1:$B$14)))</f>
        <v>15</v>
      </c>
      <c r="AL4" s="123">
        <f>SUBTOTAL(109,AL$15:INDEX(AL:AL,COUNTA($B:$B)+14-COUNTA($B$1:$B$14)))</f>
        <v>59</v>
      </c>
      <c r="AM4" s="84">
        <f>SUBTOTAL(109,AM$15:INDEX(AM:AM,COUNTA($B:$B)+14-COUNTA($B$1:$B$14)))</f>
        <v>44</v>
      </c>
      <c r="AN4" s="84">
        <f>SUBTOTAL(109,AN$15:INDEX(AN:AN,COUNTA($B:$B)+14-COUNTA($B$1:$B$14)))</f>
        <v>15</v>
      </c>
      <c r="AO4" s="78">
        <f>SUBTOTAL(109,AO$15:INDEX(AO:AO,COUNTA($B:$B)+14-COUNTA($B$1:$B$14)))</f>
        <v>189</v>
      </c>
      <c r="AP4" s="164"/>
      <c r="AQ4" s="164">
        <f>IF($AO$4=0,"",$AS$4/$AO$4)</f>
        <v>7.9365079365079361E-2</v>
      </c>
      <c r="AR4" s="164">
        <f>IF($AS$4=0,"",$AU$4/$AS$4)</f>
        <v>0.93333333333333335</v>
      </c>
      <c r="AS4" s="84">
        <f>SUBTOTAL(109,AS$15:INDEX(AS:AS,COUNTA($B:$B)+14-COUNTA($B$1:$B$14)))</f>
        <v>15</v>
      </c>
      <c r="AT4" s="84">
        <f>SUBTOTAL(109,AT$15:INDEX(AT:AT,COUNTA($B:$B)+14-COUNTA($B$1:$B$14)))</f>
        <v>174</v>
      </c>
      <c r="AU4" s="77">
        <f>SUBTOTAL(109,AU$15:INDEX(AU:AU,COUNTA($B:$B)+14-COUNTA($B$1:$B$14)))</f>
        <v>14</v>
      </c>
      <c r="AV4" s="78">
        <f>SUBTOTAL(109,AV$15:INDEX(AV:AV,COUNTA($B:$B)+14-COUNTA($B$1:$B$14)))</f>
        <v>74</v>
      </c>
      <c r="AW4" s="77">
        <f>SUBTOTAL(109,AW$15:INDEX(AW:AW,COUNTA($B:$B)+14-COUNTA($B$1:$B$14)))</f>
        <v>-3090</v>
      </c>
      <c r="AX4" s="14">
        <f>SUBTOTAL(109,AX$15:INDEX(AX:AX,COUNTA($B:$B)+14-COUNTA($B$1:$B$14)))</f>
        <v>15</v>
      </c>
      <c r="AY4" s="14">
        <f>SUBTOTAL(109,AY$15:INDEX(AY:AY,COUNTA($B:$B)+14-COUNTA($B$1:$B$14)))</f>
        <v>15</v>
      </c>
      <c r="AZ4" s="14">
        <f>SUBTOTAL(109,AZ$15:INDEX(AZ:AZ,COUNTA($B:$B)+14-COUNTA($B$1:$B$14)))</f>
        <v>0</v>
      </c>
      <c r="BA4" s="14">
        <f>SUBTOTAL(109,BA$15:INDEX(BA:BA,COUNTA($B:$B)+14-COUNTA($B$1:$B$14)))</f>
        <v>-3120</v>
      </c>
    </row>
    <row r="5" spans="1:53" x14ac:dyDescent="0.2">
      <c r="A5" t="s">
        <v>180</v>
      </c>
      <c r="B5" s="13" t="s">
        <v>180</v>
      </c>
      <c r="C5" s="13" t="s">
        <v>180</v>
      </c>
      <c r="D5" s="13" t="s">
        <v>180</v>
      </c>
      <c r="E5" s="13" t="s">
        <v>180</v>
      </c>
      <c r="F5" s="87" t="s">
        <v>180</v>
      </c>
      <c r="G5" s="14" t="s">
        <v>180</v>
      </c>
      <c r="H5" s="88" t="s">
        <v>180</v>
      </c>
      <c r="I5" s="14" t="s">
        <v>180</v>
      </c>
      <c r="J5" s="90" t="s">
        <v>180</v>
      </c>
      <c r="K5" s="14" t="s">
        <v>289</v>
      </c>
      <c r="L5" s="14" t="s">
        <v>289</v>
      </c>
      <c r="M5" s="14" t="s">
        <v>289</v>
      </c>
      <c r="N5" s="14" t="s">
        <v>289</v>
      </c>
      <c r="O5" s="14" t="s">
        <v>289</v>
      </c>
      <c r="P5" s="14" t="s">
        <v>289</v>
      </c>
      <c r="Q5" s="14" t="s">
        <v>289</v>
      </c>
      <c r="R5" s="87" t="s">
        <v>288</v>
      </c>
      <c r="S5" s="90" t="s">
        <v>180</v>
      </c>
      <c r="T5" s="9" t="s">
        <v>288</v>
      </c>
      <c r="U5" s="90" t="s">
        <v>180</v>
      </c>
      <c r="V5" s="9" t="s">
        <v>289</v>
      </c>
      <c r="W5" s="94" t="s">
        <v>180</v>
      </c>
      <c r="X5" s="90" t="s">
        <v>180</v>
      </c>
      <c r="Y5" s="90" t="s">
        <v>180</v>
      </c>
      <c r="Z5" s="90" t="s">
        <v>180</v>
      </c>
      <c r="AA5" s="9" t="s">
        <v>180</v>
      </c>
      <c r="AB5" s="165" t="s">
        <v>288</v>
      </c>
      <c r="AC5" s="9" t="s">
        <v>288</v>
      </c>
      <c r="AD5" s="9" t="s">
        <v>288</v>
      </c>
      <c r="AE5" s="83" t="s">
        <v>180</v>
      </c>
      <c r="AF5" s="9" t="s">
        <v>289</v>
      </c>
      <c r="AG5" s="9" t="s">
        <v>289</v>
      </c>
      <c r="AH5" s="9" t="s">
        <v>289</v>
      </c>
      <c r="AI5" s="94" t="s">
        <v>180</v>
      </c>
      <c r="AJ5" s="9" t="s">
        <v>288</v>
      </c>
      <c r="AK5" s="9" t="s">
        <v>288</v>
      </c>
      <c r="AL5" s="83" t="s">
        <v>289</v>
      </c>
      <c r="AM5" s="9" t="s">
        <v>289</v>
      </c>
      <c r="AN5" s="9" t="s">
        <v>289</v>
      </c>
      <c r="AO5" s="87" t="s">
        <v>180</v>
      </c>
      <c r="AP5" s="90" t="s">
        <v>180</v>
      </c>
      <c r="AQ5" s="90" t="s">
        <v>180</v>
      </c>
      <c r="AR5" s="90" t="s">
        <v>180</v>
      </c>
      <c r="AS5" s="9" t="s">
        <v>288</v>
      </c>
      <c r="AT5" s="9" t="s">
        <v>288</v>
      </c>
      <c r="AU5" s="14" t="s">
        <v>180</v>
      </c>
      <c r="AV5" s="87" t="s">
        <v>180</v>
      </c>
      <c r="AW5" s="14" t="s">
        <v>180</v>
      </c>
      <c r="AX5" s="14" t="s">
        <v>180</v>
      </c>
      <c r="AY5" s="14" t="s">
        <v>180</v>
      </c>
      <c r="AZ5" s="14" t="s">
        <v>180</v>
      </c>
      <c r="BA5" s="14" t="s">
        <v>180</v>
      </c>
    </row>
    <row r="6" spans="1:53" x14ac:dyDescent="0.2">
      <c r="A6" t="s">
        <v>182</v>
      </c>
      <c r="B6" s="13" t="s">
        <v>182</v>
      </c>
      <c r="C6" s="13" t="s">
        <v>182</v>
      </c>
      <c r="D6" s="13" t="s">
        <v>182</v>
      </c>
      <c r="E6" s="13" t="s">
        <v>182</v>
      </c>
      <c r="F6" s="87" t="s">
        <v>185</v>
      </c>
      <c r="G6" s="14" t="s">
        <v>185</v>
      </c>
      <c r="H6" s="88" t="s">
        <v>185</v>
      </c>
      <c r="I6" s="14" t="s">
        <v>185</v>
      </c>
      <c r="J6" s="90" t="s">
        <v>185</v>
      </c>
      <c r="K6" s="14" t="s">
        <v>184</v>
      </c>
      <c r="L6" s="14" t="s">
        <v>184</v>
      </c>
      <c r="M6" s="14" t="s">
        <v>184</v>
      </c>
      <c r="N6" s="14" t="s">
        <v>184</v>
      </c>
      <c r="O6" s="14" t="s">
        <v>184</v>
      </c>
      <c r="P6" s="14" t="s">
        <v>184</v>
      </c>
      <c r="Q6" s="14" t="s">
        <v>184</v>
      </c>
      <c r="R6" s="87" t="s">
        <v>183</v>
      </c>
      <c r="S6" s="90" t="s">
        <v>290</v>
      </c>
      <c r="T6" s="9" t="s">
        <v>184</v>
      </c>
      <c r="U6" s="90" t="s">
        <v>290</v>
      </c>
      <c r="V6" s="9" t="s">
        <v>184</v>
      </c>
      <c r="W6" s="94" t="s">
        <v>291</v>
      </c>
      <c r="X6" s="90" t="s">
        <v>290</v>
      </c>
      <c r="Y6" s="90" t="s">
        <v>291</v>
      </c>
      <c r="Z6" s="90" t="s">
        <v>290</v>
      </c>
      <c r="AA6" s="9" t="s">
        <v>185</v>
      </c>
      <c r="AB6" s="165" t="s">
        <v>184</v>
      </c>
      <c r="AC6" s="9" t="s">
        <v>184</v>
      </c>
      <c r="AD6" s="9" t="s">
        <v>184</v>
      </c>
      <c r="AE6" s="83" t="s">
        <v>290</v>
      </c>
      <c r="AF6" s="9" t="s">
        <v>184</v>
      </c>
      <c r="AG6" s="9" t="s">
        <v>184</v>
      </c>
      <c r="AH6" s="9" t="s">
        <v>184</v>
      </c>
      <c r="AI6" s="94" t="s">
        <v>185</v>
      </c>
      <c r="AJ6" s="9" t="s">
        <v>184</v>
      </c>
      <c r="AK6" s="9" t="s">
        <v>184</v>
      </c>
      <c r="AL6" s="83" t="s">
        <v>184</v>
      </c>
      <c r="AM6" s="9" t="s">
        <v>184</v>
      </c>
      <c r="AN6" s="9" t="s">
        <v>184</v>
      </c>
      <c r="AO6" s="87" t="s">
        <v>290</v>
      </c>
      <c r="AP6" s="90" t="s">
        <v>291</v>
      </c>
      <c r="AQ6" s="90" t="s">
        <v>290</v>
      </c>
      <c r="AR6" s="90" t="s">
        <v>185</v>
      </c>
      <c r="AS6" s="9" t="s">
        <v>184</v>
      </c>
      <c r="AT6" s="9" t="s">
        <v>184</v>
      </c>
      <c r="AU6" s="14" t="s">
        <v>185</v>
      </c>
      <c r="AV6" s="87" t="s">
        <v>185</v>
      </c>
      <c r="AW6" s="14" t="s">
        <v>185</v>
      </c>
      <c r="AX6" s="14" t="s">
        <v>185</v>
      </c>
      <c r="AY6" s="14" t="s">
        <v>185</v>
      </c>
      <c r="AZ6" s="14" t="s">
        <v>185</v>
      </c>
      <c r="BA6" s="14" t="s">
        <v>185</v>
      </c>
    </row>
    <row r="7" spans="1:53" x14ac:dyDescent="0.2">
      <c r="A7" t="s">
        <v>186</v>
      </c>
      <c r="B7" s="13" t="s">
        <v>186</v>
      </c>
      <c r="C7" s="13" t="s">
        <v>186</v>
      </c>
      <c r="D7" s="13" t="s">
        <v>186</v>
      </c>
      <c r="E7" s="13" t="s">
        <v>186</v>
      </c>
      <c r="F7" s="87" t="s">
        <v>187</v>
      </c>
      <c r="G7" s="14" t="s">
        <v>187</v>
      </c>
      <c r="H7" s="88" t="s">
        <v>293</v>
      </c>
      <c r="I7" s="14" t="s">
        <v>187</v>
      </c>
      <c r="J7" s="90" t="s">
        <v>293</v>
      </c>
      <c r="K7" s="14" t="s">
        <v>187</v>
      </c>
      <c r="L7" s="14" t="s">
        <v>187</v>
      </c>
      <c r="M7" s="14" t="s">
        <v>187</v>
      </c>
      <c r="N7" s="14" t="s">
        <v>187</v>
      </c>
      <c r="O7" s="14" t="s">
        <v>187</v>
      </c>
      <c r="P7" s="14" t="s">
        <v>187</v>
      </c>
      <c r="Q7" s="14" t="s">
        <v>187</v>
      </c>
      <c r="R7" s="87" t="s">
        <v>187</v>
      </c>
      <c r="S7" s="90" t="s">
        <v>293</v>
      </c>
      <c r="T7" s="9" t="s">
        <v>187</v>
      </c>
      <c r="U7" s="90" t="s">
        <v>293</v>
      </c>
      <c r="V7" s="9" t="s">
        <v>187</v>
      </c>
      <c r="W7" s="94" t="s">
        <v>293</v>
      </c>
      <c r="X7" s="90" t="s">
        <v>293</v>
      </c>
      <c r="Y7" s="90" t="s">
        <v>293</v>
      </c>
      <c r="Z7" s="90" t="s">
        <v>293</v>
      </c>
      <c r="AA7" s="9" t="s">
        <v>187</v>
      </c>
      <c r="AB7" s="165" t="s">
        <v>187</v>
      </c>
      <c r="AC7" s="9" t="s">
        <v>187</v>
      </c>
      <c r="AD7" s="9" t="s">
        <v>187</v>
      </c>
      <c r="AE7" s="83" t="s">
        <v>187</v>
      </c>
      <c r="AF7" s="9" t="s">
        <v>187</v>
      </c>
      <c r="AG7" s="9" t="s">
        <v>187</v>
      </c>
      <c r="AH7" s="9" t="s">
        <v>187</v>
      </c>
      <c r="AI7" s="94" t="s">
        <v>293</v>
      </c>
      <c r="AJ7" s="9" t="s">
        <v>187</v>
      </c>
      <c r="AK7" s="9" t="s">
        <v>187</v>
      </c>
      <c r="AL7" s="83" t="s">
        <v>187</v>
      </c>
      <c r="AM7" s="9" t="s">
        <v>187</v>
      </c>
      <c r="AN7" s="9" t="s">
        <v>187</v>
      </c>
      <c r="AO7" s="87" t="s">
        <v>187</v>
      </c>
      <c r="AP7" s="90" t="s">
        <v>293</v>
      </c>
      <c r="AQ7" s="90" t="s">
        <v>293</v>
      </c>
      <c r="AR7" s="90" t="s">
        <v>293</v>
      </c>
      <c r="AS7" s="9" t="s">
        <v>187</v>
      </c>
      <c r="AT7" s="9" t="s">
        <v>187</v>
      </c>
      <c r="AU7" s="14" t="s">
        <v>187</v>
      </c>
      <c r="AV7" s="87" t="s">
        <v>187</v>
      </c>
      <c r="AW7" s="14" t="s">
        <v>187</v>
      </c>
      <c r="AX7" s="14" t="s">
        <v>187</v>
      </c>
      <c r="AY7" s="14" t="s">
        <v>187</v>
      </c>
      <c r="AZ7" s="14" t="s">
        <v>187</v>
      </c>
      <c r="BA7" s="14" t="s">
        <v>187</v>
      </c>
    </row>
    <row r="8" spans="1:53" x14ac:dyDescent="0.2">
      <c r="F8" s="87"/>
      <c r="G8" s="14"/>
      <c r="H8" s="88"/>
      <c r="I8" s="14"/>
      <c r="J8" s="90"/>
      <c r="K8" s="96" t="s">
        <v>868</v>
      </c>
      <c r="L8" s="96" t="s">
        <v>869</v>
      </c>
      <c r="M8" s="96" t="s">
        <v>869</v>
      </c>
      <c r="N8" s="96" t="s">
        <v>869</v>
      </c>
      <c r="O8" s="96" t="s">
        <v>870</v>
      </c>
      <c r="P8" s="96" t="s">
        <v>871</v>
      </c>
      <c r="Q8" s="96" t="s">
        <v>871</v>
      </c>
      <c r="R8" s="95" t="s">
        <v>872</v>
      </c>
      <c r="S8" s="90"/>
      <c r="T8" s="99" t="s">
        <v>872</v>
      </c>
      <c r="U8" s="90"/>
      <c r="V8" s="99" t="s">
        <v>868</v>
      </c>
      <c r="AB8" s="166" t="s">
        <v>640</v>
      </c>
      <c r="AC8" s="99" t="s">
        <v>640</v>
      </c>
      <c r="AD8" s="99" t="s">
        <v>640</v>
      </c>
      <c r="AF8" s="99" t="s">
        <v>869</v>
      </c>
      <c r="AG8" s="99" t="s">
        <v>869</v>
      </c>
      <c r="AH8" s="99" t="s">
        <v>869</v>
      </c>
      <c r="AI8" s="94"/>
      <c r="AJ8" s="99" t="s">
        <v>651</v>
      </c>
      <c r="AK8" s="99" t="s">
        <v>651</v>
      </c>
      <c r="AL8" s="98" t="s">
        <v>870</v>
      </c>
      <c r="AM8" s="99" t="s">
        <v>871</v>
      </c>
      <c r="AN8" s="99" t="s">
        <v>871</v>
      </c>
      <c r="AP8" s="90"/>
      <c r="AQ8" s="90"/>
      <c r="AR8" s="90"/>
      <c r="AS8" s="99" t="s">
        <v>641</v>
      </c>
      <c r="AT8" s="99" t="s">
        <v>641</v>
      </c>
    </row>
    <row r="9" spans="1:53" x14ac:dyDescent="0.2">
      <c r="F9" s="87"/>
      <c r="G9" s="14"/>
      <c r="H9" s="88"/>
      <c r="I9" s="14"/>
      <c r="J9" s="90"/>
      <c r="K9" s="96"/>
      <c r="L9" s="96"/>
      <c r="M9" s="96"/>
      <c r="N9" s="96"/>
      <c r="O9" s="96"/>
      <c r="P9" s="96"/>
      <c r="Q9" s="96"/>
      <c r="R9" s="95" t="s">
        <v>873</v>
      </c>
      <c r="S9" s="90"/>
      <c r="T9" s="99" t="s">
        <v>873</v>
      </c>
      <c r="U9" s="90"/>
      <c r="V9" s="99"/>
      <c r="AB9" s="166" t="s">
        <v>874</v>
      </c>
      <c r="AC9" s="99" t="s">
        <v>874</v>
      </c>
      <c r="AD9" s="99" t="s">
        <v>874</v>
      </c>
      <c r="AF9" s="99"/>
      <c r="AG9" s="99"/>
      <c r="AH9" s="99"/>
      <c r="AI9" s="94"/>
      <c r="AJ9" s="99" t="s">
        <v>875</v>
      </c>
      <c r="AK9" s="99" t="s">
        <v>875</v>
      </c>
      <c r="AL9" s="98"/>
      <c r="AM9" s="99"/>
      <c r="AN9" s="99"/>
      <c r="AP9" s="90"/>
      <c r="AQ9" s="90"/>
      <c r="AR9" s="90"/>
      <c r="AS9" s="99" t="s">
        <v>876</v>
      </c>
      <c r="AT9" s="99" t="s">
        <v>876</v>
      </c>
    </row>
    <row r="10" spans="1:53" x14ac:dyDescent="0.2">
      <c r="F10" s="87"/>
      <c r="G10" s="14"/>
      <c r="H10" s="88"/>
      <c r="I10" s="14"/>
      <c r="J10" s="90"/>
      <c r="K10" s="96"/>
      <c r="L10" s="96" t="s">
        <v>877</v>
      </c>
      <c r="M10" s="96" t="s">
        <v>671</v>
      </c>
      <c r="N10" s="96" t="s">
        <v>878</v>
      </c>
      <c r="O10" s="96" t="s">
        <v>311</v>
      </c>
      <c r="P10" s="96" t="s">
        <v>672</v>
      </c>
      <c r="Q10" s="96" t="s">
        <v>673</v>
      </c>
      <c r="R10" s="95"/>
      <c r="S10" s="90"/>
      <c r="T10" s="99"/>
      <c r="U10" s="90"/>
      <c r="V10" s="99"/>
      <c r="AB10" s="166" t="s">
        <v>877</v>
      </c>
      <c r="AC10" s="99" t="s">
        <v>671</v>
      </c>
      <c r="AD10" s="99" t="s">
        <v>878</v>
      </c>
      <c r="AF10" s="99" t="s">
        <v>877</v>
      </c>
      <c r="AG10" s="99" t="s">
        <v>671</v>
      </c>
      <c r="AH10" s="99" t="s">
        <v>878</v>
      </c>
      <c r="AI10" s="94"/>
      <c r="AJ10" s="99" t="s">
        <v>672</v>
      </c>
      <c r="AK10" s="99" t="s">
        <v>673</v>
      </c>
      <c r="AL10" s="98" t="s">
        <v>311</v>
      </c>
      <c r="AM10" s="99" t="s">
        <v>672</v>
      </c>
      <c r="AN10" s="99" t="s">
        <v>673</v>
      </c>
      <c r="AP10" s="90"/>
      <c r="AQ10" s="90"/>
      <c r="AR10" s="90"/>
      <c r="AS10" s="99" t="s">
        <v>311</v>
      </c>
      <c r="AT10" s="99" t="s">
        <v>430</v>
      </c>
    </row>
    <row r="11" spans="1:53" x14ac:dyDescent="0.2">
      <c r="F11" s="87" t="s">
        <v>682</v>
      </c>
      <c r="G11" s="14" t="s">
        <v>682</v>
      </c>
      <c r="H11" s="88" t="s">
        <v>682</v>
      </c>
      <c r="I11" s="14" t="s">
        <v>682</v>
      </c>
      <c r="J11" s="90" t="s">
        <v>682</v>
      </c>
      <c r="K11" s="14" t="s">
        <v>682</v>
      </c>
      <c r="L11" s="14" t="s">
        <v>682</v>
      </c>
      <c r="M11" s="14" t="s">
        <v>682</v>
      </c>
      <c r="N11" s="14" t="s">
        <v>682</v>
      </c>
      <c r="O11" s="14" t="s">
        <v>682</v>
      </c>
      <c r="P11" s="14" t="s">
        <v>682</v>
      </c>
      <c r="Q11" s="14" t="s">
        <v>682</v>
      </c>
      <c r="R11" s="87" t="s">
        <v>682</v>
      </c>
      <c r="S11" s="90" t="s">
        <v>682</v>
      </c>
      <c r="T11" s="9" t="s">
        <v>682</v>
      </c>
      <c r="U11" s="90" t="s">
        <v>682</v>
      </c>
      <c r="V11" s="9" t="s">
        <v>682</v>
      </c>
      <c r="W11" s="94" t="s">
        <v>682</v>
      </c>
      <c r="X11" s="90" t="s">
        <v>682</v>
      </c>
      <c r="Y11" s="90" t="s">
        <v>682</v>
      </c>
      <c r="Z11" s="90" t="s">
        <v>682</v>
      </c>
      <c r="AA11" s="9" t="s">
        <v>682</v>
      </c>
      <c r="AB11" s="165" t="s">
        <v>682</v>
      </c>
      <c r="AC11" s="9" t="s">
        <v>682</v>
      </c>
      <c r="AD11" s="9" t="s">
        <v>682</v>
      </c>
      <c r="AE11" s="83" t="s">
        <v>682</v>
      </c>
      <c r="AF11" s="9" t="s">
        <v>682</v>
      </c>
      <c r="AG11" s="9" t="s">
        <v>682</v>
      </c>
      <c r="AH11" s="9" t="s">
        <v>682</v>
      </c>
      <c r="AI11" s="94" t="s">
        <v>682</v>
      </c>
      <c r="AJ11" s="9" t="s">
        <v>682</v>
      </c>
      <c r="AK11" s="9" t="s">
        <v>682</v>
      </c>
      <c r="AL11" s="83" t="s">
        <v>682</v>
      </c>
      <c r="AM11" s="9" t="s">
        <v>682</v>
      </c>
      <c r="AN11" s="9" t="s">
        <v>682</v>
      </c>
      <c r="AO11" s="87" t="s">
        <v>682</v>
      </c>
      <c r="AP11" s="90" t="s">
        <v>682</v>
      </c>
      <c r="AQ11" s="90" t="s">
        <v>682</v>
      </c>
      <c r="AR11" s="90" t="s">
        <v>682</v>
      </c>
      <c r="AS11" s="9" t="s">
        <v>682</v>
      </c>
      <c r="AT11" s="9" t="s">
        <v>682</v>
      </c>
      <c r="AU11" s="14" t="s">
        <v>682</v>
      </c>
      <c r="AV11" s="87" t="s">
        <v>682</v>
      </c>
      <c r="AW11" s="14" t="s">
        <v>682</v>
      </c>
      <c r="AX11" s="14" t="s">
        <v>682</v>
      </c>
      <c r="AY11" s="14" t="s">
        <v>682</v>
      </c>
      <c r="AZ11" s="14" t="s">
        <v>682</v>
      </c>
      <c r="BA11" s="14" t="s">
        <v>682</v>
      </c>
    </row>
    <row r="12" spans="1:53" x14ac:dyDescent="0.2">
      <c r="F12" s="87" t="s">
        <v>689</v>
      </c>
      <c r="G12" s="14" t="s">
        <v>689</v>
      </c>
      <c r="H12" s="88" t="s">
        <v>689</v>
      </c>
      <c r="I12" s="14" t="s">
        <v>689</v>
      </c>
      <c r="J12" s="90" t="s">
        <v>689</v>
      </c>
      <c r="K12" s="14" t="s">
        <v>689</v>
      </c>
      <c r="L12" s="14" t="s">
        <v>689</v>
      </c>
      <c r="M12" s="14" t="s">
        <v>689</v>
      </c>
      <c r="N12" s="14" t="s">
        <v>689</v>
      </c>
      <c r="O12" s="14" t="s">
        <v>689</v>
      </c>
      <c r="P12" s="14" t="s">
        <v>689</v>
      </c>
      <c r="Q12" s="14" t="s">
        <v>689</v>
      </c>
      <c r="R12" s="87" t="s">
        <v>689</v>
      </c>
      <c r="S12" s="90" t="s">
        <v>689</v>
      </c>
      <c r="T12" s="9" t="s">
        <v>689</v>
      </c>
      <c r="U12" s="90" t="s">
        <v>689</v>
      </c>
      <c r="V12" s="9" t="s">
        <v>689</v>
      </c>
      <c r="W12" s="94" t="s">
        <v>689</v>
      </c>
      <c r="X12" s="90" t="s">
        <v>689</v>
      </c>
      <c r="Y12" s="90" t="s">
        <v>689</v>
      </c>
      <c r="Z12" s="90" t="s">
        <v>689</v>
      </c>
      <c r="AA12" s="9" t="s">
        <v>689</v>
      </c>
      <c r="AB12" s="165" t="s">
        <v>689</v>
      </c>
      <c r="AC12" s="9" t="s">
        <v>689</v>
      </c>
      <c r="AD12" s="9" t="s">
        <v>689</v>
      </c>
      <c r="AE12" s="83" t="s">
        <v>689</v>
      </c>
      <c r="AF12" s="9" t="s">
        <v>689</v>
      </c>
      <c r="AG12" s="9" t="s">
        <v>689</v>
      </c>
      <c r="AH12" s="9" t="s">
        <v>689</v>
      </c>
      <c r="AI12" s="94" t="s">
        <v>689</v>
      </c>
      <c r="AJ12" s="9" t="s">
        <v>689</v>
      </c>
      <c r="AK12" s="9" t="s">
        <v>689</v>
      </c>
      <c r="AL12" s="83" t="s">
        <v>689</v>
      </c>
      <c r="AM12" s="9" t="s">
        <v>689</v>
      </c>
      <c r="AN12" s="9" t="s">
        <v>689</v>
      </c>
      <c r="AO12" s="87" t="s">
        <v>689</v>
      </c>
      <c r="AP12" s="90" t="s">
        <v>689</v>
      </c>
      <c r="AQ12" s="90" t="s">
        <v>689</v>
      </c>
      <c r="AR12" s="90" t="s">
        <v>689</v>
      </c>
      <c r="AS12" s="9" t="s">
        <v>689</v>
      </c>
      <c r="AT12" s="9" t="s">
        <v>689</v>
      </c>
      <c r="AU12" s="14" t="s">
        <v>689</v>
      </c>
      <c r="AV12" s="87" t="s">
        <v>689</v>
      </c>
      <c r="AW12" s="14" t="s">
        <v>689</v>
      </c>
      <c r="AX12" s="14" t="s">
        <v>689</v>
      </c>
      <c r="AY12" s="14" t="s">
        <v>689</v>
      </c>
      <c r="AZ12" s="14" t="s">
        <v>689</v>
      </c>
      <c r="BA12" s="14" t="s">
        <v>689</v>
      </c>
    </row>
    <row r="13" spans="1:53" x14ac:dyDescent="0.2">
      <c r="F13" s="87"/>
      <c r="G13" s="14"/>
      <c r="H13" s="88"/>
      <c r="I13" s="14"/>
      <c r="J13" s="90"/>
      <c r="K13" s="14"/>
      <c r="L13" s="14"/>
      <c r="M13" s="14"/>
      <c r="N13" s="14"/>
      <c r="O13" s="14"/>
      <c r="P13" s="14"/>
      <c r="Q13" s="14"/>
      <c r="R13" s="87"/>
      <c r="T13" s="9"/>
      <c r="V13" s="9"/>
      <c r="AI13" s="94"/>
      <c r="AP13" s="90"/>
      <c r="AQ13" s="90"/>
      <c r="AR13" s="90"/>
    </row>
    <row r="14" spans="1:53" x14ac:dyDescent="0.2">
      <c r="A14" s="102" t="s">
        <v>175</v>
      </c>
      <c r="B14" s="36" t="s">
        <v>189</v>
      </c>
      <c r="C14" s="36" t="s">
        <v>317</v>
      </c>
      <c r="D14" s="36" t="s">
        <v>318</v>
      </c>
      <c r="E14" s="36" t="s">
        <v>19</v>
      </c>
      <c r="F14" s="103" t="s">
        <v>137</v>
      </c>
      <c r="G14" s="39" t="s">
        <v>332</v>
      </c>
      <c r="H14" s="104" t="s">
        <v>140</v>
      </c>
      <c r="I14" s="39" t="s">
        <v>145</v>
      </c>
      <c r="J14" s="105" t="s">
        <v>144</v>
      </c>
      <c r="K14" s="39" t="s">
        <v>153</v>
      </c>
      <c r="L14" s="39" t="s">
        <v>879</v>
      </c>
      <c r="M14" s="39" t="s">
        <v>162</v>
      </c>
      <c r="N14" s="39" t="s">
        <v>163</v>
      </c>
      <c r="O14" s="39" t="s">
        <v>155</v>
      </c>
      <c r="P14" s="39" t="s">
        <v>157</v>
      </c>
      <c r="Q14" s="39" t="s">
        <v>159</v>
      </c>
      <c r="R14" s="103" t="s">
        <v>880</v>
      </c>
      <c r="S14" s="105" t="s">
        <v>881</v>
      </c>
      <c r="T14" s="39" t="s">
        <v>882</v>
      </c>
      <c r="U14" s="105" t="s">
        <v>883</v>
      </c>
      <c r="V14" s="39" t="s">
        <v>884</v>
      </c>
      <c r="W14" s="107" t="s">
        <v>885</v>
      </c>
      <c r="X14" s="105" t="s">
        <v>886</v>
      </c>
      <c r="Y14" s="105" t="s">
        <v>887</v>
      </c>
      <c r="Z14" s="105" t="s">
        <v>888</v>
      </c>
      <c r="AA14" s="109" t="s">
        <v>889</v>
      </c>
      <c r="AB14" s="39" t="s">
        <v>890</v>
      </c>
      <c r="AC14" s="109" t="s">
        <v>891</v>
      </c>
      <c r="AD14" s="39" t="s">
        <v>892</v>
      </c>
      <c r="AE14" s="103" t="s">
        <v>893</v>
      </c>
      <c r="AF14" s="39" t="s">
        <v>894</v>
      </c>
      <c r="AG14" s="39" t="s">
        <v>895</v>
      </c>
      <c r="AH14" s="39" t="s">
        <v>896</v>
      </c>
      <c r="AI14" s="107" t="s">
        <v>897</v>
      </c>
      <c r="AJ14" s="39" t="s">
        <v>898</v>
      </c>
      <c r="AK14" s="39" t="s">
        <v>899</v>
      </c>
      <c r="AL14" s="103" t="s">
        <v>900</v>
      </c>
      <c r="AM14" s="39" t="s">
        <v>901</v>
      </c>
      <c r="AN14" s="39" t="s">
        <v>902</v>
      </c>
      <c r="AO14" s="103" t="s">
        <v>903</v>
      </c>
      <c r="AP14" s="105" t="s">
        <v>904</v>
      </c>
      <c r="AQ14" s="105" t="s">
        <v>905</v>
      </c>
      <c r="AR14" s="105" t="s">
        <v>906</v>
      </c>
      <c r="AS14" s="109" t="s">
        <v>907</v>
      </c>
      <c r="AT14" s="109" t="s">
        <v>908</v>
      </c>
      <c r="AU14" s="39" t="s">
        <v>909</v>
      </c>
      <c r="AV14" s="103" t="s">
        <v>910</v>
      </c>
      <c r="AW14" s="39" t="s">
        <v>911</v>
      </c>
      <c r="AX14" s="39" t="s">
        <v>912</v>
      </c>
      <c r="AY14" s="39" t="s">
        <v>913</v>
      </c>
      <c r="AZ14" s="39" t="s">
        <v>914</v>
      </c>
      <c r="BA14" s="39" t="s">
        <v>915</v>
      </c>
    </row>
    <row r="15" spans="1:53" x14ac:dyDescent="0.2">
      <c r="A15" t="str">
        <f>INDEX(Prioritization!$D:$D,MATCH($B15,Prioritization!$A:$A,0))</f>
        <v>Military</v>
      </c>
      <c r="B15" t="s">
        <v>193</v>
      </c>
      <c r="C15" t="s">
        <v>363</v>
      </c>
      <c r="D15" t="s">
        <v>29</v>
      </c>
      <c r="E15" s="13" t="str">
        <f t="shared" ref="E15:E46" si="0">B15&amp;"|"&amp;C15&amp;"|"&amp;D15</f>
        <v>_Military Malawi [PQZgU9dagaH]|10-14|Female</v>
      </c>
      <c r="F15" s="87" t="str">
        <f>IF(LEFT($B15,4)="_Mil","",INDEX(Cascade!$T:$T,MATCH($E15,Cascade!$E:$E,0)))</f>
        <v/>
      </c>
      <c r="G15" s="14" t="str">
        <f>IF(LEFT($B15,4)="_Mil","",INDEX(Cascade!$U:$U,MATCH($E15,Cascade!$E:$E,0)))</f>
        <v/>
      </c>
      <c r="H15" s="88" t="str">
        <f>IF(LEFT($B15,4)="_Mil","",INDEX(Cascade!$W:$W,MATCH($E15,Cascade!$E:$E,0)))</f>
        <v/>
      </c>
      <c r="I15" s="14" t="str">
        <f>IF(LEFT($B15,4)="_Mil","",INDEX(Cascade!$Z:$Z,MATCH($E15,Cascade!$E:$E,0)))</f>
        <v/>
      </c>
      <c r="J15" s="90" t="str">
        <f>IF(LEFT($B15,4)="_Mil","",INDEX(Cascade!$AA:$AA,MATCH($E15,Cascade!$E:$E,0)))</f>
        <v/>
      </c>
      <c r="K15" s="9" t="str">
        <f>IF(LEFT($B15,4)="_Mil","",_xlfn.IFNA(ROUND(INDEX(Spectrum!$N:$N,MATCH(RIGHT($B15,13)&amp;"|"&amp;$C15&amp;"|"&amp;$D15&amp;"|"&amp;K$14&amp;"|"&amp;"CY2023Q3",Spectrum!$R:$R,0)),0),""))</f>
        <v/>
      </c>
      <c r="L15" s="9" t="str">
        <f>IF(LEFT($B15,4)="_Mil","",_xlfn.IFNA(ROUND(INDEX(Spectrum!$N:$N,MATCH(RIGHT($B15,13)&amp;"|"&amp;$C15&amp;"|"&amp;$D15&amp;"|"&amp;L$14&amp;"|"&amp;"CY2023Q3",Spectrum!$R:$R,0)),0),""))</f>
        <v/>
      </c>
      <c r="M15" s="9" t="str">
        <f>IF(LEFT($B15,4)="_Mil","",_xlfn.IFNA(ROUND(INDEX(Spectrum!$N:$N,MATCH(RIGHT($B15,13)&amp;"|"&amp;$C15&amp;"|"&amp;$D15&amp;"|"&amp;M$14&amp;"|"&amp;"CY2023Q3",Spectrum!$R:$R,0)),0),""))</f>
        <v/>
      </c>
      <c r="N15" s="9" t="str">
        <f>IF(LEFT($B15,4)="_Mil","",_xlfn.IFNA(ROUND(INDEX(Spectrum!$N:$N,MATCH(RIGHT($B15,13)&amp;"|"&amp;$C15&amp;"|"&amp;$D15&amp;"|"&amp;N$14&amp;"|"&amp;"CY2023Q3",Spectrum!$R:$R,0)),0),""))</f>
        <v/>
      </c>
      <c r="O15" s="9" t="str">
        <f>IF(LEFT($B15,4)="_Mil","",_xlfn.IFNA(ROUND(INDEX(Spectrum!$N:$N,MATCH(RIGHT($B15,13)&amp;"|"&amp;$C15&amp;"|"&amp;$D15&amp;"|"&amp;O$14&amp;"|"&amp;"CY2023Q3",Spectrum!$R:$R,0)),0),""))</f>
        <v/>
      </c>
      <c r="P15" s="9" t="str">
        <f>IF(LEFT($B15,4)="_Mil","",_xlfn.IFNA(ROUND(INDEX(Spectrum!$N:$N,MATCH(RIGHT($B15,13)&amp;"|"&amp;$C15&amp;"|"&amp;$D15&amp;"|"&amp;P$14&amp;"|"&amp;"CY2023Q3",Spectrum!$R:$R,0)),0),""))</f>
        <v/>
      </c>
      <c r="Q15" s="9" t="str">
        <f>IF(LEFT($B15,4)="_Mil","",_xlfn.IFNA(ROUND(INDEX(Spectrum!$N:$N,MATCH(RIGHT($B15,13)&amp;"|"&amp;$C15&amp;"|"&amp;$D15&amp;"|"&amp;Q$14&amp;"|"&amp;"CY2022Q3",Spectrum!$R:$R,0)),0),""))</f>
        <v/>
      </c>
      <c r="R15" s="14">
        <v>6</v>
      </c>
      <c r="S15" s="90">
        <f>0</f>
        <v>0</v>
      </c>
      <c r="T15" s="9">
        <f t="shared" ref="T15:T46" si="1">IF(SUM($R15)=0,"",ROUND($R15*(1+$S15),0))</f>
        <v>6</v>
      </c>
      <c r="U15" s="90" t="str">
        <f t="shared" ref="U15:U46" si="2">IF(LEFT($B15,4)="_Mil","",IF(SUM($K15)=0,IF(SUM($R15)=0,"",1),MIN($R15/$K15,1)))</f>
        <v/>
      </c>
      <c r="V15" s="9" t="str">
        <f t="shared" ref="V15:V46" si="3">IF(OR(SUM($T15)=0,LEFT($B15,4)="_Mil"),"",ROUND($T15/$U15,0))</f>
        <v/>
      </c>
      <c r="W15" s="90"/>
      <c r="X15" s="90" t="str">
        <f t="shared" ref="X15:X46" si="4">IF(SUM($K15,$W15)=0,"",MAX(IFERROR(SUM($L15)/$K15,0),SUM($W15)))</f>
        <v/>
      </c>
      <c r="Y15" s="90"/>
      <c r="Z15" s="90" t="str">
        <f t="shared" ref="Z15:Z46" si="5">IF(SUM($K15,$Y15)=0,"",MIN(SUM($Y15),IFERROR(SUM($M15)/(SUM($K15)-SUM($L15)),1)))</f>
        <v/>
      </c>
      <c r="AA15" s="9">
        <f t="shared" ref="AA15:AA46" si="6">$T15</f>
        <v>6</v>
      </c>
      <c r="AB15" s="9" t="str">
        <f t="shared" ref="AB15:AB46" si="7">IF(SUM($AA15)=0,"",IF(AND(SUM($AA15)&gt;0,$X15=""),"ENTER KNOWN POSITIVITY RATE",ROUND($AA15*$X15,0)))</f>
        <v>ENTER KNOWN POSITIVITY RATE</v>
      </c>
      <c r="AC15" s="9" t="str">
        <f t="shared" ref="AC15:AC46" si="8">IF(SUM($AA15)=0,"",IF(AND((SUM($AA15)-SUM($AB15))&gt;0,$Z15=""),"ENTER YIELD RATE",ROUND(($AA15-SUM($AB15))*$Z15,0)))</f>
        <v>ENTER YIELD RATE</v>
      </c>
      <c r="AD15" s="9">
        <f t="shared" ref="AD15:AD46" si="9">IF(SUM($AA15)=0,"",$AA15-SUM($AB15)-SUM($AC15))</f>
        <v>6</v>
      </c>
      <c r="AE15" s="83" t="str">
        <f t="shared" ref="AE15:AE46" si="10">$V15</f>
        <v/>
      </c>
      <c r="AF15" s="9" t="str">
        <f t="shared" ref="AF15:AF46" si="11">IF(SUM($AE15)=0,"",ROUND($AE15*SUM($X15),0))</f>
        <v/>
      </c>
      <c r="AG15" s="9" t="str">
        <f t="shared" ref="AG15:AG46" si="12">IF(SUM($AE15)=0,"",ROUND(($AE15-SUM($AF15))*SUM($Z15),0))</f>
        <v/>
      </c>
      <c r="AH15" s="9" t="str">
        <f t="shared" ref="AH15:AH46" si="13">IF(SUM($AE15)=0,"",$AE15-SUM($AF15)-SUM($AG15))</f>
        <v/>
      </c>
      <c r="AI15" s="94" t="str">
        <f>IF(SUM($AC15)=0,"",INDEX(Cascade!$BG:$BG,MATCH($E15,Cascade!$E:$E,0)))</f>
        <v/>
      </c>
      <c r="AJ15" s="9" t="str">
        <f t="shared" ref="AJ15:AJ46" si="14">$AB15</f>
        <v>ENTER KNOWN POSITIVITY RATE</v>
      </c>
      <c r="AK15" s="9" t="str">
        <f t="shared" ref="AK15:AK46" si="15">IF(SUM($AC15)=0,"",IF(AND($AI15="",SUM($AC15)&gt;0),"&lt;- Enter Linkage Rate",ROUND($AC15*$AI15,0)))</f>
        <v/>
      </c>
      <c r="AL15" s="83" t="str">
        <f t="shared" ref="AL15:AL46" si="16">IF(SUM($AF15,$AG15)=0,"",SUM($AF15,$AG15))</f>
        <v/>
      </c>
      <c r="AM15" s="9" t="str">
        <f t="shared" ref="AM15:AM46" si="17">$AF15</f>
        <v/>
      </c>
      <c r="AN15" s="9" t="str">
        <f t="shared" ref="AN15:AN46" si="18">IF(SUM($AG15)=0,"",ROUND($AG15*SUM($AI15),0))</f>
        <v/>
      </c>
      <c r="AO15" s="87">
        <f t="shared" ref="AO15:AO46" si="19">IFERROR(1/(1/MAX(SUM($T15)-SUM($AB15,$AC15),$AD15)),"")</f>
        <v>6</v>
      </c>
      <c r="AP15" s="90"/>
      <c r="AQ15" s="90" t="str">
        <f t="shared" ref="AQ15:AQ46" si="20">IF($AP15="","",$AP15)</f>
        <v/>
      </c>
      <c r="AR15" s="90">
        <f>IF(SUM($AO15)=0,"",INDEX(Cascade!$BG:$BG,MATCH($E15,Cascade!$E:$E,0)))</f>
        <v>0.95</v>
      </c>
      <c r="AS15" s="9" t="str">
        <f t="shared" ref="AS15:AS46" si="21">IF(SUM($AO15)=0,"",IF(AND(SUM($AO15)&gt;0,$AQ15=""),"ENTER YIELD RATE",ROUND($AO15*$AQ15,0)))</f>
        <v>ENTER YIELD RATE</v>
      </c>
      <c r="AT15" s="9">
        <f t="shared" ref="AT15:AT46" si="22">IF(SUM($AO15)=0,"",$AO15-SUM($AS15))</f>
        <v>6</v>
      </c>
      <c r="AU15" s="14" t="str">
        <f t="shared" ref="AU15:AU46" si="23">IF(SUM($AS15)=0,"",ROUND($AS15*$AR15,0))</f>
        <v/>
      </c>
      <c r="AV15" s="87" t="str">
        <f t="shared" ref="AV15:AV46" si="24">IFERROR(1/(1/SUM($AC15,$AB15,$AS15)),"")</f>
        <v/>
      </c>
      <c r="AW15" s="14">
        <f>IFERROR(1/(1/INDEX(Cascade!$BH:$BH,MATCH($E15,Cascade!$E:$E,0))),"")</f>
        <v>-47</v>
      </c>
      <c r="AX15" s="14" t="str">
        <f t="shared" ref="AX15:AX46" si="25">IF(SUM($AC15)=0,"",$AC15)</f>
        <v/>
      </c>
      <c r="AY15" s="14" t="str">
        <f t="shared" ref="AY15:AY46" si="26">IF(SUM($AS15)=0,"",$AS15)</f>
        <v/>
      </c>
      <c r="AZ15" s="14" t="str">
        <f>IFERROR(1/(1/INDEX(TB!$P:$P,MATCH($E15,TB!$E:$E,0))),"")</f>
        <v/>
      </c>
      <c r="BA15" s="14">
        <f t="shared" ref="BA15:BA46" si="27">IFERROR(1/(1/(SUM($AW15)-SUM($AX15:$AZ15))),"")</f>
        <v>-47</v>
      </c>
    </row>
    <row r="16" spans="1:53" x14ac:dyDescent="0.2">
      <c r="A16" t="str">
        <f>INDEX(Prioritization!$D:$D,MATCH($B16,Prioritization!$A:$A,0))</f>
        <v>Military</v>
      </c>
      <c r="B16" t="s">
        <v>193</v>
      </c>
      <c r="C16" t="s">
        <v>364</v>
      </c>
      <c r="D16" t="s">
        <v>29</v>
      </c>
      <c r="E16" t="str">
        <f t="shared" si="0"/>
        <v>_Military Malawi [PQZgU9dagaH]|15-24|Female</v>
      </c>
      <c r="F16" s="14" t="str">
        <f>IF(LEFT($B16,4)="_Mil","",INDEX(Cascade!$T:$T,MATCH($E16,Cascade!$E:$E,0)))</f>
        <v/>
      </c>
      <c r="G16" s="14" t="str">
        <f>IF(LEFT($B16,4)="_Mil","",INDEX(Cascade!$U:$U,MATCH($E16,Cascade!$E:$E,0)))</f>
        <v/>
      </c>
      <c r="H16" s="88" t="str">
        <f>IF(LEFT($B16,4)="_Mil","",INDEX(Cascade!$W:$W,MATCH($E16,Cascade!$E:$E,0)))</f>
        <v/>
      </c>
      <c r="I16" s="14" t="str">
        <f>IF(LEFT($B16,4)="_Mil","",INDEX(Cascade!$Z:$Z,MATCH($E16,Cascade!$E:$E,0)))</f>
        <v/>
      </c>
      <c r="J16" s="90" t="str">
        <f>IF(LEFT($B16,4)="_Mil","",INDEX(Cascade!$AA:$AA,MATCH($E16,Cascade!$E:$E,0)))</f>
        <v/>
      </c>
      <c r="K16" s="42" t="str">
        <f>IF(LEFT($B16,4)="_Mil","",_xlfn.IFNA(ROUND(INDEX(Spectrum!$N:$N,MATCH(RIGHT($B16,13)&amp;"|"&amp;$C16&amp;"|"&amp;$D16&amp;"|"&amp;K$14&amp;"|"&amp;"CY2023Q3",Spectrum!$R:$R,0)),0),""))</f>
        <v/>
      </c>
      <c r="L16" s="42" t="str">
        <f>IF(LEFT($B16,4)="_Mil","",_xlfn.IFNA(ROUND(INDEX(Spectrum!$N:$N,MATCH(RIGHT($B16,13)&amp;"|"&amp;$C16&amp;"|"&amp;$D16&amp;"|"&amp;L$14&amp;"|"&amp;"CY2023Q3",Spectrum!$R:$R,0)),0),""))</f>
        <v/>
      </c>
      <c r="M16" s="42" t="str">
        <f>IF(LEFT($B16,4)="_Mil","",_xlfn.IFNA(ROUND(INDEX(Spectrum!$N:$N,MATCH(RIGHT($B16,13)&amp;"|"&amp;$C16&amp;"|"&amp;$D16&amp;"|"&amp;M$14&amp;"|"&amp;"CY2023Q3",Spectrum!$R:$R,0)),0),""))</f>
        <v/>
      </c>
      <c r="N16" s="42" t="str">
        <f>IF(LEFT($B16,4)="_Mil","",_xlfn.IFNA(ROUND(INDEX(Spectrum!$N:$N,MATCH(RIGHT($B16,13)&amp;"|"&amp;$C16&amp;"|"&amp;$D16&amp;"|"&amp;N$14&amp;"|"&amp;"CY2023Q3",Spectrum!$R:$R,0)),0),""))</f>
        <v/>
      </c>
      <c r="O16" s="42" t="str">
        <f>IF(LEFT($B16,4)="_Mil","",_xlfn.IFNA(ROUND(INDEX(Spectrum!$N:$N,MATCH(RIGHT($B16,13)&amp;"|"&amp;$C16&amp;"|"&amp;$D16&amp;"|"&amp;O$14&amp;"|"&amp;"CY2023Q3",Spectrum!$R:$R,0)),0),""))</f>
        <v/>
      </c>
      <c r="P16" s="42" t="str">
        <f>IF(LEFT($B16,4)="_Mil","",_xlfn.IFNA(ROUND(INDEX(Spectrum!$N:$N,MATCH(RIGHT($B16,13)&amp;"|"&amp;$C16&amp;"|"&amp;$D16&amp;"|"&amp;P$14&amp;"|"&amp;"CY2023Q3",Spectrum!$R:$R,0)),0),""))</f>
        <v/>
      </c>
      <c r="Q16" s="42" t="str">
        <f>IF(LEFT($B16,4)="_Mil","",_xlfn.IFNA(ROUND(INDEX(Spectrum!$N:$N,MATCH(RIGHT($B16,13)&amp;"|"&amp;$C16&amp;"|"&amp;$D16&amp;"|"&amp;Q$14&amp;"|"&amp;"CY2022Q3",Spectrum!$R:$R,0)),0),""))</f>
        <v/>
      </c>
      <c r="R16" s="14"/>
      <c r="S16" s="90">
        <f>0</f>
        <v>0</v>
      </c>
      <c r="T16" s="42" t="str">
        <f t="shared" si="1"/>
        <v/>
      </c>
      <c r="U16" s="90" t="str">
        <f t="shared" si="2"/>
        <v/>
      </c>
      <c r="V16" s="42" t="str">
        <f t="shared" si="3"/>
        <v/>
      </c>
      <c r="W16" s="90"/>
      <c r="X16" s="90" t="str">
        <f t="shared" si="4"/>
        <v/>
      </c>
      <c r="Y16" s="90"/>
      <c r="Z16" s="90" t="str">
        <f t="shared" si="5"/>
        <v/>
      </c>
      <c r="AA16" s="14" t="str">
        <f t="shared" si="6"/>
        <v/>
      </c>
      <c r="AB16" s="9" t="str">
        <f t="shared" si="7"/>
        <v/>
      </c>
      <c r="AC16" s="42" t="str">
        <f t="shared" si="8"/>
        <v/>
      </c>
      <c r="AD16" s="42" t="str">
        <f t="shared" si="9"/>
        <v/>
      </c>
      <c r="AE16" s="14" t="str">
        <f t="shared" si="10"/>
        <v/>
      </c>
      <c r="AF16" s="42" t="str">
        <f t="shared" si="11"/>
        <v/>
      </c>
      <c r="AG16" s="42" t="str">
        <f t="shared" si="12"/>
        <v/>
      </c>
      <c r="AH16" s="42" t="str">
        <f t="shared" si="13"/>
        <v/>
      </c>
      <c r="AI16" s="90" t="str">
        <f>IF(SUM($AC16)=0,"",INDEX(Cascade!$BG:$BG,MATCH($E16,Cascade!$E:$E,0)))</f>
        <v/>
      </c>
      <c r="AJ16" s="42" t="str">
        <f t="shared" si="14"/>
        <v/>
      </c>
      <c r="AK16" s="42" t="str">
        <f t="shared" si="15"/>
        <v/>
      </c>
      <c r="AL16" s="42" t="str">
        <f t="shared" si="16"/>
        <v/>
      </c>
      <c r="AM16" s="42" t="str">
        <f t="shared" si="17"/>
        <v/>
      </c>
      <c r="AN16" s="42" t="str">
        <f t="shared" si="18"/>
        <v/>
      </c>
      <c r="AO16" s="14" t="str">
        <f t="shared" si="19"/>
        <v/>
      </c>
      <c r="AP16" s="90"/>
      <c r="AQ16" s="90" t="str">
        <f t="shared" si="20"/>
        <v/>
      </c>
      <c r="AR16" s="90" t="str">
        <f>IF(SUM($AO16)=0,"",INDEX(Cascade!$BG:$BG,MATCH($E16,Cascade!$E:$E,0)))</f>
        <v/>
      </c>
      <c r="AS16" s="42" t="str">
        <f t="shared" si="21"/>
        <v/>
      </c>
      <c r="AT16" s="42" t="str">
        <f t="shared" si="22"/>
        <v/>
      </c>
      <c r="AU16" s="14" t="str">
        <f t="shared" si="23"/>
        <v/>
      </c>
      <c r="AV16" s="14" t="str">
        <f t="shared" si="24"/>
        <v/>
      </c>
      <c r="AW16" s="14" t="str">
        <f>IFERROR(1/(1/INDEX(Cascade!$BH:$BH,MATCH($E16,Cascade!$E:$E,0))),"")</f>
        <v/>
      </c>
      <c r="AX16" s="14" t="str">
        <f t="shared" si="25"/>
        <v/>
      </c>
      <c r="AY16" s="14" t="str">
        <f t="shared" si="26"/>
        <v/>
      </c>
      <c r="AZ16" s="14" t="str">
        <f>IFERROR(1/(1/INDEX(TB!$P:$P,MATCH($E16,TB!$E:$E,0))),"")</f>
        <v/>
      </c>
      <c r="BA16" s="14" t="str">
        <f t="shared" si="27"/>
        <v/>
      </c>
    </row>
    <row r="17" spans="1:53" x14ac:dyDescent="0.2">
      <c r="A17" t="str">
        <f>INDEX(Prioritization!$D:$D,MATCH($B17,Prioritization!$A:$A,0))</f>
        <v>Military</v>
      </c>
      <c r="B17" t="s">
        <v>193</v>
      </c>
      <c r="C17" t="s">
        <v>365</v>
      </c>
      <c r="D17" t="s">
        <v>29</v>
      </c>
      <c r="E17" t="str">
        <f t="shared" si="0"/>
        <v>_Military Malawi [PQZgU9dagaH]|25-34|Female</v>
      </c>
      <c r="F17" s="14" t="str">
        <f>IF(LEFT($B17,4)="_Mil","",INDEX(Cascade!$T:$T,MATCH($E17,Cascade!$E:$E,0)))</f>
        <v/>
      </c>
      <c r="G17" s="14" t="str">
        <f>IF(LEFT($B17,4)="_Mil","",INDEX(Cascade!$U:$U,MATCH($E17,Cascade!$E:$E,0)))</f>
        <v/>
      </c>
      <c r="H17" s="88" t="str">
        <f>IF(LEFT($B17,4)="_Mil","",INDEX(Cascade!$W:$W,MATCH($E17,Cascade!$E:$E,0)))</f>
        <v/>
      </c>
      <c r="I17" s="14" t="str">
        <f>IF(LEFT($B17,4)="_Mil","",INDEX(Cascade!$Z:$Z,MATCH($E17,Cascade!$E:$E,0)))</f>
        <v/>
      </c>
      <c r="J17" s="90" t="str">
        <f>IF(LEFT($B17,4)="_Mil","",INDEX(Cascade!$AA:$AA,MATCH($E17,Cascade!$E:$E,0)))</f>
        <v/>
      </c>
      <c r="K17" s="42" t="str">
        <f>IF(LEFT($B17,4)="_Mil","",_xlfn.IFNA(ROUND(INDEX(Spectrum!$N:$N,MATCH(RIGHT($B17,13)&amp;"|"&amp;$C17&amp;"|"&amp;$D17&amp;"|"&amp;K$14&amp;"|"&amp;"CY2023Q3",Spectrum!$R:$R,0)),0),""))</f>
        <v/>
      </c>
      <c r="L17" s="42" t="str">
        <f>IF(LEFT($B17,4)="_Mil","",_xlfn.IFNA(ROUND(INDEX(Spectrum!$N:$N,MATCH(RIGHT($B17,13)&amp;"|"&amp;$C17&amp;"|"&amp;$D17&amp;"|"&amp;L$14&amp;"|"&amp;"CY2023Q3",Spectrum!$R:$R,0)),0),""))</f>
        <v/>
      </c>
      <c r="M17" s="42" t="str">
        <f>IF(LEFT($B17,4)="_Mil","",_xlfn.IFNA(ROUND(INDEX(Spectrum!$N:$N,MATCH(RIGHT($B17,13)&amp;"|"&amp;$C17&amp;"|"&amp;$D17&amp;"|"&amp;M$14&amp;"|"&amp;"CY2023Q3",Spectrum!$R:$R,0)),0),""))</f>
        <v/>
      </c>
      <c r="N17" s="42" t="str">
        <f>IF(LEFT($B17,4)="_Mil","",_xlfn.IFNA(ROUND(INDEX(Spectrum!$N:$N,MATCH(RIGHT($B17,13)&amp;"|"&amp;$C17&amp;"|"&amp;$D17&amp;"|"&amp;N$14&amp;"|"&amp;"CY2023Q3",Spectrum!$R:$R,0)),0),""))</f>
        <v/>
      </c>
      <c r="O17" s="42" t="str">
        <f>IF(LEFT($B17,4)="_Mil","",_xlfn.IFNA(ROUND(INDEX(Spectrum!$N:$N,MATCH(RIGHT($B17,13)&amp;"|"&amp;$C17&amp;"|"&amp;$D17&amp;"|"&amp;O$14&amp;"|"&amp;"CY2023Q3",Spectrum!$R:$R,0)),0),""))</f>
        <v/>
      </c>
      <c r="P17" s="42" t="str">
        <f>IF(LEFT($B17,4)="_Mil","",_xlfn.IFNA(ROUND(INDEX(Spectrum!$N:$N,MATCH(RIGHT($B17,13)&amp;"|"&amp;$C17&amp;"|"&amp;$D17&amp;"|"&amp;P$14&amp;"|"&amp;"CY2023Q3",Spectrum!$R:$R,0)),0),""))</f>
        <v/>
      </c>
      <c r="Q17" s="42" t="str">
        <f>IF(LEFT($B17,4)="_Mil","",_xlfn.IFNA(ROUND(INDEX(Spectrum!$N:$N,MATCH(RIGHT($B17,13)&amp;"|"&amp;$C17&amp;"|"&amp;$D17&amp;"|"&amp;Q$14&amp;"|"&amp;"CY2022Q3",Spectrum!$R:$R,0)),0),""))</f>
        <v/>
      </c>
      <c r="R17" s="14"/>
      <c r="S17" s="90">
        <f>0</f>
        <v>0</v>
      </c>
      <c r="T17" s="42" t="str">
        <f t="shared" si="1"/>
        <v/>
      </c>
      <c r="U17" s="90" t="str">
        <f t="shared" si="2"/>
        <v/>
      </c>
      <c r="V17" s="42" t="str">
        <f t="shared" si="3"/>
        <v/>
      </c>
      <c r="W17" s="90"/>
      <c r="X17" s="90" t="str">
        <f t="shared" si="4"/>
        <v/>
      </c>
      <c r="Y17" s="90"/>
      <c r="Z17" s="90" t="str">
        <f t="shared" si="5"/>
        <v/>
      </c>
      <c r="AA17" s="14" t="str">
        <f t="shared" si="6"/>
        <v/>
      </c>
      <c r="AB17" s="42" t="str">
        <f t="shared" si="7"/>
        <v/>
      </c>
      <c r="AC17" s="42" t="str">
        <f t="shared" si="8"/>
        <v/>
      </c>
      <c r="AD17" s="42" t="str">
        <f t="shared" si="9"/>
        <v/>
      </c>
      <c r="AE17" s="14" t="str">
        <f t="shared" si="10"/>
        <v/>
      </c>
      <c r="AF17" s="42" t="str">
        <f t="shared" si="11"/>
        <v/>
      </c>
      <c r="AG17" s="42" t="str">
        <f t="shared" si="12"/>
        <v/>
      </c>
      <c r="AH17" s="42" t="str">
        <f t="shared" si="13"/>
        <v/>
      </c>
      <c r="AI17" s="90" t="str">
        <f>IF(SUM($AC17)=0,"",INDEX(Cascade!$BG:$BG,MATCH($E17,Cascade!$E:$E,0)))</f>
        <v/>
      </c>
      <c r="AJ17" s="42" t="str">
        <f t="shared" si="14"/>
        <v/>
      </c>
      <c r="AK17" s="42" t="str">
        <f t="shared" si="15"/>
        <v/>
      </c>
      <c r="AL17" s="42" t="str">
        <f t="shared" si="16"/>
        <v/>
      </c>
      <c r="AM17" s="42" t="str">
        <f t="shared" si="17"/>
        <v/>
      </c>
      <c r="AN17" s="42" t="str">
        <f t="shared" si="18"/>
        <v/>
      </c>
      <c r="AO17" s="14" t="str">
        <f t="shared" si="19"/>
        <v/>
      </c>
      <c r="AP17" s="90"/>
      <c r="AQ17" s="90" t="str">
        <f t="shared" si="20"/>
        <v/>
      </c>
      <c r="AR17" s="90" t="str">
        <f>IF(SUM($AO17)=0,"",INDEX(Cascade!$BG:$BG,MATCH($E17,Cascade!$E:$E,0)))</f>
        <v/>
      </c>
      <c r="AS17" s="42" t="str">
        <f t="shared" si="21"/>
        <v/>
      </c>
      <c r="AT17" s="42" t="str">
        <f t="shared" si="22"/>
        <v/>
      </c>
      <c r="AU17" s="14" t="str">
        <f t="shared" si="23"/>
        <v/>
      </c>
      <c r="AV17" s="14" t="str">
        <f t="shared" si="24"/>
        <v/>
      </c>
      <c r="AW17" s="14" t="str">
        <f>IFERROR(1/(1/INDEX(Cascade!$BH:$BH,MATCH($E17,Cascade!$E:$E,0))),"")</f>
        <v/>
      </c>
      <c r="AX17" s="14" t="str">
        <f t="shared" si="25"/>
        <v/>
      </c>
      <c r="AY17" s="14" t="str">
        <f t="shared" si="26"/>
        <v/>
      </c>
      <c r="AZ17" s="14" t="str">
        <f>IFERROR(1/(1/INDEX(TB!$P:$P,MATCH($E17,TB!$E:$E,0))),"")</f>
        <v/>
      </c>
      <c r="BA17" s="14" t="str">
        <f t="shared" si="27"/>
        <v/>
      </c>
    </row>
    <row r="18" spans="1:53" x14ac:dyDescent="0.2">
      <c r="A18" t="str">
        <f>INDEX(Prioritization!$D:$D,MATCH($B18,Prioritization!$A:$A,0))</f>
        <v>Military</v>
      </c>
      <c r="B18" t="s">
        <v>193</v>
      </c>
      <c r="C18" t="s">
        <v>366</v>
      </c>
      <c r="D18" t="s">
        <v>29</v>
      </c>
      <c r="E18" t="str">
        <f t="shared" si="0"/>
        <v>_Military Malawi [PQZgU9dagaH]|35-49|Female</v>
      </c>
      <c r="F18" s="14" t="str">
        <f>IF(LEFT($B18,4)="_Mil","",INDEX(Cascade!$T:$T,MATCH($E18,Cascade!$E:$E,0)))</f>
        <v/>
      </c>
      <c r="G18" s="14" t="str">
        <f>IF(LEFT($B18,4)="_Mil","",INDEX(Cascade!$U:$U,MATCH($E18,Cascade!$E:$E,0)))</f>
        <v/>
      </c>
      <c r="H18" s="88" t="str">
        <f>IF(LEFT($B18,4)="_Mil","",INDEX(Cascade!$W:$W,MATCH($E18,Cascade!$E:$E,0)))</f>
        <v/>
      </c>
      <c r="I18" s="14" t="str">
        <f>IF(LEFT($B18,4)="_Mil","",INDEX(Cascade!$Z:$Z,MATCH($E18,Cascade!$E:$E,0)))</f>
        <v/>
      </c>
      <c r="J18" s="90" t="str">
        <f>IF(LEFT($B18,4)="_Mil","",INDEX(Cascade!$AA:$AA,MATCH($E18,Cascade!$E:$E,0)))</f>
        <v/>
      </c>
      <c r="K18" s="42" t="str">
        <f>IF(LEFT($B18,4)="_Mil","",_xlfn.IFNA(ROUND(INDEX(Spectrum!$N:$N,MATCH(RIGHT($B18,13)&amp;"|"&amp;$C18&amp;"|"&amp;$D18&amp;"|"&amp;K$14&amp;"|"&amp;"CY2023Q3",Spectrum!$R:$R,0)),0),""))</f>
        <v/>
      </c>
      <c r="L18" s="42" t="str">
        <f>IF(LEFT($B18,4)="_Mil","",_xlfn.IFNA(ROUND(INDEX(Spectrum!$N:$N,MATCH(RIGHT($B18,13)&amp;"|"&amp;$C18&amp;"|"&amp;$D18&amp;"|"&amp;L$14&amp;"|"&amp;"CY2023Q3",Spectrum!$R:$R,0)),0),""))</f>
        <v/>
      </c>
      <c r="M18" s="42" t="str">
        <f>IF(LEFT($B18,4)="_Mil","",_xlfn.IFNA(ROUND(INDEX(Spectrum!$N:$N,MATCH(RIGHT($B18,13)&amp;"|"&amp;$C18&amp;"|"&amp;$D18&amp;"|"&amp;M$14&amp;"|"&amp;"CY2023Q3",Spectrum!$R:$R,0)),0),""))</f>
        <v/>
      </c>
      <c r="N18" s="42" t="str">
        <f>IF(LEFT($B18,4)="_Mil","",_xlfn.IFNA(ROUND(INDEX(Spectrum!$N:$N,MATCH(RIGHT($B18,13)&amp;"|"&amp;$C18&amp;"|"&amp;$D18&amp;"|"&amp;N$14&amp;"|"&amp;"CY2023Q3",Spectrum!$R:$R,0)),0),""))</f>
        <v/>
      </c>
      <c r="O18" s="42" t="str">
        <f>IF(LEFT($B18,4)="_Mil","",_xlfn.IFNA(ROUND(INDEX(Spectrum!$N:$N,MATCH(RIGHT($B18,13)&amp;"|"&amp;$C18&amp;"|"&amp;$D18&amp;"|"&amp;O$14&amp;"|"&amp;"CY2023Q3",Spectrum!$R:$R,0)),0),""))</f>
        <v/>
      </c>
      <c r="P18" s="42" t="str">
        <f>IF(LEFT($B18,4)="_Mil","",_xlfn.IFNA(ROUND(INDEX(Spectrum!$N:$N,MATCH(RIGHT($B18,13)&amp;"|"&amp;$C18&amp;"|"&amp;$D18&amp;"|"&amp;P$14&amp;"|"&amp;"CY2023Q3",Spectrum!$R:$R,0)),0),""))</f>
        <v/>
      </c>
      <c r="Q18" s="42" t="str">
        <f>IF(LEFT($B18,4)="_Mil","",_xlfn.IFNA(ROUND(INDEX(Spectrum!$N:$N,MATCH(RIGHT($B18,13)&amp;"|"&amp;$C18&amp;"|"&amp;$D18&amp;"|"&amp;Q$14&amp;"|"&amp;"CY2022Q3",Spectrum!$R:$R,0)),0),""))</f>
        <v/>
      </c>
      <c r="R18" s="14"/>
      <c r="S18" s="90">
        <f>0</f>
        <v>0</v>
      </c>
      <c r="T18" s="42" t="str">
        <f t="shared" si="1"/>
        <v/>
      </c>
      <c r="U18" s="90" t="str">
        <f t="shared" si="2"/>
        <v/>
      </c>
      <c r="V18" s="42" t="str">
        <f t="shared" si="3"/>
        <v/>
      </c>
      <c r="W18" s="90"/>
      <c r="X18" s="90" t="str">
        <f t="shared" si="4"/>
        <v/>
      </c>
      <c r="Y18" s="90"/>
      <c r="Z18" s="90" t="str">
        <f t="shared" si="5"/>
        <v/>
      </c>
      <c r="AA18" s="14" t="str">
        <f t="shared" si="6"/>
        <v/>
      </c>
      <c r="AB18" s="42" t="str">
        <f t="shared" si="7"/>
        <v/>
      </c>
      <c r="AC18" s="42" t="str">
        <f t="shared" si="8"/>
        <v/>
      </c>
      <c r="AD18" s="42" t="str">
        <f t="shared" si="9"/>
        <v/>
      </c>
      <c r="AE18" s="14" t="str">
        <f t="shared" si="10"/>
        <v/>
      </c>
      <c r="AF18" s="42" t="str">
        <f t="shared" si="11"/>
        <v/>
      </c>
      <c r="AG18" s="42" t="str">
        <f t="shared" si="12"/>
        <v/>
      </c>
      <c r="AH18" s="42" t="str">
        <f t="shared" si="13"/>
        <v/>
      </c>
      <c r="AI18" s="90" t="str">
        <f>IF(SUM($AC18)=0,"",INDEX(Cascade!$BG:$BG,MATCH($E18,Cascade!$E:$E,0)))</f>
        <v/>
      </c>
      <c r="AJ18" s="42" t="str">
        <f t="shared" si="14"/>
        <v/>
      </c>
      <c r="AK18" s="42" t="str">
        <f t="shared" si="15"/>
        <v/>
      </c>
      <c r="AL18" s="42" t="str">
        <f t="shared" si="16"/>
        <v/>
      </c>
      <c r="AM18" s="42" t="str">
        <f t="shared" si="17"/>
        <v/>
      </c>
      <c r="AN18" s="42" t="str">
        <f t="shared" si="18"/>
        <v/>
      </c>
      <c r="AO18" s="14" t="str">
        <f t="shared" si="19"/>
        <v/>
      </c>
      <c r="AP18" s="90"/>
      <c r="AQ18" s="90" t="str">
        <f t="shared" si="20"/>
        <v/>
      </c>
      <c r="AR18" s="90" t="str">
        <f>IF(SUM($AO18)=0,"",INDEX(Cascade!$BG:$BG,MATCH($E18,Cascade!$E:$E,0)))</f>
        <v/>
      </c>
      <c r="AS18" s="42" t="str">
        <f t="shared" si="21"/>
        <v/>
      </c>
      <c r="AT18" s="42" t="str">
        <f t="shared" si="22"/>
        <v/>
      </c>
      <c r="AU18" s="14" t="str">
        <f t="shared" si="23"/>
        <v/>
      </c>
      <c r="AV18" s="14" t="str">
        <f t="shared" si="24"/>
        <v/>
      </c>
      <c r="AW18" s="14" t="str">
        <f>IFERROR(1/(1/INDEX(Cascade!$BH:$BH,MATCH($E18,Cascade!$E:$E,0))),"")</f>
        <v/>
      </c>
      <c r="AX18" s="14" t="str">
        <f t="shared" si="25"/>
        <v/>
      </c>
      <c r="AY18" s="14" t="str">
        <f t="shared" si="26"/>
        <v/>
      </c>
      <c r="AZ18" s="14" t="str">
        <f>IFERROR(1/(1/INDEX(TB!$P:$P,MATCH($E18,TB!$E:$E,0))),"")</f>
        <v/>
      </c>
      <c r="BA18" s="14" t="str">
        <f t="shared" si="27"/>
        <v/>
      </c>
    </row>
    <row r="19" spans="1:53" x14ac:dyDescent="0.2">
      <c r="A19" t="str">
        <f>INDEX(Prioritization!$D:$D,MATCH($B19,Prioritization!$A:$A,0))</f>
        <v>Military</v>
      </c>
      <c r="B19" t="s">
        <v>193</v>
      </c>
      <c r="C19" t="s">
        <v>367</v>
      </c>
      <c r="D19" t="s">
        <v>29</v>
      </c>
      <c r="E19" t="str">
        <f t="shared" si="0"/>
        <v>_Military Malawi [PQZgU9dagaH]|50+|Female</v>
      </c>
      <c r="F19" s="14" t="str">
        <f>IF(LEFT($B19,4)="_Mil","",INDEX(Cascade!$T:$T,MATCH($E19,Cascade!$E:$E,0)))</f>
        <v/>
      </c>
      <c r="G19" s="14" t="str">
        <f>IF(LEFT($B19,4)="_Mil","",INDEX(Cascade!$U:$U,MATCH($E19,Cascade!$E:$E,0)))</f>
        <v/>
      </c>
      <c r="H19" s="88" t="str">
        <f>IF(LEFT($B19,4)="_Mil","",INDEX(Cascade!$W:$W,MATCH($E19,Cascade!$E:$E,0)))</f>
        <v/>
      </c>
      <c r="I19" s="14" t="str">
        <f>IF(LEFT($B19,4)="_Mil","",INDEX(Cascade!$Z:$Z,MATCH($E19,Cascade!$E:$E,0)))</f>
        <v/>
      </c>
      <c r="J19" s="90" t="str">
        <f>IF(LEFT($B19,4)="_Mil","",INDEX(Cascade!$AA:$AA,MATCH($E19,Cascade!$E:$E,0)))</f>
        <v/>
      </c>
      <c r="K19" s="42" t="str">
        <f>IF(LEFT($B19,4)="_Mil","",_xlfn.IFNA(ROUND(INDEX(Spectrum!$N:$N,MATCH(RIGHT($B19,13)&amp;"|"&amp;$C19&amp;"|"&amp;$D19&amp;"|"&amp;K$14&amp;"|"&amp;"CY2023Q3",Spectrum!$R:$R,0)),0),""))</f>
        <v/>
      </c>
      <c r="L19" s="42" t="str">
        <f>IF(LEFT($B19,4)="_Mil","",_xlfn.IFNA(ROUND(INDEX(Spectrum!$N:$N,MATCH(RIGHT($B19,13)&amp;"|"&amp;$C19&amp;"|"&amp;$D19&amp;"|"&amp;L$14&amp;"|"&amp;"CY2023Q3",Spectrum!$R:$R,0)),0),""))</f>
        <v/>
      </c>
      <c r="M19" s="42" t="str">
        <f>IF(LEFT($B19,4)="_Mil","",_xlfn.IFNA(ROUND(INDEX(Spectrum!$N:$N,MATCH(RIGHT($B19,13)&amp;"|"&amp;$C19&amp;"|"&amp;$D19&amp;"|"&amp;M$14&amp;"|"&amp;"CY2023Q3",Spectrum!$R:$R,0)),0),""))</f>
        <v/>
      </c>
      <c r="N19" s="42" t="str">
        <f>IF(LEFT($B19,4)="_Mil","",_xlfn.IFNA(ROUND(INDEX(Spectrum!$N:$N,MATCH(RIGHT($B19,13)&amp;"|"&amp;$C19&amp;"|"&amp;$D19&amp;"|"&amp;N$14&amp;"|"&amp;"CY2023Q3",Spectrum!$R:$R,0)),0),""))</f>
        <v/>
      </c>
      <c r="O19" s="42" t="str">
        <f>IF(LEFT($B19,4)="_Mil","",_xlfn.IFNA(ROUND(INDEX(Spectrum!$N:$N,MATCH(RIGHT($B19,13)&amp;"|"&amp;$C19&amp;"|"&amp;$D19&amp;"|"&amp;O$14&amp;"|"&amp;"CY2023Q3",Spectrum!$R:$R,0)),0),""))</f>
        <v/>
      </c>
      <c r="P19" s="42" t="str">
        <f>IF(LEFT($B19,4)="_Mil","",_xlfn.IFNA(ROUND(INDEX(Spectrum!$N:$N,MATCH(RIGHT($B19,13)&amp;"|"&amp;$C19&amp;"|"&amp;$D19&amp;"|"&amp;P$14&amp;"|"&amp;"CY2023Q3",Spectrum!$R:$R,0)),0),""))</f>
        <v/>
      </c>
      <c r="Q19" s="42" t="str">
        <f>IF(LEFT($B19,4)="_Mil","",_xlfn.IFNA(ROUND(INDEX(Spectrum!$N:$N,MATCH(RIGHT($B19,13)&amp;"|"&amp;$C19&amp;"|"&amp;$D19&amp;"|"&amp;Q$14&amp;"|"&amp;"CY2022Q3",Spectrum!$R:$R,0)),0),""))</f>
        <v/>
      </c>
      <c r="R19" s="14"/>
      <c r="S19" s="90">
        <f>0</f>
        <v>0</v>
      </c>
      <c r="T19" s="42" t="str">
        <f t="shared" si="1"/>
        <v/>
      </c>
      <c r="U19" s="90" t="str">
        <f t="shared" si="2"/>
        <v/>
      </c>
      <c r="V19" s="42" t="str">
        <f t="shared" si="3"/>
        <v/>
      </c>
      <c r="W19" s="90"/>
      <c r="X19" s="90" t="str">
        <f t="shared" si="4"/>
        <v/>
      </c>
      <c r="Y19" s="90"/>
      <c r="Z19" s="90" t="str">
        <f t="shared" si="5"/>
        <v/>
      </c>
      <c r="AA19" s="14" t="str">
        <f t="shared" si="6"/>
        <v/>
      </c>
      <c r="AB19" s="42" t="str">
        <f t="shared" si="7"/>
        <v/>
      </c>
      <c r="AC19" s="42" t="str">
        <f t="shared" si="8"/>
        <v/>
      </c>
      <c r="AD19" s="42" t="str">
        <f t="shared" si="9"/>
        <v/>
      </c>
      <c r="AE19" s="14" t="str">
        <f t="shared" si="10"/>
        <v/>
      </c>
      <c r="AF19" s="42" t="str">
        <f t="shared" si="11"/>
        <v/>
      </c>
      <c r="AG19" s="42" t="str">
        <f t="shared" si="12"/>
        <v/>
      </c>
      <c r="AH19" s="42" t="str">
        <f t="shared" si="13"/>
        <v/>
      </c>
      <c r="AI19" s="90" t="str">
        <f>IF(SUM($AC19)=0,"",INDEX(Cascade!$BG:$BG,MATCH($E19,Cascade!$E:$E,0)))</f>
        <v/>
      </c>
      <c r="AJ19" s="42" t="str">
        <f t="shared" si="14"/>
        <v/>
      </c>
      <c r="AK19" s="42" t="str">
        <f t="shared" si="15"/>
        <v/>
      </c>
      <c r="AL19" s="42" t="str">
        <f t="shared" si="16"/>
        <v/>
      </c>
      <c r="AM19" s="42" t="str">
        <f t="shared" si="17"/>
        <v/>
      </c>
      <c r="AN19" s="42" t="str">
        <f t="shared" si="18"/>
        <v/>
      </c>
      <c r="AO19" s="14" t="str">
        <f t="shared" si="19"/>
        <v/>
      </c>
      <c r="AP19" s="90"/>
      <c r="AQ19" s="90" t="str">
        <f t="shared" si="20"/>
        <v/>
      </c>
      <c r="AR19" s="90" t="str">
        <f>IF(SUM($AO19)=0,"",INDEX(Cascade!$BG:$BG,MATCH($E19,Cascade!$E:$E,0)))</f>
        <v/>
      </c>
      <c r="AS19" s="42" t="str">
        <f t="shared" si="21"/>
        <v/>
      </c>
      <c r="AT19" s="42" t="str">
        <f t="shared" si="22"/>
        <v/>
      </c>
      <c r="AU19" s="14" t="str">
        <f t="shared" si="23"/>
        <v/>
      </c>
      <c r="AV19" s="14" t="str">
        <f t="shared" si="24"/>
        <v/>
      </c>
      <c r="AW19" s="14" t="str">
        <f>IFERROR(1/(1/INDEX(Cascade!$BH:$BH,MATCH($E19,Cascade!$E:$E,0))),"")</f>
        <v/>
      </c>
      <c r="AX19" s="14" t="str">
        <f t="shared" si="25"/>
        <v/>
      </c>
      <c r="AY19" s="14" t="str">
        <f t="shared" si="26"/>
        <v/>
      </c>
      <c r="AZ19" s="14" t="str">
        <f>IFERROR(1/(1/INDEX(TB!$P:$P,MATCH($E19,TB!$E:$E,0))),"")</f>
        <v/>
      </c>
      <c r="BA19" s="14" t="str">
        <f t="shared" si="27"/>
        <v/>
      </c>
    </row>
    <row r="20" spans="1:53" x14ac:dyDescent="0.2">
      <c r="A20" t="str">
        <f>INDEX(Prioritization!$D:$D,MATCH($B20,Prioritization!$A:$A,0))</f>
        <v>1 - Scale-up: Saturation</v>
      </c>
      <c r="B20" t="s">
        <v>194</v>
      </c>
      <c r="C20" t="s">
        <v>363</v>
      </c>
      <c r="D20" t="s">
        <v>29</v>
      </c>
      <c r="E20" t="str">
        <f t="shared" si="0"/>
        <v>Dedza District [PekKUkKHAzY]|10-14|Female</v>
      </c>
      <c r="F20" s="14">
        <f>IF(LEFT($B20,4)="_Mil","",INDEX(Cascade!$T:$T,MATCH($E20,Cascade!$E:$E,0)))</f>
        <v>1272</v>
      </c>
      <c r="G20" s="14" t="str">
        <f>IF(LEFT($B20,4)="_Mil","",INDEX(Cascade!$U:$U,MATCH($E20,Cascade!$E:$E,0)))</f>
        <v/>
      </c>
      <c r="H20" s="88">
        <f>IF(LEFT($B20,4)="_Mil","",INDEX(Cascade!$W:$W,MATCH($E20,Cascade!$E:$E,0)))</f>
        <v>945</v>
      </c>
      <c r="I20" s="14">
        <f>IF(LEFT($B20,4)="_Mil","",INDEX(Cascade!$Z:$Z,MATCH($E20,Cascade!$E:$E,0)))</f>
        <v>1555</v>
      </c>
      <c r="J20" s="90">
        <f>IF(LEFT($B20,4)="_Mil","",INDEX(Cascade!$AA:$AA,MATCH($E20,Cascade!$E:$E,0)))</f>
        <v>1044</v>
      </c>
      <c r="K20" s="42" t="str">
        <f>IF(LEFT($B20,4)="_Mil","",_xlfn.IFNA(ROUND(INDEX(Spectrum!$N:$N,MATCH(RIGHT($B20,13)&amp;"|"&amp;$C20&amp;"|"&amp;$D20&amp;"|"&amp;K$14&amp;"|"&amp;"CY2023Q3",Spectrum!$R:$R,0)),0),""))</f>
        <v/>
      </c>
      <c r="L20" s="42" t="str">
        <f>IF(LEFT($B20,4)="_Mil","",_xlfn.IFNA(ROUND(INDEX(Spectrum!$N:$N,MATCH(RIGHT($B20,13)&amp;"|"&amp;$C20&amp;"|"&amp;$D20&amp;"|"&amp;L$14&amp;"|"&amp;"CY2023Q3",Spectrum!$R:$R,0)),0),""))</f>
        <v/>
      </c>
      <c r="M20" s="42" t="str">
        <f>IF(LEFT($B20,4)="_Mil","",_xlfn.IFNA(ROUND(INDEX(Spectrum!$N:$N,MATCH(RIGHT($B20,13)&amp;"|"&amp;$C20&amp;"|"&amp;$D20&amp;"|"&amp;M$14&amp;"|"&amp;"CY2023Q3",Spectrum!$R:$R,0)),0),""))</f>
        <v/>
      </c>
      <c r="N20" s="42" t="str">
        <f>IF(LEFT($B20,4)="_Mil","",_xlfn.IFNA(ROUND(INDEX(Spectrum!$N:$N,MATCH(RIGHT($B20,13)&amp;"|"&amp;$C20&amp;"|"&amp;$D20&amp;"|"&amp;N$14&amp;"|"&amp;"CY2023Q3",Spectrum!$R:$R,0)),0),""))</f>
        <v/>
      </c>
      <c r="O20" s="42" t="str">
        <f>IF(LEFT($B20,4)="_Mil","",_xlfn.IFNA(ROUND(INDEX(Spectrum!$N:$N,MATCH(RIGHT($B20,13)&amp;"|"&amp;$C20&amp;"|"&amp;$D20&amp;"|"&amp;O$14&amp;"|"&amp;"CY2023Q3",Spectrum!$R:$R,0)),0),""))</f>
        <v/>
      </c>
      <c r="P20" s="42" t="str">
        <f>IF(LEFT($B20,4)="_Mil","",_xlfn.IFNA(ROUND(INDEX(Spectrum!$N:$N,MATCH(RIGHT($B20,13)&amp;"|"&amp;$C20&amp;"|"&amp;$D20&amp;"|"&amp;P$14&amp;"|"&amp;"CY2023Q3",Spectrum!$R:$R,0)),0),""))</f>
        <v/>
      </c>
      <c r="Q20" s="42" t="str">
        <f>IF(LEFT($B20,4)="_Mil","",_xlfn.IFNA(ROUND(INDEX(Spectrum!$N:$N,MATCH(RIGHT($B20,13)&amp;"|"&amp;$C20&amp;"|"&amp;$D20&amp;"|"&amp;Q$14&amp;"|"&amp;"CY2022Q3",Spectrum!$R:$R,0)),0),""))</f>
        <v/>
      </c>
      <c r="R20" s="14">
        <v>3</v>
      </c>
      <c r="S20" s="90">
        <f>0</f>
        <v>0</v>
      </c>
      <c r="T20" s="42">
        <f t="shared" si="1"/>
        <v>3</v>
      </c>
      <c r="U20" s="90">
        <f t="shared" si="2"/>
        <v>1</v>
      </c>
      <c r="V20" s="42">
        <f t="shared" si="3"/>
        <v>3</v>
      </c>
      <c r="W20" s="90"/>
      <c r="X20" s="90" t="str">
        <f t="shared" si="4"/>
        <v/>
      </c>
      <c r="Y20" s="90"/>
      <c r="Z20" s="90" t="str">
        <f t="shared" si="5"/>
        <v/>
      </c>
      <c r="AA20" s="14">
        <f t="shared" si="6"/>
        <v>3</v>
      </c>
      <c r="AB20" s="42" t="str">
        <f t="shared" si="7"/>
        <v>ENTER KNOWN POSITIVITY RATE</v>
      </c>
      <c r="AC20" s="42" t="str">
        <f t="shared" si="8"/>
        <v>ENTER YIELD RATE</v>
      </c>
      <c r="AD20" s="42">
        <f t="shared" si="9"/>
        <v>3</v>
      </c>
      <c r="AE20" s="14">
        <f t="shared" si="10"/>
        <v>3</v>
      </c>
      <c r="AF20" s="42">
        <f t="shared" si="11"/>
        <v>0</v>
      </c>
      <c r="AG20" s="42">
        <f t="shared" si="12"/>
        <v>0</v>
      </c>
      <c r="AH20" s="42">
        <f t="shared" si="13"/>
        <v>3</v>
      </c>
      <c r="AI20" s="90" t="str">
        <f>IF(SUM($AC20)=0,"",INDEX(Cascade!$BG:$BG,MATCH($E20,Cascade!$E:$E,0)))</f>
        <v/>
      </c>
      <c r="AJ20" s="42" t="str">
        <f t="shared" si="14"/>
        <v>ENTER KNOWN POSITIVITY RATE</v>
      </c>
      <c r="AK20" s="42" t="str">
        <f t="shared" si="15"/>
        <v/>
      </c>
      <c r="AL20" s="42" t="str">
        <f t="shared" si="16"/>
        <v/>
      </c>
      <c r="AM20" s="42">
        <f t="shared" si="17"/>
        <v>0</v>
      </c>
      <c r="AN20" s="42" t="str">
        <f t="shared" si="18"/>
        <v/>
      </c>
      <c r="AO20" s="14">
        <f t="shared" si="19"/>
        <v>3</v>
      </c>
      <c r="AP20" s="90"/>
      <c r="AQ20" s="90" t="str">
        <f t="shared" si="20"/>
        <v/>
      </c>
      <c r="AR20" s="90">
        <f>IF(SUM($AO20)=0,"",INDEX(Cascade!$BG:$BG,MATCH($E20,Cascade!$E:$E,0)))</f>
        <v>0.95</v>
      </c>
      <c r="AS20" s="42" t="str">
        <f t="shared" si="21"/>
        <v>ENTER YIELD RATE</v>
      </c>
      <c r="AT20" s="42">
        <f t="shared" si="22"/>
        <v>3</v>
      </c>
      <c r="AU20" s="14" t="str">
        <f t="shared" si="23"/>
        <v/>
      </c>
      <c r="AV20" s="14" t="str">
        <f t="shared" si="24"/>
        <v/>
      </c>
      <c r="AW20" s="14">
        <f>IFERROR(1/(1/INDEX(Cascade!$BH:$BH,MATCH($E20,Cascade!$E:$E,0))),"")</f>
        <v>-76</v>
      </c>
      <c r="AX20" s="14" t="str">
        <f t="shared" si="25"/>
        <v/>
      </c>
      <c r="AY20" s="14" t="str">
        <f t="shared" si="26"/>
        <v/>
      </c>
      <c r="AZ20" s="14" t="str">
        <f>IFERROR(1/(1/INDEX(TB!$P:$P,MATCH($E20,TB!$E:$E,0))),"")</f>
        <v/>
      </c>
      <c r="BA20" s="14">
        <f t="shared" si="27"/>
        <v>-76</v>
      </c>
    </row>
    <row r="21" spans="1:53" x14ac:dyDescent="0.2">
      <c r="A21" t="str">
        <f>INDEX(Prioritization!$D:$D,MATCH($B21,Prioritization!$A:$A,0))</f>
        <v>1 - Scale-up: Saturation</v>
      </c>
      <c r="B21" t="s">
        <v>194</v>
      </c>
      <c r="C21" t="s">
        <v>364</v>
      </c>
      <c r="D21" t="s">
        <v>29</v>
      </c>
      <c r="E21" t="str">
        <f t="shared" si="0"/>
        <v>Dedza District [PekKUkKHAzY]|15-24|Female</v>
      </c>
      <c r="F21" s="14">
        <f>IF(LEFT($B21,4)="_Mil","",INDEX(Cascade!$T:$T,MATCH($E21,Cascade!$E:$E,0)))</f>
        <v>1410</v>
      </c>
      <c r="G21" s="14" t="str">
        <f>IF(LEFT($B21,4)="_Mil","",INDEX(Cascade!$U:$U,MATCH($E21,Cascade!$E:$E,0)))</f>
        <v/>
      </c>
      <c r="H21" s="88">
        <f>IF(LEFT($B21,4)="_Mil","",INDEX(Cascade!$W:$W,MATCH($E21,Cascade!$E:$E,0)))</f>
        <v>939</v>
      </c>
      <c r="I21" s="14">
        <f>IF(LEFT($B21,4)="_Mil","",INDEX(Cascade!$Z:$Z,MATCH($E21,Cascade!$E:$E,0)))</f>
        <v>1869</v>
      </c>
      <c r="J21" s="90">
        <f>IF(LEFT($B21,4)="_Mil","",INDEX(Cascade!$AA:$AA,MATCH($E21,Cascade!$E:$E,0)))</f>
        <v>1089</v>
      </c>
      <c r="K21" s="42">
        <f>IF(LEFT($B21,4)="_Mil","",_xlfn.IFNA(ROUND(INDEX(Spectrum!$N:$N,MATCH(RIGHT($B21,13)&amp;"|"&amp;$C21&amp;"|"&amp;$D21&amp;"|"&amp;K$14&amp;"|"&amp;"CY2023Q3",Spectrum!$R:$R,0)),0),""))</f>
        <v>814</v>
      </c>
      <c r="L21" s="42" t="str">
        <f>IF(LEFT($B21,4)="_Mil","",_xlfn.IFNA(ROUND(INDEX(Spectrum!$N:$N,MATCH(RIGHT($B21,13)&amp;"|"&amp;$C21&amp;"|"&amp;$D21&amp;"|"&amp;L$14&amp;"|"&amp;"CY2023Q3",Spectrum!$R:$R,0)),0),""))</f>
        <v/>
      </c>
      <c r="M21" s="42">
        <f>IF(LEFT($B21,4)="_Mil","",_xlfn.IFNA(ROUND(INDEX(Spectrum!$N:$N,MATCH(RIGHT($B21,13)&amp;"|"&amp;$C21&amp;"|"&amp;$D21&amp;"|"&amp;M$14&amp;"|"&amp;"CY2023Q3",Spectrum!$R:$R,0)),0),""))</f>
        <v>1239</v>
      </c>
      <c r="N21" s="42">
        <f>IF(LEFT($B21,4)="_Mil","",_xlfn.IFNA(ROUND(INDEX(Spectrum!$N:$N,MATCH(RIGHT($B21,13)&amp;"|"&amp;$C21&amp;"|"&amp;$D21&amp;"|"&amp;N$14&amp;"|"&amp;"CY2023Q3",Spectrum!$R:$R,0)),0),""))</f>
        <v>1749</v>
      </c>
      <c r="O21" s="42">
        <f>IF(LEFT($B21,4)="_Mil","",_xlfn.IFNA(ROUND(INDEX(Spectrum!$N:$N,MATCH(RIGHT($B21,13)&amp;"|"&amp;$C21&amp;"|"&amp;$D21&amp;"|"&amp;O$14&amp;"|"&amp;"CY2023Q3",Spectrum!$R:$R,0)),0),""))</f>
        <v>630</v>
      </c>
      <c r="P21" s="42">
        <f>IF(LEFT($B21,4)="_Mil","",_xlfn.IFNA(ROUND(INDEX(Spectrum!$N:$N,MATCH(RIGHT($B21,13)&amp;"|"&amp;$C21&amp;"|"&amp;$D21&amp;"|"&amp;P$14&amp;"|"&amp;"CY2023Q3",Spectrum!$R:$R,0)),0),""))</f>
        <v>1890</v>
      </c>
      <c r="Q21" s="42" t="str">
        <f>IF(LEFT($B21,4)="_Mil","",_xlfn.IFNA(ROUND(INDEX(Spectrum!$N:$N,MATCH(RIGHT($B21,13)&amp;"|"&amp;$C21&amp;"|"&amp;$D21&amp;"|"&amp;Q$14&amp;"|"&amp;"CY2022Q3",Spectrum!$R:$R,0)),0),""))</f>
        <v/>
      </c>
      <c r="R21" s="14"/>
      <c r="S21" s="90">
        <f>0</f>
        <v>0</v>
      </c>
      <c r="T21" s="42" t="str">
        <f t="shared" si="1"/>
        <v/>
      </c>
      <c r="U21" s="90">
        <f t="shared" si="2"/>
        <v>0</v>
      </c>
      <c r="V21" s="42" t="str">
        <f t="shared" si="3"/>
        <v/>
      </c>
      <c r="W21" s="90"/>
      <c r="X21" s="90">
        <f t="shared" si="4"/>
        <v>0</v>
      </c>
      <c r="Y21" s="90"/>
      <c r="Z21" s="90">
        <f t="shared" si="5"/>
        <v>0</v>
      </c>
      <c r="AA21" s="14" t="str">
        <f t="shared" si="6"/>
        <v/>
      </c>
      <c r="AB21" s="42" t="str">
        <f t="shared" si="7"/>
        <v/>
      </c>
      <c r="AC21" s="42" t="str">
        <f t="shared" si="8"/>
        <v/>
      </c>
      <c r="AD21" s="42" t="str">
        <f t="shared" si="9"/>
        <v/>
      </c>
      <c r="AE21" s="14" t="str">
        <f t="shared" si="10"/>
        <v/>
      </c>
      <c r="AF21" s="42" t="str">
        <f t="shared" si="11"/>
        <v/>
      </c>
      <c r="AG21" s="42" t="str">
        <f t="shared" si="12"/>
        <v/>
      </c>
      <c r="AH21" s="42" t="str">
        <f t="shared" si="13"/>
        <v/>
      </c>
      <c r="AI21" s="90" t="str">
        <f>IF(SUM($AC21)=0,"",INDEX(Cascade!$BG:$BG,MATCH($E21,Cascade!$E:$E,0)))</f>
        <v/>
      </c>
      <c r="AJ21" s="42" t="str">
        <f t="shared" si="14"/>
        <v/>
      </c>
      <c r="AK21" s="42" t="str">
        <f t="shared" si="15"/>
        <v/>
      </c>
      <c r="AL21" s="42" t="str">
        <f t="shared" si="16"/>
        <v/>
      </c>
      <c r="AM21" s="42" t="str">
        <f t="shared" si="17"/>
        <v/>
      </c>
      <c r="AN21" s="42" t="str">
        <f t="shared" si="18"/>
        <v/>
      </c>
      <c r="AO21" s="14" t="str">
        <f t="shared" si="19"/>
        <v/>
      </c>
      <c r="AP21" s="90"/>
      <c r="AQ21" s="90" t="str">
        <f t="shared" si="20"/>
        <v/>
      </c>
      <c r="AR21" s="90" t="str">
        <f>IF(SUM($AO21)=0,"",INDEX(Cascade!$BG:$BG,MATCH($E21,Cascade!$E:$E,0)))</f>
        <v/>
      </c>
      <c r="AS21" s="42" t="str">
        <f t="shared" si="21"/>
        <v/>
      </c>
      <c r="AT21" s="42" t="str">
        <f t="shared" si="22"/>
        <v/>
      </c>
      <c r="AU21" s="14" t="str">
        <f t="shared" si="23"/>
        <v/>
      </c>
      <c r="AV21" s="14" t="str">
        <f t="shared" si="24"/>
        <v/>
      </c>
      <c r="AW21" s="14" t="str">
        <f>IFERROR(1/(1/INDEX(Cascade!$BH:$BH,MATCH($E21,Cascade!$E:$E,0))),"")</f>
        <v/>
      </c>
      <c r="AX21" s="14" t="str">
        <f t="shared" si="25"/>
        <v/>
      </c>
      <c r="AY21" s="14" t="str">
        <f t="shared" si="26"/>
        <v/>
      </c>
      <c r="AZ21" s="14" t="str">
        <f>IFERROR(1/(1/INDEX(TB!$P:$P,MATCH($E21,TB!$E:$E,0))),"")</f>
        <v/>
      </c>
      <c r="BA21" s="14" t="str">
        <f t="shared" si="27"/>
        <v/>
      </c>
    </row>
    <row r="22" spans="1:53" x14ac:dyDescent="0.2">
      <c r="A22" t="str">
        <f>INDEX(Prioritization!$D:$D,MATCH($B22,Prioritization!$A:$A,0))</f>
        <v>1 - Scale-up: Saturation</v>
      </c>
      <c r="B22" t="s">
        <v>194</v>
      </c>
      <c r="C22" t="s">
        <v>365</v>
      </c>
      <c r="D22" t="s">
        <v>29</v>
      </c>
      <c r="E22" t="str">
        <f t="shared" si="0"/>
        <v>Dedza District [PekKUkKHAzY]|25-34|Female</v>
      </c>
      <c r="F22" s="14">
        <f>IF(LEFT($B22,4)="_Mil","",INDEX(Cascade!$T:$T,MATCH($E22,Cascade!$E:$E,0)))</f>
        <v>1954</v>
      </c>
      <c r="G22" s="14" t="str">
        <f>IF(LEFT($B22,4)="_Mil","",INDEX(Cascade!$U:$U,MATCH($E22,Cascade!$E:$E,0)))</f>
        <v/>
      </c>
      <c r="H22" s="88">
        <f>IF(LEFT($B22,4)="_Mil","",INDEX(Cascade!$W:$W,MATCH($E22,Cascade!$E:$E,0)))</f>
        <v>909</v>
      </c>
      <c r="I22" s="14">
        <f>IF(LEFT($B22,4)="_Mil","",INDEX(Cascade!$Z:$Z,MATCH($E22,Cascade!$E:$E,0)))</f>
        <v>1045</v>
      </c>
      <c r="J22" s="90">
        <f>IF(LEFT($B22,4)="_Mil","",INDEX(Cascade!$AA:$AA,MATCH($E22,Cascade!$E:$E,0)))</f>
        <v>835</v>
      </c>
      <c r="K22" s="42">
        <f>IF(LEFT($B22,4)="_Mil","",_xlfn.IFNA(ROUND(INDEX(Spectrum!$N:$N,MATCH(RIGHT($B22,13)&amp;"|"&amp;$C22&amp;"|"&amp;$D22&amp;"|"&amp;K$14&amp;"|"&amp;"CY2023Q3",Spectrum!$R:$R,0)),0),""))</f>
        <v>1775</v>
      </c>
      <c r="L22" s="42" t="str">
        <f>IF(LEFT($B22,4)="_Mil","",_xlfn.IFNA(ROUND(INDEX(Spectrum!$N:$N,MATCH(RIGHT($B22,13)&amp;"|"&amp;$C22&amp;"|"&amp;$D22&amp;"|"&amp;L$14&amp;"|"&amp;"CY2023Q3",Spectrum!$R:$R,0)),0),""))</f>
        <v/>
      </c>
      <c r="M22" s="42">
        <f>IF(LEFT($B22,4)="_Mil","",_xlfn.IFNA(ROUND(INDEX(Spectrum!$N:$N,MATCH(RIGHT($B22,13)&amp;"|"&amp;$C22&amp;"|"&amp;$D22&amp;"|"&amp;M$14&amp;"|"&amp;"CY2023Q3",Spectrum!$R:$R,0)),0),""))</f>
        <v>1295</v>
      </c>
      <c r="N22" s="42">
        <f>IF(LEFT($B22,4)="_Mil","",_xlfn.IFNA(ROUND(INDEX(Spectrum!$N:$N,MATCH(RIGHT($B22,13)&amp;"|"&amp;$C22&amp;"|"&amp;$D22&amp;"|"&amp;N$14&amp;"|"&amp;"CY2023Q3",Spectrum!$R:$R,0)),0),""))</f>
        <v>1055</v>
      </c>
      <c r="O22" s="42">
        <f>IF(LEFT($B22,4)="_Mil","",_xlfn.IFNA(ROUND(INDEX(Spectrum!$N:$N,MATCH(RIGHT($B22,13)&amp;"|"&amp;$C22&amp;"|"&amp;$D22&amp;"|"&amp;O$14&amp;"|"&amp;"CY2023Q3",Spectrum!$R:$R,0)),0),""))</f>
        <v>1659</v>
      </c>
      <c r="P22" s="42">
        <f>IF(LEFT($B22,4)="_Mil","",_xlfn.IFNA(ROUND(INDEX(Spectrum!$N:$N,MATCH(RIGHT($B22,13)&amp;"|"&amp;$C22&amp;"|"&amp;$D22&amp;"|"&amp;P$14&amp;"|"&amp;"CY2023Q3",Spectrum!$R:$R,0)),0),""))</f>
        <v>1449</v>
      </c>
      <c r="Q22" s="42" t="str">
        <f>IF(LEFT($B22,4)="_Mil","",_xlfn.IFNA(ROUND(INDEX(Spectrum!$N:$N,MATCH(RIGHT($B22,13)&amp;"|"&amp;$C22&amp;"|"&amp;$D22&amp;"|"&amp;Q$14&amp;"|"&amp;"CY2022Q3",Spectrum!$R:$R,0)),0),""))</f>
        <v/>
      </c>
      <c r="R22" s="14"/>
      <c r="S22" s="90">
        <f>0</f>
        <v>0</v>
      </c>
      <c r="T22" s="42" t="str">
        <f t="shared" si="1"/>
        <v/>
      </c>
      <c r="U22" s="90">
        <f t="shared" si="2"/>
        <v>0</v>
      </c>
      <c r="V22" s="42" t="str">
        <f t="shared" si="3"/>
        <v/>
      </c>
      <c r="W22" s="90"/>
      <c r="X22" s="90">
        <f t="shared" si="4"/>
        <v>0</v>
      </c>
      <c r="Y22" s="90"/>
      <c r="Z22" s="90">
        <f t="shared" si="5"/>
        <v>0</v>
      </c>
      <c r="AA22" s="14" t="str">
        <f t="shared" si="6"/>
        <v/>
      </c>
      <c r="AB22" s="42" t="str">
        <f t="shared" si="7"/>
        <v/>
      </c>
      <c r="AC22" s="42" t="str">
        <f t="shared" si="8"/>
        <v/>
      </c>
      <c r="AD22" s="42" t="str">
        <f t="shared" si="9"/>
        <v/>
      </c>
      <c r="AE22" s="14" t="str">
        <f t="shared" si="10"/>
        <v/>
      </c>
      <c r="AF22" s="42" t="str">
        <f t="shared" si="11"/>
        <v/>
      </c>
      <c r="AG22" s="42" t="str">
        <f t="shared" si="12"/>
        <v/>
      </c>
      <c r="AH22" s="42" t="str">
        <f t="shared" si="13"/>
        <v/>
      </c>
      <c r="AI22" s="90" t="str">
        <f>IF(SUM($AC22)=0,"",INDEX(Cascade!$BG:$BG,MATCH($E22,Cascade!$E:$E,0)))</f>
        <v/>
      </c>
      <c r="AJ22" s="42" t="str">
        <f t="shared" si="14"/>
        <v/>
      </c>
      <c r="AK22" s="42" t="str">
        <f t="shared" si="15"/>
        <v/>
      </c>
      <c r="AL22" s="42" t="str">
        <f t="shared" si="16"/>
        <v/>
      </c>
      <c r="AM22" s="42" t="str">
        <f t="shared" si="17"/>
        <v/>
      </c>
      <c r="AN22" s="42" t="str">
        <f t="shared" si="18"/>
        <v/>
      </c>
      <c r="AO22" s="14" t="str">
        <f t="shared" si="19"/>
        <v/>
      </c>
      <c r="AP22" s="90"/>
      <c r="AQ22" s="90" t="str">
        <f t="shared" si="20"/>
        <v/>
      </c>
      <c r="AR22" s="90" t="str">
        <f>IF(SUM($AO22)=0,"",INDEX(Cascade!$BG:$BG,MATCH($E22,Cascade!$E:$E,0)))</f>
        <v/>
      </c>
      <c r="AS22" s="42" t="str">
        <f t="shared" si="21"/>
        <v/>
      </c>
      <c r="AT22" s="42" t="str">
        <f t="shared" si="22"/>
        <v/>
      </c>
      <c r="AU22" s="14" t="str">
        <f t="shared" si="23"/>
        <v/>
      </c>
      <c r="AV22" s="14" t="str">
        <f t="shared" si="24"/>
        <v/>
      </c>
      <c r="AW22" s="14" t="str">
        <f>IFERROR(1/(1/INDEX(Cascade!$BH:$BH,MATCH($E22,Cascade!$E:$E,0))),"")</f>
        <v/>
      </c>
      <c r="AX22" s="14" t="str">
        <f t="shared" si="25"/>
        <v/>
      </c>
      <c r="AY22" s="14" t="str">
        <f t="shared" si="26"/>
        <v/>
      </c>
      <c r="AZ22" s="14" t="str">
        <f>IFERROR(1/(1/INDEX(TB!$P:$P,MATCH($E22,TB!$E:$E,0))),"")</f>
        <v/>
      </c>
      <c r="BA22" s="14" t="str">
        <f t="shared" si="27"/>
        <v/>
      </c>
    </row>
    <row r="23" spans="1:53" x14ac:dyDescent="0.2">
      <c r="A23" t="str">
        <f>INDEX(Prioritization!$D:$D,MATCH($B23,Prioritization!$A:$A,0))</f>
        <v>1 - Scale-up: Saturation</v>
      </c>
      <c r="B23" t="s">
        <v>194</v>
      </c>
      <c r="C23" t="s">
        <v>366</v>
      </c>
      <c r="D23" t="s">
        <v>29</v>
      </c>
      <c r="E23" t="str">
        <f t="shared" si="0"/>
        <v>Dedza District [PekKUkKHAzY]|35-49|Female</v>
      </c>
      <c r="F23" s="14">
        <f>IF(LEFT($B23,4)="_Mil","",INDEX(Cascade!$T:$T,MATCH($E23,Cascade!$E:$E,0)))</f>
        <v>1065</v>
      </c>
      <c r="G23" s="14" t="str">
        <f>IF(LEFT($B23,4)="_Mil","",INDEX(Cascade!$U:$U,MATCH($E23,Cascade!$E:$E,0)))</f>
        <v/>
      </c>
      <c r="H23" s="88">
        <f>IF(LEFT($B23,4)="_Mil","",INDEX(Cascade!$W:$W,MATCH($E23,Cascade!$E:$E,0)))</f>
        <v>1692</v>
      </c>
      <c r="I23" s="14">
        <f>IF(LEFT($B23,4)="_Mil","",INDEX(Cascade!$Z:$Z,MATCH($E23,Cascade!$E:$E,0)))</f>
        <v>1435</v>
      </c>
      <c r="J23" s="90">
        <f>IF(LEFT($B23,4)="_Mil","",INDEX(Cascade!$AA:$AA,MATCH($E23,Cascade!$E:$E,0)))</f>
        <v>1942</v>
      </c>
      <c r="K23" s="42">
        <f>IF(LEFT($B23,4)="_Mil","",_xlfn.IFNA(ROUND(INDEX(Spectrum!$N:$N,MATCH(RIGHT($B23,13)&amp;"|"&amp;$C23&amp;"|"&amp;$D23&amp;"|"&amp;K$14&amp;"|"&amp;"CY2023Q3",Spectrum!$R:$R,0)),0),""))</f>
        <v>1230</v>
      </c>
      <c r="L23" s="42" t="str">
        <f>IF(LEFT($B23,4)="_Mil","",_xlfn.IFNA(ROUND(INDEX(Spectrum!$N:$N,MATCH(RIGHT($B23,13)&amp;"|"&amp;$C23&amp;"|"&amp;$D23&amp;"|"&amp;L$14&amp;"|"&amp;"CY2023Q3",Spectrum!$R:$R,0)),0),""))</f>
        <v/>
      </c>
      <c r="M23" s="42">
        <f>IF(LEFT($B23,4)="_Mil","",_xlfn.IFNA(ROUND(INDEX(Spectrum!$N:$N,MATCH(RIGHT($B23,13)&amp;"|"&amp;$C23&amp;"|"&amp;$D23&amp;"|"&amp;M$14&amp;"|"&amp;"CY2023Q3",Spectrum!$R:$R,0)),0),""))</f>
        <v>739</v>
      </c>
      <c r="N23" s="42">
        <f>IF(LEFT($B23,4)="_Mil","",_xlfn.IFNA(ROUND(INDEX(Spectrum!$N:$N,MATCH(RIGHT($B23,13)&amp;"|"&amp;$C23&amp;"|"&amp;$D23&amp;"|"&amp;N$14&amp;"|"&amp;"CY2023Q3",Spectrum!$R:$R,0)),0),""))</f>
        <v>712</v>
      </c>
      <c r="O23" s="42">
        <f>IF(LEFT($B23,4)="_Mil","",_xlfn.IFNA(ROUND(INDEX(Spectrum!$N:$N,MATCH(RIGHT($B23,13)&amp;"|"&amp;$C23&amp;"|"&amp;$D23&amp;"|"&amp;O$14&amp;"|"&amp;"CY2023Q3",Spectrum!$R:$R,0)),0),""))</f>
        <v>1675</v>
      </c>
      <c r="P23" s="42">
        <f>IF(LEFT($B23,4)="_Mil","",_xlfn.IFNA(ROUND(INDEX(Spectrum!$N:$N,MATCH(RIGHT($B23,13)&amp;"|"&amp;$C23&amp;"|"&amp;$D23&amp;"|"&amp;P$14&amp;"|"&amp;"CY2023Q3",Spectrum!$R:$R,0)),0),""))</f>
        <v>741</v>
      </c>
      <c r="Q23" s="42" t="str">
        <f>IF(LEFT($B23,4)="_Mil","",_xlfn.IFNA(ROUND(INDEX(Spectrum!$N:$N,MATCH(RIGHT($B23,13)&amp;"|"&amp;$C23&amp;"|"&amp;$D23&amp;"|"&amp;Q$14&amp;"|"&amp;"CY2022Q3",Spectrum!$R:$R,0)),0),""))</f>
        <v/>
      </c>
      <c r="R23" s="14"/>
      <c r="S23" s="90">
        <f>0</f>
        <v>0</v>
      </c>
      <c r="T23" s="42" t="str">
        <f t="shared" si="1"/>
        <v/>
      </c>
      <c r="U23" s="90">
        <f t="shared" si="2"/>
        <v>0</v>
      </c>
      <c r="V23" s="42" t="str">
        <f t="shared" si="3"/>
        <v/>
      </c>
      <c r="W23" s="90"/>
      <c r="X23" s="90">
        <f t="shared" si="4"/>
        <v>0</v>
      </c>
      <c r="Y23" s="90"/>
      <c r="Z23" s="90">
        <f t="shared" si="5"/>
        <v>0</v>
      </c>
      <c r="AA23" s="14" t="str">
        <f t="shared" si="6"/>
        <v/>
      </c>
      <c r="AB23" s="42" t="str">
        <f t="shared" si="7"/>
        <v/>
      </c>
      <c r="AC23" s="42" t="str">
        <f t="shared" si="8"/>
        <v/>
      </c>
      <c r="AD23" s="42" t="str">
        <f t="shared" si="9"/>
        <v/>
      </c>
      <c r="AE23" s="14" t="str">
        <f t="shared" si="10"/>
        <v/>
      </c>
      <c r="AF23" s="42" t="str">
        <f t="shared" si="11"/>
        <v/>
      </c>
      <c r="AG23" s="42" t="str">
        <f t="shared" si="12"/>
        <v/>
      </c>
      <c r="AH23" s="42" t="str">
        <f t="shared" si="13"/>
        <v/>
      </c>
      <c r="AI23" s="90" t="str">
        <f>IF(SUM($AC23)=0,"",INDEX(Cascade!$BG:$BG,MATCH($E23,Cascade!$E:$E,0)))</f>
        <v/>
      </c>
      <c r="AJ23" s="42" t="str">
        <f t="shared" si="14"/>
        <v/>
      </c>
      <c r="AK23" s="42" t="str">
        <f t="shared" si="15"/>
        <v/>
      </c>
      <c r="AL23" s="42" t="str">
        <f t="shared" si="16"/>
        <v/>
      </c>
      <c r="AM23" s="42" t="str">
        <f t="shared" si="17"/>
        <v/>
      </c>
      <c r="AN23" s="42" t="str">
        <f t="shared" si="18"/>
        <v/>
      </c>
      <c r="AO23" s="14" t="str">
        <f t="shared" si="19"/>
        <v/>
      </c>
      <c r="AP23" s="90"/>
      <c r="AQ23" s="90" t="str">
        <f t="shared" si="20"/>
        <v/>
      </c>
      <c r="AR23" s="90" t="str">
        <f>IF(SUM($AO23)=0,"",INDEX(Cascade!$BG:$BG,MATCH($E23,Cascade!$E:$E,0)))</f>
        <v/>
      </c>
      <c r="AS23" s="42" t="str">
        <f t="shared" si="21"/>
        <v/>
      </c>
      <c r="AT23" s="42" t="str">
        <f t="shared" si="22"/>
        <v/>
      </c>
      <c r="AU23" s="14" t="str">
        <f t="shared" si="23"/>
        <v/>
      </c>
      <c r="AV23" s="14" t="str">
        <f t="shared" si="24"/>
        <v/>
      </c>
      <c r="AW23" s="14" t="str">
        <f>IFERROR(1/(1/INDEX(Cascade!$BH:$BH,MATCH($E23,Cascade!$E:$E,0))),"")</f>
        <v/>
      </c>
      <c r="AX23" s="14" t="str">
        <f t="shared" si="25"/>
        <v/>
      </c>
      <c r="AY23" s="14" t="str">
        <f t="shared" si="26"/>
        <v/>
      </c>
      <c r="AZ23" s="14" t="str">
        <f>IFERROR(1/(1/INDEX(TB!$P:$P,MATCH($E23,TB!$E:$E,0))),"")</f>
        <v/>
      </c>
      <c r="BA23" s="14" t="str">
        <f t="shared" si="27"/>
        <v/>
      </c>
    </row>
    <row r="24" spans="1:53" x14ac:dyDescent="0.2">
      <c r="A24" t="str">
        <f>INDEX(Prioritization!$D:$D,MATCH($B24,Prioritization!$A:$A,0))</f>
        <v>1 - Scale-up: Saturation</v>
      </c>
      <c r="B24" t="s">
        <v>194</v>
      </c>
      <c r="C24" t="s">
        <v>367</v>
      </c>
      <c r="D24" t="s">
        <v>29</v>
      </c>
      <c r="E24" t="str">
        <f t="shared" si="0"/>
        <v>Dedza District [PekKUkKHAzY]|50+|Female</v>
      </c>
      <c r="F24" s="14">
        <f>IF(LEFT($B24,4)="_Mil","",INDEX(Cascade!$T:$T,MATCH($E24,Cascade!$E:$E,0)))</f>
        <v>1004</v>
      </c>
      <c r="G24" s="14" t="str">
        <f>IF(LEFT($B24,4)="_Mil","",INDEX(Cascade!$U:$U,MATCH($E24,Cascade!$E:$E,0)))</f>
        <v/>
      </c>
      <c r="H24" s="88">
        <f>IF(LEFT($B24,4)="_Mil","",INDEX(Cascade!$W:$W,MATCH($E24,Cascade!$E:$E,0)))</f>
        <v>1642</v>
      </c>
      <c r="I24" s="14">
        <f>IF(LEFT($B24,4)="_Mil","",INDEX(Cascade!$Z:$Z,MATCH($E24,Cascade!$E:$E,0)))</f>
        <v>1587</v>
      </c>
      <c r="J24" s="90">
        <f>IF(LEFT($B24,4)="_Mil","",INDEX(Cascade!$AA:$AA,MATCH($E24,Cascade!$E:$E,0)))</f>
        <v>873</v>
      </c>
      <c r="K24" s="42" t="str">
        <f>IF(LEFT($B24,4)="_Mil","",_xlfn.IFNA(ROUND(INDEX(Spectrum!$N:$N,MATCH(RIGHT($B24,13)&amp;"|"&amp;$C24&amp;"|"&amp;$D24&amp;"|"&amp;K$14&amp;"|"&amp;"CY2023Q3",Spectrum!$R:$R,0)),0),""))</f>
        <v/>
      </c>
      <c r="L24" s="42" t="str">
        <f>IF(LEFT($B24,4)="_Mil","",_xlfn.IFNA(ROUND(INDEX(Spectrum!$N:$N,MATCH(RIGHT($B24,13)&amp;"|"&amp;$C24&amp;"|"&amp;$D24&amp;"|"&amp;L$14&amp;"|"&amp;"CY2023Q3",Spectrum!$R:$R,0)),0),""))</f>
        <v/>
      </c>
      <c r="M24" s="42" t="str">
        <f>IF(LEFT($B24,4)="_Mil","",_xlfn.IFNA(ROUND(INDEX(Spectrum!$N:$N,MATCH(RIGHT($B24,13)&amp;"|"&amp;$C24&amp;"|"&amp;$D24&amp;"|"&amp;M$14&amp;"|"&amp;"CY2023Q3",Spectrum!$R:$R,0)),0),""))</f>
        <v/>
      </c>
      <c r="N24" s="42" t="str">
        <f>IF(LEFT($B24,4)="_Mil","",_xlfn.IFNA(ROUND(INDEX(Spectrum!$N:$N,MATCH(RIGHT($B24,13)&amp;"|"&amp;$C24&amp;"|"&amp;$D24&amp;"|"&amp;N$14&amp;"|"&amp;"CY2023Q3",Spectrum!$R:$R,0)),0),""))</f>
        <v/>
      </c>
      <c r="O24" s="42" t="str">
        <f>IF(LEFT($B24,4)="_Mil","",_xlfn.IFNA(ROUND(INDEX(Spectrum!$N:$N,MATCH(RIGHT($B24,13)&amp;"|"&amp;$C24&amp;"|"&amp;$D24&amp;"|"&amp;O$14&amp;"|"&amp;"CY2023Q3",Spectrum!$R:$R,0)),0),""))</f>
        <v/>
      </c>
      <c r="P24" s="42" t="str">
        <f>IF(LEFT($B24,4)="_Mil","",_xlfn.IFNA(ROUND(INDEX(Spectrum!$N:$N,MATCH(RIGHT($B24,13)&amp;"|"&amp;$C24&amp;"|"&amp;$D24&amp;"|"&amp;P$14&amp;"|"&amp;"CY2023Q3",Spectrum!$R:$R,0)),0),""))</f>
        <v/>
      </c>
      <c r="Q24" s="42" t="str">
        <f>IF(LEFT($B24,4)="_Mil","",_xlfn.IFNA(ROUND(INDEX(Spectrum!$N:$N,MATCH(RIGHT($B24,13)&amp;"|"&amp;$C24&amp;"|"&amp;$D24&amp;"|"&amp;Q$14&amp;"|"&amp;"CY2022Q3",Spectrum!$R:$R,0)),0),""))</f>
        <v/>
      </c>
      <c r="R24" s="14"/>
      <c r="S24" s="90">
        <f>0</f>
        <v>0</v>
      </c>
      <c r="T24" s="42" t="str">
        <f t="shared" si="1"/>
        <v/>
      </c>
      <c r="U24" s="90" t="str">
        <f t="shared" si="2"/>
        <v/>
      </c>
      <c r="V24" s="42" t="str">
        <f t="shared" si="3"/>
        <v/>
      </c>
      <c r="W24" s="90"/>
      <c r="X24" s="90" t="str">
        <f t="shared" si="4"/>
        <v/>
      </c>
      <c r="Y24" s="90"/>
      <c r="Z24" s="90" t="str">
        <f t="shared" si="5"/>
        <v/>
      </c>
      <c r="AA24" s="14" t="str">
        <f t="shared" si="6"/>
        <v/>
      </c>
      <c r="AB24" s="42" t="str">
        <f t="shared" si="7"/>
        <v/>
      </c>
      <c r="AC24" s="42" t="str">
        <f t="shared" si="8"/>
        <v/>
      </c>
      <c r="AD24" s="42" t="str">
        <f t="shared" si="9"/>
        <v/>
      </c>
      <c r="AE24" s="14" t="str">
        <f t="shared" si="10"/>
        <v/>
      </c>
      <c r="AF24" s="42" t="str">
        <f t="shared" si="11"/>
        <v/>
      </c>
      <c r="AG24" s="42" t="str">
        <f t="shared" si="12"/>
        <v/>
      </c>
      <c r="AH24" s="42" t="str">
        <f t="shared" si="13"/>
        <v/>
      </c>
      <c r="AI24" s="90" t="str">
        <f>IF(SUM($AC24)=0,"",INDEX(Cascade!$BG:$BG,MATCH($E24,Cascade!$E:$E,0)))</f>
        <v/>
      </c>
      <c r="AJ24" s="42" t="str">
        <f t="shared" si="14"/>
        <v/>
      </c>
      <c r="AK24" s="42" t="str">
        <f t="shared" si="15"/>
        <v/>
      </c>
      <c r="AL24" s="42" t="str">
        <f t="shared" si="16"/>
        <v/>
      </c>
      <c r="AM24" s="42" t="str">
        <f t="shared" si="17"/>
        <v/>
      </c>
      <c r="AN24" s="42" t="str">
        <f t="shared" si="18"/>
        <v/>
      </c>
      <c r="AO24" s="14" t="str">
        <f t="shared" si="19"/>
        <v/>
      </c>
      <c r="AP24" s="90"/>
      <c r="AQ24" s="90" t="str">
        <f t="shared" si="20"/>
        <v/>
      </c>
      <c r="AR24" s="90" t="str">
        <f>IF(SUM($AO24)=0,"",INDEX(Cascade!$BG:$BG,MATCH($E24,Cascade!$E:$E,0)))</f>
        <v/>
      </c>
      <c r="AS24" s="42" t="str">
        <f t="shared" si="21"/>
        <v/>
      </c>
      <c r="AT24" s="42" t="str">
        <f t="shared" si="22"/>
        <v/>
      </c>
      <c r="AU24" s="14" t="str">
        <f t="shared" si="23"/>
        <v/>
      </c>
      <c r="AV24" s="14" t="str">
        <f t="shared" si="24"/>
        <v/>
      </c>
      <c r="AW24" s="14" t="str">
        <f>IFERROR(1/(1/INDEX(Cascade!$BH:$BH,MATCH($E24,Cascade!$E:$E,0))),"")</f>
        <v/>
      </c>
      <c r="AX24" s="14" t="str">
        <f t="shared" si="25"/>
        <v/>
      </c>
      <c r="AY24" s="14" t="str">
        <f t="shared" si="26"/>
        <v/>
      </c>
      <c r="AZ24" s="14" t="str">
        <f>IFERROR(1/(1/INDEX(TB!$P:$P,MATCH($E24,TB!$E:$E,0))),"")</f>
        <v/>
      </c>
      <c r="BA24" s="14" t="str">
        <f t="shared" si="27"/>
        <v/>
      </c>
    </row>
    <row r="25" spans="1:53" x14ac:dyDescent="0.2">
      <c r="A25" t="str">
        <f>INDEX(Prioritization!$D:$D,MATCH($B25,Prioritization!$A:$A,0))</f>
        <v>1 - Scale-up: Saturation</v>
      </c>
      <c r="B25" t="s">
        <v>195</v>
      </c>
      <c r="C25" t="s">
        <v>363</v>
      </c>
      <c r="D25" t="s">
        <v>29</v>
      </c>
      <c r="E25" t="str">
        <f t="shared" si="0"/>
        <v>Dowa District [zphK9WV8JB4]|10-14|Female</v>
      </c>
      <c r="F25" s="14">
        <f>IF(LEFT($B25,4)="_Mil","",INDEX(Cascade!$T:$T,MATCH($E25,Cascade!$E:$E,0)))</f>
        <v>884</v>
      </c>
      <c r="G25" s="14" t="str">
        <f>IF(LEFT($B25,4)="_Mil","",INDEX(Cascade!$U:$U,MATCH($E25,Cascade!$E:$E,0)))</f>
        <v/>
      </c>
      <c r="H25" s="88">
        <f>IF(LEFT($B25,4)="_Mil","",INDEX(Cascade!$W:$W,MATCH($E25,Cascade!$E:$E,0)))</f>
        <v>1550</v>
      </c>
      <c r="I25" s="14">
        <f>IF(LEFT($B25,4)="_Mil","",INDEX(Cascade!$Z:$Z,MATCH($E25,Cascade!$E:$E,0)))</f>
        <v>820</v>
      </c>
      <c r="J25" s="90">
        <f>IF(LEFT($B25,4)="_Mil","",INDEX(Cascade!$AA:$AA,MATCH($E25,Cascade!$E:$E,0)))</f>
        <v>1756</v>
      </c>
      <c r="K25" s="42" t="str">
        <f>IF(LEFT($B25,4)="_Mil","",_xlfn.IFNA(ROUND(INDEX(Spectrum!$N:$N,MATCH(RIGHT($B25,13)&amp;"|"&amp;$C25&amp;"|"&amp;$D25&amp;"|"&amp;K$14&amp;"|"&amp;"CY2023Q3",Spectrum!$R:$R,0)),0),""))</f>
        <v/>
      </c>
      <c r="L25" s="42" t="str">
        <f>IF(LEFT($B25,4)="_Mil","",_xlfn.IFNA(ROUND(INDEX(Spectrum!$N:$N,MATCH(RIGHT($B25,13)&amp;"|"&amp;$C25&amp;"|"&amp;$D25&amp;"|"&amp;L$14&amp;"|"&amp;"CY2023Q3",Spectrum!$R:$R,0)),0),""))</f>
        <v/>
      </c>
      <c r="M25" s="42" t="str">
        <f>IF(LEFT($B25,4)="_Mil","",_xlfn.IFNA(ROUND(INDEX(Spectrum!$N:$N,MATCH(RIGHT($B25,13)&amp;"|"&amp;$C25&amp;"|"&amp;$D25&amp;"|"&amp;M$14&amp;"|"&amp;"CY2023Q3",Spectrum!$R:$R,0)),0),""))</f>
        <v/>
      </c>
      <c r="N25" s="42" t="str">
        <f>IF(LEFT($B25,4)="_Mil","",_xlfn.IFNA(ROUND(INDEX(Spectrum!$N:$N,MATCH(RIGHT($B25,13)&amp;"|"&amp;$C25&amp;"|"&amp;$D25&amp;"|"&amp;N$14&amp;"|"&amp;"CY2023Q3",Spectrum!$R:$R,0)),0),""))</f>
        <v/>
      </c>
      <c r="O25" s="42" t="str">
        <f>IF(LEFT($B25,4)="_Mil","",_xlfn.IFNA(ROUND(INDEX(Spectrum!$N:$N,MATCH(RIGHT($B25,13)&amp;"|"&amp;$C25&amp;"|"&amp;$D25&amp;"|"&amp;O$14&amp;"|"&amp;"CY2023Q3",Spectrum!$R:$R,0)),0),""))</f>
        <v/>
      </c>
      <c r="P25" s="42" t="str">
        <f>IF(LEFT($B25,4)="_Mil","",_xlfn.IFNA(ROUND(INDEX(Spectrum!$N:$N,MATCH(RIGHT($B25,13)&amp;"|"&amp;$C25&amp;"|"&amp;$D25&amp;"|"&amp;P$14&amp;"|"&amp;"CY2023Q3",Spectrum!$R:$R,0)),0),""))</f>
        <v/>
      </c>
      <c r="Q25" s="42" t="str">
        <f>IF(LEFT($B25,4)="_Mil","",_xlfn.IFNA(ROUND(INDEX(Spectrum!$N:$N,MATCH(RIGHT($B25,13)&amp;"|"&amp;$C25&amp;"|"&amp;$D25&amp;"|"&amp;Q$14&amp;"|"&amp;"CY2022Q3",Spectrum!$R:$R,0)),0),""))</f>
        <v/>
      </c>
      <c r="R25" s="14">
        <v>7</v>
      </c>
      <c r="S25" s="90">
        <f>0</f>
        <v>0</v>
      </c>
      <c r="T25" s="42">
        <f t="shared" si="1"/>
        <v>7</v>
      </c>
      <c r="U25" s="90">
        <f t="shared" si="2"/>
        <v>1</v>
      </c>
      <c r="V25" s="42">
        <f t="shared" si="3"/>
        <v>7</v>
      </c>
      <c r="W25" s="90"/>
      <c r="X25" s="90" t="str">
        <f t="shared" si="4"/>
        <v/>
      </c>
      <c r="Y25" s="90"/>
      <c r="Z25" s="90" t="str">
        <f t="shared" si="5"/>
        <v/>
      </c>
      <c r="AA25" s="14">
        <f t="shared" si="6"/>
        <v>7</v>
      </c>
      <c r="AB25" s="42" t="str">
        <f t="shared" si="7"/>
        <v>ENTER KNOWN POSITIVITY RATE</v>
      </c>
      <c r="AC25" s="42" t="str">
        <f t="shared" si="8"/>
        <v>ENTER YIELD RATE</v>
      </c>
      <c r="AD25" s="42">
        <f t="shared" si="9"/>
        <v>7</v>
      </c>
      <c r="AE25" s="14">
        <f t="shared" si="10"/>
        <v>7</v>
      </c>
      <c r="AF25" s="42">
        <f t="shared" si="11"/>
        <v>0</v>
      </c>
      <c r="AG25" s="42">
        <f t="shared" si="12"/>
        <v>0</v>
      </c>
      <c r="AH25" s="42">
        <f t="shared" si="13"/>
        <v>7</v>
      </c>
      <c r="AI25" s="90" t="str">
        <f>IF(SUM($AC25)=0,"",INDEX(Cascade!$BG:$BG,MATCH($E25,Cascade!$E:$E,0)))</f>
        <v/>
      </c>
      <c r="AJ25" s="42" t="str">
        <f t="shared" si="14"/>
        <v>ENTER KNOWN POSITIVITY RATE</v>
      </c>
      <c r="AK25" s="42" t="str">
        <f t="shared" si="15"/>
        <v/>
      </c>
      <c r="AL25" s="42" t="str">
        <f t="shared" si="16"/>
        <v/>
      </c>
      <c r="AM25" s="42">
        <f t="shared" si="17"/>
        <v>0</v>
      </c>
      <c r="AN25" s="42" t="str">
        <f t="shared" si="18"/>
        <v/>
      </c>
      <c r="AO25" s="14">
        <f t="shared" si="19"/>
        <v>7</v>
      </c>
      <c r="AP25" s="90"/>
      <c r="AQ25" s="90" t="str">
        <f t="shared" si="20"/>
        <v/>
      </c>
      <c r="AR25" s="90">
        <f>IF(SUM($AO25)=0,"",INDEX(Cascade!$BG:$BG,MATCH($E25,Cascade!$E:$E,0)))</f>
        <v>0.95</v>
      </c>
      <c r="AS25" s="42" t="str">
        <f t="shared" si="21"/>
        <v>ENTER YIELD RATE</v>
      </c>
      <c r="AT25" s="42">
        <f t="shared" si="22"/>
        <v>7</v>
      </c>
      <c r="AU25" s="14" t="str">
        <f t="shared" si="23"/>
        <v/>
      </c>
      <c r="AV25" s="14" t="str">
        <f t="shared" si="24"/>
        <v/>
      </c>
      <c r="AW25" s="14">
        <f>IFERROR(1/(1/INDEX(Cascade!$BH:$BH,MATCH($E25,Cascade!$E:$E,0))),"")</f>
        <v>-85</v>
      </c>
      <c r="AX25" s="14" t="str">
        <f t="shared" si="25"/>
        <v/>
      </c>
      <c r="AY25" s="14" t="str">
        <f t="shared" si="26"/>
        <v/>
      </c>
      <c r="AZ25" s="14" t="str">
        <f>IFERROR(1/(1/INDEX(TB!$P:$P,MATCH($E25,TB!$E:$E,0))),"")</f>
        <v/>
      </c>
      <c r="BA25" s="14">
        <f t="shared" si="27"/>
        <v>-85</v>
      </c>
    </row>
    <row r="26" spans="1:53" x14ac:dyDescent="0.2">
      <c r="A26" t="str">
        <f>INDEX(Prioritization!$D:$D,MATCH($B26,Prioritization!$A:$A,0))</f>
        <v>1 - Scale-up: Saturation</v>
      </c>
      <c r="B26" t="s">
        <v>195</v>
      </c>
      <c r="C26" t="s">
        <v>364</v>
      </c>
      <c r="D26" t="s">
        <v>29</v>
      </c>
      <c r="E26" t="str">
        <f t="shared" si="0"/>
        <v>Dowa District [zphK9WV8JB4]|15-24|Female</v>
      </c>
      <c r="F26" s="14">
        <f>IF(LEFT($B26,4)="_Mil","",INDEX(Cascade!$T:$T,MATCH($E26,Cascade!$E:$E,0)))</f>
        <v>924</v>
      </c>
      <c r="G26" s="14" t="str">
        <f>IF(LEFT($B26,4)="_Mil","",INDEX(Cascade!$U:$U,MATCH($E26,Cascade!$E:$E,0)))</f>
        <v/>
      </c>
      <c r="H26" s="88">
        <f>IF(LEFT($B26,4)="_Mil","",INDEX(Cascade!$W:$W,MATCH($E26,Cascade!$E:$E,0)))</f>
        <v>1645</v>
      </c>
      <c r="I26" s="14">
        <f>IF(LEFT($B26,4)="_Mil","",INDEX(Cascade!$Z:$Z,MATCH($E26,Cascade!$E:$E,0)))</f>
        <v>1168</v>
      </c>
      <c r="J26" s="90">
        <f>IF(LEFT($B26,4)="_Mil","",INDEX(Cascade!$AA:$AA,MATCH($E26,Cascade!$E:$E,0)))</f>
        <v>1568.0000000000002</v>
      </c>
      <c r="K26" s="42">
        <f>IF(LEFT($B26,4)="_Mil","",_xlfn.IFNA(ROUND(INDEX(Spectrum!$N:$N,MATCH(RIGHT($B26,13)&amp;"|"&amp;$C26&amp;"|"&amp;$D26&amp;"|"&amp;K$14&amp;"|"&amp;"CY2023Q3",Spectrum!$R:$R,0)),0),""))</f>
        <v>941</v>
      </c>
      <c r="L26" s="42" t="str">
        <f>IF(LEFT($B26,4)="_Mil","",_xlfn.IFNA(ROUND(INDEX(Spectrum!$N:$N,MATCH(RIGHT($B26,13)&amp;"|"&amp;$C26&amp;"|"&amp;$D26&amp;"|"&amp;L$14&amp;"|"&amp;"CY2023Q3",Spectrum!$R:$R,0)),0),""))</f>
        <v/>
      </c>
      <c r="M26" s="42">
        <f>IF(LEFT($B26,4)="_Mil","",_xlfn.IFNA(ROUND(INDEX(Spectrum!$N:$N,MATCH(RIGHT($B26,13)&amp;"|"&amp;$C26&amp;"|"&amp;$D26&amp;"|"&amp;M$14&amp;"|"&amp;"CY2023Q3",Spectrum!$R:$R,0)),0),""))</f>
        <v>903</v>
      </c>
      <c r="N26" s="42">
        <f>IF(LEFT($B26,4)="_Mil","",_xlfn.IFNA(ROUND(INDEX(Spectrum!$N:$N,MATCH(RIGHT($B26,13)&amp;"|"&amp;$C26&amp;"|"&amp;$D26&amp;"|"&amp;N$14&amp;"|"&amp;"CY2023Q3",Spectrum!$R:$R,0)),0),""))</f>
        <v>1303</v>
      </c>
      <c r="O26" s="42">
        <f>IF(LEFT($B26,4)="_Mil","",_xlfn.IFNA(ROUND(INDEX(Spectrum!$N:$N,MATCH(RIGHT($B26,13)&amp;"|"&amp;$C26&amp;"|"&amp;$D26&amp;"|"&amp;O$14&amp;"|"&amp;"CY2023Q3",Spectrum!$R:$R,0)),0),""))</f>
        <v>1422</v>
      </c>
      <c r="P26" s="42">
        <f>IF(LEFT($B26,4)="_Mil","",_xlfn.IFNA(ROUND(INDEX(Spectrum!$N:$N,MATCH(RIGHT($B26,13)&amp;"|"&amp;$C26&amp;"|"&amp;$D26&amp;"|"&amp;P$14&amp;"|"&amp;"CY2023Q3",Spectrum!$R:$R,0)),0),""))</f>
        <v>1018</v>
      </c>
      <c r="Q26" s="42" t="str">
        <f>IF(LEFT($B26,4)="_Mil","",_xlfn.IFNA(ROUND(INDEX(Spectrum!$N:$N,MATCH(RIGHT($B26,13)&amp;"|"&amp;$C26&amp;"|"&amp;$D26&amp;"|"&amp;Q$14&amp;"|"&amp;"CY2022Q3",Spectrum!$R:$R,0)),0),""))</f>
        <v/>
      </c>
      <c r="R26" s="14"/>
      <c r="S26" s="90">
        <f>0</f>
        <v>0</v>
      </c>
      <c r="T26" s="42" t="str">
        <f t="shared" si="1"/>
        <v/>
      </c>
      <c r="U26" s="90">
        <f t="shared" si="2"/>
        <v>0</v>
      </c>
      <c r="V26" s="42" t="str">
        <f t="shared" si="3"/>
        <v/>
      </c>
      <c r="W26" s="90"/>
      <c r="X26" s="90">
        <f t="shared" si="4"/>
        <v>0</v>
      </c>
      <c r="Y26" s="90"/>
      <c r="Z26" s="90">
        <f t="shared" si="5"/>
        <v>0</v>
      </c>
      <c r="AA26" s="14" t="str">
        <f t="shared" si="6"/>
        <v/>
      </c>
      <c r="AB26" s="42" t="str">
        <f t="shared" si="7"/>
        <v/>
      </c>
      <c r="AC26" s="42" t="str">
        <f t="shared" si="8"/>
        <v/>
      </c>
      <c r="AD26" s="42" t="str">
        <f t="shared" si="9"/>
        <v/>
      </c>
      <c r="AE26" s="14" t="str">
        <f t="shared" si="10"/>
        <v/>
      </c>
      <c r="AF26" s="42" t="str">
        <f t="shared" si="11"/>
        <v/>
      </c>
      <c r="AG26" s="42" t="str">
        <f t="shared" si="12"/>
        <v/>
      </c>
      <c r="AH26" s="42" t="str">
        <f t="shared" si="13"/>
        <v/>
      </c>
      <c r="AI26" s="90" t="str">
        <f>IF(SUM($AC26)=0,"",INDEX(Cascade!$BG:$BG,MATCH($E26,Cascade!$E:$E,0)))</f>
        <v/>
      </c>
      <c r="AJ26" s="42" t="str">
        <f t="shared" si="14"/>
        <v/>
      </c>
      <c r="AK26" s="42" t="str">
        <f t="shared" si="15"/>
        <v/>
      </c>
      <c r="AL26" s="42" t="str">
        <f t="shared" si="16"/>
        <v/>
      </c>
      <c r="AM26" s="42" t="str">
        <f t="shared" si="17"/>
        <v/>
      </c>
      <c r="AN26" s="42" t="str">
        <f t="shared" si="18"/>
        <v/>
      </c>
      <c r="AO26" s="14" t="str">
        <f t="shared" si="19"/>
        <v/>
      </c>
      <c r="AP26" s="90"/>
      <c r="AQ26" s="90" t="str">
        <f t="shared" si="20"/>
        <v/>
      </c>
      <c r="AR26" s="90" t="str">
        <f>IF(SUM($AO26)=0,"",INDEX(Cascade!$BG:$BG,MATCH($E26,Cascade!$E:$E,0)))</f>
        <v/>
      </c>
      <c r="AS26" s="42" t="str">
        <f t="shared" si="21"/>
        <v/>
      </c>
      <c r="AT26" s="42" t="str">
        <f t="shared" si="22"/>
        <v/>
      </c>
      <c r="AU26" s="14" t="str">
        <f t="shared" si="23"/>
        <v/>
      </c>
      <c r="AV26" s="14" t="str">
        <f t="shared" si="24"/>
        <v/>
      </c>
      <c r="AW26" s="14" t="str">
        <f>IFERROR(1/(1/INDEX(Cascade!$BH:$BH,MATCH($E26,Cascade!$E:$E,0))),"")</f>
        <v/>
      </c>
      <c r="AX26" s="14" t="str">
        <f t="shared" si="25"/>
        <v/>
      </c>
      <c r="AY26" s="14" t="str">
        <f t="shared" si="26"/>
        <v/>
      </c>
      <c r="AZ26" s="14" t="str">
        <f>IFERROR(1/(1/INDEX(TB!$P:$P,MATCH($E26,TB!$E:$E,0))),"")</f>
        <v/>
      </c>
      <c r="BA26" s="14" t="str">
        <f t="shared" si="27"/>
        <v/>
      </c>
    </row>
    <row r="27" spans="1:53" x14ac:dyDescent="0.2">
      <c r="A27" t="str">
        <f>INDEX(Prioritization!$D:$D,MATCH($B27,Prioritization!$A:$A,0))</f>
        <v>1 - Scale-up: Saturation</v>
      </c>
      <c r="B27" t="s">
        <v>195</v>
      </c>
      <c r="C27" t="s">
        <v>365</v>
      </c>
      <c r="D27" t="s">
        <v>29</v>
      </c>
      <c r="E27" t="str">
        <f t="shared" si="0"/>
        <v>Dowa District [zphK9WV8JB4]|25-34|Female</v>
      </c>
      <c r="F27" s="14">
        <f>IF(LEFT($B27,4)="_Mil","",INDEX(Cascade!$T:$T,MATCH($E27,Cascade!$E:$E,0)))</f>
        <v>1916</v>
      </c>
      <c r="G27" s="14" t="str">
        <f>IF(LEFT($B27,4)="_Mil","",INDEX(Cascade!$U:$U,MATCH($E27,Cascade!$E:$E,0)))</f>
        <v/>
      </c>
      <c r="H27" s="88">
        <f>IF(LEFT($B27,4)="_Mil","",INDEX(Cascade!$W:$W,MATCH($E27,Cascade!$E:$E,0)))</f>
        <v>1117</v>
      </c>
      <c r="I27" s="14">
        <f>IF(LEFT($B27,4)="_Mil","",INDEX(Cascade!$Z:$Z,MATCH($E27,Cascade!$E:$E,0)))</f>
        <v>1240</v>
      </c>
      <c r="J27" s="90">
        <f>IF(LEFT($B27,4)="_Mil","",INDEX(Cascade!$AA:$AA,MATCH($E27,Cascade!$E:$E,0)))</f>
        <v>1569</v>
      </c>
      <c r="K27" s="42">
        <f>IF(LEFT($B27,4)="_Mil","",_xlfn.IFNA(ROUND(INDEX(Spectrum!$N:$N,MATCH(RIGHT($B27,13)&amp;"|"&amp;$C27&amp;"|"&amp;$D27&amp;"|"&amp;K$14&amp;"|"&amp;"CY2023Q3",Spectrum!$R:$R,0)),0),""))</f>
        <v>1097</v>
      </c>
      <c r="L27" s="42" t="str">
        <f>IF(LEFT($B27,4)="_Mil","",_xlfn.IFNA(ROUND(INDEX(Spectrum!$N:$N,MATCH(RIGHT($B27,13)&amp;"|"&amp;$C27&amp;"|"&amp;$D27&amp;"|"&amp;L$14&amp;"|"&amp;"CY2023Q3",Spectrum!$R:$R,0)),0),""))</f>
        <v/>
      </c>
      <c r="M27" s="42">
        <f>IF(LEFT($B27,4)="_Mil","",_xlfn.IFNA(ROUND(INDEX(Spectrum!$N:$N,MATCH(RIGHT($B27,13)&amp;"|"&amp;$C27&amp;"|"&amp;$D27&amp;"|"&amp;M$14&amp;"|"&amp;"CY2023Q3",Spectrum!$R:$R,0)),0),""))</f>
        <v>1662</v>
      </c>
      <c r="N27" s="42">
        <f>IF(LEFT($B27,4)="_Mil","",_xlfn.IFNA(ROUND(INDEX(Spectrum!$N:$N,MATCH(RIGHT($B27,13)&amp;"|"&amp;$C27&amp;"|"&amp;$D27&amp;"|"&amp;N$14&amp;"|"&amp;"CY2023Q3",Spectrum!$R:$R,0)),0),""))</f>
        <v>1313</v>
      </c>
      <c r="O27" s="42">
        <f>IF(LEFT($B27,4)="_Mil","",_xlfn.IFNA(ROUND(INDEX(Spectrum!$N:$N,MATCH(RIGHT($B27,13)&amp;"|"&amp;$C27&amp;"|"&amp;$D27&amp;"|"&amp;O$14&amp;"|"&amp;"CY2023Q3",Spectrum!$R:$R,0)),0),""))</f>
        <v>1973</v>
      </c>
      <c r="P27" s="42">
        <f>IF(LEFT($B27,4)="_Mil","",_xlfn.IFNA(ROUND(INDEX(Spectrum!$N:$N,MATCH(RIGHT($B27,13)&amp;"|"&amp;$C27&amp;"|"&amp;$D27&amp;"|"&amp;P$14&amp;"|"&amp;"CY2023Q3",Spectrum!$R:$R,0)),0),""))</f>
        <v>683</v>
      </c>
      <c r="Q27" s="42" t="str">
        <f>IF(LEFT($B27,4)="_Mil","",_xlfn.IFNA(ROUND(INDEX(Spectrum!$N:$N,MATCH(RIGHT($B27,13)&amp;"|"&amp;$C27&amp;"|"&amp;$D27&amp;"|"&amp;Q$14&amp;"|"&amp;"CY2022Q3",Spectrum!$R:$R,0)),0),""))</f>
        <v/>
      </c>
      <c r="R27" s="14"/>
      <c r="S27" s="90">
        <f>0</f>
        <v>0</v>
      </c>
      <c r="T27" s="42" t="str">
        <f t="shared" si="1"/>
        <v/>
      </c>
      <c r="U27" s="90">
        <f t="shared" si="2"/>
        <v>0</v>
      </c>
      <c r="V27" s="42" t="str">
        <f t="shared" si="3"/>
        <v/>
      </c>
      <c r="W27" s="90"/>
      <c r="X27" s="90">
        <f t="shared" si="4"/>
        <v>0</v>
      </c>
      <c r="Y27" s="90"/>
      <c r="Z27" s="90">
        <f t="shared" si="5"/>
        <v>0</v>
      </c>
      <c r="AA27" s="14" t="str">
        <f t="shared" si="6"/>
        <v/>
      </c>
      <c r="AB27" s="42" t="str">
        <f t="shared" si="7"/>
        <v/>
      </c>
      <c r="AC27" s="42" t="str">
        <f t="shared" si="8"/>
        <v/>
      </c>
      <c r="AD27" s="42" t="str">
        <f t="shared" si="9"/>
        <v/>
      </c>
      <c r="AE27" s="14" t="str">
        <f t="shared" si="10"/>
        <v/>
      </c>
      <c r="AF27" s="42" t="str">
        <f t="shared" si="11"/>
        <v/>
      </c>
      <c r="AG27" s="42" t="str">
        <f t="shared" si="12"/>
        <v/>
      </c>
      <c r="AH27" s="42" t="str">
        <f t="shared" si="13"/>
        <v/>
      </c>
      <c r="AI27" s="90" t="str">
        <f>IF(SUM($AC27)=0,"",INDEX(Cascade!$BG:$BG,MATCH($E27,Cascade!$E:$E,0)))</f>
        <v/>
      </c>
      <c r="AJ27" s="42" t="str">
        <f t="shared" si="14"/>
        <v/>
      </c>
      <c r="AK27" s="42" t="str">
        <f t="shared" si="15"/>
        <v/>
      </c>
      <c r="AL27" s="42" t="str">
        <f t="shared" si="16"/>
        <v/>
      </c>
      <c r="AM27" s="42" t="str">
        <f t="shared" si="17"/>
        <v/>
      </c>
      <c r="AN27" s="42" t="str">
        <f t="shared" si="18"/>
        <v/>
      </c>
      <c r="AO27" s="14" t="str">
        <f t="shared" si="19"/>
        <v/>
      </c>
      <c r="AP27" s="90"/>
      <c r="AQ27" s="90" t="str">
        <f t="shared" si="20"/>
        <v/>
      </c>
      <c r="AR27" s="90" t="str">
        <f>IF(SUM($AO27)=0,"",INDEX(Cascade!$BG:$BG,MATCH($E27,Cascade!$E:$E,0)))</f>
        <v/>
      </c>
      <c r="AS27" s="42" t="str">
        <f t="shared" si="21"/>
        <v/>
      </c>
      <c r="AT27" s="42" t="str">
        <f t="shared" si="22"/>
        <v/>
      </c>
      <c r="AU27" s="14" t="str">
        <f t="shared" si="23"/>
        <v/>
      </c>
      <c r="AV27" s="14" t="str">
        <f t="shared" si="24"/>
        <v/>
      </c>
      <c r="AW27" s="14" t="str">
        <f>IFERROR(1/(1/INDEX(Cascade!$BH:$BH,MATCH($E27,Cascade!$E:$E,0))),"")</f>
        <v/>
      </c>
      <c r="AX27" s="14" t="str">
        <f t="shared" si="25"/>
        <v/>
      </c>
      <c r="AY27" s="14" t="str">
        <f t="shared" si="26"/>
        <v/>
      </c>
      <c r="AZ27" s="14" t="str">
        <f>IFERROR(1/(1/INDEX(TB!$P:$P,MATCH($E27,TB!$E:$E,0))),"")</f>
        <v/>
      </c>
      <c r="BA27" s="14" t="str">
        <f t="shared" si="27"/>
        <v/>
      </c>
    </row>
    <row r="28" spans="1:53" x14ac:dyDescent="0.2">
      <c r="A28" t="str">
        <f>INDEX(Prioritization!$D:$D,MATCH($B28,Prioritization!$A:$A,0))</f>
        <v>1 - Scale-up: Saturation</v>
      </c>
      <c r="B28" t="s">
        <v>195</v>
      </c>
      <c r="C28" t="s">
        <v>366</v>
      </c>
      <c r="D28" t="s">
        <v>29</v>
      </c>
      <c r="E28" t="str">
        <f t="shared" si="0"/>
        <v>Dowa District [zphK9WV8JB4]|35-49|Female</v>
      </c>
      <c r="F28" s="14">
        <f>IF(LEFT($B28,4)="_Mil","",INDEX(Cascade!$T:$T,MATCH($E28,Cascade!$E:$E,0)))</f>
        <v>1881</v>
      </c>
      <c r="G28" s="14" t="str">
        <f>IF(LEFT($B28,4)="_Mil","",INDEX(Cascade!$U:$U,MATCH($E28,Cascade!$E:$E,0)))</f>
        <v/>
      </c>
      <c r="H28" s="88">
        <f>IF(LEFT($B28,4)="_Mil","",INDEX(Cascade!$W:$W,MATCH($E28,Cascade!$E:$E,0)))</f>
        <v>590</v>
      </c>
      <c r="I28" s="14">
        <f>IF(LEFT($B28,4)="_Mil","",INDEX(Cascade!$Z:$Z,MATCH($E28,Cascade!$E:$E,0)))</f>
        <v>773</v>
      </c>
      <c r="J28" s="90">
        <f>IF(LEFT($B28,4)="_Mil","",INDEX(Cascade!$AA:$AA,MATCH($E28,Cascade!$E:$E,0)))</f>
        <v>606</v>
      </c>
      <c r="K28" s="42">
        <f>IF(LEFT($B28,4)="_Mil","",_xlfn.IFNA(ROUND(INDEX(Spectrum!$N:$N,MATCH(RIGHT($B28,13)&amp;"|"&amp;$C28&amp;"|"&amp;$D28&amp;"|"&amp;K$14&amp;"|"&amp;"CY2023Q3",Spectrum!$R:$R,0)),0),""))</f>
        <v>1468</v>
      </c>
      <c r="L28" s="42" t="str">
        <f>IF(LEFT($B28,4)="_Mil","",_xlfn.IFNA(ROUND(INDEX(Spectrum!$N:$N,MATCH(RIGHT($B28,13)&amp;"|"&amp;$C28&amp;"|"&amp;$D28&amp;"|"&amp;L$14&amp;"|"&amp;"CY2023Q3",Spectrum!$R:$R,0)),0),""))</f>
        <v/>
      </c>
      <c r="M28" s="42">
        <f>IF(LEFT($B28,4)="_Mil","",_xlfn.IFNA(ROUND(INDEX(Spectrum!$N:$N,MATCH(RIGHT($B28,13)&amp;"|"&amp;$C28&amp;"|"&amp;$D28&amp;"|"&amp;M$14&amp;"|"&amp;"CY2023Q3",Spectrum!$R:$R,0)),0),""))</f>
        <v>1513</v>
      </c>
      <c r="N28" s="42">
        <f>IF(LEFT($B28,4)="_Mil","",_xlfn.IFNA(ROUND(INDEX(Spectrum!$N:$N,MATCH(RIGHT($B28,13)&amp;"|"&amp;$C28&amp;"|"&amp;$D28&amp;"|"&amp;N$14&amp;"|"&amp;"CY2023Q3",Spectrum!$R:$R,0)),0),""))</f>
        <v>1910</v>
      </c>
      <c r="O28" s="42">
        <f>IF(LEFT($B28,4)="_Mil","",_xlfn.IFNA(ROUND(INDEX(Spectrum!$N:$N,MATCH(RIGHT($B28,13)&amp;"|"&amp;$C28&amp;"|"&amp;$D28&amp;"|"&amp;O$14&amp;"|"&amp;"CY2023Q3",Spectrum!$R:$R,0)),0),""))</f>
        <v>791</v>
      </c>
      <c r="P28" s="42">
        <f>IF(LEFT($B28,4)="_Mil","",_xlfn.IFNA(ROUND(INDEX(Spectrum!$N:$N,MATCH(RIGHT($B28,13)&amp;"|"&amp;$C28&amp;"|"&amp;$D28&amp;"|"&amp;P$14&amp;"|"&amp;"CY2023Q3",Spectrum!$R:$R,0)),0),""))</f>
        <v>1985</v>
      </c>
      <c r="Q28" s="42" t="str">
        <f>IF(LEFT($B28,4)="_Mil","",_xlfn.IFNA(ROUND(INDEX(Spectrum!$N:$N,MATCH(RIGHT($B28,13)&amp;"|"&amp;$C28&amp;"|"&amp;$D28&amp;"|"&amp;Q$14&amp;"|"&amp;"CY2022Q3",Spectrum!$R:$R,0)),0),""))</f>
        <v/>
      </c>
      <c r="R28" s="14"/>
      <c r="S28" s="90">
        <f>0</f>
        <v>0</v>
      </c>
      <c r="T28" s="42" t="str">
        <f t="shared" si="1"/>
        <v/>
      </c>
      <c r="U28" s="90">
        <f t="shared" si="2"/>
        <v>0</v>
      </c>
      <c r="V28" s="42" t="str">
        <f t="shared" si="3"/>
        <v/>
      </c>
      <c r="W28" s="90"/>
      <c r="X28" s="90">
        <f t="shared" si="4"/>
        <v>0</v>
      </c>
      <c r="Y28" s="90"/>
      <c r="Z28" s="90">
        <f t="shared" si="5"/>
        <v>0</v>
      </c>
      <c r="AA28" s="14" t="str">
        <f t="shared" si="6"/>
        <v/>
      </c>
      <c r="AB28" s="42" t="str">
        <f t="shared" si="7"/>
        <v/>
      </c>
      <c r="AC28" s="42" t="str">
        <f t="shared" si="8"/>
        <v/>
      </c>
      <c r="AD28" s="42" t="str">
        <f t="shared" si="9"/>
        <v/>
      </c>
      <c r="AE28" s="14" t="str">
        <f t="shared" si="10"/>
        <v/>
      </c>
      <c r="AF28" s="42" t="str">
        <f t="shared" si="11"/>
        <v/>
      </c>
      <c r="AG28" s="42" t="str">
        <f t="shared" si="12"/>
        <v/>
      </c>
      <c r="AH28" s="42" t="str">
        <f t="shared" si="13"/>
        <v/>
      </c>
      <c r="AI28" s="90" t="str">
        <f>IF(SUM($AC28)=0,"",INDEX(Cascade!$BG:$BG,MATCH($E28,Cascade!$E:$E,0)))</f>
        <v/>
      </c>
      <c r="AJ28" s="42" t="str">
        <f t="shared" si="14"/>
        <v/>
      </c>
      <c r="AK28" s="42" t="str">
        <f t="shared" si="15"/>
        <v/>
      </c>
      <c r="AL28" s="42" t="str">
        <f t="shared" si="16"/>
        <v/>
      </c>
      <c r="AM28" s="42" t="str">
        <f t="shared" si="17"/>
        <v/>
      </c>
      <c r="AN28" s="42" t="str">
        <f t="shared" si="18"/>
        <v/>
      </c>
      <c r="AO28" s="14" t="str">
        <f t="shared" si="19"/>
        <v/>
      </c>
      <c r="AP28" s="90"/>
      <c r="AQ28" s="90" t="str">
        <f t="shared" si="20"/>
        <v/>
      </c>
      <c r="AR28" s="90" t="str">
        <f>IF(SUM($AO28)=0,"",INDEX(Cascade!$BG:$BG,MATCH($E28,Cascade!$E:$E,0)))</f>
        <v/>
      </c>
      <c r="AS28" s="42" t="str">
        <f t="shared" si="21"/>
        <v/>
      </c>
      <c r="AT28" s="42" t="str">
        <f t="shared" si="22"/>
        <v/>
      </c>
      <c r="AU28" s="14" t="str">
        <f t="shared" si="23"/>
        <v/>
      </c>
      <c r="AV28" s="14" t="str">
        <f t="shared" si="24"/>
        <v/>
      </c>
      <c r="AW28" s="14" t="str">
        <f>IFERROR(1/(1/INDEX(Cascade!$BH:$BH,MATCH($E28,Cascade!$E:$E,0))),"")</f>
        <v/>
      </c>
      <c r="AX28" s="14" t="str">
        <f t="shared" si="25"/>
        <v/>
      </c>
      <c r="AY28" s="14" t="str">
        <f t="shared" si="26"/>
        <v/>
      </c>
      <c r="AZ28" s="14" t="str">
        <f>IFERROR(1/(1/INDEX(TB!$P:$P,MATCH($E28,TB!$E:$E,0))),"")</f>
        <v/>
      </c>
      <c r="BA28" s="14" t="str">
        <f t="shared" si="27"/>
        <v/>
      </c>
    </row>
    <row r="29" spans="1:53" x14ac:dyDescent="0.2">
      <c r="A29" t="str">
        <f>INDEX(Prioritization!$D:$D,MATCH($B29,Prioritization!$A:$A,0))</f>
        <v>1 - Scale-up: Saturation</v>
      </c>
      <c r="B29" t="s">
        <v>195</v>
      </c>
      <c r="C29" t="s">
        <v>367</v>
      </c>
      <c r="D29" t="s">
        <v>29</v>
      </c>
      <c r="E29" t="str">
        <f t="shared" si="0"/>
        <v>Dowa District [zphK9WV8JB4]|50+|Female</v>
      </c>
      <c r="F29" s="14">
        <f>IF(LEFT($B29,4)="_Mil","",INDEX(Cascade!$T:$T,MATCH($E29,Cascade!$E:$E,0)))</f>
        <v>915</v>
      </c>
      <c r="G29" s="14" t="str">
        <f>IF(LEFT($B29,4)="_Mil","",INDEX(Cascade!$U:$U,MATCH($E29,Cascade!$E:$E,0)))</f>
        <v/>
      </c>
      <c r="H29" s="88">
        <f>IF(LEFT($B29,4)="_Mil","",INDEX(Cascade!$W:$W,MATCH($E29,Cascade!$E:$E,0)))</f>
        <v>621</v>
      </c>
      <c r="I29" s="14">
        <f>IF(LEFT($B29,4)="_Mil","",INDEX(Cascade!$Z:$Z,MATCH($E29,Cascade!$E:$E,0)))</f>
        <v>1336</v>
      </c>
      <c r="J29" s="90">
        <f>IF(LEFT($B29,4)="_Mil","",INDEX(Cascade!$AA:$AA,MATCH($E29,Cascade!$E:$E,0)))</f>
        <v>838</v>
      </c>
      <c r="K29" s="42" t="str">
        <f>IF(LEFT($B29,4)="_Mil","",_xlfn.IFNA(ROUND(INDEX(Spectrum!$N:$N,MATCH(RIGHT($B29,13)&amp;"|"&amp;$C29&amp;"|"&amp;$D29&amp;"|"&amp;K$14&amp;"|"&amp;"CY2023Q3",Spectrum!$R:$R,0)),0),""))</f>
        <v/>
      </c>
      <c r="L29" s="42" t="str">
        <f>IF(LEFT($B29,4)="_Mil","",_xlfn.IFNA(ROUND(INDEX(Spectrum!$N:$N,MATCH(RIGHT($B29,13)&amp;"|"&amp;$C29&amp;"|"&amp;$D29&amp;"|"&amp;L$14&amp;"|"&amp;"CY2023Q3",Spectrum!$R:$R,0)),0),""))</f>
        <v/>
      </c>
      <c r="M29" s="42" t="str">
        <f>IF(LEFT($B29,4)="_Mil","",_xlfn.IFNA(ROUND(INDEX(Spectrum!$N:$N,MATCH(RIGHT($B29,13)&amp;"|"&amp;$C29&amp;"|"&amp;$D29&amp;"|"&amp;M$14&amp;"|"&amp;"CY2023Q3",Spectrum!$R:$R,0)),0),""))</f>
        <v/>
      </c>
      <c r="N29" s="42" t="str">
        <f>IF(LEFT($B29,4)="_Mil","",_xlfn.IFNA(ROUND(INDEX(Spectrum!$N:$N,MATCH(RIGHT($B29,13)&amp;"|"&amp;$C29&amp;"|"&amp;$D29&amp;"|"&amp;N$14&amp;"|"&amp;"CY2023Q3",Spectrum!$R:$R,0)),0),""))</f>
        <v/>
      </c>
      <c r="O29" s="42" t="str">
        <f>IF(LEFT($B29,4)="_Mil","",_xlfn.IFNA(ROUND(INDEX(Spectrum!$N:$N,MATCH(RIGHT($B29,13)&amp;"|"&amp;$C29&amp;"|"&amp;$D29&amp;"|"&amp;O$14&amp;"|"&amp;"CY2023Q3",Spectrum!$R:$R,0)),0),""))</f>
        <v/>
      </c>
      <c r="P29" s="42" t="str">
        <f>IF(LEFT($B29,4)="_Mil","",_xlfn.IFNA(ROUND(INDEX(Spectrum!$N:$N,MATCH(RIGHT($B29,13)&amp;"|"&amp;$C29&amp;"|"&amp;$D29&amp;"|"&amp;P$14&amp;"|"&amp;"CY2023Q3",Spectrum!$R:$R,0)),0),""))</f>
        <v/>
      </c>
      <c r="Q29" s="42" t="str">
        <f>IF(LEFT($B29,4)="_Mil","",_xlfn.IFNA(ROUND(INDEX(Spectrum!$N:$N,MATCH(RIGHT($B29,13)&amp;"|"&amp;$C29&amp;"|"&amp;$D29&amp;"|"&amp;Q$14&amp;"|"&amp;"CY2022Q3",Spectrum!$R:$R,0)),0),""))</f>
        <v/>
      </c>
      <c r="R29" s="14"/>
      <c r="S29" s="90">
        <f>0</f>
        <v>0</v>
      </c>
      <c r="T29" s="42" t="str">
        <f t="shared" si="1"/>
        <v/>
      </c>
      <c r="U29" s="90" t="str">
        <f t="shared" si="2"/>
        <v/>
      </c>
      <c r="V29" s="42" t="str">
        <f t="shared" si="3"/>
        <v/>
      </c>
      <c r="W29" s="90"/>
      <c r="X29" s="90" t="str">
        <f t="shared" si="4"/>
        <v/>
      </c>
      <c r="Y29" s="90"/>
      <c r="Z29" s="90" t="str">
        <f t="shared" si="5"/>
        <v/>
      </c>
      <c r="AA29" s="14" t="str">
        <f t="shared" si="6"/>
        <v/>
      </c>
      <c r="AB29" s="42" t="str">
        <f t="shared" si="7"/>
        <v/>
      </c>
      <c r="AC29" s="42" t="str">
        <f t="shared" si="8"/>
        <v/>
      </c>
      <c r="AD29" s="42" t="str">
        <f t="shared" si="9"/>
        <v/>
      </c>
      <c r="AE29" s="14" t="str">
        <f t="shared" si="10"/>
        <v/>
      </c>
      <c r="AF29" s="42" t="str">
        <f t="shared" si="11"/>
        <v/>
      </c>
      <c r="AG29" s="42" t="str">
        <f t="shared" si="12"/>
        <v/>
      </c>
      <c r="AH29" s="42" t="str">
        <f t="shared" si="13"/>
        <v/>
      </c>
      <c r="AI29" s="90" t="str">
        <f>IF(SUM($AC29)=0,"",INDEX(Cascade!$BG:$BG,MATCH($E29,Cascade!$E:$E,0)))</f>
        <v/>
      </c>
      <c r="AJ29" s="42" t="str">
        <f t="shared" si="14"/>
        <v/>
      </c>
      <c r="AK29" s="42" t="str">
        <f t="shared" si="15"/>
        <v/>
      </c>
      <c r="AL29" s="42" t="str">
        <f t="shared" si="16"/>
        <v/>
      </c>
      <c r="AM29" s="42" t="str">
        <f t="shared" si="17"/>
        <v/>
      </c>
      <c r="AN29" s="42" t="str">
        <f t="shared" si="18"/>
        <v/>
      </c>
      <c r="AO29" s="14" t="str">
        <f t="shared" si="19"/>
        <v/>
      </c>
      <c r="AP29" s="90"/>
      <c r="AQ29" s="90" t="str">
        <f t="shared" si="20"/>
        <v/>
      </c>
      <c r="AR29" s="90" t="str">
        <f>IF(SUM($AO29)=0,"",INDEX(Cascade!$BG:$BG,MATCH($E29,Cascade!$E:$E,0)))</f>
        <v/>
      </c>
      <c r="AS29" s="42" t="str">
        <f t="shared" si="21"/>
        <v/>
      </c>
      <c r="AT29" s="42" t="str">
        <f t="shared" si="22"/>
        <v/>
      </c>
      <c r="AU29" s="14" t="str">
        <f t="shared" si="23"/>
        <v/>
      </c>
      <c r="AV29" s="14" t="str">
        <f t="shared" si="24"/>
        <v/>
      </c>
      <c r="AW29" s="14" t="str">
        <f>IFERROR(1/(1/INDEX(Cascade!$BH:$BH,MATCH($E29,Cascade!$E:$E,0))),"")</f>
        <v/>
      </c>
      <c r="AX29" s="14" t="str">
        <f t="shared" si="25"/>
        <v/>
      </c>
      <c r="AY29" s="14" t="str">
        <f t="shared" si="26"/>
        <v/>
      </c>
      <c r="AZ29" s="14" t="str">
        <f>IFERROR(1/(1/INDEX(TB!$P:$P,MATCH($E29,TB!$E:$E,0))),"")</f>
        <v/>
      </c>
      <c r="BA29" s="14" t="str">
        <f t="shared" si="27"/>
        <v/>
      </c>
    </row>
    <row r="30" spans="1:53" x14ac:dyDescent="0.2">
      <c r="A30" t="str">
        <f>INDEX(Prioritization!$D:$D,MATCH($B30,Prioritization!$A:$A,0))</f>
        <v>INVALID</v>
      </c>
      <c r="B30" t="s">
        <v>196</v>
      </c>
      <c r="C30" t="s">
        <v>363</v>
      </c>
      <c r="D30" t="s">
        <v>29</v>
      </c>
      <c r="E30" t="str">
        <f t="shared" si="0"/>
        <v>Kasungu District [JQKLKuVuY61]|10-14|Female</v>
      </c>
      <c r="F30" s="14">
        <f>IF(LEFT($B30,4)="_Mil","",INDEX(Cascade!$T:$T,MATCH($E30,Cascade!$E:$E,0)))</f>
        <v>1308</v>
      </c>
      <c r="G30" s="14" t="str">
        <f>IF(LEFT($B30,4)="_Mil","",INDEX(Cascade!$U:$U,MATCH($E30,Cascade!$E:$E,0)))</f>
        <v/>
      </c>
      <c r="H30" s="88">
        <f>IF(LEFT($B30,4)="_Mil","",INDEX(Cascade!$W:$W,MATCH($E30,Cascade!$E:$E,0)))</f>
        <v>1824</v>
      </c>
      <c r="I30" s="14">
        <f>IF(LEFT($B30,4)="_Mil","",INDEX(Cascade!$Z:$Z,MATCH($E30,Cascade!$E:$E,0)))</f>
        <v>1606</v>
      </c>
      <c r="J30" s="90">
        <f>IF(LEFT($B30,4)="_Mil","",INDEX(Cascade!$AA:$AA,MATCH($E30,Cascade!$E:$E,0)))</f>
        <v>1612</v>
      </c>
      <c r="K30" s="42" t="str">
        <f>IF(LEFT($B30,4)="_Mil","",_xlfn.IFNA(ROUND(INDEX(Spectrum!$N:$N,MATCH(RIGHT($B30,13)&amp;"|"&amp;$C30&amp;"|"&amp;$D30&amp;"|"&amp;K$14&amp;"|"&amp;"CY2023Q3",Spectrum!$R:$R,0)),0),""))</f>
        <v/>
      </c>
      <c r="L30" s="42" t="str">
        <f>IF(LEFT($B30,4)="_Mil","",_xlfn.IFNA(ROUND(INDEX(Spectrum!$N:$N,MATCH(RIGHT($B30,13)&amp;"|"&amp;$C30&amp;"|"&amp;$D30&amp;"|"&amp;L$14&amp;"|"&amp;"CY2023Q3",Spectrum!$R:$R,0)),0),""))</f>
        <v/>
      </c>
      <c r="M30" s="42" t="str">
        <f>IF(LEFT($B30,4)="_Mil","",_xlfn.IFNA(ROUND(INDEX(Spectrum!$N:$N,MATCH(RIGHT($B30,13)&amp;"|"&amp;$C30&amp;"|"&amp;$D30&amp;"|"&amp;M$14&amp;"|"&amp;"CY2023Q3",Spectrum!$R:$R,0)),0),""))</f>
        <v/>
      </c>
      <c r="N30" s="42" t="str">
        <f>IF(LEFT($B30,4)="_Mil","",_xlfn.IFNA(ROUND(INDEX(Spectrum!$N:$N,MATCH(RIGHT($B30,13)&amp;"|"&amp;$C30&amp;"|"&amp;$D30&amp;"|"&amp;N$14&amp;"|"&amp;"CY2023Q3",Spectrum!$R:$R,0)),0),""))</f>
        <v/>
      </c>
      <c r="O30" s="42" t="str">
        <f>IF(LEFT($B30,4)="_Mil","",_xlfn.IFNA(ROUND(INDEX(Spectrum!$N:$N,MATCH(RIGHT($B30,13)&amp;"|"&amp;$C30&amp;"|"&amp;$D30&amp;"|"&amp;O$14&amp;"|"&amp;"CY2023Q3",Spectrum!$R:$R,0)),0),""))</f>
        <v/>
      </c>
      <c r="P30" s="42" t="str">
        <f>IF(LEFT($B30,4)="_Mil","",_xlfn.IFNA(ROUND(INDEX(Spectrum!$N:$N,MATCH(RIGHT($B30,13)&amp;"|"&amp;$C30&amp;"|"&amp;$D30&amp;"|"&amp;P$14&amp;"|"&amp;"CY2023Q3",Spectrum!$R:$R,0)),0),""))</f>
        <v/>
      </c>
      <c r="Q30" s="42" t="str">
        <f>IF(LEFT($B30,4)="_Mil","",_xlfn.IFNA(ROUND(INDEX(Spectrum!$N:$N,MATCH(RIGHT($B30,13)&amp;"|"&amp;$C30&amp;"|"&amp;$D30&amp;"|"&amp;Q$14&amp;"|"&amp;"CY2022Q3",Spectrum!$R:$R,0)),0),""))</f>
        <v/>
      </c>
      <c r="R30" s="14">
        <v>8</v>
      </c>
      <c r="S30" s="90">
        <f>0</f>
        <v>0</v>
      </c>
      <c r="T30" s="42">
        <f t="shared" si="1"/>
        <v>8</v>
      </c>
      <c r="U30" s="90">
        <f t="shared" si="2"/>
        <v>1</v>
      </c>
      <c r="V30" s="42">
        <f t="shared" si="3"/>
        <v>8</v>
      </c>
      <c r="W30" s="90"/>
      <c r="X30" s="90" t="str">
        <f t="shared" si="4"/>
        <v/>
      </c>
      <c r="Y30" s="90"/>
      <c r="Z30" s="90" t="str">
        <f t="shared" si="5"/>
        <v/>
      </c>
      <c r="AA30" s="14">
        <f t="shared" si="6"/>
        <v>8</v>
      </c>
      <c r="AB30" s="42" t="str">
        <f t="shared" si="7"/>
        <v>ENTER KNOWN POSITIVITY RATE</v>
      </c>
      <c r="AC30" s="42" t="str">
        <f t="shared" si="8"/>
        <v>ENTER YIELD RATE</v>
      </c>
      <c r="AD30" s="42">
        <f t="shared" si="9"/>
        <v>8</v>
      </c>
      <c r="AE30" s="14">
        <f t="shared" si="10"/>
        <v>8</v>
      </c>
      <c r="AF30" s="42">
        <f t="shared" si="11"/>
        <v>0</v>
      </c>
      <c r="AG30" s="42">
        <f t="shared" si="12"/>
        <v>0</v>
      </c>
      <c r="AH30" s="42">
        <f t="shared" si="13"/>
        <v>8</v>
      </c>
      <c r="AI30" s="90" t="str">
        <f>IF(SUM($AC30)=0,"",INDEX(Cascade!$BG:$BG,MATCH($E30,Cascade!$E:$E,0)))</f>
        <v/>
      </c>
      <c r="AJ30" s="42" t="str">
        <f t="shared" si="14"/>
        <v>ENTER KNOWN POSITIVITY RATE</v>
      </c>
      <c r="AK30" s="42" t="str">
        <f t="shared" si="15"/>
        <v/>
      </c>
      <c r="AL30" s="42" t="str">
        <f t="shared" si="16"/>
        <v/>
      </c>
      <c r="AM30" s="42">
        <f t="shared" si="17"/>
        <v>0</v>
      </c>
      <c r="AN30" s="42" t="str">
        <f t="shared" si="18"/>
        <v/>
      </c>
      <c r="AO30" s="14">
        <f t="shared" si="19"/>
        <v>8</v>
      </c>
      <c r="AP30" s="90"/>
      <c r="AQ30" s="90" t="str">
        <f t="shared" si="20"/>
        <v/>
      </c>
      <c r="AR30" s="90">
        <f>IF(SUM($AO30)=0,"",INDEX(Cascade!$BG:$BG,MATCH($E30,Cascade!$E:$E,0)))</f>
        <v>0.95</v>
      </c>
      <c r="AS30" s="42" t="str">
        <f t="shared" si="21"/>
        <v>ENTER YIELD RATE</v>
      </c>
      <c r="AT30" s="42">
        <f t="shared" si="22"/>
        <v>8</v>
      </c>
      <c r="AU30" s="14" t="str">
        <f t="shared" si="23"/>
        <v/>
      </c>
      <c r="AV30" s="14" t="str">
        <f t="shared" si="24"/>
        <v/>
      </c>
      <c r="AW30" s="14">
        <f>IFERROR(1/(1/INDEX(Cascade!$BH:$BH,MATCH($E30,Cascade!$E:$E,0))),"")</f>
        <v>-92.999999999999986</v>
      </c>
      <c r="AX30" s="14" t="str">
        <f t="shared" si="25"/>
        <v/>
      </c>
      <c r="AY30" s="14" t="str">
        <f t="shared" si="26"/>
        <v/>
      </c>
      <c r="AZ30" s="14" t="str">
        <f>IFERROR(1/(1/INDEX(TB!$P:$P,MATCH($E30,TB!$E:$E,0))),"")</f>
        <v/>
      </c>
      <c r="BA30" s="14">
        <f t="shared" si="27"/>
        <v>-92.999999999999986</v>
      </c>
    </row>
    <row r="31" spans="1:53" x14ac:dyDescent="0.2">
      <c r="A31" t="str">
        <f>INDEX(Prioritization!$D:$D,MATCH($B31,Prioritization!$A:$A,0))</f>
        <v>INVALID</v>
      </c>
      <c r="B31" t="s">
        <v>196</v>
      </c>
      <c r="C31" t="s">
        <v>364</v>
      </c>
      <c r="D31" t="s">
        <v>29</v>
      </c>
      <c r="E31" t="str">
        <f t="shared" si="0"/>
        <v>Kasungu District [JQKLKuVuY61]|15-24|Female</v>
      </c>
      <c r="F31" s="14">
        <f>IF(LEFT($B31,4)="_Mil","",INDEX(Cascade!$T:$T,MATCH($E31,Cascade!$E:$E,0)))</f>
        <v>1478</v>
      </c>
      <c r="G31" s="14" t="str">
        <f>IF(LEFT($B31,4)="_Mil","",INDEX(Cascade!$U:$U,MATCH($E31,Cascade!$E:$E,0)))</f>
        <v/>
      </c>
      <c r="H31" s="88">
        <f>IF(LEFT($B31,4)="_Mil","",INDEX(Cascade!$W:$W,MATCH($E31,Cascade!$E:$E,0)))</f>
        <v>1393</v>
      </c>
      <c r="I31" s="14">
        <f>IF(LEFT($B31,4)="_Mil","",INDEX(Cascade!$Z:$Z,MATCH($E31,Cascade!$E:$E,0)))</f>
        <v>649</v>
      </c>
      <c r="J31" s="90">
        <f>IF(LEFT($B31,4)="_Mil","",INDEX(Cascade!$AA:$AA,MATCH($E31,Cascade!$E:$E,0)))</f>
        <v>1973</v>
      </c>
      <c r="K31" s="42">
        <f>IF(LEFT($B31,4)="_Mil","",_xlfn.IFNA(ROUND(INDEX(Spectrum!$N:$N,MATCH(RIGHT($B31,13)&amp;"|"&amp;$C31&amp;"|"&amp;$D31&amp;"|"&amp;K$14&amp;"|"&amp;"CY2023Q3",Spectrum!$R:$R,0)),0),""))</f>
        <v>790</v>
      </c>
      <c r="L31" s="42" t="str">
        <f>IF(LEFT($B31,4)="_Mil","",_xlfn.IFNA(ROUND(INDEX(Spectrum!$N:$N,MATCH(RIGHT($B31,13)&amp;"|"&amp;$C31&amp;"|"&amp;$D31&amp;"|"&amp;L$14&amp;"|"&amp;"CY2023Q3",Spectrum!$R:$R,0)),0),""))</f>
        <v/>
      </c>
      <c r="M31" s="42">
        <f>IF(LEFT($B31,4)="_Mil","",_xlfn.IFNA(ROUND(INDEX(Spectrum!$N:$N,MATCH(RIGHT($B31,13)&amp;"|"&amp;$C31&amp;"|"&amp;$D31&amp;"|"&amp;M$14&amp;"|"&amp;"CY2023Q3",Spectrum!$R:$R,0)),0),""))</f>
        <v>687</v>
      </c>
      <c r="N31" s="42">
        <f>IF(LEFT($B31,4)="_Mil","",_xlfn.IFNA(ROUND(INDEX(Spectrum!$N:$N,MATCH(RIGHT($B31,13)&amp;"|"&amp;$C31&amp;"|"&amp;$D31&amp;"|"&amp;N$14&amp;"|"&amp;"CY2023Q3",Spectrum!$R:$R,0)),0),""))</f>
        <v>1248</v>
      </c>
      <c r="O31" s="42">
        <f>IF(LEFT($B31,4)="_Mil","",_xlfn.IFNA(ROUND(INDEX(Spectrum!$N:$N,MATCH(RIGHT($B31,13)&amp;"|"&amp;$C31&amp;"|"&amp;$D31&amp;"|"&amp;O$14&amp;"|"&amp;"CY2023Q3",Spectrum!$R:$R,0)),0),""))</f>
        <v>1088</v>
      </c>
      <c r="P31" s="42">
        <f>IF(LEFT($B31,4)="_Mil","",_xlfn.IFNA(ROUND(INDEX(Spectrum!$N:$N,MATCH(RIGHT($B31,13)&amp;"|"&amp;$C31&amp;"|"&amp;$D31&amp;"|"&amp;P$14&amp;"|"&amp;"CY2023Q3",Spectrum!$R:$R,0)),0),""))</f>
        <v>911</v>
      </c>
      <c r="Q31" s="42" t="str">
        <f>IF(LEFT($B31,4)="_Mil","",_xlfn.IFNA(ROUND(INDEX(Spectrum!$N:$N,MATCH(RIGHT($B31,13)&amp;"|"&amp;$C31&amp;"|"&amp;$D31&amp;"|"&amp;Q$14&amp;"|"&amp;"CY2022Q3",Spectrum!$R:$R,0)),0),""))</f>
        <v/>
      </c>
      <c r="R31" s="14"/>
      <c r="S31" s="90">
        <f>0</f>
        <v>0</v>
      </c>
      <c r="T31" s="42" t="str">
        <f t="shared" si="1"/>
        <v/>
      </c>
      <c r="U31" s="90">
        <f t="shared" si="2"/>
        <v>0</v>
      </c>
      <c r="V31" s="42" t="str">
        <f t="shared" si="3"/>
        <v/>
      </c>
      <c r="W31" s="90"/>
      <c r="X31" s="90">
        <f t="shared" si="4"/>
        <v>0</v>
      </c>
      <c r="Y31" s="90"/>
      <c r="Z31" s="90">
        <f t="shared" si="5"/>
        <v>0</v>
      </c>
      <c r="AA31" s="14" t="str">
        <f t="shared" si="6"/>
        <v/>
      </c>
      <c r="AB31" s="42" t="str">
        <f t="shared" si="7"/>
        <v/>
      </c>
      <c r="AC31" s="42" t="str">
        <f t="shared" si="8"/>
        <v/>
      </c>
      <c r="AD31" s="42" t="str">
        <f t="shared" si="9"/>
        <v/>
      </c>
      <c r="AE31" s="14" t="str">
        <f t="shared" si="10"/>
        <v/>
      </c>
      <c r="AF31" s="42" t="str">
        <f t="shared" si="11"/>
        <v/>
      </c>
      <c r="AG31" s="42" t="str">
        <f t="shared" si="12"/>
        <v/>
      </c>
      <c r="AH31" s="42" t="str">
        <f t="shared" si="13"/>
        <v/>
      </c>
      <c r="AI31" s="90" t="str">
        <f>IF(SUM($AC31)=0,"",INDEX(Cascade!$BG:$BG,MATCH($E31,Cascade!$E:$E,0)))</f>
        <v/>
      </c>
      <c r="AJ31" s="42" t="str">
        <f t="shared" si="14"/>
        <v/>
      </c>
      <c r="AK31" s="42" t="str">
        <f t="shared" si="15"/>
        <v/>
      </c>
      <c r="AL31" s="42" t="str">
        <f t="shared" si="16"/>
        <v/>
      </c>
      <c r="AM31" s="42" t="str">
        <f t="shared" si="17"/>
        <v/>
      </c>
      <c r="AN31" s="42" t="str">
        <f t="shared" si="18"/>
        <v/>
      </c>
      <c r="AO31" s="14" t="str">
        <f t="shared" si="19"/>
        <v/>
      </c>
      <c r="AP31" s="90"/>
      <c r="AQ31" s="90" t="str">
        <f t="shared" si="20"/>
        <v/>
      </c>
      <c r="AR31" s="90" t="str">
        <f>IF(SUM($AO31)=0,"",INDEX(Cascade!$BG:$BG,MATCH($E31,Cascade!$E:$E,0)))</f>
        <v/>
      </c>
      <c r="AS31" s="42" t="str">
        <f t="shared" si="21"/>
        <v/>
      </c>
      <c r="AT31" s="42" t="str">
        <f t="shared" si="22"/>
        <v/>
      </c>
      <c r="AU31" s="14" t="str">
        <f t="shared" si="23"/>
        <v/>
      </c>
      <c r="AV31" s="14" t="str">
        <f t="shared" si="24"/>
        <v/>
      </c>
      <c r="AW31" s="14" t="str">
        <f>IFERROR(1/(1/INDEX(Cascade!$BH:$BH,MATCH($E31,Cascade!$E:$E,0))),"")</f>
        <v/>
      </c>
      <c r="AX31" s="14" t="str">
        <f t="shared" si="25"/>
        <v/>
      </c>
      <c r="AY31" s="14" t="str">
        <f t="shared" si="26"/>
        <v/>
      </c>
      <c r="AZ31" s="14" t="str">
        <f>IFERROR(1/(1/INDEX(TB!$P:$P,MATCH($E31,TB!$E:$E,0))),"")</f>
        <v/>
      </c>
      <c r="BA31" s="14" t="str">
        <f t="shared" si="27"/>
        <v/>
      </c>
    </row>
    <row r="32" spans="1:53" x14ac:dyDescent="0.2">
      <c r="A32" t="str">
        <f>INDEX(Prioritization!$D:$D,MATCH($B32,Prioritization!$A:$A,0))</f>
        <v>INVALID</v>
      </c>
      <c r="B32" t="s">
        <v>196</v>
      </c>
      <c r="C32" t="s">
        <v>365</v>
      </c>
      <c r="D32" t="s">
        <v>29</v>
      </c>
      <c r="E32" t="str">
        <f t="shared" si="0"/>
        <v>Kasungu District [JQKLKuVuY61]|25-34|Female</v>
      </c>
      <c r="F32" s="14">
        <f>IF(LEFT($B32,4)="_Mil","",INDEX(Cascade!$T:$T,MATCH($E32,Cascade!$E:$E,0)))</f>
        <v>657</v>
      </c>
      <c r="G32" s="14" t="str">
        <f>IF(LEFT($B32,4)="_Mil","",INDEX(Cascade!$U:$U,MATCH($E32,Cascade!$E:$E,0)))</f>
        <v/>
      </c>
      <c r="H32" s="88">
        <f>IF(LEFT($B32,4)="_Mil","",INDEX(Cascade!$W:$W,MATCH($E32,Cascade!$E:$E,0)))</f>
        <v>1103</v>
      </c>
      <c r="I32" s="14">
        <f>IF(LEFT($B32,4)="_Mil","",INDEX(Cascade!$Z:$Z,MATCH($E32,Cascade!$E:$E,0)))</f>
        <v>1823</v>
      </c>
      <c r="J32" s="90">
        <f>IF(LEFT($B32,4)="_Mil","",INDEX(Cascade!$AA:$AA,MATCH($E32,Cascade!$E:$E,0)))</f>
        <v>1159</v>
      </c>
      <c r="K32" s="42">
        <f>IF(LEFT($B32,4)="_Mil","",_xlfn.IFNA(ROUND(INDEX(Spectrum!$N:$N,MATCH(RIGHT($B32,13)&amp;"|"&amp;$C32&amp;"|"&amp;$D32&amp;"|"&amp;K$14&amp;"|"&amp;"CY2023Q3",Spectrum!$R:$R,0)),0),""))</f>
        <v>938</v>
      </c>
      <c r="L32" s="42" t="str">
        <f>IF(LEFT($B32,4)="_Mil","",_xlfn.IFNA(ROUND(INDEX(Spectrum!$N:$N,MATCH(RIGHT($B32,13)&amp;"|"&amp;$C32&amp;"|"&amp;$D32&amp;"|"&amp;L$14&amp;"|"&amp;"CY2023Q3",Spectrum!$R:$R,0)),0),""))</f>
        <v/>
      </c>
      <c r="M32" s="42">
        <f>IF(LEFT($B32,4)="_Mil","",_xlfn.IFNA(ROUND(INDEX(Spectrum!$N:$N,MATCH(RIGHT($B32,13)&amp;"|"&amp;$C32&amp;"|"&amp;$D32&amp;"|"&amp;M$14&amp;"|"&amp;"CY2023Q3",Spectrum!$R:$R,0)),0),""))</f>
        <v>770</v>
      </c>
      <c r="N32" s="42">
        <f>IF(LEFT($B32,4)="_Mil","",_xlfn.IFNA(ROUND(INDEX(Spectrum!$N:$N,MATCH(RIGHT($B32,13)&amp;"|"&amp;$C32&amp;"|"&amp;$D32&amp;"|"&amp;N$14&amp;"|"&amp;"CY2023Q3",Spectrum!$R:$R,0)),0),""))</f>
        <v>908</v>
      </c>
      <c r="O32" s="42">
        <f>IF(LEFT($B32,4)="_Mil","",_xlfn.IFNA(ROUND(INDEX(Spectrum!$N:$N,MATCH(RIGHT($B32,13)&amp;"|"&amp;$C32&amp;"|"&amp;$D32&amp;"|"&amp;O$14&amp;"|"&amp;"CY2023Q3",Spectrum!$R:$R,0)),0),""))</f>
        <v>719</v>
      </c>
      <c r="P32" s="42">
        <f>IF(LEFT($B32,4)="_Mil","",_xlfn.IFNA(ROUND(INDEX(Spectrum!$N:$N,MATCH(RIGHT($B32,13)&amp;"|"&amp;$C32&amp;"|"&amp;$D32&amp;"|"&amp;P$14&amp;"|"&amp;"CY2023Q3",Spectrum!$R:$R,0)),0),""))</f>
        <v>957</v>
      </c>
      <c r="Q32" s="42" t="str">
        <f>IF(LEFT($B32,4)="_Mil","",_xlfn.IFNA(ROUND(INDEX(Spectrum!$N:$N,MATCH(RIGHT($B32,13)&amp;"|"&amp;$C32&amp;"|"&amp;$D32&amp;"|"&amp;Q$14&amp;"|"&amp;"CY2022Q3",Spectrum!$R:$R,0)),0),""))</f>
        <v/>
      </c>
      <c r="R32" s="14"/>
      <c r="S32" s="90">
        <f>0</f>
        <v>0</v>
      </c>
      <c r="T32" s="42" t="str">
        <f t="shared" si="1"/>
        <v/>
      </c>
      <c r="U32" s="90">
        <f t="shared" si="2"/>
        <v>0</v>
      </c>
      <c r="V32" s="42" t="str">
        <f t="shared" si="3"/>
        <v/>
      </c>
      <c r="W32" s="90"/>
      <c r="X32" s="90">
        <f t="shared" si="4"/>
        <v>0</v>
      </c>
      <c r="Y32" s="90"/>
      <c r="Z32" s="90">
        <f t="shared" si="5"/>
        <v>0</v>
      </c>
      <c r="AA32" s="14" t="str">
        <f t="shared" si="6"/>
        <v/>
      </c>
      <c r="AB32" s="42" t="str">
        <f t="shared" si="7"/>
        <v/>
      </c>
      <c r="AC32" s="42" t="str">
        <f t="shared" si="8"/>
        <v/>
      </c>
      <c r="AD32" s="42" t="str">
        <f t="shared" si="9"/>
        <v/>
      </c>
      <c r="AE32" s="14" t="str">
        <f t="shared" si="10"/>
        <v/>
      </c>
      <c r="AF32" s="42" t="str">
        <f t="shared" si="11"/>
        <v/>
      </c>
      <c r="AG32" s="42" t="str">
        <f t="shared" si="12"/>
        <v/>
      </c>
      <c r="AH32" s="42" t="str">
        <f t="shared" si="13"/>
        <v/>
      </c>
      <c r="AI32" s="90" t="str">
        <f>IF(SUM($AC32)=0,"",INDEX(Cascade!$BG:$BG,MATCH($E32,Cascade!$E:$E,0)))</f>
        <v/>
      </c>
      <c r="AJ32" s="42" t="str">
        <f t="shared" si="14"/>
        <v/>
      </c>
      <c r="AK32" s="42" t="str">
        <f t="shared" si="15"/>
        <v/>
      </c>
      <c r="AL32" s="42" t="str">
        <f t="shared" si="16"/>
        <v/>
      </c>
      <c r="AM32" s="42" t="str">
        <f t="shared" si="17"/>
        <v/>
      </c>
      <c r="AN32" s="42" t="str">
        <f t="shared" si="18"/>
        <v/>
      </c>
      <c r="AO32" s="14" t="str">
        <f t="shared" si="19"/>
        <v/>
      </c>
      <c r="AP32" s="90"/>
      <c r="AQ32" s="90" t="str">
        <f t="shared" si="20"/>
        <v/>
      </c>
      <c r="AR32" s="90" t="str">
        <f>IF(SUM($AO32)=0,"",INDEX(Cascade!$BG:$BG,MATCH($E32,Cascade!$E:$E,0)))</f>
        <v/>
      </c>
      <c r="AS32" s="42" t="str">
        <f t="shared" si="21"/>
        <v/>
      </c>
      <c r="AT32" s="42" t="str">
        <f t="shared" si="22"/>
        <v/>
      </c>
      <c r="AU32" s="14" t="str">
        <f t="shared" si="23"/>
        <v/>
      </c>
      <c r="AV32" s="14" t="str">
        <f t="shared" si="24"/>
        <v/>
      </c>
      <c r="AW32" s="14" t="str">
        <f>IFERROR(1/(1/INDEX(Cascade!$BH:$BH,MATCH($E32,Cascade!$E:$E,0))),"")</f>
        <v/>
      </c>
      <c r="AX32" s="14" t="str">
        <f t="shared" si="25"/>
        <v/>
      </c>
      <c r="AY32" s="14" t="str">
        <f t="shared" si="26"/>
        <v/>
      </c>
      <c r="AZ32" s="14" t="str">
        <f>IFERROR(1/(1/INDEX(TB!$P:$P,MATCH($E32,TB!$E:$E,0))),"")</f>
        <v/>
      </c>
      <c r="BA32" s="14" t="str">
        <f t="shared" si="27"/>
        <v/>
      </c>
    </row>
    <row r="33" spans="1:53" x14ac:dyDescent="0.2">
      <c r="A33" t="str">
        <f>INDEX(Prioritization!$D:$D,MATCH($B33,Prioritization!$A:$A,0))</f>
        <v>INVALID</v>
      </c>
      <c r="B33" t="s">
        <v>196</v>
      </c>
      <c r="C33" t="s">
        <v>366</v>
      </c>
      <c r="D33" t="s">
        <v>29</v>
      </c>
      <c r="E33" t="str">
        <f t="shared" si="0"/>
        <v>Kasungu District [JQKLKuVuY61]|35-49|Female</v>
      </c>
      <c r="F33" s="14">
        <f>IF(LEFT($B33,4)="_Mil","",INDEX(Cascade!$T:$T,MATCH($E33,Cascade!$E:$E,0)))</f>
        <v>1514</v>
      </c>
      <c r="G33" s="14" t="str">
        <f>IF(LEFT($B33,4)="_Mil","",INDEX(Cascade!$U:$U,MATCH($E33,Cascade!$E:$E,0)))</f>
        <v/>
      </c>
      <c r="H33" s="88">
        <f>IF(LEFT($B33,4)="_Mil","",INDEX(Cascade!$W:$W,MATCH($E33,Cascade!$E:$E,0)))</f>
        <v>1656</v>
      </c>
      <c r="I33" s="14">
        <f>IF(LEFT($B33,4)="_Mil","",INDEX(Cascade!$Z:$Z,MATCH($E33,Cascade!$E:$E,0)))</f>
        <v>1508</v>
      </c>
      <c r="J33" s="90">
        <f>IF(LEFT($B33,4)="_Mil","",INDEX(Cascade!$AA:$AA,MATCH($E33,Cascade!$E:$E,0)))</f>
        <v>1063</v>
      </c>
      <c r="K33" s="42">
        <f>IF(LEFT($B33,4)="_Mil","",_xlfn.IFNA(ROUND(INDEX(Spectrum!$N:$N,MATCH(RIGHT($B33,13)&amp;"|"&amp;$C33&amp;"|"&amp;$D33&amp;"|"&amp;K$14&amp;"|"&amp;"CY2023Q3",Spectrum!$R:$R,0)),0),""))</f>
        <v>1413</v>
      </c>
      <c r="L33" s="42" t="str">
        <f>IF(LEFT($B33,4)="_Mil","",_xlfn.IFNA(ROUND(INDEX(Spectrum!$N:$N,MATCH(RIGHT($B33,13)&amp;"|"&amp;$C33&amp;"|"&amp;$D33&amp;"|"&amp;L$14&amp;"|"&amp;"CY2023Q3",Spectrum!$R:$R,0)),0),""))</f>
        <v/>
      </c>
      <c r="M33" s="42">
        <f>IF(LEFT($B33,4)="_Mil","",_xlfn.IFNA(ROUND(INDEX(Spectrum!$N:$N,MATCH(RIGHT($B33,13)&amp;"|"&amp;$C33&amp;"|"&amp;$D33&amp;"|"&amp;M$14&amp;"|"&amp;"CY2023Q3",Spectrum!$R:$R,0)),0),""))</f>
        <v>1857</v>
      </c>
      <c r="N33" s="42">
        <f>IF(LEFT($B33,4)="_Mil","",_xlfn.IFNA(ROUND(INDEX(Spectrum!$N:$N,MATCH(RIGHT($B33,13)&amp;"|"&amp;$C33&amp;"|"&amp;$D33&amp;"|"&amp;N$14&amp;"|"&amp;"CY2023Q3",Spectrum!$R:$R,0)),0),""))</f>
        <v>1850</v>
      </c>
      <c r="O33" s="42">
        <f>IF(LEFT($B33,4)="_Mil","",_xlfn.IFNA(ROUND(INDEX(Spectrum!$N:$N,MATCH(RIGHT($B33,13)&amp;"|"&amp;$C33&amp;"|"&amp;$D33&amp;"|"&amp;O$14&amp;"|"&amp;"CY2023Q3",Spectrum!$R:$R,0)),0),""))</f>
        <v>848</v>
      </c>
      <c r="P33" s="42">
        <f>IF(LEFT($B33,4)="_Mil","",_xlfn.IFNA(ROUND(INDEX(Spectrum!$N:$N,MATCH(RIGHT($B33,13)&amp;"|"&amp;$C33&amp;"|"&amp;$D33&amp;"|"&amp;P$14&amp;"|"&amp;"CY2023Q3",Spectrum!$R:$R,0)),0),""))</f>
        <v>1109</v>
      </c>
      <c r="Q33" s="42" t="str">
        <f>IF(LEFT($B33,4)="_Mil","",_xlfn.IFNA(ROUND(INDEX(Spectrum!$N:$N,MATCH(RIGHT($B33,13)&amp;"|"&amp;$C33&amp;"|"&amp;$D33&amp;"|"&amp;Q$14&amp;"|"&amp;"CY2022Q3",Spectrum!$R:$R,0)),0),""))</f>
        <v/>
      </c>
      <c r="R33" s="14"/>
      <c r="S33" s="90">
        <f>0</f>
        <v>0</v>
      </c>
      <c r="T33" s="42" t="str">
        <f t="shared" si="1"/>
        <v/>
      </c>
      <c r="U33" s="90">
        <f t="shared" si="2"/>
        <v>0</v>
      </c>
      <c r="V33" s="42" t="str">
        <f t="shared" si="3"/>
        <v/>
      </c>
      <c r="W33" s="90"/>
      <c r="X33" s="90">
        <f t="shared" si="4"/>
        <v>0</v>
      </c>
      <c r="Y33" s="90"/>
      <c r="Z33" s="90">
        <f t="shared" si="5"/>
        <v>0</v>
      </c>
      <c r="AA33" s="14" t="str">
        <f t="shared" si="6"/>
        <v/>
      </c>
      <c r="AB33" s="42" t="str">
        <f t="shared" si="7"/>
        <v/>
      </c>
      <c r="AC33" s="42" t="str">
        <f t="shared" si="8"/>
        <v/>
      </c>
      <c r="AD33" s="42" t="str">
        <f t="shared" si="9"/>
        <v/>
      </c>
      <c r="AE33" s="14" t="str">
        <f t="shared" si="10"/>
        <v/>
      </c>
      <c r="AF33" s="42" t="str">
        <f t="shared" si="11"/>
        <v/>
      </c>
      <c r="AG33" s="42" t="str">
        <f t="shared" si="12"/>
        <v/>
      </c>
      <c r="AH33" s="42" t="str">
        <f t="shared" si="13"/>
        <v/>
      </c>
      <c r="AI33" s="90" t="str">
        <f>IF(SUM($AC33)=0,"",INDEX(Cascade!$BG:$BG,MATCH($E33,Cascade!$E:$E,0)))</f>
        <v/>
      </c>
      <c r="AJ33" s="42" t="str">
        <f t="shared" si="14"/>
        <v/>
      </c>
      <c r="AK33" s="42" t="str">
        <f t="shared" si="15"/>
        <v/>
      </c>
      <c r="AL33" s="42" t="str">
        <f t="shared" si="16"/>
        <v/>
      </c>
      <c r="AM33" s="42" t="str">
        <f t="shared" si="17"/>
        <v/>
      </c>
      <c r="AN33" s="42" t="str">
        <f t="shared" si="18"/>
        <v/>
      </c>
      <c r="AO33" s="14" t="str">
        <f t="shared" si="19"/>
        <v/>
      </c>
      <c r="AP33" s="90"/>
      <c r="AQ33" s="90" t="str">
        <f t="shared" si="20"/>
        <v/>
      </c>
      <c r="AR33" s="90" t="str">
        <f>IF(SUM($AO33)=0,"",INDEX(Cascade!$BG:$BG,MATCH($E33,Cascade!$E:$E,0)))</f>
        <v/>
      </c>
      <c r="AS33" s="42" t="str">
        <f t="shared" si="21"/>
        <v/>
      </c>
      <c r="AT33" s="42" t="str">
        <f t="shared" si="22"/>
        <v/>
      </c>
      <c r="AU33" s="14" t="str">
        <f t="shared" si="23"/>
        <v/>
      </c>
      <c r="AV33" s="14" t="str">
        <f t="shared" si="24"/>
        <v/>
      </c>
      <c r="AW33" s="14" t="str">
        <f>IFERROR(1/(1/INDEX(Cascade!$BH:$BH,MATCH($E33,Cascade!$E:$E,0))),"")</f>
        <v/>
      </c>
      <c r="AX33" s="14" t="str">
        <f t="shared" si="25"/>
        <v/>
      </c>
      <c r="AY33" s="14" t="str">
        <f t="shared" si="26"/>
        <v/>
      </c>
      <c r="AZ33" s="14" t="str">
        <f>IFERROR(1/(1/INDEX(TB!$P:$P,MATCH($E33,TB!$E:$E,0))),"")</f>
        <v/>
      </c>
      <c r="BA33" s="14" t="str">
        <f t="shared" si="27"/>
        <v/>
      </c>
    </row>
    <row r="34" spans="1:53" x14ac:dyDescent="0.2">
      <c r="A34" t="str">
        <f>INDEX(Prioritization!$D:$D,MATCH($B34,Prioritization!$A:$A,0))</f>
        <v>INVALID</v>
      </c>
      <c r="B34" t="s">
        <v>196</v>
      </c>
      <c r="C34" t="s">
        <v>367</v>
      </c>
      <c r="D34" t="s">
        <v>29</v>
      </c>
      <c r="E34" t="str">
        <f t="shared" si="0"/>
        <v>Kasungu District [JQKLKuVuY61]|50+|Female</v>
      </c>
      <c r="F34" s="14">
        <f>IF(LEFT($B34,4)="_Mil","",INDEX(Cascade!$T:$T,MATCH($E34,Cascade!$E:$E,0)))</f>
        <v>1737</v>
      </c>
      <c r="G34" s="14" t="str">
        <f>IF(LEFT($B34,4)="_Mil","",INDEX(Cascade!$U:$U,MATCH($E34,Cascade!$E:$E,0)))</f>
        <v/>
      </c>
      <c r="H34" s="88">
        <f>IF(LEFT($B34,4)="_Mil","",INDEX(Cascade!$W:$W,MATCH($E34,Cascade!$E:$E,0)))</f>
        <v>627</v>
      </c>
      <c r="I34" s="14">
        <f>IF(LEFT($B34,4)="_Mil","",INDEX(Cascade!$Z:$Z,MATCH($E34,Cascade!$E:$E,0)))</f>
        <v>1622</v>
      </c>
      <c r="J34" s="90">
        <f>IF(LEFT($B34,4)="_Mil","",INDEX(Cascade!$AA:$AA,MATCH($E34,Cascade!$E:$E,0)))</f>
        <v>1446</v>
      </c>
      <c r="K34" s="42" t="str">
        <f>IF(LEFT($B34,4)="_Mil","",_xlfn.IFNA(ROUND(INDEX(Spectrum!$N:$N,MATCH(RIGHT($B34,13)&amp;"|"&amp;$C34&amp;"|"&amp;$D34&amp;"|"&amp;K$14&amp;"|"&amp;"CY2023Q3",Spectrum!$R:$R,0)),0),""))</f>
        <v/>
      </c>
      <c r="L34" s="42" t="str">
        <f>IF(LEFT($B34,4)="_Mil","",_xlfn.IFNA(ROUND(INDEX(Spectrum!$N:$N,MATCH(RIGHT($B34,13)&amp;"|"&amp;$C34&amp;"|"&amp;$D34&amp;"|"&amp;L$14&amp;"|"&amp;"CY2023Q3",Spectrum!$R:$R,0)),0),""))</f>
        <v/>
      </c>
      <c r="M34" s="42" t="str">
        <f>IF(LEFT($B34,4)="_Mil","",_xlfn.IFNA(ROUND(INDEX(Spectrum!$N:$N,MATCH(RIGHT($B34,13)&amp;"|"&amp;$C34&amp;"|"&amp;$D34&amp;"|"&amp;M$14&amp;"|"&amp;"CY2023Q3",Spectrum!$R:$R,0)),0),""))</f>
        <v/>
      </c>
      <c r="N34" s="42" t="str">
        <f>IF(LEFT($B34,4)="_Mil","",_xlfn.IFNA(ROUND(INDEX(Spectrum!$N:$N,MATCH(RIGHT($B34,13)&amp;"|"&amp;$C34&amp;"|"&amp;$D34&amp;"|"&amp;N$14&amp;"|"&amp;"CY2023Q3",Spectrum!$R:$R,0)),0),""))</f>
        <v/>
      </c>
      <c r="O34" s="42" t="str">
        <f>IF(LEFT($B34,4)="_Mil","",_xlfn.IFNA(ROUND(INDEX(Spectrum!$N:$N,MATCH(RIGHT($B34,13)&amp;"|"&amp;$C34&amp;"|"&amp;$D34&amp;"|"&amp;O$14&amp;"|"&amp;"CY2023Q3",Spectrum!$R:$R,0)),0),""))</f>
        <v/>
      </c>
      <c r="P34" s="42" t="str">
        <f>IF(LEFT($B34,4)="_Mil","",_xlfn.IFNA(ROUND(INDEX(Spectrum!$N:$N,MATCH(RIGHT($B34,13)&amp;"|"&amp;$C34&amp;"|"&amp;$D34&amp;"|"&amp;P$14&amp;"|"&amp;"CY2023Q3",Spectrum!$R:$R,0)),0),""))</f>
        <v/>
      </c>
      <c r="Q34" s="42" t="str">
        <f>IF(LEFT($B34,4)="_Mil","",_xlfn.IFNA(ROUND(INDEX(Spectrum!$N:$N,MATCH(RIGHT($B34,13)&amp;"|"&amp;$C34&amp;"|"&amp;$D34&amp;"|"&amp;Q$14&amp;"|"&amp;"CY2022Q3",Spectrum!$R:$R,0)),0),""))</f>
        <v/>
      </c>
      <c r="R34" s="14"/>
      <c r="S34" s="90">
        <f>0</f>
        <v>0</v>
      </c>
      <c r="T34" s="42" t="str">
        <f t="shared" si="1"/>
        <v/>
      </c>
      <c r="U34" s="90" t="str">
        <f t="shared" si="2"/>
        <v/>
      </c>
      <c r="V34" s="42" t="str">
        <f t="shared" si="3"/>
        <v/>
      </c>
      <c r="W34" s="90"/>
      <c r="X34" s="90" t="str">
        <f t="shared" si="4"/>
        <v/>
      </c>
      <c r="Y34" s="90"/>
      <c r="Z34" s="90" t="str">
        <f t="shared" si="5"/>
        <v/>
      </c>
      <c r="AA34" s="14" t="str">
        <f t="shared" si="6"/>
        <v/>
      </c>
      <c r="AB34" s="42" t="str">
        <f t="shared" si="7"/>
        <v/>
      </c>
      <c r="AC34" s="42" t="str">
        <f t="shared" si="8"/>
        <v/>
      </c>
      <c r="AD34" s="42" t="str">
        <f t="shared" si="9"/>
        <v/>
      </c>
      <c r="AE34" s="14" t="str">
        <f t="shared" si="10"/>
        <v/>
      </c>
      <c r="AF34" s="42" t="str">
        <f t="shared" si="11"/>
        <v/>
      </c>
      <c r="AG34" s="42" t="str">
        <f t="shared" si="12"/>
        <v/>
      </c>
      <c r="AH34" s="42" t="str">
        <f t="shared" si="13"/>
        <v/>
      </c>
      <c r="AI34" s="90" t="str">
        <f>IF(SUM($AC34)=0,"",INDEX(Cascade!$BG:$BG,MATCH($E34,Cascade!$E:$E,0)))</f>
        <v/>
      </c>
      <c r="AJ34" s="42" t="str">
        <f t="shared" si="14"/>
        <v/>
      </c>
      <c r="AK34" s="42" t="str">
        <f t="shared" si="15"/>
        <v/>
      </c>
      <c r="AL34" s="42" t="str">
        <f t="shared" si="16"/>
        <v/>
      </c>
      <c r="AM34" s="42" t="str">
        <f t="shared" si="17"/>
        <v/>
      </c>
      <c r="AN34" s="42" t="str">
        <f t="shared" si="18"/>
        <v/>
      </c>
      <c r="AO34" s="14" t="str">
        <f t="shared" si="19"/>
        <v/>
      </c>
      <c r="AP34" s="90"/>
      <c r="AQ34" s="90" t="str">
        <f t="shared" si="20"/>
        <v/>
      </c>
      <c r="AR34" s="90" t="str">
        <f>IF(SUM($AO34)=0,"",INDEX(Cascade!$BG:$BG,MATCH($E34,Cascade!$E:$E,0)))</f>
        <v/>
      </c>
      <c r="AS34" s="42" t="str">
        <f t="shared" si="21"/>
        <v/>
      </c>
      <c r="AT34" s="42" t="str">
        <f t="shared" si="22"/>
        <v/>
      </c>
      <c r="AU34" s="14" t="str">
        <f t="shared" si="23"/>
        <v/>
      </c>
      <c r="AV34" s="14" t="str">
        <f t="shared" si="24"/>
        <v/>
      </c>
      <c r="AW34" s="14" t="str">
        <f>IFERROR(1/(1/INDEX(Cascade!$BH:$BH,MATCH($E34,Cascade!$E:$E,0))),"")</f>
        <v/>
      </c>
      <c r="AX34" s="14" t="str">
        <f t="shared" si="25"/>
        <v/>
      </c>
      <c r="AY34" s="14" t="str">
        <f t="shared" si="26"/>
        <v/>
      </c>
      <c r="AZ34" s="14" t="str">
        <f>IFERROR(1/(1/INDEX(TB!$P:$P,MATCH($E34,TB!$E:$E,0))),"")</f>
        <v/>
      </c>
      <c r="BA34" s="14" t="str">
        <f t="shared" si="27"/>
        <v/>
      </c>
    </row>
    <row r="35" spans="1:53" x14ac:dyDescent="0.2">
      <c r="A35" t="str">
        <f>INDEX(Prioritization!$D:$D,MATCH($B35,Prioritization!$A:$A,0))</f>
        <v>1 - Scale-up: Saturation</v>
      </c>
      <c r="B35" t="s">
        <v>197</v>
      </c>
      <c r="C35" t="s">
        <v>363</v>
      </c>
      <c r="D35" t="s">
        <v>29</v>
      </c>
      <c r="E35" t="str">
        <f t="shared" si="0"/>
        <v>Lilongwe District [ScR9iFKAasW]|10-14|Female</v>
      </c>
      <c r="F35" s="14">
        <f>IF(LEFT($B35,4)="_Mil","",INDEX(Cascade!$T:$T,MATCH($E35,Cascade!$E:$E,0)))</f>
        <v>1687</v>
      </c>
      <c r="G35" s="14" t="str">
        <f>IF(LEFT($B35,4)="_Mil","",INDEX(Cascade!$U:$U,MATCH($E35,Cascade!$E:$E,0)))</f>
        <v/>
      </c>
      <c r="H35" s="88">
        <f>IF(LEFT($B35,4)="_Mil","",INDEX(Cascade!$W:$W,MATCH($E35,Cascade!$E:$E,0)))</f>
        <v>1552</v>
      </c>
      <c r="I35" s="14">
        <f>IF(LEFT($B35,4)="_Mil","",INDEX(Cascade!$Z:$Z,MATCH($E35,Cascade!$E:$E,0)))</f>
        <v>1466</v>
      </c>
      <c r="J35" s="90">
        <f>IF(LEFT($B35,4)="_Mil","",INDEX(Cascade!$AA:$AA,MATCH($E35,Cascade!$E:$E,0)))</f>
        <v>1545</v>
      </c>
      <c r="K35" s="42" t="str">
        <f>IF(LEFT($B35,4)="_Mil","",_xlfn.IFNA(ROUND(INDEX(Spectrum!$N:$N,MATCH(RIGHT($B35,13)&amp;"|"&amp;$C35&amp;"|"&amp;$D35&amp;"|"&amp;K$14&amp;"|"&amp;"CY2023Q3",Spectrum!$R:$R,0)),0),""))</f>
        <v/>
      </c>
      <c r="L35" s="42" t="str">
        <f>IF(LEFT($B35,4)="_Mil","",_xlfn.IFNA(ROUND(INDEX(Spectrum!$N:$N,MATCH(RIGHT($B35,13)&amp;"|"&amp;$C35&amp;"|"&amp;$D35&amp;"|"&amp;L$14&amp;"|"&amp;"CY2023Q3",Spectrum!$R:$R,0)),0),""))</f>
        <v/>
      </c>
      <c r="M35" s="42" t="str">
        <f>IF(LEFT($B35,4)="_Mil","",_xlfn.IFNA(ROUND(INDEX(Spectrum!$N:$N,MATCH(RIGHT($B35,13)&amp;"|"&amp;$C35&amp;"|"&amp;$D35&amp;"|"&amp;M$14&amp;"|"&amp;"CY2023Q3",Spectrum!$R:$R,0)),0),""))</f>
        <v/>
      </c>
      <c r="N35" s="42" t="str">
        <f>IF(LEFT($B35,4)="_Mil","",_xlfn.IFNA(ROUND(INDEX(Spectrum!$N:$N,MATCH(RIGHT($B35,13)&amp;"|"&amp;$C35&amp;"|"&amp;$D35&amp;"|"&amp;N$14&amp;"|"&amp;"CY2023Q3",Spectrum!$R:$R,0)),0),""))</f>
        <v/>
      </c>
      <c r="O35" s="42" t="str">
        <f>IF(LEFT($B35,4)="_Mil","",_xlfn.IFNA(ROUND(INDEX(Spectrum!$N:$N,MATCH(RIGHT($B35,13)&amp;"|"&amp;$C35&amp;"|"&amp;$D35&amp;"|"&amp;O$14&amp;"|"&amp;"CY2023Q3",Spectrum!$R:$R,0)),0),""))</f>
        <v/>
      </c>
      <c r="P35" s="42" t="str">
        <f>IF(LEFT($B35,4)="_Mil","",_xlfn.IFNA(ROUND(INDEX(Spectrum!$N:$N,MATCH(RIGHT($B35,13)&amp;"|"&amp;$C35&amp;"|"&amp;$D35&amp;"|"&amp;P$14&amp;"|"&amp;"CY2023Q3",Spectrum!$R:$R,0)),0),""))</f>
        <v/>
      </c>
      <c r="Q35" s="42" t="str">
        <f>IF(LEFT($B35,4)="_Mil","",_xlfn.IFNA(ROUND(INDEX(Spectrum!$N:$N,MATCH(RIGHT($B35,13)&amp;"|"&amp;$C35&amp;"|"&amp;$D35&amp;"|"&amp;Q$14&amp;"|"&amp;"CY2022Q3",Spectrum!$R:$R,0)),0),""))</f>
        <v/>
      </c>
      <c r="R35" s="14">
        <v>19</v>
      </c>
      <c r="S35" s="90">
        <f>0</f>
        <v>0</v>
      </c>
      <c r="T35" s="42">
        <f t="shared" si="1"/>
        <v>19</v>
      </c>
      <c r="U35" s="90">
        <f t="shared" si="2"/>
        <v>1</v>
      </c>
      <c r="V35" s="42">
        <f t="shared" si="3"/>
        <v>19</v>
      </c>
      <c r="W35" s="90"/>
      <c r="X35" s="90" t="str">
        <f t="shared" si="4"/>
        <v/>
      </c>
      <c r="Y35" s="90"/>
      <c r="Z35" s="90" t="str">
        <f t="shared" si="5"/>
        <v/>
      </c>
      <c r="AA35" s="14">
        <f t="shared" si="6"/>
        <v>19</v>
      </c>
      <c r="AB35" s="42" t="str">
        <f t="shared" si="7"/>
        <v>ENTER KNOWN POSITIVITY RATE</v>
      </c>
      <c r="AC35" s="42" t="str">
        <f t="shared" si="8"/>
        <v>ENTER YIELD RATE</v>
      </c>
      <c r="AD35" s="42">
        <f t="shared" si="9"/>
        <v>19</v>
      </c>
      <c r="AE35" s="14">
        <f t="shared" si="10"/>
        <v>19</v>
      </c>
      <c r="AF35" s="42">
        <f t="shared" si="11"/>
        <v>0</v>
      </c>
      <c r="AG35" s="42">
        <f t="shared" si="12"/>
        <v>0</v>
      </c>
      <c r="AH35" s="42">
        <f t="shared" si="13"/>
        <v>19</v>
      </c>
      <c r="AI35" s="90" t="str">
        <f>IF(SUM($AC35)=0,"",INDEX(Cascade!$BG:$BG,MATCH($E35,Cascade!$E:$E,0)))</f>
        <v/>
      </c>
      <c r="AJ35" s="42" t="str">
        <f t="shared" si="14"/>
        <v>ENTER KNOWN POSITIVITY RATE</v>
      </c>
      <c r="AK35" s="42" t="str">
        <f t="shared" si="15"/>
        <v/>
      </c>
      <c r="AL35" s="42" t="str">
        <f t="shared" si="16"/>
        <v/>
      </c>
      <c r="AM35" s="42">
        <f t="shared" si="17"/>
        <v>0</v>
      </c>
      <c r="AN35" s="42" t="str">
        <f t="shared" si="18"/>
        <v/>
      </c>
      <c r="AO35" s="14">
        <f t="shared" si="19"/>
        <v>19</v>
      </c>
      <c r="AP35" s="90">
        <v>0.74321103515103504</v>
      </c>
      <c r="AQ35" s="90">
        <f t="shared" si="20"/>
        <v>0.74321103515103504</v>
      </c>
      <c r="AR35" s="90">
        <f>IF(SUM($AO35)=0,"",INDEX(Cascade!$BG:$BG,MATCH($E35,Cascade!$E:$E,0)))</f>
        <v>0.95</v>
      </c>
      <c r="AS35" s="42">
        <f t="shared" si="21"/>
        <v>14</v>
      </c>
      <c r="AT35" s="42">
        <f t="shared" si="22"/>
        <v>5</v>
      </c>
      <c r="AU35" s="14">
        <f t="shared" si="23"/>
        <v>13</v>
      </c>
      <c r="AV35" s="14">
        <f t="shared" si="24"/>
        <v>14</v>
      </c>
      <c r="AW35" s="14">
        <f>IFERROR(1/(1/INDEX(Cascade!$BH:$BH,MATCH($E35,Cascade!$E:$E,0))),"")</f>
        <v>-431</v>
      </c>
      <c r="AX35" s="14" t="str">
        <f t="shared" si="25"/>
        <v/>
      </c>
      <c r="AY35" s="14">
        <f t="shared" si="26"/>
        <v>14</v>
      </c>
      <c r="AZ35" s="14" t="str">
        <f>IFERROR(1/(1/INDEX(TB!$P:$P,MATCH($E35,TB!$E:$E,0))),"")</f>
        <v/>
      </c>
      <c r="BA35" s="14">
        <f t="shared" si="27"/>
        <v>-444.99999999999994</v>
      </c>
    </row>
    <row r="36" spans="1:53" x14ac:dyDescent="0.2">
      <c r="A36" t="str">
        <f>INDEX(Prioritization!$D:$D,MATCH($B36,Prioritization!$A:$A,0))</f>
        <v>1 - Scale-up: Saturation</v>
      </c>
      <c r="B36" t="s">
        <v>197</v>
      </c>
      <c r="C36" t="s">
        <v>364</v>
      </c>
      <c r="D36" t="s">
        <v>29</v>
      </c>
      <c r="E36" t="str">
        <f t="shared" si="0"/>
        <v>Lilongwe District [ScR9iFKAasW]|15-24|Female</v>
      </c>
      <c r="F36" s="14">
        <f>IF(LEFT($B36,4)="_Mil","",INDEX(Cascade!$T:$T,MATCH($E36,Cascade!$E:$E,0)))</f>
        <v>1885</v>
      </c>
      <c r="G36" s="14" t="str">
        <f>IF(LEFT($B36,4)="_Mil","",INDEX(Cascade!$U:$U,MATCH($E36,Cascade!$E:$E,0)))</f>
        <v/>
      </c>
      <c r="H36" s="88">
        <f>IF(LEFT($B36,4)="_Mil","",INDEX(Cascade!$W:$W,MATCH($E36,Cascade!$E:$E,0)))</f>
        <v>1802</v>
      </c>
      <c r="I36" s="14">
        <f>IF(LEFT($B36,4)="_Mil","",INDEX(Cascade!$Z:$Z,MATCH($E36,Cascade!$E:$E,0)))</f>
        <v>563</v>
      </c>
      <c r="J36" s="90">
        <f>IF(LEFT($B36,4)="_Mil","",INDEX(Cascade!$AA:$AA,MATCH($E36,Cascade!$E:$E,0)))</f>
        <v>1520</v>
      </c>
      <c r="K36" s="42">
        <f>IF(LEFT($B36,4)="_Mil","",_xlfn.IFNA(ROUND(INDEX(Spectrum!$N:$N,MATCH(RIGHT($B36,13)&amp;"|"&amp;$C36&amp;"|"&amp;$D36&amp;"|"&amp;K$14&amp;"|"&amp;"CY2023Q3",Spectrum!$R:$R,0)),0),""))</f>
        <v>555</v>
      </c>
      <c r="L36" s="42" t="str">
        <f>IF(LEFT($B36,4)="_Mil","",_xlfn.IFNA(ROUND(INDEX(Spectrum!$N:$N,MATCH(RIGHT($B36,13)&amp;"|"&amp;$C36&amp;"|"&amp;$D36&amp;"|"&amp;L$14&amp;"|"&amp;"CY2023Q3",Spectrum!$R:$R,0)),0),""))</f>
        <v/>
      </c>
      <c r="M36" s="42">
        <f>IF(LEFT($B36,4)="_Mil","",_xlfn.IFNA(ROUND(INDEX(Spectrum!$N:$N,MATCH(RIGHT($B36,13)&amp;"|"&amp;$C36&amp;"|"&amp;$D36&amp;"|"&amp;M$14&amp;"|"&amp;"CY2023Q3",Spectrum!$R:$R,0)),0),""))</f>
        <v>1767</v>
      </c>
      <c r="N36" s="42">
        <f>IF(LEFT($B36,4)="_Mil","",_xlfn.IFNA(ROUND(INDEX(Spectrum!$N:$N,MATCH(RIGHT($B36,13)&amp;"|"&amp;$C36&amp;"|"&amp;$D36&amp;"|"&amp;N$14&amp;"|"&amp;"CY2023Q3",Spectrum!$R:$R,0)),0),""))</f>
        <v>970</v>
      </c>
      <c r="O36" s="42">
        <f>IF(LEFT($B36,4)="_Mil","",_xlfn.IFNA(ROUND(INDEX(Spectrum!$N:$N,MATCH(RIGHT($B36,13)&amp;"|"&amp;$C36&amp;"|"&amp;$D36&amp;"|"&amp;O$14&amp;"|"&amp;"CY2023Q3",Spectrum!$R:$R,0)),0),""))</f>
        <v>1745</v>
      </c>
      <c r="P36" s="42">
        <f>IF(LEFT($B36,4)="_Mil","",_xlfn.IFNA(ROUND(INDEX(Spectrum!$N:$N,MATCH(RIGHT($B36,13)&amp;"|"&amp;$C36&amp;"|"&amp;$D36&amp;"|"&amp;P$14&amp;"|"&amp;"CY2023Q3",Spectrum!$R:$R,0)),0),""))</f>
        <v>1584</v>
      </c>
      <c r="Q36" s="42" t="str">
        <f>IF(LEFT($B36,4)="_Mil","",_xlfn.IFNA(ROUND(INDEX(Spectrum!$N:$N,MATCH(RIGHT($B36,13)&amp;"|"&amp;$C36&amp;"|"&amp;$D36&amp;"|"&amp;Q$14&amp;"|"&amp;"CY2022Q3",Spectrum!$R:$R,0)),0),""))</f>
        <v/>
      </c>
      <c r="R36" s="14"/>
      <c r="S36" s="90">
        <f>0</f>
        <v>0</v>
      </c>
      <c r="T36" s="42" t="str">
        <f t="shared" si="1"/>
        <v/>
      </c>
      <c r="U36" s="90">
        <f t="shared" si="2"/>
        <v>0</v>
      </c>
      <c r="V36" s="42" t="str">
        <f t="shared" si="3"/>
        <v/>
      </c>
      <c r="W36" s="90"/>
      <c r="X36" s="90">
        <f t="shared" si="4"/>
        <v>0</v>
      </c>
      <c r="Y36" s="90"/>
      <c r="Z36" s="90">
        <f t="shared" si="5"/>
        <v>0</v>
      </c>
      <c r="AA36" s="14" t="str">
        <f t="shared" si="6"/>
        <v/>
      </c>
      <c r="AB36" s="42" t="str">
        <f t="shared" si="7"/>
        <v/>
      </c>
      <c r="AC36" s="42" t="str">
        <f t="shared" si="8"/>
        <v/>
      </c>
      <c r="AD36" s="42" t="str">
        <f t="shared" si="9"/>
        <v/>
      </c>
      <c r="AE36" s="14" t="str">
        <f t="shared" si="10"/>
        <v/>
      </c>
      <c r="AF36" s="42" t="str">
        <f t="shared" si="11"/>
        <v/>
      </c>
      <c r="AG36" s="42" t="str">
        <f t="shared" si="12"/>
        <v/>
      </c>
      <c r="AH36" s="42" t="str">
        <f t="shared" si="13"/>
        <v/>
      </c>
      <c r="AI36" s="90" t="str">
        <f>IF(SUM($AC36)=0,"",INDEX(Cascade!$BG:$BG,MATCH($E36,Cascade!$E:$E,0)))</f>
        <v/>
      </c>
      <c r="AJ36" s="42" t="str">
        <f t="shared" si="14"/>
        <v/>
      </c>
      <c r="AK36" s="42" t="str">
        <f t="shared" si="15"/>
        <v/>
      </c>
      <c r="AL36" s="42" t="str">
        <f t="shared" si="16"/>
        <v/>
      </c>
      <c r="AM36" s="42" t="str">
        <f t="shared" si="17"/>
        <v/>
      </c>
      <c r="AN36" s="42" t="str">
        <f t="shared" si="18"/>
        <v/>
      </c>
      <c r="AO36" s="14" t="str">
        <f t="shared" si="19"/>
        <v/>
      </c>
      <c r="AP36" s="90"/>
      <c r="AQ36" s="90" t="str">
        <f t="shared" si="20"/>
        <v/>
      </c>
      <c r="AR36" s="90" t="str">
        <f>IF(SUM($AO36)=0,"",INDEX(Cascade!$BG:$BG,MATCH($E36,Cascade!$E:$E,0)))</f>
        <v/>
      </c>
      <c r="AS36" s="42" t="str">
        <f t="shared" si="21"/>
        <v/>
      </c>
      <c r="AT36" s="42" t="str">
        <f t="shared" si="22"/>
        <v/>
      </c>
      <c r="AU36" s="14" t="str">
        <f t="shared" si="23"/>
        <v/>
      </c>
      <c r="AV36" s="14" t="str">
        <f t="shared" si="24"/>
        <v/>
      </c>
      <c r="AW36" s="14" t="str">
        <f>IFERROR(1/(1/INDEX(Cascade!$BH:$BH,MATCH($E36,Cascade!$E:$E,0))),"")</f>
        <v/>
      </c>
      <c r="AX36" s="14" t="str">
        <f t="shared" si="25"/>
        <v/>
      </c>
      <c r="AY36" s="14" t="str">
        <f t="shared" si="26"/>
        <v/>
      </c>
      <c r="AZ36" s="14" t="str">
        <f>IFERROR(1/(1/INDEX(TB!$P:$P,MATCH($E36,TB!$E:$E,0))),"")</f>
        <v/>
      </c>
      <c r="BA36" s="14" t="str">
        <f t="shared" si="27"/>
        <v/>
      </c>
    </row>
    <row r="37" spans="1:53" x14ac:dyDescent="0.2">
      <c r="A37" t="str">
        <f>INDEX(Prioritization!$D:$D,MATCH($B37,Prioritization!$A:$A,0))</f>
        <v>1 - Scale-up: Saturation</v>
      </c>
      <c r="B37" t="s">
        <v>197</v>
      </c>
      <c r="C37" t="s">
        <v>365</v>
      </c>
      <c r="D37" t="s">
        <v>29</v>
      </c>
      <c r="E37" t="str">
        <f t="shared" si="0"/>
        <v>Lilongwe District [ScR9iFKAasW]|25-34|Female</v>
      </c>
      <c r="F37" s="14">
        <f>IF(LEFT($B37,4)="_Mil","",INDEX(Cascade!$T:$T,MATCH($E37,Cascade!$E:$E,0)))</f>
        <v>1646</v>
      </c>
      <c r="G37" s="14" t="str">
        <f>IF(LEFT($B37,4)="_Mil","",INDEX(Cascade!$U:$U,MATCH($E37,Cascade!$E:$E,0)))</f>
        <v/>
      </c>
      <c r="H37" s="88">
        <f>IF(LEFT($B37,4)="_Mil","",INDEX(Cascade!$W:$W,MATCH($E37,Cascade!$E:$E,0)))</f>
        <v>812</v>
      </c>
      <c r="I37" s="14">
        <f>IF(LEFT($B37,4)="_Mil","",INDEX(Cascade!$Z:$Z,MATCH($E37,Cascade!$E:$E,0)))</f>
        <v>1500</v>
      </c>
      <c r="J37" s="90">
        <f>IF(LEFT($B37,4)="_Mil","",INDEX(Cascade!$AA:$AA,MATCH($E37,Cascade!$E:$E,0)))</f>
        <v>1656</v>
      </c>
      <c r="K37" s="42">
        <f>IF(LEFT($B37,4)="_Mil","",_xlfn.IFNA(ROUND(INDEX(Spectrum!$N:$N,MATCH(RIGHT($B37,13)&amp;"|"&amp;$C37&amp;"|"&amp;$D37&amp;"|"&amp;K$14&amp;"|"&amp;"CY2023Q3",Spectrum!$R:$R,0)),0),""))</f>
        <v>1491</v>
      </c>
      <c r="L37" s="42" t="str">
        <f>IF(LEFT($B37,4)="_Mil","",_xlfn.IFNA(ROUND(INDEX(Spectrum!$N:$N,MATCH(RIGHT($B37,13)&amp;"|"&amp;$C37&amp;"|"&amp;$D37&amp;"|"&amp;L$14&amp;"|"&amp;"CY2023Q3",Spectrum!$R:$R,0)),0),""))</f>
        <v/>
      </c>
      <c r="M37" s="42">
        <f>IF(LEFT($B37,4)="_Mil","",_xlfn.IFNA(ROUND(INDEX(Spectrum!$N:$N,MATCH(RIGHT($B37,13)&amp;"|"&amp;$C37&amp;"|"&amp;$D37&amp;"|"&amp;M$14&amp;"|"&amp;"CY2023Q3",Spectrum!$R:$R,0)),0),""))</f>
        <v>1885</v>
      </c>
      <c r="N37" s="42">
        <f>IF(LEFT($B37,4)="_Mil","",_xlfn.IFNA(ROUND(INDEX(Spectrum!$N:$N,MATCH(RIGHT($B37,13)&amp;"|"&amp;$C37&amp;"|"&amp;$D37&amp;"|"&amp;N$14&amp;"|"&amp;"CY2023Q3",Spectrum!$R:$R,0)),0),""))</f>
        <v>2000</v>
      </c>
      <c r="O37" s="42">
        <f>IF(LEFT($B37,4)="_Mil","",_xlfn.IFNA(ROUND(INDEX(Spectrum!$N:$N,MATCH(RIGHT($B37,13)&amp;"|"&amp;$C37&amp;"|"&amp;$D37&amp;"|"&amp;O$14&amp;"|"&amp;"CY2023Q3",Spectrum!$R:$R,0)),0),""))</f>
        <v>1511</v>
      </c>
      <c r="P37" s="42">
        <f>IF(LEFT($B37,4)="_Mil","",_xlfn.IFNA(ROUND(INDEX(Spectrum!$N:$N,MATCH(RIGHT($B37,13)&amp;"|"&amp;$C37&amp;"|"&amp;$D37&amp;"|"&amp;P$14&amp;"|"&amp;"CY2023Q3",Spectrum!$R:$R,0)),0),""))</f>
        <v>1455</v>
      </c>
      <c r="Q37" s="42" t="str">
        <f>IF(LEFT($B37,4)="_Mil","",_xlfn.IFNA(ROUND(INDEX(Spectrum!$N:$N,MATCH(RIGHT($B37,13)&amp;"|"&amp;$C37&amp;"|"&amp;$D37&amp;"|"&amp;Q$14&amp;"|"&amp;"CY2022Q3",Spectrum!$R:$R,0)),0),""))</f>
        <v/>
      </c>
      <c r="R37" s="14"/>
      <c r="S37" s="90">
        <f>0</f>
        <v>0</v>
      </c>
      <c r="T37" s="42" t="str">
        <f t="shared" si="1"/>
        <v/>
      </c>
      <c r="U37" s="90">
        <f t="shared" si="2"/>
        <v>0</v>
      </c>
      <c r="V37" s="42" t="str">
        <f t="shared" si="3"/>
        <v/>
      </c>
      <c r="W37" s="90"/>
      <c r="X37" s="90">
        <f t="shared" si="4"/>
        <v>0</v>
      </c>
      <c r="Y37" s="90"/>
      <c r="Z37" s="90">
        <f t="shared" si="5"/>
        <v>0</v>
      </c>
      <c r="AA37" s="14" t="str">
        <f t="shared" si="6"/>
        <v/>
      </c>
      <c r="AB37" s="42" t="str">
        <f t="shared" si="7"/>
        <v/>
      </c>
      <c r="AC37" s="42" t="str">
        <f t="shared" si="8"/>
        <v/>
      </c>
      <c r="AD37" s="42" t="str">
        <f t="shared" si="9"/>
        <v/>
      </c>
      <c r="AE37" s="14" t="str">
        <f t="shared" si="10"/>
        <v/>
      </c>
      <c r="AF37" s="42" t="str">
        <f t="shared" si="11"/>
        <v/>
      </c>
      <c r="AG37" s="42" t="str">
        <f t="shared" si="12"/>
        <v/>
      </c>
      <c r="AH37" s="42" t="str">
        <f t="shared" si="13"/>
        <v/>
      </c>
      <c r="AI37" s="90" t="str">
        <f>IF(SUM($AC37)=0,"",INDEX(Cascade!$BG:$BG,MATCH($E37,Cascade!$E:$E,0)))</f>
        <v/>
      </c>
      <c r="AJ37" s="42" t="str">
        <f t="shared" si="14"/>
        <v/>
      </c>
      <c r="AK37" s="42" t="str">
        <f t="shared" si="15"/>
        <v/>
      </c>
      <c r="AL37" s="42" t="str">
        <f t="shared" si="16"/>
        <v/>
      </c>
      <c r="AM37" s="42" t="str">
        <f t="shared" si="17"/>
        <v/>
      </c>
      <c r="AN37" s="42" t="str">
        <f t="shared" si="18"/>
        <v/>
      </c>
      <c r="AO37" s="14" t="str">
        <f t="shared" si="19"/>
        <v/>
      </c>
      <c r="AP37" s="90"/>
      <c r="AQ37" s="90" t="str">
        <f t="shared" si="20"/>
        <v/>
      </c>
      <c r="AR37" s="90" t="str">
        <f>IF(SUM($AO37)=0,"",INDEX(Cascade!$BG:$BG,MATCH($E37,Cascade!$E:$E,0)))</f>
        <v/>
      </c>
      <c r="AS37" s="42" t="str">
        <f t="shared" si="21"/>
        <v/>
      </c>
      <c r="AT37" s="42" t="str">
        <f t="shared" si="22"/>
        <v/>
      </c>
      <c r="AU37" s="14" t="str">
        <f t="shared" si="23"/>
        <v/>
      </c>
      <c r="AV37" s="14" t="str">
        <f t="shared" si="24"/>
        <v/>
      </c>
      <c r="AW37" s="14" t="str">
        <f>IFERROR(1/(1/INDEX(Cascade!$BH:$BH,MATCH($E37,Cascade!$E:$E,0))),"")</f>
        <v/>
      </c>
      <c r="AX37" s="14" t="str">
        <f t="shared" si="25"/>
        <v/>
      </c>
      <c r="AY37" s="14" t="str">
        <f t="shared" si="26"/>
        <v/>
      </c>
      <c r="AZ37" s="14" t="str">
        <f>IFERROR(1/(1/INDEX(TB!$P:$P,MATCH($E37,TB!$E:$E,0))),"")</f>
        <v/>
      </c>
      <c r="BA37" s="14" t="str">
        <f t="shared" si="27"/>
        <v/>
      </c>
    </row>
    <row r="38" spans="1:53" x14ac:dyDescent="0.2">
      <c r="A38" t="str">
        <f>INDEX(Prioritization!$D:$D,MATCH($B38,Prioritization!$A:$A,0))</f>
        <v>1 - Scale-up: Saturation</v>
      </c>
      <c r="B38" t="s">
        <v>197</v>
      </c>
      <c r="C38" t="s">
        <v>366</v>
      </c>
      <c r="D38" t="s">
        <v>29</v>
      </c>
      <c r="E38" t="str">
        <f t="shared" si="0"/>
        <v>Lilongwe District [ScR9iFKAasW]|35-49|Female</v>
      </c>
      <c r="F38" s="14">
        <f>IF(LEFT($B38,4)="_Mil","",INDEX(Cascade!$T:$T,MATCH($E38,Cascade!$E:$E,0)))</f>
        <v>1574</v>
      </c>
      <c r="G38" s="14" t="str">
        <f>IF(LEFT($B38,4)="_Mil","",INDEX(Cascade!$U:$U,MATCH($E38,Cascade!$E:$E,0)))</f>
        <v/>
      </c>
      <c r="H38" s="88">
        <f>IF(LEFT($B38,4)="_Mil","",INDEX(Cascade!$W:$W,MATCH($E38,Cascade!$E:$E,0)))</f>
        <v>1781</v>
      </c>
      <c r="I38" s="14">
        <f>IF(LEFT($B38,4)="_Mil","",INDEX(Cascade!$Z:$Z,MATCH($E38,Cascade!$E:$E,0)))</f>
        <v>1104</v>
      </c>
      <c r="J38" s="90">
        <f>IF(LEFT($B38,4)="_Mil","",INDEX(Cascade!$AA:$AA,MATCH($E38,Cascade!$E:$E,0)))</f>
        <v>1181</v>
      </c>
      <c r="K38" s="42">
        <f>IF(LEFT($B38,4)="_Mil","",_xlfn.IFNA(ROUND(INDEX(Spectrum!$N:$N,MATCH(RIGHT($B38,13)&amp;"|"&amp;$C38&amp;"|"&amp;$D38&amp;"|"&amp;K$14&amp;"|"&amp;"CY2023Q3",Spectrum!$R:$R,0)),0),""))</f>
        <v>1313</v>
      </c>
      <c r="L38" s="42" t="str">
        <f>IF(LEFT($B38,4)="_Mil","",_xlfn.IFNA(ROUND(INDEX(Spectrum!$N:$N,MATCH(RIGHT($B38,13)&amp;"|"&amp;$C38&amp;"|"&amp;$D38&amp;"|"&amp;L$14&amp;"|"&amp;"CY2023Q3",Spectrum!$R:$R,0)),0),""))</f>
        <v/>
      </c>
      <c r="M38" s="42">
        <f>IF(LEFT($B38,4)="_Mil","",_xlfn.IFNA(ROUND(INDEX(Spectrum!$N:$N,MATCH(RIGHT($B38,13)&amp;"|"&amp;$C38&amp;"|"&amp;$D38&amp;"|"&amp;M$14&amp;"|"&amp;"CY2023Q3",Spectrum!$R:$R,0)),0),""))</f>
        <v>1620</v>
      </c>
      <c r="N38" s="42">
        <f>IF(LEFT($B38,4)="_Mil","",_xlfn.IFNA(ROUND(INDEX(Spectrum!$N:$N,MATCH(RIGHT($B38,13)&amp;"|"&amp;$C38&amp;"|"&amp;$D38&amp;"|"&amp;N$14&amp;"|"&amp;"CY2023Q3",Spectrum!$R:$R,0)),0),""))</f>
        <v>897</v>
      </c>
      <c r="O38" s="42">
        <f>IF(LEFT($B38,4)="_Mil","",_xlfn.IFNA(ROUND(INDEX(Spectrum!$N:$N,MATCH(RIGHT($B38,13)&amp;"|"&amp;$C38&amp;"|"&amp;$D38&amp;"|"&amp;O$14&amp;"|"&amp;"CY2023Q3",Spectrum!$R:$R,0)),0),""))</f>
        <v>585</v>
      </c>
      <c r="P38" s="42">
        <f>IF(LEFT($B38,4)="_Mil","",_xlfn.IFNA(ROUND(INDEX(Spectrum!$N:$N,MATCH(RIGHT($B38,13)&amp;"|"&amp;$C38&amp;"|"&amp;$D38&amp;"|"&amp;P$14&amp;"|"&amp;"CY2023Q3",Spectrum!$R:$R,0)),0),""))</f>
        <v>912</v>
      </c>
      <c r="Q38" s="42" t="str">
        <f>IF(LEFT($B38,4)="_Mil","",_xlfn.IFNA(ROUND(INDEX(Spectrum!$N:$N,MATCH(RIGHT($B38,13)&amp;"|"&amp;$C38&amp;"|"&amp;$D38&amp;"|"&amp;Q$14&amp;"|"&amp;"CY2022Q3",Spectrum!$R:$R,0)),0),""))</f>
        <v/>
      </c>
      <c r="R38" s="14"/>
      <c r="S38" s="90">
        <f>0</f>
        <v>0</v>
      </c>
      <c r="T38" s="42" t="str">
        <f t="shared" si="1"/>
        <v/>
      </c>
      <c r="U38" s="90">
        <f t="shared" si="2"/>
        <v>0</v>
      </c>
      <c r="V38" s="42" t="str">
        <f t="shared" si="3"/>
        <v/>
      </c>
      <c r="W38" s="90"/>
      <c r="X38" s="90">
        <f t="shared" si="4"/>
        <v>0</v>
      </c>
      <c r="Y38" s="90"/>
      <c r="Z38" s="90">
        <f t="shared" si="5"/>
        <v>0</v>
      </c>
      <c r="AA38" s="14" t="str">
        <f t="shared" si="6"/>
        <v/>
      </c>
      <c r="AB38" s="42" t="str">
        <f t="shared" si="7"/>
        <v/>
      </c>
      <c r="AC38" s="42" t="str">
        <f t="shared" si="8"/>
        <v/>
      </c>
      <c r="AD38" s="42" t="str">
        <f t="shared" si="9"/>
        <v/>
      </c>
      <c r="AE38" s="14" t="str">
        <f t="shared" si="10"/>
        <v/>
      </c>
      <c r="AF38" s="42" t="str">
        <f t="shared" si="11"/>
        <v/>
      </c>
      <c r="AG38" s="42" t="str">
        <f t="shared" si="12"/>
        <v/>
      </c>
      <c r="AH38" s="42" t="str">
        <f t="shared" si="13"/>
        <v/>
      </c>
      <c r="AI38" s="90" t="str">
        <f>IF(SUM($AC38)=0,"",INDEX(Cascade!$BG:$BG,MATCH($E38,Cascade!$E:$E,0)))</f>
        <v/>
      </c>
      <c r="AJ38" s="42" t="str">
        <f t="shared" si="14"/>
        <v/>
      </c>
      <c r="AK38" s="42" t="str">
        <f t="shared" si="15"/>
        <v/>
      </c>
      <c r="AL38" s="42" t="str">
        <f t="shared" si="16"/>
        <v/>
      </c>
      <c r="AM38" s="42" t="str">
        <f t="shared" si="17"/>
        <v/>
      </c>
      <c r="AN38" s="42" t="str">
        <f t="shared" si="18"/>
        <v/>
      </c>
      <c r="AO38" s="14" t="str">
        <f t="shared" si="19"/>
        <v/>
      </c>
      <c r="AP38" s="90"/>
      <c r="AQ38" s="90" t="str">
        <f t="shared" si="20"/>
        <v/>
      </c>
      <c r="AR38" s="90" t="str">
        <f>IF(SUM($AO38)=0,"",INDEX(Cascade!$BG:$BG,MATCH($E38,Cascade!$E:$E,0)))</f>
        <v/>
      </c>
      <c r="AS38" s="42" t="str">
        <f t="shared" si="21"/>
        <v/>
      </c>
      <c r="AT38" s="42" t="str">
        <f t="shared" si="22"/>
        <v/>
      </c>
      <c r="AU38" s="14" t="str">
        <f t="shared" si="23"/>
        <v/>
      </c>
      <c r="AV38" s="14" t="str">
        <f t="shared" si="24"/>
        <v/>
      </c>
      <c r="AW38" s="14" t="str">
        <f>IFERROR(1/(1/INDEX(Cascade!$BH:$BH,MATCH($E38,Cascade!$E:$E,0))),"")</f>
        <v/>
      </c>
      <c r="AX38" s="14" t="str">
        <f t="shared" si="25"/>
        <v/>
      </c>
      <c r="AY38" s="14" t="str">
        <f t="shared" si="26"/>
        <v/>
      </c>
      <c r="AZ38" s="14" t="str">
        <f>IFERROR(1/(1/INDEX(TB!$P:$P,MATCH($E38,TB!$E:$E,0))),"")</f>
        <v/>
      </c>
      <c r="BA38" s="14" t="str">
        <f t="shared" si="27"/>
        <v/>
      </c>
    </row>
    <row r="39" spans="1:53" x14ac:dyDescent="0.2">
      <c r="A39" t="str">
        <f>INDEX(Prioritization!$D:$D,MATCH($B39,Prioritization!$A:$A,0))</f>
        <v>1 - Scale-up: Saturation</v>
      </c>
      <c r="B39" t="s">
        <v>197</v>
      </c>
      <c r="C39" t="s">
        <v>367</v>
      </c>
      <c r="D39" t="s">
        <v>29</v>
      </c>
      <c r="E39" t="str">
        <f t="shared" si="0"/>
        <v>Lilongwe District [ScR9iFKAasW]|50+|Female</v>
      </c>
      <c r="F39" s="14">
        <f>IF(LEFT($B39,4)="_Mil","",INDEX(Cascade!$T:$T,MATCH($E39,Cascade!$E:$E,0)))</f>
        <v>1581</v>
      </c>
      <c r="G39" s="14" t="str">
        <f>IF(LEFT($B39,4)="_Mil","",INDEX(Cascade!$U:$U,MATCH($E39,Cascade!$E:$E,0)))</f>
        <v/>
      </c>
      <c r="H39" s="88">
        <f>IF(LEFT($B39,4)="_Mil","",INDEX(Cascade!$W:$W,MATCH($E39,Cascade!$E:$E,0)))</f>
        <v>1836</v>
      </c>
      <c r="I39" s="14">
        <f>IF(LEFT($B39,4)="_Mil","",INDEX(Cascade!$Z:$Z,MATCH($E39,Cascade!$E:$E,0)))</f>
        <v>1370</v>
      </c>
      <c r="J39" s="90">
        <f>IF(LEFT($B39,4)="_Mil","",INDEX(Cascade!$AA:$AA,MATCH($E39,Cascade!$E:$E,0)))</f>
        <v>1925</v>
      </c>
      <c r="K39" s="42" t="str">
        <f>IF(LEFT($B39,4)="_Mil","",_xlfn.IFNA(ROUND(INDEX(Spectrum!$N:$N,MATCH(RIGHT($B39,13)&amp;"|"&amp;$C39&amp;"|"&amp;$D39&amp;"|"&amp;K$14&amp;"|"&amp;"CY2023Q3",Spectrum!$R:$R,0)),0),""))</f>
        <v/>
      </c>
      <c r="L39" s="42" t="str">
        <f>IF(LEFT($B39,4)="_Mil","",_xlfn.IFNA(ROUND(INDEX(Spectrum!$N:$N,MATCH(RIGHT($B39,13)&amp;"|"&amp;$C39&amp;"|"&amp;$D39&amp;"|"&amp;L$14&amp;"|"&amp;"CY2023Q3",Spectrum!$R:$R,0)),0),""))</f>
        <v/>
      </c>
      <c r="M39" s="42" t="str">
        <f>IF(LEFT($B39,4)="_Mil","",_xlfn.IFNA(ROUND(INDEX(Spectrum!$N:$N,MATCH(RIGHT($B39,13)&amp;"|"&amp;$C39&amp;"|"&amp;$D39&amp;"|"&amp;M$14&amp;"|"&amp;"CY2023Q3",Spectrum!$R:$R,0)),0),""))</f>
        <v/>
      </c>
      <c r="N39" s="42" t="str">
        <f>IF(LEFT($B39,4)="_Mil","",_xlfn.IFNA(ROUND(INDEX(Spectrum!$N:$N,MATCH(RIGHT($B39,13)&amp;"|"&amp;$C39&amp;"|"&amp;$D39&amp;"|"&amp;N$14&amp;"|"&amp;"CY2023Q3",Spectrum!$R:$R,0)),0),""))</f>
        <v/>
      </c>
      <c r="O39" s="42" t="str">
        <f>IF(LEFT($B39,4)="_Mil","",_xlfn.IFNA(ROUND(INDEX(Spectrum!$N:$N,MATCH(RIGHT($B39,13)&amp;"|"&amp;$C39&amp;"|"&amp;$D39&amp;"|"&amp;O$14&amp;"|"&amp;"CY2023Q3",Spectrum!$R:$R,0)),0),""))</f>
        <v/>
      </c>
      <c r="P39" s="42" t="str">
        <f>IF(LEFT($B39,4)="_Mil","",_xlfn.IFNA(ROUND(INDEX(Spectrum!$N:$N,MATCH(RIGHT($B39,13)&amp;"|"&amp;$C39&amp;"|"&amp;$D39&amp;"|"&amp;P$14&amp;"|"&amp;"CY2023Q3",Spectrum!$R:$R,0)),0),""))</f>
        <v/>
      </c>
      <c r="Q39" s="42" t="str">
        <f>IF(LEFT($B39,4)="_Mil","",_xlfn.IFNA(ROUND(INDEX(Spectrum!$N:$N,MATCH(RIGHT($B39,13)&amp;"|"&amp;$C39&amp;"|"&amp;$D39&amp;"|"&amp;Q$14&amp;"|"&amp;"CY2022Q3",Spectrum!$R:$R,0)),0),""))</f>
        <v/>
      </c>
      <c r="R39" s="14"/>
      <c r="S39" s="90">
        <f>0</f>
        <v>0</v>
      </c>
      <c r="T39" s="42" t="str">
        <f t="shared" si="1"/>
        <v/>
      </c>
      <c r="U39" s="90" t="str">
        <f t="shared" si="2"/>
        <v/>
      </c>
      <c r="V39" s="42" t="str">
        <f t="shared" si="3"/>
        <v/>
      </c>
      <c r="W39" s="90"/>
      <c r="X39" s="90" t="str">
        <f t="shared" si="4"/>
        <v/>
      </c>
      <c r="Y39" s="90"/>
      <c r="Z39" s="90" t="str">
        <f t="shared" si="5"/>
        <v/>
      </c>
      <c r="AA39" s="14" t="str">
        <f t="shared" si="6"/>
        <v/>
      </c>
      <c r="AB39" s="42" t="str">
        <f t="shared" si="7"/>
        <v/>
      </c>
      <c r="AC39" s="42" t="str">
        <f t="shared" si="8"/>
        <v/>
      </c>
      <c r="AD39" s="42" t="str">
        <f t="shared" si="9"/>
        <v/>
      </c>
      <c r="AE39" s="14" t="str">
        <f t="shared" si="10"/>
        <v/>
      </c>
      <c r="AF39" s="42" t="str">
        <f t="shared" si="11"/>
        <v/>
      </c>
      <c r="AG39" s="42" t="str">
        <f t="shared" si="12"/>
        <v/>
      </c>
      <c r="AH39" s="42" t="str">
        <f t="shared" si="13"/>
        <v/>
      </c>
      <c r="AI39" s="90" t="str">
        <f>IF(SUM($AC39)=0,"",INDEX(Cascade!$BG:$BG,MATCH($E39,Cascade!$E:$E,0)))</f>
        <v/>
      </c>
      <c r="AJ39" s="42" t="str">
        <f t="shared" si="14"/>
        <v/>
      </c>
      <c r="AK39" s="42" t="str">
        <f t="shared" si="15"/>
        <v/>
      </c>
      <c r="AL39" s="42" t="str">
        <f t="shared" si="16"/>
        <v/>
      </c>
      <c r="AM39" s="42" t="str">
        <f t="shared" si="17"/>
        <v/>
      </c>
      <c r="AN39" s="42" t="str">
        <f t="shared" si="18"/>
        <v/>
      </c>
      <c r="AO39" s="14" t="str">
        <f t="shared" si="19"/>
        <v/>
      </c>
      <c r="AP39" s="90"/>
      <c r="AQ39" s="90" t="str">
        <f t="shared" si="20"/>
        <v/>
      </c>
      <c r="AR39" s="90" t="str">
        <f>IF(SUM($AO39)=0,"",INDEX(Cascade!$BG:$BG,MATCH($E39,Cascade!$E:$E,0)))</f>
        <v/>
      </c>
      <c r="AS39" s="42" t="str">
        <f t="shared" si="21"/>
        <v/>
      </c>
      <c r="AT39" s="42" t="str">
        <f t="shared" si="22"/>
        <v/>
      </c>
      <c r="AU39" s="14" t="str">
        <f t="shared" si="23"/>
        <v/>
      </c>
      <c r="AV39" s="14" t="str">
        <f t="shared" si="24"/>
        <v/>
      </c>
      <c r="AW39" s="14" t="str">
        <f>IFERROR(1/(1/INDEX(Cascade!$BH:$BH,MATCH($E39,Cascade!$E:$E,0))),"")</f>
        <v/>
      </c>
      <c r="AX39" s="14" t="str">
        <f t="shared" si="25"/>
        <v/>
      </c>
      <c r="AY39" s="14" t="str">
        <f t="shared" si="26"/>
        <v/>
      </c>
      <c r="AZ39" s="14" t="str">
        <f>IFERROR(1/(1/INDEX(TB!$P:$P,MATCH($E39,TB!$E:$E,0))),"")</f>
        <v/>
      </c>
      <c r="BA39" s="14" t="str">
        <f t="shared" si="27"/>
        <v/>
      </c>
    </row>
    <row r="40" spans="1:53" x14ac:dyDescent="0.2">
      <c r="A40" t="str">
        <f>INDEX(Prioritization!$D:$D,MATCH($B40,Prioritization!$A:$A,0))</f>
        <v>1 - Scale-up: Saturation</v>
      </c>
      <c r="B40" t="s">
        <v>198</v>
      </c>
      <c r="C40" t="s">
        <v>363</v>
      </c>
      <c r="D40" t="s">
        <v>29</v>
      </c>
      <c r="E40" t="str">
        <f t="shared" si="0"/>
        <v>Mchinji District [kxuuIFpOXyO]|10-14|Female</v>
      </c>
      <c r="F40" s="14">
        <f>IF(LEFT($B40,4)="_Mil","",INDEX(Cascade!$T:$T,MATCH($E40,Cascade!$E:$E,0)))</f>
        <v>1546</v>
      </c>
      <c r="G40" s="14" t="str">
        <f>IF(LEFT($B40,4)="_Mil","",INDEX(Cascade!$U:$U,MATCH($E40,Cascade!$E:$E,0)))</f>
        <v/>
      </c>
      <c r="H40" s="88">
        <f>IF(LEFT($B40,4)="_Mil","",INDEX(Cascade!$W:$W,MATCH($E40,Cascade!$E:$E,0)))</f>
        <v>1287</v>
      </c>
      <c r="I40" s="14">
        <f>IF(LEFT($B40,4)="_Mil","",INDEX(Cascade!$Z:$Z,MATCH($E40,Cascade!$E:$E,0)))</f>
        <v>851</v>
      </c>
      <c r="J40" s="90">
        <f>IF(LEFT($B40,4)="_Mil","",INDEX(Cascade!$AA:$AA,MATCH($E40,Cascade!$E:$E,0)))</f>
        <v>911</v>
      </c>
      <c r="K40" s="42" t="str">
        <f>IF(LEFT($B40,4)="_Mil","",_xlfn.IFNA(ROUND(INDEX(Spectrum!$N:$N,MATCH(RIGHT($B40,13)&amp;"|"&amp;$C40&amp;"|"&amp;$D40&amp;"|"&amp;K$14&amp;"|"&amp;"CY2023Q3",Spectrum!$R:$R,0)),0),""))</f>
        <v/>
      </c>
      <c r="L40" s="42" t="str">
        <f>IF(LEFT($B40,4)="_Mil","",_xlfn.IFNA(ROUND(INDEX(Spectrum!$N:$N,MATCH(RIGHT($B40,13)&amp;"|"&amp;$C40&amp;"|"&amp;$D40&amp;"|"&amp;L$14&amp;"|"&amp;"CY2023Q3",Spectrum!$R:$R,0)),0),""))</f>
        <v/>
      </c>
      <c r="M40" s="42" t="str">
        <f>IF(LEFT($B40,4)="_Mil","",_xlfn.IFNA(ROUND(INDEX(Spectrum!$N:$N,MATCH(RIGHT($B40,13)&amp;"|"&amp;$C40&amp;"|"&amp;$D40&amp;"|"&amp;M$14&amp;"|"&amp;"CY2023Q3",Spectrum!$R:$R,0)),0),""))</f>
        <v/>
      </c>
      <c r="N40" s="42" t="str">
        <f>IF(LEFT($B40,4)="_Mil","",_xlfn.IFNA(ROUND(INDEX(Spectrum!$N:$N,MATCH(RIGHT($B40,13)&amp;"|"&amp;$C40&amp;"|"&amp;$D40&amp;"|"&amp;N$14&amp;"|"&amp;"CY2023Q3",Spectrum!$R:$R,0)),0),""))</f>
        <v/>
      </c>
      <c r="O40" s="42" t="str">
        <f>IF(LEFT($B40,4)="_Mil","",_xlfn.IFNA(ROUND(INDEX(Spectrum!$N:$N,MATCH(RIGHT($B40,13)&amp;"|"&amp;$C40&amp;"|"&amp;$D40&amp;"|"&amp;O$14&amp;"|"&amp;"CY2023Q3",Spectrum!$R:$R,0)),0),""))</f>
        <v/>
      </c>
      <c r="P40" s="42" t="str">
        <f>IF(LEFT($B40,4)="_Mil","",_xlfn.IFNA(ROUND(INDEX(Spectrum!$N:$N,MATCH(RIGHT($B40,13)&amp;"|"&amp;$C40&amp;"|"&amp;$D40&amp;"|"&amp;P$14&amp;"|"&amp;"CY2023Q3",Spectrum!$R:$R,0)),0),""))</f>
        <v/>
      </c>
      <c r="Q40" s="42" t="str">
        <f>IF(LEFT($B40,4)="_Mil","",_xlfn.IFNA(ROUND(INDEX(Spectrum!$N:$N,MATCH(RIGHT($B40,13)&amp;"|"&amp;$C40&amp;"|"&amp;$D40&amp;"|"&amp;Q$14&amp;"|"&amp;"CY2022Q3",Spectrum!$R:$R,0)),0),""))</f>
        <v/>
      </c>
      <c r="R40" s="14">
        <v>7</v>
      </c>
      <c r="S40" s="90">
        <f>0</f>
        <v>0</v>
      </c>
      <c r="T40" s="42">
        <f t="shared" si="1"/>
        <v>7</v>
      </c>
      <c r="U40" s="90">
        <f t="shared" si="2"/>
        <v>1</v>
      </c>
      <c r="V40" s="42">
        <f t="shared" si="3"/>
        <v>7</v>
      </c>
      <c r="W40" s="90"/>
      <c r="X40" s="90" t="str">
        <f t="shared" si="4"/>
        <v/>
      </c>
      <c r="Y40" s="90"/>
      <c r="Z40" s="90" t="str">
        <f t="shared" si="5"/>
        <v/>
      </c>
      <c r="AA40" s="14">
        <f t="shared" si="6"/>
        <v>7</v>
      </c>
      <c r="AB40" s="42" t="str">
        <f t="shared" si="7"/>
        <v>ENTER KNOWN POSITIVITY RATE</v>
      </c>
      <c r="AC40" s="42" t="str">
        <f t="shared" si="8"/>
        <v>ENTER YIELD RATE</v>
      </c>
      <c r="AD40" s="42">
        <f t="shared" si="9"/>
        <v>7</v>
      </c>
      <c r="AE40" s="14">
        <f t="shared" si="10"/>
        <v>7</v>
      </c>
      <c r="AF40" s="42">
        <f t="shared" si="11"/>
        <v>0</v>
      </c>
      <c r="AG40" s="42">
        <f t="shared" si="12"/>
        <v>0</v>
      </c>
      <c r="AH40" s="42">
        <f t="shared" si="13"/>
        <v>7</v>
      </c>
      <c r="AI40" s="90" t="str">
        <f>IF(SUM($AC40)=0,"",INDEX(Cascade!$BG:$BG,MATCH($E40,Cascade!$E:$E,0)))</f>
        <v/>
      </c>
      <c r="AJ40" s="42" t="str">
        <f t="shared" si="14"/>
        <v>ENTER KNOWN POSITIVITY RATE</v>
      </c>
      <c r="AK40" s="42" t="str">
        <f t="shared" si="15"/>
        <v/>
      </c>
      <c r="AL40" s="42" t="str">
        <f t="shared" si="16"/>
        <v/>
      </c>
      <c r="AM40" s="42">
        <f t="shared" si="17"/>
        <v>0</v>
      </c>
      <c r="AN40" s="42" t="str">
        <f t="shared" si="18"/>
        <v/>
      </c>
      <c r="AO40" s="14">
        <f t="shared" si="19"/>
        <v>7</v>
      </c>
      <c r="AP40" s="90"/>
      <c r="AQ40" s="90" t="str">
        <f t="shared" si="20"/>
        <v/>
      </c>
      <c r="AR40" s="90">
        <f>IF(SUM($AO40)=0,"",INDEX(Cascade!$BG:$BG,MATCH($E40,Cascade!$E:$E,0)))</f>
        <v>0.95</v>
      </c>
      <c r="AS40" s="42" t="str">
        <f t="shared" si="21"/>
        <v>ENTER YIELD RATE</v>
      </c>
      <c r="AT40" s="42">
        <f t="shared" si="22"/>
        <v>7</v>
      </c>
      <c r="AU40" s="14" t="str">
        <f t="shared" si="23"/>
        <v/>
      </c>
      <c r="AV40" s="14" t="str">
        <f t="shared" si="24"/>
        <v/>
      </c>
      <c r="AW40" s="14">
        <f>IFERROR(1/(1/INDEX(Cascade!$BH:$BH,MATCH($E40,Cascade!$E:$E,0))),"")</f>
        <v>-75</v>
      </c>
      <c r="AX40" s="14" t="str">
        <f t="shared" si="25"/>
        <v/>
      </c>
      <c r="AY40" s="14" t="str">
        <f t="shared" si="26"/>
        <v/>
      </c>
      <c r="AZ40" s="14" t="str">
        <f>IFERROR(1/(1/INDEX(TB!$P:$P,MATCH($E40,TB!$E:$E,0))),"")</f>
        <v/>
      </c>
      <c r="BA40" s="14">
        <f t="shared" si="27"/>
        <v>-75</v>
      </c>
    </row>
    <row r="41" spans="1:53" x14ac:dyDescent="0.2">
      <c r="A41" t="str">
        <f>INDEX(Prioritization!$D:$D,MATCH($B41,Prioritization!$A:$A,0))</f>
        <v>1 - Scale-up: Saturation</v>
      </c>
      <c r="B41" t="s">
        <v>198</v>
      </c>
      <c r="C41" t="s">
        <v>364</v>
      </c>
      <c r="D41" t="s">
        <v>29</v>
      </c>
      <c r="E41" t="str">
        <f t="shared" si="0"/>
        <v>Mchinji District [kxuuIFpOXyO]|15-24|Female</v>
      </c>
      <c r="F41" s="14">
        <f>IF(LEFT($B41,4)="_Mil","",INDEX(Cascade!$T:$T,MATCH($E41,Cascade!$E:$E,0)))</f>
        <v>794</v>
      </c>
      <c r="G41" s="14" t="str">
        <f>IF(LEFT($B41,4)="_Mil","",INDEX(Cascade!$U:$U,MATCH($E41,Cascade!$E:$E,0)))</f>
        <v/>
      </c>
      <c r="H41" s="88">
        <f>IF(LEFT($B41,4)="_Mil","",INDEX(Cascade!$W:$W,MATCH($E41,Cascade!$E:$E,0)))</f>
        <v>1193</v>
      </c>
      <c r="I41" s="14">
        <f>IF(LEFT($B41,4)="_Mil","",INDEX(Cascade!$Z:$Z,MATCH($E41,Cascade!$E:$E,0)))</f>
        <v>647</v>
      </c>
      <c r="J41" s="90">
        <f>IF(LEFT($B41,4)="_Mil","",INDEX(Cascade!$AA:$AA,MATCH($E41,Cascade!$E:$E,0)))</f>
        <v>1889</v>
      </c>
      <c r="K41" s="42">
        <f>IF(LEFT($B41,4)="_Mil","",_xlfn.IFNA(ROUND(INDEX(Spectrum!$N:$N,MATCH(RIGHT($B41,13)&amp;"|"&amp;$C41&amp;"|"&amp;$D41&amp;"|"&amp;K$14&amp;"|"&amp;"CY2023Q3",Spectrum!$R:$R,0)),0),""))</f>
        <v>775</v>
      </c>
      <c r="L41" s="42" t="str">
        <f>IF(LEFT($B41,4)="_Mil","",_xlfn.IFNA(ROUND(INDEX(Spectrum!$N:$N,MATCH(RIGHT($B41,13)&amp;"|"&amp;$C41&amp;"|"&amp;$D41&amp;"|"&amp;L$14&amp;"|"&amp;"CY2023Q3",Spectrum!$R:$R,0)),0),""))</f>
        <v/>
      </c>
      <c r="M41" s="42">
        <f>IF(LEFT($B41,4)="_Mil","",_xlfn.IFNA(ROUND(INDEX(Spectrum!$N:$N,MATCH(RIGHT($B41,13)&amp;"|"&amp;$C41&amp;"|"&amp;$D41&amp;"|"&amp;M$14&amp;"|"&amp;"CY2023Q3",Spectrum!$R:$R,0)),0),""))</f>
        <v>673</v>
      </c>
      <c r="N41" s="42">
        <f>IF(LEFT($B41,4)="_Mil","",_xlfn.IFNA(ROUND(INDEX(Spectrum!$N:$N,MATCH(RIGHT($B41,13)&amp;"|"&amp;$C41&amp;"|"&amp;$D41&amp;"|"&amp;N$14&amp;"|"&amp;"CY2023Q3",Spectrum!$R:$R,0)),0),""))</f>
        <v>922</v>
      </c>
      <c r="O41" s="42">
        <f>IF(LEFT($B41,4)="_Mil","",_xlfn.IFNA(ROUND(INDEX(Spectrum!$N:$N,MATCH(RIGHT($B41,13)&amp;"|"&amp;$C41&amp;"|"&amp;$D41&amp;"|"&amp;O$14&amp;"|"&amp;"CY2023Q3",Spectrum!$R:$R,0)),0),""))</f>
        <v>793</v>
      </c>
      <c r="P41" s="42">
        <f>IF(LEFT($B41,4)="_Mil","",_xlfn.IFNA(ROUND(INDEX(Spectrum!$N:$N,MATCH(RIGHT($B41,13)&amp;"|"&amp;$C41&amp;"|"&amp;$D41&amp;"|"&amp;P$14&amp;"|"&amp;"CY2023Q3",Spectrum!$R:$R,0)),0),""))</f>
        <v>1158</v>
      </c>
      <c r="Q41" s="42" t="str">
        <f>IF(LEFT($B41,4)="_Mil","",_xlfn.IFNA(ROUND(INDEX(Spectrum!$N:$N,MATCH(RIGHT($B41,13)&amp;"|"&amp;$C41&amp;"|"&amp;$D41&amp;"|"&amp;Q$14&amp;"|"&amp;"CY2022Q3",Spectrum!$R:$R,0)),0),""))</f>
        <v/>
      </c>
      <c r="R41" s="14"/>
      <c r="S41" s="90">
        <f>0</f>
        <v>0</v>
      </c>
      <c r="T41" s="42" t="str">
        <f t="shared" si="1"/>
        <v/>
      </c>
      <c r="U41" s="90">
        <f t="shared" si="2"/>
        <v>0</v>
      </c>
      <c r="V41" s="42" t="str">
        <f t="shared" si="3"/>
        <v/>
      </c>
      <c r="W41" s="90"/>
      <c r="X41" s="90">
        <f t="shared" si="4"/>
        <v>0</v>
      </c>
      <c r="Y41" s="90"/>
      <c r="Z41" s="90">
        <f t="shared" si="5"/>
        <v>0</v>
      </c>
      <c r="AA41" s="14" t="str">
        <f t="shared" si="6"/>
        <v/>
      </c>
      <c r="AB41" s="42" t="str">
        <f t="shared" si="7"/>
        <v/>
      </c>
      <c r="AC41" s="42" t="str">
        <f t="shared" si="8"/>
        <v/>
      </c>
      <c r="AD41" s="42" t="str">
        <f t="shared" si="9"/>
        <v/>
      </c>
      <c r="AE41" s="14" t="str">
        <f t="shared" si="10"/>
        <v/>
      </c>
      <c r="AF41" s="42" t="str">
        <f t="shared" si="11"/>
        <v/>
      </c>
      <c r="AG41" s="42" t="str">
        <f t="shared" si="12"/>
        <v/>
      </c>
      <c r="AH41" s="42" t="str">
        <f t="shared" si="13"/>
        <v/>
      </c>
      <c r="AI41" s="90" t="str">
        <f>IF(SUM($AC41)=0,"",INDEX(Cascade!$BG:$BG,MATCH($E41,Cascade!$E:$E,0)))</f>
        <v/>
      </c>
      <c r="AJ41" s="42" t="str">
        <f t="shared" si="14"/>
        <v/>
      </c>
      <c r="AK41" s="42" t="str">
        <f t="shared" si="15"/>
        <v/>
      </c>
      <c r="AL41" s="42" t="str">
        <f t="shared" si="16"/>
        <v/>
      </c>
      <c r="AM41" s="42" t="str">
        <f t="shared" si="17"/>
        <v/>
      </c>
      <c r="AN41" s="42" t="str">
        <f t="shared" si="18"/>
        <v/>
      </c>
      <c r="AO41" s="14" t="str">
        <f t="shared" si="19"/>
        <v/>
      </c>
      <c r="AP41" s="90"/>
      <c r="AQ41" s="90" t="str">
        <f t="shared" si="20"/>
        <v/>
      </c>
      <c r="AR41" s="90" t="str">
        <f>IF(SUM($AO41)=0,"",INDEX(Cascade!$BG:$BG,MATCH($E41,Cascade!$E:$E,0)))</f>
        <v/>
      </c>
      <c r="AS41" s="42" t="str">
        <f t="shared" si="21"/>
        <v/>
      </c>
      <c r="AT41" s="42" t="str">
        <f t="shared" si="22"/>
        <v/>
      </c>
      <c r="AU41" s="14" t="str">
        <f t="shared" si="23"/>
        <v/>
      </c>
      <c r="AV41" s="14" t="str">
        <f t="shared" si="24"/>
        <v/>
      </c>
      <c r="AW41" s="14" t="str">
        <f>IFERROR(1/(1/INDEX(Cascade!$BH:$BH,MATCH($E41,Cascade!$E:$E,0))),"")</f>
        <v/>
      </c>
      <c r="AX41" s="14" t="str">
        <f t="shared" si="25"/>
        <v/>
      </c>
      <c r="AY41" s="14" t="str">
        <f t="shared" si="26"/>
        <v/>
      </c>
      <c r="AZ41" s="14" t="str">
        <f>IFERROR(1/(1/INDEX(TB!$P:$P,MATCH($E41,TB!$E:$E,0))),"")</f>
        <v/>
      </c>
      <c r="BA41" s="14" t="str">
        <f t="shared" si="27"/>
        <v/>
      </c>
    </row>
    <row r="42" spans="1:53" x14ac:dyDescent="0.2">
      <c r="A42" t="str">
        <f>INDEX(Prioritization!$D:$D,MATCH($B42,Prioritization!$A:$A,0))</f>
        <v>1 - Scale-up: Saturation</v>
      </c>
      <c r="B42" t="s">
        <v>198</v>
      </c>
      <c r="C42" t="s">
        <v>365</v>
      </c>
      <c r="D42" t="s">
        <v>29</v>
      </c>
      <c r="E42" t="str">
        <f t="shared" si="0"/>
        <v>Mchinji District [kxuuIFpOXyO]|25-34|Female</v>
      </c>
      <c r="F42" s="14">
        <f>IF(LEFT($B42,4)="_Mil","",INDEX(Cascade!$T:$T,MATCH($E42,Cascade!$E:$E,0)))</f>
        <v>904</v>
      </c>
      <c r="G42" s="14" t="str">
        <f>IF(LEFT($B42,4)="_Mil","",INDEX(Cascade!$U:$U,MATCH($E42,Cascade!$E:$E,0)))</f>
        <v/>
      </c>
      <c r="H42" s="88">
        <f>IF(LEFT($B42,4)="_Mil","",INDEX(Cascade!$W:$W,MATCH($E42,Cascade!$E:$E,0)))</f>
        <v>834</v>
      </c>
      <c r="I42" s="14">
        <f>IF(LEFT($B42,4)="_Mil","",INDEX(Cascade!$Z:$Z,MATCH($E42,Cascade!$E:$E,0)))</f>
        <v>1943</v>
      </c>
      <c r="J42" s="90">
        <f>IF(LEFT($B42,4)="_Mil","",INDEX(Cascade!$AA:$AA,MATCH($E42,Cascade!$E:$E,0)))</f>
        <v>1744</v>
      </c>
      <c r="K42" s="42">
        <f>IF(LEFT($B42,4)="_Mil","",_xlfn.IFNA(ROUND(INDEX(Spectrum!$N:$N,MATCH(RIGHT($B42,13)&amp;"|"&amp;$C42&amp;"|"&amp;$D42&amp;"|"&amp;K$14&amp;"|"&amp;"CY2023Q3",Spectrum!$R:$R,0)),0),""))</f>
        <v>985</v>
      </c>
      <c r="L42" s="42" t="str">
        <f>IF(LEFT($B42,4)="_Mil","",_xlfn.IFNA(ROUND(INDEX(Spectrum!$N:$N,MATCH(RIGHT($B42,13)&amp;"|"&amp;$C42&amp;"|"&amp;$D42&amp;"|"&amp;L$14&amp;"|"&amp;"CY2023Q3",Spectrum!$R:$R,0)),0),""))</f>
        <v/>
      </c>
      <c r="M42" s="42">
        <f>IF(LEFT($B42,4)="_Mil","",_xlfn.IFNA(ROUND(INDEX(Spectrum!$N:$N,MATCH(RIGHT($B42,13)&amp;"|"&amp;$C42&amp;"|"&amp;$D42&amp;"|"&amp;M$14&amp;"|"&amp;"CY2023Q3",Spectrum!$R:$R,0)),0),""))</f>
        <v>858</v>
      </c>
      <c r="N42" s="42">
        <f>IF(LEFT($B42,4)="_Mil","",_xlfn.IFNA(ROUND(INDEX(Spectrum!$N:$N,MATCH(RIGHT($B42,13)&amp;"|"&amp;$C42&amp;"|"&amp;$D42&amp;"|"&amp;N$14&amp;"|"&amp;"CY2023Q3",Spectrum!$R:$R,0)),0),""))</f>
        <v>1655</v>
      </c>
      <c r="O42" s="42">
        <f>IF(LEFT($B42,4)="_Mil","",_xlfn.IFNA(ROUND(INDEX(Spectrum!$N:$N,MATCH(RIGHT($B42,13)&amp;"|"&amp;$C42&amp;"|"&amp;$D42&amp;"|"&amp;O$14&amp;"|"&amp;"CY2023Q3",Spectrum!$R:$R,0)),0),""))</f>
        <v>640</v>
      </c>
      <c r="P42" s="42">
        <f>IF(LEFT($B42,4)="_Mil","",_xlfn.IFNA(ROUND(INDEX(Spectrum!$N:$N,MATCH(RIGHT($B42,13)&amp;"|"&amp;$C42&amp;"|"&amp;$D42&amp;"|"&amp;P$14&amp;"|"&amp;"CY2023Q3",Spectrum!$R:$R,0)),0),""))</f>
        <v>686</v>
      </c>
      <c r="Q42" s="42" t="str">
        <f>IF(LEFT($B42,4)="_Mil","",_xlfn.IFNA(ROUND(INDEX(Spectrum!$N:$N,MATCH(RIGHT($B42,13)&amp;"|"&amp;$C42&amp;"|"&amp;$D42&amp;"|"&amp;Q$14&amp;"|"&amp;"CY2022Q3",Spectrum!$R:$R,0)),0),""))</f>
        <v/>
      </c>
      <c r="R42" s="14"/>
      <c r="S42" s="90">
        <f>0</f>
        <v>0</v>
      </c>
      <c r="T42" s="42" t="str">
        <f t="shared" si="1"/>
        <v/>
      </c>
      <c r="U42" s="90">
        <f t="shared" si="2"/>
        <v>0</v>
      </c>
      <c r="V42" s="42" t="str">
        <f t="shared" si="3"/>
        <v/>
      </c>
      <c r="W42" s="90"/>
      <c r="X42" s="90">
        <f t="shared" si="4"/>
        <v>0</v>
      </c>
      <c r="Y42" s="90"/>
      <c r="Z42" s="90">
        <f t="shared" si="5"/>
        <v>0</v>
      </c>
      <c r="AA42" s="14" t="str">
        <f t="shared" si="6"/>
        <v/>
      </c>
      <c r="AB42" s="42" t="str">
        <f t="shared" si="7"/>
        <v/>
      </c>
      <c r="AC42" s="42" t="str">
        <f t="shared" si="8"/>
        <v/>
      </c>
      <c r="AD42" s="42" t="str">
        <f t="shared" si="9"/>
        <v/>
      </c>
      <c r="AE42" s="14" t="str">
        <f t="shared" si="10"/>
        <v/>
      </c>
      <c r="AF42" s="42" t="str">
        <f t="shared" si="11"/>
        <v/>
      </c>
      <c r="AG42" s="42" t="str">
        <f t="shared" si="12"/>
        <v/>
      </c>
      <c r="AH42" s="42" t="str">
        <f t="shared" si="13"/>
        <v/>
      </c>
      <c r="AI42" s="90" t="str">
        <f>IF(SUM($AC42)=0,"",INDEX(Cascade!$BG:$BG,MATCH($E42,Cascade!$E:$E,0)))</f>
        <v/>
      </c>
      <c r="AJ42" s="42" t="str">
        <f t="shared" si="14"/>
        <v/>
      </c>
      <c r="AK42" s="42" t="str">
        <f t="shared" si="15"/>
        <v/>
      </c>
      <c r="AL42" s="42" t="str">
        <f t="shared" si="16"/>
        <v/>
      </c>
      <c r="AM42" s="42" t="str">
        <f t="shared" si="17"/>
        <v/>
      </c>
      <c r="AN42" s="42" t="str">
        <f t="shared" si="18"/>
        <v/>
      </c>
      <c r="AO42" s="14" t="str">
        <f t="shared" si="19"/>
        <v/>
      </c>
      <c r="AP42" s="90"/>
      <c r="AQ42" s="90" t="str">
        <f t="shared" si="20"/>
        <v/>
      </c>
      <c r="AR42" s="90" t="str">
        <f>IF(SUM($AO42)=0,"",INDEX(Cascade!$BG:$BG,MATCH($E42,Cascade!$E:$E,0)))</f>
        <v/>
      </c>
      <c r="AS42" s="42" t="str">
        <f t="shared" si="21"/>
        <v/>
      </c>
      <c r="AT42" s="42" t="str">
        <f t="shared" si="22"/>
        <v/>
      </c>
      <c r="AU42" s="14" t="str">
        <f t="shared" si="23"/>
        <v/>
      </c>
      <c r="AV42" s="14" t="str">
        <f t="shared" si="24"/>
        <v/>
      </c>
      <c r="AW42" s="14" t="str">
        <f>IFERROR(1/(1/INDEX(Cascade!$BH:$BH,MATCH($E42,Cascade!$E:$E,0))),"")</f>
        <v/>
      </c>
      <c r="AX42" s="14" t="str">
        <f t="shared" si="25"/>
        <v/>
      </c>
      <c r="AY42" s="14" t="str">
        <f t="shared" si="26"/>
        <v/>
      </c>
      <c r="AZ42" s="14" t="str">
        <f>IFERROR(1/(1/INDEX(TB!$P:$P,MATCH($E42,TB!$E:$E,0))),"")</f>
        <v/>
      </c>
      <c r="BA42" s="14" t="str">
        <f t="shared" si="27"/>
        <v/>
      </c>
    </row>
    <row r="43" spans="1:53" x14ac:dyDescent="0.2">
      <c r="A43" t="str">
        <f>INDEX(Prioritization!$D:$D,MATCH($B43,Prioritization!$A:$A,0))</f>
        <v>1 - Scale-up: Saturation</v>
      </c>
      <c r="B43" t="s">
        <v>198</v>
      </c>
      <c r="C43" t="s">
        <v>366</v>
      </c>
      <c r="D43" t="s">
        <v>29</v>
      </c>
      <c r="E43" t="str">
        <f t="shared" si="0"/>
        <v>Mchinji District [kxuuIFpOXyO]|35-49|Female</v>
      </c>
      <c r="F43" s="14">
        <f>IF(LEFT($B43,4)="_Mil","",INDEX(Cascade!$T:$T,MATCH($E43,Cascade!$E:$E,0)))</f>
        <v>1652</v>
      </c>
      <c r="G43" s="14" t="str">
        <f>IF(LEFT($B43,4)="_Mil","",INDEX(Cascade!$U:$U,MATCH($E43,Cascade!$E:$E,0)))</f>
        <v/>
      </c>
      <c r="H43" s="88">
        <f>IF(LEFT($B43,4)="_Mil","",INDEX(Cascade!$W:$W,MATCH($E43,Cascade!$E:$E,0)))</f>
        <v>677</v>
      </c>
      <c r="I43" s="14">
        <f>IF(LEFT($B43,4)="_Mil","",INDEX(Cascade!$Z:$Z,MATCH($E43,Cascade!$E:$E,0)))</f>
        <v>1767</v>
      </c>
      <c r="J43" s="90">
        <f>IF(LEFT($B43,4)="_Mil","",INDEX(Cascade!$AA:$AA,MATCH($E43,Cascade!$E:$E,0)))</f>
        <v>647</v>
      </c>
      <c r="K43" s="42">
        <f>IF(LEFT($B43,4)="_Mil","",_xlfn.IFNA(ROUND(INDEX(Spectrum!$N:$N,MATCH(RIGHT($B43,13)&amp;"|"&amp;$C43&amp;"|"&amp;$D43&amp;"|"&amp;K$14&amp;"|"&amp;"CY2023Q3",Spectrum!$R:$R,0)),0),""))</f>
        <v>1540</v>
      </c>
      <c r="L43" s="42" t="str">
        <f>IF(LEFT($B43,4)="_Mil","",_xlfn.IFNA(ROUND(INDEX(Spectrum!$N:$N,MATCH(RIGHT($B43,13)&amp;"|"&amp;$C43&amp;"|"&amp;$D43&amp;"|"&amp;L$14&amp;"|"&amp;"CY2023Q3",Spectrum!$R:$R,0)),0),""))</f>
        <v/>
      </c>
      <c r="M43" s="42">
        <f>IF(LEFT($B43,4)="_Mil","",_xlfn.IFNA(ROUND(INDEX(Spectrum!$N:$N,MATCH(RIGHT($B43,13)&amp;"|"&amp;$C43&amp;"|"&amp;$D43&amp;"|"&amp;M$14&amp;"|"&amp;"CY2023Q3",Spectrum!$R:$R,0)),0),""))</f>
        <v>1032</v>
      </c>
      <c r="N43" s="42">
        <f>IF(LEFT($B43,4)="_Mil","",_xlfn.IFNA(ROUND(INDEX(Spectrum!$N:$N,MATCH(RIGHT($B43,13)&amp;"|"&amp;$C43&amp;"|"&amp;$D43&amp;"|"&amp;N$14&amp;"|"&amp;"CY2023Q3",Spectrum!$R:$R,0)),0),""))</f>
        <v>1218</v>
      </c>
      <c r="O43" s="42">
        <f>IF(LEFT($B43,4)="_Mil","",_xlfn.IFNA(ROUND(INDEX(Spectrum!$N:$N,MATCH(RIGHT($B43,13)&amp;"|"&amp;$C43&amp;"|"&amp;$D43&amp;"|"&amp;O$14&amp;"|"&amp;"CY2023Q3",Spectrum!$R:$R,0)),0),""))</f>
        <v>720</v>
      </c>
      <c r="P43" s="42">
        <f>IF(LEFT($B43,4)="_Mil","",_xlfn.IFNA(ROUND(INDEX(Spectrum!$N:$N,MATCH(RIGHT($B43,13)&amp;"|"&amp;$C43&amp;"|"&amp;$D43&amp;"|"&amp;P$14&amp;"|"&amp;"CY2023Q3",Spectrum!$R:$R,0)),0),""))</f>
        <v>1283</v>
      </c>
      <c r="Q43" s="42" t="str">
        <f>IF(LEFT($B43,4)="_Mil","",_xlfn.IFNA(ROUND(INDEX(Spectrum!$N:$N,MATCH(RIGHT($B43,13)&amp;"|"&amp;$C43&amp;"|"&amp;$D43&amp;"|"&amp;Q$14&amp;"|"&amp;"CY2022Q3",Spectrum!$R:$R,0)),0),""))</f>
        <v/>
      </c>
      <c r="R43" s="14"/>
      <c r="S43" s="90">
        <f>0</f>
        <v>0</v>
      </c>
      <c r="T43" s="42" t="str">
        <f t="shared" si="1"/>
        <v/>
      </c>
      <c r="U43" s="90">
        <f t="shared" si="2"/>
        <v>0</v>
      </c>
      <c r="V43" s="42" t="str">
        <f t="shared" si="3"/>
        <v/>
      </c>
      <c r="W43" s="90"/>
      <c r="X43" s="90">
        <f t="shared" si="4"/>
        <v>0</v>
      </c>
      <c r="Y43" s="90"/>
      <c r="Z43" s="90">
        <f t="shared" si="5"/>
        <v>0</v>
      </c>
      <c r="AA43" s="14" t="str">
        <f t="shared" si="6"/>
        <v/>
      </c>
      <c r="AB43" s="42" t="str">
        <f t="shared" si="7"/>
        <v/>
      </c>
      <c r="AC43" s="42" t="str">
        <f t="shared" si="8"/>
        <v/>
      </c>
      <c r="AD43" s="42" t="str">
        <f t="shared" si="9"/>
        <v/>
      </c>
      <c r="AE43" s="14" t="str">
        <f t="shared" si="10"/>
        <v/>
      </c>
      <c r="AF43" s="42" t="str">
        <f t="shared" si="11"/>
        <v/>
      </c>
      <c r="AG43" s="42" t="str">
        <f t="shared" si="12"/>
        <v/>
      </c>
      <c r="AH43" s="42" t="str">
        <f t="shared" si="13"/>
        <v/>
      </c>
      <c r="AI43" s="90" t="str">
        <f>IF(SUM($AC43)=0,"",INDEX(Cascade!$BG:$BG,MATCH($E43,Cascade!$E:$E,0)))</f>
        <v/>
      </c>
      <c r="AJ43" s="42" t="str">
        <f t="shared" si="14"/>
        <v/>
      </c>
      <c r="AK43" s="42" t="str">
        <f t="shared" si="15"/>
        <v/>
      </c>
      <c r="AL43" s="42" t="str">
        <f t="shared" si="16"/>
        <v/>
      </c>
      <c r="AM43" s="42" t="str">
        <f t="shared" si="17"/>
        <v/>
      </c>
      <c r="AN43" s="42" t="str">
        <f t="shared" si="18"/>
        <v/>
      </c>
      <c r="AO43" s="14" t="str">
        <f t="shared" si="19"/>
        <v/>
      </c>
      <c r="AP43" s="90"/>
      <c r="AQ43" s="90" t="str">
        <f t="shared" si="20"/>
        <v/>
      </c>
      <c r="AR43" s="90" t="str">
        <f>IF(SUM($AO43)=0,"",INDEX(Cascade!$BG:$BG,MATCH($E43,Cascade!$E:$E,0)))</f>
        <v/>
      </c>
      <c r="AS43" s="42" t="str">
        <f t="shared" si="21"/>
        <v/>
      </c>
      <c r="AT43" s="42" t="str">
        <f t="shared" si="22"/>
        <v/>
      </c>
      <c r="AU43" s="14" t="str">
        <f t="shared" si="23"/>
        <v/>
      </c>
      <c r="AV43" s="14" t="str">
        <f t="shared" si="24"/>
        <v/>
      </c>
      <c r="AW43" s="14" t="str">
        <f>IFERROR(1/(1/INDEX(Cascade!$BH:$BH,MATCH($E43,Cascade!$E:$E,0))),"")</f>
        <v/>
      </c>
      <c r="AX43" s="14" t="str">
        <f t="shared" si="25"/>
        <v/>
      </c>
      <c r="AY43" s="14" t="str">
        <f t="shared" si="26"/>
        <v/>
      </c>
      <c r="AZ43" s="14" t="str">
        <f>IFERROR(1/(1/INDEX(TB!$P:$P,MATCH($E43,TB!$E:$E,0))),"")</f>
        <v/>
      </c>
      <c r="BA43" s="14" t="str">
        <f t="shared" si="27"/>
        <v/>
      </c>
    </row>
    <row r="44" spans="1:53" x14ac:dyDescent="0.2">
      <c r="A44" t="str">
        <f>INDEX(Prioritization!$D:$D,MATCH($B44,Prioritization!$A:$A,0))</f>
        <v>1 - Scale-up: Saturation</v>
      </c>
      <c r="B44" t="s">
        <v>198</v>
      </c>
      <c r="C44" t="s">
        <v>367</v>
      </c>
      <c r="D44" t="s">
        <v>29</v>
      </c>
      <c r="E44" t="str">
        <f t="shared" si="0"/>
        <v>Mchinji District [kxuuIFpOXyO]|50+|Female</v>
      </c>
      <c r="F44" s="14">
        <f>IF(LEFT($B44,4)="_Mil","",INDEX(Cascade!$T:$T,MATCH($E44,Cascade!$E:$E,0)))</f>
        <v>1826</v>
      </c>
      <c r="G44" s="14" t="str">
        <f>IF(LEFT($B44,4)="_Mil","",INDEX(Cascade!$U:$U,MATCH($E44,Cascade!$E:$E,0)))</f>
        <v/>
      </c>
      <c r="H44" s="88">
        <f>IF(LEFT($B44,4)="_Mil","",INDEX(Cascade!$W:$W,MATCH($E44,Cascade!$E:$E,0)))</f>
        <v>1133</v>
      </c>
      <c r="I44" s="14">
        <f>IF(LEFT($B44,4)="_Mil","",INDEX(Cascade!$Z:$Z,MATCH($E44,Cascade!$E:$E,0)))</f>
        <v>1686</v>
      </c>
      <c r="J44" s="90">
        <f>IF(LEFT($B44,4)="_Mil","",INDEX(Cascade!$AA:$AA,MATCH($E44,Cascade!$E:$E,0)))</f>
        <v>1492</v>
      </c>
      <c r="K44" s="42" t="str">
        <f>IF(LEFT($B44,4)="_Mil","",_xlfn.IFNA(ROUND(INDEX(Spectrum!$N:$N,MATCH(RIGHT($B44,13)&amp;"|"&amp;$C44&amp;"|"&amp;$D44&amp;"|"&amp;K$14&amp;"|"&amp;"CY2023Q3",Spectrum!$R:$R,0)),0),""))</f>
        <v/>
      </c>
      <c r="L44" s="42" t="str">
        <f>IF(LEFT($B44,4)="_Mil","",_xlfn.IFNA(ROUND(INDEX(Spectrum!$N:$N,MATCH(RIGHT($B44,13)&amp;"|"&amp;$C44&amp;"|"&amp;$D44&amp;"|"&amp;L$14&amp;"|"&amp;"CY2023Q3",Spectrum!$R:$R,0)),0),""))</f>
        <v/>
      </c>
      <c r="M44" s="42" t="str">
        <f>IF(LEFT($B44,4)="_Mil","",_xlfn.IFNA(ROUND(INDEX(Spectrum!$N:$N,MATCH(RIGHT($B44,13)&amp;"|"&amp;$C44&amp;"|"&amp;$D44&amp;"|"&amp;M$14&amp;"|"&amp;"CY2023Q3",Spectrum!$R:$R,0)),0),""))</f>
        <v/>
      </c>
      <c r="N44" s="42" t="str">
        <f>IF(LEFT($B44,4)="_Mil","",_xlfn.IFNA(ROUND(INDEX(Spectrum!$N:$N,MATCH(RIGHT($B44,13)&amp;"|"&amp;$C44&amp;"|"&amp;$D44&amp;"|"&amp;N$14&amp;"|"&amp;"CY2023Q3",Spectrum!$R:$R,0)),0),""))</f>
        <v/>
      </c>
      <c r="O44" s="42" t="str">
        <f>IF(LEFT($B44,4)="_Mil","",_xlfn.IFNA(ROUND(INDEX(Spectrum!$N:$N,MATCH(RIGHT($B44,13)&amp;"|"&amp;$C44&amp;"|"&amp;$D44&amp;"|"&amp;O$14&amp;"|"&amp;"CY2023Q3",Spectrum!$R:$R,0)),0),""))</f>
        <v/>
      </c>
      <c r="P44" s="42" t="str">
        <f>IF(LEFT($B44,4)="_Mil","",_xlfn.IFNA(ROUND(INDEX(Spectrum!$N:$N,MATCH(RIGHT($B44,13)&amp;"|"&amp;$C44&amp;"|"&amp;$D44&amp;"|"&amp;P$14&amp;"|"&amp;"CY2023Q3",Spectrum!$R:$R,0)),0),""))</f>
        <v/>
      </c>
      <c r="Q44" s="42" t="str">
        <f>IF(LEFT($B44,4)="_Mil","",_xlfn.IFNA(ROUND(INDEX(Spectrum!$N:$N,MATCH(RIGHT($B44,13)&amp;"|"&amp;$C44&amp;"|"&amp;$D44&amp;"|"&amp;Q$14&amp;"|"&amp;"CY2022Q3",Spectrum!$R:$R,0)),0),""))</f>
        <v/>
      </c>
      <c r="R44" s="14"/>
      <c r="S44" s="90">
        <f>0</f>
        <v>0</v>
      </c>
      <c r="T44" s="42" t="str">
        <f t="shared" si="1"/>
        <v/>
      </c>
      <c r="U44" s="90" t="str">
        <f t="shared" si="2"/>
        <v/>
      </c>
      <c r="V44" s="42" t="str">
        <f t="shared" si="3"/>
        <v/>
      </c>
      <c r="W44" s="90"/>
      <c r="X44" s="90" t="str">
        <f t="shared" si="4"/>
        <v/>
      </c>
      <c r="Y44" s="90"/>
      <c r="Z44" s="90" t="str">
        <f t="shared" si="5"/>
        <v/>
      </c>
      <c r="AA44" s="14" t="str">
        <f t="shared" si="6"/>
        <v/>
      </c>
      <c r="AB44" s="42" t="str">
        <f t="shared" si="7"/>
        <v/>
      </c>
      <c r="AC44" s="42" t="str">
        <f t="shared" si="8"/>
        <v/>
      </c>
      <c r="AD44" s="42" t="str">
        <f t="shared" si="9"/>
        <v/>
      </c>
      <c r="AE44" s="14" t="str">
        <f t="shared" si="10"/>
        <v/>
      </c>
      <c r="AF44" s="42" t="str">
        <f t="shared" si="11"/>
        <v/>
      </c>
      <c r="AG44" s="42" t="str">
        <f t="shared" si="12"/>
        <v/>
      </c>
      <c r="AH44" s="42" t="str">
        <f t="shared" si="13"/>
        <v/>
      </c>
      <c r="AI44" s="90" t="str">
        <f>IF(SUM($AC44)=0,"",INDEX(Cascade!$BG:$BG,MATCH($E44,Cascade!$E:$E,0)))</f>
        <v/>
      </c>
      <c r="AJ44" s="42" t="str">
        <f t="shared" si="14"/>
        <v/>
      </c>
      <c r="AK44" s="42" t="str">
        <f t="shared" si="15"/>
        <v/>
      </c>
      <c r="AL44" s="42" t="str">
        <f t="shared" si="16"/>
        <v/>
      </c>
      <c r="AM44" s="42" t="str">
        <f t="shared" si="17"/>
        <v/>
      </c>
      <c r="AN44" s="42" t="str">
        <f t="shared" si="18"/>
        <v/>
      </c>
      <c r="AO44" s="14" t="str">
        <f t="shared" si="19"/>
        <v/>
      </c>
      <c r="AP44" s="90"/>
      <c r="AQ44" s="90" t="str">
        <f t="shared" si="20"/>
        <v/>
      </c>
      <c r="AR44" s="90" t="str">
        <f>IF(SUM($AO44)=0,"",INDEX(Cascade!$BG:$BG,MATCH($E44,Cascade!$E:$E,0)))</f>
        <v/>
      </c>
      <c r="AS44" s="42" t="str">
        <f t="shared" si="21"/>
        <v/>
      </c>
      <c r="AT44" s="42" t="str">
        <f t="shared" si="22"/>
        <v/>
      </c>
      <c r="AU44" s="14" t="str">
        <f t="shared" si="23"/>
        <v/>
      </c>
      <c r="AV44" s="14" t="str">
        <f t="shared" si="24"/>
        <v/>
      </c>
      <c r="AW44" s="14" t="str">
        <f>IFERROR(1/(1/INDEX(Cascade!$BH:$BH,MATCH($E44,Cascade!$E:$E,0))),"")</f>
        <v/>
      </c>
      <c r="AX44" s="14" t="str">
        <f t="shared" si="25"/>
        <v/>
      </c>
      <c r="AY44" s="14" t="str">
        <f t="shared" si="26"/>
        <v/>
      </c>
      <c r="AZ44" s="14" t="str">
        <f>IFERROR(1/(1/INDEX(TB!$P:$P,MATCH($E44,TB!$E:$E,0))),"")</f>
        <v/>
      </c>
      <c r="BA44" s="14" t="str">
        <f t="shared" si="27"/>
        <v/>
      </c>
    </row>
    <row r="45" spans="1:53" x14ac:dyDescent="0.2">
      <c r="A45" t="str">
        <f>INDEX(Prioritization!$D:$D,MATCH($B45,Prioritization!$A:$A,0))</f>
        <v>1 - Scale-up: Saturation</v>
      </c>
      <c r="B45" t="s">
        <v>199</v>
      </c>
      <c r="C45" t="s">
        <v>363</v>
      </c>
      <c r="D45" t="s">
        <v>29</v>
      </c>
      <c r="E45" t="str">
        <f t="shared" si="0"/>
        <v>Nkhotakota District [YCKiBAp8QAg]|10-14|Female</v>
      </c>
      <c r="F45" s="14">
        <f>IF(LEFT($B45,4)="_Mil","",INDEX(Cascade!$T:$T,MATCH($E45,Cascade!$E:$E,0)))</f>
        <v>1523</v>
      </c>
      <c r="G45" s="14" t="str">
        <f>IF(LEFT($B45,4)="_Mil","",INDEX(Cascade!$U:$U,MATCH($E45,Cascade!$E:$E,0)))</f>
        <v/>
      </c>
      <c r="H45" s="88">
        <f>IF(LEFT($B45,4)="_Mil","",INDEX(Cascade!$W:$W,MATCH($E45,Cascade!$E:$E,0)))</f>
        <v>1754</v>
      </c>
      <c r="I45" s="14">
        <f>IF(LEFT($B45,4)="_Mil","",INDEX(Cascade!$Z:$Z,MATCH($E45,Cascade!$E:$E,0)))</f>
        <v>1398</v>
      </c>
      <c r="J45" s="90">
        <f>IF(LEFT($B45,4)="_Mil","",INDEX(Cascade!$AA:$AA,MATCH($E45,Cascade!$E:$E,0)))</f>
        <v>1913</v>
      </c>
      <c r="K45" s="42" t="str">
        <f>IF(LEFT($B45,4)="_Mil","",_xlfn.IFNA(ROUND(INDEX(Spectrum!$N:$N,MATCH(RIGHT($B45,13)&amp;"|"&amp;$C45&amp;"|"&amp;$D45&amp;"|"&amp;K$14&amp;"|"&amp;"CY2023Q3",Spectrum!$R:$R,0)),0),""))</f>
        <v/>
      </c>
      <c r="L45" s="42" t="str">
        <f>IF(LEFT($B45,4)="_Mil","",_xlfn.IFNA(ROUND(INDEX(Spectrum!$N:$N,MATCH(RIGHT($B45,13)&amp;"|"&amp;$C45&amp;"|"&amp;$D45&amp;"|"&amp;L$14&amp;"|"&amp;"CY2023Q3",Spectrum!$R:$R,0)),0),""))</f>
        <v/>
      </c>
      <c r="M45" s="42" t="str">
        <f>IF(LEFT($B45,4)="_Mil","",_xlfn.IFNA(ROUND(INDEX(Spectrum!$N:$N,MATCH(RIGHT($B45,13)&amp;"|"&amp;$C45&amp;"|"&amp;$D45&amp;"|"&amp;M$14&amp;"|"&amp;"CY2023Q3",Spectrum!$R:$R,0)),0),""))</f>
        <v/>
      </c>
      <c r="N45" s="42" t="str">
        <f>IF(LEFT($B45,4)="_Mil","",_xlfn.IFNA(ROUND(INDEX(Spectrum!$N:$N,MATCH(RIGHT($B45,13)&amp;"|"&amp;$C45&amp;"|"&amp;$D45&amp;"|"&amp;N$14&amp;"|"&amp;"CY2023Q3",Spectrum!$R:$R,0)),0),""))</f>
        <v/>
      </c>
      <c r="O45" s="42" t="str">
        <f>IF(LEFT($B45,4)="_Mil","",_xlfn.IFNA(ROUND(INDEX(Spectrum!$N:$N,MATCH(RIGHT($B45,13)&amp;"|"&amp;$C45&amp;"|"&amp;$D45&amp;"|"&amp;O$14&amp;"|"&amp;"CY2023Q3",Spectrum!$R:$R,0)),0),""))</f>
        <v/>
      </c>
      <c r="P45" s="42" t="str">
        <f>IF(LEFT($B45,4)="_Mil","",_xlfn.IFNA(ROUND(INDEX(Spectrum!$N:$N,MATCH(RIGHT($B45,13)&amp;"|"&amp;$C45&amp;"|"&amp;$D45&amp;"|"&amp;P$14&amp;"|"&amp;"CY2023Q3",Spectrum!$R:$R,0)),0),""))</f>
        <v/>
      </c>
      <c r="Q45" s="42" t="str">
        <f>IF(LEFT($B45,4)="_Mil","",_xlfn.IFNA(ROUND(INDEX(Spectrum!$N:$N,MATCH(RIGHT($B45,13)&amp;"|"&amp;$C45&amp;"|"&amp;$D45&amp;"|"&amp;Q$14&amp;"|"&amp;"CY2022Q3",Spectrum!$R:$R,0)),0),""))</f>
        <v/>
      </c>
      <c r="R45" s="14">
        <v>2</v>
      </c>
      <c r="S45" s="90">
        <f>0</f>
        <v>0</v>
      </c>
      <c r="T45" s="42">
        <f t="shared" si="1"/>
        <v>2</v>
      </c>
      <c r="U45" s="90">
        <f t="shared" si="2"/>
        <v>1</v>
      </c>
      <c r="V45" s="42">
        <f t="shared" si="3"/>
        <v>2</v>
      </c>
      <c r="W45" s="90"/>
      <c r="X45" s="90" t="str">
        <f t="shared" si="4"/>
        <v/>
      </c>
      <c r="Y45" s="90"/>
      <c r="Z45" s="90" t="str">
        <f t="shared" si="5"/>
        <v/>
      </c>
      <c r="AA45" s="14">
        <f t="shared" si="6"/>
        <v>2</v>
      </c>
      <c r="AB45" s="42" t="str">
        <f t="shared" si="7"/>
        <v>ENTER KNOWN POSITIVITY RATE</v>
      </c>
      <c r="AC45" s="42" t="str">
        <f t="shared" si="8"/>
        <v>ENTER YIELD RATE</v>
      </c>
      <c r="AD45" s="42">
        <f t="shared" si="9"/>
        <v>2</v>
      </c>
      <c r="AE45" s="14">
        <f t="shared" si="10"/>
        <v>2</v>
      </c>
      <c r="AF45" s="42">
        <f t="shared" si="11"/>
        <v>0</v>
      </c>
      <c r="AG45" s="42">
        <f t="shared" si="12"/>
        <v>0</v>
      </c>
      <c r="AH45" s="42">
        <f t="shared" si="13"/>
        <v>2</v>
      </c>
      <c r="AI45" s="90" t="str">
        <f>IF(SUM($AC45)=0,"",INDEX(Cascade!$BG:$BG,MATCH($E45,Cascade!$E:$E,0)))</f>
        <v/>
      </c>
      <c r="AJ45" s="42" t="str">
        <f t="shared" si="14"/>
        <v>ENTER KNOWN POSITIVITY RATE</v>
      </c>
      <c r="AK45" s="42" t="str">
        <f t="shared" si="15"/>
        <v/>
      </c>
      <c r="AL45" s="42" t="str">
        <f t="shared" si="16"/>
        <v/>
      </c>
      <c r="AM45" s="42">
        <f t="shared" si="17"/>
        <v>0</v>
      </c>
      <c r="AN45" s="42" t="str">
        <f t="shared" si="18"/>
        <v/>
      </c>
      <c r="AO45" s="14">
        <f t="shared" si="19"/>
        <v>2</v>
      </c>
      <c r="AP45" s="90"/>
      <c r="AQ45" s="90" t="str">
        <f t="shared" si="20"/>
        <v/>
      </c>
      <c r="AR45" s="90">
        <f>IF(SUM($AO45)=0,"",INDEX(Cascade!$BG:$BG,MATCH($E45,Cascade!$E:$E,0)))</f>
        <v>0.95</v>
      </c>
      <c r="AS45" s="42" t="str">
        <f t="shared" si="21"/>
        <v>ENTER YIELD RATE</v>
      </c>
      <c r="AT45" s="42">
        <f t="shared" si="22"/>
        <v>2</v>
      </c>
      <c r="AU45" s="14" t="str">
        <f t="shared" si="23"/>
        <v/>
      </c>
      <c r="AV45" s="14" t="str">
        <f t="shared" si="24"/>
        <v/>
      </c>
      <c r="AW45" s="14">
        <f>IFERROR(1/(1/INDEX(Cascade!$BH:$BH,MATCH($E45,Cascade!$E:$E,0))),"")</f>
        <v>-86</v>
      </c>
      <c r="AX45" s="14" t="str">
        <f t="shared" si="25"/>
        <v/>
      </c>
      <c r="AY45" s="14" t="str">
        <f t="shared" si="26"/>
        <v/>
      </c>
      <c r="AZ45" s="14" t="str">
        <f>IFERROR(1/(1/INDEX(TB!$P:$P,MATCH($E45,TB!$E:$E,0))),"")</f>
        <v/>
      </c>
      <c r="BA45" s="14">
        <f t="shared" si="27"/>
        <v>-86</v>
      </c>
    </row>
    <row r="46" spans="1:53" x14ac:dyDescent="0.2">
      <c r="A46" t="str">
        <f>INDEX(Prioritization!$D:$D,MATCH($B46,Prioritization!$A:$A,0))</f>
        <v>1 - Scale-up: Saturation</v>
      </c>
      <c r="B46" t="s">
        <v>199</v>
      </c>
      <c r="C46" t="s">
        <v>364</v>
      </c>
      <c r="D46" t="s">
        <v>29</v>
      </c>
      <c r="E46" t="str">
        <f t="shared" si="0"/>
        <v>Nkhotakota District [YCKiBAp8QAg]|15-24|Female</v>
      </c>
      <c r="F46" s="14">
        <f>IF(LEFT($B46,4)="_Mil","",INDEX(Cascade!$T:$T,MATCH($E46,Cascade!$E:$E,0)))</f>
        <v>1599</v>
      </c>
      <c r="G46" s="14" t="str">
        <f>IF(LEFT($B46,4)="_Mil","",INDEX(Cascade!$U:$U,MATCH($E46,Cascade!$E:$E,0)))</f>
        <v/>
      </c>
      <c r="H46" s="88">
        <f>IF(LEFT($B46,4)="_Mil","",INDEX(Cascade!$W:$W,MATCH($E46,Cascade!$E:$E,0)))</f>
        <v>1616</v>
      </c>
      <c r="I46" s="14">
        <f>IF(LEFT($B46,4)="_Mil","",INDEX(Cascade!$Z:$Z,MATCH($E46,Cascade!$E:$E,0)))</f>
        <v>1116</v>
      </c>
      <c r="J46" s="90">
        <f>IF(LEFT($B46,4)="_Mil","",INDEX(Cascade!$AA:$AA,MATCH($E46,Cascade!$E:$E,0)))</f>
        <v>607</v>
      </c>
      <c r="K46" s="42">
        <f>IF(LEFT($B46,4)="_Mil","",_xlfn.IFNA(ROUND(INDEX(Spectrum!$N:$N,MATCH(RIGHT($B46,13)&amp;"|"&amp;$C46&amp;"|"&amp;$D46&amp;"|"&amp;K$14&amp;"|"&amp;"CY2023Q3",Spectrum!$R:$R,0)),0),""))</f>
        <v>1919</v>
      </c>
      <c r="L46" s="42" t="str">
        <f>IF(LEFT($B46,4)="_Mil","",_xlfn.IFNA(ROUND(INDEX(Spectrum!$N:$N,MATCH(RIGHT($B46,13)&amp;"|"&amp;$C46&amp;"|"&amp;$D46&amp;"|"&amp;L$14&amp;"|"&amp;"CY2023Q3",Spectrum!$R:$R,0)),0),""))</f>
        <v/>
      </c>
      <c r="M46" s="42">
        <f>IF(LEFT($B46,4)="_Mil","",_xlfn.IFNA(ROUND(INDEX(Spectrum!$N:$N,MATCH(RIGHT($B46,13)&amp;"|"&amp;$C46&amp;"|"&amp;$D46&amp;"|"&amp;M$14&amp;"|"&amp;"CY2023Q3",Spectrum!$R:$R,0)),0),""))</f>
        <v>1721</v>
      </c>
      <c r="N46" s="42">
        <f>IF(LEFT($B46,4)="_Mil","",_xlfn.IFNA(ROUND(INDEX(Spectrum!$N:$N,MATCH(RIGHT($B46,13)&amp;"|"&amp;$C46&amp;"|"&amp;$D46&amp;"|"&amp;N$14&amp;"|"&amp;"CY2023Q3",Spectrum!$R:$R,0)),0),""))</f>
        <v>784</v>
      </c>
      <c r="O46" s="42">
        <f>IF(LEFT($B46,4)="_Mil","",_xlfn.IFNA(ROUND(INDEX(Spectrum!$N:$N,MATCH(RIGHT($B46,13)&amp;"|"&amp;$C46&amp;"|"&amp;$D46&amp;"|"&amp;O$14&amp;"|"&amp;"CY2023Q3",Spectrum!$R:$R,0)),0),""))</f>
        <v>591</v>
      </c>
      <c r="P46" s="42">
        <f>IF(LEFT($B46,4)="_Mil","",_xlfn.IFNA(ROUND(INDEX(Spectrum!$N:$N,MATCH(RIGHT($B46,13)&amp;"|"&amp;$C46&amp;"|"&amp;$D46&amp;"|"&amp;P$14&amp;"|"&amp;"CY2023Q3",Spectrum!$R:$R,0)),0),""))</f>
        <v>869</v>
      </c>
      <c r="Q46" s="42" t="str">
        <f>IF(LEFT($B46,4)="_Mil","",_xlfn.IFNA(ROUND(INDEX(Spectrum!$N:$N,MATCH(RIGHT($B46,13)&amp;"|"&amp;$C46&amp;"|"&amp;$D46&amp;"|"&amp;Q$14&amp;"|"&amp;"CY2022Q3",Spectrum!$R:$R,0)),0),""))</f>
        <v/>
      </c>
      <c r="R46" s="14"/>
      <c r="S46" s="90">
        <f>0</f>
        <v>0</v>
      </c>
      <c r="T46" s="42" t="str">
        <f t="shared" si="1"/>
        <v/>
      </c>
      <c r="U46" s="90">
        <f t="shared" si="2"/>
        <v>0</v>
      </c>
      <c r="V46" s="42" t="str">
        <f t="shared" si="3"/>
        <v/>
      </c>
      <c r="W46" s="90"/>
      <c r="X46" s="90">
        <f t="shared" si="4"/>
        <v>0</v>
      </c>
      <c r="Y46" s="90"/>
      <c r="Z46" s="90">
        <f t="shared" si="5"/>
        <v>0</v>
      </c>
      <c r="AA46" s="14" t="str">
        <f t="shared" si="6"/>
        <v/>
      </c>
      <c r="AB46" s="42" t="str">
        <f t="shared" si="7"/>
        <v/>
      </c>
      <c r="AC46" s="42" t="str">
        <f t="shared" si="8"/>
        <v/>
      </c>
      <c r="AD46" s="42" t="str">
        <f t="shared" si="9"/>
        <v/>
      </c>
      <c r="AE46" s="14" t="str">
        <f t="shared" si="10"/>
        <v/>
      </c>
      <c r="AF46" s="42" t="str">
        <f t="shared" si="11"/>
        <v/>
      </c>
      <c r="AG46" s="42" t="str">
        <f t="shared" si="12"/>
        <v/>
      </c>
      <c r="AH46" s="42" t="str">
        <f t="shared" si="13"/>
        <v/>
      </c>
      <c r="AI46" s="90" t="str">
        <f>IF(SUM($AC46)=0,"",INDEX(Cascade!$BG:$BG,MATCH($E46,Cascade!$E:$E,0)))</f>
        <v/>
      </c>
      <c r="AJ46" s="42" t="str">
        <f t="shared" si="14"/>
        <v/>
      </c>
      <c r="AK46" s="42" t="str">
        <f t="shared" si="15"/>
        <v/>
      </c>
      <c r="AL46" s="42" t="str">
        <f t="shared" si="16"/>
        <v/>
      </c>
      <c r="AM46" s="42" t="str">
        <f t="shared" si="17"/>
        <v/>
      </c>
      <c r="AN46" s="42" t="str">
        <f t="shared" si="18"/>
        <v/>
      </c>
      <c r="AO46" s="14" t="str">
        <f t="shared" si="19"/>
        <v/>
      </c>
      <c r="AP46" s="90"/>
      <c r="AQ46" s="90" t="str">
        <f t="shared" si="20"/>
        <v/>
      </c>
      <c r="AR46" s="90" t="str">
        <f>IF(SUM($AO46)=0,"",INDEX(Cascade!$BG:$BG,MATCH($E46,Cascade!$E:$E,0)))</f>
        <v/>
      </c>
      <c r="AS46" s="42" t="str">
        <f t="shared" si="21"/>
        <v/>
      </c>
      <c r="AT46" s="42" t="str">
        <f t="shared" si="22"/>
        <v/>
      </c>
      <c r="AU46" s="14" t="str">
        <f t="shared" si="23"/>
        <v/>
      </c>
      <c r="AV46" s="14" t="str">
        <f t="shared" si="24"/>
        <v/>
      </c>
      <c r="AW46" s="14" t="str">
        <f>IFERROR(1/(1/INDEX(Cascade!$BH:$BH,MATCH($E46,Cascade!$E:$E,0))),"")</f>
        <v/>
      </c>
      <c r="AX46" s="14" t="str">
        <f t="shared" si="25"/>
        <v/>
      </c>
      <c r="AY46" s="14" t="str">
        <f t="shared" si="26"/>
        <v/>
      </c>
      <c r="AZ46" s="14" t="str">
        <f>IFERROR(1/(1/INDEX(TB!$P:$P,MATCH($E46,TB!$E:$E,0))),"")</f>
        <v/>
      </c>
      <c r="BA46" s="14" t="str">
        <f t="shared" si="27"/>
        <v/>
      </c>
    </row>
    <row r="47" spans="1:53" x14ac:dyDescent="0.2">
      <c r="A47" t="str">
        <f>INDEX(Prioritization!$D:$D,MATCH($B47,Prioritization!$A:$A,0))</f>
        <v>1 - Scale-up: Saturation</v>
      </c>
      <c r="B47" t="s">
        <v>199</v>
      </c>
      <c r="C47" t="s">
        <v>365</v>
      </c>
      <c r="D47" t="s">
        <v>29</v>
      </c>
      <c r="E47" t="str">
        <f t="shared" ref="E47:E78" si="28">B47&amp;"|"&amp;C47&amp;"|"&amp;D47</f>
        <v>Nkhotakota District [YCKiBAp8QAg]|25-34|Female</v>
      </c>
      <c r="F47" s="14">
        <f>IF(LEFT($B47,4)="_Mil","",INDEX(Cascade!$T:$T,MATCH($E47,Cascade!$E:$E,0)))</f>
        <v>1237</v>
      </c>
      <c r="G47" s="14" t="str">
        <f>IF(LEFT($B47,4)="_Mil","",INDEX(Cascade!$U:$U,MATCH($E47,Cascade!$E:$E,0)))</f>
        <v/>
      </c>
      <c r="H47" s="88">
        <f>IF(LEFT($B47,4)="_Mil","",INDEX(Cascade!$W:$W,MATCH($E47,Cascade!$E:$E,0)))</f>
        <v>1905</v>
      </c>
      <c r="I47" s="14">
        <f>IF(LEFT($B47,4)="_Mil","",INDEX(Cascade!$Z:$Z,MATCH($E47,Cascade!$E:$E,0)))</f>
        <v>1564</v>
      </c>
      <c r="J47" s="90">
        <f>IF(LEFT($B47,4)="_Mil","",INDEX(Cascade!$AA:$AA,MATCH($E47,Cascade!$E:$E,0)))</f>
        <v>990</v>
      </c>
      <c r="K47" s="42">
        <f>IF(LEFT($B47,4)="_Mil","",_xlfn.IFNA(ROUND(INDEX(Spectrum!$N:$N,MATCH(RIGHT($B47,13)&amp;"|"&amp;$C47&amp;"|"&amp;$D47&amp;"|"&amp;K$14&amp;"|"&amp;"CY2023Q3",Spectrum!$R:$R,0)),0),""))</f>
        <v>600</v>
      </c>
      <c r="L47" s="42" t="str">
        <f>IF(LEFT($B47,4)="_Mil","",_xlfn.IFNA(ROUND(INDEX(Spectrum!$N:$N,MATCH(RIGHT($B47,13)&amp;"|"&amp;$C47&amp;"|"&amp;$D47&amp;"|"&amp;L$14&amp;"|"&amp;"CY2023Q3",Spectrum!$R:$R,0)),0),""))</f>
        <v/>
      </c>
      <c r="M47" s="42">
        <f>IF(LEFT($B47,4)="_Mil","",_xlfn.IFNA(ROUND(INDEX(Spectrum!$N:$N,MATCH(RIGHT($B47,13)&amp;"|"&amp;$C47&amp;"|"&amp;$D47&amp;"|"&amp;M$14&amp;"|"&amp;"CY2023Q3",Spectrum!$R:$R,0)),0),""))</f>
        <v>1847</v>
      </c>
      <c r="N47" s="42">
        <f>IF(LEFT($B47,4)="_Mil","",_xlfn.IFNA(ROUND(INDEX(Spectrum!$N:$N,MATCH(RIGHT($B47,13)&amp;"|"&amp;$C47&amp;"|"&amp;$D47&amp;"|"&amp;N$14&amp;"|"&amp;"CY2023Q3",Spectrum!$R:$R,0)),0),""))</f>
        <v>1011</v>
      </c>
      <c r="O47" s="42">
        <f>IF(LEFT($B47,4)="_Mil","",_xlfn.IFNA(ROUND(INDEX(Spectrum!$N:$N,MATCH(RIGHT($B47,13)&amp;"|"&amp;$C47&amp;"|"&amp;$D47&amp;"|"&amp;O$14&amp;"|"&amp;"CY2023Q3",Spectrum!$R:$R,0)),0),""))</f>
        <v>1138</v>
      </c>
      <c r="P47" s="42">
        <f>IF(LEFT($B47,4)="_Mil","",_xlfn.IFNA(ROUND(INDEX(Spectrum!$N:$N,MATCH(RIGHT($B47,13)&amp;"|"&amp;$C47&amp;"|"&amp;$D47&amp;"|"&amp;P$14&amp;"|"&amp;"CY2023Q3",Spectrum!$R:$R,0)),0),""))</f>
        <v>1362</v>
      </c>
      <c r="Q47" s="42" t="str">
        <f>IF(LEFT($B47,4)="_Mil","",_xlfn.IFNA(ROUND(INDEX(Spectrum!$N:$N,MATCH(RIGHT($B47,13)&amp;"|"&amp;$C47&amp;"|"&amp;$D47&amp;"|"&amp;Q$14&amp;"|"&amp;"CY2022Q3",Spectrum!$R:$R,0)),0),""))</f>
        <v/>
      </c>
      <c r="R47" s="14"/>
      <c r="S47" s="90">
        <f>0</f>
        <v>0</v>
      </c>
      <c r="T47" s="42" t="str">
        <f t="shared" ref="T47:T78" si="29">IF(SUM($R47)=0,"",ROUND($R47*(1+$S47),0))</f>
        <v/>
      </c>
      <c r="U47" s="90">
        <f t="shared" ref="U47:U78" si="30">IF(LEFT($B47,4)="_Mil","",IF(SUM($K47)=0,IF(SUM($R47)=0,"",1),MIN($R47/$K47,1)))</f>
        <v>0</v>
      </c>
      <c r="V47" s="42" t="str">
        <f t="shared" ref="V47:V78" si="31">IF(OR(SUM($T47)=0,LEFT($B47,4)="_Mil"),"",ROUND($T47/$U47,0))</f>
        <v/>
      </c>
      <c r="W47" s="90"/>
      <c r="X47" s="90">
        <f t="shared" ref="X47:X78" si="32">IF(SUM($K47,$W47)=0,"",MAX(IFERROR(SUM($L47)/$K47,0),SUM($W47)))</f>
        <v>0</v>
      </c>
      <c r="Y47" s="90"/>
      <c r="Z47" s="90">
        <f t="shared" ref="Z47:Z78" si="33">IF(SUM($K47,$Y47)=0,"",MIN(SUM($Y47),IFERROR(SUM($M47)/(SUM($K47)-SUM($L47)),1)))</f>
        <v>0</v>
      </c>
      <c r="AA47" s="14" t="str">
        <f t="shared" ref="AA47:AA78" si="34">$T47</f>
        <v/>
      </c>
      <c r="AB47" s="42" t="str">
        <f t="shared" ref="AB47:AB78" si="35">IF(SUM($AA47)=0,"",IF(AND(SUM($AA47)&gt;0,$X47=""),"ENTER KNOWN POSITIVITY RATE",ROUND($AA47*$X47,0)))</f>
        <v/>
      </c>
      <c r="AC47" s="42" t="str">
        <f t="shared" ref="AC47:AC78" si="36">IF(SUM($AA47)=0,"",IF(AND((SUM($AA47)-SUM($AB47))&gt;0,$Z47=""),"ENTER YIELD RATE",ROUND(($AA47-SUM($AB47))*$Z47,0)))</f>
        <v/>
      </c>
      <c r="AD47" s="42" t="str">
        <f t="shared" ref="AD47:AD78" si="37">IF(SUM($AA47)=0,"",$AA47-SUM($AB47)-SUM($AC47))</f>
        <v/>
      </c>
      <c r="AE47" s="14" t="str">
        <f t="shared" ref="AE47:AE78" si="38">$V47</f>
        <v/>
      </c>
      <c r="AF47" s="42" t="str">
        <f t="shared" ref="AF47:AF78" si="39">IF(SUM($AE47)=0,"",ROUND($AE47*SUM($X47),0))</f>
        <v/>
      </c>
      <c r="AG47" s="42" t="str">
        <f t="shared" ref="AG47:AG78" si="40">IF(SUM($AE47)=0,"",ROUND(($AE47-SUM($AF47))*SUM($Z47),0))</f>
        <v/>
      </c>
      <c r="AH47" s="42" t="str">
        <f t="shared" ref="AH47:AH78" si="41">IF(SUM($AE47)=0,"",$AE47-SUM($AF47)-SUM($AG47))</f>
        <v/>
      </c>
      <c r="AI47" s="90" t="str">
        <f>IF(SUM($AC47)=0,"",INDEX(Cascade!$BG:$BG,MATCH($E47,Cascade!$E:$E,0)))</f>
        <v/>
      </c>
      <c r="AJ47" s="42" t="str">
        <f t="shared" ref="AJ47:AJ78" si="42">$AB47</f>
        <v/>
      </c>
      <c r="AK47" s="42" t="str">
        <f t="shared" ref="AK47:AK78" si="43">IF(SUM($AC47)=0,"",IF(AND($AI47="",SUM($AC47)&gt;0),"&lt;- Enter Linkage Rate",ROUND($AC47*$AI47,0)))</f>
        <v/>
      </c>
      <c r="AL47" s="42" t="str">
        <f t="shared" ref="AL47:AL78" si="44">IF(SUM($AF47,$AG47)=0,"",SUM($AF47,$AG47))</f>
        <v/>
      </c>
      <c r="AM47" s="42" t="str">
        <f t="shared" ref="AM47:AM78" si="45">$AF47</f>
        <v/>
      </c>
      <c r="AN47" s="42" t="str">
        <f t="shared" ref="AN47:AN78" si="46">IF(SUM($AG47)=0,"",ROUND($AG47*SUM($AI47),0))</f>
        <v/>
      </c>
      <c r="AO47" s="14" t="str">
        <f t="shared" ref="AO47:AO78" si="47">IFERROR(1/(1/MAX(SUM($T47)-SUM($AB47,$AC47),$AD47)),"")</f>
        <v/>
      </c>
      <c r="AP47" s="90"/>
      <c r="AQ47" s="90" t="str">
        <f t="shared" ref="AQ47:AQ78" si="48">IF($AP47="","",$AP47)</f>
        <v/>
      </c>
      <c r="AR47" s="90" t="str">
        <f>IF(SUM($AO47)=0,"",INDEX(Cascade!$BG:$BG,MATCH($E47,Cascade!$E:$E,0)))</f>
        <v/>
      </c>
      <c r="AS47" s="42" t="str">
        <f t="shared" ref="AS47:AS78" si="49">IF(SUM($AO47)=0,"",IF(AND(SUM($AO47)&gt;0,$AQ47=""),"ENTER YIELD RATE",ROUND($AO47*$AQ47,0)))</f>
        <v/>
      </c>
      <c r="AT47" s="42" t="str">
        <f t="shared" ref="AT47:AT78" si="50">IF(SUM($AO47)=0,"",$AO47-SUM($AS47))</f>
        <v/>
      </c>
      <c r="AU47" s="14" t="str">
        <f t="shared" ref="AU47:AU78" si="51">IF(SUM($AS47)=0,"",ROUND($AS47*$AR47,0))</f>
        <v/>
      </c>
      <c r="AV47" s="14" t="str">
        <f t="shared" ref="AV47:AV78" si="52">IFERROR(1/(1/SUM($AC47,$AB47,$AS47)),"")</f>
        <v/>
      </c>
      <c r="AW47" s="14" t="str">
        <f>IFERROR(1/(1/INDEX(Cascade!$BH:$BH,MATCH($E47,Cascade!$E:$E,0))),"")</f>
        <v/>
      </c>
      <c r="AX47" s="14" t="str">
        <f t="shared" ref="AX47:AX78" si="53">IF(SUM($AC47)=0,"",$AC47)</f>
        <v/>
      </c>
      <c r="AY47" s="14" t="str">
        <f t="shared" ref="AY47:AY78" si="54">IF(SUM($AS47)=0,"",$AS47)</f>
        <v/>
      </c>
      <c r="AZ47" s="14" t="str">
        <f>IFERROR(1/(1/INDEX(TB!$P:$P,MATCH($E47,TB!$E:$E,0))),"")</f>
        <v/>
      </c>
      <c r="BA47" s="14" t="str">
        <f t="shared" ref="BA47:BA78" si="55">IFERROR(1/(1/(SUM($AW47)-SUM($AX47:$AZ47))),"")</f>
        <v/>
      </c>
    </row>
    <row r="48" spans="1:53" x14ac:dyDescent="0.2">
      <c r="A48" t="str">
        <f>INDEX(Prioritization!$D:$D,MATCH($B48,Prioritization!$A:$A,0))</f>
        <v>1 - Scale-up: Saturation</v>
      </c>
      <c r="B48" t="s">
        <v>199</v>
      </c>
      <c r="C48" t="s">
        <v>366</v>
      </c>
      <c r="D48" t="s">
        <v>29</v>
      </c>
      <c r="E48" t="str">
        <f t="shared" si="28"/>
        <v>Nkhotakota District [YCKiBAp8QAg]|35-49|Female</v>
      </c>
      <c r="F48" s="14">
        <f>IF(LEFT($B48,4)="_Mil","",INDEX(Cascade!$T:$T,MATCH($E48,Cascade!$E:$E,0)))</f>
        <v>1440</v>
      </c>
      <c r="G48" s="14" t="str">
        <f>IF(LEFT($B48,4)="_Mil","",INDEX(Cascade!$U:$U,MATCH($E48,Cascade!$E:$E,0)))</f>
        <v/>
      </c>
      <c r="H48" s="88">
        <f>IF(LEFT($B48,4)="_Mil","",INDEX(Cascade!$W:$W,MATCH($E48,Cascade!$E:$E,0)))</f>
        <v>1121</v>
      </c>
      <c r="I48" s="14">
        <f>IF(LEFT($B48,4)="_Mil","",INDEX(Cascade!$Z:$Z,MATCH($E48,Cascade!$E:$E,0)))</f>
        <v>652</v>
      </c>
      <c r="J48" s="90">
        <f>IF(LEFT($B48,4)="_Mil","",INDEX(Cascade!$AA:$AA,MATCH($E48,Cascade!$E:$E,0)))</f>
        <v>667</v>
      </c>
      <c r="K48" s="42">
        <f>IF(LEFT($B48,4)="_Mil","",_xlfn.IFNA(ROUND(INDEX(Spectrum!$N:$N,MATCH(RIGHT($B48,13)&amp;"|"&amp;$C48&amp;"|"&amp;$D48&amp;"|"&amp;K$14&amp;"|"&amp;"CY2023Q3",Spectrum!$R:$R,0)),0),""))</f>
        <v>505</v>
      </c>
      <c r="L48" s="42" t="str">
        <f>IF(LEFT($B48,4)="_Mil","",_xlfn.IFNA(ROUND(INDEX(Spectrum!$N:$N,MATCH(RIGHT($B48,13)&amp;"|"&amp;$C48&amp;"|"&amp;$D48&amp;"|"&amp;L$14&amp;"|"&amp;"CY2023Q3",Spectrum!$R:$R,0)),0),""))</f>
        <v/>
      </c>
      <c r="M48" s="42">
        <f>IF(LEFT($B48,4)="_Mil","",_xlfn.IFNA(ROUND(INDEX(Spectrum!$N:$N,MATCH(RIGHT($B48,13)&amp;"|"&amp;$C48&amp;"|"&amp;$D48&amp;"|"&amp;M$14&amp;"|"&amp;"CY2023Q3",Spectrum!$R:$R,0)),0),""))</f>
        <v>802</v>
      </c>
      <c r="N48" s="42">
        <f>IF(LEFT($B48,4)="_Mil","",_xlfn.IFNA(ROUND(INDEX(Spectrum!$N:$N,MATCH(RIGHT($B48,13)&amp;"|"&amp;$C48&amp;"|"&amp;$D48&amp;"|"&amp;N$14&amp;"|"&amp;"CY2023Q3",Spectrum!$R:$R,0)),0),""))</f>
        <v>797</v>
      </c>
      <c r="O48" s="42">
        <f>IF(LEFT($B48,4)="_Mil","",_xlfn.IFNA(ROUND(INDEX(Spectrum!$N:$N,MATCH(RIGHT($B48,13)&amp;"|"&amp;$C48&amp;"|"&amp;$D48&amp;"|"&amp;O$14&amp;"|"&amp;"CY2023Q3",Spectrum!$R:$R,0)),0),""))</f>
        <v>1345</v>
      </c>
      <c r="P48" s="42">
        <f>IF(LEFT($B48,4)="_Mil","",_xlfn.IFNA(ROUND(INDEX(Spectrum!$N:$N,MATCH(RIGHT($B48,13)&amp;"|"&amp;$C48&amp;"|"&amp;$D48&amp;"|"&amp;P$14&amp;"|"&amp;"CY2023Q3",Spectrum!$R:$R,0)),0),""))</f>
        <v>1611</v>
      </c>
      <c r="Q48" s="42" t="str">
        <f>IF(LEFT($B48,4)="_Mil","",_xlfn.IFNA(ROUND(INDEX(Spectrum!$N:$N,MATCH(RIGHT($B48,13)&amp;"|"&amp;$C48&amp;"|"&amp;$D48&amp;"|"&amp;Q$14&amp;"|"&amp;"CY2022Q3",Spectrum!$R:$R,0)),0),""))</f>
        <v/>
      </c>
      <c r="R48" s="14"/>
      <c r="S48" s="90">
        <f>0</f>
        <v>0</v>
      </c>
      <c r="T48" s="42" t="str">
        <f t="shared" si="29"/>
        <v/>
      </c>
      <c r="U48" s="90">
        <f t="shared" si="30"/>
        <v>0</v>
      </c>
      <c r="V48" s="42" t="str">
        <f t="shared" si="31"/>
        <v/>
      </c>
      <c r="W48" s="90"/>
      <c r="X48" s="90">
        <f t="shared" si="32"/>
        <v>0</v>
      </c>
      <c r="Y48" s="90"/>
      <c r="Z48" s="90">
        <f t="shared" si="33"/>
        <v>0</v>
      </c>
      <c r="AA48" s="14" t="str">
        <f t="shared" si="34"/>
        <v/>
      </c>
      <c r="AB48" s="42" t="str">
        <f t="shared" si="35"/>
        <v/>
      </c>
      <c r="AC48" s="42" t="str">
        <f t="shared" si="36"/>
        <v/>
      </c>
      <c r="AD48" s="42" t="str">
        <f t="shared" si="37"/>
        <v/>
      </c>
      <c r="AE48" s="14" t="str">
        <f t="shared" si="38"/>
        <v/>
      </c>
      <c r="AF48" s="42" t="str">
        <f t="shared" si="39"/>
        <v/>
      </c>
      <c r="AG48" s="42" t="str">
        <f t="shared" si="40"/>
        <v/>
      </c>
      <c r="AH48" s="42" t="str">
        <f t="shared" si="41"/>
        <v/>
      </c>
      <c r="AI48" s="90" t="str">
        <f>IF(SUM($AC48)=0,"",INDEX(Cascade!$BG:$BG,MATCH($E48,Cascade!$E:$E,0)))</f>
        <v/>
      </c>
      <c r="AJ48" s="42" t="str">
        <f t="shared" si="42"/>
        <v/>
      </c>
      <c r="AK48" s="42" t="str">
        <f t="shared" si="43"/>
        <v/>
      </c>
      <c r="AL48" s="42" t="str">
        <f t="shared" si="44"/>
        <v/>
      </c>
      <c r="AM48" s="42" t="str">
        <f t="shared" si="45"/>
        <v/>
      </c>
      <c r="AN48" s="42" t="str">
        <f t="shared" si="46"/>
        <v/>
      </c>
      <c r="AO48" s="14" t="str">
        <f t="shared" si="47"/>
        <v/>
      </c>
      <c r="AP48" s="90"/>
      <c r="AQ48" s="90" t="str">
        <f t="shared" si="48"/>
        <v/>
      </c>
      <c r="AR48" s="90" t="str">
        <f>IF(SUM($AO48)=0,"",INDEX(Cascade!$BG:$BG,MATCH($E48,Cascade!$E:$E,0)))</f>
        <v/>
      </c>
      <c r="AS48" s="42" t="str">
        <f t="shared" si="49"/>
        <v/>
      </c>
      <c r="AT48" s="42" t="str">
        <f t="shared" si="50"/>
        <v/>
      </c>
      <c r="AU48" s="14" t="str">
        <f t="shared" si="51"/>
        <v/>
      </c>
      <c r="AV48" s="14" t="str">
        <f t="shared" si="52"/>
        <v/>
      </c>
      <c r="AW48" s="14" t="str">
        <f>IFERROR(1/(1/INDEX(Cascade!$BH:$BH,MATCH($E48,Cascade!$E:$E,0))),"")</f>
        <v/>
      </c>
      <c r="AX48" s="14" t="str">
        <f t="shared" si="53"/>
        <v/>
      </c>
      <c r="AY48" s="14" t="str">
        <f t="shared" si="54"/>
        <v/>
      </c>
      <c r="AZ48" s="14" t="str">
        <f>IFERROR(1/(1/INDEX(TB!$P:$P,MATCH($E48,TB!$E:$E,0))),"")</f>
        <v/>
      </c>
      <c r="BA48" s="14" t="str">
        <f t="shared" si="55"/>
        <v/>
      </c>
    </row>
    <row r="49" spans="1:53" x14ac:dyDescent="0.2">
      <c r="A49" t="str">
        <f>INDEX(Prioritization!$D:$D,MATCH($B49,Prioritization!$A:$A,0))</f>
        <v>1 - Scale-up: Saturation</v>
      </c>
      <c r="B49" t="s">
        <v>199</v>
      </c>
      <c r="C49" t="s">
        <v>367</v>
      </c>
      <c r="D49" t="s">
        <v>29</v>
      </c>
      <c r="E49" t="str">
        <f t="shared" si="28"/>
        <v>Nkhotakota District [YCKiBAp8QAg]|50+|Female</v>
      </c>
      <c r="F49" s="14">
        <f>IF(LEFT($B49,4)="_Mil","",INDEX(Cascade!$T:$T,MATCH($E49,Cascade!$E:$E,0)))</f>
        <v>728</v>
      </c>
      <c r="G49" s="14" t="str">
        <f>IF(LEFT($B49,4)="_Mil","",INDEX(Cascade!$U:$U,MATCH($E49,Cascade!$E:$E,0)))</f>
        <v/>
      </c>
      <c r="H49" s="88">
        <f>IF(LEFT($B49,4)="_Mil","",INDEX(Cascade!$W:$W,MATCH($E49,Cascade!$E:$E,0)))</f>
        <v>774</v>
      </c>
      <c r="I49" s="14">
        <f>IF(LEFT($B49,4)="_Mil","",INDEX(Cascade!$Z:$Z,MATCH($E49,Cascade!$E:$E,0)))</f>
        <v>1301</v>
      </c>
      <c r="J49" s="90">
        <f>IF(LEFT($B49,4)="_Mil","",INDEX(Cascade!$AA:$AA,MATCH($E49,Cascade!$E:$E,0)))</f>
        <v>842</v>
      </c>
      <c r="K49" s="42" t="str">
        <f>IF(LEFT($B49,4)="_Mil","",_xlfn.IFNA(ROUND(INDEX(Spectrum!$N:$N,MATCH(RIGHT($B49,13)&amp;"|"&amp;$C49&amp;"|"&amp;$D49&amp;"|"&amp;K$14&amp;"|"&amp;"CY2023Q3",Spectrum!$R:$R,0)),0),""))</f>
        <v/>
      </c>
      <c r="L49" s="42" t="str">
        <f>IF(LEFT($B49,4)="_Mil","",_xlfn.IFNA(ROUND(INDEX(Spectrum!$N:$N,MATCH(RIGHT($B49,13)&amp;"|"&amp;$C49&amp;"|"&amp;$D49&amp;"|"&amp;L$14&amp;"|"&amp;"CY2023Q3",Spectrum!$R:$R,0)),0),""))</f>
        <v/>
      </c>
      <c r="M49" s="42" t="str">
        <f>IF(LEFT($B49,4)="_Mil","",_xlfn.IFNA(ROUND(INDEX(Spectrum!$N:$N,MATCH(RIGHT($B49,13)&amp;"|"&amp;$C49&amp;"|"&amp;$D49&amp;"|"&amp;M$14&amp;"|"&amp;"CY2023Q3",Spectrum!$R:$R,0)),0),""))</f>
        <v/>
      </c>
      <c r="N49" s="42" t="str">
        <f>IF(LEFT($B49,4)="_Mil","",_xlfn.IFNA(ROUND(INDEX(Spectrum!$N:$N,MATCH(RIGHT($B49,13)&amp;"|"&amp;$C49&amp;"|"&amp;$D49&amp;"|"&amp;N$14&amp;"|"&amp;"CY2023Q3",Spectrum!$R:$R,0)),0),""))</f>
        <v/>
      </c>
      <c r="O49" s="42" t="str">
        <f>IF(LEFT($B49,4)="_Mil","",_xlfn.IFNA(ROUND(INDEX(Spectrum!$N:$N,MATCH(RIGHT($B49,13)&amp;"|"&amp;$C49&amp;"|"&amp;$D49&amp;"|"&amp;O$14&amp;"|"&amp;"CY2023Q3",Spectrum!$R:$R,0)),0),""))</f>
        <v/>
      </c>
      <c r="P49" s="42" t="str">
        <f>IF(LEFT($B49,4)="_Mil","",_xlfn.IFNA(ROUND(INDEX(Spectrum!$N:$N,MATCH(RIGHT($B49,13)&amp;"|"&amp;$C49&amp;"|"&amp;$D49&amp;"|"&amp;P$14&amp;"|"&amp;"CY2023Q3",Spectrum!$R:$R,0)),0),""))</f>
        <v/>
      </c>
      <c r="Q49" s="42" t="str">
        <f>IF(LEFT($B49,4)="_Mil","",_xlfn.IFNA(ROUND(INDEX(Spectrum!$N:$N,MATCH(RIGHT($B49,13)&amp;"|"&amp;$C49&amp;"|"&amp;$D49&amp;"|"&amp;Q$14&amp;"|"&amp;"CY2022Q3",Spectrum!$R:$R,0)),0),""))</f>
        <v/>
      </c>
      <c r="R49" s="14"/>
      <c r="S49" s="90">
        <f>0</f>
        <v>0</v>
      </c>
      <c r="T49" s="42" t="str">
        <f t="shared" si="29"/>
        <v/>
      </c>
      <c r="U49" s="90" t="str">
        <f t="shared" si="30"/>
        <v/>
      </c>
      <c r="V49" s="42" t="str">
        <f t="shared" si="31"/>
        <v/>
      </c>
      <c r="W49" s="90"/>
      <c r="X49" s="90" t="str">
        <f t="shared" si="32"/>
        <v/>
      </c>
      <c r="Y49" s="90"/>
      <c r="Z49" s="90" t="str">
        <f t="shared" si="33"/>
        <v/>
      </c>
      <c r="AA49" s="14" t="str">
        <f t="shared" si="34"/>
        <v/>
      </c>
      <c r="AB49" s="42" t="str">
        <f t="shared" si="35"/>
        <v/>
      </c>
      <c r="AC49" s="42" t="str">
        <f t="shared" si="36"/>
        <v/>
      </c>
      <c r="AD49" s="42" t="str">
        <f t="shared" si="37"/>
        <v/>
      </c>
      <c r="AE49" s="14" t="str">
        <f t="shared" si="38"/>
        <v/>
      </c>
      <c r="AF49" s="42" t="str">
        <f t="shared" si="39"/>
        <v/>
      </c>
      <c r="AG49" s="42" t="str">
        <f t="shared" si="40"/>
        <v/>
      </c>
      <c r="AH49" s="42" t="str">
        <f t="shared" si="41"/>
        <v/>
      </c>
      <c r="AI49" s="90" t="str">
        <f>IF(SUM($AC49)=0,"",INDEX(Cascade!$BG:$BG,MATCH($E49,Cascade!$E:$E,0)))</f>
        <v/>
      </c>
      <c r="AJ49" s="42" t="str">
        <f t="shared" si="42"/>
        <v/>
      </c>
      <c r="AK49" s="42" t="str">
        <f t="shared" si="43"/>
        <v/>
      </c>
      <c r="AL49" s="42" t="str">
        <f t="shared" si="44"/>
        <v/>
      </c>
      <c r="AM49" s="42" t="str">
        <f t="shared" si="45"/>
        <v/>
      </c>
      <c r="AN49" s="42" t="str">
        <f t="shared" si="46"/>
        <v/>
      </c>
      <c r="AO49" s="14" t="str">
        <f t="shared" si="47"/>
        <v/>
      </c>
      <c r="AP49" s="90"/>
      <c r="AQ49" s="90" t="str">
        <f t="shared" si="48"/>
        <v/>
      </c>
      <c r="AR49" s="90" t="str">
        <f>IF(SUM($AO49)=0,"",INDEX(Cascade!$BG:$BG,MATCH($E49,Cascade!$E:$E,0)))</f>
        <v/>
      </c>
      <c r="AS49" s="42" t="str">
        <f t="shared" si="49"/>
        <v/>
      </c>
      <c r="AT49" s="42" t="str">
        <f t="shared" si="50"/>
        <v/>
      </c>
      <c r="AU49" s="14" t="str">
        <f t="shared" si="51"/>
        <v/>
      </c>
      <c r="AV49" s="14" t="str">
        <f t="shared" si="52"/>
        <v/>
      </c>
      <c r="AW49" s="14" t="str">
        <f>IFERROR(1/(1/INDEX(Cascade!$BH:$BH,MATCH($E49,Cascade!$E:$E,0))),"")</f>
        <v/>
      </c>
      <c r="AX49" s="14" t="str">
        <f t="shared" si="53"/>
        <v/>
      </c>
      <c r="AY49" s="14" t="str">
        <f t="shared" si="54"/>
        <v/>
      </c>
      <c r="AZ49" s="14" t="str">
        <f>IFERROR(1/(1/INDEX(TB!$P:$P,MATCH($E49,TB!$E:$E,0))),"")</f>
        <v/>
      </c>
      <c r="BA49" s="14" t="str">
        <f t="shared" si="55"/>
        <v/>
      </c>
    </row>
    <row r="50" spans="1:53" x14ac:dyDescent="0.2">
      <c r="A50" t="str">
        <f>INDEX(Prioritization!$D:$D,MATCH($B50,Prioritization!$A:$A,0))</f>
        <v>INVALID</v>
      </c>
      <c r="B50" t="s">
        <v>200</v>
      </c>
      <c r="C50" t="s">
        <v>363</v>
      </c>
      <c r="D50" t="s">
        <v>29</v>
      </c>
      <c r="E50" t="str">
        <f t="shared" si="28"/>
        <v>Ntcheu District [am530wpaGvr]|10-14|Female</v>
      </c>
      <c r="F50" s="14">
        <f>IF(LEFT($B50,4)="_Mil","",INDEX(Cascade!$T:$T,MATCH($E50,Cascade!$E:$E,0)))</f>
        <v>1395</v>
      </c>
      <c r="G50" s="14" t="str">
        <f>IF(LEFT($B50,4)="_Mil","",INDEX(Cascade!$U:$U,MATCH($E50,Cascade!$E:$E,0)))</f>
        <v/>
      </c>
      <c r="H50" s="88">
        <f>IF(LEFT($B50,4)="_Mil","",INDEX(Cascade!$W:$W,MATCH($E50,Cascade!$E:$E,0)))</f>
        <v>768</v>
      </c>
      <c r="I50" s="14">
        <f>IF(LEFT($B50,4)="_Mil","",INDEX(Cascade!$Z:$Z,MATCH($E50,Cascade!$E:$E,0)))</f>
        <v>822</v>
      </c>
      <c r="J50" s="90">
        <f>IF(LEFT($B50,4)="_Mil","",INDEX(Cascade!$AA:$AA,MATCH($E50,Cascade!$E:$E,0)))</f>
        <v>1730</v>
      </c>
      <c r="K50" s="42" t="str">
        <f>IF(LEFT($B50,4)="_Mil","",_xlfn.IFNA(ROUND(INDEX(Spectrum!$N:$N,MATCH(RIGHT($B50,13)&amp;"|"&amp;$C50&amp;"|"&amp;$D50&amp;"|"&amp;K$14&amp;"|"&amp;"CY2023Q3",Spectrum!$R:$R,0)),0),""))</f>
        <v/>
      </c>
      <c r="L50" s="42" t="str">
        <f>IF(LEFT($B50,4)="_Mil","",_xlfn.IFNA(ROUND(INDEX(Spectrum!$N:$N,MATCH(RIGHT($B50,13)&amp;"|"&amp;$C50&amp;"|"&amp;$D50&amp;"|"&amp;L$14&amp;"|"&amp;"CY2023Q3",Spectrum!$R:$R,0)),0),""))</f>
        <v/>
      </c>
      <c r="M50" s="42" t="str">
        <f>IF(LEFT($B50,4)="_Mil","",_xlfn.IFNA(ROUND(INDEX(Spectrum!$N:$N,MATCH(RIGHT($B50,13)&amp;"|"&amp;$C50&amp;"|"&amp;$D50&amp;"|"&amp;M$14&amp;"|"&amp;"CY2023Q3",Spectrum!$R:$R,0)),0),""))</f>
        <v/>
      </c>
      <c r="N50" s="42" t="str">
        <f>IF(LEFT($B50,4)="_Mil","",_xlfn.IFNA(ROUND(INDEX(Spectrum!$N:$N,MATCH(RIGHT($B50,13)&amp;"|"&amp;$C50&amp;"|"&amp;$D50&amp;"|"&amp;N$14&amp;"|"&amp;"CY2023Q3",Spectrum!$R:$R,0)),0),""))</f>
        <v/>
      </c>
      <c r="O50" s="42" t="str">
        <f>IF(LEFT($B50,4)="_Mil","",_xlfn.IFNA(ROUND(INDEX(Spectrum!$N:$N,MATCH(RIGHT($B50,13)&amp;"|"&amp;$C50&amp;"|"&amp;$D50&amp;"|"&amp;O$14&amp;"|"&amp;"CY2023Q3",Spectrum!$R:$R,0)),0),""))</f>
        <v/>
      </c>
      <c r="P50" s="42" t="str">
        <f>IF(LEFT($B50,4)="_Mil","",_xlfn.IFNA(ROUND(INDEX(Spectrum!$N:$N,MATCH(RIGHT($B50,13)&amp;"|"&amp;$C50&amp;"|"&amp;$D50&amp;"|"&amp;P$14&amp;"|"&amp;"CY2023Q3",Spectrum!$R:$R,0)),0),""))</f>
        <v/>
      </c>
      <c r="Q50" s="42" t="str">
        <f>IF(LEFT($B50,4)="_Mil","",_xlfn.IFNA(ROUND(INDEX(Spectrum!$N:$N,MATCH(RIGHT($B50,13)&amp;"|"&amp;$C50&amp;"|"&amp;$D50&amp;"|"&amp;Q$14&amp;"|"&amp;"CY2022Q3",Spectrum!$R:$R,0)),0),""))</f>
        <v/>
      </c>
      <c r="R50" s="14">
        <v>7</v>
      </c>
      <c r="S50" s="90">
        <f>0</f>
        <v>0</v>
      </c>
      <c r="T50" s="42">
        <f t="shared" si="29"/>
        <v>7</v>
      </c>
      <c r="U50" s="90">
        <f t="shared" si="30"/>
        <v>1</v>
      </c>
      <c r="V50" s="42">
        <f t="shared" si="31"/>
        <v>7</v>
      </c>
      <c r="W50" s="90"/>
      <c r="X50" s="90" t="str">
        <f t="shared" si="32"/>
        <v/>
      </c>
      <c r="Y50" s="90"/>
      <c r="Z50" s="90" t="str">
        <f t="shared" si="33"/>
        <v/>
      </c>
      <c r="AA50" s="14">
        <f t="shared" si="34"/>
        <v>7</v>
      </c>
      <c r="AB50" s="42" t="str">
        <f t="shared" si="35"/>
        <v>ENTER KNOWN POSITIVITY RATE</v>
      </c>
      <c r="AC50" s="42" t="str">
        <f t="shared" si="36"/>
        <v>ENTER YIELD RATE</v>
      </c>
      <c r="AD50" s="42">
        <f t="shared" si="37"/>
        <v>7</v>
      </c>
      <c r="AE50" s="14">
        <f t="shared" si="38"/>
        <v>7</v>
      </c>
      <c r="AF50" s="42">
        <f t="shared" si="39"/>
        <v>0</v>
      </c>
      <c r="AG50" s="42">
        <f t="shared" si="40"/>
        <v>0</v>
      </c>
      <c r="AH50" s="42">
        <f t="shared" si="41"/>
        <v>7</v>
      </c>
      <c r="AI50" s="90" t="str">
        <f>IF(SUM($AC50)=0,"",INDEX(Cascade!$BG:$BG,MATCH($E50,Cascade!$E:$E,0)))</f>
        <v/>
      </c>
      <c r="AJ50" s="42" t="str">
        <f t="shared" si="42"/>
        <v>ENTER KNOWN POSITIVITY RATE</v>
      </c>
      <c r="AK50" s="42" t="str">
        <f t="shared" si="43"/>
        <v/>
      </c>
      <c r="AL50" s="42" t="str">
        <f t="shared" si="44"/>
        <v/>
      </c>
      <c r="AM50" s="42">
        <f t="shared" si="45"/>
        <v>0</v>
      </c>
      <c r="AN50" s="42" t="str">
        <f t="shared" si="46"/>
        <v/>
      </c>
      <c r="AO50" s="14">
        <f t="shared" si="47"/>
        <v>7</v>
      </c>
      <c r="AP50" s="90"/>
      <c r="AQ50" s="90" t="str">
        <f t="shared" si="48"/>
        <v/>
      </c>
      <c r="AR50" s="90">
        <f>IF(SUM($AO50)=0,"",INDEX(Cascade!$BG:$BG,MATCH($E50,Cascade!$E:$E,0)))</f>
        <v>0.95</v>
      </c>
      <c r="AS50" s="42" t="str">
        <f t="shared" si="49"/>
        <v>ENTER YIELD RATE</v>
      </c>
      <c r="AT50" s="42">
        <f t="shared" si="50"/>
        <v>7</v>
      </c>
      <c r="AU50" s="14" t="str">
        <f t="shared" si="51"/>
        <v/>
      </c>
      <c r="AV50" s="14" t="str">
        <f t="shared" si="52"/>
        <v/>
      </c>
      <c r="AW50" s="14">
        <f>IFERROR(1/(1/INDEX(Cascade!$BH:$BH,MATCH($E50,Cascade!$E:$E,0))),"")</f>
        <v>-84</v>
      </c>
      <c r="AX50" s="14" t="str">
        <f t="shared" si="53"/>
        <v/>
      </c>
      <c r="AY50" s="14" t="str">
        <f t="shared" si="54"/>
        <v/>
      </c>
      <c r="AZ50" s="14" t="str">
        <f>IFERROR(1/(1/INDEX(TB!$P:$P,MATCH($E50,TB!$E:$E,0))),"")</f>
        <v/>
      </c>
      <c r="BA50" s="14">
        <f t="shared" si="55"/>
        <v>-84</v>
      </c>
    </row>
    <row r="51" spans="1:53" x14ac:dyDescent="0.2">
      <c r="A51" t="str">
        <f>INDEX(Prioritization!$D:$D,MATCH($B51,Prioritization!$A:$A,0))</f>
        <v>INVALID</v>
      </c>
      <c r="B51" t="s">
        <v>200</v>
      </c>
      <c r="C51" t="s">
        <v>364</v>
      </c>
      <c r="D51" t="s">
        <v>29</v>
      </c>
      <c r="E51" t="str">
        <f t="shared" si="28"/>
        <v>Ntcheu District [am530wpaGvr]|15-24|Female</v>
      </c>
      <c r="F51" s="14">
        <f>IF(LEFT($B51,4)="_Mil","",INDEX(Cascade!$T:$T,MATCH($E51,Cascade!$E:$E,0)))</f>
        <v>1559</v>
      </c>
      <c r="G51" s="14" t="str">
        <f>IF(LEFT($B51,4)="_Mil","",INDEX(Cascade!$U:$U,MATCH($E51,Cascade!$E:$E,0)))</f>
        <v/>
      </c>
      <c r="H51" s="88">
        <f>IF(LEFT($B51,4)="_Mil","",INDEX(Cascade!$W:$W,MATCH($E51,Cascade!$E:$E,0)))</f>
        <v>655</v>
      </c>
      <c r="I51" s="14">
        <f>IF(LEFT($B51,4)="_Mil","",INDEX(Cascade!$Z:$Z,MATCH($E51,Cascade!$E:$E,0)))</f>
        <v>1039</v>
      </c>
      <c r="J51" s="90">
        <f>IF(LEFT($B51,4)="_Mil","",INDEX(Cascade!$AA:$AA,MATCH($E51,Cascade!$E:$E,0)))</f>
        <v>1897</v>
      </c>
      <c r="K51" s="42">
        <f>IF(LEFT($B51,4)="_Mil","",_xlfn.IFNA(ROUND(INDEX(Spectrum!$N:$N,MATCH(RIGHT($B51,13)&amp;"|"&amp;$C51&amp;"|"&amp;$D51&amp;"|"&amp;K$14&amp;"|"&amp;"CY2023Q3",Spectrum!$R:$R,0)),0),""))</f>
        <v>563</v>
      </c>
      <c r="L51" s="42" t="str">
        <f>IF(LEFT($B51,4)="_Mil","",_xlfn.IFNA(ROUND(INDEX(Spectrum!$N:$N,MATCH(RIGHT($B51,13)&amp;"|"&amp;$C51&amp;"|"&amp;$D51&amp;"|"&amp;L$14&amp;"|"&amp;"CY2023Q3",Spectrum!$R:$R,0)),0),""))</f>
        <v/>
      </c>
      <c r="M51" s="42">
        <f>IF(LEFT($B51,4)="_Mil","",_xlfn.IFNA(ROUND(INDEX(Spectrum!$N:$N,MATCH(RIGHT($B51,13)&amp;"|"&amp;$C51&amp;"|"&amp;$D51&amp;"|"&amp;M$14&amp;"|"&amp;"CY2023Q3",Spectrum!$R:$R,0)),0),""))</f>
        <v>1741</v>
      </c>
      <c r="N51" s="42">
        <f>IF(LEFT($B51,4)="_Mil","",_xlfn.IFNA(ROUND(INDEX(Spectrum!$N:$N,MATCH(RIGHT($B51,13)&amp;"|"&amp;$C51&amp;"|"&amp;$D51&amp;"|"&amp;N$14&amp;"|"&amp;"CY2023Q3",Spectrum!$R:$R,0)),0),""))</f>
        <v>1822</v>
      </c>
      <c r="O51" s="42">
        <f>IF(LEFT($B51,4)="_Mil","",_xlfn.IFNA(ROUND(INDEX(Spectrum!$N:$N,MATCH(RIGHT($B51,13)&amp;"|"&amp;$C51&amp;"|"&amp;$D51&amp;"|"&amp;O$14&amp;"|"&amp;"CY2023Q3",Spectrum!$R:$R,0)),0),""))</f>
        <v>826</v>
      </c>
      <c r="P51" s="42">
        <f>IF(LEFT($B51,4)="_Mil","",_xlfn.IFNA(ROUND(INDEX(Spectrum!$N:$N,MATCH(RIGHT($B51,13)&amp;"|"&amp;$C51&amp;"|"&amp;$D51&amp;"|"&amp;P$14&amp;"|"&amp;"CY2023Q3",Spectrum!$R:$R,0)),0),""))</f>
        <v>1269</v>
      </c>
      <c r="Q51" s="42" t="str">
        <f>IF(LEFT($B51,4)="_Mil","",_xlfn.IFNA(ROUND(INDEX(Spectrum!$N:$N,MATCH(RIGHT($B51,13)&amp;"|"&amp;$C51&amp;"|"&amp;$D51&amp;"|"&amp;Q$14&amp;"|"&amp;"CY2022Q3",Spectrum!$R:$R,0)),0),""))</f>
        <v/>
      </c>
      <c r="R51" s="14"/>
      <c r="S51" s="90">
        <f>0</f>
        <v>0</v>
      </c>
      <c r="T51" s="42" t="str">
        <f t="shared" si="29"/>
        <v/>
      </c>
      <c r="U51" s="90">
        <f t="shared" si="30"/>
        <v>0</v>
      </c>
      <c r="V51" s="42" t="str">
        <f t="shared" si="31"/>
        <v/>
      </c>
      <c r="W51" s="90"/>
      <c r="X51" s="90">
        <f t="shared" si="32"/>
        <v>0</v>
      </c>
      <c r="Y51" s="90"/>
      <c r="Z51" s="90">
        <f t="shared" si="33"/>
        <v>0</v>
      </c>
      <c r="AA51" s="14" t="str">
        <f t="shared" si="34"/>
        <v/>
      </c>
      <c r="AB51" s="42" t="str">
        <f t="shared" si="35"/>
        <v/>
      </c>
      <c r="AC51" s="42" t="str">
        <f t="shared" si="36"/>
        <v/>
      </c>
      <c r="AD51" s="42" t="str">
        <f t="shared" si="37"/>
        <v/>
      </c>
      <c r="AE51" s="14" t="str">
        <f t="shared" si="38"/>
        <v/>
      </c>
      <c r="AF51" s="42" t="str">
        <f t="shared" si="39"/>
        <v/>
      </c>
      <c r="AG51" s="42" t="str">
        <f t="shared" si="40"/>
        <v/>
      </c>
      <c r="AH51" s="42" t="str">
        <f t="shared" si="41"/>
        <v/>
      </c>
      <c r="AI51" s="90" t="str">
        <f>IF(SUM($AC51)=0,"",INDEX(Cascade!$BG:$BG,MATCH($E51,Cascade!$E:$E,0)))</f>
        <v/>
      </c>
      <c r="AJ51" s="42" t="str">
        <f t="shared" si="42"/>
        <v/>
      </c>
      <c r="AK51" s="42" t="str">
        <f t="shared" si="43"/>
        <v/>
      </c>
      <c r="AL51" s="42" t="str">
        <f t="shared" si="44"/>
        <v/>
      </c>
      <c r="AM51" s="42" t="str">
        <f t="shared" si="45"/>
        <v/>
      </c>
      <c r="AN51" s="42" t="str">
        <f t="shared" si="46"/>
        <v/>
      </c>
      <c r="AO51" s="14" t="str">
        <f t="shared" si="47"/>
        <v/>
      </c>
      <c r="AP51" s="90"/>
      <c r="AQ51" s="90" t="str">
        <f t="shared" si="48"/>
        <v/>
      </c>
      <c r="AR51" s="90" t="str">
        <f>IF(SUM($AO51)=0,"",INDEX(Cascade!$BG:$BG,MATCH($E51,Cascade!$E:$E,0)))</f>
        <v/>
      </c>
      <c r="AS51" s="42" t="str">
        <f t="shared" si="49"/>
        <v/>
      </c>
      <c r="AT51" s="42" t="str">
        <f t="shared" si="50"/>
        <v/>
      </c>
      <c r="AU51" s="14" t="str">
        <f t="shared" si="51"/>
        <v/>
      </c>
      <c r="AV51" s="14" t="str">
        <f t="shared" si="52"/>
        <v/>
      </c>
      <c r="AW51" s="14" t="str">
        <f>IFERROR(1/(1/INDEX(Cascade!$BH:$BH,MATCH($E51,Cascade!$E:$E,0))),"")</f>
        <v/>
      </c>
      <c r="AX51" s="14" t="str">
        <f t="shared" si="53"/>
        <v/>
      </c>
      <c r="AY51" s="14" t="str">
        <f t="shared" si="54"/>
        <v/>
      </c>
      <c r="AZ51" s="14" t="str">
        <f>IFERROR(1/(1/INDEX(TB!$P:$P,MATCH($E51,TB!$E:$E,0))),"")</f>
        <v/>
      </c>
      <c r="BA51" s="14" t="str">
        <f t="shared" si="55"/>
        <v/>
      </c>
    </row>
    <row r="52" spans="1:53" x14ac:dyDescent="0.2">
      <c r="A52" t="str">
        <f>INDEX(Prioritization!$D:$D,MATCH($B52,Prioritization!$A:$A,0))</f>
        <v>INVALID</v>
      </c>
      <c r="B52" t="s">
        <v>200</v>
      </c>
      <c r="C52" t="s">
        <v>365</v>
      </c>
      <c r="D52" t="s">
        <v>29</v>
      </c>
      <c r="E52" t="str">
        <f t="shared" si="28"/>
        <v>Ntcheu District [am530wpaGvr]|25-34|Female</v>
      </c>
      <c r="F52" s="14">
        <f>IF(LEFT($B52,4)="_Mil","",INDEX(Cascade!$T:$T,MATCH($E52,Cascade!$E:$E,0)))</f>
        <v>1284</v>
      </c>
      <c r="G52" s="14" t="str">
        <f>IF(LEFT($B52,4)="_Mil","",INDEX(Cascade!$U:$U,MATCH($E52,Cascade!$E:$E,0)))</f>
        <v/>
      </c>
      <c r="H52" s="88">
        <f>IF(LEFT($B52,4)="_Mil","",INDEX(Cascade!$W:$W,MATCH($E52,Cascade!$E:$E,0)))</f>
        <v>1893</v>
      </c>
      <c r="I52" s="14">
        <f>IF(LEFT($B52,4)="_Mil","",INDEX(Cascade!$Z:$Z,MATCH($E52,Cascade!$E:$E,0)))</f>
        <v>1932</v>
      </c>
      <c r="J52" s="90">
        <f>IF(LEFT($B52,4)="_Mil","",INDEX(Cascade!$AA:$AA,MATCH($E52,Cascade!$E:$E,0)))</f>
        <v>1115</v>
      </c>
      <c r="K52" s="42">
        <f>IF(LEFT($B52,4)="_Mil","",_xlfn.IFNA(ROUND(INDEX(Spectrum!$N:$N,MATCH(RIGHT($B52,13)&amp;"|"&amp;$C52&amp;"|"&amp;$D52&amp;"|"&amp;K$14&amp;"|"&amp;"CY2023Q3",Spectrum!$R:$R,0)),0),""))</f>
        <v>592</v>
      </c>
      <c r="L52" s="42" t="str">
        <f>IF(LEFT($B52,4)="_Mil","",_xlfn.IFNA(ROUND(INDEX(Spectrum!$N:$N,MATCH(RIGHT($B52,13)&amp;"|"&amp;$C52&amp;"|"&amp;$D52&amp;"|"&amp;L$14&amp;"|"&amp;"CY2023Q3",Spectrum!$R:$R,0)),0),""))</f>
        <v/>
      </c>
      <c r="M52" s="42">
        <f>IF(LEFT($B52,4)="_Mil","",_xlfn.IFNA(ROUND(INDEX(Spectrum!$N:$N,MATCH(RIGHT($B52,13)&amp;"|"&amp;$C52&amp;"|"&amp;$D52&amp;"|"&amp;M$14&amp;"|"&amp;"CY2023Q3",Spectrum!$R:$R,0)),0),""))</f>
        <v>1777</v>
      </c>
      <c r="N52" s="42">
        <f>IF(LEFT($B52,4)="_Mil","",_xlfn.IFNA(ROUND(INDEX(Spectrum!$N:$N,MATCH(RIGHT($B52,13)&amp;"|"&amp;$C52&amp;"|"&amp;$D52&amp;"|"&amp;N$14&amp;"|"&amp;"CY2023Q3",Spectrum!$R:$R,0)),0),""))</f>
        <v>1548</v>
      </c>
      <c r="O52" s="42">
        <f>IF(LEFT($B52,4)="_Mil","",_xlfn.IFNA(ROUND(INDEX(Spectrum!$N:$N,MATCH(RIGHT($B52,13)&amp;"|"&amp;$C52&amp;"|"&amp;$D52&amp;"|"&amp;O$14&amp;"|"&amp;"CY2023Q3",Spectrum!$R:$R,0)),0),""))</f>
        <v>999</v>
      </c>
      <c r="P52" s="42">
        <f>IF(LEFT($B52,4)="_Mil","",_xlfn.IFNA(ROUND(INDEX(Spectrum!$N:$N,MATCH(RIGHT($B52,13)&amp;"|"&amp;$C52&amp;"|"&amp;$D52&amp;"|"&amp;P$14&amp;"|"&amp;"CY2023Q3",Spectrum!$R:$R,0)),0),""))</f>
        <v>894</v>
      </c>
      <c r="Q52" s="42" t="str">
        <f>IF(LEFT($B52,4)="_Mil","",_xlfn.IFNA(ROUND(INDEX(Spectrum!$N:$N,MATCH(RIGHT($B52,13)&amp;"|"&amp;$C52&amp;"|"&amp;$D52&amp;"|"&amp;Q$14&amp;"|"&amp;"CY2022Q3",Spectrum!$R:$R,0)),0),""))</f>
        <v/>
      </c>
      <c r="R52" s="14"/>
      <c r="S52" s="90">
        <f>0</f>
        <v>0</v>
      </c>
      <c r="T52" s="42" t="str">
        <f t="shared" si="29"/>
        <v/>
      </c>
      <c r="U52" s="90">
        <f t="shared" si="30"/>
        <v>0</v>
      </c>
      <c r="V52" s="42" t="str">
        <f t="shared" si="31"/>
        <v/>
      </c>
      <c r="W52" s="90"/>
      <c r="X52" s="90">
        <f t="shared" si="32"/>
        <v>0</v>
      </c>
      <c r="Y52" s="90"/>
      <c r="Z52" s="90">
        <f t="shared" si="33"/>
        <v>0</v>
      </c>
      <c r="AA52" s="14" t="str">
        <f t="shared" si="34"/>
        <v/>
      </c>
      <c r="AB52" s="42" t="str">
        <f t="shared" si="35"/>
        <v/>
      </c>
      <c r="AC52" s="42" t="str">
        <f t="shared" si="36"/>
        <v/>
      </c>
      <c r="AD52" s="42" t="str">
        <f t="shared" si="37"/>
        <v/>
      </c>
      <c r="AE52" s="14" t="str">
        <f t="shared" si="38"/>
        <v/>
      </c>
      <c r="AF52" s="42" t="str">
        <f t="shared" si="39"/>
        <v/>
      </c>
      <c r="AG52" s="42" t="str">
        <f t="shared" si="40"/>
        <v/>
      </c>
      <c r="AH52" s="42" t="str">
        <f t="shared" si="41"/>
        <v/>
      </c>
      <c r="AI52" s="90" t="str">
        <f>IF(SUM($AC52)=0,"",INDEX(Cascade!$BG:$BG,MATCH($E52,Cascade!$E:$E,0)))</f>
        <v/>
      </c>
      <c r="AJ52" s="42" t="str">
        <f t="shared" si="42"/>
        <v/>
      </c>
      <c r="AK52" s="42" t="str">
        <f t="shared" si="43"/>
        <v/>
      </c>
      <c r="AL52" s="42" t="str">
        <f t="shared" si="44"/>
        <v/>
      </c>
      <c r="AM52" s="42" t="str">
        <f t="shared" si="45"/>
        <v/>
      </c>
      <c r="AN52" s="42" t="str">
        <f t="shared" si="46"/>
        <v/>
      </c>
      <c r="AO52" s="14" t="str">
        <f t="shared" si="47"/>
        <v/>
      </c>
      <c r="AP52" s="90"/>
      <c r="AQ52" s="90" t="str">
        <f t="shared" si="48"/>
        <v/>
      </c>
      <c r="AR52" s="90" t="str">
        <f>IF(SUM($AO52)=0,"",INDEX(Cascade!$BG:$BG,MATCH($E52,Cascade!$E:$E,0)))</f>
        <v/>
      </c>
      <c r="AS52" s="42" t="str">
        <f t="shared" si="49"/>
        <v/>
      </c>
      <c r="AT52" s="42" t="str">
        <f t="shared" si="50"/>
        <v/>
      </c>
      <c r="AU52" s="14" t="str">
        <f t="shared" si="51"/>
        <v/>
      </c>
      <c r="AV52" s="14" t="str">
        <f t="shared" si="52"/>
        <v/>
      </c>
      <c r="AW52" s="14" t="str">
        <f>IFERROR(1/(1/INDEX(Cascade!$BH:$BH,MATCH($E52,Cascade!$E:$E,0))),"")</f>
        <v/>
      </c>
      <c r="AX52" s="14" t="str">
        <f t="shared" si="53"/>
        <v/>
      </c>
      <c r="AY52" s="14" t="str">
        <f t="shared" si="54"/>
        <v/>
      </c>
      <c r="AZ52" s="14" t="str">
        <f>IFERROR(1/(1/INDEX(TB!$P:$P,MATCH($E52,TB!$E:$E,0))),"")</f>
        <v/>
      </c>
      <c r="BA52" s="14" t="str">
        <f t="shared" si="55"/>
        <v/>
      </c>
    </row>
    <row r="53" spans="1:53" x14ac:dyDescent="0.2">
      <c r="A53" t="str">
        <f>INDEX(Prioritization!$D:$D,MATCH($B53,Prioritization!$A:$A,0))</f>
        <v>INVALID</v>
      </c>
      <c r="B53" t="s">
        <v>200</v>
      </c>
      <c r="C53" t="s">
        <v>366</v>
      </c>
      <c r="D53" t="s">
        <v>29</v>
      </c>
      <c r="E53" t="str">
        <f t="shared" si="28"/>
        <v>Ntcheu District [am530wpaGvr]|35-49|Female</v>
      </c>
      <c r="F53" s="14">
        <f>IF(LEFT($B53,4)="_Mil","",INDEX(Cascade!$T:$T,MATCH($E53,Cascade!$E:$E,0)))</f>
        <v>874</v>
      </c>
      <c r="G53" s="14" t="str">
        <f>IF(LEFT($B53,4)="_Mil","",INDEX(Cascade!$U:$U,MATCH($E53,Cascade!$E:$E,0)))</f>
        <v/>
      </c>
      <c r="H53" s="88">
        <f>IF(LEFT($B53,4)="_Mil","",INDEX(Cascade!$W:$W,MATCH($E53,Cascade!$E:$E,0)))</f>
        <v>715</v>
      </c>
      <c r="I53" s="14">
        <f>IF(LEFT($B53,4)="_Mil","",INDEX(Cascade!$Z:$Z,MATCH($E53,Cascade!$E:$E,0)))</f>
        <v>1606</v>
      </c>
      <c r="J53" s="90">
        <f>IF(LEFT($B53,4)="_Mil","",INDEX(Cascade!$AA:$AA,MATCH($E53,Cascade!$E:$E,0)))</f>
        <v>1338</v>
      </c>
      <c r="K53" s="42">
        <f>IF(LEFT($B53,4)="_Mil","",_xlfn.IFNA(ROUND(INDEX(Spectrum!$N:$N,MATCH(RIGHT($B53,13)&amp;"|"&amp;$C53&amp;"|"&amp;$D53&amp;"|"&amp;K$14&amp;"|"&amp;"CY2023Q3",Spectrum!$R:$R,0)),0),""))</f>
        <v>1128</v>
      </c>
      <c r="L53" s="42" t="str">
        <f>IF(LEFT($B53,4)="_Mil","",_xlfn.IFNA(ROUND(INDEX(Spectrum!$N:$N,MATCH(RIGHT($B53,13)&amp;"|"&amp;$C53&amp;"|"&amp;$D53&amp;"|"&amp;L$14&amp;"|"&amp;"CY2023Q3",Spectrum!$R:$R,0)),0),""))</f>
        <v/>
      </c>
      <c r="M53" s="42">
        <f>IF(LEFT($B53,4)="_Mil","",_xlfn.IFNA(ROUND(INDEX(Spectrum!$N:$N,MATCH(RIGHT($B53,13)&amp;"|"&amp;$C53&amp;"|"&amp;$D53&amp;"|"&amp;M$14&amp;"|"&amp;"CY2023Q3",Spectrum!$R:$R,0)),0),""))</f>
        <v>1409</v>
      </c>
      <c r="N53" s="42">
        <f>IF(LEFT($B53,4)="_Mil","",_xlfn.IFNA(ROUND(INDEX(Spectrum!$N:$N,MATCH(RIGHT($B53,13)&amp;"|"&amp;$C53&amp;"|"&amp;$D53&amp;"|"&amp;N$14&amp;"|"&amp;"CY2023Q3",Spectrum!$R:$R,0)),0),""))</f>
        <v>690</v>
      </c>
      <c r="O53" s="42">
        <f>IF(LEFT($B53,4)="_Mil","",_xlfn.IFNA(ROUND(INDEX(Spectrum!$N:$N,MATCH(RIGHT($B53,13)&amp;"|"&amp;$C53&amp;"|"&amp;$D53&amp;"|"&amp;O$14&amp;"|"&amp;"CY2023Q3",Spectrum!$R:$R,0)),0),""))</f>
        <v>1906</v>
      </c>
      <c r="P53" s="42">
        <f>IF(LEFT($B53,4)="_Mil","",_xlfn.IFNA(ROUND(INDEX(Spectrum!$N:$N,MATCH(RIGHT($B53,13)&amp;"|"&amp;$C53&amp;"|"&amp;$D53&amp;"|"&amp;P$14&amp;"|"&amp;"CY2023Q3",Spectrum!$R:$R,0)),0),""))</f>
        <v>1017</v>
      </c>
      <c r="Q53" s="42" t="str">
        <f>IF(LEFT($B53,4)="_Mil","",_xlfn.IFNA(ROUND(INDEX(Spectrum!$N:$N,MATCH(RIGHT($B53,13)&amp;"|"&amp;$C53&amp;"|"&amp;$D53&amp;"|"&amp;Q$14&amp;"|"&amp;"CY2022Q3",Spectrum!$R:$R,0)),0),""))</f>
        <v/>
      </c>
      <c r="R53" s="14"/>
      <c r="S53" s="90">
        <f>0</f>
        <v>0</v>
      </c>
      <c r="T53" s="42" t="str">
        <f t="shared" si="29"/>
        <v/>
      </c>
      <c r="U53" s="90">
        <f t="shared" si="30"/>
        <v>0</v>
      </c>
      <c r="V53" s="42" t="str">
        <f t="shared" si="31"/>
        <v/>
      </c>
      <c r="W53" s="90"/>
      <c r="X53" s="90">
        <f t="shared" si="32"/>
        <v>0</v>
      </c>
      <c r="Y53" s="90"/>
      <c r="Z53" s="90">
        <f t="shared" si="33"/>
        <v>0</v>
      </c>
      <c r="AA53" s="14" t="str">
        <f t="shared" si="34"/>
        <v/>
      </c>
      <c r="AB53" s="42" t="str">
        <f t="shared" si="35"/>
        <v/>
      </c>
      <c r="AC53" s="42" t="str">
        <f t="shared" si="36"/>
        <v/>
      </c>
      <c r="AD53" s="42" t="str">
        <f t="shared" si="37"/>
        <v/>
      </c>
      <c r="AE53" s="14" t="str">
        <f t="shared" si="38"/>
        <v/>
      </c>
      <c r="AF53" s="42" t="str">
        <f t="shared" si="39"/>
        <v/>
      </c>
      <c r="AG53" s="42" t="str">
        <f t="shared" si="40"/>
        <v/>
      </c>
      <c r="AH53" s="42" t="str">
        <f t="shared" si="41"/>
        <v/>
      </c>
      <c r="AI53" s="90" t="str">
        <f>IF(SUM($AC53)=0,"",INDEX(Cascade!$BG:$BG,MATCH($E53,Cascade!$E:$E,0)))</f>
        <v/>
      </c>
      <c r="AJ53" s="42" t="str">
        <f t="shared" si="42"/>
        <v/>
      </c>
      <c r="AK53" s="42" t="str">
        <f t="shared" si="43"/>
        <v/>
      </c>
      <c r="AL53" s="42" t="str">
        <f t="shared" si="44"/>
        <v/>
      </c>
      <c r="AM53" s="42" t="str">
        <f t="shared" si="45"/>
        <v/>
      </c>
      <c r="AN53" s="42" t="str">
        <f t="shared" si="46"/>
        <v/>
      </c>
      <c r="AO53" s="14" t="str">
        <f t="shared" si="47"/>
        <v/>
      </c>
      <c r="AP53" s="90"/>
      <c r="AQ53" s="90" t="str">
        <f t="shared" si="48"/>
        <v/>
      </c>
      <c r="AR53" s="90" t="str">
        <f>IF(SUM($AO53)=0,"",INDEX(Cascade!$BG:$BG,MATCH($E53,Cascade!$E:$E,0)))</f>
        <v/>
      </c>
      <c r="AS53" s="42" t="str">
        <f t="shared" si="49"/>
        <v/>
      </c>
      <c r="AT53" s="42" t="str">
        <f t="shared" si="50"/>
        <v/>
      </c>
      <c r="AU53" s="14" t="str">
        <f t="shared" si="51"/>
        <v/>
      </c>
      <c r="AV53" s="14" t="str">
        <f t="shared" si="52"/>
        <v/>
      </c>
      <c r="AW53" s="14" t="str">
        <f>IFERROR(1/(1/INDEX(Cascade!$BH:$BH,MATCH($E53,Cascade!$E:$E,0))),"")</f>
        <v/>
      </c>
      <c r="AX53" s="14" t="str">
        <f t="shared" si="53"/>
        <v/>
      </c>
      <c r="AY53" s="14" t="str">
        <f t="shared" si="54"/>
        <v/>
      </c>
      <c r="AZ53" s="14" t="str">
        <f>IFERROR(1/(1/INDEX(TB!$P:$P,MATCH($E53,TB!$E:$E,0))),"")</f>
        <v/>
      </c>
      <c r="BA53" s="14" t="str">
        <f t="shared" si="55"/>
        <v/>
      </c>
    </row>
    <row r="54" spans="1:53" x14ac:dyDescent="0.2">
      <c r="A54" t="str">
        <f>INDEX(Prioritization!$D:$D,MATCH($B54,Prioritization!$A:$A,0))</f>
        <v>INVALID</v>
      </c>
      <c r="B54" t="s">
        <v>200</v>
      </c>
      <c r="C54" t="s">
        <v>367</v>
      </c>
      <c r="D54" t="s">
        <v>29</v>
      </c>
      <c r="E54" t="str">
        <f t="shared" si="28"/>
        <v>Ntcheu District [am530wpaGvr]|50+|Female</v>
      </c>
      <c r="F54" s="14">
        <f>IF(LEFT($B54,4)="_Mil","",INDEX(Cascade!$T:$T,MATCH($E54,Cascade!$E:$E,0)))</f>
        <v>1391</v>
      </c>
      <c r="G54" s="14" t="str">
        <f>IF(LEFT($B54,4)="_Mil","",INDEX(Cascade!$U:$U,MATCH($E54,Cascade!$E:$E,0)))</f>
        <v/>
      </c>
      <c r="H54" s="88">
        <f>IF(LEFT($B54,4)="_Mil","",INDEX(Cascade!$W:$W,MATCH($E54,Cascade!$E:$E,0)))</f>
        <v>928</v>
      </c>
      <c r="I54" s="14">
        <f>IF(LEFT($B54,4)="_Mil","",INDEX(Cascade!$Z:$Z,MATCH($E54,Cascade!$E:$E,0)))</f>
        <v>726</v>
      </c>
      <c r="J54" s="90">
        <f>IF(LEFT($B54,4)="_Mil","",INDEX(Cascade!$AA:$AA,MATCH($E54,Cascade!$E:$E,0)))</f>
        <v>1518</v>
      </c>
      <c r="K54" s="42" t="str">
        <f>IF(LEFT($B54,4)="_Mil","",_xlfn.IFNA(ROUND(INDEX(Spectrum!$N:$N,MATCH(RIGHT($B54,13)&amp;"|"&amp;$C54&amp;"|"&amp;$D54&amp;"|"&amp;K$14&amp;"|"&amp;"CY2023Q3",Spectrum!$R:$R,0)),0),""))</f>
        <v/>
      </c>
      <c r="L54" s="42" t="str">
        <f>IF(LEFT($B54,4)="_Mil","",_xlfn.IFNA(ROUND(INDEX(Spectrum!$N:$N,MATCH(RIGHT($B54,13)&amp;"|"&amp;$C54&amp;"|"&amp;$D54&amp;"|"&amp;L$14&amp;"|"&amp;"CY2023Q3",Spectrum!$R:$R,0)),0),""))</f>
        <v/>
      </c>
      <c r="M54" s="42" t="str">
        <f>IF(LEFT($B54,4)="_Mil","",_xlfn.IFNA(ROUND(INDEX(Spectrum!$N:$N,MATCH(RIGHT($B54,13)&amp;"|"&amp;$C54&amp;"|"&amp;$D54&amp;"|"&amp;M$14&amp;"|"&amp;"CY2023Q3",Spectrum!$R:$R,0)),0),""))</f>
        <v/>
      </c>
      <c r="N54" s="42" t="str">
        <f>IF(LEFT($B54,4)="_Mil","",_xlfn.IFNA(ROUND(INDEX(Spectrum!$N:$N,MATCH(RIGHT($B54,13)&amp;"|"&amp;$C54&amp;"|"&amp;$D54&amp;"|"&amp;N$14&amp;"|"&amp;"CY2023Q3",Spectrum!$R:$R,0)),0),""))</f>
        <v/>
      </c>
      <c r="O54" s="42" t="str">
        <f>IF(LEFT($B54,4)="_Mil","",_xlfn.IFNA(ROUND(INDEX(Spectrum!$N:$N,MATCH(RIGHT($B54,13)&amp;"|"&amp;$C54&amp;"|"&amp;$D54&amp;"|"&amp;O$14&amp;"|"&amp;"CY2023Q3",Spectrum!$R:$R,0)),0),""))</f>
        <v/>
      </c>
      <c r="P54" s="42" t="str">
        <f>IF(LEFT($B54,4)="_Mil","",_xlfn.IFNA(ROUND(INDEX(Spectrum!$N:$N,MATCH(RIGHT($B54,13)&amp;"|"&amp;$C54&amp;"|"&amp;$D54&amp;"|"&amp;P$14&amp;"|"&amp;"CY2023Q3",Spectrum!$R:$R,0)),0),""))</f>
        <v/>
      </c>
      <c r="Q54" s="42" t="str">
        <f>IF(LEFT($B54,4)="_Mil","",_xlfn.IFNA(ROUND(INDEX(Spectrum!$N:$N,MATCH(RIGHT($B54,13)&amp;"|"&amp;$C54&amp;"|"&amp;$D54&amp;"|"&amp;Q$14&amp;"|"&amp;"CY2022Q3",Spectrum!$R:$R,0)),0),""))</f>
        <v/>
      </c>
      <c r="R54" s="14"/>
      <c r="S54" s="90">
        <f>0</f>
        <v>0</v>
      </c>
      <c r="T54" s="42" t="str">
        <f t="shared" si="29"/>
        <v/>
      </c>
      <c r="U54" s="90" t="str">
        <f t="shared" si="30"/>
        <v/>
      </c>
      <c r="V54" s="42" t="str">
        <f t="shared" si="31"/>
        <v/>
      </c>
      <c r="W54" s="90"/>
      <c r="X54" s="90" t="str">
        <f t="shared" si="32"/>
        <v/>
      </c>
      <c r="Y54" s="90"/>
      <c r="Z54" s="90" t="str">
        <f t="shared" si="33"/>
        <v/>
      </c>
      <c r="AA54" s="14" t="str">
        <f t="shared" si="34"/>
        <v/>
      </c>
      <c r="AB54" s="42" t="str">
        <f t="shared" si="35"/>
        <v/>
      </c>
      <c r="AC54" s="42" t="str">
        <f t="shared" si="36"/>
        <v/>
      </c>
      <c r="AD54" s="42" t="str">
        <f t="shared" si="37"/>
        <v/>
      </c>
      <c r="AE54" s="14" t="str">
        <f t="shared" si="38"/>
        <v/>
      </c>
      <c r="AF54" s="42" t="str">
        <f t="shared" si="39"/>
        <v/>
      </c>
      <c r="AG54" s="42" t="str">
        <f t="shared" si="40"/>
        <v/>
      </c>
      <c r="AH54" s="42" t="str">
        <f t="shared" si="41"/>
        <v/>
      </c>
      <c r="AI54" s="90" t="str">
        <f>IF(SUM($AC54)=0,"",INDEX(Cascade!$BG:$BG,MATCH($E54,Cascade!$E:$E,0)))</f>
        <v/>
      </c>
      <c r="AJ54" s="42" t="str">
        <f t="shared" si="42"/>
        <v/>
      </c>
      <c r="AK54" s="42" t="str">
        <f t="shared" si="43"/>
        <v/>
      </c>
      <c r="AL54" s="42" t="str">
        <f t="shared" si="44"/>
        <v/>
      </c>
      <c r="AM54" s="42" t="str">
        <f t="shared" si="45"/>
        <v/>
      </c>
      <c r="AN54" s="42" t="str">
        <f t="shared" si="46"/>
        <v/>
      </c>
      <c r="AO54" s="14" t="str">
        <f t="shared" si="47"/>
        <v/>
      </c>
      <c r="AP54" s="90"/>
      <c r="AQ54" s="90" t="str">
        <f t="shared" si="48"/>
        <v/>
      </c>
      <c r="AR54" s="90" t="str">
        <f>IF(SUM($AO54)=0,"",INDEX(Cascade!$BG:$BG,MATCH($E54,Cascade!$E:$E,0)))</f>
        <v/>
      </c>
      <c r="AS54" s="42" t="str">
        <f t="shared" si="49"/>
        <v/>
      </c>
      <c r="AT54" s="42" t="str">
        <f t="shared" si="50"/>
        <v/>
      </c>
      <c r="AU54" s="14" t="str">
        <f t="shared" si="51"/>
        <v/>
      </c>
      <c r="AV54" s="14" t="str">
        <f t="shared" si="52"/>
        <v/>
      </c>
      <c r="AW54" s="14" t="str">
        <f>IFERROR(1/(1/INDEX(Cascade!$BH:$BH,MATCH($E54,Cascade!$E:$E,0))),"")</f>
        <v/>
      </c>
      <c r="AX54" s="14" t="str">
        <f t="shared" si="53"/>
        <v/>
      </c>
      <c r="AY54" s="14" t="str">
        <f t="shared" si="54"/>
        <v/>
      </c>
      <c r="AZ54" s="14" t="str">
        <f>IFERROR(1/(1/INDEX(TB!$P:$P,MATCH($E54,TB!$E:$E,0))),"")</f>
        <v/>
      </c>
      <c r="BA54" s="14" t="str">
        <f t="shared" si="55"/>
        <v/>
      </c>
    </row>
    <row r="55" spans="1:53" x14ac:dyDescent="0.2">
      <c r="A55" t="str">
        <f>INDEX(Prioritization!$D:$D,MATCH($B55,Prioritization!$A:$A,0))</f>
        <v>INVALID</v>
      </c>
      <c r="B55" t="s">
        <v>201</v>
      </c>
      <c r="C55" t="s">
        <v>363</v>
      </c>
      <c r="D55" t="s">
        <v>29</v>
      </c>
      <c r="E55" t="str">
        <f t="shared" si="28"/>
        <v>Ntchisi District [fiRkU6gEjLz]|10-14|Female</v>
      </c>
      <c r="F55" s="14">
        <f>IF(LEFT($B55,4)="_Mil","",INDEX(Cascade!$T:$T,MATCH($E55,Cascade!$E:$E,0)))</f>
        <v>610</v>
      </c>
      <c r="G55" s="14" t="str">
        <f>IF(LEFT($B55,4)="_Mil","",INDEX(Cascade!$U:$U,MATCH($E55,Cascade!$E:$E,0)))</f>
        <v/>
      </c>
      <c r="H55" s="88">
        <f>IF(LEFT($B55,4)="_Mil","",INDEX(Cascade!$W:$W,MATCH($E55,Cascade!$E:$E,0)))</f>
        <v>1056</v>
      </c>
      <c r="I55" s="14">
        <f>IF(LEFT($B55,4)="_Mil","",INDEX(Cascade!$Z:$Z,MATCH($E55,Cascade!$E:$E,0)))</f>
        <v>574</v>
      </c>
      <c r="J55" s="90">
        <f>IF(LEFT($B55,4)="_Mil","",INDEX(Cascade!$AA:$AA,MATCH($E55,Cascade!$E:$E,0)))</f>
        <v>1332</v>
      </c>
      <c r="K55" s="42" t="str">
        <f>IF(LEFT($B55,4)="_Mil","",_xlfn.IFNA(ROUND(INDEX(Spectrum!$N:$N,MATCH(RIGHT($B55,13)&amp;"|"&amp;$C55&amp;"|"&amp;$D55&amp;"|"&amp;K$14&amp;"|"&amp;"CY2023Q3",Spectrum!$R:$R,0)),0),""))</f>
        <v/>
      </c>
      <c r="L55" s="42" t="str">
        <f>IF(LEFT($B55,4)="_Mil","",_xlfn.IFNA(ROUND(INDEX(Spectrum!$N:$N,MATCH(RIGHT($B55,13)&amp;"|"&amp;$C55&amp;"|"&amp;$D55&amp;"|"&amp;L$14&amp;"|"&amp;"CY2023Q3",Spectrum!$R:$R,0)),0),""))</f>
        <v/>
      </c>
      <c r="M55" s="42" t="str">
        <f>IF(LEFT($B55,4)="_Mil","",_xlfn.IFNA(ROUND(INDEX(Spectrum!$N:$N,MATCH(RIGHT($B55,13)&amp;"|"&amp;$C55&amp;"|"&amp;$D55&amp;"|"&amp;M$14&amp;"|"&amp;"CY2023Q3",Spectrum!$R:$R,0)),0),""))</f>
        <v/>
      </c>
      <c r="N55" s="42" t="str">
        <f>IF(LEFT($B55,4)="_Mil","",_xlfn.IFNA(ROUND(INDEX(Spectrum!$N:$N,MATCH(RIGHT($B55,13)&amp;"|"&amp;$C55&amp;"|"&amp;$D55&amp;"|"&amp;N$14&amp;"|"&amp;"CY2023Q3",Spectrum!$R:$R,0)),0),""))</f>
        <v/>
      </c>
      <c r="O55" s="42" t="str">
        <f>IF(LEFT($B55,4)="_Mil","",_xlfn.IFNA(ROUND(INDEX(Spectrum!$N:$N,MATCH(RIGHT($B55,13)&amp;"|"&amp;$C55&amp;"|"&amp;$D55&amp;"|"&amp;O$14&amp;"|"&amp;"CY2023Q3",Spectrum!$R:$R,0)),0),""))</f>
        <v/>
      </c>
      <c r="P55" s="42" t="str">
        <f>IF(LEFT($B55,4)="_Mil","",_xlfn.IFNA(ROUND(INDEX(Spectrum!$N:$N,MATCH(RIGHT($B55,13)&amp;"|"&amp;$C55&amp;"|"&amp;$D55&amp;"|"&amp;P$14&amp;"|"&amp;"CY2023Q3",Spectrum!$R:$R,0)),0),""))</f>
        <v/>
      </c>
      <c r="Q55" s="42" t="str">
        <f>IF(LEFT($B55,4)="_Mil","",_xlfn.IFNA(ROUND(INDEX(Spectrum!$N:$N,MATCH(RIGHT($B55,13)&amp;"|"&amp;$C55&amp;"|"&amp;$D55&amp;"|"&amp;Q$14&amp;"|"&amp;"CY2022Q3",Spectrum!$R:$R,0)),0),""))</f>
        <v/>
      </c>
      <c r="R55" s="14">
        <v>5</v>
      </c>
      <c r="S55" s="90">
        <f>0</f>
        <v>0</v>
      </c>
      <c r="T55" s="42">
        <f t="shared" si="29"/>
        <v>5</v>
      </c>
      <c r="U55" s="90">
        <f t="shared" si="30"/>
        <v>1</v>
      </c>
      <c r="V55" s="42">
        <f t="shared" si="31"/>
        <v>5</v>
      </c>
      <c r="W55" s="90"/>
      <c r="X55" s="90" t="str">
        <f t="shared" si="32"/>
        <v/>
      </c>
      <c r="Y55" s="90"/>
      <c r="Z55" s="90" t="str">
        <f t="shared" si="33"/>
        <v/>
      </c>
      <c r="AA55" s="14">
        <f t="shared" si="34"/>
        <v>5</v>
      </c>
      <c r="AB55" s="42" t="str">
        <f t="shared" si="35"/>
        <v>ENTER KNOWN POSITIVITY RATE</v>
      </c>
      <c r="AC55" s="42" t="str">
        <f t="shared" si="36"/>
        <v>ENTER YIELD RATE</v>
      </c>
      <c r="AD55" s="42">
        <f t="shared" si="37"/>
        <v>5</v>
      </c>
      <c r="AE55" s="14">
        <f t="shared" si="38"/>
        <v>5</v>
      </c>
      <c r="AF55" s="42">
        <f t="shared" si="39"/>
        <v>0</v>
      </c>
      <c r="AG55" s="42">
        <f t="shared" si="40"/>
        <v>0</v>
      </c>
      <c r="AH55" s="42">
        <f t="shared" si="41"/>
        <v>5</v>
      </c>
      <c r="AI55" s="90" t="str">
        <f>IF(SUM($AC55)=0,"",INDEX(Cascade!$BG:$BG,MATCH($E55,Cascade!$E:$E,0)))</f>
        <v/>
      </c>
      <c r="AJ55" s="42" t="str">
        <f t="shared" si="42"/>
        <v>ENTER KNOWN POSITIVITY RATE</v>
      </c>
      <c r="AK55" s="42" t="str">
        <f t="shared" si="43"/>
        <v/>
      </c>
      <c r="AL55" s="42" t="str">
        <f t="shared" si="44"/>
        <v/>
      </c>
      <c r="AM55" s="42">
        <f t="shared" si="45"/>
        <v>0</v>
      </c>
      <c r="AN55" s="42" t="str">
        <f t="shared" si="46"/>
        <v/>
      </c>
      <c r="AO55" s="14">
        <f t="shared" si="47"/>
        <v>5</v>
      </c>
      <c r="AP55" s="90"/>
      <c r="AQ55" s="90" t="str">
        <f t="shared" si="48"/>
        <v/>
      </c>
      <c r="AR55" s="90">
        <f>IF(SUM($AO55)=0,"",INDEX(Cascade!$BG:$BG,MATCH($E55,Cascade!$E:$E,0)))</f>
        <v>0.95</v>
      </c>
      <c r="AS55" s="42" t="str">
        <f t="shared" si="49"/>
        <v>ENTER YIELD RATE</v>
      </c>
      <c r="AT55" s="42">
        <f t="shared" si="50"/>
        <v>5</v>
      </c>
      <c r="AU55" s="14" t="str">
        <f t="shared" si="51"/>
        <v/>
      </c>
      <c r="AV55" s="14" t="str">
        <f t="shared" si="52"/>
        <v/>
      </c>
      <c r="AW55" s="14">
        <f>IFERROR(1/(1/INDEX(Cascade!$BH:$BH,MATCH($E55,Cascade!$E:$E,0))),"")</f>
        <v>-7</v>
      </c>
      <c r="AX55" s="14" t="str">
        <f t="shared" si="53"/>
        <v/>
      </c>
      <c r="AY55" s="14" t="str">
        <f t="shared" si="54"/>
        <v/>
      </c>
      <c r="AZ55" s="14" t="str">
        <f>IFERROR(1/(1/INDEX(TB!$P:$P,MATCH($E55,TB!$E:$E,0))),"")</f>
        <v/>
      </c>
      <c r="BA55" s="14">
        <f t="shared" si="55"/>
        <v>-7</v>
      </c>
    </row>
    <row r="56" spans="1:53" x14ac:dyDescent="0.2">
      <c r="A56" t="str">
        <f>INDEX(Prioritization!$D:$D,MATCH($B56,Prioritization!$A:$A,0))</f>
        <v>INVALID</v>
      </c>
      <c r="B56" t="s">
        <v>201</v>
      </c>
      <c r="C56" t="s">
        <v>364</v>
      </c>
      <c r="D56" t="s">
        <v>29</v>
      </c>
      <c r="E56" t="str">
        <f t="shared" si="28"/>
        <v>Ntchisi District [fiRkU6gEjLz]|15-24|Female</v>
      </c>
      <c r="F56" s="14">
        <f>IF(LEFT($B56,4)="_Mil","",INDEX(Cascade!$T:$T,MATCH($E56,Cascade!$E:$E,0)))</f>
        <v>677</v>
      </c>
      <c r="G56" s="14" t="str">
        <f>IF(LEFT($B56,4)="_Mil","",INDEX(Cascade!$U:$U,MATCH($E56,Cascade!$E:$E,0)))</f>
        <v/>
      </c>
      <c r="H56" s="88">
        <f>IF(LEFT($B56,4)="_Mil","",INDEX(Cascade!$W:$W,MATCH($E56,Cascade!$E:$E,0)))</f>
        <v>633</v>
      </c>
      <c r="I56" s="14">
        <f>IF(LEFT($B56,4)="_Mil","",INDEX(Cascade!$Z:$Z,MATCH($E56,Cascade!$E:$E,0)))</f>
        <v>639</v>
      </c>
      <c r="J56" s="90">
        <f>IF(LEFT($B56,4)="_Mil","",INDEX(Cascade!$AA:$AA,MATCH($E56,Cascade!$E:$E,0)))</f>
        <v>630</v>
      </c>
      <c r="K56" s="42">
        <f>IF(LEFT($B56,4)="_Mil","",_xlfn.IFNA(ROUND(INDEX(Spectrum!$N:$N,MATCH(RIGHT($B56,13)&amp;"|"&amp;$C56&amp;"|"&amp;$D56&amp;"|"&amp;K$14&amp;"|"&amp;"CY2023Q3",Spectrum!$R:$R,0)),0),""))</f>
        <v>681</v>
      </c>
      <c r="L56" s="42" t="str">
        <f>IF(LEFT($B56,4)="_Mil","",_xlfn.IFNA(ROUND(INDEX(Spectrum!$N:$N,MATCH(RIGHT($B56,13)&amp;"|"&amp;$C56&amp;"|"&amp;$D56&amp;"|"&amp;L$14&amp;"|"&amp;"CY2023Q3",Spectrum!$R:$R,0)),0),""))</f>
        <v/>
      </c>
      <c r="M56" s="42">
        <f>IF(LEFT($B56,4)="_Mil","",_xlfn.IFNA(ROUND(INDEX(Spectrum!$N:$N,MATCH(RIGHT($B56,13)&amp;"|"&amp;$C56&amp;"|"&amp;$D56&amp;"|"&amp;M$14&amp;"|"&amp;"CY2023Q3",Spectrum!$R:$R,0)),0),""))</f>
        <v>703</v>
      </c>
      <c r="N56" s="42">
        <f>IF(LEFT($B56,4)="_Mil","",_xlfn.IFNA(ROUND(INDEX(Spectrum!$N:$N,MATCH(RIGHT($B56,13)&amp;"|"&amp;$C56&amp;"|"&amp;$D56&amp;"|"&amp;N$14&amp;"|"&amp;"CY2023Q3",Spectrum!$R:$R,0)),0),""))</f>
        <v>1664</v>
      </c>
      <c r="O56" s="42">
        <f>IF(LEFT($B56,4)="_Mil","",_xlfn.IFNA(ROUND(INDEX(Spectrum!$N:$N,MATCH(RIGHT($B56,13)&amp;"|"&amp;$C56&amp;"|"&amp;$D56&amp;"|"&amp;O$14&amp;"|"&amp;"CY2023Q3",Spectrum!$R:$R,0)),0),""))</f>
        <v>995</v>
      </c>
      <c r="P56" s="42">
        <f>IF(LEFT($B56,4)="_Mil","",_xlfn.IFNA(ROUND(INDEX(Spectrum!$N:$N,MATCH(RIGHT($B56,13)&amp;"|"&amp;$C56&amp;"|"&amp;$D56&amp;"|"&amp;P$14&amp;"|"&amp;"CY2023Q3",Spectrum!$R:$R,0)),0),""))</f>
        <v>1254</v>
      </c>
      <c r="Q56" s="42" t="str">
        <f>IF(LEFT($B56,4)="_Mil","",_xlfn.IFNA(ROUND(INDEX(Spectrum!$N:$N,MATCH(RIGHT($B56,13)&amp;"|"&amp;$C56&amp;"|"&amp;$D56&amp;"|"&amp;Q$14&amp;"|"&amp;"CY2022Q3",Spectrum!$R:$R,0)),0),""))</f>
        <v/>
      </c>
      <c r="R56" s="14"/>
      <c r="S56" s="90">
        <f>0</f>
        <v>0</v>
      </c>
      <c r="T56" s="42" t="str">
        <f t="shared" si="29"/>
        <v/>
      </c>
      <c r="U56" s="90">
        <f t="shared" si="30"/>
        <v>0</v>
      </c>
      <c r="V56" s="42" t="str">
        <f t="shared" si="31"/>
        <v/>
      </c>
      <c r="W56" s="90"/>
      <c r="X56" s="90">
        <f t="shared" si="32"/>
        <v>0</v>
      </c>
      <c r="Y56" s="90"/>
      <c r="Z56" s="90">
        <f t="shared" si="33"/>
        <v>0</v>
      </c>
      <c r="AA56" s="14" t="str">
        <f t="shared" si="34"/>
        <v/>
      </c>
      <c r="AB56" s="42" t="str">
        <f t="shared" si="35"/>
        <v/>
      </c>
      <c r="AC56" s="42" t="str">
        <f t="shared" si="36"/>
        <v/>
      </c>
      <c r="AD56" s="42" t="str">
        <f t="shared" si="37"/>
        <v/>
      </c>
      <c r="AE56" s="14" t="str">
        <f t="shared" si="38"/>
        <v/>
      </c>
      <c r="AF56" s="42" t="str">
        <f t="shared" si="39"/>
        <v/>
      </c>
      <c r="AG56" s="42" t="str">
        <f t="shared" si="40"/>
        <v/>
      </c>
      <c r="AH56" s="42" t="str">
        <f t="shared" si="41"/>
        <v/>
      </c>
      <c r="AI56" s="90" t="str">
        <f>IF(SUM($AC56)=0,"",INDEX(Cascade!$BG:$BG,MATCH($E56,Cascade!$E:$E,0)))</f>
        <v/>
      </c>
      <c r="AJ56" s="42" t="str">
        <f t="shared" si="42"/>
        <v/>
      </c>
      <c r="AK56" s="42" t="str">
        <f t="shared" si="43"/>
        <v/>
      </c>
      <c r="AL56" s="42" t="str">
        <f t="shared" si="44"/>
        <v/>
      </c>
      <c r="AM56" s="42" t="str">
        <f t="shared" si="45"/>
        <v/>
      </c>
      <c r="AN56" s="42" t="str">
        <f t="shared" si="46"/>
        <v/>
      </c>
      <c r="AO56" s="14" t="str">
        <f t="shared" si="47"/>
        <v/>
      </c>
      <c r="AP56" s="90"/>
      <c r="AQ56" s="90" t="str">
        <f t="shared" si="48"/>
        <v/>
      </c>
      <c r="AR56" s="90" t="str">
        <f>IF(SUM($AO56)=0,"",INDEX(Cascade!$BG:$BG,MATCH($E56,Cascade!$E:$E,0)))</f>
        <v/>
      </c>
      <c r="AS56" s="42" t="str">
        <f t="shared" si="49"/>
        <v/>
      </c>
      <c r="AT56" s="42" t="str">
        <f t="shared" si="50"/>
        <v/>
      </c>
      <c r="AU56" s="14" t="str">
        <f t="shared" si="51"/>
        <v/>
      </c>
      <c r="AV56" s="14" t="str">
        <f t="shared" si="52"/>
        <v/>
      </c>
      <c r="AW56" s="14" t="str">
        <f>IFERROR(1/(1/INDEX(Cascade!$BH:$BH,MATCH($E56,Cascade!$E:$E,0))),"")</f>
        <v/>
      </c>
      <c r="AX56" s="14" t="str">
        <f t="shared" si="53"/>
        <v/>
      </c>
      <c r="AY56" s="14" t="str">
        <f t="shared" si="54"/>
        <v/>
      </c>
      <c r="AZ56" s="14" t="str">
        <f>IFERROR(1/(1/INDEX(TB!$P:$P,MATCH($E56,TB!$E:$E,0))),"")</f>
        <v/>
      </c>
      <c r="BA56" s="14" t="str">
        <f t="shared" si="55"/>
        <v/>
      </c>
    </row>
    <row r="57" spans="1:53" x14ac:dyDescent="0.2">
      <c r="A57" t="str">
        <f>INDEX(Prioritization!$D:$D,MATCH($B57,Prioritization!$A:$A,0))</f>
        <v>INVALID</v>
      </c>
      <c r="B57" t="s">
        <v>201</v>
      </c>
      <c r="C57" t="s">
        <v>365</v>
      </c>
      <c r="D57" t="s">
        <v>29</v>
      </c>
      <c r="E57" t="str">
        <f t="shared" si="28"/>
        <v>Ntchisi District [fiRkU6gEjLz]|25-34|Female</v>
      </c>
      <c r="F57" s="14">
        <f>IF(LEFT($B57,4)="_Mil","",INDEX(Cascade!$T:$T,MATCH($E57,Cascade!$E:$E,0)))</f>
        <v>1015</v>
      </c>
      <c r="G57" s="14" t="str">
        <f>IF(LEFT($B57,4)="_Mil","",INDEX(Cascade!$U:$U,MATCH($E57,Cascade!$E:$E,0)))</f>
        <v/>
      </c>
      <c r="H57" s="88">
        <f>IF(LEFT($B57,4)="_Mil","",INDEX(Cascade!$W:$W,MATCH($E57,Cascade!$E:$E,0)))</f>
        <v>699</v>
      </c>
      <c r="I57" s="14">
        <f>IF(LEFT($B57,4)="_Mil","",INDEX(Cascade!$Z:$Z,MATCH($E57,Cascade!$E:$E,0)))</f>
        <v>1075</v>
      </c>
      <c r="J57" s="90">
        <f>IF(LEFT($B57,4)="_Mil","",INDEX(Cascade!$AA:$AA,MATCH($E57,Cascade!$E:$E,0)))</f>
        <v>1180</v>
      </c>
      <c r="K57" s="42">
        <f>IF(LEFT($B57,4)="_Mil","",_xlfn.IFNA(ROUND(INDEX(Spectrum!$N:$N,MATCH(RIGHT($B57,13)&amp;"|"&amp;$C57&amp;"|"&amp;$D57&amp;"|"&amp;K$14&amp;"|"&amp;"CY2023Q3",Spectrum!$R:$R,0)),0),""))</f>
        <v>1407</v>
      </c>
      <c r="L57" s="42" t="str">
        <f>IF(LEFT($B57,4)="_Mil","",_xlfn.IFNA(ROUND(INDEX(Spectrum!$N:$N,MATCH(RIGHT($B57,13)&amp;"|"&amp;$C57&amp;"|"&amp;$D57&amp;"|"&amp;L$14&amp;"|"&amp;"CY2023Q3",Spectrum!$R:$R,0)),0),""))</f>
        <v/>
      </c>
      <c r="M57" s="42">
        <f>IF(LEFT($B57,4)="_Mil","",_xlfn.IFNA(ROUND(INDEX(Spectrum!$N:$N,MATCH(RIGHT($B57,13)&amp;"|"&amp;$C57&amp;"|"&amp;$D57&amp;"|"&amp;M$14&amp;"|"&amp;"CY2023Q3",Spectrum!$R:$R,0)),0),""))</f>
        <v>1516</v>
      </c>
      <c r="N57" s="42">
        <f>IF(LEFT($B57,4)="_Mil","",_xlfn.IFNA(ROUND(INDEX(Spectrum!$N:$N,MATCH(RIGHT($B57,13)&amp;"|"&amp;$C57&amp;"|"&amp;$D57&amp;"|"&amp;N$14&amp;"|"&amp;"CY2023Q3",Spectrum!$R:$R,0)),0),""))</f>
        <v>1007</v>
      </c>
      <c r="O57" s="42">
        <f>IF(LEFT($B57,4)="_Mil","",_xlfn.IFNA(ROUND(INDEX(Spectrum!$N:$N,MATCH(RIGHT($B57,13)&amp;"|"&amp;$C57&amp;"|"&amp;$D57&amp;"|"&amp;O$14&amp;"|"&amp;"CY2023Q3",Spectrum!$R:$R,0)),0),""))</f>
        <v>1891</v>
      </c>
      <c r="P57" s="42">
        <f>IF(LEFT($B57,4)="_Mil","",_xlfn.IFNA(ROUND(INDEX(Spectrum!$N:$N,MATCH(RIGHT($B57,13)&amp;"|"&amp;$C57&amp;"|"&amp;$D57&amp;"|"&amp;P$14&amp;"|"&amp;"CY2023Q3",Spectrum!$R:$R,0)),0),""))</f>
        <v>500</v>
      </c>
      <c r="Q57" s="42" t="str">
        <f>IF(LEFT($B57,4)="_Mil","",_xlfn.IFNA(ROUND(INDEX(Spectrum!$N:$N,MATCH(RIGHT($B57,13)&amp;"|"&amp;$C57&amp;"|"&amp;$D57&amp;"|"&amp;Q$14&amp;"|"&amp;"CY2022Q3",Spectrum!$R:$R,0)),0),""))</f>
        <v/>
      </c>
      <c r="R57" s="14"/>
      <c r="S57" s="90">
        <f>0</f>
        <v>0</v>
      </c>
      <c r="T57" s="42" t="str">
        <f t="shared" si="29"/>
        <v/>
      </c>
      <c r="U57" s="90">
        <f t="shared" si="30"/>
        <v>0</v>
      </c>
      <c r="V57" s="42" t="str">
        <f t="shared" si="31"/>
        <v/>
      </c>
      <c r="W57" s="90"/>
      <c r="X57" s="90">
        <f t="shared" si="32"/>
        <v>0</v>
      </c>
      <c r="Y57" s="90"/>
      <c r="Z57" s="90">
        <f t="shared" si="33"/>
        <v>0</v>
      </c>
      <c r="AA57" s="14" t="str">
        <f t="shared" si="34"/>
        <v/>
      </c>
      <c r="AB57" s="42" t="str">
        <f t="shared" si="35"/>
        <v/>
      </c>
      <c r="AC57" s="42" t="str">
        <f t="shared" si="36"/>
        <v/>
      </c>
      <c r="AD57" s="42" t="str">
        <f t="shared" si="37"/>
        <v/>
      </c>
      <c r="AE57" s="14" t="str">
        <f t="shared" si="38"/>
        <v/>
      </c>
      <c r="AF57" s="42" t="str">
        <f t="shared" si="39"/>
        <v/>
      </c>
      <c r="AG57" s="42" t="str">
        <f t="shared" si="40"/>
        <v/>
      </c>
      <c r="AH57" s="42" t="str">
        <f t="shared" si="41"/>
        <v/>
      </c>
      <c r="AI57" s="90" t="str">
        <f>IF(SUM($AC57)=0,"",INDEX(Cascade!$BG:$BG,MATCH($E57,Cascade!$E:$E,0)))</f>
        <v/>
      </c>
      <c r="AJ57" s="42" t="str">
        <f t="shared" si="42"/>
        <v/>
      </c>
      <c r="AK57" s="42" t="str">
        <f t="shared" si="43"/>
        <v/>
      </c>
      <c r="AL57" s="42" t="str">
        <f t="shared" si="44"/>
        <v/>
      </c>
      <c r="AM57" s="42" t="str">
        <f t="shared" si="45"/>
        <v/>
      </c>
      <c r="AN57" s="42" t="str">
        <f t="shared" si="46"/>
        <v/>
      </c>
      <c r="AO57" s="14" t="str">
        <f t="shared" si="47"/>
        <v/>
      </c>
      <c r="AP57" s="90"/>
      <c r="AQ57" s="90" t="str">
        <f t="shared" si="48"/>
        <v/>
      </c>
      <c r="AR57" s="90" t="str">
        <f>IF(SUM($AO57)=0,"",INDEX(Cascade!$BG:$BG,MATCH($E57,Cascade!$E:$E,0)))</f>
        <v/>
      </c>
      <c r="AS57" s="42" t="str">
        <f t="shared" si="49"/>
        <v/>
      </c>
      <c r="AT57" s="42" t="str">
        <f t="shared" si="50"/>
        <v/>
      </c>
      <c r="AU57" s="14" t="str">
        <f t="shared" si="51"/>
        <v/>
      </c>
      <c r="AV57" s="14" t="str">
        <f t="shared" si="52"/>
        <v/>
      </c>
      <c r="AW57" s="14" t="str">
        <f>IFERROR(1/(1/INDEX(Cascade!$BH:$BH,MATCH($E57,Cascade!$E:$E,0))),"")</f>
        <v/>
      </c>
      <c r="AX57" s="14" t="str">
        <f t="shared" si="53"/>
        <v/>
      </c>
      <c r="AY57" s="14" t="str">
        <f t="shared" si="54"/>
        <v/>
      </c>
      <c r="AZ57" s="14" t="str">
        <f>IFERROR(1/(1/INDEX(TB!$P:$P,MATCH($E57,TB!$E:$E,0))),"")</f>
        <v/>
      </c>
      <c r="BA57" s="14" t="str">
        <f t="shared" si="55"/>
        <v/>
      </c>
    </row>
    <row r="58" spans="1:53" x14ac:dyDescent="0.2">
      <c r="A58" t="str">
        <f>INDEX(Prioritization!$D:$D,MATCH($B58,Prioritization!$A:$A,0))</f>
        <v>INVALID</v>
      </c>
      <c r="B58" t="s">
        <v>201</v>
      </c>
      <c r="C58" t="s">
        <v>366</v>
      </c>
      <c r="D58" t="s">
        <v>29</v>
      </c>
      <c r="E58" t="str">
        <f t="shared" si="28"/>
        <v>Ntchisi District [fiRkU6gEjLz]|35-49|Female</v>
      </c>
      <c r="F58" s="14">
        <f>IF(LEFT($B58,4)="_Mil","",INDEX(Cascade!$T:$T,MATCH($E58,Cascade!$E:$E,0)))</f>
        <v>769</v>
      </c>
      <c r="G58" s="14" t="str">
        <f>IF(LEFT($B58,4)="_Mil","",INDEX(Cascade!$U:$U,MATCH($E58,Cascade!$E:$E,0)))</f>
        <v/>
      </c>
      <c r="H58" s="88">
        <f>IF(LEFT($B58,4)="_Mil","",INDEX(Cascade!$W:$W,MATCH($E58,Cascade!$E:$E,0)))</f>
        <v>546</v>
      </c>
      <c r="I58" s="14">
        <f>IF(LEFT($B58,4)="_Mil","",INDEX(Cascade!$Z:$Z,MATCH($E58,Cascade!$E:$E,0)))</f>
        <v>886</v>
      </c>
      <c r="J58" s="90">
        <f>IF(LEFT($B58,4)="_Mil","",INDEX(Cascade!$AA:$AA,MATCH($E58,Cascade!$E:$E,0)))</f>
        <v>711</v>
      </c>
      <c r="K58" s="42">
        <f>IF(LEFT($B58,4)="_Mil","",_xlfn.IFNA(ROUND(INDEX(Spectrum!$N:$N,MATCH(RIGHT($B58,13)&amp;"|"&amp;$C58&amp;"|"&amp;$D58&amp;"|"&amp;K$14&amp;"|"&amp;"CY2023Q3",Spectrum!$R:$R,0)),0),""))</f>
        <v>977</v>
      </c>
      <c r="L58" s="42" t="str">
        <f>IF(LEFT($B58,4)="_Mil","",_xlfn.IFNA(ROUND(INDEX(Spectrum!$N:$N,MATCH(RIGHT($B58,13)&amp;"|"&amp;$C58&amp;"|"&amp;$D58&amp;"|"&amp;L$14&amp;"|"&amp;"CY2023Q3",Spectrum!$R:$R,0)),0),""))</f>
        <v/>
      </c>
      <c r="M58" s="42">
        <f>IF(LEFT($B58,4)="_Mil","",_xlfn.IFNA(ROUND(INDEX(Spectrum!$N:$N,MATCH(RIGHT($B58,13)&amp;"|"&amp;$C58&amp;"|"&amp;$D58&amp;"|"&amp;M$14&amp;"|"&amp;"CY2023Q3",Spectrum!$R:$R,0)),0),""))</f>
        <v>1320</v>
      </c>
      <c r="N58" s="42">
        <f>IF(LEFT($B58,4)="_Mil","",_xlfn.IFNA(ROUND(INDEX(Spectrum!$N:$N,MATCH(RIGHT($B58,13)&amp;"|"&amp;$C58&amp;"|"&amp;$D58&amp;"|"&amp;N$14&amp;"|"&amp;"CY2023Q3",Spectrum!$R:$R,0)),0),""))</f>
        <v>1424</v>
      </c>
      <c r="O58" s="42">
        <f>IF(LEFT($B58,4)="_Mil","",_xlfn.IFNA(ROUND(INDEX(Spectrum!$N:$N,MATCH(RIGHT($B58,13)&amp;"|"&amp;$C58&amp;"|"&amp;$D58&amp;"|"&amp;O$14&amp;"|"&amp;"CY2023Q3",Spectrum!$R:$R,0)),0),""))</f>
        <v>1492</v>
      </c>
      <c r="P58" s="42">
        <f>IF(LEFT($B58,4)="_Mil","",_xlfn.IFNA(ROUND(INDEX(Spectrum!$N:$N,MATCH(RIGHT($B58,13)&amp;"|"&amp;$C58&amp;"|"&amp;$D58&amp;"|"&amp;P$14&amp;"|"&amp;"CY2023Q3",Spectrum!$R:$R,0)),0),""))</f>
        <v>972</v>
      </c>
      <c r="Q58" s="42" t="str">
        <f>IF(LEFT($B58,4)="_Mil","",_xlfn.IFNA(ROUND(INDEX(Spectrum!$N:$N,MATCH(RIGHT($B58,13)&amp;"|"&amp;$C58&amp;"|"&amp;$D58&amp;"|"&amp;Q$14&amp;"|"&amp;"CY2022Q3",Spectrum!$R:$R,0)),0),""))</f>
        <v/>
      </c>
      <c r="R58" s="14"/>
      <c r="S58" s="90">
        <f>0</f>
        <v>0</v>
      </c>
      <c r="T58" s="42" t="str">
        <f t="shared" si="29"/>
        <v/>
      </c>
      <c r="U58" s="90">
        <f t="shared" si="30"/>
        <v>0</v>
      </c>
      <c r="V58" s="42" t="str">
        <f t="shared" si="31"/>
        <v/>
      </c>
      <c r="W58" s="90"/>
      <c r="X58" s="90">
        <f t="shared" si="32"/>
        <v>0</v>
      </c>
      <c r="Y58" s="90"/>
      <c r="Z58" s="90">
        <f t="shared" si="33"/>
        <v>0</v>
      </c>
      <c r="AA58" s="14" t="str">
        <f t="shared" si="34"/>
        <v/>
      </c>
      <c r="AB58" s="42" t="str">
        <f t="shared" si="35"/>
        <v/>
      </c>
      <c r="AC58" s="42" t="str">
        <f t="shared" si="36"/>
        <v/>
      </c>
      <c r="AD58" s="42" t="str">
        <f t="shared" si="37"/>
        <v/>
      </c>
      <c r="AE58" s="14" t="str">
        <f t="shared" si="38"/>
        <v/>
      </c>
      <c r="AF58" s="42" t="str">
        <f t="shared" si="39"/>
        <v/>
      </c>
      <c r="AG58" s="42" t="str">
        <f t="shared" si="40"/>
        <v/>
      </c>
      <c r="AH58" s="42" t="str">
        <f t="shared" si="41"/>
        <v/>
      </c>
      <c r="AI58" s="90" t="str">
        <f>IF(SUM($AC58)=0,"",INDEX(Cascade!$BG:$BG,MATCH($E58,Cascade!$E:$E,0)))</f>
        <v/>
      </c>
      <c r="AJ58" s="42" t="str">
        <f t="shared" si="42"/>
        <v/>
      </c>
      <c r="AK58" s="42" t="str">
        <f t="shared" si="43"/>
        <v/>
      </c>
      <c r="AL58" s="42" t="str">
        <f t="shared" si="44"/>
        <v/>
      </c>
      <c r="AM58" s="42" t="str">
        <f t="shared" si="45"/>
        <v/>
      </c>
      <c r="AN58" s="42" t="str">
        <f t="shared" si="46"/>
        <v/>
      </c>
      <c r="AO58" s="14" t="str">
        <f t="shared" si="47"/>
        <v/>
      </c>
      <c r="AP58" s="90"/>
      <c r="AQ58" s="90" t="str">
        <f t="shared" si="48"/>
        <v/>
      </c>
      <c r="AR58" s="90" t="str">
        <f>IF(SUM($AO58)=0,"",INDEX(Cascade!$BG:$BG,MATCH($E58,Cascade!$E:$E,0)))</f>
        <v/>
      </c>
      <c r="AS58" s="42" t="str">
        <f t="shared" si="49"/>
        <v/>
      </c>
      <c r="AT58" s="42" t="str">
        <f t="shared" si="50"/>
        <v/>
      </c>
      <c r="AU58" s="14" t="str">
        <f t="shared" si="51"/>
        <v/>
      </c>
      <c r="AV58" s="14" t="str">
        <f t="shared" si="52"/>
        <v/>
      </c>
      <c r="AW58" s="14" t="str">
        <f>IFERROR(1/(1/INDEX(Cascade!$BH:$BH,MATCH($E58,Cascade!$E:$E,0))),"")</f>
        <v/>
      </c>
      <c r="AX58" s="14" t="str">
        <f t="shared" si="53"/>
        <v/>
      </c>
      <c r="AY58" s="14" t="str">
        <f t="shared" si="54"/>
        <v/>
      </c>
      <c r="AZ58" s="14" t="str">
        <f>IFERROR(1/(1/INDEX(TB!$P:$P,MATCH($E58,TB!$E:$E,0))),"")</f>
        <v/>
      </c>
      <c r="BA58" s="14" t="str">
        <f t="shared" si="55"/>
        <v/>
      </c>
    </row>
    <row r="59" spans="1:53" x14ac:dyDescent="0.2">
      <c r="A59" t="str">
        <f>INDEX(Prioritization!$D:$D,MATCH($B59,Prioritization!$A:$A,0))</f>
        <v>INVALID</v>
      </c>
      <c r="B59" t="s">
        <v>201</v>
      </c>
      <c r="C59" t="s">
        <v>367</v>
      </c>
      <c r="D59" t="s">
        <v>29</v>
      </c>
      <c r="E59" t="str">
        <f t="shared" si="28"/>
        <v>Ntchisi District [fiRkU6gEjLz]|50+|Female</v>
      </c>
      <c r="F59" s="14">
        <f>IF(LEFT($B59,4)="_Mil","",INDEX(Cascade!$T:$T,MATCH($E59,Cascade!$E:$E,0)))</f>
        <v>1519</v>
      </c>
      <c r="G59" s="14" t="str">
        <f>IF(LEFT($B59,4)="_Mil","",INDEX(Cascade!$U:$U,MATCH($E59,Cascade!$E:$E,0)))</f>
        <v/>
      </c>
      <c r="H59" s="88">
        <f>IF(LEFT($B59,4)="_Mil","",INDEX(Cascade!$W:$W,MATCH($E59,Cascade!$E:$E,0)))</f>
        <v>1732</v>
      </c>
      <c r="I59" s="14">
        <f>IF(LEFT($B59,4)="_Mil","",INDEX(Cascade!$Z:$Z,MATCH($E59,Cascade!$E:$E,0)))</f>
        <v>1569</v>
      </c>
      <c r="J59" s="90">
        <f>IF(LEFT($B59,4)="_Mil","",INDEX(Cascade!$AA:$AA,MATCH($E59,Cascade!$E:$E,0)))</f>
        <v>1492</v>
      </c>
      <c r="K59" s="42" t="str">
        <f>IF(LEFT($B59,4)="_Mil","",_xlfn.IFNA(ROUND(INDEX(Spectrum!$N:$N,MATCH(RIGHT($B59,13)&amp;"|"&amp;$C59&amp;"|"&amp;$D59&amp;"|"&amp;K$14&amp;"|"&amp;"CY2023Q3",Spectrum!$R:$R,0)),0),""))</f>
        <v/>
      </c>
      <c r="L59" s="42" t="str">
        <f>IF(LEFT($B59,4)="_Mil","",_xlfn.IFNA(ROUND(INDEX(Spectrum!$N:$N,MATCH(RIGHT($B59,13)&amp;"|"&amp;$C59&amp;"|"&amp;$D59&amp;"|"&amp;L$14&amp;"|"&amp;"CY2023Q3",Spectrum!$R:$R,0)),0),""))</f>
        <v/>
      </c>
      <c r="M59" s="42" t="str">
        <f>IF(LEFT($B59,4)="_Mil","",_xlfn.IFNA(ROUND(INDEX(Spectrum!$N:$N,MATCH(RIGHT($B59,13)&amp;"|"&amp;$C59&amp;"|"&amp;$D59&amp;"|"&amp;M$14&amp;"|"&amp;"CY2023Q3",Spectrum!$R:$R,0)),0),""))</f>
        <v/>
      </c>
      <c r="N59" s="42" t="str">
        <f>IF(LEFT($B59,4)="_Mil","",_xlfn.IFNA(ROUND(INDEX(Spectrum!$N:$N,MATCH(RIGHT($B59,13)&amp;"|"&amp;$C59&amp;"|"&amp;$D59&amp;"|"&amp;N$14&amp;"|"&amp;"CY2023Q3",Spectrum!$R:$R,0)),0),""))</f>
        <v/>
      </c>
      <c r="O59" s="42" t="str">
        <f>IF(LEFT($B59,4)="_Mil","",_xlfn.IFNA(ROUND(INDEX(Spectrum!$N:$N,MATCH(RIGHT($B59,13)&amp;"|"&amp;$C59&amp;"|"&amp;$D59&amp;"|"&amp;O$14&amp;"|"&amp;"CY2023Q3",Spectrum!$R:$R,0)),0),""))</f>
        <v/>
      </c>
      <c r="P59" s="42" t="str">
        <f>IF(LEFT($B59,4)="_Mil","",_xlfn.IFNA(ROUND(INDEX(Spectrum!$N:$N,MATCH(RIGHT($B59,13)&amp;"|"&amp;$C59&amp;"|"&amp;$D59&amp;"|"&amp;P$14&amp;"|"&amp;"CY2023Q3",Spectrum!$R:$R,0)),0),""))</f>
        <v/>
      </c>
      <c r="Q59" s="42" t="str">
        <f>IF(LEFT($B59,4)="_Mil","",_xlfn.IFNA(ROUND(INDEX(Spectrum!$N:$N,MATCH(RIGHT($B59,13)&amp;"|"&amp;$C59&amp;"|"&amp;$D59&amp;"|"&amp;Q$14&amp;"|"&amp;"CY2022Q3",Spectrum!$R:$R,0)),0),""))</f>
        <v/>
      </c>
      <c r="R59" s="14"/>
      <c r="S59" s="90">
        <f>0</f>
        <v>0</v>
      </c>
      <c r="T59" s="42" t="str">
        <f t="shared" si="29"/>
        <v/>
      </c>
      <c r="U59" s="90" t="str">
        <f t="shared" si="30"/>
        <v/>
      </c>
      <c r="V59" s="42" t="str">
        <f t="shared" si="31"/>
        <v/>
      </c>
      <c r="W59" s="90"/>
      <c r="X59" s="90" t="str">
        <f t="shared" si="32"/>
        <v/>
      </c>
      <c r="Y59" s="90"/>
      <c r="Z59" s="90" t="str">
        <f t="shared" si="33"/>
        <v/>
      </c>
      <c r="AA59" s="14" t="str">
        <f t="shared" si="34"/>
        <v/>
      </c>
      <c r="AB59" s="42" t="str">
        <f t="shared" si="35"/>
        <v/>
      </c>
      <c r="AC59" s="42" t="str">
        <f t="shared" si="36"/>
        <v/>
      </c>
      <c r="AD59" s="42" t="str">
        <f t="shared" si="37"/>
        <v/>
      </c>
      <c r="AE59" s="14" t="str">
        <f t="shared" si="38"/>
        <v/>
      </c>
      <c r="AF59" s="42" t="str">
        <f t="shared" si="39"/>
        <v/>
      </c>
      <c r="AG59" s="42" t="str">
        <f t="shared" si="40"/>
        <v/>
      </c>
      <c r="AH59" s="42" t="str">
        <f t="shared" si="41"/>
        <v/>
      </c>
      <c r="AI59" s="90" t="str">
        <f>IF(SUM($AC59)=0,"",INDEX(Cascade!$BG:$BG,MATCH($E59,Cascade!$E:$E,0)))</f>
        <v/>
      </c>
      <c r="AJ59" s="42" t="str">
        <f t="shared" si="42"/>
        <v/>
      </c>
      <c r="AK59" s="42" t="str">
        <f t="shared" si="43"/>
        <v/>
      </c>
      <c r="AL59" s="42" t="str">
        <f t="shared" si="44"/>
        <v/>
      </c>
      <c r="AM59" s="42" t="str">
        <f t="shared" si="45"/>
        <v/>
      </c>
      <c r="AN59" s="42" t="str">
        <f t="shared" si="46"/>
        <v/>
      </c>
      <c r="AO59" s="14" t="str">
        <f t="shared" si="47"/>
        <v/>
      </c>
      <c r="AP59" s="90"/>
      <c r="AQ59" s="90" t="str">
        <f t="shared" si="48"/>
        <v/>
      </c>
      <c r="AR59" s="90" t="str">
        <f>IF(SUM($AO59)=0,"",INDEX(Cascade!$BG:$BG,MATCH($E59,Cascade!$E:$E,0)))</f>
        <v/>
      </c>
      <c r="AS59" s="42" t="str">
        <f t="shared" si="49"/>
        <v/>
      </c>
      <c r="AT59" s="42" t="str">
        <f t="shared" si="50"/>
        <v/>
      </c>
      <c r="AU59" s="14" t="str">
        <f t="shared" si="51"/>
        <v/>
      </c>
      <c r="AV59" s="14" t="str">
        <f t="shared" si="52"/>
        <v/>
      </c>
      <c r="AW59" s="14" t="str">
        <f>IFERROR(1/(1/INDEX(Cascade!$BH:$BH,MATCH($E59,Cascade!$E:$E,0))),"")</f>
        <v/>
      </c>
      <c r="AX59" s="14" t="str">
        <f t="shared" si="53"/>
        <v/>
      </c>
      <c r="AY59" s="14" t="str">
        <f t="shared" si="54"/>
        <v/>
      </c>
      <c r="AZ59" s="14" t="str">
        <f>IFERROR(1/(1/INDEX(TB!$P:$P,MATCH($E59,TB!$E:$E,0))),"")</f>
        <v/>
      </c>
      <c r="BA59" s="14" t="str">
        <f t="shared" si="55"/>
        <v/>
      </c>
    </row>
    <row r="60" spans="1:53" x14ac:dyDescent="0.2">
      <c r="A60" t="str">
        <f>INDEX(Prioritization!$D:$D,MATCH($B60,Prioritization!$A:$A,0))</f>
        <v>INVALID</v>
      </c>
      <c r="B60" t="s">
        <v>202</v>
      </c>
      <c r="C60" t="s">
        <v>363</v>
      </c>
      <c r="D60" t="s">
        <v>29</v>
      </c>
      <c r="E60" t="str">
        <f t="shared" si="28"/>
        <v>Salima District [msW2zpIN7up]|10-14|Female</v>
      </c>
      <c r="F60" s="14">
        <f>IF(LEFT($B60,4)="_Mil","",INDEX(Cascade!$T:$T,MATCH($E60,Cascade!$E:$E,0)))</f>
        <v>1441</v>
      </c>
      <c r="G60" s="14" t="str">
        <f>IF(LEFT($B60,4)="_Mil","",INDEX(Cascade!$U:$U,MATCH($E60,Cascade!$E:$E,0)))</f>
        <v/>
      </c>
      <c r="H60" s="88">
        <f>IF(LEFT($B60,4)="_Mil","",INDEX(Cascade!$W:$W,MATCH($E60,Cascade!$E:$E,0)))</f>
        <v>1937</v>
      </c>
      <c r="I60" s="14">
        <f>IF(LEFT($B60,4)="_Mil","",INDEX(Cascade!$Z:$Z,MATCH($E60,Cascade!$E:$E,0)))</f>
        <v>922</v>
      </c>
      <c r="J60" s="90">
        <f>IF(LEFT($B60,4)="_Mil","",INDEX(Cascade!$AA:$AA,MATCH($E60,Cascade!$E:$E,0)))</f>
        <v>842</v>
      </c>
      <c r="K60" s="42" t="str">
        <f>IF(LEFT($B60,4)="_Mil","",_xlfn.IFNA(ROUND(INDEX(Spectrum!$N:$N,MATCH(RIGHT($B60,13)&amp;"|"&amp;$C60&amp;"|"&amp;$D60&amp;"|"&amp;K$14&amp;"|"&amp;"CY2023Q3",Spectrum!$R:$R,0)),0),""))</f>
        <v/>
      </c>
      <c r="L60" s="42" t="str">
        <f>IF(LEFT($B60,4)="_Mil","",_xlfn.IFNA(ROUND(INDEX(Spectrum!$N:$N,MATCH(RIGHT($B60,13)&amp;"|"&amp;$C60&amp;"|"&amp;$D60&amp;"|"&amp;L$14&amp;"|"&amp;"CY2023Q3",Spectrum!$R:$R,0)),0),""))</f>
        <v/>
      </c>
      <c r="M60" s="42" t="str">
        <f>IF(LEFT($B60,4)="_Mil","",_xlfn.IFNA(ROUND(INDEX(Spectrum!$N:$N,MATCH(RIGHT($B60,13)&amp;"|"&amp;$C60&amp;"|"&amp;$D60&amp;"|"&amp;M$14&amp;"|"&amp;"CY2023Q3",Spectrum!$R:$R,0)),0),""))</f>
        <v/>
      </c>
      <c r="N60" s="42" t="str">
        <f>IF(LEFT($B60,4)="_Mil","",_xlfn.IFNA(ROUND(INDEX(Spectrum!$N:$N,MATCH(RIGHT($B60,13)&amp;"|"&amp;$C60&amp;"|"&amp;$D60&amp;"|"&amp;N$14&amp;"|"&amp;"CY2023Q3",Spectrum!$R:$R,0)),0),""))</f>
        <v/>
      </c>
      <c r="O60" s="42" t="str">
        <f>IF(LEFT($B60,4)="_Mil","",_xlfn.IFNA(ROUND(INDEX(Spectrum!$N:$N,MATCH(RIGHT($B60,13)&amp;"|"&amp;$C60&amp;"|"&amp;$D60&amp;"|"&amp;O$14&amp;"|"&amp;"CY2023Q3",Spectrum!$R:$R,0)),0),""))</f>
        <v/>
      </c>
      <c r="P60" s="42" t="str">
        <f>IF(LEFT($B60,4)="_Mil","",_xlfn.IFNA(ROUND(INDEX(Spectrum!$N:$N,MATCH(RIGHT($B60,13)&amp;"|"&amp;$C60&amp;"|"&amp;$D60&amp;"|"&amp;P$14&amp;"|"&amp;"CY2023Q3",Spectrum!$R:$R,0)),0),""))</f>
        <v/>
      </c>
      <c r="Q60" s="42" t="str">
        <f>IF(LEFT($B60,4)="_Mil","",_xlfn.IFNA(ROUND(INDEX(Spectrum!$N:$N,MATCH(RIGHT($B60,13)&amp;"|"&amp;$C60&amp;"|"&amp;$D60&amp;"|"&amp;Q$14&amp;"|"&amp;"CY2022Q3",Spectrum!$R:$R,0)),0),""))</f>
        <v/>
      </c>
      <c r="R60" s="14">
        <v>10</v>
      </c>
      <c r="S60" s="90">
        <f>0</f>
        <v>0</v>
      </c>
      <c r="T60" s="42">
        <f t="shared" si="29"/>
        <v>10</v>
      </c>
      <c r="U60" s="90">
        <f t="shared" si="30"/>
        <v>1</v>
      </c>
      <c r="V60" s="42">
        <f t="shared" si="31"/>
        <v>10</v>
      </c>
      <c r="W60" s="90"/>
      <c r="X60" s="90" t="str">
        <f t="shared" si="32"/>
        <v/>
      </c>
      <c r="Y60" s="90"/>
      <c r="Z60" s="90" t="str">
        <f t="shared" si="33"/>
        <v/>
      </c>
      <c r="AA60" s="14">
        <f t="shared" si="34"/>
        <v>10</v>
      </c>
      <c r="AB60" s="42" t="str">
        <f t="shared" si="35"/>
        <v>ENTER KNOWN POSITIVITY RATE</v>
      </c>
      <c r="AC60" s="42" t="str">
        <f t="shared" si="36"/>
        <v>ENTER YIELD RATE</v>
      </c>
      <c r="AD60" s="42">
        <f t="shared" si="37"/>
        <v>10</v>
      </c>
      <c r="AE60" s="14">
        <f t="shared" si="38"/>
        <v>10</v>
      </c>
      <c r="AF60" s="42">
        <f t="shared" si="39"/>
        <v>0</v>
      </c>
      <c r="AG60" s="42">
        <f t="shared" si="40"/>
        <v>0</v>
      </c>
      <c r="AH60" s="42">
        <f t="shared" si="41"/>
        <v>10</v>
      </c>
      <c r="AI60" s="90" t="str">
        <f>IF(SUM($AC60)=0,"",INDEX(Cascade!$BG:$BG,MATCH($E60,Cascade!$E:$E,0)))</f>
        <v/>
      </c>
      <c r="AJ60" s="42" t="str">
        <f t="shared" si="42"/>
        <v>ENTER KNOWN POSITIVITY RATE</v>
      </c>
      <c r="AK60" s="42" t="str">
        <f t="shared" si="43"/>
        <v/>
      </c>
      <c r="AL60" s="42" t="str">
        <f t="shared" si="44"/>
        <v/>
      </c>
      <c r="AM60" s="42">
        <f t="shared" si="45"/>
        <v>0</v>
      </c>
      <c r="AN60" s="42" t="str">
        <f t="shared" si="46"/>
        <v/>
      </c>
      <c r="AO60" s="14">
        <f t="shared" si="47"/>
        <v>10</v>
      </c>
      <c r="AP60" s="90"/>
      <c r="AQ60" s="90" t="str">
        <f t="shared" si="48"/>
        <v/>
      </c>
      <c r="AR60" s="90">
        <f>IF(SUM($AO60)=0,"",INDEX(Cascade!$BG:$BG,MATCH($E60,Cascade!$E:$E,0)))</f>
        <v>0.95</v>
      </c>
      <c r="AS60" s="42" t="str">
        <f t="shared" si="49"/>
        <v>ENTER YIELD RATE</v>
      </c>
      <c r="AT60" s="42">
        <f t="shared" si="50"/>
        <v>10</v>
      </c>
      <c r="AU60" s="14" t="str">
        <f t="shared" si="51"/>
        <v/>
      </c>
      <c r="AV60" s="14" t="str">
        <f t="shared" si="52"/>
        <v/>
      </c>
      <c r="AW60" s="14">
        <f>IFERROR(1/(1/INDEX(Cascade!$BH:$BH,MATCH($E60,Cascade!$E:$E,0))),"")</f>
        <v>-82</v>
      </c>
      <c r="AX60" s="14" t="str">
        <f t="shared" si="53"/>
        <v/>
      </c>
      <c r="AY60" s="14" t="str">
        <f t="shared" si="54"/>
        <v/>
      </c>
      <c r="AZ60" s="14" t="str">
        <f>IFERROR(1/(1/INDEX(TB!$P:$P,MATCH($E60,TB!$E:$E,0))),"")</f>
        <v/>
      </c>
      <c r="BA60" s="14">
        <f t="shared" si="55"/>
        <v>-82</v>
      </c>
    </row>
    <row r="61" spans="1:53" x14ac:dyDescent="0.2">
      <c r="A61" t="str">
        <f>INDEX(Prioritization!$D:$D,MATCH($B61,Prioritization!$A:$A,0))</f>
        <v>INVALID</v>
      </c>
      <c r="B61" t="s">
        <v>202</v>
      </c>
      <c r="C61" t="s">
        <v>364</v>
      </c>
      <c r="D61" t="s">
        <v>29</v>
      </c>
      <c r="E61" t="str">
        <f t="shared" si="28"/>
        <v>Salima District [msW2zpIN7up]|15-24|Female</v>
      </c>
      <c r="F61" s="14">
        <f>IF(LEFT($B61,4)="_Mil","",INDEX(Cascade!$T:$T,MATCH($E61,Cascade!$E:$E,0)))</f>
        <v>500</v>
      </c>
      <c r="G61" s="14" t="str">
        <f>IF(LEFT($B61,4)="_Mil","",INDEX(Cascade!$U:$U,MATCH($E61,Cascade!$E:$E,0)))</f>
        <v/>
      </c>
      <c r="H61" s="88">
        <f>IF(LEFT($B61,4)="_Mil","",INDEX(Cascade!$W:$W,MATCH($E61,Cascade!$E:$E,0)))</f>
        <v>1947</v>
      </c>
      <c r="I61" s="14">
        <f>IF(LEFT($B61,4)="_Mil","",INDEX(Cascade!$Z:$Z,MATCH($E61,Cascade!$E:$E,0)))</f>
        <v>1397</v>
      </c>
      <c r="J61" s="90">
        <f>IF(LEFT($B61,4)="_Mil","",INDEX(Cascade!$AA:$AA,MATCH($E61,Cascade!$E:$E,0)))</f>
        <v>1176</v>
      </c>
      <c r="K61" s="42">
        <f>IF(LEFT($B61,4)="_Mil","",_xlfn.IFNA(ROUND(INDEX(Spectrum!$N:$N,MATCH(RIGHT($B61,13)&amp;"|"&amp;$C61&amp;"|"&amp;$D61&amp;"|"&amp;K$14&amp;"|"&amp;"CY2023Q3",Spectrum!$R:$R,0)),0),""))</f>
        <v>1251</v>
      </c>
      <c r="L61" s="42" t="str">
        <f>IF(LEFT($B61,4)="_Mil","",_xlfn.IFNA(ROUND(INDEX(Spectrum!$N:$N,MATCH(RIGHT($B61,13)&amp;"|"&amp;$C61&amp;"|"&amp;$D61&amp;"|"&amp;L$14&amp;"|"&amp;"CY2023Q3",Spectrum!$R:$R,0)),0),""))</f>
        <v/>
      </c>
      <c r="M61" s="42">
        <f>IF(LEFT($B61,4)="_Mil","",_xlfn.IFNA(ROUND(INDEX(Spectrum!$N:$N,MATCH(RIGHT($B61,13)&amp;"|"&amp;$C61&amp;"|"&amp;$D61&amp;"|"&amp;M$14&amp;"|"&amp;"CY2023Q3",Spectrum!$R:$R,0)),0),""))</f>
        <v>1049</v>
      </c>
      <c r="N61" s="42">
        <f>IF(LEFT($B61,4)="_Mil","",_xlfn.IFNA(ROUND(INDEX(Spectrum!$N:$N,MATCH(RIGHT($B61,13)&amp;"|"&amp;$C61&amp;"|"&amp;$D61&amp;"|"&amp;N$14&amp;"|"&amp;"CY2023Q3",Spectrum!$R:$R,0)),0),""))</f>
        <v>1333</v>
      </c>
      <c r="O61" s="42">
        <f>IF(LEFT($B61,4)="_Mil","",_xlfn.IFNA(ROUND(INDEX(Spectrum!$N:$N,MATCH(RIGHT($B61,13)&amp;"|"&amp;$C61&amp;"|"&amp;$D61&amp;"|"&amp;O$14&amp;"|"&amp;"CY2023Q3",Spectrum!$R:$R,0)),0),""))</f>
        <v>1484</v>
      </c>
      <c r="P61" s="42">
        <f>IF(LEFT($B61,4)="_Mil","",_xlfn.IFNA(ROUND(INDEX(Spectrum!$N:$N,MATCH(RIGHT($B61,13)&amp;"|"&amp;$C61&amp;"|"&amp;$D61&amp;"|"&amp;P$14&amp;"|"&amp;"CY2023Q3",Spectrum!$R:$R,0)),0),""))</f>
        <v>1317</v>
      </c>
      <c r="Q61" s="42" t="str">
        <f>IF(LEFT($B61,4)="_Mil","",_xlfn.IFNA(ROUND(INDEX(Spectrum!$N:$N,MATCH(RIGHT($B61,13)&amp;"|"&amp;$C61&amp;"|"&amp;$D61&amp;"|"&amp;Q$14&amp;"|"&amp;"CY2022Q3",Spectrum!$R:$R,0)),0),""))</f>
        <v/>
      </c>
      <c r="R61" s="14"/>
      <c r="S61" s="90">
        <f>0</f>
        <v>0</v>
      </c>
      <c r="T61" s="42" t="str">
        <f t="shared" si="29"/>
        <v/>
      </c>
      <c r="U61" s="90">
        <f t="shared" si="30"/>
        <v>0</v>
      </c>
      <c r="V61" s="42" t="str">
        <f t="shared" si="31"/>
        <v/>
      </c>
      <c r="W61" s="90"/>
      <c r="X61" s="90">
        <f t="shared" si="32"/>
        <v>0</v>
      </c>
      <c r="Y61" s="90"/>
      <c r="Z61" s="90">
        <f t="shared" si="33"/>
        <v>0</v>
      </c>
      <c r="AA61" s="14" t="str">
        <f t="shared" si="34"/>
        <v/>
      </c>
      <c r="AB61" s="42" t="str">
        <f t="shared" si="35"/>
        <v/>
      </c>
      <c r="AC61" s="42" t="str">
        <f t="shared" si="36"/>
        <v/>
      </c>
      <c r="AD61" s="42" t="str">
        <f t="shared" si="37"/>
        <v/>
      </c>
      <c r="AE61" s="14" t="str">
        <f t="shared" si="38"/>
        <v/>
      </c>
      <c r="AF61" s="42" t="str">
        <f t="shared" si="39"/>
        <v/>
      </c>
      <c r="AG61" s="42" t="str">
        <f t="shared" si="40"/>
        <v/>
      </c>
      <c r="AH61" s="42" t="str">
        <f t="shared" si="41"/>
        <v/>
      </c>
      <c r="AI61" s="90" t="str">
        <f>IF(SUM($AC61)=0,"",INDEX(Cascade!$BG:$BG,MATCH($E61,Cascade!$E:$E,0)))</f>
        <v/>
      </c>
      <c r="AJ61" s="42" t="str">
        <f t="shared" si="42"/>
        <v/>
      </c>
      <c r="AK61" s="42" t="str">
        <f t="shared" si="43"/>
        <v/>
      </c>
      <c r="AL61" s="42" t="str">
        <f t="shared" si="44"/>
        <v/>
      </c>
      <c r="AM61" s="42" t="str">
        <f t="shared" si="45"/>
        <v/>
      </c>
      <c r="AN61" s="42" t="str">
        <f t="shared" si="46"/>
        <v/>
      </c>
      <c r="AO61" s="14" t="str">
        <f t="shared" si="47"/>
        <v/>
      </c>
      <c r="AP61" s="90"/>
      <c r="AQ61" s="90" t="str">
        <f t="shared" si="48"/>
        <v/>
      </c>
      <c r="AR61" s="90" t="str">
        <f>IF(SUM($AO61)=0,"",INDEX(Cascade!$BG:$BG,MATCH($E61,Cascade!$E:$E,0)))</f>
        <v/>
      </c>
      <c r="AS61" s="42" t="str">
        <f t="shared" si="49"/>
        <v/>
      </c>
      <c r="AT61" s="42" t="str">
        <f t="shared" si="50"/>
        <v/>
      </c>
      <c r="AU61" s="14" t="str">
        <f t="shared" si="51"/>
        <v/>
      </c>
      <c r="AV61" s="14" t="str">
        <f t="shared" si="52"/>
        <v/>
      </c>
      <c r="AW61" s="14" t="str">
        <f>IFERROR(1/(1/INDEX(Cascade!$BH:$BH,MATCH($E61,Cascade!$E:$E,0))),"")</f>
        <v/>
      </c>
      <c r="AX61" s="14" t="str">
        <f t="shared" si="53"/>
        <v/>
      </c>
      <c r="AY61" s="14" t="str">
        <f t="shared" si="54"/>
        <v/>
      </c>
      <c r="AZ61" s="14" t="str">
        <f>IFERROR(1/(1/INDEX(TB!$P:$P,MATCH($E61,TB!$E:$E,0))),"")</f>
        <v/>
      </c>
      <c r="BA61" s="14" t="str">
        <f t="shared" si="55"/>
        <v/>
      </c>
    </row>
    <row r="62" spans="1:53" x14ac:dyDescent="0.2">
      <c r="A62" t="str">
        <f>INDEX(Prioritization!$D:$D,MATCH($B62,Prioritization!$A:$A,0))</f>
        <v>INVALID</v>
      </c>
      <c r="B62" t="s">
        <v>202</v>
      </c>
      <c r="C62" t="s">
        <v>365</v>
      </c>
      <c r="D62" t="s">
        <v>29</v>
      </c>
      <c r="E62" t="str">
        <f t="shared" si="28"/>
        <v>Salima District [msW2zpIN7up]|25-34|Female</v>
      </c>
      <c r="F62" s="14">
        <f>IF(LEFT($B62,4)="_Mil","",INDEX(Cascade!$T:$T,MATCH($E62,Cascade!$E:$E,0)))</f>
        <v>1415</v>
      </c>
      <c r="G62" s="14" t="str">
        <f>IF(LEFT($B62,4)="_Mil","",INDEX(Cascade!$U:$U,MATCH($E62,Cascade!$E:$E,0)))</f>
        <v/>
      </c>
      <c r="H62" s="88">
        <f>IF(LEFT($B62,4)="_Mil","",INDEX(Cascade!$W:$W,MATCH($E62,Cascade!$E:$E,0)))</f>
        <v>1128</v>
      </c>
      <c r="I62" s="14">
        <f>IF(LEFT($B62,4)="_Mil","",INDEX(Cascade!$Z:$Z,MATCH($E62,Cascade!$E:$E,0)))</f>
        <v>961</v>
      </c>
      <c r="J62" s="90">
        <f>IF(LEFT($B62,4)="_Mil","",INDEX(Cascade!$AA:$AA,MATCH($E62,Cascade!$E:$E,0)))</f>
        <v>1721</v>
      </c>
      <c r="K62" s="42">
        <f>IF(LEFT($B62,4)="_Mil","",_xlfn.IFNA(ROUND(INDEX(Spectrum!$N:$N,MATCH(RIGHT($B62,13)&amp;"|"&amp;$C62&amp;"|"&amp;$D62&amp;"|"&amp;K$14&amp;"|"&amp;"CY2023Q3",Spectrum!$R:$R,0)),0),""))</f>
        <v>1748</v>
      </c>
      <c r="L62" s="42" t="str">
        <f>IF(LEFT($B62,4)="_Mil","",_xlfn.IFNA(ROUND(INDEX(Spectrum!$N:$N,MATCH(RIGHT($B62,13)&amp;"|"&amp;$C62&amp;"|"&amp;$D62&amp;"|"&amp;L$14&amp;"|"&amp;"CY2023Q3",Spectrum!$R:$R,0)),0),""))</f>
        <v/>
      </c>
      <c r="M62" s="42">
        <f>IF(LEFT($B62,4)="_Mil","",_xlfn.IFNA(ROUND(INDEX(Spectrum!$N:$N,MATCH(RIGHT($B62,13)&amp;"|"&amp;$C62&amp;"|"&amp;$D62&amp;"|"&amp;M$14&amp;"|"&amp;"CY2023Q3",Spectrum!$R:$R,0)),0),""))</f>
        <v>1658</v>
      </c>
      <c r="N62" s="42">
        <f>IF(LEFT($B62,4)="_Mil","",_xlfn.IFNA(ROUND(INDEX(Spectrum!$N:$N,MATCH(RIGHT($B62,13)&amp;"|"&amp;$C62&amp;"|"&amp;$D62&amp;"|"&amp;N$14&amp;"|"&amp;"CY2023Q3",Spectrum!$R:$R,0)),0),""))</f>
        <v>1391</v>
      </c>
      <c r="O62" s="42">
        <f>IF(LEFT($B62,4)="_Mil","",_xlfn.IFNA(ROUND(INDEX(Spectrum!$N:$N,MATCH(RIGHT($B62,13)&amp;"|"&amp;$C62&amp;"|"&amp;$D62&amp;"|"&amp;O$14&amp;"|"&amp;"CY2023Q3",Spectrum!$R:$R,0)),0),""))</f>
        <v>1370</v>
      </c>
      <c r="P62" s="42">
        <f>IF(LEFT($B62,4)="_Mil","",_xlfn.IFNA(ROUND(INDEX(Spectrum!$N:$N,MATCH(RIGHT($B62,13)&amp;"|"&amp;$C62&amp;"|"&amp;$D62&amp;"|"&amp;P$14&amp;"|"&amp;"CY2023Q3",Spectrum!$R:$R,0)),0),""))</f>
        <v>1189</v>
      </c>
      <c r="Q62" s="42" t="str">
        <f>IF(LEFT($B62,4)="_Mil","",_xlfn.IFNA(ROUND(INDEX(Spectrum!$N:$N,MATCH(RIGHT($B62,13)&amp;"|"&amp;$C62&amp;"|"&amp;$D62&amp;"|"&amp;Q$14&amp;"|"&amp;"CY2022Q3",Spectrum!$R:$R,0)),0),""))</f>
        <v/>
      </c>
      <c r="R62" s="14"/>
      <c r="S62" s="90">
        <f>0</f>
        <v>0</v>
      </c>
      <c r="T62" s="42" t="str">
        <f t="shared" si="29"/>
        <v/>
      </c>
      <c r="U62" s="90">
        <f t="shared" si="30"/>
        <v>0</v>
      </c>
      <c r="V62" s="42" t="str">
        <f t="shared" si="31"/>
        <v/>
      </c>
      <c r="W62" s="90"/>
      <c r="X62" s="90">
        <f t="shared" si="32"/>
        <v>0</v>
      </c>
      <c r="Y62" s="90"/>
      <c r="Z62" s="90">
        <f t="shared" si="33"/>
        <v>0</v>
      </c>
      <c r="AA62" s="14" t="str">
        <f t="shared" si="34"/>
        <v/>
      </c>
      <c r="AB62" s="42" t="str">
        <f t="shared" si="35"/>
        <v/>
      </c>
      <c r="AC62" s="42" t="str">
        <f t="shared" si="36"/>
        <v/>
      </c>
      <c r="AD62" s="42" t="str">
        <f t="shared" si="37"/>
        <v/>
      </c>
      <c r="AE62" s="14" t="str">
        <f t="shared" si="38"/>
        <v/>
      </c>
      <c r="AF62" s="42" t="str">
        <f t="shared" si="39"/>
        <v/>
      </c>
      <c r="AG62" s="42" t="str">
        <f t="shared" si="40"/>
        <v/>
      </c>
      <c r="AH62" s="42" t="str">
        <f t="shared" si="41"/>
        <v/>
      </c>
      <c r="AI62" s="90" t="str">
        <f>IF(SUM($AC62)=0,"",INDEX(Cascade!$BG:$BG,MATCH($E62,Cascade!$E:$E,0)))</f>
        <v/>
      </c>
      <c r="AJ62" s="42" t="str">
        <f t="shared" si="42"/>
        <v/>
      </c>
      <c r="AK62" s="42" t="str">
        <f t="shared" si="43"/>
        <v/>
      </c>
      <c r="AL62" s="42" t="str">
        <f t="shared" si="44"/>
        <v/>
      </c>
      <c r="AM62" s="42" t="str">
        <f t="shared" si="45"/>
        <v/>
      </c>
      <c r="AN62" s="42" t="str">
        <f t="shared" si="46"/>
        <v/>
      </c>
      <c r="AO62" s="14" t="str">
        <f t="shared" si="47"/>
        <v/>
      </c>
      <c r="AP62" s="90"/>
      <c r="AQ62" s="90" t="str">
        <f t="shared" si="48"/>
        <v/>
      </c>
      <c r="AR62" s="90" t="str">
        <f>IF(SUM($AO62)=0,"",INDEX(Cascade!$BG:$BG,MATCH($E62,Cascade!$E:$E,0)))</f>
        <v/>
      </c>
      <c r="AS62" s="42" t="str">
        <f t="shared" si="49"/>
        <v/>
      </c>
      <c r="AT62" s="42" t="str">
        <f t="shared" si="50"/>
        <v/>
      </c>
      <c r="AU62" s="14" t="str">
        <f t="shared" si="51"/>
        <v/>
      </c>
      <c r="AV62" s="14" t="str">
        <f t="shared" si="52"/>
        <v/>
      </c>
      <c r="AW62" s="14" t="str">
        <f>IFERROR(1/(1/INDEX(Cascade!$BH:$BH,MATCH($E62,Cascade!$E:$E,0))),"")</f>
        <v/>
      </c>
      <c r="AX62" s="14" t="str">
        <f t="shared" si="53"/>
        <v/>
      </c>
      <c r="AY62" s="14" t="str">
        <f t="shared" si="54"/>
        <v/>
      </c>
      <c r="AZ62" s="14" t="str">
        <f>IFERROR(1/(1/INDEX(TB!$P:$P,MATCH($E62,TB!$E:$E,0))),"")</f>
        <v/>
      </c>
      <c r="BA62" s="14" t="str">
        <f t="shared" si="55"/>
        <v/>
      </c>
    </row>
    <row r="63" spans="1:53" x14ac:dyDescent="0.2">
      <c r="A63" t="str">
        <f>INDEX(Prioritization!$D:$D,MATCH($B63,Prioritization!$A:$A,0))</f>
        <v>INVALID</v>
      </c>
      <c r="B63" t="s">
        <v>202</v>
      </c>
      <c r="C63" t="s">
        <v>366</v>
      </c>
      <c r="D63" t="s">
        <v>29</v>
      </c>
      <c r="E63" t="str">
        <f t="shared" si="28"/>
        <v>Salima District [msW2zpIN7up]|35-49|Female</v>
      </c>
      <c r="F63" s="14">
        <f>IF(LEFT($B63,4)="_Mil","",INDEX(Cascade!$T:$T,MATCH($E63,Cascade!$E:$E,0)))</f>
        <v>1393</v>
      </c>
      <c r="G63" s="14" t="str">
        <f>IF(LEFT($B63,4)="_Mil","",INDEX(Cascade!$U:$U,MATCH($E63,Cascade!$E:$E,0)))</f>
        <v/>
      </c>
      <c r="H63" s="88">
        <f>IF(LEFT($B63,4)="_Mil","",INDEX(Cascade!$W:$W,MATCH($E63,Cascade!$E:$E,0)))</f>
        <v>1962</v>
      </c>
      <c r="I63" s="14">
        <f>IF(LEFT($B63,4)="_Mil","",INDEX(Cascade!$Z:$Z,MATCH($E63,Cascade!$E:$E,0)))</f>
        <v>1881</v>
      </c>
      <c r="J63" s="90">
        <f>IF(LEFT($B63,4)="_Mil","",INDEX(Cascade!$AA:$AA,MATCH($E63,Cascade!$E:$E,0)))</f>
        <v>1206</v>
      </c>
      <c r="K63" s="42">
        <f>IF(LEFT($B63,4)="_Mil","",_xlfn.IFNA(ROUND(INDEX(Spectrum!$N:$N,MATCH(RIGHT($B63,13)&amp;"|"&amp;$C63&amp;"|"&amp;$D63&amp;"|"&amp;K$14&amp;"|"&amp;"CY2023Q3",Spectrum!$R:$R,0)),0),""))</f>
        <v>1692</v>
      </c>
      <c r="L63" s="42" t="str">
        <f>IF(LEFT($B63,4)="_Mil","",_xlfn.IFNA(ROUND(INDEX(Spectrum!$N:$N,MATCH(RIGHT($B63,13)&amp;"|"&amp;$C63&amp;"|"&amp;$D63&amp;"|"&amp;L$14&amp;"|"&amp;"CY2023Q3",Spectrum!$R:$R,0)),0),""))</f>
        <v/>
      </c>
      <c r="M63" s="42">
        <f>IF(LEFT($B63,4)="_Mil","",_xlfn.IFNA(ROUND(INDEX(Spectrum!$N:$N,MATCH(RIGHT($B63,13)&amp;"|"&amp;$C63&amp;"|"&amp;$D63&amp;"|"&amp;M$14&amp;"|"&amp;"CY2023Q3",Spectrum!$R:$R,0)),0),""))</f>
        <v>1157</v>
      </c>
      <c r="N63" s="42">
        <f>IF(LEFT($B63,4)="_Mil","",_xlfn.IFNA(ROUND(INDEX(Spectrum!$N:$N,MATCH(RIGHT($B63,13)&amp;"|"&amp;$C63&amp;"|"&amp;$D63&amp;"|"&amp;N$14&amp;"|"&amp;"CY2023Q3",Spectrum!$R:$R,0)),0),""))</f>
        <v>1242</v>
      </c>
      <c r="O63" s="42">
        <f>IF(LEFT($B63,4)="_Mil","",_xlfn.IFNA(ROUND(INDEX(Spectrum!$N:$N,MATCH(RIGHT($B63,13)&amp;"|"&amp;$C63&amp;"|"&amp;$D63&amp;"|"&amp;O$14&amp;"|"&amp;"CY2023Q3",Spectrum!$R:$R,0)),0),""))</f>
        <v>615</v>
      </c>
      <c r="P63" s="42">
        <f>IF(LEFT($B63,4)="_Mil","",_xlfn.IFNA(ROUND(INDEX(Spectrum!$N:$N,MATCH(RIGHT($B63,13)&amp;"|"&amp;$C63&amp;"|"&amp;$D63&amp;"|"&amp;P$14&amp;"|"&amp;"CY2023Q3",Spectrum!$R:$R,0)),0),""))</f>
        <v>1843</v>
      </c>
      <c r="Q63" s="42" t="str">
        <f>IF(LEFT($B63,4)="_Mil","",_xlfn.IFNA(ROUND(INDEX(Spectrum!$N:$N,MATCH(RIGHT($B63,13)&amp;"|"&amp;$C63&amp;"|"&amp;$D63&amp;"|"&amp;Q$14&amp;"|"&amp;"CY2022Q3",Spectrum!$R:$R,0)),0),""))</f>
        <v/>
      </c>
      <c r="R63" s="14"/>
      <c r="S63" s="90">
        <f>0</f>
        <v>0</v>
      </c>
      <c r="T63" s="42" t="str">
        <f t="shared" si="29"/>
        <v/>
      </c>
      <c r="U63" s="90">
        <f t="shared" si="30"/>
        <v>0</v>
      </c>
      <c r="V63" s="42" t="str">
        <f t="shared" si="31"/>
        <v/>
      </c>
      <c r="W63" s="90"/>
      <c r="X63" s="90">
        <f t="shared" si="32"/>
        <v>0</v>
      </c>
      <c r="Y63" s="90"/>
      <c r="Z63" s="90">
        <f t="shared" si="33"/>
        <v>0</v>
      </c>
      <c r="AA63" s="14" t="str">
        <f t="shared" si="34"/>
        <v/>
      </c>
      <c r="AB63" s="42" t="str">
        <f t="shared" si="35"/>
        <v/>
      </c>
      <c r="AC63" s="42" t="str">
        <f t="shared" si="36"/>
        <v/>
      </c>
      <c r="AD63" s="42" t="str">
        <f t="shared" si="37"/>
        <v/>
      </c>
      <c r="AE63" s="14" t="str">
        <f t="shared" si="38"/>
        <v/>
      </c>
      <c r="AF63" s="42" t="str">
        <f t="shared" si="39"/>
        <v/>
      </c>
      <c r="AG63" s="42" t="str">
        <f t="shared" si="40"/>
        <v/>
      </c>
      <c r="AH63" s="42" t="str">
        <f t="shared" si="41"/>
        <v/>
      </c>
      <c r="AI63" s="90" t="str">
        <f>IF(SUM($AC63)=0,"",INDEX(Cascade!$BG:$BG,MATCH($E63,Cascade!$E:$E,0)))</f>
        <v/>
      </c>
      <c r="AJ63" s="42" t="str">
        <f t="shared" si="42"/>
        <v/>
      </c>
      <c r="AK63" s="42" t="str">
        <f t="shared" si="43"/>
        <v/>
      </c>
      <c r="AL63" s="42" t="str">
        <f t="shared" si="44"/>
        <v/>
      </c>
      <c r="AM63" s="42" t="str">
        <f t="shared" si="45"/>
        <v/>
      </c>
      <c r="AN63" s="42" t="str">
        <f t="shared" si="46"/>
        <v/>
      </c>
      <c r="AO63" s="14" t="str">
        <f t="shared" si="47"/>
        <v/>
      </c>
      <c r="AP63" s="90"/>
      <c r="AQ63" s="90" t="str">
        <f t="shared" si="48"/>
        <v/>
      </c>
      <c r="AR63" s="90" t="str">
        <f>IF(SUM($AO63)=0,"",INDEX(Cascade!$BG:$BG,MATCH($E63,Cascade!$E:$E,0)))</f>
        <v/>
      </c>
      <c r="AS63" s="42" t="str">
        <f t="shared" si="49"/>
        <v/>
      </c>
      <c r="AT63" s="42" t="str">
        <f t="shared" si="50"/>
        <v/>
      </c>
      <c r="AU63" s="14" t="str">
        <f t="shared" si="51"/>
        <v/>
      </c>
      <c r="AV63" s="14" t="str">
        <f t="shared" si="52"/>
        <v/>
      </c>
      <c r="AW63" s="14" t="str">
        <f>IFERROR(1/(1/INDEX(Cascade!$BH:$BH,MATCH($E63,Cascade!$E:$E,0))),"")</f>
        <v/>
      </c>
      <c r="AX63" s="14" t="str">
        <f t="shared" si="53"/>
        <v/>
      </c>
      <c r="AY63" s="14" t="str">
        <f t="shared" si="54"/>
        <v/>
      </c>
      <c r="AZ63" s="14" t="str">
        <f>IFERROR(1/(1/INDEX(TB!$P:$P,MATCH($E63,TB!$E:$E,0))),"")</f>
        <v/>
      </c>
      <c r="BA63" s="14" t="str">
        <f t="shared" si="55"/>
        <v/>
      </c>
    </row>
    <row r="64" spans="1:53" x14ac:dyDescent="0.2">
      <c r="A64" t="str">
        <f>INDEX(Prioritization!$D:$D,MATCH($B64,Prioritization!$A:$A,0))</f>
        <v>INVALID</v>
      </c>
      <c r="B64" t="s">
        <v>202</v>
      </c>
      <c r="C64" t="s">
        <v>367</v>
      </c>
      <c r="D64" t="s">
        <v>29</v>
      </c>
      <c r="E64" t="str">
        <f t="shared" si="28"/>
        <v>Salima District [msW2zpIN7up]|50+|Female</v>
      </c>
      <c r="F64" s="14">
        <f>IF(LEFT($B64,4)="_Mil","",INDEX(Cascade!$T:$T,MATCH($E64,Cascade!$E:$E,0)))</f>
        <v>1473</v>
      </c>
      <c r="G64" s="14" t="str">
        <f>IF(LEFT($B64,4)="_Mil","",INDEX(Cascade!$U:$U,MATCH($E64,Cascade!$E:$E,0)))</f>
        <v/>
      </c>
      <c r="H64" s="88">
        <f>IF(LEFT($B64,4)="_Mil","",INDEX(Cascade!$W:$W,MATCH($E64,Cascade!$E:$E,0)))</f>
        <v>838</v>
      </c>
      <c r="I64" s="14">
        <f>IF(LEFT($B64,4)="_Mil","",INDEX(Cascade!$Z:$Z,MATCH($E64,Cascade!$E:$E,0)))</f>
        <v>1509</v>
      </c>
      <c r="J64" s="90">
        <f>IF(LEFT($B64,4)="_Mil","",INDEX(Cascade!$AA:$AA,MATCH($E64,Cascade!$E:$E,0)))</f>
        <v>1990.9999999999998</v>
      </c>
      <c r="K64" s="42" t="str">
        <f>IF(LEFT($B64,4)="_Mil","",_xlfn.IFNA(ROUND(INDEX(Spectrum!$N:$N,MATCH(RIGHT($B64,13)&amp;"|"&amp;$C64&amp;"|"&amp;$D64&amp;"|"&amp;K$14&amp;"|"&amp;"CY2023Q3",Spectrum!$R:$R,0)),0),""))</f>
        <v/>
      </c>
      <c r="L64" s="42" t="str">
        <f>IF(LEFT($B64,4)="_Mil","",_xlfn.IFNA(ROUND(INDEX(Spectrum!$N:$N,MATCH(RIGHT($B64,13)&amp;"|"&amp;$C64&amp;"|"&amp;$D64&amp;"|"&amp;L$14&amp;"|"&amp;"CY2023Q3",Spectrum!$R:$R,0)),0),""))</f>
        <v/>
      </c>
      <c r="M64" s="42" t="str">
        <f>IF(LEFT($B64,4)="_Mil","",_xlfn.IFNA(ROUND(INDEX(Spectrum!$N:$N,MATCH(RIGHT($B64,13)&amp;"|"&amp;$C64&amp;"|"&amp;$D64&amp;"|"&amp;M$14&amp;"|"&amp;"CY2023Q3",Spectrum!$R:$R,0)),0),""))</f>
        <v/>
      </c>
      <c r="N64" s="42" t="str">
        <f>IF(LEFT($B64,4)="_Mil","",_xlfn.IFNA(ROUND(INDEX(Spectrum!$N:$N,MATCH(RIGHT($B64,13)&amp;"|"&amp;$C64&amp;"|"&amp;$D64&amp;"|"&amp;N$14&amp;"|"&amp;"CY2023Q3",Spectrum!$R:$R,0)),0),""))</f>
        <v/>
      </c>
      <c r="O64" s="42" t="str">
        <f>IF(LEFT($B64,4)="_Mil","",_xlfn.IFNA(ROUND(INDEX(Spectrum!$N:$N,MATCH(RIGHT($B64,13)&amp;"|"&amp;$C64&amp;"|"&amp;$D64&amp;"|"&amp;O$14&amp;"|"&amp;"CY2023Q3",Spectrum!$R:$R,0)),0),""))</f>
        <v/>
      </c>
      <c r="P64" s="42" t="str">
        <f>IF(LEFT($B64,4)="_Mil","",_xlfn.IFNA(ROUND(INDEX(Spectrum!$N:$N,MATCH(RIGHT($B64,13)&amp;"|"&amp;$C64&amp;"|"&amp;$D64&amp;"|"&amp;P$14&amp;"|"&amp;"CY2023Q3",Spectrum!$R:$R,0)),0),""))</f>
        <v/>
      </c>
      <c r="Q64" s="42" t="str">
        <f>IF(LEFT($B64,4)="_Mil","",_xlfn.IFNA(ROUND(INDEX(Spectrum!$N:$N,MATCH(RIGHT($B64,13)&amp;"|"&amp;$C64&amp;"|"&amp;$D64&amp;"|"&amp;Q$14&amp;"|"&amp;"CY2022Q3",Spectrum!$R:$R,0)),0),""))</f>
        <v/>
      </c>
      <c r="R64" s="14"/>
      <c r="S64" s="90">
        <f>0</f>
        <v>0</v>
      </c>
      <c r="T64" s="42" t="str">
        <f t="shared" si="29"/>
        <v/>
      </c>
      <c r="U64" s="90" t="str">
        <f t="shared" si="30"/>
        <v/>
      </c>
      <c r="V64" s="42" t="str">
        <f t="shared" si="31"/>
        <v/>
      </c>
      <c r="W64" s="90"/>
      <c r="X64" s="90" t="str">
        <f t="shared" si="32"/>
        <v/>
      </c>
      <c r="Y64" s="90"/>
      <c r="Z64" s="90" t="str">
        <f t="shared" si="33"/>
        <v/>
      </c>
      <c r="AA64" s="14" t="str">
        <f t="shared" si="34"/>
        <v/>
      </c>
      <c r="AB64" s="42" t="str">
        <f t="shared" si="35"/>
        <v/>
      </c>
      <c r="AC64" s="42" t="str">
        <f t="shared" si="36"/>
        <v/>
      </c>
      <c r="AD64" s="42" t="str">
        <f t="shared" si="37"/>
        <v/>
      </c>
      <c r="AE64" s="14" t="str">
        <f t="shared" si="38"/>
        <v/>
      </c>
      <c r="AF64" s="42" t="str">
        <f t="shared" si="39"/>
        <v/>
      </c>
      <c r="AG64" s="42" t="str">
        <f t="shared" si="40"/>
        <v/>
      </c>
      <c r="AH64" s="42" t="str">
        <f t="shared" si="41"/>
        <v/>
      </c>
      <c r="AI64" s="90" t="str">
        <f>IF(SUM($AC64)=0,"",INDEX(Cascade!$BG:$BG,MATCH($E64,Cascade!$E:$E,0)))</f>
        <v/>
      </c>
      <c r="AJ64" s="42" t="str">
        <f t="shared" si="42"/>
        <v/>
      </c>
      <c r="AK64" s="42" t="str">
        <f t="shared" si="43"/>
        <v/>
      </c>
      <c r="AL64" s="42" t="str">
        <f t="shared" si="44"/>
        <v/>
      </c>
      <c r="AM64" s="42" t="str">
        <f t="shared" si="45"/>
        <v/>
      </c>
      <c r="AN64" s="42" t="str">
        <f t="shared" si="46"/>
        <v/>
      </c>
      <c r="AO64" s="14" t="str">
        <f t="shared" si="47"/>
        <v/>
      </c>
      <c r="AP64" s="90"/>
      <c r="AQ64" s="90" t="str">
        <f t="shared" si="48"/>
        <v/>
      </c>
      <c r="AR64" s="90" t="str">
        <f>IF(SUM($AO64)=0,"",INDEX(Cascade!$BG:$BG,MATCH($E64,Cascade!$E:$E,0)))</f>
        <v/>
      </c>
      <c r="AS64" s="42" t="str">
        <f t="shared" si="49"/>
        <v/>
      </c>
      <c r="AT64" s="42" t="str">
        <f t="shared" si="50"/>
        <v/>
      </c>
      <c r="AU64" s="14" t="str">
        <f t="shared" si="51"/>
        <v/>
      </c>
      <c r="AV64" s="14" t="str">
        <f t="shared" si="52"/>
        <v/>
      </c>
      <c r="AW64" s="14" t="str">
        <f>IFERROR(1/(1/INDEX(Cascade!$BH:$BH,MATCH($E64,Cascade!$E:$E,0))),"")</f>
        <v/>
      </c>
      <c r="AX64" s="14" t="str">
        <f t="shared" si="53"/>
        <v/>
      </c>
      <c r="AY64" s="14" t="str">
        <f t="shared" si="54"/>
        <v/>
      </c>
      <c r="AZ64" s="14" t="str">
        <f>IFERROR(1/(1/INDEX(TB!$P:$P,MATCH($E64,TB!$E:$E,0))),"")</f>
        <v/>
      </c>
      <c r="BA64" s="14" t="str">
        <f t="shared" si="55"/>
        <v/>
      </c>
    </row>
    <row r="65" spans="1:53" x14ac:dyDescent="0.2">
      <c r="A65" t="str">
        <f>INDEX(Prioritization!$D:$D,MATCH($B65,Prioritization!$A:$A,0))</f>
        <v>1 - Scale-up: Saturation</v>
      </c>
      <c r="B65" t="s">
        <v>203</v>
      </c>
      <c r="C65" t="s">
        <v>363</v>
      </c>
      <c r="D65" t="s">
        <v>29</v>
      </c>
      <c r="E65" t="str">
        <f t="shared" si="28"/>
        <v>Chitipa District [GkIwZrXy1h2]|10-14|Female</v>
      </c>
      <c r="F65" s="14">
        <f>IF(LEFT($B65,4)="_Mil","",INDEX(Cascade!$T:$T,MATCH($E65,Cascade!$E:$E,0)))</f>
        <v>1643</v>
      </c>
      <c r="G65" s="14" t="str">
        <f>IF(LEFT($B65,4)="_Mil","",INDEX(Cascade!$U:$U,MATCH($E65,Cascade!$E:$E,0)))</f>
        <v/>
      </c>
      <c r="H65" s="88">
        <f>IF(LEFT($B65,4)="_Mil","",INDEX(Cascade!$W:$W,MATCH($E65,Cascade!$E:$E,0)))</f>
        <v>1822</v>
      </c>
      <c r="I65" s="14">
        <f>IF(LEFT($B65,4)="_Mil","",INDEX(Cascade!$Z:$Z,MATCH($E65,Cascade!$E:$E,0)))</f>
        <v>1055</v>
      </c>
      <c r="J65" s="90">
        <f>IF(LEFT($B65,4)="_Mil","",INDEX(Cascade!$AA:$AA,MATCH($E65,Cascade!$E:$E,0)))</f>
        <v>1802.9999999999998</v>
      </c>
      <c r="K65" s="42" t="str">
        <f>IF(LEFT($B65,4)="_Mil","",_xlfn.IFNA(ROUND(INDEX(Spectrum!$N:$N,MATCH(RIGHT($B65,13)&amp;"|"&amp;$C65&amp;"|"&amp;$D65&amp;"|"&amp;K$14&amp;"|"&amp;"CY2023Q3",Spectrum!$R:$R,0)),0),""))</f>
        <v/>
      </c>
      <c r="L65" s="42" t="str">
        <f>IF(LEFT($B65,4)="_Mil","",_xlfn.IFNA(ROUND(INDEX(Spectrum!$N:$N,MATCH(RIGHT($B65,13)&amp;"|"&amp;$C65&amp;"|"&amp;$D65&amp;"|"&amp;L$14&amp;"|"&amp;"CY2023Q3",Spectrum!$R:$R,0)),0),""))</f>
        <v/>
      </c>
      <c r="M65" s="42" t="str">
        <f>IF(LEFT($B65,4)="_Mil","",_xlfn.IFNA(ROUND(INDEX(Spectrum!$N:$N,MATCH(RIGHT($B65,13)&amp;"|"&amp;$C65&amp;"|"&amp;$D65&amp;"|"&amp;M$14&amp;"|"&amp;"CY2023Q3",Spectrum!$R:$R,0)),0),""))</f>
        <v/>
      </c>
      <c r="N65" s="42" t="str">
        <f>IF(LEFT($B65,4)="_Mil","",_xlfn.IFNA(ROUND(INDEX(Spectrum!$N:$N,MATCH(RIGHT($B65,13)&amp;"|"&amp;$C65&amp;"|"&amp;$D65&amp;"|"&amp;N$14&amp;"|"&amp;"CY2023Q3",Spectrum!$R:$R,0)),0),""))</f>
        <v/>
      </c>
      <c r="O65" s="42" t="str">
        <f>IF(LEFT($B65,4)="_Mil","",_xlfn.IFNA(ROUND(INDEX(Spectrum!$N:$N,MATCH(RIGHT($B65,13)&amp;"|"&amp;$C65&amp;"|"&amp;$D65&amp;"|"&amp;O$14&amp;"|"&amp;"CY2023Q3",Spectrum!$R:$R,0)),0),""))</f>
        <v/>
      </c>
      <c r="P65" s="42" t="str">
        <f>IF(LEFT($B65,4)="_Mil","",_xlfn.IFNA(ROUND(INDEX(Spectrum!$N:$N,MATCH(RIGHT($B65,13)&amp;"|"&amp;$C65&amp;"|"&amp;$D65&amp;"|"&amp;P$14&amp;"|"&amp;"CY2023Q3",Spectrum!$R:$R,0)),0),""))</f>
        <v/>
      </c>
      <c r="Q65" s="42" t="str">
        <f>IF(LEFT($B65,4)="_Mil","",_xlfn.IFNA(ROUND(INDEX(Spectrum!$N:$N,MATCH(RIGHT($B65,13)&amp;"|"&amp;$C65&amp;"|"&amp;$D65&amp;"|"&amp;Q$14&amp;"|"&amp;"CY2022Q3",Spectrum!$R:$R,0)),0),""))</f>
        <v/>
      </c>
      <c r="R65" s="14">
        <v>1</v>
      </c>
      <c r="S65" s="90">
        <f>0</f>
        <v>0</v>
      </c>
      <c r="T65" s="42">
        <f t="shared" si="29"/>
        <v>1</v>
      </c>
      <c r="U65" s="90">
        <f t="shared" si="30"/>
        <v>1</v>
      </c>
      <c r="V65" s="42">
        <f t="shared" si="31"/>
        <v>1</v>
      </c>
      <c r="W65" s="90"/>
      <c r="X65" s="90" t="str">
        <f t="shared" si="32"/>
        <v/>
      </c>
      <c r="Y65" s="90"/>
      <c r="Z65" s="90" t="str">
        <f t="shared" si="33"/>
        <v/>
      </c>
      <c r="AA65" s="14">
        <f t="shared" si="34"/>
        <v>1</v>
      </c>
      <c r="AB65" s="42" t="str">
        <f t="shared" si="35"/>
        <v>ENTER KNOWN POSITIVITY RATE</v>
      </c>
      <c r="AC65" s="42" t="str">
        <f t="shared" si="36"/>
        <v>ENTER YIELD RATE</v>
      </c>
      <c r="AD65" s="42">
        <f t="shared" si="37"/>
        <v>1</v>
      </c>
      <c r="AE65" s="14">
        <f t="shared" si="38"/>
        <v>1</v>
      </c>
      <c r="AF65" s="42">
        <f t="shared" si="39"/>
        <v>0</v>
      </c>
      <c r="AG65" s="42">
        <f t="shared" si="40"/>
        <v>0</v>
      </c>
      <c r="AH65" s="42">
        <f t="shared" si="41"/>
        <v>1</v>
      </c>
      <c r="AI65" s="90" t="str">
        <f>IF(SUM($AC65)=0,"",INDEX(Cascade!$BG:$BG,MATCH($E65,Cascade!$E:$E,0)))</f>
        <v/>
      </c>
      <c r="AJ65" s="42" t="str">
        <f t="shared" si="42"/>
        <v>ENTER KNOWN POSITIVITY RATE</v>
      </c>
      <c r="AK65" s="42" t="str">
        <f t="shared" si="43"/>
        <v/>
      </c>
      <c r="AL65" s="42" t="str">
        <f t="shared" si="44"/>
        <v/>
      </c>
      <c r="AM65" s="42">
        <f t="shared" si="45"/>
        <v>0</v>
      </c>
      <c r="AN65" s="42" t="str">
        <f t="shared" si="46"/>
        <v/>
      </c>
      <c r="AO65" s="14">
        <f t="shared" si="47"/>
        <v>1</v>
      </c>
      <c r="AP65" s="90"/>
      <c r="AQ65" s="90" t="str">
        <f t="shared" si="48"/>
        <v/>
      </c>
      <c r="AR65" s="90">
        <f>IF(SUM($AO65)=0,"",INDEX(Cascade!$BG:$BG,MATCH($E65,Cascade!$E:$E,0)))</f>
        <v>0.95</v>
      </c>
      <c r="AS65" s="42" t="str">
        <f t="shared" si="49"/>
        <v>ENTER YIELD RATE</v>
      </c>
      <c r="AT65" s="42">
        <f t="shared" si="50"/>
        <v>1</v>
      </c>
      <c r="AU65" s="14" t="str">
        <f t="shared" si="51"/>
        <v/>
      </c>
      <c r="AV65" s="14" t="str">
        <f t="shared" si="52"/>
        <v/>
      </c>
      <c r="AW65" s="14">
        <f>IFERROR(1/(1/INDEX(Cascade!$BH:$BH,MATCH($E65,Cascade!$E:$E,0))),"")</f>
        <v>-6</v>
      </c>
      <c r="AX65" s="14" t="str">
        <f t="shared" si="53"/>
        <v/>
      </c>
      <c r="AY65" s="14" t="str">
        <f t="shared" si="54"/>
        <v/>
      </c>
      <c r="AZ65" s="14" t="str">
        <f>IFERROR(1/(1/INDEX(TB!$P:$P,MATCH($E65,TB!$E:$E,0))),"")</f>
        <v/>
      </c>
      <c r="BA65" s="14">
        <f t="shared" si="55"/>
        <v>-6</v>
      </c>
    </row>
    <row r="66" spans="1:53" x14ac:dyDescent="0.2">
      <c r="A66" t="str">
        <f>INDEX(Prioritization!$D:$D,MATCH($B66,Prioritization!$A:$A,0))</f>
        <v>1 - Scale-up: Saturation</v>
      </c>
      <c r="B66" t="s">
        <v>203</v>
      </c>
      <c r="C66" t="s">
        <v>364</v>
      </c>
      <c r="D66" t="s">
        <v>29</v>
      </c>
      <c r="E66" t="str">
        <f t="shared" si="28"/>
        <v>Chitipa District [GkIwZrXy1h2]|15-24|Female</v>
      </c>
      <c r="F66" s="14">
        <f>IF(LEFT($B66,4)="_Mil","",INDEX(Cascade!$T:$T,MATCH($E66,Cascade!$E:$E,0)))</f>
        <v>1807</v>
      </c>
      <c r="G66" s="14" t="str">
        <f>IF(LEFT($B66,4)="_Mil","",INDEX(Cascade!$U:$U,MATCH($E66,Cascade!$E:$E,0)))</f>
        <v/>
      </c>
      <c r="H66" s="88">
        <f>IF(LEFT($B66,4)="_Mil","",INDEX(Cascade!$W:$W,MATCH($E66,Cascade!$E:$E,0)))</f>
        <v>1369</v>
      </c>
      <c r="I66" s="14">
        <f>IF(LEFT($B66,4)="_Mil","",INDEX(Cascade!$Z:$Z,MATCH($E66,Cascade!$E:$E,0)))</f>
        <v>1814</v>
      </c>
      <c r="J66" s="90">
        <f>IF(LEFT($B66,4)="_Mil","",INDEX(Cascade!$AA:$AA,MATCH($E66,Cascade!$E:$E,0)))</f>
        <v>1790.0000000000002</v>
      </c>
      <c r="K66" s="42">
        <f>IF(LEFT($B66,4)="_Mil","",_xlfn.IFNA(ROUND(INDEX(Spectrum!$N:$N,MATCH(RIGHT($B66,13)&amp;"|"&amp;$C66&amp;"|"&amp;$D66&amp;"|"&amp;K$14&amp;"|"&amp;"CY2023Q3",Spectrum!$R:$R,0)),0),""))</f>
        <v>1304</v>
      </c>
      <c r="L66" s="42" t="str">
        <f>IF(LEFT($B66,4)="_Mil","",_xlfn.IFNA(ROUND(INDEX(Spectrum!$N:$N,MATCH(RIGHT($B66,13)&amp;"|"&amp;$C66&amp;"|"&amp;$D66&amp;"|"&amp;L$14&amp;"|"&amp;"CY2023Q3",Spectrum!$R:$R,0)),0),""))</f>
        <v/>
      </c>
      <c r="M66" s="42">
        <f>IF(LEFT($B66,4)="_Mil","",_xlfn.IFNA(ROUND(INDEX(Spectrum!$N:$N,MATCH(RIGHT($B66,13)&amp;"|"&amp;$C66&amp;"|"&amp;$D66&amp;"|"&amp;M$14&amp;"|"&amp;"CY2023Q3",Spectrum!$R:$R,0)),0),""))</f>
        <v>1349</v>
      </c>
      <c r="N66" s="42">
        <f>IF(LEFT($B66,4)="_Mil","",_xlfn.IFNA(ROUND(INDEX(Spectrum!$N:$N,MATCH(RIGHT($B66,13)&amp;"|"&amp;$C66&amp;"|"&amp;$D66&amp;"|"&amp;N$14&amp;"|"&amp;"CY2023Q3",Spectrum!$R:$R,0)),0),""))</f>
        <v>1584</v>
      </c>
      <c r="O66" s="42">
        <f>IF(LEFT($B66,4)="_Mil","",_xlfn.IFNA(ROUND(INDEX(Spectrum!$N:$N,MATCH(RIGHT($B66,13)&amp;"|"&amp;$C66&amp;"|"&amp;$D66&amp;"|"&amp;O$14&amp;"|"&amp;"CY2023Q3",Spectrum!$R:$R,0)),0),""))</f>
        <v>899</v>
      </c>
      <c r="P66" s="42">
        <f>IF(LEFT($B66,4)="_Mil","",_xlfn.IFNA(ROUND(INDEX(Spectrum!$N:$N,MATCH(RIGHT($B66,13)&amp;"|"&amp;$C66&amp;"|"&amp;$D66&amp;"|"&amp;P$14&amp;"|"&amp;"CY2023Q3",Spectrum!$R:$R,0)),0),""))</f>
        <v>1569</v>
      </c>
      <c r="Q66" s="42" t="str">
        <f>IF(LEFT($B66,4)="_Mil","",_xlfn.IFNA(ROUND(INDEX(Spectrum!$N:$N,MATCH(RIGHT($B66,13)&amp;"|"&amp;$C66&amp;"|"&amp;$D66&amp;"|"&amp;Q$14&amp;"|"&amp;"CY2022Q3",Spectrum!$R:$R,0)),0),""))</f>
        <v/>
      </c>
      <c r="R66" s="14"/>
      <c r="S66" s="90">
        <f>0</f>
        <v>0</v>
      </c>
      <c r="T66" s="42" t="str">
        <f t="shared" si="29"/>
        <v/>
      </c>
      <c r="U66" s="90">
        <f t="shared" si="30"/>
        <v>0</v>
      </c>
      <c r="V66" s="42" t="str">
        <f t="shared" si="31"/>
        <v/>
      </c>
      <c r="W66" s="90"/>
      <c r="X66" s="90">
        <f t="shared" si="32"/>
        <v>0</v>
      </c>
      <c r="Y66" s="90"/>
      <c r="Z66" s="90">
        <f t="shared" si="33"/>
        <v>0</v>
      </c>
      <c r="AA66" s="14" t="str">
        <f t="shared" si="34"/>
        <v/>
      </c>
      <c r="AB66" s="42" t="str">
        <f t="shared" si="35"/>
        <v/>
      </c>
      <c r="AC66" s="42" t="str">
        <f t="shared" si="36"/>
        <v/>
      </c>
      <c r="AD66" s="42" t="str">
        <f t="shared" si="37"/>
        <v/>
      </c>
      <c r="AE66" s="14" t="str">
        <f t="shared" si="38"/>
        <v/>
      </c>
      <c r="AF66" s="42" t="str">
        <f t="shared" si="39"/>
        <v/>
      </c>
      <c r="AG66" s="42" t="str">
        <f t="shared" si="40"/>
        <v/>
      </c>
      <c r="AH66" s="42" t="str">
        <f t="shared" si="41"/>
        <v/>
      </c>
      <c r="AI66" s="90" t="str">
        <f>IF(SUM($AC66)=0,"",INDEX(Cascade!$BG:$BG,MATCH($E66,Cascade!$E:$E,0)))</f>
        <v/>
      </c>
      <c r="AJ66" s="42" t="str">
        <f t="shared" si="42"/>
        <v/>
      </c>
      <c r="AK66" s="42" t="str">
        <f t="shared" si="43"/>
        <v/>
      </c>
      <c r="AL66" s="42" t="str">
        <f t="shared" si="44"/>
        <v/>
      </c>
      <c r="AM66" s="42" t="str">
        <f t="shared" si="45"/>
        <v/>
      </c>
      <c r="AN66" s="42" t="str">
        <f t="shared" si="46"/>
        <v/>
      </c>
      <c r="AO66" s="14" t="str">
        <f t="shared" si="47"/>
        <v/>
      </c>
      <c r="AP66" s="90"/>
      <c r="AQ66" s="90" t="str">
        <f t="shared" si="48"/>
        <v/>
      </c>
      <c r="AR66" s="90" t="str">
        <f>IF(SUM($AO66)=0,"",INDEX(Cascade!$BG:$BG,MATCH($E66,Cascade!$E:$E,0)))</f>
        <v/>
      </c>
      <c r="AS66" s="42" t="str">
        <f t="shared" si="49"/>
        <v/>
      </c>
      <c r="AT66" s="42" t="str">
        <f t="shared" si="50"/>
        <v/>
      </c>
      <c r="AU66" s="14" t="str">
        <f t="shared" si="51"/>
        <v/>
      </c>
      <c r="AV66" s="14" t="str">
        <f t="shared" si="52"/>
        <v/>
      </c>
      <c r="AW66" s="14" t="str">
        <f>IFERROR(1/(1/INDEX(Cascade!$BH:$BH,MATCH($E66,Cascade!$E:$E,0))),"")</f>
        <v/>
      </c>
      <c r="AX66" s="14" t="str">
        <f t="shared" si="53"/>
        <v/>
      </c>
      <c r="AY66" s="14" t="str">
        <f t="shared" si="54"/>
        <v/>
      </c>
      <c r="AZ66" s="14" t="str">
        <f>IFERROR(1/(1/INDEX(TB!$P:$P,MATCH($E66,TB!$E:$E,0))),"")</f>
        <v/>
      </c>
      <c r="BA66" s="14" t="str">
        <f t="shared" si="55"/>
        <v/>
      </c>
    </row>
    <row r="67" spans="1:53" x14ac:dyDescent="0.2">
      <c r="A67" t="str">
        <f>INDEX(Prioritization!$D:$D,MATCH($B67,Prioritization!$A:$A,0))</f>
        <v>1 - Scale-up: Saturation</v>
      </c>
      <c r="B67" t="s">
        <v>203</v>
      </c>
      <c r="C67" t="s">
        <v>365</v>
      </c>
      <c r="D67" t="s">
        <v>29</v>
      </c>
      <c r="E67" t="str">
        <f t="shared" si="28"/>
        <v>Chitipa District [GkIwZrXy1h2]|25-34|Female</v>
      </c>
      <c r="F67" s="14">
        <f>IF(LEFT($B67,4)="_Mil","",INDEX(Cascade!$T:$T,MATCH($E67,Cascade!$E:$E,0)))</f>
        <v>1936</v>
      </c>
      <c r="G67" s="14" t="str">
        <f>IF(LEFT($B67,4)="_Mil","",INDEX(Cascade!$U:$U,MATCH($E67,Cascade!$E:$E,0)))</f>
        <v/>
      </c>
      <c r="H67" s="88">
        <f>IF(LEFT($B67,4)="_Mil","",INDEX(Cascade!$W:$W,MATCH($E67,Cascade!$E:$E,0)))</f>
        <v>771</v>
      </c>
      <c r="I67" s="14">
        <f>IF(LEFT($B67,4)="_Mil","",INDEX(Cascade!$Z:$Z,MATCH($E67,Cascade!$E:$E,0)))</f>
        <v>1268</v>
      </c>
      <c r="J67" s="90">
        <f>IF(LEFT($B67,4)="_Mil","",INDEX(Cascade!$AA:$AA,MATCH($E67,Cascade!$E:$E,0)))</f>
        <v>739</v>
      </c>
      <c r="K67" s="42">
        <f>IF(LEFT($B67,4)="_Mil","",_xlfn.IFNA(ROUND(INDEX(Spectrum!$N:$N,MATCH(RIGHT($B67,13)&amp;"|"&amp;$C67&amp;"|"&amp;$D67&amp;"|"&amp;K$14&amp;"|"&amp;"CY2023Q3",Spectrum!$R:$R,0)),0),""))</f>
        <v>569</v>
      </c>
      <c r="L67" s="42" t="str">
        <f>IF(LEFT($B67,4)="_Mil","",_xlfn.IFNA(ROUND(INDEX(Spectrum!$N:$N,MATCH(RIGHT($B67,13)&amp;"|"&amp;$C67&amp;"|"&amp;$D67&amp;"|"&amp;L$14&amp;"|"&amp;"CY2023Q3",Spectrum!$R:$R,0)),0),""))</f>
        <v/>
      </c>
      <c r="M67" s="42">
        <f>IF(LEFT($B67,4)="_Mil","",_xlfn.IFNA(ROUND(INDEX(Spectrum!$N:$N,MATCH(RIGHT($B67,13)&amp;"|"&amp;$C67&amp;"|"&amp;$D67&amp;"|"&amp;M$14&amp;"|"&amp;"CY2023Q3",Spectrum!$R:$R,0)),0),""))</f>
        <v>905</v>
      </c>
      <c r="N67" s="42">
        <f>IF(LEFT($B67,4)="_Mil","",_xlfn.IFNA(ROUND(INDEX(Spectrum!$N:$N,MATCH(RIGHT($B67,13)&amp;"|"&amp;$C67&amp;"|"&amp;$D67&amp;"|"&amp;N$14&amp;"|"&amp;"CY2023Q3",Spectrum!$R:$R,0)),0),""))</f>
        <v>1301</v>
      </c>
      <c r="O67" s="42">
        <f>IF(LEFT($B67,4)="_Mil","",_xlfn.IFNA(ROUND(INDEX(Spectrum!$N:$N,MATCH(RIGHT($B67,13)&amp;"|"&amp;$C67&amp;"|"&amp;$D67&amp;"|"&amp;O$14&amp;"|"&amp;"CY2023Q3",Spectrum!$R:$R,0)),0),""))</f>
        <v>1417</v>
      </c>
      <c r="P67" s="42">
        <f>IF(LEFT($B67,4)="_Mil","",_xlfn.IFNA(ROUND(INDEX(Spectrum!$N:$N,MATCH(RIGHT($B67,13)&amp;"|"&amp;$C67&amp;"|"&amp;$D67&amp;"|"&amp;P$14&amp;"|"&amp;"CY2023Q3",Spectrum!$R:$R,0)),0),""))</f>
        <v>849</v>
      </c>
      <c r="Q67" s="42" t="str">
        <f>IF(LEFT($B67,4)="_Mil","",_xlfn.IFNA(ROUND(INDEX(Spectrum!$N:$N,MATCH(RIGHT($B67,13)&amp;"|"&amp;$C67&amp;"|"&amp;$D67&amp;"|"&amp;Q$14&amp;"|"&amp;"CY2022Q3",Spectrum!$R:$R,0)),0),""))</f>
        <v/>
      </c>
      <c r="R67" s="14"/>
      <c r="S67" s="90">
        <f>0</f>
        <v>0</v>
      </c>
      <c r="T67" s="42" t="str">
        <f t="shared" si="29"/>
        <v/>
      </c>
      <c r="U67" s="90">
        <f t="shared" si="30"/>
        <v>0</v>
      </c>
      <c r="V67" s="42" t="str">
        <f t="shared" si="31"/>
        <v/>
      </c>
      <c r="W67" s="90"/>
      <c r="X67" s="90">
        <f t="shared" si="32"/>
        <v>0</v>
      </c>
      <c r="Y67" s="90"/>
      <c r="Z67" s="90">
        <f t="shared" si="33"/>
        <v>0</v>
      </c>
      <c r="AA67" s="14" t="str">
        <f t="shared" si="34"/>
        <v/>
      </c>
      <c r="AB67" s="42" t="str">
        <f t="shared" si="35"/>
        <v/>
      </c>
      <c r="AC67" s="42" t="str">
        <f t="shared" si="36"/>
        <v/>
      </c>
      <c r="AD67" s="42" t="str">
        <f t="shared" si="37"/>
        <v/>
      </c>
      <c r="AE67" s="14" t="str">
        <f t="shared" si="38"/>
        <v/>
      </c>
      <c r="AF67" s="42" t="str">
        <f t="shared" si="39"/>
        <v/>
      </c>
      <c r="AG67" s="42" t="str">
        <f t="shared" si="40"/>
        <v/>
      </c>
      <c r="AH67" s="42" t="str">
        <f t="shared" si="41"/>
        <v/>
      </c>
      <c r="AI67" s="90" t="str">
        <f>IF(SUM($AC67)=0,"",INDEX(Cascade!$BG:$BG,MATCH($E67,Cascade!$E:$E,0)))</f>
        <v/>
      </c>
      <c r="AJ67" s="42" t="str">
        <f t="shared" si="42"/>
        <v/>
      </c>
      <c r="AK67" s="42" t="str">
        <f t="shared" si="43"/>
        <v/>
      </c>
      <c r="AL67" s="42" t="str">
        <f t="shared" si="44"/>
        <v/>
      </c>
      <c r="AM67" s="42" t="str">
        <f t="shared" si="45"/>
        <v/>
      </c>
      <c r="AN67" s="42" t="str">
        <f t="shared" si="46"/>
        <v/>
      </c>
      <c r="AO67" s="14" t="str">
        <f t="shared" si="47"/>
        <v/>
      </c>
      <c r="AP67" s="90"/>
      <c r="AQ67" s="90" t="str">
        <f t="shared" si="48"/>
        <v/>
      </c>
      <c r="AR67" s="90" t="str">
        <f>IF(SUM($AO67)=0,"",INDEX(Cascade!$BG:$BG,MATCH($E67,Cascade!$E:$E,0)))</f>
        <v/>
      </c>
      <c r="AS67" s="42" t="str">
        <f t="shared" si="49"/>
        <v/>
      </c>
      <c r="AT67" s="42" t="str">
        <f t="shared" si="50"/>
        <v/>
      </c>
      <c r="AU67" s="14" t="str">
        <f t="shared" si="51"/>
        <v/>
      </c>
      <c r="AV67" s="14" t="str">
        <f t="shared" si="52"/>
        <v/>
      </c>
      <c r="AW67" s="14" t="str">
        <f>IFERROR(1/(1/INDEX(Cascade!$BH:$BH,MATCH($E67,Cascade!$E:$E,0))),"")</f>
        <v/>
      </c>
      <c r="AX67" s="14" t="str">
        <f t="shared" si="53"/>
        <v/>
      </c>
      <c r="AY67" s="14" t="str">
        <f t="shared" si="54"/>
        <v/>
      </c>
      <c r="AZ67" s="14" t="str">
        <f>IFERROR(1/(1/INDEX(TB!$P:$P,MATCH($E67,TB!$E:$E,0))),"")</f>
        <v/>
      </c>
      <c r="BA67" s="14" t="str">
        <f t="shared" si="55"/>
        <v/>
      </c>
    </row>
    <row r="68" spans="1:53" x14ac:dyDescent="0.2">
      <c r="A68" t="str">
        <f>INDEX(Prioritization!$D:$D,MATCH($B68,Prioritization!$A:$A,0))</f>
        <v>1 - Scale-up: Saturation</v>
      </c>
      <c r="B68" t="s">
        <v>203</v>
      </c>
      <c r="C68" t="s">
        <v>366</v>
      </c>
      <c r="D68" t="s">
        <v>29</v>
      </c>
      <c r="E68" t="str">
        <f t="shared" si="28"/>
        <v>Chitipa District [GkIwZrXy1h2]|35-49|Female</v>
      </c>
      <c r="F68" s="14">
        <f>IF(LEFT($B68,4)="_Mil","",INDEX(Cascade!$T:$T,MATCH($E68,Cascade!$E:$E,0)))</f>
        <v>708</v>
      </c>
      <c r="G68" s="14" t="str">
        <f>IF(LEFT($B68,4)="_Mil","",INDEX(Cascade!$U:$U,MATCH($E68,Cascade!$E:$E,0)))</f>
        <v/>
      </c>
      <c r="H68" s="88">
        <f>IF(LEFT($B68,4)="_Mil","",INDEX(Cascade!$W:$W,MATCH($E68,Cascade!$E:$E,0)))</f>
        <v>1179</v>
      </c>
      <c r="I68" s="14">
        <f>IF(LEFT($B68,4)="_Mil","",INDEX(Cascade!$Z:$Z,MATCH($E68,Cascade!$E:$E,0)))</f>
        <v>786</v>
      </c>
      <c r="J68" s="90">
        <f>IF(LEFT($B68,4)="_Mil","",INDEX(Cascade!$AA:$AA,MATCH($E68,Cascade!$E:$E,0)))</f>
        <v>1516</v>
      </c>
      <c r="K68" s="42">
        <f>IF(LEFT($B68,4)="_Mil","",_xlfn.IFNA(ROUND(INDEX(Spectrum!$N:$N,MATCH(RIGHT($B68,13)&amp;"|"&amp;$C68&amp;"|"&amp;$D68&amp;"|"&amp;K$14&amp;"|"&amp;"CY2023Q3",Spectrum!$R:$R,0)),0),""))</f>
        <v>1084</v>
      </c>
      <c r="L68" s="42" t="str">
        <f>IF(LEFT($B68,4)="_Mil","",_xlfn.IFNA(ROUND(INDEX(Spectrum!$N:$N,MATCH(RIGHT($B68,13)&amp;"|"&amp;$C68&amp;"|"&amp;$D68&amp;"|"&amp;L$14&amp;"|"&amp;"CY2023Q3",Spectrum!$R:$R,0)),0),""))</f>
        <v/>
      </c>
      <c r="M68" s="42">
        <f>IF(LEFT($B68,4)="_Mil","",_xlfn.IFNA(ROUND(INDEX(Spectrum!$N:$N,MATCH(RIGHT($B68,13)&amp;"|"&amp;$C68&amp;"|"&amp;$D68&amp;"|"&amp;M$14&amp;"|"&amp;"CY2023Q3",Spectrum!$R:$R,0)),0),""))</f>
        <v>1423</v>
      </c>
      <c r="N68" s="42">
        <f>IF(LEFT($B68,4)="_Mil","",_xlfn.IFNA(ROUND(INDEX(Spectrum!$N:$N,MATCH(RIGHT($B68,13)&amp;"|"&amp;$C68&amp;"|"&amp;$D68&amp;"|"&amp;N$14&amp;"|"&amp;"CY2023Q3",Spectrum!$R:$R,0)),0),""))</f>
        <v>794</v>
      </c>
      <c r="O68" s="42">
        <f>IF(LEFT($B68,4)="_Mil","",_xlfn.IFNA(ROUND(INDEX(Spectrum!$N:$N,MATCH(RIGHT($B68,13)&amp;"|"&amp;$C68&amp;"|"&amp;$D68&amp;"|"&amp;O$14&amp;"|"&amp;"CY2023Q3",Spectrum!$R:$R,0)),0),""))</f>
        <v>1516</v>
      </c>
      <c r="P68" s="42">
        <f>IF(LEFT($B68,4)="_Mil","",_xlfn.IFNA(ROUND(INDEX(Spectrum!$N:$N,MATCH(RIGHT($B68,13)&amp;"|"&amp;$C68&amp;"|"&amp;$D68&amp;"|"&amp;P$14&amp;"|"&amp;"CY2023Q3",Spectrum!$R:$R,0)),0),""))</f>
        <v>1299</v>
      </c>
      <c r="Q68" s="42" t="str">
        <f>IF(LEFT($B68,4)="_Mil","",_xlfn.IFNA(ROUND(INDEX(Spectrum!$N:$N,MATCH(RIGHT($B68,13)&amp;"|"&amp;$C68&amp;"|"&amp;$D68&amp;"|"&amp;Q$14&amp;"|"&amp;"CY2022Q3",Spectrum!$R:$R,0)),0),""))</f>
        <v/>
      </c>
      <c r="R68" s="14"/>
      <c r="S68" s="90">
        <f>0</f>
        <v>0</v>
      </c>
      <c r="T68" s="42" t="str">
        <f t="shared" si="29"/>
        <v/>
      </c>
      <c r="U68" s="90">
        <f t="shared" si="30"/>
        <v>0</v>
      </c>
      <c r="V68" s="42" t="str">
        <f t="shared" si="31"/>
        <v/>
      </c>
      <c r="W68" s="90"/>
      <c r="X68" s="90">
        <f t="shared" si="32"/>
        <v>0</v>
      </c>
      <c r="Y68" s="90"/>
      <c r="Z68" s="90">
        <f t="shared" si="33"/>
        <v>0</v>
      </c>
      <c r="AA68" s="14" t="str">
        <f t="shared" si="34"/>
        <v/>
      </c>
      <c r="AB68" s="42" t="str">
        <f t="shared" si="35"/>
        <v/>
      </c>
      <c r="AC68" s="42" t="str">
        <f t="shared" si="36"/>
        <v/>
      </c>
      <c r="AD68" s="42" t="str">
        <f t="shared" si="37"/>
        <v/>
      </c>
      <c r="AE68" s="14" t="str">
        <f t="shared" si="38"/>
        <v/>
      </c>
      <c r="AF68" s="42" t="str">
        <f t="shared" si="39"/>
        <v/>
      </c>
      <c r="AG68" s="42" t="str">
        <f t="shared" si="40"/>
        <v/>
      </c>
      <c r="AH68" s="42" t="str">
        <f t="shared" si="41"/>
        <v/>
      </c>
      <c r="AI68" s="90" t="str">
        <f>IF(SUM($AC68)=0,"",INDEX(Cascade!$BG:$BG,MATCH($E68,Cascade!$E:$E,0)))</f>
        <v/>
      </c>
      <c r="AJ68" s="42" t="str">
        <f t="shared" si="42"/>
        <v/>
      </c>
      <c r="AK68" s="42" t="str">
        <f t="shared" si="43"/>
        <v/>
      </c>
      <c r="AL68" s="42" t="str">
        <f t="shared" si="44"/>
        <v/>
      </c>
      <c r="AM68" s="42" t="str">
        <f t="shared" si="45"/>
        <v/>
      </c>
      <c r="AN68" s="42" t="str">
        <f t="shared" si="46"/>
        <v/>
      </c>
      <c r="AO68" s="14" t="str">
        <f t="shared" si="47"/>
        <v/>
      </c>
      <c r="AP68" s="90"/>
      <c r="AQ68" s="90" t="str">
        <f t="shared" si="48"/>
        <v/>
      </c>
      <c r="AR68" s="90" t="str">
        <f>IF(SUM($AO68)=0,"",INDEX(Cascade!$BG:$BG,MATCH($E68,Cascade!$E:$E,0)))</f>
        <v/>
      </c>
      <c r="AS68" s="42" t="str">
        <f t="shared" si="49"/>
        <v/>
      </c>
      <c r="AT68" s="42" t="str">
        <f t="shared" si="50"/>
        <v/>
      </c>
      <c r="AU68" s="14" t="str">
        <f t="shared" si="51"/>
        <v/>
      </c>
      <c r="AV68" s="14" t="str">
        <f t="shared" si="52"/>
        <v/>
      </c>
      <c r="AW68" s="14" t="str">
        <f>IFERROR(1/(1/INDEX(Cascade!$BH:$BH,MATCH($E68,Cascade!$E:$E,0))),"")</f>
        <v/>
      </c>
      <c r="AX68" s="14" t="str">
        <f t="shared" si="53"/>
        <v/>
      </c>
      <c r="AY68" s="14" t="str">
        <f t="shared" si="54"/>
        <v/>
      </c>
      <c r="AZ68" s="14" t="str">
        <f>IFERROR(1/(1/INDEX(TB!$P:$P,MATCH($E68,TB!$E:$E,0))),"")</f>
        <v/>
      </c>
      <c r="BA68" s="14" t="str">
        <f t="shared" si="55"/>
        <v/>
      </c>
    </row>
    <row r="69" spans="1:53" x14ac:dyDescent="0.2">
      <c r="A69" t="str">
        <f>INDEX(Prioritization!$D:$D,MATCH($B69,Prioritization!$A:$A,0))</f>
        <v>1 - Scale-up: Saturation</v>
      </c>
      <c r="B69" t="s">
        <v>203</v>
      </c>
      <c r="C69" t="s">
        <v>367</v>
      </c>
      <c r="D69" t="s">
        <v>29</v>
      </c>
      <c r="E69" t="str">
        <f t="shared" si="28"/>
        <v>Chitipa District [GkIwZrXy1h2]|50+|Female</v>
      </c>
      <c r="F69" s="14">
        <f>IF(LEFT($B69,4)="_Mil","",INDEX(Cascade!$T:$T,MATCH($E69,Cascade!$E:$E,0)))</f>
        <v>1175</v>
      </c>
      <c r="G69" s="14" t="str">
        <f>IF(LEFT($B69,4)="_Mil","",INDEX(Cascade!$U:$U,MATCH($E69,Cascade!$E:$E,0)))</f>
        <v/>
      </c>
      <c r="H69" s="88">
        <f>IF(LEFT($B69,4)="_Mil","",INDEX(Cascade!$W:$W,MATCH($E69,Cascade!$E:$E,0)))</f>
        <v>1183</v>
      </c>
      <c r="I69" s="14">
        <f>IF(LEFT($B69,4)="_Mil","",INDEX(Cascade!$Z:$Z,MATCH($E69,Cascade!$E:$E,0)))</f>
        <v>1050</v>
      </c>
      <c r="J69" s="90">
        <f>IF(LEFT($B69,4)="_Mil","",INDEX(Cascade!$AA:$AA,MATCH($E69,Cascade!$E:$E,0)))</f>
        <v>868</v>
      </c>
      <c r="K69" s="42" t="str">
        <f>IF(LEFT($B69,4)="_Mil","",_xlfn.IFNA(ROUND(INDEX(Spectrum!$N:$N,MATCH(RIGHT($B69,13)&amp;"|"&amp;$C69&amp;"|"&amp;$D69&amp;"|"&amp;K$14&amp;"|"&amp;"CY2023Q3",Spectrum!$R:$R,0)),0),""))</f>
        <v/>
      </c>
      <c r="L69" s="42" t="str">
        <f>IF(LEFT($B69,4)="_Mil","",_xlfn.IFNA(ROUND(INDEX(Spectrum!$N:$N,MATCH(RIGHT($B69,13)&amp;"|"&amp;$C69&amp;"|"&amp;$D69&amp;"|"&amp;L$14&amp;"|"&amp;"CY2023Q3",Spectrum!$R:$R,0)),0),""))</f>
        <v/>
      </c>
      <c r="M69" s="42" t="str">
        <f>IF(LEFT($B69,4)="_Mil","",_xlfn.IFNA(ROUND(INDEX(Spectrum!$N:$N,MATCH(RIGHT($B69,13)&amp;"|"&amp;$C69&amp;"|"&amp;$D69&amp;"|"&amp;M$14&amp;"|"&amp;"CY2023Q3",Spectrum!$R:$R,0)),0),""))</f>
        <v/>
      </c>
      <c r="N69" s="42" t="str">
        <f>IF(LEFT($B69,4)="_Mil","",_xlfn.IFNA(ROUND(INDEX(Spectrum!$N:$N,MATCH(RIGHT($B69,13)&amp;"|"&amp;$C69&amp;"|"&amp;$D69&amp;"|"&amp;N$14&amp;"|"&amp;"CY2023Q3",Spectrum!$R:$R,0)),0),""))</f>
        <v/>
      </c>
      <c r="O69" s="42" t="str">
        <f>IF(LEFT($B69,4)="_Mil","",_xlfn.IFNA(ROUND(INDEX(Spectrum!$N:$N,MATCH(RIGHT($B69,13)&amp;"|"&amp;$C69&amp;"|"&amp;$D69&amp;"|"&amp;O$14&amp;"|"&amp;"CY2023Q3",Spectrum!$R:$R,0)),0),""))</f>
        <v/>
      </c>
      <c r="P69" s="42" t="str">
        <f>IF(LEFT($B69,4)="_Mil","",_xlfn.IFNA(ROUND(INDEX(Spectrum!$N:$N,MATCH(RIGHT($B69,13)&amp;"|"&amp;$C69&amp;"|"&amp;$D69&amp;"|"&amp;P$14&amp;"|"&amp;"CY2023Q3",Spectrum!$R:$R,0)),0),""))</f>
        <v/>
      </c>
      <c r="Q69" s="42" t="str">
        <f>IF(LEFT($B69,4)="_Mil","",_xlfn.IFNA(ROUND(INDEX(Spectrum!$N:$N,MATCH(RIGHT($B69,13)&amp;"|"&amp;$C69&amp;"|"&amp;$D69&amp;"|"&amp;Q$14&amp;"|"&amp;"CY2022Q3",Spectrum!$R:$R,0)),0),""))</f>
        <v/>
      </c>
      <c r="R69" s="14"/>
      <c r="S69" s="90">
        <f>0</f>
        <v>0</v>
      </c>
      <c r="T69" s="42" t="str">
        <f t="shared" si="29"/>
        <v/>
      </c>
      <c r="U69" s="90" t="str">
        <f t="shared" si="30"/>
        <v/>
      </c>
      <c r="V69" s="42" t="str">
        <f t="shared" si="31"/>
        <v/>
      </c>
      <c r="W69" s="90"/>
      <c r="X69" s="90" t="str">
        <f t="shared" si="32"/>
        <v/>
      </c>
      <c r="Y69" s="90"/>
      <c r="Z69" s="90" t="str">
        <f t="shared" si="33"/>
        <v/>
      </c>
      <c r="AA69" s="14" t="str">
        <f t="shared" si="34"/>
        <v/>
      </c>
      <c r="AB69" s="42" t="str">
        <f t="shared" si="35"/>
        <v/>
      </c>
      <c r="AC69" s="42" t="str">
        <f t="shared" si="36"/>
        <v/>
      </c>
      <c r="AD69" s="42" t="str">
        <f t="shared" si="37"/>
        <v/>
      </c>
      <c r="AE69" s="14" t="str">
        <f t="shared" si="38"/>
        <v/>
      </c>
      <c r="AF69" s="42" t="str">
        <f t="shared" si="39"/>
        <v/>
      </c>
      <c r="AG69" s="42" t="str">
        <f t="shared" si="40"/>
        <v/>
      </c>
      <c r="AH69" s="42" t="str">
        <f t="shared" si="41"/>
        <v/>
      </c>
      <c r="AI69" s="90" t="str">
        <f>IF(SUM($AC69)=0,"",INDEX(Cascade!$BG:$BG,MATCH($E69,Cascade!$E:$E,0)))</f>
        <v/>
      </c>
      <c r="AJ69" s="42" t="str">
        <f t="shared" si="42"/>
        <v/>
      </c>
      <c r="AK69" s="42" t="str">
        <f t="shared" si="43"/>
        <v/>
      </c>
      <c r="AL69" s="42" t="str">
        <f t="shared" si="44"/>
        <v/>
      </c>
      <c r="AM69" s="42" t="str">
        <f t="shared" si="45"/>
        <v/>
      </c>
      <c r="AN69" s="42" t="str">
        <f t="shared" si="46"/>
        <v/>
      </c>
      <c r="AO69" s="14" t="str">
        <f t="shared" si="47"/>
        <v/>
      </c>
      <c r="AP69" s="90"/>
      <c r="AQ69" s="90" t="str">
        <f t="shared" si="48"/>
        <v/>
      </c>
      <c r="AR69" s="90" t="str">
        <f>IF(SUM($AO69)=0,"",INDEX(Cascade!$BG:$BG,MATCH($E69,Cascade!$E:$E,0)))</f>
        <v/>
      </c>
      <c r="AS69" s="42" t="str">
        <f t="shared" si="49"/>
        <v/>
      </c>
      <c r="AT69" s="42" t="str">
        <f t="shared" si="50"/>
        <v/>
      </c>
      <c r="AU69" s="14" t="str">
        <f t="shared" si="51"/>
        <v/>
      </c>
      <c r="AV69" s="14" t="str">
        <f t="shared" si="52"/>
        <v/>
      </c>
      <c r="AW69" s="14" t="str">
        <f>IFERROR(1/(1/INDEX(Cascade!$BH:$BH,MATCH($E69,Cascade!$E:$E,0))),"")</f>
        <v/>
      </c>
      <c r="AX69" s="14" t="str">
        <f t="shared" si="53"/>
        <v/>
      </c>
      <c r="AY69" s="14" t="str">
        <f t="shared" si="54"/>
        <v/>
      </c>
      <c r="AZ69" s="14" t="str">
        <f>IFERROR(1/(1/INDEX(TB!$P:$P,MATCH($E69,TB!$E:$E,0))),"")</f>
        <v/>
      </c>
      <c r="BA69" s="14" t="str">
        <f t="shared" si="55"/>
        <v/>
      </c>
    </row>
    <row r="70" spans="1:53" x14ac:dyDescent="0.2">
      <c r="A70" t="str">
        <f>INDEX(Prioritization!$D:$D,MATCH($B70,Prioritization!$A:$A,0))</f>
        <v>INVALID</v>
      </c>
      <c r="B70" t="s">
        <v>204</v>
      </c>
      <c r="C70" t="s">
        <v>363</v>
      </c>
      <c r="D70" t="s">
        <v>29</v>
      </c>
      <c r="E70" t="str">
        <f t="shared" si="28"/>
        <v>Karonga District [cPtvxaZqXIH]|10-14|Female</v>
      </c>
      <c r="F70" s="14">
        <f>IF(LEFT($B70,4)="_Mil","",INDEX(Cascade!$T:$T,MATCH($E70,Cascade!$E:$E,0)))</f>
        <v>1865</v>
      </c>
      <c r="G70" s="14" t="str">
        <f>IF(LEFT($B70,4)="_Mil","",INDEX(Cascade!$U:$U,MATCH($E70,Cascade!$E:$E,0)))</f>
        <v/>
      </c>
      <c r="H70" s="88">
        <f>IF(LEFT($B70,4)="_Mil","",INDEX(Cascade!$W:$W,MATCH($E70,Cascade!$E:$E,0)))</f>
        <v>1834</v>
      </c>
      <c r="I70" s="14">
        <f>IF(LEFT($B70,4)="_Mil","",INDEX(Cascade!$Z:$Z,MATCH($E70,Cascade!$E:$E,0)))</f>
        <v>1850</v>
      </c>
      <c r="J70" s="90">
        <f>IF(LEFT($B70,4)="_Mil","",INDEX(Cascade!$AA:$AA,MATCH($E70,Cascade!$E:$E,0)))</f>
        <v>1487</v>
      </c>
      <c r="K70" s="42" t="str">
        <f>IF(LEFT($B70,4)="_Mil","",_xlfn.IFNA(ROUND(INDEX(Spectrum!$N:$N,MATCH(RIGHT($B70,13)&amp;"|"&amp;$C70&amp;"|"&amp;$D70&amp;"|"&amp;K$14&amp;"|"&amp;"CY2023Q3",Spectrum!$R:$R,0)),0),""))</f>
        <v/>
      </c>
      <c r="L70" s="42" t="str">
        <f>IF(LEFT($B70,4)="_Mil","",_xlfn.IFNA(ROUND(INDEX(Spectrum!$N:$N,MATCH(RIGHT($B70,13)&amp;"|"&amp;$C70&amp;"|"&amp;$D70&amp;"|"&amp;L$14&amp;"|"&amp;"CY2023Q3",Spectrum!$R:$R,0)),0),""))</f>
        <v/>
      </c>
      <c r="M70" s="42" t="str">
        <f>IF(LEFT($B70,4)="_Mil","",_xlfn.IFNA(ROUND(INDEX(Spectrum!$N:$N,MATCH(RIGHT($B70,13)&amp;"|"&amp;$C70&amp;"|"&amp;$D70&amp;"|"&amp;M$14&amp;"|"&amp;"CY2023Q3",Spectrum!$R:$R,0)),0),""))</f>
        <v/>
      </c>
      <c r="N70" s="42" t="str">
        <f>IF(LEFT($B70,4)="_Mil","",_xlfn.IFNA(ROUND(INDEX(Spectrum!$N:$N,MATCH(RIGHT($B70,13)&amp;"|"&amp;$C70&amp;"|"&amp;$D70&amp;"|"&amp;N$14&amp;"|"&amp;"CY2023Q3",Spectrum!$R:$R,0)),0),""))</f>
        <v/>
      </c>
      <c r="O70" s="42" t="str">
        <f>IF(LEFT($B70,4)="_Mil","",_xlfn.IFNA(ROUND(INDEX(Spectrum!$N:$N,MATCH(RIGHT($B70,13)&amp;"|"&amp;$C70&amp;"|"&amp;$D70&amp;"|"&amp;O$14&amp;"|"&amp;"CY2023Q3",Spectrum!$R:$R,0)),0),""))</f>
        <v/>
      </c>
      <c r="P70" s="42" t="str">
        <f>IF(LEFT($B70,4)="_Mil","",_xlfn.IFNA(ROUND(INDEX(Spectrum!$N:$N,MATCH(RIGHT($B70,13)&amp;"|"&amp;$C70&amp;"|"&amp;$D70&amp;"|"&amp;P$14&amp;"|"&amp;"CY2023Q3",Spectrum!$R:$R,0)),0),""))</f>
        <v/>
      </c>
      <c r="Q70" s="42" t="str">
        <f>IF(LEFT($B70,4)="_Mil","",_xlfn.IFNA(ROUND(INDEX(Spectrum!$N:$N,MATCH(RIGHT($B70,13)&amp;"|"&amp;$C70&amp;"|"&amp;$D70&amp;"|"&amp;Q$14&amp;"|"&amp;"CY2022Q3",Spectrum!$R:$R,0)),0),""))</f>
        <v/>
      </c>
      <c r="R70" s="14">
        <v>5</v>
      </c>
      <c r="S70" s="90">
        <f>0</f>
        <v>0</v>
      </c>
      <c r="T70" s="42">
        <f t="shared" si="29"/>
        <v>5</v>
      </c>
      <c r="U70" s="90">
        <f t="shared" si="30"/>
        <v>1</v>
      </c>
      <c r="V70" s="42">
        <f t="shared" si="31"/>
        <v>5</v>
      </c>
      <c r="W70" s="90"/>
      <c r="X70" s="90" t="str">
        <f t="shared" si="32"/>
        <v/>
      </c>
      <c r="Y70" s="90"/>
      <c r="Z70" s="90" t="str">
        <f t="shared" si="33"/>
        <v/>
      </c>
      <c r="AA70" s="14">
        <f t="shared" si="34"/>
        <v>5</v>
      </c>
      <c r="AB70" s="42" t="str">
        <f t="shared" si="35"/>
        <v>ENTER KNOWN POSITIVITY RATE</v>
      </c>
      <c r="AC70" s="42" t="str">
        <f t="shared" si="36"/>
        <v>ENTER YIELD RATE</v>
      </c>
      <c r="AD70" s="42">
        <f t="shared" si="37"/>
        <v>5</v>
      </c>
      <c r="AE70" s="14">
        <f t="shared" si="38"/>
        <v>5</v>
      </c>
      <c r="AF70" s="42">
        <f t="shared" si="39"/>
        <v>0</v>
      </c>
      <c r="AG70" s="42">
        <f t="shared" si="40"/>
        <v>0</v>
      </c>
      <c r="AH70" s="42">
        <f t="shared" si="41"/>
        <v>5</v>
      </c>
      <c r="AI70" s="90" t="str">
        <f>IF(SUM($AC70)=0,"",INDEX(Cascade!$BG:$BG,MATCH($E70,Cascade!$E:$E,0)))</f>
        <v/>
      </c>
      <c r="AJ70" s="42" t="str">
        <f t="shared" si="42"/>
        <v>ENTER KNOWN POSITIVITY RATE</v>
      </c>
      <c r="AK70" s="42" t="str">
        <f t="shared" si="43"/>
        <v/>
      </c>
      <c r="AL70" s="42" t="str">
        <f t="shared" si="44"/>
        <v/>
      </c>
      <c r="AM70" s="42">
        <f t="shared" si="45"/>
        <v>0</v>
      </c>
      <c r="AN70" s="42" t="str">
        <f t="shared" si="46"/>
        <v/>
      </c>
      <c r="AO70" s="14">
        <f t="shared" si="47"/>
        <v>5</v>
      </c>
      <c r="AP70" s="90"/>
      <c r="AQ70" s="90" t="str">
        <f t="shared" si="48"/>
        <v/>
      </c>
      <c r="AR70" s="90">
        <f>IF(SUM($AO70)=0,"",INDEX(Cascade!$BG:$BG,MATCH($E70,Cascade!$E:$E,0)))</f>
        <v>0.95</v>
      </c>
      <c r="AS70" s="42" t="str">
        <f t="shared" si="49"/>
        <v>ENTER YIELD RATE</v>
      </c>
      <c r="AT70" s="42">
        <f t="shared" si="50"/>
        <v>5</v>
      </c>
      <c r="AU70" s="14" t="str">
        <f t="shared" si="51"/>
        <v/>
      </c>
      <c r="AV70" s="14" t="str">
        <f t="shared" si="52"/>
        <v/>
      </c>
      <c r="AW70" s="14">
        <f>IFERROR(1/(1/INDEX(Cascade!$BH:$BH,MATCH($E70,Cascade!$E:$E,0))),"")</f>
        <v>-96</v>
      </c>
      <c r="AX70" s="14" t="str">
        <f t="shared" si="53"/>
        <v/>
      </c>
      <c r="AY70" s="14" t="str">
        <f t="shared" si="54"/>
        <v/>
      </c>
      <c r="AZ70" s="14" t="str">
        <f>IFERROR(1/(1/INDEX(TB!$P:$P,MATCH($E70,TB!$E:$E,0))),"")</f>
        <v/>
      </c>
      <c r="BA70" s="14">
        <f t="shared" si="55"/>
        <v>-96</v>
      </c>
    </row>
    <row r="71" spans="1:53" x14ac:dyDescent="0.2">
      <c r="A71" t="str">
        <f>INDEX(Prioritization!$D:$D,MATCH($B71,Prioritization!$A:$A,0))</f>
        <v>INVALID</v>
      </c>
      <c r="B71" t="s">
        <v>204</v>
      </c>
      <c r="C71" t="s">
        <v>364</v>
      </c>
      <c r="D71" t="s">
        <v>29</v>
      </c>
      <c r="E71" t="str">
        <f t="shared" si="28"/>
        <v>Karonga District [cPtvxaZqXIH]|15-24|Female</v>
      </c>
      <c r="F71" s="14">
        <f>IF(LEFT($B71,4)="_Mil","",INDEX(Cascade!$T:$T,MATCH($E71,Cascade!$E:$E,0)))</f>
        <v>1202</v>
      </c>
      <c r="G71" s="14" t="str">
        <f>IF(LEFT($B71,4)="_Mil","",INDEX(Cascade!$U:$U,MATCH($E71,Cascade!$E:$E,0)))</f>
        <v/>
      </c>
      <c r="H71" s="88">
        <f>IF(LEFT($B71,4)="_Mil","",INDEX(Cascade!$W:$W,MATCH($E71,Cascade!$E:$E,0)))</f>
        <v>1330</v>
      </c>
      <c r="I71" s="14">
        <f>IF(LEFT($B71,4)="_Mil","",INDEX(Cascade!$Z:$Z,MATCH($E71,Cascade!$E:$E,0)))</f>
        <v>1627</v>
      </c>
      <c r="J71" s="90">
        <f>IF(LEFT($B71,4)="_Mil","",INDEX(Cascade!$AA:$AA,MATCH($E71,Cascade!$E:$E,0)))</f>
        <v>1022</v>
      </c>
      <c r="K71" s="42">
        <f>IF(LEFT($B71,4)="_Mil","",_xlfn.IFNA(ROUND(INDEX(Spectrum!$N:$N,MATCH(RIGHT($B71,13)&amp;"|"&amp;$C71&amp;"|"&amp;$D71&amp;"|"&amp;K$14&amp;"|"&amp;"CY2023Q3",Spectrum!$R:$R,0)),0),""))</f>
        <v>1419</v>
      </c>
      <c r="L71" s="42" t="str">
        <f>IF(LEFT($B71,4)="_Mil","",_xlfn.IFNA(ROUND(INDEX(Spectrum!$N:$N,MATCH(RIGHT($B71,13)&amp;"|"&amp;$C71&amp;"|"&amp;$D71&amp;"|"&amp;L$14&amp;"|"&amp;"CY2023Q3",Spectrum!$R:$R,0)),0),""))</f>
        <v/>
      </c>
      <c r="M71" s="42">
        <f>IF(LEFT($B71,4)="_Mil","",_xlfn.IFNA(ROUND(INDEX(Spectrum!$N:$N,MATCH(RIGHT($B71,13)&amp;"|"&amp;$C71&amp;"|"&amp;$D71&amp;"|"&amp;M$14&amp;"|"&amp;"CY2023Q3",Spectrum!$R:$R,0)),0),""))</f>
        <v>1867</v>
      </c>
      <c r="N71" s="42">
        <f>IF(LEFT($B71,4)="_Mil","",_xlfn.IFNA(ROUND(INDEX(Spectrum!$N:$N,MATCH(RIGHT($B71,13)&amp;"|"&amp;$C71&amp;"|"&amp;$D71&amp;"|"&amp;N$14&amp;"|"&amp;"CY2023Q3",Spectrum!$R:$R,0)),0),""))</f>
        <v>651</v>
      </c>
      <c r="O71" s="42">
        <f>IF(LEFT($B71,4)="_Mil","",_xlfn.IFNA(ROUND(INDEX(Spectrum!$N:$N,MATCH(RIGHT($B71,13)&amp;"|"&amp;$C71&amp;"|"&amp;$D71&amp;"|"&amp;O$14&amp;"|"&amp;"CY2023Q3",Spectrum!$R:$R,0)),0),""))</f>
        <v>1073</v>
      </c>
      <c r="P71" s="42">
        <f>IF(LEFT($B71,4)="_Mil","",_xlfn.IFNA(ROUND(INDEX(Spectrum!$N:$N,MATCH(RIGHT($B71,13)&amp;"|"&amp;$C71&amp;"|"&amp;$D71&amp;"|"&amp;P$14&amp;"|"&amp;"CY2023Q3",Spectrum!$R:$R,0)),0),""))</f>
        <v>601</v>
      </c>
      <c r="Q71" s="42" t="str">
        <f>IF(LEFT($B71,4)="_Mil","",_xlfn.IFNA(ROUND(INDEX(Spectrum!$N:$N,MATCH(RIGHT($B71,13)&amp;"|"&amp;$C71&amp;"|"&amp;$D71&amp;"|"&amp;Q$14&amp;"|"&amp;"CY2022Q3",Spectrum!$R:$R,0)),0),""))</f>
        <v/>
      </c>
      <c r="R71" s="14"/>
      <c r="S71" s="90">
        <f>0</f>
        <v>0</v>
      </c>
      <c r="T71" s="42" t="str">
        <f t="shared" si="29"/>
        <v/>
      </c>
      <c r="U71" s="90">
        <f t="shared" si="30"/>
        <v>0</v>
      </c>
      <c r="V71" s="42" t="str">
        <f t="shared" si="31"/>
        <v/>
      </c>
      <c r="W71" s="90"/>
      <c r="X71" s="90">
        <f t="shared" si="32"/>
        <v>0</v>
      </c>
      <c r="Y71" s="90"/>
      <c r="Z71" s="90">
        <f t="shared" si="33"/>
        <v>0</v>
      </c>
      <c r="AA71" s="14" t="str">
        <f t="shared" si="34"/>
        <v/>
      </c>
      <c r="AB71" s="42" t="str">
        <f t="shared" si="35"/>
        <v/>
      </c>
      <c r="AC71" s="42" t="str">
        <f t="shared" si="36"/>
        <v/>
      </c>
      <c r="AD71" s="42" t="str">
        <f t="shared" si="37"/>
        <v/>
      </c>
      <c r="AE71" s="14" t="str">
        <f t="shared" si="38"/>
        <v/>
      </c>
      <c r="AF71" s="42" t="str">
        <f t="shared" si="39"/>
        <v/>
      </c>
      <c r="AG71" s="42" t="str">
        <f t="shared" si="40"/>
        <v/>
      </c>
      <c r="AH71" s="42" t="str">
        <f t="shared" si="41"/>
        <v/>
      </c>
      <c r="AI71" s="90" t="str">
        <f>IF(SUM($AC71)=0,"",INDEX(Cascade!$BG:$BG,MATCH($E71,Cascade!$E:$E,0)))</f>
        <v/>
      </c>
      <c r="AJ71" s="42" t="str">
        <f t="shared" si="42"/>
        <v/>
      </c>
      <c r="AK71" s="42" t="str">
        <f t="shared" si="43"/>
        <v/>
      </c>
      <c r="AL71" s="42" t="str">
        <f t="shared" si="44"/>
        <v/>
      </c>
      <c r="AM71" s="42" t="str">
        <f t="shared" si="45"/>
        <v/>
      </c>
      <c r="AN71" s="42" t="str">
        <f t="shared" si="46"/>
        <v/>
      </c>
      <c r="AO71" s="14" t="str">
        <f t="shared" si="47"/>
        <v/>
      </c>
      <c r="AP71" s="90"/>
      <c r="AQ71" s="90" t="str">
        <f t="shared" si="48"/>
        <v/>
      </c>
      <c r="AR71" s="90" t="str">
        <f>IF(SUM($AO71)=0,"",INDEX(Cascade!$BG:$BG,MATCH($E71,Cascade!$E:$E,0)))</f>
        <v/>
      </c>
      <c r="AS71" s="42" t="str">
        <f t="shared" si="49"/>
        <v/>
      </c>
      <c r="AT71" s="42" t="str">
        <f t="shared" si="50"/>
        <v/>
      </c>
      <c r="AU71" s="14" t="str">
        <f t="shared" si="51"/>
        <v/>
      </c>
      <c r="AV71" s="14" t="str">
        <f t="shared" si="52"/>
        <v/>
      </c>
      <c r="AW71" s="14" t="str">
        <f>IFERROR(1/(1/INDEX(Cascade!$BH:$BH,MATCH($E71,Cascade!$E:$E,0))),"")</f>
        <v/>
      </c>
      <c r="AX71" s="14" t="str">
        <f t="shared" si="53"/>
        <v/>
      </c>
      <c r="AY71" s="14" t="str">
        <f t="shared" si="54"/>
        <v/>
      </c>
      <c r="AZ71" s="14" t="str">
        <f>IFERROR(1/(1/INDEX(TB!$P:$P,MATCH($E71,TB!$E:$E,0))),"")</f>
        <v/>
      </c>
      <c r="BA71" s="14" t="str">
        <f t="shared" si="55"/>
        <v/>
      </c>
    </row>
    <row r="72" spans="1:53" x14ac:dyDescent="0.2">
      <c r="A72" t="str">
        <f>INDEX(Prioritization!$D:$D,MATCH($B72,Prioritization!$A:$A,0))</f>
        <v>INVALID</v>
      </c>
      <c r="B72" t="s">
        <v>204</v>
      </c>
      <c r="C72" t="s">
        <v>365</v>
      </c>
      <c r="D72" t="s">
        <v>29</v>
      </c>
      <c r="E72" t="str">
        <f t="shared" si="28"/>
        <v>Karonga District [cPtvxaZqXIH]|25-34|Female</v>
      </c>
      <c r="F72" s="14">
        <f>IF(LEFT($B72,4)="_Mil","",INDEX(Cascade!$T:$T,MATCH($E72,Cascade!$E:$E,0)))</f>
        <v>905</v>
      </c>
      <c r="G72" s="14" t="str">
        <f>IF(LEFT($B72,4)="_Mil","",INDEX(Cascade!$U:$U,MATCH($E72,Cascade!$E:$E,0)))</f>
        <v/>
      </c>
      <c r="H72" s="88">
        <f>IF(LEFT($B72,4)="_Mil","",INDEX(Cascade!$W:$W,MATCH($E72,Cascade!$E:$E,0)))</f>
        <v>1493</v>
      </c>
      <c r="I72" s="14">
        <f>IF(LEFT($B72,4)="_Mil","",INDEX(Cascade!$Z:$Z,MATCH($E72,Cascade!$E:$E,0)))</f>
        <v>1672</v>
      </c>
      <c r="J72" s="90">
        <f>IF(LEFT($B72,4)="_Mil","",INDEX(Cascade!$AA:$AA,MATCH($E72,Cascade!$E:$E,0)))</f>
        <v>1236</v>
      </c>
      <c r="K72" s="42">
        <f>IF(LEFT($B72,4)="_Mil","",_xlfn.IFNA(ROUND(INDEX(Spectrum!$N:$N,MATCH(RIGHT($B72,13)&amp;"|"&amp;$C72&amp;"|"&amp;$D72&amp;"|"&amp;K$14&amp;"|"&amp;"CY2023Q3",Spectrum!$R:$R,0)),0),""))</f>
        <v>1454</v>
      </c>
      <c r="L72" s="42" t="str">
        <f>IF(LEFT($B72,4)="_Mil","",_xlfn.IFNA(ROUND(INDEX(Spectrum!$N:$N,MATCH(RIGHT($B72,13)&amp;"|"&amp;$C72&amp;"|"&amp;$D72&amp;"|"&amp;L$14&amp;"|"&amp;"CY2023Q3",Spectrum!$R:$R,0)),0),""))</f>
        <v/>
      </c>
      <c r="M72" s="42">
        <f>IF(LEFT($B72,4)="_Mil","",_xlfn.IFNA(ROUND(INDEX(Spectrum!$N:$N,MATCH(RIGHT($B72,13)&amp;"|"&amp;$C72&amp;"|"&amp;$D72&amp;"|"&amp;M$14&amp;"|"&amp;"CY2023Q3",Spectrum!$R:$R,0)),0),""))</f>
        <v>1640</v>
      </c>
      <c r="N72" s="42">
        <f>IF(LEFT($B72,4)="_Mil","",_xlfn.IFNA(ROUND(INDEX(Spectrum!$N:$N,MATCH(RIGHT($B72,13)&amp;"|"&amp;$C72&amp;"|"&amp;$D72&amp;"|"&amp;N$14&amp;"|"&amp;"CY2023Q3",Spectrum!$R:$R,0)),0),""))</f>
        <v>1740</v>
      </c>
      <c r="O72" s="42">
        <f>IF(LEFT($B72,4)="_Mil","",_xlfn.IFNA(ROUND(INDEX(Spectrum!$N:$N,MATCH(RIGHT($B72,13)&amp;"|"&amp;$C72&amp;"|"&amp;$D72&amp;"|"&amp;O$14&amp;"|"&amp;"CY2023Q3",Spectrum!$R:$R,0)),0),""))</f>
        <v>1103</v>
      </c>
      <c r="P72" s="42">
        <f>IF(LEFT($B72,4)="_Mil","",_xlfn.IFNA(ROUND(INDEX(Spectrum!$N:$N,MATCH(RIGHT($B72,13)&amp;"|"&amp;$C72&amp;"|"&amp;$D72&amp;"|"&amp;P$14&amp;"|"&amp;"CY2023Q3",Spectrum!$R:$R,0)),0),""))</f>
        <v>1061</v>
      </c>
      <c r="Q72" s="42" t="str">
        <f>IF(LEFT($B72,4)="_Mil","",_xlfn.IFNA(ROUND(INDEX(Spectrum!$N:$N,MATCH(RIGHT($B72,13)&amp;"|"&amp;$C72&amp;"|"&amp;$D72&amp;"|"&amp;Q$14&amp;"|"&amp;"CY2022Q3",Spectrum!$R:$R,0)),0),""))</f>
        <v/>
      </c>
      <c r="R72" s="14"/>
      <c r="S72" s="90">
        <f>0</f>
        <v>0</v>
      </c>
      <c r="T72" s="42" t="str">
        <f t="shared" si="29"/>
        <v/>
      </c>
      <c r="U72" s="90">
        <f t="shared" si="30"/>
        <v>0</v>
      </c>
      <c r="V72" s="42" t="str">
        <f t="shared" si="31"/>
        <v/>
      </c>
      <c r="W72" s="90"/>
      <c r="X72" s="90">
        <f t="shared" si="32"/>
        <v>0</v>
      </c>
      <c r="Y72" s="90"/>
      <c r="Z72" s="90">
        <f t="shared" si="33"/>
        <v>0</v>
      </c>
      <c r="AA72" s="14" t="str">
        <f t="shared" si="34"/>
        <v/>
      </c>
      <c r="AB72" s="42" t="str">
        <f t="shared" si="35"/>
        <v/>
      </c>
      <c r="AC72" s="42" t="str">
        <f t="shared" si="36"/>
        <v/>
      </c>
      <c r="AD72" s="42" t="str">
        <f t="shared" si="37"/>
        <v/>
      </c>
      <c r="AE72" s="14" t="str">
        <f t="shared" si="38"/>
        <v/>
      </c>
      <c r="AF72" s="42" t="str">
        <f t="shared" si="39"/>
        <v/>
      </c>
      <c r="AG72" s="42" t="str">
        <f t="shared" si="40"/>
        <v/>
      </c>
      <c r="AH72" s="42" t="str">
        <f t="shared" si="41"/>
        <v/>
      </c>
      <c r="AI72" s="90" t="str">
        <f>IF(SUM($AC72)=0,"",INDEX(Cascade!$BG:$BG,MATCH($E72,Cascade!$E:$E,0)))</f>
        <v/>
      </c>
      <c r="AJ72" s="42" t="str">
        <f t="shared" si="42"/>
        <v/>
      </c>
      <c r="AK72" s="42" t="str">
        <f t="shared" si="43"/>
        <v/>
      </c>
      <c r="AL72" s="42" t="str">
        <f t="shared" si="44"/>
        <v/>
      </c>
      <c r="AM72" s="42" t="str">
        <f t="shared" si="45"/>
        <v/>
      </c>
      <c r="AN72" s="42" t="str">
        <f t="shared" si="46"/>
        <v/>
      </c>
      <c r="AO72" s="14" t="str">
        <f t="shared" si="47"/>
        <v/>
      </c>
      <c r="AP72" s="90"/>
      <c r="AQ72" s="90" t="str">
        <f t="shared" si="48"/>
        <v/>
      </c>
      <c r="AR72" s="90" t="str">
        <f>IF(SUM($AO72)=0,"",INDEX(Cascade!$BG:$BG,MATCH($E72,Cascade!$E:$E,0)))</f>
        <v/>
      </c>
      <c r="AS72" s="42" t="str">
        <f t="shared" si="49"/>
        <v/>
      </c>
      <c r="AT72" s="42" t="str">
        <f t="shared" si="50"/>
        <v/>
      </c>
      <c r="AU72" s="14" t="str">
        <f t="shared" si="51"/>
        <v/>
      </c>
      <c r="AV72" s="14" t="str">
        <f t="shared" si="52"/>
        <v/>
      </c>
      <c r="AW72" s="14" t="str">
        <f>IFERROR(1/(1/INDEX(Cascade!$BH:$BH,MATCH($E72,Cascade!$E:$E,0))),"")</f>
        <v/>
      </c>
      <c r="AX72" s="14" t="str">
        <f t="shared" si="53"/>
        <v/>
      </c>
      <c r="AY72" s="14" t="str">
        <f t="shared" si="54"/>
        <v/>
      </c>
      <c r="AZ72" s="14" t="str">
        <f>IFERROR(1/(1/INDEX(TB!$P:$P,MATCH($E72,TB!$E:$E,0))),"")</f>
        <v/>
      </c>
      <c r="BA72" s="14" t="str">
        <f t="shared" si="55"/>
        <v/>
      </c>
    </row>
    <row r="73" spans="1:53" x14ac:dyDescent="0.2">
      <c r="A73" t="str">
        <f>INDEX(Prioritization!$D:$D,MATCH($B73,Prioritization!$A:$A,0))</f>
        <v>INVALID</v>
      </c>
      <c r="B73" t="s">
        <v>204</v>
      </c>
      <c r="C73" t="s">
        <v>366</v>
      </c>
      <c r="D73" t="s">
        <v>29</v>
      </c>
      <c r="E73" t="str">
        <f t="shared" si="28"/>
        <v>Karonga District [cPtvxaZqXIH]|35-49|Female</v>
      </c>
      <c r="F73" s="14">
        <f>IF(LEFT($B73,4)="_Mil","",INDEX(Cascade!$T:$T,MATCH($E73,Cascade!$E:$E,0)))</f>
        <v>1416</v>
      </c>
      <c r="G73" s="14" t="str">
        <f>IF(LEFT($B73,4)="_Mil","",INDEX(Cascade!$U:$U,MATCH($E73,Cascade!$E:$E,0)))</f>
        <v/>
      </c>
      <c r="H73" s="88">
        <f>IF(LEFT($B73,4)="_Mil","",INDEX(Cascade!$W:$W,MATCH($E73,Cascade!$E:$E,0)))</f>
        <v>1992</v>
      </c>
      <c r="I73" s="14">
        <f>IF(LEFT($B73,4)="_Mil","",INDEX(Cascade!$Z:$Z,MATCH($E73,Cascade!$E:$E,0)))</f>
        <v>1315</v>
      </c>
      <c r="J73" s="90">
        <f>IF(LEFT($B73,4)="_Mil","",INDEX(Cascade!$AA:$AA,MATCH($E73,Cascade!$E:$E,0)))</f>
        <v>1838</v>
      </c>
      <c r="K73" s="42">
        <f>IF(LEFT($B73,4)="_Mil","",_xlfn.IFNA(ROUND(INDEX(Spectrum!$N:$N,MATCH(RIGHT($B73,13)&amp;"|"&amp;$C73&amp;"|"&amp;$D73&amp;"|"&amp;K$14&amp;"|"&amp;"CY2023Q3",Spectrum!$R:$R,0)),0),""))</f>
        <v>868</v>
      </c>
      <c r="L73" s="42" t="str">
        <f>IF(LEFT($B73,4)="_Mil","",_xlfn.IFNA(ROUND(INDEX(Spectrum!$N:$N,MATCH(RIGHT($B73,13)&amp;"|"&amp;$C73&amp;"|"&amp;$D73&amp;"|"&amp;L$14&amp;"|"&amp;"CY2023Q3",Spectrum!$R:$R,0)),0),""))</f>
        <v/>
      </c>
      <c r="M73" s="42">
        <f>IF(LEFT($B73,4)="_Mil","",_xlfn.IFNA(ROUND(INDEX(Spectrum!$N:$N,MATCH(RIGHT($B73,13)&amp;"|"&amp;$C73&amp;"|"&amp;$D73&amp;"|"&amp;M$14&amp;"|"&amp;"CY2023Q3",Spectrum!$R:$R,0)),0),""))</f>
        <v>1287</v>
      </c>
      <c r="N73" s="42">
        <f>IF(LEFT($B73,4)="_Mil","",_xlfn.IFNA(ROUND(INDEX(Spectrum!$N:$N,MATCH(RIGHT($B73,13)&amp;"|"&amp;$C73&amp;"|"&amp;$D73&amp;"|"&amp;N$14&amp;"|"&amp;"CY2023Q3",Spectrum!$R:$R,0)),0),""))</f>
        <v>922</v>
      </c>
      <c r="O73" s="42">
        <f>IF(LEFT($B73,4)="_Mil","",_xlfn.IFNA(ROUND(INDEX(Spectrum!$N:$N,MATCH(RIGHT($B73,13)&amp;"|"&amp;$C73&amp;"|"&amp;$D73&amp;"|"&amp;O$14&amp;"|"&amp;"CY2023Q3",Spectrum!$R:$R,0)),0),""))</f>
        <v>771</v>
      </c>
      <c r="P73" s="42">
        <f>IF(LEFT($B73,4)="_Mil","",_xlfn.IFNA(ROUND(INDEX(Spectrum!$N:$N,MATCH(RIGHT($B73,13)&amp;"|"&amp;$C73&amp;"|"&amp;$D73&amp;"|"&amp;P$14&amp;"|"&amp;"CY2023Q3",Spectrum!$R:$R,0)),0),""))</f>
        <v>1763</v>
      </c>
      <c r="Q73" s="42" t="str">
        <f>IF(LEFT($B73,4)="_Mil","",_xlfn.IFNA(ROUND(INDEX(Spectrum!$N:$N,MATCH(RIGHT($B73,13)&amp;"|"&amp;$C73&amp;"|"&amp;$D73&amp;"|"&amp;Q$14&amp;"|"&amp;"CY2022Q3",Spectrum!$R:$R,0)),0),""))</f>
        <v/>
      </c>
      <c r="R73" s="14"/>
      <c r="S73" s="90">
        <f>0</f>
        <v>0</v>
      </c>
      <c r="T73" s="42" t="str">
        <f t="shared" si="29"/>
        <v/>
      </c>
      <c r="U73" s="90">
        <f t="shared" si="30"/>
        <v>0</v>
      </c>
      <c r="V73" s="42" t="str">
        <f t="shared" si="31"/>
        <v/>
      </c>
      <c r="W73" s="90"/>
      <c r="X73" s="90">
        <f t="shared" si="32"/>
        <v>0</v>
      </c>
      <c r="Y73" s="90"/>
      <c r="Z73" s="90">
        <f t="shared" si="33"/>
        <v>0</v>
      </c>
      <c r="AA73" s="14" t="str">
        <f t="shared" si="34"/>
        <v/>
      </c>
      <c r="AB73" s="42" t="str">
        <f t="shared" si="35"/>
        <v/>
      </c>
      <c r="AC73" s="42" t="str">
        <f t="shared" si="36"/>
        <v/>
      </c>
      <c r="AD73" s="42" t="str">
        <f t="shared" si="37"/>
        <v/>
      </c>
      <c r="AE73" s="14" t="str">
        <f t="shared" si="38"/>
        <v/>
      </c>
      <c r="AF73" s="42" t="str">
        <f t="shared" si="39"/>
        <v/>
      </c>
      <c r="AG73" s="42" t="str">
        <f t="shared" si="40"/>
        <v/>
      </c>
      <c r="AH73" s="42" t="str">
        <f t="shared" si="41"/>
        <v/>
      </c>
      <c r="AI73" s="90" t="str">
        <f>IF(SUM($AC73)=0,"",INDEX(Cascade!$BG:$BG,MATCH($E73,Cascade!$E:$E,0)))</f>
        <v/>
      </c>
      <c r="AJ73" s="42" t="str">
        <f t="shared" si="42"/>
        <v/>
      </c>
      <c r="AK73" s="42" t="str">
        <f t="shared" si="43"/>
        <v/>
      </c>
      <c r="AL73" s="42" t="str">
        <f t="shared" si="44"/>
        <v/>
      </c>
      <c r="AM73" s="42" t="str">
        <f t="shared" si="45"/>
        <v/>
      </c>
      <c r="AN73" s="42" t="str">
        <f t="shared" si="46"/>
        <v/>
      </c>
      <c r="AO73" s="14" t="str">
        <f t="shared" si="47"/>
        <v/>
      </c>
      <c r="AP73" s="90"/>
      <c r="AQ73" s="90" t="str">
        <f t="shared" si="48"/>
        <v/>
      </c>
      <c r="AR73" s="90" t="str">
        <f>IF(SUM($AO73)=0,"",INDEX(Cascade!$BG:$BG,MATCH($E73,Cascade!$E:$E,0)))</f>
        <v/>
      </c>
      <c r="AS73" s="42" t="str">
        <f t="shared" si="49"/>
        <v/>
      </c>
      <c r="AT73" s="42" t="str">
        <f t="shared" si="50"/>
        <v/>
      </c>
      <c r="AU73" s="14" t="str">
        <f t="shared" si="51"/>
        <v/>
      </c>
      <c r="AV73" s="14" t="str">
        <f t="shared" si="52"/>
        <v/>
      </c>
      <c r="AW73" s="14" t="str">
        <f>IFERROR(1/(1/INDEX(Cascade!$BH:$BH,MATCH($E73,Cascade!$E:$E,0))),"")</f>
        <v/>
      </c>
      <c r="AX73" s="14" t="str">
        <f t="shared" si="53"/>
        <v/>
      </c>
      <c r="AY73" s="14" t="str">
        <f t="shared" si="54"/>
        <v/>
      </c>
      <c r="AZ73" s="14" t="str">
        <f>IFERROR(1/(1/INDEX(TB!$P:$P,MATCH($E73,TB!$E:$E,0))),"")</f>
        <v/>
      </c>
      <c r="BA73" s="14" t="str">
        <f t="shared" si="55"/>
        <v/>
      </c>
    </row>
    <row r="74" spans="1:53" x14ac:dyDescent="0.2">
      <c r="A74" t="str">
        <f>INDEX(Prioritization!$D:$D,MATCH($B74,Prioritization!$A:$A,0))</f>
        <v>INVALID</v>
      </c>
      <c r="B74" t="s">
        <v>204</v>
      </c>
      <c r="C74" t="s">
        <v>367</v>
      </c>
      <c r="D74" t="s">
        <v>29</v>
      </c>
      <c r="E74" t="str">
        <f t="shared" si="28"/>
        <v>Karonga District [cPtvxaZqXIH]|50+|Female</v>
      </c>
      <c r="F74" s="14">
        <f>IF(LEFT($B74,4)="_Mil","",INDEX(Cascade!$T:$T,MATCH($E74,Cascade!$E:$E,0)))</f>
        <v>1745</v>
      </c>
      <c r="G74" s="14" t="str">
        <f>IF(LEFT($B74,4)="_Mil","",INDEX(Cascade!$U:$U,MATCH($E74,Cascade!$E:$E,0)))</f>
        <v/>
      </c>
      <c r="H74" s="88">
        <f>IF(LEFT($B74,4)="_Mil","",INDEX(Cascade!$W:$W,MATCH($E74,Cascade!$E:$E,0)))</f>
        <v>1324</v>
      </c>
      <c r="I74" s="14">
        <f>IF(LEFT($B74,4)="_Mil","",INDEX(Cascade!$Z:$Z,MATCH($E74,Cascade!$E:$E,0)))</f>
        <v>526</v>
      </c>
      <c r="J74" s="90">
        <f>IF(LEFT($B74,4)="_Mil","",INDEX(Cascade!$AA:$AA,MATCH($E74,Cascade!$E:$E,0)))</f>
        <v>1027</v>
      </c>
      <c r="K74" s="42" t="str">
        <f>IF(LEFT($B74,4)="_Mil","",_xlfn.IFNA(ROUND(INDEX(Spectrum!$N:$N,MATCH(RIGHT($B74,13)&amp;"|"&amp;$C74&amp;"|"&amp;$D74&amp;"|"&amp;K$14&amp;"|"&amp;"CY2023Q3",Spectrum!$R:$R,0)),0),""))</f>
        <v/>
      </c>
      <c r="L74" s="42" t="str">
        <f>IF(LEFT($B74,4)="_Mil","",_xlfn.IFNA(ROUND(INDEX(Spectrum!$N:$N,MATCH(RIGHT($B74,13)&amp;"|"&amp;$C74&amp;"|"&amp;$D74&amp;"|"&amp;L$14&amp;"|"&amp;"CY2023Q3",Spectrum!$R:$R,0)),0),""))</f>
        <v/>
      </c>
      <c r="M74" s="42" t="str">
        <f>IF(LEFT($B74,4)="_Mil","",_xlfn.IFNA(ROUND(INDEX(Spectrum!$N:$N,MATCH(RIGHT($B74,13)&amp;"|"&amp;$C74&amp;"|"&amp;$D74&amp;"|"&amp;M$14&amp;"|"&amp;"CY2023Q3",Spectrum!$R:$R,0)),0),""))</f>
        <v/>
      </c>
      <c r="N74" s="42" t="str">
        <f>IF(LEFT($B74,4)="_Mil","",_xlfn.IFNA(ROUND(INDEX(Spectrum!$N:$N,MATCH(RIGHT($B74,13)&amp;"|"&amp;$C74&amp;"|"&amp;$D74&amp;"|"&amp;N$14&amp;"|"&amp;"CY2023Q3",Spectrum!$R:$R,0)),0),""))</f>
        <v/>
      </c>
      <c r="O74" s="42" t="str">
        <f>IF(LEFT($B74,4)="_Mil","",_xlfn.IFNA(ROUND(INDEX(Spectrum!$N:$N,MATCH(RIGHT($B74,13)&amp;"|"&amp;$C74&amp;"|"&amp;$D74&amp;"|"&amp;O$14&amp;"|"&amp;"CY2023Q3",Spectrum!$R:$R,0)),0),""))</f>
        <v/>
      </c>
      <c r="P74" s="42" t="str">
        <f>IF(LEFT($B74,4)="_Mil","",_xlfn.IFNA(ROUND(INDEX(Spectrum!$N:$N,MATCH(RIGHT($B74,13)&amp;"|"&amp;$C74&amp;"|"&amp;$D74&amp;"|"&amp;P$14&amp;"|"&amp;"CY2023Q3",Spectrum!$R:$R,0)),0),""))</f>
        <v/>
      </c>
      <c r="Q74" s="42" t="str">
        <f>IF(LEFT($B74,4)="_Mil","",_xlfn.IFNA(ROUND(INDEX(Spectrum!$N:$N,MATCH(RIGHT($B74,13)&amp;"|"&amp;$C74&amp;"|"&amp;$D74&amp;"|"&amp;Q$14&amp;"|"&amp;"CY2022Q3",Spectrum!$R:$R,0)),0),""))</f>
        <v/>
      </c>
      <c r="R74" s="14"/>
      <c r="S74" s="90">
        <f>0</f>
        <v>0</v>
      </c>
      <c r="T74" s="42" t="str">
        <f t="shared" si="29"/>
        <v/>
      </c>
      <c r="U74" s="90" t="str">
        <f t="shared" si="30"/>
        <v/>
      </c>
      <c r="V74" s="42" t="str">
        <f t="shared" si="31"/>
        <v/>
      </c>
      <c r="W74" s="90"/>
      <c r="X74" s="90" t="str">
        <f t="shared" si="32"/>
        <v/>
      </c>
      <c r="Y74" s="90"/>
      <c r="Z74" s="90" t="str">
        <f t="shared" si="33"/>
        <v/>
      </c>
      <c r="AA74" s="14" t="str">
        <f t="shared" si="34"/>
        <v/>
      </c>
      <c r="AB74" s="42" t="str">
        <f t="shared" si="35"/>
        <v/>
      </c>
      <c r="AC74" s="42" t="str">
        <f t="shared" si="36"/>
        <v/>
      </c>
      <c r="AD74" s="42" t="str">
        <f t="shared" si="37"/>
        <v/>
      </c>
      <c r="AE74" s="14" t="str">
        <f t="shared" si="38"/>
        <v/>
      </c>
      <c r="AF74" s="42" t="str">
        <f t="shared" si="39"/>
        <v/>
      </c>
      <c r="AG74" s="42" t="str">
        <f t="shared" si="40"/>
        <v/>
      </c>
      <c r="AH74" s="42" t="str">
        <f t="shared" si="41"/>
        <v/>
      </c>
      <c r="AI74" s="90" t="str">
        <f>IF(SUM($AC74)=0,"",INDEX(Cascade!$BG:$BG,MATCH($E74,Cascade!$E:$E,0)))</f>
        <v/>
      </c>
      <c r="AJ74" s="42" t="str">
        <f t="shared" si="42"/>
        <v/>
      </c>
      <c r="AK74" s="42" t="str">
        <f t="shared" si="43"/>
        <v/>
      </c>
      <c r="AL74" s="42" t="str">
        <f t="shared" si="44"/>
        <v/>
      </c>
      <c r="AM74" s="42" t="str">
        <f t="shared" si="45"/>
        <v/>
      </c>
      <c r="AN74" s="42" t="str">
        <f t="shared" si="46"/>
        <v/>
      </c>
      <c r="AO74" s="14" t="str">
        <f t="shared" si="47"/>
        <v/>
      </c>
      <c r="AP74" s="90"/>
      <c r="AQ74" s="90" t="str">
        <f t="shared" si="48"/>
        <v/>
      </c>
      <c r="AR74" s="90" t="str">
        <f>IF(SUM($AO74)=0,"",INDEX(Cascade!$BG:$BG,MATCH($E74,Cascade!$E:$E,0)))</f>
        <v/>
      </c>
      <c r="AS74" s="42" t="str">
        <f t="shared" si="49"/>
        <v/>
      </c>
      <c r="AT74" s="42" t="str">
        <f t="shared" si="50"/>
        <v/>
      </c>
      <c r="AU74" s="14" t="str">
        <f t="shared" si="51"/>
        <v/>
      </c>
      <c r="AV74" s="14" t="str">
        <f t="shared" si="52"/>
        <v/>
      </c>
      <c r="AW74" s="14" t="str">
        <f>IFERROR(1/(1/INDEX(Cascade!$BH:$BH,MATCH($E74,Cascade!$E:$E,0))),"")</f>
        <v/>
      </c>
      <c r="AX74" s="14" t="str">
        <f t="shared" si="53"/>
        <v/>
      </c>
      <c r="AY74" s="14" t="str">
        <f t="shared" si="54"/>
        <v/>
      </c>
      <c r="AZ74" s="14" t="str">
        <f>IFERROR(1/(1/INDEX(TB!$P:$P,MATCH($E74,TB!$E:$E,0))),"")</f>
        <v/>
      </c>
      <c r="BA74" s="14" t="str">
        <f t="shared" si="55"/>
        <v/>
      </c>
    </row>
    <row r="75" spans="1:53" x14ac:dyDescent="0.2">
      <c r="A75" t="str">
        <f>INDEX(Prioritization!$D:$D,MATCH($B75,Prioritization!$A:$A,0))</f>
        <v>INVALID</v>
      </c>
      <c r="B75" t="s">
        <v>205</v>
      </c>
      <c r="C75" t="s">
        <v>363</v>
      </c>
      <c r="D75" t="s">
        <v>29</v>
      </c>
      <c r="E75" t="str">
        <f t="shared" si="28"/>
        <v>Likoma District [ZCjuwgaMB9u]|10-14|Female</v>
      </c>
      <c r="F75" s="14">
        <f>IF(LEFT($B75,4)="_Mil","",INDEX(Cascade!$T:$T,MATCH($E75,Cascade!$E:$E,0)))</f>
        <v>1619</v>
      </c>
      <c r="G75" s="14" t="str">
        <f>IF(LEFT($B75,4)="_Mil","",INDEX(Cascade!$U:$U,MATCH($E75,Cascade!$E:$E,0)))</f>
        <v/>
      </c>
      <c r="H75" s="88">
        <f>IF(LEFT($B75,4)="_Mil","",INDEX(Cascade!$W:$W,MATCH($E75,Cascade!$E:$E,0)))</f>
        <v>1595</v>
      </c>
      <c r="I75" s="14">
        <f>IF(LEFT($B75,4)="_Mil","",INDEX(Cascade!$Z:$Z,MATCH($E75,Cascade!$E:$E,0)))</f>
        <v>1028</v>
      </c>
      <c r="J75" s="90">
        <f>IF(LEFT($B75,4)="_Mil","",INDEX(Cascade!$AA:$AA,MATCH($E75,Cascade!$E:$E,0)))</f>
        <v>1054</v>
      </c>
      <c r="K75" s="42" t="str">
        <f>IF(LEFT($B75,4)="_Mil","",_xlfn.IFNA(ROUND(INDEX(Spectrum!$N:$N,MATCH(RIGHT($B75,13)&amp;"|"&amp;$C75&amp;"|"&amp;$D75&amp;"|"&amp;K$14&amp;"|"&amp;"CY2023Q3",Spectrum!$R:$R,0)),0),""))</f>
        <v/>
      </c>
      <c r="L75" s="42" t="str">
        <f>IF(LEFT($B75,4)="_Mil","",_xlfn.IFNA(ROUND(INDEX(Spectrum!$N:$N,MATCH(RIGHT($B75,13)&amp;"|"&amp;$C75&amp;"|"&amp;$D75&amp;"|"&amp;L$14&amp;"|"&amp;"CY2023Q3",Spectrum!$R:$R,0)),0),""))</f>
        <v/>
      </c>
      <c r="M75" s="42" t="str">
        <f>IF(LEFT($B75,4)="_Mil","",_xlfn.IFNA(ROUND(INDEX(Spectrum!$N:$N,MATCH(RIGHT($B75,13)&amp;"|"&amp;$C75&amp;"|"&amp;$D75&amp;"|"&amp;M$14&amp;"|"&amp;"CY2023Q3",Spectrum!$R:$R,0)),0),""))</f>
        <v/>
      </c>
      <c r="N75" s="42" t="str">
        <f>IF(LEFT($B75,4)="_Mil","",_xlfn.IFNA(ROUND(INDEX(Spectrum!$N:$N,MATCH(RIGHT($B75,13)&amp;"|"&amp;$C75&amp;"|"&amp;$D75&amp;"|"&amp;N$14&amp;"|"&amp;"CY2023Q3",Spectrum!$R:$R,0)),0),""))</f>
        <v/>
      </c>
      <c r="O75" s="42" t="str">
        <f>IF(LEFT($B75,4)="_Mil","",_xlfn.IFNA(ROUND(INDEX(Spectrum!$N:$N,MATCH(RIGHT($B75,13)&amp;"|"&amp;$C75&amp;"|"&amp;$D75&amp;"|"&amp;O$14&amp;"|"&amp;"CY2023Q3",Spectrum!$R:$R,0)),0),""))</f>
        <v/>
      </c>
      <c r="P75" s="42" t="str">
        <f>IF(LEFT($B75,4)="_Mil","",_xlfn.IFNA(ROUND(INDEX(Spectrum!$N:$N,MATCH(RIGHT($B75,13)&amp;"|"&amp;$C75&amp;"|"&amp;$D75&amp;"|"&amp;P$14&amp;"|"&amp;"CY2023Q3",Spectrum!$R:$R,0)),0),""))</f>
        <v/>
      </c>
      <c r="Q75" s="42" t="str">
        <f>IF(LEFT($B75,4)="_Mil","",_xlfn.IFNA(ROUND(INDEX(Spectrum!$N:$N,MATCH(RIGHT($B75,13)&amp;"|"&amp;$C75&amp;"|"&amp;$D75&amp;"|"&amp;Q$14&amp;"|"&amp;"CY2022Q3",Spectrum!$R:$R,0)),0),""))</f>
        <v/>
      </c>
      <c r="R75" s="14">
        <v>0</v>
      </c>
      <c r="S75" s="90">
        <f>0</f>
        <v>0</v>
      </c>
      <c r="T75" s="42" t="str">
        <f t="shared" si="29"/>
        <v/>
      </c>
      <c r="U75" s="90" t="str">
        <f t="shared" si="30"/>
        <v/>
      </c>
      <c r="V75" s="42" t="str">
        <f t="shared" si="31"/>
        <v/>
      </c>
      <c r="W75" s="90"/>
      <c r="X75" s="90" t="str">
        <f t="shared" si="32"/>
        <v/>
      </c>
      <c r="Y75" s="90"/>
      <c r="Z75" s="90" t="str">
        <f t="shared" si="33"/>
        <v/>
      </c>
      <c r="AA75" s="14" t="str">
        <f t="shared" si="34"/>
        <v/>
      </c>
      <c r="AB75" s="42" t="str">
        <f t="shared" si="35"/>
        <v/>
      </c>
      <c r="AC75" s="42" t="str">
        <f t="shared" si="36"/>
        <v/>
      </c>
      <c r="AD75" s="42" t="str">
        <f t="shared" si="37"/>
        <v/>
      </c>
      <c r="AE75" s="14" t="str">
        <f t="shared" si="38"/>
        <v/>
      </c>
      <c r="AF75" s="42" t="str">
        <f t="shared" si="39"/>
        <v/>
      </c>
      <c r="AG75" s="42" t="str">
        <f t="shared" si="40"/>
        <v/>
      </c>
      <c r="AH75" s="42" t="str">
        <f t="shared" si="41"/>
        <v/>
      </c>
      <c r="AI75" s="90" t="str">
        <f>IF(SUM($AC75)=0,"",INDEX(Cascade!$BG:$BG,MATCH($E75,Cascade!$E:$E,0)))</f>
        <v/>
      </c>
      <c r="AJ75" s="42" t="str">
        <f t="shared" si="42"/>
        <v/>
      </c>
      <c r="AK75" s="42" t="str">
        <f t="shared" si="43"/>
        <v/>
      </c>
      <c r="AL75" s="42" t="str">
        <f t="shared" si="44"/>
        <v/>
      </c>
      <c r="AM75" s="42" t="str">
        <f t="shared" si="45"/>
        <v/>
      </c>
      <c r="AN75" s="42" t="str">
        <f t="shared" si="46"/>
        <v/>
      </c>
      <c r="AO75" s="14" t="str">
        <f t="shared" si="47"/>
        <v/>
      </c>
      <c r="AP75" s="90"/>
      <c r="AQ75" s="90" t="str">
        <f t="shared" si="48"/>
        <v/>
      </c>
      <c r="AR75" s="90" t="str">
        <f>IF(SUM($AO75)=0,"",INDEX(Cascade!$BG:$BG,MATCH($E75,Cascade!$E:$E,0)))</f>
        <v/>
      </c>
      <c r="AS75" s="42" t="str">
        <f t="shared" si="49"/>
        <v/>
      </c>
      <c r="AT75" s="42" t="str">
        <f t="shared" si="50"/>
        <v/>
      </c>
      <c r="AU75" s="14" t="str">
        <f t="shared" si="51"/>
        <v/>
      </c>
      <c r="AV75" s="14" t="str">
        <f t="shared" si="52"/>
        <v/>
      </c>
      <c r="AW75" s="14">
        <f>IFERROR(1/(1/INDEX(Cascade!$BH:$BH,MATCH($E75,Cascade!$E:$E,0))),"")</f>
        <v>-5</v>
      </c>
      <c r="AX75" s="14" t="str">
        <f t="shared" si="53"/>
        <v/>
      </c>
      <c r="AY75" s="14" t="str">
        <f t="shared" si="54"/>
        <v/>
      </c>
      <c r="AZ75" s="14" t="str">
        <f>IFERROR(1/(1/INDEX(TB!$P:$P,MATCH($E75,TB!$E:$E,0))),"")</f>
        <v/>
      </c>
      <c r="BA75" s="14">
        <f t="shared" si="55"/>
        <v>-5</v>
      </c>
    </row>
    <row r="76" spans="1:53" x14ac:dyDescent="0.2">
      <c r="A76" t="str">
        <f>INDEX(Prioritization!$D:$D,MATCH($B76,Prioritization!$A:$A,0))</f>
        <v>INVALID</v>
      </c>
      <c r="B76" t="s">
        <v>205</v>
      </c>
      <c r="C76" t="s">
        <v>364</v>
      </c>
      <c r="D76" t="s">
        <v>29</v>
      </c>
      <c r="E76" t="str">
        <f t="shared" si="28"/>
        <v>Likoma District [ZCjuwgaMB9u]|15-24|Female</v>
      </c>
      <c r="F76" s="14">
        <f>IF(LEFT($B76,4)="_Mil","",INDEX(Cascade!$T:$T,MATCH($E76,Cascade!$E:$E,0)))</f>
        <v>1154</v>
      </c>
      <c r="G76" s="14" t="str">
        <f>IF(LEFT($B76,4)="_Mil","",INDEX(Cascade!$U:$U,MATCH($E76,Cascade!$E:$E,0)))</f>
        <v/>
      </c>
      <c r="H76" s="88">
        <f>IF(LEFT($B76,4)="_Mil","",INDEX(Cascade!$W:$W,MATCH($E76,Cascade!$E:$E,0)))</f>
        <v>974</v>
      </c>
      <c r="I76" s="14">
        <f>IF(LEFT($B76,4)="_Mil","",INDEX(Cascade!$Z:$Z,MATCH($E76,Cascade!$E:$E,0)))</f>
        <v>701</v>
      </c>
      <c r="J76" s="90">
        <f>IF(LEFT($B76,4)="_Mil","",INDEX(Cascade!$AA:$AA,MATCH($E76,Cascade!$E:$E,0)))</f>
        <v>953</v>
      </c>
      <c r="K76" s="42">
        <f>IF(LEFT($B76,4)="_Mil","",_xlfn.IFNA(ROUND(INDEX(Spectrum!$N:$N,MATCH(RIGHT($B76,13)&amp;"|"&amp;$C76&amp;"|"&amp;$D76&amp;"|"&amp;K$14&amp;"|"&amp;"CY2023Q3",Spectrum!$R:$R,0)),0),""))</f>
        <v>1217</v>
      </c>
      <c r="L76" s="42" t="str">
        <f>IF(LEFT($B76,4)="_Mil","",_xlfn.IFNA(ROUND(INDEX(Spectrum!$N:$N,MATCH(RIGHT($B76,13)&amp;"|"&amp;$C76&amp;"|"&amp;$D76&amp;"|"&amp;L$14&amp;"|"&amp;"CY2023Q3",Spectrum!$R:$R,0)),0),""))</f>
        <v/>
      </c>
      <c r="M76" s="42">
        <f>IF(LEFT($B76,4)="_Mil","",_xlfn.IFNA(ROUND(INDEX(Spectrum!$N:$N,MATCH(RIGHT($B76,13)&amp;"|"&amp;$C76&amp;"|"&amp;$D76&amp;"|"&amp;M$14&amp;"|"&amp;"CY2023Q3",Spectrum!$R:$R,0)),0),""))</f>
        <v>1079</v>
      </c>
      <c r="N76" s="42">
        <f>IF(LEFT($B76,4)="_Mil","",_xlfn.IFNA(ROUND(INDEX(Spectrum!$N:$N,MATCH(RIGHT($B76,13)&amp;"|"&amp;$C76&amp;"|"&amp;$D76&amp;"|"&amp;N$14&amp;"|"&amp;"CY2023Q3",Spectrum!$R:$R,0)),0),""))</f>
        <v>1672</v>
      </c>
      <c r="O76" s="42">
        <f>IF(LEFT($B76,4)="_Mil","",_xlfn.IFNA(ROUND(INDEX(Spectrum!$N:$N,MATCH(RIGHT($B76,13)&amp;"|"&amp;$C76&amp;"|"&amp;$D76&amp;"|"&amp;O$14&amp;"|"&amp;"CY2023Q3",Spectrum!$R:$R,0)),0),""))</f>
        <v>1710</v>
      </c>
      <c r="P76" s="42">
        <f>IF(LEFT($B76,4)="_Mil","",_xlfn.IFNA(ROUND(INDEX(Spectrum!$N:$N,MATCH(RIGHT($B76,13)&amp;"|"&amp;$C76&amp;"|"&amp;$D76&amp;"|"&amp;P$14&amp;"|"&amp;"CY2023Q3",Spectrum!$R:$R,0)),0),""))</f>
        <v>1572</v>
      </c>
      <c r="Q76" s="42" t="str">
        <f>IF(LEFT($B76,4)="_Mil","",_xlfn.IFNA(ROUND(INDEX(Spectrum!$N:$N,MATCH(RIGHT($B76,13)&amp;"|"&amp;$C76&amp;"|"&amp;$D76&amp;"|"&amp;Q$14&amp;"|"&amp;"CY2022Q3",Spectrum!$R:$R,0)),0),""))</f>
        <v/>
      </c>
      <c r="R76" s="14"/>
      <c r="S76" s="90">
        <f>0</f>
        <v>0</v>
      </c>
      <c r="T76" s="42" t="str">
        <f t="shared" si="29"/>
        <v/>
      </c>
      <c r="U76" s="90">
        <f t="shared" si="30"/>
        <v>0</v>
      </c>
      <c r="V76" s="42" t="str">
        <f t="shared" si="31"/>
        <v/>
      </c>
      <c r="W76" s="90"/>
      <c r="X76" s="90">
        <f t="shared" si="32"/>
        <v>0</v>
      </c>
      <c r="Y76" s="90"/>
      <c r="Z76" s="90">
        <f t="shared" si="33"/>
        <v>0</v>
      </c>
      <c r="AA76" s="14" t="str">
        <f t="shared" si="34"/>
        <v/>
      </c>
      <c r="AB76" s="42" t="str">
        <f t="shared" si="35"/>
        <v/>
      </c>
      <c r="AC76" s="42" t="str">
        <f t="shared" si="36"/>
        <v/>
      </c>
      <c r="AD76" s="42" t="str">
        <f t="shared" si="37"/>
        <v/>
      </c>
      <c r="AE76" s="14" t="str">
        <f t="shared" si="38"/>
        <v/>
      </c>
      <c r="AF76" s="42" t="str">
        <f t="shared" si="39"/>
        <v/>
      </c>
      <c r="AG76" s="42" t="str">
        <f t="shared" si="40"/>
        <v/>
      </c>
      <c r="AH76" s="42" t="str">
        <f t="shared" si="41"/>
        <v/>
      </c>
      <c r="AI76" s="90" t="str">
        <f>IF(SUM($AC76)=0,"",INDEX(Cascade!$BG:$BG,MATCH($E76,Cascade!$E:$E,0)))</f>
        <v/>
      </c>
      <c r="AJ76" s="42" t="str">
        <f t="shared" si="42"/>
        <v/>
      </c>
      <c r="AK76" s="42" t="str">
        <f t="shared" si="43"/>
        <v/>
      </c>
      <c r="AL76" s="42" t="str">
        <f t="shared" si="44"/>
        <v/>
      </c>
      <c r="AM76" s="42" t="str">
        <f t="shared" si="45"/>
        <v/>
      </c>
      <c r="AN76" s="42" t="str">
        <f t="shared" si="46"/>
        <v/>
      </c>
      <c r="AO76" s="14" t="str">
        <f t="shared" si="47"/>
        <v/>
      </c>
      <c r="AP76" s="90"/>
      <c r="AQ76" s="90" t="str">
        <f t="shared" si="48"/>
        <v/>
      </c>
      <c r="AR76" s="90" t="str">
        <f>IF(SUM($AO76)=0,"",INDEX(Cascade!$BG:$BG,MATCH($E76,Cascade!$E:$E,0)))</f>
        <v/>
      </c>
      <c r="AS76" s="42" t="str">
        <f t="shared" si="49"/>
        <v/>
      </c>
      <c r="AT76" s="42" t="str">
        <f t="shared" si="50"/>
        <v/>
      </c>
      <c r="AU76" s="14" t="str">
        <f t="shared" si="51"/>
        <v/>
      </c>
      <c r="AV76" s="14" t="str">
        <f t="shared" si="52"/>
        <v/>
      </c>
      <c r="AW76" s="14" t="str">
        <f>IFERROR(1/(1/INDEX(Cascade!$BH:$BH,MATCH($E76,Cascade!$E:$E,0))),"")</f>
        <v/>
      </c>
      <c r="AX76" s="14" t="str">
        <f t="shared" si="53"/>
        <v/>
      </c>
      <c r="AY76" s="14" t="str">
        <f t="shared" si="54"/>
        <v/>
      </c>
      <c r="AZ76" s="14" t="str">
        <f>IFERROR(1/(1/INDEX(TB!$P:$P,MATCH($E76,TB!$E:$E,0))),"")</f>
        <v/>
      </c>
      <c r="BA76" s="14" t="str">
        <f t="shared" si="55"/>
        <v/>
      </c>
    </row>
    <row r="77" spans="1:53" x14ac:dyDescent="0.2">
      <c r="A77" t="str">
        <f>INDEX(Prioritization!$D:$D,MATCH($B77,Prioritization!$A:$A,0))</f>
        <v>INVALID</v>
      </c>
      <c r="B77" t="s">
        <v>205</v>
      </c>
      <c r="C77" t="s">
        <v>365</v>
      </c>
      <c r="D77" t="s">
        <v>29</v>
      </c>
      <c r="E77" t="str">
        <f t="shared" si="28"/>
        <v>Likoma District [ZCjuwgaMB9u]|25-34|Female</v>
      </c>
      <c r="F77" s="14">
        <f>IF(LEFT($B77,4)="_Mil","",INDEX(Cascade!$T:$T,MATCH($E77,Cascade!$E:$E,0)))</f>
        <v>865</v>
      </c>
      <c r="G77" s="14" t="str">
        <f>IF(LEFT($B77,4)="_Mil","",INDEX(Cascade!$U:$U,MATCH($E77,Cascade!$E:$E,0)))</f>
        <v/>
      </c>
      <c r="H77" s="88">
        <f>IF(LEFT($B77,4)="_Mil","",INDEX(Cascade!$W:$W,MATCH($E77,Cascade!$E:$E,0)))</f>
        <v>1175</v>
      </c>
      <c r="I77" s="14">
        <f>IF(LEFT($B77,4)="_Mil","",INDEX(Cascade!$Z:$Z,MATCH($E77,Cascade!$E:$E,0)))</f>
        <v>1199</v>
      </c>
      <c r="J77" s="90">
        <f>IF(LEFT($B77,4)="_Mil","",INDEX(Cascade!$AA:$AA,MATCH($E77,Cascade!$E:$E,0)))</f>
        <v>507</v>
      </c>
      <c r="K77" s="42">
        <f>IF(LEFT($B77,4)="_Mil","",_xlfn.IFNA(ROUND(INDEX(Spectrum!$N:$N,MATCH(RIGHT($B77,13)&amp;"|"&amp;$C77&amp;"|"&amp;$D77&amp;"|"&amp;K$14&amp;"|"&amp;"CY2023Q3",Spectrum!$R:$R,0)),0),""))</f>
        <v>1005</v>
      </c>
      <c r="L77" s="42" t="str">
        <f>IF(LEFT($B77,4)="_Mil","",_xlfn.IFNA(ROUND(INDEX(Spectrum!$N:$N,MATCH(RIGHT($B77,13)&amp;"|"&amp;$C77&amp;"|"&amp;$D77&amp;"|"&amp;L$14&amp;"|"&amp;"CY2023Q3",Spectrum!$R:$R,0)),0),""))</f>
        <v/>
      </c>
      <c r="M77" s="42">
        <f>IF(LEFT($B77,4)="_Mil","",_xlfn.IFNA(ROUND(INDEX(Spectrum!$N:$N,MATCH(RIGHT($B77,13)&amp;"|"&amp;$C77&amp;"|"&amp;$D77&amp;"|"&amp;M$14&amp;"|"&amp;"CY2023Q3",Spectrum!$R:$R,0)),0),""))</f>
        <v>1667</v>
      </c>
      <c r="N77" s="42">
        <f>IF(LEFT($B77,4)="_Mil","",_xlfn.IFNA(ROUND(INDEX(Spectrum!$N:$N,MATCH(RIGHT($B77,13)&amp;"|"&amp;$C77&amp;"|"&amp;$D77&amp;"|"&amp;N$14&amp;"|"&amp;"CY2023Q3",Spectrum!$R:$R,0)),0),""))</f>
        <v>785</v>
      </c>
      <c r="O77" s="42">
        <f>IF(LEFT($B77,4)="_Mil","",_xlfn.IFNA(ROUND(INDEX(Spectrum!$N:$N,MATCH(RIGHT($B77,13)&amp;"|"&amp;$C77&amp;"|"&amp;$D77&amp;"|"&amp;O$14&amp;"|"&amp;"CY2023Q3",Spectrum!$R:$R,0)),0),""))</f>
        <v>1845</v>
      </c>
      <c r="P77" s="42">
        <f>IF(LEFT($B77,4)="_Mil","",_xlfn.IFNA(ROUND(INDEX(Spectrum!$N:$N,MATCH(RIGHT($B77,13)&amp;"|"&amp;$C77&amp;"|"&amp;$D77&amp;"|"&amp;P$14&amp;"|"&amp;"CY2023Q3",Spectrum!$R:$R,0)),0),""))</f>
        <v>994</v>
      </c>
      <c r="Q77" s="42" t="str">
        <f>IF(LEFT($B77,4)="_Mil","",_xlfn.IFNA(ROUND(INDEX(Spectrum!$N:$N,MATCH(RIGHT($B77,13)&amp;"|"&amp;$C77&amp;"|"&amp;$D77&amp;"|"&amp;Q$14&amp;"|"&amp;"CY2022Q3",Spectrum!$R:$R,0)),0),""))</f>
        <v/>
      </c>
      <c r="R77" s="14"/>
      <c r="S77" s="90">
        <f>0</f>
        <v>0</v>
      </c>
      <c r="T77" s="42" t="str">
        <f t="shared" si="29"/>
        <v/>
      </c>
      <c r="U77" s="90">
        <f t="shared" si="30"/>
        <v>0</v>
      </c>
      <c r="V77" s="42" t="str">
        <f t="shared" si="31"/>
        <v/>
      </c>
      <c r="W77" s="90"/>
      <c r="X77" s="90">
        <f t="shared" si="32"/>
        <v>0</v>
      </c>
      <c r="Y77" s="90"/>
      <c r="Z77" s="90">
        <f t="shared" si="33"/>
        <v>0</v>
      </c>
      <c r="AA77" s="14" t="str">
        <f t="shared" si="34"/>
        <v/>
      </c>
      <c r="AB77" s="42" t="str">
        <f t="shared" si="35"/>
        <v/>
      </c>
      <c r="AC77" s="42" t="str">
        <f t="shared" si="36"/>
        <v/>
      </c>
      <c r="AD77" s="42" t="str">
        <f t="shared" si="37"/>
        <v/>
      </c>
      <c r="AE77" s="14" t="str">
        <f t="shared" si="38"/>
        <v/>
      </c>
      <c r="AF77" s="42" t="str">
        <f t="shared" si="39"/>
        <v/>
      </c>
      <c r="AG77" s="42" t="str">
        <f t="shared" si="40"/>
        <v/>
      </c>
      <c r="AH77" s="42" t="str">
        <f t="shared" si="41"/>
        <v/>
      </c>
      <c r="AI77" s="90" t="str">
        <f>IF(SUM($AC77)=0,"",INDEX(Cascade!$BG:$BG,MATCH($E77,Cascade!$E:$E,0)))</f>
        <v/>
      </c>
      <c r="AJ77" s="42" t="str">
        <f t="shared" si="42"/>
        <v/>
      </c>
      <c r="AK77" s="42" t="str">
        <f t="shared" si="43"/>
        <v/>
      </c>
      <c r="AL77" s="42" t="str">
        <f t="shared" si="44"/>
        <v/>
      </c>
      <c r="AM77" s="42" t="str">
        <f t="shared" si="45"/>
        <v/>
      </c>
      <c r="AN77" s="42" t="str">
        <f t="shared" si="46"/>
        <v/>
      </c>
      <c r="AO77" s="14" t="str">
        <f t="shared" si="47"/>
        <v/>
      </c>
      <c r="AP77" s="90"/>
      <c r="AQ77" s="90" t="str">
        <f t="shared" si="48"/>
        <v/>
      </c>
      <c r="AR77" s="90" t="str">
        <f>IF(SUM($AO77)=0,"",INDEX(Cascade!$BG:$BG,MATCH($E77,Cascade!$E:$E,0)))</f>
        <v/>
      </c>
      <c r="AS77" s="42" t="str">
        <f t="shared" si="49"/>
        <v/>
      </c>
      <c r="AT77" s="42" t="str">
        <f t="shared" si="50"/>
        <v/>
      </c>
      <c r="AU77" s="14" t="str">
        <f t="shared" si="51"/>
        <v/>
      </c>
      <c r="AV77" s="14" t="str">
        <f t="shared" si="52"/>
        <v/>
      </c>
      <c r="AW77" s="14" t="str">
        <f>IFERROR(1/(1/INDEX(Cascade!$BH:$BH,MATCH($E77,Cascade!$E:$E,0))),"")</f>
        <v/>
      </c>
      <c r="AX77" s="14" t="str">
        <f t="shared" si="53"/>
        <v/>
      </c>
      <c r="AY77" s="14" t="str">
        <f t="shared" si="54"/>
        <v/>
      </c>
      <c r="AZ77" s="14" t="str">
        <f>IFERROR(1/(1/INDEX(TB!$P:$P,MATCH($E77,TB!$E:$E,0))),"")</f>
        <v/>
      </c>
      <c r="BA77" s="14" t="str">
        <f t="shared" si="55"/>
        <v/>
      </c>
    </row>
    <row r="78" spans="1:53" x14ac:dyDescent="0.2">
      <c r="A78" t="str">
        <f>INDEX(Prioritization!$D:$D,MATCH($B78,Prioritization!$A:$A,0))</f>
        <v>INVALID</v>
      </c>
      <c r="B78" t="s">
        <v>205</v>
      </c>
      <c r="C78" t="s">
        <v>366</v>
      </c>
      <c r="D78" t="s">
        <v>29</v>
      </c>
      <c r="E78" t="str">
        <f t="shared" si="28"/>
        <v>Likoma District [ZCjuwgaMB9u]|35-49|Female</v>
      </c>
      <c r="F78" s="14">
        <f>IF(LEFT($B78,4)="_Mil","",INDEX(Cascade!$T:$T,MATCH($E78,Cascade!$E:$E,0)))</f>
        <v>1334</v>
      </c>
      <c r="G78" s="14" t="str">
        <f>IF(LEFT($B78,4)="_Mil","",INDEX(Cascade!$U:$U,MATCH($E78,Cascade!$E:$E,0)))</f>
        <v/>
      </c>
      <c r="H78" s="88">
        <f>IF(LEFT($B78,4)="_Mil","",INDEX(Cascade!$W:$W,MATCH($E78,Cascade!$E:$E,0)))</f>
        <v>1895</v>
      </c>
      <c r="I78" s="14">
        <f>IF(LEFT($B78,4)="_Mil","",INDEX(Cascade!$Z:$Z,MATCH($E78,Cascade!$E:$E,0)))</f>
        <v>927</v>
      </c>
      <c r="J78" s="90">
        <f>IF(LEFT($B78,4)="_Mil","",INDEX(Cascade!$AA:$AA,MATCH($E78,Cascade!$E:$E,0)))</f>
        <v>727</v>
      </c>
      <c r="K78" s="42">
        <f>IF(LEFT($B78,4)="_Mil","",_xlfn.IFNA(ROUND(INDEX(Spectrum!$N:$N,MATCH(RIGHT($B78,13)&amp;"|"&amp;$C78&amp;"|"&amp;$D78&amp;"|"&amp;K$14&amp;"|"&amp;"CY2023Q3",Spectrum!$R:$R,0)),0),""))</f>
        <v>1638</v>
      </c>
      <c r="L78" s="42" t="str">
        <f>IF(LEFT($B78,4)="_Mil","",_xlfn.IFNA(ROUND(INDEX(Spectrum!$N:$N,MATCH(RIGHT($B78,13)&amp;"|"&amp;$C78&amp;"|"&amp;$D78&amp;"|"&amp;L$14&amp;"|"&amp;"CY2023Q3",Spectrum!$R:$R,0)),0),""))</f>
        <v/>
      </c>
      <c r="M78" s="42">
        <f>IF(LEFT($B78,4)="_Mil","",_xlfn.IFNA(ROUND(INDEX(Spectrum!$N:$N,MATCH(RIGHT($B78,13)&amp;"|"&amp;$C78&amp;"|"&amp;$D78&amp;"|"&amp;M$14&amp;"|"&amp;"CY2023Q3",Spectrum!$R:$R,0)),0),""))</f>
        <v>835</v>
      </c>
      <c r="N78" s="42">
        <f>IF(LEFT($B78,4)="_Mil","",_xlfn.IFNA(ROUND(INDEX(Spectrum!$N:$N,MATCH(RIGHT($B78,13)&amp;"|"&amp;$C78&amp;"|"&amp;$D78&amp;"|"&amp;N$14&amp;"|"&amp;"CY2023Q3",Spectrum!$R:$R,0)),0),""))</f>
        <v>1347</v>
      </c>
      <c r="O78" s="42">
        <f>IF(LEFT($B78,4)="_Mil","",_xlfn.IFNA(ROUND(INDEX(Spectrum!$N:$N,MATCH(RIGHT($B78,13)&amp;"|"&amp;$C78&amp;"|"&amp;$D78&amp;"|"&amp;O$14&amp;"|"&amp;"CY2023Q3",Spectrum!$R:$R,0)),0),""))</f>
        <v>1220</v>
      </c>
      <c r="P78" s="42">
        <f>IF(LEFT($B78,4)="_Mil","",_xlfn.IFNA(ROUND(INDEX(Spectrum!$N:$N,MATCH(RIGHT($B78,13)&amp;"|"&amp;$C78&amp;"|"&amp;$D78&amp;"|"&amp;P$14&amp;"|"&amp;"CY2023Q3",Spectrum!$R:$R,0)),0),""))</f>
        <v>953</v>
      </c>
      <c r="Q78" s="42" t="str">
        <f>IF(LEFT($B78,4)="_Mil","",_xlfn.IFNA(ROUND(INDEX(Spectrum!$N:$N,MATCH(RIGHT($B78,13)&amp;"|"&amp;$C78&amp;"|"&amp;$D78&amp;"|"&amp;Q$14&amp;"|"&amp;"CY2022Q3",Spectrum!$R:$R,0)),0),""))</f>
        <v/>
      </c>
      <c r="R78" s="14"/>
      <c r="S78" s="90">
        <f>0</f>
        <v>0</v>
      </c>
      <c r="T78" s="42" t="str">
        <f t="shared" si="29"/>
        <v/>
      </c>
      <c r="U78" s="90">
        <f t="shared" si="30"/>
        <v>0</v>
      </c>
      <c r="V78" s="42" t="str">
        <f t="shared" si="31"/>
        <v/>
      </c>
      <c r="W78" s="90"/>
      <c r="X78" s="90">
        <f t="shared" si="32"/>
        <v>0</v>
      </c>
      <c r="Y78" s="90"/>
      <c r="Z78" s="90">
        <f t="shared" si="33"/>
        <v>0</v>
      </c>
      <c r="AA78" s="14" t="str">
        <f t="shared" si="34"/>
        <v/>
      </c>
      <c r="AB78" s="42" t="str">
        <f t="shared" si="35"/>
        <v/>
      </c>
      <c r="AC78" s="42" t="str">
        <f t="shared" si="36"/>
        <v/>
      </c>
      <c r="AD78" s="42" t="str">
        <f t="shared" si="37"/>
        <v/>
      </c>
      <c r="AE78" s="14" t="str">
        <f t="shared" si="38"/>
        <v/>
      </c>
      <c r="AF78" s="42" t="str">
        <f t="shared" si="39"/>
        <v/>
      </c>
      <c r="AG78" s="42" t="str">
        <f t="shared" si="40"/>
        <v/>
      </c>
      <c r="AH78" s="42" t="str">
        <f t="shared" si="41"/>
        <v/>
      </c>
      <c r="AI78" s="90" t="str">
        <f>IF(SUM($AC78)=0,"",INDEX(Cascade!$BG:$BG,MATCH($E78,Cascade!$E:$E,0)))</f>
        <v/>
      </c>
      <c r="AJ78" s="42" t="str">
        <f t="shared" si="42"/>
        <v/>
      </c>
      <c r="AK78" s="42" t="str">
        <f t="shared" si="43"/>
        <v/>
      </c>
      <c r="AL78" s="42" t="str">
        <f t="shared" si="44"/>
        <v/>
      </c>
      <c r="AM78" s="42" t="str">
        <f t="shared" si="45"/>
        <v/>
      </c>
      <c r="AN78" s="42" t="str">
        <f t="shared" si="46"/>
        <v/>
      </c>
      <c r="AO78" s="14" t="str">
        <f t="shared" si="47"/>
        <v/>
      </c>
      <c r="AP78" s="90"/>
      <c r="AQ78" s="90" t="str">
        <f t="shared" si="48"/>
        <v/>
      </c>
      <c r="AR78" s="90" t="str">
        <f>IF(SUM($AO78)=0,"",INDEX(Cascade!$BG:$BG,MATCH($E78,Cascade!$E:$E,0)))</f>
        <v/>
      </c>
      <c r="AS78" s="42" t="str">
        <f t="shared" si="49"/>
        <v/>
      </c>
      <c r="AT78" s="42" t="str">
        <f t="shared" si="50"/>
        <v/>
      </c>
      <c r="AU78" s="14" t="str">
        <f t="shared" si="51"/>
        <v/>
      </c>
      <c r="AV78" s="14" t="str">
        <f t="shared" si="52"/>
        <v/>
      </c>
      <c r="AW78" s="14" t="str">
        <f>IFERROR(1/(1/INDEX(Cascade!$BH:$BH,MATCH($E78,Cascade!$E:$E,0))),"")</f>
        <v/>
      </c>
      <c r="AX78" s="14" t="str">
        <f t="shared" si="53"/>
        <v/>
      </c>
      <c r="AY78" s="14" t="str">
        <f t="shared" si="54"/>
        <v/>
      </c>
      <c r="AZ78" s="14" t="str">
        <f>IFERROR(1/(1/INDEX(TB!$P:$P,MATCH($E78,TB!$E:$E,0))),"")</f>
        <v/>
      </c>
      <c r="BA78" s="14" t="str">
        <f t="shared" si="55"/>
        <v/>
      </c>
    </row>
    <row r="79" spans="1:53" x14ac:dyDescent="0.2">
      <c r="A79" t="str">
        <f>INDEX(Prioritization!$D:$D,MATCH($B79,Prioritization!$A:$A,0))</f>
        <v>INVALID</v>
      </c>
      <c r="B79" t="s">
        <v>205</v>
      </c>
      <c r="C79" t="s">
        <v>367</v>
      </c>
      <c r="D79" t="s">
        <v>29</v>
      </c>
      <c r="E79" t="str">
        <f t="shared" ref="E79:E110" si="56">B79&amp;"|"&amp;C79&amp;"|"&amp;D79</f>
        <v>Likoma District [ZCjuwgaMB9u]|50+|Female</v>
      </c>
      <c r="F79" s="14">
        <f>IF(LEFT($B79,4)="_Mil","",INDEX(Cascade!$T:$T,MATCH($E79,Cascade!$E:$E,0)))</f>
        <v>1495</v>
      </c>
      <c r="G79" s="14" t="str">
        <f>IF(LEFT($B79,4)="_Mil","",INDEX(Cascade!$U:$U,MATCH($E79,Cascade!$E:$E,0)))</f>
        <v/>
      </c>
      <c r="H79" s="88">
        <f>IF(LEFT($B79,4)="_Mil","",INDEX(Cascade!$W:$W,MATCH($E79,Cascade!$E:$E,0)))</f>
        <v>1443</v>
      </c>
      <c r="I79" s="14">
        <f>IF(LEFT($B79,4)="_Mil","",INDEX(Cascade!$Z:$Z,MATCH($E79,Cascade!$E:$E,0)))</f>
        <v>773</v>
      </c>
      <c r="J79" s="90">
        <f>IF(LEFT($B79,4)="_Mil","",INDEX(Cascade!$AA:$AA,MATCH($E79,Cascade!$E:$E,0)))</f>
        <v>1261</v>
      </c>
      <c r="K79" s="42" t="str">
        <f>IF(LEFT($B79,4)="_Mil","",_xlfn.IFNA(ROUND(INDEX(Spectrum!$N:$N,MATCH(RIGHT($B79,13)&amp;"|"&amp;$C79&amp;"|"&amp;$D79&amp;"|"&amp;K$14&amp;"|"&amp;"CY2023Q3",Spectrum!$R:$R,0)),0),""))</f>
        <v/>
      </c>
      <c r="L79" s="42" t="str">
        <f>IF(LEFT($B79,4)="_Mil","",_xlfn.IFNA(ROUND(INDEX(Spectrum!$N:$N,MATCH(RIGHT($B79,13)&amp;"|"&amp;$C79&amp;"|"&amp;$D79&amp;"|"&amp;L$14&amp;"|"&amp;"CY2023Q3",Spectrum!$R:$R,0)),0),""))</f>
        <v/>
      </c>
      <c r="M79" s="42" t="str">
        <f>IF(LEFT($B79,4)="_Mil","",_xlfn.IFNA(ROUND(INDEX(Spectrum!$N:$N,MATCH(RIGHT($B79,13)&amp;"|"&amp;$C79&amp;"|"&amp;$D79&amp;"|"&amp;M$14&amp;"|"&amp;"CY2023Q3",Spectrum!$R:$R,0)),0),""))</f>
        <v/>
      </c>
      <c r="N79" s="42" t="str">
        <f>IF(LEFT($B79,4)="_Mil","",_xlfn.IFNA(ROUND(INDEX(Spectrum!$N:$N,MATCH(RIGHT($B79,13)&amp;"|"&amp;$C79&amp;"|"&amp;$D79&amp;"|"&amp;N$14&amp;"|"&amp;"CY2023Q3",Spectrum!$R:$R,0)),0),""))</f>
        <v/>
      </c>
      <c r="O79" s="42" t="str">
        <f>IF(LEFT($B79,4)="_Mil","",_xlfn.IFNA(ROUND(INDEX(Spectrum!$N:$N,MATCH(RIGHT($B79,13)&amp;"|"&amp;$C79&amp;"|"&amp;$D79&amp;"|"&amp;O$14&amp;"|"&amp;"CY2023Q3",Spectrum!$R:$R,0)),0),""))</f>
        <v/>
      </c>
      <c r="P79" s="42" t="str">
        <f>IF(LEFT($B79,4)="_Mil","",_xlfn.IFNA(ROUND(INDEX(Spectrum!$N:$N,MATCH(RIGHT($B79,13)&amp;"|"&amp;$C79&amp;"|"&amp;$D79&amp;"|"&amp;P$14&amp;"|"&amp;"CY2023Q3",Spectrum!$R:$R,0)),0),""))</f>
        <v/>
      </c>
      <c r="Q79" s="42" t="str">
        <f>IF(LEFT($B79,4)="_Mil","",_xlfn.IFNA(ROUND(INDEX(Spectrum!$N:$N,MATCH(RIGHT($B79,13)&amp;"|"&amp;$C79&amp;"|"&amp;$D79&amp;"|"&amp;Q$14&amp;"|"&amp;"CY2022Q3",Spectrum!$R:$R,0)),0),""))</f>
        <v/>
      </c>
      <c r="R79" s="14"/>
      <c r="S79" s="90">
        <f>0</f>
        <v>0</v>
      </c>
      <c r="T79" s="42" t="str">
        <f t="shared" ref="T79:T110" si="57">IF(SUM($R79)=0,"",ROUND($R79*(1+$S79),0))</f>
        <v/>
      </c>
      <c r="U79" s="90" t="str">
        <f t="shared" ref="U79:U110" si="58">IF(LEFT($B79,4)="_Mil","",IF(SUM($K79)=0,IF(SUM($R79)=0,"",1),MIN($R79/$K79,1)))</f>
        <v/>
      </c>
      <c r="V79" s="42" t="str">
        <f t="shared" ref="V79:V110" si="59">IF(OR(SUM($T79)=0,LEFT($B79,4)="_Mil"),"",ROUND($T79/$U79,0))</f>
        <v/>
      </c>
      <c r="W79" s="90"/>
      <c r="X79" s="90" t="str">
        <f t="shared" ref="X79:X110" si="60">IF(SUM($K79,$W79)=0,"",MAX(IFERROR(SUM($L79)/$K79,0),SUM($W79)))</f>
        <v/>
      </c>
      <c r="Y79" s="90"/>
      <c r="Z79" s="90" t="str">
        <f t="shared" ref="Z79:Z110" si="61">IF(SUM($K79,$Y79)=0,"",MIN(SUM($Y79),IFERROR(SUM($M79)/(SUM($K79)-SUM($L79)),1)))</f>
        <v/>
      </c>
      <c r="AA79" s="14" t="str">
        <f t="shared" ref="AA79:AA110" si="62">$T79</f>
        <v/>
      </c>
      <c r="AB79" s="42" t="str">
        <f t="shared" ref="AB79:AB110" si="63">IF(SUM($AA79)=0,"",IF(AND(SUM($AA79)&gt;0,$X79=""),"ENTER KNOWN POSITIVITY RATE",ROUND($AA79*$X79,0)))</f>
        <v/>
      </c>
      <c r="AC79" s="42" t="str">
        <f t="shared" ref="AC79:AC110" si="64">IF(SUM($AA79)=0,"",IF(AND((SUM($AA79)-SUM($AB79))&gt;0,$Z79=""),"ENTER YIELD RATE",ROUND(($AA79-SUM($AB79))*$Z79,0)))</f>
        <v/>
      </c>
      <c r="AD79" s="42" t="str">
        <f t="shared" ref="AD79:AD110" si="65">IF(SUM($AA79)=0,"",$AA79-SUM($AB79)-SUM($AC79))</f>
        <v/>
      </c>
      <c r="AE79" s="14" t="str">
        <f t="shared" ref="AE79:AE110" si="66">$V79</f>
        <v/>
      </c>
      <c r="AF79" s="42" t="str">
        <f t="shared" ref="AF79:AF110" si="67">IF(SUM($AE79)=0,"",ROUND($AE79*SUM($X79),0))</f>
        <v/>
      </c>
      <c r="AG79" s="42" t="str">
        <f t="shared" ref="AG79:AG110" si="68">IF(SUM($AE79)=0,"",ROUND(($AE79-SUM($AF79))*SUM($Z79),0))</f>
        <v/>
      </c>
      <c r="AH79" s="42" t="str">
        <f t="shared" ref="AH79:AH110" si="69">IF(SUM($AE79)=0,"",$AE79-SUM($AF79)-SUM($AG79))</f>
        <v/>
      </c>
      <c r="AI79" s="90" t="str">
        <f>IF(SUM($AC79)=0,"",INDEX(Cascade!$BG:$BG,MATCH($E79,Cascade!$E:$E,0)))</f>
        <v/>
      </c>
      <c r="AJ79" s="42" t="str">
        <f t="shared" ref="AJ79:AJ110" si="70">$AB79</f>
        <v/>
      </c>
      <c r="AK79" s="42" t="str">
        <f t="shared" ref="AK79:AK110" si="71">IF(SUM($AC79)=0,"",IF(AND($AI79="",SUM($AC79)&gt;0),"&lt;- Enter Linkage Rate",ROUND($AC79*$AI79,0)))</f>
        <v/>
      </c>
      <c r="AL79" s="42" t="str">
        <f t="shared" ref="AL79:AL110" si="72">IF(SUM($AF79,$AG79)=0,"",SUM($AF79,$AG79))</f>
        <v/>
      </c>
      <c r="AM79" s="42" t="str">
        <f t="shared" ref="AM79:AM110" si="73">$AF79</f>
        <v/>
      </c>
      <c r="AN79" s="42" t="str">
        <f t="shared" ref="AN79:AN110" si="74">IF(SUM($AG79)=0,"",ROUND($AG79*SUM($AI79),0))</f>
        <v/>
      </c>
      <c r="AO79" s="14" t="str">
        <f t="shared" ref="AO79:AO110" si="75">IFERROR(1/(1/MAX(SUM($T79)-SUM($AB79,$AC79),$AD79)),"")</f>
        <v/>
      </c>
      <c r="AP79" s="90"/>
      <c r="AQ79" s="90" t="str">
        <f t="shared" ref="AQ79:AQ110" si="76">IF($AP79="","",$AP79)</f>
        <v/>
      </c>
      <c r="AR79" s="90" t="str">
        <f>IF(SUM($AO79)=0,"",INDEX(Cascade!$BG:$BG,MATCH($E79,Cascade!$E:$E,0)))</f>
        <v/>
      </c>
      <c r="AS79" s="42" t="str">
        <f t="shared" ref="AS79:AS110" si="77">IF(SUM($AO79)=0,"",IF(AND(SUM($AO79)&gt;0,$AQ79=""),"ENTER YIELD RATE",ROUND($AO79*$AQ79,0)))</f>
        <v/>
      </c>
      <c r="AT79" s="42" t="str">
        <f t="shared" ref="AT79:AT110" si="78">IF(SUM($AO79)=0,"",$AO79-SUM($AS79))</f>
        <v/>
      </c>
      <c r="AU79" s="14" t="str">
        <f t="shared" ref="AU79:AU110" si="79">IF(SUM($AS79)=0,"",ROUND($AS79*$AR79,0))</f>
        <v/>
      </c>
      <c r="AV79" s="14" t="str">
        <f t="shared" ref="AV79:AV110" si="80">IFERROR(1/(1/SUM($AC79,$AB79,$AS79)),"")</f>
        <v/>
      </c>
      <c r="AW79" s="14" t="str">
        <f>IFERROR(1/(1/INDEX(Cascade!$BH:$BH,MATCH($E79,Cascade!$E:$E,0))),"")</f>
        <v/>
      </c>
      <c r="AX79" s="14" t="str">
        <f t="shared" ref="AX79:AX110" si="81">IF(SUM($AC79)=0,"",$AC79)</f>
        <v/>
      </c>
      <c r="AY79" s="14" t="str">
        <f t="shared" ref="AY79:AY110" si="82">IF(SUM($AS79)=0,"",$AS79)</f>
        <v/>
      </c>
      <c r="AZ79" s="14" t="str">
        <f>IFERROR(1/(1/INDEX(TB!$P:$P,MATCH($E79,TB!$E:$E,0))),"")</f>
        <v/>
      </c>
      <c r="BA79" s="14" t="str">
        <f t="shared" ref="BA79:BA110" si="83">IFERROR(1/(1/(SUM($AW79)-SUM($AX79:$AZ79))),"")</f>
        <v/>
      </c>
    </row>
    <row r="80" spans="1:53" x14ac:dyDescent="0.2">
      <c r="A80" t="str">
        <f>INDEX(Prioritization!$D:$D,MATCH($B80,Prioritization!$A:$A,0))</f>
        <v>1 - Scale-up: Saturation</v>
      </c>
      <c r="B80" t="s">
        <v>206</v>
      </c>
      <c r="C80" t="s">
        <v>363</v>
      </c>
      <c r="D80" t="s">
        <v>29</v>
      </c>
      <c r="E80" t="str">
        <f t="shared" si="56"/>
        <v>Mzimba District [vA4NcHxfMBq]|10-14|Female</v>
      </c>
      <c r="F80" s="14">
        <f>IF(LEFT($B80,4)="_Mil","",INDEX(Cascade!$T:$T,MATCH($E80,Cascade!$E:$E,0)))</f>
        <v>1909</v>
      </c>
      <c r="G80" s="14" t="str">
        <f>IF(LEFT($B80,4)="_Mil","",INDEX(Cascade!$U:$U,MATCH($E80,Cascade!$E:$E,0)))</f>
        <v/>
      </c>
      <c r="H80" s="88">
        <f>IF(LEFT($B80,4)="_Mil","",INDEX(Cascade!$W:$W,MATCH($E80,Cascade!$E:$E,0)))</f>
        <v>1365</v>
      </c>
      <c r="I80" s="14">
        <f>IF(LEFT($B80,4)="_Mil","",INDEX(Cascade!$Z:$Z,MATCH($E80,Cascade!$E:$E,0)))</f>
        <v>1213</v>
      </c>
      <c r="J80" s="90">
        <f>IF(LEFT($B80,4)="_Mil","",INDEX(Cascade!$AA:$AA,MATCH($E80,Cascade!$E:$E,0)))</f>
        <v>1946</v>
      </c>
      <c r="K80" s="42" t="str">
        <f>IF(LEFT($B80,4)="_Mil","",_xlfn.IFNA(ROUND(INDEX(Spectrum!$N:$N,MATCH(RIGHT($B80,13)&amp;"|"&amp;$C80&amp;"|"&amp;$D80&amp;"|"&amp;K$14&amp;"|"&amp;"CY2023Q3",Spectrum!$R:$R,0)),0),""))</f>
        <v/>
      </c>
      <c r="L80" s="42" t="str">
        <f>IF(LEFT($B80,4)="_Mil","",_xlfn.IFNA(ROUND(INDEX(Spectrum!$N:$N,MATCH(RIGHT($B80,13)&amp;"|"&amp;$C80&amp;"|"&amp;$D80&amp;"|"&amp;L$14&amp;"|"&amp;"CY2023Q3",Spectrum!$R:$R,0)),0),""))</f>
        <v/>
      </c>
      <c r="M80" s="42" t="str">
        <f>IF(LEFT($B80,4)="_Mil","",_xlfn.IFNA(ROUND(INDEX(Spectrum!$N:$N,MATCH(RIGHT($B80,13)&amp;"|"&amp;$C80&amp;"|"&amp;$D80&amp;"|"&amp;M$14&amp;"|"&amp;"CY2023Q3",Spectrum!$R:$R,0)),0),""))</f>
        <v/>
      </c>
      <c r="N80" s="42" t="str">
        <f>IF(LEFT($B80,4)="_Mil","",_xlfn.IFNA(ROUND(INDEX(Spectrum!$N:$N,MATCH(RIGHT($B80,13)&amp;"|"&amp;$C80&amp;"|"&amp;$D80&amp;"|"&amp;N$14&amp;"|"&amp;"CY2023Q3",Spectrum!$R:$R,0)),0),""))</f>
        <v/>
      </c>
      <c r="O80" s="42" t="str">
        <f>IF(LEFT($B80,4)="_Mil","",_xlfn.IFNA(ROUND(INDEX(Spectrum!$N:$N,MATCH(RIGHT($B80,13)&amp;"|"&amp;$C80&amp;"|"&amp;$D80&amp;"|"&amp;O$14&amp;"|"&amp;"CY2023Q3",Spectrum!$R:$R,0)),0),""))</f>
        <v/>
      </c>
      <c r="P80" s="42" t="str">
        <f>IF(LEFT($B80,4)="_Mil","",_xlfn.IFNA(ROUND(INDEX(Spectrum!$N:$N,MATCH(RIGHT($B80,13)&amp;"|"&amp;$C80&amp;"|"&amp;$D80&amp;"|"&amp;P$14&amp;"|"&amp;"CY2023Q3",Spectrum!$R:$R,0)),0),""))</f>
        <v/>
      </c>
      <c r="Q80" s="42" t="str">
        <f>IF(LEFT($B80,4)="_Mil","",_xlfn.IFNA(ROUND(INDEX(Spectrum!$N:$N,MATCH(RIGHT($B80,13)&amp;"|"&amp;$C80&amp;"|"&amp;$D80&amp;"|"&amp;Q$14&amp;"|"&amp;"CY2022Q3",Spectrum!$R:$R,0)),0),""))</f>
        <v/>
      </c>
      <c r="R80" s="14">
        <v>7</v>
      </c>
      <c r="S80" s="90">
        <f>0</f>
        <v>0</v>
      </c>
      <c r="T80" s="42">
        <f t="shared" si="57"/>
        <v>7</v>
      </c>
      <c r="U80" s="90">
        <f t="shared" si="58"/>
        <v>1</v>
      </c>
      <c r="V80" s="42">
        <f t="shared" si="59"/>
        <v>7</v>
      </c>
      <c r="W80" s="90"/>
      <c r="X80" s="90" t="str">
        <f t="shared" si="60"/>
        <v/>
      </c>
      <c r="Y80" s="90"/>
      <c r="Z80" s="90" t="str">
        <f t="shared" si="61"/>
        <v/>
      </c>
      <c r="AA80" s="14">
        <f t="shared" si="62"/>
        <v>7</v>
      </c>
      <c r="AB80" s="42" t="str">
        <f t="shared" si="63"/>
        <v>ENTER KNOWN POSITIVITY RATE</v>
      </c>
      <c r="AC80" s="42" t="str">
        <f t="shared" si="64"/>
        <v>ENTER YIELD RATE</v>
      </c>
      <c r="AD80" s="42">
        <f t="shared" si="65"/>
        <v>7</v>
      </c>
      <c r="AE80" s="14">
        <f t="shared" si="66"/>
        <v>7</v>
      </c>
      <c r="AF80" s="42">
        <f t="shared" si="67"/>
        <v>0</v>
      </c>
      <c r="AG80" s="42">
        <f t="shared" si="68"/>
        <v>0</v>
      </c>
      <c r="AH80" s="42">
        <f t="shared" si="69"/>
        <v>7</v>
      </c>
      <c r="AI80" s="90" t="str">
        <f>IF(SUM($AC80)=0,"",INDEX(Cascade!$BG:$BG,MATCH($E80,Cascade!$E:$E,0)))</f>
        <v/>
      </c>
      <c r="AJ80" s="42" t="str">
        <f t="shared" si="70"/>
        <v>ENTER KNOWN POSITIVITY RATE</v>
      </c>
      <c r="AK80" s="42" t="str">
        <f t="shared" si="71"/>
        <v/>
      </c>
      <c r="AL80" s="42" t="str">
        <f t="shared" si="72"/>
        <v/>
      </c>
      <c r="AM80" s="42">
        <f t="shared" si="73"/>
        <v>0</v>
      </c>
      <c r="AN80" s="42" t="str">
        <f t="shared" si="74"/>
        <v/>
      </c>
      <c r="AO80" s="14">
        <f t="shared" si="75"/>
        <v>7</v>
      </c>
      <c r="AP80" s="90"/>
      <c r="AQ80" s="90" t="str">
        <f t="shared" si="76"/>
        <v/>
      </c>
      <c r="AR80" s="90">
        <f>IF(SUM($AO80)=0,"",INDEX(Cascade!$BG:$BG,MATCH($E80,Cascade!$E:$E,0)))</f>
        <v>0.95</v>
      </c>
      <c r="AS80" s="42" t="str">
        <f t="shared" si="77"/>
        <v>ENTER YIELD RATE</v>
      </c>
      <c r="AT80" s="42">
        <f t="shared" si="78"/>
        <v>7</v>
      </c>
      <c r="AU80" s="14" t="str">
        <f t="shared" si="79"/>
        <v/>
      </c>
      <c r="AV80" s="14" t="str">
        <f t="shared" si="80"/>
        <v/>
      </c>
      <c r="AW80" s="14">
        <f>IFERROR(1/(1/INDEX(Cascade!$BH:$BH,MATCH($E80,Cascade!$E:$E,0))),"")</f>
        <v>-98.000000000000014</v>
      </c>
      <c r="AX80" s="14" t="str">
        <f t="shared" si="81"/>
        <v/>
      </c>
      <c r="AY80" s="14" t="str">
        <f t="shared" si="82"/>
        <v/>
      </c>
      <c r="AZ80" s="14" t="str">
        <f>IFERROR(1/(1/INDEX(TB!$P:$P,MATCH($E80,TB!$E:$E,0))),"")</f>
        <v/>
      </c>
      <c r="BA80" s="14">
        <f t="shared" si="83"/>
        <v>-98.000000000000014</v>
      </c>
    </row>
    <row r="81" spans="1:53" x14ac:dyDescent="0.2">
      <c r="A81" t="str">
        <f>INDEX(Prioritization!$D:$D,MATCH($B81,Prioritization!$A:$A,0))</f>
        <v>1 - Scale-up: Saturation</v>
      </c>
      <c r="B81" t="s">
        <v>206</v>
      </c>
      <c r="C81" t="s">
        <v>364</v>
      </c>
      <c r="D81" t="s">
        <v>29</v>
      </c>
      <c r="E81" t="str">
        <f t="shared" si="56"/>
        <v>Mzimba District [vA4NcHxfMBq]|15-24|Female</v>
      </c>
      <c r="F81" s="14">
        <f>IF(LEFT($B81,4)="_Mil","",INDEX(Cascade!$T:$T,MATCH($E81,Cascade!$E:$E,0)))</f>
        <v>1732</v>
      </c>
      <c r="G81" s="14" t="str">
        <f>IF(LEFT($B81,4)="_Mil","",INDEX(Cascade!$U:$U,MATCH($E81,Cascade!$E:$E,0)))</f>
        <v/>
      </c>
      <c r="H81" s="88">
        <f>IF(LEFT($B81,4)="_Mil","",INDEX(Cascade!$W:$W,MATCH($E81,Cascade!$E:$E,0)))</f>
        <v>1095</v>
      </c>
      <c r="I81" s="14">
        <f>IF(LEFT($B81,4)="_Mil","",INDEX(Cascade!$Z:$Z,MATCH($E81,Cascade!$E:$E,0)))</f>
        <v>1827</v>
      </c>
      <c r="J81" s="90">
        <f>IF(LEFT($B81,4)="_Mil","",INDEX(Cascade!$AA:$AA,MATCH($E81,Cascade!$E:$E,0)))</f>
        <v>765</v>
      </c>
      <c r="K81" s="42">
        <f>IF(LEFT($B81,4)="_Mil","",_xlfn.IFNA(ROUND(INDEX(Spectrum!$N:$N,MATCH(RIGHT($B81,13)&amp;"|"&amp;$C81&amp;"|"&amp;$D81&amp;"|"&amp;K$14&amp;"|"&amp;"CY2023Q3",Spectrum!$R:$R,0)),0),""))</f>
        <v>1490</v>
      </c>
      <c r="L81" s="42" t="str">
        <f>IF(LEFT($B81,4)="_Mil","",_xlfn.IFNA(ROUND(INDEX(Spectrum!$N:$N,MATCH(RIGHT($B81,13)&amp;"|"&amp;$C81&amp;"|"&amp;$D81&amp;"|"&amp;L$14&amp;"|"&amp;"CY2023Q3",Spectrum!$R:$R,0)),0),""))</f>
        <v/>
      </c>
      <c r="M81" s="42">
        <f>IF(LEFT($B81,4)="_Mil","",_xlfn.IFNA(ROUND(INDEX(Spectrum!$N:$N,MATCH(RIGHT($B81,13)&amp;"|"&amp;$C81&amp;"|"&amp;$D81&amp;"|"&amp;M$14&amp;"|"&amp;"CY2023Q3",Spectrum!$R:$R,0)),0),""))</f>
        <v>1215</v>
      </c>
      <c r="N81" s="42">
        <f>IF(LEFT($B81,4)="_Mil","",_xlfn.IFNA(ROUND(INDEX(Spectrum!$N:$N,MATCH(RIGHT($B81,13)&amp;"|"&amp;$C81&amp;"|"&amp;$D81&amp;"|"&amp;N$14&amp;"|"&amp;"CY2023Q3",Spectrum!$R:$R,0)),0),""))</f>
        <v>1524</v>
      </c>
      <c r="O81" s="42">
        <f>IF(LEFT($B81,4)="_Mil","",_xlfn.IFNA(ROUND(INDEX(Spectrum!$N:$N,MATCH(RIGHT($B81,13)&amp;"|"&amp;$C81&amp;"|"&amp;$D81&amp;"|"&amp;O$14&amp;"|"&amp;"CY2023Q3",Spectrum!$R:$R,0)),0),""))</f>
        <v>1279</v>
      </c>
      <c r="P81" s="42">
        <f>IF(LEFT($B81,4)="_Mil","",_xlfn.IFNA(ROUND(INDEX(Spectrum!$N:$N,MATCH(RIGHT($B81,13)&amp;"|"&amp;$C81&amp;"|"&amp;$D81&amp;"|"&amp;P$14&amp;"|"&amp;"CY2023Q3",Spectrum!$R:$R,0)),0),""))</f>
        <v>1563</v>
      </c>
      <c r="Q81" s="42" t="str">
        <f>IF(LEFT($B81,4)="_Mil","",_xlfn.IFNA(ROUND(INDEX(Spectrum!$N:$N,MATCH(RIGHT($B81,13)&amp;"|"&amp;$C81&amp;"|"&amp;$D81&amp;"|"&amp;Q$14&amp;"|"&amp;"CY2022Q3",Spectrum!$R:$R,0)),0),""))</f>
        <v/>
      </c>
      <c r="R81" s="14"/>
      <c r="S81" s="90">
        <f>0</f>
        <v>0</v>
      </c>
      <c r="T81" s="42" t="str">
        <f t="shared" si="57"/>
        <v/>
      </c>
      <c r="U81" s="90">
        <f t="shared" si="58"/>
        <v>0</v>
      </c>
      <c r="V81" s="42" t="str">
        <f t="shared" si="59"/>
        <v/>
      </c>
      <c r="W81" s="90"/>
      <c r="X81" s="90">
        <f t="shared" si="60"/>
        <v>0</v>
      </c>
      <c r="Y81" s="90"/>
      <c r="Z81" s="90">
        <f t="shared" si="61"/>
        <v>0</v>
      </c>
      <c r="AA81" s="14" t="str">
        <f t="shared" si="62"/>
        <v/>
      </c>
      <c r="AB81" s="42" t="str">
        <f t="shared" si="63"/>
        <v/>
      </c>
      <c r="AC81" s="42" t="str">
        <f t="shared" si="64"/>
        <v/>
      </c>
      <c r="AD81" s="42" t="str">
        <f t="shared" si="65"/>
        <v/>
      </c>
      <c r="AE81" s="14" t="str">
        <f t="shared" si="66"/>
        <v/>
      </c>
      <c r="AF81" s="42" t="str">
        <f t="shared" si="67"/>
        <v/>
      </c>
      <c r="AG81" s="42" t="str">
        <f t="shared" si="68"/>
        <v/>
      </c>
      <c r="AH81" s="42" t="str">
        <f t="shared" si="69"/>
        <v/>
      </c>
      <c r="AI81" s="90" t="str">
        <f>IF(SUM($AC81)=0,"",INDEX(Cascade!$BG:$BG,MATCH($E81,Cascade!$E:$E,0)))</f>
        <v/>
      </c>
      <c r="AJ81" s="42" t="str">
        <f t="shared" si="70"/>
        <v/>
      </c>
      <c r="AK81" s="42" t="str">
        <f t="shared" si="71"/>
        <v/>
      </c>
      <c r="AL81" s="42" t="str">
        <f t="shared" si="72"/>
        <v/>
      </c>
      <c r="AM81" s="42" t="str">
        <f t="shared" si="73"/>
        <v/>
      </c>
      <c r="AN81" s="42" t="str">
        <f t="shared" si="74"/>
        <v/>
      </c>
      <c r="AO81" s="14" t="str">
        <f t="shared" si="75"/>
        <v/>
      </c>
      <c r="AP81" s="90"/>
      <c r="AQ81" s="90" t="str">
        <f t="shared" si="76"/>
        <v/>
      </c>
      <c r="AR81" s="90" t="str">
        <f>IF(SUM($AO81)=0,"",INDEX(Cascade!$BG:$BG,MATCH($E81,Cascade!$E:$E,0)))</f>
        <v/>
      </c>
      <c r="AS81" s="42" t="str">
        <f t="shared" si="77"/>
        <v/>
      </c>
      <c r="AT81" s="42" t="str">
        <f t="shared" si="78"/>
        <v/>
      </c>
      <c r="AU81" s="14" t="str">
        <f t="shared" si="79"/>
        <v/>
      </c>
      <c r="AV81" s="14" t="str">
        <f t="shared" si="80"/>
        <v/>
      </c>
      <c r="AW81" s="14" t="str">
        <f>IFERROR(1/(1/INDEX(Cascade!$BH:$BH,MATCH($E81,Cascade!$E:$E,0))),"")</f>
        <v/>
      </c>
      <c r="AX81" s="14" t="str">
        <f t="shared" si="81"/>
        <v/>
      </c>
      <c r="AY81" s="14" t="str">
        <f t="shared" si="82"/>
        <v/>
      </c>
      <c r="AZ81" s="14" t="str">
        <f>IFERROR(1/(1/INDEX(TB!$P:$P,MATCH($E81,TB!$E:$E,0))),"")</f>
        <v/>
      </c>
      <c r="BA81" s="14" t="str">
        <f t="shared" si="83"/>
        <v/>
      </c>
    </row>
    <row r="82" spans="1:53" x14ac:dyDescent="0.2">
      <c r="A82" t="str">
        <f>INDEX(Prioritization!$D:$D,MATCH($B82,Prioritization!$A:$A,0))</f>
        <v>1 - Scale-up: Saturation</v>
      </c>
      <c r="B82" t="s">
        <v>206</v>
      </c>
      <c r="C82" t="s">
        <v>365</v>
      </c>
      <c r="D82" t="s">
        <v>29</v>
      </c>
      <c r="E82" t="str">
        <f t="shared" si="56"/>
        <v>Mzimba District [vA4NcHxfMBq]|25-34|Female</v>
      </c>
      <c r="F82" s="14">
        <f>IF(LEFT($B82,4)="_Mil","",INDEX(Cascade!$T:$T,MATCH($E82,Cascade!$E:$E,0)))</f>
        <v>593</v>
      </c>
      <c r="G82" s="14" t="str">
        <f>IF(LEFT($B82,4)="_Mil","",INDEX(Cascade!$U:$U,MATCH($E82,Cascade!$E:$E,0)))</f>
        <v/>
      </c>
      <c r="H82" s="88">
        <f>IF(LEFT($B82,4)="_Mil","",INDEX(Cascade!$W:$W,MATCH($E82,Cascade!$E:$E,0)))</f>
        <v>1543</v>
      </c>
      <c r="I82" s="14">
        <f>IF(LEFT($B82,4)="_Mil","",INDEX(Cascade!$Z:$Z,MATCH($E82,Cascade!$E:$E,0)))</f>
        <v>1917</v>
      </c>
      <c r="J82" s="90">
        <f>IF(LEFT($B82,4)="_Mil","",INDEX(Cascade!$AA:$AA,MATCH($E82,Cascade!$E:$E,0)))</f>
        <v>1569</v>
      </c>
      <c r="K82" s="42">
        <f>IF(LEFT($B82,4)="_Mil","",_xlfn.IFNA(ROUND(INDEX(Spectrum!$N:$N,MATCH(RIGHT($B82,13)&amp;"|"&amp;$C82&amp;"|"&amp;$D82&amp;"|"&amp;K$14&amp;"|"&amp;"CY2023Q3",Spectrum!$R:$R,0)),0),""))</f>
        <v>631</v>
      </c>
      <c r="L82" s="42" t="str">
        <f>IF(LEFT($B82,4)="_Mil","",_xlfn.IFNA(ROUND(INDEX(Spectrum!$N:$N,MATCH(RIGHT($B82,13)&amp;"|"&amp;$C82&amp;"|"&amp;$D82&amp;"|"&amp;L$14&amp;"|"&amp;"CY2023Q3",Spectrum!$R:$R,0)),0),""))</f>
        <v/>
      </c>
      <c r="M82" s="42">
        <f>IF(LEFT($B82,4)="_Mil","",_xlfn.IFNA(ROUND(INDEX(Spectrum!$N:$N,MATCH(RIGHT($B82,13)&amp;"|"&amp;$C82&amp;"|"&amp;$D82&amp;"|"&amp;M$14&amp;"|"&amp;"CY2023Q3",Spectrum!$R:$R,0)),0),""))</f>
        <v>541</v>
      </c>
      <c r="N82" s="42">
        <f>IF(LEFT($B82,4)="_Mil","",_xlfn.IFNA(ROUND(INDEX(Spectrum!$N:$N,MATCH(RIGHT($B82,13)&amp;"|"&amp;$C82&amp;"|"&amp;$D82&amp;"|"&amp;N$14&amp;"|"&amp;"CY2023Q3",Spectrum!$R:$R,0)),0),""))</f>
        <v>1193</v>
      </c>
      <c r="O82" s="42">
        <f>IF(LEFT($B82,4)="_Mil","",_xlfn.IFNA(ROUND(INDEX(Spectrum!$N:$N,MATCH(RIGHT($B82,13)&amp;"|"&amp;$C82&amp;"|"&amp;$D82&amp;"|"&amp;O$14&amp;"|"&amp;"CY2023Q3",Spectrum!$R:$R,0)),0),""))</f>
        <v>1834</v>
      </c>
      <c r="P82" s="42">
        <f>IF(LEFT($B82,4)="_Mil","",_xlfn.IFNA(ROUND(INDEX(Spectrum!$N:$N,MATCH(RIGHT($B82,13)&amp;"|"&amp;$C82&amp;"|"&amp;$D82&amp;"|"&amp;P$14&amp;"|"&amp;"CY2023Q3",Spectrum!$R:$R,0)),0),""))</f>
        <v>1446</v>
      </c>
      <c r="Q82" s="42" t="str">
        <f>IF(LEFT($B82,4)="_Mil","",_xlfn.IFNA(ROUND(INDEX(Spectrum!$N:$N,MATCH(RIGHT($B82,13)&amp;"|"&amp;$C82&amp;"|"&amp;$D82&amp;"|"&amp;Q$14&amp;"|"&amp;"CY2022Q3",Spectrum!$R:$R,0)),0),""))</f>
        <v/>
      </c>
      <c r="R82" s="14"/>
      <c r="S82" s="90">
        <f>0</f>
        <v>0</v>
      </c>
      <c r="T82" s="42" t="str">
        <f t="shared" si="57"/>
        <v/>
      </c>
      <c r="U82" s="90">
        <f t="shared" si="58"/>
        <v>0</v>
      </c>
      <c r="V82" s="42" t="str">
        <f t="shared" si="59"/>
        <v/>
      </c>
      <c r="W82" s="90"/>
      <c r="X82" s="90">
        <f t="shared" si="60"/>
        <v>0</v>
      </c>
      <c r="Y82" s="90"/>
      <c r="Z82" s="90">
        <f t="shared" si="61"/>
        <v>0</v>
      </c>
      <c r="AA82" s="14" t="str">
        <f t="shared" si="62"/>
        <v/>
      </c>
      <c r="AB82" s="42" t="str">
        <f t="shared" si="63"/>
        <v/>
      </c>
      <c r="AC82" s="42" t="str">
        <f t="shared" si="64"/>
        <v/>
      </c>
      <c r="AD82" s="42" t="str">
        <f t="shared" si="65"/>
        <v/>
      </c>
      <c r="AE82" s="14" t="str">
        <f t="shared" si="66"/>
        <v/>
      </c>
      <c r="AF82" s="42" t="str">
        <f t="shared" si="67"/>
        <v/>
      </c>
      <c r="AG82" s="42" t="str">
        <f t="shared" si="68"/>
        <v/>
      </c>
      <c r="AH82" s="42" t="str">
        <f t="shared" si="69"/>
        <v/>
      </c>
      <c r="AI82" s="90" t="str">
        <f>IF(SUM($AC82)=0,"",INDEX(Cascade!$BG:$BG,MATCH($E82,Cascade!$E:$E,0)))</f>
        <v/>
      </c>
      <c r="AJ82" s="42" t="str">
        <f t="shared" si="70"/>
        <v/>
      </c>
      <c r="AK82" s="42" t="str">
        <f t="shared" si="71"/>
        <v/>
      </c>
      <c r="AL82" s="42" t="str">
        <f t="shared" si="72"/>
        <v/>
      </c>
      <c r="AM82" s="42" t="str">
        <f t="shared" si="73"/>
        <v/>
      </c>
      <c r="AN82" s="42" t="str">
        <f t="shared" si="74"/>
        <v/>
      </c>
      <c r="AO82" s="14" t="str">
        <f t="shared" si="75"/>
        <v/>
      </c>
      <c r="AP82" s="90"/>
      <c r="AQ82" s="90" t="str">
        <f t="shared" si="76"/>
        <v/>
      </c>
      <c r="AR82" s="90" t="str">
        <f>IF(SUM($AO82)=0,"",INDEX(Cascade!$BG:$BG,MATCH($E82,Cascade!$E:$E,0)))</f>
        <v/>
      </c>
      <c r="AS82" s="42" t="str">
        <f t="shared" si="77"/>
        <v/>
      </c>
      <c r="AT82" s="42" t="str">
        <f t="shared" si="78"/>
        <v/>
      </c>
      <c r="AU82" s="14" t="str">
        <f t="shared" si="79"/>
        <v/>
      </c>
      <c r="AV82" s="14" t="str">
        <f t="shared" si="80"/>
        <v/>
      </c>
      <c r="AW82" s="14" t="str">
        <f>IFERROR(1/(1/INDEX(Cascade!$BH:$BH,MATCH($E82,Cascade!$E:$E,0))),"")</f>
        <v/>
      </c>
      <c r="AX82" s="14" t="str">
        <f t="shared" si="81"/>
        <v/>
      </c>
      <c r="AY82" s="14" t="str">
        <f t="shared" si="82"/>
        <v/>
      </c>
      <c r="AZ82" s="14" t="str">
        <f>IFERROR(1/(1/INDEX(TB!$P:$P,MATCH($E82,TB!$E:$E,0))),"")</f>
        <v/>
      </c>
      <c r="BA82" s="14" t="str">
        <f t="shared" si="83"/>
        <v/>
      </c>
    </row>
    <row r="83" spans="1:53" x14ac:dyDescent="0.2">
      <c r="A83" t="str">
        <f>INDEX(Prioritization!$D:$D,MATCH($B83,Prioritization!$A:$A,0))</f>
        <v>1 - Scale-up: Saturation</v>
      </c>
      <c r="B83" t="s">
        <v>206</v>
      </c>
      <c r="C83" t="s">
        <v>366</v>
      </c>
      <c r="D83" t="s">
        <v>29</v>
      </c>
      <c r="E83" t="str">
        <f t="shared" si="56"/>
        <v>Mzimba District [vA4NcHxfMBq]|35-49|Female</v>
      </c>
      <c r="F83" s="14">
        <f>IF(LEFT($B83,4)="_Mil","",INDEX(Cascade!$T:$T,MATCH($E83,Cascade!$E:$E,0)))</f>
        <v>1178</v>
      </c>
      <c r="G83" s="14" t="str">
        <f>IF(LEFT($B83,4)="_Mil","",INDEX(Cascade!$U:$U,MATCH($E83,Cascade!$E:$E,0)))</f>
        <v/>
      </c>
      <c r="H83" s="88">
        <f>IF(LEFT($B83,4)="_Mil","",INDEX(Cascade!$W:$W,MATCH($E83,Cascade!$E:$E,0)))</f>
        <v>1121</v>
      </c>
      <c r="I83" s="14">
        <f>IF(LEFT($B83,4)="_Mil","",INDEX(Cascade!$Z:$Z,MATCH($E83,Cascade!$E:$E,0)))</f>
        <v>1804</v>
      </c>
      <c r="J83" s="90">
        <f>IF(LEFT($B83,4)="_Mil","",INDEX(Cascade!$AA:$AA,MATCH($E83,Cascade!$E:$E,0)))</f>
        <v>917.99999999999989</v>
      </c>
      <c r="K83" s="42">
        <f>IF(LEFT($B83,4)="_Mil","",_xlfn.IFNA(ROUND(INDEX(Spectrum!$N:$N,MATCH(RIGHT($B83,13)&amp;"|"&amp;$C83&amp;"|"&amp;$D83&amp;"|"&amp;K$14&amp;"|"&amp;"CY2023Q3",Spectrum!$R:$R,0)),0),""))</f>
        <v>1133</v>
      </c>
      <c r="L83" s="42" t="str">
        <f>IF(LEFT($B83,4)="_Mil","",_xlfn.IFNA(ROUND(INDEX(Spectrum!$N:$N,MATCH(RIGHT($B83,13)&amp;"|"&amp;$C83&amp;"|"&amp;$D83&amp;"|"&amp;L$14&amp;"|"&amp;"CY2023Q3",Spectrum!$R:$R,0)),0),""))</f>
        <v/>
      </c>
      <c r="M83" s="42">
        <f>IF(LEFT($B83,4)="_Mil","",_xlfn.IFNA(ROUND(INDEX(Spectrum!$N:$N,MATCH(RIGHT($B83,13)&amp;"|"&amp;$C83&amp;"|"&amp;$D83&amp;"|"&amp;M$14&amp;"|"&amp;"CY2023Q3",Spectrum!$R:$R,0)),0),""))</f>
        <v>1600</v>
      </c>
      <c r="N83" s="42">
        <f>IF(LEFT($B83,4)="_Mil","",_xlfn.IFNA(ROUND(INDEX(Spectrum!$N:$N,MATCH(RIGHT($B83,13)&amp;"|"&amp;$C83&amp;"|"&amp;$D83&amp;"|"&amp;N$14&amp;"|"&amp;"CY2023Q3",Spectrum!$R:$R,0)),0),""))</f>
        <v>909</v>
      </c>
      <c r="O83" s="42">
        <f>IF(LEFT($B83,4)="_Mil","",_xlfn.IFNA(ROUND(INDEX(Spectrum!$N:$N,MATCH(RIGHT($B83,13)&amp;"|"&amp;$C83&amp;"|"&amp;$D83&amp;"|"&amp;O$14&amp;"|"&amp;"CY2023Q3",Spectrum!$R:$R,0)),0),""))</f>
        <v>540</v>
      </c>
      <c r="P83" s="42">
        <f>IF(LEFT($B83,4)="_Mil","",_xlfn.IFNA(ROUND(INDEX(Spectrum!$N:$N,MATCH(RIGHT($B83,13)&amp;"|"&amp;$C83&amp;"|"&amp;$D83&amp;"|"&amp;P$14&amp;"|"&amp;"CY2023Q3",Spectrum!$R:$R,0)),0),""))</f>
        <v>1924</v>
      </c>
      <c r="Q83" s="42" t="str">
        <f>IF(LEFT($B83,4)="_Mil","",_xlfn.IFNA(ROUND(INDEX(Spectrum!$N:$N,MATCH(RIGHT($B83,13)&amp;"|"&amp;$C83&amp;"|"&amp;$D83&amp;"|"&amp;Q$14&amp;"|"&amp;"CY2022Q3",Spectrum!$R:$R,0)),0),""))</f>
        <v/>
      </c>
      <c r="R83" s="14"/>
      <c r="S83" s="90">
        <f>0</f>
        <v>0</v>
      </c>
      <c r="T83" s="42" t="str">
        <f t="shared" si="57"/>
        <v/>
      </c>
      <c r="U83" s="90">
        <f t="shared" si="58"/>
        <v>0</v>
      </c>
      <c r="V83" s="42" t="str">
        <f t="shared" si="59"/>
        <v/>
      </c>
      <c r="W83" s="90"/>
      <c r="X83" s="90">
        <f t="shared" si="60"/>
        <v>0</v>
      </c>
      <c r="Y83" s="90"/>
      <c r="Z83" s="90">
        <f t="shared" si="61"/>
        <v>0</v>
      </c>
      <c r="AA83" s="14" t="str">
        <f t="shared" si="62"/>
        <v/>
      </c>
      <c r="AB83" s="42" t="str">
        <f t="shared" si="63"/>
        <v/>
      </c>
      <c r="AC83" s="42" t="str">
        <f t="shared" si="64"/>
        <v/>
      </c>
      <c r="AD83" s="42" t="str">
        <f t="shared" si="65"/>
        <v/>
      </c>
      <c r="AE83" s="14" t="str">
        <f t="shared" si="66"/>
        <v/>
      </c>
      <c r="AF83" s="42" t="str">
        <f t="shared" si="67"/>
        <v/>
      </c>
      <c r="AG83" s="42" t="str">
        <f t="shared" si="68"/>
        <v/>
      </c>
      <c r="AH83" s="42" t="str">
        <f t="shared" si="69"/>
        <v/>
      </c>
      <c r="AI83" s="90" t="str">
        <f>IF(SUM($AC83)=0,"",INDEX(Cascade!$BG:$BG,MATCH($E83,Cascade!$E:$E,0)))</f>
        <v/>
      </c>
      <c r="AJ83" s="42" t="str">
        <f t="shared" si="70"/>
        <v/>
      </c>
      <c r="AK83" s="42" t="str">
        <f t="shared" si="71"/>
        <v/>
      </c>
      <c r="AL83" s="42" t="str">
        <f t="shared" si="72"/>
        <v/>
      </c>
      <c r="AM83" s="42" t="str">
        <f t="shared" si="73"/>
        <v/>
      </c>
      <c r="AN83" s="42" t="str">
        <f t="shared" si="74"/>
        <v/>
      </c>
      <c r="AO83" s="14" t="str">
        <f t="shared" si="75"/>
        <v/>
      </c>
      <c r="AP83" s="90"/>
      <c r="AQ83" s="90" t="str">
        <f t="shared" si="76"/>
        <v/>
      </c>
      <c r="AR83" s="90" t="str">
        <f>IF(SUM($AO83)=0,"",INDEX(Cascade!$BG:$BG,MATCH($E83,Cascade!$E:$E,0)))</f>
        <v/>
      </c>
      <c r="AS83" s="42" t="str">
        <f t="shared" si="77"/>
        <v/>
      </c>
      <c r="AT83" s="42" t="str">
        <f t="shared" si="78"/>
        <v/>
      </c>
      <c r="AU83" s="14" t="str">
        <f t="shared" si="79"/>
        <v/>
      </c>
      <c r="AV83" s="14" t="str">
        <f t="shared" si="80"/>
        <v/>
      </c>
      <c r="AW83" s="14" t="str">
        <f>IFERROR(1/(1/INDEX(Cascade!$BH:$BH,MATCH($E83,Cascade!$E:$E,0))),"")</f>
        <v/>
      </c>
      <c r="AX83" s="14" t="str">
        <f t="shared" si="81"/>
        <v/>
      </c>
      <c r="AY83" s="14" t="str">
        <f t="shared" si="82"/>
        <v/>
      </c>
      <c r="AZ83" s="14" t="str">
        <f>IFERROR(1/(1/INDEX(TB!$P:$P,MATCH($E83,TB!$E:$E,0))),"")</f>
        <v/>
      </c>
      <c r="BA83" s="14" t="str">
        <f t="shared" si="83"/>
        <v/>
      </c>
    </row>
    <row r="84" spans="1:53" x14ac:dyDescent="0.2">
      <c r="A84" t="str">
        <f>INDEX(Prioritization!$D:$D,MATCH($B84,Prioritization!$A:$A,0))</f>
        <v>1 - Scale-up: Saturation</v>
      </c>
      <c r="B84" t="s">
        <v>206</v>
      </c>
      <c r="C84" t="s">
        <v>367</v>
      </c>
      <c r="D84" t="s">
        <v>29</v>
      </c>
      <c r="E84" t="str">
        <f t="shared" si="56"/>
        <v>Mzimba District [vA4NcHxfMBq]|50+|Female</v>
      </c>
      <c r="F84" s="14">
        <f>IF(LEFT($B84,4)="_Mil","",INDEX(Cascade!$T:$T,MATCH($E84,Cascade!$E:$E,0)))</f>
        <v>1385</v>
      </c>
      <c r="G84" s="14" t="str">
        <f>IF(LEFT($B84,4)="_Mil","",INDEX(Cascade!$U:$U,MATCH($E84,Cascade!$E:$E,0)))</f>
        <v/>
      </c>
      <c r="H84" s="88">
        <f>IF(LEFT($B84,4)="_Mil","",INDEX(Cascade!$W:$W,MATCH($E84,Cascade!$E:$E,0)))</f>
        <v>1596</v>
      </c>
      <c r="I84" s="14">
        <f>IF(LEFT($B84,4)="_Mil","",INDEX(Cascade!$Z:$Z,MATCH($E84,Cascade!$E:$E,0)))</f>
        <v>1051</v>
      </c>
      <c r="J84" s="90">
        <f>IF(LEFT($B84,4)="_Mil","",INDEX(Cascade!$AA:$AA,MATCH($E84,Cascade!$E:$E,0)))</f>
        <v>1687.0000000000002</v>
      </c>
      <c r="K84" s="42" t="str">
        <f>IF(LEFT($B84,4)="_Mil","",_xlfn.IFNA(ROUND(INDEX(Spectrum!$N:$N,MATCH(RIGHT($B84,13)&amp;"|"&amp;$C84&amp;"|"&amp;$D84&amp;"|"&amp;K$14&amp;"|"&amp;"CY2023Q3",Spectrum!$R:$R,0)),0),""))</f>
        <v/>
      </c>
      <c r="L84" s="42" t="str">
        <f>IF(LEFT($B84,4)="_Mil","",_xlfn.IFNA(ROUND(INDEX(Spectrum!$N:$N,MATCH(RIGHT($B84,13)&amp;"|"&amp;$C84&amp;"|"&amp;$D84&amp;"|"&amp;L$14&amp;"|"&amp;"CY2023Q3",Spectrum!$R:$R,0)),0),""))</f>
        <v/>
      </c>
      <c r="M84" s="42" t="str">
        <f>IF(LEFT($B84,4)="_Mil","",_xlfn.IFNA(ROUND(INDEX(Spectrum!$N:$N,MATCH(RIGHT($B84,13)&amp;"|"&amp;$C84&amp;"|"&amp;$D84&amp;"|"&amp;M$14&amp;"|"&amp;"CY2023Q3",Spectrum!$R:$R,0)),0),""))</f>
        <v/>
      </c>
      <c r="N84" s="42" t="str">
        <f>IF(LEFT($B84,4)="_Mil","",_xlfn.IFNA(ROUND(INDEX(Spectrum!$N:$N,MATCH(RIGHT($B84,13)&amp;"|"&amp;$C84&amp;"|"&amp;$D84&amp;"|"&amp;N$14&amp;"|"&amp;"CY2023Q3",Spectrum!$R:$R,0)),0),""))</f>
        <v/>
      </c>
      <c r="O84" s="42" t="str">
        <f>IF(LEFT($B84,4)="_Mil","",_xlfn.IFNA(ROUND(INDEX(Spectrum!$N:$N,MATCH(RIGHT($B84,13)&amp;"|"&amp;$C84&amp;"|"&amp;$D84&amp;"|"&amp;O$14&amp;"|"&amp;"CY2023Q3",Spectrum!$R:$R,0)),0),""))</f>
        <v/>
      </c>
      <c r="P84" s="42" t="str">
        <f>IF(LEFT($B84,4)="_Mil","",_xlfn.IFNA(ROUND(INDEX(Spectrum!$N:$N,MATCH(RIGHT($B84,13)&amp;"|"&amp;$C84&amp;"|"&amp;$D84&amp;"|"&amp;P$14&amp;"|"&amp;"CY2023Q3",Spectrum!$R:$R,0)),0),""))</f>
        <v/>
      </c>
      <c r="Q84" s="42" t="str">
        <f>IF(LEFT($B84,4)="_Mil","",_xlfn.IFNA(ROUND(INDEX(Spectrum!$N:$N,MATCH(RIGHT($B84,13)&amp;"|"&amp;$C84&amp;"|"&amp;$D84&amp;"|"&amp;Q$14&amp;"|"&amp;"CY2022Q3",Spectrum!$R:$R,0)),0),""))</f>
        <v/>
      </c>
      <c r="R84" s="14"/>
      <c r="S84" s="90">
        <f>0</f>
        <v>0</v>
      </c>
      <c r="T84" s="42" t="str">
        <f t="shared" si="57"/>
        <v/>
      </c>
      <c r="U84" s="90" t="str">
        <f t="shared" si="58"/>
        <v/>
      </c>
      <c r="V84" s="42" t="str">
        <f t="shared" si="59"/>
        <v/>
      </c>
      <c r="W84" s="90"/>
      <c r="X84" s="90" t="str">
        <f t="shared" si="60"/>
        <v/>
      </c>
      <c r="Y84" s="90"/>
      <c r="Z84" s="90" t="str">
        <f t="shared" si="61"/>
        <v/>
      </c>
      <c r="AA84" s="14" t="str">
        <f t="shared" si="62"/>
        <v/>
      </c>
      <c r="AB84" s="42" t="str">
        <f t="shared" si="63"/>
        <v/>
      </c>
      <c r="AC84" s="42" t="str">
        <f t="shared" si="64"/>
        <v/>
      </c>
      <c r="AD84" s="42" t="str">
        <f t="shared" si="65"/>
        <v/>
      </c>
      <c r="AE84" s="14" t="str">
        <f t="shared" si="66"/>
        <v/>
      </c>
      <c r="AF84" s="42" t="str">
        <f t="shared" si="67"/>
        <v/>
      </c>
      <c r="AG84" s="42" t="str">
        <f t="shared" si="68"/>
        <v/>
      </c>
      <c r="AH84" s="42" t="str">
        <f t="shared" si="69"/>
        <v/>
      </c>
      <c r="AI84" s="90" t="str">
        <f>IF(SUM($AC84)=0,"",INDEX(Cascade!$BG:$BG,MATCH($E84,Cascade!$E:$E,0)))</f>
        <v/>
      </c>
      <c r="AJ84" s="42" t="str">
        <f t="shared" si="70"/>
        <v/>
      </c>
      <c r="AK84" s="42" t="str">
        <f t="shared" si="71"/>
        <v/>
      </c>
      <c r="AL84" s="42" t="str">
        <f t="shared" si="72"/>
        <v/>
      </c>
      <c r="AM84" s="42" t="str">
        <f t="shared" si="73"/>
        <v/>
      </c>
      <c r="AN84" s="42" t="str">
        <f t="shared" si="74"/>
        <v/>
      </c>
      <c r="AO84" s="14" t="str">
        <f t="shared" si="75"/>
        <v/>
      </c>
      <c r="AP84" s="90"/>
      <c r="AQ84" s="90" t="str">
        <f t="shared" si="76"/>
        <v/>
      </c>
      <c r="AR84" s="90" t="str">
        <f>IF(SUM($AO84)=0,"",INDEX(Cascade!$BG:$BG,MATCH($E84,Cascade!$E:$E,0)))</f>
        <v/>
      </c>
      <c r="AS84" s="42" t="str">
        <f t="shared" si="77"/>
        <v/>
      </c>
      <c r="AT84" s="42" t="str">
        <f t="shared" si="78"/>
        <v/>
      </c>
      <c r="AU84" s="14" t="str">
        <f t="shared" si="79"/>
        <v/>
      </c>
      <c r="AV84" s="14" t="str">
        <f t="shared" si="80"/>
        <v/>
      </c>
      <c r="AW84" s="14" t="str">
        <f>IFERROR(1/(1/INDEX(Cascade!$BH:$BH,MATCH($E84,Cascade!$E:$E,0))),"")</f>
        <v/>
      </c>
      <c r="AX84" s="14" t="str">
        <f t="shared" si="81"/>
        <v/>
      </c>
      <c r="AY84" s="14" t="str">
        <f t="shared" si="82"/>
        <v/>
      </c>
      <c r="AZ84" s="14" t="str">
        <f>IFERROR(1/(1/INDEX(TB!$P:$P,MATCH($E84,TB!$E:$E,0))),"")</f>
        <v/>
      </c>
      <c r="BA84" s="14" t="str">
        <f t="shared" si="83"/>
        <v/>
      </c>
    </row>
    <row r="85" spans="1:53" x14ac:dyDescent="0.2">
      <c r="A85" t="str">
        <f>INDEX(Prioritization!$D:$D,MATCH($B85,Prioritization!$A:$A,0))</f>
        <v>INVALID</v>
      </c>
      <c r="B85" t="s">
        <v>207</v>
      </c>
      <c r="C85" t="s">
        <v>363</v>
      </c>
      <c r="D85" t="s">
        <v>29</v>
      </c>
      <c r="E85" t="str">
        <f t="shared" si="56"/>
        <v>Nkhata Bay District [E7zpfyBt7Tw]|10-14|Female</v>
      </c>
      <c r="F85" s="14">
        <f>IF(LEFT($B85,4)="_Mil","",INDEX(Cascade!$T:$T,MATCH($E85,Cascade!$E:$E,0)))</f>
        <v>830</v>
      </c>
      <c r="G85" s="14" t="str">
        <f>IF(LEFT($B85,4)="_Mil","",INDEX(Cascade!$U:$U,MATCH($E85,Cascade!$E:$E,0)))</f>
        <v/>
      </c>
      <c r="H85" s="88">
        <f>IF(LEFT($B85,4)="_Mil","",INDEX(Cascade!$W:$W,MATCH($E85,Cascade!$E:$E,0)))</f>
        <v>744</v>
      </c>
      <c r="I85" s="14">
        <f>IF(LEFT($B85,4)="_Mil","",INDEX(Cascade!$Z:$Z,MATCH($E85,Cascade!$E:$E,0)))</f>
        <v>1560</v>
      </c>
      <c r="J85" s="90">
        <f>IF(LEFT($B85,4)="_Mil","",INDEX(Cascade!$AA:$AA,MATCH($E85,Cascade!$E:$E,0)))</f>
        <v>1348</v>
      </c>
      <c r="K85" s="42" t="str">
        <f>IF(LEFT($B85,4)="_Mil","",_xlfn.IFNA(ROUND(INDEX(Spectrum!$N:$N,MATCH(RIGHT($B85,13)&amp;"|"&amp;$C85&amp;"|"&amp;$D85&amp;"|"&amp;K$14&amp;"|"&amp;"CY2023Q3",Spectrum!$R:$R,0)),0),""))</f>
        <v/>
      </c>
      <c r="L85" s="42" t="str">
        <f>IF(LEFT($B85,4)="_Mil","",_xlfn.IFNA(ROUND(INDEX(Spectrum!$N:$N,MATCH(RIGHT($B85,13)&amp;"|"&amp;$C85&amp;"|"&amp;$D85&amp;"|"&amp;L$14&amp;"|"&amp;"CY2023Q3",Spectrum!$R:$R,0)),0),""))</f>
        <v/>
      </c>
      <c r="M85" s="42" t="str">
        <f>IF(LEFT($B85,4)="_Mil","",_xlfn.IFNA(ROUND(INDEX(Spectrum!$N:$N,MATCH(RIGHT($B85,13)&amp;"|"&amp;$C85&amp;"|"&amp;$D85&amp;"|"&amp;M$14&amp;"|"&amp;"CY2023Q3",Spectrum!$R:$R,0)),0),""))</f>
        <v/>
      </c>
      <c r="N85" s="42" t="str">
        <f>IF(LEFT($B85,4)="_Mil","",_xlfn.IFNA(ROUND(INDEX(Spectrum!$N:$N,MATCH(RIGHT($B85,13)&amp;"|"&amp;$C85&amp;"|"&amp;$D85&amp;"|"&amp;N$14&amp;"|"&amp;"CY2023Q3",Spectrum!$R:$R,0)),0),""))</f>
        <v/>
      </c>
      <c r="O85" s="42" t="str">
        <f>IF(LEFT($B85,4)="_Mil","",_xlfn.IFNA(ROUND(INDEX(Spectrum!$N:$N,MATCH(RIGHT($B85,13)&amp;"|"&amp;$C85&amp;"|"&amp;$D85&amp;"|"&amp;O$14&amp;"|"&amp;"CY2023Q3",Spectrum!$R:$R,0)),0),""))</f>
        <v/>
      </c>
      <c r="P85" s="42" t="str">
        <f>IF(LEFT($B85,4)="_Mil","",_xlfn.IFNA(ROUND(INDEX(Spectrum!$N:$N,MATCH(RIGHT($B85,13)&amp;"|"&amp;$C85&amp;"|"&amp;$D85&amp;"|"&amp;P$14&amp;"|"&amp;"CY2023Q3",Spectrum!$R:$R,0)),0),""))</f>
        <v/>
      </c>
      <c r="Q85" s="42" t="str">
        <f>IF(LEFT($B85,4)="_Mil","",_xlfn.IFNA(ROUND(INDEX(Spectrum!$N:$N,MATCH(RIGHT($B85,13)&amp;"|"&amp;$C85&amp;"|"&amp;$D85&amp;"|"&amp;Q$14&amp;"|"&amp;"CY2022Q3",Spectrum!$R:$R,0)),0),""))</f>
        <v/>
      </c>
      <c r="R85" s="14">
        <v>4</v>
      </c>
      <c r="S85" s="90">
        <f>0</f>
        <v>0</v>
      </c>
      <c r="T85" s="42">
        <f t="shared" si="57"/>
        <v>4</v>
      </c>
      <c r="U85" s="90">
        <f t="shared" si="58"/>
        <v>1</v>
      </c>
      <c r="V85" s="42">
        <f t="shared" si="59"/>
        <v>4</v>
      </c>
      <c r="W85" s="90"/>
      <c r="X85" s="90" t="str">
        <f t="shared" si="60"/>
        <v/>
      </c>
      <c r="Y85" s="90"/>
      <c r="Z85" s="90" t="str">
        <f t="shared" si="61"/>
        <v/>
      </c>
      <c r="AA85" s="14">
        <f t="shared" si="62"/>
        <v>4</v>
      </c>
      <c r="AB85" s="42" t="str">
        <f t="shared" si="63"/>
        <v>ENTER KNOWN POSITIVITY RATE</v>
      </c>
      <c r="AC85" s="42" t="str">
        <f t="shared" si="64"/>
        <v>ENTER YIELD RATE</v>
      </c>
      <c r="AD85" s="42">
        <f t="shared" si="65"/>
        <v>4</v>
      </c>
      <c r="AE85" s="14">
        <f t="shared" si="66"/>
        <v>4</v>
      </c>
      <c r="AF85" s="42">
        <f t="shared" si="67"/>
        <v>0</v>
      </c>
      <c r="AG85" s="42">
        <f t="shared" si="68"/>
        <v>0</v>
      </c>
      <c r="AH85" s="42">
        <f t="shared" si="69"/>
        <v>4</v>
      </c>
      <c r="AI85" s="90" t="str">
        <f>IF(SUM($AC85)=0,"",INDEX(Cascade!$BG:$BG,MATCH($E85,Cascade!$E:$E,0)))</f>
        <v/>
      </c>
      <c r="AJ85" s="42" t="str">
        <f t="shared" si="70"/>
        <v>ENTER KNOWN POSITIVITY RATE</v>
      </c>
      <c r="AK85" s="42" t="str">
        <f t="shared" si="71"/>
        <v/>
      </c>
      <c r="AL85" s="42" t="str">
        <f t="shared" si="72"/>
        <v/>
      </c>
      <c r="AM85" s="42">
        <f t="shared" si="73"/>
        <v>0</v>
      </c>
      <c r="AN85" s="42" t="str">
        <f t="shared" si="74"/>
        <v/>
      </c>
      <c r="AO85" s="14">
        <f t="shared" si="75"/>
        <v>4</v>
      </c>
      <c r="AP85" s="90"/>
      <c r="AQ85" s="90" t="str">
        <f t="shared" si="76"/>
        <v/>
      </c>
      <c r="AR85" s="90">
        <f>IF(SUM($AO85)=0,"",INDEX(Cascade!$BG:$BG,MATCH($E85,Cascade!$E:$E,0)))</f>
        <v>0.95</v>
      </c>
      <c r="AS85" s="42" t="str">
        <f t="shared" si="77"/>
        <v>ENTER YIELD RATE</v>
      </c>
      <c r="AT85" s="42">
        <f t="shared" si="78"/>
        <v>4</v>
      </c>
      <c r="AU85" s="14" t="str">
        <f t="shared" si="79"/>
        <v/>
      </c>
      <c r="AV85" s="14" t="str">
        <f t="shared" si="80"/>
        <v/>
      </c>
      <c r="AW85" s="14">
        <f>IFERROR(1/(1/INDEX(Cascade!$BH:$BH,MATCH($E85,Cascade!$E:$E,0))),"")</f>
        <v>-76</v>
      </c>
      <c r="AX85" s="14" t="str">
        <f t="shared" si="81"/>
        <v/>
      </c>
      <c r="AY85" s="14" t="str">
        <f t="shared" si="82"/>
        <v/>
      </c>
      <c r="AZ85" s="14" t="str">
        <f>IFERROR(1/(1/INDEX(TB!$P:$P,MATCH($E85,TB!$E:$E,0))),"")</f>
        <v/>
      </c>
      <c r="BA85" s="14">
        <f t="shared" si="83"/>
        <v>-76</v>
      </c>
    </row>
    <row r="86" spans="1:53" x14ac:dyDescent="0.2">
      <c r="A86" t="str">
        <f>INDEX(Prioritization!$D:$D,MATCH($B86,Prioritization!$A:$A,0))</f>
        <v>INVALID</v>
      </c>
      <c r="B86" t="s">
        <v>207</v>
      </c>
      <c r="C86" t="s">
        <v>364</v>
      </c>
      <c r="D86" t="s">
        <v>29</v>
      </c>
      <c r="E86" t="str">
        <f t="shared" si="56"/>
        <v>Nkhata Bay District [E7zpfyBt7Tw]|15-24|Female</v>
      </c>
      <c r="F86" s="14">
        <f>IF(LEFT($B86,4)="_Mil","",INDEX(Cascade!$T:$T,MATCH($E86,Cascade!$E:$E,0)))</f>
        <v>1878</v>
      </c>
      <c r="G86" s="14" t="str">
        <f>IF(LEFT($B86,4)="_Mil","",INDEX(Cascade!$U:$U,MATCH($E86,Cascade!$E:$E,0)))</f>
        <v/>
      </c>
      <c r="H86" s="88">
        <f>IF(LEFT($B86,4)="_Mil","",INDEX(Cascade!$W:$W,MATCH($E86,Cascade!$E:$E,0)))</f>
        <v>717</v>
      </c>
      <c r="I86" s="14">
        <f>IF(LEFT($B86,4)="_Mil","",INDEX(Cascade!$Z:$Z,MATCH($E86,Cascade!$E:$E,0)))</f>
        <v>1439</v>
      </c>
      <c r="J86" s="90">
        <f>IF(LEFT($B86,4)="_Mil","",INDEX(Cascade!$AA:$AA,MATCH($E86,Cascade!$E:$E,0)))</f>
        <v>1731</v>
      </c>
      <c r="K86" s="42">
        <f>IF(LEFT($B86,4)="_Mil","",_xlfn.IFNA(ROUND(INDEX(Spectrum!$N:$N,MATCH(RIGHT($B86,13)&amp;"|"&amp;$C86&amp;"|"&amp;$D86&amp;"|"&amp;K$14&amp;"|"&amp;"CY2023Q3",Spectrum!$R:$R,0)),0),""))</f>
        <v>1525</v>
      </c>
      <c r="L86" s="42" t="str">
        <f>IF(LEFT($B86,4)="_Mil","",_xlfn.IFNA(ROUND(INDEX(Spectrum!$N:$N,MATCH(RIGHT($B86,13)&amp;"|"&amp;$C86&amp;"|"&amp;$D86&amp;"|"&amp;L$14&amp;"|"&amp;"CY2023Q3",Spectrum!$R:$R,0)),0),""))</f>
        <v/>
      </c>
      <c r="M86" s="42">
        <f>IF(LEFT($B86,4)="_Mil","",_xlfn.IFNA(ROUND(INDEX(Spectrum!$N:$N,MATCH(RIGHT($B86,13)&amp;"|"&amp;$C86&amp;"|"&amp;$D86&amp;"|"&amp;M$14&amp;"|"&amp;"CY2023Q3",Spectrum!$R:$R,0)),0),""))</f>
        <v>545</v>
      </c>
      <c r="N86" s="42">
        <f>IF(LEFT($B86,4)="_Mil","",_xlfn.IFNA(ROUND(INDEX(Spectrum!$N:$N,MATCH(RIGHT($B86,13)&amp;"|"&amp;$C86&amp;"|"&amp;$D86&amp;"|"&amp;N$14&amp;"|"&amp;"CY2023Q3",Spectrum!$R:$R,0)),0),""))</f>
        <v>953</v>
      </c>
      <c r="O86" s="42">
        <f>IF(LEFT($B86,4)="_Mil","",_xlfn.IFNA(ROUND(INDEX(Spectrum!$N:$N,MATCH(RIGHT($B86,13)&amp;"|"&amp;$C86&amp;"|"&amp;$D86&amp;"|"&amp;O$14&amp;"|"&amp;"CY2023Q3",Spectrum!$R:$R,0)),0),""))</f>
        <v>623</v>
      </c>
      <c r="P86" s="42">
        <f>IF(LEFT($B86,4)="_Mil","",_xlfn.IFNA(ROUND(INDEX(Spectrum!$N:$N,MATCH(RIGHT($B86,13)&amp;"|"&amp;$C86&amp;"|"&amp;$D86&amp;"|"&amp;P$14&amp;"|"&amp;"CY2023Q3",Spectrum!$R:$R,0)),0),""))</f>
        <v>658</v>
      </c>
      <c r="Q86" s="42" t="str">
        <f>IF(LEFT($B86,4)="_Mil","",_xlfn.IFNA(ROUND(INDEX(Spectrum!$N:$N,MATCH(RIGHT($B86,13)&amp;"|"&amp;$C86&amp;"|"&amp;$D86&amp;"|"&amp;Q$14&amp;"|"&amp;"CY2022Q3",Spectrum!$R:$R,0)),0),""))</f>
        <v/>
      </c>
      <c r="R86" s="14"/>
      <c r="S86" s="90">
        <f>0</f>
        <v>0</v>
      </c>
      <c r="T86" s="42" t="str">
        <f t="shared" si="57"/>
        <v/>
      </c>
      <c r="U86" s="90">
        <f t="shared" si="58"/>
        <v>0</v>
      </c>
      <c r="V86" s="42" t="str">
        <f t="shared" si="59"/>
        <v/>
      </c>
      <c r="W86" s="90"/>
      <c r="X86" s="90">
        <f t="shared" si="60"/>
        <v>0</v>
      </c>
      <c r="Y86" s="90"/>
      <c r="Z86" s="90">
        <f t="shared" si="61"/>
        <v>0</v>
      </c>
      <c r="AA86" s="14" t="str">
        <f t="shared" si="62"/>
        <v/>
      </c>
      <c r="AB86" s="42" t="str">
        <f t="shared" si="63"/>
        <v/>
      </c>
      <c r="AC86" s="42" t="str">
        <f t="shared" si="64"/>
        <v/>
      </c>
      <c r="AD86" s="42" t="str">
        <f t="shared" si="65"/>
        <v/>
      </c>
      <c r="AE86" s="14" t="str">
        <f t="shared" si="66"/>
        <v/>
      </c>
      <c r="AF86" s="42" t="str">
        <f t="shared" si="67"/>
        <v/>
      </c>
      <c r="AG86" s="42" t="str">
        <f t="shared" si="68"/>
        <v/>
      </c>
      <c r="AH86" s="42" t="str">
        <f t="shared" si="69"/>
        <v/>
      </c>
      <c r="AI86" s="90" t="str">
        <f>IF(SUM($AC86)=0,"",INDEX(Cascade!$BG:$BG,MATCH($E86,Cascade!$E:$E,0)))</f>
        <v/>
      </c>
      <c r="AJ86" s="42" t="str">
        <f t="shared" si="70"/>
        <v/>
      </c>
      <c r="AK86" s="42" t="str">
        <f t="shared" si="71"/>
        <v/>
      </c>
      <c r="AL86" s="42" t="str">
        <f t="shared" si="72"/>
        <v/>
      </c>
      <c r="AM86" s="42" t="str">
        <f t="shared" si="73"/>
        <v/>
      </c>
      <c r="AN86" s="42" t="str">
        <f t="shared" si="74"/>
        <v/>
      </c>
      <c r="AO86" s="14" t="str">
        <f t="shared" si="75"/>
        <v/>
      </c>
      <c r="AP86" s="90"/>
      <c r="AQ86" s="90" t="str">
        <f t="shared" si="76"/>
        <v/>
      </c>
      <c r="AR86" s="90" t="str">
        <f>IF(SUM($AO86)=0,"",INDEX(Cascade!$BG:$BG,MATCH($E86,Cascade!$E:$E,0)))</f>
        <v/>
      </c>
      <c r="AS86" s="42" t="str">
        <f t="shared" si="77"/>
        <v/>
      </c>
      <c r="AT86" s="42" t="str">
        <f t="shared" si="78"/>
        <v/>
      </c>
      <c r="AU86" s="14" t="str">
        <f t="shared" si="79"/>
        <v/>
      </c>
      <c r="AV86" s="14" t="str">
        <f t="shared" si="80"/>
        <v/>
      </c>
      <c r="AW86" s="14" t="str">
        <f>IFERROR(1/(1/INDEX(Cascade!$BH:$BH,MATCH($E86,Cascade!$E:$E,0))),"")</f>
        <v/>
      </c>
      <c r="AX86" s="14" t="str">
        <f t="shared" si="81"/>
        <v/>
      </c>
      <c r="AY86" s="14" t="str">
        <f t="shared" si="82"/>
        <v/>
      </c>
      <c r="AZ86" s="14" t="str">
        <f>IFERROR(1/(1/INDEX(TB!$P:$P,MATCH($E86,TB!$E:$E,0))),"")</f>
        <v/>
      </c>
      <c r="BA86" s="14" t="str">
        <f t="shared" si="83"/>
        <v/>
      </c>
    </row>
    <row r="87" spans="1:53" x14ac:dyDescent="0.2">
      <c r="A87" t="str">
        <f>INDEX(Prioritization!$D:$D,MATCH($B87,Prioritization!$A:$A,0))</f>
        <v>INVALID</v>
      </c>
      <c r="B87" t="s">
        <v>207</v>
      </c>
      <c r="C87" t="s">
        <v>365</v>
      </c>
      <c r="D87" t="s">
        <v>29</v>
      </c>
      <c r="E87" t="str">
        <f t="shared" si="56"/>
        <v>Nkhata Bay District [E7zpfyBt7Tw]|25-34|Female</v>
      </c>
      <c r="F87" s="14">
        <f>IF(LEFT($B87,4)="_Mil","",INDEX(Cascade!$T:$T,MATCH($E87,Cascade!$E:$E,0)))</f>
        <v>795</v>
      </c>
      <c r="G87" s="14" t="str">
        <f>IF(LEFT($B87,4)="_Mil","",INDEX(Cascade!$U:$U,MATCH($E87,Cascade!$E:$E,0)))</f>
        <v/>
      </c>
      <c r="H87" s="88">
        <f>IF(LEFT($B87,4)="_Mil","",INDEX(Cascade!$W:$W,MATCH($E87,Cascade!$E:$E,0)))</f>
        <v>1859</v>
      </c>
      <c r="I87" s="14">
        <f>IF(LEFT($B87,4)="_Mil","",INDEX(Cascade!$Z:$Z,MATCH($E87,Cascade!$E:$E,0)))</f>
        <v>1692</v>
      </c>
      <c r="J87" s="90">
        <f>IF(LEFT($B87,4)="_Mil","",INDEX(Cascade!$AA:$AA,MATCH($E87,Cascade!$E:$E,0)))</f>
        <v>2000</v>
      </c>
      <c r="K87" s="42">
        <f>IF(LEFT($B87,4)="_Mil","",_xlfn.IFNA(ROUND(INDEX(Spectrum!$N:$N,MATCH(RIGHT($B87,13)&amp;"|"&amp;$C87&amp;"|"&amp;$D87&amp;"|"&amp;K$14&amp;"|"&amp;"CY2023Q3",Spectrum!$R:$R,0)),0),""))</f>
        <v>552</v>
      </c>
      <c r="L87" s="42" t="str">
        <f>IF(LEFT($B87,4)="_Mil","",_xlfn.IFNA(ROUND(INDEX(Spectrum!$N:$N,MATCH(RIGHT($B87,13)&amp;"|"&amp;$C87&amp;"|"&amp;$D87&amp;"|"&amp;L$14&amp;"|"&amp;"CY2023Q3",Spectrum!$R:$R,0)),0),""))</f>
        <v/>
      </c>
      <c r="M87" s="42">
        <f>IF(LEFT($B87,4)="_Mil","",_xlfn.IFNA(ROUND(INDEX(Spectrum!$N:$N,MATCH(RIGHT($B87,13)&amp;"|"&amp;$C87&amp;"|"&amp;$D87&amp;"|"&amp;M$14&amp;"|"&amp;"CY2023Q3",Spectrum!$R:$R,0)),0),""))</f>
        <v>1581</v>
      </c>
      <c r="N87" s="42">
        <f>IF(LEFT($B87,4)="_Mil","",_xlfn.IFNA(ROUND(INDEX(Spectrum!$N:$N,MATCH(RIGHT($B87,13)&amp;"|"&amp;$C87&amp;"|"&amp;$D87&amp;"|"&amp;N$14&amp;"|"&amp;"CY2023Q3",Spectrum!$R:$R,0)),0),""))</f>
        <v>1030</v>
      </c>
      <c r="O87" s="42">
        <f>IF(LEFT($B87,4)="_Mil","",_xlfn.IFNA(ROUND(INDEX(Spectrum!$N:$N,MATCH(RIGHT($B87,13)&amp;"|"&amp;$C87&amp;"|"&amp;$D87&amp;"|"&amp;O$14&amp;"|"&amp;"CY2023Q3",Spectrum!$R:$R,0)),0),""))</f>
        <v>1475</v>
      </c>
      <c r="P87" s="42">
        <f>IF(LEFT($B87,4)="_Mil","",_xlfn.IFNA(ROUND(INDEX(Spectrum!$N:$N,MATCH(RIGHT($B87,13)&amp;"|"&amp;$C87&amp;"|"&amp;$D87&amp;"|"&amp;P$14&amp;"|"&amp;"CY2023Q3",Spectrum!$R:$R,0)),0),""))</f>
        <v>978</v>
      </c>
      <c r="Q87" s="42" t="str">
        <f>IF(LEFT($B87,4)="_Mil","",_xlfn.IFNA(ROUND(INDEX(Spectrum!$N:$N,MATCH(RIGHT($B87,13)&amp;"|"&amp;$C87&amp;"|"&amp;$D87&amp;"|"&amp;Q$14&amp;"|"&amp;"CY2022Q3",Spectrum!$R:$R,0)),0),""))</f>
        <v/>
      </c>
      <c r="R87" s="14"/>
      <c r="S87" s="90">
        <f>0</f>
        <v>0</v>
      </c>
      <c r="T87" s="42" t="str">
        <f t="shared" si="57"/>
        <v/>
      </c>
      <c r="U87" s="90">
        <f t="shared" si="58"/>
        <v>0</v>
      </c>
      <c r="V87" s="42" t="str">
        <f t="shared" si="59"/>
        <v/>
      </c>
      <c r="W87" s="90"/>
      <c r="X87" s="90">
        <f t="shared" si="60"/>
        <v>0</v>
      </c>
      <c r="Y87" s="90"/>
      <c r="Z87" s="90">
        <f t="shared" si="61"/>
        <v>0</v>
      </c>
      <c r="AA87" s="14" t="str">
        <f t="shared" si="62"/>
        <v/>
      </c>
      <c r="AB87" s="42" t="str">
        <f t="shared" si="63"/>
        <v/>
      </c>
      <c r="AC87" s="42" t="str">
        <f t="shared" si="64"/>
        <v/>
      </c>
      <c r="AD87" s="42" t="str">
        <f t="shared" si="65"/>
        <v/>
      </c>
      <c r="AE87" s="14" t="str">
        <f t="shared" si="66"/>
        <v/>
      </c>
      <c r="AF87" s="42" t="str">
        <f t="shared" si="67"/>
        <v/>
      </c>
      <c r="AG87" s="42" t="str">
        <f t="shared" si="68"/>
        <v/>
      </c>
      <c r="AH87" s="42" t="str">
        <f t="shared" si="69"/>
        <v/>
      </c>
      <c r="AI87" s="90" t="str">
        <f>IF(SUM($AC87)=0,"",INDEX(Cascade!$BG:$BG,MATCH($E87,Cascade!$E:$E,0)))</f>
        <v/>
      </c>
      <c r="AJ87" s="42" t="str">
        <f t="shared" si="70"/>
        <v/>
      </c>
      <c r="AK87" s="42" t="str">
        <f t="shared" si="71"/>
        <v/>
      </c>
      <c r="AL87" s="42" t="str">
        <f t="shared" si="72"/>
        <v/>
      </c>
      <c r="AM87" s="42" t="str">
        <f t="shared" si="73"/>
        <v/>
      </c>
      <c r="AN87" s="42" t="str">
        <f t="shared" si="74"/>
        <v/>
      </c>
      <c r="AO87" s="14" t="str">
        <f t="shared" si="75"/>
        <v/>
      </c>
      <c r="AP87" s="90"/>
      <c r="AQ87" s="90" t="str">
        <f t="shared" si="76"/>
        <v/>
      </c>
      <c r="AR87" s="90" t="str">
        <f>IF(SUM($AO87)=0,"",INDEX(Cascade!$BG:$BG,MATCH($E87,Cascade!$E:$E,0)))</f>
        <v/>
      </c>
      <c r="AS87" s="42" t="str">
        <f t="shared" si="77"/>
        <v/>
      </c>
      <c r="AT87" s="42" t="str">
        <f t="shared" si="78"/>
        <v/>
      </c>
      <c r="AU87" s="14" t="str">
        <f t="shared" si="79"/>
        <v/>
      </c>
      <c r="AV87" s="14" t="str">
        <f t="shared" si="80"/>
        <v/>
      </c>
      <c r="AW87" s="14" t="str">
        <f>IFERROR(1/(1/INDEX(Cascade!$BH:$BH,MATCH($E87,Cascade!$E:$E,0))),"")</f>
        <v/>
      </c>
      <c r="AX87" s="14" t="str">
        <f t="shared" si="81"/>
        <v/>
      </c>
      <c r="AY87" s="14" t="str">
        <f t="shared" si="82"/>
        <v/>
      </c>
      <c r="AZ87" s="14" t="str">
        <f>IFERROR(1/(1/INDEX(TB!$P:$P,MATCH($E87,TB!$E:$E,0))),"")</f>
        <v/>
      </c>
      <c r="BA87" s="14" t="str">
        <f t="shared" si="83"/>
        <v/>
      </c>
    </row>
    <row r="88" spans="1:53" x14ac:dyDescent="0.2">
      <c r="A88" t="str">
        <f>INDEX(Prioritization!$D:$D,MATCH($B88,Prioritization!$A:$A,0))</f>
        <v>INVALID</v>
      </c>
      <c r="B88" t="s">
        <v>207</v>
      </c>
      <c r="C88" t="s">
        <v>366</v>
      </c>
      <c r="D88" t="s">
        <v>29</v>
      </c>
      <c r="E88" t="str">
        <f t="shared" si="56"/>
        <v>Nkhata Bay District [E7zpfyBt7Tw]|35-49|Female</v>
      </c>
      <c r="F88" s="14">
        <f>IF(LEFT($B88,4)="_Mil","",INDEX(Cascade!$T:$T,MATCH($E88,Cascade!$E:$E,0)))</f>
        <v>1315</v>
      </c>
      <c r="G88" s="14" t="str">
        <f>IF(LEFT($B88,4)="_Mil","",INDEX(Cascade!$U:$U,MATCH($E88,Cascade!$E:$E,0)))</f>
        <v/>
      </c>
      <c r="H88" s="88">
        <f>IF(LEFT($B88,4)="_Mil","",INDEX(Cascade!$W:$W,MATCH($E88,Cascade!$E:$E,0)))</f>
        <v>811</v>
      </c>
      <c r="I88" s="14">
        <f>IF(LEFT($B88,4)="_Mil","",INDEX(Cascade!$Z:$Z,MATCH($E88,Cascade!$E:$E,0)))</f>
        <v>1275</v>
      </c>
      <c r="J88" s="90">
        <f>IF(LEFT($B88,4)="_Mil","",INDEX(Cascade!$AA:$AA,MATCH($E88,Cascade!$E:$E,0)))</f>
        <v>665</v>
      </c>
      <c r="K88" s="42">
        <f>IF(LEFT($B88,4)="_Mil","",_xlfn.IFNA(ROUND(INDEX(Spectrum!$N:$N,MATCH(RIGHT($B88,13)&amp;"|"&amp;$C88&amp;"|"&amp;$D88&amp;"|"&amp;K$14&amp;"|"&amp;"CY2023Q3",Spectrum!$R:$R,0)),0),""))</f>
        <v>1592</v>
      </c>
      <c r="L88" s="42" t="str">
        <f>IF(LEFT($B88,4)="_Mil","",_xlfn.IFNA(ROUND(INDEX(Spectrum!$N:$N,MATCH(RIGHT($B88,13)&amp;"|"&amp;$C88&amp;"|"&amp;$D88&amp;"|"&amp;L$14&amp;"|"&amp;"CY2023Q3",Spectrum!$R:$R,0)),0),""))</f>
        <v/>
      </c>
      <c r="M88" s="42">
        <f>IF(LEFT($B88,4)="_Mil","",_xlfn.IFNA(ROUND(INDEX(Spectrum!$N:$N,MATCH(RIGHT($B88,13)&amp;"|"&amp;$C88&amp;"|"&amp;$D88&amp;"|"&amp;M$14&amp;"|"&amp;"CY2023Q3",Spectrum!$R:$R,0)),0),""))</f>
        <v>1745</v>
      </c>
      <c r="N88" s="42">
        <f>IF(LEFT($B88,4)="_Mil","",_xlfn.IFNA(ROUND(INDEX(Spectrum!$N:$N,MATCH(RIGHT($B88,13)&amp;"|"&amp;$C88&amp;"|"&amp;$D88&amp;"|"&amp;N$14&amp;"|"&amp;"CY2023Q3",Spectrum!$R:$R,0)),0),""))</f>
        <v>1520</v>
      </c>
      <c r="O88" s="42">
        <f>IF(LEFT($B88,4)="_Mil","",_xlfn.IFNA(ROUND(INDEX(Spectrum!$N:$N,MATCH(RIGHT($B88,13)&amp;"|"&amp;$C88&amp;"|"&amp;$D88&amp;"|"&amp;O$14&amp;"|"&amp;"CY2023Q3",Spectrum!$R:$R,0)),0),""))</f>
        <v>1807</v>
      </c>
      <c r="P88" s="42">
        <f>IF(LEFT($B88,4)="_Mil","",_xlfn.IFNA(ROUND(INDEX(Spectrum!$N:$N,MATCH(RIGHT($B88,13)&amp;"|"&amp;$C88&amp;"|"&amp;$D88&amp;"|"&amp;P$14&amp;"|"&amp;"CY2023Q3",Spectrum!$R:$R,0)),0),""))</f>
        <v>1462</v>
      </c>
      <c r="Q88" s="42" t="str">
        <f>IF(LEFT($B88,4)="_Mil","",_xlfn.IFNA(ROUND(INDEX(Spectrum!$N:$N,MATCH(RIGHT($B88,13)&amp;"|"&amp;$C88&amp;"|"&amp;$D88&amp;"|"&amp;Q$14&amp;"|"&amp;"CY2022Q3",Spectrum!$R:$R,0)),0),""))</f>
        <v/>
      </c>
      <c r="R88" s="14"/>
      <c r="S88" s="90">
        <f>0</f>
        <v>0</v>
      </c>
      <c r="T88" s="42" t="str">
        <f t="shared" si="57"/>
        <v/>
      </c>
      <c r="U88" s="90">
        <f t="shared" si="58"/>
        <v>0</v>
      </c>
      <c r="V88" s="42" t="str">
        <f t="shared" si="59"/>
        <v/>
      </c>
      <c r="W88" s="90"/>
      <c r="X88" s="90">
        <f t="shared" si="60"/>
        <v>0</v>
      </c>
      <c r="Y88" s="90"/>
      <c r="Z88" s="90">
        <f t="shared" si="61"/>
        <v>0</v>
      </c>
      <c r="AA88" s="14" t="str">
        <f t="shared" si="62"/>
        <v/>
      </c>
      <c r="AB88" s="42" t="str">
        <f t="shared" si="63"/>
        <v/>
      </c>
      <c r="AC88" s="42" t="str">
        <f t="shared" si="64"/>
        <v/>
      </c>
      <c r="AD88" s="42" t="str">
        <f t="shared" si="65"/>
        <v/>
      </c>
      <c r="AE88" s="14" t="str">
        <f t="shared" si="66"/>
        <v/>
      </c>
      <c r="AF88" s="42" t="str">
        <f t="shared" si="67"/>
        <v/>
      </c>
      <c r="AG88" s="42" t="str">
        <f t="shared" si="68"/>
        <v/>
      </c>
      <c r="AH88" s="42" t="str">
        <f t="shared" si="69"/>
        <v/>
      </c>
      <c r="AI88" s="90" t="str">
        <f>IF(SUM($AC88)=0,"",INDEX(Cascade!$BG:$BG,MATCH($E88,Cascade!$E:$E,0)))</f>
        <v/>
      </c>
      <c r="AJ88" s="42" t="str">
        <f t="shared" si="70"/>
        <v/>
      </c>
      <c r="AK88" s="42" t="str">
        <f t="shared" si="71"/>
        <v/>
      </c>
      <c r="AL88" s="42" t="str">
        <f t="shared" si="72"/>
        <v/>
      </c>
      <c r="AM88" s="42" t="str">
        <f t="shared" si="73"/>
        <v/>
      </c>
      <c r="AN88" s="42" t="str">
        <f t="shared" si="74"/>
        <v/>
      </c>
      <c r="AO88" s="14" t="str">
        <f t="shared" si="75"/>
        <v/>
      </c>
      <c r="AP88" s="90"/>
      <c r="AQ88" s="90" t="str">
        <f t="shared" si="76"/>
        <v/>
      </c>
      <c r="AR88" s="90" t="str">
        <f>IF(SUM($AO88)=0,"",INDEX(Cascade!$BG:$BG,MATCH($E88,Cascade!$E:$E,0)))</f>
        <v/>
      </c>
      <c r="AS88" s="42" t="str">
        <f t="shared" si="77"/>
        <v/>
      </c>
      <c r="AT88" s="42" t="str">
        <f t="shared" si="78"/>
        <v/>
      </c>
      <c r="AU88" s="14" t="str">
        <f t="shared" si="79"/>
        <v/>
      </c>
      <c r="AV88" s="14" t="str">
        <f t="shared" si="80"/>
        <v/>
      </c>
      <c r="AW88" s="14" t="str">
        <f>IFERROR(1/(1/INDEX(Cascade!$BH:$BH,MATCH($E88,Cascade!$E:$E,0))),"")</f>
        <v/>
      </c>
      <c r="AX88" s="14" t="str">
        <f t="shared" si="81"/>
        <v/>
      </c>
      <c r="AY88" s="14" t="str">
        <f t="shared" si="82"/>
        <v/>
      </c>
      <c r="AZ88" s="14" t="str">
        <f>IFERROR(1/(1/INDEX(TB!$P:$P,MATCH($E88,TB!$E:$E,0))),"")</f>
        <v/>
      </c>
      <c r="BA88" s="14" t="str">
        <f t="shared" si="83"/>
        <v/>
      </c>
    </row>
    <row r="89" spans="1:53" x14ac:dyDescent="0.2">
      <c r="A89" t="str">
        <f>INDEX(Prioritization!$D:$D,MATCH($B89,Prioritization!$A:$A,0))</f>
        <v>INVALID</v>
      </c>
      <c r="B89" t="s">
        <v>207</v>
      </c>
      <c r="C89" t="s">
        <v>367</v>
      </c>
      <c r="D89" t="s">
        <v>29</v>
      </c>
      <c r="E89" t="str">
        <f t="shared" si="56"/>
        <v>Nkhata Bay District [E7zpfyBt7Tw]|50+|Female</v>
      </c>
      <c r="F89" s="14">
        <f>IF(LEFT($B89,4)="_Mil","",INDEX(Cascade!$T:$T,MATCH($E89,Cascade!$E:$E,0)))</f>
        <v>1406</v>
      </c>
      <c r="G89" s="14" t="str">
        <f>IF(LEFT($B89,4)="_Mil","",INDEX(Cascade!$U:$U,MATCH($E89,Cascade!$E:$E,0)))</f>
        <v/>
      </c>
      <c r="H89" s="88">
        <f>IF(LEFT($B89,4)="_Mil","",INDEX(Cascade!$W:$W,MATCH($E89,Cascade!$E:$E,0)))</f>
        <v>1237</v>
      </c>
      <c r="I89" s="14">
        <f>IF(LEFT($B89,4)="_Mil","",INDEX(Cascade!$Z:$Z,MATCH($E89,Cascade!$E:$E,0)))</f>
        <v>591</v>
      </c>
      <c r="J89" s="90">
        <f>IF(LEFT($B89,4)="_Mil","",INDEX(Cascade!$AA:$AA,MATCH($E89,Cascade!$E:$E,0)))</f>
        <v>1563.9999999999998</v>
      </c>
      <c r="K89" s="42" t="str">
        <f>IF(LEFT($B89,4)="_Mil","",_xlfn.IFNA(ROUND(INDEX(Spectrum!$N:$N,MATCH(RIGHT($B89,13)&amp;"|"&amp;$C89&amp;"|"&amp;$D89&amp;"|"&amp;K$14&amp;"|"&amp;"CY2023Q3",Spectrum!$R:$R,0)),0),""))</f>
        <v/>
      </c>
      <c r="L89" s="42" t="str">
        <f>IF(LEFT($B89,4)="_Mil","",_xlfn.IFNA(ROUND(INDEX(Spectrum!$N:$N,MATCH(RIGHT($B89,13)&amp;"|"&amp;$C89&amp;"|"&amp;$D89&amp;"|"&amp;L$14&amp;"|"&amp;"CY2023Q3",Spectrum!$R:$R,0)),0),""))</f>
        <v/>
      </c>
      <c r="M89" s="42" t="str">
        <f>IF(LEFT($B89,4)="_Mil","",_xlfn.IFNA(ROUND(INDEX(Spectrum!$N:$N,MATCH(RIGHT($B89,13)&amp;"|"&amp;$C89&amp;"|"&amp;$D89&amp;"|"&amp;M$14&amp;"|"&amp;"CY2023Q3",Spectrum!$R:$R,0)),0),""))</f>
        <v/>
      </c>
      <c r="N89" s="42" t="str">
        <f>IF(LEFT($B89,4)="_Mil","",_xlfn.IFNA(ROUND(INDEX(Spectrum!$N:$N,MATCH(RIGHT($B89,13)&amp;"|"&amp;$C89&amp;"|"&amp;$D89&amp;"|"&amp;N$14&amp;"|"&amp;"CY2023Q3",Spectrum!$R:$R,0)),0),""))</f>
        <v/>
      </c>
      <c r="O89" s="42" t="str">
        <f>IF(LEFT($B89,4)="_Mil","",_xlfn.IFNA(ROUND(INDEX(Spectrum!$N:$N,MATCH(RIGHT($B89,13)&amp;"|"&amp;$C89&amp;"|"&amp;$D89&amp;"|"&amp;O$14&amp;"|"&amp;"CY2023Q3",Spectrum!$R:$R,0)),0),""))</f>
        <v/>
      </c>
      <c r="P89" s="42" t="str">
        <f>IF(LEFT($B89,4)="_Mil","",_xlfn.IFNA(ROUND(INDEX(Spectrum!$N:$N,MATCH(RIGHT($B89,13)&amp;"|"&amp;$C89&amp;"|"&amp;$D89&amp;"|"&amp;P$14&amp;"|"&amp;"CY2023Q3",Spectrum!$R:$R,0)),0),""))</f>
        <v/>
      </c>
      <c r="Q89" s="42" t="str">
        <f>IF(LEFT($B89,4)="_Mil","",_xlfn.IFNA(ROUND(INDEX(Spectrum!$N:$N,MATCH(RIGHT($B89,13)&amp;"|"&amp;$C89&amp;"|"&amp;$D89&amp;"|"&amp;Q$14&amp;"|"&amp;"CY2022Q3",Spectrum!$R:$R,0)),0),""))</f>
        <v/>
      </c>
      <c r="R89" s="14"/>
      <c r="S89" s="90">
        <f>0</f>
        <v>0</v>
      </c>
      <c r="T89" s="42" t="str">
        <f t="shared" si="57"/>
        <v/>
      </c>
      <c r="U89" s="90" t="str">
        <f t="shared" si="58"/>
        <v/>
      </c>
      <c r="V89" s="42" t="str">
        <f t="shared" si="59"/>
        <v/>
      </c>
      <c r="W89" s="90"/>
      <c r="X89" s="90" t="str">
        <f t="shared" si="60"/>
        <v/>
      </c>
      <c r="Y89" s="90"/>
      <c r="Z89" s="90" t="str">
        <f t="shared" si="61"/>
        <v/>
      </c>
      <c r="AA89" s="14" t="str">
        <f t="shared" si="62"/>
        <v/>
      </c>
      <c r="AB89" s="42" t="str">
        <f t="shared" si="63"/>
        <v/>
      </c>
      <c r="AC89" s="42" t="str">
        <f t="shared" si="64"/>
        <v/>
      </c>
      <c r="AD89" s="42" t="str">
        <f t="shared" si="65"/>
        <v/>
      </c>
      <c r="AE89" s="14" t="str">
        <f t="shared" si="66"/>
        <v/>
      </c>
      <c r="AF89" s="42" t="str">
        <f t="shared" si="67"/>
        <v/>
      </c>
      <c r="AG89" s="42" t="str">
        <f t="shared" si="68"/>
        <v/>
      </c>
      <c r="AH89" s="42" t="str">
        <f t="shared" si="69"/>
        <v/>
      </c>
      <c r="AI89" s="90" t="str">
        <f>IF(SUM($AC89)=0,"",INDEX(Cascade!$BG:$BG,MATCH($E89,Cascade!$E:$E,0)))</f>
        <v/>
      </c>
      <c r="AJ89" s="42" t="str">
        <f t="shared" si="70"/>
        <v/>
      </c>
      <c r="AK89" s="42" t="str">
        <f t="shared" si="71"/>
        <v/>
      </c>
      <c r="AL89" s="42" t="str">
        <f t="shared" si="72"/>
        <v/>
      </c>
      <c r="AM89" s="42" t="str">
        <f t="shared" si="73"/>
        <v/>
      </c>
      <c r="AN89" s="42" t="str">
        <f t="shared" si="74"/>
        <v/>
      </c>
      <c r="AO89" s="14" t="str">
        <f t="shared" si="75"/>
        <v/>
      </c>
      <c r="AP89" s="90"/>
      <c r="AQ89" s="90" t="str">
        <f t="shared" si="76"/>
        <v/>
      </c>
      <c r="AR89" s="90" t="str">
        <f>IF(SUM($AO89)=0,"",INDEX(Cascade!$BG:$BG,MATCH($E89,Cascade!$E:$E,0)))</f>
        <v/>
      </c>
      <c r="AS89" s="42" t="str">
        <f t="shared" si="77"/>
        <v/>
      </c>
      <c r="AT89" s="42" t="str">
        <f t="shared" si="78"/>
        <v/>
      </c>
      <c r="AU89" s="14" t="str">
        <f t="shared" si="79"/>
        <v/>
      </c>
      <c r="AV89" s="14" t="str">
        <f t="shared" si="80"/>
        <v/>
      </c>
      <c r="AW89" s="14" t="str">
        <f>IFERROR(1/(1/INDEX(Cascade!$BH:$BH,MATCH($E89,Cascade!$E:$E,0))),"")</f>
        <v/>
      </c>
      <c r="AX89" s="14" t="str">
        <f t="shared" si="81"/>
        <v/>
      </c>
      <c r="AY89" s="14" t="str">
        <f t="shared" si="82"/>
        <v/>
      </c>
      <c r="AZ89" s="14" t="str">
        <f>IFERROR(1/(1/INDEX(TB!$P:$P,MATCH($E89,TB!$E:$E,0))),"")</f>
        <v/>
      </c>
      <c r="BA89" s="14" t="str">
        <f t="shared" si="83"/>
        <v/>
      </c>
    </row>
    <row r="90" spans="1:53" x14ac:dyDescent="0.2">
      <c r="A90" t="str">
        <f>INDEX(Prioritization!$D:$D,MATCH($B90,Prioritization!$A:$A,0))</f>
        <v>INVALID</v>
      </c>
      <c r="B90" t="s">
        <v>208</v>
      </c>
      <c r="C90" t="s">
        <v>363</v>
      </c>
      <c r="D90" t="s">
        <v>29</v>
      </c>
      <c r="E90" t="str">
        <f t="shared" si="56"/>
        <v>Rumphi District [lPTyjLi4w3d]|10-14|Female</v>
      </c>
      <c r="F90" s="14">
        <f>IF(LEFT($B90,4)="_Mil","",INDEX(Cascade!$T:$T,MATCH($E90,Cascade!$E:$E,0)))</f>
        <v>767</v>
      </c>
      <c r="G90" s="14" t="str">
        <f>IF(LEFT($B90,4)="_Mil","",INDEX(Cascade!$U:$U,MATCH($E90,Cascade!$E:$E,0)))</f>
        <v/>
      </c>
      <c r="H90" s="88">
        <f>IF(LEFT($B90,4)="_Mil","",INDEX(Cascade!$W:$W,MATCH($E90,Cascade!$E:$E,0)))</f>
        <v>1983</v>
      </c>
      <c r="I90" s="14">
        <f>IF(LEFT($B90,4)="_Mil","",INDEX(Cascade!$Z:$Z,MATCH($E90,Cascade!$E:$E,0)))</f>
        <v>546</v>
      </c>
      <c r="J90" s="90">
        <f>IF(LEFT($B90,4)="_Mil","",INDEX(Cascade!$AA:$AA,MATCH($E90,Cascade!$E:$E,0)))</f>
        <v>1448</v>
      </c>
      <c r="K90" s="42" t="str">
        <f>IF(LEFT($B90,4)="_Mil","",_xlfn.IFNA(ROUND(INDEX(Spectrum!$N:$N,MATCH(RIGHT($B90,13)&amp;"|"&amp;$C90&amp;"|"&amp;$D90&amp;"|"&amp;K$14&amp;"|"&amp;"CY2023Q3",Spectrum!$R:$R,0)),0),""))</f>
        <v/>
      </c>
      <c r="L90" s="42" t="str">
        <f>IF(LEFT($B90,4)="_Mil","",_xlfn.IFNA(ROUND(INDEX(Spectrum!$N:$N,MATCH(RIGHT($B90,13)&amp;"|"&amp;$C90&amp;"|"&amp;$D90&amp;"|"&amp;L$14&amp;"|"&amp;"CY2023Q3",Spectrum!$R:$R,0)),0),""))</f>
        <v/>
      </c>
      <c r="M90" s="42" t="str">
        <f>IF(LEFT($B90,4)="_Mil","",_xlfn.IFNA(ROUND(INDEX(Spectrum!$N:$N,MATCH(RIGHT($B90,13)&amp;"|"&amp;$C90&amp;"|"&amp;$D90&amp;"|"&amp;M$14&amp;"|"&amp;"CY2023Q3",Spectrum!$R:$R,0)),0),""))</f>
        <v/>
      </c>
      <c r="N90" s="42" t="str">
        <f>IF(LEFT($B90,4)="_Mil","",_xlfn.IFNA(ROUND(INDEX(Spectrum!$N:$N,MATCH(RIGHT($B90,13)&amp;"|"&amp;$C90&amp;"|"&amp;$D90&amp;"|"&amp;N$14&amp;"|"&amp;"CY2023Q3",Spectrum!$R:$R,0)),0),""))</f>
        <v/>
      </c>
      <c r="O90" s="42" t="str">
        <f>IF(LEFT($B90,4)="_Mil","",_xlfn.IFNA(ROUND(INDEX(Spectrum!$N:$N,MATCH(RIGHT($B90,13)&amp;"|"&amp;$C90&amp;"|"&amp;$D90&amp;"|"&amp;O$14&amp;"|"&amp;"CY2023Q3",Spectrum!$R:$R,0)),0),""))</f>
        <v/>
      </c>
      <c r="P90" s="42" t="str">
        <f>IF(LEFT($B90,4)="_Mil","",_xlfn.IFNA(ROUND(INDEX(Spectrum!$N:$N,MATCH(RIGHT($B90,13)&amp;"|"&amp;$C90&amp;"|"&amp;$D90&amp;"|"&amp;P$14&amp;"|"&amp;"CY2023Q3",Spectrum!$R:$R,0)),0),""))</f>
        <v/>
      </c>
      <c r="Q90" s="42" t="str">
        <f>IF(LEFT($B90,4)="_Mil","",_xlfn.IFNA(ROUND(INDEX(Spectrum!$N:$N,MATCH(RIGHT($B90,13)&amp;"|"&amp;$C90&amp;"|"&amp;$D90&amp;"|"&amp;Q$14&amp;"|"&amp;"CY2022Q3",Spectrum!$R:$R,0)),0),""))</f>
        <v/>
      </c>
      <c r="R90" s="14">
        <v>9</v>
      </c>
      <c r="S90" s="90">
        <f>0</f>
        <v>0</v>
      </c>
      <c r="T90" s="42">
        <f t="shared" si="57"/>
        <v>9</v>
      </c>
      <c r="U90" s="90">
        <f t="shared" si="58"/>
        <v>1</v>
      </c>
      <c r="V90" s="42">
        <f t="shared" si="59"/>
        <v>9</v>
      </c>
      <c r="W90" s="90"/>
      <c r="X90" s="90" t="str">
        <f t="shared" si="60"/>
        <v/>
      </c>
      <c r="Y90" s="90"/>
      <c r="Z90" s="90" t="str">
        <f t="shared" si="61"/>
        <v/>
      </c>
      <c r="AA90" s="14">
        <f t="shared" si="62"/>
        <v>9</v>
      </c>
      <c r="AB90" s="42" t="str">
        <f t="shared" si="63"/>
        <v>ENTER KNOWN POSITIVITY RATE</v>
      </c>
      <c r="AC90" s="42" t="str">
        <f t="shared" si="64"/>
        <v>ENTER YIELD RATE</v>
      </c>
      <c r="AD90" s="42">
        <f t="shared" si="65"/>
        <v>9</v>
      </c>
      <c r="AE90" s="14">
        <f t="shared" si="66"/>
        <v>9</v>
      </c>
      <c r="AF90" s="42">
        <f t="shared" si="67"/>
        <v>0</v>
      </c>
      <c r="AG90" s="42">
        <f t="shared" si="68"/>
        <v>0</v>
      </c>
      <c r="AH90" s="42">
        <f t="shared" si="69"/>
        <v>9</v>
      </c>
      <c r="AI90" s="90" t="str">
        <f>IF(SUM($AC90)=0,"",INDEX(Cascade!$BG:$BG,MATCH($E90,Cascade!$E:$E,0)))</f>
        <v/>
      </c>
      <c r="AJ90" s="42" t="str">
        <f t="shared" si="70"/>
        <v>ENTER KNOWN POSITIVITY RATE</v>
      </c>
      <c r="AK90" s="42" t="str">
        <f t="shared" si="71"/>
        <v/>
      </c>
      <c r="AL90" s="42" t="str">
        <f t="shared" si="72"/>
        <v/>
      </c>
      <c r="AM90" s="42">
        <f t="shared" si="73"/>
        <v>0</v>
      </c>
      <c r="AN90" s="42" t="str">
        <f t="shared" si="74"/>
        <v/>
      </c>
      <c r="AO90" s="14">
        <f t="shared" si="75"/>
        <v>9</v>
      </c>
      <c r="AP90" s="90"/>
      <c r="AQ90" s="90" t="str">
        <f t="shared" si="76"/>
        <v/>
      </c>
      <c r="AR90" s="90">
        <f>IF(SUM($AO90)=0,"",INDEX(Cascade!$BG:$BG,MATCH($E90,Cascade!$E:$E,0)))</f>
        <v>0.95</v>
      </c>
      <c r="AS90" s="42" t="str">
        <f t="shared" si="77"/>
        <v>ENTER YIELD RATE</v>
      </c>
      <c r="AT90" s="42">
        <f t="shared" si="78"/>
        <v>9</v>
      </c>
      <c r="AU90" s="14" t="str">
        <f t="shared" si="79"/>
        <v/>
      </c>
      <c r="AV90" s="14" t="str">
        <f t="shared" si="80"/>
        <v/>
      </c>
      <c r="AW90" s="14">
        <f>IFERROR(1/(1/INDEX(Cascade!$BH:$BH,MATCH($E90,Cascade!$E:$E,0))),"")</f>
        <v>-63</v>
      </c>
      <c r="AX90" s="14" t="str">
        <f t="shared" si="81"/>
        <v/>
      </c>
      <c r="AY90" s="14" t="str">
        <f t="shared" si="82"/>
        <v/>
      </c>
      <c r="AZ90" s="14" t="str">
        <f>IFERROR(1/(1/INDEX(TB!$P:$P,MATCH($E90,TB!$E:$E,0))),"")</f>
        <v/>
      </c>
      <c r="BA90" s="14">
        <f t="shared" si="83"/>
        <v>-63</v>
      </c>
    </row>
    <row r="91" spans="1:53" x14ac:dyDescent="0.2">
      <c r="A91" t="str">
        <f>INDEX(Prioritization!$D:$D,MATCH($B91,Prioritization!$A:$A,0))</f>
        <v>INVALID</v>
      </c>
      <c r="B91" t="s">
        <v>208</v>
      </c>
      <c r="C91" t="s">
        <v>364</v>
      </c>
      <c r="D91" t="s">
        <v>29</v>
      </c>
      <c r="E91" t="str">
        <f t="shared" si="56"/>
        <v>Rumphi District [lPTyjLi4w3d]|15-24|Female</v>
      </c>
      <c r="F91" s="14">
        <f>IF(LEFT($B91,4)="_Mil","",INDEX(Cascade!$T:$T,MATCH($E91,Cascade!$E:$E,0)))</f>
        <v>896</v>
      </c>
      <c r="G91" s="14" t="str">
        <f>IF(LEFT($B91,4)="_Mil","",INDEX(Cascade!$U:$U,MATCH($E91,Cascade!$E:$E,0)))</f>
        <v/>
      </c>
      <c r="H91" s="88">
        <f>IF(LEFT($B91,4)="_Mil","",INDEX(Cascade!$W:$W,MATCH($E91,Cascade!$E:$E,0)))</f>
        <v>647</v>
      </c>
      <c r="I91" s="14">
        <f>IF(LEFT($B91,4)="_Mil","",INDEX(Cascade!$Z:$Z,MATCH($E91,Cascade!$E:$E,0)))</f>
        <v>1189</v>
      </c>
      <c r="J91" s="90">
        <f>IF(LEFT($B91,4)="_Mil","",INDEX(Cascade!$AA:$AA,MATCH($E91,Cascade!$E:$E,0)))</f>
        <v>1175</v>
      </c>
      <c r="K91" s="42">
        <f>IF(LEFT($B91,4)="_Mil","",_xlfn.IFNA(ROUND(INDEX(Spectrum!$N:$N,MATCH(RIGHT($B91,13)&amp;"|"&amp;$C91&amp;"|"&amp;$D91&amp;"|"&amp;K$14&amp;"|"&amp;"CY2023Q3",Spectrum!$R:$R,0)),0),""))</f>
        <v>1027</v>
      </c>
      <c r="L91" s="42" t="str">
        <f>IF(LEFT($B91,4)="_Mil","",_xlfn.IFNA(ROUND(INDEX(Spectrum!$N:$N,MATCH(RIGHT($B91,13)&amp;"|"&amp;$C91&amp;"|"&amp;$D91&amp;"|"&amp;L$14&amp;"|"&amp;"CY2023Q3",Spectrum!$R:$R,0)),0),""))</f>
        <v/>
      </c>
      <c r="M91" s="42">
        <f>IF(LEFT($B91,4)="_Mil","",_xlfn.IFNA(ROUND(INDEX(Spectrum!$N:$N,MATCH(RIGHT($B91,13)&amp;"|"&amp;$C91&amp;"|"&amp;$D91&amp;"|"&amp;M$14&amp;"|"&amp;"CY2023Q3",Spectrum!$R:$R,0)),0),""))</f>
        <v>1729</v>
      </c>
      <c r="N91" s="42">
        <f>IF(LEFT($B91,4)="_Mil","",_xlfn.IFNA(ROUND(INDEX(Spectrum!$N:$N,MATCH(RIGHT($B91,13)&amp;"|"&amp;$C91&amp;"|"&amp;$D91&amp;"|"&amp;N$14&amp;"|"&amp;"CY2023Q3",Spectrum!$R:$R,0)),0),""))</f>
        <v>1797</v>
      </c>
      <c r="O91" s="42">
        <f>IF(LEFT($B91,4)="_Mil","",_xlfn.IFNA(ROUND(INDEX(Spectrum!$N:$N,MATCH(RIGHT($B91,13)&amp;"|"&amp;$C91&amp;"|"&amp;$D91&amp;"|"&amp;O$14&amp;"|"&amp;"CY2023Q3",Spectrum!$R:$R,0)),0),""))</f>
        <v>1459</v>
      </c>
      <c r="P91" s="42">
        <f>IF(LEFT($B91,4)="_Mil","",_xlfn.IFNA(ROUND(INDEX(Spectrum!$N:$N,MATCH(RIGHT($B91,13)&amp;"|"&amp;$C91&amp;"|"&amp;$D91&amp;"|"&amp;P$14&amp;"|"&amp;"CY2023Q3",Spectrum!$R:$R,0)),0),""))</f>
        <v>1553</v>
      </c>
      <c r="Q91" s="42" t="str">
        <f>IF(LEFT($B91,4)="_Mil","",_xlfn.IFNA(ROUND(INDEX(Spectrum!$N:$N,MATCH(RIGHT($B91,13)&amp;"|"&amp;$C91&amp;"|"&amp;$D91&amp;"|"&amp;Q$14&amp;"|"&amp;"CY2022Q3",Spectrum!$R:$R,0)),0),""))</f>
        <v/>
      </c>
      <c r="R91" s="14"/>
      <c r="S91" s="90">
        <f>0</f>
        <v>0</v>
      </c>
      <c r="T91" s="42" t="str">
        <f t="shared" si="57"/>
        <v/>
      </c>
      <c r="U91" s="90">
        <f t="shared" si="58"/>
        <v>0</v>
      </c>
      <c r="V91" s="42" t="str">
        <f t="shared" si="59"/>
        <v/>
      </c>
      <c r="W91" s="90"/>
      <c r="X91" s="90">
        <f t="shared" si="60"/>
        <v>0</v>
      </c>
      <c r="Y91" s="90"/>
      <c r="Z91" s="90">
        <f t="shared" si="61"/>
        <v>0</v>
      </c>
      <c r="AA91" s="14" t="str">
        <f t="shared" si="62"/>
        <v/>
      </c>
      <c r="AB91" s="42" t="str">
        <f t="shared" si="63"/>
        <v/>
      </c>
      <c r="AC91" s="42" t="str">
        <f t="shared" si="64"/>
        <v/>
      </c>
      <c r="AD91" s="42" t="str">
        <f t="shared" si="65"/>
        <v/>
      </c>
      <c r="AE91" s="14" t="str">
        <f t="shared" si="66"/>
        <v/>
      </c>
      <c r="AF91" s="42" t="str">
        <f t="shared" si="67"/>
        <v/>
      </c>
      <c r="AG91" s="42" t="str">
        <f t="shared" si="68"/>
        <v/>
      </c>
      <c r="AH91" s="42" t="str">
        <f t="shared" si="69"/>
        <v/>
      </c>
      <c r="AI91" s="90" t="str">
        <f>IF(SUM($AC91)=0,"",INDEX(Cascade!$BG:$BG,MATCH($E91,Cascade!$E:$E,0)))</f>
        <v/>
      </c>
      <c r="AJ91" s="42" t="str">
        <f t="shared" si="70"/>
        <v/>
      </c>
      <c r="AK91" s="42" t="str">
        <f t="shared" si="71"/>
        <v/>
      </c>
      <c r="AL91" s="42" t="str">
        <f t="shared" si="72"/>
        <v/>
      </c>
      <c r="AM91" s="42" t="str">
        <f t="shared" si="73"/>
        <v/>
      </c>
      <c r="AN91" s="42" t="str">
        <f t="shared" si="74"/>
        <v/>
      </c>
      <c r="AO91" s="14" t="str">
        <f t="shared" si="75"/>
        <v/>
      </c>
      <c r="AP91" s="90"/>
      <c r="AQ91" s="90" t="str">
        <f t="shared" si="76"/>
        <v/>
      </c>
      <c r="AR91" s="90" t="str">
        <f>IF(SUM($AO91)=0,"",INDEX(Cascade!$BG:$BG,MATCH($E91,Cascade!$E:$E,0)))</f>
        <v/>
      </c>
      <c r="AS91" s="42" t="str">
        <f t="shared" si="77"/>
        <v/>
      </c>
      <c r="AT91" s="42" t="str">
        <f t="shared" si="78"/>
        <v/>
      </c>
      <c r="AU91" s="14" t="str">
        <f t="shared" si="79"/>
        <v/>
      </c>
      <c r="AV91" s="14" t="str">
        <f t="shared" si="80"/>
        <v/>
      </c>
      <c r="AW91" s="14" t="str">
        <f>IFERROR(1/(1/INDEX(Cascade!$BH:$BH,MATCH($E91,Cascade!$E:$E,0))),"")</f>
        <v/>
      </c>
      <c r="AX91" s="14" t="str">
        <f t="shared" si="81"/>
        <v/>
      </c>
      <c r="AY91" s="14" t="str">
        <f t="shared" si="82"/>
        <v/>
      </c>
      <c r="AZ91" s="14" t="str">
        <f>IFERROR(1/(1/INDEX(TB!$P:$P,MATCH($E91,TB!$E:$E,0))),"")</f>
        <v/>
      </c>
      <c r="BA91" s="14" t="str">
        <f t="shared" si="83"/>
        <v/>
      </c>
    </row>
    <row r="92" spans="1:53" x14ac:dyDescent="0.2">
      <c r="A92" t="str">
        <f>INDEX(Prioritization!$D:$D,MATCH($B92,Prioritization!$A:$A,0))</f>
        <v>INVALID</v>
      </c>
      <c r="B92" t="s">
        <v>208</v>
      </c>
      <c r="C92" t="s">
        <v>365</v>
      </c>
      <c r="D92" t="s">
        <v>29</v>
      </c>
      <c r="E92" t="str">
        <f t="shared" si="56"/>
        <v>Rumphi District [lPTyjLi4w3d]|25-34|Female</v>
      </c>
      <c r="F92" s="14">
        <f>IF(LEFT($B92,4)="_Mil","",INDEX(Cascade!$T:$T,MATCH($E92,Cascade!$E:$E,0)))</f>
        <v>1885</v>
      </c>
      <c r="G92" s="14" t="str">
        <f>IF(LEFT($B92,4)="_Mil","",INDEX(Cascade!$U:$U,MATCH($E92,Cascade!$E:$E,0)))</f>
        <v/>
      </c>
      <c r="H92" s="88">
        <f>IF(LEFT($B92,4)="_Mil","",INDEX(Cascade!$W:$W,MATCH($E92,Cascade!$E:$E,0)))</f>
        <v>986</v>
      </c>
      <c r="I92" s="14">
        <f>IF(LEFT($B92,4)="_Mil","",INDEX(Cascade!$Z:$Z,MATCH($E92,Cascade!$E:$E,0)))</f>
        <v>1882</v>
      </c>
      <c r="J92" s="90">
        <f>IF(LEFT($B92,4)="_Mil","",INDEX(Cascade!$AA:$AA,MATCH($E92,Cascade!$E:$E,0)))</f>
        <v>1520</v>
      </c>
      <c r="K92" s="42">
        <f>IF(LEFT($B92,4)="_Mil","",_xlfn.IFNA(ROUND(INDEX(Spectrum!$N:$N,MATCH(RIGHT($B92,13)&amp;"|"&amp;$C92&amp;"|"&amp;$D92&amp;"|"&amp;K$14&amp;"|"&amp;"CY2023Q3",Spectrum!$R:$R,0)),0),""))</f>
        <v>768</v>
      </c>
      <c r="L92" s="42" t="str">
        <f>IF(LEFT($B92,4)="_Mil","",_xlfn.IFNA(ROUND(INDEX(Spectrum!$N:$N,MATCH(RIGHT($B92,13)&amp;"|"&amp;$C92&amp;"|"&amp;$D92&amp;"|"&amp;L$14&amp;"|"&amp;"CY2023Q3",Spectrum!$R:$R,0)),0),""))</f>
        <v/>
      </c>
      <c r="M92" s="42">
        <f>IF(LEFT($B92,4)="_Mil","",_xlfn.IFNA(ROUND(INDEX(Spectrum!$N:$N,MATCH(RIGHT($B92,13)&amp;"|"&amp;$C92&amp;"|"&amp;$D92&amp;"|"&amp;M$14&amp;"|"&amp;"CY2023Q3",Spectrum!$R:$R,0)),0),""))</f>
        <v>1780</v>
      </c>
      <c r="N92" s="42">
        <f>IF(LEFT($B92,4)="_Mil","",_xlfn.IFNA(ROUND(INDEX(Spectrum!$N:$N,MATCH(RIGHT($B92,13)&amp;"|"&amp;$C92&amp;"|"&amp;$D92&amp;"|"&amp;N$14&amp;"|"&amp;"CY2023Q3",Spectrum!$R:$R,0)),0),""))</f>
        <v>1047</v>
      </c>
      <c r="O92" s="42">
        <f>IF(LEFT($B92,4)="_Mil","",_xlfn.IFNA(ROUND(INDEX(Spectrum!$N:$N,MATCH(RIGHT($B92,13)&amp;"|"&amp;$C92&amp;"|"&amp;$D92&amp;"|"&amp;O$14&amp;"|"&amp;"CY2023Q3",Spectrum!$R:$R,0)),0),""))</f>
        <v>677</v>
      </c>
      <c r="P92" s="42">
        <f>IF(LEFT($B92,4)="_Mil","",_xlfn.IFNA(ROUND(INDEX(Spectrum!$N:$N,MATCH(RIGHT($B92,13)&amp;"|"&amp;$C92&amp;"|"&amp;$D92&amp;"|"&amp;P$14&amp;"|"&amp;"CY2023Q3",Spectrum!$R:$R,0)),0),""))</f>
        <v>988</v>
      </c>
      <c r="Q92" s="42" t="str">
        <f>IF(LEFT($B92,4)="_Mil","",_xlfn.IFNA(ROUND(INDEX(Spectrum!$N:$N,MATCH(RIGHT($B92,13)&amp;"|"&amp;$C92&amp;"|"&amp;$D92&amp;"|"&amp;Q$14&amp;"|"&amp;"CY2022Q3",Spectrum!$R:$R,0)),0),""))</f>
        <v/>
      </c>
      <c r="R92" s="14"/>
      <c r="S92" s="90">
        <f>0</f>
        <v>0</v>
      </c>
      <c r="T92" s="42" t="str">
        <f t="shared" si="57"/>
        <v/>
      </c>
      <c r="U92" s="90">
        <f t="shared" si="58"/>
        <v>0</v>
      </c>
      <c r="V92" s="42" t="str">
        <f t="shared" si="59"/>
        <v/>
      </c>
      <c r="W92" s="90"/>
      <c r="X92" s="90">
        <f t="shared" si="60"/>
        <v>0</v>
      </c>
      <c r="Y92" s="90"/>
      <c r="Z92" s="90">
        <f t="shared" si="61"/>
        <v>0</v>
      </c>
      <c r="AA92" s="14" t="str">
        <f t="shared" si="62"/>
        <v/>
      </c>
      <c r="AB92" s="42" t="str">
        <f t="shared" si="63"/>
        <v/>
      </c>
      <c r="AC92" s="42" t="str">
        <f t="shared" si="64"/>
        <v/>
      </c>
      <c r="AD92" s="42" t="str">
        <f t="shared" si="65"/>
        <v/>
      </c>
      <c r="AE92" s="14" t="str">
        <f t="shared" si="66"/>
        <v/>
      </c>
      <c r="AF92" s="42" t="str">
        <f t="shared" si="67"/>
        <v/>
      </c>
      <c r="AG92" s="42" t="str">
        <f t="shared" si="68"/>
        <v/>
      </c>
      <c r="AH92" s="42" t="str">
        <f t="shared" si="69"/>
        <v/>
      </c>
      <c r="AI92" s="90" t="str">
        <f>IF(SUM($AC92)=0,"",INDEX(Cascade!$BG:$BG,MATCH($E92,Cascade!$E:$E,0)))</f>
        <v/>
      </c>
      <c r="AJ92" s="42" t="str">
        <f t="shared" si="70"/>
        <v/>
      </c>
      <c r="AK92" s="42" t="str">
        <f t="shared" si="71"/>
        <v/>
      </c>
      <c r="AL92" s="42" t="str">
        <f t="shared" si="72"/>
        <v/>
      </c>
      <c r="AM92" s="42" t="str">
        <f t="shared" si="73"/>
        <v/>
      </c>
      <c r="AN92" s="42" t="str">
        <f t="shared" si="74"/>
        <v/>
      </c>
      <c r="AO92" s="14" t="str">
        <f t="shared" si="75"/>
        <v/>
      </c>
      <c r="AP92" s="90"/>
      <c r="AQ92" s="90" t="str">
        <f t="shared" si="76"/>
        <v/>
      </c>
      <c r="AR92" s="90" t="str">
        <f>IF(SUM($AO92)=0,"",INDEX(Cascade!$BG:$BG,MATCH($E92,Cascade!$E:$E,0)))</f>
        <v/>
      </c>
      <c r="AS92" s="42" t="str">
        <f t="shared" si="77"/>
        <v/>
      </c>
      <c r="AT92" s="42" t="str">
        <f t="shared" si="78"/>
        <v/>
      </c>
      <c r="AU92" s="14" t="str">
        <f t="shared" si="79"/>
        <v/>
      </c>
      <c r="AV92" s="14" t="str">
        <f t="shared" si="80"/>
        <v/>
      </c>
      <c r="AW92" s="14" t="str">
        <f>IFERROR(1/(1/INDEX(Cascade!$BH:$BH,MATCH($E92,Cascade!$E:$E,0))),"")</f>
        <v/>
      </c>
      <c r="AX92" s="14" t="str">
        <f t="shared" si="81"/>
        <v/>
      </c>
      <c r="AY92" s="14" t="str">
        <f t="shared" si="82"/>
        <v/>
      </c>
      <c r="AZ92" s="14" t="str">
        <f>IFERROR(1/(1/INDEX(TB!$P:$P,MATCH($E92,TB!$E:$E,0))),"")</f>
        <v/>
      </c>
      <c r="BA92" s="14" t="str">
        <f t="shared" si="83"/>
        <v/>
      </c>
    </row>
    <row r="93" spans="1:53" x14ac:dyDescent="0.2">
      <c r="A93" t="str">
        <f>INDEX(Prioritization!$D:$D,MATCH($B93,Prioritization!$A:$A,0))</f>
        <v>INVALID</v>
      </c>
      <c r="B93" t="s">
        <v>208</v>
      </c>
      <c r="C93" t="s">
        <v>366</v>
      </c>
      <c r="D93" t="s">
        <v>29</v>
      </c>
      <c r="E93" t="str">
        <f t="shared" si="56"/>
        <v>Rumphi District [lPTyjLi4w3d]|35-49|Female</v>
      </c>
      <c r="F93" s="14">
        <f>IF(LEFT($B93,4)="_Mil","",INDEX(Cascade!$T:$T,MATCH($E93,Cascade!$E:$E,0)))</f>
        <v>870</v>
      </c>
      <c r="G93" s="14" t="str">
        <f>IF(LEFT($B93,4)="_Mil","",INDEX(Cascade!$U:$U,MATCH($E93,Cascade!$E:$E,0)))</f>
        <v/>
      </c>
      <c r="H93" s="88">
        <f>IF(LEFT($B93,4)="_Mil","",INDEX(Cascade!$W:$W,MATCH($E93,Cascade!$E:$E,0)))</f>
        <v>1716</v>
      </c>
      <c r="I93" s="14">
        <f>IF(LEFT($B93,4)="_Mil","",INDEX(Cascade!$Z:$Z,MATCH($E93,Cascade!$E:$E,0)))</f>
        <v>653</v>
      </c>
      <c r="J93" s="90">
        <f>IF(LEFT($B93,4)="_Mil","",INDEX(Cascade!$AA:$AA,MATCH($E93,Cascade!$E:$E,0)))</f>
        <v>971</v>
      </c>
      <c r="K93" s="42">
        <f>IF(LEFT($B93,4)="_Mil","",_xlfn.IFNA(ROUND(INDEX(Spectrum!$N:$N,MATCH(RIGHT($B93,13)&amp;"|"&amp;$C93&amp;"|"&amp;$D93&amp;"|"&amp;K$14&amp;"|"&amp;"CY2023Q3",Spectrum!$R:$R,0)),0),""))</f>
        <v>1096</v>
      </c>
      <c r="L93" s="42" t="str">
        <f>IF(LEFT($B93,4)="_Mil","",_xlfn.IFNA(ROUND(INDEX(Spectrum!$N:$N,MATCH(RIGHT($B93,13)&amp;"|"&amp;$C93&amp;"|"&amp;$D93&amp;"|"&amp;L$14&amp;"|"&amp;"CY2023Q3",Spectrum!$R:$R,0)),0),""))</f>
        <v/>
      </c>
      <c r="M93" s="42">
        <f>IF(LEFT($B93,4)="_Mil","",_xlfn.IFNA(ROUND(INDEX(Spectrum!$N:$N,MATCH(RIGHT($B93,13)&amp;"|"&amp;$C93&amp;"|"&amp;$D93&amp;"|"&amp;M$14&amp;"|"&amp;"CY2023Q3",Spectrum!$R:$R,0)),0),""))</f>
        <v>929</v>
      </c>
      <c r="N93" s="42">
        <f>IF(LEFT($B93,4)="_Mil","",_xlfn.IFNA(ROUND(INDEX(Spectrum!$N:$N,MATCH(RIGHT($B93,13)&amp;"|"&amp;$C93&amp;"|"&amp;$D93&amp;"|"&amp;N$14&amp;"|"&amp;"CY2023Q3",Spectrum!$R:$R,0)),0),""))</f>
        <v>1002</v>
      </c>
      <c r="O93" s="42">
        <f>IF(LEFT($B93,4)="_Mil","",_xlfn.IFNA(ROUND(INDEX(Spectrum!$N:$N,MATCH(RIGHT($B93,13)&amp;"|"&amp;$C93&amp;"|"&amp;$D93&amp;"|"&amp;O$14&amp;"|"&amp;"CY2023Q3",Spectrum!$R:$R,0)),0),""))</f>
        <v>838</v>
      </c>
      <c r="P93" s="42">
        <f>IF(LEFT($B93,4)="_Mil","",_xlfn.IFNA(ROUND(INDEX(Spectrum!$N:$N,MATCH(RIGHT($B93,13)&amp;"|"&amp;$C93&amp;"|"&amp;$D93&amp;"|"&amp;P$14&amp;"|"&amp;"CY2023Q3",Spectrum!$R:$R,0)),0),""))</f>
        <v>1069</v>
      </c>
      <c r="Q93" s="42" t="str">
        <f>IF(LEFT($B93,4)="_Mil","",_xlfn.IFNA(ROUND(INDEX(Spectrum!$N:$N,MATCH(RIGHT($B93,13)&amp;"|"&amp;$C93&amp;"|"&amp;$D93&amp;"|"&amp;Q$14&amp;"|"&amp;"CY2022Q3",Spectrum!$R:$R,0)),0),""))</f>
        <v/>
      </c>
      <c r="R93" s="14"/>
      <c r="S93" s="90">
        <f>0</f>
        <v>0</v>
      </c>
      <c r="T93" s="42" t="str">
        <f t="shared" si="57"/>
        <v/>
      </c>
      <c r="U93" s="90">
        <f t="shared" si="58"/>
        <v>0</v>
      </c>
      <c r="V93" s="42" t="str">
        <f t="shared" si="59"/>
        <v/>
      </c>
      <c r="W93" s="90"/>
      <c r="X93" s="90">
        <f t="shared" si="60"/>
        <v>0</v>
      </c>
      <c r="Y93" s="90"/>
      <c r="Z93" s="90">
        <f t="shared" si="61"/>
        <v>0</v>
      </c>
      <c r="AA93" s="14" t="str">
        <f t="shared" si="62"/>
        <v/>
      </c>
      <c r="AB93" s="42" t="str">
        <f t="shared" si="63"/>
        <v/>
      </c>
      <c r="AC93" s="42" t="str">
        <f t="shared" si="64"/>
        <v/>
      </c>
      <c r="AD93" s="42" t="str">
        <f t="shared" si="65"/>
        <v/>
      </c>
      <c r="AE93" s="14" t="str">
        <f t="shared" si="66"/>
        <v/>
      </c>
      <c r="AF93" s="42" t="str">
        <f t="shared" si="67"/>
        <v/>
      </c>
      <c r="AG93" s="42" t="str">
        <f t="shared" si="68"/>
        <v/>
      </c>
      <c r="AH93" s="42" t="str">
        <f t="shared" si="69"/>
        <v/>
      </c>
      <c r="AI93" s="90" t="str">
        <f>IF(SUM($AC93)=0,"",INDEX(Cascade!$BG:$BG,MATCH($E93,Cascade!$E:$E,0)))</f>
        <v/>
      </c>
      <c r="AJ93" s="42" t="str">
        <f t="shared" si="70"/>
        <v/>
      </c>
      <c r="AK93" s="42" t="str">
        <f t="shared" si="71"/>
        <v/>
      </c>
      <c r="AL93" s="42" t="str">
        <f t="shared" si="72"/>
        <v/>
      </c>
      <c r="AM93" s="42" t="str">
        <f t="shared" si="73"/>
        <v/>
      </c>
      <c r="AN93" s="42" t="str">
        <f t="shared" si="74"/>
        <v/>
      </c>
      <c r="AO93" s="14" t="str">
        <f t="shared" si="75"/>
        <v/>
      </c>
      <c r="AP93" s="90"/>
      <c r="AQ93" s="90" t="str">
        <f t="shared" si="76"/>
        <v/>
      </c>
      <c r="AR93" s="90" t="str">
        <f>IF(SUM($AO93)=0,"",INDEX(Cascade!$BG:$BG,MATCH($E93,Cascade!$E:$E,0)))</f>
        <v/>
      </c>
      <c r="AS93" s="42" t="str">
        <f t="shared" si="77"/>
        <v/>
      </c>
      <c r="AT93" s="42" t="str">
        <f t="shared" si="78"/>
        <v/>
      </c>
      <c r="AU93" s="14" t="str">
        <f t="shared" si="79"/>
        <v/>
      </c>
      <c r="AV93" s="14" t="str">
        <f t="shared" si="80"/>
        <v/>
      </c>
      <c r="AW93" s="14" t="str">
        <f>IFERROR(1/(1/INDEX(Cascade!$BH:$BH,MATCH($E93,Cascade!$E:$E,0))),"")</f>
        <v/>
      </c>
      <c r="AX93" s="14" t="str">
        <f t="shared" si="81"/>
        <v/>
      </c>
      <c r="AY93" s="14" t="str">
        <f t="shared" si="82"/>
        <v/>
      </c>
      <c r="AZ93" s="14" t="str">
        <f>IFERROR(1/(1/INDEX(TB!$P:$P,MATCH($E93,TB!$E:$E,0))),"")</f>
        <v/>
      </c>
      <c r="BA93" s="14" t="str">
        <f t="shared" si="83"/>
        <v/>
      </c>
    </row>
    <row r="94" spans="1:53" x14ac:dyDescent="0.2">
      <c r="A94" t="str">
        <f>INDEX(Prioritization!$D:$D,MATCH($B94,Prioritization!$A:$A,0))</f>
        <v>INVALID</v>
      </c>
      <c r="B94" t="s">
        <v>208</v>
      </c>
      <c r="C94" t="s">
        <v>367</v>
      </c>
      <c r="D94" t="s">
        <v>29</v>
      </c>
      <c r="E94" t="str">
        <f t="shared" si="56"/>
        <v>Rumphi District [lPTyjLi4w3d]|50+|Female</v>
      </c>
      <c r="F94" s="14">
        <f>IF(LEFT($B94,4)="_Mil","",INDEX(Cascade!$T:$T,MATCH($E94,Cascade!$E:$E,0)))</f>
        <v>1895</v>
      </c>
      <c r="G94" s="14" t="str">
        <f>IF(LEFT($B94,4)="_Mil","",INDEX(Cascade!$U:$U,MATCH($E94,Cascade!$E:$E,0)))</f>
        <v/>
      </c>
      <c r="H94" s="88">
        <f>IF(LEFT($B94,4)="_Mil","",INDEX(Cascade!$W:$W,MATCH($E94,Cascade!$E:$E,0)))</f>
        <v>932</v>
      </c>
      <c r="I94" s="14">
        <f>IF(LEFT($B94,4)="_Mil","",INDEX(Cascade!$Z:$Z,MATCH($E94,Cascade!$E:$E,0)))</f>
        <v>895</v>
      </c>
      <c r="J94" s="90">
        <f>IF(LEFT($B94,4)="_Mil","",INDEX(Cascade!$AA:$AA,MATCH($E94,Cascade!$E:$E,0)))</f>
        <v>1370</v>
      </c>
      <c r="K94" s="42" t="str">
        <f>IF(LEFT($B94,4)="_Mil","",_xlfn.IFNA(ROUND(INDEX(Spectrum!$N:$N,MATCH(RIGHT($B94,13)&amp;"|"&amp;$C94&amp;"|"&amp;$D94&amp;"|"&amp;K$14&amp;"|"&amp;"CY2023Q3",Spectrum!$R:$R,0)),0),""))</f>
        <v/>
      </c>
      <c r="L94" s="42" t="str">
        <f>IF(LEFT($B94,4)="_Mil","",_xlfn.IFNA(ROUND(INDEX(Spectrum!$N:$N,MATCH(RIGHT($B94,13)&amp;"|"&amp;$C94&amp;"|"&amp;$D94&amp;"|"&amp;L$14&amp;"|"&amp;"CY2023Q3",Spectrum!$R:$R,0)),0),""))</f>
        <v/>
      </c>
      <c r="M94" s="42" t="str">
        <f>IF(LEFT($B94,4)="_Mil","",_xlfn.IFNA(ROUND(INDEX(Spectrum!$N:$N,MATCH(RIGHT($B94,13)&amp;"|"&amp;$C94&amp;"|"&amp;$D94&amp;"|"&amp;M$14&amp;"|"&amp;"CY2023Q3",Spectrum!$R:$R,0)),0),""))</f>
        <v/>
      </c>
      <c r="N94" s="42" t="str">
        <f>IF(LEFT($B94,4)="_Mil","",_xlfn.IFNA(ROUND(INDEX(Spectrum!$N:$N,MATCH(RIGHT($B94,13)&amp;"|"&amp;$C94&amp;"|"&amp;$D94&amp;"|"&amp;N$14&amp;"|"&amp;"CY2023Q3",Spectrum!$R:$R,0)),0),""))</f>
        <v/>
      </c>
      <c r="O94" s="42" t="str">
        <f>IF(LEFT($B94,4)="_Mil","",_xlfn.IFNA(ROUND(INDEX(Spectrum!$N:$N,MATCH(RIGHT($B94,13)&amp;"|"&amp;$C94&amp;"|"&amp;$D94&amp;"|"&amp;O$14&amp;"|"&amp;"CY2023Q3",Spectrum!$R:$R,0)),0),""))</f>
        <v/>
      </c>
      <c r="P94" s="42" t="str">
        <f>IF(LEFT($B94,4)="_Mil","",_xlfn.IFNA(ROUND(INDEX(Spectrum!$N:$N,MATCH(RIGHT($B94,13)&amp;"|"&amp;$C94&amp;"|"&amp;$D94&amp;"|"&amp;P$14&amp;"|"&amp;"CY2023Q3",Spectrum!$R:$R,0)),0),""))</f>
        <v/>
      </c>
      <c r="Q94" s="42" t="str">
        <f>IF(LEFT($B94,4)="_Mil","",_xlfn.IFNA(ROUND(INDEX(Spectrum!$N:$N,MATCH(RIGHT($B94,13)&amp;"|"&amp;$C94&amp;"|"&amp;$D94&amp;"|"&amp;Q$14&amp;"|"&amp;"CY2022Q3",Spectrum!$R:$R,0)),0),""))</f>
        <v/>
      </c>
      <c r="R94" s="14"/>
      <c r="S94" s="90">
        <f>0</f>
        <v>0</v>
      </c>
      <c r="T94" s="42" t="str">
        <f t="shared" si="57"/>
        <v/>
      </c>
      <c r="U94" s="90" t="str">
        <f t="shared" si="58"/>
        <v/>
      </c>
      <c r="V94" s="42" t="str">
        <f t="shared" si="59"/>
        <v/>
      </c>
      <c r="W94" s="90"/>
      <c r="X94" s="90" t="str">
        <f t="shared" si="60"/>
        <v/>
      </c>
      <c r="Y94" s="90"/>
      <c r="Z94" s="90" t="str">
        <f t="shared" si="61"/>
        <v/>
      </c>
      <c r="AA94" s="14" t="str">
        <f t="shared" si="62"/>
        <v/>
      </c>
      <c r="AB94" s="42" t="str">
        <f t="shared" si="63"/>
        <v/>
      </c>
      <c r="AC94" s="42" t="str">
        <f t="shared" si="64"/>
        <v/>
      </c>
      <c r="AD94" s="42" t="str">
        <f t="shared" si="65"/>
        <v/>
      </c>
      <c r="AE94" s="14" t="str">
        <f t="shared" si="66"/>
        <v/>
      </c>
      <c r="AF94" s="42" t="str">
        <f t="shared" si="67"/>
        <v/>
      </c>
      <c r="AG94" s="42" t="str">
        <f t="shared" si="68"/>
        <v/>
      </c>
      <c r="AH94" s="42" t="str">
        <f t="shared" si="69"/>
        <v/>
      </c>
      <c r="AI94" s="90" t="str">
        <f>IF(SUM($AC94)=0,"",INDEX(Cascade!$BG:$BG,MATCH($E94,Cascade!$E:$E,0)))</f>
        <v/>
      </c>
      <c r="AJ94" s="42" t="str">
        <f t="shared" si="70"/>
        <v/>
      </c>
      <c r="AK94" s="42" t="str">
        <f t="shared" si="71"/>
        <v/>
      </c>
      <c r="AL94" s="42" t="str">
        <f t="shared" si="72"/>
        <v/>
      </c>
      <c r="AM94" s="42" t="str">
        <f t="shared" si="73"/>
        <v/>
      </c>
      <c r="AN94" s="42" t="str">
        <f t="shared" si="74"/>
        <v/>
      </c>
      <c r="AO94" s="14" t="str">
        <f t="shared" si="75"/>
        <v/>
      </c>
      <c r="AP94" s="90"/>
      <c r="AQ94" s="90" t="str">
        <f t="shared" si="76"/>
        <v/>
      </c>
      <c r="AR94" s="90" t="str">
        <f>IF(SUM($AO94)=0,"",INDEX(Cascade!$BG:$BG,MATCH($E94,Cascade!$E:$E,0)))</f>
        <v/>
      </c>
      <c r="AS94" s="42" t="str">
        <f t="shared" si="77"/>
        <v/>
      </c>
      <c r="AT94" s="42" t="str">
        <f t="shared" si="78"/>
        <v/>
      </c>
      <c r="AU94" s="14" t="str">
        <f t="shared" si="79"/>
        <v/>
      </c>
      <c r="AV94" s="14" t="str">
        <f t="shared" si="80"/>
        <v/>
      </c>
      <c r="AW94" s="14" t="str">
        <f>IFERROR(1/(1/INDEX(Cascade!$BH:$BH,MATCH($E94,Cascade!$E:$E,0))),"")</f>
        <v/>
      </c>
      <c r="AX94" s="14" t="str">
        <f t="shared" si="81"/>
        <v/>
      </c>
      <c r="AY94" s="14" t="str">
        <f t="shared" si="82"/>
        <v/>
      </c>
      <c r="AZ94" s="14" t="str">
        <f>IFERROR(1/(1/INDEX(TB!$P:$P,MATCH($E94,TB!$E:$E,0))),"")</f>
        <v/>
      </c>
      <c r="BA94" s="14" t="str">
        <f t="shared" si="83"/>
        <v/>
      </c>
    </row>
    <row r="95" spans="1:53" x14ac:dyDescent="0.2">
      <c r="A95" t="str">
        <f>INDEX(Prioritization!$D:$D,MATCH($B95,Prioritization!$A:$A,0))</f>
        <v>1 - Scale-up: Saturation</v>
      </c>
      <c r="B95" t="s">
        <v>209</v>
      </c>
      <c r="C95" t="s">
        <v>363</v>
      </c>
      <c r="D95" t="s">
        <v>29</v>
      </c>
      <c r="E95" t="str">
        <f t="shared" si="56"/>
        <v>Balaka District [ir8wuHHzoSs]|10-14|Female</v>
      </c>
      <c r="F95" s="14">
        <f>IF(LEFT($B95,4)="_Mil","",INDEX(Cascade!$T:$T,MATCH($E95,Cascade!$E:$E,0)))</f>
        <v>819</v>
      </c>
      <c r="G95" s="14" t="str">
        <f>IF(LEFT($B95,4)="_Mil","",INDEX(Cascade!$U:$U,MATCH($E95,Cascade!$E:$E,0)))</f>
        <v/>
      </c>
      <c r="H95" s="88">
        <f>IF(LEFT($B95,4)="_Mil","",INDEX(Cascade!$W:$W,MATCH($E95,Cascade!$E:$E,0)))</f>
        <v>1085</v>
      </c>
      <c r="I95" s="14">
        <f>IF(LEFT($B95,4)="_Mil","",INDEX(Cascade!$Z:$Z,MATCH($E95,Cascade!$E:$E,0)))</f>
        <v>1579</v>
      </c>
      <c r="J95" s="90">
        <f>IF(LEFT($B95,4)="_Mil","",INDEX(Cascade!$AA:$AA,MATCH($E95,Cascade!$E:$E,0)))</f>
        <v>698</v>
      </c>
      <c r="K95" s="42" t="str">
        <f>IF(LEFT($B95,4)="_Mil","",_xlfn.IFNA(ROUND(INDEX(Spectrum!$N:$N,MATCH(RIGHT($B95,13)&amp;"|"&amp;$C95&amp;"|"&amp;$D95&amp;"|"&amp;K$14&amp;"|"&amp;"CY2023Q3",Spectrum!$R:$R,0)),0),""))</f>
        <v/>
      </c>
      <c r="L95" s="42" t="str">
        <f>IF(LEFT($B95,4)="_Mil","",_xlfn.IFNA(ROUND(INDEX(Spectrum!$N:$N,MATCH(RIGHT($B95,13)&amp;"|"&amp;$C95&amp;"|"&amp;$D95&amp;"|"&amp;L$14&amp;"|"&amp;"CY2023Q3",Spectrum!$R:$R,0)),0),""))</f>
        <v/>
      </c>
      <c r="M95" s="42" t="str">
        <f>IF(LEFT($B95,4)="_Mil","",_xlfn.IFNA(ROUND(INDEX(Spectrum!$N:$N,MATCH(RIGHT($B95,13)&amp;"|"&amp;$C95&amp;"|"&amp;$D95&amp;"|"&amp;M$14&amp;"|"&amp;"CY2023Q3",Spectrum!$R:$R,0)),0),""))</f>
        <v/>
      </c>
      <c r="N95" s="42" t="str">
        <f>IF(LEFT($B95,4)="_Mil","",_xlfn.IFNA(ROUND(INDEX(Spectrum!$N:$N,MATCH(RIGHT($B95,13)&amp;"|"&amp;$C95&amp;"|"&amp;$D95&amp;"|"&amp;N$14&amp;"|"&amp;"CY2023Q3",Spectrum!$R:$R,0)),0),""))</f>
        <v/>
      </c>
      <c r="O95" s="42" t="str">
        <f>IF(LEFT($B95,4)="_Mil","",_xlfn.IFNA(ROUND(INDEX(Spectrum!$N:$N,MATCH(RIGHT($B95,13)&amp;"|"&amp;$C95&amp;"|"&amp;$D95&amp;"|"&amp;O$14&amp;"|"&amp;"CY2023Q3",Spectrum!$R:$R,0)),0),""))</f>
        <v/>
      </c>
      <c r="P95" s="42" t="str">
        <f>IF(LEFT($B95,4)="_Mil","",_xlfn.IFNA(ROUND(INDEX(Spectrum!$N:$N,MATCH(RIGHT($B95,13)&amp;"|"&amp;$C95&amp;"|"&amp;$D95&amp;"|"&amp;P$14&amp;"|"&amp;"CY2023Q3",Spectrum!$R:$R,0)),0),""))</f>
        <v/>
      </c>
      <c r="Q95" s="42" t="str">
        <f>IF(LEFT($B95,4)="_Mil","",_xlfn.IFNA(ROUND(INDEX(Spectrum!$N:$N,MATCH(RIGHT($B95,13)&amp;"|"&amp;$C95&amp;"|"&amp;$D95&amp;"|"&amp;Q$14&amp;"|"&amp;"CY2022Q3",Spectrum!$R:$R,0)),0),""))</f>
        <v/>
      </c>
      <c r="R95" s="14">
        <v>5</v>
      </c>
      <c r="S95" s="90">
        <f>0</f>
        <v>0</v>
      </c>
      <c r="T95" s="42">
        <f t="shared" si="57"/>
        <v>5</v>
      </c>
      <c r="U95" s="90">
        <f t="shared" si="58"/>
        <v>1</v>
      </c>
      <c r="V95" s="42">
        <f t="shared" si="59"/>
        <v>5</v>
      </c>
      <c r="W95" s="90">
        <v>0.77126582316122905</v>
      </c>
      <c r="X95" s="90">
        <f t="shared" si="60"/>
        <v>0.77126582316122905</v>
      </c>
      <c r="Y95" s="90"/>
      <c r="Z95" s="90" t="str">
        <f t="shared" si="61"/>
        <v/>
      </c>
      <c r="AA95" s="14">
        <f t="shared" si="62"/>
        <v>5</v>
      </c>
      <c r="AB95" s="42">
        <f t="shared" si="63"/>
        <v>4</v>
      </c>
      <c r="AC95" s="42" t="str">
        <f t="shared" si="64"/>
        <v>ENTER YIELD RATE</v>
      </c>
      <c r="AD95" s="42">
        <f t="shared" si="65"/>
        <v>1</v>
      </c>
      <c r="AE95" s="14">
        <f t="shared" si="66"/>
        <v>5</v>
      </c>
      <c r="AF95" s="42">
        <f t="shared" si="67"/>
        <v>4</v>
      </c>
      <c r="AG95" s="42">
        <f t="shared" si="68"/>
        <v>0</v>
      </c>
      <c r="AH95" s="42">
        <f t="shared" si="69"/>
        <v>1</v>
      </c>
      <c r="AI95" s="90" t="str">
        <f>IF(SUM($AC95)=0,"",INDEX(Cascade!$BG:$BG,MATCH($E95,Cascade!$E:$E,0)))</f>
        <v/>
      </c>
      <c r="AJ95" s="42">
        <f t="shared" si="70"/>
        <v>4</v>
      </c>
      <c r="AK95" s="42" t="str">
        <f t="shared" si="71"/>
        <v/>
      </c>
      <c r="AL95" s="42">
        <f t="shared" si="72"/>
        <v>4</v>
      </c>
      <c r="AM95" s="42">
        <f t="shared" si="73"/>
        <v>4</v>
      </c>
      <c r="AN95" s="42" t="str">
        <f t="shared" si="74"/>
        <v/>
      </c>
      <c r="AO95" s="14">
        <f t="shared" si="75"/>
        <v>1</v>
      </c>
      <c r="AP95" s="90"/>
      <c r="AQ95" s="90" t="str">
        <f t="shared" si="76"/>
        <v/>
      </c>
      <c r="AR95" s="90">
        <f>IF(SUM($AO95)=0,"",INDEX(Cascade!$BG:$BG,MATCH($E95,Cascade!$E:$E,0)))</f>
        <v>0.95</v>
      </c>
      <c r="AS95" s="42" t="str">
        <f t="shared" si="77"/>
        <v>ENTER YIELD RATE</v>
      </c>
      <c r="AT95" s="42">
        <f t="shared" si="78"/>
        <v>1</v>
      </c>
      <c r="AU95" s="14" t="str">
        <f t="shared" si="79"/>
        <v/>
      </c>
      <c r="AV95" s="14">
        <f t="shared" si="80"/>
        <v>4</v>
      </c>
      <c r="AW95" s="14">
        <f>IFERROR(1/(1/INDEX(Cascade!$BH:$BH,MATCH($E95,Cascade!$E:$E,0))),"")</f>
        <v>-97</v>
      </c>
      <c r="AX95" s="14" t="str">
        <f t="shared" si="81"/>
        <v/>
      </c>
      <c r="AY95" s="14" t="str">
        <f t="shared" si="82"/>
        <v/>
      </c>
      <c r="AZ95" s="14" t="str">
        <f>IFERROR(1/(1/INDEX(TB!$P:$P,MATCH($E95,TB!$E:$E,0))),"")</f>
        <v/>
      </c>
      <c r="BA95" s="14">
        <f t="shared" si="83"/>
        <v>-97</v>
      </c>
    </row>
    <row r="96" spans="1:53" x14ac:dyDescent="0.2">
      <c r="A96" t="str">
        <f>INDEX(Prioritization!$D:$D,MATCH($B96,Prioritization!$A:$A,0))</f>
        <v>1 - Scale-up: Saturation</v>
      </c>
      <c r="B96" t="s">
        <v>209</v>
      </c>
      <c r="C96" t="s">
        <v>364</v>
      </c>
      <c r="D96" t="s">
        <v>29</v>
      </c>
      <c r="E96" t="str">
        <f t="shared" si="56"/>
        <v>Balaka District [ir8wuHHzoSs]|15-24|Female</v>
      </c>
      <c r="F96" s="14">
        <f>IF(LEFT($B96,4)="_Mil","",INDEX(Cascade!$T:$T,MATCH($E96,Cascade!$E:$E,0)))</f>
        <v>957</v>
      </c>
      <c r="G96" s="14" t="str">
        <f>IF(LEFT($B96,4)="_Mil","",INDEX(Cascade!$U:$U,MATCH($E96,Cascade!$E:$E,0)))</f>
        <v/>
      </c>
      <c r="H96" s="88">
        <f>IF(LEFT($B96,4)="_Mil","",INDEX(Cascade!$W:$W,MATCH($E96,Cascade!$E:$E,0)))</f>
        <v>1392</v>
      </c>
      <c r="I96" s="14">
        <f>IF(LEFT($B96,4)="_Mil","",INDEX(Cascade!$Z:$Z,MATCH($E96,Cascade!$E:$E,0)))</f>
        <v>1718</v>
      </c>
      <c r="J96" s="90">
        <f>IF(LEFT($B96,4)="_Mil","",INDEX(Cascade!$AA:$AA,MATCH($E96,Cascade!$E:$E,0)))</f>
        <v>1157</v>
      </c>
      <c r="K96" s="42">
        <f>IF(LEFT($B96,4)="_Mil","",_xlfn.IFNA(ROUND(INDEX(Spectrum!$N:$N,MATCH(RIGHT($B96,13)&amp;"|"&amp;$C96&amp;"|"&amp;$D96&amp;"|"&amp;K$14&amp;"|"&amp;"CY2023Q3",Spectrum!$R:$R,0)),0),""))</f>
        <v>812</v>
      </c>
      <c r="L96" s="42" t="str">
        <f>IF(LEFT($B96,4)="_Mil","",_xlfn.IFNA(ROUND(INDEX(Spectrum!$N:$N,MATCH(RIGHT($B96,13)&amp;"|"&amp;$C96&amp;"|"&amp;$D96&amp;"|"&amp;L$14&amp;"|"&amp;"CY2023Q3",Spectrum!$R:$R,0)),0),""))</f>
        <v/>
      </c>
      <c r="M96" s="42">
        <f>IF(LEFT($B96,4)="_Mil","",_xlfn.IFNA(ROUND(INDEX(Spectrum!$N:$N,MATCH(RIGHT($B96,13)&amp;"|"&amp;$C96&amp;"|"&amp;$D96&amp;"|"&amp;M$14&amp;"|"&amp;"CY2023Q3",Spectrum!$R:$R,0)),0),""))</f>
        <v>1070</v>
      </c>
      <c r="N96" s="42">
        <f>IF(LEFT($B96,4)="_Mil","",_xlfn.IFNA(ROUND(INDEX(Spectrum!$N:$N,MATCH(RIGHT($B96,13)&amp;"|"&amp;$C96&amp;"|"&amp;$D96&amp;"|"&amp;N$14&amp;"|"&amp;"CY2023Q3",Spectrum!$R:$R,0)),0),""))</f>
        <v>1636</v>
      </c>
      <c r="O96" s="42">
        <f>IF(LEFT($B96,4)="_Mil","",_xlfn.IFNA(ROUND(INDEX(Spectrum!$N:$N,MATCH(RIGHT($B96,13)&amp;"|"&amp;$C96&amp;"|"&amp;$D96&amp;"|"&amp;O$14&amp;"|"&amp;"CY2023Q3",Spectrum!$R:$R,0)),0),""))</f>
        <v>539</v>
      </c>
      <c r="P96" s="42">
        <f>IF(LEFT($B96,4)="_Mil","",_xlfn.IFNA(ROUND(INDEX(Spectrum!$N:$N,MATCH(RIGHT($B96,13)&amp;"|"&amp;$C96&amp;"|"&amp;$D96&amp;"|"&amp;P$14&amp;"|"&amp;"CY2023Q3",Spectrum!$R:$R,0)),0),""))</f>
        <v>1847</v>
      </c>
      <c r="Q96" s="42" t="str">
        <f>IF(LEFT($B96,4)="_Mil","",_xlfn.IFNA(ROUND(INDEX(Spectrum!$N:$N,MATCH(RIGHT($B96,13)&amp;"|"&amp;$C96&amp;"|"&amp;$D96&amp;"|"&amp;Q$14&amp;"|"&amp;"CY2022Q3",Spectrum!$R:$R,0)),0),""))</f>
        <v/>
      </c>
      <c r="R96" s="14"/>
      <c r="S96" s="90">
        <f>0</f>
        <v>0</v>
      </c>
      <c r="T96" s="42" t="str">
        <f t="shared" si="57"/>
        <v/>
      </c>
      <c r="U96" s="90">
        <f t="shared" si="58"/>
        <v>0</v>
      </c>
      <c r="V96" s="42" t="str">
        <f t="shared" si="59"/>
        <v/>
      </c>
      <c r="W96" s="90"/>
      <c r="X96" s="90">
        <f t="shared" si="60"/>
        <v>0</v>
      </c>
      <c r="Y96" s="90"/>
      <c r="Z96" s="90">
        <f t="shared" si="61"/>
        <v>0</v>
      </c>
      <c r="AA96" s="14" t="str">
        <f t="shared" si="62"/>
        <v/>
      </c>
      <c r="AB96" s="42" t="str">
        <f t="shared" si="63"/>
        <v/>
      </c>
      <c r="AC96" s="42" t="str">
        <f t="shared" si="64"/>
        <v/>
      </c>
      <c r="AD96" s="42" t="str">
        <f t="shared" si="65"/>
        <v/>
      </c>
      <c r="AE96" s="14" t="str">
        <f t="shared" si="66"/>
        <v/>
      </c>
      <c r="AF96" s="42" t="str">
        <f t="shared" si="67"/>
        <v/>
      </c>
      <c r="AG96" s="42" t="str">
        <f t="shared" si="68"/>
        <v/>
      </c>
      <c r="AH96" s="42" t="str">
        <f t="shared" si="69"/>
        <v/>
      </c>
      <c r="AI96" s="90" t="str">
        <f>IF(SUM($AC96)=0,"",INDEX(Cascade!$BG:$BG,MATCH($E96,Cascade!$E:$E,0)))</f>
        <v/>
      </c>
      <c r="AJ96" s="42" t="str">
        <f t="shared" si="70"/>
        <v/>
      </c>
      <c r="AK96" s="42" t="str">
        <f t="shared" si="71"/>
        <v/>
      </c>
      <c r="AL96" s="42" t="str">
        <f t="shared" si="72"/>
        <v/>
      </c>
      <c r="AM96" s="42" t="str">
        <f t="shared" si="73"/>
        <v/>
      </c>
      <c r="AN96" s="42" t="str">
        <f t="shared" si="74"/>
        <v/>
      </c>
      <c r="AO96" s="14" t="str">
        <f t="shared" si="75"/>
        <v/>
      </c>
      <c r="AP96" s="90"/>
      <c r="AQ96" s="90" t="str">
        <f t="shared" si="76"/>
        <v/>
      </c>
      <c r="AR96" s="90" t="str">
        <f>IF(SUM($AO96)=0,"",INDEX(Cascade!$BG:$BG,MATCH($E96,Cascade!$E:$E,0)))</f>
        <v/>
      </c>
      <c r="AS96" s="42" t="str">
        <f t="shared" si="77"/>
        <v/>
      </c>
      <c r="AT96" s="42" t="str">
        <f t="shared" si="78"/>
        <v/>
      </c>
      <c r="AU96" s="14" t="str">
        <f t="shared" si="79"/>
        <v/>
      </c>
      <c r="AV96" s="14" t="str">
        <f t="shared" si="80"/>
        <v/>
      </c>
      <c r="AW96" s="14" t="str">
        <f>IFERROR(1/(1/INDEX(Cascade!$BH:$BH,MATCH($E96,Cascade!$E:$E,0))),"")</f>
        <v/>
      </c>
      <c r="AX96" s="14" t="str">
        <f t="shared" si="81"/>
        <v/>
      </c>
      <c r="AY96" s="14" t="str">
        <f t="shared" si="82"/>
        <v/>
      </c>
      <c r="AZ96" s="14" t="str">
        <f>IFERROR(1/(1/INDEX(TB!$P:$P,MATCH($E96,TB!$E:$E,0))),"")</f>
        <v/>
      </c>
      <c r="BA96" s="14" t="str">
        <f t="shared" si="83"/>
        <v/>
      </c>
    </row>
    <row r="97" spans="1:53" x14ac:dyDescent="0.2">
      <c r="A97" t="str">
        <f>INDEX(Prioritization!$D:$D,MATCH($B97,Prioritization!$A:$A,0))</f>
        <v>1 - Scale-up: Saturation</v>
      </c>
      <c r="B97" t="s">
        <v>209</v>
      </c>
      <c r="C97" t="s">
        <v>365</v>
      </c>
      <c r="D97" t="s">
        <v>29</v>
      </c>
      <c r="E97" t="str">
        <f t="shared" si="56"/>
        <v>Balaka District [ir8wuHHzoSs]|25-34|Female</v>
      </c>
      <c r="F97" s="14">
        <f>IF(LEFT($B97,4)="_Mil","",INDEX(Cascade!$T:$T,MATCH($E97,Cascade!$E:$E,0)))</f>
        <v>1592</v>
      </c>
      <c r="G97" s="14" t="str">
        <f>IF(LEFT($B97,4)="_Mil","",INDEX(Cascade!$U:$U,MATCH($E97,Cascade!$E:$E,0)))</f>
        <v/>
      </c>
      <c r="H97" s="88">
        <f>IF(LEFT($B97,4)="_Mil","",INDEX(Cascade!$W:$W,MATCH($E97,Cascade!$E:$E,0)))</f>
        <v>1233</v>
      </c>
      <c r="I97" s="14">
        <f>IF(LEFT($B97,4)="_Mil","",INDEX(Cascade!$Z:$Z,MATCH($E97,Cascade!$E:$E,0)))</f>
        <v>577</v>
      </c>
      <c r="J97" s="90">
        <f>IF(LEFT($B97,4)="_Mil","",INDEX(Cascade!$AA:$AA,MATCH($E97,Cascade!$E:$E,0)))</f>
        <v>1496</v>
      </c>
      <c r="K97" s="42">
        <f>IF(LEFT($B97,4)="_Mil","",_xlfn.IFNA(ROUND(INDEX(Spectrum!$N:$N,MATCH(RIGHT($B97,13)&amp;"|"&amp;$C97&amp;"|"&amp;$D97&amp;"|"&amp;K$14&amp;"|"&amp;"CY2023Q3",Spectrum!$R:$R,0)),0),""))</f>
        <v>1180</v>
      </c>
      <c r="L97" s="42" t="str">
        <f>IF(LEFT($B97,4)="_Mil","",_xlfn.IFNA(ROUND(INDEX(Spectrum!$N:$N,MATCH(RIGHT($B97,13)&amp;"|"&amp;$C97&amp;"|"&amp;$D97&amp;"|"&amp;L$14&amp;"|"&amp;"CY2023Q3",Spectrum!$R:$R,0)),0),""))</f>
        <v/>
      </c>
      <c r="M97" s="42">
        <f>IF(LEFT($B97,4)="_Mil","",_xlfn.IFNA(ROUND(INDEX(Spectrum!$N:$N,MATCH(RIGHT($B97,13)&amp;"|"&amp;$C97&amp;"|"&amp;$D97&amp;"|"&amp;M$14&amp;"|"&amp;"CY2023Q3",Spectrum!$R:$R,0)),0),""))</f>
        <v>583</v>
      </c>
      <c r="N97" s="42">
        <f>IF(LEFT($B97,4)="_Mil","",_xlfn.IFNA(ROUND(INDEX(Spectrum!$N:$N,MATCH(RIGHT($B97,13)&amp;"|"&amp;$C97&amp;"|"&amp;$D97&amp;"|"&amp;N$14&amp;"|"&amp;"CY2023Q3",Spectrum!$R:$R,0)),0),""))</f>
        <v>688</v>
      </c>
      <c r="O97" s="42">
        <f>IF(LEFT($B97,4)="_Mil","",_xlfn.IFNA(ROUND(INDEX(Spectrum!$N:$N,MATCH(RIGHT($B97,13)&amp;"|"&amp;$C97&amp;"|"&amp;$D97&amp;"|"&amp;O$14&amp;"|"&amp;"CY2023Q3",Spectrum!$R:$R,0)),0),""))</f>
        <v>1414</v>
      </c>
      <c r="P97" s="42">
        <f>IF(LEFT($B97,4)="_Mil","",_xlfn.IFNA(ROUND(INDEX(Spectrum!$N:$N,MATCH(RIGHT($B97,13)&amp;"|"&amp;$C97&amp;"|"&amp;$D97&amp;"|"&amp;P$14&amp;"|"&amp;"CY2023Q3",Spectrum!$R:$R,0)),0),""))</f>
        <v>1215</v>
      </c>
      <c r="Q97" s="42" t="str">
        <f>IF(LEFT($B97,4)="_Mil","",_xlfn.IFNA(ROUND(INDEX(Spectrum!$N:$N,MATCH(RIGHT($B97,13)&amp;"|"&amp;$C97&amp;"|"&amp;$D97&amp;"|"&amp;Q$14&amp;"|"&amp;"CY2022Q3",Spectrum!$R:$R,0)),0),""))</f>
        <v/>
      </c>
      <c r="R97" s="14"/>
      <c r="S97" s="90">
        <f>0</f>
        <v>0</v>
      </c>
      <c r="T97" s="42" t="str">
        <f t="shared" si="57"/>
        <v/>
      </c>
      <c r="U97" s="90">
        <f t="shared" si="58"/>
        <v>0</v>
      </c>
      <c r="V97" s="42" t="str">
        <f t="shared" si="59"/>
        <v/>
      </c>
      <c r="W97" s="90"/>
      <c r="X97" s="90">
        <f t="shared" si="60"/>
        <v>0</v>
      </c>
      <c r="Y97" s="90"/>
      <c r="Z97" s="90">
        <f t="shared" si="61"/>
        <v>0</v>
      </c>
      <c r="AA97" s="14" t="str">
        <f t="shared" si="62"/>
        <v/>
      </c>
      <c r="AB97" s="42" t="str">
        <f t="shared" si="63"/>
        <v/>
      </c>
      <c r="AC97" s="42" t="str">
        <f t="shared" si="64"/>
        <v/>
      </c>
      <c r="AD97" s="42" t="str">
        <f t="shared" si="65"/>
        <v/>
      </c>
      <c r="AE97" s="14" t="str">
        <f t="shared" si="66"/>
        <v/>
      </c>
      <c r="AF97" s="42" t="str">
        <f t="shared" si="67"/>
        <v/>
      </c>
      <c r="AG97" s="42" t="str">
        <f t="shared" si="68"/>
        <v/>
      </c>
      <c r="AH97" s="42" t="str">
        <f t="shared" si="69"/>
        <v/>
      </c>
      <c r="AI97" s="90" t="str">
        <f>IF(SUM($AC97)=0,"",INDEX(Cascade!$BG:$BG,MATCH($E97,Cascade!$E:$E,0)))</f>
        <v/>
      </c>
      <c r="AJ97" s="42" t="str">
        <f t="shared" si="70"/>
        <v/>
      </c>
      <c r="AK97" s="42" t="str">
        <f t="shared" si="71"/>
        <v/>
      </c>
      <c r="AL97" s="42" t="str">
        <f t="shared" si="72"/>
        <v/>
      </c>
      <c r="AM97" s="42" t="str">
        <f t="shared" si="73"/>
        <v/>
      </c>
      <c r="AN97" s="42" t="str">
        <f t="shared" si="74"/>
        <v/>
      </c>
      <c r="AO97" s="14" t="str">
        <f t="shared" si="75"/>
        <v/>
      </c>
      <c r="AP97" s="90"/>
      <c r="AQ97" s="90" t="str">
        <f t="shared" si="76"/>
        <v/>
      </c>
      <c r="AR97" s="90" t="str">
        <f>IF(SUM($AO97)=0,"",INDEX(Cascade!$BG:$BG,MATCH($E97,Cascade!$E:$E,0)))</f>
        <v/>
      </c>
      <c r="AS97" s="42" t="str">
        <f t="shared" si="77"/>
        <v/>
      </c>
      <c r="AT97" s="42" t="str">
        <f t="shared" si="78"/>
        <v/>
      </c>
      <c r="AU97" s="14" t="str">
        <f t="shared" si="79"/>
        <v/>
      </c>
      <c r="AV97" s="14" t="str">
        <f t="shared" si="80"/>
        <v/>
      </c>
      <c r="AW97" s="14" t="str">
        <f>IFERROR(1/(1/INDEX(Cascade!$BH:$BH,MATCH($E97,Cascade!$E:$E,0))),"")</f>
        <v/>
      </c>
      <c r="AX97" s="14" t="str">
        <f t="shared" si="81"/>
        <v/>
      </c>
      <c r="AY97" s="14" t="str">
        <f t="shared" si="82"/>
        <v/>
      </c>
      <c r="AZ97" s="14" t="str">
        <f>IFERROR(1/(1/INDEX(TB!$P:$P,MATCH($E97,TB!$E:$E,0))),"")</f>
        <v/>
      </c>
      <c r="BA97" s="14" t="str">
        <f t="shared" si="83"/>
        <v/>
      </c>
    </row>
    <row r="98" spans="1:53" x14ac:dyDescent="0.2">
      <c r="A98" t="str">
        <f>INDEX(Prioritization!$D:$D,MATCH($B98,Prioritization!$A:$A,0))</f>
        <v>1 - Scale-up: Saturation</v>
      </c>
      <c r="B98" t="s">
        <v>209</v>
      </c>
      <c r="C98" t="s">
        <v>366</v>
      </c>
      <c r="D98" t="s">
        <v>29</v>
      </c>
      <c r="E98" t="str">
        <f t="shared" si="56"/>
        <v>Balaka District [ir8wuHHzoSs]|35-49|Female</v>
      </c>
      <c r="F98" s="14">
        <f>IF(LEFT($B98,4)="_Mil","",INDEX(Cascade!$T:$T,MATCH($E98,Cascade!$E:$E,0)))</f>
        <v>1224</v>
      </c>
      <c r="G98" s="14" t="str">
        <f>IF(LEFT($B98,4)="_Mil","",INDEX(Cascade!$U:$U,MATCH($E98,Cascade!$E:$E,0)))</f>
        <v/>
      </c>
      <c r="H98" s="88">
        <f>IF(LEFT($B98,4)="_Mil","",INDEX(Cascade!$W:$W,MATCH($E98,Cascade!$E:$E,0)))</f>
        <v>1757</v>
      </c>
      <c r="I98" s="14">
        <f>IF(LEFT($B98,4)="_Mil","",INDEX(Cascade!$Z:$Z,MATCH($E98,Cascade!$E:$E,0)))</f>
        <v>1095</v>
      </c>
      <c r="J98" s="90">
        <f>IF(LEFT($B98,4)="_Mil","",INDEX(Cascade!$AA:$AA,MATCH($E98,Cascade!$E:$E,0)))</f>
        <v>522</v>
      </c>
      <c r="K98" s="42">
        <f>IF(LEFT($B98,4)="_Mil","",_xlfn.IFNA(ROUND(INDEX(Spectrum!$N:$N,MATCH(RIGHT($B98,13)&amp;"|"&amp;$C98&amp;"|"&amp;$D98&amp;"|"&amp;K$14&amp;"|"&amp;"CY2023Q3",Spectrum!$R:$R,0)),0),""))</f>
        <v>1479</v>
      </c>
      <c r="L98" s="42" t="str">
        <f>IF(LEFT($B98,4)="_Mil","",_xlfn.IFNA(ROUND(INDEX(Spectrum!$N:$N,MATCH(RIGHT($B98,13)&amp;"|"&amp;$C98&amp;"|"&amp;$D98&amp;"|"&amp;L$14&amp;"|"&amp;"CY2023Q3",Spectrum!$R:$R,0)),0),""))</f>
        <v/>
      </c>
      <c r="M98" s="42">
        <f>IF(LEFT($B98,4)="_Mil","",_xlfn.IFNA(ROUND(INDEX(Spectrum!$N:$N,MATCH(RIGHT($B98,13)&amp;"|"&amp;$C98&amp;"|"&amp;$D98&amp;"|"&amp;M$14&amp;"|"&amp;"CY2023Q3",Spectrum!$R:$R,0)),0),""))</f>
        <v>1340</v>
      </c>
      <c r="N98" s="42">
        <f>IF(LEFT($B98,4)="_Mil","",_xlfn.IFNA(ROUND(INDEX(Spectrum!$N:$N,MATCH(RIGHT($B98,13)&amp;"|"&amp;$C98&amp;"|"&amp;$D98&amp;"|"&amp;N$14&amp;"|"&amp;"CY2023Q3",Spectrum!$R:$R,0)),0),""))</f>
        <v>575</v>
      </c>
      <c r="O98" s="42">
        <f>IF(LEFT($B98,4)="_Mil","",_xlfn.IFNA(ROUND(INDEX(Spectrum!$N:$N,MATCH(RIGHT($B98,13)&amp;"|"&amp;$C98&amp;"|"&amp;$D98&amp;"|"&amp;O$14&amp;"|"&amp;"CY2023Q3",Spectrum!$R:$R,0)),0),""))</f>
        <v>678</v>
      </c>
      <c r="P98" s="42">
        <f>IF(LEFT($B98,4)="_Mil","",_xlfn.IFNA(ROUND(INDEX(Spectrum!$N:$N,MATCH(RIGHT($B98,13)&amp;"|"&amp;$C98&amp;"|"&amp;$D98&amp;"|"&amp;P$14&amp;"|"&amp;"CY2023Q3",Spectrum!$R:$R,0)),0),""))</f>
        <v>1574</v>
      </c>
      <c r="Q98" s="42" t="str">
        <f>IF(LEFT($B98,4)="_Mil","",_xlfn.IFNA(ROUND(INDEX(Spectrum!$N:$N,MATCH(RIGHT($B98,13)&amp;"|"&amp;$C98&amp;"|"&amp;$D98&amp;"|"&amp;Q$14&amp;"|"&amp;"CY2022Q3",Spectrum!$R:$R,0)),0),""))</f>
        <v/>
      </c>
      <c r="R98" s="14"/>
      <c r="S98" s="90">
        <f>0</f>
        <v>0</v>
      </c>
      <c r="T98" s="42" t="str">
        <f t="shared" si="57"/>
        <v/>
      </c>
      <c r="U98" s="90">
        <f t="shared" si="58"/>
        <v>0</v>
      </c>
      <c r="V98" s="42" t="str">
        <f t="shared" si="59"/>
        <v/>
      </c>
      <c r="W98" s="90"/>
      <c r="X98" s="90">
        <f t="shared" si="60"/>
        <v>0</v>
      </c>
      <c r="Y98" s="90"/>
      <c r="Z98" s="90">
        <f t="shared" si="61"/>
        <v>0</v>
      </c>
      <c r="AA98" s="14" t="str">
        <f t="shared" si="62"/>
        <v/>
      </c>
      <c r="AB98" s="42" t="str">
        <f t="shared" si="63"/>
        <v/>
      </c>
      <c r="AC98" s="42" t="str">
        <f t="shared" si="64"/>
        <v/>
      </c>
      <c r="AD98" s="42" t="str">
        <f t="shared" si="65"/>
        <v/>
      </c>
      <c r="AE98" s="14" t="str">
        <f t="shared" si="66"/>
        <v/>
      </c>
      <c r="AF98" s="42" t="str">
        <f t="shared" si="67"/>
        <v/>
      </c>
      <c r="AG98" s="42" t="str">
        <f t="shared" si="68"/>
        <v/>
      </c>
      <c r="AH98" s="42" t="str">
        <f t="shared" si="69"/>
        <v/>
      </c>
      <c r="AI98" s="90" t="str">
        <f>IF(SUM($AC98)=0,"",INDEX(Cascade!$BG:$BG,MATCH($E98,Cascade!$E:$E,0)))</f>
        <v/>
      </c>
      <c r="AJ98" s="42" t="str">
        <f t="shared" si="70"/>
        <v/>
      </c>
      <c r="AK98" s="42" t="str">
        <f t="shared" si="71"/>
        <v/>
      </c>
      <c r="AL98" s="42" t="str">
        <f t="shared" si="72"/>
        <v/>
      </c>
      <c r="AM98" s="42" t="str">
        <f t="shared" si="73"/>
        <v/>
      </c>
      <c r="AN98" s="42" t="str">
        <f t="shared" si="74"/>
        <v/>
      </c>
      <c r="AO98" s="14" t="str">
        <f t="shared" si="75"/>
        <v/>
      </c>
      <c r="AP98" s="90"/>
      <c r="AQ98" s="90" t="str">
        <f t="shared" si="76"/>
        <v/>
      </c>
      <c r="AR98" s="90" t="str">
        <f>IF(SUM($AO98)=0,"",INDEX(Cascade!$BG:$BG,MATCH($E98,Cascade!$E:$E,0)))</f>
        <v/>
      </c>
      <c r="AS98" s="42" t="str">
        <f t="shared" si="77"/>
        <v/>
      </c>
      <c r="AT98" s="42" t="str">
        <f t="shared" si="78"/>
        <v/>
      </c>
      <c r="AU98" s="14" t="str">
        <f t="shared" si="79"/>
        <v/>
      </c>
      <c r="AV98" s="14" t="str">
        <f t="shared" si="80"/>
        <v/>
      </c>
      <c r="AW98" s="14" t="str">
        <f>IFERROR(1/(1/INDEX(Cascade!$BH:$BH,MATCH($E98,Cascade!$E:$E,0))),"")</f>
        <v/>
      </c>
      <c r="AX98" s="14" t="str">
        <f t="shared" si="81"/>
        <v/>
      </c>
      <c r="AY98" s="14" t="str">
        <f t="shared" si="82"/>
        <v/>
      </c>
      <c r="AZ98" s="14" t="str">
        <f>IFERROR(1/(1/INDEX(TB!$P:$P,MATCH($E98,TB!$E:$E,0))),"")</f>
        <v/>
      </c>
      <c r="BA98" s="14" t="str">
        <f t="shared" si="83"/>
        <v/>
      </c>
    </row>
    <row r="99" spans="1:53" x14ac:dyDescent="0.2">
      <c r="A99" t="str">
        <f>INDEX(Prioritization!$D:$D,MATCH($B99,Prioritization!$A:$A,0))</f>
        <v>1 - Scale-up: Saturation</v>
      </c>
      <c r="B99" t="s">
        <v>209</v>
      </c>
      <c r="C99" t="s">
        <v>367</v>
      </c>
      <c r="D99" t="s">
        <v>29</v>
      </c>
      <c r="E99" t="str">
        <f t="shared" si="56"/>
        <v>Balaka District [ir8wuHHzoSs]|50+|Female</v>
      </c>
      <c r="F99" s="14">
        <f>IF(LEFT($B99,4)="_Mil","",INDEX(Cascade!$T:$T,MATCH($E99,Cascade!$E:$E,0)))</f>
        <v>1618</v>
      </c>
      <c r="G99" s="14" t="str">
        <f>IF(LEFT($B99,4)="_Mil","",INDEX(Cascade!$U:$U,MATCH($E99,Cascade!$E:$E,0)))</f>
        <v/>
      </c>
      <c r="H99" s="88">
        <f>IF(LEFT($B99,4)="_Mil","",INDEX(Cascade!$W:$W,MATCH($E99,Cascade!$E:$E,0)))</f>
        <v>1737</v>
      </c>
      <c r="I99" s="14">
        <f>IF(LEFT($B99,4)="_Mil","",INDEX(Cascade!$Z:$Z,MATCH($E99,Cascade!$E:$E,0)))</f>
        <v>1236</v>
      </c>
      <c r="J99" s="90">
        <f>IF(LEFT($B99,4)="_Mil","",INDEX(Cascade!$AA:$AA,MATCH($E99,Cascade!$E:$E,0)))</f>
        <v>1762.9999999999998</v>
      </c>
      <c r="K99" s="42" t="str">
        <f>IF(LEFT($B99,4)="_Mil","",_xlfn.IFNA(ROUND(INDEX(Spectrum!$N:$N,MATCH(RIGHT($B99,13)&amp;"|"&amp;$C99&amp;"|"&amp;$D99&amp;"|"&amp;K$14&amp;"|"&amp;"CY2023Q3",Spectrum!$R:$R,0)),0),""))</f>
        <v/>
      </c>
      <c r="L99" s="42" t="str">
        <f>IF(LEFT($B99,4)="_Mil","",_xlfn.IFNA(ROUND(INDEX(Spectrum!$N:$N,MATCH(RIGHT($B99,13)&amp;"|"&amp;$C99&amp;"|"&amp;$D99&amp;"|"&amp;L$14&amp;"|"&amp;"CY2023Q3",Spectrum!$R:$R,0)),0),""))</f>
        <v/>
      </c>
      <c r="M99" s="42" t="str">
        <f>IF(LEFT($B99,4)="_Mil","",_xlfn.IFNA(ROUND(INDEX(Spectrum!$N:$N,MATCH(RIGHT($B99,13)&amp;"|"&amp;$C99&amp;"|"&amp;$D99&amp;"|"&amp;M$14&amp;"|"&amp;"CY2023Q3",Spectrum!$R:$R,0)),0),""))</f>
        <v/>
      </c>
      <c r="N99" s="42" t="str">
        <f>IF(LEFT($B99,4)="_Mil","",_xlfn.IFNA(ROUND(INDEX(Spectrum!$N:$N,MATCH(RIGHT($B99,13)&amp;"|"&amp;$C99&amp;"|"&amp;$D99&amp;"|"&amp;N$14&amp;"|"&amp;"CY2023Q3",Spectrum!$R:$R,0)),0),""))</f>
        <v/>
      </c>
      <c r="O99" s="42" t="str">
        <f>IF(LEFT($B99,4)="_Mil","",_xlfn.IFNA(ROUND(INDEX(Spectrum!$N:$N,MATCH(RIGHT($B99,13)&amp;"|"&amp;$C99&amp;"|"&amp;$D99&amp;"|"&amp;O$14&amp;"|"&amp;"CY2023Q3",Spectrum!$R:$R,0)),0),""))</f>
        <v/>
      </c>
      <c r="P99" s="42" t="str">
        <f>IF(LEFT($B99,4)="_Mil","",_xlfn.IFNA(ROUND(INDEX(Spectrum!$N:$N,MATCH(RIGHT($B99,13)&amp;"|"&amp;$C99&amp;"|"&amp;$D99&amp;"|"&amp;P$14&amp;"|"&amp;"CY2023Q3",Spectrum!$R:$R,0)),0),""))</f>
        <v/>
      </c>
      <c r="Q99" s="42" t="str">
        <f>IF(LEFT($B99,4)="_Mil","",_xlfn.IFNA(ROUND(INDEX(Spectrum!$N:$N,MATCH(RIGHT($B99,13)&amp;"|"&amp;$C99&amp;"|"&amp;$D99&amp;"|"&amp;Q$14&amp;"|"&amp;"CY2022Q3",Spectrum!$R:$R,0)),0),""))</f>
        <v/>
      </c>
      <c r="R99" s="14"/>
      <c r="S99" s="90">
        <f>0</f>
        <v>0</v>
      </c>
      <c r="T99" s="42" t="str">
        <f t="shared" si="57"/>
        <v/>
      </c>
      <c r="U99" s="90" t="str">
        <f t="shared" si="58"/>
        <v/>
      </c>
      <c r="V99" s="42" t="str">
        <f t="shared" si="59"/>
        <v/>
      </c>
      <c r="W99" s="90"/>
      <c r="X99" s="90" t="str">
        <f t="shared" si="60"/>
        <v/>
      </c>
      <c r="Y99" s="90"/>
      <c r="Z99" s="90" t="str">
        <f t="shared" si="61"/>
        <v/>
      </c>
      <c r="AA99" s="14" t="str">
        <f t="shared" si="62"/>
        <v/>
      </c>
      <c r="AB99" s="42" t="str">
        <f t="shared" si="63"/>
        <v/>
      </c>
      <c r="AC99" s="42" t="str">
        <f t="shared" si="64"/>
        <v/>
      </c>
      <c r="AD99" s="42" t="str">
        <f t="shared" si="65"/>
        <v/>
      </c>
      <c r="AE99" s="14" t="str">
        <f t="shared" si="66"/>
        <v/>
      </c>
      <c r="AF99" s="42" t="str">
        <f t="shared" si="67"/>
        <v/>
      </c>
      <c r="AG99" s="42" t="str">
        <f t="shared" si="68"/>
        <v/>
      </c>
      <c r="AH99" s="42" t="str">
        <f t="shared" si="69"/>
        <v/>
      </c>
      <c r="AI99" s="90" t="str">
        <f>IF(SUM($AC99)=0,"",INDEX(Cascade!$BG:$BG,MATCH($E99,Cascade!$E:$E,0)))</f>
        <v/>
      </c>
      <c r="AJ99" s="42" t="str">
        <f t="shared" si="70"/>
        <v/>
      </c>
      <c r="AK99" s="42" t="str">
        <f t="shared" si="71"/>
        <v/>
      </c>
      <c r="AL99" s="42" t="str">
        <f t="shared" si="72"/>
        <v/>
      </c>
      <c r="AM99" s="42" t="str">
        <f t="shared" si="73"/>
        <v/>
      </c>
      <c r="AN99" s="42" t="str">
        <f t="shared" si="74"/>
        <v/>
      </c>
      <c r="AO99" s="14" t="str">
        <f t="shared" si="75"/>
        <v/>
      </c>
      <c r="AP99" s="90"/>
      <c r="AQ99" s="90" t="str">
        <f t="shared" si="76"/>
        <v/>
      </c>
      <c r="AR99" s="90" t="str">
        <f>IF(SUM($AO99)=0,"",INDEX(Cascade!$BG:$BG,MATCH($E99,Cascade!$E:$E,0)))</f>
        <v/>
      </c>
      <c r="AS99" s="42" t="str">
        <f t="shared" si="77"/>
        <v/>
      </c>
      <c r="AT99" s="42" t="str">
        <f t="shared" si="78"/>
        <v/>
      </c>
      <c r="AU99" s="14" t="str">
        <f t="shared" si="79"/>
        <v/>
      </c>
      <c r="AV99" s="14" t="str">
        <f t="shared" si="80"/>
        <v/>
      </c>
      <c r="AW99" s="14" t="str">
        <f>IFERROR(1/(1/INDEX(Cascade!$BH:$BH,MATCH($E99,Cascade!$E:$E,0))),"")</f>
        <v/>
      </c>
      <c r="AX99" s="14" t="str">
        <f t="shared" si="81"/>
        <v/>
      </c>
      <c r="AY99" s="14" t="str">
        <f t="shared" si="82"/>
        <v/>
      </c>
      <c r="AZ99" s="14" t="str">
        <f>IFERROR(1/(1/INDEX(TB!$P:$P,MATCH($E99,TB!$E:$E,0))),"")</f>
        <v/>
      </c>
      <c r="BA99" s="14" t="str">
        <f t="shared" si="83"/>
        <v/>
      </c>
    </row>
    <row r="100" spans="1:53" x14ac:dyDescent="0.2">
      <c r="A100" t="str">
        <f>INDEX(Prioritization!$D:$D,MATCH($B100,Prioritization!$A:$A,0))</f>
        <v>1 - Scale-up: Saturation</v>
      </c>
      <c r="B100" t="s">
        <v>210</v>
      </c>
      <c r="C100" t="s">
        <v>363</v>
      </c>
      <c r="D100" t="s">
        <v>29</v>
      </c>
      <c r="E100" t="str">
        <f t="shared" si="56"/>
        <v>Blantyre District [mxqa3CDFmIT]|10-14|Female</v>
      </c>
      <c r="F100" s="14">
        <f>IF(LEFT($B100,4)="_Mil","",INDEX(Cascade!$T:$T,MATCH($E100,Cascade!$E:$E,0)))</f>
        <v>1508</v>
      </c>
      <c r="G100" s="14" t="str">
        <f>IF(LEFT($B100,4)="_Mil","",INDEX(Cascade!$U:$U,MATCH($E100,Cascade!$E:$E,0)))</f>
        <v/>
      </c>
      <c r="H100" s="88">
        <f>IF(LEFT($B100,4)="_Mil","",INDEX(Cascade!$W:$W,MATCH($E100,Cascade!$E:$E,0)))</f>
        <v>849</v>
      </c>
      <c r="I100" s="14">
        <f>IF(LEFT($B100,4)="_Mil","",INDEX(Cascade!$Z:$Z,MATCH($E100,Cascade!$E:$E,0)))</f>
        <v>1168</v>
      </c>
      <c r="J100" s="90">
        <f>IF(LEFT($B100,4)="_Mil","",INDEX(Cascade!$AA:$AA,MATCH($E100,Cascade!$E:$E,0)))</f>
        <v>628</v>
      </c>
      <c r="K100" s="42" t="str">
        <f>IF(LEFT($B100,4)="_Mil","",_xlfn.IFNA(ROUND(INDEX(Spectrum!$N:$N,MATCH(RIGHT($B100,13)&amp;"|"&amp;$C100&amp;"|"&amp;$D100&amp;"|"&amp;K$14&amp;"|"&amp;"CY2023Q3",Spectrum!$R:$R,0)),0),""))</f>
        <v/>
      </c>
      <c r="L100" s="42" t="str">
        <f>IF(LEFT($B100,4)="_Mil","",_xlfn.IFNA(ROUND(INDEX(Spectrum!$N:$N,MATCH(RIGHT($B100,13)&amp;"|"&amp;$C100&amp;"|"&amp;$D100&amp;"|"&amp;L$14&amp;"|"&amp;"CY2023Q3",Spectrum!$R:$R,0)),0),""))</f>
        <v/>
      </c>
      <c r="M100" s="42" t="str">
        <f>IF(LEFT($B100,4)="_Mil","",_xlfn.IFNA(ROUND(INDEX(Spectrum!$N:$N,MATCH(RIGHT($B100,13)&amp;"|"&amp;$C100&amp;"|"&amp;$D100&amp;"|"&amp;M$14&amp;"|"&amp;"CY2023Q3",Spectrum!$R:$R,0)),0),""))</f>
        <v/>
      </c>
      <c r="N100" s="42" t="str">
        <f>IF(LEFT($B100,4)="_Mil","",_xlfn.IFNA(ROUND(INDEX(Spectrum!$N:$N,MATCH(RIGHT($B100,13)&amp;"|"&amp;$C100&amp;"|"&amp;$D100&amp;"|"&amp;N$14&amp;"|"&amp;"CY2023Q3",Spectrum!$R:$R,0)),0),""))</f>
        <v/>
      </c>
      <c r="O100" s="42" t="str">
        <f>IF(LEFT($B100,4)="_Mil","",_xlfn.IFNA(ROUND(INDEX(Spectrum!$N:$N,MATCH(RIGHT($B100,13)&amp;"|"&amp;$C100&amp;"|"&amp;$D100&amp;"|"&amp;O$14&amp;"|"&amp;"CY2023Q3",Spectrum!$R:$R,0)),0),""))</f>
        <v/>
      </c>
      <c r="P100" s="42" t="str">
        <f>IF(LEFT($B100,4)="_Mil","",_xlfn.IFNA(ROUND(INDEX(Spectrum!$N:$N,MATCH(RIGHT($B100,13)&amp;"|"&amp;$C100&amp;"|"&amp;$D100&amp;"|"&amp;P$14&amp;"|"&amp;"CY2023Q3",Spectrum!$R:$R,0)),0),""))</f>
        <v/>
      </c>
      <c r="Q100" s="42" t="str">
        <f>IF(LEFT($B100,4)="_Mil","",_xlfn.IFNA(ROUND(INDEX(Spectrum!$N:$N,MATCH(RIGHT($B100,13)&amp;"|"&amp;$C100&amp;"|"&amp;$D100&amp;"|"&amp;Q$14&amp;"|"&amp;"CY2022Q3",Spectrum!$R:$R,0)),0),""))</f>
        <v/>
      </c>
      <c r="R100" s="14">
        <v>9</v>
      </c>
      <c r="S100" s="90">
        <f>0</f>
        <v>0</v>
      </c>
      <c r="T100" s="42">
        <f t="shared" si="57"/>
        <v>9</v>
      </c>
      <c r="U100" s="90">
        <f t="shared" si="58"/>
        <v>1</v>
      </c>
      <c r="V100" s="42">
        <f t="shared" si="59"/>
        <v>9</v>
      </c>
      <c r="W100" s="90">
        <v>0.73160222335718605</v>
      </c>
      <c r="X100" s="90">
        <f t="shared" si="60"/>
        <v>0.73160222335718605</v>
      </c>
      <c r="Y100" s="90">
        <v>0.61525078536942601</v>
      </c>
      <c r="Z100" s="90">
        <f t="shared" si="61"/>
        <v>0.61525078536942601</v>
      </c>
      <c r="AA100" s="14">
        <f t="shared" si="62"/>
        <v>9</v>
      </c>
      <c r="AB100" s="42">
        <f t="shared" si="63"/>
        <v>7</v>
      </c>
      <c r="AC100" s="42">
        <f t="shared" si="64"/>
        <v>1</v>
      </c>
      <c r="AD100" s="42">
        <f t="shared" si="65"/>
        <v>1</v>
      </c>
      <c r="AE100" s="14">
        <f t="shared" si="66"/>
        <v>9</v>
      </c>
      <c r="AF100" s="42">
        <f t="shared" si="67"/>
        <v>7</v>
      </c>
      <c r="AG100" s="42">
        <f t="shared" si="68"/>
        <v>1</v>
      </c>
      <c r="AH100" s="42">
        <f t="shared" si="69"/>
        <v>1</v>
      </c>
      <c r="AI100" s="90">
        <f>IF(SUM($AC100)=0,"",INDEX(Cascade!$BG:$BG,MATCH($E100,Cascade!$E:$E,0)))</f>
        <v>0.95</v>
      </c>
      <c r="AJ100" s="42">
        <f t="shared" si="70"/>
        <v>7</v>
      </c>
      <c r="AK100" s="42">
        <f t="shared" si="71"/>
        <v>1</v>
      </c>
      <c r="AL100" s="42">
        <f t="shared" si="72"/>
        <v>8</v>
      </c>
      <c r="AM100" s="42">
        <f t="shared" si="73"/>
        <v>7</v>
      </c>
      <c r="AN100" s="42">
        <f t="shared" si="74"/>
        <v>1</v>
      </c>
      <c r="AO100" s="14">
        <f t="shared" si="75"/>
        <v>1</v>
      </c>
      <c r="AP100" s="90">
        <v>0.87164750671945501</v>
      </c>
      <c r="AQ100" s="90">
        <f t="shared" si="76"/>
        <v>0.87164750671945501</v>
      </c>
      <c r="AR100" s="90">
        <f>IF(SUM($AO100)=0,"",INDEX(Cascade!$BG:$BG,MATCH($E100,Cascade!$E:$E,0)))</f>
        <v>0.95</v>
      </c>
      <c r="AS100" s="42">
        <f t="shared" si="77"/>
        <v>1</v>
      </c>
      <c r="AT100" s="42">
        <f t="shared" si="78"/>
        <v>0</v>
      </c>
      <c r="AU100" s="14">
        <f t="shared" si="79"/>
        <v>1</v>
      </c>
      <c r="AV100" s="14">
        <f t="shared" si="80"/>
        <v>9</v>
      </c>
      <c r="AW100" s="14">
        <f>IFERROR(1/(1/INDEX(Cascade!$BH:$BH,MATCH($E100,Cascade!$E:$E,0))),"")</f>
        <v>-208</v>
      </c>
      <c r="AX100" s="14">
        <f t="shared" si="81"/>
        <v>1</v>
      </c>
      <c r="AY100" s="14">
        <f t="shared" si="82"/>
        <v>1</v>
      </c>
      <c r="AZ100" s="14" t="str">
        <f>IFERROR(1/(1/INDEX(TB!$P:$P,MATCH($E100,TB!$E:$E,0))),"")</f>
        <v/>
      </c>
      <c r="BA100" s="14">
        <f t="shared" si="83"/>
        <v>-209.99999999999997</v>
      </c>
    </row>
    <row r="101" spans="1:53" x14ac:dyDescent="0.2">
      <c r="A101" t="str">
        <f>INDEX(Prioritization!$D:$D,MATCH($B101,Prioritization!$A:$A,0))</f>
        <v>1 - Scale-up: Saturation</v>
      </c>
      <c r="B101" t="s">
        <v>210</v>
      </c>
      <c r="C101" t="s">
        <v>364</v>
      </c>
      <c r="D101" t="s">
        <v>29</v>
      </c>
      <c r="E101" t="str">
        <f t="shared" si="56"/>
        <v>Blantyre District [mxqa3CDFmIT]|15-24|Female</v>
      </c>
      <c r="F101" s="14">
        <f>IF(LEFT($B101,4)="_Mil","",INDEX(Cascade!$T:$T,MATCH($E101,Cascade!$E:$E,0)))</f>
        <v>1328</v>
      </c>
      <c r="G101" s="14" t="str">
        <f>IF(LEFT($B101,4)="_Mil","",INDEX(Cascade!$U:$U,MATCH($E101,Cascade!$E:$E,0)))</f>
        <v/>
      </c>
      <c r="H101" s="88">
        <f>IF(LEFT($B101,4)="_Mil","",INDEX(Cascade!$W:$W,MATCH($E101,Cascade!$E:$E,0)))</f>
        <v>1376</v>
      </c>
      <c r="I101" s="14">
        <f>IF(LEFT($B101,4)="_Mil","",INDEX(Cascade!$Z:$Z,MATCH($E101,Cascade!$E:$E,0)))</f>
        <v>1435</v>
      </c>
      <c r="J101" s="90">
        <f>IF(LEFT($B101,4)="_Mil","",INDEX(Cascade!$AA:$AA,MATCH($E101,Cascade!$E:$E,0)))</f>
        <v>534</v>
      </c>
      <c r="K101" s="42">
        <f>IF(LEFT($B101,4)="_Mil","",_xlfn.IFNA(ROUND(INDEX(Spectrum!$N:$N,MATCH(RIGHT($B101,13)&amp;"|"&amp;$C101&amp;"|"&amp;$D101&amp;"|"&amp;K$14&amp;"|"&amp;"CY2023Q3",Spectrum!$R:$R,0)),0),""))</f>
        <v>917</v>
      </c>
      <c r="L101" s="42" t="str">
        <f>IF(LEFT($B101,4)="_Mil","",_xlfn.IFNA(ROUND(INDEX(Spectrum!$N:$N,MATCH(RIGHT($B101,13)&amp;"|"&amp;$C101&amp;"|"&amp;$D101&amp;"|"&amp;L$14&amp;"|"&amp;"CY2023Q3",Spectrum!$R:$R,0)),0),""))</f>
        <v/>
      </c>
      <c r="M101" s="42">
        <f>IF(LEFT($B101,4)="_Mil","",_xlfn.IFNA(ROUND(INDEX(Spectrum!$N:$N,MATCH(RIGHT($B101,13)&amp;"|"&amp;$C101&amp;"|"&amp;$D101&amp;"|"&amp;M$14&amp;"|"&amp;"CY2023Q3",Spectrum!$R:$R,0)),0),""))</f>
        <v>669</v>
      </c>
      <c r="N101" s="42">
        <f>IF(LEFT($B101,4)="_Mil","",_xlfn.IFNA(ROUND(INDEX(Spectrum!$N:$N,MATCH(RIGHT($B101,13)&amp;"|"&amp;$C101&amp;"|"&amp;$D101&amp;"|"&amp;N$14&amp;"|"&amp;"CY2023Q3",Spectrum!$R:$R,0)),0),""))</f>
        <v>524</v>
      </c>
      <c r="O101" s="42">
        <f>IF(LEFT($B101,4)="_Mil","",_xlfn.IFNA(ROUND(INDEX(Spectrum!$N:$N,MATCH(RIGHT($B101,13)&amp;"|"&amp;$C101&amp;"|"&amp;$D101&amp;"|"&amp;O$14&amp;"|"&amp;"CY2023Q3",Spectrum!$R:$R,0)),0),""))</f>
        <v>722</v>
      </c>
      <c r="P101" s="42">
        <f>IF(LEFT($B101,4)="_Mil","",_xlfn.IFNA(ROUND(INDEX(Spectrum!$N:$N,MATCH(RIGHT($B101,13)&amp;"|"&amp;$C101&amp;"|"&amp;$D101&amp;"|"&amp;P$14&amp;"|"&amp;"CY2023Q3",Spectrum!$R:$R,0)),0),""))</f>
        <v>1548</v>
      </c>
      <c r="Q101" s="42" t="str">
        <f>IF(LEFT($B101,4)="_Mil","",_xlfn.IFNA(ROUND(INDEX(Spectrum!$N:$N,MATCH(RIGHT($B101,13)&amp;"|"&amp;$C101&amp;"|"&amp;$D101&amp;"|"&amp;Q$14&amp;"|"&amp;"CY2022Q3",Spectrum!$R:$R,0)),0),""))</f>
        <v/>
      </c>
      <c r="R101" s="14"/>
      <c r="S101" s="90">
        <f>0</f>
        <v>0</v>
      </c>
      <c r="T101" s="42" t="str">
        <f t="shared" si="57"/>
        <v/>
      </c>
      <c r="U101" s="90">
        <f t="shared" si="58"/>
        <v>0</v>
      </c>
      <c r="V101" s="42" t="str">
        <f t="shared" si="59"/>
        <v/>
      </c>
      <c r="W101" s="90"/>
      <c r="X101" s="90">
        <f t="shared" si="60"/>
        <v>0</v>
      </c>
      <c r="Y101" s="90"/>
      <c r="Z101" s="90">
        <f t="shared" si="61"/>
        <v>0</v>
      </c>
      <c r="AA101" s="14" t="str">
        <f t="shared" si="62"/>
        <v/>
      </c>
      <c r="AB101" s="42" t="str">
        <f t="shared" si="63"/>
        <v/>
      </c>
      <c r="AC101" s="42" t="str">
        <f t="shared" si="64"/>
        <v/>
      </c>
      <c r="AD101" s="42" t="str">
        <f t="shared" si="65"/>
        <v/>
      </c>
      <c r="AE101" s="14" t="str">
        <f t="shared" si="66"/>
        <v/>
      </c>
      <c r="AF101" s="42" t="str">
        <f t="shared" si="67"/>
        <v/>
      </c>
      <c r="AG101" s="42" t="str">
        <f t="shared" si="68"/>
        <v/>
      </c>
      <c r="AH101" s="42" t="str">
        <f t="shared" si="69"/>
        <v/>
      </c>
      <c r="AI101" s="90" t="str">
        <f>IF(SUM($AC101)=0,"",INDEX(Cascade!$BG:$BG,MATCH($E101,Cascade!$E:$E,0)))</f>
        <v/>
      </c>
      <c r="AJ101" s="42" t="str">
        <f t="shared" si="70"/>
        <v/>
      </c>
      <c r="AK101" s="42" t="str">
        <f t="shared" si="71"/>
        <v/>
      </c>
      <c r="AL101" s="42" t="str">
        <f t="shared" si="72"/>
        <v/>
      </c>
      <c r="AM101" s="42" t="str">
        <f t="shared" si="73"/>
        <v/>
      </c>
      <c r="AN101" s="42" t="str">
        <f t="shared" si="74"/>
        <v/>
      </c>
      <c r="AO101" s="14" t="str">
        <f t="shared" si="75"/>
        <v/>
      </c>
      <c r="AP101" s="90"/>
      <c r="AQ101" s="90" t="str">
        <f t="shared" si="76"/>
        <v/>
      </c>
      <c r="AR101" s="90" t="str">
        <f>IF(SUM($AO101)=0,"",INDEX(Cascade!$BG:$BG,MATCH($E101,Cascade!$E:$E,0)))</f>
        <v/>
      </c>
      <c r="AS101" s="42" t="str">
        <f t="shared" si="77"/>
        <v/>
      </c>
      <c r="AT101" s="42" t="str">
        <f t="shared" si="78"/>
        <v/>
      </c>
      <c r="AU101" s="14" t="str">
        <f t="shared" si="79"/>
        <v/>
      </c>
      <c r="AV101" s="14" t="str">
        <f t="shared" si="80"/>
        <v/>
      </c>
      <c r="AW101" s="14" t="str">
        <f>IFERROR(1/(1/INDEX(Cascade!$BH:$BH,MATCH($E101,Cascade!$E:$E,0))),"")</f>
        <v/>
      </c>
      <c r="AX101" s="14" t="str">
        <f t="shared" si="81"/>
        <v/>
      </c>
      <c r="AY101" s="14" t="str">
        <f t="shared" si="82"/>
        <v/>
      </c>
      <c r="AZ101" s="14" t="str">
        <f>IFERROR(1/(1/INDEX(TB!$P:$P,MATCH($E101,TB!$E:$E,0))),"")</f>
        <v/>
      </c>
      <c r="BA101" s="14" t="str">
        <f t="shared" si="83"/>
        <v/>
      </c>
    </row>
    <row r="102" spans="1:53" x14ac:dyDescent="0.2">
      <c r="A102" t="str">
        <f>INDEX(Prioritization!$D:$D,MATCH($B102,Prioritization!$A:$A,0))</f>
        <v>1 - Scale-up: Saturation</v>
      </c>
      <c r="B102" t="s">
        <v>210</v>
      </c>
      <c r="C102" t="s">
        <v>365</v>
      </c>
      <c r="D102" t="s">
        <v>29</v>
      </c>
      <c r="E102" t="str">
        <f t="shared" si="56"/>
        <v>Blantyre District [mxqa3CDFmIT]|25-34|Female</v>
      </c>
      <c r="F102" s="14">
        <f>IF(LEFT($B102,4)="_Mil","",INDEX(Cascade!$T:$T,MATCH($E102,Cascade!$E:$E,0)))</f>
        <v>1285</v>
      </c>
      <c r="G102" s="14" t="str">
        <f>IF(LEFT($B102,4)="_Mil","",INDEX(Cascade!$U:$U,MATCH($E102,Cascade!$E:$E,0)))</f>
        <v/>
      </c>
      <c r="H102" s="88">
        <f>IF(LEFT($B102,4)="_Mil","",INDEX(Cascade!$W:$W,MATCH($E102,Cascade!$E:$E,0)))</f>
        <v>1300</v>
      </c>
      <c r="I102" s="14">
        <f>IF(LEFT($B102,4)="_Mil","",INDEX(Cascade!$Z:$Z,MATCH($E102,Cascade!$E:$E,0)))</f>
        <v>1381</v>
      </c>
      <c r="J102" s="90">
        <f>IF(LEFT($B102,4)="_Mil","",INDEX(Cascade!$AA:$AA,MATCH($E102,Cascade!$E:$E,0)))</f>
        <v>553</v>
      </c>
      <c r="K102" s="42">
        <f>IF(LEFT($B102,4)="_Mil","",_xlfn.IFNA(ROUND(INDEX(Spectrum!$N:$N,MATCH(RIGHT($B102,13)&amp;"|"&amp;$C102&amp;"|"&amp;$D102&amp;"|"&amp;K$14&amp;"|"&amp;"CY2023Q3",Spectrum!$R:$R,0)),0),""))</f>
        <v>1696</v>
      </c>
      <c r="L102" s="42" t="str">
        <f>IF(LEFT($B102,4)="_Mil","",_xlfn.IFNA(ROUND(INDEX(Spectrum!$N:$N,MATCH(RIGHT($B102,13)&amp;"|"&amp;$C102&amp;"|"&amp;$D102&amp;"|"&amp;L$14&amp;"|"&amp;"CY2023Q3",Spectrum!$R:$R,0)),0),""))</f>
        <v/>
      </c>
      <c r="M102" s="42">
        <f>IF(LEFT($B102,4)="_Mil","",_xlfn.IFNA(ROUND(INDEX(Spectrum!$N:$N,MATCH(RIGHT($B102,13)&amp;"|"&amp;$C102&amp;"|"&amp;$D102&amp;"|"&amp;M$14&amp;"|"&amp;"CY2023Q3",Spectrum!$R:$R,0)),0),""))</f>
        <v>814</v>
      </c>
      <c r="N102" s="42">
        <f>IF(LEFT($B102,4)="_Mil","",_xlfn.IFNA(ROUND(INDEX(Spectrum!$N:$N,MATCH(RIGHT($B102,13)&amp;"|"&amp;$C102&amp;"|"&amp;$D102&amp;"|"&amp;N$14&amp;"|"&amp;"CY2023Q3",Spectrum!$R:$R,0)),0),""))</f>
        <v>1502</v>
      </c>
      <c r="O102" s="42">
        <f>IF(LEFT($B102,4)="_Mil","",_xlfn.IFNA(ROUND(INDEX(Spectrum!$N:$N,MATCH(RIGHT($B102,13)&amp;"|"&amp;$C102&amp;"|"&amp;$D102&amp;"|"&amp;O$14&amp;"|"&amp;"CY2023Q3",Spectrum!$R:$R,0)),0),""))</f>
        <v>698</v>
      </c>
      <c r="P102" s="42">
        <f>IF(LEFT($B102,4)="_Mil","",_xlfn.IFNA(ROUND(INDEX(Spectrum!$N:$N,MATCH(RIGHT($B102,13)&amp;"|"&amp;$C102&amp;"|"&amp;$D102&amp;"|"&amp;P$14&amp;"|"&amp;"CY2023Q3",Spectrum!$R:$R,0)),0),""))</f>
        <v>900</v>
      </c>
      <c r="Q102" s="42" t="str">
        <f>IF(LEFT($B102,4)="_Mil","",_xlfn.IFNA(ROUND(INDEX(Spectrum!$N:$N,MATCH(RIGHT($B102,13)&amp;"|"&amp;$C102&amp;"|"&amp;$D102&amp;"|"&amp;Q$14&amp;"|"&amp;"CY2022Q3",Spectrum!$R:$R,0)),0),""))</f>
        <v/>
      </c>
      <c r="R102" s="14"/>
      <c r="S102" s="90">
        <f>0</f>
        <v>0</v>
      </c>
      <c r="T102" s="42" t="str">
        <f t="shared" si="57"/>
        <v/>
      </c>
      <c r="U102" s="90">
        <f t="shared" si="58"/>
        <v>0</v>
      </c>
      <c r="V102" s="42" t="str">
        <f t="shared" si="59"/>
        <v/>
      </c>
      <c r="W102" s="90"/>
      <c r="X102" s="90">
        <f t="shared" si="60"/>
        <v>0</v>
      </c>
      <c r="Y102" s="90"/>
      <c r="Z102" s="90">
        <f t="shared" si="61"/>
        <v>0</v>
      </c>
      <c r="AA102" s="14" t="str">
        <f t="shared" si="62"/>
        <v/>
      </c>
      <c r="AB102" s="42" t="str">
        <f t="shared" si="63"/>
        <v/>
      </c>
      <c r="AC102" s="42" t="str">
        <f t="shared" si="64"/>
        <v/>
      </c>
      <c r="AD102" s="42" t="str">
        <f t="shared" si="65"/>
        <v/>
      </c>
      <c r="AE102" s="14" t="str">
        <f t="shared" si="66"/>
        <v/>
      </c>
      <c r="AF102" s="42" t="str">
        <f t="shared" si="67"/>
        <v/>
      </c>
      <c r="AG102" s="42" t="str">
        <f t="shared" si="68"/>
        <v/>
      </c>
      <c r="AH102" s="42" t="str">
        <f t="shared" si="69"/>
        <v/>
      </c>
      <c r="AI102" s="90" t="str">
        <f>IF(SUM($AC102)=0,"",INDEX(Cascade!$BG:$BG,MATCH($E102,Cascade!$E:$E,0)))</f>
        <v/>
      </c>
      <c r="AJ102" s="42" t="str">
        <f t="shared" si="70"/>
        <v/>
      </c>
      <c r="AK102" s="42" t="str">
        <f t="shared" si="71"/>
        <v/>
      </c>
      <c r="AL102" s="42" t="str">
        <f t="shared" si="72"/>
        <v/>
      </c>
      <c r="AM102" s="42" t="str">
        <f t="shared" si="73"/>
        <v/>
      </c>
      <c r="AN102" s="42" t="str">
        <f t="shared" si="74"/>
        <v/>
      </c>
      <c r="AO102" s="14" t="str">
        <f t="shared" si="75"/>
        <v/>
      </c>
      <c r="AP102" s="90"/>
      <c r="AQ102" s="90" t="str">
        <f t="shared" si="76"/>
        <v/>
      </c>
      <c r="AR102" s="90" t="str">
        <f>IF(SUM($AO102)=0,"",INDEX(Cascade!$BG:$BG,MATCH($E102,Cascade!$E:$E,0)))</f>
        <v/>
      </c>
      <c r="AS102" s="42" t="str">
        <f t="shared" si="77"/>
        <v/>
      </c>
      <c r="AT102" s="42" t="str">
        <f t="shared" si="78"/>
        <v/>
      </c>
      <c r="AU102" s="14" t="str">
        <f t="shared" si="79"/>
        <v/>
      </c>
      <c r="AV102" s="14" t="str">
        <f t="shared" si="80"/>
        <v/>
      </c>
      <c r="AW102" s="14" t="str">
        <f>IFERROR(1/(1/INDEX(Cascade!$BH:$BH,MATCH($E102,Cascade!$E:$E,0))),"")</f>
        <v/>
      </c>
      <c r="AX102" s="14" t="str">
        <f t="shared" si="81"/>
        <v/>
      </c>
      <c r="AY102" s="14" t="str">
        <f t="shared" si="82"/>
        <v/>
      </c>
      <c r="AZ102" s="14" t="str">
        <f>IFERROR(1/(1/INDEX(TB!$P:$P,MATCH($E102,TB!$E:$E,0))),"")</f>
        <v/>
      </c>
      <c r="BA102" s="14" t="str">
        <f t="shared" si="83"/>
        <v/>
      </c>
    </row>
    <row r="103" spans="1:53" x14ac:dyDescent="0.2">
      <c r="A103" t="str">
        <f>INDEX(Prioritization!$D:$D,MATCH($B103,Prioritization!$A:$A,0))</f>
        <v>1 - Scale-up: Saturation</v>
      </c>
      <c r="B103" t="s">
        <v>210</v>
      </c>
      <c r="C103" t="s">
        <v>366</v>
      </c>
      <c r="D103" t="s">
        <v>29</v>
      </c>
      <c r="E103" t="str">
        <f t="shared" si="56"/>
        <v>Blantyre District [mxqa3CDFmIT]|35-49|Female</v>
      </c>
      <c r="F103" s="14">
        <f>IF(LEFT($B103,4)="_Mil","",INDEX(Cascade!$T:$T,MATCH($E103,Cascade!$E:$E,0)))</f>
        <v>1860</v>
      </c>
      <c r="G103" s="14" t="str">
        <f>IF(LEFT($B103,4)="_Mil","",INDEX(Cascade!$U:$U,MATCH($E103,Cascade!$E:$E,0)))</f>
        <v/>
      </c>
      <c r="H103" s="88">
        <f>IF(LEFT($B103,4)="_Mil","",INDEX(Cascade!$W:$W,MATCH($E103,Cascade!$E:$E,0)))</f>
        <v>1101</v>
      </c>
      <c r="I103" s="14">
        <f>IF(LEFT($B103,4)="_Mil","",INDEX(Cascade!$Z:$Z,MATCH($E103,Cascade!$E:$E,0)))</f>
        <v>1388</v>
      </c>
      <c r="J103" s="90">
        <f>IF(LEFT($B103,4)="_Mil","",INDEX(Cascade!$AA:$AA,MATCH($E103,Cascade!$E:$E,0)))</f>
        <v>1227</v>
      </c>
      <c r="K103" s="42">
        <f>IF(LEFT($B103,4)="_Mil","",_xlfn.IFNA(ROUND(INDEX(Spectrum!$N:$N,MATCH(RIGHT($B103,13)&amp;"|"&amp;$C103&amp;"|"&amp;$D103&amp;"|"&amp;K$14&amp;"|"&amp;"CY2023Q3",Spectrum!$R:$R,0)),0),""))</f>
        <v>833</v>
      </c>
      <c r="L103" s="42" t="str">
        <f>IF(LEFT($B103,4)="_Mil","",_xlfn.IFNA(ROUND(INDEX(Spectrum!$N:$N,MATCH(RIGHT($B103,13)&amp;"|"&amp;$C103&amp;"|"&amp;$D103&amp;"|"&amp;L$14&amp;"|"&amp;"CY2023Q3",Spectrum!$R:$R,0)),0),""))</f>
        <v/>
      </c>
      <c r="M103" s="42">
        <f>IF(LEFT($B103,4)="_Mil","",_xlfn.IFNA(ROUND(INDEX(Spectrum!$N:$N,MATCH(RIGHT($B103,13)&amp;"|"&amp;$C103&amp;"|"&amp;$D103&amp;"|"&amp;M$14&amp;"|"&amp;"CY2023Q3",Spectrum!$R:$R,0)),0),""))</f>
        <v>1569</v>
      </c>
      <c r="N103" s="42">
        <f>IF(LEFT($B103,4)="_Mil","",_xlfn.IFNA(ROUND(INDEX(Spectrum!$N:$N,MATCH(RIGHT($B103,13)&amp;"|"&amp;$C103&amp;"|"&amp;$D103&amp;"|"&amp;N$14&amp;"|"&amp;"CY2023Q3",Spectrum!$R:$R,0)),0),""))</f>
        <v>835</v>
      </c>
      <c r="O103" s="42">
        <f>IF(LEFT($B103,4)="_Mil","",_xlfn.IFNA(ROUND(INDEX(Spectrum!$N:$N,MATCH(RIGHT($B103,13)&amp;"|"&amp;$C103&amp;"|"&amp;$D103&amp;"|"&amp;O$14&amp;"|"&amp;"CY2023Q3",Spectrum!$R:$R,0)),0),""))</f>
        <v>1035</v>
      </c>
      <c r="P103" s="42">
        <f>IF(LEFT($B103,4)="_Mil","",_xlfn.IFNA(ROUND(INDEX(Spectrum!$N:$N,MATCH(RIGHT($B103,13)&amp;"|"&amp;$C103&amp;"|"&amp;$D103&amp;"|"&amp;P$14&amp;"|"&amp;"CY2023Q3",Spectrum!$R:$R,0)),0),""))</f>
        <v>1811</v>
      </c>
      <c r="Q103" s="42" t="str">
        <f>IF(LEFT($B103,4)="_Mil","",_xlfn.IFNA(ROUND(INDEX(Spectrum!$N:$N,MATCH(RIGHT($B103,13)&amp;"|"&amp;$C103&amp;"|"&amp;$D103&amp;"|"&amp;Q$14&amp;"|"&amp;"CY2022Q3",Spectrum!$R:$R,0)),0),""))</f>
        <v/>
      </c>
      <c r="R103" s="14"/>
      <c r="S103" s="90">
        <f>0</f>
        <v>0</v>
      </c>
      <c r="T103" s="42" t="str">
        <f t="shared" si="57"/>
        <v/>
      </c>
      <c r="U103" s="90">
        <f t="shared" si="58"/>
        <v>0</v>
      </c>
      <c r="V103" s="42" t="str">
        <f t="shared" si="59"/>
        <v/>
      </c>
      <c r="W103" s="90"/>
      <c r="X103" s="90">
        <f t="shared" si="60"/>
        <v>0</v>
      </c>
      <c r="Y103" s="90"/>
      <c r="Z103" s="90">
        <f t="shared" si="61"/>
        <v>0</v>
      </c>
      <c r="AA103" s="14" t="str">
        <f t="shared" si="62"/>
        <v/>
      </c>
      <c r="AB103" s="42" t="str">
        <f t="shared" si="63"/>
        <v/>
      </c>
      <c r="AC103" s="42" t="str">
        <f t="shared" si="64"/>
        <v/>
      </c>
      <c r="AD103" s="42" t="str">
        <f t="shared" si="65"/>
        <v/>
      </c>
      <c r="AE103" s="14" t="str">
        <f t="shared" si="66"/>
        <v/>
      </c>
      <c r="AF103" s="42" t="str">
        <f t="shared" si="67"/>
        <v/>
      </c>
      <c r="AG103" s="42" t="str">
        <f t="shared" si="68"/>
        <v/>
      </c>
      <c r="AH103" s="42" t="str">
        <f t="shared" si="69"/>
        <v/>
      </c>
      <c r="AI103" s="90" t="str">
        <f>IF(SUM($AC103)=0,"",INDEX(Cascade!$BG:$BG,MATCH($E103,Cascade!$E:$E,0)))</f>
        <v/>
      </c>
      <c r="AJ103" s="42" t="str">
        <f t="shared" si="70"/>
        <v/>
      </c>
      <c r="AK103" s="42" t="str">
        <f t="shared" si="71"/>
        <v/>
      </c>
      <c r="AL103" s="42" t="str">
        <f t="shared" si="72"/>
        <v/>
      </c>
      <c r="AM103" s="42" t="str">
        <f t="shared" si="73"/>
        <v/>
      </c>
      <c r="AN103" s="42" t="str">
        <f t="shared" si="74"/>
        <v/>
      </c>
      <c r="AO103" s="14" t="str">
        <f t="shared" si="75"/>
        <v/>
      </c>
      <c r="AP103" s="90"/>
      <c r="AQ103" s="90" t="str">
        <f t="shared" si="76"/>
        <v/>
      </c>
      <c r="AR103" s="90" t="str">
        <f>IF(SUM($AO103)=0,"",INDEX(Cascade!$BG:$BG,MATCH($E103,Cascade!$E:$E,0)))</f>
        <v/>
      </c>
      <c r="AS103" s="42" t="str">
        <f t="shared" si="77"/>
        <v/>
      </c>
      <c r="AT103" s="42" t="str">
        <f t="shared" si="78"/>
        <v/>
      </c>
      <c r="AU103" s="14" t="str">
        <f t="shared" si="79"/>
        <v/>
      </c>
      <c r="AV103" s="14" t="str">
        <f t="shared" si="80"/>
        <v/>
      </c>
      <c r="AW103" s="14" t="str">
        <f>IFERROR(1/(1/INDEX(Cascade!$BH:$BH,MATCH($E103,Cascade!$E:$E,0))),"")</f>
        <v/>
      </c>
      <c r="AX103" s="14" t="str">
        <f t="shared" si="81"/>
        <v/>
      </c>
      <c r="AY103" s="14" t="str">
        <f t="shared" si="82"/>
        <v/>
      </c>
      <c r="AZ103" s="14" t="str">
        <f>IFERROR(1/(1/INDEX(TB!$P:$P,MATCH($E103,TB!$E:$E,0))),"")</f>
        <v/>
      </c>
      <c r="BA103" s="14" t="str">
        <f t="shared" si="83"/>
        <v/>
      </c>
    </row>
    <row r="104" spans="1:53" x14ac:dyDescent="0.2">
      <c r="A104" t="str">
        <f>INDEX(Prioritization!$D:$D,MATCH($B104,Prioritization!$A:$A,0))</f>
        <v>1 - Scale-up: Saturation</v>
      </c>
      <c r="B104" t="s">
        <v>210</v>
      </c>
      <c r="C104" t="s">
        <v>367</v>
      </c>
      <c r="D104" t="s">
        <v>29</v>
      </c>
      <c r="E104" t="str">
        <f t="shared" si="56"/>
        <v>Blantyre District [mxqa3CDFmIT]|50+|Female</v>
      </c>
      <c r="F104" s="14">
        <f>IF(LEFT($B104,4)="_Mil","",INDEX(Cascade!$T:$T,MATCH($E104,Cascade!$E:$E,0)))</f>
        <v>1918</v>
      </c>
      <c r="G104" s="14" t="str">
        <f>IF(LEFT($B104,4)="_Mil","",INDEX(Cascade!$U:$U,MATCH($E104,Cascade!$E:$E,0)))</f>
        <v/>
      </c>
      <c r="H104" s="88">
        <f>IF(LEFT($B104,4)="_Mil","",INDEX(Cascade!$W:$W,MATCH($E104,Cascade!$E:$E,0)))</f>
        <v>1987</v>
      </c>
      <c r="I104" s="14">
        <f>IF(LEFT($B104,4)="_Mil","",INDEX(Cascade!$Z:$Z,MATCH($E104,Cascade!$E:$E,0)))</f>
        <v>1496</v>
      </c>
      <c r="J104" s="90">
        <f>IF(LEFT($B104,4)="_Mil","",INDEX(Cascade!$AA:$AA,MATCH($E104,Cascade!$E:$E,0)))</f>
        <v>673</v>
      </c>
      <c r="K104" s="42" t="str">
        <f>IF(LEFT($B104,4)="_Mil","",_xlfn.IFNA(ROUND(INDEX(Spectrum!$N:$N,MATCH(RIGHT($B104,13)&amp;"|"&amp;$C104&amp;"|"&amp;$D104&amp;"|"&amp;K$14&amp;"|"&amp;"CY2023Q3",Spectrum!$R:$R,0)),0),""))</f>
        <v/>
      </c>
      <c r="L104" s="42" t="str">
        <f>IF(LEFT($B104,4)="_Mil","",_xlfn.IFNA(ROUND(INDEX(Spectrum!$N:$N,MATCH(RIGHT($B104,13)&amp;"|"&amp;$C104&amp;"|"&amp;$D104&amp;"|"&amp;L$14&amp;"|"&amp;"CY2023Q3",Spectrum!$R:$R,0)),0),""))</f>
        <v/>
      </c>
      <c r="M104" s="42" t="str">
        <f>IF(LEFT($B104,4)="_Mil","",_xlfn.IFNA(ROUND(INDEX(Spectrum!$N:$N,MATCH(RIGHT($B104,13)&amp;"|"&amp;$C104&amp;"|"&amp;$D104&amp;"|"&amp;M$14&amp;"|"&amp;"CY2023Q3",Spectrum!$R:$R,0)),0),""))</f>
        <v/>
      </c>
      <c r="N104" s="42" t="str">
        <f>IF(LEFT($B104,4)="_Mil","",_xlfn.IFNA(ROUND(INDEX(Spectrum!$N:$N,MATCH(RIGHT($B104,13)&amp;"|"&amp;$C104&amp;"|"&amp;$D104&amp;"|"&amp;N$14&amp;"|"&amp;"CY2023Q3",Spectrum!$R:$R,0)),0),""))</f>
        <v/>
      </c>
      <c r="O104" s="42" t="str">
        <f>IF(LEFT($B104,4)="_Mil","",_xlfn.IFNA(ROUND(INDEX(Spectrum!$N:$N,MATCH(RIGHT($B104,13)&amp;"|"&amp;$C104&amp;"|"&amp;$D104&amp;"|"&amp;O$14&amp;"|"&amp;"CY2023Q3",Spectrum!$R:$R,0)),0),""))</f>
        <v/>
      </c>
      <c r="P104" s="42" t="str">
        <f>IF(LEFT($B104,4)="_Mil","",_xlfn.IFNA(ROUND(INDEX(Spectrum!$N:$N,MATCH(RIGHT($B104,13)&amp;"|"&amp;$C104&amp;"|"&amp;$D104&amp;"|"&amp;P$14&amp;"|"&amp;"CY2023Q3",Spectrum!$R:$R,0)),0),""))</f>
        <v/>
      </c>
      <c r="Q104" s="42" t="str">
        <f>IF(LEFT($B104,4)="_Mil","",_xlfn.IFNA(ROUND(INDEX(Spectrum!$N:$N,MATCH(RIGHT($B104,13)&amp;"|"&amp;$C104&amp;"|"&amp;$D104&amp;"|"&amp;Q$14&amp;"|"&amp;"CY2022Q3",Spectrum!$R:$R,0)),0),""))</f>
        <v/>
      </c>
      <c r="R104" s="14"/>
      <c r="S104" s="90">
        <f>0</f>
        <v>0</v>
      </c>
      <c r="T104" s="42" t="str">
        <f t="shared" si="57"/>
        <v/>
      </c>
      <c r="U104" s="90" t="str">
        <f t="shared" si="58"/>
        <v/>
      </c>
      <c r="V104" s="42" t="str">
        <f t="shared" si="59"/>
        <v/>
      </c>
      <c r="W104" s="90"/>
      <c r="X104" s="90" t="str">
        <f t="shared" si="60"/>
        <v/>
      </c>
      <c r="Y104" s="90"/>
      <c r="Z104" s="90" t="str">
        <f t="shared" si="61"/>
        <v/>
      </c>
      <c r="AA104" s="14" t="str">
        <f t="shared" si="62"/>
        <v/>
      </c>
      <c r="AB104" s="42" t="str">
        <f t="shared" si="63"/>
        <v/>
      </c>
      <c r="AC104" s="42" t="str">
        <f t="shared" si="64"/>
        <v/>
      </c>
      <c r="AD104" s="42" t="str">
        <f t="shared" si="65"/>
        <v/>
      </c>
      <c r="AE104" s="14" t="str">
        <f t="shared" si="66"/>
        <v/>
      </c>
      <c r="AF104" s="42" t="str">
        <f t="shared" si="67"/>
        <v/>
      </c>
      <c r="AG104" s="42" t="str">
        <f t="shared" si="68"/>
        <v/>
      </c>
      <c r="AH104" s="42" t="str">
        <f t="shared" si="69"/>
        <v/>
      </c>
      <c r="AI104" s="90" t="str">
        <f>IF(SUM($AC104)=0,"",INDEX(Cascade!$BG:$BG,MATCH($E104,Cascade!$E:$E,0)))</f>
        <v/>
      </c>
      <c r="AJ104" s="42" t="str">
        <f t="shared" si="70"/>
        <v/>
      </c>
      <c r="AK104" s="42" t="str">
        <f t="shared" si="71"/>
        <v/>
      </c>
      <c r="AL104" s="42" t="str">
        <f t="shared" si="72"/>
        <v/>
      </c>
      <c r="AM104" s="42" t="str">
        <f t="shared" si="73"/>
        <v/>
      </c>
      <c r="AN104" s="42" t="str">
        <f t="shared" si="74"/>
        <v/>
      </c>
      <c r="AO104" s="14" t="str">
        <f t="shared" si="75"/>
        <v/>
      </c>
      <c r="AP104" s="90"/>
      <c r="AQ104" s="90" t="str">
        <f t="shared" si="76"/>
        <v/>
      </c>
      <c r="AR104" s="90" t="str">
        <f>IF(SUM($AO104)=0,"",INDEX(Cascade!$BG:$BG,MATCH($E104,Cascade!$E:$E,0)))</f>
        <v/>
      </c>
      <c r="AS104" s="42" t="str">
        <f t="shared" si="77"/>
        <v/>
      </c>
      <c r="AT104" s="42" t="str">
        <f t="shared" si="78"/>
        <v/>
      </c>
      <c r="AU104" s="14" t="str">
        <f t="shared" si="79"/>
        <v/>
      </c>
      <c r="AV104" s="14" t="str">
        <f t="shared" si="80"/>
        <v/>
      </c>
      <c r="AW104" s="14" t="str">
        <f>IFERROR(1/(1/INDEX(Cascade!$BH:$BH,MATCH($E104,Cascade!$E:$E,0))),"")</f>
        <v/>
      </c>
      <c r="AX104" s="14" t="str">
        <f t="shared" si="81"/>
        <v/>
      </c>
      <c r="AY104" s="14" t="str">
        <f t="shared" si="82"/>
        <v/>
      </c>
      <c r="AZ104" s="14" t="str">
        <f>IFERROR(1/(1/INDEX(TB!$P:$P,MATCH($E104,TB!$E:$E,0))),"")</f>
        <v/>
      </c>
      <c r="BA104" s="14" t="str">
        <f t="shared" si="83"/>
        <v/>
      </c>
    </row>
    <row r="105" spans="1:53" x14ac:dyDescent="0.2">
      <c r="A105" t="str">
        <f>INDEX(Prioritization!$D:$D,MATCH($B105,Prioritization!$A:$A,0))</f>
        <v>1 - Scale-up: Saturation</v>
      </c>
      <c r="B105" t="s">
        <v>211</v>
      </c>
      <c r="C105" t="s">
        <v>363</v>
      </c>
      <c r="D105" t="s">
        <v>29</v>
      </c>
      <c r="E105" t="str">
        <f t="shared" si="56"/>
        <v>Chikwawa District [U8c0so51kT6]|10-14|Female</v>
      </c>
      <c r="F105" s="14">
        <f>IF(LEFT($B105,4)="_Mil","",INDEX(Cascade!$T:$T,MATCH($E105,Cascade!$E:$E,0)))</f>
        <v>1063</v>
      </c>
      <c r="G105" s="14" t="str">
        <f>IF(LEFT($B105,4)="_Mil","",INDEX(Cascade!$U:$U,MATCH($E105,Cascade!$E:$E,0)))</f>
        <v/>
      </c>
      <c r="H105" s="88">
        <f>IF(LEFT($B105,4)="_Mil","",INDEX(Cascade!$W:$W,MATCH($E105,Cascade!$E:$E,0)))</f>
        <v>1531</v>
      </c>
      <c r="I105" s="14">
        <f>IF(LEFT($B105,4)="_Mil","",INDEX(Cascade!$Z:$Z,MATCH($E105,Cascade!$E:$E,0)))</f>
        <v>850</v>
      </c>
      <c r="J105" s="90">
        <f>IF(LEFT($B105,4)="_Mil","",INDEX(Cascade!$AA:$AA,MATCH($E105,Cascade!$E:$E,0)))</f>
        <v>1243</v>
      </c>
      <c r="K105" s="42" t="str">
        <f>IF(LEFT($B105,4)="_Mil","",_xlfn.IFNA(ROUND(INDEX(Spectrum!$N:$N,MATCH(RIGHT($B105,13)&amp;"|"&amp;$C105&amp;"|"&amp;$D105&amp;"|"&amp;K$14&amp;"|"&amp;"CY2023Q3",Spectrum!$R:$R,0)),0),""))</f>
        <v/>
      </c>
      <c r="L105" s="42" t="str">
        <f>IF(LEFT($B105,4)="_Mil","",_xlfn.IFNA(ROUND(INDEX(Spectrum!$N:$N,MATCH(RIGHT($B105,13)&amp;"|"&amp;$C105&amp;"|"&amp;$D105&amp;"|"&amp;L$14&amp;"|"&amp;"CY2023Q3",Spectrum!$R:$R,0)),0),""))</f>
        <v/>
      </c>
      <c r="M105" s="42" t="str">
        <f>IF(LEFT($B105,4)="_Mil","",_xlfn.IFNA(ROUND(INDEX(Spectrum!$N:$N,MATCH(RIGHT($B105,13)&amp;"|"&amp;$C105&amp;"|"&amp;$D105&amp;"|"&amp;M$14&amp;"|"&amp;"CY2023Q3",Spectrum!$R:$R,0)),0),""))</f>
        <v/>
      </c>
      <c r="N105" s="42" t="str">
        <f>IF(LEFT($B105,4)="_Mil","",_xlfn.IFNA(ROUND(INDEX(Spectrum!$N:$N,MATCH(RIGHT($B105,13)&amp;"|"&amp;$C105&amp;"|"&amp;$D105&amp;"|"&amp;N$14&amp;"|"&amp;"CY2023Q3",Spectrum!$R:$R,0)),0),""))</f>
        <v/>
      </c>
      <c r="O105" s="42" t="str">
        <f>IF(LEFT($B105,4)="_Mil","",_xlfn.IFNA(ROUND(INDEX(Spectrum!$N:$N,MATCH(RIGHT($B105,13)&amp;"|"&amp;$C105&amp;"|"&amp;$D105&amp;"|"&amp;O$14&amp;"|"&amp;"CY2023Q3",Spectrum!$R:$R,0)),0),""))</f>
        <v/>
      </c>
      <c r="P105" s="42" t="str">
        <f>IF(LEFT($B105,4)="_Mil","",_xlfn.IFNA(ROUND(INDEX(Spectrum!$N:$N,MATCH(RIGHT($B105,13)&amp;"|"&amp;$C105&amp;"|"&amp;$D105&amp;"|"&amp;P$14&amp;"|"&amp;"CY2023Q3",Spectrum!$R:$R,0)),0),""))</f>
        <v/>
      </c>
      <c r="Q105" s="42" t="str">
        <f>IF(LEFT($B105,4)="_Mil","",_xlfn.IFNA(ROUND(INDEX(Spectrum!$N:$N,MATCH(RIGHT($B105,13)&amp;"|"&amp;$C105&amp;"|"&amp;$D105&amp;"|"&amp;Q$14&amp;"|"&amp;"CY2022Q3",Spectrum!$R:$R,0)),0),""))</f>
        <v/>
      </c>
      <c r="R105" s="14">
        <v>8</v>
      </c>
      <c r="S105" s="90">
        <f>0</f>
        <v>0</v>
      </c>
      <c r="T105" s="42">
        <f t="shared" si="57"/>
        <v>8</v>
      </c>
      <c r="U105" s="90">
        <f t="shared" si="58"/>
        <v>1</v>
      </c>
      <c r="V105" s="42">
        <f t="shared" si="59"/>
        <v>8</v>
      </c>
      <c r="W105" s="90">
        <v>0.52352908183820501</v>
      </c>
      <c r="X105" s="90">
        <f t="shared" si="60"/>
        <v>0.52352908183820501</v>
      </c>
      <c r="Y105" s="90">
        <v>0.93945800233632304</v>
      </c>
      <c r="Z105" s="90">
        <f t="shared" si="61"/>
        <v>0.93945800233632304</v>
      </c>
      <c r="AA105" s="14">
        <f t="shared" si="62"/>
        <v>8</v>
      </c>
      <c r="AB105" s="42">
        <f t="shared" si="63"/>
        <v>4</v>
      </c>
      <c r="AC105" s="42">
        <f t="shared" si="64"/>
        <v>4</v>
      </c>
      <c r="AD105" s="42">
        <f t="shared" si="65"/>
        <v>0</v>
      </c>
      <c r="AE105" s="14">
        <f t="shared" si="66"/>
        <v>8</v>
      </c>
      <c r="AF105" s="42">
        <f t="shared" si="67"/>
        <v>4</v>
      </c>
      <c r="AG105" s="42">
        <f t="shared" si="68"/>
        <v>4</v>
      </c>
      <c r="AH105" s="42">
        <f t="shared" si="69"/>
        <v>0</v>
      </c>
      <c r="AI105" s="90">
        <f>IF(SUM($AC105)=0,"",INDEX(Cascade!$BG:$BG,MATCH($E105,Cascade!$E:$E,0)))</f>
        <v>0.95</v>
      </c>
      <c r="AJ105" s="42">
        <f t="shared" si="70"/>
        <v>4</v>
      </c>
      <c r="AK105" s="42">
        <f t="shared" si="71"/>
        <v>4</v>
      </c>
      <c r="AL105" s="42">
        <f t="shared" si="72"/>
        <v>8</v>
      </c>
      <c r="AM105" s="42">
        <f t="shared" si="73"/>
        <v>4</v>
      </c>
      <c r="AN105" s="42">
        <f t="shared" si="74"/>
        <v>4</v>
      </c>
      <c r="AO105" s="14" t="str">
        <f t="shared" si="75"/>
        <v/>
      </c>
      <c r="AP105" s="90"/>
      <c r="AQ105" s="90" t="str">
        <f t="shared" si="76"/>
        <v/>
      </c>
      <c r="AR105" s="90" t="str">
        <f>IF(SUM($AO105)=0,"",INDEX(Cascade!$BG:$BG,MATCH($E105,Cascade!$E:$E,0)))</f>
        <v/>
      </c>
      <c r="AS105" s="42" t="str">
        <f t="shared" si="77"/>
        <v/>
      </c>
      <c r="AT105" s="42" t="str">
        <f t="shared" si="78"/>
        <v/>
      </c>
      <c r="AU105" s="14" t="str">
        <f t="shared" si="79"/>
        <v/>
      </c>
      <c r="AV105" s="14">
        <f t="shared" si="80"/>
        <v>8</v>
      </c>
      <c r="AW105" s="14">
        <f>IFERROR(1/(1/INDEX(Cascade!$BH:$BH,MATCH($E105,Cascade!$E:$E,0))),"")</f>
        <v>-94</v>
      </c>
      <c r="AX105" s="14">
        <f t="shared" si="81"/>
        <v>4</v>
      </c>
      <c r="AY105" s="14" t="str">
        <f t="shared" si="82"/>
        <v/>
      </c>
      <c r="AZ105" s="14" t="str">
        <f>IFERROR(1/(1/INDEX(TB!$P:$P,MATCH($E105,TB!$E:$E,0))),"")</f>
        <v/>
      </c>
      <c r="BA105" s="14">
        <f t="shared" si="83"/>
        <v>-98.000000000000014</v>
      </c>
    </row>
    <row r="106" spans="1:53" x14ac:dyDescent="0.2">
      <c r="A106" t="str">
        <f>INDEX(Prioritization!$D:$D,MATCH($B106,Prioritization!$A:$A,0))</f>
        <v>1 - Scale-up: Saturation</v>
      </c>
      <c r="B106" t="s">
        <v>211</v>
      </c>
      <c r="C106" t="s">
        <v>364</v>
      </c>
      <c r="D106" t="s">
        <v>29</v>
      </c>
      <c r="E106" t="str">
        <f t="shared" si="56"/>
        <v>Chikwawa District [U8c0so51kT6]|15-24|Female</v>
      </c>
      <c r="F106" s="14">
        <f>IF(LEFT($B106,4)="_Mil","",INDEX(Cascade!$T:$T,MATCH($E106,Cascade!$E:$E,0)))</f>
        <v>1222</v>
      </c>
      <c r="G106" s="14" t="str">
        <f>IF(LEFT($B106,4)="_Mil","",INDEX(Cascade!$U:$U,MATCH($E106,Cascade!$E:$E,0)))</f>
        <v/>
      </c>
      <c r="H106" s="88">
        <f>IF(LEFT($B106,4)="_Mil","",INDEX(Cascade!$W:$W,MATCH($E106,Cascade!$E:$E,0)))</f>
        <v>956</v>
      </c>
      <c r="I106" s="14">
        <f>IF(LEFT($B106,4)="_Mil","",INDEX(Cascade!$Z:$Z,MATCH($E106,Cascade!$E:$E,0)))</f>
        <v>1603</v>
      </c>
      <c r="J106" s="90">
        <f>IF(LEFT($B106,4)="_Mil","",INDEX(Cascade!$AA:$AA,MATCH($E106,Cascade!$E:$E,0)))</f>
        <v>800</v>
      </c>
      <c r="K106" s="42">
        <f>IF(LEFT($B106,4)="_Mil","",_xlfn.IFNA(ROUND(INDEX(Spectrum!$N:$N,MATCH(RIGHT($B106,13)&amp;"|"&amp;$C106&amp;"|"&amp;$D106&amp;"|"&amp;K$14&amp;"|"&amp;"CY2023Q3",Spectrum!$R:$R,0)),0),""))</f>
        <v>1018</v>
      </c>
      <c r="L106" s="42" t="str">
        <f>IF(LEFT($B106,4)="_Mil","",_xlfn.IFNA(ROUND(INDEX(Spectrum!$N:$N,MATCH(RIGHT($B106,13)&amp;"|"&amp;$C106&amp;"|"&amp;$D106&amp;"|"&amp;L$14&amp;"|"&amp;"CY2023Q3",Spectrum!$R:$R,0)),0),""))</f>
        <v/>
      </c>
      <c r="M106" s="42">
        <f>IF(LEFT($B106,4)="_Mil","",_xlfn.IFNA(ROUND(INDEX(Spectrum!$N:$N,MATCH(RIGHT($B106,13)&amp;"|"&amp;$C106&amp;"|"&amp;$D106&amp;"|"&amp;M$14&amp;"|"&amp;"CY2023Q3",Spectrum!$R:$R,0)),0),""))</f>
        <v>1430</v>
      </c>
      <c r="N106" s="42">
        <f>IF(LEFT($B106,4)="_Mil","",_xlfn.IFNA(ROUND(INDEX(Spectrum!$N:$N,MATCH(RIGHT($B106,13)&amp;"|"&amp;$C106&amp;"|"&amp;$D106&amp;"|"&amp;N$14&amp;"|"&amp;"CY2023Q3",Spectrum!$R:$R,0)),0),""))</f>
        <v>977</v>
      </c>
      <c r="O106" s="42">
        <f>IF(LEFT($B106,4)="_Mil","",_xlfn.IFNA(ROUND(INDEX(Spectrum!$N:$N,MATCH(RIGHT($B106,13)&amp;"|"&amp;$C106&amp;"|"&amp;$D106&amp;"|"&amp;O$14&amp;"|"&amp;"CY2023Q3",Spectrum!$R:$R,0)),0),""))</f>
        <v>1612</v>
      </c>
      <c r="P106" s="42">
        <f>IF(LEFT($B106,4)="_Mil","",_xlfn.IFNA(ROUND(INDEX(Spectrum!$N:$N,MATCH(RIGHT($B106,13)&amp;"|"&amp;$C106&amp;"|"&amp;$D106&amp;"|"&amp;P$14&amp;"|"&amp;"CY2023Q3",Spectrum!$R:$R,0)),0),""))</f>
        <v>1817</v>
      </c>
      <c r="Q106" s="42" t="str">
        <f>IF(LEFT($B106,4)="_Mil","",_xlfn.IFNA(ROUND(INDEX(Spectrum!$N:$N,MATCH(RIGHT($B106,13)&amp;"|"&amp;$C106&amp;"|"&amp;$D106&amp;"|"&amp;Q$14&amp;"|"&amp;"CY2022Q3",Spectrum!$R:$R,0)),0),""))</f>
        <v/>
      </c>
      <c r="R106" s="14"/>
      <c r="S106" s="90">
        <f>0</f>
        <v>0</v>
      </c>
      <c r="T106" s="42" t="str">
        <f t="shared" si="57"/>
        <v/>
      </c>
      <c r="U106" s="90">
        <f t="shared" si="58"/>
        <v>0</v>
      </c>
      <c r="V106" s="42" t="str">
        <f t="shared" si="59"/>
        <v/>
      </c>
      <c r="W106" s="90"/>
      <c r="X106" s="90">
        <f t="shared" si="60"/>
        <v>0</v>
      </c>
      <c r="Y106" s="90"/>
      <c r="Z106" s="90">
        <f t="shared" si="61"/>
        <v>0</v>
      </c>
      <c r="AA106" s="14" t="str">
        <f t="shared" si="62"/>
        <v/>
      </c>
      <c r="AB106" s="42" t="str">
        <f t="shared" si="63"/>
        <v/>
      </c>
      <c r="AC106" s="42" t="str">
        <f t="shared" si="64"/>
        <v/>
      </c>
      <c r="AD106" s="42" t="str">
        <f t="shared" si="65"/>
        <v/>
      </c>
      <c r="AE106" s="14" t="str">
        <f t="shared" si="66"/>
        <v/>
      </c>
      <c r="AF106" s="42" t="str">
        <f t="shared" si="67"/>
        <v/>
      </c>
      <c r="AG106" s="42" t="str">
        <f t="shared" si="68"/>
        <v/>
      </c>
      <c r="AH106" s="42" t="str">
        <f t="shared" si="69"/>
        <v/>
      </c>
      <c r="AI106" s="90" t="str">
        <f>IF(SUM($AC106)=0,"",INDEX(Cascade!$BG:$BG,MATCH($E106,Cascade!$E:$E,0)))</f>
        <v/>
      </c>
      <c r="AJ106" s="42" t="str">
        <f t="shared" si="70"/>
        <v/>
      </c>
      <c r="AK106" s="42" t="str">
        <f t="shared" si="71"/>
        <v/>
      </c>
      <c r="AL106" s="42" t="str">
        <f t="shared" si="72"/>
        <v/>
      </c>
      <c r="AM106" s="42" t="str">
        <f t="shared" si="73"/>
        <v/>
      </c>
      <c r="AN106" s="42" t="str">
        <f t="shared" si="74"/>
        <v/>
      </c>
      <c r="AO106" s="14" t="str">
        <f t="shared" si="75"/>
        <v/>
      </c>
      <c r="AP106" s="90"/>
      <c r="AQ106" s="90" t="str">
        <f t="shared" si="76"/>
        <v/>
      </c>
      <c r="AR106" s="90" t="str">
        <f>IF(SUM($AO106)=0,"",INDEX(Cascade!$BG:$BG,MATCH($E106,Cascade!$E:$E,0)))</f>
        <v/>
      </c>
      <c r="AS106" s="42" t="str">
        <f t="shared" si="77"/>
        <v/>
      </c>
      <c r="AT106" s="42" t="str">
        <f t="shared" si="78"/>
        <v/>
      </c>
      <c r="AU106" s="14" t="str">
        <f t="shared" si="79"/>
        <v/>
      </c>
      <c r="AV106" s="14" t="str">
        <f t="shared" si="80"/>
        <v/>
      </c>
      <c r="AW106" s="14" t="str">
        <f>IFERROR(1/(1/INDEX(Cascade!$BH:$BH,MATCH($E106,Cascade!$E:$E,0))),"")</f>
        <v/>
      </c>
      <c r="AX106" s="14" t="str">
        <f t="shared" si="81"/>
        <v/>
      </c>
      <c r="AY106" s="14" t="str">
        <f t="shared" si="82"/>
        <v/>
      </c>
      <c r="AZ106" s="14" t="str">
        <f>IFERROR(1/(1/INDEX(TB!$P:$P,MATCH($E106,TB!$E:$E,0))),"")</f>
        <v/>
      </c>
      <c r="BA106" s="14" t="str">
        <f t="shared" si="83"/>
        <v/>
      </c>
    </row>
    <row r="107" spans="1:53" x14ac:dyDescent="0.2">
      <c r="A107" t="str">
        <f>INDEX(Prioritization!$D:$D,MATCH($B107,Prioritization!$A:$A,0))</f>
        <v>1 - Scale-up: Saturation</v>
      </c>
      <c r="B107" t="s">
        <v>211</v>
      </c>
      <c r="C107" t="s">
        <v>365</v>
      </c>
      <c r="D107" t="s">
        <v>29</v>
      </c>
      <c r="E107" t="str">
        <f t="shared" si="56"/>
        <v>Chikwawa District [U8c0so51kT6]|25-34|Female</v>
      </c>
      <c r="F107" s="14">
        <f>IF(LEFT($B107,4)="_Mil","",INDEX(Cascade!$T:$T,MATCH($E107,Cascade!$E:$E,0)))</f>
        <v>1032</v>
      </c>
      <c r="G107" s="14" t="str">
        <f>IF(LEFT($B107,4)="_Mil","",INDEX(Cascade!$U:$U,MATCH($E107,Cascade!$E:$E,0)))</f>
        <v/>
      </c>
      <c r="H107" s="88">
        <f>IF(LEFT($B107,4)="_Mil","",INDEX(Cascade!$W:$W,MATCH($E107,Cascade!$E:$E,0)))</f>
        <v>1086</v>
      </c>
      <c r="I107" s="14">
        <f>IF(LEFT($B107,4)="_Mil","",INDEX(Cascade!$Z:$Z,MATCH($E107,Cascade!$E:$E,0)))</f>
        <v>793</v>
      </c>
      <c r="J107" s="90">
        <f>IF(LEFT($B107,4)="_Mil","",INDEX(Cascade!$AA:$AA,MATCH($E107,Cascade!$E:$E,0)))</f>
        <v>885</v>
      </c>
      <c r="K107" s="42">
        <f>IF(LEFT($B107,4)="_Mil","",_xlfn.IFNA(ROUND(INDEX(Spectrum!$N:$N,MATCH(RIGHT($B107,13)&amp;"|"&amp;$C107&amp;"|"&amp;$D107&amp;"|"&amp;K$14&amp;"|"&amp;"CY2023Q3",Spectrum!$R:$R,0)),0),""))</f>
        <v>1401</v>
      </c>
      <c r="L107" s="42" t="str">
        <f>IF(LEFT($B107,4)="_Mil","",_xlfn.IFNA(ROUND(INDEX(Spectrum!$N:$N,MATCH(RIGHT($B107,13)&amp;"|"&amp;$C107&amp;"|"&amp;$D107&amp;"|"&amp;L$14&amp;"|"&amp;"CY2023Q3",Spectrum!$R:$R,0)),0),""))</f>
        <v/>
      </c>
      <c r="M107" s="42">
        <f>IF(LEFT($B107,4)="_Mil","",_xlfn.IFNA(ROUND(INDEX(Spectrum!$N:$N,MATCH(RIGHT($B107,13)&amp;"|"&amp;$C107&amp;"|"&amp;$D107&amp;"|"&amp;M$14&amp;"|"&amp;"CY2023Q3",Spectrum!$R:$R,0)),0),""))</f>
        <v>775</v>
      </c>
      <c r="N107" s="42">
        <f>IF(LEFT($B107,4)="_Mil","",_xlfn.IFNA(ROUND(INDEX(Spectrum!$N:$N,MATCH(RIGHT($B107,13)&amp;"|"&amp;$C107&amp;"|"&amp;$D107&amp;"|"&amp;N$14&amp;"|"&amp;"CY2023Q3",Spectrum!$R:$R,0)),0),""))</f>
        <v>768</v>
      </c>
      <c r="O107" s="42">
        <f>IF(LEFT($B107,4)="_Mil","",_xlfn.IFNA(ROUND(INDEX(Spectrum!$N:$N,MATCH(RIGHT($B107,13)&amp;"|"&amp;$C107&amp;"|"&amp;$D107&amp;"|"&amp;O$14&amp;"|"&amp;"CY2023Q3",Spectrum!$R:$R,0)),0),""))</f>
        <v>1218</v>
      </c>
      <c r="P107" s="42">
        <f>IF(LEFT($B107,4)="_Mil","",_xlfn.IFNA(ROUND(INDEX(Spectrum!$N:$N,MATCH(RIGHT($B107,13)&amp;"|"&amp;$C107&amp;"|"&amp;$D107&amp;"|"&amp;P$14&amp;"|"&amp;"CY2023Q3",Spectrum!$R:$R,0)),0),""))</f>
        <v>506</v>
      </c>
      <c r="Q107" s="42" t="str">
        <f>IF(LEFT($B107,4)="_Mil","",_xlfn.IFNA(ROUND(INDEX(Spectrum!$N:$N,MATCH(RIGHT($B107,13)&amp;"|"&amp;$C107&amp;"|"&amp;$D107&amp;"|"&amp;Q$14&amp;"|"&amp;"CY2022Q3",Spectrum!$R:$R,0)),0),""))</f>
        <v/>
      </c>
      <c r="R107" s="14"/>
      <c r="S107" s="90">
        <f>0</f>
        <v>0</v>
      </c>
      <c r="T107" s="42" t="str">
        <f t="shared" si="57"/>
        <v/>
      </c>
      <c r="U107" s="90">
        <f t="shared" si="58"/>
        <v>0</v>
      </c>
      <c r="V107" s="42" t="str">
        <f t="shared" si="59"/>
        <v/>
      </c>
      <c r="W107" s="90"/>
      <c r="X107" s="90">
        <f t="shared" si="60"/>
        <v>0</v>
      </c>
      <c r="Y107" s="90"/>
      <c r="Z107" s="90">
        <f t="shared" si="61"/>
        <v>0</v>
      </c>
      <c r="AA107" s="14" t="str">
        <f t="shared" si="62"/>
        <v/>
      </c>
      <c r="AB107" s="42" t="str">
        <f t="shared" si="63"/>
        <v/>
      </c>
      <c r="AC107" s="42" t="str">
        <f t="shared" si="64"/>
        <v/>
      </c>
      <c r="AD107" s="42" t="str">
        <f t="shared" si="65"/>
        <v/>
      </c>
      <c r="AE107" s="14" t="str">
        <f t="shared" si="66"/>
        <v/>
      </c>
      <c r="AF107" s="42" t="str">
        <f t="shared" si="67"/>
        <v/>
      </c>
      <c r="AG107" s="42" t="str">
        <f t="shared" si="68"/>
        <v/>
      </c>
      <c r="AH107" s="42" t="str">
        <f t="shared" si="69"/>
        <v/>
      </c>
      <c r="AI107" s="90" t="str">
        <f>IF(SUM($AC107)=0,"",INDEX(Cascade!$BG:$BG,MATCH($E107,Cascade!$E:$E,0)))</f>
        <v/>
      </c>
      <c r="AJ107" s="42" t="str">
        <f t="shared" si="70"/>
        <v/>
      </c>
      <c r="AK107" s="42" t="str">
        <f t="shared" si="71"/>
        <v/>
      </c>
      <c r="AL107" s="42" t="str">
        <f t="shared" si="72"/>
        <v/>
      </c>
      <c r="AM107" s="42" t="str">
        <f t="shared" si="73"/>
        <v/>
      </c>
      <c r="AN107" s="42" t="str">
        <f t="shared" si="74"/>
        <v/>
      </c>
      <c r="AO107" s="14" t="str">
        <f t="shared" si="75"/>
        <v/>
      </c>
      <c r="AP107" s="90"/>
      <c r="AQ107" s="90" t="str">
        <f t="shared" si="76"/>
        <v/>
      </c>
      <c r="AR107" s="90" t="str">
        <f>IF(SUM($AO107)=0,"",INDEX(Cascade!$BG:$BG,MATCH($E107,Cascade!$E:$E,0)))</f>
        <v/>
      </c>
      <c r="AS107" s="42" t="str">
        <f t="shared" si="77"/>
        <v/>
      </c>
      <c r="AT107" s="42" t="str">
        <f t="shared" si="78"/>
        <v/>
      </c>
      <c r="AU107" s="14" t="str">
        <f t="shared" si="79"/>
        <v/>
      </c>
      <c r="AV107" s="14" t="str">
        <f t="shared" si="80"/>
        <v/>
      </c>
      <c r="AW107" s="14" t="str">
        <f>IFERROR(1/(1/INDEX(Cascade!$BH:$BH,MATCH($E107,Cascade!$E:$E,0))),"")</f>
        <v/>
      </c>
      <c r="AX107" s="14" t="str">
        <f t="shared" si="81"/>
        <v/>
      </c>
      <c r="AY107" s="14" t="str">
        <f t="shared" si="82"/>
        <v/>
      </c>
      <c r="AZ107" s="14" t="str">
        <f>IFERROR(1/(1/INDEX(TB!$P:$P,MATCH($E107,TB!$E:$E,0))),"")</f>
        <v/>
      </c>
      <c r="BA107" s="14" t="str">
        <f t="shared" si="83"/>
        <v/>
      </c>
    </row>
    <row r="108" spans="1:53" x14ac:dyDescent="0.2">
      <c r="A108" t="str">
        <f>INDEX(Prioritization!$D:$D,MATCH($B108,Prioritization!$A:$A,0))</f>
        <v>1 - Scale-up: Saturation</v>
      </c>
      <c r="B108" t="s">
        <v>211</v>
      </c>
      <c r="C108" t="s">
        <v>366</v>
      </c>
      <c r="D108" t="s">
        <v>29</v>
      </c>
      <c r="E108" t="str">
        <f t="shared" si="56"/>
        <v>Chikwawa District [U8c0so51kT6]|35-49|Female</v>
      </c>
      <c r="F108" s="14">
        <f>IF(LEFT($B108,4)="_Mil","",INDEX(Cascade!$T:$T,MATCH($E108,Cascade!$E:$E,0)))</f>
        <v>1445</v>
      </c>
      <c r="G108" s="14" t="str">
        <f>IF(LEFT($B108,4)="_Mil","",INDEX(Cascade!$U:$U,MATCH($E108,Cascade!$E:$E,0)))</f>
        <v/>
      </c>
      <c r="H108" s="88">
        <f>IF(LEFT($B108,4)="_Mil","",INDEX(Cascade!$W:$W,MATCH($E108,Cascade!$E:$E,0)))</f>
        <v>1441</v>
      </c>
      <c r="I108" s="14">
        <f>IF(LEFT($B108,4)="_Mil","",INDEX(Cascade!$Z:$Z,MATCH($E108,Cascade!$E:$E,0)))</f>
        <v>1414</v>
      </c>
      <c r="J108" s="90">
        <f>IF(LEFT($B108,4)="_Mil","",INDEX(Cascade!$AA:$AA,MATCH($E108,Cascade!$E:$E,0)))</f>
        <v>1024</v>
      </c>
      <c r="K108" s="42">
        <f>IF(LEFT($B108,4)="_Mil","",_xlfn.IFNA(ROUND(INDEX(Spectrum!$N:$N,MATCH(RIGHT($B108,13)&amp;"|"&amp;$C108&amp;"|"&amp;$D108&amp;"|"&amp;K$14&amp;"|"&amp;"CY2023Q3",Spectrum!$R:$R,0)),0),""))</f>
        <v>1287</v>
      </c>
      <c r="L108" s="42" t="str">
        <f>IF(LEFT($B108,4)="_Mil","",_xlfn.IFNA(ROUND(INDEX(Spectrum!$N:$N,MATCH(RIGHT($B108,13)&amp;"|"&amp;$C108&amp;"|"&amp;$D108&amp;"|"&amp;L$14&amp;"|"&amp;"CY2023Q3",Spectrum!$R:$R,0)),0),""))</f>
        <v/>
      </c>
      <c r="M108" s="42">
        <f>IF(LEFT($B108,4)="_Mil","",_xlfn.IFNA(ROUND(INDEX(Spectrum!$N:$N,MATCH(RIGHT($B108,13)&amp;"|"&amp;$C108&amp;"|"&amp;$D108&amp;"|"&amp;M$14&amp;"|"&amp;"CY2023Q3",Spectrum!$R:$R,0)),0),""))</f>
        <v>1795</v>
      </c>
      <c r="N108" s="42">
        <f>IF(LEFT($B108,4)="_Mil","",_xlfn.IFNA(ROUND(INDEX(Spectrum!$N:$N,MATCH(RIGHT($B108,13)&amp;"|"&amp;$C108&amp;"|"&amp;$D108&amp;"|"&amp;N$14&amp;"|"&amp;"CY2023Q3",Spectrum!$R:$R,0)),0),""))</f>
        <v>1239</v>
      </c>
      <c r="O108" s="42">
        <f>IF(LEFT($B108,4)="_Mil","",_xlfn.IFNA(ROUND(INDEX(Spectrum!$N:$N,MATCH(RIGHT($B108,13)&amp;"|"&amp;$C108&amp;"|"&amp;$D108&amp;"|"&amp;O$14&amp;"|"&amp;"CY2023Q3",Spectrum!$R:$R,0)),0),""))</f>
        <v>1581</v>
      </c>
      <c r="P108" s="42">
        <f>IF(LEFT($B108,4)="_Mil","",_xlfn.IFNA(ROUND(INDEX(Spectrum!$N:$N,MATCH(RIGHT($B108,13)&amp;"|"&amp;$C108&amp;"|"&amp;$D108&amp;"|"&amp;P$14&amp;"|"&amp;"CY2023Q3",Spectrum!$R:$R,0)),0),""))</f>
        <v>1975</v>
      </c>
      <c r="Q108" s="42" t="str">
        <f>IF(LEFT($B108,4)="_Mil","",_xlfn.IFNA(ROUND(INDEX(Spectrum!$N:$N,MATCH(RIGHT($B108,13)&amp;"|"&amp;$C108&amp;"|"&amp;$D108&amp;"|"&amp;Q$14&amp;"|"&amp;"CY2022Q3",Spectrum!$R:$R,0)),0),""))</f>
        <v/>
      </c>
      <c r="R108" s="14"/>
      <c r="S108" s="90">
        <f>0</f>
        <v>0</v>
      </c>
      <c r="T108" s="42" t="str">
        <f t="shared" si="57"/>
        <v/>
      </c>
      <c r="U108" s="90">
        <f t="shared" si="58"/>
        <v>0</v>
      </c>
      <c r="V108" s="42" t="str">
        <f t="shared" si="59"/>
        <v/>
      </c>
      <c r="W108" s="90"/>
      <c r="X108" s="90">
        <f t="shared" si="60"/>
        <v>0</v>
      </c>
      <c r="Y108" s="90"/>
      <c r="Z108" s="90">
        <f t="shared" si="61"/>
        <v>0</v>
      </c>
      <c r="AA108" s="14" t="str">
        <f t="shared" si="62"/>
        <v/>
      </c>
      <c r="AB108" s="42" t="str">
        <f t="shared" si="63"/>
        <v/>
      </c>
      <c r="AC108" s="42" t="str">
        <f t="shared" si="64"/>
        <v/>
      </c>
      <c r="AD108" s="42" t="str">
        <f t="shared" si="65"/>
        <v/>
      </c>
      <c r="AE108" s="14" t="str">
        <f t="shared" si="66"/>
        <v/>
      </c>
      <c r="AF108" s="42" t="str">
        <f t="shared" si="67"/>
        <v/>
      </c>
      <c r="AG108" s="42" t="str">
        <f t="shared" si="68"/>
        <v/>
      </c>
      <c r="AH108" s="42" t="str">
        <f t="shared" si="69"/>
        <v/>
      </c>
      <c r="AI108" s="90" t="str">
        <f>IF(SUM($AC108)=0,"",INDEX(Cascade!$BG:$BG,MATCH($E108,Cascade!$E:$E,0)))</f>
        <v/>
      </c>
      <c r="AJ108" s="42" t="str">
        <f t="shared" si="70"/>
        <v/>
      </c>
      <c r="AK108" s="42" t="str">
        <f t="shared" si="71"/>
        <v/>
      </c>
      <c r="AL108" s="42" t="str">
        <f t="shared" si="72"/>
        <v/>
      </c>
      <c r="AM108" s="42" t="str">
        <f t="shared" si="73"/>
        <v/>
      </c>
      <c r="AN108" s="42" t="str">
        <f t="shared" si="74"/>
        <v/>
      </c>
      <c r="AO108" s="14" t="str">
        <f t="shared" si="75"/>
        <v/>
      </c>
      <c r="AP108" s="90"/>
      <c r="AQ108" s="90" t="str">
        <f t="shared" si="76"/>
        <v/>
      </c>
      <c r="AR108" s="90" t="str">
        <f>IF(SUM($AO108)=0,"",INDEX(Cascade!$BG:$BG,MATCH($E108,Cascade!$E:$E,0)))</f>
        <v/>
      </c>
      <c r="AS108" s="42" t="str">
        <f t="shared" si="77"/>
        <v/>
      </c>
      <c r="AT108" s="42" t="str">
        <f t="shared" si="78"/>
        <v/>
      </c>
      <c r="AU108" s="14" t="str">
        <f t="shared" si="79"/>
        <v/>
      </c>
      <c r="AV108" s="14" t="str">
        <f t="shared" si="80"/>
        <v/>
      </c>
      <c r="AW108" s="14" t="str">
        <f>IFERROR(1/(1/INDEX(Cascade!$BH:$BH,MATCH($E108,Cascade!$E:$E,0))),"")</f>
        <v/>
      </c>
      <c r="AX108" s="14" t="str">
        <f t="shared" si="81"/>
        <v/>
      </c>
      <c r="AY108" s="14" t="str">
        <f t="shared" si="82"/>
        <v/>
      </c>
      <c r="AZ108" s="14" t="str">
        <f>IFERROR(1/(1/INDEX(TB!$P:$P,MATCH($E108,TB!$E:$E,0))),"")</f>
        <v/>
      </c>
      <c r="BA108" s="14" t="str">
        <f t="shared" si="83"/>
        <v/>
      </c>
    </row>
    <row r="109" spans="1:53" x14ac:dyDescent="0.2">
      <c r="A109" t="str">
        <f>INDEX(Prioritization!$D:$D,MATCH($B109,Prioritization!$A:$A,0))</f>
        <v>1 - Scale-up: Saturation</v>
      </c>
      <c r="B109" t="s">
        <v>211</v>
      </c>
      <c r="C109" t="s">
        <v>367</v>
      </c>
      <c r="D109" t="s">
        <v>29</v>
      </c>
      <c r="E109" t="str">
        <f t="shared" si="56"/>
        <v>Chikwawa District [U8c0so51kT6]|50+|Female</v>
      </c>
      <c r="F109" s="14">
        <f>IF(LEFT($B109,4)="_Mil","",INDEX(Cascade!$T:$T,MATCH($E109,Cascade!$E:$E,0)))</f>
        <v>1018</v>
      </c>
      <c r="G109" s="14" t="str">
        <f>IF(LEFT($B109,4)="_Mil","",INDEX(Cascade!$U:$U,MATCH($E109,Cascade!$E:$E,0)))</f>
        <v/>
      </c>
      <c r="H109" s="88">
        <f>IF(LEFT($B109,4)="_Mil","",INDEX(Cascade!$W:$W,MATCH($E109,Cascade!$E:$E,0)))</f>
        <v>1347</v>
      </c>
      <c r="I109" s="14">
        <f>IF(LEFT($B109,4)="_Mil","",INDEX(Cascade!$Z:$Z,MATCH($E109,Cascade!$E:$E,0)))</f>
        <v>1631</v>
      </c>
      <c r="J109" s="90">
        <f>IF(LEFT($B109,4)="_Mil","",INDEX(Cascade!$AA:$AA,MATCH($E109,Cascade!$E:$E,0)))</f>
        <v>1469</v>
      </c>
      <c r="K109" s="42" t="str">
        <f>IF(LEFT($B109,4)="_Mil","",_xlfn.IFNA(ROUND(INDEX(Spectrum!$N:$N,MATCH(RIGHT($B109,13)&amp;"|"&amp;$C109&amp;"|"&amp;$D109&amp;"|"&amp;K$14&amp;"|"&amp;"CY2023Q3",Spectrum!$R:$R,0)),0),""))</f>
        <v/>
      </c>
      <c r="L109" s="42" t="str">
        <f>IF(LEFT($B109,4)="_Mil","",_xlfn.IFNA(ROUND(INDEX(Spectrum!$N:$N,MATCH(RIGHT($B109,13)&amp;"|"&amp;$C109&amp;"|"&amp;$D109&amp;"|"&amp;L$14&amp;"|"&amp;"CY2023Q3",Spectrum!$R:$R,0)),0),""))</f>
        <v/>
      </c>
      <c r="M109" s="42" t="str">
        <f>IF(LEFT($B109,4)="_Mil","",_xlfn.IFNA(ROUND(INDEX(Spectrum!$N:$N,MATCH(RIGHT($B109,13)&amp;"|"&amp;$C109&amp;"|"&amp;$D109&amp;"|"&amp;M$14&amp;"|"&amp;"CY2023Q3",Spectrum!$R:$R,0)),0),""))</f>
        <v/>
      </c>
      <c r="N109" s="42" t="str">
        <f>IF(LEFT($B109,4)="_Mil","",_xlfn.IFNA(ROUND(INDEX(Spectrum!$N:$N,MATCH(RIGHT($B109,13)&amp;"|"&amp;$C109&amp;"|"&amp;$D109&amp;"|"&amp;N$14&amp;"|"&amp;"CY2023Q3",Spectrum!$R:$R,0)),0),""))</f>
        <v/>
      </c>
      <c r="O109" s="42" t="str">
        <f>IF(LEFT($B109,4)="_Mil","",_xlfn.IFNA(ROUND(INDEX(Spectrum!$N:$N,MATCH(RIGHT($B109,13)&amp;"|"&amp;$C109&amp;"|"&amp;$D109&amp;"|"&amp;O$14&amp;"|"&amp;"CY2023Q3",Spectrum!$R:$R,0)),0),""))</f>
        <v/>
      </c>
      <c r="P109" s="42" t="str">
        <f>IF(LEFT($B109,4)="_Mil","",_xlfn.IFNA(ROUND(INDEX(Spectrum!$N:$N,MATCH(RIGHT($B109,13)&amp;"|"&amp;$C109&amp;"|"&amp;$D109&amp;"|"&amp;P$14&amp;"|"&amp;"CY2023Q3",Spectrum!$R:$R,0)),0),""))</f>
        <v/>
      </c>
      <c r="Q109" s="42" t="str">
        <f>IF(LEFT($B109,4)="_Mil","",_xlfn.IFNA(ROUND(INDEX(Spectrum!$N:$N,MATCH(RIGHT($B109,13)&amp;"|"&amp;$C109&amp;"|"&amp;$D109&amp;"|"&amp;Q$14&amp;"|"&amp;"CY2022Q3",Spectrum!$R:$R,0)),0),""))</f>
        <v/>
      </c>
      <c r="R109" s="14"/>
      <c r="S109" s="90">
        <f>0</f>
        <v>0</v>
      </c>
      <c r="T109" s="42" t="str">
        <f t="shared" si="57"/>
        <v/>
      </c>
      <c r="U109" s="90" t="str">
        <f t="shared" si="58"/>
        <v/>
      </c>
      <c r="V109" s="42" t="str">
        <f t="shared" si="59"/>
        <v/>
      </c>
      <c r="W109" s="90"/>
      <c r="X109" s="90" t="str">
        <f t="shared" si="60"/>
        <v/>
      </c>
      <c r="Y109" s="90"/>
      <c r="Z109" s="90" t="str">
        <f t="shared" si="61"/>
        <v/>
      </c>
      <c r="AA109" s="14" t="str">
        <f t="shared" si="62"/>
        <v/>
      </c>
      <c r="AB109" s="42" t="str">
        <f t="shared" si="63"/>
        <v/>
      </c>
      <c r="AC109" s="42" t="str">
        <f t="shared" si="64"/>
        <v/>
      </c>
      <c r="AD109" s="42" t="str">
        <f t="shared" si="65"/>
        <v/>
      </c>
      <c r="AE109" s="14" t="str">
        <f t="shared" si="66"/>
        <v/>
      </c>
      <c r="AF109" s="42" t="str">
        <f t="shared" si="67"/>
        <v/>
      </c>
      <c r="AG109" s="42" t="str">
        <f t="shared" si="68"/>
        <v/>
      </c>
      <c r="AH109" s="42" t="str">
        <f t="shared" si="69"/>
        <v/>
      </c>
      <c r="AI109" s="90" t="str">
        <f>IF(SUM($AC109)=0,"",INDEX(Cascade!$BG:$BG,MATCH($E109,Cascade!$E:$E,0)))</f>
        <v/>
      </c>
      <c r="AJ109" s="42" t="str">
        <f t="shared" si="70"/>
        <v/>
      </c>
      <c r="AK109" s="42" t="str">
        <f t="shared" si="71"/>
        <v/>
      </c>
      <c r="AL109" s="42" t="str">
        <f t="shared" si="72"/>
        <v/>
      </c>
      <c r="AM109" s="42" t="str">
        <f t="shared" si="73"/>
        <v/>
      </c>
      <c r="AN109" s="42" t="str">
        <f t="shared" si="74"/>
        <v/>
      </c>
      <c r="AO109" s="14" t="str">
        <f t="shared" si="75"/>
        <v/>
      </c>
      <c r="AP109" s="90"/>
      <c r="AQ109" s="90" t="str">
        <f t="shared" si="76"/>
        <v/>
      </c>
      <c r="AR109" s="90" t="str">
        <f>IF(SUM($AO109)=0,"",INDEX(Cascade!$BG:$BG,MATCH($E109,Cascade!$E:$E,0)))</f>
        <v/>
      </c>
      <c r="AS109" s="42" t="str">
        <f t="shared" si="77"/>
        <v/>
      </c>
      <c r="AT109" s="42" t="str">
        <f t="shared" si="78"/>
        <v/>
      </c>
      <c r="AU109" s="14" t="str">
        <f t="shared" si="79"/>
        <v/>
      </c>
      <c r="AV109" s="14" t="str">
        <f t="shared" si="80"/>
        <v/>
      </c>
      <c r="AW109" s="14" t="str">
        <f>IFERROR(1/(1/INDEX(Cascade!$BH:$BH,MATCH($E109,Cascade!$E:$E,0))),"")</f>
        <v/>
      </c>
      <c r="AX109" s="14" t="str">
        <f t="shared" si="81"/>
        <v/>
      </c>
      <c r="AY109" s="14" t="str">
        <f t="shared" si="82"/>
        <v/>
      </c>
      <c r="AZ109" s="14" t="str">
        <f>IFERROR(1/(1/INDEX(TB!$P:$P,MATCH($E109,TB!$E:$E,0))),"")</f>
        <v/>
      </c>
      <c r="BA109" s="14" t="str">
        <f t="shared" si="83"/>
        <v/>
      </c>
    </row>
    <row r="110" spans="1:53" x14ac:dyDescent="0.2">
      <c r="A110" t="str">
        <f>INDEX(Prioritization!$D:$D,MATCH($B110,Prioritization!$A:$A,0))</f>
        <v>1 - Scale-up: Saturation</v>
      </c>
      <c r="B110" t="s">
        <v>212</v>
      </c>
      <c r="C110" t="s">
        <v>363</v>
      </c>
      <c r="D110" t="s">
        <v>29</v>
      </c>
      <c r="E110" t="str">
        <f t="shared" si="56"/>
        <v>Chiradzulu District [oiPR2CiVJbf]|10-14|Female</v>
      </c>
      <c r="F110" s="14">
        <f>IF(LEFT($B110,4)="_Mil","",INDEX(Cascade!$T:$T,MATCH($E110,Cascade!$E:$E,0)))</f>
        <v>1439</v>
      </c>
      <c r="G110" s="14" t="str">
        <f>IF(LEFT($B110,4)="_Mil","",INDEX(Cascade!$U:$U,MATCH($E110,Cascade!$E:$E,0)))</f>
        <v/>
      </c>
      <c r="H110" s="88">
        <f>IF(LEFT($B110,4)="_Mil","",INDEX(Cascade!$W:$W,MATCH($E110,Cascade!$E:$E,0)))</f>
        <v>1248</v>
      </c>
      <c r="I110" s="14">
        <f>IF(LEFT($B110,4)="_Mil","",INDEX(Cascade!$Z:$Z,MATCH($E110,Cascade!$E:$E,0)))</f>
        <v>978</v>
      </c>
      <c r="J110" s="90">
        <f>IF(LEFT($B110,4)="_Mil","",INDEX(Cascade!$AA:$AA,MATCH($E110,Cascade!$E:$E,0)))</f>
        <v>1675</v>
      </c>
      <c r="K110" s="42" t="str">
        <f>IF(LEFT($B110,4)="_Mil","",_xlfn.IFNA(ROUND(INDEX(Spectrum!$N:$N,MATCH(RIGHT($B110,13)&amp;"|"&amp;$C110&amp;"|"&amp;$D110&amp;"|"&amp;K$14&amp;"|"&amp;"CY2023Q3",Spectrum!$R:$R,0)),0),""))</f>
        <v/>
      </c>
      <c r="L110" s="42" t="str">
        <f>IF(LEFT($B110,4)="_Mil","",_xlfn.IFNA(ROUND(INDEX(Spectrum!$N:$N,MATCH(RIGHT($B110,13)&amp;"|"&amp;$C110&amp;"|"&amp;$D110&amp;"|"&amp;L$14&amp;"|"&amp;"CY2023Q3",Spectrum!$R:$R,0)),0),""))</f>
        <v/>
      </c>
      <c r="M110" s="42" t="str">
        <f>IF(LEFT($B110,4)="_Mil","",_xlfn.IFNA(ROUND(INDEX(Spectrum!$N:$N,MATCH(RIGHT($B110,13)&amp;"|"&amp;$C110&amp;"|"&amp;$D110&amp;"|"&amp;M$14&amp;"|"&amp;"CY2023Q3",Spectrum!$R:$R,0)),0),""))</f>
        <v/>
      </c>
      <c r="N110" s="42" t="str">
        <f>IF(LEFT($B110,4)="_Mil","",_xlfn.IFNA(ROUND(INDEX(Spectrum!$N:$N,MATCH(RIGHT($B110,13)&amp;"|"&amp;$C110&amp;"|"&amp;$D110&amp;"|"&amp;N$14&amp;"|"&amp;"CY2023Q3",Spectrum!$R:$R,0)),0),""))</f>
        <v/>
      </c>
      <c r="O110" s="42" t="str">
        <f>IF(LEFT($B110,4)="_Mil","",_xlfn.IFNA(ROUND(INDEX(Spectrum!$N:$N,MATCH(RIGHT($B110,13)&amp;"|"&amp;$C110&amp;"|"&amp;$D110&amp;"|"&amp;O$14&amp;"|"&amp;"CY2023Q3",Spectrum!$R:$R,0)),0),""))</f>
        <v/>
      </c>
      <c r="P110" s="42" t="str">
        <f>IF(LEFT($B110,4)="_Mil","",_xlfn.IFNA(ROUND(INDEX(Spectrum!$N:$N,MATCH(RIGHT($B110,13)&amp;"|"&amp;$C110&amp;"|"&amp;$D110&amp;"|"&amp;P$14&amp;"|"&amp;"CY2023Q3",Spectrum!$R:$R,0)),0),""))</f>
        <v/>
      </c>
      <c r="Q110" s="42" t="str">
        <f>IF(LEFT($B110,4)="_Mil","",_xlfn.IFNA(ROUND(INDEX(Spectrum!$N:$N,MATCH(RIGHT($B110,13)&amp;"|"&amp;$C110&amp;"|"&amp;$D110&amp;"|"&amp;Q$14&amp;"|"&amp;"CY2022Q3",Spectrum!$R:$R,0)),0),""))</f>
        <v/>
      </c>
      <c r="R110" s="14">
        <v>6</v>
      </c>
      <c r="S110" s="90">
        <f>0</f>
        <v>0</v>
      </c>
      <c r="T110" s="42">
        <f t="shared" si="57"/>
        <v>6</v>
      </c>
      <c r="U110" s="90">
        <f t="shared" si="58"/>
        <v>1</v>
      </c>
      <c r="V110" s="42">
        <f t="shared" si="59"/>
        <v>6</v>
      </c>
      <c r="W110" s="90"/>
      <c r="X110" s="90" t="str">
        <f t="shared" si="60"/>
        <v/>
      </c>
      <c r="Y110" s="90">
        <v>1.10351014882326E-4</v>
      </c>
      <c r="Z110" s="90">
        <f t="shared" si="61"/>
        <v>1.10351014882326E-4</v>
      </c>
      <c r="AA110" s="14">
        <f t="shared" si="62"/>
        <v>6</v>
      </c>
      <c r="AB110" s="42" t="str">
        <f t="shared" si="63"/>
        <v>ENTER KNOWN POSITIVITY RATE</v>
      </c>
      <c r="AC110" s="42">
        <f t="shared" si="64"/>
        <v>0</v>
      </c>
      <c r="AD110" s="42">
        <f t="shared" si="65"/>
        <v>6</v>
      </c>
      <c r="AE110" s="14">
        <f t="shared" si="66"/>
        <v>6</v>
      </c>
      <c r="AF110" s="42">
        <f t="shared" si="67"/>
        <v>0</v>
      </c>
      <c r="AG110" s="42">
        <f t="shared" si="68"/>
        <v>0</v>
      </c>
      <c r="AH110" s="42">
        <f t="shared" si="69"/>
        <v>6</v>
      </c>
      <c r="AI110" s="90" t="str">
        <f>IF(SUM($AC110)=0,"",INDEX(Cascade!$BG:$BG,MATCH($E110,Cascade!$E:$E,0)))</f>
        <v/>
      </c>
      <c r="AJ110" s="42" t="str">
        <f t="shared" si="70"/>
        <v>ENTER KNOWN POSITIVITY RATE</v>
      </c>
      <c r="AK110" s="42" t="str">
        <f t="shared" si="71"/>
        <v/>
      </c>
      <c r="AL110" s="42" t="str">
        <f t="shared" si="72"/>
        <v/>
      </c>
      <c r="AM110" s="42">
        <f t="shared" si="73"/>
        <v>0</v>
      </c>
      <c r="AN110" s="42" t="str">
        <f t="shared" si="74"/>
        <v/>
      </c>
      <c r="AO110" s="14">
        <f t="shared" si="75"/>
        <v>6</v>
      </c>
      <c r="AP110" s="90"/>
      <c r="AQ110" s="90" t="str">
        <f t="shared" si="76"/>
        <v/>
      </c>
      <c r="AR110" s="90">
        <f>IF(SUM($AO110)=0,"",INDEX(Cascade!$BG:$BG,MATCH($E110,Cascade!$E:$E,0)))</f>
        <v>0.95</v>
      </c>
      <c r="AS110" s="42" t="str">
        <f t="shared" si="77"/>
        <v>ENTER YIELD RATE</v>
      </c>
      <c r="AT110" s="42">
        <f t="shared" si="78"/>
        <v>6</v>
      </c>
      <c r="AU110" s="14" t="str">
        <f t="shared" si="79"/>
        <v/>
      </c>
      <c r="AV110" s="14" t="str">
        <f t="shared" si="80"/>
        <v/>
      </c>
      <c r="AW110" s="14">
        <f>IFERROR(1/(1/INDEX(Cascade!$BH:$BH,MATCH($E110,Cascade!$E:$E,0))),"")</f>
        <v>-26</v>
      </c>
      <c r="AX110" s="14" t="str">
        <f t="shared" si="81"/>
        <v/>
      </c>
      <c r="AY110" s="14" t="str">
        <f t="shared" si="82"/>
        <v/>
      </c>
      <c r="AZ110" s="14" t="str">
        <f>IFERROR(1/(1/INDEX(TB!$P:$P,MATCH($E110,TB!$E:$E,0))),"")</f>
        <v/>
      </c>
      <c r="BA110" s="14">
        <f t="shared" si="83"/>
        <v>-26</v>
      </c>
    </row>
    <row r="111" spans="1:53" x14ac:dyDescent="0.2">
      <c r="A111" t="str">
        <f>INDEX(Prioritization!$D:$D,MATCH($B111,Prioritization!$A:$A,0))</f>
        <v>1 - Scale-up: Saturation</v>
      </c>
      <c r="B111" t="s">
        <v>212</v>
      </c>
      <c r="C111" t="s">
        <v>364</v>
      </c>
      <c r="D111" t="s">
        <v>29</v>
      </c>
      <c r="E111" t="str">
        <f t="shared" ref="E111:E142" si="84">B111&amp;"|"&amp;C111&amp;"|"&amp;D111</f>
        <v>Chiradzulu District [oiPR2CiVJbf]|15-24|Female</v>
      </c>
      <c r="F111" s="14">
        <f>IF(LEFT($B111,4)="_Mil","",INDEX(Cascade!$T:$T,MATCH($E111,Cascade!$E:$E,0)))</f>
        <v>873</v>
      </c>
      <c r="G111" s="14" t="str">
        <f>IF(LEFT($B111,4)="_Mil","",INDEX(Cascade!$U:$U,MATCH($E111,Cascade!$E:$E,0)))</f>
        <v/>
      </c>
      <c r="H111" s="88">
        <f>IF(LEFT($B111,4)="_Mil","",INDEX(Cascade!$W:$W,MATCH($E111,Cascade!$E:$E,0)))</f>
        <v>1019</v>
      </c>
      <c r="I111" s="14">
        <f>IF(LEFT($B111,4)="_Mil","",INDEX(Cascade!$Z:$Z,MATCH($E111,Cascade!$E:$E,0)))</f>
        <v>842</v>
      </c>
      <c r="J111" s="90">
        <f>IF(LEFT($B111,4)="_Mil","",INDEX(Cascade!$AA:$AA,MATCH($E111,Cascade!$E:$E,0)))</f>
        <v>1181</v>
      </c>
      <c r="K111" s="42">
        <f>IF(LEFT($B111,4)="_Mil","",_xlfn.IFNA(ROUND(INDEX(Spectrum!$N:$N,MATCH(RIGHT($B111,13)&amp;"|"&amp;$C111&amp;"|"&amp;$D111&amp;"|"&amp;K$14&amp;"|"&amp;"CY2023Q3",Spectrum!$R:$R,0)),0),""))</f>
        <v>1333</v>
      </c>
      <c r="L111" s="42" t="str">
        <f>IF(LEFT($B111,4)="_Mil","",_xlfn.IFNA(ROUND(INDEX(Spectrum!$N:$N,MATCH(RIGHT($B111,13)&amp;"|"&amp;$C111&amp;"|"&amp;$D111&amp;"|"&amp;L$14&amp;"|"&amp;"CY2023Q3",Spectrum!$R:$R,0)),0),""))</f>
        <v/>
      </c>
      <c r="M111" s="42">
        <f>IF(LEFT($B111,4)="_Mil","",_xlfn.IFNA(ROUND(INDEX(Spectrum!$N:$N,MATCH(RIGHT($B111,13)&amp;"|"&amp;$C111&amp;"|"&amp;$D111&amp;"|"&amp;M$14&amp;"|"&amp;"CY2023Q3",Spectrum!$R:$R,0)),0),""))</f>
        <v>1149</v>
      </c>
      <c r="N111" s="42">
        <f>IF(LEFT($B111,4)="_Mil","",_xlfn.IFNA(ROUND(INDEX(Spectrum!$N:$N,MATCH(RIGHT($B111,13)&amp;"|"&amp;$C111&amp;"|"&amp;$D111&amp;"|"&amp;N$14&amp;"|"&amp;"CY2023Q3",Spectrum!$R:$R,0)),0),""))</f>
        <v>1786</v>
      </c>
      <c r="O111" s="42">
        <f>IF(LEFT($B111,4)="_Mil","",_xlfn.IFNA(ROUND(INDEX(Spectrum!$N:$N,MATCH(RIGHT($B111,13)&amp;"|"&amp;$C111&amp;"|"&amp;$D111&amp;"|"&amp;O$14&amp;"|"&amp;"CY2023Q3",Spectrum!$R:$R,0)),0),""))</f>
        <v>1582</v>
      </c>
      <c r="P111" s="42">
        <f>IF(LEFT($B111,4)="_Mil","",_xlfn.IFNA(ROUND(INDEX(Spectrum!$N:$N,MATCH(RIGHT($B111,13)&amp;"|"&amp;$C111&amp;"|"&amp;$D111&amp;"|"&amp;P$14&amp;"|"&amp;"CY2023Q3",Spectrum!$R:$R,0)),0),""))</f>
        <v>1531</v>
      </c>
      <c r="Q111" s="42" t="str">
        <f>IF(LEFT($B111,4)="_Mil","",_xlfn.IFNA(ROUND(INDEX(Spectrum!$N:$N,MATCH(RIGHT($B111,13)&amp;"|"&amp;$C111&amp;"|"&amp;$D111&amp;"|"&amp;Q$14&amp;"|"&amp;"CY2022Q3",Spectrum!$R:$R,0)),0),""))</f>
        <v/>
      </c>
      <c r="R111" s="14"/>
      <c r="S111" s="90">
        <f>0</f>
        <v>0</v>
      </c>
      <c r="T111" s="42" t="str">
        <f t="shared" ref="T111:T142" si="85">IF(SUM($R111)=0,"",ROUND($R111*(1+$S111),0))</f>
        <v/>
      </c>
      <c r="U111" s="90">
        <f t="shared" ref="U111:U142" si="86">IF(LEFT($B111,4)="_Mil","",IF(SUM($K111)=0,IF(SUM($R111)=0,"",1),MIN($R111/$K111,1)))</f>
        <v>0</v>
      </c>
      <c r="V111" s="42" t="str">
        <f t="shared" ref="V111:V142" si="87">IF(OR(SUM($T111)=0,LEFT($B111,4)="_Mil"),"",ROUND($T111/$U111,0))</f>
        <v/>
      </c>
      <c r="W111" s="90"/>
      <c r="X111" s="90">
        <f t="shared" ref="X111:X142" si="88">IF(SUM($K111,$W111)=0,"",MAX(IFERROR(SUM($L111)/$K111,0),SUM($W111)))</f>
        <v>0</v>
      </c>
      <c r="Y111" s="90"/>
      <c r="Z111" s="90">
        <f t="shared" ref="Z111:Z142" si="89">IF(SUM($K111,$Y111)=0,"",MIN(SUM($Y111),IFERROR(SUM($M111)/(SUM($K111)-SUM($L111)),1)))</f>
        <v>0</v>
      </c>
      <c r="AA111" s="14" t="str">
        <f t="shared" ref="AA111:AA142" si="90">$T111</f>
        <v/>
      </c>
      <c r="AB111" s="42" t="str">
        <f t="shared" ref="AB111:AB142" si="91">IF(SUM($AA111)=0,"",IF(AND(SUM($AA111)&gt;0,$X111=""),"ENTER KNOWN POSITIVITY RATE",ROUND($AA111*$X111,0)))</f>
        <v/>
      </c>
      <c r="AC111" s="42" t="str">
        <f t="shared" ref="AC111:AC142" si="92">IF(SUM($AA111)=0,"",IF(AND((SUM($AA111)-SUM($AB111))&gt;0,$Z111=""),"ENTER YIELD RATE",ROUND(($AA111-SUM($AB111))*$Z111,0)))</f>
        <v/>
      </c>
      <c r="AD111" s="42" t="str">
        <f t="shared" ref="AD111:AD142" si="93">IF(SUM($AA111)=0,"",$AA111-SUM($AB111)-SUM($AC111))</f>
        <v/>
      </c>
      <c r="AE111" s="14" t="str">
        <f t="shared" ref="AE111:AE142" si="94">$V111</f>
        <v/>
      </c>
      <c r="AF111" s="42" t="str">
        <f t="shared" ref="AF111:AF142" si="95">IF(SUM($AE111)=0,"",ROUND($AE111*SUM($X111),0))</f>
        <v/>
      </c>
      <c r="AG111" s="42" t="str">
        <f t="shared" ref="AG111:AG142" si="96">IF(SUM($AE111)=0,"",ROUND(($AE111-SUM($AF111))*SUM($Z111),0))</f>
        <v/>
      </c>
      <c r="AH111" s="42" t="str">
        <f t="shared" ref="AH111:AH142" si="97">IF(SUM($AE111)=0,"",$AE111-SUM($AF111)-SUM($AG111))</f>
        <v/>
      </c>
      <c r="AI111" s="90" t="str">
        <f>IF(SUM($AC111)=0,"",INDEX(Cascade!$BG:$BG,MATCH($E111,Cascade!$E:$E,0)))</f>
        <v/>
      </c>
      <c r="AJ111" s="42" t="str">
        <f t="shared" ref="AJ111:AJ142" si="98">$AB111</f>
        <v/>
      </c>
      <c r="AK111" s="42" t="str">
        <f t="shared" ref="AK111:AK142" si="99">IF(SUM($AC111)=0,"",IF(AND($AI111="",SUM($AC111)&gt;0),"&lt;- Enter Linkage Rate",ROUND($AC111*$AI111,0)))</f>
        <v/>
      </c>
      <c r="AL111" s="42" t="str">
        <f t="shared" ref="AL111:AL142" si="100">IF(SUM($AF111,$AG111)=0,"",SUM($AF111,$AG111))</f>
        <v/>
      </c>
      <c r="AM111" s="42" t="str">
        <f t="shared" ref="AM111:AM142" si="101">$AF111</f>
        <v/>
      </c>
      <c r="AN111" s="42" t="str">
        <f t="shared" ref="AN111:AN142" si="102">IF(SUM($AG111)=0,"",ROUND($AG111*SUM($AI111),0))</f>
        <v/>
      </c>
      <c r="AO111" s="14" t="str">
        <f t="shared" ref="AO111:AO142" si="103">IFERROR(1/(1/MAX(SUM($T111)-SUM($AB111,$AC111),$AD111)),"")</f>
        <v/>
      </c>
      <c r="AP111" s="90"/>
      <c r="AQ111" s="90" t="str">
        <f t="shared" ref="AQ111:AQ142" si="104">IF($AP111="","",$AP111)</f>
        <v/>
      </c>
      <c r="AR111" s="90" t="str">
        <f>IF(SUM($AO111)=0,"",INDEX(Cascade!$BG:$BG,MATCH($E111,Cascade!$E:$E,0)))</f>
        <v/>
      </c>
      <c r="AS111" s="42" t="str">
        <f t="shared" ref="AS111:AS142" si="105">IF(SUM($AO111)=0,"",IF(AND(SUM($AO111)&gt;0,$AQ111=""),"ENTER YIELD RATE",ROUND($AO111*$AQ111,0)))</f>
        <v/>
      </c>
      <c r="AT111" s="42" t="str">
        <f t="shared" ref="AT111:AT142" si="106">IF(SUM($AO111)=0,"",$AO111-SUM($AS111))</f>
        <v/>
      </c>
      <c r="AU111" s="14" t="str">
        <f t="shared" ref="AU111:AU142" si="107">IF(SUM($AS111)=0,"",ROUND($AS111*$AR111,0))</f>
        <v/>
      </c>
      <c r="AV111" s="14" t="str">
        <f t="shared" ref="AV111:AV142" si="108">IFERROR(1/(1/SUM($AC111,$AB111,$AS111)),"")</f>
        <v/>
      </c>
      <c r="AW111" s="14" t="str">
        <f>IFERROR(1/(1/INDEX(Cascade!$BH:$BH,MATCH($E111,Cascade!$E:$E,0))),"")</f>
        <v/>
      </c>
      <c r="AX111" s="14" t="str">
        <f t="shared" ref="AX111:AX142" si="109">IF(SUM($AC111)=0,"",$AC111)</f>
        <v/>
      </c>
      <c r="AY111" s="14" t="str">
        <f t="shared" ref="AY111:AY142" si="110">IF(SUM($AS111)=0,"",$AS111)</f>
        <v/>
      </c>
      <c r="AZ111" s="14" t="str">
        <f>IFERROR(1/(1/INDEX(TB!$P:$P,MATCH($E111,TB!$E:$E,0))),"")</f>
        <v/>
      </c>
      <c r="BA111" s="14" t="str">
        <f t="shared" ref="BA111:BA142" si="111">IFERROR(1/(1/(SUM($AW111)-SUM($AX111:$AZ111))),"")</f>
        <v/>
      </c>
    </row>
    <row r="112" spans="1:53" x14ac:dyDescent="0.2">
      <c r="A112" t="str">
        <f>INDEX(Prioritization!$D:$D,MATCH($B112,Prioritization!$A:$A,0))</f>
        <v>1 - Scale-up: Saturation</v>
      </c>
      <c r="B112" t="s">
        <v>212</v>
      </c>
      <c r="C112" t="s">
        <v>365</v>
      </c>
      <c r="D112" t="s">
        <v>29</v>
      </c>
      <c r="E112" t="str">
        <f t="shared" si="84"/>
        <v>Chiradzulu District [oiPR2CiVJbf]|25-34|Female</v>
      </c>
      <c r="F112" s="14">
        <f>IF(LEFT($B112,4)="_Mil","",INDEX(Cascade!$T:$T,MATCH($E112,Cascade!$E:$E,0)))</f>
        <v>1090</v>
      </c>
      <c r="G112" s="14" t="str">
        <f>IF(LEFT($B112,4)="_Mil","",INDEX(Cascade!$U:$U,MATCH($E112,Cascade!$E:$E,0)))</f>
        <v/>
      </c>
      <c r="H112" s="88">
        <f>IF(LEFT($B112,4)="_Mil","",INDEX(Cascade!$W:$W,MATCH($E112,Cascade!$E:$E,0)))</f>
        <v>702</v>
      </c>
      <c r="I112" s="14">
        <f>IF(LEFT($B112,4)="_Mil","",INDEX(Cascade!$Z:$Z,MATCH($E112,Cascade!$E:$E,0)))</f>
        <v>1376</v>
      </c>
      <c r="J112" s="90">
        <f>IF(LEFT($B112,4)="_Mil","",INDEX(Cascade!$AA:$AA,MATCH($E112,Cascade!$E:$E,0)))</f>
        <v>873</v>
      </c>
      <c r="K112" s="42">
        <f>IF(LEFT($B112,4)="_Mil","",_xlfn.IFNA(ROUND(INDEX(Spectrum!$N:$N,MATCH(RIGHT($B112,13)&amp;"|"&amp;$C112&amp;"|"&amp;$D112&amp;"|"&amp;K$14&amp;"|"&amp;"CY2023Q3",Spectrum!$R:$R,0)),0),""))</f>
        <v>1617</v>
      </c>
      <c r="L112" s="42" t="str">
        <f>IF(LEFT($B112,4)="_Mil","",_xlfn.IFNA(ROUND(INDEX(Spectrum!$N:$N,MATCH(RIGHT($B112,13)&amp;"|"&amp;$C112&amp;"|"&amp;$D112&amp;"|"&amp;L$14&amp;"|"&amp;"CY2023Q3",Spectrum!$R:$R,0)),0),""))</f>
        <v/>
      </c>
      <c r="M112" s="42">
        <f>IF(LEFT($B112,4)="_Mil","",_xlfn.IFNA(ROUND(INDEX(Spectrum!$N:$N,MATCH(RIGHT($B112,13)&amp;"|"&amp;$C112&amp;"|"&amp;$D112&amp;"|"&amp;M$14&amp;"|"&amp;"CY2023Q3",Spectrum!$R:$R,0)),0),""))</f>
        <v>1519</v>
      </c>
      <c r="N112" s="42">
        <f>IF(LEFT($B112,4)="_Mil","",_xlfn.IFNA(ROUND(INDEX(Spectrum!$N:$N,MATCH(RIGHT($B112,13)&amp;"|"&amp;$C112&amp;"|"&amp;$D112&amp;"|"&amp;N$14&amp;"|"&amp;"CY2023Q3",Spectrum!$R:$R,0)),0),""))</f>
        <v>1312</v>
      </c>
      <c r="O112" s="42">
        <f>IF(LEFT($B112,4)="_Mil","",_xlfn.IFNA(ROUND(INDEX(Spectrum!$N:$N,MATCH(RIGHT($B112,13)&amp;"|"&amp;$C112&amp;"|"&amp;$D112&amp;"|"&amp;O$14&amp;"|"&amp;"CY2023Q3",Spectrum!$R:$R,0)),0),""))</f>
        <v>748</v>
      </c>
      <c r="P112" s="42">
        <f>IF(LEFT($B112,4)="_Mil","",_xlfn.IFNA(ROUND(INDEX(Spectrum!$N:$N,MATCH(RIGHT($B112,13)&amp;"|"&amp;$C112&amp;"|"&amp;$D112&amp;"|"&amp;P$14&amp;"|"&amp;"CY2023Q3",Spectrum!$R:$R,0)),0),""))</f>
        <v>1487</v>
      </c>
      <c r="Q112" s="42" t="str">
        <f>IF(LEFT($B112,4)="_Mil","",_xlfn.IFNA(ROUND(INDEX(Spectrum!$N:$N,MATCH(RIGHT($B112,13)&amp;"|"&amp;$C112&amp;"|"&amp;$D112&amp;"|"&amp;Q$14&amp;"|"&amp;"CY2022Q3",Spectrum!$R:$R,0)),0),""))</f>
        <v/>
      </c>
      <c r="R112" s="14"/>
      <c r="S112" s="90">
        <f>0</f>
        <v>0</v>
      </c>
      <c r="T112" s="42" t="str">
        <f t="shared" si="85"/>
        <v/>
      </c>
      <c r="U112" s="90">
        <f t="shared" si="86"/>
        <v>0</v>
      </c>
      <c r="V112" s="42" t="str">
        <f t="shared" si="87"/>
        <v/>
      </c>
      <c r="W112" s="90"/>
      <c r="X112" s="90">
        <f t="shared" si="88"/>
        <v>0</v>
      </c>
      <c r="Y112" s="90"/>
      <c r="Z112" s="90">
        <f t="shared" si="89"/>
        <v>0</v>
      </c>
      <c r="AA112" s="14" t="str">
        <f t="shared" si="90"/>
        <v/>
      </c>
      <c r="AB112" s="42" t="str">
        <f t="shared" si="91"/>
        <v/>
      </c>
      <c r="AC112" s="42" t="str">
        <f t="shared" si="92"/>
        <v/>
      </c>
      <c r="AD112" s="42" t="str">
        <f t="shared" si="93"/>
        <v/>
      </c>
      <c r="AE112" s="14" t="str">
        <f t="shared" si="94"/>
        <v/>
      </c>
      <c r="AF112" s="42" t="str">
        <f t="shared" si="95"/>
        <v/>
      </c>
      <c r="AG112" s="42" t="str">
        <f t="shared" si="96"/>
        <v/>
      </c>
      <c r="AH112" s="42" t="str">
        <f t="shared" si="97"/>
        <v/>
      </c>
      <c r="AI112" s="90" t="str">
        <f>IF(SUM($AC112)=0,"",INDEX(Cascade!$BG:$BG,MATCH($E112,Cascade!$E:$E,0)))</f>
        <v/>
      </c>
      <c r="AJ112" s="42" t="str">
        <f t="shared" si="98"/>
        <v/>
      </c>
      <c r="AK112" s="42" t="str">
        <f t="shared" si="99"/>
        <v/>
      </c>
      <c r="AL112" s="42" t="str">
        <f t="shared" si="100"/>
        <v/>
      </c>
      <c r="AM112" s="42" t="str">
        <f t="shared" si="101"/>
        <v/>
      </c>
      <c r="AN112" s="42" t="str">
        <f t="shared" si="102"/>
        <v/>
      </c>
      <c r="AO112" s="14" t="str">
        <f t="shared" si="103"/>
        <v/>
      </c>
      <c r="AP112" s="90"/>
      <c r="AQ112" s="90" t="str">
        <f t="shared" si="104"/>
        <v/>
      </c>
      <c r="AR112" s="90" t="str">
        <f>IF(SUM($AO112)=0,"",INDEX(Cascade!$BG:$BG,MATCH($E112,Cascade!$E:$E,0)))</f>
        <v/>
      </c>
      <c r="AS112" s="42" t="str">
        <f t="shared" si="105"/>
        <v/>
      </c>
      <c r="AT112" s="42" t="str">
        <f t="shared" si="106"/>
        <v/>
      </c>
      <c r="AU112" s="14" t="str">
        <f t="shared" si="107"/>
        <v/>
      </c>
      <c r="AV112" s="14" t="str">
        <f t="shared" si="108"/>
        <v/>
      </c>
      <c r="AW112" s="14" t="str">
        <f>IFERROR(1/(1/INDEX(Cascade!$BH:$BH,MATCH($E112,Cascade!$E:$E,0))),"")</f>
        <v/>
      </c>
      <c r="AX112" s="14" t="str">
        <f t="shared" si="109"/>
        <v/>
      </c>
      <c r="AY112" s="14" t="str">
        <f t="shared" si="110"/>
        <v/>
      </c>
      <c r="AZ112" s="14" t="str">
        <f>IFERROR(1/(1/INDEX(TB!$P:$P,MATCH($E112,TB!$E:$E,0))),"")</f>
        <v/>
      </c>
      <c r="BA112" s="14" t="str">
        <f t="shared" si="111"/>
        <v/>
      </c>
    </row>
    <row r="113" spans="1:53" x14ac:dyDescent="0.2">
      <c r="A113" t="str">
        <f>INDEX(Prioritization!$D:$D,MATCH($B113,Prioritization!$A:$A,0))</f>
        <v>1 - Scale-up: Saturation</v>
      </c>
      <c r="B113" t="s">
        <v>212</v>
      </c>
      <c r="C113" t="s">
        <v>366</v>
      </c>
      <c r="D113" t="s">
        <v>29</v>
      </c>
      <c r="E113" t="str">
        <f t="shared" si="84"/>
        <v>Chiradzulu District [oiPR2CiVJbf]|35-49|Female</v>
      </c>
      <c r="F113" s="14">
        <f>IF(LEFT($B113,4)="_Mil","",INDEX(Cascade!$T:$T,MATCH($E113,Cascade!$E:$E,0)))</f>
        <v>852</v>
      </c>
      <c r="G113" s="14" t="str">
        <f>IF(LEFT($B113,4)="_Mil","",INDEX(Cascade!$U:$U,MATCH($E113,Cascade!$E:$E,0)))</f>
        <v/>
      </c>
      <c r="H113" s="88">
        <f>IF(LEFT($B113,4)="_Mil","",INDEX(Cascade!$W:$W,MATCH($E113,Cascade!$E:$E,0)))</f>
        <v>948</v>
      </c>
      <c r="I113" s="14">
        <f>IF(LEFT($B113,4)="_Mil","",INDEX(Cascade!$Z:$Z,MATCH($E113,Cascade!$E:$E,0)))</f>
        <v>1437</v>
      </c>
      <c r="J113" s="90">
        <f>IF(LEFT($B113,4)="_Mil","",INDEX(Cascade!$AA:$AA,MATCH($E113,Cascade!$E:$E,0)))</f>
        <v>1122</v>
      </c>
      <c r="K113" s="42">
        <f>IF(LEFT($B113,4)="_Mil","",_xlfn.IFNA(ROUND(INDEX(Spectrum!$N:$N,MATCH(RIGHT($B113,13)&amp;"|"&amp;$C113&amp;"|"&amp;$D113&amp;"|"&amp;K$14&amp;"|"&amp;"CY2023Q3",Spectrum!$R:$R,0)),0),""))</f>
        <v>1794</v>
      </c>
      <c r="L113" s="42" t="str">
        <f>IF(LEFT($B113,4)="_Mil","",_xlfn.IFNA(ROUND(INDEX(Spectrum!$N:$N,MATCH(RIGHT($B113,13)&amp;"|"&amp;$C113&amp;"|"&amp;$D113&amp;"|"&amp;L$14&amp;"|"&amp;"CY2023Q3",Spectrum!$R:$R,0)),0),""))</f>
        <v/>
      </c>
      <c r="M113" s="42">
        <f>IF(LEFT($B113,4)="_Mil","",_xlfn.IFNA(ROUND(INDEX(Spectrum!$N:$N,MATCH(RIGHT($B113,13)&amp;"|"&amp;$C113&amp;"|"&amp;$D113&amp;"|"&amp;M$14&amp;"|"&amp;"CY2023Q3",Spectrum!$R:$R,0)),0),""))</f>
        <v>1255</v>
      </c>
      <c r="N113" s="42">
        <f>IF(LEFT($B113,4)="_Mil","",_xlfn.IFNA(ROUND(INDEX(Spectrum!$N:$N,MATCH(RIGHT($B113,13)&amp;"|"&amp;$C113&amp;"|"&amp;$D113&amp;"|"&amp;N$14&amp;"|"&amp;"CY2023Q3",Spectrum!$R:$R,0)),0),""))</f>
        <v>1631</v>
      </c>
      <c r="O113" s="42">
        <f>IF(LEFT($B113,4)="_Mil","",_xlfn.IFNA(ROUND(INDEX(Spectrum!$N:$N,MATCH(RIGHT($B113,13)&amp;"|"&amp;$C113&amp;"|"&amp;$D113&amp;"|"&amp;O$14&amp;"|"&amp;"CY2023Q3",Spectrum!$R:$R,0)),0),""))</f>
        <v>940</v>
      </c>
      <c r="P113" s="42">
        <f>IF(LEFT($B113,4)="_Mil","",_xlfn.IFNA(ROUND(INDEX(Spectrum!$N:$N,MATCH(RIGHT($B113,13)&amp;"|"&amp;$C113&amp;"|"&amp;$D113&amp;"|"&amp;P$14&amp;"|"&amp;"CY2023Q3",Spectrum!$R:$R,0)),0),""))</f>
        <v>1256</v>
      </c>
      <c r="Q113" s="42" t="str">
        <f>IF(LEFT($B113,4)="_Mil","",_xlfn.IFNA(ROUND(INDEX(Spectrum!$N:$N,MATCH(RIGHT($B113,13)&amp;"|"&amp;$C113&amp;"|"&amp;$D113&amp;"|"&amp;Q$14&amp;"|"&amp;"CY2022Q3",Spectrum!$R:$R,0)),0),""))</f>
        <v/>
      </c>
      <c r="R113" s="14"/>
      <c r="S113" s="90">
        <f>0</f>
        <v>0</v>
      </c>
      <c r="T113" s="42" t="str">
        <f t="shared" si="85"/>
        <v/>
      </c>
      <c r="U113" s="90">
        <f t="shared" si="86"/>
        <v>0</v>
      </c>
      <c r="V113" s="42" t="str">
        <f t="shared" si="87"/>
        <v/>
      </c>
      <c r="W113" s="90"/>
      <c r="X113" s="90">
        <f t="shared" si="88"/>
        <v>0</v>
      </c>
      <c r="Y113" s="90"/>
      <c r="Z113" s="90">
        <f t="shared" si="89"/>
        <v>0</v>
      </c>
      <c r="AA113" s="14" t="str">
        <f t="shared" si="90"/>
        <v/>
      </c>
      <c r="AB113" s="42" t="str">
        <f t="shared" si="91"/>
        <v/>
      </c>
      <c r="AC113" s="42" t="str">
        <f t="shared" si="92"/>
        <v/>
      </c>
      <c r="AD113" s="42" t="str">
        <f t="shared" si="93"/>
        <v/>
      </c>
      <c r="AE113" s="14" t="str">
        <f t="shared" si="94"/>
        <v/>
      </c>
      <c r="AF113" s="42" t="str">
        <f t="shared" si="95"/>
        <v/>
      </c>
      <c r="AG113" s="42" t="str">
        <f t="shared" si="96"/>
        <v/>
      </c>
      <c r="AH113" s="42" t="str">
        <f t="shared" si="97"/>
        <v/>
      </c>
      <c r="AI113" s="90" t="str">
        <f>IF(SUM($AC113)=0,"",INDEX(Cascade!$BG:$BG,MATCH($E113,Cascade!$E:$E,0)))</f>
        <v/>
      </c>
      <c r="AJ113" s="42" t="str">
        <f t="shared" si="98"/>
        <v/>
      </c>
      <c r="AK113" s="42" t="str">
        <f t="shared" si="99"/>
        <v/>
      </c>
      <c r="AL113" s="42" t="str">
        <f t="shared" si="100"/>
        <v/>
      </c>
      <c r="AM113" s="42" t="str">
        <f t="shared" si="101"/>
        <v/>
      </c>
      <c r="AN113" s="42" t="str">
        <f t="shared" si="102"/>
        <v/>
      </c>
      <c r="AO113" s="14" t="str">
        <f t="shared" si="103"/>
        <v/>
      </c>
      <c r="AP113" s="90"/>
      <c r="AQ113" s="90" t="str">
        <f t="shared" si="104"/>
        <v/>
      </c>
      <c r="AR113" s="90" t="str">
        <f>IF(SUM($AO113)=0,"",INDEX(Cascade!$BG:$BG,MATCH($E113,Cascade!$E:$E,0)))</f>
        <v/>
      </c>
      <c r="AS113" s="42" t="str">
        <f t="shared" si="105"/>
        <v/>
      </c>
      <c r="AT113" s="42" t="str">
        <f t="shared" si="106"/>
        <v/>
      </c>
      <c r="AU113" s="14" t="str">
        <f t="shared" si="107"/>
        <v/>
      </c>
      <c r="AV113" s="14" t="str">
        <f t="shared" si="108"/>
        <v/>
      </c>
      <c r="AW113" s="14" t="str">
        <f>IFERROR(1/(1/INDEX(Cascade!$BH:$BH,MATCH($E113,Cascade!$E:$E,0))),"")</f>
        <v/>
      </c>
      <c r="AX113" s="14" t="str">
        <f t="shared" si="109"/>
        <v/>
      </c>
      <c r="AY113" s="14" t="str">
        <f t="shared" si="110"/>
        <v/>
      </c>
      <c r="AZ113" s="14" t="str">
        <f>IFERROR(1/(1/INDEX(TB!$P:$P,MATCH($E113,TB!$E:$E,0))),"")</f>
        <v/>
      </c>
      <c r="BA113" s="14" t="str">
        <f t="shared" si="111"/>
        <v/>
      </c>
    </row>
    <row r="114" spans="1:53" x14ac:dyDescent="0.2">
      <c r="A114" t="str">
        <f>INDEX(Prioritization!$D:$D,MATCH($B114,Prioritization!$A:$A,0))</f>
        <v>1 - Scale-up: Saturation</v>
      </c>
      <c r="B114" t="s">
        <v>212</v>
      </c>
      <c r="C114" t="s">
        <v>367</v>
      </c>
      <c r="D114" t="s">
        <v>29</v>
      </c>
      <c r="E114" t="str">
        <f t="shared" si="84"/>
        <v>Chiradzulu District [oiPR2CiVJbf]|50+|Female</v>
      </c>
      <c r="F114" s="14">
        <f>IF(LEFT($B114,4)="_Mil","",INDEX(Cascade!$T:$T,MATCH($E114,Cascade!$E:$E,0)))</f>
        <v>1061</v>
      </c>
      <c r="G114" s="14" t="str">
        <f>IF(LEFT($B114,4)="_Mil","",INDEX(Cascade!$U:$U,MATCH($E114,Cascade!$E:$E,0)))</f>
        <v/>
      </c>
      <c r="H114" s="88">
        <f>IF(LEFT($B114,4)="_Mil","",INDEX(Cascade!$W:$W,MATCH($E114,Cascade!$E:$E,0)))</f>
        <v>1422</v>
      </c>
      <c r="I114" s="14">
        <f>IF(LEFT($B114,4)="_Mil","",INDEX(Cascade!$Z:$Z,MATCH($E114,Cascade!$E:$E,0)))</f>
        <v>1665</v>
      </c>
      <c r="J114" s="90">
        <f>IF(LEFT($B114,4)="_Mil","",INDEX(Cascade!$AA:$AA,MATCH($E114,Cascade!$E:$E,0)))</f>
        <v>1159</v>
      </c>
      <c r="K114" s="42" t="str">
        <f>IF(LEFT($B114,4)="_Mil","",_xlfn.IFNA(ROUND(INDEX(Spectrum!$N:$N,MATCH(RIGHT($B114,13)&amp;"|"&amp;$C114&amp;"|"&amp;$D114&amp;"|"&amp;K$14&amp;"|"&amp;"CY2023Q3",Spectrum!$R:$R,0)),0),""))</f>
        <v/>
      </c>
      <c r="L114" s="42" t="str">
        <f>IF(LEFT($B114,4)="_Mil","",_xlfn.IFNA(ROUND(INDEX(Spectrum!$N:$N,MATCH(RIGHT($B114,13)&amp;"|"&amp;$C114&amp;"|"&amp;$D114&amp;"|"&amp;L$14&amp;"|"&amp;"CY2023Q3",Spectrum!$R:$R,0)),0),""))</f>
        <v/>
      </c>
      <c r="M114" s="42" t="str">
        <f>IF(LEFT($B114,4)="_Mil","",_xlfn.IFNA(ROUND(INDEX(Spectrum!$N:$N,MATCH(RIGHT($B114,13)&amp;"|"&amp;$C114&amp;"|"&amp;$D114&amp;"|"&amp;M$14&amp;"|"&amp;"CY2023Q3",Spectrum!$R:$R,0)),0),""))</f>
        <v/>
      </c>
      <c r="N114" s="42" t="str">
        <f>IF(LEFT($B114,4)="_Mil","",_xlfn.IFNA(ROUND(INDEX(Spectrum!$N:$N,MATCH(RIGHT($B114,13)&amp;"|"&amp;$C114&amp;"|"&amp;$D114&amp;"|"&amp;N$14&amp;"|"&amp;"CY2023Q3",Spectrum!$R:$R,0)),0),""))</f>
        <v/>
      </c>
      <c r="O114" s="42" t="str">
        <f>IF(LEFT($B114,4)="_Mil","",_xlfn.IFNA(ROUND(INDEX(Spectrum!$N:$N,MATCH(RIGHT($B114,13)&amp;"|"&amp;$C114&amp;"|"&amp;$D114&amp;"|"&amp;O$14&amp;"|"&amp;"CY2023Q3",Spectrum!$R:$R,0)),0),""))</f>
        <v/>
      </c>
      <c r="P114" s="42" t="str">
        <f>IF(LEFT($B114,4)="_Mil","",_xlfn.IFNA(ROUND(INDEX(Spectrum!$N:$N,MATCH(RIGHT($B114,13)&amp;"|"&amp;$C114&amp;"|"&amp;$D114&amp;"|"&amp;P$14&amp;"|"&amp;"CY2023Q3",Spectrum!$R:$R,0)),0),""))</f>
        <v/>
      </c>
      <c r="Q114" s="42" t="str">
        <f>IF(LEFT($B114,4)="_Mil","",_xlfn.IFNA(ROUND(INDEX(Spectrum!$N:$N,MATCH(RIGHT($B114,13)&amp;"|"&amp;$C114&amp;"|"&amp;$D114&amp;"|"&amp;Q$14&amp;"|"&amp;"CY2022Q3",Spectrum!$R:$R,0)),0),""))</f>
        <v/>
      </c>
      <c r="R114" s="14"/>
      <c r="S114" s="90">
        <f>0</f>
        <v>0</v>
      </c>
      <c r="T114" s="42" t="str">
        <f t="shared" si="85"/>
        <v/>
      </c>
      <c r="U114" s="90" t="str">
        <f t="shared" si="86"/>
        <v/>
      </c>
      <c r="V114" s="42" t="str">
        <f t="shared" si="87"/>
        <v/>
      </c>
      <c r="W114" s="90"/>
      <c r="X114" s="90" t="str">
        <f t="shared" si="88"/>
        <v/>
      </c>
      <c r="Y114" s="90"/>
      <c r="Z114" s="90" t="str">
        <f t="shared" si="89"/>
        <v/>
      </c>
      <c r="AA114" s="14" t="str">
        <f t="shared" si="90"/>
        <v/>
      </c>
      <c r="AB114" s="42" t="str">
        <f t="shared" si="91"/>
        <v/>
      </c>
      <c r="AC114" s="42" t="str">
        <f t="shared" si="92"/>
        <v/>
      </c>
      <c r="AD114" s="42" t="str">
        <f t="shared" si="93"/>
        <v/>
      </c>
      <c r="AE114" s="14" t="str">
        <f t="shared" si="94"/>
        <v/>
      </c>
      <c r="AF114" s="42" t="str">
        <f t="shared" si="95"/>
        <v/>
      </c>
      <c r="AG114" s="42" t="str">
        <f t="shared" si="96"/>
        <v/>
      </c>
      <c r="AH114" s="42" t="str">
        <f t="shared" si="97"/>
        <v/>
      </c>
      <c r="AI114" s="90" t="str">
        <f>IF(SUM($AC114)=0,"",INDEX(Cascade!$BG:$BG,MATCH($E114,Cascade!$E:$E,0)))</f>
        <v/>
      </c>
      <c r="AJ114" s="42" t="str">
        <f t="shared" si="98"/>
        <v/>
      </c>
      <c r="AK114" s="42" t="str">
        <f t="shared" si="99"/>
        <v/>
      </c>
      <c r="AL114" s="42" t="str">
        <f t="shared" si="100"/>
        <v/>
      </c>
      <c r="AM114" s="42" t="str">
        <f t="shared" si="101"/>
        <v/>
      </c>
      <c r="AN114" s="42" t="str">
        <f t="shared" si="102"/>
        <v/>
      </c>
      <c r="AO114" s="14" t="str">
        <f t="shared" si="103"/>
        <v/>
      </c>
      <c r="AP114" s="90"/>
      <c r="AQ114" s="90" t="str">
        <f t="shared" si="104"/>
        <v/>
      </c>
      <c r="AR114" s="90" t="str">
        <f>IF(SUM($AO114)=0,"",INDEX(Cascade!$BG:$BG,MATCH($E114,Cascade!$E:$E,0)))</f>
        <v/>
      </c>
      <c r="AS114" s="42" t="str">
        <f t="shared" si="105"/>
        <v/>
      </c>
      <c r="AT114" s="42" t="str">
        <f t="shared" si="106"/>
        <v/>
      </c>
      <c r="AU114" s="14" t="str">
        <f t="shared" si="107"/>
        <v/>
      </c>
      <c r="AV114" s="14" t="str">
        <f t="shared" si="108"/>
        <v/>
      </c>
      <c r="AW114" s="14" t="str">
        <f>IFERROR(1/(1/INDEX(Cascade!$BH:$BH,MATCH($E114,Cascade!$E:$E,0))),"")</f>
        <v/>
      </c>
      <c r="AX114" s="14" t="str">
        <f t="shared" si="109"/>
        <v/>
      </c>
      <c r="AY114" s="14" t="str">
        <f t="shared" si="110"/>
        <v/>
      </c>
      <c r="AZ114" s="14" t="str">
        <f>IFERROR(1/(1/INDEX(TB!$P:$P,MATCH($E114,TB!$E:$E,0))),"")</f>
        <v/>
      </c>
      <c r="BA114" s="14" t="str">
        <f t="shared" si="111"/>
        <v/>
      </c>
    </row>
    <row r="115" spans="1:53" x14ac:dyDescent="0.2">
      <c r="A115" t="str">
        <f>INDEX(Prioritization!$D:$D,MATCH($B115,Prioritization!$A:$A,0))</f>
        <v>1 - Scale-up: Saturation</v>
      </c>
      <c r="B115" t="s">
        <v>213</v>
      </c>
      <c r="C115" t="s">
        <v>363</v>
      </c>
      <c r="D115" t="s">
        <v>29</v>
      </c>
      <c r="E115" t="str">
        <f t="shared" si="84"/>
        <v>Machinga District [TYnMSwzko3z]|10-14|Female</v>
      </c>
      <c r="F115" s="14">
        <f>IF(LEFT($B115,4)="_Mil","",INDEX(Cascade!$T:$T,MATCH($E115,Cascade!$E:$E,0)))</f>
        <v>1048</v>
      </c>
      <c r="G115" s="14" t="str">
        <f>IF(LEFT($B115,4)="_Mil","",INDEX(Cascade!$U:$U,MATCH($E115,Cascade!$E:$E,0)))</f>
        <v/>
      </c>
      <c r="H115" s="88">
        <f>IF(LEFT($B115,4)="_Mil","",INDEX(Cascade!$W:$W,MATCH($E115,Cascade!$E:$E,0)))</f>
        <v>1272</v>
      </c>
      <c r="I115" s="14">
        <f>IF(LEFT($B115,4)="_Mil","",INDEX(Cascade!$Z:$Z,MATCH($E115,Cascade!$E:$E,0)))</f>
        <v>1136</v>
      </c>
      <c r="J115" s="90">
        <f>IF(LEFT($B115,4)="_Mil","",INDEX(Cascade!$AA:$AA,MATCH($E115,Cascade!$E:$E,0)))</f>
        <v>1635</v>
      </c>
      <c r="K115" s="42" t="str">
        <f>IF(LEFT($B115,4)="_Mil","",_xlfn.IFNA(ROUND(INDEX(Spectrum!$N:$N,MATCH(RIGHT($B115,13)&amp;"|"&amp;$C115&amp;"|"&amp;$D115&amp;"|"&amp;K$14&amp;"|"&amp;"CY2023Q3",Spectrum!$R:$R,0)),0),""))</f>
        <v/>
      </c>
      <c r="L115" s="42" t="str">
        <f>IF(LEFT($B115,4)="_Mil","",_xlfn.IFNA(ROUND(INDEX(Spectrum!$N:$N,MATCH(RIGHT($B115,13)&amp;"|"&amp;$C115&amp;"|"&amp;$D115&amp;"|"&amp;L$14&amp;"|"&amp;"CY2023Q3",Spectrum!$R:$R,0)),0),""))</f>
        <v/>
      </c>
      <c r="M115" s="42" t="str">
        <f>IF(LEFT($B115,4)="_Mil","",_xlfn.IFNA(ROUND(INDEX(Spectrum!$N:$N,MATCH(RIGHT($B115,13)&amp;"|"&amp;$C115&amp;"|"&amp;$D115&amp;"|"&amp;M$14&amp;"|"&amp;"CY2023Q3",Spectrum!$R:$R,0)),0),""))</f>
        <v/>
      </c>
      <c r="N115" s="42" t="str">
        <f>IF(LEFT($B115,4)="_Mil","",_xlfn.IFNA(ROUND(INDEX(Spectrum!$N:$N,MATCH(RIGHT($B115,13)&amp;"|"&amp;$C115&amp;"|"&amp;$D115&amp;"|"&amp;N$14&amp;"|"&amp;"CY2023Q3",Spectrum!$R:$R,0)),0),""))</f>
        <v/>
      </c>
      <c r="O115" s="42" t="str">
        <f>IF(LEFT($B115,4)="_Mil","",_xlfn.IFNA(ROUND(INDEX(Spectrum!$N:$N,MATCH(RIGHT($B115,13)&amp;"|"&amp;$C115&amp;"|"&amp;$D115&amp;"|"&amp;O$14&amp;"|"&amp;"CY2023Q3",Spectrum!$R:$R,0)),0),""))</f>
        <v/>
      </c>
      <c r="P115" s="42" t="str">
        <f>IF(LEFT($B115,4)="_Mil","",_xlfn.IFNA(ROUND(INDEX(Spectrum!$N:$N,MATCH(RIGHT($B115,13)&amp;"|"&amp;$C115&amp;"|"&amp;$D115&amp;"|"&amp;P$14&amp;"|"&amp;"CY2023Q3",Spectrum!$R:$R,0)),0),""))</f>
        <v/>
      </c>
      <c r="Q115" s="42" t="str">
        <f>IF(LEFT($B115,4)="_Mil","",_xlfn.IFNA(ROUND(INDEX(Spectrum!$N:$N,MATCH(RIGHT($B115,13)&amp;"|"&amp;$C115&amp;"|"&amp;$D115&amp;"|"&amp;Q$14&amp;"|"&amp;"CY2022Q3",Spectrum!$R:$R,0)),0),""))</f>
        <v/>
      </c>
      <c r="R115" s="14">
        <v>9</v>
      </c>
      <c r="S115" s="90">
        <f>0</f>
        <v>0</v>
      </c>
      <c r="T115" s="42">
        <f t="shared" si="85"/>
        <v>9</v>
      </c>
      <c r="U115" s="90">
        <f t="shared" si="86"/>
        <v>1</v>
      </c>
      <c r="V115" s="42">
        <f t="shared" si="87"/>
        <v>9</v>
      </c>
      <c r="W115" s="90"/>
      <c r="X115" s="90" t="str">
        <f t="shared" si="88"/>
        <v/>
      </c>
      <c r="Y115" s="90"/>
      <c r="Z115" s="90" t="str">
        <f t="shared" si="89"/>
        <v/>
      </c>
      <c r="AA115" s="14">
        <f t="shared" si="90"/>
        <v>9</v>
      </c>
      <c r="AB115" s="42" t="str">
        <f t="shared" si="91"/>
        <v>ENTER KNOWN POSITIVITY RATE</v>
      </c>
      <c r="AC115" s="42" t="str">
        <f t="shared" si="92"/>
        <v>ENTER YIELD RATE</v>
      </c>
      <c r="AD115" s="42">
        <f t="shared" si="93"/>
        <v>9</v>
      </c>
      <c r="AE115" s="14">
        <f t="shared" si="94"/>
        <v>9</v>
      </c>
      <c r="AF115" s="42">
        <f t="shared" si="95"/>
        <v>0</v>
      </c>
      <c r="AG115" s="42">
        <f t="shared" si="96"/>
        <v>0</v>
      </c>
      <c r="AH115" s="42">
        <f t="shared" si="97"/>
        <v>9</v>
      </c>
      <c r="AI115" s="90" t="str">
        <f>IF(SUM($AC115)=0,"",INDEX(Cascade!$BG:$BG,MATCH($E115,Cascade!$E:$E,0)))</f>
        <v/>
      </c>
      <c r="AJ115" s="42" t="str">
        <f t="shared" si="98"/>
        <v>ENTER KNOWN POSITIVITY RATE</v>
      </c>
      <c r="AK115" s="42" t="str">
        <f t="shared" si="99"/>
        <v/>
      </c>
      <c r="AL115" s="42" t="str">
        <f t="shared" si="100"/>
        <v/>
      </c>
      <c r="AM115" s="42">
        <f t="shared" si="101"/>
        <v>0</v>
      </c>
      <c r="AN115" s="42" t="str">
        <f t="shared" si="102"/>
        <v/>
      </c>
      <c r="AO115" s="14">
        <f t="shared" si="103"/>
        <v>9</v>
      </c>
      <c r="AP115" s="90"/>
      <c r="AQ115" s="90" t="str">
        <f t="shared" si="104"/>
        <v/>
      </c>
      <c r="AR115" s="90">
        <f>IF(SUM($AO115)=0,"",INDEX(Cascade!$BG:$BG,MATCH($E115,Cascade!$E:$E,0)))</f>
        <v>0.95</v>
      </c>
      <c r="AS115" s="42" t="str">
        <f t="shared" si="105"/>
        <v>ENTER YIELD RATE</v>
      </c>
      <c r="AT115" s="42">
        <f t="shared" si="106"/>
        <v>9</v>
      </c>
      <c r="AU115" s="14" t="str">
        <f t="shared" si="107"/>
        <v/>
      </c>
      <c r="AV115" s="14" t="str">
        <f t="shared" si="108"/>
        <v/>
      </c>
      <c r="AW115" s="14">
        <f>IFERROR(1/(1/INDEX(Cascade!$BH:$BH,MATCH($E115,Cascade!$E:$E,0))),"")</f>
        <v>-87</v>
      </c>
      <c r="AX115" s="14" t="str">
        <f t="shared" si="109"/>
        <v/>
      </c>
      <c r="AY115" s="14" t="str">
        <f t="shared" si="110"/>
        <v/>
      </c>
      <c r="AZ115" s="14" t="str">
        <f>IFERROR(1/(1/INDEX(TB!$P:$P,MATCH($E115,TB!$E:$E,0))),"")</f>
        <v/>
      </c>
      <c r="BA115" s="14">
        <f t="shared" si="111"/>
        <v>-87</v>
      </c>
    </row>
    <row r="116" spans="1:53" x14ac:dyDescent="0.2">
      <c r="A116" t="str">
        <f>INDEX(Prioritization!$D:$D,MATCH($B116,Prioritization!$A:$A,0))</f>
        <v>1 - Scale-up: Saturation</v>
      </c>
      <c r="B116" t="s">
        <v>213</v>
      </c>
      <c r="C116" t="s">
        <v>364</v>
      </c>
      <c r="D116" t="s">
        <v>29</v>
      </c>
      <c r="E116" t="str">
        <f t="shared" si="84"/>
        <v>Machinga District [TYnMSwzko3z]|15-24|Female</v>
      </c>
      <c r="F116" s="14">
        <f>IF(LEFT($B116,4)="_Mil","",INDEX(Cascade!$T:$T,MATCH($E116,Cascade!$E:$E,0)))</f>
        <v>610</v>
      </c>
      <c r="G116" s="14" t="str">
        <f>IF(LEFT($B116,4)="_Mil","",INDEX(Cascade!$U:$U,MATCH($E116,Cascade!$E:$E,0)))</f>
        <v/>
      </c>
      <c r="H116" s="88">
        <f>IF(LEFT($B116,4)="_Mil","",INDEX(Cascade!$W:$W,MATCH($E116,Cascade!$E:$E,0)))</f>
        <v>1807</v>
      </c>
      <c r="I116" s="14">
        <f>IF(LEFT($B116,4)="_Mil","",INDEX(Cascade!$Z:$Z,MATCH($E116,Cascade!$E:$E,0)))</f>
        <v>517</v>
      </c>
      <c r="J116" s="90">
        <f>IF(LEFT($B116,4)="_Mil","",INDEX(Cascade!$AA:$AA,MATCH($E116,Cascade!$E:$E,0)))</f>
        <v>756</v>
      </c>
      <c r="K116" s="42">
        <f>IF(LEFT($B116,4)="_Mil","",_xlfn.IFNA(ROUND(INDEX(Spectrum!$N:$N,MATCH(RIGHT($B116,13)&amp;"|"&amp;$C116&amp;"|"&amp;$D116&amp;"|"&amp;K$14&amp;"|"&amp;"CY2023Q3",Spectrum!$R:$R,0)),0),""))</f>
        <v>1991</v>
      </c>
      <c r="L116" s="42" t="str">
        <f>IF(LEFT($B116,4)="_Mil","",_xlfn.IFNA(ROUND(INDEX(Spectrum!$N:$N,MATCH(RIGHT($B116,13)&amp;"|"&amp;$C116&amp;"|"&amp;$D116&amp;"|"&amp;L$14&amp;"|"&amp;"CY2023Q3",Spectrum!$R:$R,0)),0),""))</f>
        <v/>
      </c>
      <c r="M116" s="42">
        <f>IF(LEFT($B116,4)="_Mil","",_xlfn.IFNA(ROUND(INDEX(Spectrum!$N:$N,MATCH(RIGHT($B116,13)&amp;"|"&amp;$C116&amp;"|"&amp;$D116&amp;"|"&amp;M$14&amp;"|"&amp;"CY2023Q3",Spectrum!$R:$R,0)),0),""))</f>
        <v>1443</v>
      </c>
      <c r="N116" s="42">
        <f>IF(LEFT($B116,4)="_Mil","",_xlfn.IFNA(ROUND(INDEX(Spectrum!$N:$N,MATCH(RIGHT($B116,13)&amp;"|"&amp;$C116&amp;"|"&amp;$D116&amp;"|"&amp;N$14&amp;"|"&amp;"CY2023Q3",Spectrum!$R:$R,0)),0),""))</f>
        <v>1240</v>
      </c>
      <c r="O116" s="42">
        <f>IF(LEFT($B116,4)="_Mil","",_xlfn.IFNA(ROUND(INDEX(Spectrum!$N:$N,MATCH(RIGHT($B116,13)&amp;"|"&amp;$C116&amp;"|"&amp;$D116&amp;"|"&amp;O$14&amp;"|"&amp;"CY2023Q3",Spectrum!$R:$R,0)),0),""))</f>
        <v>1516</v>
      </c>
      <c r="P116" s="42">
        <f>IF(LEFT($B116,4)="_Mil","",_xlfn.IFNA(ROUND(INDEX(Spectrum!$N:$N,MATCH(RIGHT($B116,13)&amp;"|"&amp;$C116&amp;"|"&amp;$D116&amp;"|"&amp;P$14&amp;"|"&amp;"CY2023Q3",Spectrum!$R:$R,0)),0),""))</f>
        <v>788</v>
      </c>
      <c r="Q116" s="42" t="str">
        <f>IF(LEFT($B116,4)="_Mil","",_xlfn.IFNA(ROUND(INDEX(Spectrum!$N:$N,MATCH(RIGHT($B116,13)&amp;"|"&amp;$C116&amp;"|"&amp;$D116&amp;"|"&amp;Q$14&amp;"|"&amp;"CY2022Q3",Spectrum!$R:$R,0)),0),""))</f>
        <v/>
      </c>
      <c r="R116" s="14"/>
      <c r="S116" s="90">
        <f>0</f>
        <v>0</v>
      </c>
      <c r="T116" s="42" t="str">
        <f t="shared" si="85"/>
        <v/>
      </c>
      <c r="U116" s="90">
        <f t="shared" si="86"/>
        <v>0</v>
      </c>
      <c r="V116" s="42" t="str">
        <f t="shared" si="87"/>
        <v/>
      </c>
      <c r="W116" s="90"/>
      <c r="X116" s="90">
        <f t="shared" si="88"/>
        <v>0</v>
      </c>
      <c r="Y116" s="90"/>
      <c r="Z116" s="90">
        <f t="shared" si="89"/>
        <v>0</v>
      </c>
      <c r="AA116" s="14" t="str">
        <f t="shared" si="90"/>
        <v/>
      </c>
      <c r="AB116" s="42" t="str">
        <f t="shared" si="91"/>
        <v/>
      </c>
      <c r="AC116" s="42" t="str">
        <f t="shared" si="92"/>
        <v/>
      </c>
      <c r="AD116" s="42" t="str">
        <f t="shared" si="93"/>
        <v/>
      </c>
      <c r="AE116" s="14" t="str">
        <f t="shared" si="94"/>
        <v/>
      </c>
      <c r="AF116" s="42" t="str">
        <f t="shared" si="95"/>
        <v/>
      </c>
      <c r="AG116" s="42" t="str">
        <f t="shared" si="96"/>
        <v/>
      </c>
      <c r="AH116" s="42" t="str">
        <f t="shared" si="97"/>
        <v/>
      </c>
      <c r="AI116" s="90" t="str">
        <f>IF(SUM($AC116)=0,"",INDEX(Cascade!$BG:$BG,MATCH($E116,Cascade!$E:$E,0)))</f>
        <v/>
      </c>
      <c r="AJ116" s="42" t="str">
        <f t="shared" si="98"/>
        <v/>
      </c>
      <c r="AK116" s="42" t="str">
        <f t="shared" si="99"/>
        <v/>
      </c>
      <c r="AL116" s="42" t="str">
        <f t="shared" si="100"/>
        <v/>
      </c>
      <c r="AM116" s="42" t="str">
        <f t="shared" si="101"/>
        <v/>
      </c>
      <c r="AN116" s="42" t="str">
        <f t="shared" si="102"/>
        <v/>
      </c>
      <c r="AO116" s="14" t="str">
        <f t="shared" si="103"/>
        <v/>
      </c>
      <c r="AP116" s="90"/>
      <c r="AQ116" s="90" t="str">
        <f t="shared" si="104"/>
        <v/>
      </c>
      <c r="AR116" s="90" t="str">
        <f>IF(SUM($AO116)=0,"",INDEX(Cascade!$BG:$BG,MATCH($E116,Cascade!$E:$E,0)))</f>
        <v/>
      </c>
      <c r="AS116" s="42" t="str">
        <f t="shared" si="105"/>
        <v/>
      </c>
      <c r="AT116" s="42" t="str">
        <f t="shared" si="106"/>
        <v/>
      </c>
      <c r="AU116" s="14" t="str">
        <f t="shared" si="107"/>
        <v/>
      </c>
      <c r="AV116" s="14" t="str">
        <f t="shared" si="108"/>
        <v/>
      </c>
      <c r="AW116" s="14" t="str">
        <f>IFERROR(1/(1/INDEX(Cascade!$BH:$BH,MATCH($E116,Cascade!$E:$E,0))),"")</f>
        <v/>
      </c>
      <c r="AX116" s="14" t="str">
        <f t="shared" si="109"/>
        <v/>
      </c>
      <c r="AY116" s="14" t="str">
        <f t="shared" si="110"/>
        <v/>
      </c>
      <c r="AZ116" s="14" t="str">
        <f>IFERROR(1/(1/INDEX(TB!$P:$P,MATCH($E116,TB!$E:$E,0))),"")</f>
        <v/>
      </c>
      <c r="BA116" s="14" t="str">
        <f t="shared" si="111"/>
        <v/>
      </c>
    </row>
    <row r="117" spans="1:53" x14ac:dyDescent="0.2">
      <c r="A117" t="str">
        <f>INDEX(Prioritization!$D:$D,MATCH($B117,Prioritization!$A:$A,0))</f>
        <v>1 - Scale-up: Saturation</v>
      </c>
      <c r="B117" t="s">
        <v>213</v>
      </c>
      <c r="C117" t="s">
        <v>365</v>
      </c>
      <c r="D117" t="s">
        <v>29</v>
      </c>
      <c r="E117" t="str">
        <f t="shared" si="84"/>
        <v>Machinga District [TYnMSwzko3z]|25-34|Female</v>
      </c>
      <c r="F117" s="14">
        <f>IF(LEFT($B117,4)="_Mil","",INDEX(Cascade!$T:$T,MATCH($E117,Cascade!$E:$E,0)))</f>
        <v>1209</v>
      </c>
      <c r="G117" s="14" t="str">
        <f>IF(LEFT($B117,4)="_Mil","",INDEX(Cascade!$U:$U,MATCH($E117,Cascade!$E:$E,0)))</f>
        <v/>
      </c>
      <c r="H117" s="88">
        <f>IF(LEFT($B117,4)="_Mil","",INDEX(Cascade!$W:$W,MATCH($E117,Cascade!$E:$E,0)))</f>
        <v>535</v>
      </c>
      <c r="I117" s="14">
        <f>IF(LEFT($B117,4)="_Mil","",INDEX(Cascade!$Z:$Z,MATCH($E117,Cascade!$E:$E,0)))</f>
        <v>1140</v>
      </c>
      <c r="J117" s="90">
        <f>IF(LEFT($B117,4)="_Mil","",INDEX(Cascade!$AA:$AA,MATCH($E117,Cascade!$E:$E,0)))</f>
        <v>742</v>
      </c>
      <c r="K117" s="42">
        <f>IF(LEFT($B117,4)="_Mil","",_xlfn.IFNA(ROUND(INDEX(Spectrum!$N:$N,MATCH(RIGHT($B117,13)&amp;"|"&amp;$C117&amp;"|"&amp;$D117&amp;"|"&amp;K$14&amp;"|"&amp;"CY2023Q3",Spectrum!$R:$R,0)),0),""))</f>
        <v>851</v>
      </c>
      <c r="L117" s="42" t="str">
        <f>IF(LEFT($B117,4)="_Mil","",_xlfn.IFNA(ROUND(INDEX(Spectrum!$N:$N,MATCH(RIGHT($B117,13)&amp;"|"&amp;$C117&amp;"|"&amp;$D117&amp;"|"&amp;L$14&amp;"|"&amp;"CY2023Q3",Spectrum!$R:$R,0)),0),""))</f>
        <v/>
      </c>
      <c r="M117" s="42">
        <f>IF(LEFT($B117,4)="_Mil","",_xlfn.IFNA(ROUND(INDEX(Spectrum!$N:$N,MATCH(RIGHT($B117,13)&amp;"|"&amp;$C117&amp;"|"&amp;$D117&amp;"|"&amp;M$14&amp;"|"&amp;"CY2023Q3",Spectrum!$R:$R,0)),0),""))</f>
        <v>1930</v>
      </c>
      <c r="N117" s="42">
        <f>IF(LEFT($B117,4)="_Mil","",_xlfn.IFNA(ROUND(INDEX(Spectrum!$N:$N,MATCH(RIGHT($B117,13)&amp;"|"&amp;$C117&amp;"|"&amp;$D117&amp;"|"&amp;N$14&amp;"|"&amp;"CY2023Q3",Spectrum!$R:$R,0)),0),""))</f>
        <v>1069</v>
      </c>
      <c r="O117" s="42">
        <f>IF(LEFT($B117,4)="_Mil","",_xlfn.IFNA(ROUND(INDEX(Spectrum!$N:$N,MATCH(RIGHT($B117,13)&amp;"|"&amp;$C117&amp;"|"&amp;$D117&amp;"|"&amp;O$14&amp;"|"&amp;"CY2023Q3",Spectrum!$R:$R,0)),0),""))</f>
        <v>849</v>
      </c>
      <c r="P117" s="42">
        <f>IF(LEFT($B117,4)="_Mil","",_xlfn.IFNA(ROUND(INDEX(Spectrum!$N:$N,MATCH(RIGHT($B117,13)&amp;"|"&amp;$C117&amp;"|"&amp;$D117&amp;"|"&amp;P$14&amp;"|"&amp;"CY2023Q3",Spectrum!$R:$R,0)),0),""))</f>
        <v>1700</v>
      </c>
      <c r="Q117" s="42" t="str">
        <f>IF(LEFT($B117,4)="_Mil","",_xlfn.IFNA(ROUND(INDEX(Spectrum!$N:$N,MATCH(RIGHT($B117,13)&amp;"|"&amp;$C117&amp;"|"&amp;$D117&amp;"|"&amp;Q$14&amp;"|"&amp;"CY2022Q3",Spectrum!$R:$R,0)),0),""))</f>
        <v/>
      </c>
      <c r="R117" s="14"/>
      <c r="S117" s="90">
        <f>0</f>
        <v>0</v>
      </c>
      <c r="T117" s="42" t="str">
        <f t="shared" si="85"/>
        <v/>
      </c>
      <c r="U117" s="90">
        <f t="shared" si="86"/>
        <v>0</v>
      </c>
      <c r="V117" s="42" t="str">
        <f t="shared" si="87"/>
        <v/>
      </c>
      <c r="W117" s="90"/>
      <c r="X117" s="90">
        <f t="shared" si="88"/>
        <v>0</v>
      </c>
      <c r="Y117" s="90"/>
      <c r="Z117" s="90">
        <f t="shared" si="89"/>
        <v>0</v>
      </c>
      <c r="AA117" s="14" t="str">
        <f t="shared" si="90"/>
        <v/>
      </c>
      <c r="AB117" s="42" t="str">
        <f t="shared" si="91"/>
        <v/>
      </c>
      <c r="AC117" s="42" t="str">
        <f t="shared" si="92"/>
        <v/>
      </c>
      <c r="AD117" s="42" t="str">
        <f t="shared" si="93"/>
        <v/>
      </c>
      <c r="AE117" s="14" t="str">
        <f t="shared" si="94"/>
        <v/>
      </c>
      <c r="AF117" s="42" t="str">
        <f t="shared" si="95"/>
        <v/>
      </c>
      <c r="AG117" s="42" t="str">
        <f t="shared" si="96"/>
        <v/>
      </c>
      <c r="AH117" s="42" t="str">
        <f t="shared" si="97"/>
        <v/>
      </c>
      <c r="AI117" s="90" t="str">
        <f>IF(SUM($AC117)=0,"",INDEX(Cascade!$BG:$BG,MATCH($E117,Cascade!$E:$E,0)))</f>
        <v/>
      </c>
      <c r="AJ117" s="42" t="str">
        <f t="shared" si="98"/>
        <v/>
      </c>
      <c r="AK117" s="42" t="str">
        <f t="shared" si="99"/>
        <v/>
      </c>
      <c r="AL117" s="42" t="str">
        <f t="shared" si="100"/>
        <v/>
      </c>
      <c r="AM117" s="42" t="str">
        <f t="shared" si="101"/>
        <v/>
      </c>
      <c r="AN117" s="42" t="str">
        <f t="shared" si="102"/>
        <v/>
      </c>
      <c r="AO117" s="14" t="str">
        <f t="shared" si="103"/>
        <v/>
      </c>
      <c r="AP117" s="90"/>
      <c r="AQ117" s="90" t="str">
        <f t="shared" si="104"/>
        <v/>
      </c>
      <c r="AR117" s="90" t="str">
        <f>IF(SUM($AO117)=0,"",INDEX(Cascade!$BG:$BG,MATCH($E117,Cascade!$E:$E,0)))</f>
        <v/>
      </c>
      <c r="AS117" s="42" t="str">
        <f t="shared" si="105"/>
        <v/>
      </c>
      <c r="AT117" s="42" t="str">
        <f t="shared" si="106"/>
        <v/>
      </c>
      <c r="AU117" s="14" t="str">
        <f t="shared" si="107"/>
        <v/>
      </c>
      <c r="AV117" s="14" t="str">
        <f t="shared" si="108"/>
        <v/>
      </c>
      <c r="AW117" s="14" t="str">
        <f>IFERROR(1/(1/INDEX(Cascade!$BH:$BH,MATCH($E117,Cascade!$E:$E,0))),"")</f>
        <v/>
      </c>
      <c r="AX117" s="14" t="str">
        <f t="shared" si="109"/>
        <v/>
      </c>
      <c r="AY117" s="14" t="str">
        <f t="shared" si="110"/>
        <v/>
      </c>
      <c r="AZ117" s="14" t="str">
        <f>IFERROR(1/(1/INDEX(TB!$P:$P,MATCH($E117,TB!$E:$E,0))),"")</f>
        <v/>
      </c>
      <c r="BA117" s="14" t="str">
        <f t="shared" si="111"/>
        <v/>
      </c>
    </row>
    <row r="118" spans="1:53" x14ac:dyDescent="0.2">
      <c r="A118" t="str">
        <f>INDEX(Prioritization!$D:$D,MATCH($B118,Prioritization!$A:$A,0))</f>
        <v>1 - Scale-up: Saturation</v>
      </c>
      <c r="B118" t="s">
        <v>213</v>
      </c>
      <c r="C118" t="s">
        <v>366</v>
      </c>
      <c r="D118" t="s">
        <v>29</v>
      </c>
      <c r="E118" t="str">
        <f t="shared" si="84"/>
        <v>Machinga District [TYnMSwzko3z]|35-49|Female</v>
      </c>
      <c r="F118" s="14">
        <f>IF(LEFT($B118,4)="_Mil","",INDEX(Cascade!$T:$T,MATCH($E118,Cascade!$E:$E,0)))</f>
        <v>1015</v>
      </c>
      <c r="G118" s="14" t="str">
        <f>IF(LEFT($B118,4)="_Mil","",INDEX(Cascade!$U:$U,MATCH($E118,Cascade!$E:$E,0)))</f>
        <v/>
      </c>
      <c r="H118" s="88">
        <f>IF(LEFT($B118,4)="_Mil","",INDEX(Cascade!$W:$W,MATCH($E118,Cascade!$E:$E,0)))</f>
        <v>1940</v>
      </c>
      <c r="I118" s="14">
        <f>IF(LEFT($B118,4)="_Mil","",INDEX(Cascade!$Z:$Z,MATCH($E118,Cascade!$E:$E,0)))</f>
        <v>1271</v>
      </c>
      <c r="J118" s="90">
        <f>IF(LEFT($B118,4)="_Mil","",INDEX(Cascade!$AA:$AA,MATCH($E118,Cascade!$E:$E,0)))</f>
        <v>1197</v>
      </c>
      <c r="K118" s="42">
        <f>IF(LEFT($B118,4)="_Mil","",_xlfn.IFNA(ROUND(INDEX(Spectrum!$N:$N,MATCH(RIGHT($B118,13)&amp;"|"&amp;$C118&amp;"|"&amp;$D118&amp;"|"&amp;K$14&amp;"|"&amp;"CY2023Q3",Spectrum!$R:$R,0)),0),""))</f>
        <v>1447</v>
      </c>
      <c r="L118" s="42" t="str">
        <f>IF(LEFT($B118,4)="_Mil","",_xlfn.IFNA(ROUND(INDEX(Spectrum!$N:$N,MATCH(RIGHT($B118,13)&amp;"|"&amp;$C118&amp;"|"&amp;$D118&amp;"|"&amp;L$14&amp;"|"&amp;"CY2023Q3",Spectrum!$R:$R,0)),0),""))</f>
        <v/>
      </c>
      <c r="M118" s="42">
        <f>IF(LEFT($B118,4)="_Mil","",_xlfn.IFNA(ROUND(INDEX(Spectrum!$N:$N,MATCH(RIGHT($B118,13)&amp;"|"&amp;$C118&amp;"|"&amp;$D118&amp;"|"&amp;M$14&amp;"|"&amp;"CY2023Q3",Spectrum!$R:$R,0)),0),""))</f>
        <v>1995</v>
      </c>
      <c r="N118" s="42">
        <f>IF(LEFT($B118,4)="_Mil","",_xlfn.IFNA(ROUND(INDEX(Spectrum!$N:$N,MATCH(RIGHT($B118,13)&amp;"|"&amp;$C118&amp;"|"&amp;$D118&amp;"|"&amp;N$14&amp;"|"&amp;"CY2023Q3",Spectrum!$R:$R,0)),0),""))</f>
        <v>1544</v>
      </c>
      <c r="O118" s="42">
        <f>IF(LEFT($B118,4)="_Mil","",_xlfn.IFNA(ROUND(INDEX(Spectrum!$N:$N,MATCH(RIGHT($B118,13)&amp;"|"&amp;$C118&amp;"|"&amp;$D118&amp;"|"&amp;O$14&amp;"|"&amp;"CY2023Q3",Spectrum!$R:$R,0)),0),""))</f>
        <v>1875</v>
      </c>
      <c r="P118" s="42">
        <f>IF(LEFT($B118,4)="_Mil","",_xlfn.IFNA(ROUND(INDEX(Spectrum!$N:$N,MATCH(RIGHT($B118,13)&amp;"|"&amp;$C118&amp;"|"&amp;$D118&amp;"|"&amp;P$14&amp;"|"&amp;"CY2023Q3",Spectrum!$R:$R,0)),0),""))</f>
        <v>1818</v>
      </c>
      <c r="Q118" s="42" t="str">
        <f>IF(LEFT($B118,4)="_Mil","",_xlfn.IFNA(ROUND(INDEX(Spectrum!$N:$N,MATCH(RIGHT($B118,13)&amp;"|"&amp;$C118&amp;"|"&amp;$D118&amp;"|"&amp;Q$14&amp;"|"&amp;"CY2022Q3",Spectrum!$R:$R,0)),0),""))</f>
        <v/>
      </c>
      <c r="R118" s="14"/>
      <c r="S118" s="90">
        <f>0</f>
        <v>0</v>
      </c>
      <c r="T118" s="42" t="str">
        <f t="shared" si="85"/>
        <v/>
      </c>
      <c r="U118" s="90">
        <f t="shared" si="86"/>
        <v>0</v>
      </c>
      <c r="V118" s="42" t="str">
        <f t="shared" si="87"/>
        <v/>
      </c>
      <c r="W118" s="90"/>
      <c r="X118" s="90">
        <f t="shared" si="88"/>
        <v>0</v>
      </c>
      <c r="Y118" s="90"/>
      <c r="Z118" s="90">
        <f t="shared" si="89"/>
        <v>0</v>
      </c>
      <c r="AA118" s="14" t="str">
        <f t="shared" si="90"/>
        <v/>
      </c>
      <c r="AB118" s="42" t="str">
        <f t="shared" si="91"/>
        <v/>
      </c>
      <c r="AC118" s="42" t="str">
        <f t="shared" si="92"/>
        <v/>
      </c>
      <c r="AD118" s="42" t="str">
        <f t="shared" si="93"/>
        <v/>
      </c>
      <c r="AE118" s="14" t="str">
        <f t="shared" si="94"/>
        <v/>
      </c>
      <c r="AF118" s="42" t="str">
        <f t="shared" si="95"/>
        <v/>
      </c>
      <c r="AG118" s="42" t="str">
        <f t="shared" si="96"/>
        <v/>
      </c>
      <c r="AH118" s="42" t="str">
        <f t="shared" si="97"/>
        <v/>
      </c>
      <c r="AI118" s="90" t="str">
        <f>IF(SUM($AC118)=0,"",INDEX(Cascade!$BG:$BG,MATCH($E118,Cascade!$E:$E,0)))</f>
        <v/>
      </c>
      <c r="AJ118" s="42" t="str">
        <f t="shared" si="98"/>
        <v/>
      </c>
      <c r="AK118" s="42" t="str">
        <f t="shared" si="99"/>
        <v/>
      </c>
      <c r="AL118" s="42" t="str">
        <f t="shared" si="100"/>
        <v/>
      </c>
      <c r="AM118" s="42" t="str">
        <f t="shared" si="101"/>
        <v/>
      </c>
      <c r="AN118" s="42" t="str">
        <f t="shared" si="102"/>
        <v/>
      </c>
      <c r="AO118" s="14" t="str">
        <f t="shared" si="103"/>
        <v/>
      </c>
      <c r="AP118" s="90"/>
      <c r="AQ118" s="90" t="str">
        <f t="shared" si="104"/>
        <v/>
      </c>
      <c r="AR118" s="90" t="str">
        <f>IF(SUM($AO118)=0,"",INDEX(Cascade!$BG:$BG,MATCH($E118,Cascade!$E:$E,0)))</f>
        <v/>
      </c>
      <c r="AS118" s="42" t="str">
        <f t="shared" si="105"/>
        <v/>
      </c>
      <c r="AT118" s="42" t="str">
        <f t="shared" si="106"/>
        <v/>
      </c>
      <c r="AU118" s="14" t="str">
        <f t="shared" si="107"/>
        <v/>
      </c>
      <c r="AV118" s="14" t="str">
        <f t="shared" si="108"/>
        <v/>
      </c>
      <c r="AW118" s="14" t="str">
        <f>IFERROR(1/(1/INDEX(Cascade!$BH:$BH,MATCH($E118,Cascade!$E:$E,0))),"")</f>
        <v/>
      </c>
      <c r="AX118" s="14" t="str">
        <f t="shared" si="109"/>
        <v/>
      </c>
      <c r="AY118" s="14" t="str">
        <f t="shared" si="110"/>
        <v/>
      </c>
      <c r="AZ118" s="14" t="str">
        <f>IFERROR(1/(1/INDEX(TB!$P:$P,MATCH($E118,TB!$E:$E,0))),"")</f>
        <v/>
      </c>
      <c r="BA118" s="14" t="str">
        <f t="shared" si="111"/>
        <v/>
      </c>
    </row>
    <row r="119" spans="1:53" x14ac:dyDescent="0.2">
      <c r="A119" t="str">
        <f>INDEX(Prioritization!$D:$D,MATCH($B119,Prioritization!$A:$A,0))</f>
        <v>1 - Scale-up: Saturation</v>
      </c>
      <c r="B119" t="s">
        <v>213</v>
      </c>
      <c r="C119" t="s">
        <v>367</v>
      </c>
      <c r="D119" t="s">
        <v>29</v>
      </c>
      <c r="E119" t="str">
        <f t="shared" si="84"/>
        <v>Machinga District [TYnMSwzko3z]|50+|Female</v>
      </c>
      <c r="F119" s="14">
        <f>IF(LEFT($B119,4)="_Mil","",INDEX(Cascade!$T:$T,MATCH($E119,Cascade!$E:$E,0)))</f>
        <v>1173</v>
      </c>
      <c r="G119" s="14" t="str">
        <f>IF(LEFT($B119,4)="_Mil","",INDEX(Cascade!$U:$U,MATCH($E119,Cascade!$E:$E,0)))</f>
        <v/>
      </c>
      <c r="H119" s="88">
        <f>IF(LEFT($B119,4)="_Mil","",INDEX(Cascade!$W:$W,MATCH($E119,Cascade!$E:$E,0)))</f>
        <v>789</v>
      </c>
      <c r="I119" s="14">
        <f>IF(LEFT($B119,4)="_Mil","",INDEX(Cascade!$Z:$Z,MATCH($E119,Cascade!$E:$E,0)))</f>
        <v>1456</v>
      </c>
      <c r="J119" s="90">
        <f>IF(LEFT($B119,4)="_Mil","",INDEX(Cascade!$AA:$AA,MATCH($E119,Cascade!$E:$E,0)))</f>
        <v>1953</v>
      </c>
      <c r="K119" s="42" t="str">
        <f>IF(LEFT($B119,4)="_Mil","",_xlfn.IFNA(ROUND(INDEX(Spectrum!$N:$N,MATCH(RIGHT($B119,13)&amp;"|"&amp;$C119&amp;"|"&amp;$D119&amp;"|"&amp;K$14&amp;"|"&amp;"CY2023Q3",Spectrum!$R:$R,0)),0),""))</f>
        <v/>
      </c>
      <c r="L119" s="42" t="str">
        <f>IF(LEFT($B119,4)="_Mil","",_xlfn.IFNA(ROUND(INDEX(Spectrum!$N:$N,MATCH(RIGHT($B119,13)&amp;"|"&amp;$C119&amp;"|"&amp;$D119&amp;"|"&amp;L$14&amp;"|"&amp;"CY2023Q3",Spectrum!$R:$R,0)),0),""))</f>
        <v/>
      </c>
      <c r="M119" s="42" t="str">
        <f>IF(LEFT($B119,4)="_Mil","",_xlfn.IFNA(ROUND(INDEX(Spectrum!$N:$N,MATCH(RIGHT($B119,13)&amp;"|"&amp;$C119&amp;"|"&amp;$D119&amp;"|"&amp;M$14&amp;"|"&amp;"CY2023Q3",Spectrum!$R:$R,0)),0),""))</f>
        <v/>
      </c>
      <c r="N119" s="42" t="str">
        <f>IF(LEFT($B119,4)="_Mil","",_xlfn.IFNA(ROUND(INDEX(Spectrum!$N:$N,MATCH(RIGHT($B119,13)&amp;"|"&amp;$C119&amp;"|"&amp;$D119&amp;"|"&amp;N$14&amp;"|"&amp;"CY2023Q3",Spectrum!$R:$R,0)),0),""))</f>
        <v/>
      </c>
      <c r="O119" s="42" t="str">
        <f>IF(LEFT($B119,4)="_Mil","",_xlfn.IFNA(ROUND(INDEX(Spectrum!$N:$N,MATCH(RIGHT($B119,13)&amp;"|"&amp;$C119&amp;"|"&amp;$D119&amp;"|"&amp;O$14&amp;"|"&amp;"CY2023Q3",Spectrum!$R:$R,0)),0),""))</f>
        <v/>
      </c>
      <c r="P119" s="42" t="str">
        <f>IF(LEFT($B119,4)="_Mil","",_xlfn.IFNA(ROUND(INDEX(Spectrum!$N:$N,MATCH(RIGHT($B119,13)&amp;"|"&amp;$C119&amp;"|"&amp;$D119&amp;"|"&amp;P$14&amp;"|"&amp;"CY2023Q3",Spectrum!$R:$R,0)),0),""))</f>
        <v/>
      </c>
      <c r="Q119" s="42" t="str">
        <f>IF(LEFT($B119,4)="_Mil","",_xlfn.IFNA(ROUND(INDEX(Spectrum!$N:$N,MATCH(RIGHT($B119,13)&amp;"|"&amp;$C119&amp;"|"&amp;$D119&amp;"|"&amp;Q$14&amp;"|"&amp;"CY2022Q3",Spectrum!$R:$R,0)),0),""))</f>
        <v/>
      </c>
      <c r="R119" s="14"/>
      <c r="S119" s="90">
        <f>0</f>
        <v>0</v>
      </c>
      <c r="T119" s="42" t="str">
        <f t="shared" si="85"/>
        <v/>
      </c>
      <c r="U119" s="90" t="str">
        <f t="shared" si="86"/>
        <v/>
      </c>
      <c r="V119" s="42" t="str">
        <f t="shared" si="87"/>
        <v/>
      </c>
      <c r="W119" s="90"/>
      <c r="X119" s="90" t="str">
        <f t="shared" si="88"/>
        <v/>
      </c>
      <c r="Y119" s="90"/>
      <c r="Z119" s="90" t="str">
        <f t="shared" si="89"/>
        <v/>
      </c>
      <c r="AA119" s="14" t="str">
        <f t="shared" si="90"/>
        <v/>
      </c>
      <c r="AB119" s="42" t="str">
        <f t="shared" si="91"/>
        <v/>
      </c>
      <c r="AC119" s="42" t="str">
        <f t="shared" si="92"/>
        <v/>
      </c>
      <c r="AD119" s="42" t="str">
        <f t="shared" si="93"/>
        <v/>
      </c>
      <c r="AE119" s="14" t="str">
        <f t="shared" si="94"/>
        <v/>
      </c>
      <c r="AF119" s="42" t="str">
        <f t="shared" si="95"/>
        <v/>
      </c>
      <c r="AG119" s="42" t="str">
        <f t="shared" si="96"/>
        <v/>
      </c>
      <c r="AH119" s="42" t="str">
        <f t="shared" si="97"/>
        <v/>
      </c>
      <c r="AI119" s="90" t="str">
        <f>IF(SUM($AC119)=0,"",INDEX(Cascade!$BG:$BG,MATCH($E119,Cascade!$E:$E,0)))</f>
        <v/>
      </c>
      <c r="AJ119" s="42" t="str">
        <f t="shared" si="98"/>
        <v/>
      </c>
      <c r="AK119" s="42" t="str">
        <f t="shared" si="99"/>
        <v/>
      </c>
      <c r="AL119" s="42" t="str">
        <f t="shared" si="100"/>
        <v/>
      </c>
      <c r="AM119" s="42" t="str">
        <f t="shared" si="101"/>
        <v/>
      </c>
      <c r="AN119" s="42" t="str">
        <f t="shared" si="102"/>
        <v/>
      </c>
      <c r="AO119" s="14" t="str">
        <f t="shared" si="103"/>
        <v/>
      </c>
      <c r="AP119" s="90"/>
      <c r="AQ119" s="90" t="str">
        <f t="shared" si="104"/>
        <v/>
      </c>
      <c r="AR119" s="90" t="str">
        <f>IF(SUM($AO119)=0,"",INDEX(Cascade!$BG:$BG,MATCH($E119,Cascade!$E:$E,0)))</f>
        <v/>
      </c>
      <c r="AS119" s="42" t="str">
        <f t="shared" si="105"/>
        <v/>
      </c>
      <c r="AT119" s="42" t="str">
        <f t="shared" si="106"/>
        <v/>
      </c>
      <c r="AU119" s="14" t="str">
        <f t="shared" si="107"/>
        <v/>
      </c>
      <c r="AV119" s="14" t="str">
        <f t="shared" si="108"/>
        <v/>
      </c>
      <c r="AW119" s="14" t="str">
        <f>IFERROR(1/(1/INDEX(Cascade!$BH:$BH,MATCH($E119,Cascade!$E:$E,0))),"")</f>
        <v/>
      </c>
      <c r="AX119" s="14" t="str">
        <f t="shared" si="109"/>
        <v/>
      </c>
      <c r="AY119" s="14" t="str">
        <f t="shared" si="110"/>
        <v/>
      </c>
      <c r="AZ119" s="14" t="str">
        <f>IFERROR(1/(1/INDEX(TB!$P:$P,MATCH($E119,TB!$E:$E,0))),"")</f>
        <v/>
      </c>
      <c r="BA119" s="14" t="str">
        <f t="shared" si="111"/>
        <v/>
      </c>
    </row>
    <row r="120" spans="1:53" x14ac:dyDescent="0.2">
      <c r="A120" t="str">
        <f>INDEX(Prioritization!$D:$D,MATCH($B120,Prioritization!$A:$A,0))</f>
        <v>INVALID</v>
      </c>
      <c r="B120" t="s">
        <v>214</v>
      </c>
      <c r="C120" t="s">
        <v>363</v>
      </c>
      <c r="D120" t="s">
        <v>29</v>
      </c>
      <c r="E120" t="str">
        <f t="shared" si="84"/>
        <v>Mangochi District [lLDyBx5XyUi]|10-14|Female</v>
      </c>
      <c r="F120" s="14">
        <f>IF(LEFT($B120,4)="_Mil","",INDEX(Cascade!$T:$T,MATCH($E120,Cascade!$E:$E,0)))</f>
        <v>1252</v>
      </c>
      <c r="G120" s="14" t="str">
        <f>IF(LEFT($B120,4)="_Mil","",INDEX(Cascade!$U:$U,MATCH($E120,Cascade!$E:$E,0)))</f>
        <v/>
      </c>
      <c r="H120" s="88">
        <f>IF(LEFT($B120,4)="_Mil","",INDEX(Cascade!$W:$W,MATCH($E120,Cascade!$E:$E,0)))</f>
        <v>1133</v>
      </c>
      <c r="I120" s="14">
        <f>IF(LEFT($B120,4)="_Mil","",INDEX(Cascade!$Z:$Z,MATCH($E120,Cascade!$E:$E,0)))</f>
        <v>879</v>
      </c>
      <c r="J120" s="90">
        <f>IF(LEFT($B120,4)="_Mil","",INDEX(Cascade!$AA:$AA,MATCH($E120,Cascade!$E:$E,0)))</f>
        <v>1987.9999999999998</v>
      </c>
      <c r="K120" s="42" t="str">
        <f>IF(LEFT($B120,4)="_Mil","",_xlfn.IFNA(ROUND(INDEX(Spectrum!$N:$N,MATCH(RIGHT($B120,13)&amp;"|"&amp;$C120&amp;"|"&amp;$D120&amp;"|"&amp;K$14&amp;"|"&amp;"CY2023Q3",Spectrum!$R:$R,0)),0),""))</f>
        <v/>
      </c>
      <c r="L120" s="42" t="str">
        <f>IF(LEFT($B120,4)="_Mil","",_xlfn.IFNA(ROUND(INDEX(Spectrum!$N:$N,MATCH(RIGHT($B120,13)&amp;"|"&amp;$C120&amp;"|"&amp;$D120&amp;"|"&amp;L$14&amp;"|"&amp;"CY2023Q3",Spectrum!$R:$R,0)),0),""))</f>
        <v/>
      </c>
      <c r="M120" s="42" t="str">
        <f>IF(LEFT($B120,4)="_Mil","",_xlfn.IFNA(ROUND(INDEX(Spectrum!$N:$N,MATCH(RIGHT($B120,13)&amp;"|"&amp;$C120&amp;"|"&amp;$D120&amp;"|"&amp;M$14&amp;"|"&amp;"CY2023Q3",Spectrum!$R:$R,0)),0),""))</f>
        <v/>
      </c>
      <c r="N120" s="42" t="str">
        <f>IF(LEFT($B120,4)="_Mil","",_xlfn.IFNA(ROUND(INDEX(Spectrum!$N:$N,MATCH(RIGHT($B120,13)&amp;"|"&amp;$C120&amp;"|"&amp;$D120&amp;"|"&amp;N$14&amp;"|"&amp;"CY2023Q3",Spectrum!$R:$R,0)),0),""))</f>
        <v/>
      </c>
      <c r="O120" s="42" t="str">
        <f>IF(LEFT($B120,4)="_Mil","",_xlfn.IFNA(ROUND(INDEX(Spectrum!$N:$N,MATCH(RIGHT($B120,13)&amp;"|"&amp;$C120&amp;"|"&amp;$D120&amp;"|"&amp;O$14&amp;"|"&amp;"CY2023Q3",Spectrum!$R:$R,0)),0),""))</f>
        <v/>
      </c>
      <c r="P120" s="42" t="str">
        <f>IF(LEFT($B120,4)="_Mil","",_xlfn.IFNA(ROUND(INDEX(Spectrum!$N:$N,MATCH(RIGHT($B120,13)&amp;"|"&amp;$C120&amp;"|"&amp;$D120&amp;"|"&amp;P$14&amp;"|"&amp;"CY2023Q3",Spectrum!$R:$R,0)),0),""))</f>
        <v/>
      </c>
      <c r="Q120" s="42" t="str">
        <f>IF(LEFT($B120,4)="_Mil","",_xlfn.IFNA(ROUND(INDEX(Spectrum!$N:$N,MATCH(RIGHT($B120,13)&amp;"|"&amp;$C120&amp;"|"&amp;$D120&amp;"|"&amp;Q$14&amp;"|"&amp;"CY2022Q3",Spectrum!$R:$R,0)),0),""))</f>
        <v/>
      </c>
      <c r="R120" s="14">
        <v>78</v>
      </c>
      <c r="S120" s="90">
        <f>0</f>
        <v>0</v>
      </c>
      <c r="T120" s="42">
        <f t="shared" si="85"/>
        <v>78</v>
      </c>
      <c r="U120" s="90">
        <f t="shared" si="86"/>
        <v>1</v>
      </c>
      <c r="V120" s="42">
        <f t="shared" si="87"/>
        <v>78</v>
      </c>
      <c r="W120" s="90">
        <v>0.22369133424945201</v>
      </c>
      <c r="X120" s="90">
        <f t="shared" si="88"/>
        <v>0.22369133424945201</v>
      </c>
      <c r="Y120" s="90">
        <v>6.0729172779247199E-2</v>
      </c>
      <c r="Z120" s="90">
        <f t="shared" si="89"/>
        <v>6.0729172779247199E-2</v>
      </c>
      <c r="AA120" s="14">
        <f t="shared" si="90"/>
        <v>78</v>
      </c>
      <c r="AB120" s="42">
        <f t="shared" si="91"/>
        <v>17</v>
      </c>
      <c r="AC120" s="42">
        <f t="shared" si="92"/>
        <v>4</v>
      </c>
      <c r="AD120" s="42">
        <f t="shared" si="93"/>
        <v>57</v>
      </c>
      <c r="AE120" s="14">
        <f t="shared" si="94"/>
        <v>78</v>
      </c>
      <c r="AF120" s="42">
        <f t="shared" si="95"/>
        <v>17</v>
      </c>
      <c r="AG120" s="42">
        <f t="shared" si="96"/>
        <v>4</v>
      </c>
      <c r="AH120" s="42">
        <f t="shared" si="97"/>
        <v>57</v>
      </c>
      <c r="AI120" s="90">
        <f>IF(SUM($AC120)=0,"",INDEX(Cascade!$BG:$BG,MATCH($E120,Cascade!$E:$E,0)))</f>
        <v>0.95</v>
      </c>
      <c r="AJ120" s="42">
        <f t="shared" si="98"/>
        <v>17</v>
      </c>
      <c r="AK120" s="42">
        <f t="shared" si="99"/>
        <v>4</v>
      </c>
      <c r="AL120" s="42">
        <f t="shared" si="100"/>
        <v>21</v>
      </c>
      <c r="AM120" s="42">
        <f t="shared" si="101"/>
        <v>17</v>
      </c>
      <c r="AN120" s="42">
        <f t="shared" si="102"/>
        <v>4</v>
      </c>
      <c r="AO120" s="14">
        <f t="shared" si="103"/>
        <v>57</v>
      </c>
      <c r="AP120" s="90"/>
      <c r="AQ120" s="90" t="str">
        <f t="shared" si="104"/>
        <v/>
      </c>
      <c r="AR120" s="90">
        <f>IF(SUM($AO120)=0,"",INDEX(Cascade!$BG:$BG,MATCH($E120,Cascade!$E:$E,0)))</f>
        <v>0.95</v>
      </c>
      <c r="AS120" s="42" t="str">
        <f t="shared" si="105"/>
        <v>ENTER YIELD RATE</v>
      </c>
      <c r="AT120" s="42">
        <f t="shared" si="106"/>
        <v>57</v>
      </c>
      <c r="AU120" s="14" t="str">
        <f t="shared" si="107"/>
        <v/>
      </c>
      <c r="AV120" s="14">
        <f t="shared" si="108"/>
        <v>21</v>
      </c>
      <c r="AW120" s="14">
        <f>IFERROR(1/(1/INDEX(Cascade!$BH:$BH,MATCH($E120,Cascade!$E:$E,0))),"")</f>
        <v>-77</v>
      </c>
      <c r="AX120" s="14">
        <f t="shared" si="109"/>
        <v>4</v>
      </c>
      <c r="AY120" s="14" t="str">
        <f t="shared" si="110"/>
        <v/>
      </c>
      <c r="AZ120" s="14" t="str">
        <f>IFERROR(1/(1/INDEX(TB!$P:$P,MATCH($E120,TB!$E:$E,0))),"")</f>
        <v/>
      </c>
      <c r="BA120" s="14">
        <f t="shared" si="111"/>
        <v>-81</v>
      </c>
    </row>
    <row r="121" spans="1:53" x14ac:dyDescent="0.2">
      <c r="A121" t="str">
        <f>INDEX(Prioritization!$D:$D,MATCH($B121,Prioritization!$A:$A,0))</f>
        <v>INVALID</v>
      </c>
      <c r="B121" t="s">
        <v>214</v>
      </c>
      <c r="C121" t="s">
        <v>364</v>
      </c>
      <c r="D121" t="s">
        <v>29</v>
      </c>
      <c r="E121" t="str">
        <f t="shared" si="84"/>
        <v>Mangochi District [lLDyBx5XyUi]|15-24|Female</v>
      </c>
      <c r="F121" s="14">
        <f>IF(LEFT($B121,4)="_Mil","",INDEX(Cascade!$T:$T,MATCH($E121,Cascade!$E:$E,0)))</f>
        <v>1319</v>
      </c>
      <c r="G121" s="14" t="str">
        <f>IF(LEFT($B121,4)="_Mil","",INDEX(Cascade!$U:$U,MATCH($E121,Cascade!$E:$E,0)))</f>
        <v/>
      </c>
      <c r="H121" s="88">
        <f>IF(LEFT($B121,4)="_Mil","",INDEX(Cascade!$W:$W,MATCH($E121,Cascade!$E:$E,0)))</f>
        <v>1883</v>
      </c>
      <c r="I121" s="14">
        <f>IF(LEFT($B121,4)="_Mil","",INDEX(Cascade!$Z:$Z,MATCH($E121,Cascade!$E:$E,0)))</f>
        <v>1475</v>
      </c>
      <c r="J121" s="90">
        <f>IF(LEFT($B121,4)="_Mil","",INDEX(Cascade!$AA:$AA,MATCH($E121,Cascade!$E:$E,0)))</f>
        <v>1449</v>
      </c>
      <c r="K121" s="42">
        <f>IF(LEFT($B121,4)="_Mil","",_xlfn.IFNA(ROUND(INDEX(Spectrum!$N:$N,MATCH(RIGHT($B121,13)&amp;"|"&amp;$C121&amp;"|"&amp;$D121&amp;"|"&amp;K$14&amp;"|"&amp;"CY2023Q3",Spectrum!$R:$R,0)),0),""))</f>
        <v>1129</v>
      </c>
      <c r="L121" s="42" t="str">
        <f>IF(LEFT($B121,4)="_Mil","",_xlfn.IFNA(ROUND(INDEX(Spectrum!$N:$N,MATCH(RIGHT($B121,13)&amp;"|"&amp;$C121&amp;"|"&amp;$D121&amp;"|"&amp;L$14&amp;"|"&amp;"CY2023Q3",Spectrum!$R:$R,0)),0),""))</f>
        <v/>
      </c>
      <c r="M121" s="42">
        <f>IF(LEFT($B121,4)="_Mil","",_xlfn.IFNA(ROUND(INDEX(Spectrum!$N:$N,MATCH(RIGHT($B121,13)&amp;"|"&amp;$C121&amp;"|"&amp;$D121&amp;"|"&amp;M$14&amp;"|"&amp;"CY2023Q3",Spectrum!$R:$R,0)),0),""))</f>
        <v>1071</v>
      </c>
      <c r="N121" s="42">
        <f>IF(LEFT($B121,4)="_Mil","",_xlfn.IFNA(ROUND(INDEX(Spectrum!$N:$N,MATCH(RIGHT($B121,13)&amp;"|"&amp;$C121&amp;"|"&amp;$D121&amp;"|"&amp;N$14&amp;"|"&amp;"CY2023Q3",Spectrum!$R:$R,0)),0),""))</f>
        <v>865</v>
      </c>
      <c r="O121" s="42">
        <f>IF(LEFT($B121,4)="_Mil","",_xlfn.IFNA(ROUND(INDEX(Spectrum!$N:$N,MATCH(RIGHT($B121,13)&amp;"|"&amp;$C121&amp;"|"&amp;$D121&amp;"|"&amp;O$14&amp;"|"&amp;"CY2023Q3",Spectrum!$R:$R,0)),0),""))</f>
        <v>1159</v>
      </c>
      <c r="P121" s="42">
        <f>IF(LEFT($B121,4)="_Mil","",_xlfn.IFNA(ROUND(INDEX(Spectrum!$N:$N,MATCH(RIGHT($B121,13)&amp;"|"&amp;$C121&amp;"|"&amp;$D121&amp;"|"&amp;P$14&amp;"|"&amp;"CY2023Q3",Spectrum!$R:$R,0)),0),""))</f>
        <v>992</v>
      </c>
      <c r="Q121" s="42" t="str">
        <f>IF(LEFT($B121,4)="_Mil","",_xlfn.IFNA(ROUND(INDEX(Spectrum!$N:$N,MATCH(RIGHT($B121,13)&amp;"|"&amp;$C121&amp;"|"&amp;$D121&amp;"|"&amp;Q$14&amp;"|"&amp;"CY2022Q3",Spectrum!$R:$R,0)),0),""))</f>
        <v/>
      </c>
      <c r="R121" s="14"/>
      <c r="S121" s="90">
        <f>0</f>
        <v>0</v>
      </c>
      <c r="T121" s="42" t="str">
        <f t="shared" si="85"/>
        <v/>
      </c>
      <c r="U121" s="90">
        <f t="shared" si="86"/>
        <v>0</v>
      </c>
      <c r="V121" s="42" t="str">
        <f t="shared" si="87"/>
        <v/>
      </c>
      <c r="W121" s="90"/>
      <c r="X121" s="90">
        <f t="shared" si="88"/>
        <v>0</v>
      </c>
      <c r="Y121" s="90"/>
      <c r="Z121" s="90">
        <f t="shared" si="89"/>
        <v>0</v>
      </c>
      <c r="AA121" s="14" t="str">
        <f t="shared" si="90"/>
        <v/>
      </c>
      <c r="AB121" s="42" t="str">
        <f t="shared" si="91"/>
        <v/>
      </c>
      <c r="AC121" s="42" t="str">
        <f t="shared" si="92"/>
        <v/>
      </c>
      <c r="AD121" s="42" t="str">
        <f t="shared" si="93"/>
        <v/>
      </c>
      <c r="AE121" s="14" t="str">
        <f t="shared" si="94"/>
        <v/>
      </c>
      <c r="AF121" s="42" t="str">
        <f t="shared" si="95"/>
        <v/>
      </c>
      <c r="AG121" s="42" t="str">
        <f t="shared" si="96"/>
        <v/>
      </c>
      <c r="AH121" s="42" t="str">
        <f t="shared" si="97"/>
        <v/>
      </c>
      <c r="AI121" s="90" t="str">
        <f>IF(SUM($AC121)=0,"",INDEX(Cascade!$BG:$BG,MATCH($E121,Cascade!$E:$E,0)))</f>
        <v/>
      </c>
      <c r="AJ121" s="42" t="str">
        <f t="shared" si="98"/>
        <v/>
      </c>
      <c r="AK121" s="42" t="str">
        <f t="shared" si="99"/>
        <v/>
      </c>
      <c r="AL121" s="42" t="str">
        <f t="shared" si="100"/>
        <v/>
      </c>
      <c r="AM121" s="42" t="str">
        <f t="shared" si="101"/>
        <v/>
      </c>
      <c r="AN121" s="42" t="str">
        <f t="shared" si="102"/>
        <v/>
      </c>
      <c r="AO121" s="14" t="str">
        <f t="shared" si="103"/>
        <v/>
      </c>
      <c r="AP121" s="90"/>
      <c r="AQ121" s="90" t="str">
        <f t="shared" si="104"/>
        <v/>
      </c>
      <c r="AR121" s="90" t="str">
        <f>IF(SUM($AO121)=0,"",INDEX(Cascade!$BG:$BG,MATCH($E121,Cascade!$E:$E,0)))</f>
        <v/>
      </c>
      <c r="AS121" s="42" t="str">
        <f t="shared" si="105"/>
        <v/>
      </c>
      <c r="AT121" s="42" t="str">
        <f t="shared" si="106"/>
        <v/>
      </c>
      <c r="AU121" s="14" t="str">
        <f t="shared" si="107"/>
        <v/>
      </c>
      <c r="AV121" s="14" t="str">
        <f t="shared" si="108"/>
        <v/>
      </c>
      <c r="AW121" s="14" t="str">
        <f>IFERROR(1/(1/INDEX(Cascade!$BH:$BH,MATCH($E121,Cascade!$E:$E,0))),"")</f>
        <v/>
      </c>
      <c r="AX121" s="14" t="str">
        <f t="shared" si="109"/>
        <v/>
      </c>
      <c r="AY121" s="14" t="str">
        <f t="shared" si="110"/>
        <v/>
      </c>
      <c r="AZ121" s="14" t="str">
        <f>IFERROR(1/(1/INDEX(TB!$P:$P,MATCH($E121,TB!$E:$E,0))),"")</f>
        <v/>
      </c>
      <c r="BA121" s="14" t="str">
        <f t="shared" si="111"/>
        <v/>
      </c>
    </row>
    <row r="122" spans="1:53" x14ac:dyDescent="0.2">
      <c r="A122" t="str">
        <f>INDEX(Prioritization!$D:$D,MATCH($B122,Prioritization!$A:$A,0))</f>
        <v>INVALID</v>
      </c>
      <c r="B122" t="s">
        <v>214</v>
      </c>
      <c r="C122" t="s">
        <v>365</v>
      </c>
      <c r="D122" t="s">
        <v>29</v>
      </c>
      <c r="E122" t="str">
        <f t="shared" si="84"/>
        <v>Mangochi District [lLDyBx5XyUi]|25-34|Female</v>
      </c>
      <c r="F122" s="14">
        <f>IF(LEFT($B122,4)="_Mil","",INDEX(Cascade!$T:$T,MATCH($E122,Cascade!$E:$E,0)))</f>
        <v>1690</v>
      </c>
      <c r="G122" s="14" t="str">
        <f>IF(LEFT($B122,4)="_Mil","",INDEX(Cascade!$U:$U,MATCH($E122,Cascade!$E:$E,0)))</f>
        <v/>
      </c>
      <c r="H122" s="88">
        <f>IF(LEFT($B122,4)="_Mil","",INDEX(Cascade!$W:$W,MATCH($E122,Cascade!$E:$E,0)))</f>
        <v>534</v>
      </c>
      <c r="I122" s="14">
        <f>IF(LEFT($B122,4)="_Mil","",INDEX(Cascade!$Z:$Z,MATCH($E122,Cascade!$E:$E,0)))</f>
        <v>931</v>
      </c>
      <c r="J122" s="90">
        <f>IF(LEFT($B122,4)="_Mil","",INDEX(Cascade!$AA:$AA,MATCH($E122,Cascade!$E:$E,0)))</f>
        <v>1569</v>
      </c>
      <c r="K122" s="42">
        <f>IF(LEFT($B122,4)="_Mil","",_xlfn.IFNA(ROUND(INDEX(Spectrum!$N:$N,MATCH(RIGHT($B122,13)&amp;"|"&amp;$C122&amp;"|"&amp;$D122&amp;"|"&amp;K$14&amp;"|"&amp;"CY2023Q3",Spectrum!$R:$R,0)),0),""))</f>
        <v>984</v>
      </c>
      <c r="L122" s="42" t="str">
        <f>IF(LEFT($B122,4)="_Mil","",_xlfn.IFNA(ROUND(INDEX(Spectrum!$N:$N,MATCH(RIGHT($B122,13)&amp;"|"&amp;$C122&amp;"|"&amp;$D122&amp;"|"&amp;L$14&amp;"|"&amp;"CY2023Q3",Spectrum!$R:$R,0)),0),""))</f>
        <v/>
      </c>
      <c r="M122" s="42">
        <f>IF(LEFT($B122,4)="_Mil","",_xlfn.IFNA(ROUND(INDEX(Spectrum!$N:$N,MATCH(RIGHT($B122,13)&amp;"|"&amp;$C122&amp;"|"&amp;$D122&amp;"|"&amp;M$14&amp;"|"&amp;"CY2023Q3",Spectrum!$R:$R,0)),0),""))</f>
        <v>1858</v>
      </c>
      <c r="N122" s="42">
        <f>IF(LEFT($B122,4)="_Mil","",_xlfn.IFNA(ROUND(INDEX(Spectrum!$N:$N,MATCH(RIGHT($B122,13)&amp;"|"&amp;$C122&amp;"|"&amp;$D122&amp;"|"&amp;N$14&amp;"|"&amp;"CY2023Q3",Spectrum!$R:$R,0)),0),""))</f>
        <v>698</v>
      </c>
      <c r="O122" s="42">
        <f>IF(LEFT($B122,4)="_Mil","",_xlfn.IFNA(ROUND(INDEX(Spectrum!$N:$N,MATCH(RIGHT($B122,13)&amp;"|"&amp;$C122&amp;"|"&amp;$D122&amp;"|"&amp;O$14&amp;"|"&amp;"CY2023Q3",Spectrum!$R:$R,0)),0),""))</f>
        <v>997</v>
      </c>
      <c r="P122" s="42">
        <f>IF(LEFT($B122,4)="_Mil","",_xlfn.IFNA(ROUND(INDEX(Spectrum!$N:$N,MATCH(RIGHT($B122,13)&amp;"|"&amp;$C122&amp;"|"&amp;$D122&amp;"|"&amp;P$14&amp;"|"&amp;"CY2023Q3",Spectrum!$R:$R,0)),0),""))</f>
        <v>1590</v>
      </c>
      <c r="Q122" s="42" t="str">
        <f>IF(LEFT($B122,4)="_Mil","",_xlfn.IFNA(ROUND(INDEX(Spectrum!$N:$N,MATCH(RIGHT($B122,13)&amp;"|"&amp;$C122&amp;"|"&amp;$D122&amp;"|"&amp;Q$14&amp;"|"&amp;"CY2022Q3",Spectrum!$R:$R,0)),0),""))</f>
        <v/>
      </c>
      <c r="R122" s="14"/>
      <c r="S122" s="90">
        <f>0</f>
        <v>0</v>
      </c>
      <c r="T122" s="42" t="str">
        <f t="shared" si="85"/>
        <v/>
      </c>
      <c r="U122" s="90">
        <f t="shared" si="86"/>
        <v>0</v>
      </c>
      <c r="V122" s="42" t="str">
        <f t="shared" si="87"/>
        <v/>
      </c>
      <c r="W122" s="90"/>
      <c r="X122" s="90">
        <f t="shared" si="88"/>
        <v>0</v>
      </c>
      <c r="Y122" s="90"/>
      <c r="Z122" s="90">
        <f t="shared" si="89"/>
        <v>0</v>
      </c>
      <c r="AA122" s="14" t="str">
        <f t="shared" si="90"/>
        <v/>
      </c>
      <c r="AB122" s="42" t="str">
        <f t="shared" si="91"/>
        <v/>
      </c>
      <c r="AC122" s="42" t="str">
        <f t="shared" si="92"/>
        <v/>
      </c>
      <c r="AD122" s="42" t="str">
        <f t="shared" si="93"/>
        <v/>
      </c>
      <c r="AE122" s="14" t="str">
        <f t="shared" si="94"/>
        <v/>
      </c>
      <c r="AF122" s="42" t="str">
        <f t="shared" si="95"/>
        <v/>
      </c>
      <c r="AG122" s="42" t="str">
        <f t="shared" si="96"/>
        <v/>
      </c>
      <c r="AH122" s="42" t="str">
        <f t="shared" si="97"/>
        <v/>
      </c>
      <c r="AI122" s="90" t="str">
        <f>IF(SUM($AC122)=0,"",INDEX(Cascade!$BG:$BG,MATCH($E122,Cascade!$E:$E,0)))</f>
        <v/>
      </c>
      <c r="AJ122" s="42" t="str">
        <f t="shared" si="98"/>
        <v/>
      </c>
      <c r="AK122" s="42" t="str">
        <f t="shared" si="99"/>
        <v/>
      </c>
      <c r="AL122" s="42" t="str">
        <f t="shared" si="100"/>
        <v/>
      </c>
      <c r="AM122" s="42" t="str">
        <f t="shared" si="101"/>
        <v/>
      </c>
      <c r="AN122" s="42" t="str">
        <f t="shared" si="102"/>
        <v/>
      </c>
      <c r="AO122" s="14" t="str">
        <f t="shared" si="103"/>
        <v/>
      </c>
      <c r="AP122" s="90"/>
      <c r="AQ122" s="90" t="str">
        <f t="shared" si="104"/>
        <v/>
      </c>
      <c r="AR122" s="90" t="str">
        <f>IF(SUM($AO122)=0,"",INDEX(Cascade!$BG:$BG,MATCH($E122,Cascade!$E:$E,0)))</f>
        <v/>
      </c>
      <c r="AS122" s="42" t="str">
        <f t="shared" si="105"/>
        <v/>
      </c>
      <c r="AT122" s="42" t="str">
        <f t="shared" si="106"/>
        <v/>
      </c>
      <c r="AU122" s="14" t="str">
        <f t="shared" si="107"/>
        <v/>
      </c>
      <c r="AV122" s="14" t="str">
        <f t="shared" si="108"/>
        <v/>
      </c>
      <c r="AW122" s="14" t="str">
        <f>IFERROR(1/(1/INDEX(Cascade!$BH:$BH,MATCH($E122,Cascade!$E:$E,0))),"")</f>
        <v/>
      </c>
      <c r="AX122" s="14" t="str">
        <f t="shared" si="109"/>
        <v/>
      </c>
      <c r="AY122" s="14" t="str">
        <f t="shared" si="110"/>
        <v/>
      </c>
      <c r="AZ122" s="14" t="str">
        <f>IFERROR(1/(1/INDEX(TB!$P:$P,MATCH($E122,TB!$E:$E,0))),"")</f>
        <v/>
      </c>
      <c r="BA122" s="14" t="str">
        <f t="shared" si="111"/>
        <v/>
      </c>
    </row>
    <row r="123" spans="1:53" x14ac:dyDescent="0.2">
      <c r="A123" t="str">
        <f>INDEX(Prioritization!$D:$D,MATCH($B123,Prioritization!$A:$A,0))</f>
        <v>INVALID</v>
      </c>
      <c r="B123" t="s">
        <v>214</v>
      </c>
      <c r="C123" t="s">
        <v>366</v>
      </c>
      <c r="D123" t="s">
        <v>29</v>
      </c>
      <c r="E123" t="str">
        <f t="shared" si="84"/>
        <v>Mangochi District [lLDyBx5XyUi]|35-49|Female</v>
      </c>
      <c r="F123" s="14">
        <f>IF(LEFT($B123,4)="_Mil","",INDEX(Cascade!$T:$T,MATCH($E123,Cascade!$E:$E,0)))</f>
        <v>1460</v>
      </c>
      <c r="G123" s="14" t="str">
        <f>IF(LEFT($B123,4)="_Mil","",INDEX(Cascade!$U:$U,MATCH($E123,Cascade!$E:$E,0)))</f>
        <v/>
      </c>
      <c r="H123" s="88">
        <f>IF(LEFT($B123,4)="_Mil","",INDEX(Cascade!$W:$W,MATCH($E123,Cascade!$E:$E,0)))</f>
        <v>1134</v>
      </c>
      <c r="I123" s="14">
        <f>IF(LEFT($B123,4)="_Mil","",INDEX(Cascade!$Z:$Z,MATCH($E123,Cascade!$E:$E,0)))</f>
        <v>1338</v>
      </c>
      <c r="J123" s="90">
        <f>IF(LEFT($B123,4)="_Mil","",INDEX(Cascade!$AA:$AA,MATCH($E123,Cascade!$E:$E,0)))</f>
        <v>982.00000000000011</v>
      </c>
      <c r="K123" s="42">
        <f>IF(LEFT($B123,4)="_Mil","",_xlfn.IFNA(ROUND(INDEX(Spectrum!$N:$N,MATCH(RIGHT($B123,13)&amp;"|"&amp;$C123&amp;"|"&amp;$D123&amp;"|"&amp;K$14&amp;"|"&amp;"CY2023Q3",Spectrum!$R:$R,0)),0),""))</f>
        <v>593</v>
      </c>
      <c r="L123" s="42" t="str">
        <f>IF(LEFT($B123,4)="_Mil","",_xlfn.IFNA(ROUND(INDEX(Spectrum!$N:$N,MATCH(RIGHT($B123,13)&amp;"|"&amp;$C123&amp;"|"&amp;$D123&amp;"|"&amp;L$14&amp;"|"&amp;"CY2023Q3",Spectrum!$R:$R,0)),0),""))</f>
        <v/>
      </c>
      <c r="M123" s="42">
        <f>IF(LEFT($B123,4)="_Mil","",_xlfn.IFNA(ROUND(INDEX(Spectrum!$N:$N,MATCH(RIGHT($B123,13)&amp;"|"&amp;$C123&amp;"|"&amp;$D123&amp;"|"&amp;M$14&amp;"|"&amp;"CY2023Q3",Spectrum!$R:$R,0)),0),""))</f>
        <v>1903</v>
      </c>
      <c r="N123" s="42">
        <f>IF(LEFT($B123,4)="_Mil","",_xlfn.IFNA(ROUND(INDEX(Spectrum!$N:$N,MATCH(RIGHT($B123,13)&amp;"|"&amp;$C123&amp;"|"&amp;$D123&amp;"|"&amp;N$14&amp;"|"&amp;"CY2023Q3",Spectrum!$R:$R,0)),0),""))</f>
        <v>988</v>
      </c>
      <c r="O123" s="42">
        <f>IF(LEFT($B123,4)="_Mil","",_xlfn.IFNA(ROUND(INDEX(Spectrum!$N:$N,MATCH(RIGHT($B123,13)&amp;"|"&amp;$C123&amp;"|"&amp;$D123&amp;"|"&amp;O$14&amp;"|"&amp;"CY2023Q3",Spectrum!$R:$R,0)),0),""))</f>
        <v>1303</v>
      </c>
      <c r="P123" s="42">
        <f>IF(LEFT($B123,4)="_Mil","",_xlfn.IFNA(ROUND(INDEX(Spectrum!$N:$N,MATCH(RIGHT($B123,13)&amp;"|"&amp;$C123&amp;"|"&amp;$D123&amp;"|"&amp;P$14&amp;"|"&amp;"CY2023Q3",Spectrum!$R:$R,0)),0),""))</f>
        <v>614</v>
      </c>
      <c r="Q123" s="42" t="str">
        <f>IF(LEFT($B123,4)="_Mil","",_xlfn.IFNA(ROUND(INDEX(Spectrum!$N:$N,MATCH(RIGHT($B123,13)&amp;"|"&amp;$C123&amp;"|"&amp;$D123&amp;"|"&amp;Q$14&amp;"|"&amp;"CY2022Q3",Spectrum!$R:$R,0)),0),""))</f>
        <v/>
      </c>
      <c r="R123" s="14"/>
      <c r="S123" s="90">
        <f>0</f>
        <v>0</v>
      </c>
      <c r="T123" s="42" t="str">
        <f t="shared" si="85"/>
        <v/>
      </c>
      <c r="U123" s="90">
        <f t="shared" si="86"/>
        <v>0</v>
      </c>
      <c r="V123" s="42" t="str">
        <f t="shared" si="87"/>
        <v/>
      </c>
      <c r="W123" s="90"/>
      <c r="X123" s="90">
        <f t="shared" si="88"/>
        <v>0</v>
      </c>
      <c r="Y123" s="90"/>
      <c r="Z123" s="90">
        <f t="shared" si="89"/>
        <v>0</v>
      </c>
      <c r="AA123" s="14" t="str">
        <f t="shared" si="90"/>
        <v/>
      </c>
      <c r="AB123" s="42" t="str">
        <f t="shared" si="91"/>
        <v/>
      </c>
      <c r="AC123" s="42" t="str">
        <f t="shared" si="92"/>
        <v/>
      </c>
      <c r="AD123" s="42" t="str">
        <f t="shared" si="93"/>
        <v/>
      </c>
      <c r="AE123" s="14" t="str">
        <f t="shared" si="94"/>
        <v/>
      </c>
      <c r="AF123" s="42" t="str">
        <f t="shared" si="95"/>
        <v/>
      </c>
      <c r="AG123" s="42" t="str">
        <f t="shared" si="96"/>
        <v/>
      </c>
      <c r="AH123" s="42" t="str">
        <f t="shared" si="97"/>
        <v/>
      </c>
      <c r="AI123" s="90" t="str">
        <f>IF(SUM($AC123)=0,"",INDEX(Cascade!$BG:$BG,MATCH($E123,Cascade!$E:$E,0)))</f>
        <v/>
      </c>
      <c r="AJ123" s="42" t="str">
        <f t="shared" si="98"/>
        <v/>
      </c>
      <c r="AK123" s="42" t="str">
        <f t="shared" si="99"/>
        <v/>
      </c>
      <c r="AL123" s="42" t="str">
        <f t="shared" si="100"/>
        <v/>
      </c>
      <c r="AM123" s="42" t="str">
        <f t="shared" si="101"/>
        <v/>
      </c>
      <c r="AN123" s="42" t="str">
        <f t="shared" si="102"/>
        <v/>
      </c>
      <c r="AO123" s="14" t="str">
        <f t="shared" si="103"/>
        <v/>
      </c>
      <c r="AP123" s="90"/>
      <c r="AQ123" s="90" t="str">
        <f t="shared" si="104"/>
        <v/>
      </c>
      <c r="AR123" s="90" t="str">
        <f>IF(SUM($AO123)=0,"",INDEX(Cascade!$BG:$BG,MATCH($E123,Cascade!$E:$E,0)))</f>
        <v/>
      </c>
      <c r="AS123" s="42" t="str">
        <f t="shared" si="105"/>
        <v/>
      </c>
      <c r="AT123" s="42" t="str">
        <f t="shared" si="106"/>
        <v/>
      </c>
      <c r="AU123" s="14" t="str">
        <f t="shared" si="107"/>
        <v/>
      </c>
      <c r="AV123" s="14" t="str">
        <f t="shared" si="108"/>
        <v/>
      </c>
      <c r="AW123" s="14" t="str">
        <f>IFERROR(1/(1/INDEX(Cascade!$BH:$BH,MATCH($E123,Cascade!$E:$E,0))),"")</f>
        <v/>
      </c>
      <c r="AX123" s="14" t="str">
        <f t="shared" si="109"/>
        <v/>
      </c>
      <c r="AY123" s="14" t="str">
        <f t="shared" si="110"/>
        <v/>
      </c>
      <c r="AZ123" s="14" t="str">
        <f>IFERROR(1/(1/INDEX(TB!$P:$P,MATCH($E123,TB!$E:$E,0))),"")</f>
        <v/>
      </c>
      <c r="BA123" s="14" t="str">
        <f t="shared" si="111"/>
        <v/>
      </c>
    </row>
    <row r="124" spans="1:53" x14ac:dyDescent="0.2">
      <c r="A124" t="str">
        <f>INDEX(Prioritization!$D:$D,MATCH($B124,Prioritization!$A:$A,0))</f>
        <v>INVALID</v>
      </c>
      <c r="B124" t="s">
        <v>214</v>
      </c>
      <c r="C124" t="s">
        <v>367</v>
      </c>
      <c r="D124" t="s">
        <v>29</v>
      </c>
      <c r="E124" t="str">
        <f t="shared" si="84"/>
        <v>Mangochi District [lLDyBx5XyUi]|50+|Female</v>
      </c>
      <c r="F124" s="14">
        <f>IF(LEFT($B124,4)="_Mil","",INDEX(Cascade!$T:$T,MATCH($E124,Cascade!$E:$E,0)))</f>
        <v>1612</v>
      </c>
      <c r="G124" s="14" t="str">
        <f>IF(LEFT($B124,4)="_Mil","",INDEX(Cascade!$U:$U,MATCH($E124,Cascade!$E:$E,0)))</f>
        <v/>
      </c>
      <c r="H124" s="88">
        <f>IF(LEFT($B124,4)="_Mil","",INDEX(Cascade!$W:$W,MATCH($E124,Cascade!$E:$E,0)))</f>
        <v>1324</v>
      </c>
      <c r="I124" s="14">
        <f>IF(LEFT($B124,4)="_Mil","",INDEX(Cascade!$Z:$Z,MATCH($E124,Cascade!$E:$E,0)))</f>
        <v>799</v>
      </c>
      <c r="J124" s="90">
        <f>IF(LEFT($B124,4)="_Mil","",INDEX(Cascade!$AA:$AA,MATCH($E124,Cascade!$E:$E,0)))</f>
        <v>596</v>
      </c>
      <c r="K124" s="42" t="str">
        <f>IF(LEFT($B124,4)="_Mil","",_xlfn.IFNA(ROUND(INDEX(Spectrum!$N:$N,MATCH(RIGHT($B124,13)&amp;"|"&amp;$C124&amp;"|"&amp;$D124&amp;"|"&amp;K$14&amp;"|"&amp;"CY2023Q3",Spectrum!$R:$R,0)),0),""))</f>
        <v/>
      </c>
      <c r="L124" s="42" t="str">
        <f>IF(LEFT($B124,4)="_Mil","",_xlfn.IFNA(ROUND(INDEX(Spectrum!$N:$N,MATCH(RIGHT($B124,13)&amp;"|"&amp;$C124&amp;"|"&amp;$D124&amp;"|"&amp;L$14&amp;"|"&amp;"CY2023Q3",Spectrum!$R:$R,0)),0),""))</f>
        <v/>
      </c>
      <c r="M124" s="42" t="str">
        <f>IF(LEFT($B124,4)="_Mil","",_xlfn.IFNA(ROUND(INDEX(Spectrum!$N:$N,MATCH(RIGHT($B124,13)&amp;"|"&amp;$C124&amp;"|"&amp;$D124&amp;"|"&amp;M$14&amp;"|"&amp;"CY2023Q3",Spectrum!$R:$R,0)),0),""))</f>
        <v/>
      </c>
      <c r="N124" s="42" t="str">
        <f>IF(LEFT($B124,4)="_Mil","",_xlfn.IFNA(ROUND(INDEX(Spectrum!$N:$N,MATCH(RIGHT($B124,13)&amp;"|"&amp;$C124&amp;"|"&amp;$D124&amp;"|"&amp;N$14&amp;"|"&amp;"CY2023Q3",Spectrum!$R:$R,0)),0),""))</f>
        <v/>
      </c>
      <c r="O124" s="42" t="str">
        <f>IF(LEFT($B124,4)="_Mil","",_xlfn.IFNA(ROUND(INDEX(Spectrum!$N:$N,MATCH(RIGHT($B124,13)&amp;"|"&amp;$C124&amp;"|"&amp;$D124&amp;"|"&amp;O$14&amp;"|"&amp;"CY2023Q3",Spectrum!$R:$R,0)),0),""))</f>
        <v/>
      </c>
      <c r="P124" s="42" t="str">
        <f>IF(LEFT($B124,4)="_Mil","",_xlfn.IFNA(ROUND(INDEX(Spectrum!$N:$N,MATCH(RIGHT($B124,13)&amp;"|"&amp;$C124&amp;"|"&amp;$D124&amp;"|"&amp;P$14&amp;"|"&amp;"CY2023Q3",Spectrum!$R:$R,0)),0),""))</f>
        <v/>
      </c>
      <c r="Q124" s="42" t="str">
        <f>IF(LEFT($B124,4)="_Mil","",_xlfn.IFNA(ROUND(INDEX(Spectrum!$N:$N,MATCH(RIGHT($B124,13)&amp;"|"&amp;$C124&amp;"|"&amp;$D124&amp;"|"&amp;Q$14&amp;"|"&amp;"CY2022Q3",Spectrum!$R:$R,0)),0),""))</f>
        <v/>
      </c>
      <c r="R124" s="14"/>
      <c r="S124" s="90">
        <f>0</f>
        <v>0</v>
      </c>
      <c r="T124" s="42" t="str">
        <f t="shared" si="85"/>
        <v/>
      </c>
      <c r="U124" s="90" t="str">
        <f t="shared" si="86"/>
        <v/>
      </c>
      <c r="V124" s="42" t="str">
        <f t="shared" si="87"/>
        <v/>
      </c>
      <c r="W124" s="90"/>
      <c r="X124" s="90" t="str">
        <f t="shared" si="88"/>
        <v/>
      </c>
      <c r="Y124" s="90"/>
      <c r="Z124" s="90" t="str">
        <f t="shared" si="89"/>
        <v/>
      </c>
      <c r="AA124" s="14" t="str">
        <f t="shared" si="90"/>
        <v/>
      </c>
      <c r="AB124" s="42" t="str">
        <f t="shared" si="91"/>
        <v/>
      </c>
      <c r="AC124" s="42" t="str">
        <f t="shared" si="92"/>
        <v/>
      </c>
      <c r="AD124" s="42" t="str">
        <f t="shared" si="93"/>
        <v/>
      </c>
      <c r="AE124" s="14" t="str">
        <f t="shared" si="94"/>
        <v/>
      </c>
      <c r="AF124" s="42" t="str">
        <f t="shared" si="95"/>
        <v/>
      </c>
      <c r="AG124" s="42" t="str">
        <f t="shared" si="96"/>
        <v/>
      </c>
      <c r="AH124" s="42" t="str">
        <f t="shared" si="97"/>
        <v/>
      </c>
      <c r="AI124" s="90" t="str">
        <f>IF(SUM($AC124)=0,"",INDEX(Cascade!$BG:$BG,MATCH($E124,Cascade!$E:$E,0)))</f>
        <v/>
      </c>
      <c r="AJ124" s="42" t="str">
        <f t="shared" si="98"/>
        <v/>
      </c>
      <c r="AK124" s="42" t="str">
        <f t="shared" si="99"/>
        <v/>
      </c>
      <c r="AL124" s="42" t="str">
        <f t="shared" si="100"/>
        <v/>
      </c>
      <c r="AM124" s="42" t="str">
        <f t="shared" si="101"/>
        <v/>
      </c>
      <c r="AN124" s="42" t="str">
        <f t="shared" si="102"/>
        <v/>
      </c>
      <c r="AO124" s="14" t="str">
        <f t="shared" si="103"/>
        <v/>
      </c>
      <c r="AP124" s="90"/>
      <c r="AQ124" s="90" t="str">
        <f t="shared" si="104"/>
        <v/>
      </c>
      <c r="AR124" s="90" t="str">
        <f>IF(SUM($AO124)=0,"",INDEX(Cascade!$BG:$BG,MATCH($E124,Cascade!$E:$E,0)))</f>
        <v/>
      </c>
      <c r="AS124" s="42" t="str">
        <f t="shared" si="105"/>
        <v/>
      </c>
      <c r="AT124" s="42" t="str">
        <f t="shared" si="106"/>
        <v/>
      </c>
      <c r="AU124" s="14" t="str">
        <f t="shared" si="107"/>
        <v/>
      </c>
      <c r="AV124" s="14" t="str">
        <f t="shared" si="108"/>
        <v/>
      </c>
      <c r="AW124" s="14" t="str">
        <f>IFERROR(1/(1/INDEX(Cascade!$BH:$BH,MATCH($E124,Cascade!$E:$E,0))),"")</f>
        <v/>
      </c>
      <c r="AX124" s="14" t="str">
        <f t="shared" si="109"/>
        <v/>
      </c>
      <c r="AY124" s="14" t="str">
        <f t="shared" si="110"/>
        <v/>
      </c>
      <c r="AZ124" s="14" t="str">
        <f>IFERROR(1/(1/INDEX(TB!$P:$P,MATCH($E124,TB!$E:$E,0))),"")</f>
        <v/>
      </c>
      <c r="BA124" s="14" t="str">
        <f t="shared" si="111"/>
        <v/>
      </c>
    </row>
    <row r="125" spans="1:53" x14ac:dyDescent="0.2">
      <c r="A125" t="str">
        <f>INDEX(Prioritization!$D:$D,MATCH($B125,Prioritization!$A:$A,0))</f>
        <v>INVALID</v>
      </c>
      <c r="B125" t="s">
        <v>215</v>
      </c>
      <c r="C125" t="s">
        <v>363</v>
      </c>
      <c r="D125" t="s">
        <v>29</v>
      </c>
      <c r="E125" t="str">
        <f t="shared" si="84"/>
        <v>Mulanje District [umc2n1Z4wNv]|10-14|Female</v>
      </c>
      <c r="F125" s="14">
        <f>IF(LEFT($B125,4)="_Mil","",INDEX(Cascade!$T:$T,MATCH($E125,Cascade!$E:$E,0)))</f>
        <v>950</v>
      </c>
      <c r="G125" s="14" t="str">
        <f>IF(LEFT($B125,4)="_Mil","",INDEX(Cascade!$U:$U,MATCH($E125,Cascade!$E:$E,0)))</f>
        <v/>
      </c>
      <c r="H125" s="88">
        <f>IF(LEFT($B125,4)="_Mil","",INDEX(Cascade!$W:$W,MATCH($E125,Cascade!$E:$E,0)))</f>
        <v>1652</v>
      </c>
      <c r="I125" s="14">
        <f>IF(LEFT($B125,4)="_Mil","",INDEX(Cascade!$Z:$Z,MATCH($E125,Cascade!$E:$E,0)))</f>
        <v>1409</v>
      </c>
      <c r="J125" s="90">
        <f>IF(LEFT($B125,4)="_Mil","",INDEX(Cascade!$AA:$AA,MATCH($E125,Cascade!$E:$E,0)))</f>
        <v>1670</v>
      </c>
      <c r="K125" s="42" t="str">
        <f>IF(LEFT($B125,4)="_Mil","",_xlfn.IFNA(ROUND(INDEX(Spectrum!$N:$N,MATCH(RIGHT($B125,13)&amp;"|"&amp;$C125&amp;"|"&amp;$D125&amp;"|"&amp;K$14&amp;"|"&amp;"CY2023Q3",Spectrum!$R:$R,0)),0),""))</f>
        <v/>
      </c>
      <c r="L125" s="42" t="str">
        <f>IF(LEFT($B125,4)="_Mil","",_xlfn.IFNA(ROUND(INDEX(Spectrum!$N:$N,MATCH(RIGHT($B125,13)&amp;"|"&amp;$C125&amp;"|"&amp;$D125&amp;"|"&amp;L$14&amp;"|"&amp;"CY2023Q3",Spectrum!$R:$R,0)),0),""))</f>
        <v/>
      </c>
      <c r="M125" s="42" t="str">
        <f>IF(LEFT($B125,4)="_Mil","",_xlfn.IFNA(ROUND(INDEX(Spectrum!$N:$N,MATCH(RIGHT($B125,13)&amp;"|"&amp;$C125&amp;"|"&amp;$D125&amp;"|"&amp;M$14&amp;"|"&amp;"CY2023Q3",Spectrum!$R:$R,0)),0),""))</f>
        <v/>
      </c>
      <c r="N125" s="42" t="str">
        <f>IF(LEFT($B125,4)="_Mil","",_xlfn.IFNA(ROUND(INDEX(Spectrum!$N:$N,MATCH(RIGHT($B125,13)&amp;"|"&amp;$C125&amp;"|"&amp;$D125&amp;"|"&amp;N$14&amp;"|"&amp;"CY2023Q3",Spectrum!$R:$R,0)),0),""))</f>
        <v/>
      </c>
      <c r="O125" s="42" t="str">
        <f>IF(LEFT($B125,4)="_Mil","",_xlfn.IFNA(ROUND(INDEX(Spectrum!$N:$N,MATCH(RIGHT($B125,13)&amp;"|"&amp;$C125&amp;"|"&amp;$D125&amp;"|"&amp;O$14&amp;"|"&amp;"CY2023Q3",Spectrum!$R:$R,0)),0),""))</f>
        <v/>
      </c>
      <c r="P125" s="42" t="str">
        <f>IF(LEFT($B125,4)="_Mil","",_xlfn.IFNA(ROUND(INDEX(Spectrum!$N:$N,MATCH(RIGHT($B125,13)&amp;"|"&amp;$C125&amp;"|"&amp;$D125&amp;"|"&amp;P$14&amp;"|"&amp;"CY2023Q3",Spectrum!$R:$R,0)),0),""))</f>
        <v/>
      </c>
      <c r="Q125" s="42" t="str">
        <f>IF(LEFT($B125,4)="_Mil","",_xlfn.IFNA(ROUND(INDEX(Spectrum!$N:$N,MATCH(RIGHT($B125,13)&amp;"|"&amp;$C125&amp;"|"&amp;$D125&amp;"|"&amp;Q$14&amp;"|"&amp;"CY2022Q3",Spectrum!$R:$R,0)),0),""))</f>
        <v/>
      </c>
      <c r="R125" s="14">
        <v>8</v>
      </c>
      <c r="S125" s="90">
        <f>0</f>
        <v>0</v>
      </c>
      <c r="T125" s="42">
        <f t="shared" si="85"/>
        <v>8</v>
      </c>
      <c r="U125" s="90">
        <f t="shared" si="86"/>
        <v>1</v>
      </c>
      <c r="V125" s="42">
        <f t="shared" si="87"/>
        <v>8</v>
      </c>
      <c r="W125" s="90">
        <v>0.35102880839258399</v>
      </c>
      <c r="X125" s="90">
        <f t="shared" si="88"/>
        <v>0.35102880839258399</v>
      </c>
      <c r="Y125" s="90">
        <v>0.97325400658883199</v>
      </c>
      <c r="Z125" s="90">
        <f t="shared" si="89"/>
        <v>0.97325400658883199</v>
      </c>
      <c r="AA125" s="14">
        <f t="shared" si="90"/>
        <v>8</v>
      </c>
      <c r="AB125" s="42">
        <f t="shared" si="91"/>
        <v>3</v>
      </c>
      <c r="AC125" s="42">
        <f t="shared" si="92"/>
        <v>5</v>
      </c>
      <c r="AD125" s="42">
        <f t="shared" si="93"/>
        <v>0</v>
      </c>
      <c r="AE125" s="14">
        <f t="shared" si="94"/>
        <v>8</v>
      </c>
      <c r="AF125" s="42">
        <f t="shared" si="95"/>
        <v>3</v>
      </c>
      <c r="AG125" s="42">
        <f t="shared" si="96"/>
        <v>5</v>
      </c>
      <c r="AH125" s="42">
        <f t="shared" si="97"/>
        <v>0</v>
      </c>
      <c r="AI125" s="90">
        <f>IF(SUM($AC125)=0,"",INDEX(Cascade!$BG:$BG,MATCH($E125,Cascade!$E:$E,0)))</f>
        <v>0.95</v>
      </c>
      <c r="AJ125" s="42">
        <f t="shared" si="98"/>
        <v>3</v>
      </c>
      <c r="AK125" s="42">
        <f t="shared" si="99"/>
        <v>5</v>
      </c>
      <c r="AL125" s="42">
        <f t="shared" si="100"/>
        <v>8</v>
      </c>
      <c r="AM125" s="42">
        <f t="shared" si="101"/>
        <v>3</v>
      </c>
      <c r="AN125" s="42">
        <f t="shared" si="102"/>
        <v>5</v>
      </c>
      <c r="AO125" s="14" t="str">
        <f t="shared" si="103"/>
        <v/>
      </c>
      <c r="AP125" s="90"/>
      <c r="AQ125" s="90" t="str">
        <f t="shared" si="104"/>
        <v/>
      </c>
      <c r="AR125" s="90" t="str">
        <f>IF(SUM($AO125)=0,"",INDEX(Cascade!$BG:$BG,MATCH($E125,Cascade!$E:$E,0)))</f>
        <v/>
      </c>
      <c r="AS125" s="42" t="str">
        <f t="shared" si="105"/>
        <v/>
      </c>
      <c r="AT125" s="42" t="str">
        <f t="shared" si="106"/>
        <v/>
      </c>
      <c r="AU125" s="14" t="str">
        <f t="shared" si="107"/>
        <v/>
      </c>
      <c r="AV125" s="14">
        <f t="shared" si="108"/>
        <v>8</v>
      </c>
      <c r="AW125" s="14">
        <f>IFERROR(1/(1/INDEX(Cascade!$BH:$BH,MATCH($E125,Cascade!$E:$E,0))),"")</f>
        <v>-762</v>
      </c>
      <c r="AX125" s="14">
        <f t="shared" si="109"/>
        <v>5</v>
      </c>
      <c r="AY125" s="14" t="str">
        <f t="shared" si="110"/>
        <v/>
      </c>
      <c r="AZ125" s="14" t="str">
        <f>IFERROR(1/(1/INDEX(TB!$P:$P,MATCH($E125,TB!$E:$E,0))),"")</f>
        <v/>
      </c>
      <c r="BA125" s="14">
        <f t="shared" si="111"/>
        <v>-767</v>
      </c>
    </row>
    <row r="126" spans="1:53" x14ac:dyDescent="0.2">
      <c r="A126" t="str">
        <f>INDEX(Prioritization!$D:$D,MATCH($B126,Prioritization!$A:$A,0))</f>
        <v>INVALID</v>
      </c>
      <c r="B126" t="s">
        <v>215</v>
      </c>
      <c r="C126" t="s">
        <v>364</v>
      </c>
      <c r="D126" t="s">
        <v>29</v>
      </c>
      <c r="E126" t="str">
        <f t="shared" si="84"/>
        <v>Mulanje District [umc2n1Z4wNv]|15-24|Female</v>
      </c>
      <c r="F126" s="14">
        <f>IF(LEFT($B126,4)="_Mil","",INDEX(Cascade!$T:$T,MATCH($E126,Cascade!$E:$E,0)))</f>
        <v>1061</v>
      </c>
      <c r="G126" s="14" t="str">
        <f>IF(LEFT($B126,4)="_Mil","",INDEX(Cascade!$U:$U,MATCH($E126,Cascade!$E:$E,0)))</f>
        <v/>
      </c>
      <c r="H126" s="88">
        <f>IF(LEFT($B126,4)="_Mil","",INDEX(Cascade!$W:$W,MATCH($E126,Cascade!$E:$E,0)))</f>
        <v>1930</v>
      </c>
      <c r="I126" s="14">
        <f>IF(LEFT($B126,4)="_Mil","",INDEX(Cascade!$Z:$Z,MATCH($E126,Cascade!$E:$E,0)))</f>
        <v>1745</v>
      </c>
      <c r="J126" s="90">
        <f>IF(LEFT($B126,4)="_Mil","",INDEX(Cascade!$AA:$AA,MATCH($E126,Cascade!$E:$E,0)))</f>
        <v>1659.9999999999998</v>
      </c>
      <c r="K126" s="42">
        <f>IF(LEFT($B126,4)="_Mil","",_xlfn.IFNA(ROUND(INDEX(Spectrum!$N:$N,MATCH(RIGHT($B126,13)&amp;"|"&amp;$C126&amp;"|"&amp;$D126&amp;"|"&amp;K$14&amp;"|"&amp;"CY2023Q3",Spectrum!$R:$R,0)),0),""))</f>
        <v>1395</v>
      </c>
      <c r="L126" s="42" t="str">
        <f>IF(LEFT($B126,4)="_Mil","",_xlfn.IFNA(ROUND(INDEX(Spectrum!$N:$N,MATCH(RIGHT($B126,13)&amp;"|"&amp;$C126&amp;"|"&amp;$D126&amp;"|"&amp;L$14&amp;"|"&amp;"CY2023Q3",Spectrum!$R:$R,0)),0),""))</f>
        <v/>
      </c>
      <c r="M126" s="42">
        <f>IF(LEFT($B126,4)="_Mil","",_xlfn.IFNA(ROUND(INDEX(Spectrum!$N:$N,MATCH(RIGHT($B126,13)&amp;"|"&amp;$C126&amp;"|"&amp;$D126&amp;"|"&amp;M$14&amp;"|"&amp;"CY2023Q3",Spectrum!$R:$R,0)),0),""))</f>
        <v>1569</v>
      </c>
      <c r="N126" s="42">
        <f>IF(LEFT($B126,4)="_Mil","",_xlfn.IFNA(ROUND(INDEX(Spectrum!$N:$N,MATCH(RIGHT($B126,13)&amp;"|"&amp;$C126&amp;"|"&amp;$D126&amp;"|"&amp;N$14&amp;"|"&amp;"CY2023Q3",Spectrum!$R:$R,0)),0),""))</f>
        <v>1458</v>
      </c>
      <c r="O126" s="42">
        <f>IF(LEFT($B126,4)="_Mil","",_xlfn.IFNA(ROUND(INDEX(Spectrum!$N:$N,MATCH(RIGHT($B126,13)&amp;"|"&amp;$C126&amp;"|"&amp;$D126&amp;"|"&amp;O$14&amp;"|"&amp;"CY2023Q3",Spectrum!$R:$R,0)),0),""))</f>
        <v>742</v>
      </c>
      <c r="P126" s="42">
        <f>IF(LEFT($B126,4)="_Mil","",_xlfn.IFNA(ROUND(INDEX(Spectrum!$N:$N,MATCH(RIGHT($B126,13)&amp;"|"&amp;$C126&amp;"|"&amp;$D126&amp;"|"&amp;P$14&amp;"|"&amp;"CY2023Q3",Spectrum!$R:$R,0)),0),""))</f>
        <v>1664</v>
      </c>
      <c r="Q126" s="42" t="str">
        <f>IF(LEFT($B126,4)="_Mil","",_xlfn.IFNA(ROUND(INDEX(Spectrum!$N:$N,MATCH(RIGHT($B126,13)&amp;"|"&amp;$C126&amp;"|"&amp;$D126&amp;"|"&amp;Q$14&amp;"|"&amp;"CY2022Q3",Spectrum!$R:$R,0)),0),""))</f>
        <v/>
      </c>
      <c r="R126" s="14"/>
      <c r="S126" s="90">
        <f>0</f>
        <v>0</v>
      </c>
      <c r="T126" s="42" t="str">
        <f t="shared" si="85"/>
        <v/>
      </c>
      <c r="U126" s="90">
        <f t="shared" si="86"/>
        <v>0</v>
      </c>
      <c r="V126" s="42" t="str">
        <f t="shared" si="87"/>
        <v/>
      </c>
      <c r="W126" s="90"/>
      <c r="X126" s="90">
        <f t="shared" si="88"/>
        <v>0</v>
      </c>
      <c r="Y126" s="90"/>
      <c r="Z126" s="90">
        <f t="shared" si="89"/>
        <v>0</v>
      </c>
      <c r="AA126" s="14" t="str">
        <f t="shared" si="90"/>
        <v/>
      </c>
      <c r="AB126" s="42" t="str">
        <f t="shared" si="91"/>
        <v/>
      </c>
      <c r="AC126" s="42" t="str">
        <f t="shared" si="92"/>
        <v/>
      </c>
      <c r="AD126" s="42" t="str">
        <f t="shared" si="93"/>
        <v/>
      </c>
      <c r="AE126" s="14" t="str">
        <f t="shared" si="94"/>
        <v/>
      </c>
      <c r="AF126" s="42" t="str">
        <f t="shared" si="95"/>
        <v/>
      </c>
      <c r="AG126" s="42" t="str">
        <f t="shared" si="96"/>
        <v/>
      </c>
      <c r="AH126" s="42" t="str">
        <f t="shared" si="97"/>
        <v/>
      </c>
      <c r="AI126" s="90" t="str">
        <f>IF(SUM($AC126)=0,"",INDEX(Cascade!$BG:$BG,MATCH($E126,Cascade!$E:$E,0)))</f>
        <v/>
      </c>
      <c r="AJ126" s="42" t="str">
        <f t="shared" si="98"/>
        <v/>
      </c>
      <c r="AK126" s="42" t="str">
        <f t="shared" si="99"/>
        <v/>
      </c>
      <c r="AL126" s="42" t="str">
        <f t="shared" si="100"/>
        <v/>
      </c>
      <c r="AM126" s="42" t="str">
        <f t="shared" si="101"/>
        <v/>
      </c>
      <c r="AN126" s="42" t="str">
        <f t="shared" si="102"/>
        <v/>
      </c>
      <c r="AO126" s="14" t="str">
        <f t="shared" si="103"/>
        <v/>
      </c>
      <c r="AP126" s="90"/>
      <c r="AQ126" s="90" t="str">
        <f t="shared" si="104"/>
        <v/>
      </c>
      <c r="AR126" s="90" t="str">
        <f>IF(SUM($AO126)=0,"",INDEX(Cascade!$BG:$BG,MATCH($E126,Cascade!$E:$E,0)))</f>
        <v/>
      </c>
      <c r="AS126" s="42" t="str">
        <f t="shared" si="105"/>
        <v/>
      </c>
      <c r="AT126" s="42" t="str">
        <f t="shared" si="106"/>
        <v/>
      </c>
      <c r="AU126" s="14" t="str">
        <f t="shared" si="107"/>
        <v/>
      </c>
      <c r="AV126" s="14" t="str">
        <f t="shared" si="108"/>
        <v/>
      </c>
      <c r="AW126" s="14" t="str">
        <f>IFERROR(1/(1/INDEX(Cascade!$BH:$BH,MATCH($E126,Cascade!$E:$E,0))),"")</f>
        <v/>
      </c>
      <c r="AX126" s="14" t="str">
        <f t="shared" si="109"/>
        <v/>
      </c>
      <c r="AY126" s="14" t="str">
        <f t="shared" si="110"/>
        <v/>
      </c>
      <c r="AZ126" s="14" t="str">
        <f>IFERROR(1/(1/INDEX(TB!$P:$P,MATCH($E126,TB!$E:$E,0))),"")</f>
        <v/>
      </c>
      <c r="BA126" s="14" t="str">
        <f t="shared" si="111"/>
        <v/>
      </c>
    </row>
    <row r="127" spans="1:53" x14ac:dyDescent="0.2">
      <c r="A127" t="str">
        <f>INDEX(Prioritization!$D:$D,MATCH($B127,Prioritization!$A:$A,0))</f>
        <v>INVALID</v>
      </c>
      <c r="B127" t="s">
        <v>215</v>
      </c>
      <c r="C127" t="s">
        <v>365</v>
      </c>
      <c r="D127" t="s">
        <v>29</v>
      </c>
      <c r="E127" t="str">
        <f t="shared" si="84"/>
        <v>Mulanje District [umc2n1Z4wNv]|25-34|Female</v>
      </c>
      <c r="F127" s="14">
        <f>IF(LEFT($B127,4)="_Mil","",INDEX(Cascade!$T:$T,MATCH($E127,Cascade!$E:$E,0)))</f>
        <v>947</v>
      </c>
      <c r="G127" s="14" t="str">
        <f>IF(LEFT($B127,4)="_Mil","",INDEX(Cascade!$U:$U,MATCH($E127,Cascade!$E:$E,0)))</f>
        <v/>
      </c>
      <c r="H127" s="88">
        <f>IF(LEFT($B127,4)="_Mil","",INDEX(Cascade!$W:$W,MATCH($E127,Cascade!$E:$E,0)))</f>
        <v>938</v>
      </c>
      <c r="I127" s="14">
        <f>IF(LEFT($B127,4)="_Mil","",INDEX(Cascade!$Z:$Z,MATCH($E127,Cascade!$E:$E,0)))</f>
        <v>1787</v>
      </c>
      <c r="J127" s="90">
        <f>IF(LEFT($B127,4)="_Mil","",INDEX(Cascade!$AA:$AA,MATCH($E127,Cascade!$E:$E,0)))</f>
        <v>1980</v>
      </c>
      <c r="K127" s="42">
        <f>IF(LEFT($B127,4)="_Mil","",_xlfn.IFNA(ROUND(INDEX(Spectrum!$N:$N,MATCH(RIGHT($B127,13)&amp;"|"&amp;$C127&amp;"|"&amp;$D127&amp;"|"&amp;K$14&amp;"|"&amp;"CY2023Q3",Spectrum!$R:$R,0)),0),""))</f>
        <v>1693</v>
      </c>
      <c r="L127" s="42" t="str">
        <f>IF(LEFT($B127,4)="_Mil","",_xlfn.IFNA(ROUND(INDEX(Spectrum!$N:$N,MATCH(RIGHT($B127,13)&amp;"|"&amp;$C127&amp;"|"&amp;$D127&amp;"|"&amp;L$14&amp;"|"&amp;"CY2023Q3",Spectrum!$R:$R,0)),0),""))</f>
        <v/>
      </c>
      <c r="M127" s="42">
        <f>IF(LEFT($B127,4)="_Mil","",_xlfn.IFNA(ROUND(INDEX(Spectrum!$N:$N,MATCH(RIGHT($B127,13)&amp;"|"&amp;$C127&amp;"|"&amp;$D127&amp;"|"&amp;M$14&amp;"|"&amp;"CY2023Q3",Spectrum!$R:$R,0)),0),""))</f>
        <v>619</v>
      </c>
      <c r="N127" s="42">
        <f>IF(LEFT($B127,4)="_Mil","",_xlfn.IFNA(ROUND(INDEX(Spectrum!$N:$N,MATCH(RIGHT($B127,13)&amp;"|"&amp;$C127&amp;"|"&amp;$D127&amp;"|"&amp;N$14&amp;"|"&amp;"CY2023Q3",Spectrum!$R:$R,0)),0),""))</f>
        <v>1328</v>
      </c>
      <c r="O127" s="42">
        <f>IF(LEFT($B127,4)="_Mil","",_xlfn.IFNA(ROUND(INDEX(Spectrum!$N:$N,MATCH(RIGHT($B127,13)&amp;"|"&amp;$C127&amp;"|"&amp;$D127&amp;"|"&amp;O$14&amp;"|"&amp;"CY2023Q3",Spectrum!$R:$R,0)),0),""))</f>
        <v>1320</v>
      </c>
      <c r="P127" s="42">
        <f>IF(LEFT($B127,4)="_Mil","",_xlfn.IFNA(ROUND(INDEX(Spectrum!$N:$N,MATCH(RIGHT($B127,13)&amp;"|"&amp;$C127&amp;"|"&amp;$D127&amp;"|"&amp;P$14&amp;"|"&amp;"CY2023Q3",Spectrum!$R:$R,0)),0),""))</f>
        <v>647</v>
      </c>
      <c r="Q127" s="42" t="str">
        <f>IF(LEFT($B127,4)="_Mil","",_xlfn.IFNA(ROUND(INDEX(Spectrum!$N:$N,MATCH(RIGHT($B127,13)&amp;"|"&amp;$C127&amp;"|"&amp;$D127&amp;"|"&amp;Q$14&amp;"|"&amp;"CY2022Q3",Spectrum!$R:$R,0)),0),""))</f>
        <v/>
      </c>
      <c r="R127" s="14"/>
      <c r="S127" s="90">
        <f>0</f>
        <v>0</v>
      </c>
      <c r="T127" s="42" t="str">
        <f t="shared" si="85"/>
        <v/>
      </c>
      <c r="U127" s="90">
        <f t="shared" si="86"/>
        <v>0</v>
      </c>
      <c r="V127" s="42" t="str">
        <f t="shared" si="87"/>
        <v/>
      </c>
      <c r="W127" s="90"/>
      <c r="X127" s="90">
        <f t="shared" si="88"/>
        <v>0</v>
      </c>
      <c r="Y127" s="90"/>
      <c r="Z127" s="90">
        <f t="shared" si="89"/>
        <v>0</v>
      </c>
      <c r="AA127" s="14" t="str">
        <f t="shared" si="90"/>
        <v/>
      </c>
      <c r="AB127" s="42" t="str">
        <f t="shared" si="91"/>
        <v/>
      </c>
      <c r="AC127" s="42" t="str">
        <f t="shared" si="92"/>
        <v/>
      </c>
      <c r="AD127" s="42" t="str">
        <f t="shared" si="93"/>
        <v/>
      </c>
      <c r="AE127" s="14" t="str">
        <f t="shared" si="94"/>
        <v/>
      </c>
      <c r="AF127" s="42" t="str">
        <f t="shared" si="95"/>
        <v/>
      </c>
      <c r="AG127" s="42" t="str">
        <f t="shared" si="96"/>
        <v/>
      </c>
      <c r="AH127" s="42" t="str">
        <f t="shared" si="97"/>
        <v/>
      </c>
      <c r="AI127" s="90" t="str">
        <f>IF(SUM($AC127)=0,"",INDEX(Cascade!$BG:$BG,MATCH($E127,Cascade!$E:$E,0)))</f>
        <v/>
      </c>
      <c r="AJ127" s="42" t="str">
        <f t="shared" si="98"/>
        <v/>
      </c>
      <c r="AK127" s="42" t="str">
        <f t="shared" si="99"/>
        <v/>
      </c>
      <c r="AL127" s="42" t="str">
        <f t="shared" si="100"/>
        <v/>
      </c>
      <c r="AM127" s="42" t="str">
        <f t="shared" si="101"/>
        <v/>
      </c>
      <c r="AN127" s="42" t="str">
        <f t="shared" si="102"/>
        <v/>
      </c>
      <c r="AO127" s="14" t="str">
        <f t="shared" si="103"/>
        <v/>
      </c>
      <c r="AP127" s="90"/>
      <c r="AQ127" s="90" t="str">
        <f t="shared" si="104"/>
        <v/>
      </c>
      <c r="AR127" s="90" t="str">
        <f>IF(SUM($AO127)=0,"",INDEX(Cascade!$BG:$BG,MATCH($E127,Cascade!$E:$E,0)))</f>
        <v/>
      </c>
      <c r="AS127" s="42" t="str">
        <f t="shared" si="105"/>
        <v/>
      </c>
      <c r="AT127" s="42" t="str">
        <f t="shared" si="106"/>
        <v/>
      </c>
      <c r="AU127" s="14" t="str">
        <f t="shared" si="107"/>
        <v/>
      </c>
      <c r="AV127" s="14" t="str">
        <f t="shared" si="108"/>
        <v/>
      </c>
      <c r="AW127" s="14" t="str">
        <f>IFERROR(1/(1/INDEX(Cascade!$BH:$BH,MATCH($E127,Cascade!$E:$E,0))),"")</f>
        <v/>
      </c>
      <c r="AX127" s="14" t="str">
        <f t="shared" si="109"/>
        <v/>
      </c>
      <c r="AY127" s="14" t="str">
        <f t="shared" si="110"/>
        <v/>
      </c>
      <c r="AZ127" s="14" t="str">
        <f>IFERROR(1/(1/INDEX(TB!$P:$P,MATCH($E127,TB!$E:$E,0))),"")</f>
        <v/>
      </c>
      <c r="BA127" s="14" t="str">
        <f t="shared" si="111"/>
        <v/>
      </c>
    </row>
    <row r="128" spans="1:53" x14ac:dyDescent="0.2">
      <c r="A128" t="str">
        <f>INDEX(Prioritization!$D:$D,MATCH($B128,Prioritization!$A:$A,0))</f>
        <v>INVALID</v>
      </c>
      <c r="B128" t="s">
        <v>215</v>
      </c>
      <c r="C128" t="s">
        <v>366</v>
      </c>
      <c r="D128" t="s">
        <v>29</v>
      </c>
      <c r="E128" t="str">
        <f t="shared" si="84"/>
        <v>Mulanje District [umc2n1Z4wNv]|35-49|Female</v>
      </c>
      <c r="F128" s="14">
        <f>IF(LEFT($B128,4)="_Mil","",INDEX(Cascade!$T:$T,MATCH($E128,Cascade!$E:$E,0)))</f>
        <v>947</v>
      </c>
      <c r="G128" s="14" t="str">
        <f>IF(LEFT($B128,4)="_Mil","",INDEX(Cascade!$U:$U,MATCH($E128,Cascade!$E:$E,0)))</f>
        <v/>
      </c>
      <c r="H128" s="88">
        <f>IF(LEFT($B128,4)="_Mil","",INDEX(Cascade!$W:$W,MATCH($E128,Cascade!$E:$E,0)))</f>
        <v>647</v>
      </c>
      <c r="I128" s="14">
        <f>IF(LEFT($B128,4)="_Mil","",INDEX(Cascade!$Z:$Z,MATCH($E128,Cascade!$E:$E,0)))</f>
        <v>1619</v>
      </c>
      <c r="J128" s="90">
        <f>IF(LEFT($B128,4)="_Mil","",INDEX(Cascade!$AA:$AA,MATCH($E128,Cascade!$E:$E,0)))</f>
        <v>783</v>
      </c>
      <c r="K128" s="42">
        <f>IF(LEFT($B128,4)="_Mil","",_xlfn.IFNA(ROUND(INDEX(Spectrum!$N:$N,MATCH(RIGHT($B128,13)&amp;"|"&amp;$C128&amp;"|"&amp;$D128&amp;"|"&amp;K$14&amp;"|"&amp;"CY2023Q3",Spectrum!$R:$R,0)),0),""))</f>
        <v>649</v>
      </c>
      <c r="L128" s="42" t="str">
        <f>IF(LEFT($B128,4)="_Mil","",_xlfn.IFNA(ROUND(INDEX(Spectrum!$N:$N,MATCH(RIGHT($B128,13)&amp;"|"&amp;$C128&amp;"|"&amp;$D128&amp;"|"&amp;L$14&amp;"|"&amp;"CY2023Q3",Spectrum!$R:$R,0)),0),""))</f>
        <v/>
      </c>
      <c r="M128" s="42">
        <f>IF(LEFT($B128,4)="_Mil","",_xlfn.IFNA(ROUND(INDEX(Spectrum!$N:$N,MATCH(RIGHT($B128,13)&amp;"|"&amp;$C128&amp;"|"&amp;$D128&amp;"|"&amp;M$14&amp;"|"&amp;"CY2023Q3",Spectrum!$R:$R,0)),0),""))</f>
        <v>1318</v>
      </c>
      <c r="N128" s="42">
        <f>IF(LEFT($B128,4)="_Mil","",_xlfn.IFNA(ROUND(INDEX(Spectrum!$N:$N,MATCH(RIGHT($B128,13)&amp;"|"&amp;$C128&amp;"|"&amp;$D128&amp;"|"&amp;N$14&amp;"|"&amp;"CY2023Q3",Spectrum!$R:$R,0)),0),""))</f>
        <v>1616</v>
      </c>
      <c r="O128" s="42">
        <f>IF(LEFT($B128,4)="_Mil","",_xlfn.IFNA(ROUND(INDEX(Spectrum!$N:$N,MATCH(RIGHT($B128,13)&amp;"|"&amp;$C128&amp;"|"&amp;$D128&amp;"|"&amp;O$14&amp;"|"&amp;"CY2023Q3",Spectrum!$R:$R,0)),0),""))</f>
        <v>1237</v>
      </c>
      <c r="P128" s="42">
        <f>IF(LEFT($B128,4)="_Mil","",_xlfn.IFNA(ROUND(INDEX(Spectrum!$N:$N,MATCH(RIGHT($B128,13)&amp;"|"&amp;$C128&amp;"|"&amp;$D128&amp;"|"&amp;P$14&amp;"|"&amp;"CY2023Q3",Spectrum!$R:$R,0)),0),""))</f>
        <v>1526</v>
      </c>
      <c r="Q128" s="42" t="str">
        <f>IF(LEFT($B128,4)="_Mil","",_xlfn.IFNA(ROUND(INDEX(Spectrum!$N:$N,MATCH(RIGHT($B128,13)&amp;"|"&amp;$C128&amp;"|"&amp;$D128&amp;"|"&amp;Q$14&amp;"|"&amp;"CY2022Q3",Spectrum!$R:$R,0)),0),""))</f>
        <v/>
      </c>
      <c r="R128" s="14"/>
      <c r="S128" s="90">
        <f>0</f>
        <v>0</v>
      </c>
      <c r="T128" s="42" t="str">
        <f t="shared" si="85"/>
        <v/>
      </c>
      <c r="U128" s="90">
        <f t="shared" si="86"/>
        <v>0</v>
      </c>
      <c r="V128" s="42" t="str">
        <f t="shared" si="87"/>
        <v/>
      </c>
      <c r="W128" s="90"/>
      <c r="X128" s="90">
        <f t="shared" si="88"/>
        <v>0</v>
      </c>
      <c r="Y128" s="90"/>
      <c r="Z128" s="90">
        <f t="shared" si="89"/>
        <v>0</v>
      </c>
      <c r="AA128" s="14" t="str">
        <f t="shared" si="90"/>
        <v/>
      </c>
      <c r="AB128" s="42" t="str">
        <f t="shared" si="91"/>
        <v/>
      </c>
      <c r="AC128" s="42" t="str">
        <f t="shared" si="92"/>
        <v/>
      </c>
      <c r="AD128" s="42" t="str">
        <f t="shared" si="93"/>
        <v/>
      </c>
      <c r="AE128" s="14" t="str">
        <f t="shared" si="94"/>
        <v/>
      </c>
      <c r="AF128" s="42" t="str">
        <f t="shared" si="95"/>
        <v/>
      </c>
      <c r="AG128" s="42" t="str">
        <f t="shared" si="96"/>
        <v/>
      </c>
      <c r="AH128" s="42" t="str">
        <f t="shared" si="97"/>
        <v/>
      </c>
      <c r="AI128" s="90" t="str">
        <f>IF(SUM($AC128)=0,"",INDEX(Cascade!$BG:$BG,MATCH($E128,Cascade!$E:$E,0)))</f>
        <v/>
      </c>
      <c r="AJ128" s="42" t="str">
        <f t="shared" si="98"/>
        <v/>
      </c>
      <c r="AK128" s="42" t="str">
        <f t="shared" si="99"/>
        <v/>
      </c>
      <c r="AL128" s="42" t="str">
        <f t="shared" si="100"/>
        <v/>
      </c>
      <c r="AM128" s="42" t="str">
        <f t="shared" si="101"/>
        <v/>
      </c>
      <c r="AN128" s="42" t="str">
        <f t="shared" si="102"/>
        <v/>
      </c>
      <c r="AO128" s="14" t="str">
        <f t="shared" si="103"/>
        <v/>
      </c>
      <c r="AP128" s="90"/>
      <c r="AQ128" s="90" t="str">
        <f t="shared" si="104"/>
        <v/>
      </c>
      <c r="AR128" s="90" t="str">
        <f>IF(SUM($AO128)=0,"",INDEX(Cascade!$BG:$BG,MATCH($E128,Cascade!$E:$E,0)))</f>
        <v/>
      </c>
      <c r="AS128" s="42" t="str">
        <f t="shared" si="105"/>
        <v/>
      </c>
      <c r="AT128" s="42" t="str">
        <f t="shared" si="106"/>
        <v/>
      </c>
      <c r="AU128" s="14" t="str">
        <f t="shared" si="107"/>
        <v/>
      </c>
      <c r="AV128" s="14" t="str">
        <f t="shared" si="108"/>
        <v/>
      </c>
      <c r="AW128" s="14" t="str">
        <f>IFERROR(1/(1/INDEX(Cascade!$BH:$BH,MATCH($E128,Cascade!$E:$E,0))),"")</f>
        <v/>
      </c>
      <c r="AX128" s="14" t="str">
        <f t="shared" si="109"/>
        <v/>
      </c>
      <c r="AY128" s="14" t="str">
        <f t="shared" si="110"/>
        <v/>
      </c>
      <c r="AZ128" s="14" t="str">
        <f>IFERROR(1/(1/INDEX(TB!$P:$P,MATCH($E128,TB!$E:$E,0))),"")</f>
        <v/>
      </c>
      <c r="BA128" s="14" t="str">
        <f t="shared" si="111"/>
        <v/>
      </c>
    </row>
    <row r="129" spans="1:53" x14ac:dyDescent="0.2">
      <c r="A129" t="str">
        <f>INDEX(Prioritization!$D:$D,MATCH($B129,Prioritization!$A:$A,0))</f>
        <v>INVALID</v>
      </c>
      <c r="B129" t="s">
        <v>215</v>
      </c>
      <c r="C129" t="s">
        <v>367</v>
      </c>
      <c r="D129" t="s">
        <v>29</v>
      </c>
      <c r="E129" t="str">
        <f t="shared" si="84"/>
        <v>Mulanje District [umc2n1Z4wNv]|50+|Female</v>
      </c>
      <c r="F129" s="14">
        <f>IF(LEFT($B129,4)="_Mil","",INDEX(Cascade!$T:$T,MATCH($E129,Cascade!$E:$E,0)))</f>
        <v>1949</v>
      </c>
      <c r="G129" s="14" t="str">
        <f>IF(LEFT($B129,4)="_Mil","",INDEX(Cascade!$U:$U,MATCH($E129,Cascade!$E:$E,0)))</f>
        <v/>
      </c>
      <c r="H129" s="88">
        <f>IF(LEFT($B129,4)="_Mil","",INDEX(Cascade!$W:$W,MATCH($E129,Cascade!$E:$E,0)))</f>
        <v>1889</v>
      </c>
      <c r="I129" s="14">
        <f>IF(LEFT($B129,4)="_Mil","",INDEX(Cascade!$Z:$Z,MATCH($E129,Cascade!$E:$E,0)))</f>
        <v>1838</v>
      </c>
      <c r="J129" s="90">
        <f>IF(LEFT($B129,4)="_Mil","",INDEX(Cascade!$AA:$AA,MATCH($E129,Cascade!$E:$E,0)))</f>
        <v>1352</v>
      </c>
      <c r="K129" s="42" t="str">
        <f>IF(LEFT($B129,4)="_Mil","",_xlfn.IFNA(ROUND(INDEX(Spectrum!$N:$N,MATCH(RIGHT($B129,13)&amp;"|"&amp;$C129&amp;"|"&amp;$D129&amp;"|"&amp;K$14&amp;"|"&amp;"CY2023Q3",Spectrum!$R:$R,0)),0),""))</f>
        <v/>
      </c>
      <c r="L129" s="42" t="str">
        <f>IF(LEFT($B129,4)="_Mil","",_xlfn.IFNA(ROUND(INDEX(Spectrum!$N:$N,MATCH(RIGHT($B129,13)&amp;"|"&amp;$C129&amp;"|"&amp;$D129&amp;"|"&amp;L$14&amp;"|"&amp;"CY2023Q3",Spectrum!$R:$R,0)),0),""))</f>
        <v/>
      </c>
      <c r="M129" s="42" t="str">
        <f>IF(LEFT($B129,4)="_Mil","",_xlfn.IFNA(ROUND(INDEX(Spectrum!$N:$N,MATCH(RIGHT($B129,13)&amp;"|"&amp;$C129&amp;"|"&amp;$D129&amp;"|"&amp;M$14&amp;"|"&amp;"CY2023Q3",Spectrum!$R:$R,0)),0),""))</f>
        <v/>
      </c>
      <c r="N129" s="42" t="str">
        <f>IF(LEFT($B129,4)="_Mil","",_xlfn.IFNA(ROUND(INDEX(Spectrum!$N:$N,MATCH(RIGHT($B129,13)&amp;"|"&amp;$C129&amp;"|"&amp;$D129&amp;"|"&amp;N$14&amp;"|"&amp;"CY2023Q3",Spectrum!$R:$R,0)),0),""))</f>
        <v/>
      </c>
      <c r="O129" s="42" t="str">
        <f>IF(LEFT($B129,4)="_Mil","",_xlfn.IFNA(ROUND(INDEX(Spectrum!$N:$N,MATCH(RIGHT($B129,13)&amp;"|"&amp;$C129&amp;"|"&amp;$D129&amp;"|"&amp;O$14&amp;"|"&amp;"CY2023Q3",Spectrum!$R:$R,0)),0),""))</f>
        <v/>
      </c>
      <c r="P129" s="42" t="str">
        <f>IF(LEFT($B129,4)="_Mil","",_xlfn.IFNA(ROUND(INDEX(Spectrum!$N:$N,MATCH(RIGHT($B129,13)&amp;"|"&amp;$C129&amp;"|"&amp;$D129&amp;"|"&amp;P$14&amp;"|"&amp;"CY2023Q3",Spectrum!$R:$R,0)),0),""))</f>
        <v/>
      </c>
      <c r="Q129" s="42" t="str">
        <f>IF(LEFT($B129,4)="_Mil","",_xlfn.IFNA(ROUND(INDEX(Spectrum!$N:$N,MATCH(RIGHT($B129,13)&amp;"|"&amp;$C129&amp;"|"&amp;$D129&amp;"|"&amp;Q$14&amp;"|"&amp;"CY2022Q3",Spectrum!$R:$R,0)),0),""))</f>
        <v/>
      </c>
      <c r="R129" s="14"/>
      <c r="S129" s="90">
        <f>0</f>
        <v>0</v>
      </c>
      <c r="T129" s="42" t="str">
        <f t="shared" si="85"/>
        <v/>
      </c>
      <c r="U129" s="90" t="str">
        <f t="shared" si="86"/>
        <v/>
      </c>
      <c r="V129" s="42" t="str">
        <f t="shared" si="87"/>
        <v/>
      </c>
      <c r="W129" s="90"/>
      <c r="X129" s="90" t="str">
        <f t="shared" si="88"/>
        <v/>
      </c>
      <c r="Y129" s="90"/>
      <c r="Z129" s="90" t="str">
        <f t="shared" si="89"/>
        <v/>
      </c>
      <c r="AA129" s="14" t="str">
        <f t="shared" si="90"/>
        <v/>
      </c>
      <c r="AB129" s="42" t="str">
        <f t="shared" si="91"/>
        <v/>
      </c>
      <c r="AC129" s="42" t="str">
        <f t="shared" si="92"/>
        <v/>
      </c>
      <c r="AD129" s="42" t="str">
        <f t="shared" si="93"/>
        <v/>
      </c>
      <c r="AE129" s="14" t="str">
        <f t="shared" si="94"/>
        <v/>
      </c>
      <c r="AF129" s="42" t="str">
        <f t="shared" si="95"/>
        <v/>
      </c>
      <c r="AG129" s="42" t="str">
        <f t="shared" si="96"/>
        <v/>
      </c>
      <c r="AH129" s="42" t="str">
        <f t="shared" si="97"/>
        <v/>
      </c>
      <c r="AI129" s="90" t="str">
        <f>IF(SUM($AC129)=0,"",INDEX(Cascade!$BG:$BG,MATCH($E129,Cascade!$E:$E,0)))</f>
        <v/>
      </c>
      <c r="AJ129" s="42" t="str">
        <f t="shared" si="98"/>
        <v/>
      </c>
      <c r="AK129" s="42" t="str">
        <f t="shared" si="99"/>
        <v/>
      </c>
      <c r="AL129" s="42" t="str">
        <f t="shared" si="100"/>
        <v/>
      </c>
      <c r="AM129" s="42" t="str">
        <f t="shared" si="101"/>
        <v/>
      </c>
      <c r="AN129" s="42" t="str">
        <f t="shared" si="102"/>
        <v/>
      </c>
      <c r="AO129" s="14" t="str">
        <f t="shared" si="103"/>
        <v/>
      </c>
      <c r="AP129" s="90"/>
      <c r="AQ129" s="90" t="str">
        <f t="shared" si="104"/>
        <v/>
      </c>
      <c r="AR129" s="90" t="str">
        <f>IF(SUM($AO129)=0,"",INDEX(Cascade!$BG:$BG,MATCH($E129,Cascade!$E:$E,0)))</f>
        <v/>
      </c>
      <c r="AS129" s="42" t="str">
        <f t="shared" si="105"/>
        <v/>
      </c>
      <c r="AT129" s="42" t="str">
        <f t="shared" si="106"/>
        <v/>
      </c>
      <c r="AU129" s="14" t="str">
        <f t="shared" si="107"/>
        <v/>
      </c>
      <c r="AV129" s="14" t="str">
        <f t="shared" si="108"/>
        <v/>
      </c>
      <c r="AW129" s="14" t="str">
        <f>IFERROR(1/(1/INDEX(Cascade!$BH:$BH,MATCH($E129,Cascade!$E:$E,0))),"")</f>
        <v/>
      </c>
      <c r="AX129" s="14" t="str">
        <f t="shared" si="109"/>
        <v/>
      </c>
      <c r="AY129" s="14" t="str">
        <f t="shared" si="110"/>
        <v/>
      </c>
      <c r="AZ129" s="14" t="str">
        <f>IFERROR(1/(1/INDEX(TB!$P:$P,MATCH($E129,TB!$E:$E,0))),"")</f>
        <v/>
      </c>
      <c r="BA129" s="14" t="str">
        <f t="shared" si="111"/>
        <v/>
      </c>
    </row>
    <row r="130" spans="1:53" x14ac:dyDescent="0.2">
      <c r="A130" t="str">
        <f>INDEX(Prioritization!$D:$D,MATCH($B130,Prioritization!$A:$A,0))</f>
        <v>INVALID</v>
      </c>
      <c r="B130" t="s">
        <v>216</v>
      </c>
      <c r="C130" t="s">
        <v>363</v>
      </c>
      <c r="D130" t="s">
        <v>29</v>
      </c>
      <c r="E130" t="str">
        <f t="shared" si="84"/>
        <v>Mwanza District [wNqJp8oRIcF]|10-14|Female</v>
      </c>
      <c r="F130" s="14">
        <f>IF(LEFT($B130,4)="_Mil","",INDEX(Cascade!$T:$T,MATCH($E130,Cascade!$E:$E,0)))</f>
        <v>842</v>
      </c>
      <c r="G130" s="14" t="str">
        <f>IF(LEFT($B130,4)="_Mil","",INDEX(Cascade!$U:$U,MATCH($E130,Cascade!$E:$E,0)))</f>
        <v/>
      </c>
      <c r="H130" s="88">
        <f>IF(LEFT($B130,4)="_Mil","",INDEX(Cascade!$W:$W,MATCH($E130,Cascade!$E:$E,0)))</f>
        <v>1463</v>
      </c>
      <c r="I130" s="14">
        <f>IF(LEFT($B130,4)="_Mil","",INDEX(Cascade!$Z:$Z,MATCH($E130,Cascade!$E:$E,0)))</f>
        <v>1800</v>
      </c>
      <c r="J130" s="90">
        <f>IF(LEFT($B130,4)="_Mil","",INDEX(Cascade!$AA:$AA,MATCH($E130,Cascade!$E:$E,0)))</f>
        <v>917.99999999999989</v>
      </c>
      <c r="K130" s="42" t="str">
        <f>IF(LEFT($B130,4)="_Mil","",_xlfn.IFNA(ROUND(INDEX(Spectrum!$N:$N,MATCH(RIGHT($B130,13)&amp;"|"&amp;$C130&amp;"|"&amp;$D130&amp;"|"&amp;K$14&amp;"|"&amp;"CY2023Q3",Spectrum!$R:$R,0)),0),""))</f>
        <v/>
      </c>
      <c r="L130" s="42" t="str">
        <f>IF(LEFT($B130,4)="_Mil","",_xlfn.IFNA(ROUND(INDEX(Spectrum!$N:$N,MATCH(RIGHT($B130,13)&amp;"|"&amp;$C130&amp;"|"&amp;$D130&amp;"|"&amp;L$14&amp;"|"&amp;"CY2023Q3",Spectrum!$R:$R,0)),0),""))</f>
        <v/>
      </c>
      <c r="M130" s="42" t="str">
        <f>IF(LEFT($B130,4)="_Mil","",_xlfn.IFNA(ROUND(INDEX(Spectrum!$N:$N,MATCH(RIGHT($B130,13)&amp;"|"&amp;$C130&amp;"|"&amp;$D130&amp;"|"&amp;M$14&amp;"|"&amp;"CY2023Q3",Spectrum!$R:$R,0)),0),""))</f>
        <v/>
      </c>
      <c r="N130" s="42" t="str">
        <f>IF(LEFT($B130,4)="_Mil","",_xlfn.IFNA(ROUND(INDEX(Spectrum!$N:$N,MATCH(RIGHT($B130,13)&amp;"|"&amp;$C130&amp;"|"&amp;$D130&amp;"|"&amp;N$14&amp;"|"&amp;"CY2023Q3",Spectrum!$R:$R,0)),0),""))</f>
        <v/>
      </c>
      <c r="O130" s="42" t="str">
        <f>IF(LEFT($B130,4)="_Mil","",_xlfn.IFNA(ROUND(INDEX(Spectrum!$N:$N,MATCH(RIGHT($B130,13)&amp;"|"&amp;$C130&amp;"|"&amp;$D130&amp;"|"&amp;O$14&amp;"|"&amp;"CY2023Q3",Spectrum!$R:$R,0)),0),""))</f>
        <v/>
      </c>
      <c r="P130" s="42" t="str">
        <f>IF(LEFT($B130,4)="_Mil","",_xlfn.IFNA(ROUND(INDEX(Spectrum!$N:$N,MATCH(RIGHT($B130,13)&amp;"|"&amp;$C130&amp;"|"&amp;$D130&amp;"|"&amp;P$14&amp;"|"&amp;"CY2023Q3",Spectrum!$R:$R,0)),0),""))</f>
        <v/>
      </c>
      <c r="Q130" s="42" t="str">
        <f>IF(LEFT($B130,4)="_Mil","",_xlfn.IFNA(ROUND(INDEX(Spectrum!$N:$N,MATCH(RIGHT($B130,13)&amp;"|"&amp;$C130&amp;"|"&amp;$D130&amp;"|"&amp;Q$14&amp;"|"&amp;"CY2022Q3",Spectrum!$R:$R,0)),0),""))</f>
        <v/>
      </c>
      <c r="R130" s="14">
        <v>1</v>
      </c>
      <c r="S130" s="90">
        <f>0</f>
        <v>0</v>
      </c>
      <c r="T130" s="42">
        <f t="shared" si="85"/>
        <v>1</v>
      </c>
      <c r="U130" s="90">
        <f t="shared" si="86"/>
        <v>1</v>
      </c>
      <c r="V130" s="42">
        <f t="shared" si="87"/>
        <v>1</v>
      </c>
      <c r="W130" s="90"/>
      <c r="X130" s="90" t="str">
        <f t="shared" si="88"/>
        <v/>
      </c>
      <c r="Y130" s="90"/>
      <c r="Z130" s="90" t="str">
        <f t="shared" si="89"/>
        <v/>
      </c>
      <c r="AA130" s="14">
        <f t="shared" si="90"/>
        <v>1</v>
      </c>
      <c r="AB130" s="42" t="str">
        <f t="shared" si="91"/>
        <v>ENTER KNOWN POSITIVITY RATE</v>
      </c>
      <c r="AC130" s="42" t="str">
        <f t="shared" si="92"/>
        <v>ENTER YIELD RATE</v>
      </c>
      <c r="AD130" s="42">
        <f t="shared" si="93"/>
        <v>1</v>
      </c>
      <c r="AE130" s="14">
        <f t="shared" si="94"/>
        <v>1</v>
      </c>
      <c r="AF130" s="42">
        <f t="shared" si="95"/>
        <v>0</v>
      </c>
      <c r="AG130" s="42">
        <f t="shared" si="96"/>
        <v>0</v>
      </c>
      <c r="AH130" s="42">
        <f t="shared" si="97"/>
        <v>1</v>
      </c>
      <c r="AI130" s="90" t="str">
        <f>IF(SUM($AC130)=0,"",INDEX(Cascade!$BG:$BG,MATCH($E130,Cascade!$E:$E,0)))</f>
        <v/>
      </c>
      <c r="AJ130" s="42" t="str">
        <f t="shared" si="98"/>
        <v>ENTER KNOWN POSITIVITY RATE</v>
      </c>
      <c r="AK130" s="42" t="str">
        <f t="shared" si="99"/>
        <v/>
      </c>
      <c r="AL130" s="42" t="str">
        <f t="shared" si="100"/>
        <v/>
      </c>
      <c r="AM130" s="42">
        <f t="shared" si="101"/>
        <v>0</v>
      </c>
      <c r="AN130" s="42" t="str">
        <f t="shared" si="102"/>
        <v/>
      </c>
      <c r="AO130" s="14">
        <f t="shared" si="103"/>
        <v>1</v>
      </c>
      <c r="AP130" s="90"/>
      <c r="AQ130" s="90" t="str">
        <f t="shared" si="104"/>
        <v/>
      </c>
      <c r="AR130" s="90">
        <f>IF(SUM($AO130)=0,"",INDEX(Cascade!$BG:$BG,MATCH($E130,Cascade!$E:$E,0)))</f>
        <v>0.95</v>
      </c>
      <c r="AS130" s="42" t="str">
        <f t="shared" si="105"/>
        <v>ENTER YIELD RATE</v>
      </c>
      <c r="AT130" s="42">
        <f t="shared" si="106"/>
        <v>1</v>
      </c>
      <c r="AU130" s="14" t="str">
        <f t="shared" si="107"/>
        <v/>
      </c>
      <c r="AV130" s="14" t="str">
        <f t="shared" si="108"/>
        <v/>
      </c>
      <c r="AW130" s="14">
        <f>IFERROR(1/(1/INDEX(Cascade!$BH:$BH,MATCH($E130,Cascade!$E:$E,0))),"")</f>
        <v>-8</v>
      </c>
      <c r="AX130" s="14" t="str">
        <f t="shared" si="109"/>
        <v/>
      </c>
      <c r="AY130" s="14" t="str">
        <f t="shared" si="110"/>
        <v/>
      </c>
      <c r="AZ130" s="14" t="str">
        <f>IFERROR(1/(1/INDEX(TB!$P:$P,MATCH($E130,TB!$E:$E,0))),"")</f>
        <v/>
      </c>
      <c r="BA130" s="14">
        <f t="shared" si="111"/>
        <v>-8</v>
      </c>
    </row>
    <row r="131" spans="1:53" x14ac:dyDescent="0.2">
      <c r="A131" t="str">
        <f>INDEX(Prioritization!$D:$D,MATCH($B131,Prioritization!$A:$A,0))</f>
        <v>INVALID</v>
      </c>
      <c r="B131" t="s">
        <v>216</v>
      </c>
      <c r="C131" t="s">
        <v>364</v>
      </c>
      <c r="D131" t="s">
        <v>29</v>
      </c>
      <c r="E131" t="str">
        <f t="shared" si="84"/>
        <v>Mwanza District [wNqJp8oRIcF]|15-24|Female</v>
      </c>
      <c r="F131" s="14">
        <f>IF(LEFT($B131,4)="_Mil","",INDEX(Cascade!$T:$T,MATCH($E131,Cascade!$E:$E,0)))</f>
        <v>1256</v>
      </c>
      <c r="G131" s="14" t="str">
        <f>IF(LEFT($B131,4)="_Mil","",INDEX(Cascade!$U:$U,MATCH($E131,Cascade!$E:$E,0)))</f>
        <v/>
      </c>
      <c r="H131" s="88">
        <f>IF(LEFT($B131,4)="_Mil","",INDEX(Cascade!$W:$W,MATCH($E131,Cascade!$E:$E,0)))</f>
        <v>1690</v>
      </c>
      <c r="I131" s="14">
        <f>IF(LEFT($B131,4)="_Mil","",INDEX(Cascade!$Z:$Z,MATCH($E131,Cascade!$E:$E,0)))</f>
        <v>757</v>
      </c>
      <c r="J131" s="90">
        <f>IF(LEFT($B131,4)="_Mil","",INDEX(Cascade!$AA:$AA,MATCH($E131,Cascade!$E:$E,0)))</f>
        <v>1427</v>
      </c>
      <c r="K131" s="42">
        <f>IF(LEFT($B131,4)="_Mil","",_xlfn.IFNA(ROUND(INDEX(Spectrum!$N:$N,MATCH(RIGHT($B131,13)&amp;"|"&amp;$C131&amp;"|"&amp;$D131&amp;"|"&amp;K$14&amp;"|"&amp;"CY2023Q3",Spectrum!$R:$R,0)),0),""))</f>
        <v>838</v>
      </c>
      <c r="L131" s="42" t="str">
        <f>IF(LEFT($B131,4)="_Mil","",_xlfn.IFNA(ROUND(INDEX(Spectrum!$N:$N,MATCH(RIGHT($B131,13)&amp;"|"&amp;$C131&amp;"|"&amp;$D131&amp;"|"&amp;L$14&amp;"|"&amp;"CY2023Q3",Spectrum!$R:$R,0)),0),""))</f>
        <v/>
      </c>
      <c r="M131" s="42">
        <f>IF(LEFT($B131,4)="_Mil","",_xlfn.IFNA(ROUND(INDEX(Spectrum!$N:$N,MATCH(RIGHT($B131,13)&amp;"|"&amp;$C131&amp;"|"&amp;$D131&amp;"|"&amp;M$14&amp;"|"&amp;"CY2023Q3",Spectrum!$R:$R,0)),0),""))</f>
        <v>503</v>
      </c>
      <c r="N131" s="42">
        <f>IF(LEFT($B131,4)="_Mil","",_xlfn.IFNA(ROUND(INDEX(Spectrum!$N:$N,MATCH(RIGHT($B131,13)&amp;"|"&amp;$C131&amp;"|"&amp;$D131&amp;"|"&amp;N$14&amp;"|"&amp;"CY2023Q3",Spectrum!$R:$R,0)),0),""))</f>
        <v>1321</v>
      </c>
      <c r="O131" s="42">
        <f>IF(LEFT($B131,4)="_Mil","",_xlfn.IFNA(ROUND(INDEX(Spectrum!$N:$N,MATCH(RIGHT($B131,13)&amp;"|"&amp;$C131&amp;"|"&amp;$D131&amp;"|"&amp;O$14&amp;"|"&amp;"CY2023Q3",Spectrum!$R:$R,0)),0),""))</f>
        <v>1203</v>
      </c>
      <c r="P131" s="42">
        <f>IF(LEFT($B131,4)="_Mil","",_xlfn.IFNA(ROUND(INDEX(Spectrum!$N:$N,MATCH(RIGHT($B131,13)&amp;"|"&amp;$C131&amp;"|"&amp;$D131&amp;"|"&amp;P$14&amp;"|"&amp;"CY2023Q3",Spectrum!$R:$R,0)),0),""))</f>
        <v>1626</v>
      </c>
      <c r="Q131" s="42" t="str">
        <f>IF(LEFT($B131,4)="_Mil","",_xlfn.IFNA(ROUND(INDEX(Spectrum!$N:$N,MATCH(RIGHT($B131,13)&amp;"|"&amp;$C131&amp;"|"&amp;$D131&amp;"|"&amp;Q$14&amp;"|"&amp;"CY2022Q3",Spectrum!$R:$R,0)),0),""))</f>
        <v/>
      </c>
      <c r="R131" s="14"/>
      <c r="S131" s="90">
        <f>0</f>
        <v>0</v>
      </c>
      <c r="T131" s="42" t="str">
        <f t="shared" si="85"/>
        <v/>
      </c>
      <c r="U131" s="90">
        <f t="shared" si="86"/>
        <v>0</v>
      </c>
      <c r="V131" s="42" t="str">
        <f t="shared" si="87"/>
        <v/>
      </c>
      <c r="W131" s="90"/>
      <c r="X131" s="90">
        <f t="shared" si="88"/>
        <v>0</v>
      </c>
      <c r="Y131" s="90"/>
      <c r="Z131" s="90">
        <f t="shared" si="89"/>
        <v>0</v>
      </c>
      <c r="AA131" s="14" t="str">
        <f t="shared" si="90"/>
        <v/>
      </c>
      <c r="AB131" s="42" t="str">
        <f t="shared" si="91"/>
        <v/>
      </c>
      <c r="AC131" s="42" t="str">
        <f t="shared" si="92"/>
        <v/>
      </c>
      <c r="AD131" s="42" t="str">
        <f t="shared" si="93"/>
        <v/>
      </c>
      <c r="AE131" s="14" t="str">
        <f t="shared" si="94"/>
        <v/>
      </c>
      <c r="AF131" s="42" t="str">
        <f t="shared" si="95"/>
        <v/>
      </c>
      <c r="AG131" s="42" t="str">
        <f t="shared" si="96"/>
        <v/>
      </c>
      <c r="AH131" s="42" t="str">
        <f t="shared" si="97"/>
        <v/>
      </c>
      <c r="AI131" s="90" t="str">
        <f>IF(SUM($AC131)=0,"",INDEX(Cascade!$BG:$BG,MATCH($E131,Cascade!$E:$E,0)))</f>
        <v/>
      </c>
      <c r="AJ131" s="42" t="str">
        <f t="shared" si="98"/>
        <v/>
      </c>
      <c r="AK131" s="42" t="str">
        <f t="shared" si="99"/>
        <v/>
      </c>
      <c r="AL131" s="42" t="str">
        <f t="shared" si="100"/>
        <v/>
      </c>
      <c r="AM131" s="42" t="str">
        <f t="shared" si="101"/>
        <v/>
      </c>
      <c r="AN131" s="42" t="str">
        <f t="shared" si="102"/>
        <v/>
      </c>
      <c r="AO131" s="14" t="str">
        <f t="shared" si="103"/>
        <v/>
      </c>
      <c r="AP131" s="90"/>
      <c r="AQ131" s="90" t="str">
        <f t="shared" si="104"/>
        <v/>
      </c>
      <c r="AR131" s="90" t="str">
        <f>IF(SUM($AO131)=0,"",INDEX(Cascade!$BG:$BG,MATCH($E131,Cascade!$E:$E,0)))</f>
        <v/>
      </c>
      <c r="AS131" s="42" t="str">
        <f t="shared" si="105"/>
        <v/>
      </c>
      <c r="AT131" s="42" t="str">
        <f t="shared" si="106"/>
        <v/>
      </c>
      <c r="AU131" s="14" t="str">
        <f t="shared" si="107"/>
        <v/>
      </c>
      <c r="AV131" s="14" t="str">
        <f t="shared" si="108"/>
        <v/>
      </c>
      <c r="AW131" s="14" t="str">
        <f>IFERROR(1/(1/INDEX(Cascade!$BH:$BH,MATCH($E131,Cascade!$E:$E,0))),"")</f>
        <v/>
      </c>
      <c r="AX131" s="14" t="str">
        <f t="shared" si="109"/>
        <v/>
      </c>
      <c r="AY131" s="14" t="str">
        <f t="shared" si="110"/>
        <v/>
      </c>
      <c r="AZ131" s="14" t="str">
        <f>IFERROR(1/(1/INDEX(TB!$P:$P,MATCH($E131,TB!$E:$E,0))),"")</f>
        <v/>
      </c>
      <c r="BA131" s="14" t="str">
        <f t="shared" si="111"/>
        <v/>
      </c>
    </row>
    <row r="132" spans="1:53" x14ac:dyDescent="0.2">
      <c r="A132" t="str">
        <f>INDEX(Prioritization!$D:$D,MATCH($B132,Prioritization!$A:$A,0))</f>
        <v>INVALID</v>
      </c>
      <c r="B132" t="s">
        <v>216</v>
      </c>
      <c r="C132" t="s">
        <v>365</v>
      </c>
      <c r="D132" t="s">
        <v>29</v>
      </c>
      <c r="E132" t="str">
        <f t="shared" si="84"/>
        <v>Mwanza District [wNqJp8oRIcF]|25-34|Female</v>
      </c>
      <c r="F132" s="14">
        <f>IF(LEFT($B132,4)="_Mil","",INDEX(Cascade!$T:$T,MATCH($E132,Cascade!$E:$E,0)))</f>
        <v>619</v>
      </c>
      <c r="G132" s="14" t="str">
        <f>IF(LEFT($B132,4)="_Mil","",INDEX(Cascade!$U:$U,MATCH($E132,Cascade!$E:$E,0)))</f>
        <v/>
      </c>
      <c r="H132" s="88">
        <f>IF(LEFT($B132,4)="_Mil","",INDEX(Cascade!$W:$W,MATCH($E132,Cascade!$E:$E,0)))</f>
        <v>1468</v>
      </c>
      <c r="I132" s="14">
        <f>IF(LEFT($B132,4)="_Mil","",INDEX(Cascade!$Z:$Z,MATCH($E132,Cascade!$E:$E,0)))</f>
        <v>623</v>
      </c>
      <c r="J132" s="90">
        <f>IF(LEFT($B132,4)="_Mil","",INDEX(Cascade!$AA:$AA,MATCH($E132,Cascade!$E:$E,0)))</f>
        <v>935</v>
      </c>
      <c r="K132" s="42">
        <f>IF(LEFT($B132,4)="_Mil","",_xlfn.IFNA(ROUND(INDEX(Spectrum!$N:$N,MATCH(RIGHT($B132,13)&amp;"|"&amp;$C132&amp;"|"&amp;$D132&amp;"|"&amp;K$14&amp;"|"&amp;"CY2023Q3",Spectrum!$R:$R,0)),0),""))</f>
        <v>984</v>
      </c>
      <c r="L132" s="42" t="str">
        <f>IF(LEFT($B132,4)="_Mil","",_xlfn.IFNA(ROUND(INDEX(Spectrum!$N:$N,MATCH(RIGHT($B132,13)&amp;"|"&amp;$C132&amp;"|"&amp;$D132&amp;"|"&amp;L$14&amp;"|"&amp;"CY2023Q3",Spectrum!$R:$R,0)),0),""))</f>
        <v/>
      </c>
      <c r="M132" s="42">
        <f>IF(LEFT($B132,4)="_Mil","",_xlfn.IFNA(ROUND(INDEX(Spectrum!$N:$N,MATCH(RIGHT($B132,13)&amp;"|"&amp;$C132&amp;"|"&amp;$D132&amp;"|"&amp;M$14&amp;"|"&amp;"CY2023Q3",Spectrum!$R:$R,0)),0),""))</f>
        <v>751</v>
      </c>
      <c r="N132" s="42">
        <f>IF(LEFT($B132,4)="_Mil","",_xlfn.IFNA(ROUND(INDEX(Spectrum!$N:$N,MATCH(RIGHT($B132,13)&amp;"|"&amp;$C132&amp;"|"&amp;$D132&amp;"|"&amp;N$14&amp;"|"&amp;"CY2023Q3",Spectrum!$R:$R,0)),0),""))</f>
        <v>1390</v>
      </c>
      <c r="O132" s="42">
        <f>IF(LEFT($B132,4)="_Mil","",_xlfn.IFNA(ROUND(INDEX(Spectrum!$N:$N,MATCH(RIGHT($B132,13)&amp;"|"&amp;$C132&amp;"|"&amp;$D132&amp;"|"&amp;O$14&amp;"|"&amp;"CY2023Q3",Spectrum!$R:$R,0)),0),""))</f>
        <v>1608</v>
      </c>
      <c r="P132" s="42">
        <f>IF(LEFT($B132,4)="_Mil","",_xlfn.IFNA(ROUND(INDEX(Spectrum!$N:$N,MATCH(RIGHT($B132,13)&amp;"|"&amp;$C132&amp;"|"&amp;$D132&amp;"|"&amp;P$14&amp;"|"&amp;"CY2023Q3",Spectrum!$R:$R,0)),0),""))</f>
        <v>1913</v>
      </c>
      <c r="Q132" s="42" t="str">
        <f>IF(LEFT($B132,4)="_Mil","",_xlfn.IFNA(ROUND(INDEX(Spectrum!$N:$N,MATCH(RIGHT($B132,13)&amp;"|"&amp;$C132&amp;"|"&amp;$D132&amp;"|"&amp;Q$14&amp;"|"&amp;"CY2022Q3",Spectrum!$R:$R,0)),0),""))</f>
        <v/>
      </c>
      <c r="R132" s="14"/>
      <c r="S132" s="90">
        <f>0</f>
        <v>0</v>
      </c>
      <c r="T132" s="42" t="str">
        <f t="shared" si="85"/>
        <v/>
      </c>
      <c r="U132" s="90">
        <f t="shared" si="86"/>
        <v>0</v>
      </c>
      <c r="V132" s="42" t="str">
        <f t="shared" si="87"/>
        <v/>
      </c>
      <c r="W132" s="90"/>
      <c r="X132" s="90">
        <f t="shared" si="88"/>
        <v>0</v>
      </c>
      <c r="Y132" s="90"/>
      <c r="Z132" s="90">
        <f t="shared" si="89"/>
        <v>0</v>
      </c>
      <c r="AA132" s="14" t="str">
        <f t="shared" si="90"/>
        <v/>
      </c>
      <c r="AB132" s="42" t="str">
        <f t="shared" si="91"/>
        <v/>
      </c>
      <c r="AC132" s="42" t="str">
        <f t="shared" si="92"/>
        <v/>
      </c>
      <c r="AD132" s="42" t="str">
        <f t="shared" si="93"/>
        <v/>
      </c>
      <c r="AE132" s="14" t="str">
        <f t="shared" si="94"/>
        <v/>
      </c>
      <c r="AF132" s="42" t="str">
        <f t="shared" si="95"/>
        <v/>
      </c>
      <c r="AG132" s="42" t="str">
        <f t="shared" si="96"/>
        <v/>
      </c>
      <c r="AH132" s="42" t="str">
        <f t="shared" si="97"/>
        <v/>
      </c>
      <c r="AI132" s="90" t="str">
        <f>IF(SUM($AC132)=0,"",INDEX(Cascade!$BG:$BG,MATCH($E132,Cascade!$E:$E,0)))</f>
        <v/>
      </c>
      <c r="AJ132" s="42" t="str">
        <f t="shared" si="98"/>
        <v/>
      </c>
      <c r="AK132" s="42" t="str">
        <f t="shared" si="99"/>
        <v/>
      </c>
      <c r="AL132" s="42" t="str">
        <f t="shared" si="100"/>
        <v/>
      </c>
      <c r="AM132" s="42" t="str">
        <f t="shared" si="101"/>
        <v/>
      </c>
      <c r="AN132" s="42" t="str">
        <f t="shared" si="102"/>
        <v/>
      </c>
      <c r="AO132" s="14" t="str">
        <f t="shared" si="103"/>
        <v/>
      </c>
      <c r="AP132" s="90"/>
      <c r="AQ132" s="90" t="str">
        <f t="shared" si="104"/>
        <v/>
      </c>
      <c r="AR132" s="90" t="str">
        <f>IF(SUM($AO132)=0,"",INDEX(Cascade!$BG:$BG,MATCH($E132,Cascade!$E:$E,0)))</f>
        <v/>
      </c>
      <c r="AS132" s="42" t="str">
        <f t="shared" si="105"/>
        <v/>
      </c>
      <c r="AT132" s="42" t="str">
        <f t="shared" si="106"/>
        <v/>
      </c>
      <c r="AU132" s="14" t="str">
        <f t="shared" si="107"/>
        <v/>
      </c>
      <c r="AV132" s="14" t="str">
        <f t="shared" si="108"/>
        <v/>
      </c>
      <c r="AW132" s="14" t="str">
        <f>IFERROR(1/(1/INDEX(Cascade!$BH:$BH,MATCH($E132,Cascade!$E:$E,0))),"")</f>
        <v/>
      </c>
      <c r="AX132" s="14" t="str">
        <f t="shared" si="109"/>
        <v/>
      </c>
      <c r="AY132" s="14" t="str">
        <f t="shared" si="110"/>
        <v/>
      </c>
      <c r="AZ132" s="14" t="str">
        <f>IFERROR(1/(1/INDEX(TB!$P:$P,MATCH($E132,TB!$E:$E,0))),"")</f>
        <v/>
      </c>
      <c r="BA132" s="14" t="str">
        <f t="shared" si="111"/>
        <v/>
      </c>
    </row>
    <row r="133" spans="1:53" x14ac:dyDescent="0.2">
      <c r="A133" t="str">
        <f>INDEX(Prioritization!$D:$D,MATCH($B133,Prioritization!$A:$A,0))</f>
        <v>INVALID</v>
      </c>
      <c r="B133" t="s">
        <v>216</v>
      </c>
      <c r="C133" t="s">
        <v>366</v>
      </c>
      <c r="D133" t="s">
        <v>29</v>
      </c>
      <c r="E133" t="str">
        <f t="shared" si="84"/>
        <v>Mwanza District [wNqJp8oRIcF]|35-49|Female</v>
      </c>
      <c r="F133" s="14">
        <f>IF(LEFT($B133,4)="_Mil","",INDEX(Cascade!$T:$T,MATCH($E133,Cascade!$E:$E,0)))</f>
        <v>1684</v>
      </c>
      <c r="G133" s="14" t="str">
        <f>IF(LEFT($B133,4)="_Mil","",INDEX(Cascade!$U:$U,MATCH($E133,Cascade!$E:$E,0)))</f>
        <v/>
      </c>
      <c r="H133" s="88">
        <f>IF(LEFT($B133,4)="_Mil","",INDEX(Cascade!$W:$W,MATCH($E133,Cascade!$E:$E,0)))</f>
        <v>1421</v>
      </c>
      <c r="I133" s="14">
        <f>IF(LEFT($B133,4)="_Mil","",INDEX(Cascade!$Z:$Z,MATCH($E133,Cascade!$E:$E,0)))</f>
        <v>1975</v>
      </c>
      <c r="J133" s="90">
        <f>IF(LEFT($B133,4)="_Mil","",INDEX(Cascade!$AA:$AA,MATCH($E133,Cascade!$E:$E,0)))</f>
        <v>1672</v>
      </c>
      <c r="K133" s="42">
        <f>IF(LEFT($B133,4)="_Mil","",_xlfn.IFNA(ROUND(INDEX(Spectrum!$N:$N,MATCH(RIGHT($B133,13)&amp;"|"&amp;$C133&amp;"|"&amp;$D133&amp;"|"&amp;K$14&amp;"|"&amp;"CY2023Q3",Spectrum!$R:$R,0)),0),""))</f>
        <v>1154</v>
      </c>
      <c r="L133" s="42" t="str">
        <f>IF(LEFT($B133,4)="_Mil","",_xlfn.IFNA(ROUND(INDEX(Spectrum!$N:$N,MATCH(RIGHT($B133,13)&amp;"|"&amp;$C133&amp;"|"&amp;$D133&amp;"|"&amp;L$14&amp;"|"&amp;"CY2023Q3",Spectrum!$R:$R,0)),0),""))</f>
        <v/>
      </c>
      <c r="M133" s="42">
        <f>IF(LEFT($B133,4)="_Mil","",_xlfn.IFNA(ROUND(INDEX(Spectrum!$N:$N,MATCH(RIGHT($B133,13)&amp;"|"&amp;$C133&amp;"|"&amp;$D133&amp;"|"&amp;M$14&amp;"|"&amp;"CY2023Q3",Spectrum!$R:$R,0)),0),""))</f>
        <v>1064</v>
      </c>
      <c r="N133" s="42">
        <f>IF(LEFT($B133,4)="_Mil","",_xlfn.IFNA(ROUND(INDEX(Spectrum!$N:$N,MATCH(RIGHT($B133,13)&amp;"|"&amp;$C133&amp;"|"&amp;$D133&amp;"|"&amp;N$14&amp;"|"&amp;"CY2023Q3",Spectrum!$R:$R,0)),0),""))</f>
        <v>1955</v>
      </c>
      <c r="O133" s="42">
        <f>IF(LEFT($B133,4)="_Mil","",_xlfn.IFNA(ROUND(INDEX(Spectrum!$N:$N,MATCH(RIGHT($B133,13)&amp;"|"&amp;$C133&amp;"|"&amp;$D133&amp;"|"&amp;O$14&amp;"|"&amp;"CY2023Q3",Spectrum!$R:$R,0)),0),""))</f>
        <v>1943</v>
      </c>
      <c r="P133" s="42">
        <f>IF(LEFT($B133,4)="_Mil","",_xlfn.IFNA(ROUND(INDEX(Spectrum!$N:$N,MATCH(RIGHT($B133,13)&amp;"|"&amp;$C133&amp;"|"&amp;$D133&amp;"|"&amp;P$14&amp;"|"&amp;"CY2023Q3",Spectrum!$R:$R,0)),0),""))</f>
        <v>1752</v>
      </c>
      <c r="Q133" s="42" t="str">
        <f>IF(LEFT($B133,4)="_Mil","",_xlfn.IFNA(ROUND(INDEX(Spectrum!$N:$N,MATCH(RIGHT($B133,13)&amp;"|"&amp;$C133&amp;"|"&amp;$D133&amp;"|"&amp;Q$14&amp;"|"&amp;"CY2022Q3",Spectrum!$R:$R,0)),0),""))</f>
        <v/>
      </c>
      <c r="R133" s="14"/>
      <c r="S133" s="90">
        <f>0</f>
        <v>0</v>
      </c>
      <c r="T133" s="42" t="str">
        <f t="shared" si="85"/>
        <v/>
      </c>
      <c r="U133" s="90">
        <f t="shared" si="86"/>
        <v>0</v>
      </c>
      <c r="V133" s="42" t="str">
        <f t="shared" si="87"/>
        <v/>
      </c>
      <c r="W133" s="90"/>
      <c r="X133" s="90">
        <f t="shared" si="88"/>
        <v>0</v>
      </c>
      <c r="Y133" s="90"/>
      <c r="Z133" s="90">
        <f t="shared" si="89"/>
        <v>0</v>
      </c>
      <c r="AA133" s="14" t="str">
        <f t="shared" si="90"/>
        <v/>
      </c>
      <c r="AB133" s="42" t="str">
        <f t="shared" si="91"/>
        <v/>
      </c>
      <c r="AC133" s="42" t="str">
        <f t="shared" si="92"/>
        <v/>
      </c>
      <c r="AD133" s="42" t="str">
        <f t="shared" si="93"/>
        <v/>
      </c>
      <c r="AE133" s="14" t="str">
        <f t="shared" si="94"/>
        <v/>
      </c>
      <c r="AF133" s="42" t="str">
        <f t="shared" si="95"/>
        <v/>
      </c>
      <c r="AG133" s="42" t="str">
        <f t="shared" si="96"/>
        <v/>
      </c>
      <c r="AH133" s="42" t="str">
        <f t="shared" si="97"/>
        <v/>
      </c>
      <c r="AI133" s="90" t="str">
        <f>IF(SUM($AC133)=0,"",INDEX(Cascade!$BG:$BG,MATCH($E133,Cascade!$E:$E,0)))</f>
        <v/>
      </c>
      <c r="AJ133" s="42" t="str">
        <f t="shared" si="98"/>
        <v/>
      </c>
      <c r="AK133" s="42" t="str">
        <f t="shared" si="99"/>
        <v/>
      </c>
      <c r="AL133" s="42" t="str">
        <f t="shared" si="100"/>
        <v/>
      </c>
      <c r="AM133" s="42" t="str">
        <f t="shared" si="101"/>
        <v/>
      </c>
      <c r="AN133" s="42" t="str">
        <f t="shared" si="102"/>
        <v/>
      </c>
      <c r="AO133" s="14" t="str">
        <f t="shared" si="103"/>
        <v/>
      </c>
      <c r="AP133" s="90"/>
      <c r="AQ133" s="90" t="str">
        <f t="shared" si="104"/>
        <v/>
      </c>
      <c r="AR133" s="90" t="str">
        <f>IF(SUM($AO133)=0,"",INDEX(Cascade!$BG:$BG,MATCH($E133,Cascade!$E:$E,0)))</f>
        <v/>
      </c>
      <c r="AS133" s="42" t="str">
        <f t="shared" si="105"/>
        <v/>
      </c>
      <c r="AT133" s="42" t="str">
        <f t="shared" si="106"/>
        <v/>
      </c>
      <c r="AU133" s="14" t="str">
        <f t="shared" si="107"/>
        <v/>
      </c>
      <c r="AV133" s="14" t="str">
        <f t="shared" si="108"/>
        <v/>
      </c>
      <c r="AW133" s="14" t="str">
        <f>IFERROR(1/(1/INDEX(Cascade!$BH:$BH,MATCH($E133,Cascade!$E:$E,0))),"")</f>
        <v/>
      </c>
      <c r="AX133" s="14" t="str">
        <f t="shared" si="109"/>
        <v/>
      </c>
      <c r="AY133" s="14" t="str">
        <f t="shared" si="110"/>
        <v/>
      </c>
      <c r="AZ133" s="14" t="str">
        <f>IFERROR(1/(1/INDEX(TB!$P:$P,MATCH($E133,TB!$E:$E,0))),"")</f>
        <v/>
      </c>
      <c r="BA133" s="14" t="str">
        <f t="shared" si="111"/>
        <v/>
      </c>
    </row>
    <row r="134" spans="1:53" x14ac:dyDescent="0.2">
      <c r="A134" t="str">
        <f>INDEX(Prioritization!$D:$D,MATCH($B134,Prioritization!$A:$A,0))</f>
        <v>INVALID</v>
      </c>
      <c r="B134" t="s">
        <v>216</v>
      </c>
      <c r="C134" t="s">
        <v>367</v>
      </c>
      <c r="D134" t="s">
        <v>29</v>
      </c>
      <c r="E134" t="str">
        <f t="shared" si="84"/>
        <v>Mwanza District [wNqJp8oRIcF]|50+|Female</v>
      </c>
      <c r="F134" s="14">
        <f>IF(LEFT($B134,4)="_Mil","",INDEX(Cascade!$T:$T,MATCH($E134,Cascade!$E:$E,0)))</f>
        <v>662</v>
      </c>
      <c r="G134" s="14" t="str">
        <f>IF(LEFT($B134,4)="_Mil","",INDEX(Cascade!$U:$U,MATCH($E134,Cascade!$E:$E,0)))</f>
        <v/>
      </c>
      <c r="H134" s="88">
        <f>IF(LEFT($B134,4)="_Mil","",INDEX(Cascade!$W:$W,MATCH($E134,Cascade!$E:$E,0)))</f>
        <v>1975</v>
      </c>
      <c r="I134" s="14">
        <f>IF(LEFT($B134,4)="_Mil","",INDEX(Cascade!$Z:$Z,MATCH($E134,Cascade!$E:$E,0)))</f>
        <v>1948</v>
      </c>
      <c r="J134" s="90">
        <f>IF(LEFT($B134,4)="_Mil","",INDEX(Cascade!$AA:$AA,MATCH($E134,Cascade!$E:$E,0)))</f>
        <v>1191</v>
      </c>
      <c r="K134" s="42" t="str">
        <f>IF(LEFT($B134,4)="_Mil","",_xlfn.IFNA(ROUND(INDEX(Spectrum!$N:$N,MATCH(RIGHT($B134,13)&amp;"|"&amp;$C134&amp;"|"&amp;$D134&amp;"|"&amp;K$14&amp;"|"&amp;"CY2023Q3",Spectrum!$R:$R,0)),0),""))</f>
        <v/>
      </c>
      <c r="L134" s="42" t="str">
        <f>IF(LEFT($B134,4)="_Mil","",_xlfn.IFNA(ROUND(INDEX(Spectrum!$N:$N,MATCH(RIGHT($B134,13)&amp;"|"&amp;$C134&amp;"|"&amp;$D134&amp;"|"&amp;L$14&amp;"|"&amp;"CY2023Q3",Spectrum!$R:$R,0)),0),""))</f>
        <v/>
      </c>
      <c r="M134" s="42" t="str">
        <f>IF(LEFT($B134,4)="_Mil","",_xlfn.IFNA(ROUND(INDEX(Spectrum!$N:$N,MATCH(RIGHT($B134,13)&amp;"|"&amp;$C134&amp;"|"&amp;$D134&amp;"|"&amp;M$14&amp;"|"&amp;"CY2023Q3",Spectrum!$R:$R,0)),0),""))</f>
        <v/>
      </c>
      <c r="N134" s="42" t="str">
        <f>IF(LEFT($B134,4)="_Mil","",_xlfn.IFNA(ROUND(INDEX(Spectrum!$N:$N,MATCH(RIGHT($B134,13)&amp;"|"&amp;$C134&amp;"|"&amp;$D134&amp;"|"&amp;N$14&amp;"|"&amp;"CY2023Q3",Spectrum!$R:$R,0)),0),""))</f>
        <v/>
      </c>
      <c r="O134" s="42" t="str">
        <f>IF(LEFT($B134,4)="_Mil","",_xlfn.IFNA(ROUND(INDEX(Spectrum!$N:$N,MATCH(RIGHT($B134,13)&amp;"|"&amp;$C134&amp;"|"&amp;$D134&amp;"|"&amp;O$14&amp;"|"&amp;"CY2023Q3",Spectrum!$R:$R,0)),0),""))</f>
        <v/>
      </c>
      <c r="P134" s="42" t="str">
        <f>IF(LEFT($B134,4)="_Mil","",_xlfn.IFNA(ROUND(INDEX(Spectrum!$N:$N,MATCH(RIGHT($B134,13)&amp;"|"&amp;$C134&amp;"|"&amp;$D134&amp;"|"&amp;P$14&amp;"|"&amp;"CY2023Q3",Spectrum!$R:$R,0)),0),""))</f>
        <v/>
      </c>
      <c r="Q134" s="42" t="str">
        <f>IF(LEFT($B134,4)="_Mil","",_xlfn.IFNA(ROUND(INDEX(Spectrum!$N:$N,MATCH(RIGHT($B134,13)&amp;"|"&amp;$C134&amp;"|"&amp;$D134&amp;"|"&amp;Q$14&amp;"|"&amp;"CY2022Q3",Spectrum!$R:$R,0)),0),""))</f>
        <v/>
      </c>
      <c r="R134" s="14"/>
      <c r="S134" s="90">
        <f>0</f>
        <v>0</v>
      </c>
      <c r="T134" s="42" t="str">
        <f t="shared" si="85"/>
        <v/>
      </c>
      <c r="U134" s="90" t="str">
        <f t="shared" si="86"/>
        <v/>
      </c>
      <c r="V134" s="42" t="str">
        <f t="shared" si="87"/>
        <v/>
      </c>
      <c r="W134" s="90"/>
      <c r="X134" s="90" t="str">
        <f t="shared" si="88"/>
        <v/>
      </c>
      <c r="Y134" s="90"/>
      <c r="Z134" s="90" t="str">
        <f t="shared" si="89"/>
        <v/>
      </c>
      <c r="AA134" s="14" t="str">
        <f t="shared" si="90"/>
        <v/>
      </c>
      <c r="AB134" s="42" t="str">
        <f t="shared" si="91"/>
        <v/>
      </c>
      <c r="AC134" s="42" t="str">
        <f t="shared" si="92"/>
        <v/>
      </c>
      <c r="AD134" s="42" t="str">
        <f t="shared" si="93"/>
        <v/>
      </c>
      <c r="AE134" s="14" t="str">
        <f t="shared" si="94"/>
        <v/>
      </c>
      <c r="AF134" s="42" t="str">
        <f t="shared" si="95"/>
        <v/>
      </c>
      <c r="AG134" s="42" t="str">
        <f t="shared" si="96"/>
        <v/>
      </c>
      <c r="AH134" s="42" t="str">
        <f t="shared" si="97"/>
        <v/>
      </c>
      <c r="AI134" s="90" t="str">
        <f>IF(SUM($AC134)=0,"",INDEX(Cascade!$BG:$BG,MATCH($E134,Cascade!$E:$E,0)))</f>
        <v/>
      </c>
      <c r="AJ134" s="42" t="str">
        <f t="shared" si="98"/>
        <v/>
      </c>
      <c r="AK134" s="42" t="str">
        <f t="shared" si="99"/>
        <v/>
      </c>
      <c r="AL134" s="42" t="str">
        <f t="shared" si="100"/>
        <v/>
      </c>
      <c r="AM134" s="42" t="str">
        <f t="shared" si="101"/>
        <v/>
      </c>
      <c r="AN134" s="42" t="str">
        <f t="shared" si="102"/>
        <v/>
      </c>
      <c r="AO134" s="14" t="str">
        <f t="shared" si="103"/>
        <v/>
      </c>
      <c r="AP134" s="90"/>
      <c r="AQ134" s="90" t="str">
        <f t="shared" si="104"/>
        <v/>
      </c>
      <c r="AR134" s="90" t="str">
        <f>IF(SUM($AO134)=0,"",INDEX(Cascade!$BG:$BG,MATCH($E134,Cascade!$E:$E,0)))</f>
        <v/>
      </c>
      <c r="AS134" s="42" t="str">
        <f t="shared" si="105"/>
        <v/>
      </c>
      <c r="AT134" s="42" t="str">
        <f t="shared" si="106"/>
        <v/>
      </c>
      <c r="AU134" s="14" t="str">
        <f t="shared" si="107"/>
        <v/>
      </c>
      <c r="AV134" s="14" t="str">
        <f t="shared" si="108"/>
        <v/>
      </c>
      <c r="AW134" s="14" t="str">
        <f>IFERROR(1/(1/INDEX(Cascade!$BH:$BH,MATCH($E134,Cascade!$E:$E,0))),"")</f>
        <v/>
      </c>
      <c r="AX134" s="14" t="str">
        <f t="shared" si="109"/>
        <v/>
      </c>
      <c r="AY134" s="14" t="str">
        <f t="shared" si="110"/>
        <v/>
      </c>
      <c r="AZ134" s="14" t="str">
        <f>IFERROR(1/(1/INDEX(TB!$P:$P,MATCH($E134,TB!$E:$E,0))),"")</f>
        <v/>
      </c>
      <c r="BA134" s="14" t="str">
        <f t="shared" si="111"/>
        <v/>
      </c>
    </row>
    <row r="135" spans="1:53" x14ac:dyDescent="0.2">
      <c r="A135" t="str">
        <f>INDEX(Prioritization!$D:$D,MATCH($B135,Prioritization!$A:$A,0))</f>
        <v>INVALID</v>
      </c>
      <c r="B135" t="s">
        <v>217</v>
      </c>
      <c r="C135" t="s">
        <v>363</v>
      </c>
      <c r="D135" t="s">
        <v>29</v>
      </c>
      <c r="E135" t="str">
        <f t="shared" si="84"/>
        <v>Neno District [gwVYinjBAe9]|10-14|Female</v>
      </c>
      <c r="F135" s="14">
        <f>IF(LEFT($B135,4)="_Mil","",INDEX(Cascade!$T:$T,MATCH($E135,Cascade!$E:$E,0)))</f>
        <v>1505</v>
      </c>
      <c r="G135" s="14" t="str">
        <f>IF(LEFT($B135,4)="_Mil","",INDEX(Cascade!$U:$U,MATCH($E135,Cascade!$E:$E,0)))</f>
        <v/>
      </c>
      <c r="H135" s="88">
        <f>IF(LEFT($B135,4)="_Mil","",INDEX(Cascade!$W:$W,MATCH($E135,Cascade!$E:$E,0)))</f>
        <v>685</v>
      </c>
      <c r="I135" s="14">
        <f>IF(LEFT($B135,4)="_Mil","",INDEX(Cascade!$Z:$Z,MATCH($E135,Cascade!$E:$E,0)))</f>
        <v>763</v>
      </c>
      <c r="J135" s="90">
        <f>IF(LEFT($B135,4)="_Mil","",INDEX(Cascade!$AA:$AA,MATCH($E135,Cascade!$E:$E,0)))</f>
        <v>574</v>
      </c>
      <c r="K135" s="42" t="str">
        <f>IF(LEFT($B135,4)="_Mil","",_xlfn.IFNA(ROUND(INDEX(Spectrum!$N:$N,MATCH(RIGHT($B135,13)&amp;"|"&amp;$C135&amp;"|"&amp;$D135&amp;"|"&amp;K$14&amp;"|"&amp;"CY2023Q3",Spectrum!$R:$R,0)),0),""))</f>
        <v/>
      </c>
      <c r="L135" s="42" t="str">
        <f>IF(LEFT($B135,4)="_Mil","",_xlfn.IFNA(ROUND(INDEX(Spectrum!$N:$N,MATCH(RIGHT($B135,13)&amp;"|"&amp;$C135&amp;"|"&amp;$D135&amp;"|"&amp;L$14&amp;"|"&amp;"CY2023Q3",Spectrum!$R:$R,0)),0),""))</f>
        <v/>
      </c>
      <c r="M135" s="42" t="str">
        <f>IF(LEFT($B135,4)="_Mil","",_xlfn.IFNA(ROUND(INDEX(Spectrum!$N:$N,MATCH(RIGHT($B135,13)&amp;"|"&amp;$C135&amp;"|"&amp;$D135&amp;"|"&amp;M$14&amp;"|"&amp;"CY2023Q3",Spectrum!$R:$R,0)),0),""))</f>
        <v/>
      </c>
      <c r="N135" s="42" t="str">
        <f>IF(LEFT($B135,4)="_Mil","",_xlfn.IFNA(ROUND(INDEX(Spectrum!$N:$N,MATCH(RIGHT($B135,13)&amp;"|"&amp;$C135&amp;"|"&amp;$D135&amp;"|"&amp;N$14&amp;"|"&amp;"CY2023Q3",Spectrum!$R:$R,0)),0),""))</f>
        <v/>
      </c>
      <c r="O135" s="42" t="str">
        <f>IF(LEFT($B135,4)="_Mil","",_xlfn.IFNA(ROUND(INDEX(Spectrum!$N:$N,MATCH(RIGHT($B135,13)&amp;"|"&amp;$C135&amp;"|"&amp;$D135&amp;"|"&amp;O$14&amp;"|"&amp;"CY2023Q3",Spectrum!$R:$R,0)),0),""))</f>
        <v/>
      </c>
      <c r="P135" s="42" t="str">
        <f>IF(LEFT($B135,4)="_Mil","",_xlfn.IFNA(ROUND(INDEX(Spectrum!$N:$N,MATCH(RIGHT($B135,13)&amp;"|"&amp;$C135&amp;"|"&amp;$D135&amp;"|"&amp;P$14&amp;"|"&amp;"CY2023Q3",Spectrum!$R:$R,0)),0),""))</f>
        <v/>
      </c>
      <c r="Q135" s="42" t="str">
        <f>IF(LEFT($B135,4)="_Mil","",_xlfn.IFNA(ROUND(INDEX(Spectrum!$N:$N,MATCH(RIGHT($B135,13)&amp;"|"&amp;$C135&amp;"|"&amp;$D135&amp;"|"&amp;Q$14&amp;"|"&amp;"CY2022Q3",Spectrum!$R:$R,0)),0),""))</f>
        <v/>
      </c>
      <c r="R135" s="14">
        <v>5</v>
      </c>
      <c r="S135" s="90">
        <f>0</f>
        <v>0</v>
      </c>
      <c r="T135" s="42">
        <f t="shared" si="85"/>
        <v>5</v>
      </c>
      <c r="U135" s="90">
        <f t="shared" si="86"/>
        <v>1</v>
      </c>
      <c r="V135" s="42">
        <f t="shared" si="87"/>
        <v>5</v>
      </c>
      <c r="W135" s="90"/>
      <c r="X135" s="90" t="str">
        <f t="shared" si="88"/>
        <v/>
      </c>
      <c r="Y135" s="90"/>
      <c r="Z135" s="90" t="str">
        <f t="shared" si="89"/>
        <v/>
      </c>
      <c r="AA135" s="14">
        <f t="shared" si="90"/>
        <v>5</v>
      </c>
      <c r="AB135" s="42" t="str">
        <f t="shared" si="91"/>
        <v>ENTER KNOWN POSITIVITY RATE</v>
      </c>
      <c r="AC135" s="42" t="str">
        <f t="shared" si="92"/>
        <v>ENTER YIELD RATE</v>
      </c>
      <c r="AD135" s="42">
        <f t="shared" si="93"/>
        <v>5</v>
      </c>
      <c r="AE135" s="14">
        <f t="shared" si="94"/>
        <v>5</v>
      </c>
      <c r="AF135" s="42">
        <f t="shared" si="95"/>
        <v>0</v>
      </c>
      <c r="AG135" s="42">
        <f t="shared" si="96"/>
        <v>0</v>
      </c>
      <c r="AH135" s="42">
        <f t="shared" si="97"/>
        <v>5</v>
      </c>
      <c r="AI135" s="90" t="str">
        <f>IF(SUM($AC135)=0,"",INDEX(Cascade!$BG:$BG,MATCH($E135,Cascade!$E:$E,0)))</f>
        <v/>
      </c>
      <c r="AJ135" s="42" t="str">
        <f t="shared" si="98"/>
        <v>ENTER KNOWN POSITIVITY RATE</v>
      </c>
      <c r="AK135" s="42" t="str">
        <f t="shared" si="99"/>
        <v/>
      </c>
      <c r="AL135" s="42" t="str">
        <f t="shared" si="100"/>
        <v/>
      </c>
      <c r="AM135" s="42">
        <f t="shared" si="101"/>
        <v>0</v>
      </c>
      <c r="AN135" s="42" t="str">
        <f t="shared" si="102"/>
        <v/>
      </c>
      <c r="AO135" s="14">
        <f t="shared" si="103"/>
        <v>5</v>
      </c>
      <c r="AP135" s="90"/>
      <c r="AQ135" s="90" t="str">
        <f t="shared" si="104"/>
        <v/>
      </c>
      <c r="AR135" s="90">
        <f>IF(SUM($AO135)=0,"",INDEX(Cascade!$BG:$BG,MATCH($E135,Cascade!$E:$E,0)))</f>
        <v>0.95</v>
      </c>
      <c r="AS135" s="42" t="str">
        <f t="shared" si="105"/>
        <v>ENTER YIELD RATE</v>
      </c>
      <c r="AT135" s="42">
        <f t="shared" si="106"/>
        <v>5</v>
      </c>
      <c r="AU135" s="14" t="str">
        <f t="shared" si="107"/>
        <v/>
      </c>
      <c r="AV135" s="14" t="str">
        <f t="shared" si="108"/>
        <v/>
      </c>
      <c r="AW135" s="14">
        <f>IFERROR(1/(1/INDEX(Cascade!$BH:$BH,MATCH($E135,Cascade!$E:$E,0))),"")</f>
        <v>-67</v>
      </c>
      <c r="AX135" s="14" t="str">
        <f t="shared" si="109"/>
        <v/>
      </c>
      <c r="AY135" s="14" t="str">
        <f t="shared" si="110"/>
        <v/>
      </c>
      <c r="AZ135" s="14" t="str">
        <f>IFERROR(1/(1/INDEX(TB!$P:$P,MATCH($E135,TB!$E:$E,0))),"")</f>
        <v/>
      </c>
      <c r="BA135" s="14">
        <f t="shared" si="111"/>
        <v>-67</v>
      </c>
    </row>
    <row r="136" spans="1:53" x14ac:dyDescent="0.2">
      <c r="A136" t="str">
        <f>INDEX(Prioritization!$D:$D,MATCH($B136,Prioritization!$A:$A,0))</f>
        <v>INVALID</v>
      </c>
      <c r="B136" t="s">
        <v>217</v>
      </c>
      <c r="C136" t="s">
        <v>364</v>
      </c>
      <c r="D136" t="s">
        <v>29</v>
      </c>
      <c r="E136" t="str">
        <f t="shared" si="84"/>
        <v>Neno District [gwVYinjBAe9]|15-24|Female</v>
      </c>
      <c r="F136" s="14">
        <f>IF(LEFT($B136,4)="_Mil","",INDEX(Cascade!$T:$T,MATCH($E136,Cascade!$E:$E,0)))</f>
        <v>1886</v>
      </c>
      <c r="G136" s="14" t="str">
        <f>IF(LEFT($B136,4)="_Mil","",INDEX(Cascade!$U:$U,MATCH($E136,Cascade!$E:$E,0)))</f>
        <v/>
      </c>
      <c r="H136" s="88">
        <f>IF(LEFT($B136,4)="_Mil","",INDEX(Cascade!$W:$W,MATCH($E136,Cascade!$E:$E,0)))</f>
        <v>1166</v>
      </c>
      <c r="I136" s="14">
        <f>IF(LEFT($B136,4)="_Mil","",INDEX(Cascade!$Z:$Z,MATCH($E136,Cascade!$E:$E,0)))</f>
        <v>1980</v>
      </c>
      <c r="J136" s="90">
        <f>IF(LEFT($B136,4)="_Mil","",INDEX(Cascade!$AA:$AA,MATCH($E136,Cascade!$E:$E,0)))</f>
        <v>1569</v>
      </c>
      <c r="K136" s="42">
        <f>IF(LEFT($B136,4)="_Mil","",_xlfn.IFNA(ROUND(INDEX(Spectrum!$N:$N,MATCH(RIGHT($B136,13)&amp;"|"&amp;$C136&amp;"|"&amp;$D136&amp;"|"&amp;K$14&amp;"|"&amp;"CY2023Q3",Spectrum!$R:$R,0)),0),""))</f>
        <v>676</v>
      </c>
      <c r="L136" s="42" t="str">
        <f>IF(LEFT($B136,4)="_Mil","",_xlfn.IFNA(ROUND(INDEX(Spectrum!$N:$N,MATCH(RIGHT($B136,13)&amp;"|"&amp;$C136&amp;"|"&amp;$D136&amp;"|"&amp;L$14&amp;"|"&amp;"CY2023Q3",Spectrum!$R:$R,0)),0),""))</f>
        <v/>
      </c>
      <c r="M136" s="42">
        <f>IF(LEFT($B136,4)="_Mil","",_xlfn.IFNA(ROUND(INDEX(Spectrum!$N:$N,MATCH(RIGHT($B136,13)&amp;"|"&amp;$C136&amp;"|"&amp;$D136&amp;"|"&amp;M$14&amp;"|"&amp;"CY2023Q3",Spectrum!$R:$R,0)),0),""))</f>
        <v>1001</v>
      </c>
      <c r="N136" s="42">
        <f>IF(LEFT($B136,4)="_Mil","",_xlfn.IFNA(ROUND(INDEX(Spectrum!$N:$N,MATCH(RIGHT($B136,13)&amp;"|"&amp;$C136&amp;"|"&amp;$D136&amp;"|"&amp;N$14&amp;"|"&amp;"CY2023Q3",Spectrum!$R:$R,0)),0),""))</f>
        <v>1747</v>
      </c>
      <c r="O136" s="42">
        <f>IF(LEFT($B136,4)="_Mil","",_xlfn.IFNA(ROUND(INDEX(Spectrum!$N:$N,MATCH(RIGHT($B136,13)&amp;"|"&amp;$C136&amp;"|"&amp;$D136&amp;"|"&amp;O$14&amp;"|"&amp;"CY2023Q3",Spectrum!$R:$R,0)),0),""))</f>
        <v>645</v>
      </c>
      <c r="P136" s="42">
        <f>IF(LEFT($B136,4)="_Mil","",_xlfn.IFNA(ROUND(INDEX(Spectrum!$N:$N,MATCH(RIGHT($B136,13)&amp;"|"&amp;$C136&amp;"|"&amp;$D136&amp;"|"&amp;P$14&amp;"|"&amp;"CY2023Q3",Spectrum!$R:$R,0)),0),""))</f>
        <v>1590</v>
      </c>
      <c r="Q136" s="42" t="str">
        <f>IF(LEFT($B136,4)="_Mil","",_xlfn.IFNA(ROUND(INDEX(Spectrum!$N:$N,MATCH(RIGHT($B136,13)&amp;"|"&amp;$C136&amp;"|"&amp;$D136&amp;"|"&amp;Q$14&amp;"|"&amp;"CY2022Q3",Spectrum!$R:$R,0)),0),""))</f>
        <v/>
      </c>
      <c r="R136" s="14"/>
      <c r="S136" s="90">
        <f>0</f>
        <v>0</v>
      </c>
      <c r="T136" s="42" t="str">
        <f t="shared" si="85"/>
        <v/>
      </c>
      <c r="U136" s="90">
        <f t="shared" si="86"/>
        <v>0</v>
      </c>
      <c r="V136" s="42" t="str">
        <f t="shared" si="87"/>
        <v/>
      </c>
      <c r="W136" s="90"/>
      <c r="X136" s="90">
        <f t="shared" si="88"/>
        <v>0</v>
      </c>
      <c r="Y136" s="90"/>
      <c r="Z136" s="90">
        <f t="shared" si="89"/>
        <v>0</v>
      </c>
      <c r="AA136" s="14" t="str">
        <f t="shared" si="90"/>
        <v/>
      </c>
      <c r="AB136" s="42" t="str">
        <f t="shared" si="91"/>
        <v/>
      </c>
      <c r="AC136" s="42" t="str">
        <f t="shared" si="92"/>
        <v/>
      </c>
      <c r="AD136" s="42" t="str">
        <f t="shared" si="93"/>
        <v/>
      </c>
      <c r="AE136" s="14" t="str">
        <f t="shared" si="94"/>
        <v/>
      </c>
      <c r="AF136" s="42" t="str">
        <f t="shared" si="95"/>
        <v/>
      </c>
      <c r="AG136" s="42" t="str">
        <f t="shared" si="96"/>
        <v/>
      </c>
      <c r="AH136" s="42" t="str">
        <f t="shared" si="97"/>
        <v/>
      </c>
      <c r="AI136" s="90" t="str">
        <f>IF(SUM($AC136)=0,"",INDEX(Cascade!$BG:$BG,MATCH($E136,Cascade!$E:$E,0)))</f>
        <v/>
      </c>
      <c r="AJ136" s="42" t="str">
        <f t="shared" si="98"/>
        <v/>
      </c>
      <c r="AK136" s="42" t="str">
        <f t="shared" si="99"/>
        <v/>
      </c>
      <c r="AL136" s="42" t="str">
        <f t="shared" si="100"/>
        <v/>
      </c>
      <c r="AM136" s="42" t="str">
        <f t="shared" si="101"/>
        <v/>
      </c>
      <c r="AN136" s="42" t="str">
        <f t="shared" si="102"/>
        <v/>
      </c>
      <c r="AO136" s="14" t="str">
        <f t="shared" si="103"/>
        <v/>
      </c>
      <c r="AP136" s="90"/>
      <c r="AQ136" s="90" t="str">
        <f t="shared" si="104"/>
        <v/>
      </c>
      <c r="AR136" s="90" t="str">
        <f>IF(SUM($AO136)=0,"",INDEX(Cascade!$BG:$BG,MATCH($E136,Cascade!$E:$E,0)))</f>
        <v/>
      </c>
      <c r="AS136" s="42" t="str">
        <f t="shared" si="105"/>
        <v/>
      </c>
      <c r="AT136" s="42" t="str">
        <f t="shared" si="106"/>
        <v/>
      </c>
      <c r="AU136" s="14" t="str">
        <f t="shared" si="107"/>
        <v/>
      </c>
      <c r="AV136" s="14" t="str">
        <f t="shared" si="108"/>
        <v/>
      </c>
      <c r="AW136" s="14" t="str">
        <f>IFERROR(1/(1/INDEX(Cascade!$BH:$BH,MATCH($E136,Cascade!$E:$E,0))),"")</f>
        <v/>
      </c>
      <c r="AX136" s="14" t="str">
        <f t="shared" si="109"/>
        <v/>
      </c>
      <c r="AY136" s="14" t="str">
        <f t="shared" si="110"/>
        <v/>
      </c>
      <c r="AZ136" s="14" t="str">
        <f>IFERROR(1/(1/INDEX(TB!$P:$P,MATCH($E136,TB!$E:$E,0))),"")</f>
        <v/>
      </c>
      <c r="BA136" s="14" t="str">
        <f t="shared" si="111"/>
        <v/>
      </c>
    </row>
    <row r="137" spans="1:53" x14ac:dyDescent="0.2">
      <c r="A137" t="str">
        <f>INDEX(Prioritization!$D:$D,MATCH($B137,Prioritization!$A:$A,0))</f>
        <v>INVALID</v>
      </c>
      <c r="B137" t="s">
        <v>217</v>
      </c>
      <c r="C137" t="s">
        <v>365</v>
      </c>
      <c r="D137" t="s">
        <v>29</v>
      </c>
      <c r="E137" t="str">
        <f t="shared" si="84"/>
        <v>Neno District [gwVYinjBAe9]|25-34|Female</v>
      </c>
      <c r="F137" s="14">
        <f>IF(LEFT($B137,4)="_Mil","",INDEX(Cascade!$T:$T,MATCH($E137,Cascade!$E:$E,0)))</f>
        <v>1797</v>
      </c>
      <c r="G137" s="14" t="str">
        <f>IF(LEFT($B137,4)="_Mil","",INDEX(Cascade!$U:$U,MATCH($E137,Cascade!$E:$E,0)))</f>
        <v/>
      </c>
      <c r="H137" s="88">
        <f>IF(LEFT($B137,4)="_Mil","",INDEX(Cascade!$W:$W,MATCH($E137,Cascade!$E:$E,0)))</f>
        <v>1779</v>
      </c>
      <c r="I137" s="14">
        <f>IF(LEFT($B137,4)="_Mil","",INDEX(Cascade!$Z:$Z,MATCH($E137,Cascade!$E:$E,0)))</f>
        <v>831</v>
      </c>
      <c r="J137" s="90">
        <f>IF(LEFT($B137,4)="_Mil","",INDEX(Cascade!$AA:$AA,MATCH($E137,Cascade!$E:$E,0)))</f>
        <v>1438</v>
      </c>
      <c r="K137" s="42">
        <f>IF(LEFT($B137,4)="_Mil","",_xlfn.IFNA(ROUND(INDEX(Spectrum!$N:$N,MATCH(RIGHT($B137,13)&amp;"|"&amp;$C137&amp;"|"&amp;$D137&amp;"|"&amp;K$14&amp;"|"&amp;"CY2023Q3",Spectrum!$R:$R,0)),0),""))</f>
        <v>1831</v>
      </c>
      <c r="L137" s="42" t="str">
        <f>IF(LEFT($B137,4)="_Mil","",_xlfn.IFNA(ROUND(INDEX(Spectrum!$N:$N,MATCH(RIGHT($B137,13)&amp;"|"&amp;$C137&amp;"|"&amp;$D137&amp;"|"&amp;L$14&amp;"|"&amp;"CY2023Q3",Spectrum!$R:$R,0)),0),""))</f>
        <v/>
      </c>
      <c r="M137" s="42">
        <f>IF(LEFT($B137,4)="_Mil","",_xlfn.IFNA(ROUND(INDEX(Spectrum!$N:$N,MATCH(RIGHT($B137,13)&amp;"|"&amp;$C137&amp;"|"&amp;$D137&amp;"|"&amp;M$14&amp;"|"&amp;"CY2023Q3",Spectrum!$R:$R,0)),0),""))</f>
        <v>1398</v>
      </c>
      <c r="N137" s="42">
        <f>IF(LEFT($B137,4)="_Mil","",_xlfn.IFNA(ROUND(INDEX(Spectrum!$N:$N,MATCH(RIGHT($B137,13)&amp;"|"&amp;$C137&amp;"|"&amp;$D137&amp;"|"&amp;N$14&amp;"|"&amp;"CY2023Q3",Spectrum!$R:$R,0)),0),""))</f>
        <v>567</v>
      </c>
      <c r="O137" s="42">
        <f>IF(LEFT($B137,4)="_Mil","",_xlfn.IFNA(ROUND(INDEX(Spectrum!$N:$N,MATCH(RIGHT($B137,13)&amp;"|"&amp;$C137&amp;"|"&amp;$D137&amp;"|"&amp;O$14&amp;"|"&amp;"CY2023Q3",Spectrum!$R:$R,0)),0),""))</f>
        <v>1181</v>
      </c>
      <c r="P137" s="42">
        <f>IF(LEFT($B137,4)="_Mil","",_xlfn.IFNA(ROUND(INDEX(Spectrum!$N:$N,MATCH(RIGHT($B137,13)&amp;"|"&amp;$C137&amp;"|"&amp;$D137&amp;"|"&amp;P$14&amp;"|"&amp;"CY2023Q3",Spectrum!$R:$R,0)),0),""))</f>
        <v>1825</v>
      </c>
      <c r="Q137" s="42" t="str">
        <f>IF(LEFT($B137,4)="_Mil","",_xlfn.IFNA(ROUND(INDEX(Spectrum!$N:$N,MATCH(RIGHT($B137,13)&amp;"|"&amp;$C137&amp;"|"&amp;$D137&amp;"|"&amp;Q$14&amp;"|"&amp;"CY2022Q3",Spectrum!$R:$R,0)),0),""))</f>
        <v/>
      </c>
      <c r="R137" s="14"/>
      <c r="S137" s="90">
        <f>0</f>
        <v>0</v>
      </c>
      <c r="T137" s="42" t="str">
        <f t="shared" si="85"/>
        <v/>
      </c>
      <c r="U137" s="90">
        <f t="shared" si="86"/>
        <v>0</v>
      </c>
      <c r="V137" s="42" t="str">
        <f t="shared" si="87"/>
        <v/>
      </c>
      <c r="W137" s="90"/>
      <c r="X137" s="90">
        <f t="shared" si="88"/>
        <v>0</v>
      </c>
      <c r="Y137" s="90"/>
      <c r="Z137" s="90">
        <f t="shared" si="89"/>
        <v>0</v>
      </c>
      <c r="AA137" s="14" t="str">
        <f t="shared" si="90"/>
        <v/>
      </c>
      <c r="AB137" s="42" t="str">
        <f t="shared" si="91"/>
        <v/>
      </c>
      <c r="AC137" s="42" t="str">
        <f t="shared" si="92"/>
        <v/>
      </c>
      <c r="AD137" s="42" t="str">
        <f t="shared" si="93"/>
        <v/>
      </c>
      <c r="AE137" s="14" t="str">
        <f t="shared" si="94"/>
        <v/>
      </c>
      <c r="AF137" s="42" t="str">
        <f t="shared" si="95"/>
        <v/>
      </c>
      <c r="AG137" s="42" t="str">
        <f t="shared" si="96"/>
        <v/>
      </c>
      <c r="AH137" s="42" t="str">
        <f t="shared" si="97"/>
        <v/>
      </c>
      <c r="AI137" s="90" t="str">
        <f>IF(SUM($AC137)=0,"",INDEX(Cascade!$BG:$BG,MATCH($E137,Cascade!$E:$E,0)))</f>
        <v/>
      </c>
      <c r="AJ137" s="42" t="str">
        <f t="shared" si="98"/>
        <v/>
      </c>
      <c r="AK137" s="42" t="str">
        <f t="shared" si="99"/>
        <v/>
      </c>
      <c r="AL137" s="42" t="str">
        <f t="shared" si="100"/>
        <v/>
      </c>
      <c r="AM137" s="42" t="str">
        <f t="shared" si="101"/>
        <v/>
      </c>
      <c r="AN137" s="42" t="str">
        <f t="shared" si="102"/>
        <v/>
      </c>
      <c r="AO137" s="14" t="str">
        <f t="shared" si="103"/>
        <v/>
      </c>
      <c r="AP137" s="90"/>
      <c r="AQ137" s="90" t="str">
        <f t="shared" si="104"/>
        <v/>
      </c>
      <c r="AR137" s="90" t="str">
        <f>IF(SUM($AO137)=0,"",INDEX(Cascade!$BG:$BG,MATCH($E137,Cascade!$E:$E,0)))</f>
        <v/>
      </c>
      <c r="AS137" s="42" t="str">
        <f t="shared" si="105"/>
        <v/>
      </c>
      <c r="AT137" s="42" t="str">
        <f t="shared" si="106"/>
        <v/>
      </c>
      <c r="AU137" s="14" t="str">
        <f t="shared" si="107"/>
        <v/>
      </c>
      <c r="AV137" s="14" t="str">
        <f t="shared" si="108"/>
        <v/>
      </c>
      <c r="AW137" s="14" t="str">
        <f>IFERROR(1/(1/INDEX(Cascade!$BH:$BH,MATCH($E137,Cascade!$E:$E,0))),"")</f>
        <v/>
      </c>
      <c r="AX137" s="14" t="str">
        <f t="shared" si="109"/>
        <v/>
      </c>
      <c r="AY137" s="14" t="str">
        <f t="shared" si="110"/>
        <v/>
      </c>
      <c r="AZ137" s="14" t="str">
        <f>IFERROR(1/(1/INDEX(TB!$P:$P,MATCH($E137,TB!$E:$E,0))),"")</f>
        <v/>
      </c>
      <c r="BA137" s="14" t="str">
        <f t="shared" si="111"/>
        <v/>
      </c>
    </row>
    <row r="138" spans="1:53" x14ac:dyDescent="0.2">
      <c r="A138" t="str">
        <f>INDEX(Prioritization!$D:$D,MATCH($B138,Prioritization!$A:$A,0))</f>
        <v>INVALID</v>
      </c>
      <c r="B138" t="s">
        <v>217</v>
      </c>
      <c r="C138" t="s">
        <v>366</v>
      </c>
      <c r="D138" t="s">
        <v>29</v>
      </c>
      <c r="E138" t="str">
        <f t="shared" si="84"/>
        <v>Neno District [gwVYinjBAe9]|35-49|Female</v>
      </c>
      <c r="F138" s="14">
        <f>IF(LEFT($B138,4)="_Mil","",INDEX(Cascade!$T:$T,MATCH($E138,Cascade!$E:$E,0)))</f>
        <v>1183</v>
      </c>
      <c r="G138" s="14" t="str">
        <f>IF(LEFT($B138,4)="_Mil","",INDEX(Cascade!$U:$U,MATCH($E138,Cascade!$E:$E,0)))</f>
        <v/>
      </c>
      <c r="H138" s="88">
        <f>IF(LEFT($B138,4)="_Mil","",INDEX(Cascade!$W:$W,MATCH($E138,Cascade!$E:$E,0)))</f>
        <v>1409</v>
      </c>
      <c r="I138" s="14">
        <f>IF(LEFT($B138,4)="_Mil","",INDEX(Cascade!$Z:$Z,MATCH($E138,Cascade!$E:$E,0)))</f>
        <v>1407</v>
      </c>
      <c r="J138" s="90">
        <f>IF(LEFT($B138,4)="_Mil","",INDEX(Cascade!$AA:$AA,MATCH($E138,Cascade!$E:$E,0)))</f>
        <v>969.00000000000011</v>
      </c>
      <c r="K138" s="42">
        <f>IF(LEFT($B138,4)="_Mil","",_xlfn.IFNA(ROUND(INDEX(Spectrum!$N:$N,MATCH(RIGHT($B138,13)&amp;"|"&amp;$C138&amp;"|"&amp;$D138&amp;"|"&amp;K$14&amp;"|"&amp;"CY2023Q3",Spectrum!$R:$R,0)),0),""))</f>
        <v>1602</v>
      </c>
      <c r="L138" s="42" t="str">
        <f>IF(LEFT($B138,4)="_Mil","",_xlfn.IFNA(ROUND(INDEX(Spectrum!$N:$N,MATCH(RIGHT($B138,13)&amp;"|"&amp;$C138&amp;"|"&amp;$D138&amp;"|"&amp;L$14&amp;"|"&amp;"CY2023Q3",Spectrum!$R:$R,0)),0),""))</f>
        <v/>
      </c>
      <c r="M138" s="42">
        <f>IF(LEFT($B138,4)="_Mil","",_xlfn.IFNA(ROUND(INDEX(Spectrum!$N:$N,MATCH(RIGHT($B138,13)&amp;"|"&amp;$C138&amp;"|"&amp;$D138&amp;"|"&amp;M$14&amp;"|"&amp;"CY2023Q3",Spectrum!$R:$R,0)),0),""))</f>
        <v>1475</v>
      </c>
      <c r="N138" s="42">
        <f>IF(LEFT($B138,4)="_Mil","",_xlfn.IFNA(ROUND(INDEX(Spectrum!$N:$N,MATCH(RIGHT($B138,13)&amp;"|"&amp;$C138&amp;"|"&amp;$D138&amp;"|"&amp;N$14&amp;"|"&amp;"CY2023Q3",Spectrum!$R:$R,0)),0),""))</f>
        <v>1254</v>
      </c>
      <c r="O138" s="42">
        <f>IF(LEFT($B138,4)="_Mil","",_xlfn.IFNA(ROUND(INDEX(Spectrum!$N:$N,MATCH(RIGHT($B138,13)&amp;"|"&amp;$C138&amp;"|"&amp;$D138&amp;"|"&amp;O$14&amp;"|"&amp;"CY2023Q3",Spectrum!$R:$R,0)),0),""))</f>
        <v>1972</v>
      </c>
      <c r="P138" s="42">
        <f>IF(LEFT($B138,4)="_Mil","",_xlfn.IFNA(ROUND(INDEX(Spectrum!$N:$N,MATCH(RIGHT($B138,13)&amp;"|"&amp;$C138&amp;"|"&amp;$D138&amp;"|"&amp;P$14&amp;"|"&amp;"CY2023Q3",Spectrum!$R:$R,0)),0),""))</f>
        <v>1760</v>
      </c>
      <c r="Q138" s="42" t="str">
        <f>IF(LEFT($B138,4)="_Mil","",_xlfn.IFNA(ROUND(INDEX(Spectrum!$N:$N,MATCH(RIGHT($B138,13)&amp;"|"&amp;$C138&amp;"|"&amp;$D138&amp;"|"&amp;Q$14&amp;"|"&amp;"CY2022Q3",Spectrum!$R:$R,0)),0),""))</f>
        <v/>
      </c>
      <c r="R138" s="14"/>
      <c r="S138" s="90">
        <f>0</f>
        <v>0</v>
      </c>
      <c r="T138" s="42" t="str">
        <f t="shared" si="85"/>
        <v/>
      </c>
      <c r="U138" s="90">
        <f t="shared" si="86"/>
        <v>0</v>
      </c>
      <c r="V138" s="42" t="str">
        <f t="shared" si="87"/>
        <v/>
      </c>
      <c r="W138" s="90"/>
      <c r="X138" s="90">
        <f t="shared" si="88"/>
        <v>0</v>
      </c>
      <c r="Y138" s="90"/>
      <c r="Z138" s="90">
        <f t="shared" si="89"/>
        <v>0</v>
      </c>
      <c r="AA138" s="14" t="str">
        <f t="shared" si="90"/>
        <v/>
      </c>
      <c r="AB138" s="42" t="str">
        <f t="shared" si="91"/>
        <v/>
      </c>
      <c r="AC138" s="42" t="str">
        <f t="shared" si="92"/>
        <v/>
      </c>
      <c r="AD138" s="42" t="str">
        <f t="shared" si="93"/>
        <v/>
      </c>
      <c r="AE138" s="14" t="str">
        <f t="shared" si="94"/>
        <v/>
      </c>
      <c r="AF138" s="42" t="str">
        <f t="shared" si="95"/>
        <v/>
      </c>
      <c r="AG138" s="42" t="str">
        <f t="shared" si="96"/>
        <v/>
      </c>
      <c r="AH138" s="42" t="str">
        <f t="shared" si="97"/>
        <v/>
      </c>
      <c r="AI138" s="90" t="str">
        <f>IF(SUM($AC138)=0,"",INDEX(Cascade!$BG:$BG,MATCH($E138,Cascade!$E:$E,0)))</f>
        <v/>
      </c>
      <c r="AJ138" s="42" t="str">
        <f t="shared" si="98"/>
        <v/>
      </c>
      <c r="AK138" s="42" t="str">
        <f t="shared" si="99"/>
        <v/>
      </c>
      <c r="AL138" s="42" t="str">
        <f t="shared" si="100"/>
        <v/>
      </c>
      <c r="AM138" s="42" t="str">
        <f t="shared" si="101"/>
        <v/>
      </c>
      <c r="AN138" s="42" t="str">
        <f t="shared" si="102"/>
        <v/>
      </c>
      <c r="AO138" s="14" t="str">
        <f t="shared" si="103"/>
        <v/>
      </c>
      <c r="AP138" s="90"/>
      <c r="AQ138" s="90" t="str">
        <f t="shared" si="104"/>
        <v/>
      </c>
      <c r="AR138" s="90" t="str">
        <f>IF(SUM($AO138)=0,"",INDEX(Cascade!$BG:$BG,MATCH($E138,Cascade!$E:$E,0)))</f>
        <v/>
      </c>
      <c r="AS138" s="42" t="str">
        <f t="shared" si="105"/>
        <v/>
      </c>
      <c r="AT138" s="42" t="str">
        <f t="shared" si="106"/>
        <v/>
      </c>
      <c r="AU138" s="14" t="str">
        <f t="shared" si="107"/>
        <v/>
      </c>
      <c r="AV138" s="14" t="str">
        <f t="shared" si="108"/>
        <v/>
      </c>
      <c r="AW138" s="14" t="str">
        <f>IFERROR(1/(1/INDEX(Cascade!$BH:$BH,MATCH($E138,Cascade!$E:$E,0))),"")</f>
        <v/>
      </c>
      <c r="AX138" s="14" t="str">
        <f t="shared" si="109"/>
        <v/>
      </c>
      <c r="AY138" s="14" t="str">
        <f t="shared" si="110"/>
        <v/>
      </c>
      <c r="AZ138" s="14" t="str">
        <f>IFERROR(1/(1/INDEX(TB!$P:$P,MATCH($E138,TB!$E:$E,0))),"")</f>
        <v/>
      </c>
      <c r="BA138" s="14" t="str">
        <f t="shared" si="111"/>
        <v/>
      </c>
    </row>
    <row r="139" spans="1:53" x14ac:dyDescent="0.2">
      <c r="A139" t="str">
        <f>INDEX(Prioritization!$D:$D,MATCH($B139,Prioritization!$A:$A,0))</f>
        <v>INVALID</v>
      </c>
      <c r="B139" t="s">
        <v>217</v>
      </c>
      <c r="C139" t="s">
        <v>367</v>
      </c>
      <c r="D139" t="s">
        <v>29</v>
      </c>
      <c r="E139" t="str">
        <f t="shared" si="84"/>
        <v>Neno District [gwVYinjBAe9]|50+|Female</v>
      </c>
      <c r="F139" s="14">
        <f>IF(LEFT($B139,4)="_Mil","",INDEX(Cascade!$T:$T,MATCH($E139,Cascade!$E:$E,0)))</f>
        <v>1720</v>
      </c>
      <c r="G139" s="14" t="str">
        <f>IF(LEFT($B139,4)="_Mil","",INDEX(Cascade!$U:$U,MATCH($E139,Cascade!$E:$E,0)))</f>
        <v/>
      </c>
      <c r="H139" s="88">
        <f>IF(LEFT($B139,4)="_Mil","",INDEX(Cascade!$W:$W,MATCH($E139,Cascade!$E:$E,0)))</f>
        <v>1086</v>
      </c>
      <c r="I139" s="14">
        <f>IF(LEFT($B139,4)="_Mil","",INDEX(Cascade!$Z:$Z,MATCH($E139,Cascade!$E:$E,0)))</f>
        <v>834</v>
      </c>
      <c r="J139" s="90">
        <f>IF(LEFT($B139,4)="_Mil","",INDEX(Cascade!$AA:$AA,MATCH($E139,Cascade!$E:$E,0)))</f>
        <v>1649</v>
      </c>
      <c r="K139" s="42" t="str">
        <f>IF(LEFT($B139,4)="_Mil","",_xlfn.IFNA(ROUND(INDEX(Spectrum!$N:$N,MATCH(RIGHT($B139,13)&amp;"|"&amp;$C139&amp;"|"&amp;$D139&amp;"|"&amp;K$14&amp;"|"&amp;"CY2023Q3",Spectrum!$R:$R,0)),0),""))</f>
        <v/>
      </c>
      <c r="L139" s="42" t="str">
        <f>IF(LEFT($B139,4)="_Mil","",_xlfn.IFNA(ROUND(INDEX(Spectrum!$N:$N,MATCH(RIGHT($B139,13)&amp;"|"&amp;$C139&amp;"|"&amp;$D139&amp;"|"&amp;L$14&amp;"|"&amp;"CY2023Q3",Spectrum!$R:$R,0)),0),""))</f>
        <v/>
      </c>
      <c r="M139" s="42" t="str">
        <f>IF(LEFT($B139,4)="_Mil","",_xlfn.IFNA(ROUND(INDEX(Spectrum!$N:$N,MATCH(RIGHT($B139,13)&amp;"|"&amp;$C139&amp;"|"&amp;$D139&amp;"|"&amp;M$14&amp;"|"&amp;"CY2023Q3",Spectrum!$R:$R,0)),0),""))</f>
        <v/>
      </c>
      <c r="N139" s="42" t="str">
        <f>IF(LEFT($B139,4)="_Mil","",_xlfn.IFNA(ROUND(INDEX(Spectrum!$N:$N,MATCH(RIGHT($B139,13)&amp;"|"&amp;$C139&amp;"|"&amp;$D139&amp;"|"&amp;N$14&amp;"|"&amp;"CY2023Q3",Spectrum!$R:$R,0)),0),""))</f>
        <v/>
      </c>
      <c r="O139" s="42" t="str">
        <f>IF(LEFT($B139,4)="_Mil","",_xlfn.IFNA(ROUND(INDEX(Spectrum!$N:$N,MATCH(RIGHT($B139,13)&amp;"|"&amp;$C139&amp;"|"&amp;$D139&amp;"|"&amp;O$14&amp;"|"&amp;"CY2023Q3",Spectrum!$R:$R,0)),0),""))</f>
        <v/>
      </c>
      <c r="P139" s="42" t="str">
        <f>IF(LEFT($B139,4)="_Mil","",_xlfn.IFNA(ROUND(INDEX(Spectrum!$N:$N,MATCH(RIGHT($B139,13)&amp;"|"&amp;$C139&amp;"|"&amp;$D139&amp;"|"&amp;P$14&amp;"|"&amp;"CY2023Q3",Spectrum!$R:$R,0)),0),""))</f>
        <v/>
      </c>
      <c r="Q139" s="42" t="str">
        <f>IF(LEFT($B139,4)="_Mil","",_xlfn.IFNA(ROUND(INDEX(Spectrum!$N:$N,MATCH(RIGHT($B139,13)&amp;"|"&amp;$C139&amp;"|"&amp;$D139&amp;"|"&amp;Q$14&amp;"|"&amp;"CY2022Q3",Spectrum!$R:$R,0)),0),""))</f>
        <v/>
      </c>
      <c r="R139" s="14"/>
      <c r="S139" s="90">
        <f>0</f>
        <v>0</v>
      </c>
      <c r="T139" s="42" t="str">
        <f t="shared" si="85"/>
        <v/>
      </c>
      <c r="U139" s="90" t="str">
        <f t="shared" si="86"/>
        <v/>
      </c>
      <c r="V139" s="42" t="str">
        <f t="shared" si="87"/>
        <v/>
      </c>
      <c r="W139" s="90"/>
      <c r="X139" s="90" t="str">
        <f t="shared" si="88"/>
        <v/>
      </c>
      <c r="Y139" s="90"/>
      <c r="Z139" s="90" t="str">
        <f t="shared" si="89"/>
        <v/>
      </c>
      <c r="AA139" s="14" t="str">
        <f t="shared" si="90"/>
        <v/>
      </c>
      <c r="AB139" s="42" t="str">
        <f t="shared" si="91"/>
        <v/>
      </c>
      <c r="AC139" s="42" t="str">
        <f t="shared" si="92"/>
        <v/>
      </c>
      <c r="AD139" s="42" t="str">
        <f t="shared" si="93"/>
        <v/>
      </c>
      <c r="AE139" s="14" t="str">
        <f t="shared" si="94"/>
        <v/>
      </c>
      <c r="AF139" s="42" t="str">
        <f t="shared" si="95"/>
        <v/>
      </c>
      <c r="AG139" s="42" t="str">
        <f t="shared" si="96"/>
        <v/>
      </c>
      <c r="AH139" s="42" t="str">
        <f t="shared" si="97"/>
        <v/>
      </c>
      <c r="AI139" s="90" t="str">
        <f>IF(SUM($AC139)=0,"",INDEX(Cascade!$BG:$BG,MATCH($E139,Cascade!$E:$E,0)))</f>
        <v/>
      </c>
      <c r="AJ139" s="42" t="str">
        <f t="shared" si="98"/>
        <v/>
      </c>
      <c r="AK139" s="42" t="str">
        <f t="shared" si="99"/>
        <v/>
      </c>
      <c r="AL139" s="42" t="str">
        <f t="shared" si="100"/>
        <v/>
      </c>
      <c r="AM139" s="42" t="str">
        <f t="shared" si="101"/>
        <v/>
      </c>
      <c r="AN139" s="42" t="str">
        <f t="shared" si="102"/>
        <v/>
      </c>
      <c r="AO139" s="14" t="str">
        <f t="shared" si="103"/>
        <v/>
      </c>
      <c r="AP139" s="90"/>
      <c r="AQ139" s="90" t="str">
        <f t="shared" si="104"/>
        <v/>
      </c>
      <c r="AR139" s="90" t="str">
        <f>IF(SUM($AO139)=0,"",INDEX(Cascade!$BG:$BG,MATCH($E139,Cascade!$E:$E,0)))</f>
        <v/>
      </c>
      <c r="AS139" s="42" t="str">
        <f t="shared" si="105"/>
        <v/>
      </c>
      <c r="AT139" s="42" t="str">
        <f t="shared" si="106"/>
        <v/>
      </c>
      <c r="AU139" s="14" t="str">
        <f t="shared" si="107"/>
        <v/>
      </c>
      <c r="AV139" s="14" t="str">
        <f t="shared" si="108"/>
        <v/>
      </c>
      <c r="AW139" s="14" t="str">
        <f>IFERROR(1/(1/INDEX(Cascade!$BH:$BH,MATCH($E139,Cascade!$E:$E,0))),"")</f>
        <v/>
      </c>
      <c r="AX139" s="14" t="str">
        <f t="shared" si="109"/>
        <v/>
      </c>
      <c r="AY139" s="14" t="str">
        <f t="shared" si="110"/>
        <v/>
      </c>
      <c r="AZ139" s="14" t="str">
        <f>IFERROR(1/(1/INDEX(TB!$P:$P,MATCH($E139,TB!$E:$E,0))),"")</f>
        <v/>
      </c>
      <c r="BA139" s="14" t="str">
        <f t="shared" si="111"/>
        <v/>
      </c>
    </row>
    <row r="140" spans="1:53" x14ac:dyDescent="0.2">
      <c r="A140" t="str">
        <f>INDEX(Prioritization!$D:$D,MATCH($B140,Prioritization!$A:$A,0))</f>
        <v>INVALID</v>
      </c>
      <c r="B140" t="s">
        <v>218</v>
      </c>
      <c r="C140" t="s">
        <v>363</v>
      </c>
      <c r="D140" t="s">
        <v>29</v>
      </c>
      <c r="E140" t="str">
        <f t="shared" si="84"/>
        <v>Nsanje District [rpw540fmNUz]|10-14|Female</v>
      </c>
      <c r="F140" s="14">
        <f>IF(LEFT($B140,4)="_Mil","",INDEX(Cascade!$T:$T,MATCH($E140,Cascade!$E:$E,0)))</f>
        <v>765</v>
      </c>
      <c r="G140" s="14" t="str">
        <f>IF(LEFT($B140,4)="_Mil","",INDEX(Cascade!$U:$U,MATCH($E140,Cascade!$E:$E,0)))</f>
        <v/>
      </c>
      <c r="H140" s="88">
        <f>IF(LEFT($B140,4)="_Mil","",INDEX(Cascade!$W:$W,MATCH($E140,Cascade!$E:$E,0)))</f>
        <v>1322</v>
      </c>
      <c r="I140" s="14">
        <f>IF(LEFT($B140,4)="_Mil","",INDEX(Cascade!$Z:$Z,MATCH($E140,Cascade!$E:$E,0)))</f>
        <v>1308</v>
      </c>
      <c r="J140" s="90">
        <f>IF(LEFT($B140,4)="_Mil","",INDEX(Cascade!$AA:$AA,MATCH($E140,Cascade!$E:$E,0)))</f>
        <v>767</v>
      </c>
      <c r="K140" s="42" t="str">
        <f>IF(LEFT($B140,4)="_Mil","",_xlfn.IFNA(ROUND(INDEX(Spectrum!$N:$N,MATCH(RIGHT($B140,13)&amp;"|"&amp;$C140&amp;"|"&amp;$D140&amp;"|"&amp;K$14&amp;"|"&amp;"CY2023Q3",Spectrum!$R:$R,0)),0),""))</f>
        <v/>
      </c>
      <c r="L140" s="42" t="str">
        <f>IF(LEFT($B140,4)="_Mil","",_xlfn.IFNA(ROUND(INDEX(Spectrum!$N:$N,MATCH(RIGHT($B140,13)&amp;"|"&amp;$C140&amp;"|"&amp;$D140&amp;"|"&amp;L$14&amp;"|"&amp;"CY2023Q3",Spectrum!$R:$R,0)),0),""))</f>
        <v/>
      </c>
      <c r="M140" s="42" t="str">
        <f>IF(LEFT($B140,4)="_Mil","",_xlfn.IFNA(ROUND(INDEX(Spectrum!$N:$N,MATCH(RIGHT($B140,13)&amp;"|"&amp;$C140&amp;"|"&amp;$D140&amp;"|"&amp;M$14&amp;"|"&amp;"CY2023Q3",Spectrum!$R:$R,0)),0),""))</f>
        <v/>
      </c>
      <c r="N140" s="42" t="str">
        <f>IF(LEFT($B140,4)="_Mil","",_xlfn.IFNA(ROUND(INDEX(Spectrum!$N:$N,MATCH(RIGHT($B140,13)&amp;"|"&amp;$C140&amp;"|"&amp;$D140&amp;"|"&amp;N$14&amp;"|"&amp;"CY2023Q3",Spectrum!$R:$R,0)),0),""))</f>
        <v/>
      </c>
      <c r="O140" s="42" t="str">
        <f>IF(LEFT($B140,4)="_Mil","",_xlfn.IFNA(ROUND(INDEX(Spectrum!$N:$N,MATCH(RIGHT($B140,13)&amp;"|"&amp;$C140&amp;"|"&amp;$D140&amp;"|"&amp;O$14&amp;"|"&amp;"CY2023Q3",Spectrum!$R:$R,0)),0),""))</f>
        <v/>
      </c>
      <c r="P140" s="42" t="str">
        <f>IF(LEFT($B140,4)="_Mil","",_xlfn.IFNA(ROUND(INDEX(Spectrum!$N:$N,MATCH(RIGHT($B140,13)&amp;"|"&amp;$C140&amp;"|"&amp;$D140&amp;"|"&amp;P$14&amp;"|"&amp;"CY2023Q3",Spectrum!$R:$R,0)),0),""))</f>
        <v/>
      </c>
      <c r="Q140" s="42" t="str">
        <f>IF(LEFT($B140,4)="_Mil","",_xlfn.IFNA(ROUND(INDEX(Spectrum!$N:$N,MATCH(RIGHT($B140,13)&amp;"|"&amp;$C140&amp;"|"&amp;$D140&amp;"|"&amp;Q$14&amp;"|"&amp;"CY2022Q3",Spectrum!$R:$R,0)),0),""))</f>
        <v/>
      </c>
      <c r="R140" s="14">
        <v>8</v>
      </c>
      <c r="S140" s="90">
        <f>0</f>
        <v>0</v>
      </c>
      <c r="T140" s="42">
        <f t="shared" si="85"/>
        <v>8</v>
      </c>
      <c r="U140" s="90">
        <f t="shared" si="86"/>
        <v>1</v>
      </c>
      <c r="V140" s="42">
        <f t="shared" si="87"/>
        <v>8</v>
      </c>
      <c r="W140" s="90"/>
      <c r="X140" s="90" t="str">
        <f t="shared" si="88"/>
        <v/>
      </c>
      <c r="Y140" s="90"/>
      <c r="Z140" s="90" t="str">
        <f t="shared" si="89"/>
        <v/>
      </c>
      <c r="AA140" s="14">
        <f t="shared" si="90"/>
        <v>8</v>
      </c>
      <c r="AB140" s="42" t="str">
        <f t="shared" si="91"/>
        <v>ENTER KNOWN POSITIVITY RATE</v>
      </c>
      <c r="AC140" s="42" t="str">
        <f t="shared" si="92"/>
        <v>ENTER YIELD RATE</v>
      </c>
      <c r="AD140" s="42">
        <f t="shared" si="93"/>
        <v>8</v>
      </c>
      <c r="AE140" s="14">
        <f t="shared" si="94"/>
        <v>8</v>
      </c>
      <c r="AF140" s="42">
        <f t="shared" si="95"/>
        <v>0</v>
      </c>
      <c r="AG140" s="42">
        <f t="shared" si="96"/>
        <v>0</v>
      </c>
      <c r="AH140" s="42">
        <f t="shared" si="97"/>
        <v>8</v>
      </c>
      <c r="AI140" s="90" t="str">
        <f>IF(SUM($AC140)=0,"",INDEX(Cascade!$BG:$BG,MATCH($E140,Cascade!$E:$E,0)))</f>
        <v/>
      </c>
      <c r="AJ140" s="42" t="str">
        <f t="shared" si="98"/>
        <v>ENTER KNOWN POSITIVITY RATE</v>
      </c>
      <c r="AK140" s="42" t="str">
        <f t="shared" si="99"/>
        <v/>
      </c>
      <c r="AL140" s="42" t="str">
        <f t="shared" si="100"/>
        <v/>
      </c>
      <c r="AM140" s="42">
        <f t="shared" si="101"/>
        <v>0</v>
      </c>
      <c r="AN140" s="42" t="str">
        <f t="shared" si="102"/>
        <v/>
      </c>
      <c r="AO140" s="14">
        <f t="shared" si="103"/>
        <v>8</v>
      </c>
      <c r="AP140" s="90"/>
      <c r="AQ140" s="90" t="str">
        <f t="shared" si="104"/>
        <v/>
      </c>
      <c r="AR140" s="90">
        <f>IF(SUM($AO140)=0,"",INDEX(Cascade!$BG:$BG,MATCH($E140,Cascade!$E:$E,0)))</f>
        <v>0.95</v>
      </c>
      <c r="AS140" s="42" t="str">
        <f t="shared" si="105"/>
        <v>ENTER YIELD RATE</v>
      </c>
      <c r="AT140" s="42">
        <f t="shared" si="106"/>
        <v>8</v>
      </c>
      <c r="AU140" s="14" t="str">
        <f t="shared" si="107"/>
        <v/>
      </c>
      <c r="AV140" s="14" t="str">
        <f t="shared" si="108"/>
        <v/>
      </c>
      <c r="AW140" s="14">
        <f>IFERROR(1/(1/INDEX(Cascade!$BH:$BH,MATCH($E140,Cascade!$E:$E,0))),"")</f>
        <v>-59</v>
      </c>
      <c r="AX140" s="14" t="str">
        <f t="shared" si="109"/>
        <v/>
      </c>
      <c r="AY140" s="14" t="str">
        <f t="shared" si="110"/>
        <v/>
      </c>
      <c r="AZ140" s="14" t="str">
        <f>IFERROR(1/(1/INDEX(TB!$P:$P,MATCH($E140,TB!$E:$E,0))),"")</f>
        <v/>
      </c>
      <c r="BA140" s="14">
        <f t="shared" si="111"/>
        <v>-59</v>
      </c>
    </row>
    <row r="141" spans="1:53" x14ac:dyDescent="0.2">
      <c r="A141" t="str">
        <f>INDEX(Prioritization!$D:$D,MATCH($B141,Prioritization!$A:$A,0))</f>
        <v>INVALID</v>
      </c>
      <c r="B141" t="s">
        <v>218</v>
      </c>
      <c r="C141" t="s">
        <v>364</v>
      </c>
      <c r="D141" t="s">
        <v>29</v>
      </c>
      <c r="E141" t="str">
        <f t="shared" si="84"/>
        <v>Nsanje District [rpw540fmNUz]|15-24|Female</v>
      </c>
      <c r="F141" s="14">
        <f>IF(LEFT($B141,4)="_Mil","",INDEX(Cascade!$T:$T,MATCH($E141,Cascade!$E:$E,0)))</f>
        <v>842</v>
      </c>
      <c r="G141" s="14" t="str">
        <f>IF(LEFT($B141,4)="_Mil","",INDEX(Cascade!$U:$U,MATCH($E141,Cascade!$E:$E,0)))</f>
        <v/>
      </c>
      <c r="H141" s="88">
        <f>IF(LEFT($B141,4)="_Mil","",INDEX(Cascade!$W:$W,MATCH($E141,Cascade!$E:$E,0)))</f>
        <v>1646</v>
      </c>
      <c r="I141" s="14">
        <f>IF(LEFT($B141,4)="_Mil","",INDEX(Cascade!$Z:$Z,MATCH($E141,Cascade!$E:$E,0)))</f>
        <v>743</v>
      </c>
      <c r="J141" s="90">
        <f>IF(LEFT($B141,4)="_Mil","",INDEX(Cascade!$AA:$AA,MATCH($E141,Cascade!$E:$E,0)))</f>
        <v>1877</v>
      </c>
      <c r="K141" s="42">
        <f>IF(LEFT($B141,4)="_Mil","",_xlfn.IFNA(ROUND(INDEX(Spectrum!$N:$N,MATCH(RIGHT($B141,13)&amp;"|"&amp;$C141&amp;"|"&amp;$D141&amp;"|"&amp;K$14&amp;"|"&amp;"CY2023Q3",Spectrum!$R:$R,0)),0),""))</f>
        <v>718</v>
      </c>
      <c r="L141" s="42" t="str">
        <f>IF(LEFT($B141,4)="_Mil","",_xlfn.IFNA(ROUND(INDEX(Spectrum!$N:$N,MATCH(RIGHT($B141,13)&amp;"|"&amp;$C141&amp;"|"&amp;$D141&amp;"|"&amp;L$14&amp;"|"&amp;"CY2023Q3",Spectrum!$R:$R,0)),0),""))</f>
        <v/>
      </c>
      <c r="M141" s="42">
        <f>IF(LEFT($B141,4)="_Mil","",_xlfn.IFNA(ROUND(INDEX(Spectrum!$N:$N,MATCH(RIGHT($B141,13)&amp;"|"&amp;$C141&amp;"|"&amp;$D141&amp;"|"&amp;M$14&amp;"|"&amp;"CY2023Q3",Spectrum!$R:$R,0)),0),""))</f>
        <v>1154</v>
      </c>
      <c r="N141" s="42">
        <f>IF(LEFT($B141,4)="_Mil","",_xlfn.IFNA(ROUND(INDEX(Spectrum!$N:$N,MATCH(RIGHT($B141,13)&amp;"|"&amp;$C141&amp;"|"&amp;$D141&amp;"|"&amp;N$14&amp;"|"&amp;"CY2023Q3",Spectrum!$R:$R,0)),0),""))</f>
        <v>1654</v>
      </c>
      <c r="O141" s="42">
        <f>IF(LEFT($B141,4)="_Mil","",_xlfn.IFNA(ROUND(INDEX(Spectrum!$N:$N,MATCH(RIGHT($B141,13)&amp;"|"&amp;$C141&amp;"|"&amp;$D141&amp;"|"&amp;O$14&amp;"|"&amp;"CY2023Q3",Spectrum!$R:$R,0)),0),""))</f>
        <v>1212</v>
      </c>
      <c r="P141" s="42">
        <f>IF(LEFT($B141,4)="_Mil","",_xlfn.IFNA(ROUND(INDEX(Spectrum!$N:$N,MATCH(RIGHT($B141,13)&amp;"|"&amp;$C141&amp;"|"&amp;$D141&amp;"|"&amp;P$14&amp;"|"&amp;"CY2023Q3",Spectrum!$R:$R,0)),0),""))</f>
        <v>1731</v>
      </c>
      <c r="Q141" s="42" t="str">
        <f>IF(LEFT($B141,4)="_Mil","",_xlfn.IFNA(ROUND(INDEX(Spectrum!$N:$N,MATCH(RIGHT($B141,13)&amp;"|"&amp;$C141&amp;"|"&amp;$D141&amp;"|"&amp;Q$14&amp;"|"&amp;"CY2022Q3",Spectrum!$R:$R,0)),0),""))</f>
        <v/>
      </c>
      <c r="R141" s="14"/>
      <c r="S141" s="90">
        <f>0</f>
        <v>0</v>
      </c>
      <c r="T141" s="42" t="str">
        <f t="shared" si="85"/>
        <v/>
      </c>
      <c r="U141" s="90">
        <f t="shared" si="86"/>
        <v>0</v>
      </c>
      <c r="V141" s="42" t="str">
        <f t="shared" si="87"/>
        <v/>
      </c>
      <c r="W141" s="90"/>
      <c r="X141" s="90">
        <f t="shared" si="88"/>
        <v>0</v>
      </c>
      <c r="Y141" s="90"/>
      <c r="Z141" s="90">
        <f t="shared" si="89"/>
        <v>0</v>
      </c>
      <c r="AA141" s="14" t="str">
        <f t="shared" si="90"/>
        <v/>
      </c>
      <c r="AB141" s="42" t="str">
        <f t="shared" si="91"/>
        <v/>
      </c>
      <c r="AC141" s="42" t="str">
        <f t="shared" si="92"/>
        <v/>
      </c>
      <c r="AD141" s="42" t="str">
        <f t="shared" si="93"/>
        <v/>
      </c>
      <c r="AE141" s="14" t="str">
        <f t="shared" si="94"/>
        <v/>
      </c>
      <c r="AF141" s="42" t="str">
        <f t="shared" si="95"/>
        <v/>
      </c>
      <c r="AG141" s="42" t="str">
        <f t="shared" si="96"/>
        <v/>
      </c>
      <c r="AH141" s="42" t="str">
        <f t="shared" si="97"/>
        <v/>
      </c>
      <c r="AI141" s="90" t="str">
        <f>IF(SUM($AC141)=0,"",INDEX(Cascade!$BG:$BG,MATCH($E141,Cascade!$E:$E,0)))</f>
        <v/>
      </c>
      <c r="AJ141" s="42" t="str">
        <f t="shared" si="98"/>
        <v/>
      </c>
      <c r="AK141" s="42" t="str">
        <f t="shared" si="99"/>
        <v/>
      </c>
      <c r="AL141" s="42" t="str">
        <f t="shared" si="100"/>
        <v/>
      </c>
      <c r="AM141" s="42" t="str">
        <f t="shared" si="101"/>
        <v/>
      </c>
      <c r="AN141" s="42" t="str">
        <f t="shared" si="102"/>
        <v/>
      </c>
      <c r="AO141" s="14" t="str">
        <f t="shared" si="103"/>
        <v/>
      </c>
      <c r="AP141" s="90"/>
      <c r="AQ141" s="90" t="str">
        <f t="shared" si="104"/>
        <v/>
      </c>
      <c r="AR141" s="90" t="str">
        <f>IF(SUM($AO141)=0,"",INDEX(Cascade!$BG:$BG,MATCH($E141,Cascade!$E:$E,0)))</f>
        <v/>
      </c>
      <c r="AS141" s="42" t="str">
        <f t="shared" si="105"/>
        <v/>
      </c>
      <c r="AT141" s="42" t="str">
        <f t="shared" si="106"/>
        <v/>
      </c>
      <c r="AU141" s="14" t="str">
        <f t="shared" si="107"/>
        <v/>
      </c>
      <c r="AV141" s="14" t="str">
        <f t="shared" si="108"/>
        <v/>
      </c>
      <c r="AW141" s="14" t="str">
        <f>IFERROR(1/(1/INDEX(Cascade!$BH:$BH,MATCH($E141,Cascade!$E:$E,0))),"")</f>
        <v/>
      </c>
      <c r="AX141" s="14" t="str">
        <f t="shared" si="109"/>
        <v/>
      </c>
      <c r="AY141" s="14" t="str">
        <f t="shared" si="110"/>
        <v/>
      </c>
      <c r="AZ141" s="14" t="str">
        <f>IFERROR(1/(1/INDEX(TB!$P:$P,MATCH($E141,TB!$E:$E,0))),"")</f>
        <v/>
      </c>
      <c r="BA141" s="14" t="str">
        <f t="shared" si="111"/>
        <v/>
      </c>
    </row>
    <row r="142" spans="1:53" x14ac:dyDescent="0.2">
      <c r="A142" t="str">
        <f>INDEX(Prioritization!$D:$D,MATCH($B142,Prioritization!$A:$A,0))</f>
        <v>INVALID</v>
      </c>
      <c r="B142" t="s">
        <v>218</v>
      </c>
      <c r="C142" t="s">
        <v>365</v>
      </c>
      <c r="D142" t="s">
        <v>29</v>
      </c>
      <c r="E142" t="str">
        <f t="shared" si="84"/>
        <v>Nsanje District [rpw540fmNUz]|25-34|Female</v>
      </c>
      <c r="F142" s="14">
        <f>IF(LEFT($B142,4)="_Mil","",INDEX(Cascade!$T:$T,MATCH($E142,Cascade!$E:$E,0)))</f>
        <v>1925</v>
      </c>
      <c r="G142" s="14" t="str">
        <f>IF(LEFT($B142,4)="_Mil","",INDEX(Cascade!$U:$U,MATCH($E142,Cascade!$E:$E,0)))</f>
        <v/>
      </c>
      <c r="H142" s="88">
        <f>IF(LEFT($B142,4)="_Mil","",INDEX(Cascade!$W:$W,MATCH($E142,Cascade!$E:$E,0)))</f>
        <v>1535</v>
      </c>
      <c r="I142" s="14">
        <f>IF(LEFT($B142,4)="_Mil","",INDEX(Cascade!$Z:$Z,MATCH($E142,Cascade!$E:$E,0)))</f>
        <v>931</v>
      </c>
      <c r="J142" s="90">
        <f>IF(LEFT($B142,4)="_Mil","",INDEX(Cascade!$AA:$AA,MATCH($E142,Cascade!$E:$E,0)))</f>
        <v>1848</v>
      </c>
      <c r="K142" s="42">
        <f>IF(LEFT($B142,4)="_Mil","",_xlfn.IFNA(ROUND(INDEX(Spectrum!$N:$N,MATCH(RIGHT($B142,13)&amp;"|"&amp;$C142&amp;"|"&amp;$D142&amp;"|"&amp;K$14&amp;"|"&amp;"CY2023Q3",Spectrum!$R:$R,0)),0),""))</f>
        <v>1585</v>
      </c>
      <c r="L142" s="42" t="str">
        <f>IF(LEFT($B142,4)="_Mil","",_xlfn.IFNA(ROUND(INDEX(Spectrum!$N:$N,MATCH(RIGHT($B142,13)&amp;"|"&amp;$C142&amp;"|"&amp;$D142&amp;"|"&amp;L$14&amp;"|"&amp;"CY2023Q3",Spectrum!$R:$R,0)),0),""))</f>
        <v/>
      </c>
      <c r="M142" s="42">
        <f>IF(LEFT($B142,4)="_Mil","",_xlfn.IFNA(ROUND(INDEX(Spectrum!$N:$N,MATCH(RIGHT($B142,13)&amp;"|"&amp;$C142&amp;"|"&amp;$D142&amp;"|"&amp;M$14&amp;"|"&amp;"CY2023Q3",Spectrum!$R:$R,0)),0),""))</f>
        <v>627</v>
      </c>
      <c r="N142" s="42">
        <f>IF(LEFT($B142,4)="_Mil","",_xlfn.IFNA(ROUND(INDEX(Spectrum!$N:$N,MATCH(RIGHT($B142,13)&amp;"|"&amp;$C142&amp;"|"&amp;$D142&amp;"|"&amp;N$14&amp;"|"&amp;"CY2023Q3",Spectrum!$R:$R,0)),0),""))</f>
        <v>1295</v>
      </c>
      <c r="O142" s="42">
        <f>IF(LEFT($B142,4)="_Mil","",_xlfn.IFNA(ROUND(INDEX(Spectrum!$N:$N,MATCH(RIGHT($B142,13)&amp;"|"&amp;$C142&amp;"|"&amp;$D142&amp;"|"&amp;O$14&amp;"|"&amp;"CY2023Q3",Spectrum!$R:$R,0)),0),""))</f>
        <v>1665</v>
      </c>
      <c r="P142" s="42">
        <f>IF(LEFT($B142,4)="_Mil","",_xlfn.IFNA(ROUND(INDEX(Spectrum!$N:$N,MATCH(RIGHT($B142,13)&amp;"|"&amp;$C142&amp;"|"&amp;$D142&amp;"|"&amp;P$14&amp;"|"&amp;"CY2023Q3",Spectrum!$R:$R,0)),0),""))</f>
        <v>665</v>
      </c>
      <c r="Q142" s="42" t="str">
        <f>IF(LEFT($B142,4)="_Mil","",_xlfn.IFNA(ROUND(INDEX(Spectrum!$N:$N,MATCH(RIGHT($B142,13)&amp;"|"&amp;$C142&amp;"|"&amp;$D142&amp;"|"&amp;Q$14&amp;"|"&amp;"CY2022Q3",Spectrum!$R:$R,0)),0),""))</f>
        <v/>
      </c>
      <c r="R142" s="14"/>
      <c r="S142" s="90">
        <f>0</f>
        <v>0</v>
      </c>
      <c r="T142" s="42" t="str">
        <f t="shared" si="85"/>
        <v/>
      </c>
      <c r="U142" s="90">
        <f t="shared" si="86"/>
        <v>0</v>
      </c>
      <c r="V142" s="42" t="str">
        <f t="shared" si="87"/>
        <v/>
      </c>
      <c r="W142" s="90"/>
      <c r="X142" s="90">
        <f t="shared" si="88"/>
        <v>0</v>
      </c>
      <c r="Y142" s="90"/>
      <c r="Z142" s="90">
        <f t="shared" si="89"/>
        <v>0</v>
      </c>
      <c r="AA142" s="14" t="str">
        <f t="shared" si="90"/>
        <v/>
      </c>
      <c r="AB142" s="42" t="str">
        <f t="shared" si="91"/>
        <v/>
      </c>
      <c r="AC142" s="42" t="str">
        <f t="shared" si="92"/>
        <v/>
      </c>
      <c r="AD142" s="42" t="str">
        <f t="shared" si="93"/>
        <v/>
      </c>
      <c r="AE142" s="14" t="str">
        <f t="shared" si="94"/>
        <v/>
      </c>
      <c r="AF142" s="42" t="str">
        <f t="shared" si="95"/>
        <v/>
      </c>
      <c r="AG142" s="42" t="str">
        <f t="shared" si="96"/>
        <v/>
      </c>
      <c r="AH142" s="42" t="str">
        <f t="shared" si="97"/>
        <v/>
      </c>
      <c r="AI142" s="90" t="str">
        <f>IF(SUM($AC142)=0,"",INDEX(Cascade!$BG:$BG,MATCH($E142,Cascade!$E:$E,0)))</f>
        <v/>
      </c>
      <c r="AJ142" s="42" t="str">
        <f t="shared" si="98"/>
        <v/>
      </c>
      <c r="AK142" s="42" t="str">
        <f t="shared" si="99"/>
        <v/>
      </c>
      <c r="AL142" s="42" t="str">
        <f t="shared" si="100"/>
        <v/>
      </c>
      <c r="AM142" s="42" t="str">
        <f t="shared" si="101"/>
        <v/>
      </c>
      <c r="AN142" s="42" t="str">
        <f t="shared" si="102"/>
        <v/>
      </c>
      <c r="AO142" s="14" t="str">
        <f t="shared" si="103"/>
        <v/>
      </c>
      <c r="AP142" s="90"/>
      <c r="AQ142" s="90" t="str">
        <f t="shared" si="104"/>
        <v/>
      </c>
      <c r="AR142" s="90" t="str">
        <f>IF(SUM($AO142)=0,"",INDEX(Cascade!$BG:$BG,MATCH($E142,Cascade!$E:$E,0)))</f>
        <v/>
      </c>
      <c r="AS142" s="42" t="str">
        <f t="shared" si="105"/>
        <v/>
      </c>
      <c r="AT142" s="42" t="str">
        <f t="shared" si="106"/>
        <v/>
      </c>
      <c r="AU142" s="14" t="str">
        <f t="shared" si="107"/>
        <v/>
      </c>
      <c r="AV142" s="14" t="str">
        <f t="shared" si="108"/>
        <v/>
      </c>
      <c r="AW142" s="14" t="str">
        <f>IFERROR(1/(1/INDEX(Cascade!$BH:$BH,MATCH($E142,Cascade!$E:$E,0))),"")</f>
        <v/>
      </c>
      <c r="AX142" s="14" t="str">
        <f t="shared" si="109"/>
        <v/>
      </c>
      <c r="AY142" s="14" t="str">
        <f t="shared" si="110"/>
        <v/>
      </c>
      <c r="AZ142" s="14" t="str">
        <f>IFERROR(1/(1/INDEX(TB!$P:$P,MATCH($E142,TB!$E:$E,0))),"")</f>
        <v/>
      </c>
      <c r="BA142" s="14" t="str">
        <f t="shared" si="111"/>
        <v/>
      </c>
    </row>
    <row r="143" spans="1:53" x14ac:dyDescent="0.2">
      <c r="A143" t="str">
        <f>INDEX(Prioritization!$D:$D,MATCH($B143,Prioritization!$A:$A,0))</f>
        <v>INVALID</v>
      </c>
      <c r="B143" t="s">
        <v>218</v>
      </c>
      <c r="C143" t="s">
        <v>366</v>
      </c>
      <c r="D143" t="s">
        <v>29</v>
      </c>
      <c r="E143" t="str">
        <f t="shared" ref="E143:E174" si="112">B143&amp;"|"&amp;C143&amp;"|"&amp;D143</f>
        <v>Nsanje District [rpw540fmNUz]|35-49|Female</v>
      </c>
      <c r="F143" s="14">
        <f>IF(LEFT($B143,4)="_Mil","",INDEX(Cascade!$T:$T,MATCH($E143,Cascade!$E:$E,0)))</f>
        <v>1282</v>
      </c>
      <c r="G143" s="14" t="str">
        <f>IF(LEFT($B143,4)="_Mil","",INDEX(Cascade!$U:$U,MATCH($E143,Cascade!$E:$E,0)))</f>
        <v/>
      </c>
      <c r="H143" s="88">
        <f>IF(LEFT($B143,4)="_Mil","",INDEX(Cascade!$W:$W,MATCH($E143,Cascade!$E:$E,0)))</f>
        <v>701</v>
      </c>
      <c r="I143" s="14">
        <f>IF(LEFT($B143,4)="_Mil","",INDEX(Cascade!$Z:$Z,MATCH($E143,Cascade!$E:$E,0)))</f>
        <v>1442</v>
      </c>
      <c r="J143" s="90">
        <f>IF(LEFT($B143,4)="_Mil","",INDEX(Cascade!$AA:$AA,MATCH($E143,Cascade!$E:$E,0)))</f>
        <v>1027</v>
      </c>
      <c r="K143" s="42">
        <f>IF(LEFT($B143,4)="_Mil","",_xlfn.IFNA(ROUND(INDEX(Spectrum!$N:$N,MATCH(RIGHT($B143,13)&amp;"|"&amp;$C143&amp;"|"&amp;$D143&amp;"|"&amp;K$14&amp;"|"&amp;"CY2023Q3",Spectrum!$R:$R,0)),0),""))</f>
        <v>955</v>
      </c>
      <c r="L143" s="42" t="str">
        <f>IF(LEFT($B143,4)="_Mil","",_xlfn.IFNA(ROUND(INDEX(Spectrum!$N:$N,MATCH(RIGHT($B143,13)&amp;"|"&amp;$C143&amp;"|"&amp;$D143&amp;"|"&amp;L$14&amp;"|"&amp;"CY2023Q3",Spectrum!$R:$R,0)),0),""))</f>
        <v/>
      </c>
      <c r="M143" s="42">
        <f>IF(LEFT($B143,4)="_Mil","",_xlfn.IFNA(ROUND(INDEX(Spectrum!$N:$N,MATCH(RIGHT($B143,13)&amp;"|"&amp;$C143&amp;"|"&amp;$D143&amp;"|"&amp;M$14&amp;"|"&amp;"CY2023Q3",Spectrum!$R:$R,0)),0),""))</f>
        <v>1382</v>
      </c>
      <c r="N143" s="42">
        <f>IF(LEFT($B143,4)="_Mil","",_xlfn.IFNA(ROUND(INDEX(Spectrum!$N:$N,MATCH(RIGHT($B143,13)&amp;"|"&amp;$C143&amp;"|"&amp;$D143&amp;"|"&amp;N$14&amp;"|"&amp;"CY2023Q3",Spectrum!$R:$R,0)),0),""))</f>
        <v>833</v>
      </c>
      <c r="O143" s="42">
        <f>IF(LEFT($B143,4)="_Mil","",_xlfn.IFNA(ROUND(INDEX(Spectrum!$N:$N,MATCH(RIGHT($B143,13)&amp;"|"&amp;$C143&amp;"|"&amp;$D143&amp;"|"&amp;O$14&amp;"|"&amp;"CY2023Q3",Spectrum!$R:$R,0)),0),""))</f>
        <v>713</v>
      </c>
      <c r="P143" s="42">
        <f>IF(LEFT($B143,4)="_Mil","",_xlfn.IFNA(ROUND(INDEX(Spectrum!$N:$N,MATCH(RIGHT($B143,13)&amp;"|"&amp;$C143&amp;"|"&amp;$D143&amp;"|"&amp;P$14&amp;"|"&amp;"CY2023Q3",Spectrum!$R:$R,0)),0),""))</f>
        <v>1936</v>
      </c>
      <c r="Q143" s="42" t="str">
        <f>IF(LEFT($B143,4)="_Mil","",_xlfn.IFNA(ROUND(INDEX(Spectrum!$N:$N,MATCH(RIGHT($B143,13)&amp;"|"&amp;$C143&amp;"|"&amp;$D143&amp;"|"&amp;Q$14&amp;"|"&amp;"CY2022Q3",Spectrum!$R:$R,0)),0),""))</f>
        <v/>
      </c>
      <c r="R143" s="14"/>
      <c r="S143" s="90">
        <f>0</f>
        <v>0</v>
      </c>
      <c r="T143" s="42" t="str">
        <f t="shared" ref="T143:T159" si="113">IF(SUM($R143)=0,"",ROUND($R143*(1+$S143),0))</f>
        <v/>
      </c>
      <c r="U143" s="90">
        <f t="shared" ref="U143:U159" si="114">IF(LEFT($B143,4)="_Mil","",IF(SUM($K143)=0,IF(SUM($R143)=0,"",1),MIN($R143/$K143,1)))</f>
        <v>0</v>
      </c>
      <c r="V143" s="42" t="str">
        <f t="shared" ref="V143:V159" si="115">IF(OR(SUM($T143)=0,LEFT($B143,4)="_Mil"),"",ROUND($T143/$U143,0))</f>
        <v/>
      </c>
      <c r="W143" s="90"/>
      <c r="X143" s="90">
        <f t="shared" ref="X143:X159" si="116">IF(SUM($K143,$W143)=0,"",MAX(IFERROR(SUM($L143)/$K143,0),SUM($W143)))</f>
        <v>0</v>
      </c>
      <c r="Y143" s="90"/>
      <c r="Z143" s="90">
        <f t="shared" ref="Z143:Z159" si="117">IF(SUM($K143,$Y143)=0,"",MIN(SUM($Y143),IFERROR(SUM($M143)/(SUM($K143)-SUM($L143)),1)))</f>
        <v>0</v>
      </c>
      <c r="AA143" s="14" t="str">
        <f t="shared" ref="AA143:AA159" si="118">$T143</f>
        <v/>
      </c>
      <c r="AB143" s="42" t="str">
        <f t="shared" ref="AB143:AB159" si="119">IF(SUM($AA143)=0,"",IF(AND(SUM($AA143)&gt;0,$X143=""),"ENTER KNOWN POSITIVITY RATE",ROUND($AA143*$X143,0)))</f>
        <v/>
      </c>
      <c r="AC143" s="42" t="str">
        <f t="shared" ref="AC143:AC159" si="120">IF(SUM($AA143)=0,"",IF(AND((SUM($AA143)-SUM($AB143))&gt;0,$Z143=""),"ENTER YIELD RATE",ROUND(($AA143-SUM($AB143))*$Z143,0)))</f>
        <v/>
      </c>
      <c r="AD143" s="42" t="str">
        <f t="shared" ref="AD143:AD159" si="121">IF(SUM($AA143)=0,"",$AA143-SUM($AB143)-SUM($AC143))</f>
        <v/>
      </c>
      <c r="AE143" s="14" t="str">
        <f t="shared" ref="AE143:AE159" si="122">$V143</f>
        <v/>
      </c>
      <c r="AF143" s="42" t="str">
        <f t="shared" ref="AF143:AF159" si="123">IF(SUM($AE143)=0,"",ROUND($AE143*SUM($X143),0))</f>
        <v/>
      </c>
      <c r="AG143" s="42" t="str">
        <f t="shared" ref="AG143:AG159" si="124">IF(SUM($AE143)=0,"",ROUND(($AE143-SUM($AF143))*SUM($Z143),0))</f>
        <v/>
      </c>
      <c r="AH143" s="42" t="str">
        <f t="shared" ref="AH143:AH159" si="125">IF(SUM($AE143)=0,"",$AE143-SUM($AF143)-SUM($AG143))</f>
        <v/>
      </c>
      <c r="AI143" s="90" t="str">
        <f>IF(SUM($AC143)=0,"",INDEX(Cascade!$BG:$BG,MATCH($E143,Cascade!$E:$E,0)))</f>
        <v/>
      </c>
      <c r="AJ143" s="42" t="str">
        <f t="shared" ref="AJ143:AJ159" si="126">$AB143</f>
        <v/>
      </c>
      <c r="AK143" s="42" t="str">
        <f t="shared" ref="AK143:AK159" si="127">IF(SUM($AC143)=0,"",IF(AND($AI143="",SUM($AC143)&gt;0),"&lt;- Enter Linkage Rate",ROUND($AC143*$AI143,0)))</f>
        <v/>
      </c>
      <c r="AL143" s="42" t="str">
        <f t="shared" ref="AL143:AL159" si="128">IF(SUM($AF143,$AG143)=0,"",SUM($AF143,$AG143))</f>
        <v/>
      </c>
      <c r="AM143" s="42" t="str">
        <f t="shared" ref="AM143:AM159" si="129">$AF143</f>
        <v/>
      </c>
      <c r="AN143" s="42" t="str">
        <f t="shared" ref="AN143:AN159" si="130">IF(SUM($AG143)=0,"",ROUND($AG143*SUM($AI143),0))</f>
        <v/>
      </c>
      <c r="AO143" s="14" t="str">
        <f t="shared" ref="AO143:AO159" si="131">IFERROR(1/(1/MAX(SUM($T143)-SUM($AB143,$AC143),$AD143)),"")</f>
        <v/>
      </c>
      <c r="AP143" s="90"/>
      <c r="AQ143" s="90" t="str">
        <f t="shared" ref="AQ143:AQ159" si="132">IF($AP143="","",$AP143)</f>
        <v/>
      </c>
      <c r="AR143" s="90" t="str">
        <f>IF(SUM($AO143)=0,"",INDEX(Cascade!$BG:$BG,MATCH($E143,Cascade!$E:$E,0)))</f>
        <v/>
      </c>
      <c r="AS143" s="42" t="str">
        <f t="shared" ref="AS143:AS159" si="133">IF(SUM($AO143)=0,"",IF(AND(SUM($AO143)&gt;0,$AQ143=""),"ENTER YIELD RATE",ROUND($AO143*$AQ143,0)))</f>
        <v/>
      </c>
      <c r="AT143" s="42" t="str">
        <f t="shared" ref="AT143:AT159" si="134">IF(SUM($AO143)=0,"",$AO143-SUM($AS143))</f>
        <v/>
      </c>
      <c r="AU143" s="14" t="str">
        <f t="shared" ref="AU143:AU159" si="135">IF(SUM($AS143)=0,"",ROUND($AS143*$AR143,0))</f>
        <v/>
      </c>
      <c r="AV143" s="14" t="str">
        <f t="shared" ref="AV143:AV159" si="136">IFERROR(1/(1/SUM($AC143,$AB143,$AS143)),"")</f>
        <v/>
      </c>
      <c r="AW143" s="14" t="str">
        <f>IFERROR(1/(1/INDEX(Cascade!$BH:$BH,MATCH($E143,Cascade!$E:$E,0))),"")</f>
        <v/>
      </c>
      <c r="AX143" s="14" t="str">
        <f t="shared" ref="AX143:AX159" si="137">IF(SUM($AC143)=0,"",$AC143)</f>
        <v/>
      </c>
      <c r="AY143" s="14" t="str">
        <f t="shared" ref="AY143:AY159" si="138">IF(SUM($AS143)=0,"",$AS143)</f>
        <v/>
      </c>
      <c r="AZ143" s="14" t="str">
        <f>IFERROR(1/(1/INDEX(TB!$P:$P,MATCH($E143,TB!$E:$E,0))),"")</f>
        <v/>
      </c>
      <c r="BA143" s="14" t="str">
        <f t="shared" ref="BA143:BA159" si="139">IFERROR(1/(1/(SUM($AW143)-SUM($AX143:$AZ143))),"")</f>
        <v/>
      </c>
    </row>
    <row r="144" spans="1:53" x14ac:dyDescent="0.2">
      <c r="A144" t="str">
        <f>INDEX(Prioritization!$D:$D,MATCH($B144,Prioritization!$A:$A,0))</f>
        <v>INVALID</v>
      </c>
      <c r="B144" t="s">
        <v>218</v>
      </c>
      <c r="C144" t="s">
        <v>367</v>
      </c>
      <c r="D144" t="s">
        <v>29</v>
      </c>
      <c r="E144" t="str">
        <f t="shared" si="112"/>
        <v>Nsanje District [rpw540fmNUz]|50+|Female</v>
      </c>
      <c r="F144" s="14">
        <f>IF(LEFT($B144,4)="_Mil","",INDEX(Cascade!$T:$T,MATCH($E144,Cascade!$E:$E,0)))</f>
        <v>599</v>
      </c>
      <c r="G144" s="14" t="str">
        <f>IF(LEFT($B144,4)="_Mil","",INDEX(Cascade!$U:$U,MATCH($E144,Cascade!$E:$E,0)))</f>
        <v/>
      </c>
      <c r="H144" s="88">
        <f>IF(LEFT($B144,4)="_Mil","",INDEX(Cascade!$W:$W,MATCH($E144,Cascade!$E:$E,0)))</f>
        <v>1864</v>
      </c>
      <c r="I144" s="14">
        <f>IF(LEFT($B144,4)="_Mil","",INDEX(Cascade!$Z:$Z,MATCH($E144,Cascade!$E:$E,0)))</f>
        <v>605</v>
      </c>
      <c r="J144" s="90">
        <f>IF(LEFT($B144,4)="_Mil","",INDEX(Cascade!$AA:$AA,MATCH($E144,Cascade!$E:$E,0)))</f>
        <v>1563.9999999999998</v>
      </c>
      <c r="K144" s="42" t="str">
        <f>IF(LEFT($B144,4)="_Mil","",_xlfn.IFNA(ROUND(INDEX(Spectrum!$N:$N,MATCH(RIGHT($B144,13)&amp;"|"&amp;$C144&amp;"|"&amp;$D144&amp;"|"&amp;K$14&amp;"|"&amp;"CY2023Q3",Spectrum!$R:$R,0)),0),""))</f>
        <v/>
      </c>
      <c r="L144" s="42" t="str">
        <f>IF(LEFT($B144,4)="_Mil","",_xlfn.IFNA(ROUND(INDEX(Spectrum!$N:$N,MATCH(RIGHT($B144,13)&amp;"|"&amp;$C144&amp;"|"&amp;$D144&amp;"|"&amp;L$14&amp;"|"&amp;"CY2023Q3",Spectrum!$R:$R,0)),0),""))</f>
        <v/>
      </c>
      <c r="M144" s="42" t="str">
        <f>IF(LEFT($B144,4)="_Mil","",_xlfn.IFNA(ROUND(INDEX(Spectrum!$N:$N,MATCH(RIGHT($B144,13)&amp;"|"&amp;$C144&amp;"|"&amp;$D144&amp;"|"&amp;M$14&amp;"|"&amp;"CY2023Q3",Spectrum!$R:$R,0)),0),""))</f>
        <v/>
      </c>
      <c r="N144" s="42" t="str">
        <f>IF(LEFT($B144,4)="_Mil","",_xlfn.IFNA(ROUND(INDEX(Spectrum!$N:$N,MATCH(RIGHT($B144,13)&amp;"|"&amp;$C144&amp;"|"&amp;$D144&amp;"|"&amp;N$14&amp;"|"&amp;"CY2023Q3",Spectrum!$R:$R,0)),0),""))</f>
        <v/>
      </c>
      <c r="O144" s="42" t="str">
        <f>IF(LEFT($B144,4)="_Mil","",_xlfn.IFNA(ROUND(INDEX(Spectrum!$N:$N,MATCH(RIGHT($B144,13)&amp;"|"&amp;$C144&amp;"|"&amp;$D144&amp;"|"&amp;O$14&amp;"|"&amp;"CY2023Q3",Spectrum!$R:$R,0)),0),""))</f>
        <v/>
      </c>
      <c r="P144" s="42" t="str">
        <f>IF(LEFT($B144,4)="_Mil","",_xlfn.IFNA(ROUND(INDEX(Spectrum!$N:$N,MATCH(RIGHT($B144,13)&amp;"|"&amp;$C144&amp;"|"&amp;$D144&amp;"|"&amp;P$14&amp;"|"&amp;"CY2023Q3",Spectrum!$R:$R,0)),0),""))</f>
        <v/>
      </c>
      <c r="Q144" s="42" t="str">
        <f>IF(LEFT($B144,4)="_Mil","",_xlfn.IFNA(ROUND(INDEX(Spectrum!$N:$N,MATCH(RIGHT($B144,13)&amp;"|"&amp;$C144&amp;"|"&amp;$D144&amp;"|"&amp;Q$14&amp;"|"&amp;"CY2022Q3",Spectrum!$R:$R,0)),0),""))</f>
        <v/>
      </c>
      <c r="R144" s="14"/>
      <c r="S144" s="90">
        <f>0</f>
        <v>0</v>
      </c>
      <c r="T144" s="42" t="str">
        <f t="shared" si="113"/>
        <v/>
      </c>
      <c r="U144" s="90" t="str">
        <f t="shared" si="114"/>
        <v/>
      </c>
      <c r="V144" s="42" t="str">
        <f t="shared" si="115"/>
        <v/>
      </c>
      <c r="W144" s="90"/>
      <c r="X144" s="90" t="str">
        <f t="shared" si="116"/>
        <v/>
      </c>
      <c r="Y144" s="90"/>
      <c r="Z144" s="90" t="str">
        <f t="shared" si="117"/>
        <v/>
      </c>
      <c r="AA144" s="14" t="str">
        <f t="shared" si="118"/>
        <v/>
      </c>
      <c r="AB144" s="42" t="str">
        <f t="shared" si="119"/>
        <v/>
      </c>
      <c r="AC144" s="42" t="str">
        <f t="shared" si="120"/>
        <v/>
      </c>
      <c r="AD144" s="42" t="str">
        <f t="shared" si="121"/>
        <v/>
      </c>
      <c r="AE144" s="14" t="str">
        <f t="shared" si="122"/>
        <v/>
      </c>
      <c r="AF144" s="42" t="str">
        <f t="shared" si="123"/>
        <v/>
      </c>
      <c r="AG144" s="42" t="str">
        <f t="shared" si="124"/>
        <v/>
      </c>
      <c r="AH144" s="42" t="str">
        <f t="shared" si="125"/>
        <v/>
      </c>
      <c r="AI144" s="90" t="str">
        <f>IF(SUM($AC144)=0,"",INDEX(Cascade!$BG:$BG,MATCH($E144,Cascade!$E:$E,0)))</f>
        <v/>
      </c>
      <c r="AJ144" s="42" t="str">
        <f t="shared" si="126"/>
        <v/>
      </c>
      <c r="AK144" s="42" t="str">
        <f t="shared" si="127"/>
        <v/>
      </c>
      <c r="AL144" s="42" t="str">
        <f t="shared" si="128"/>
        <v/>
      </c>
      <c r="AM144" s="42" t="str">
        <f t="shared" si="129"/>
        <v/>
      </c>
      <c r="AN144" s="42" t="str">
        <f t="shared" si="130"/>
        <v/>
      </c>
      <c r="AO144" s="14" t="str">
        <f t="shared" si="131"/>
        <v/>
      </c>
      <c r="AP144" s="90"/>
      <c r="AQ144" s="90" t="str">
        <f t="shared" si="132"/>
        <v/>
      </c>
      <c r="AR144" s="90" t="str">
        <f>IF(SUM($AO144)=0,"",INDEX(Cascade!$BG:$BG,MATCH($E144,Cascade!$E:$E,0)))</f>
        <v/>
      </c>
      <c r="AS144" s="42" t="str">
        <f t="shared" si="133"/>
        <v/>
      </c>
      <c r="AT144" s="42" t="str">
        <f t="shared" si="134"/>
        <v/>
      </c>
      <c r="AU144" s="14" t="str">
        <f t="shared" si="135"/>
        <v/>
      </c>
      <c r="AV144" s="14" t="str">
        <f t="shared" si="136"/>
        <v/>
      </c>
      <c r="AW144" s="14" t="str">
        <f>IFERROR(1/(1/INDEX(Cascade!$BH:$BH,MATCH($E144,Cascade!$E:$E,0))),"")</f>
        <v/>
      </c>
      <c r="AX144" s="14" t="str">
        <f t="shared" si="137"/>
        <v/>
      </c>
      <c r="AY144" s="14" t="str">
        <f t="shared" si="138"/>
        <v/>
      </c>
      <c r="AZ144" s="14" t="str">
        <f>IFERROR(1/(1/INDEX(TB!$P:$P,MATCH($E144,TB!$E:$E,0))),"")</f>
        <v/>
      </c>
      <c r="BA144" s="14" t="str">
        <f t="shared" si="139"/>
        <v/>
      </c>
    </row>
    <row r="145" spans="1:53" x14ac:dyDescent="0.2">
      <c r="A145" t="str">
        <f>INDEX(Prioritization!$D:$D,MATCH($B145,Prioritization!$A:$A,0))</f>
        <v>INVALID</v>
      </c>
      <c r="B145" t="s">
        <v>219</v>
      </c>
      <c r="C145" t="s">
        <v>363</v>
      </c>
      <c r="D145" t="s">
        <v>29</v>
      </c>
      <c r="E145" t="str">
        <f t="shared" si="112"/>
        <v>Phalombe District [AZyWpGzhcaA]|10-14|Female</v>
      </c>
      <c r="F145" s="14">
        <f>IF(LEFT($B145,4)="_Mil","",INDEX(Cascade!$T:$T,MATCH($E145,Cascade!$E:$E,0)))</f>
        <v>678</v>
      </c>
      <c r="G145" s="14" t="str">
        <f>IF(LEFT($B145,4)="_Mil","",INDEX(Cascade!$U:$U,MATCH($E145,Cascade!$E:$E,0)))</f>
        <v/>
      </c>
      <c r="H145" s="88">
        <f>IF(LEFT($B145,4)="_Mil","",INDEX(Cascade!$W:$W,MATCH($E145,Cascade!$E:$E,0)))</f>
        <v>1592</v>
      </c>
      <c r="I145" s="14">
        <f>IF(LEFT($B145,4)="_Mil","",INDEX(Cascade!$Z:$Z,MATCH($E145,Cascade!$E:$E,0)))</f>
        <v>1484</v>
      </c>
      <c r="J145" s="90">
        <f>IF(LEFT($B145,4)="_Mil","",INDEX(Cascade!$AA:$AA,MATCH($E145,Cascade!$E:$E,0)))</f>
        <v>858</v>
      </c>
      <c r="K145" s="42" t="str">
        <f>IF(LEFT($B145,4)="_Mil","",_xlfn.IFNA(ROUND(INDEX(Spectrum!$N:$N,MATCH(RIGHT($B145,13)&amp;"|"&amp;$C145&amp;"|"&amp;$D145&amp;"|"&amp;K$14&amp;"|"&amp;"CY2023Q3",Spectrum!$R:$R,0)),0),""))</f>
        <v/>
      </c>
      <c r="L145" s="42" t="str">
        <f>IF(LEFT($B145,4)="_Mil","",_xlfn.IFNA(ROUND(INDEX(Spectrum!$N:$N,MATCH(RIGHT($B145,13)&amp;"|"&amp;$C145&amp;"|"&amp;$D145&amp;"|"&amp;L$14&amp;"|"&amp;"CY2023Q3",Spectrum!$R:$R,0)),0),""))</f>
        <v/>
      </c>
      <c r="M145" s="42" t="str">
        <f>IF(LEFT($B145,4)="_Mil","",_xlfn.IFNA(ROUND(INDEX(Spectrum!$N:$N,MATCH(RIGHT($B145,13)&amp;"|"&amp;$C145&amp;"|"&amp;$D145&amp;"|"&amp;M$14&amp;"|"&amp;"CY2023Q3",Spectrum!$R:$R,0)),0),""))</f>
        <v/>
      </c>
      <c r="N145" s="42" t="str">
        <f>IF(LEFT($B145,4)="_Mil","",_xlfn.IFNA(ROUND(INDEX(Spectrum!$N:$N,MATCH(RIGHT($B145,13)&amp;"|"&amp;$C145&amp;"|"&amp;$D145&amp;"|"&amp;N$14&amp;"|"&amp;"CY2023Q3",Spectrum!$R:$R,0)),0),""))</f>
        <v/>
      </c>
      <c r="O145" s="42" t="str">
        <f>IF(LEFT($B145,4)="_Mil","",_xlfn.IFNA(ROUND(INDEX(Spectrum!$N:$N,MATCH(RIGHT($B145,13)&amp;"|"&amp;$C145&amp;"|"&amp;$D145&amp;"|"&amp;O$14&amp;"|"&amp;"CY2023Q3",Spectrum!$R:$R,0)),0),""))</f>
        <v/>
      </c>
      <c r="P145" s="42" t="str">
        <f>IF(LEFT($B145,4)="_Mil","",_xlfn.IFNA(ROUND(INDEX(Spectrum!$N:$N,MATCH(RIGHT($B145,13)&amp;"|"&amp;$C145&amp;"|"&amp;$D145&amp;"|"&amp;P$14&amp;"|"&amp;"CY2023Q3",Spectrum!$R:$R,0)),0),""))</f>
        <v/>
      </c>
      <c r="Q145" s="42" t="str">
        <f>IF(LEFT($B145,4)="_Mil","",_xlfn.IFNA(ROUND(INDEX(Spectrum!$N:$N,MATCH(RIGHT($B145,13)&amp;"|"&amp;$C145&amp;"|"&amp;$D145&amp;"|"&amp;Q$14&amp;"|"&amp;"CY2022Q3",Spectrum!$R:$R,0)),0),""))</f>
        <v/>
      </c>
      <c r="R145" s="14">
        <v>4</v>
      </c>
      <c r="S145" s="90">
        <f>0</f>
        <v>0</v>
      </c>
      <c r="T145" s="42">
        <f t="shared" si="113"/>
        <v>4</v>
      </c>
      <c r="U145" s="90">
        <f t="shared" si="114"/>
        <v>1</v>
      </c>
      <c r="V145" s="42">
        <f t="shared" si="115"/>
        <v>4</v>
      </c>
      <c r="W145" s="90">
        <v>0.65415610629133902</v>
      </c>
      <c r="X145" s="90">
        <f t="shared" si="116"/>
        <v>0.65415610629133902</v>
      </c>
      <c r="Y145" s="90"/>
      <c r="Z145" s="90" t="str">
        <f t="shared" si="117"/>
        <v/>
      </c>
      <c r="AA145" s="14">
        <f t="shared" si="118"/>
        <v>4</v>
      </c>
      <c r="AB145" s="42">
        <f t="shared" si="119"/>
        <v>3</v>
      </c>
      <c r="AC145" s="42" t="str">
        <f t="shared" si="120"/>
        <v>ENTER YIELD RATE</v>
      </c>
      <c r="AD145" s="42">
        <f t="shared" si="121"/>
        <v>1</v>
      </c>
      <c r="AE145" s="14">
        <f t="shared" si="122"/>
        <v>4</v>
      </c>
      <c r="AF145" s="42">
        <f t="shared" si="123"/>
        <v>3</v>
      </c>
      <c r="AG145" s="42">
        <f t="shared" si="124"/>
        <v>0</v>
      </c>
      <c r="AH145" s="42">
        <f t="shared" si="125"/>
        <v>1</v>
      </c>
      <c r="AI145" s="90" t="str">
        <f>IF(SUM($AC145)=0,"",INDEX(Cascade!$BG:$BG,MATCH($E145,Cascade!$E:$E,0)))</f>
        <v/>
      </c>
      <c r="AJ145" s="42">
        <f t="shared" si="126"/>
        <v>3</v>
      </c>
      <c r="AK145" s="42" t="str">
        <f t="shared" si="127"/>
        <v/>
      </c>
      <c r="AL145" s="42">
        <f t="shared" si="128"/>
        <v>3</v>
      </c>
      <c r="AM145" s="42">
        <f t="shared" si="129"/>
        <v>3</v>
      </c>
      <c r="AN145" s="42" t="str">
        <f t="shared" si="130"/>
        <v/>
      </c>
      <c r="AO145" s="14">
        <f t="shared" si="131"/>
        <v>1</v>
      </c>
      <c r="AP145" s="90"/>
      <c r="AQ145" s="90" t="str">
        <f t="shared" si="132"/>
        <v/>
      </c>
      <c r="AR145" s="90">
        <f>IF(SUM($AO145)=0,"",INDEX(Cascade!$BG:$BG,MATCH($E145,Cascade!$E:$E,0)))</f>
        <v>0.95</v>
      </c>
      <c r="AS145" s="42" t="str">
        <f t="shared" si="133"/>
        <v>ENTER YIELD RATE</v>
      </c>
      <c r="AT145" s="42">
        <f t="shared" si="134"/>
        <v>1</v>
      </c>
      <c r="AU145" s="14" t="str">
        <f t="shared" si="135"/>
        <v/>
      </c>
      <c r="AV145" s="14">
        <f t="shared" si="136"/>
        <v>3</v>
      </c>
      <c r="AW145" s="14">
        <f>IFERROR(1/(1/INDEX(Cascade!$BH:$BH,MATCH($E145,Cascade!$E:$E,0))),"")</f>
        <v>-68</v>
      </c>
      <c r="AX145" s="14" t="str">
        <f t="shared" si="137"/>
        <v/>
      </c>
      <c r="AY145" s="14" t="str">
        <f t="shared" si="138"/>
        <v/>
      </c>
      <c r="AZ145" s="14" t="str">
        <f>IFERROR(1/(1/INDEX(TB!$P:$P,MATCH($E145,TB!$E:$E,0))),"")</f>
        <v/>
      </c>
      <c r="BA145" s="14">
        <f t="shared" si="139"/>
        <v>-68</v>
      </c>
    </row>
    <row r="146" spans="1:53" x14ac:dyDescent="0.2">
      <c r="A146" t="str">
        <f>INDEX(Prioritization!$D:$D,MATCH($B146,Prioritization!$A:$A,0))</f>
        <v>INVALID</v>
      </c>
      <c r="B146" t="s">
        <v>219</v>
      </c>
      <c r="C146" t="s">
        <v>364</v>
      </c>
      <c r="D146" t="s">
        <v>29</v>
      </c>
      <c r="E146" t="str">
        <f t="shared" si="112"/>
        <v>Phalombe District [AZyWpGzhcaA]|15-24|Female</v>
      </c>
      <c r="F146" s="14">
        <f>IF(LEFT($B146,4)="_Mil","",INDEX(Cascade!$T:$T,MATCH($E146,Cascade!$E:$E,0)))</f>
        <v>794</v>
      </c>
      <c r="G146" s="14" t="str">
        <f>IF(LEFT($B146,4)="_Mil","",INDEX(Cascade!$U:$U,MATCH($E146,Cascade!$E:$E,0)))</f>
        <v/>
      </c>
      <c r="H146" s="88">
        <f>IF(LEFT($B146,4)="_Mil","",INDEX(Cascade!$W:$W,MATCH($E146,Cascade!$E:$E,0)))</f>
        <v>1015</v>
      </c>
      <c r="I146" s="14">
        <f>IF(LEFT($B146,4)="_Mil","",INDEX(Cascade!$Z:$Z,MATCH($E146,Cascade!$E:$E,0)))</f>
        <v>652</v>
      </c>
      <c r="J146" s="90">
        <f>IF(LEFT($B146,4)="_Mil","",INDEX(Cascade!$AA:$AA,MATCH($E146,Cascade!$E:$E,0)))</f>
        <v>515</v>
      </c>
      <c r="K146" s="42">
        <f>IF(LEFT($B146,4)="_Mil","",_xlfn.IFNA(ROUND(INDEX(Spectrum!$N:$N,MATCH(RIGHT($B146,13)&amp;"|"&amp;$C146&amp;"|"&amp;$D146&amp;"|"&amp;K$14&amp;"|"&amp;"CY2023Q3",Spectrum!$R:$R,0)),0),""))</f>
        <v>1553</v>
      </c>
      <c r="L146" s="42" t="str">
        <f>IF(LEFT($B146,4)="_Mil","",_xlfn.IFNA(ROUND(INDEX(Spectrum!$N:$N,MATCH(RIGHT($B146,13)&amp;"|"&amp;$C146&amp;"|"&amp;$D146&amp;"|"&amp;L$14&amp;"|"&amp;"CY2023Q3",Spectrum!$R:$R,0)),0),""))</f>
        <v/>
      </c>
      <c r="M146" s="42">
        <f>IF(LEFT($B146,4)="_Mil","",_xlfn.IFNA(ROUND(INDEX(Spectrum!$N:$N,MATCH(RIGHT($B146,13)&amp;"|"&amp;$C146&amp;"|"&amp;$D146&amp;"|"&amp;M$14&amp;"|"&amp;"CY2023Q3",Spectrum!$R:$R,0)),0),""))</f>
        <v>1419</v>
      </c>
      <c r="N146" s="42">
        <f>IF(LEFT($B146,4)="_Mil","",_xlfn.IFNA(ROUND(INDEX(Spectrum!$N:$N,MATCH(RIGHT($B146,13)&amp;"|"&amp;$C146&amp;"|"&amp;$D146&amp;"|"&amp;N$14&amp;"|"&amp;"CY2023Q3",Spectrum!$R:$R,0)),0),""))</f>
        <v>1864</v>
      </c>
      <c r="O146" s="42">
        <f>IF(LEFT($B146,4)="_Mil","",_xlfn.IFNA(ROUND(INDEX(Spectrum!$N:$N,MATCH(RIGHT($B146,13)&amp;"|"&amp;$C146&amp;"|"&amp;$D146&amp;"|"&amp;O$14&amp;"|"&amp;"CY2023Q3",Spectrum!$R:$R,0)),0),""))</f>
        <v>1109</v>
      </c>
      <c r="P146" s="42">
        <f>IF(LEFT($B146,4)="_Mil","",_xlfn.IFNA(ROUND(INDEX(Spectrum!$N:$N,MATCH(RIGHT($B146,13)&amp;"|"&amp;$C146&amp;"|"&amp;$D146&amp;"|"&amp;P$14&amp;"|"&amp;"CY2023Q3",Spectrum!$R:$R,0)),0),""))</f>
        <v>1510</v>
      </c>
      <c r="Q146" s="42" t="str">
        <f>IF(LEFT($B146,4)="_Mil","",_xlfn.IFNA(ROUND(INDEX(Spectrum!$N:$N,MATCH(RIGHT($B146,13)&amp;"|"&amp;$C146&amp;"|"&amp;$D146&amp;"|"&amp;Q$14&amp;"|"&amp;"CY2022Q3",Spectrum!$R:$R,0)),0),""))</f>
        <v/>
      </c>
      <c r="R146" s="14"/>
      <c r="S146" s="90">
        <f>0</f>
        <v>0</v>
      </c>
      <c r="T146" s="42" t="str">
        <f t="shared" si="113"/>
        <v/>
      </c>
      <c r="U146" s="90">
        <f t="shared" si="114"/>
        <v>0</v>
      </c>
      <c r="V146" s="42" t="str">
        <f t="shared" si="115"/>
        <v/>
      </c>
      <c r="W146" s="90"/>
      <c r="X146" s="90">
        <f t="shared" si="116"/>
        <v>0</v>
      </c>
      <c r="Y146" s="90"/>
      <c r="Z146" s="90">
        <f t="shared" si="117"/>
        <v>0</v>
      </c>
      <c r="AA146" s="14" t="str">
        <f t="shared" si="118"/>
        <v/>
      </c>
      <c r="AB146" s="42" t="str">
        <f t="shared" si="119"/>
        <v/>
      </c>
      <c r="AC146" s="42" t="str">
        <f t="shared" si="120"/>
        <v/>
      </c>
      <c r="AD146" s="42" t="str">
        <f t="shared" si="121"/>
        <v/>
      </c>
      <c r="AE146" s="14" t="str">
        <f t="shared" si="122"/>
        <v/>
      </c>
      <c r="AF146" s="42" t="str">
        <f t="shared" si="123"/>
        <v/>
      </c>
      <c r="AG146" s="42" t="str">
        <f t="shared" si="124"/>
        <v/>
      </c>
      <c r="AH146" s="42" t="str">
        <f t="shared" si="125"/>
        <v/>
      </c>
      <c r="AI146" s="90" t="str">
        <f>IF(SUM($AC146)=0,"",INDEX(Cascade!$BG:$BG,MATCH($E146,Cascade!$E:$E,0)))</f>
        <v/>
      </c>
      <c r="AJ146" s="42" t="str">
        <f t="shared" si="126"/>
        <v/>
      </c>
      <c r="AK146" s="42" t="str">
        <f t="shared" si="127"/>
        <v/>
      </c>
      <c r="AL146" s="42" t="str">
        <f t="shared" si="128"/>
        <v/>
      </c>
      <c r="AM146" s="42" t="str">
        <f t="shared" si="129"/>
        <v/>
      </c>
      <c r="AN146" s="42" t="str">
        <f t="shared" si="130"/>
        <v/>
      </c>
      <c r="AO146" s="14" t="str">
        <f t="shared" si="131"/>
        <v/>
      </c>
      <c r="AP146" s="90"/>
      <c r="AQ146" s="90" t="str">
        <f t="shared" si="132"/>
        <v/>
      </c>
      <c r="AR146" s="90" t="str">
        <f>IF(SUM($AO146)=0,"",INDEX(Cascade!$BG:$BG,MATCH($E146,Cascade!$E:$E,0)))</f>
        <v/>
      </c>
      <c r="AS146" s="42" t="str">
        <f t="shared" si="133"/>
        <v/>
      </c>
      <c r="AT146" s="42" t="str">
        <f t="shared" si="134"/>
        <v/>
      </c>
      <c r="AU146" s="14" t="str">
        <f t="shared" si="135"/>
        <v/>
      </c>
      <c r="AV146" s="14" t="str">
        <f t="shared" si="136"/>
        <v/>
      </c>
      <c r="AW146" s="14" t="str">
        <f>IFERROR(1/(1/INDEX(Cascade!$BH:$BH,MATCH($E146,Cascade!$E:$E,0))),"")</f>
        <v/>
      </c>
      <c r="AX146" s="14" t="str">
        <f t="shared" si="137"/>
        <v/>
      </c>
      <c r="AY146" s="14" t="str">
        <f t="shared" si="138"/>
        <v/>
      </c>
      <c r="AZ146" s="14" t="str">
        <f>IFERROR(1/(1/INDEX(TB!$P:$P,MATCH($E146,TB!$E:$E,0))),"")</f>
        <v/>
      </c>
      <c r="BA146" s="14" t="str">
        <f t="shared" si="139"/>
        <v/>
      </c>
    </row>
    <row r="147" spans="1:53" x14ac:dyDescent="0.2">
      <c r="A147" t="str">
        <f>INDEX(Prioritization!$D:$D,MATCH($B147,Prioritization!$A:$A,0))</f>
        <v>INVALID</v>
      </c>
      <c r="B147" t="s">
        <v>219</v>
      </c>
      <c r="C147" t="s">
        <v>365</v>
      </c>
      <c r="D147" t="s">
        <v>29</v>
      </c>
      <c r="E147" t="str">
        <f t="shared" si="112"/>
        <v>Phalombe District [AZyWpGzhcaA]|25-34|Female</v>
      </c>
      <c r="F147" s="14">
        <f>IF(LEFT($B147,4)="_Mil","",INDEX(Cascade!$T:$T,MATCH($E147,Cascade!$E:$E,0)))</f>
        <v>1593</v>
      </c>
      <c r="G147" s="14" t="str">
        <f>IF(LEFT($B147,4)="_Mil","",INDEX(Cascade!$U:$U,MATCH($E147,Cascade!$E:$E,0)))</f>
        <v/>
      </c>
      <c r="H147" s="88">
        <f>IF(LEFT($B147,4)="_Mil","",INDEX(Cascade!$W:$W,MATCH($E147,Cascade!$E:$E,0)))</f>
        <v>1352</v>
      </c>
      <c r="I147" s="14">
        <f>IF(LEFT($B147,4)="_Mil","",INDEX(Cascade!$Z:$Z,MATCH($E147,Cascade!$E:$E,0)))</f>
        <v>638</v>
      </c>
      <c r="J147" s="90">
        <f>IF(LEFT($B147,4)="_Mil","",INDEX(Cascade!$AA:$AA,MATCH($E147,Cascade!$E:$E,0)))</f>
        <v>1966</v>
      </c>
      <c r="K147" s="42">
        <f>IF(LEFT($B147,4)="_Mil","",_xlfn.IFNA(ROUND(INDEX(Spectrum!$N:$N,MATCH(RIGHT($B147,13)&amp;"|"&amp;$C147&amp;"|"&amp;$D147&amp;"|"&amp;K$14&amp;"|"&amp;"CY2023Q3",Spectrum!$R:$R,0)),0),""))</f>
        <v>1972</v>
      </c>
      <c r="L147" s="42" t="str">
        <f>IF(LEFT($B147,4)="_Mil","",_xlfn.IFNA(ROUND(INDEX(Spectrum!$N:$N,MATCH(RIGHT($B147,13)&amp;"|"&amp;$C147&amp;"|"&amp;$D147&amp;"|"&amp;L$14&amp;"|"&amp;"CY2023Q3",Spectrum!$R:$R,0)),0),""))</f>
        <v/>
      </c>
      <c r="M147" s="42">
        <f>IF(LEFT($B147,4)="_Mil","",_xlfn.IFNA(ROUND(INDEX(Spectrum!$N:$N,MATCH(RIGHT($B147,13)&amp;"|"&amp;$C147&amp;"|"&amp;$D147&amp;"|"&amp;M$14&amp;"|"&amp;"CY2023Q3",Spectrum!$R:$R,0)),0),""))</f>
        <v>1827</v>
      </c>
      <c r="N147" s="42">
        <f>IF(LEFT($B147,4)="_Mil","",_xlfn.IFNA(ROUND(INDEX(Spectrum!$N:$N,MATCH(RIGHT($B147,13)&amp;"|"&amp;$C147&amp;"|"&amp;$D147&amp;"|"&amp;N$14&amp;"|"&amp;"CY2023Q3",Spectrum!$R:$R,0)),0),""))</f>
        <v>1376</v>
      </c>
      <c r="O147" s="42">
        <f>IF(LEFT($B147,4)="_Mil","",_xlfn.IFNA(ROUND(INDEX(Spectrum!$N:$N,MATCH(RIGHT($B147,13)&amp;"|"&amp;$C147&amp;"|"&amp;$D147&amp;"|"&amp;O$14&amp;"|"&amp;"CY2023Q3",Spectrum!$R:$R,0)),0),""))</f>
        <v>504</v>
      </c>
      <c r="P147" s="42">
        <f>IF(LEFT($B147,4)="_Mil","",_xlfn.IFNA(ROUND(INDEX(Spectrum!$N:$N,MATCH(RIGHT($B147,13)&amp;"|"&amp;$C147&amp;"|"&amp;$D147&amp;"|"&amp;P$14&amp;"|"&amp;"CY2023Q3",Spectrum!$R:$R,0)),0),""))</f>
        <v>713</v>
      </c>
      <c r="Q147" s="42" t="str">
        <f>IF(LEFT($B147,4)="_Mil","",_xlfn.IFNA(ROUND(INDEX(Spectrum!$N:$N,MATCH(RIGHT($B147,13)&amp;"|"&amp;$C147&amp;"|"&amp;$D147&amp;"|"&amp;Q$14&amp;"|"&amp;"CY2022Q3",Spectrum!$R:$R,0)),0),""))</f>
        <v/>
      </c>
      <c r="R147" s="14"/>
      <c r="S147" s="90">
        <f>0</f>
        <v>0</v>
      </c>
      <c r="T147" s="42" t="str">
        <f t="shared" si="113"/>
        <v/>
      </c>
      <c r="U147" s="90">
        <f t="shared" si="114"/>
        <v>0</v>
      </c>
      <c r="V147" s="42" t="str">
        <f t="shared" si="115"/>
        <v/>
      </c>
      <c r="W147" s="90"/>
      <c r="X147" s="90">
        <f t="shared" si="116"/>
        <v>0</v>
      </c>
      <c r="Y147" s="90"/>
      <c r="Z147" s="90">
        <f t="shared" si="117"/>
        <v>0</v>
      </c>
      <c r="AA147" s="14" t="str">
        <f t="shared" si="118"/>
        <v/>
      </c>
      <c r="AB147" s="42" t="str">
        <f t="shared" si="119"/>
        <v/>
      </c>
      <c r="AC147" s="42" t="str">
        <f t="shared" si="120"/>
        <v/>
      </c>
      <c r="AD147" s="42" t="str">
        <f t="shared" si="121"/>
        <v/>
      </c>
      <c r="AE147" s="14" t="str">
        <f t="shared" si="122"/>
        <v/>
      </c>
      <c r="AF147" s="42" t="str">
        <f t="shared" si="123"/>
        <v/>
      </c>
      <c r="AG147" s="42" t="str">
        <f t="shared" si="124"/>
        <v/>
      </c>
      <c r="AH147" s="42" t="str">
        <f t="shared" si="125"/>
        <v/>
      </c>
      <c r="AI147" s="90" t="str">
        <f>IF(SUM($AC147)=0,"",INDEX(Cascade!$BG:$BG,MATCH($E147,Cascade!$E:$E,0)))</f>
        <v/>
      </c>
      <c r="AJ147" s="42" t="str">
        <f t="shared" si="126"/>
        <v/>
      </c>
      <c r="AK147" s="42" t="str">
        <f t="shared" si="127"/>
        <v/>
      </c>
      <c r="AL147" s="42" t="str">
        <f t="shared" si="128"/>
        <v/>
      </c>
      <c r="AM147" s="42" t="str">
        <f t="shared" si="129"/>
        <v/>
      </c>
      <c r="AN147" s="42" t="str">
        <f t="shared" si="130"/>
        <v/>
      </c>
      <c r="AO147" s="14" t="str">
        <f t="shared" si="131"/>
        <v/>
      </c>
      <c r="AP147" s="90"/>
      <c r="AQ147" s="90" t="str">
        <f t="shared" si="132"/>
        <v/>
      </c>
      <c r="AR147" s="90" t="str">
        <f>IF(SUM($AO147)=0,"",INDEX(Cascade!$BG:$BG,MATCH($E147,Cascade!$E:$E,0)))</f>
        <v/>
      </c>
      <c r="AS147" s="42" t="str">
        <f t="shared" si="133"/>
        <v/>
      </c>
      <c r="AT147" s="42" t="str">
        <f t="shared" si="134"/>
        <v/>
      </c>
      <c r="AU147" s="14" t="str">
        <f t="shared" si="135"/>
        <v/>
      </c>
      <c r="AV147" s="14" t="str">
        <f t="shared" si="136"/>
        <v/>
      </c>
      <c r="AW147" s="14" t="str">
        <f>IFERROR(1/(1/INDEX(Cascade!$BH:$BH,MATCH($E147,Cascade!$E:$E,0))),"")</f>
        <v/>
      </c>
      <c r="AX147" s="14" t="str">
        <f t="shared" si="137"/>
        <v/>
      </c>
      <c r="AY147" s="14" t="str">
        <f t="shared" si="138"/>
        <v/>
      </c>
      <c r="AZ147" s="14" t="str">
        <f>IFERROR(1/(1/INDEX(TB!$P:$P,MATCH($E147,TB!$E:$E,0))),"")</f>
        <v/>
      </c>
      <c r="BA147" s="14" t="str">
        <f t="shared" si="139"/>
        <v/>
      </c>
    </row>
    <row r="148" spans="1:53" x14ac:dyDescent="0.2">
      <c r="A148" t="str">
        <f>INDEX(Prioritization!$D:$D,MATCH($B148,Prioritization!$A:$A,0))</f>
        <v>INVALID</v>
      </c>
      <c r="B148" t="s">
        <v>219</v>
      </c>
      <c r="C148" t="s">
        <v>366</v>
      </c>
      <c r="D148" t="s">
        <v>29</v>
      </c>
      <c r="E148" t="str">
        <f t="shared" si="112"/>
        <v>Phalombe District [AZyWpGzhcaA]|35-49|Female</v>
      </c>
      <c r="F148" s="14">
        <f>IF(LEFT($B148,4)="_Mil","",INDEX(Cascade!$T:$T,MATCH($E148,Cascade!$E:$E,0)))</f>
        <v>1620</v>
      </c>
      <c r="G148" s="14" t="str">
        <f>IF(LEFT($B148,4)="_Mil","",INDEX(Cascade!$U:$U,MATCH($E148,Cascade!$E:$E,0)))</f>
        <v/>
      </c>
      <c r="H148" s="88">
        <f>IF(LEFT($B148,4)="_Mil","",INDEX(Cascade!$W:$W,MATCH($E148,Cascade!$E:$E,0)))</f>
        <v>1300</v>
      </c>
      <c r="I148" s="14">
        <f>IF(LEFT($B148,4)="_Mil","",INDEX(Cascade!$Z:$Z,MATCH($E148,Cascade!$E:$E,0)))</f>
        <v>1981</v>
      </c>
      <c r="J148" s="90">
        <f>IF(LEFT($B148,4)="_Mil","",INDEX(Cascade!$AA:$AA,MATCH($E148,Cascade!$E:$E,0)))</f>
        <v>643</v>
      </c>
      <c r="K148" s="42">
        <f>IF(LEFT($B148,4)="_Mil","",_xlfn.IFNA(ROUND(INDEX(Spectrum!$N:$N,MATCH(RIGHT($B148,13)&amp;"|"&amp;$C148&amp;"|"&amp;$D148&amp;"|"&amp;K$14&amp;"|"&amp;"CY2023Q3",Spectrum!$R:$R,0)),0),""))</f>
        <v>1926</v>
      </c>
      <c r="L148" s="42" t="str">
        <f>IF(LEFT($B148,4)="_Mil","",_xlfn.IFNA(ROUND(INDEX(Spectrum!$N:$N,MATCH(RIGHT($B148,13)&amp;"|"&amp;$C148&amp;"|"&amp;$D148&amp;"|"&amp;L$14&amp;"|"&amp;"CY2023Q3",Spectrum!$R:$R,0)),0),""))</f>
        <v/>
      </c>
      <c r="M148" s="42">
        <f>IF(LEFT($B148,4)="_Mil","",_xlfn.IFNA(ROUND(INDEX(Spectrum!$N:$N,MATCH(RIGHT($B148,13)&amp;"|"&amp;$C148&amp;"|"&amp;$D148&amp;"|"&amp;M$14&amp;"|"&amp;"CY2023Q3",Spectrum!$R:$R,0)),0),""))</f>
        <v>542</v>
      </c>
      <c r="N148" s="42">
        <f>IF(LEFT($B148,4)="_Mil","",_xlfn.IFNA(ROUND(INDEX(Spectrum!$N:$N,MATCH(RIGHT($B148,13)&amp;"|"&amp;$C148&amp;"|"&amp;$D148&amp;"|"&amp;N$14&amp;"|"&amp;"CY2023Q3",Spectrum!$R:$R,0)),0),""))</f>
        <v>1528</v>
      </c>
      <c r="O148" s="42">
        <f>IF(LEFT($B148,4)="_Mil","",_xlfn.IFNA(ROUND(INDEX(Spectrum!$N:$N,MATCH(RIGHT($B148,13)&amp;"|"&amp;$C148&amp;"|"&amp;$D148&amp;"|"&amp;O$14&amp;"|"&amp;"CY2023Q3",Spectrum!$R:$R,0)),0),""))</f>
        <v>1810</v>
      </c>
      <c r="P148" s="42">
        <f>IF(LEFT($B148,4)="_Mil","",_xlfn.IFNA(ROUND(INDEX(Spectrum!$N:$N,MATCH(RIGHT($B148,13)&amp;"|"&amp;$C148&amp;"|"&amp;$D148&amp;"|"&amp;P$14&amp;"|"&amp;"CY2023Q3",Spectrum!$R:$R,0)),0),""))</f>
        <v>596</v>
      </c>
      <c r="Q148" s="42" t="str">
        <f>IF(LEFT($B148,4)="_Mil","",_xlfn.IFNA(ROUND(INDEX(Spectrum!$N:$N,MATCH(RIGHT($B148,13)&amp;"|"&amp;$C148&amp;"|"&amp;$D148&amp;"|"&amp;Q$14&amp;"|"&amp;"CY2022Q3",Spectrum!$R:$R,0)),0),""))</f>
        <v/>
      </c>
      <c r="R148" s="14"/>
      <c r="S148" s="90">
        <f>0</f>
        <v>0</v>
      </c>
      <c r="T148" s="42" t="str">
        <f t="shared" si="113"/>
        <v/>
      </c>
      <c r="U148" s="90">
        <f t="shared" si="114"/>
        <v>0</v>
      </c>
      <c r="V148" s="42" t="str">
        <f t="shared" si="115"/>
        <v/>
      </c>
      <c r="W148" s="90"/>
      <c r="X148" s="90">
        <f t="shared" si="116"/>
        <v>0</v>
      </c>
      <c r="Y148" s="90"/>
      <c r="Z148" s="90">
        <f t="shared" si="117"/>
        <v>0</v>
      </c>
      <c r="AA148" s="14" t="str">
        <f t="shared" si="118"/>
        <v/>
      </c>
      <c r="AB148" s="42" t="str">
        <f t="shared" si="119"/>
        <v/>
      </c>
      <c r="AC148" s="42" t="str">
        <f t="shared" si="120"/>
        <v/>
      </c>
      <c r="AD148" s="42" t="str">
        <f t="shared" si="121"/>
        <v/>
      </c>
      <c r="AE148" s="14" t="str">
        <f t="shared" si="122"/>
        <v/>
      </c>
      <c r="AF148" s="42" t="str">
        <f t="shared" si="123"/>
        <v/>
      </c>
      <c r="AG148" s="42" t="str">
        <f t="shared" si="124"/>
        <v/>
      </c>
      <c r="AH148" s="42" t="str">
        <f t="shared" si="125"/>
        <v/>
      </c>
      <c r="AI148" s="90" t="str">
        <f>IF(SUM($AC148)=0,"",INDEX(Cascade!$BG:$BG,MATCH($E148,Cascade!$E:$E,0)))</f>
        <v/>
      </c>
      <c r="AJ148" s="42" t="str">
        <f t="shared" si="126"/>
        <v/>
      </c>
      <c r="AK148" s="42" t="str">
        <f t="shared" si="127"/>
        <v/>
      </c>
      <c r="AL148" s="42" t="str">
        <f t="shared" si="128"/>
        <v/>
      </c>
      <c r="AM148" s="42" t="str">
        <f t="shared" si="129"/>
        <v/>
      </c>
      <c r="AN148" s="42" t="str">
        <f t="shared" si="130"/>
        <v/>
      </c>
      <c r="AO148" s="14" t="str">
        <f t="shared" si="131"/>
        <v/>
      </c>
      <c r="AP148" s="90"/>
      <c r="AQ148" s="90" t="str">
        <f t="shared" si="132"/>
        <v/>
      </c>
      <c r="AR148" s="90" t="str">
        <f>IF(SUM($AO148)=0,"",INDEX(Cascade!$BG:$BG,MATCH($E148,Cascade!$E:$E,0)))</f>
        <v/>
      </c>
      <c r="AS148" s="42" t="str">
        <f t="shared" si="133"/>
        <v/>
      </c>
      <c r="AT148" s="42" t="str">
        <f t="shared" si="134"/>
        <v/>
      </c>
      <c r="AU148" s="14" t="str">
        <f t="shared" si="135"/>
        <v/>
      </c>
      <c r="AV148" s="14" t="str">
        <f t="shared" si="136"/>
        <v/>
      </c>
      <c r="AW148" s="14" t="str">
        <f>IFERROR(1/(1/INDEX(Cascade!$BH:$BH,MATCH($E148,Cascade!$E:$E,0))),"")</f>
        <v/>
      </c>
      <c r="AX148" s="14" t="str">
        <f t="shared" si="137"/>
        <v/>
      </c>
      <c r="AY148" s="14" t="str">
        <f t="shared" si="138"/>
        <v/>
      </c>
      <c r="AZ148" s="14" t="str">
        <f>IFERROR(1/(1/INDEX(TB!$P:$P,MATCH($E148,TB!$E:$E,0))),"")</f>
        <v/>
      </c>
      <c r="BA148" s="14" t="str">
        <f t="shared" si="139"/>
        <v/>
      </c>
    </row>
    <row r="149" spans="1:53" x14ac:dyDescent="0.2">
      <c r="A149" t="str">
        <f>INDEX(Prioritization!$D:$D,MATCH($B149,Prioritization!$A:$A,0))</f>
        <v>INVALID</v>
      </c>
      <c r="B149" t="s">
        <v>219</v>
      </c>
      <c r="C149" t="s">
        <v>367</v>
      </c>
      <c r="D149" t="s">
        <v>29</v>
      </c>
      <c r="E149" t="str">
        <f t="shared" si="112"/>
        <v>Phalombe District [AZyWpGzhcaA]|50+|Female</v>
      </c>
      <c r="F149" s="14">
        <f>IF(LEFT($B149,4)="_Mil","",INDEX(Cascade!$T:$T,MATCH($E149,Cascade!$E:$E,0)))</f>
        <v>524</v>
      </c>
      <c r="G149" s="14" t="str">
        <f>IF(LEFT($B149,4)="_Mil","",INDEX(Cascade!$U:$U,MATCH($E149,Cascade!$E:$E,0)))</f>
        <v/>
      </c>
      <c r="H149" s="88">
        <f>IF(LEFT($B149,4)="_Mil","",INDEX(Cascade!$W:$W,MATCH($E149,Cascade!$E:$E,0)))</f>
        <v>1532</v>
      </c>
      <c r="I149" s="14">
        <f>IF(LEFT($B149,4)="_Mil","",INDEX(Cascade!$Z:$Z,MATCH($E149,Cascade!$E:$E,0)))</f>
        <v>962</v>
      </c>
      <c r="J149" s="90">
        <f>IF(LEFT($B149,4)="_Mil","",INDEX(Cascade!$AA:$AA,MATCH($E149,Cascade!$E:$E,0)))</f>
        <v>660</v>
      </c>
      <c r="K149" s="42" t="str">
        <f>IF(LEFT($B149,4)="_Mil","",_xlfn.IFNA(ROUND(INDEX(Spectrum!$N:$N,MATCH(RIGHT($B149,13)&amp;"|"&amp;$C149&amp;"|"&amp;$D149&amp;"|"&amp;K$14&amp;"|"&amp;"CY2023Q3",Spectrum!$R:$R,0)),0),""))</f>
        <v/>
      </c>
      <c r="L149" s="42" t="str">
        <f>IF(LEFT($B149,4)="_Mil","",_xlfn.IFNA(ROUND(INDEX(Spectrum!$N:$N,MATCH(RIGHT($B149,13)&amp;"|"&amp;$C149&amp;"|"&amp;$D149&amp;"|"&amp;L$14&amp;"|"&amp;"CY2023Q3",Spectrum!$R:$R,0)),0),""))</f>
        <v/>
      </c>
      <c r="M149" s="42" t="str">
        <f>IF(LEFT($B149,4)="_Mil","",_xlfn.IFNA(ROUND(INDEX(Spectrum!$N:$N,MATCH(RIGHT($B149,13)&amp;"|"&amp;$C149&amp;"|"&amp;$D149&amp;"|"&amp;M$14&amp;"|"&amp;"CY2023Q3",Spectrum!$R:$R,0)),0),""))</f>
        <v/>
      </c>
      <c r="N149" s="42" t="str">
        <f>IF(LEFT($B149,4)="_Mil","",_xlfn.IFNA(ROUND(INDEX(Spectrum!$N:$N,MATCH(RIGHT($B149,13)&amp;"|"&amp;$C149&amp;"|"&amp;$D149&amp;"|"&amp;N$14&amp;"|"&amp;"CY2023Q3",Spectrum!$R:$R,0)),0),""))</f>
        <v/>
      </c>
      <c r="O149" s="42" t="str">
        <f>IF(LEFT($B149,4)="_Mil","",_xlfn.IFNA(ROUND(INDEX(Spectrum!$N:$N,MATCH(RIGHT($B149,13)&amp;"|"&amp;$C149&amp;"|"&amp;$D149&amp;"|"&amp;O$14&amp;"|"&amp;"CY2023Q3",Spectrum!$R:$R,0)),0),""))</f>
        <v/>
      </c>
      <c r="P149" s="42" t="str">
        <f>IF(LEFT($B149,4)="_Mil","",_xlfn.IFNA(ROUND(INDEX(Spectrum!$N:$N,MATCH(RIGHT($B149,13)&amp;"|"&amp;$C149&amp;"|"&amp;$D149&amp;"|"&amp;P$14&amp;"|"&amp;"CY2023Q3",Spectrum!$R:$R,0)),0),""))</f>
        <v/>
      </c>
      <c r="Q149" s="42" t="str">
        <f>IF(LEFT($B149,4)="_Mil","",_xlfn.IFNA(ROUND(INDEX(Spectrum!$N:$N,MATCH(RIGHT($B149,13)&amp;"|"&amp;$C149&amp;"|"&amp;$D149&amp;"|"&amp;Q$14&amp;"|"&amp;"CY2022Q3",Spectrum!$R:$R,0)),0),""))</f>
        <v/>
      </c>
      <c r="R149" s="14"/>
      <c r="S149" s="90">
        <f>0</f>
        <v>0</v>
      </c>
      <c r="T149" s="42" t="str">
        <f t="shared" si="113"/>
        <v/>
      </c>
      <c r="U149" s="90" t="str">
        <f t="shared" si="114"/>
        <v/>
      </c>
      <c r="V149" s="42" t="str">
        <f t="shared" si="115"/>
        <v/>
      </c>
      <c r="W149" s="90"/>
      <c r="X149" s="90" t="str">
        <f t="shared" si="116"/>
        <v/>
      </c>
      <c r="Y149" s="90"/>
      <c r="Z149" s="90" t="str">
        <f t="shared" si="117"/>
        <v/>
      </c>
      <c r="AA149" s="14" t="str">
        <f t="shared" si="118"/>
        <v/>
      </c>
      <c r="AB149" s="42" t="str">
        <f t="shared" si="119"/>
        <v/>
      </c>
      <c r="AC149" s="42" t="str">
        <f t="shared" si="120"/>
        <v/>
      </c>
      <c r="AD149" s="42" t="str">
        <f t="shared" si="121"/>
        <v/>
      </c>
      <c r="AE149" s="14" t="str">
        <f t="shared" si="122"/>
        <v/>
      </c>
      <c r="AF149" s="42" t="str">
        <f t="shared" si="123"/>
        <v/>
      </c>
      <c r="AG149" s="42" t="str">
        <f t="shared" si="124"/>
        <v/>
      </c>
      <c r="AH149" s="42" t="str">
        <f t="shared" si="125"/>
        <v/>
      </c>
      <c r="AI149" s="90" t="str">
        <f>IF(SUM($AC149)=0,"",INDEX(Cascade!$BG:$BG,MATCH($E149,Cascade!$E:$E,0)))</f>
        <v/>
      </c>
      <c r="AJ149" s="42" t="str">
        <f t="shared" si="126"/>
        <v/>
      </c>
      <c r="AK149" s="42" t="str">
        <f t="shared" si="127"/>
        <v/>
      </c>
      <c r="AL149" s="42" t="str">
        <f t="shared" si="128"/>
        <v/>
      </c>
      <c r="AM149" s="42" t="str">
        <f t="shared" si="129"/>
        <v/>
      </c>
      <c r="AN149" s="42" t="str">
        <f t="shared" si="130"/>
        <v/>
      </c>
      <c r="AO149" s="14" t="str">
        <f t="shared" si="131"/>
        <v/>
      </c>
      <c r="AP149" s="90"/>
      <c r="AQ149" s="90" t="str">
        <f t="shared" si="132"/>
        <v/>
      </c>
      <c r="AR149" s="90" t="str">
        <f>IF(SUM($AO149)=0,"",INDEX(Cascade!$BG:$BG,MATCH($E149,Cascade!$E:$E,0)))</f>
        <v/>
      </c>
      <c r="AS149" s="42" t="str">
        <f t="shared" si="133"/>
        <v/>
      </c>
      <c r="AT149" s="42" t="str">
        <f t="shared" si="134"/>
        <v/>
      </c>
      <c r="AU149" s="14" t="str">
        <f t="shared" si="135"/>
        <v/>
      </c>
      <c r="AV149" s="14" t="str">
        <f t="shared" si="136"/>
        <v/>
      </c>
      <c r="AW149" s="14" t="str">
        <f>IFERROR(1/(1/INDEX(Cascade!$BH:$BH,MATCH($E149,Cascade!$E:$E,0))),"")</f>
        <v/>
      </c>
      <c r="AX149" s="14" t="str">
        <f t="shared" si="137"/>
        <v/>
      </c>
      <c r="AY149" s="14" t="str">
        <f t="shared" si="138"/>
        <v/>
      </c>
      <c r="AZ149" s="14" t="str">
        <f>IFERROR(1/(1/INDEX(TB!$P:$P,MATCH($E149,TB!$E:$E,0))),"")</f>
        <v/>
      </c>
      <c r="BA149" s="14" t="str">
        <f t="shared" si="139"/>
        <v/>
      </c>
    </row>
    <row r="150" spans="1:53" x14ac:dyDescent="0.2">
      <c r="A150" t="str">
        <f>INDEX(Prioritization!$D:$D,MATCH($B150,Prioritization!$A:$A,0))</f>
        <v>1 - Scale-up: Saturation</v>
      </c>
      <c r="B150" t="s">
        <v>220</v>
      </c>
      <c r="C150" t="s">
        <v>363</v>
      </c>
      <c r="D150" t="s">
        <v>29</v>
      </c>
      <c r="E150" t="str">
        <f t="shared" si="112"/>
        <v>Thyolo District [ul0y9diGujK]|10-14|Female</v>
      </c>
      <c r="F150" s="14">
        <f>IF(LEFT($B150,4)="_Mil","",INDEX(Cascade!$T:$T,MATCH($E150,Cascade!$E:$E,0)))</f>
        <v>1158</v>
      </c>
      <c r="G150" s="14" t="str">
        <f>IF(LEFT($B150,4)="_Mil","",INDEX(Cascade!$U:$U,MATCH($E150,Cascade!$E:$E,0)))</f>
        <v/>
      </c>
      <c r="H150" s="88">
        <f>IF(LEFT($B150,4)="_Mil","",INDEX(Cascade!$W:$W,MATCH($E150,Cascade!$E:$E,0)))</f>
        <v>1415</v>
      </c>
      <c r="I150" s="14">
        <f>IF(LEFT($B150,4)="_Mil","",INDEX(Cascade!$Z:$Z,MATCH($E150,Cascade!$E:$E,0)))</f>
        <v>601</v>
      </c>
      <c r="J150" s="90">
        <f>IF(LEFT($B150,4)="_Mil","",INDEX(Cascade!$AA:$AA,MATCH($E150,Cascade!$E:$E,0)))</f>
        <v>680</v>
      </c>
      <c r="K150" s="42" t="str">
        <f>IF(LEFT($B150,4)="_Mil","",_xlfn.IFNA(ROUND(INDEX(Spectrum!$N:$N,MATCH(RIGHT($B150,13)&amp;"|"&amp;$C150&amp;"|"&amp;$D150&amp;"|"&amp;K$14&amp;"|"&amp;"CY2023Q3",Spectrum!$R:$R,0)),0),""))</f>
        <v/>
      </c>
      <c r="L150" s="42" t="str">
        <f>IF(LEFT($B150,4)="_Mil","",_xlfn.IFNA(ROUND(INDEX(Spectrum!$N:$N,MATCH(RIGHT($B150,13)&amp;"|"&amp;$C150&amp;"|"&amp;$D150&amp;"|"&amp;L$14&amp;"|"&amp;"CY2023Q3",Spectrum!$R:$R,0)),0),""))</f>
        <v/>
      </c>
      <c r="M150" s="42" t="str">
        <f>IF(LEFT($B150,4)="_Mil","",_xlfn.IFNA(ROUND(INDEX(Spectrum!$N:$N,MATCH(RIGHT($B150,13)&amp;"|"&amp;$C150&amp;"|"&amp;$D150&amp;"|"&amp;M$14&amp;"|"&amp;"CY2023Q3",Spectrum!$R:$R,0)),0),""))</f>
        <v/>
      </c>
      <c r="N150" s="42" t="str">
        <f>IF(LEFT($B150,4)="_Mil","",_xlfn.IFNA(ROUND(INDEX(Spectrum!$N:$N,MATCH(RIGHT($B150,13)&amp;"|"&amp;$C150&amp;"|"&amp;$D150&amp;"|"&amp;N$14&amp;"|"&amp;"CY2023Q3",Spectrum!$R:$R,0)),0),""))</f>
        <v/>
      </c>
      <c r="O150" s="42" t="str">
        <f>IF(LEFT($B150,4)="_Mil","",_xlfn.IFNA(ROUND(INDEX(Spectrum!$N:$N,MATCH(RIGHT($B150,13)&amp;"|"&amp;$C150&amp;"|"&amp;$D150&amp;"|"&amp;O$14&amp;"|"&amp;"CY2023Q3",Spectrum!$R:$R,0)),0),""))</f>
        <v/>
      </c>
      <c r="P150" s="42" t="str">
        <f>IF(LEFT($B150,4)="_Mil","",_xlfn.IFNA(ROUND(INDEX(Spectrum!$N:$N,MATCH(RIGHT($B150,13)&amp;"|"&amp;$C150&amp;"|"&amp;$D150&amp;"|"&amp;P$14&amp;"|"&amp;"CY2023Q3",Spectrum!$R:$R,0)),0),""))</f>
        <v/>
      </c>
      <c r="Q150" s="42" t="str">
        <f>IF(LEFT($B150,4)="_Mil","",_xlfn.IFNA(ROUND(INDEX(Spectrum!$N:$N,MATCH(RIGHT($B150,13)&amp;"|"&amp;$C150&amp;"|"&amp;$D150&amp;"|"&amp;Q$14&amp;"|"&amp;"CY2022Q3",Spectrum!$R:$R,0)),0),""))</f>
        <v/>
      </c>
      <c r="R150" s="14">
        <v>6</v>
      </c>
      <c r="S150" s="90">
        <f>0</f>
        <v>0</v>
      </c>
      <c r="T150" s="42">
        <f t="shared" si="113"/>
        <v>6</v>
      </c>
      <c r="U150" s="90">
        <f t="shared" si="114"/>
        <v>1</v>
      </c>
      <c r="V150" s="42">
        <f t="shared" si="115"/>
        <v>6</v>
      </c>
      <c r="W150" s="90">
        <v>0.94259030837565705</v>
      </c>
      <c r="X150" s="90">
        <f t="shared" si="116"/>
        <v>0.94259030837565705</v>
      </c>
      <c r="Y150" s="90">
        <v>0.97771567804738901</v>
      </c>
      <c r="Z150" s="90">
        <f t="shared" si="117"/>
        <v>0.97771567804738901</v>
      </c>
      <c r="AA150" s="14">
        <f t="shared" si="118"/>
        <v>6</v>
      </c>
      <c r="AB150" s="42">
        <f t="shared" si="119"/>
        <v>6</v>
      </c>
      <c r="AC150" s="42">
        <f t="shared" si="120"/>
        <v>0</v>
      </c>
      <c r="AD150" s="42">
        <f t="shared" si="121"/>
        <v>0</v>
      </c>
      <c r="AE150" s="14">
        <f t="shared" si="122"/>
        <v>6</v>
      </c>
      <c r="AF150" s="42">
        <f t="shared" si="123"/>
        <v>6</v>
      </c>
      <c r="AG150" s="42">
        <f t="shared" si="124"/>
        <v>0</v>
      </c>
      <c r="AH150" s="42">
        <f t="shared" si="125"/>
        <v>0</v>
      </c>
      <c r="AI150" s="90" t="str">
        <f>IF(SUM($AC150)=0,"",INDEX(Cascade!$BG:$BG,MATCH($E150,Cascade!$E:$E,0)))</f>
        <v/>
      </c>
      <c r="AJ150" s="42">
        <f t="shared" si="126"/>
        <v>6</v>
      </c>
      <c r="AK150" s="42" t="str">
        <f t="shared" si="127"/>
        <v/>
      </c>
      <c r="AL150" s="42">
        <f t="shared" si="128"/>
        <v>6</v>
      </c>
      <c r="AM150" s="42">
        <f t="shared" si="129"/>
        <v>6</v>
      </c>
      <c r="AN150" s="42" t="str">
        <f t="shared" si="130"/>
        <v/>
      </c>
      <c r="AO150" s="14" t="str">
        <f t="shared" si="131"/>
        <v/>
      </c>
      <c r="AP150" s="90"/>
      <c r="AQ150" s="90" t="str">
        <f t="shared" si="132"/>
        <v/>
      </c>
      <c r="AR150" s="90" t="str">
        <f>IF(SUM($AO150)=0,"",INDEX(Cascade!$BG:$BG,MATCH($E150,Cascade!$E:$E,0)))</f>
        <v/>
      </c>
      <c r="AS150" s="42" t="str">
        <f t="shared" si="133"/>
        <v/>
      </c>
      <c r="AT150" s="42" t="str">
        <f t="shared" si="134"/>
        <v/>
      </c>
      <c r="AU150" s="14" t="str">
        <f t="shared" si="135"/>
        <v/>
      </c>
      <c r="AV150" s="14">
        <f t="shared" si="136"/>
        <v>6</v>
      </c>
      <c r="AW150" s="14">
        <f>IFERROR(1/(1/INDEX(Cascade!$BH:$BH,MATCH($E150,Cascade!$E:$E,0))),"")</f>
        <v>-102</v>
      </c>
      <c r="AX150" s="14" t="str">
        <f t="shared" si="137"/>
        <v/>
      </c>
      <c r="AY150" s="14" t="str">
        <f t="shared" si="138"/>
        <v/>
      </c>
      <c r="AZ150" s="14" t="str">
        <f>IFERROR(1/(1/INDEX(TB!$P:$P,MATCH($E150,TB!$E:$E,0))),"")</f>
        <v/>
      </c>
      <c r="BA150" s="14">
        <f t="shared" si="139"/>
        <v>-102</v>
      </c>
    </row>
    <row r="151" spans="1:53" x14ac:dyDescent="0.2">
      <c r="A151" t="str">
        <f>INDEX(Prioritization!$D:$D,MATCH($B151,Prioritization!$A:$A,0))</f>
        <v>1 - Scale-up: Saturation</v>
      </c>
      <c r="B151" t="s">
        <v>220</v>
      </c>
      <c r="C151" t="s">
        <v>364</v>
      </c>
      <c r="D151" t="s">
        <v>29</v>
      </c>
      <c r="E151" t="str">
        <f t="shared" si="112"/>
        <v>Thyolo District [ul0y9diGujK]|15-24|Female</v>
      </c>
      <c r="F151" s="14">
        <f>IF(LEFT($B151,4)="_Mil","",INDEX(Cascade!$T:$T,MATCH($E151,Cascade!$E:$E,0)))</f>
        <v>1269</v>
      </c>
      <c r="G151" s="14" t="str">
        <f>IF(LEFT($B151,4)="_Mil","",INDEX(Cascade!$U:$U,MATCH($E151,Cascade!$E:$E,0)))</f>
        <v/>
      </c>
      <c r="H151" s="88">
        <f>IF(LEFT($B151,4)="_Mil","",INDEX(Cascade!$W:$W,MATCH($E151,Cascade!$E:$E,0)))</f>
        <v>1338</v>
      </c>
      <c r="I151" s="14">
        <f>IF(LEFT($B151,4)="_Mil","",INDEX(Cascade!$Z:$Z,MATCH($E151,Cascade!$E:$E,0)))</f>
        <v>1841</v>
      </c>
      <c r="J151" s="90">
        <f>IF(LEFT($B151,4)="_Mil","",INDEX(Cascade!$AA:$AA,MATCH($E151,Cascade!$E:$E,0)))</f>
        <v>1462</v>
      </c>
      <c r="K151" s="42">
        <f>IF(LEFT($B151,4)="_Mil","",_xlfn.IFNA(ROUND(INDEX(Spectrum!$N:$N,MATCH(RIGHT($B151,13)&amp;"|"&amp;$C151&amp;"|"&amp;$D151&amp;"|"&amp;K$14&amp;"|"&amp;"CY2023Q3",Spectrum!$R:$R,0)),0),""))</f>
        <v>1711</v>
      </c>
      <c r="L151" s="42" t="str">
        <f>IF(LEFT($B151,4)="_Mil","",_xlfn.IFNA(ROUND(INDEX(Spectrum!$N:$N,MATCH(RIGHT($B151,13)&amp;"|"&amp;$C151&amp;"|"&amp;$D151&amp;"|"&amp;L$14&amp;"|"&amp;"CY2023Q3",Spectrum!$R:$R,0)),0),""))</f>
        <v/>
      </c>
      <c r="M151" s="42">
        <f>IF(LEFT($B151,4)="_Mil","",_xlfn.IFNA(ROUND(INDEX(Spectrum!$N:$N,MATCH(RIGHT($B151,13)&amp;"|"&amp;$C151&amp;"|"&amp;$D151&amp;"|"&amp;M$14&amp;"|"&amp;"CY2023Q3",Spectrum!$R:$R,0)),0),""))</f>
        <v>1258</v>
      </c>
      <c r="N151" s="42">
        <f>IF(LEFT($B151,4)="_Mil","",_xlfn.IFNA(ROUND(INDEX(Spectrum!$N:$N,MATCH(RIGHT($B151,13)&amp;"|"&amp;$C151&amp;"|"&amp;$D151&amp;"|"&amp;N$14&amp;"|"&amp;"CY2023Q3",Spectrum!$R:$R,0)),0),""))</f>
        <v>978</v>
      </c>
      <c r="O151" s="42">
        <f>IF(LEFT($B151,4)="_Mil","",_xlfn.IFNA(ROUND(INDEX(Spectrum!$N:$N,MATCH(RIGHT($B151,13)&amp;"|"&amp;$C151&amp;"|"&amp;$D151&amp;"|"&amp;O$14&amp;"|"&amp;"CY2023Q3",Spectrum!$R:$R,0)),0),""))</f>
        <v>1566</v>
      </c>
      <c r="P151" s="42">
        <f>IF(LEFT($B151,4)="_Mil","",_xlfn.IFNA(ROUND(INDEX(Spectrum!$N:$N,MATCH(RIGHT($B151,13)&amp;"|"&amp;$C151&amp;"|"&amp;$D151&amp;"|"&amp;P$14&amp;"|"&amp;"CY2023Q3",Spectrum!$R:$R,0)),0),""))</f>
        <v>1414</v>
      </c>
      <c r="Q151" s="42" t="str">
        <f>IF(LEFT($B151,4)="_Mil","",_xlfn.IFNA(ROUND(INDEX(Spectrum!$N:$N,MATCH(RIGHT($B151,13)&amp;"|"&amp;$C151&amp;"|"&amp;$D151&amp;"|"&amp;Q$14&amp;"|"&amp;"CY2022Q3",Spectrum!$R:$R,0)),0),""))</f>
        <v/>
      </c>
      <c r="R151" s="14"/>
      <c r="S151" s="90">
        <f>0</f>
        <v>0</v>
      </c>
      <c r="T151" s="42" t="str">
        <f t="shared" si="113"/>
        <v/>
      </c>
      <c r="U151" s="90">
        <f t="shared" si="114"/>
        <v>0</v>
      </c>
      <c r="V151" s="42" t="str">
        <f t="shared" si="115"/>
        <v/>
      </c>
      <c r="W151" s="90"/>
      <c r="X151" s="90">
        <f t="shared" si="116"/>
        <v>0</v>
      </c>
      <c r="Y151" s="90"/>
      <c r="Z151" s="90">
        <f t="shared" si="117"/>
        <v>0</v>
      </c>
      <c r="AA151" s="14" t="str">
        <f t="shared" si="118"/>
        <v/>
      </c>
      <c r="AB151" s="42" t="str">
        <f t="shared" si="119"/>
        <v/>
      </c>
      <c r="AC151" s="42" t="str">
        <f t="shared" si="120"/>
        <v/>
      </c>
      <c r="AD151" s="42" t="str">
        <f t="shared" si="121"/>
        <v/>
      </c>
      <c r="AE151" s="14" t="str">
        <f t="shared" si="122"/>
        <v/>
      </c>
      <c r="AF151" s="42" t="str">
        <f t="shared" si="123"/>
        <v/>
      </c>
      <c r="AG151" s="42" t="str">
        <f t="shared" si="124"/>
        <v/>
      </c>
      <c r="AH151" s="42" t="str">
        <f t="shared" si="125"/>
        <v/>
      </c>
      <c r="AI151" s="90" t="str">
        <f>IF(SUM($AC151)=0,"",INDEX(Cascade!$BG:$BG,MATCH($E151,Cascade!$E:$E,0)))</f>
        <v/>
      </c>
      <c r="AJ151" s="42" t="str">
        <f t="shared" si="126"/>
        <v/>
      </c>
      <c r="AK151" s="42" t="str">
        <f t="shared" si="127"/>
        <v/>
      </c>
      <c r="AL151" s="42" t="str">
        <f t="shared" si="128"/>
        <v/>
      </c>
      <c r="AM151" s="42" t="str">
        <f t="shared" si="129"/>
        <v/>
      </c>
      <c r="AN151" s="42" t="str">
        <f t="shared" si="130"/>
        <v/>
      </c>
      <c r="AO151" s="14" t="str">
        <f t="shared" si="131"/>
        <v/>
      </c>
      <c r="AP151" s="90"/>
      <c r="AQ151" s="90" t="str">
        <f t="shared" si="132"/>
        <v/>
      </c>
      <c r="AR151" s="90" t="str">
        <f>IF(SUM($AO151)=0,"",INDEX(Cascade!$BG:$BG,MATCH($E151,Cascade!$E:$E,0)))</f>
        <v/>
      </c>
      <c r="AS151" s="42" t="str">
        <f t="shared" si="133"/>
        <v/>
      </c>
      <c r="AT151" s="42" t="str">
        <f t="shared" si="134"/>
        <v/>
      </c>
      <c r="AU151" s="14" t="str">
        <f t="shared" si="135"/>
        <v/>
      </c>
      <c r="AV151" s="14" t="str">
        <f t="shared" si="136"/>
        <v/>
      </c>
      <c r="AW151" s="14" t="str">
        <f>IFERROR(1/(1/INDEX(Cascade!$BH:$BH,MATCH($E151,Cascade!$E:$E,0))),"")</f>
        <v/>
      </c>
      <c r="AX151" s="14" t="str">
        <f t="shared" si="137"/>
        <v/>
      </c>
      <c r="AY151" s="14" t="str">
        <f t="shared" si="138"/>
        <v/>
      </c>
      <c r="AZ151" s="14" t="str">
        <f>IFERROR(1/(1/INDEX(TB!$P:$P,MATCH($E151,TB!$E:$E,0))),"")</f>
        <v/>
      </c>
      <c r="BA151" s="14" t="str">
        <f t="shared" si="139"/>
        <v/>
      </c>
    </row>
    <row r="152" spans="1:53" x14ac:dyDescent="0.2">
      <c r="A152" t="str">
        <f>INDEX(Prioritization!$D:$D,MATCH($B152,Prioritization!$A:$A,0))</f>
        <v>1 - Scale-up: Saturation</v>
      </c>
      <c r="B152" t="s">
        <v>220</v>
      </c>
      <c r="C152" t="s">
        <v>365</v>
      </c>
      <c r="D152" t="s">
        <v>29</v>
      </c>
      <c r="E152" t="str">
        <f t="shared" si="112"/>
        <v>Thyolo District [ul0y9diGujK]|25-34|Female</v>
      </c>
      <c r="F152" s="14">
        <f>IF(LEFT($B152,4)="_Mil","",INDEX(Cascade!$T:$T,MATCH($E152,Cascade!$E:$E,0)))</f>
        <v>1333</v>
      </c>
      <c r="G152" s="14" t="str">
        <f>IF(LEFT($B152,4)="_Mil","",INDEX(Cascade!$U:$U,MATCH($E152,Cascade!$E:$E,0)))</f>
        <v/>
      </c>
      <c r="H152" s="88">
        <f>IF(LEFT($B152,4)="_Mil","",INDEX(Cascade!$W:$W,MATCH($E152,Cascade!$E:$E,0)))</f>
        <v>1486</v>
      </c>
      <c r="I152" s="14">
        <f>IF(LEFT($B152,4)="_Mil","",INDEX(Cascade!$Z:$Z,MATCH($E152,Cascade!$E:$E,0)))</f>
        <v>921</v>
      </c>
      <c r="J152" s="90">
        <f>IF(LEFT($B152,4)="_Mil","",INDEX(Cascade!$AA:$AA,MATCH($E152,Cascade!$E:$E,0)))</f>
        <v>1158</v>
      </c>
      <c r="K152" s="42">
        <f>IF(LEFT($B152,4)="_Mil","",_xlfn.IFNA(ROUND(INDEX(Spectrum!$N:$N,MATCH(RIGHT($B152,13)&amp;"|"&amp;$C152&amp;"|"&amp;$D152&amp;"|"&amp;K$14&amp;"|"&amp;"CY2023Q3",Spectrum!$R:$R,0)),0),""))</f>
        <v>1994</v>
      </c>
      <c r="L152" s="42" t="str">
        <f>IF(LEFT($B152,4)="_Mil","",_xlfn.IFNA(ROUND(INDEX(Spectrum!$N:$N,MATCH(RIGHT($B152,13)&amp;"|"&amp;$C152&amp;"|"&amp;$D152&amp;"|"&amp;L$14&amp;"|"&amp;"CY2023Q3",Spectrum!$R:$R,0)),0),""))</f>
        <v/>
      </c>
      <c r="M152" s="42">
        <f>IF(LEFT($B152,4)="_Mil","",_xlfn.IFNA(ROUND(INDEX(Spectrum!$N:$N,MATCH(RIGHT($B152,13)&amp;"|"&amp;$C152&amp;"|"&amp;$D152&amp;"|"&amp;M$14&amp;"|"&amp;"CY2023Q3",Spectrum!$R:$R,0)),0),""))</f>
        <v>1891</v>
      </c>
      <c r="N152" s="42">
        <f>IF(LEFT($B152,4)="_Mil","",_xlfn.IFNA(ROUND(INDEX(Spectrum!$N:$N,MATCH(RIGHT($B152,13)&amp;"|"&amp;$C152&amp;"|"&amp;$D152&amp;"|"&amp;N$14&amp;"|"&amp;"CY2023Q3",Spectrum!$R:$R,0)),0),""))</f>
        <v>1603</v>
      </c>
      <c r="O152" s="42">
        <f>IF(LEFT($B152,4)="_Mil","",_xlfn.IFNA(ROUND(INDEX(Spectrum!$N:$N,MATCH(RIGHT($B152,13)&amp;"|"&amp;$C152&amp;"|"&amp;$D152&amp;"|"&amp;O$14&amp;"|"&amp;"CY2023Q3",Spectrum!$R:$R,0)),0),""))</f>
        <v>623</v>
      </c>
      <c r="P152" s="42">
        <f>IF(LEFT($B152,4)="_Mil","",_xlfn.IFNA(ROUND(INDEX(Spectrum!$N:$N,MATCH(RIGHT($B152,13)&amp;"|"&amp;$C152&amp;"|"&amp;$D152&amp;"|"&amp;P$14&amp;"|"&amp;"CY2023Q3",Spectrum!$R:$R,0)),0),""))</f>
        <v>1074</v>
      </c>
      <c r="Q152" s="42" t="str">
        <f>IF(LEFT($B152,4)="_Mil","",_xlfn.IFNA(ROUND(INDEX(Spectrum!$N:$N,MATCH(RIGHT($B152,13)&amp;"|"&amp;$C152&amp;"|"&amp;$D152&amp;"|"&amp;Q$14&amp;"|"&amp;"CY2022Q3",Spectrum!$R:$R,0)),0),""))</f>
        <v/>
      </c>
      <c r="R152" s="14"/>
      <c r="S152" s="90">
        <f>0</f>
        <v>0</v>
      </c>
      <c r="T152" s="42" t="str">
        <f t="shared" si="113"/>
        <v/>
      </c>
      <c r="U152" s="90">
        <f t="shared" si="114"/>
        <v>0</v>
      </c>
      <c r="V152" s="42" t="str">
        <f t="shared" si="115"/>
        <v/>
      </c>
      <c r="W152" s="90"/>
      <c r="X152" s="90">
        <f t="shared" si="116"/>
        <v>0</v>
      </c>
      <c r="Y152" s="90"/>
      <c r="Z152" s="90">
        <f t="shared" si="117"/>
        <v>0</v>
      </c>
      <c r="AA152" s="14" t="str">
        <f t="shared" si="118"/>
        <v/>
      </c>
      <c r="AB152" s="42" t="str">
        <f t="shared" si="119"/>
        <v/>
      </c>
      <c r="AC152" s="42" t="str">
        <f t="shared" si="120"/>
        <v/>
      </c>
      <c r="AD152" s="42" t="str">
        <f t="shared" si="121"/>
        <v/>
      </c>
      <c r="AE152" s="14" t="str">
        <f t="shared" si="122"/>
        <v/>
      </c>
      <c r="AF152" s="42" t="str">
        <f t="shared" si="123"/>
        <v/>
      </c>
      <c r="AG152" s="42" t="str">
        <f t="shared" si="124"/>
        <v/>
      </c>
      <c r="AH152" s="42" t="str">
        <f t="shared" si="125"/>
        <v/>
      </c>
      <c r="AI152" s="90" t="str">
        <f>IF(SUM($AC152)=0,"",INDEX(Cascade!$BG:$BG,MATCH($E152,Cascade!$E:$E,0)))</f>
        <v/>
      </c>
      <c r="AJ152" s="42" t="str">
        <f t="shared" si="126"/>
        <v/>
      </c>
      <c r="AK152" s="42" t="str">
        <f t="shared" si="127"/>
        <v/>
      </c>
      <c r="AL152" s="42" t="str">
        <f t="shared" si="128"/>
        <v/>
      </c>
      <c r="AM152" s="42" t="str">
        <f t="shared" si="129"/>
        <v/>
      </c>
      <c r="AN152" s="42" t="str">
        <f t="shared" si="130"/>
        <v/>
      </c>
      <c r="AO152" s="14" t="str">
        <f t="shared" si="131"/>
        <v/>
      </c>
      <c r="AP152" s="90"/>
      <c r="AQ152" s="90" t="str">
        <f t="shared" si="132"/>
        <v/>
      </c>
      <c r="AR152" s="90" t="str">
        <f>IF(SUM($AO152)=0,"",INDEX(Cascade!$BG:$BG,MATCH($E152,Cascade!$E:$E,0)))</f>
        <v/>
      </c>
      <c r="AS152" s="42" t="str">
        <f t="shared" si="133"/>
        <v/>
      </c>
      <c r="AT152" s="42" t="str">
        <f t="shared" si="134"/>
        <v/>
      </c>
      <c r="AU152" s="14" t="str">
        <f t="shared" si="135"/>
        <v/>
      </c>
      <c r="AV152" s="14" t="str">
        <f t="shared" si="136"/>
        <v/>
      </c>
      <c r="AW152" s="14" t="str">
        <f>IFERROR(1/(1/INDEX(Cascade!$BH:$BH,MATCH($E152,Cascade!$E:$E,0))),"")</f>
        <v/>
      </c>
      <c r="AX152" s="14" t="str">
        <f t="shared" si="137"/>
        <v/>
      </c>
      <c r="AY152" s="14" t="str">
        <f t="shared" si="138"/>
        <v/>
      </c>
      <c r="AZ152" s="14" t="str">
        <f>IFERROR(1/(1/INDEX(TB!$P:$P,MATCH($E152,TB!$E:$E,0))),"")</f>
        <v/>
      </c>
      <c r="BA152" s="14" t="str">
        <f t="shared" si="139"/>
        <v/>
      </c>
    </row>
    <row r="153" spans="1:53" x14ac:dyDescent="0.2">
      <c r="A153" t="str">
        <f>INDEX(Prioritization!$D:$D,MATCH($B153,Prioritization!$A:$A,0))</f>
        <v>1 - Scale-up: Saturation</v>
      </c>
      <c r="B153" t="s">
        <v>220</v>
      </c>
      <c r="C153" t="s">
        <v>366</v>
      </c>
      <c r="D153" t="s">
        <v>29</v>
      </c>
      <c r="E153" t="str">
        <f t="shared" si="112"/>
        <v>Thyolo District [ul0y9diGujK]|35-49|Female</v>
      </c>
      <c r="F153" s="14">
        <f>IF(LEFT($B153,4)="_Mil","",INDEX(Cascade!$T:$T,MATCH($E153,Cascade!$E:$E,0)))</f>
        <v>1642</v>
      </c>
      <c r="G153" s="14" t="str">
        <f>IF(LEFT($B153,4)="_Mil","",INDEX(Cascade!$U:$U,MATCH($E153,Cascade!$E:$E,0)))</f>
        <v/>
      </c>
      <c r="H153" s="88">
        <f>IF(LEFT($B153,4)="_Mil","",INDEX(Cascade!$W:$W,MATCH($E153,Cascade!$E:$E,0)))</f>
        <v>1695</v>
      </c>
      <c r="I153" s="14">
        <f>IF(LEFT($B153,4)="_Mil","",INDEX(Cascade!$Z:$Z,MATCH($E153,Cascade!$E:$E,0)))</f>
        <v>1630</v>
      </c>
      <c r="J153" s="90">
        <f>IF(LEFT($B153,4)="_Mil","",INDEX(Cascade!$AA:$AA,MATCH($E153,Cascade!$E:$E,0)))</f>
        <v>508</v>
      </c>
      <c r="K153" s="42">
        <f>IF(LEFT($B153,4)="_Mil","",_xlfn.IFNA(ROUND(INDEX(Spectrum!$N:$N,MATCH(RIGHT($B153,13)&amp;"|"&amp;$C153&amp;"|"&amp;$D153&amp;"|"&amp;K$14&amp;"|"&amp;"CY2023Q3",Spectrum!$R:$R,0)),0),""))</f>
        <v>1787</v>
      </c>
      <c r="L153" s="42" t="str">
        <f>IF(LEFT($B153,4)="_Mil","",_xlfn.IFNA(ROUND(INDEX(Spectrum!$N:$N,MATCH(RIGHT($B153,13)&amp;"|"&amp;$C153&amp;"|"&amp;$D153&amp;"|"&amp;L$14&amp;"|"&amp;"CY2023Q3",Spectrum!$R:$R,0)),0),""))</f>
        <v/>
      </c>
      <c r="M153" s="42">
        <f>IF(LEFT($B153,4)="_Mil","",_xlfn.IFNA(ROUND(INDEX(Spectrum!$N:$N,MATCH(RIGHT($B153,13)&amp;"|"&amp;$C153&amp;"|"&amp;$D153&amp;"|"&amp;M$14&amp;"|"&amp;"CY2023Q3",Spectrum!$R:$R,0)),0),""))</f>
        <v>1354</v>
      </c>
      <c r="N153" s="42">
        <f>IF(LEFT($B153,4)="_Mil","",_xlfn.IFNA(ROUND(INDEX(Spectrum!$N:$N,MATCH(RIGHT($B153,13)&amp;"|"&amp;$C153&amp;"|"&amp;$D153&amp;"|"&amp;N$14&amp;"|"&amp;"CY2023Q3",Spectrum!$R:$R,0)),0),""))</f>
        <v>1490</v>
      </c>
      <c r="O153" s="42">
        <f>IF(LEFT($B153,4)="_Mil","",_xlfn.IFNA(ROUND(INDEX(Spectrum!$N:$N,MATCH(RIGHT($B153,13)&amp;"|"&amp;$C153&amp;"|"&amp;$D153&amp;"|"&amp;O$14&amp;"|"&amp;"CY2023Q3",Spectrum!$R:$R,0)),0),""))</f>
        <v>1266</v>
      </c>
      <c r="P153" s="42">
        <f>IF(LEFT($B153,4)="_Mil","",_xlfn.IFNA(ROUND(INDEX(Spectrum!$N:$N,MATCH(RIGHT($B153,13)&amp;"|"&amp;$C153&amp;"|"&amp;$D153&amp;"|"&amp;P$14&amp;"|"&amp;"CY2023Q3",Spectrum!$R:$R,0)),0),""))</f>
        <v>727</v>
      </c>
      <c r="Q153" s="42" t="str">
        <f>IF(LEFT($B153,4)="_Mil","",_xlfn.IFNA(ROUND(INDEX(Spectrum!$N:$N,MATCH(RIGHT($B153,13)&amp;"|"&amp;$C153&amp;"|"&amp;$D153&amp;"|"&amp;Q$14&amp;"|"&amp;"CY2022Q3",Spectrum!$R:$R,0)),0),""))</f>
        <v/>
      </c>
      <c r="R153" s="14"/>
      <c r="S153" s="90">
        <f>0</f>
        <v>0</v>
      </c>
      <c r="T153" s="42" t="str">
        <f t="shared" si="113"/>
        <v/>
      </c>
      <c r="U153" s="90">
        <f t="shared" si="114"/>
        <v>0</v>
      </c>
      <c r="V153" s="42" t="str">
        <f t="shared" si="115"/>
        <v/>
      </c>
      <c r="W153" s="90"/>
      <c r="X153" s="90">
        <f t="shared" si="116"/>
        <v>0</v>
      </c>
      <c r="Y153" s="90"/>
      <c r="Z153" s="90">
        <f t="shared" si="117"/>
        <v>0</v>
      </c>
      <c r="AA153" s="14" t="str">
        <f t="shared" si="118"/>
        <v/>
      </c>
      <c r="AB153" s="42" t="str">
        <f t="shared" si="119"/>
        <v/>
      </c>
      <c r="AC153" s="42" t="str">
        <f t="shared" si="120"/>
        <v/>
      </c>
      <c r="AD153" s="42" t="str">
        <f t="shared" si="121"/>
        <v/>
      </c>
      <c r="AE153" s="14" t="str">
        <f t="shared" si="122"/>
        <v/>
      </c>
      <c r="AF153" s="42" t="str">
        <f t="shared" si="123"/>
        <v/>
      </c>
      <c r="AG153" s="42" t="str">
        <f t="shared" si="124"/>
        <v/>
      </c>
      <c r="AH153" s="42" t="str">
        <f t="shared" si="125"/>
        <v/>
      </c>
      <c r="AI153" s="90" t="str">
        <f>IF(SUM($AC153)=0,"",INDEX(Cascade!$BG:$BG,MATCH($E153,Cascade!$E:$E,0)))</f>
        <v/>
      </c>
      <c r="AJ153" s="42" t="str">
        <f t="shared" si="126"/>
        <v/>
      </c>
      <c r="AK153" s="42" t="str">
        <f t="shared" si="127"/>
        <v/>
      </c>
      <c r="AL153" s="42" t="str">
        <f t="shared" si="128"/>
        <v/>
      </c>
      <c r="AM153" s="42" t="str">
        <f t="shared" si="129"/>
        <v/>
      </c>
      <c r="AN153" s="42" t="str">
        <f t="shared" si="130"/>
        <v/>
      </c>
      <c r="AO153" s="14" t="str">
        <f t="shared" si="131"/>
        <v/>
      </c>
      <c r="AP153" s="90"/>
      <c r="AQ153" s="90" t="str">
        <f t="shared" si="132"/>
        <v/>
      </c>
      <c r="AR153" s="90" t="str">
        <f>IF(SUM($AO153)=0,"",INDEX(Cascade!$BG:$BG,MATCH($E153,Cascade!$E:$E,0)))</f>
        <v/>
      </c>
      <c r="AS153" s="42" t="str">
        <f t="shared" si="133"/>
        <v/>
      </c>
      <c r="AT153" s="42" t="str">
        <f t="shared" si="134"/>
        <v/>
      </c>
      <c r="AU153" s="14" t="str">
        <f t="shared" si="135"/>
        <v/>
      </c>
      <c r="AV153" s="14" t="str">
        <f t="shared" si="136"/>
        <v/>
      </c>
      <c r="AW153" s="14" t="str">
        <f>IFERROR(1/(1/INDEX(Cascade!$BH:$BH,MATCH($E153,Cascade!$E:$E,0))),"")</f>
        <v/>
      </c>
      <c r="AX153" s="14" t="str">
        <f t="shared" si="137"/>
        <v/>
      </c>
      <c r="AY153" s="14" t="str">
        <f t="shared" si="138"/>
        <v/>
      </c>
      <c r="AZ153" s="14" t="str">
        <f>IFERROR(1/(1/INDEX(TB!$P:$P,MATCH($E153,TB!$E:$E,0))),"")</f>
        <v/>
      </c>
      <c r="BA153" s="14" t="str">
        <f t="shared" si="139"/>
        <v/>
      </c>
    </row>
    <row r="154" spans="1:53" x14ac:dyDescent="0.2">
      <c r="A154" t="str">
        <f>INDEX(Prioritization!$D:$D,MATCH($B154,Prioritization!$A:$A,0))</f>
        <v>1 - Scale-up: Saturation</v>
      </c>
      <c r="B154" t="s">
        <v>220</v>
      </c>
      <c r="C154" t="s">
        <v>367</v>
      </c>
      <c r="D154" t="s">
        <v>29</v>
      </c>
      <c r="E154" t="str">
        <f t="shared" si="112"/>
        <v>Thyolo District [ul0y9diGujK]|50+|Female</v>
      </c>
      <c r="F154" s="14">
        <f>IF(LEFT($B154,4)="_Mil","",INDEX(Cascade!$T:$T,MATCH($E154,Cascade!$E:$E,0)))</f>
        <v>1622</v>
      </c>
      <c r="G154" s="14" t="str">
        <f>IF(LEFT($B154,4)="_Mil","",INDEX(Cascade!$U:$U,MATCH($E154,Cascade!$E:$E,0)))</f>
        <v/>
      </c>
      <c r="H154" s="88">
        <f>IF(LEFT($B154,4)="_Mil","",INDEX(Cascade!$W:$W,MATCH($E154,Cascade!$E:$E,0)))</f>
        <v>1323</v>
      </c>
      <c r="I154" s="14">
        <f>IF(LEFT($B154,4)="_Mil","",INDEX(Cascade!$Z:$Z,MATCH($E154,Cascade!$E:$E,0)))</f>
        <v>1520</v>
      </c>
      <c r="J154" s="90">
        <f>IF(LEFT($B154,4)="_Mil","",INDEX(Cascade!$AA:$AA,MATCH($E154,Cascade!$E:$E,0)))</f>
        <v>574</v>
      </c>
      <c r="K154" s="42" t="str">
        <f>IF(LEFT($B154,4)="_Mil","",_xlfn.IFNA(ROUND(INDEX(Spectrum!$N:$N,MATCH(RIGHT($B154,13)&amp;"|"&amp;$C154&amp;"|"&amp;$D154&amp;"|"&amp;K$14&amp;"|"&amp;"CY2023Q3",Spectrum!$R:$R,0)),0),""))</f>
        <v/>
      </c>
      <c r="L154" s="42" t="str">
        <f>IF(LEFT($B154,4)="_Mil","",_xlfn.IFNA(ROUND(INDEX(Spectrum!$N:$N,MATCH(RIGHT($B154,13)&amp;"|"&amp;$C154&amp;"|"&amp;$D154&amp;"|"&amp;L$14&amp;"|"&amp;"CY2023Q3",Spectrum!$R:$R,0)),0),""))</f>
        <v/>
      </c>
      <c r="M154" s="42" t="str">
        <f>IF(LEFT($B154,4)="_Mil","",_xlfn.IFNA(ROUND(INDEX(Spectrum!$N:$N,MATCH(RIGHT($B154,13)&amp;"|"&amp;$C154&amp;"|"&amp;$D154&amp;"|"&amp;M$14&amp;"|"&amp;"CY2023Q3",Spectrum!$R:$R,0)),0),""))</f>
        <v/>
      </c>
      <c r="N154" s="42" t="str">
        <f>IF(LEFT($B154,4)="_Mil","",_xlfn.IFNA(ROUND(INDEX(Spectrum!$N:$N,MATCH(RIGHT($B154,13)&amp;"|"&amp;$C154&amp;"|"&amp;$D154&amp;"|"&amp;N$14&amp;"|"&amp;"CY2023Q3",Spectrum!$R:$R,0)),0),""))</f>
        <v/>
      </c>
      <c r="O154" s="42" t="str">
        <f>IF(LEFT($B154,4)="_Mil","",_xlfn.IFNA(ROUND(INDEX(Spectrum!$N:$N,MATCH(RIGHT($B154,13)&amp;"|"&amp;$C154&amp;"|"&amp;$D154&amp;"|"&amp;O$14&amp;"|"&amp;"CY2023Q3",Spectrum!$R:$R,0)),0),""))</f>
        <v/>
      </c>
      <c r="P154" s="42" t="str">
        <f>IF(LEFT($B154,4)="_Mil","",_xlfn.IFNA(ROUND(INDEX(Spectrum!$N:$N,MATCH(RIGHT($B154,13)&amp;"|"&amp;$C154&amp;"|"&amp;$D154&amp;"|"&amp;P$14&amp;"|"&amp;"CY2023Q3",Spectrum!$R:$R,0)),0),""))</f>
        <v/>
      </c>
      <c r="Q154" s="42" t="str">
        <f>IF(LEFT($B154,4)="_Mil","",_xlfn.IFNA(ROUND(INDEX(Spectrum!$N:$N,MATCH(RIGHT($B154,13)&amp;"|"&amp;$C154&amp;"|"&amp;$D154&amp;"|"&amp;Q$14&amp;"|"&amp;"CY2022Q3",Spectrum!$R:$R,0)),0),""))</f>
        <v/>
      </c>
      <c r="R154" s="14"/>
      <c r="S154" s="90">
        <f>0</f>
        <v>0</v>
      </c>
      <c r="T154" s="42" t="str">
        <f t="shared" si="113"/>
        <v/>
      </c>
      <c r="U154" s="90" t="str">
        <f t="shared" si="114"/>
        <v/>
      </c>
      <c r="V154" s="42" t="str">
        <f t="shared" si="115"/>
        <v/>
      </c>
      <c r="W154" s="90"/>
      <c r="X154" s="90" t="str">
        <f t="shared" si="116"/>
        <v/>
      </c>
      <c r="Y154" s="90"/>
      <c r="Z154" s="90" t="str">
        <f t="shared" si="117"/>
        <v/>
      </c>
      <c r="AA154" s="14" t="str">
        <f t="shared" si="118"/>
        <v/>
      </c>
      <c r="AB154" s="42" t="str">
        <f t="shared" si="119"/>
        <v/>
      </c>
      <c r="AC154" s="42" t="str">
        <f t="shared" si="120"/>
        <v/>
      </c>
      <c r="AD154" s="42" t="str">
        <f t="shared" si="121"/>
        <v/>
      </c>
      <c r="AE154" s="14" t="str">
        <f t="shared" si="122"/>
        <v/>
      </c>
      <c r="AF154" s="42" t="str">
        <f t="shared" si="123"/>
        <v/>
      </c>
      <c r="AG154" s="42" t="str">
        <f t="shared" si="124"/>
        <v/>
      </c>
      <c r="AH154" s="42" t="str">
        <f t="shared" si="125"/>
        <v/>
      </c>
      <c r="AI154" s="90" t="str">
        <f>IF(SUM($AC154)=0,"",INDEX(Cascade!$BG:$BG,MATCH($E154,Cascade!$E:$E,0)))</f>
        <v/>
      </c>
      <c r="AJ154" s="42" t="str">
        <f t="shared" si="126"/>
        <v/>
      </c>
      <c r="AK154" s="42" t="str">
        <f t="shared" si="127"/>
        <v/>
      </c>
      <c r="AL154" s="42" t="str">
        <f t="shared" si="128"/>
        <v/>
      </c>
      <c r="AM154" s="42" t="str">
        <f t="shared" si="129"/>
        <v/>
      </c>
      <c r="AN154" s="42" t="str">
        <f t="shared" si="130"/>
        <v/>
      </c>
      <c r="AO154" s="14" t="str">
        <f t="shared" si="131"/>
        <v/>
      </c>
      <c r="AP154" s="90"/>
      <c r="AQ154" s="90" t="str">
        <f t="shared" si="132"/>
        <v/>
      </c>
      <c r="AR154" s="90" t="str">
        <f>IF(SUM($AO154)=0,"",INDEX(Cascade!$BG:$BG,MATCH($E154,Cascade!$E:$E,0)))</f>
        <v/>
      </c>
      <c r="AS154" s="42" t="str">
        <f t="shared" si="133"/>
        <v/>
      </c>
      <c r="AT154" s="42" t="str">
        <f t="shared" si="134"/>
        <v/>
      </c>
      <c r="AU154" s="14" t="str">
        <f t="shared" si="135"/>
        <v/>
      </c>
      <c r="AV154" s="14" t="str">
        <f t="shared" si="136"/>
        <v/>
      </c>
      <c r="AW154" s="14" t="str">
        <f>IFERROR(1/(1/INDEX(Cascade!$BH:$BH,MATCH($E154,Cascade!$E:$E,0))),"")</f>
        <v/>
      </c>
      <c r="AX154" s="14" t="str">
        <f t="shared" si="137"/>
        <v/>
      </c>
      <c r="AY154" s="14" t="str">
        <f t="shared" si="138"/>
        <v/>
      </c>
      <c r="AZ154" s="14" t="str">
        <f>IFERROR(1/(1/INDEX(TB!$P:$P,MATCH($E154,TB!$E:$E,0))),"")</f>
        <v/>
      </c>
      <c r="BA154" s="14" t="str">
        <f t="shared" si="139"/>
        <v/>
      </c>
    </row>
    <row r="155" spans="1:53" x14ac:dyDescent="0.2">
      <c r="A155" t="str">
        <f>INDEX(Prioritization!$D:$D,MATCH($B155,Prioritization!$A:$A,0))</f>
        <v>1 - Scale-up: Saturation</v>
      </c>
      <c r="B155" t="s">
        <v>221</v>
      </c>
      <c r="C155" t="s">
        <v>363</v>
      </c>
      <c r="D155" t="s">
        <v>29</v>
      </c>
      <c r="E155" t="str">
        <f t="shared" si="112"/>
        <v>Zomba District [fyEoGEPERdI]|10-14|Female</v>
      </c>
      <c r="F155" s="14">
        <f>IF(LEFT($B155,4)="_Mil","",INDEX(Cascade!$T:$T,MATCH($E155,Cascade!$E:$E,0)))</f>
        <v>1899</v>
      </c>
      <c r="G155" s="14" t="str">
        <f>IF(LEFT($B155,4)="_Mil","",INDEX(Cascade!$U:$U,MATCH($E155,Cascade!$E:$E,0)))</f>
        <v/>
      </c>
      <c r="H155" s="88">
        <f>IF(LEFT($B155,4)="_Mil","",INDEX(Cascade!$W:$W,MATCH($E155,Cascade!$E:$E,0)))</f>
        <v>1198</v>
      </c>
      <c r="I155" s="14">
        <f>IF(LEFT($B155,4)="_Mil","",INDEX(Cascade!$Z:$Z,MATCH($E155,Cascade!$E:$E,0)))</f>
        <v>1900</v>
      </c>
      <c r="J155" s="90">
        <f>IF(LEFT($B155,4)="_Mil","",INDEX(Cascade!$AA:$AA,MATCH($E155,Cascade!$E:$E,0)))</f>
        <v>1522</v>
      </c>
      <c r="K155" s="42" t="str">
        <f>IF(LEFT($B155,4)="_Mil","",_xlfn.IFNA(ROUND(INDEX(Spectrum!$N:$N,MATCH(RIGHT($B155,13)&amp;"|"&amp;$C155&amp;"|"&amp;$D155&amp;"|"&amp;K$14&amp;"|"&amp;"CY2023Q3",Spectrum!$R:$R,0)),0),""))</f>
        <v/>
      </c>
      <c r="L155" s="42" t="str">
        <f>IF(LEFT($B155,4)="_Mil","",_xlfn.IFNA(ROUND(INDEX(Spectrum!$N:$N,MATCH(RIGHT($B155,13)&amp;"|"&amp;$C155&amp;"|"&amp;$D155&amp;"|"&amp;L$14&amp;"|"&amp;"CY2023Q3",Spectrum!$R:$R,0)),0),""))</f>
        <v/>
      </c>
      <c r="M155" s="42" t="str">
        <f>IF(LEFT($B155,4)="_Mil","",_xlfn.IFNA(ROUND(INDEX(Spectrum!$N:$N,MATCH(RIGHT($B155,13)&amp;"|"&amp;$C155&amp;"|"&amp;$D155&amp;"|"&amp;M$14&amp;"|"&amp;"CY2023Q3",Spectrum!$R:$R,0)),0),""))</f>
        <v/>
      </c>
      <c r="N155" s="42" t="str">
        <f>IF(LEFT($B155,4)="_Mil","",_xlfn.IFNA(ROUND(INDEX(Spectrum!$N:$N,MATCH(RIGHT($B155,13)&amp;"|"&amp;$C155&amp;"|"&amp;$D155&amp;"|"&amp;N$14&amp;"|"&amp;"CY2023Q3",Spectrum!$R:$R,0)),0),""))</f>
        <v/>
      </c>
      <c r="O155" s="42" t="str">
        <f>IF(LEFT($B155,4)="_Mil","",_xlfn.IFNA(ROUND(INDEX(Spectrum!$N:$N,MATCH(RIGHT($B155,13)&amp;"|"&amp;$C155&amp;"|"&amp;$D155&amp;"|"&amp;O$14&amp;"|"&amp;"CY2023Q3",Spectrum!$R:$R,0)),0),""))</f>
        <v/>
      </c>
      <c r="P155" s="42" t="str">
        <f>IF(LEFT($B155,4)="_Mil","",_xlfn.IFNA(ROUND(INDEX(Spectrum!$N:$N,MATCH(RIGHT($B155,13)&amp;"|"&amp;$C155&amp;"|"&amp;$D155&amp;"|"&amp;P$14&amp;"|"&amp;"CY2023Q3",Spectrum!$R:$R,0)),0),""))</f>
        <v/>
      </c>
      <c r="Q155" s="42" t="str">
        <f>IF(LEFT($B155,4)="_Mil","",_xlfn.IFNA(ROUND(INDEX(Spectrum!$N:$N,MATCH(RIGHT($B155,13)&amp;"|"&amp;$C155&amp;"|"&amp;$D155&amp;"|"&amp;Q$14&amp;"|"&amp;"CY2022Q3",Spectrum!$R:$R,0)),0),""))</f>
        <v/>
      </c>
      <c r="R155" s="14">
        <v>1</v>
      </c>
      <c r="S155" s="90">
        <f>0</f>
        <v>0</v>
      </c>
      <c r="T155" s="42">
        <f t="shared" si="113"/>
        <v>1</v>
      </c>
      <c r="U155" s="90">
        <f t="shared" si="114"/>
        <v>1</v>
      </c>
      <c r="V155" s="42">
        <f t="shared" si="115"/>
        <v>1</v>
      </c>
      <c r="W155" s="90">
        <v>0.387218262767419</v>
      </c>
      <c r="X155" s="90">
        <f t="shared" si="116"/>
        <v>0.387218262767419</v>
      </c>
      <c r="Y155" s="90">
        <v>0.84381305938586604</v>
      </c>
      <c r="Z155" s="90">
        <f t="shared" si="117"/>
        <v>0.84381305938586604</v>
      </c>
      <c r="AA155" s="14">
        <f t="shared" si="118"/>
        <v>1</v>
      </c>
      <c r="AB155" s="42">
        <f t="shared" si="119"/>
        <v>0</v>
      </c>
      <c r="AC155" s="42">
        <f t="shared" si="120"/>
        <v>1</v>
      </c>
      <c r="AD155" s="42">
        <f t="shared" si="121"/>
        <v>0</v>
      </c>
      <c r="AE155" s="14">
        <f t="shared" si="122"/>
        <v>1</v>
      </c>
      <c r="AF155" s="42">
        <f t="shared" si="123"/>
        <v>0</v>
      </c>
      <c r="AG155" s="42">
        <f t="shared" si="124"/>
        <v>1</v>
      </c>
      <c r="AH155" s="42">
        <f t="shared" si="125"/>
        <v>0</v>
      </c>
      <c r="AI155" s="90">
        <f>IF(SUM($AC155)=0,"",INDEX(Cascade!$BG:$BG,MATCH($E155,Cascade!$E:$E,0)))</f>
        <v>0.95</v>
      </c>
      <c r="AJ155" s="42">
        <f t="shared" si="126"/>
        <v>0</v>
      </c>
      <c r="AK155" s="42">
        <f t="shared" si="127"/>
        <v>1</v>
      </c>
      <c r="AL155" s="42">
        <f t="shared" si="128"/>
        <v>1</v>
      </c>
      <c r="AM155" s="42">
        <f t="shared" si="129"/>
        <v>0</v>
      </c>
      <c r="AN155" s="42">
        <f t="shared" si="130"/>
        <v>1</v>
      </c>
      <c r="AO155" s="14" t="str">
        <f t="shared" si="131"/>
        <v/>
      </c>
      <c r="AP155" s="90"/>
      <c r="AQ155" s="90" t="str">
        <f t="shared" si="132"/>
        <v/>
      </c>
      <c r="AR155" s="90" t="str">
        <f>IF(SUM($AO155)=0,"",INDEX(Cascade!$BG:$BG,MATCH($E155,Cascade!$E:$E,0)))</f>
        <v/>
      </c>
      <c r="AS155" s="42" t="str">
        <f t="shared" si="133"/>
        <v/>
      </c>
      <c r="AT155" s="42" t="str">
        <f t="shared" si="134"/>
        <v/>
      </c>
      <c r="AU155" s="14" t="str">
        <f t="shared" si="135"/>
        <v/>
      </c>
      <c r="AV155" s="14">
        <f t="shared" si="136"/>
        <v>1</v>
      </c>
      <c r="AW155" s="14">
        <f>IFERROR(1/(1/INDEX(Cascade!$BH:$BH,MATCH($E155,Cascade!$E:$E,0))),"")</f>
        <v>-25</v>
      </c>
      <c r="AX155" s="14">
        <f t="shared" si="137"/>
        <v>1</v>
      </c>
      <c r="AY155" s="14" t="str">
        <f t="shared" si="138"/>
        <v/>
      </c>
      <c r="AZ155" s="14" t="str">
        <f>IFERROR(1/(1/INDEX(TB!$P:$P,MATCH($E155,TB!$E:$E,0))),"")</f>
        <v/>
      </c>
      <c r="BA155" s="14">
        <f t="shared" si="139"/>
        <v>-26</v>
      </c>
    </row>
    <row r="156" spans="1:53" x14ac:dyDescent="0.2">
      <c r="A156" t="str">
        <f>INDEX(Prioritization!$D:$D,MATCH($B156,Prioritization!$A:$A,0))</f>
        <v>1 - Scale-up: Saturation</v>
      </c>
      <c r="B156" t="s">
        <v>221</v>
      </c>
      <c r="C156" t="s">
        <v>364</v>
      </c>
      <c r="D156" t="s">
        <v>29</v>
      </c>
      <c r="E156" t="str">
        <f t="shared" si="112"/>
        <v>Zomba District [fyEoGEPERdI]|15-24|Female</v>
      </c>
      <c r="F156" s="14">
        <f>IF(LEFT($B156,4)="_Mil","",INDEX(Cascade!$T:$T,MATCH($E156,Cascade!$E:$E,0)))</f>
        <v>1475</v>
      </c>
      <c r="G156" s="14" t="str">
        <f>IF(LEFT($B156,4)="_Mil","",INDEX(Cascade!$U:$U,MATCH($E156,Cascade!$E:$E,0)))</f>
        <v/>
      </c>
      <c r="H156" s="88">
        <f>IF(LEFT($B156,4)="_Mil","",INDEX(Cascade!$W:$W,MATCH($E156,Cascade!$E:$E,0)))</f>
        <v>845</v>
      </c>
      <c r="I156" s="14">
        <f>IF(LEFT($B156,4)="_Mil","",INDEX(Cascade!$Z:$Z,MATCH($E156,Cascade!$E:$E,0)))</f>
        <v>1673</v>
      </c>
      <c r="J156" s="90">
        <f>IF(LEFT($B156,4)="_Mil","",INDEX(Cascade!$AA:$AA,MATCH($E156,Cascade!$E:$E,0)))</f>
        <v>654</v>
      </c>
      <c r="K156" s="42">
        <f>IF(LEFT($B156,4)="_Mil","",_xlfn.IFNA(ROUND(INDEX(Spectrum!$N:$N,MATCH(RIGHT($B156,13)&amp;"|"&amp;$C156&amp;"|"&amp;$D156&amp;"|"&amp;K$14&amp;"|"&amp;"CY2023Q3",Spectrum!$R:$R,0)),0),""))</f>
        <v>1476</v>
      </c>
      <c r="L156" s="42" t="str">
        <f>IF(LEFT($B156,4)="_Mil","",_xlfn.IFNA(ROUND(INDEX(Spectrum!$N:$N,MATCH(RIGHT($B156,13)&amp;"|"&amp;$C156&amp;"|"&amp;$D156&amp;"|"&amp;L$14&amp;"|"&amp;"CY2023Q3",Spectrum!$R:$R,0)),0),""))</f>
        <v/>
      </c>
      <c r="M156" s="42">
        <f>IF(LEFT($B156,4)="_Mil","",_xlfn.IFNA(ROUND(INDEX(Spectrum!$N:$N,MATCH(RIGHT($B156,13)&amp;"|"&amp;$C156&amp;"|"&amp;$D156&amp;"|"&amp;M$14&amp;"|"&amp;"CY2023Q3",Spectrum!$R:$R,0)),0),""))</f>
        <v>1571</v>
      </c>
      <c r="N156" s="42">
        <f>IF(LEFT($B156,4)="_Mil","",_xlfn.IFNA(ROUND(INDEX(Spectrum!$N:$N,MATCH(RIGHT($B156,13)&amp;"|"&amp;$C156&amp;"|"&amp;$D156&amp;"|"&amp;N$14&amp;"|"&amp;"CY2023Q3",Spectrum!$R:$R,0)),0),""))</f>
        <v>1137</v>
      </c>
      <c r="O156" s="42">
        <f>IF(LEFT($B156,4)="_Mil","",_xlfn.IFNA(ROUND(INDEX(Spectrum!$N:$N,MATCH(RIGHT($B156,13)&amp;"|"&amp;$C156&amp;"|"&amp;$D156&amp;"|"&amp;O$14&amp;"|"&amp;"CY2023Q3",Spectrum!$R:$R,0)),0),""))</f>
        <v>627</v>
      </c>
      <c r="P156" s="42">
        <f>IF(LEFT($B156,4)="_Mil","",_xlfn.IFNA(ROUND(INDEX(Spectrum!$N:$N,MATCH(RIGHT($B156,13)&amp;"|"&amp;$C156&amp;"|"&amp;$D156&amp;"|"&amp;P$14&amp;"|"&amp;"CY2023Q3",Spectrum!$R:$R,0)),0),""))</f>
        <v>1747</v>
      </c>
      <c r="Q156" s="42" t="str">
        <f>IF(LEFT($B156,4)="_Mil","",_xlfn.IFNA(ROUND(INDEX(Spectrum!$N:$N,MATCH(RIGHT($B156,13)&amp;"|"&amp;$C156&amp;"|"&amp;$D156&amp;"|"&amp;Q$14&amp;"|"&amp;"CY2022Q3",Spectrum!$R:$R,0)),0),""))</f>
        <v/>
      </c>
      <c r="R156" s="14"/>
      <c r="S156" s="90">
        <f>0</f>
        <v>0</v>
      </c>
      <c r="T156" s="42" t="str">
        <f t="shared" si="113"/>
        <v/>
      </c>
      <c r="U156" s="90">
        <f t="shared" si="114"/>
        <v>0</v>
      </c>
      <c r="V156" s="42" t="str">
        <f t="shared" si="115"/>
        <v/>
      </c>
      <c r="W156" s="90"/>
      <c r="X156" s="90">
        <f t="shared" si="116"/>
        <v>0</v>
      </c>
      <c r="Y156" s="90"/>
      <c r="Z156" s="90">
        <f t="shared" si="117"/>
        <v>0</v>
      </c>
      <c r="AA156" s="14" t="str">
        <f t="shared" si="118"/>
        <v/>
      </c>
      <c r="AB156" s="42" t="str">
        <f t="shared" si="119"/>
        <v/>
      </c>
      <c r="AC156" s="42" t="str">
        <f t="shared" si="120"/>
        <v/>
      </c>
      <c r="AD156" s="42" t="str">
        <f t="shared" si="121"/>
        <v/>
      </c>
      <c r="AE156" s="14" t="str">
        <f t="shared" si="122"/>
        <v/>
      </c>
      <c r="AF156" s="42" t="str">
        <f t="shared" si="123"/>
        <v/>
      </c>
      <c r="AG156" s="42" t="str">
        <f t="shared" si="124"/>
        <v/>
      </c>
      <c r="AH156" s="42" t="str">
        <f t="shared" si="125"/>
        <v/>
      </c>
      <c r="AI156" s="90" t="str">
        <f>IF(SUM($AC156)=0,"",INDEX(Cascade!$BG:$BG,MATCH($E156,Cascade!$E:$E,0)))</f>
        <v/>
      </c>
      <c r="AJ156" s="42" t="str">
        <f t="shared" si="126"/>
        <v/>
      </c>
      <c r="AK156" s="42" t="str">
        <f t="shared" si="127"/>
        <v/>
      </c>
      <c r="AL156" s="42" t="str">
        <f t="shared" si="128"/>
        <v/>
      </c>
      <c r="AM156" s="42" t="str">
        <f t="shared" si="129"/>
        <v/>
      </c>
      <c r="AN156" s="42" t="str">
        <f t="shared" si="130"/>
        <v/>
      </c>
      <c r="AO156" s="14" t="str">
        <f t="shared" si="131"/>
        <v/>
      </c>
      <c r="AP156" s="90"/>
      <c r="AQ156" s="90" t="str">
        <f t="shared" si="132"/>
        <v/>
      </c>
      <c r="AR156" s="90" t="str">
        <f>IF(SUM($AO156)=0,"",INDEX(Cascade!$BG:$BG,MATCH($E156,Cascade!$E:$E,0)))</f>
        <v/>
      </c>
      <c r="AS156" s="42" t="str">
        <f t="shared" si="133"/>
        <v/>
      </c>
      <c r="AT156" s="42" t="str">
        <f t="shared" si="134"/>
        <v/>
      </c>
      <c r="AU156" s="14" t="str">
        <f t="shared" si="135"/>
        <v/>
      </c>
      <c r="AV156" s="14" t="str">
        <f t="shared" si="136"/>
        <v/>
      </c>
      <c r="AW156" s="14" t="str">
        <f>IFERROR(1/(1/INDEX(Cascade!$BH:$BH,MATCH($E156,Cascade!$E:$E,0))),"")</f>
        <v/>
      </c>
      <c r="AX156" s="14" t="str">
        <f t="shared" si="137"/>
        <v/>
      </c>
      <c r="AY156" s="14" t="str">
        <f t="shared" si="138"/>
        <v/>
      </c>
      <c r="AZ156" s="14" t="str">
        <f>IFERROR(1/(1/INDEX(TB!$P:$P,MATCH($E156,TB!$E:$E,0))),"")</f>
        <v/>
      </c>
      <c r="BA156" s="14" t="str">
        <f t="shared" si="139"/>
        <v/>
      </c>
    </row>
    <row r="157" spans="1:53" x14ac:dyDescent="0.2">
      <c r="A157" t="str">
        <f>INDEX(Prioritization!$D:$D,MATCH($B157,Prioritization!$A:$A,0))</f>
        <v>1 - Scale-up: Saturation</v>
      </c>
      <c r="B157" t="s">
        <v>221</v>
      </c>
      <c r="C157" t="s">
        <v>365</v>
      </c>
      <c r="D157" t="s">
        <v>29</v>
      </c>
      <c r="E157" t="str">
        <f t="shared" si="112"/>
        <v>Zomba District [fyEoGEPERdI]|25-34|Female</v>
      </c>
      <c r="F157" s="14">
        <f>IF(LEFT($B157,4)="_Mil","",INDEX(Cascade!$T:$T,MATCH($E157,Cascade!$E:$E,0)))</f>
        <v>1113</v>
      </c>
      <c r="G157" s="14" t="str">
        <f>IF(LEFT($B157,4)="_Mil","",INDEX(Cascade!$U:$U,MATCH($E157,Cascade!$E:$E,0)))</f>
        <v/>
      </c>
      <c r="H157" s="88">
        <f>IF(LEFT($B157,4)="_Mil","",INDEX(Cascade!$W:$W,MATCH($E157,Cascade!$E:$E,0)))</f>
        <v>707</v>
      </c>
      <c r="I157" s="14">
        <f>IF(LEFT($B157,4)="_Mil","",INDEX(Cascade!$Z:$Z,MATCH($E157,Cascade!$E:$E,0)))</f>
        <v>1176</v>
      </c>
      <c r="J157" s="90">
        <f>IF(LEFT($B157,4)="_Mil","",INDEX(Cascade!$AA:$AA,MATCH($E157,Cascade!$E:$E,0)))</f>
        <v>1525</v>
      </c>
      <c r="K157" s="42">
        <f>IF(LEFT($B157,4)="_Mil","",_xlfn.IFNA(ROUND(INDEX(Spectrum!$N:$N,MATCH(RIGHT($B157,13)&amp;"|"&amp;$C157&amp;"|"&amp;$D157&amp;"|"&amp;K$14&amp;"|"&amp;"CY2023Q3",Spectrum!$R:$R,0)),0),""))</f>
        <v>741</v>
      </c>
      <c r="L157" s="42" t="str">
        <f>IF(LEFT($B157,4)="_Mil","",_xlfn.IFNA(ROUND(INDEX(Spectrum!$N:$N,MATCH(RIGHT($B157,13)&amp;"|"&amp;$C157&amp;"|"&amp;$D157&amp;"|"&amp;L$14&amp;"|"&amp;"CY2023Q3",Spectrum!$R:$R,0)),0),""))</f>
        <v/>
      </c>
      <c r="M157" s="42">
        <f>IF(LEFT($B157,4)="_Mil","",_xlfn.IFNA(ROUND(INDEX(Spectrum!$N:$N,MATCH(RIGHT($B157,13)&amp;"|"&amp;$C157&amp;"|"&amp;$D157&amp;"|"&amp;M$14&amp;"|"&amp;"CY2023Q3",Spectrum!$R:$R,0)),0),""))</f>
        <v>1498</v>
      </c>
      <c r="N157" s="42">
        <f>IF(LEFT($B157,4)="_Mil","",_xlfn.IFNA(ROUND(INDEX(Spectrum!$N:$N,MATCH(RIGHT($B157,13)&amp;"|"&amp;$C157&amp;"|"&amp;$D157&amp;"|"&amp;N$14&amp;"|"&amp;"CY2023Q3",Spectrum!$R:$R,0)),0),""))</f>
        <v>871</v>
      </c>
      <c r="O157" s="42">
        <f>IF(LEFT($B157,4)="_Mil","",_xlfn.IFNA(ROUND(INDEX(Spectrum!$N:$N,MATCH(RIGHT($B157,13)&amp;"|"&amp;$C157&amp;"|"&amp;$D157&amp;"|"&amp;O$14&amp;"|"&amp;"CY2023Q3",Spectrum!$R:$R,0)),0),""))</f>
        <v>1159</v>
      </c>
      <c r="P157" s="42">
        <f>IF(LEFT($B157,4)="_Mil","",_xlfn.IFNA(ROUND(INDEX(Spectrum!$N:$N,MATCH(RIGHT($B157,13)&amp;"|"&amp;$C157&amp;"|"&amp;$D157&amp;"|"&amp;P$14&amp;"|"&amp;"CY2023Q3",Spectrum!$R:$R,0)),0),""))</f>
        <v>972</v>
      </c>
      <c r="Q157" s="42" t="str">
        <f>IF(LEFT($B157,4)="_Mil","",_xlfn.IFNA(ROUND(INDEX(Spectrum!$N:$N,MATCH(RIGHT($B157,13)&amp;"|"&amp;$C157&amp;"|"&amp;$D157&amp;"|"&amp;Q$14&amp;"|"&amp;"CY2022Q3",Spectrum!$R:$R,0)),0),""))</f>
        <v/>
      </c>
      <c r="R157" s="14"/>
      <c r="S157" s="90">
        <f>0</f>
        <v>0</v>
      </c>
      <c r="T157" s="42" t="str">
        <f t="shared" si="113"/>
        <v/>
      </c>
      <c r="U157" s="90">
        <f t="shared" si="114"/>
        <v>0</v>
      </c>
      <c r="V157" s="42" t="str">
        <f t="shared" si="115"/>
        <v/>
      </c>
      <c r="W157" s="90"/>
      <c r="X157" s="90">
        <f t="shared" si="116"/>
        <v>0</v>
      </c>
      <c r="Y157" s="90"/>
      <c r="Z157" s="90">
        <f t="shared" si="117"/>
        <v>0</v>
      </c>
      <c r="AA157" s="14" t="str">
        <f t="shared" si="118"/>
        <v/>
      </c>
      <c r="AB157" s="42" t="str">
        <f t="shared" si="119"/>
        <v/>
      </c>
      <c r="AC157" s="42" t="str">
        <f t="shared" si="120"/>
        <v/>
      </c>
      <c r="AD157" s="42" t="str">
        <f t="shared" si="121"/>
        <v/>
      </c>
      <c r="AE157" s="14" t="str">
        <f t="shared" si="122"/>
        <v/>
      </c>
      <c r="AF157" s="42" t="str">
        <f t="shared" si="123"/>
        <v/>
      </c>
      <c r="AG157" s="42" t="str">
        <f t="shared" si="124"/>
        <v/>
      </c>
      <c r="AH157" s="42" t="str">
        <f t="shared" si="125"/>
        <v/>
      </c>
      <c r="AI157" s="90" t="str">
        <f>IF(SUM($AC157)=0,"",INDEX(Cascade!$BG:$BG,MATCH($E157,Cascade!$E:$E,0)))</f>
        <v/>
      </c>
      <c r="AJ157" s="42" t="str">
        <f t="shared" si="126"/>
        <v/>
      </c>
      <c r="AK157" s="42" t="str">
        <f t="shared" si="127"/>
        <v/>
      </c>
      <c r="AL157" s="42" t="str">
        <f t="shared" si="128"/>
        <v/>
      </c>
      <c r="AM157" s="42" t="str">
        <f t="shared" si="129"/>
        <v/>
      </c>
      <c r="AN157" s="42" t="str">
        <f t="shared" si="130"/>
        <v/>
      </c>
      <c r="AO157" s="14" t="str">
        <f t="shared" si="131"/>
        <v/>
      </c>
      <c r="AP157" s="90"/>
      <c r="AQ157" s="90" t="str">
        <f t="shared" si="132"/>
        <v/>
      </c>
      <c r="AR157" s="90" t="str">
        <f>IF(SUM($AO157)=0,"",INDEX(Cascade!$BG:$BG,MATCH($E157,Cascade!$E:$E,0)))</f>
        <v/>
      </c>
      <c r="AS157" s="42" t="str">
        <f t="shared" si="133"/>
        <v/>
      </c>
      <c r="AT157" s="42" t="str">
        <f t="shared" si="134"/>
        <v/>
      </c>
      <c r="AU157" s="14" t="str">
        <f t="shared" si="135"/>
        <v/>
      </c>
      <c r="AV157" s="14" t="str">
        <f t="shared" si="136"/>
        <v/>
      </c>
      <c r="AW157" s="14" t="str">
        <f>IFERROR(1/(1/INDEX(Cascade!$BH:$BH,MATCH($E157,Cascade!$E:$E,0))),"")</f>
        <v/>
      </c>
      <c r="AX157" s="14" t="str">
        <f t="shared" si="137"/>
        <v/>
      </c>
      <c r="AY157" s="14" t="str">
        <f t="shared" si="138"/>
        <v/>
      </c>
      <c r="AZ157" s="14" t="str">
        <f>IFERROR(1/(1/INDEX(TB!$P:$P,MATCH($E157,TB!$E:$E,0))),"")</f>
        <v/>
      </c>
      <c r="BA157" s="14" t="str">
        <f t="shared" si="139"/>
        <v/>
      </c>
    </row>
    <row r="158" spans="1:53" x14ac:dyDescent="0.2">
      <c r="A158" t="str">
        <f>INDEX(Prioritization!$D:$D,MATCH($B158,Prioritization!$A:$A,0))</f>
        <v>1 - Scale-up: Saturation</v>
      </c>
      <c r="B158" t="s">
        <v>221</v>
      </c>
      <c r="C158" t="s">
        <v>366</v>
      </c>
      <c r="D158" t="s">
        <v>29</v>
      </c>
      <c r="E158" t="str">
        <f t="shared" si="112"/>
        <v>Zomba District [fyEoGEPERdI]|35-49|Female</v>
      </c>
      <c r="F158" s="14">
        <f>IF(LEFT($B158,4)="_Mil","",INDEX(Cascade!$T:$T,MATCH($E158,Cascade!$E:$E,0)))</f>
        <v>1411</v>
      </c>
      <c r="G158" s="14" t="str">
        <f>IF(LEFT($B158,4)="_Mil","",INDEX(Cascade!$U:$U,MATCH($E158,Cascade!$E:$E,0)))</f>
        <v/>
      </c>
      <c r="H158" s="88">
        <f>IF(LEFT($B158,4)="_Mil","",INDEX(Cascade!$W:$W,MATCH($E158,Cascade!$E:$E,0)))</f>
        <v>615</v>
      </c>
      <c r="I158" s="14">
        <f>IF(LEFT($B158,4)="_Mil","",INDEX(Cascade!$Z:$Z,MATCH($E158,Cascade!$E:$E,0)))</f>
        <v>1370</v>
      </c>
      <c r="J158" s="90">
        <f>IF(LEFT($B158,4)="_Mil","",INDEX(Cascade!$AA:$AA,MATCH($E158,Cascade!$E:$E,0)))</f>
        <v>1588</v>
      </c>
      <c r="K158" s="42">
        <f>IF(LEFT($B158,4)="_Mil","",_xlfn.IFNA(ROUND(INDEX(Spectrum!$N:$N,MATCH(RIGHT($B158,13)&amp;"|"&amp;$C158&amp;"|"&amp;$D158&amp;"|"&amp;K$14&amp;"|"&amp;"CY2023Q3",Spectrum!$R:$R,0)),0),""))</f>
        <v>983</v>
      </c>
      <c r="L158" s="42" t="str">
        <f>IF(LEFT($B158,4)="_Mil","",_xlfn.IFNA(ROUND(INDEX(Spectrum!$N:$N,MATCH(RIGHT($B158,13)&amp;"|"&amp;$C158&amp;"|"&amp;$D158&amp;"|"&amp;L$14&amp;"|"&amp;"CY2023Q3",Spectrum!$R:$R,0)),0),""))</f>
        <v/>
      </c>
      <c r="M158" s="42">
        <f>IF(LEFT($B158,4)="_Mil","",_xlfn.IFNA(ROUND(INDEX(Spectrum!$N:$N,MATCH(RIGHT($B158,13)&amp;"|"&amp;$C158&amp;"|"&amp;$D158&amp;"|"&amp;M$14&amp;"|"&amp;"CY2023Q3",Spectrum!$R:$R,0)),0),""))</f>
        <v>1388</v>
      </c>
      <c r="N158" s="42">
        <f>IF(LEFT($B158,4)="_Mil","",_xlfn.IFNA(ROUND(INDEX(Spectrum!$N:$N,MATCH(RIGHT($B158,13)&amp;"|"&amp;$C158&amp;"|"&amp;$D158&amp;"|"&amp;N$14&amp;"|"&amp;"CY2023Q3",Spectrum!$R:$R,0)),0),""))</f>
        <v>1269</v>
      </c>
      <c r="O158" s="42">
        <f>IF(LEFT($B158,4)="_Mil","",_xlfn.IFNA(ROUND(INDEX(Spectrum!$N:$N,MATCH(RIGHT($B158,13)&amp;"|"&amp;$C158&amp;"|"&amp;$D158&amp;"|"&amp;O$14&amp;"|"&amp;"CY2023Q3",Spectrum!$R:$R,0)),0),""))</f>
        <v>1648</v>
      </c>
      <c r="P158" s="42">
        <f>IF(LEFT($B158,4)="_Mil","",_xlfn.IFNA(ROUND(INDEX(Spectrum!$N:$N,MATCH(RIGHT($B158,13)&amp;"|"&amp;$C158&amp;"|"&amp;$D158&amp;"|"&amp;P$14&amp;"|"&amp;"CY2023Q3",Spectrum!$R:$R,0)),0),""))</f>
        <v>1877</v>
      </c>
      <c r="Q158" s="42" t="str">
        <f>IF(LEFT($B158,4)="_Mil","",_xlfn.IFNA(ROUND(INDEX(Spectrum!$N:$N,MATCH(RIGHT($B158,13)&amp;"|"&amp;$C158&amp;"|"&amp;$D158&amp;"|"&amp;Q$14&amp;"|"&amp;"CY2022Q3",Spectrum!$R:$R,0)),0),""))</f>
        <v/>
      </c>
      <c r="R158" s="14"/>
      <c r="S158" s="90">
        <f>0</f>
        <v>0</v>
      </c>
      <c r="T158" s="42" t="str">
        <f t="shared" si="113"/>
        <v/>
      </c>
      <c r="U158" s="90">
        <f t="shared" si="114"/>
        <v>0</v>
      </c>
      <c r="V158" s="42" t="str">
        <f t="shared" si="115"/>
        <v/>
      </c>
      <c r="W158" s="90"/>
      <c r="X158" s="90">
        <f t="shared" si="116"/>
        <v>0</v>
      </c>
      <c r="Y158" s="90"/>
      <c r="Z158" s="90">
        <f t="shared" si="117"/>
        <v>0</v>
      </c>
      <c r="AA158" s="14" t="str">
        <f t="shared" si="118"/>
        <v/>
      </c>
      <c r="AB158" s="42" t="str">
        <f t="shared" si="119"/>
        <v/>
      </c>
      <c r="AC158" s="42" t="str">
        <f t="shared" si="120"/>
        <v/>
      </c>
      <c r="AD158" s="42" t="str">
        <f t="shared" si="121"/>
        <v/>
      </c>
      <c r="AE158" s="14" t="str">
        <f t="shared" si="122"/>
        <v/>
      </c>
      <c r="AF158" s="42" t="str">
        <f t="shared" si="123"/>
        <v/>
      </c>
      <c r="AG158" s="42" t="str">
        <f t="shared" si="124"/>
        <v/>
      </c>
      <c r="AH158" s="42" t="str">
        <f t="shared" si="125"/>
        <v/>
      </c>
      <c r="AI158" s="90" t="str">
        <f>IF(SUM($AC158)=0,"",INDEX(Cascade!$BG:$BG,MATCH($E158,Cascade!$E:$E,0)))</f>
        <v/>
      </c>
      <c r="AJ158" s="42" t="str">
        <f t="shared" si="126"/>
        <v/>
      </c>
      <c r="AK158" s="42" t="str">
        <f t="shared" si="127"/>
        <v/>
      </c>
      <c r="AL158" s="42" t="str">
        <f t="shared" si="128"/>
        <v/>
      </c>
      <c r="AM158" s="42" t="str">
        <f t="shared" si="129"/>
        <v/>
      </c>
      <c r="AN158" s="42" t="str">
        <f t="shared" si="130"/>
        <v/>
      </c>
      <c r="AO158" s="14" t="str">
        <f t="shared" si="131"/>
        <v/>
      </c>
      <c r="AP158" s="90"/>
      <c r="AQ158" s="90" t="str">
        <f t="shared" si="132"/>
        <v/>
      </c>
      <c r="AR158" s="90" t="str">
        <f>IF(SUM($AO158)=0,"",INDEX(Cascade!$BG:$BG,MATCH($E158,Cascade!$E:$E,0)))</f>
        <v/>
      </c>
      <c r="AS158" s="42" t="str">
        <f t="shared" si="133"/>
        <v/>
      </c>
      <c r="AT158" s="42" t="str">
        <f t="shared" si="134"/>
        <v/>
      </c>
      <c r="AU158" s="14" t="str">
        <f t="shared" si="135"/>
        <v/>
      </c>
      <c r="AV158" s="14" t="str">
        <f t="shared" si="136"/>
        <v/>
      </c>
      <c r="AW158" s="14" t="str">
        <f>IFERROR(1/(1/INDEX(Cascade!$BH:$BH,MATCH($E158,Cascade!$E:$E,0))),"")</f>
        <v/>
      </c>
      <c r="AX158" s="14" t="str">
        <f t="shared" si="137"/>
        <v/>
      </c>
      <c r="AY158" s="14" t="str">
        <f t="shared" si="138"/>
        <v/>
      </c>
      <c r="AZ158" s="14" t="str">
        <f>IFERROR(1/(1/INDEX(TB!$P:$P,MATCH($E158,TB!$E:$E,0))),"")</f>
        <v/>
      </c>
      <c r="BA158" s="14" t="str">
        <f t="shared" si="139"/>
        <v/>
      </c>
    </row>
    <row r="159" spans="1:53" x14ac:dyDescent="0.2">
      <c r="A159" t="str">
        <f>INDEX(Prioritization!$D:$D,MATCH($B159,Prioritization!$A:$A,0))</f>
        <v>1 - Scale-up: Saturation</v>
      </c>
      <c r="B159" t="s">
        <v>221</v>
      </c>
      <c r="C159" t="s">
        <v>367</v>
      </c>
      <c r="D159" t="s">
        <v>29</v>
      </c>
      <c r="E159" t="str">
        <f t="shared" si="112"/>
        <v>Zomba District [fyEoGEPERdI]|50+|Female</v>
      </c>
      <c r="F159" s="14">
        <f>IF(LEFT($B159,4)="_Mil","",INDEX(Cascade!$T:$T,MATCH($E159,Cascade!$E:$E,0)))</f>
        <v>1491</v>
      </c>
      <c r="G159" s="14" t="str">
        <f>IF(LEFT($B159,4)="_Mil","",INDEX(Cascade!$U:$U,MATCH($E159,Cascade!$E:$E,0)))</f>
        <v/>
      </c>
      <c r="H159" s="88">
        <f>IF(LEFT($B159,4)="_Mil","",INDEX(Cascade!$W:$W,MATCH($E159,Cascade!$E:$E,0)))</f>
        <v>1678</v>
      </c>
      <c r="I159" s="14">
        <f>IF(LEFT($B159,4)="_Mil","",INDEX(Cascade!$Z:$Z,MATCH($E159,Cascade!$E:$E,0)))</f>
        <v>1101</v>
      </c>
      <c r="J159" s="90">
        <f>IF(LEFT($B159,4)="_Mil","",INDEX(Cascade!$AA:$AA,MATCH($E159,Cascade!$E:$E,0)))</f>
        <v>1194</v>
      </c>
      <c r="K159" s="42" t="str">
        <f>IF(LEFT($B159,4)="_Mil","",_xlfn.IFNA(ROUND(INDEX(Spectrum!$N:$N,MATCH(RIGHT($B159,13)&amp;"|"&amp;$C159&amp;"|"&amp;$D159&amp;"|"&amp;K$14&amp;"|"&amp;"CY2023Q3",Spectrum!$R:$R,0)),0),""))</f>
        <v/>
      </c>
      <c r="L159" s="42" t="str">
        <f>IF(LEFT($B159,4)="_Mil","",_xlfn.IFNA(ROUND(INDEX(Spectrum!$N:$N,MATCH(RIGHT($B159,13)&amp;"|"&amp;$C159&amp;"|"&amp;$D159&amp;"|"&amp;L$14&amp;"|"&amp;"CY2023Q3",Spectrum!$R:$R,0)),0),""))</f>
        <v/>
      </c>
      <c r="M159" s="42" t="str">
        <f>IF(LEFT($B159,4)="_Mil","",_xlfn.IFNA(ROUND(INDEX(Spectrum!$N:$N,MATCH(RIGHT($B159,13)&amp;"|"&amp;$C159&amp;"|"&amp;$D159&amp;"|"&amp;M$14&amp;"|"&amp;"CY2023Q3",Spectrum!$R:$R,0)),0),""))</f>
        <v/>
      </c>
      <c r="N159" s="42" t="str">
        <f>IF(LEFT($B159,4)="_Mil","",_xlfn.IFNA(ROUND(INDEX(Spectrum!$N:$N,MATCH(RIGHT($B159,13)&amp;"|"&amp;$C159&amp;"|"&amp;$D159&amp;"|"&amp;N$14&amp;"|"&amp;"CY2023Q3",Spectrum!$R:$R,0)),0),""))</f>
        <v/>
      </c>
      <c r="O159" s="42" t="str">
        <f>IF(LEFT($B159,4)="_Mil","",_xlfn.IFNA(ROUND(INDEX(Spectrum!$N:$N,MATCH(RIGHT($B159,13)&amp;"|"&amp;$C159&amp;"|"&amp;$D159&amp;"|"&amp;O$14&amp;"|"&amp;"CY2023Q3",Spectrum!$R:$R,0)),0),""))</f>
        <v/>
      </c>
      <c r="P159" s="42" t="str">
        <f>IF(LEFT($B159,4)="_Mil","",_xlfn.IFNA(ROUND(INDEX(Spectrum!$N:$N,MATCH(RIGHT($B159,13)&amp;"|"&amp;$C159&amp;"|"&amp;$D159&amp;"|"&amp;P$14&amp;"|"&amp;"CY2023Q3",Spectrum!$R:$R,0)),0),""))</f>
        <v/>
      </c>
      <c r="Q159" s="42" t="str">
        <f>IF(LEFT($B159,4)="_Mil","",_xlfn.IFNA(ROUND(INDEX(Spectrum!$N:$N,MATCH(RIGHT($B159,13)&amp;"|"&amp;$C159&amp;"|"&amp;$D159&amp;"|"&amp;Q$14&amp;"|"&amp;"CY2022Q3",Spectrum!$R:$R,0)),0),""))</f>
        <v/>
      </c>
      <c r="R159" s="14"/>
      <c r="S159" s="90">
        <f>0</f>
        <v>0</v>
      </c>
      <c r="T159" s="42" t="str">
        <f t="shared" si="113"/>
        <v/>
      </c>
      <c r="U159" s="90" t="str">
        <f t="shared" si="114"/>
        <v/>
      </c>
      <c r="V159" s="42" t="str">
        <f t="shared" si="115"/>
        <v/>
      </c>
      <c r="W159" s="90"/>
      <c r="X159" s="90" t="str">
        <f t="shared" si="116"/>
        <v/>
      </c>
      <c r="Y159" s="90"/>
      <c r="Z159" s="90" t="str">
        <f t="shared" si="117"/>
        <v/>
      </c>
      <c r="AA159" s="14" t="str">
        <f t="shared" si="118"/>
        <v/>
      </c>
      <c r="AB159" s="42" t="str">
        <f t="shared" si="119"/>
        <v/>
      </c>
      <c r="AC159" s="42" t="str">
        <f t="shared" si="120"/>
        <v/>
      </c>
      <c r="AD159" s="42" t="str">
        <f t="shared" si="121"/>
        <v/>
      </c>
      <c r="AE159" s="14" t="str">
        <f t="shared" si="122"/>
        <v/>
      </c>
      <c r="AF159" s="42" t="str">
        <f t="shared" si="123"/>
        <v/>
      </c>
      <c r="AG159" s="42" t="str">
        <f t="shared" si="124"/>
        <v/>
      </c>
      <c r="AH159" s="42" t="str">
        <f t="shared" si="125"/>
        <v/>
      </c>
      <c r="AI159" s="90" t="str">
        <f>IF(SUM($AC159)=0,"",INDEX(Cascade!$BG:$BG,MATCH($E159,Cascade!$E:$E,0)))</f>
        <v/>
      </c>
      <c r="AJ159" s="42" t="str">
        <f t="shared" si="126"/>
        <v/>
      </c>
      <c r="AK159" s="42" t="str">
        <f t="shared" si="127"/>
        <v/>
      </c>
      <c r="AL159" s="42" t="str">
        <f t="shared" si="128"/>
        <v/>
      </c>
      <c r="AM159" s="42" t="str">
        <f t="shared" si="129"/>
        <v/>
      </c>
      <c r="AN159" s="42" t="str">
        <f t="shared" si="130"/>
        <v/>
      </c>
      <c r="AO159" s="14" t="str">
        <f t="shared" si="131"/>
        <v/>
      </c>
      <c r="AP159" s="90"/>
      <c r="AQ159" s="90" t="str">
        <f t="shared" si="132"/>
        <v/>
      </c>
      <c r="AR159" s="90" t="str">
        <f>IF(SUM($AO159)=0,"",INDEX(Cascade!$BG:$BG,MATCH($E159,Cascade!$E:$E,0)))</f>
        <v/>
      </c>
      <c r="AS159" s="42" t="str">
        <f t="shared" si="133"/>
        <v/>
      </c>
      <c r="AT159" s="42" t="str">
        <f t="shared" si="134"/>
        <v/>
      </c>
      <c r="AU159" s="14" t="str">
        <f t="shared" si="135"/>
        <v/>
      </c>
      <c r="AV159" s="14" t="str">
        <f t="shared" si="136"/>
        <v/>
      </c>
      <c r="AW159" s="14" t="str">
        <f>IFERROR(1/(1/INDEX(Cascade!$BH:$BH,MATCH($E159,Cascade!$E:$E,0))),"")</f>
        <v/>
      </c>
      <c r="AX159" s="14" t="str">
        <f t="shared" si="137"/>
        <v/>
      </c>
      <c r="AY159" s="14" t="str">
        <f t="shared" si="138"/>
        <v/>
      </c>
      <c r="AZ159" s="14" t="str">
        <f>IFERROR(1/(1/INDEX(TB!$P:$P,MATCH($E159,TB!$E:$E,0))),"")</f>
        <v/>
      </c>
      <c r="BA159" s="14" t="str">
        <f t="shared" si="139"/>
        <v/>
      </c>
    </row>
  </sheetData>
  <mergeCells count="1">
    <mergeCell ref="A2:B3"/>
  </mergeCells>
  <conditionalFormatting sqref="S1:S1048576">
    <cfRule type="expression" dxfId="122" priority="2">
      <formula>AND(ISNUMBER($S1),ROUND($S1,2)&lt;&gt;0)</formula>
    </cfRule>
  </conditionalFormatting>
  <conditionalFormatting sqref="AI1:AI1048576 AR1:AR1048576">
    <cfRule type="expression" dxfId="121" priority="3">
      <formula>AND(ISNUMBER(AI1),ROUND(AI1,2)&lt;0.95)</formula>
    </cfRule>
  </conditionalFormatting>
  <conditionalFormatting sqref="X1:X1048576">
    <cfRule type="expression" dxfId="120" priority="4">
      <formula>$AB1="ENTER KNOWN POSITIVITY RATE"</formula>
    </cfRule>
    <cfRule type="expression" dxfId="119" priority="5">
      <formula>AND(ISNUMBER(X1),ROUND(X1,2)&gt;=0.75)</formula>
    </cfRule>
  </conditionalFormatting>
  <conditionalFormatting sqref="Z1:Z1048576 AQ1:AQ1048576">
    <cfRule type="expression" dxfId="118" priority="6">
      <formula>AND(ISNUMBER(Z1),Z1&gt;10%)</formula>
    </cfRule>
  </conditionalFormatting>
  <conditionalFormatting sqref="F1:Q1048576 U1:V1048576 AE1:AH1048576 AL1:AN1048576">
    <cfRule type="expression" dxfId="117" priority="7">
      <formula>AND(ROW(F1)&gt;14,LEFT($B1,4)="_Mil")</formula>
    </cfRule>
  </conditionalFormatting>
  <conditionalFormatting sqref="H1:H1048576 U1:U1048576 W1:Z1048576 AI1:AI1048576 AP1:AR1048576">
    <cfRule type="expression" dxfId="116" priority="8">
      <formula>AND(ISNUMBER(H1),H1&gt;1)</formula>
    </cfRule>
  </conditionalFormatting>
  <conditionalFormatting sqref="F1:R1048576 T1:BA1048576">
    <cfRule type="expression" dxfId="115" priority="9">
      <formula>AND(ISNUMBER(F1),F1&lt;0)</formula>
    </cfRule>
  </conditionalFormatting>
  <conditionalFormatting sqref="AQ1:AQ1048576">
    <cfRule type="expression" dxfId="114" priority="10">
      <formula>$AS1="ENTER YIELD RATE"</formula>
    </cfRule>
  </conditionalFormatting>
  <conditionalFormatting sqref="Z1:Z1048576">
    <cfRule type="expression" dxfId="113" priority="11">
      <formula>$AC1="ENTER YIELD RATE"</formula>
    </cfRule>
  </conditionalFormatting>
  <conditionalFormatting sqref="J1:J1048576">
    <cfRule type="expression" dxfId="112" priority="12">
      <formula>AND(ISNUMBER(J1),J1&gt;1)</formula>
    </cfRule>
  </conditionalFormatting>
  <hyperlinks>
    <hyperlink ref="F3" location="Cascade!T:T" display="P.C. Est. Female Population (FY23)" xr:uid="{00000000-0004-0000-0600-000000000000}"/>
    <hyperlink ref="G3" location="Cascade!U:U" display="P.C. Est. PLHIV (FY23)" xr:uid="{00000000-0004-0000-0600-000001000000}"/>
    <hyperlink ref="H3" location="Cascade!V:V" display="P.C. Est. HIV Prevalence (FY23) (%)" xr:uid="{00000000-0004-0000-0600-000002000000}"/>
    <hyperlink ref="I3" location="Cascade!Y:Y" display="P.C. Est. # on ART (FY23)" xr:uid="{00000000-0004-0000-0600-000003000000}"/>
    <hyperlink ref="J3" location="Cascade!Z:Z" display="P.C. Est. ART Coverage (ART/PLHIV) (FY23) (%)" xr:uid="{00000000-0004-0000-0600-000004000000}"/>
    <hyperlink ref="AW3" location="Cascade!BE:BE" display="Total HTS_TST_POS (FY24)" xr:uid="{00000000-0004-0000-0600-000005000000}"/>
    <hyperlink ref="AX3" location="PMTCT!AC:AC" display="Total New Positives from PMTCT_STAT ANC1 (FY24)" xr:uid="{00000000-0004-0000-0600-000006000000}"/>
    <hyperlink ref="AY3" location="PMTCT!AS:AS" display="Total New Positives from PMTCT Post ANC1 (FY24)" xr:uid="{00000000-0004-0000-0600-000007000000}"/>
    <hyperlink ref="AZ3" location="TB!P:P" display="Total New Positives from TB_STAT (FY24)" xr:uid="{00000000-0004-0000-0600-000008000000}"/>
  </hyperlinks>
  <pageMargins left="0.7" right="0.7" top="0.75" bottom="0.75" header="0.511811023622047" footer="0.511811023622047"/>
  <pageSetup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3"/>
  <sheetViews>
    <sheetView zoomScaleNormal="100" workbookViewId="0">
      <pane xSplit="2" ySplit="14" topLeftCell="C15" activePane="bottomRight" state="frozen"/>
      <selection pane="topRight" activeCell="C1" sqref="C1"/>
      <selection pane="bottomLeft" activeCell="A15" sqref="A15"/>
      <selection pane="bottomRight" activeCell="J4" sqref="J4"/>
    </sheetView>
  </sheetViews>
  <sheetFormatPr baseColWidth="10" defaultColWidth="10.5" defaultRowHeight="16" x14ac:dyDescent="0.2"/>
  <cols>
    <col min="1" max="1" width="16.1640625" customWidth="1"/>
    <col min="2" max="2" width="30.83203125" customWidth="1"/>
    <col min="3" max="22" width="11.83203125" customWidth="1"/>
  </cols>
  <sheetData>
    <row r="1" spans="1:22" ht="30.75" customHeight="1" x14ac:dyDescent="0.2">
      <c r="A1" s="44" t="s">
        <v>916</v>
      </c>
      <c r="B1" s="18"/>
      <c r="C1" s="45" t="s">
        <v>917</v>
      </c>
      <c r="D1" s="50"/>
      <c r="E1" s="50"/>
      <c r="F1" s="46"/>
      <c r="G1" s="46"/>
      <c r="H1" s="51" t="s">
        <v>918</v>
      </c>
      <c r="I1" s="50"/>
      <c r="J1" s="50"/>
      <c r="K1" s="50"/>
      <c r="L1" s="46"/>
      <c r="M1" s="50"/>
      <c r="N1" s="46"/>
      <c r="O1" s="50"/>
      <c r="P1" s="46"/>
      <c r="Q1" s="50"/>
      <c r="R1" s="21"/>
      <c r="S1" s="50"/>
      <c r="T1" s="46"/>
      <c r="U1" s="50"/>
      <c r="V1" s="46"/>
    </row>
    <row r="2" spans="1:22" ht="18.75" customHeight="1" x14ac:dyDescent="0.25">
      <c r="A2" s="25"/>
      <c r="B2" s="22"/>
      <c r="C2" s="52"/>
      <c r="F2" s="24" t="s">
        <v>176</v>
      </c>
      <c r="G2" s="24" t="s">
        <v>176</v>
      </c>
      <c r="H2" s="56"/>
      <c r="I2" s="54"/>
      <c r="J2" s="54"/>
      <c r="L2" s="24" t="s">
        <v>176</v>
      </c>
      <c r="N2" s="24" t="s">
        <v>176</v>
      </c>
      <c r="P2" s="24" t="s">
        <v>176</v>
      </c>
      <c r="R2" s="118"/>
      <c r="T2" s="24" t="s">
        <v>176</v>
      </c>
      <c r="V2" s="24" t="s">
        <v>176</v>
      </c>
    </row>
    <row r="3" spans="1:22" ht="117" customHeight="1" x14ac:dyDescent="0.2">
      <c r="A3" s="61"/>
      <c r="B3" s="26"/>
      <c r="C3" s="138" t="s">
        <v>919</v>
      </c>
      <c r="D3" s="160" t="s">
        <v>920</v>
      </c>
      <c r="E3" s="160" t="s">
        <v>921</v>
      </c>
      <c r="F3" s="74" t="s">
        <v>922</v>
      </c>
      <c r="G3" s="74" t="s">
        <v>923</v>
      </c>
      <c r="H3" s="141" t="s">
        <v>924</v>
      </c>
      <c r="I3" s="73" t="s">
        <v>925</v>
      </c>
      <c r="J3" s="67" t="s">
        <v>926</v>
      </c>
      <c r="K3" s="67" t="s">
        <v>927</v>
      </c>
      <c r="L3" s="167" t="s">
        <v>928</v>
      </c>
      <c r="M3" s="67" t="s">
        <v>285</v>
      </c>
      <c r="N3" s="167" t="s">
        <v>929</v>
      </c>
      <c r="O3" s="67" t="s">
        <v>930</v>
      </c>
      <c r="P3" s="167" t="s">
        <v>931</v>
      </c>
      <c r="Q3" s="67" t="s">
        <v>932</v>
      </c>
      <c r="R3" s="167" t="s">
        <v>933</v>
      </c>
      <c r="S3" s="67" t="s">
        <v>934</v>
      </c>
      <c r="T3" s="167" t="s">
        <v>935</v>
      </c>
      <c r="U3" s="67" t="s">
        <v>936</v>
      </c>
      <c r="V3" s="167" t="s">
        <v>937</v>
      </c>
    </row>
    <row r="4" spans="1:22" x14ac:dyDescent="0.2">
      <c r="A4" s="75"/>
      <c r="B4" s="30" t="s">
        <v>287</v>
      </c>
      <c r="C4" s="76">
        <f>SUBTOTAL(109,C$15:INDEX(C:C,COUNTA($B:$B)+14-COUNTA($B$1:$B$14)))</f>
        <v>74</v>
      </c>
      <c r="D4" s="86">
        <f>IF(SUM($C4)=0,"",SUM($F4)/$C4)</f>
        <v>0.97297297297297303</v>
      </c>
      <c r="E4" s="86">
        <f>IF(SUM($C4)=0,"",SUM($F4,$G4)/$C4)</f>
        <v>1</v>
      </c>
      <c r="F4" s="84">
        <f>SUBTOTAL(109,F$15:INDEX(F:F,COUNTA($B:$B)+14-COUNTA($B$1:$B$14)))</f>
        <v>72</v>
      </c>
      <c r="G4" s="84">
        <f>SUBTOTAL(109,G$15:INDEX(G:G,COUNTA($B:$B)+14-COUNTA($B$1:$B$14)))</f>
        <v>2</v>
      </c>
      <c r="H4" s="85"/>
      <c r="I4" s="86"/>
      <c r="J4" s="86"/>
      <c r="K4" s="86"/>
      <c r="L4" s="84">
        <f>SUBTOTAL(109,L$15:INDEX(L:L,COUNTA($B:$B)+14-COUNTA($B$1:$B$14)))</f>
        <v>32</v>
      </c>
      <c r="M4" s="86">
        <f>IF(SUM($L4)=0,"",SUM($N4)/$L4)</f>
        <v>0.96875</v>
      </c>
      <c r="N4" s="84">
        <f>SUBTOTAL(109,N$15:INDEX(N:N,COUNTA($B:$B)+14-COUNTA($B$1:$B$14)))</f>
        <v>31</v>
      </c>
      <c r="O4" s="86">
        <f>IF(SUM($N4)=0,"",SUM($P4)/$N4)</f>
        <v>1</v>
      </c>
      <c r="P4" s="84">
        <f>SUBTOTAL(109,P$15:INDEX(P:P,COUNTA($B:$B)+14-COUNTA($B$1:$B$14)))</f>
        <v>31</v>
      </c>
      <c r="Q4" s="86">
        <f>IF(SUM($N4)=0,"",SUM($R4)/$N4)</f>
        <v>0.64516129032258063</v>
      </c>
      <c r="R4" s="77">
        <f>SUBTOTAL(109,R$15:INDEX(R:R,COUNTA($B:$B)+14-COUNTA($B$1:$B$14)))</f>
        <v>20</v>
      </c>
      <c r="S4" s="86">
        <f>IF(SUM($R4)=0,"",SUM($T4)/$R4)</f>
        <v>1</v>
      </c>
      <c r="T4" s="84">
        <f>SUBTOTAL(109,T$15:INDEX(T:T,COUNTA($B:$B)+14-COUNTA($B$1:$B$14)))</f>
        <v>20</v>
      </c>
      <c r="U4" s="86">
        <f>IF(SUM($T4)=0,"",SUM($V4)/$T4)</f>
        <v>1</v>
      </c>
      <c r="V4" s="84">
        <f>SUBTOTAL(109,V$15:INDEX(V:V,COUNTA($B:$B)+14-COUNTA($B$1:$B$14)))</f>
        <v>20</v>
      </c>
    </row>
    <row r="5" spans="1:22" x14ac:dyDescent="0.2">
      <c r="A5" t="s">
        <v>180</v>
      </c>
      <c r="B5" s="13" t="s">
        <v>180</v>
      </c>
      <c r="C5" s="87" t="s">
        <v>180</v>
      </c>
      <c r="D5" s="90" t="s">
        <v>180</v>
      </c>
      <c r="E5" s="90" t="s">
        <v>180</v>
      </c>
      <c r="F5" s="9" t="s">
        <v>288</v>
      </c>
      <c r="G5" s="9" t="s">
        <v>288</v>
      </c>
      <c r="H5" s="94" t="s">
        <v>180</v>
      </c>
      <c r="I5" s="90" t="s">
        <v>180</v>
      </c>
      <c r="J5" s="90" t="s">
        <v>180</v>
      </c>
      <c r="K5" s="90" t="s">
        <v>180</v>
      </c>
      <c r="L5" s="9" t="s">
        <v>180</v>
      </c>
      <c r="M5" s="90" t="s">
        <v>180</v>
      </c>
      <c r="N5" s="9" t="s">
        <v>180</v>
      </c>
      <c r="O5" s="90" t="s">
        <v>180</v>
      </c>
      <c r="P5" s="9" t="s">
        <v>180</v>
      </c>
      <c r="Q5" s="89" t="s">
        <v>180</v>
      </c>
      <c r="R5" s="93" t="s">
        <v>180</v>
      </c>
      <c r="S5" s="89" t="s">
        <v>180</v>
      </c>
      <c r="T5" s="9" t="s">
        <v>180</v>
      </c>
      <c r="U5" s="89" t="s">
        <v>180</v>
      </c>
      <c r="V5" s="9" t="s">
        <v>180</v>
      </c>
    </row>
    <row r="6" spans="1:22" x14ac:dyDescent="0.2">
      <c r="A6" t="s">
        <v>182</v>
      </c>
      <c r="B6" s="13" t="s">
        <v>182</v>
      </c>
      <c r="C6" s="87" t="s">
        <v>185</v>
      </c>
      <c r="D6" s="90" t="s">
        <v>290</v>
      </c>
      <c r="E6" s="90" t="s">
        <v>290</v>
      </c>
      <c r="F6" s="9" t="s">
        <v>184</v>
      </c>
      <c r="G6" s="9" t="s">
        <v>184</v>
      </c>
      <c r="H6" s="94" t="s">
        <v>291</v>
      </c>
      <c r="I6" s="90" t="s">
        <v>291</v>
      </c>
      <c r="J6" s="90" t="s">
        <v>290</v>
      </c>
      <c r="K6" s="90" t="s">
        <v>290</v>
      </c>
      <c r="L6" s="9" t="s">
        <v>185</v>
      </c>
      <c r="M6" s="90" t="s">
        <v>290</v>
      </c>
      <c r="N6" s="9" t="s">
        <v>185</v>
      </c>
      <c r="O6" s="90" t="s">
        <v>290</v>
      </c>
      <c r="P6" s="9" t="s">
        <v>185</v>
      </c>
      <c r="Q6" s="89" t="s">
        <v>290</v>
      </c>
      <c r="R6" s="93" t="s">
        <v>185</v>
      </c>
      <c r="S6" s="89" t="s">
        <v>290</v>
      </c>
      <c r="T6" s="9" t="s">
        <v>185</v>
      </c>
      <c r="U6" s="89" t="s">
        <v>290</v>
      </c>
      <c r="V6" s="9" t="s">
        <v>185</v>
      </c>
    </row>
    <row r="7" spans="1:22" x14ac:dyDescent="0.2">
      <c r="A7" t="s">
        <v>186</v>
      </c>
      <c r="B7" s="13" t="s">
        <v>186</v>
      </c>
      <c r="C7" s="87" t="s">
        <v>187</v>
      </c>
      <c r="D7" s="90" t="s">
        <v>293</v>
      </c>
      <c r="E7" s="90" t="s">
        <v>293</v>
      </c>
      <c r="F7" s="9" t="s">
        <v>187</v>
      </c>
      <c r="G7" s="9" t="s">
        <v>187</v>
      </c>
      <c r="H7" s="94" t="s">
        <v>293</v>
      </c>
      <c r="I7" s="90" t="s">
        <v>293</v>
      </c>
      <c r="J7" s="90" t="s">
        <v>293</v>
      </c>
      <c r="K7" s="90" t="s">
        <v>293</v>
      </c>
      <c r="L7" s="9" t="s">
        <v>187</v>
      </c>
      <c r="M7" s="90" t="s">
        <v>293</v>
      </c>
      <c r="N7" s="9" t="s">
        <v>187</v>
      </c>
      <c r="O7" s="90" t="s">
        <v>293</v>
      </c>
      <c r="P7" s="9" t="s">
        <v>187</v>
      </c>
      <c r="Q7" s="89" t="s">
        <v>293</v>
      </c>
      <c r="R7" s="93" t="s">
        <v>187</v>
      </c>
      <c r="S7" s="89" t="s">
        <v>293</v>
      </c>
      <c r="T7" s="9" t="s">
        <v>187</v>
      </c>
      <c r="U7" s="89" t="s">
        <v>293</v>
      </c>
      <c r="V7" s="9" t="s">
        <v>187</v>
      </c>
    </row>
    <row r="8" spans="1:22" x14ac:dyDescent="0.2">
      <c r="B8" s="13"/>
      <c r="F8" s="99" t="s">
        <v>938</v>
      </c>
      <c r="G8" s="99" t="s">
        <v>938</v>
      </c>
      <c r="H8" s="94"/>
      <c r="I8" s="90"/>
      <c r="J8" s="90"/>
      <c r="K8" s="90"/>
      <c r="M8" s="90"/>
      <c r="O8" s="90"/>
      <c r="Q8" s="90"/>
      <c r="R8" s="93"/>
      <c r="S8" s="90"/>
      <c r="U8" s="90"/>
    </row>
    <row r="9" spans="1:22" x14ac:dyDescent="0.2">
      <c r="B9" s="13"/>
      <c r="F9" s="99" t="s">
        <v>939</v>
      </c>
      <c r="G9" s="99" t="s">
        <v>939</v>
      </c>
      <c r="H9" s="94"/>
      <c r="I9" s="90"/>
      <c r="J9" s="90"/>
      <c r="K9" s="90"/>
      <c r="M9" s="90"/>
      <c r="O9" s="90"/>
      <c r="Q9" s="90"/>
      <c r="R9" s="93"/>
      <c r="S9" s="90"/>
      <c r="U9" s="90"/>
    </row>
    <row r="10" spans="1:22" x14ac:dyDescent="0.2">
      <c r="B10" s="13"/>
      <c r="F10" s="99" t="s">
        <v>940</v>
      </c>
      <c r="G10" s="99" t="s">
        <v>941</v>
      </c>
      <c r="H10" s="94"/>
      <c r="I10" s="90"/>
      <c r="J10" s="90"/>
      <c r="K10" s="90"/>
      <c r="M10" s="90"/>
      <c r="O10" s="90"/>
      <c r="Q10" s="90"/>
      <c r="R10" s="93"/>
      <c r="S10" s="90"/>
      <c r="U10" s="90"/>
    </row>
    <row r="11" spans="1:22" x14ac:dyDescent="0.2">
      <c r="B11" s="13"/>
      <c r="H11" s="94"/>
      <c r="I11" s="90"/>
      <c r="J11" s="90"/>
      <c r="K11" s="90"/>
      <c r="M11" s="90"/>
      <c r="O11" s="90"/>
      <c r="Q11" s="90"/>
      <c r="R11" s="93"/>
      <c r="S11" s="90"/>
      <c r="U11" s="90"/>
    </row>
    <row r="12" spans="1:22" x14ac:dyDescent="0.2">
      <c r="B12" s="13"/>
      <c r="H12" s="94"/>
      <c r="I12" s="90"/>
      <c r="J12" s="90"/>
      <c r="K12" s="90"/>
      <c r="M12" s="90"/>
      <c r="O12" s="90"/>
      <c r="Q12" s="90"/>
      <c r="R12" s="93"/>
      <c r="S12" s="90"/>
      <c r="U12" s="90"/>
    </row>
    <row r="13" spans="1:22" x14ac:dyDescent="0.2">
      <c r="B13" s="13"/>
      <c r="H13" s="94"/>
      <c r="I13" s="90"/>
      <c r="J13" s="90"/>
      <c r="K13" s="90"/>
      <c r="M13" s="90"/>
      <c r="O13" s="90"/>
      <c r="Q13" s="90"/>
      <c r="R13" s="93"/>
      <c r="S13" s="90"/>
      <c r="U13" s="90"/>
    </row>
    <row r="14" spans="1:22" x14ac:dyDescent="0.2">
      <c r="A14" s="102" t="s">
        <v>175</v>
      </c>
      <c r="B14" s="36" t="s">
        <v>189</v>
      </c>
      <c r="C14" s="103" t="s">
        <v>942</v>
      </c>
      <c r="D14" s="105" t="s">
        <v>943</v>
      </c>
      <c r="E14" s="105" t="s">
        <v>944</v>
      </c>
      <c r="F14" s="109" t="s">
        <v>945</v>
      </c>
      <c r="G14" s="109" t="s">
        <v>946</v>
      </c>
      <c r="H14" s="107" t="s">
        <v>947</v>
      </c>
      <c r="I14" s="105" t="s">
        <v>948</v>
      </c>
      <c r="J14" s="105" t="s">
        <v>949</v>
      </c>
      <c r="K14" s="105" t="s">
        <v>950</v>
      </c>
      <c r="L14" s="109" t="s">
        <v>951</v>
      </c>
      <c r="M14" s="105" t="s">
        <v>952</v>
      </c>
      <c r="N14" s="109" t="s">
        <v>341</v>
      </c>
      <c r="O14" s="105" t="s">
        <v>953</v>
      </c>
      <c r="P14" s="109" t="s">
        <v>954</v>
      </c>
      <c r="Q14" s="105" t="s">
        <v>955</v>
      </c>
      <c r="R14" s="39" t="s">
        <v>956</v>
      </c>
      <c r="S14" s="105" t="s">
        <v>957</v>
      </c>
      <c r="T14" s="109" t="s">
        <v>958</v>
      </c>
      <c r="U14" s="105" t="s">
        <v>959</v>
      </c>
      <c r="V14" s="109" t="s">
        <v>960</v>
      </c>
    </row>
    <row r="15" spans="1:22" x14ac:dyDescent="0.2">
      <c r="A15" s="93" t="str">
        <f>INDEX(Prioritization!$D:$D,MATCH($B15,Prioritization!$A:$A,0))</f>
        <v>Military</v>
      </c>
      <c r="B15" s="43" t="s">
        <v>193</v>
      </c>
      <c r="C15" s="87">
        <f>SUMIF(PMTCT!$B:$B,$B15,PMTCT!$AV:$AV)</f>
        <v>0</v>
      </c>
      <c r="D15" s="90">
        <f t="shared" ref="D15:D43" si="0">0.95</f>
        <v>0.95</v>
      </c>
      <c r="E15" s="90">
        <f>1</f>
        <v>1</v>
      </c>
      <c r="F15" s="9">
        <f t="shared" ref="F15:F43" si="1">ROUND(SUM($C15)*$D15,0)</f>
        <v>0</v>
      </c>
      <c r="G15" s="9">
        <f t="shared" ref="G15:G43" si="2">ROUND(SUM($C15)*$E15,0)-SUM($F15)</f>
        <v>0</v>
      </c>
      <c r="H15" s="94">
        <v>0.68619721801951505</v>
      </c>
      <c r="I15" s="90">
        <v>0.24767109984531999</v>
      </c>
      <c r="J15" s="90" t="str">
        <f t="shared" ref="J15:J43" si="3">IF(SUM($F15)=0,"",IF($H15="","Enter Positivity Rate",$H15))</f>
        <v/>
      </c>
      <c r="K15" s="90" t="str">
        <f t="shared" ref="K15:K43" si="4">IF(SUM($G15)=0,"",IF($I15="","Enter Positivity Rate",$I15))</f>
        <v/>
      </c>
      <c r="L15" s="9">
        <f t="shared" ref="L15:L43" si="5">ROUND(SUM(SUM($F15)*SUM($J15),SUM($G15)*SUM($K15)),0)</f>
        <v>0</v>
      </c>
      <c r="M15" s="90">
        <f t="shared" ref="M15:M43" si="6">0.95</f>
        <v>0.95</v>
      </c>
      <c r="N15" s="9">
        <f t="shared" ref="N15:N43" si="7">ROUND(SUM($L15)*$M15,0)</f>
        <v>0</v>
      </c>
      <c r="O15" s="90">
        <f t="shared" ref="O15:O43" si="8">0.98</f>
        <v>0.98</v>
      </c>
      <c r="P15" s="9">
        <f t="shared" ref="P15:P43" si="9">ROUND(SUM($N15)*$O15,0)</f>
        <v>0</v>
      </c>
      <c r="Q15" s="90">
        <f t="shared" ref="Q15:Q43" si="10">0.7</f>
        <v>0.7</v>
      </c>
      <c r="R15" s="93">
        <f t="shared" ref="R15:R43" si="11">ROUND(SUM($N15)*$Q15,0)</f>
        <v>0</v>
      </c>
      <c r="S15" s="90">
        <f t="shared" ref="S15:S43" si="12">0.95</f>
        <v>0.95</v>
      </c>
      <c r="T15" s="9">
        <f t="shared" ref="T15:T43" si="13">ROUND(SUM($R15)*$S15,0)</f>
        <v>0</v>
      </c>
      <c r="U15" s="90">
        <f t="shared" ref="U15:U43" si="14">0.95</f>
        <v>0.95</v>
      </c>
      <c r="V15" s="9">
        <f t="shared" ref="V15:V43" si="15">ROUND(SUM($T15)*$U15,0)</f>
        <v>0</v>
      </c>
    </row>
    <row r="16" spans="1:22" x14ac:dyDescent="0.2">
      <c r="A16" t="str">
        <f>INDEX(Prioritization!$D:$D,MATCH($B16,Prioritization!$A:$A,0))</f>
        <v>1 - Scale-up: Saturation</v>
      </c>
      <c r="B16" t="s">
        <v>194</v>
      </c>
      <c r="C16" s="14">
        <f>SUMIF(PMTCT!$B:$B,$B16,PMTCT!$AV:$AV)</f>
        <v>0</v>
      </c>
      <c r="D16" s="90">
        <f t="shared" si="0"/>
        <v>0.95</v>
      </c>
      <c r="E16" s="90">
        <f>1</f>
        <v>1</v>
      </c>
      <c r="F16" s="42">
        <f t="shared" si="1"/>
        <v>0</v>
      </c>
      <c r="G16" s="42">
        <f t="shared" si="2"/>
        <v>0</v>
      </c>
      <c r="H16" s="90">
        <v>2.9174319934099899E-2</v>
      </c>
      <c r="I16" s="90">
        <v>0.96035477588884499</v>
      </c>
      <c r="J16" s="90" t="str">
        <f t="shared" si="3"/>
        <v/>
      </c>
      <c r="K16" s="90" t="str">
        <f t="shared" si="4"/>
        <v/>
      </c>
      <c r="L16" s="14">
        <f t="shared" si="5"/>
        <v>0</v>
      </c>
      <c r="M16" s="90">
        <f t="shared" si="6"/>
        <v>0.95</v>
      </c>
      <c r="N16" s="14">
        <f t="shared" si="7"/>
        <v>0</v>
      </c>
      <c r="O16" s="90">
        <f t="shared" si="8"/>
        <v>0.98</v>
      </c>
      <c r="P16" s="14">
        <f t="shared" si="9"/>
        <v>0</v>
      </c>
      <c r="Q16" s="90">
        <f t="shared" si="10"/>
        <v>0.7</v>
      </c>
      <c r="R16" s="14">
        <f t="shared" si="11"/>
        <v>0</v>
      </c>
      <c r="S16" s="90">
        <f t="shared" si="12"/>
        <v>0.95</v>
      </c>
      <c r="T16" s="14">
        <f t="shared" si="13"/>
        <v>0</v>
      </c>
      <c r="U16" s="90">
        <f t="shared" si="14"/>
        <v>0.95</v>
      </c>
      <c r="V16" s="14">
        <f t="shared" si="15"/>
        <v>0</v>
      </c>
    </row>
    <row r="17" spans="1:22" x14ac:dyDescent="0.2">
      <c r="A17" t="str">
        <f>INDEX(Prioritization!$D:$D,MATCH($B17,Prioritization!$A:$A,0))</f>
        <v>1 - Scale-up: Saturation</v>
      </c>
      <c r="B17" t="s">
        <v>195</v>
      </c>
      <c r="C17" s="14">
        <f>SUMIF(PMTCT!$B:$B,$B17,PMTCT!$AV:$AV)</f>
        <v>0</v>
      </c>
      <c r="D17" s="90">
        <f t="shared" si="0"/>
        <v>0.95</v>
      </c>
      <c r="E17" s="90">
        <f>1</f>
        <v>1</v>
      </c>
      <c r="F17" s="42">
        <f t="shared" si="1"/>
        <v>0</v>
      </c>
      <c r="G17" s="42">
        <f t="shared" si="2"/>
        <v>0</v>
      </c>
      <c r="H17" s="90">
        <v>0.75709910970181205</v>
      </c>
      <c r="I17" s="90">
        <v>0.56333983107469998</v>
      </c>
      <c r="J17" s="90" t="str">
        <f t="shared" si="3"/>
        <v/>
      </c>
      <c r="K17" s="90" t="str">
        <f t="shared" si="4"/>
        <v/>
      </c>
      <c r="L17" s="14">
        <f t="shared" si="5"/>
        <v>0</v>
      </c>
      <c r="M17" s="90">
        <f t="shared" si="6"/>
        <v>0.95</v>
      </c>
      <c r="N17" s="14">
        <f t="shared" si="7"/>
        <v>0</v>
      </c>
      <c r="O17" s="90">
        <f t="shared" si="8"/>
        <v>0.98</v>
      </c>
      <c r="P17" s="14">
        <f t="shared" si="9"/>
        <v>0</v>
      </c>
      <c r="Q17" s="90">
        <f t="shared" si="10"/>
        <v>0.7</v>
      </c>
      <c r="R17" s="14">
        <f t="shared" si="11"/>
        <v>0</v>
      </c>
      <c r="S17" s="90">
        <f t="shared" si="12"/>
        <v>0.95</v>
      </c>
      <c r="T17" s="14">
        <f t="shared" si="13"/>
        <v>0</v>
      </c>
      <c r="U17" s="90">
        <f t="shared" si="14"/>
        <v>0.95</v>
      </c>
      <c r="V17" s="14">
        <f t="shared" si="15"/>
        <v>0</v>
      </c>
    </row>
    <row r="18" spans="1:22" x14ac:dyDescent="0.2">
      <c r="A18" t="str">
        <f>INDEX(Prioritization!$D:$D,MATCH($B18,Prioritization!$A:$A,0))</f>
        <v>INVALID</v>
      </c>
      <c r="B18" t="s">
        <v>196</v>
      </c>
      <c r="C18" s="14">
        <f>SUMIF(PMTCT!$B:$B,$B18,PMTCT!$AV:$AV)</f>
        <v>0</v>
      </c>
      <c r="D18" s="90">
        <f t="shared" si="0"/>
        <v>0.95</v>
      </c>
      <c r="E18" s="90">
        <f>1</f>
        <v>1</v>
      </c>
      <c r="F18" s="42">
        <f t="shared" si="1"/>
        <v>0</v>
      </c>
      <c r="G18" s="42">
        <f t="shared" si="2"/>
        <v>0</v>
      </c>
      <c r="H18" s="90">
        <v>9.5753288129344596E-2</v>
      </c>
      <c r="I18" s="90">
        <v>0.54468645574524999</v>
      </c>
      <c r="J18" s="90" t="str">
        <f t="shared" si="3"/>
        <v/>
      </c>
      <c r="K18" s="90" t="str">
        <f t="shared" si="4"/>
        <v/>
      </c>
      <c r="L18" s="14">
        <f t="shared" si="5"/>
        <v>0</v>
      </c>
      <c r="M18" s="90">
        <f t="shared" si="6"/>
        <v>0.95</v>
      </c>
      <c r="N18" s="14">
        <f t="shared" si="7"/>
        <v>0</v>
      </c>
      <c r="O18" s="90">
        <f t="shared" si="8"/>
        <v>0.98</v>
      </c>
      <c r="P18" s="14">
        <f t="shared" si="9"/>
        <v>0</v>
      </c>
      <c r="Q18" s="90">
        <f t="shared" si="10"/>
        <v>0.7</v>
      </c>
      <c r="R18" s="14">
        <f t="shared" si="11"/>
        <v>0</v>
      </c>
      <c r="S18" s="90">
        <f t="shared" si="12"/>
        <v>0.95</v>
      </c>
      <c r="T18" s="14">
        <f t="shared" si="13"/>
        <v>0</v>
      </c>
      <c r="U18" s="90">
        <f t="shared" si="14"/>
        <v>0.95</v>
      </c>
      <c r="V18" s="14">
        <f t="shared" si="15"/>
        <v>0</v>
      </c>
    </row>
    <row r="19" spans="1:22" x14ac:dyDescent="0.2">
      <c r="A19" t="str">
        <f>INDEX(Prioritization!$D:$D,MATCH($B19,Prioritization!$A:$A,0))</f>
        <v>1 - Scale-up: Saturation</v>
      </c>
      <c r="B19" t="s">
        <v>197</v>
      </c>
      <c r="C19" s="14">
        <f>SUMIF(PMTCT!$B:$B,$B19,PMTCT!$AV:$AV)</f>
        <v>14</v>
      </c>
      <c r="D19" s="90">
        <f t="shared" si="0"/>
        <v>0.95</v>
      </c>
      <c r="E19" s="90">
        <f>1</f>
        <v>1</v>
      </c>
      <c r="F19" s="42">
        <f t="shared" si="1"/>
        <v>13</v>
      </c>
      <c r="G19" s="42">
        <f t="shared" si="2"/>
        <v>1</v>
      </c>
      <c r="H19" s="90">
        <v>0.89848738559521701</v>
      </c>
      <c r="I19" s="90">
        <v>0.90995699982158795</v>
      </c>
      <c r="J19" s="90">
        <f t="shared" si="3"/>
        <v>0.89848738559521701</v>
      </c>
      <c r="K19" s="90">
        <f t="shared" si="4"/>
        <v>0.90995699982158795</v>
      </c>
      <c r="L19" s="14">
        <f t="shared" si="5"/>
        <v>13</v>
      </c>
      <c r="M19" s="90">
        <f t="shared" si="6"/>
        <v>0.95</v>
      </c>
      <c r="N19" s="14">
        <f t="shared" si="7"/>
        <v>12</v>
      </c>
      <c r="O19" s="90">
        <f t="shared" si="8"/>
        <v>0.98</v>
      </c>
      <c r="P19" s="14">
        <f t="shared" si="9"/>
        <v>12</v>
      </c>
      <c r="Q19" s="90">
        <f t="shared" si="10"/>
        <v>0.7</v>
      </c>
      <c r="R19" s="14">
        <f t="shared" si="11"/>
        <v>8</v>
      </c>
      <c r="S19" s="90">
        <f t="shared" si="12"/>
        <v>0.95</v>
      </c>
      <c r="T19" s="14">
        <f t="shared" si="13"/>
        <v>8</v>
      </c>
      <c r="U19" s="90">
        <f t="shared" si="14"/>
        <v>0.95</v>
      </c>
      <c r="V19" s="14">
        <f t="shared" si="15"/>
        <v>8</v>
      </c>
    </row>
    <row r="20" spans="1:22" x14ac:dyDescent="0.2">
      <c r="A20" t="str">
        <f>INDEX(Prioritization!$D:$D,MATCH($B20,Prioritization!$A:$A,0))</f>
        <v>1 - Scale-up: Saturation</v>
      </c>
      <c r="B20" t="s">
        <v>198</v>
      </c>
      <c r="C20" s="14">
        <f>SUMIF(PMTCT!$B:$B,$B20,PMTCT!$AV:$AV)</f>
        <v>0</v>
      </c>
      <c r="D20" s="90">
        <f t="shared" si="0"/>
        <v>0.95</v>
      </c>
      <c r="E20" s="90">
        <f>1</f>
        <v>1</v>
      </c>
      <c r="F20" s="42">
        <f t="shared" si="1"/>
        <v>0</v>
      </c>
      <c r="G20" s="42">
        <f t="shared" si="2"/>
        <v>0</v>
      </c>
      <c r="H20" s="90">
        <v>0.14422220899723501</v>
      </c>
      <c r="I20" s="90">
        <v>3.1929253134876497E-2</v>
      </c>
      <c r="J20" s="90" t="str">
        <f t="shared" si="3"/>
        <v/>
      </c>
      <c r="K20" s="90" t="str">
        <f t="shared" si="4"/>
        <v/>
      </c>
      <c r="L20" s="14">
        <f t="shared" si="5"/>
        <v>0</v>
      </c>
      <c r="M20" s="90">
        <f t="shared" si="6"/>
        <v>0.95</v>
      </c>
      <c r="N20" s="14">
        <f t="shared" si="7"/>
        <v>0</v>
      </c>
      <c r="O20" s="90">
        <f t="shared" si="8"/>
        <v>0.98</v>
      </c>
      <c r="P20" s="14">
        <f t="shared" si="9"/>
        <v>0</v>
      </c>
      <c r="Q20" s="90">
        <f t="shared" si="10"/>
        <v>0.7</v>
      </c>
      <c r="R20" s="14">
        <f t="shared" si="11"/>
        <v>0</v>
      </c>
      <c r="S20" s="90">
        <f t="shared" si="12"/>
        <v>0.95</v>
      </c>
      <c r="T20" s="14">
        <f t="shared" si="13"/>
        <v>0</v>
      </c>
      <c r="U20" s="90">
        <f t="shared" si="14"/>
        <v>0.95</v>
      </c>
      <c r="V20" s="14">
        <f t="shared" si="15"/>
        <v>0</v>
      </c>
    </row>
    <row r="21" spans="1:22" x14ac:dyDescent="0.2">
      <c r="A21" t="str">
        <f>INDEX(Prioritization!$D:$D,MATCH($B21,Prioritization!$A:$A,0))</f>
        <v>1 - Scale-up: Saturation</v>
      </c>
      <c r="B21" t="s">
        <v>199</v>
      </c>
      <c r="C21" s="14">
        <f>SUMIF(PMTCT!$B:$B,$B21,PMTCT!$AV:$AV)</f>
        <v>0</v>
      </c>
      <c r="D21" s="90">
        <f t="shared" si="0"/>
        <v>0.95</v>
      </c>
      <c r="E21" s="90">
        <f>1</f>
        <v>1</v>
      </c>
      <c r="F21" s="42">
        <f t="shared" si="1"/>
        <v>0</v>
      </c>
      <c r="G21" s="42">
        <f t="shared" si="2"/>
        <v>0</v>
      </c>
      <c r="H21" s="90">
        <v>0.37075974699109798</v>
      </c>
      <c r="I21" s="90">
        <v>0.47843481041490998</v>
      </c>
      <c r="J21" s="90" t="str">
        <f t="shared" si="3"/>
        <v/>
      </c>
      <c r="K21" s="90" t="str">
        <f t="shared" si="4"/>
        <v/>
      </c>
      <c r="L21" s="14">
        <f t="shared" si="5"/>
        <v>0</v>
      </c>
      <c r="M21" s="90">
        <f t="shared" si="6"/>
        <v>0.95</v>
      </c>
      <c r="N21" s="14">
        <f t="shared" si="7"/>
        <v>0</v>
      </c>
      <c r="O21" s="90">
        <f t="shared" si="8"/>
        <v>0.98</v>
      </c>
      <c r="P21" s="14">
        <f t="shared" si="9"/>
        <v>0</v>
      </c>
      <c r="Q21" s="90">
        <f t="shared" si="10"/>
        <v>0.7</v>
      </c>
      <c r="R21" s="14">
        <f t="shared" si="11"/>
        <v>0</v>
      </c>
      <c r="S21" s="90">
        <f t="shared" si="12"/>
        <v>0.95</v>
      </c>
      <c r="T21" s="14">
        <f t="shared" si="13"/>
        <v>0</v>
      </c>
      <c r="U21" s="90">
        <f t="shared" si="14"/>
        <v>0.95</v>
      </c>
      <c r="V21" s="14">
        <f t="shared" si="15"/>
        <v>0</v>
      </c>
    </row>
    <row r="22" spans="1:22" x14ac:dyDescent="0.2">
      <c r="A22" t="str">
        <f>INDEX(Prioritization!$D:$D,MATCH($B22,Prioritization!$A:$A,0))</f>
        <v>INVALID</v>
      </c>
      <c r="B22" t="s">
        <v>200</v>
      </c>
      <c r="C22" s="14">
        <f>SUMIF(PMTCT!$B:$B,$B22,PMTCT!$AV:$AV)</f>
        <v>0</v>
      </c>
      <c r="D22" s="90">
        <f t="shared" si="0"/>
        <v>0.95</v>
      </c>
      <c r="E22" s="90">
        <f>1</f>
        <v>1</v>
      </c>
      <c r="F22" s="42">
        <f t="shared" si="1"/>
        <v>0</v>
      </c>
      <c r="G22" s="42">
        <f t="shared" si="2"/>
        <v>0</v>
      </c>
      <c r="H22" s="90">
        <v>0.98868441418744601</v>
      </c>
      <c r="I22" s="90">
        <v>5.3552945377305199E-2</v>
      </c>
      <c r="J22" s="90" t="str">
        <f t="shared" si="3"/>
        <v/>
      </c>
      <c r="K22" s="90" t="str">
        <f t="shared" si="4"/>
        <v/>
      </c>
      <c r="L22" s="14">
        <f t="shared" si="5"/>
        <v>0</v>
      </c>
      <c r="M22" s="90">
        <f t="shared" si="6"/>
        <v>0.95</v>
      </c>
      <c r="N22" s="14">
        <f t="shared" si="7"/>
        <v>0</v>
      </c>
      <c r="O22" s="90">
        <f t="shared" si="8"/>
        <v>0.98</v>
      </c>
      <c r="P22" s="14">
        <f t="shared" si="9"/>
        <v>0</v>
      </c>
      <c r="Q22" s="90">
        <f t="shared" si="10"/>
        <v>0.7</v>
      </c>
      <c r="R22" s="14">
        <f t="shared" si="11"/>
        <v>0</v>
      </c>
      <c r="S22" s="90">
        <f t="shared" si="12"/>
        <v>0.95</v>
      </c>
      <c r="T22" s="14">
        <f t="shared" si="13"/>
        <v>0</v>
      </c>
      <c r="U22" s="90">
        <f t="shared" si="14"/>
        <v>0.95</v>
      </c>
      <c r="V22" s="14">
        <f t="shared" si="15"/>
        <v>0</v>
      </c>
    </row>
    <row r="23" spans="1:22" x14ac:dyDescent="0.2">
      <c r="A23" t="str">
        <f>INDEX(Prioritization!$D:$D,MATCH($B23,Prioritization!$A:$A,0))</f>
        <v>INVALID</v>
      </c>
      <c r="B23" t="s">
        <v>201</v>
      </c>
      <c r="C23" s="14">
        <f>SUMIF(PMTCT!$B:$B,$B23,PMTCT!$AV:$AV)</f>
        <v>0</v>
      </c>
      <c r="D23" s="90">
        <f t="shared" si="0"/>
        <v>0.95</v>
      </c>
      <c r="E23" s="90">
        <f>1</f>
        <v>1</v>
      </c>
      <c r="F23" s="42">
        <f t="shared" si="1"/>
        <v>0</v>
      </c>
      <c r="G23" s="42">
        <f t="shared" si="2"/>
        <v>0</v>
      </c>
      <c r="H23" s="90"/>
      <c r="I23" s="90">
        <v>0.23278889968059999</v>
      </c>
      <c r="J23" s="90" t="str">
        <f t="shared" si="3"/>
        <v/>
      </c>
      <c r="K23" s="90" t="str">
        <f t="shared" si="4"/>
        <v/>
      </c>
      <c r="L23" s="14">
        <f t="shared" si="5"/>
        <v>0</v>
      </c>
      <c r="M23" s="90">
        <f t="shared" si="6"/>
        <v>0.95</v>
      </c>
      <c r="N23" s="14">
        <f t="shared" si="7"/>
        <v>0</v>
      </c>
      <c r="O23" s="90">
        <f t="shared" si="8"/>
        <v>0.98</v>
      </c>
      <c r="P23" s="14">
        <f t="shared" si="9"/>
        <v>0</v>
      </c>
      <c r="Q23" s="90">
        <f t="shared" si="10"/>
        <v>0.7</v>
      </c>
      <c r="R23" s="14">
        <f t="shared" si="11"/>
        <v>0</v>
      </c>
      <c r="S23" s="90">
        <f t="shared" si="12"/>
        <v>0.95</v>
      </c>
      <c r="T23" s="14">
        <f t="shared" si="13"/>
        <v>0</v>
      </c>
      <c r="U23" s="90">
        <f t="shared" si="14"/>
        <v>0.95</v>
      </c>
      <c r="V23" s="14">
        <f t="shared" si="15"/>
        <v>0</v>
      </c>
    </row>
    <row r="24" spans="1:22" x14ac:dyDescent="0.2">
      <c r="A24" t="str">
        <f>INDEX(Prioritization!$D:$D,MATCH($B24,Prioritization!$A:$A,0))</f>
        <v>INVALID</v>
      </c>
      <c r="B24" t="s">
        <v>202</v>
      </c>
      <c r="C24" s="14">
        <f>SUMIF(PMTCT!$B:$B,$B24,PMTCT!$AV:$AV)</f>
        <v>0</v>
      </c>
      <c r="D24" s="90">
        <f t="shared" si="0"/>
        <v>0.95</v>
      </c>
      <c r="E24" s="90">
        <f>1</f>
        <v>1</v>
      </c>
      <c r="F24" s="42">
        <f t="shared" si="1"/>
        <v>0</v>
      </c>
      <c r="G24" s="42">
        <f t="shared" si="2"/>
        <v>0</v>
      </c>
      <c r="H24" s="90">
        <v>0.95446119690313902</v>
      </c>
      <c r="I24" s="90">
        <v>0.47260252828709798</v>
      </c>
      <c r="J24" s="90" t="str">
        <f t="shared" si="3"/>
        <v/>
      </c>
      <c r="K24" s="90" t="str">
        <f t="shared" si="4"/>
        <v/>
      </c>
      <c r="L24" s="14">
        <f t="shared" si="5"/>
        <v>0</v>
      </c>
      <c r="M24" s="90">
        <f t="shared" si="6"/>
        <v>0.95</v>
      </c>
      <c r="N24" s="14">
        <f t="shared" si="7"/>
        <v>0</v>
      </c>
      <c r="O24" s="90">
        <f t="shared" si="8"/>
        <v>0.98</v>
      </c>
      <c r="P24" s="14">
        <f t="shared" si="9"/>
        <v>0</v>
      </c>
      <c r="Q24" s="90">
        <f t="shared" si="10"/>
        <v>0.7</v>
      </c>
      <c r="R24" s="14">
        <f t="shared" si="11"/>
        <v>0</v>
      </c>
      <c r="S24" s="90">
        <f t="shared" si="12"/>
        <v>0.95</v>
      </c>
      <c r="T24" s="14">
        <f t="shared" si="13"/>
        <v>0</v>
      </c>
      <c r="U24" s="90">
        <f t="shared" si="14"/>
        <v>0.95</v>
      </c>
      <c r="V24" s="14">
        <f t="shared" si="15"/>
        <v>0</v>
      </c>
    </row>
    <row r="25" spans="1:22" x14ac:dyDescent="0.2">
      <c r="A25" t="str">
        <f>INDEX(Prioritization!$D:$D,MATCH($B25,Prioritization!$A:$A,0))</f>
        <v>1 - Scale-up: Saturation</v>
      </c>
      <c r="B25" t="s">
        <v>203</v>
      </c>
      <c r="C25" s="14">
        <f>SUMIF(PMTCT!$B:$B,$B25,PMTCT!$AV:$AV)</f>
        <v>0</v>
      </c>
      <c r="D25" s="90">
        <f t="shared" si="0"/>
        <v>0.95</v>
      </c>
      <c r="E25" s="90">
        <f>1</f>
        <v>1</v>
      </c>
      <c r="F25" s="42">
        <f t="shared" si="1"/>
        <v>0</v>
      </c>
      <c r="G25" s="42">
        <f t="shared" si="2"/>
        <v>0</v>
      </c>
      <c r="H25" s="90">
        <v>1.9988604355603502E-2</v>
      </c>
      <c r="I25" s="90">
        <v>0.51929037040099502</v>
      </c>
      <c r="J25" s="90" t="str">
        <f t="shared" si="3"/>
        <v/>
      </c>
      <c r="K25" s="90" t="str">
        <f t="shared" si="4"/>
        <v/>
      </c>
      <c r="L25" s="14">
        <f t="shared" si="5"/>
        <v>0</v>
      </c>
      <c r="M25" s="90">
        <f t="shared" si="6"/>
        <v>0.95</v>
      </c>
      <c r="N25" s="14">
        <f t="shared" si="7"/>
        <v>0</v>
      </c>
      <c r="O25" s="90">
        <f t="shared" si="8"/>
        <v>0.98</v>
      </c>
      <c r="P25" s="14">
        <f t="shared" si="9"/>
        <v>0</v>
      </c>
      <c r="Q25" s="90">
        <f t="shared" si="10"/>
        <v>0.7</v>
      </c>
      <c r="R25" s="14">
        <f t="shared" si="11"/>
        <v>0</v>
      </c>
      <c r="S25" s="90">
        <f t="shared" si="12"/>
        <v>0.95</v>
      </c>
      <c r="T25" s="14">
        <f t="shared" si="13"/>
        <v>0</v>
      </c>
      <c r="U25" s="90">
        <f t="shared" si="14"/>
        <v>0.95</v>
      </c>
      <c r="V25" s="14">
        <f t="shared" si="15"/>
        <v>0</v>
      </c>
    </row>
    <row r="26" spans="1:22" x14ac:dyDescent="0.2">
      <c r="A26" t="str">
        <f>INDEX(Prioritization!$D:$D,MATCH($B26,Prioritization!$A:$A,0))</f>
        <v>INVALID</v>
      </c>
      <c r="B26" t="s">
        <v>204</v>
      </c>
      <c r="C26" s="14">
        <f>SUMIF(PMTCT!$B:$B,$B26,PMTCT!$AV:$AV)</f>
        <v>0</v>
      </c>
      <c r="D26" s="90">
        <f t="shared" si="0"/>
        <v>0.95</v>
      </c>
      <c r="E26" s="90">
        <f>1</f>
        <v>1</v>
      </c>
      <c r="F26" s="42">
        <f t="shared" si="1"/>
        <v>0</v>
      </c>
      <c r="G26" s="42">
        <f t="shared" si="2"/>
        <v>0</v>
      </c>
      <c r="H26" s="90">
        <v>0.434975081589073</v>
      </c>
      <c r="I26" s="90">
        <v>0.32822314114309797</v>
      </c>
      <c r="J26" s="90" t="str">
        <f t="shared" si="3"/>
        <v/>
      </c>
      <c r="K26" s="90" t="str">
        <f t="shared" si="4"/>
        <v/>
      </c>
      <c r="L26" s="14">
        <f t="shared" si="5"/>
        <v>0</v>
      </c>
      <c r="M26" s="90">
        <f t="shared" si="6"/>
        <v>0.95</v>
      </c>
      <c r="N26" s="14">
        <f t="shared" si="7"/>
        <v>0</v>
      </c>
      <c r="O26" s="90">
        <f t="shared" si="8"/>
        <v>0.98</v>
      </c>
      <c r="P26" s="14">
        <f t="shared" si="9"/>
        <v>0</v>
      </c>
      <c r="Q26" s="90">
        <f t="shared" si="10"/>
        <v>0.7</v>
      </c>
      <c r="R26" s="14">
        <f t="shared" si="11"/>
        <v>0</v>
      </c>
      <c r="S26" s="90">
        <f t="shared" si="12"/>
        <v>0.95</v>
      </c>
      <c r="T26" s="14">
        <f t="shared" si="13"/>
        <v>0</v>
      </c>
      <c r="U26" s="90">
        <f t="shared" si="14"/>
        <v>0.95</v>
      </c>
      <c r="V26" s="14">
        <f t="shared" si="15"/>
        <v>0</v>
      </c>
    </row>
    <row r="27" spans="1:22" x14ac:dyDescent="0.2">
      <c r="A27" t="str">
        <f>INDEX(Prioritization!$D:$D,MATCH($B27,Prioritization!$A:$A,0))</f>
        <v>INVALID</v>
      </c>
      <c r="B27" t="s">
        <v>205</v>
      </c>
      <c r="C27" s="14">
        <f>SUMIF(PMTCT!$B:$B,$B27,PMTCT!$AV:$AV)</f>
        <v>0</v>
      </c>
      <c r="D27" s="90">
        <f t="shared" si="0"/>
        <v>0.95</v>
      </c>
      <c r="E27" s="90">
        <f>1</f>
        <v>1</v>
      </c>
      <c r="F27" s="42">
        <f t="shared" si="1"/>
        <v>0</v>
      </c>
      <c r="G27" s="42">
        <f t="shared" si="2"/>
        <v>0</v>
      </c>
      <c r="H27" s="90">
        <v>0.62486840342171501</v>
      </c>
      <c r="I27" s="90"/>
      <c r="J27" s="90" t="str">
        <f t="shared" si="3"/>
        <v/>
      </c>
      <c r="K27" s="90" t="str">
        <f t="shared" si="4"/>
        <v/>
      </c>
      <c r="L27" s="14">
        <f t="shared" si="5"/>
        <v>0</v>
      </c>
      <c r="M27" s="90">
        <f t="shared" si="6"/>
        <v>0.95</v>
      </c>
      <c r="N27" s="14">
        <f t="shared" si="7"/>
        <v>0</v>
      </c>
      <c r="O27" s="90">
        <f t="shared" si="8"/>
        <v>0.98</v>
      </c>
      <c r="P27" s="14">
        <f t="shared" si="9"/>
        <v>0</v>
      </c>
      <c r="Q27" s="90">
        <f t="shared" si="10"/>
        <v>0.7</v>
      </c>
      <c r="R27" s="14">
        <f t="shared" si="11"/>
        <v>0</v>
      </c>
      <c r="S27" s="90">
        <f t="shared" si="12"/>
        <v>0.95</v>
      </c>
      <c r="T27" s="14">
        <f t="shared" si="13"/>
        <v>0</v>
      </c>
      <c r="U27" s="90">
        <f t="shared" si="14"/>
        <v>0.95</v>
      </c>
      <c r="V27" s="14">
        <f t="shared" si="15"/>
        <v>0</v>
      </c>
    </row>
    <row r="28" spans="1:22" x14ac:dyDescent="0.2">
      <c r="A28" t="str">
        <f>INDEX(Prioritization!$D:$D,MATCH($B28,Prioritization!$A:$A,0))</f>
        <v>1 - Scale-up: Saturation</v>
      </c>
      <c r="B28" t="s">
        <v>206</v>
      </c>
      <c r="C28" s="14">
        <f>SUMIF(PMTCT!$B:$B,$B28,PMTCT!$AV:$AV)</f>
        <v>0</v>
      </c>
      <c r="D28" s="90">
        <f t="shared" si="0"/>
        <v>0.95</v>
      </c>
      <c r="E28" s="90">
        <f>1</f>
        <v>1</v>
      </c>
      <c r="F28" s="42">
        <f t="shared" si="1"/>
        <v>0</v>
      </c>
      <c r="G28" s="42">
        <f t="shared" si="2"/>
        <v>0</v>
      </c>
      <c r="H28" s="90">
        <v>0.82884233212098501</v>
      </c>
      <c r="I28" s="90">
        <v>0.169523074990138</v>
      </c>
      <c r="J28" s="90" t="str">
        <f t="shared" si="3"/>
        <v/>
      </c>
      <c r="K28" s="90" t="str">
        <f t="shared" si="4"/>
        <v/>
      </c>
      <c r="L28" s="14">
        <f t="shared" si="5"/>
        <v>0</v>
      </c>
      <c r="M28" s="90">
        <f t="shared" si="6"/>
        <v>0.95</v>
      </c>
      <c r="N28" s="14">
        <f t="shared" si="7"/>
        <v>0</v>
      </c>
      <c r="O28" s="90">
        <f t="shared" si="8"/>
        <v>0.98</v>
      </c>
      <c r="P28" s="14">
        <f t="shared" si="9"/>
        <v>0</v>
      </c>
      <c r="Q28" s="90">
        <f t="shared" si="10"/>
        <v>0.7</v>
      </c>
      <c r="R28" s="14">
        <f t="shared" si="11"/>
        <v>0</v>
      </c>
      <c r="S28" s="90">
        <f t="shared" si="12"/>
        <v>0.95</v>
      </c>
      <c r="T28" s="14">
        <f t="shared" si="13"/>
        <v>0</v>
      </c>
      <c r="U28" s="90">
        <f t="shared" si="14"/>
        <v>0.95</v>
      </c>
      <c r="V28" s="14">
        <f t="shared" si="15"/>
        <v>0</v>
      </c>
    </row>
    <row r="29" spans="1:22" x14ac:dyDescent="0.2">
      <c r="A29" t="str">
        <f>INDEX(Prioritization!$D:$D,MATCH($B29,Prioritization!$A:$A,0))</f>
        <v>INVALID</v>
      </c>
      <c r="B29" t="s">
        <v>207</v>
      </c>
      <c r="C29" s="14">
        <f>SUMIF(PMTCT!$B:$B,$B29,PMTCT!$AV:$AV)</f>
        <v>0</v>
      </c>
      <c r="D29" s="90">
        <f t="shared" si="0"/>
        <v>0.95</v>
      </c>
      <c r="E29" s="90">
        <f>1</f>
        <v>1</v>
      </c>
      <c r="F29" s="42">
        <f t="shared" si="1"/>
        <v>0</v>
      </c>
      <c r="G29" s="42">
        <f t="shared" si="2"/>
        <v>0</v>
      </c>
      <c r="H29" s="90">
        <v>4.7344796359538997E-2</v>
      </c>
      <c r="I29" s="90">
        <v>0.99863107735291101</v>
      </c>
      <c r="J29" s="90" t="str">
        <f t="shared" si="3"/>
        <v/>
      </c>
      <c r="K29" s="90" t="str">
        <f t="shared" si="4"/>
        <v/>
      </c>
      <c r="L29" s="14">
        <f t="shared" si="5"/>
        <v>0</v>
      </c>
      <c r="M29" s="90">
        <f t="shared" si="6"/>
        <v>0.95</v>
      </c>
      <c r="N29" s="14">
        <f t="shared" si="7"/>
        <v>0</v>
      </c>
      <c r="O29" s="90">
        <f t="shared" si="8"/>
        <v>0.98</v>
      </c>
      <c r="P29" s="14">
        <f t="shared" si="9"/>
        <v>0</v>
      </c>
      <c r="Q29" s="90">
        <f t="shared" si="10"/>
        <v>0.7</v>
      </c>
      <c r="R29" s="14">
        <f t="shared" si="11"/>
        <v>0</v>
      </c>
      <c r="S29" s="90">
        <f t="shared" si="12"/>
        <v>0.95</v>
      </c>
      <c r="T29" s="14">
        <f t="shared" si="13"/>
        <v>0</v>
      </c>
      <c r="U29" s="90">
        <f t="shared" si="14"/>
        <v>0.95</v>
      </c>
      <c r="V29" s="14">
        <f t="shared" si="15"/>
        <v>0</v>
      </c>
    </row>
    <row r="30" spans="1:22" x14ac:dyDescent="0.2">
      <c r="A30" t="str">
        <f>INDEX(Prioritization!$D:$D,MATCH($B30,Prioritization!$A:$A,0))</f>
        <v>INVALID</v>
      </c>
      <c r="B30" t="s">
        <v>208</v>
      </c>
      <c r="C30" s="14">
        <f>SUMIF(PMTCT!$B:$B,$B30,PMTCT!$AV:$AV)</f>
        <v>0</v>
      </c>
      <c r="D30" s="90">
        <f t="shared" si="0"/>
        <v>0.95</v>
      </c>
      <c r="E30" s="90">
        <f>1</f>
        <v>1</v>
      </c>
      <c r="F30" s="42">
        <f t="shared" si="1"/>
        <v>0</v>
      </c>
      <c r="G30" s="42">
        <f t="shared" si="2"/>
        <v>0</v>
      </c>
      <c r="H30" s="90">
        <v>0.86707886913791299</v>
      </c>
      <c r="I30" s="90">
        <v>0.669155760901049</v>
      </c>
      <c r="J30" s="90" t="str">
        <f t="shared" si="3"/>
        <v/>
      </c>
      <c r="K30" s="90" t="str">
        <f t="shared" si="4"/>
        <v/>
      </c>
      <c r="L30" s="14">
        <f t="shared" si="5"/>
        <v>0</v>
      </c>
      <c r="M30" s="90">
        <f t="shared" si="6"/>
        <v>0.95</v>
      </c>
      <c r="N30" s="14">
        <f t="shared" si="7"/>
        <v>0</v>
      </c>
      <c r="O30" s="90">
        <f t="shared" si="8"/>
        <v>0.98</v>
      </c>
      <c r="P30" s="14">
        <f t="shared" si="9"/>
        <v>0</v>
      </c>
      <c r="Q30" s="90">
        <f t="shared" si="10"/>
        <v>0.7</v>
      </c>
      <c r="R30" s="14">
        <f t="shared" si="11"/>
        <v>0</v>
      </c>
      <c r="S30" s="90">
        <f t="shared" si="12"/>
        <v>0.95</v>
      </c>
      <c r="T30" s="14">
        <f t="shared" si="13"/>
        <v>0</v>
      </c>
      <c r="U30" s="90">
        <f t="shared" si="14"/>
        <v>0.95</v>
      </c>
      <c r="V30" s="14">
        <f t="shared" si="15"/>
        <v>0</v>
      </c>
    </row>
    <row r="31" spans="1:22" x14ac:dyDescent="0.2">
      <c r="A31" t="str">
        <f>INDEX(Prioritization!$D:$D,MATCH($B31,Prioritization!$A:$A,0))</f>
        <v>1 - Scale-up: Saturation</v>
      </c>
      <c r="B31" t="s">
        <v>209</v>
      </c>
      <c r="C31" s="14">
        <f>SUMIF(PMTCT!$B:$B,$B31,PMTCT!$AV:$AV)</f>
        <v>4</v>
      </c>
      <c r="D31" s="90">
        <f t="shared" si="0"/>
        <v>0.95</v>
      </c>
      <c r="E31" s="90">
        <f>1</f>
        <v>1</v>
      </c>
      <c r="F31" s="42">
        <f t="shared" si="1"/>
        <v>4</v>
      </c>
      <c r="G31" s="42">
        <f t="shared" si="2"/>
        <v>0</v>
      </c>
      <c r="H31" s="90">
        <v>0.42272101016715202</v>
      </c>
      <c r="I31" s="90">
        <v>0.57933668722398601</v>
      </c>
      <c r="J31" s="90">
        <f t="shared" si="3"/>
        <v>0.42272101016715202</v>
      </c>
      <c r="K31" s="90" t="str">
        <f t="shared" si="4"/>
        <v/>
      </c>
      <c r="L31" s="14">
        <f t="shared" si="5"/>
        <v>2</v>
      </c>
      <c r="M31" s="90">
        <f t="shared" si="6"/>
        <v>0.95</v>
      </c>
      <c r="N31" s="14">
        <f t="shared" si="7"/>
        <v>2</v>
      </c>
      <c r="O31" s="90">
        <f t="shared" si="8"/>
        <v>0.98</v>
      </c>
      <c r="P31" s="14">
        <f t="shared" si="9"/>
        <v>2</v>
      </c>
      <c r="Q31" s="90">
        <f t="shared" si="10"/>
        <v>0.7</v>
      </c>
      <c r="R31" s="14">
        <f t="shared" si="11"/>
        <v>1</v>
      </c>
      <c r="S31" s="90">
        <f t="shared" si="12"/>
        <v>0.95</v>
      </c>
      <c r="T31" s="14">
        <f t="shared" si="13"/>
        <v>1</v>
      </c>
      <c r="U31" s="90">
        <f t="shared" si="14"/>
        <v>0.95</v>
      </c>
      <c r="V31" s="14">
        <f t="shared" si="15"/>
        <v>1</v>
      </c>
    </row>
    <row r="32" spans="1:22" x14ac:dyDescent="0.2">
      <c r="A32" t="str">
        <f>INDEX(Prioritization!$D:$D,MATCH($B32,Prioritization!$A:$A,0))</f>
        <v>1 - Scale-up: Saturation</v>
      </c>
      <c r="B32" t="s">
        <v>210</v>
      </c>
      <c r="C32" s="14">
        <f>SUMIF(PMTCT!$B:$B,$B32,PMTCT!$AV:$AV)</f>
        <v>9</v>
      </c>
      <c r="D32" s="90">
        <f t="shared" si="0"/>
        <v>0.95</v>
      </c>
      <c r="E32" s="90">
        <f>1</f>
        <v>1</v>
      </c>
      <c r="F32" s="42">
        <f t="shared" si="1"/>
        <v>9</v>
      </c>
      <c r="G32" s="42">
        <f t="shared" si="2"/>
        <v>0</v>
      </c>
      <c r="H32" s="90">
        <v>8.3147956756874905E-2</v>
      </c>
      <c r="I32" s="90">
        <v>0.84551866096444395</v>
      </c>
      <c r="J32" s="90">
        <f t="shared" si="3"/>
        <v>8.3147956756874905E-2</v>
      </c>
      <c r="K32" s="90" t="str">
        <f t="shared" si="4"/>
        <v/>
      </c>
      <c r="L32" s="14">
        <f t="shared" si="5"/>
        <v>1</v>
      </c>
      <c r="M32" s="90">
        <f t="shared" si="6"/>
        <v>0.95</v>
      </c>
      <c r="N32" s="14">
        <f t="shared" si="7"/>
        <v>1</v>
      </c>
      <c r="O32" s="90">
        <f t="shared" si="8"/>
        <v>0.98</v>
      </c>
      <c r="P32" s="14">
        <f t="shared" si="9"/>
        <v>1</v>
      </c>
      <c r="Q32" s="90">
        <f t="shared" si="10"/>
        <v>0.7</v>
      </c>
      <c r="R32" s="14">
        <f t="shared" si="11"/>
        <v>1</v>
      </c>
      <c r="S32" s="90">
        <f t="shared" si="12"/>
        <v>0.95</v>
      </c>
      <c r="T32" s="14">
        <f t="shared" si="13"/>
        <v>1</v>
      </c>
      <c r="U32" s="90">
        <f t="shared" si="14"/>
        <v>0.95</v>
      </c>
      <c r="V32" s="14">
        <f t="shared" si="15"/>
        <v>1</v>
      </c>
    </row>
    <row r="33" spans="1:22" x14ac:dyDescent="0.2">
      <c r="A33" t="str">
        <f>INDEX(Prioritization!$D:$D,MATCH($B33,Prioritization!$A:$A,0))</f>
        <v>1 - Scale-up: Saturation</v>
      </c>
      <c r="B33" t="s">
        <v>211</v>
      </c>
      <c r="C33" s="14">
        <f>SUMIF(PMTCT!$B:$B,$B33,PMTCT!$AV:$AV)</f>
        <v>8</v>
      </c>
      <c r="D33" s="90">
        <f t="shared" si="0"/>
        <v>0.95</v>
      </c>
      <c r="E33" s="90">
        <f>1</f>
        <v>1</v>
      </c>
      <c r="F33" s="42">
        <f t="shared" si="1"/>
        <v>8</v>
      </c>
      <c r="G33" s="42">
        <f t="shared" si="2"/>
        <v>0</v>
      </c>
      <c r="H33" s="90">
        <v>0.90257579111494102</v>
      </c>
      <c r="I33" s="90">
        <v>0.85579025326296698</v>
      </c>
      <c r="J33" s="90">
        <f t="shared" si="3"/>
        <v>0.90257579111494102</v>
      </c>
      <c r="K33" s="90" t="str">
        <f t="shared" si="4"/>
        <v/>
      </c>
      <c r="L33" s="14">
        <f t="shared" si="5"/>
        <v>7</v>
      </c>
      <c r="M33" s="90">
        <f t="shared" si="6"/>
        <v>0.95</v>
      </c>
      <c r="N33" s="14">
        <f t="shared" si="7"/>
        <v>7</v>
      </c>
      <c r="O33" s="90">
        <f t="shared" si="8"/>
        <v>0.98</v>
      </c>
      <c r="P33" s="14">
        <f t="shared" si="9"/>
        <v>7</v>
      </c>
      <c r="Q33" s="90">
        <f t="shared" si="10"/>
        <v>0.7</v>
      </c>
      <c r="R33" s="14">
        <f t="shared" si="11"/>
        <v>5</v>
      </c>
      <c r="S33" s="90">
        <f t="shared" si="12"/>
        <v>0.95</v>
      </c>
      <c r="T33" s="14">
        <f t="shared" si="13"/>
        <v>5</v>
      </c>
      <c r="U33" s="90">
        <f t="shared" si="14"/>
        <v>0.95</v>
      </c>
      <c r="V33" s="14">
        <f t="shared" si="15"/>
        <v>5</v>
      </c>
    </row>
    <row r="34" spans="1:22" x14ac:dyDescent="0.2">
      <c r="A34" t="str">
        <f>INDEX(Prioritization!$D:$D,MATCH($B34,Prioritization!$A:$A,0))</f>
        <v>1 - Scale-up: Saturation</v>
      </c>
      <c r="B34" t="s">
        <v>212</v>
      </c>
      <c r="C34" s="14">
        <f>SUMIF(PMTCT!$B:$B,$B34,PMTCT!$AV:$AV)</f>
        <v>0</v>
      </c>
      <c r="D34" s="90">
        <f t="shared" si="0"/>
        <v>0.95</v>
      </c>
      <c r="E34" s="90">
        <f>1</f>
        <v>1</v>
      </c>
      <c r="F34" s="42">
        <f t="shared" si="1"/>
        <v>0</v>
      </c>
      <c r="G34" s="42">
        <f t="shared" si="2"/>
        <v>0</v>
      </c>
      <c r="H34" s="90">
        <v>0.24271542625501799</v>
      </c>
      <c r="I34" s="90">
        <v>0.99659131979569804</v>
      </c>
      <c r="J34" s="90" t="str">
        <f t="shared" si="3"/>
        <v/>
      </c>
      <c r="K34" s="90" t="str">
        <f t="shared" si="4"/>
        <v/>
      </c>
      <c r="L34" s="14">
        <f t="shared" si="5"/>
        <v>0</v>
      </c>
      <c r="M34" s="90">
        <f t="shared" si="6"/>
        <v>0.95</v>
      </c>
      <c r="N34" s="14">
        <f t="shared" si="7"/>
        <v>0</v>
      </c>
      <c r="O34" s="90">
        <f t="shared" si="8"/>
        <v>0.98</v>
      </c>
      <c r="P34" s="14">
        <f t="shared" si="9"/>
        <v>0</v>
      </c>
      <c r="Q34" s="90">
        <f t="shared" si="10"/>
        <v>0.7</v>
      </c>
      <c r="R34" s="14">
        <f t="shared" si="11"/>
        <v>0</v>
      </c>
      <c r="S34" s="90">
        <f t="shared" si="12"/>
        <v>0.95</v>
      </c>
      <c r="T34" s="14">
        <f t="shared" si="13"/>
        <v>0</v>
      </c>
      <c r="U34" s="90">
        <f t="shared" si="14"/>
        <v>0.95</v>
      </c>
      <c r="V34" s="14">
        <f t="shared" si="15"/>
        <v>0</v>
      </c>
    </row>
    <row r="35" spans="1:22" x14ac:dyDescent="0.2">
      <c r="A35" t="str">
        <f>INDEX(Prioritization!$D:$D,MATCH($B35,Prioritization!$A:$A,0))</f>
        <v>1 - Scale-up: Saturation</v>
      </c>
      <c r="B35" t="s">
        <v>213</v>
      </c>
      <c r="C35" s="14">
        <f>SUMIF(PMTCT!$B:$B,$B35,PMTCT!$AV:$AV)</f>
        <v>0</v>
      </c>
      <c r="D35" s="90">
        <f t="shared" si="0"/>
        <v>0.95</v>
      </c>
      <c r="E35" s="90">
        <f>1</f>
        <v>1</v>
      </c>
      <c r="F35" s="42">
        <f t="shared" si="1"/>
        <v>0</v>
      </c>
      <c r="G35" s="42">
        <f t="shared" si="2"/>
        <v>0</v>
      </c>
      <c r="H35" s="90">
        <v>0.80529529065825001</v>
      </c>
      <c r="I35" s="90">
        <v>0.90092983795329895</v>
      </c>
      <c r="J35" s="90" t="str">
        <f t="shared" si="3"/>
        <v/>
      </c>
      <c r="K35" s="90" t="str">
        <f t="shared" si="4"/>
        <v/>
      </c>
      <c r="L35" s="14">
        <f t="shared" si="5"/>
        <v>0</v>
      </c>
      <c r="M35" s="90">
        <f t="shared" si="6"/>
        <v>0.95</v>
      </c>
      <c r="N35" s="14">
        <f t="shared" si="7"/>
        <v>0</v>
      </c>
      <c r="O35" s="90">
        <f t="shared" si="8"/>
        <v>0.98</v>
      </c>
      <c r="P35" s="14">
        <f t="shared" si="9"/>
        <v>0</v>
      </c>
      <c r="Q35" s="90">
        <f t="shared" si="10"/>
        <v>0.7</v>
      </c>
      <c r="R35" s="14">
        <f t="shared" si="11"/>
        <v>0</v>
      </c>
      <c r="S35" s="90">
        <f t="shared" si="12"/>
        <v>0.95</v>
      </c>
      <c r="T35" s="14">
        <f t="shared" si="13"/>
        <v>0</v>
      </c>
      <c r="U35" s="90">
        <f t="shared" si="14"/>
        <v>0.95</v>
      </c>
      <c r="V35" s="14">
        <f t="shared" si="15"/>
        <v>0</v>
      </c>
    </row>
    <row r="36" spans="1:22" x14ac:dyDescent="0.2">
      <c r="A36" t="str">
        <f>INDEX(Prioritization!$D:$D,MATCH($B36,Prioritization!$A:$A,0))</f>
        <v>INVALID</v>
      </c>
      <c r="B36" t="s">
        <v>214</v>
      </c>
      <c r="C36" s="14">
        <f>SUMIF(PMTCT!$B:$B,$B36,PMTCT!$AV:$AV)</f>
        <v>21</v>
      </c>
      <c r="D36" s="90">
        <f t="shared" si="0"/>
        <v>0.95</v>
      </c>
      <c r="E36" s="90">
        <f>1</f>
        <v>1</v>
      </c>
      <c r="F36" s="42">
        <f t="shared" si="1"/>
        <v>20</v>
      </c>
      <c r="G36" s="42">
        <f t="shared" si="2"/>
        <v>1</v>
      </c>
      <c r="H36" s="90">
        <v>6.10265983268619E-2</v>
      </c>
      <c r="I36" s="90">
        <v>0.86232098168693505</v>
      </c>
      <c r="J36" s="90">
        <f t="shared" si="3"/>
        <v>6.10265983268619E-2</v>
      </c>
      <c r="K36" s="90">
        <f t="shared" si="4"/>
        <v>0.86232098168693505</v>
      </c>
      <c r="L36" s="14">
        <f t="shared" si="5"/>
        <v>2</v>
      </c>
      <c r="M36" s="90">
        <f t="shared" si="6"/>
        <v>0.95</v>
      </c>
      <c r="N36" s="14">
        <f t="shared" si="7"/>
        <v>2</v>
      </c>
      <c r="O36" s="90">
        <f t="shared" si="8"/>
        <v>0.98</v>
      </c>
      <c r="P36" s="14">
        <f t="shared" si="9"/>
        <v>2</v>
      </c>
      <c r="Q36" s="90">
        <f t="shared" si="10"/>
        <v>0.7</v>
      </c>
      <c r="R36" s="14">
        <f t="shared" si="11"/>
        <v>1</v>
      </c>
      <c r="S36" s="90">
        <f t="shared" si="12"/>
        <v>0.95</v>
      </c>
      <c r="T36" s="14">
        <f t="shared" si="13"/>
        <v>1</v>
      </c>
      <c r="U36" s="90">
        <f t="shared" si="14"/>
        <v>0.95</v>
      </c>
      <c r="V36" s="14">
        <f t="shared" si="15"/>
        <v>1</v>
      </c>
    </row>
    <row r="37" spans="1:22" x14ac:dyDescent="0.2">
      <c r="A37" t="str">
        <f>INDEX(Prioritization!$D:$D,MATCH($B37,Prioritization!$A:$A,0))</f>
        <v>INVALID</v>
      </c>
      <c r="B37" t="s">
        <v>215</v>
      </c>
      <c r="C37" s="14">
        <f>SUMIF(PMTCT!$B:$B,$B37,PMTCT!$AV:$AV)</f>
        <v>8</v>
      </c>
      <c r="D37" s="90">
        <f t="shared" si="0"/>
        <v>0.95</v>
      </c>
      <c r="E37" s="90">
        <f>1</f>
        <v>1</v>
      </c>
      <c r="F37" s="42">
        <f t="shared" si="1"/>
        <v>8</v>
      </c>
      <c r="G37" s="42">
        <f t="shared" si="2"/>
        <v>0</v>
      </c>
      <c r="H37" s="90">
        <v>0.41063160891644701</v>
      </c>
      <c r="I37" s="90">
        <v>0.619804447283968</v>
      </c>
      <c r="J37" s="90">
        <f t="shared" si="3"/>
        <v>0.41063160891644701</v>
      </c>
      <c r="K37" s="90" t="str">
        <f t="shared" si="4"/>
        <v/>
      </c>
      <c r="L37" s="14">
        <f t="shared" si="5"/>
        <v>3</v>
      </c>
      <c r="M37" s="90">
        <f t="shared" si="6"/>
        <v>0.95</v>
      </c>
      <c r="N37" s="14">
        <f t="shared" si="7"/>
        <v>3</v>
      </c>
      <c r="O37" s="90">
        <f t="shared" si="8"/>
        <v>0.98</v>
      </c>
      <c r="P37" s="14">
        <f t="shared" si="9"/>
        <v>3</v>
      </c>
      <c r="Q37" s="90">
        <f t="shared" si="10"/>
        <v>0.7</v>
      </c>
      <c r="R37" s="14">
        <f t="shared" si="11"/>
        <v>2</v>
      </c>
      <c r="S37" s="90">
        <f t="shared" si="12"/>
        <v>0.95</v>
      </c>
      <c r="T37" s="14">
        <f t="shared" si="13"/>
        <v>2</v>
      </c>
      <c r="U37" s="90">
        <f t="shared" si="14"/>
        <v>0.95</v>
      </c>
      <c r="V37" s="14">
        <f t="shared" si="15"/>
        <v>2</v>
      </c>
    </row>
    <row r="38" spans="1:22" x14ac:dyDescent="0.2">
      <c r="A38" t="str">
        <f>INDEX(Prioritization!$D:$D,MATCH($B38,Prioritization!$A:$A,0))</f>
        <v>INVALID</v>
      </c>
      <c r="B38" t="s">
        <v>216</v>
      </c>
      <c r="C38" s="14">
        <f>SUMIF(PMTCT!$B:$B,$B38,PMTCT!$AV:$AV)</f>
        <v>0</v>
      </c>
      <c r="D38" s="90">
        <f t="shared" si="0"/>
        <v>0.95</v>
      </c>
      <c r="E38" s="90">
        <f>1</f>
        <v>1</v>
      </c>
      <c r="F38" s="42">
        <f t="shared" si="1"/>
        <v>0</v>
      </c>
      <c r="G38" s="42">
        <f t="shared" si="2"/>
        <v>0</v>
      </c>
      <c r="H38" s="90">
        <v>0.81855698674917199</v>
      </c>
      <c r="I38" s="90">
        <v>0.95899326354265202</v>
      </c>
      <c r="J38" s="90" t="str">
        <f t="shared" si="3"/>
        <v/>
      </c>
      <c r="K38" s="90" t="str">
        <f t="shared" si="4"/>
        <v/>
      </c>
      <c r="L38" s="14">
        <f t="shared" si="5"/>
        <v>0</v>
      </c>
      <c r="M38" s="90">
        <f t="shared" si="6"/>
        <v>0.95</v>
      </c>
      <c r="N38" s="14">
        <f t="shared" si="7"/>
        <v>0</v>
      </c>
      <c r="O38" s="90">
        <f t="shared" si="8"/>
        <v>0.98</v>
      </c>
      <c r="P38" s="14">
        <f t="shared" si="9"/>
        <v>0</v>
      </c>
      <c r="Q38" s="90">
        <f t="shared" si="10"/>
        <v>0.7</v>
      </c>
      <c r="R38" s="14">
        <f t="shared" si="11"/>
        <v>0</v>
      </c>
      <c r="S38" s="90">
        <f t="shared" si="12"/>
        <v>0.95</v>
      </c>
      <c r="T38" s="14">
        <f t="shared" si="13"/>
        <v>0</v>
      </c>
      <c r="U38" s="90">
        <f t="shared" si="14"/>
        <v>0.95</v>
      </c>
      <c r="V38" s="14">
        <f t="shared" si="15"/>
        <v>0</v>
      </c>
    </row>
    <row r="39" spans="1:22" x14ac:dyDescent="0.2">
      <c r="A39" t="str">
        <f>INDEX(Prioritization!$D:$D,MATCH($B39,Prioritization!$A:$A,0))</f>
        <v>INVALID</v>
      </c>
      <c r="B39" t="s">
        <v>217</v>
      </c>
      <c r="C39" s="14">
        <f>SUMIF(PMTCT!$B:$B,$B39,PMTCT!$AV:$AV)</f>
        <v>0</v>
      </c>
      <c r="D39" s="90">
        <f t="shared" si="0"/>
        <v>0.95</v>
      </c>
      <c r="E39" s="90">
        <f>1</f>
        <v>1</v>
      </c>
      <c r="F39" s="42">
        <f t="shared" si="1"/>
        <v>0</v>
      </c>
      <c r="G39" s="42">
        <f t="shared" si="2"/>
        <v>0</v>
      </c>
      <c r="H39" s="90">
        <v>0.52623165561817598</v>
      </c>
      <c r="I39" s="90">
        <v>0.49951638188213099</v>
      </c>
      <c r="J39" s="90" t="str">
        <f t="shared" si="3"/>
        <v/>
      </c>
      <c r="K39" s="90" t="str">
        <f t="shared" si="4"/>
        <v/>
      </c>
      <c r="L39" s="14">
        <f t="shared" si="5"/>
        <v>0</v>
      </c>
      <c r="M39" s="90">
        <f t="shared" si="6"/>
        <v>0.95</v>
      </c>
      <c r="N39" s="14">
        <f t="shared" si="7"/>
        <v>0</v>
      </c>
      <c r="O39" s="90">
        <f t="shared" si="8"/>
        <v>0.98</v>
      </c>
      <c r="P39" s="14">
        <f t="shared" si="9"/>
        <v>0</v>
      </c>
      <c r="Q39" s="90">
        <f t="shared" si="10"/>
        <v>0.7</v>
      </c>
      <c r="R39" s="14">
        <f t="shared" si="11"/>
        <v>0</v>
      </c>
      <c r="S39" s="90">
        <f t="shared" si="12"/>
        <v>0.95</v>
      </c>
      <c r="T39" s="14">
        <f t="shared" si="13"/>
        <v>0</v>
      </c>
      <c r="U39" s="90">
        <f t="shared" si="14"/>
        <v>0.95</v>
      </c>
      <c r="V39" s="14">
        <f t="shared" si="15"/>
        <v>0</v>
      </c>
    </row>
    <row r="40" spans="1:22" x14ac:dyDescent="0.2">
      <c r="A40" t="str">
        <f>INDEX(Prioritization!$D:$D,MATCH($B40,Prioritization!$A:$A,0))</f>
        <v>INVALID</v>
      </c>
      <c r="B40" t="s">
        <v>218</v>
      </c>
      <c r="C40" s="14">
        <f>SUMIF(PMTCT!$B:$B,$B40,PMTCT!$AV:$AV)</f>
        <v>0</v>
      </c>
      <c r="D40" s="90">
        <f t="shared" si="0"/>
        <v>0.95</v>
      </c>
      <c r="E40" s="90">
        <f>1</f>
        <v>1</v>
      </c>
      <c r="F40" s="42">
        <f t="shared" si="1"/>
        <v>0</v>
      </c>
      <c r="G40" s="42">
        <f t="shared" si="2"/>
        <v>0</v>
      </c>
      <c r="H40" s="90">
        <v>0.13918842375278501</v>
      </c>
      <c r="I40" s="90">
        <v>0.29807553137652598</v>
      </c>
      <c r="J40" s="90" t="str">
        <f t="shared" si="3"/>
        <v/>
      </c>
      <c r="K40" s="90" t="str">
        <f t="shared" si="4"/>
        <v/>
      </c>
      <c r="L40" s="14">
        <f t="shared" si="5"/>
        <v>0</v>
      </c>
      <c r="M40" s="90">
        <f t="shared" si="6"/>
        <v>0.95</v>
      </c>
      <c r="N40" s="14">
        <f t="shared" si="7"/>
        <v>0</v>
      </c>
      <c r="O40" s="90">
        <f t="shared" si="8"/>
        <v>0.98</v>
      </c>
      <c r="P40" s="14">
        <f t="shared" si="9"/>
        <v>0</v>
      </c>
      <c r="Q40" s="90">
        <f t="shared" si="10"/>
        <v>0.7</v>
      </c>
      <c r="R40" s="14">
        <f t="shared" si="11"/>
        <v>0</v>
      </c>
      <c r="S40" s="90">
        <f t="shared" si="12"/>
        <v>0.95</v>
      </c>
      <c r="T40" s="14">
        <f t="shared" si="13"/>
        <v>0</v>
      </c>
      <c r="U40" s="90">
        <f t="shared" si="14"/>
        <v>0.95</v>
      </c>
      <c r="V40" s="14">
        <f t="shared" si="15"/>
        <v>0</v>
      </c>
    </row>
    <row r="41" spans="1:22" x14ac:dyDescent="0.2">
      <c r="A41" t="str">
        <f>INDEX(Prioritization!$D:$D,MATCH($B41,Prioritization!$A:$A,0))</f>
        <v>INVALID</v>
      </c>
      <c r="B41" t="s">
        <v>219</v>
      </c>
      <c r="C41" s="14">
        <f>SUMIF(PMTCT!$B:$B,$B41,PMTCT!$AV:$AV)</f>
        <v>3</v>
      </c>
      <c r="D41" s="90">
        <f t="shared" si="0"/>
        <v>0.95</v>
      </c>
      <c r="E41" s="90">
        <f>1</f>
        <v>1</v>
      </c>
      <c r="F41" s="42">
        <f t="shared" si="1"/>
        <v>3</v>
      </c>
      <c r="G41" s="42">
        <f t="shared" si="2"/>
        <v>0</v>
      </c>
      <c r="H41" s="90">
        <v>0.68347315886057902</v>
      </c>
      <c r="I41" s="90">
        <v>0.59946506959386203</v>
      </c>
      <c r="J41" s="90">
        <f t="shared" si="3"/>
        <v>0.68347315886057902</v>
      </c>
      <c r="K41" s="90" t="str">
        <f t="shared" si="4"/>
        <v/>
      </c>
      <c r="L41" s="14">
        <f t="shared" si="5"/>
        <v>2</v>
      </c>
      <c r="M41" s="90">
        <f t="shared" si="6"/>
        <v>0.95</v>
      </c>
      <c r="N41" s="14">
        <f t="shared" si="7"/>
        <v>2</v>
      </c>
      <c r="O41" s="90">
        <f t="shared" si="8"/>
        <v>0.98</v>
      </c>
      <c r="P41" s="14">
        <f t="shared" si="9"/>
        <v>2</v>
      </c>
      <c r="Q41" s="90">
        <f t="shared" si="10"/>
        <v>0.7</v>
      </c>
      <c r="R41" s="14">
        <f t="shared" si="11"/>
        <v>1</v>
      </c>
      <c r="S41" s="90">
        <f t="shared" si="12"/>
        <v>0.95</v>
      </c>
      <c r="T41" s="14">
        <f t="shared" si="13"/>
        <v>1</v>
      </c>
      <c r="U41" s="90">
        <f t="shared" si="14"/>
        <v>0.95</v>
      </c>
      <c r="V41" s="14">
        <f t="shared" si="15"/>
        <v>1</v>
      </c>
    </row>
    <row r="42" spans="1:22" x14ac:dyDescent="0.2">
      <c r="A42" t="str">
        <f>INDEX(Prioritization!$D:$D,MATCH($B42,Prioritization!$A:$A,0))</f>
        <v>1 - Scale-up: Saturation</v>
      </c>
      <c r="B42" t="s">
        <v>220</v>
      </c>
      <c r="C42" s="14">
        <f>SUMIF(PMTCT!$B:$B,$B42,PMTCT!$AV:$AV)</f>
        <v>6</v>
      </c>
      <c r="D42" s="90">
        <f t="shared" si="0"/>
        <v>0.95</v>
      </c>
      <c r="E42" s="90">
        <f>1</f>
        <v>1</v>
      </c>
      <c r="F42" s="42">
        <f t="shared" si="1"/>
        <v>6</v>
      </c>
      <c r="G42" s="42">
        <f t="shared" si="2"/>
        <v>0</v>
      </c>
      <c r="H42" s="90">
        <v>0.30818065162748098</v>
      </c>
      <c r="I42" s="90">
        <v>8.8571141241118298E-2</v>
      </c>
      <c r="J42" s="90">
        <f t="shared" si="3"/>
        <v>0.30818065162748098</v>
      </c>
      <c r="K42" s="90" t="str">
        <f t="shared" si="4"/>
        <v/>
      </c>
      <c r="L42" s="14">
        <f t="shared" si="5"/>
        <v>2</v>
      </c>
      <c r="M42" s="90">
        <f t="shared" si="6"/>
        <v>0.95</v>
      </c>
      <c r="N42" s="14">
        <f t="shared" si="7"/>
        <v>2</v>
      </c>
      <c r="O42" s="90">
        <f t="shared" si="8"/>
        <v>0.98</v>
      </c>
      <c r="P42" s="14">
        <f t="shared" si="9"/>
        <v>2</v>
      </c>
      <c r="Q42" s="90">
        <f t="shared" si="10"/>
        <v>0.7</v>
      </c>
      <c r="R42" s="14">
        <f t="shared" si="11"/>
        <v>1</v>
      </c>
      <c r="S42" s="90">
        <f t="shared" si="12"/>
        <v>0.95</v>
      </c>
      <c r="T42" s="14">
        <f t="shared" si="13"/>
        <v>1</v>
      </c>
      <c r="U42" s="90">
        <f t="shared" si="14"/>
        <v>0.95</v>
      </c>
      <c r="V42" s="14">
        <f t="shared" si="15"/>
        <v>1</v>
      </c>
    </row>
    <row r="43" spans="1:22" x14ac:dyDescent="0.2">
      <c r="A43" t="str">
        <f>INDEX(Prioritization!$D:$D,MATCH($B43,Prioritization!$A:$A,0))</f>
        <v>1 - Scale-up: Saturation</v>
      </c>
      <c r="B43" t="s">
        <v>221</v>
      </c>
      <c r="C43" s="14">
        <f>SUMIF(PMTCT!$B:$B,$B43,PMTCT!$AV:$AV)</f>
        <v>1</v>
      </c>
      <c r="D43" s="90">
        <f t="shared" si="0"/>
        <v>0.95</v>
      </c>
      <c r="E43" s="90">
        <f>1</f>
        <v>1</v>
      </c>
      <c r="F43" s="42">
        <f t="shared" si="1"/>
        <v>1</v>
      </c>
      <c r="G43" s="42">
        <f t="shared" si="2"/>
        <v>0</v>
      </c>
      <c r="H43" s="90">
        <v>1.4691217802465001E-3</v>
      </c>
      <c r="I43" s="90">
        <v>0.52455101581290398</v>
      </c>
      <c r="J43" s="90">
        <f t="shared" si="3"/>
        <v>1.4691217802465001E-3</v>
      </c>
      <c r="K43" s="90" t="str">
        <f t="shared" si="4"/>
        <v/>
      </c>
      <c r="L43" s="14">
        <f t="shared" si="5"/>
        <v>0</v>
      </c>
      <c r="M43" s="90">
        <f t="shared" si="6"/>
        <v>0.95</v>
      </c>
      <c r="N43" s="14">
        <f t="shared" si="7"/>
        <v>0</v>
      </c>
      <c r="O43" s="90">
        <f t="shared" si="8"/>
        <v>0.98</v>
      </c>
      <c r="P43" s="14">
        <f t="shared" si="9"/>
        <v>0</v>
      </c>
      <c r="Q43" s="90">
        <f t="shared" si="10"/>
        <v>0.7</v>
      </c>
      <c r="R43" s="14">
        <f t="shared" si="11"/>
        <v>0</v>
      </c>
      <c r="S43" s="90">
        <f t="shared" si="12"/>
        <v>0.95</v>
      </c>
      <c r="T43" s="14">
        <f t="shared" si="13"/>
        <v>0</v>
      </c>
      <c r="U43" s="90">
        <f t="shared" si="14"/>
        <v>0.95</v>
      </c>
      <c r="V43" s="14">
        <f t="shared" si="15"/>
        <v>0</v>
      </c>
    </row>
  </sheetData>
  <conditionalFormatting sqref="D1:D1048576 M1:M1048576 S1:S1048576 U1:U1048576">
    <cfRule type="expression" dxfId="111" priority="2">
      <formula>AND(ISNUMBER(D1),ROUND(D1,2)&lt;0.95)</formula>
    </cfRule>
  </conditionalFormatting>
  <conditionalFormatting sqref="D1:E1048576 H1:K1048576 M1:M1048576 O1:O1048576 Q1:Q1048576 S1:S1048576 U1:U1048576">
    <cfRule type="expression" dxfId="110" priority="3">
      <formula>AND(ISNUMBER(D1),D1&gt;1)</formula>
    </cfRule>
  </conditionalFormatting>
  <conditionalFormatting sqref="K1:K1048576">
    <cfRule type="expression" dxfId="109" priority="4">
      <formula>AND(SUM(G1)&gt;0,ROW(K1)&gt;14,SUM(K1)=0)</formula>
    </cfRule>
  </conditionalFormatting>
  <conditionalFormatting sqref="J1:J1048576">
    <cfRule type="expression" dxfId="108" priority="5">
      <formula>AND(SUM(F1)&gt;0,ROW(J1)&gt;14,SUM(J1)=0)</formula>
    </cfRule>
  </conditionalFormatting>
  <conditionalFormatting sqref="D1:E1048576">
    <cfRule type="expression" dxfId="107" priority="6">
      <formula>AND(ISNUMBER($D1),ROUND($E1,2)&lt;ROUND($D1,2))</formula>
    </cfRule>
  </conditionalFormatting>
  <conditionalFormatting sqref="C1:V1048576">
    <cfRule type="expression" dxfId="106" priority="7">
      <formula>AND(ISNUMBER(C1),C1&lt;0)</formula>
    </cfRule>
  </conditionalFormatting>
  <conditionalFormatting sqref="O1:O1048576">
    <cfRule type="expression" dxfId="105" priority="8">
      <formula>AND(ISNUMBER(O1),ROUND(O1,2)&lt;98%)</formula>
    </cfRule>
  </conditionalFormatting>
  <conditionalFormatting sqref="Q1:Q1048576">
    <cfRule type="expression" dxfId="104" priority="9">
      <formula>AND(ISNUMBER(Q1),ROUND(Q1,2)&lt;70%)</formula>
    </cfRule>
  </conditionalFormatting>
  <conditionalFormatting sqref="E1:E1048576">
    <cfRule type="expression" dxfId="103" priority="10">
      <formula>AND(ISNUMBER(E1),E1&lt;1)</formula>
    </cfRule>
  </conditionalFormatting>
  <hyperlinks>
    <hyperlink ref="C3" location="PMTCT!AV:AV" display="Est. # infants born to HIV-positive women (FY24)" xr:uid="{00000000-0004-0000-0700-000000000000}"/>
    <hyperlink ref="L3" location="Cascade!BE:BE" display="Total HIV+ infants identified (FY24)" xr:uid="{00000000-0004-0000-0700-000001000000}"/>
    <hyperlink ref="N3" location="Cascade!AU:AU" display="HIV+ infants Initiated on ART (FY24)" xr:uid="{00000000-0004-0000-0700-000002000000}"/>
    <hyperlink ref="P3" location="Cascade!AM:AM" display="HIV+ infants retained on ART at end of FY24" xr:uid="{00000000-0004-0000-0700-000003000000}"/>
    <hyperlink ref="R3" location="Cascade!AW:AW" display="HIV+ Infants Eligible for VLT (FY24)" xr:uid="{00000000-0004-0000-0700-000004000000}"/>
    <hyperlink ref="T3" location="Cascade!AY:AY" display="HIV+ infants tested for VLS (FY24)" xr:uid="{00000000-0004-0000-0700-000005000000}"/>
    <hyperlink ref="V3" location="Cascade!BB:BB" display="HIV+ infants  Virally Suppressed (FY24)" xr:uid="{00000000-0004-0000-0700-000006000000}"/>
  </hyperlinks>
  <pageMargins left="0.7" right="0.7" top="0.75" bottom="0.75" header="0.511811023622047" footer="0.511811023622047"/>
  <pageSetup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62"/>
  <sheetViews>
    <sheetView zoomScaleNormal="100" workbookViewId="0">
      <pane xSplit="5" ySplit="14" topLeftCell="L15" activePane="bottomRight" state="frozen"/>
      <selection pane="topRight" activeCell="L1" sqref="L1"/>
      <selection pane="bottomLeft" activeCell="A15" sqref="A15"/>
      <selection pane="bottomRight" activeCell="N3" sqref="N3"/>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26" width="11.83203125" customWidth="1"/>
  </cols>
  <sheetData>
    <row r="1" spans="1:26" ht="30.75" customHeight="1" x14ac:dyDescent="0.2">
      <c r="A1" s="44" t="s">
        <v>961</v>
      </c>
      <c r="B1" s="18"/>
      <c r="C1" s="18"/>
      <c r="D1" s="18"/>
      <c r="E1" s="18"/>
      <c r="F1" s="45" t="s">
        <v>962</v>
      </c>
      <c r="G1" s="50"/>
      <c r="H1" s="46"/>
      <c r="I1" s="45" t="s">
        <v>963</v>
      </c>
      <c r="J1" s="50"/>
      <c r="K1" s="50"/>
      <c r="L1" s="50"/>
      <c r="M1" s="50"/>
      <c r="N1" s="46"/>
      <c r="O1" s="46"/>
      <c r="P1" s="46"/>
      <c r="Q1" s="46"/>
      <c r="R1" s="51" t="s">
        <v>486</v>
      </c>
      <c r="S1" s="46"/>
      <c r="T1" s="46"/>
      <c r="U1" s="45" t="s">
        <v>827</v>
      </c>
      <c r="V1" s="21"/>
      <c r="W1" s="21"/>
      <c r="X1" s="21"/>
      <c r="Y1" s="21"/>
      <c r="Z1" s="21"/>
    </row>
    <row r="2" spans="1:26" ht="19.5" customHeight="1" x14ac:dyDescent="0.25">
      <c r="A2" s="1" t="s">
        <v>964</v>
      </c>
      <c r="B2" s="1"/>
      <c r="C2" s="22"/>
      <c r="D2" s="22"/>
      <c r="E2" s="22"/>
      <c r="F2" s="52"/>
      <c r="G2" s="54"/>
      <c r="H2" s="24" t="s">
        <v>176</v>
      </c>
      <c r="I2" s="52"/>
      <c r="J2" s="54"/>
      <c r="K2" s="54"/>
      <c r="L2" s="54"/>
      <c r="M2" s="54"/>
      <c r="N2" s="24" t="s">
        <v>176</v>
      </c>
      <c r="O2" s="24" t="s">
        <v>176</v>
      </c>
      <c r="P2" s="24" t="s">
        <v>176</v>
      </c>
      <c r="Q2" s="24" t="s">
        <v>176</v>
      </c>
      <c r="R2" s="56"/>
      <c r="S2" s="24" t="s">
        <v>176</v>
      </c>
      <c r="T2" s="24" t="s">
        <v>176</v>
      </c>
      <c r="U2" s="52"/>
      <c r="V2" s="25"/>
      <c r="W2" s="25"/>
      <c r="X2" s="25"/>
      <c r="Y2" s="25"/>
      <c r="Z2" s="25"/>
    </row>
    <row r="3" spans="1:26" ht="117" customHeight="1" x14ac:dyDescent="0.2">
      <c r="A3" s="1"/>
      <c r="B3" s="1"/>
      <c r="C3" s="26"/>
      <c r="D3" s="26"/>
      <c r="E3" s="26"/>
      <c r="F3" s="27" t="s">
        <v>965</v>
      </c>
      <c r="G3" s="160" t="s">
        <v>966</v>
      </c>
      <c r="H3" s="74" t="s">
        <v>967</v>
      </c>
      <c r="I3" s="27" t="s">
        <v>968</v>
      </c>
      <c r="J3" s="162" t="s">
        <v>969</v>
      </c>
      <c r="K3" s="160" t="s">
        <v>970</v>
      </c>
      <c r="L3" s="162" t="s">
        <v>971</v>
      </c>
      <c r="M3" s="160" t="s">
        <v>972</v>
      </c>
      <c r="N3" s="74" t="s">
        <v>557</v>
      </c>
      <c r="O3" s="74" t="s">
        <v>554</v>
      </c>
      <c r="P3" s="74" t="s">
        <v>555</v>
      </c>
      <c r="Q3" s="74" t="s">
        <v>556</v>
      </c>
      <c r="R3" s="161" t="s">
        <v>285</v>
      </c>
      <c r="S3" s="74" t="s">
        <v>550</v>
      </c>
      <c r="T3" s="74" t="s">
        <v>551</v>
      </c>
      <c r="U3" s="138" t="s">
        <v>863</v>
      </c>
      <c r="V3" s="139" t="s">
        <v>866</v>
      </c>
      <c r="W3" s="139" t="s">
        <v>864</v>
      </c>
      <c r="X3" s="139" t="s">
        <v>865</v>
      </c>
      <c r="Y3" s="139" t="s">
        <v>973</v>
      </c>
      <c r="Z3" s="71" t="s">
        <v>867</v>
      </c>
    </row>
    <row r="4" spans="1:26" x14ac:dyDescent="0.2">
      <c r="A4" s="75"/>
      <c r="B4" s="30"/>
      <c r="C4" s="30"/>
      <c r="D4" s="30" t="s">
        <v>287</v>
      </c>
      <c r="E4" s="30"/>
      <c r="F4" s="76">
        <f>SUBTOTAL(109,F$15:INDEX(F:F,COUNTA($B:$B)+14-COUNTA($B$1:$B$14)))</f>
        <v>78</v>
      </c>
      <c r="G4" s="86">
        <f>IF(SUM($F$4)=0,"",SUM($H$4)/SUM($F$4)-1)</f>
        <v>0</v>
      </c>
      <c r="H4" s="84">
        <f>SUBTOTAL(109,H$15:INDEX(H:H,COUNTA($B:$B)+14-COUNTA($B$1:$B$14)))</f>
        <v>78</v>
      </c>
      <c r="I4" s="76">
        <f>SUBTOTAL(109,I$15:INDEX(I:I,COUNTA($B:$B)+14-COUNTA($B$1:$B$14)))</f>
        <v>4</v>
      </c>
      <c r="J4" s="86"/>
      <c r="K4" s="86">
        <f>IF(SUM($N$4)=0,"",SUM($O$4)/$N$4)</f>
        <v>0</v>
      </c>
      <c r="L4" s="86"/>
      <c r="M4" s="86">
        <f>IF(SUM($N$4,$O$4)=0,"",SUM($P$4)/(SUM($N$4)-SUM($O$4)))</f>
        <v>0</v>
      </c>
      <c r="N4" s="84">
        <f>SUBTOTAL(109,N$15:INDEX($N:$N,COUNTA($B:$B)+14-COUNTA($B$1:$B$14)))</f>
        <v>78</v>
      </c>
      <c r="O4" s="84">
        <f>SUBTOTAL(109,O$15:INDEX(O:O,COUNTA($B:$B)+14-COUNTA($B$1:$B$14)))</f>
        <v>0</v>
      </c>
      <c r="P4" s="84">
        <f>SUBTOTAL(109,P$15:INDEX(P:P,COUNTA($B:$B)+14-COUNTA($B$1:$B$14)))</f>
        <v>0</v>
      </c>
      <c r="Q4" s="84">
        <f>SUBTOTAL(109,Q$15:INDEX(Q:Q,COUNTA($B:$B)+14-COUNTA($B$1:$B$14)))</f>
        <v>78</v>
      </c>
      <c r="R4" s="85" t="str">
        <f>IF(SUM($P$4)=0,"",SUM($T$4)/$P$4)</f>
        <v/>
      </c>
      <c r="S4" s="84">
        <f>SUBTOTAL(109,S$15:INDEX(S:S,COUNTA($B:$B)+14-COUNTA($B$1:$B$14)))</f>
        <v>0</v>
      </c>
      <c r="T4" s="84">
        <f>SUBTOTAL(109,T$15:INDEX(T:T,COUNTA($B:$B)+14-COUNTA($B$1:$B$14)))</f>
        <v>0</v>
      </c>
      <c r="U4" s="76">
        <f>SUBTOTAL(109,U$15:INDEX(U:U,COUNTA($B:$B)+14-COUNTA($B$1:$B$14)))</f>
        <v>-6404</v>
      </c>
      <c r="V4" s="75">
        <f>SUBTOTAL(109,V$15:INDEX(V:V,COUNTA($B:$B)+14-COUNTA($B$1:$B$14)))</f>
        <v>0</v>
      </c>
      <c r="W4" s="75">
        <f>SUBTOTAL(109,W$15:INDEX(W:W,COUNTA($B:$B)+14-COUNTA($B$1:$B$14)))</f>
        <v>15</v>
      </c>
      <c r="X4" s="75">
        <f>SUBTOTAL(109,X$15:INDEX(X:X,COUNTA($B:$B)+14-COUNTA($B$1:$B$14)))</f>
        <v>15</v>
      </c>
      <c r="Y4" s="75">
        <f>SUBTOTAL(109,Y$15:INDEX(Y:Y,COUNTA($B:$B)+14-COUNTA($B$1:$B$14)))</f>
        <v>0</v>
      </c>
      <c r="Z4" s="75">
        <f>SUBTOTAL(109,Z$15:INDEX(Z:Z,COUNTA($B:$B)+14-COUNTA($B$1:$B$14)))</f>
        <v>-6434</v>
      </c>
    </row>
    <row r="5" spans="1:26" x14ac:dyDescent="0.2">
      <c r="A5" t="s">
        <v>180</v>
      </c>
      <c r="B5" s="13" t="s">
        <v>180</v>
      </c>
      <c r="C5" s="13" t="s">
        <v>180</v>
      </c>
      <c r="D5" s="13" t="s">
        <v>180</v>
      </c>
      <c r="E5" s="13" t="s">
        <v>180</v>
      </c>
      <c r="F5" s="87" t="s">
        <v>288</v>
      </c>
      <c r="G5" s="90" t="s">
        <v>180</v>
      </c>
      <c r="H5" s="9" t="s">
        <v>288</v>
      </c>
      <c r="I5" s="87" t="s">
        <v>288</v>
      </c>
      <c r="J5" s="90" t="s">
        <v>180</v>
      </c>
      <c r="K5" s="90" t="s">
        <v>180</v>
      </c>
      <c r="L5" s="90" t="s">
        <v>180</v>
      </c>
      <c r="M5" s="90" t="s">
        <v>180</v>
      </c>
      <c r="N5" s="9" t="s">
        <v>180</v>
      </c>
      <c r="O5" s="9" t="s">
        <v>288</v>
      </c>
      <c r="P5" s="9" t="s">
        <v>288</v>
      </c>
      <c r="Q5" s="9" t="s">
        <v>288</v>
      </c>
      <c r="R5" s="94" t="s">
        <v>180</v>
      </c>
      <c r="S5" s="9" t="s">
        <v>288</v>
      </c>
      <c r="T5" s="9" t="s">
        <v>288</v>
      </c>
      <c r="U5" s="87" t="s">
        <v>180</v>
      </c>
      <c r="V5" s="14" t="s">
        <v>180</v>
      </c>
      <c r="W5" s="14" t="s">
        <v>180</v>
      </c>
      <c r="X5" s="14" t="s">
        <v>180</v>
      </c>
      <c r="Y5" s="14" t="s">
        <v>180</v>
      </c>
      <c r="Z5" s="14" t="s">
        <v>180</v>
      </c>
    </row>
    <row r="6" spans="1:26" x14ac:dyDescent="0.2">
      <c r="A6" t="s">
        <v>182</v>
      </c>
      <c r="B6" s="13" t="s">
        <v>182</v>
      </c>
      <c r="C6" s="13" t="s">
        <v>182</v>
      </c>
      <c r="D6" s="13" t="s">
        <v>182</v>
      </c>
      <c r="E6" s="13" t="s">
        <v>182</v>
      </c>
      <c r="F6" s="87" t="s">
        <v>183</v>
      </c>
      <c r="G6" s="90" t="s">
        <v>290</v>
      </c>
      <c r="H6" s="9" t="s">
        <v>184</v>
      </c>
      <c r="I6" s="87" t="s">
        <v>183</v>
      </c>
      <c r="J6" s="90" t="s">
        <v>291</v>
      </c>
      <c r="K6" s="90" t="s">
        <v>290</v>
      </c>
      <c r="L6" s="90" t="s">
        <v>291</v>
      </c>
      <c r="M6" s="90" t="s">
        <v>290</v>
      </c>
      <c r="N6" s="9" t="s">
        <v>185</v>
      </c>
      <c r="O6" s="9" t="s">
        <v>184</v>
      </c>
      <c r="P6" s="9" t="s">
        <v>184</v>
      </c>
      <c r="Q6" s="9" t="s">
        <v>184</v>
      </c>
      <c r="R6" s="94" t="s">
        <v>185</v>
      </c>
      <c r="S6" s="9" t="s">
        <v>184</v>
      </c>
      <c r="T6" s="9" t="s">
        <v>184</v>
      </c>
      <c r="U6" s="87" t="s">
        <v>185</v>
      </c>
      <c r="V6" s="14" t="s">
        <v>185</v>
      </c>
      <c r="W6" s="14" t="s">
        <v>185</v>
      </c>
      <c r="X6" s="14" t="s">
        <v>185</v>
      </c>
      <c r="Y6" s="14" t="s">
        <v>185</v>
      </c>
      <c r="Z6" s="14" t="s">
        <v>185</v>
      </c>
    </row>
    <row r="7" spans="1:26" x14ac:dyDescent="0.2">
      <c r="A7" t="s">
        <v>186</v>
      </c>
      <c r="B7" s="13" t="s">
        <v>186</v>
      </c>
      <c r="C7" s="13" t="s">
        <v>186</v>
      </c>
      <c r="D7" s="13" t="s">
        <v>186</v>
      </c>
      <c r="E7" s="13" t="s">
        <v>186</v>
      </c>
      <c r="F7" s="87" t="s">
        <v>187</v>
      </c>
      <c r="G7" s="90" t="s">
        <v>293</v>
      </c>
      <c r="H7" s="9" t="s">
        <v>187</v>
      </c>
      <c r="I7" s="87" t="s">
        <v>187</v>
      </c>
      <c r="J7" s="90" t="s">
        <v>293</v>
      </c>
      <c r="K7" s="90" t="s">
        <v>293</v>
      </c>
      <c r="L7" s="90" t="s">
        <v>293</v>
      </c>
      <c r="M7" s="90" t="s">
        <v>293</v>
      </c>
      <c r="N7" s="9" t="s">
        <v>187</v>
      </c>
      <c r="O7" s="9" t="s">
        <v>187</v>
      </c>
      <c r="P7" s="9" t="s">
        <v>187</v>
      </c>
      <c r="Q7" s="9" t="s">
        <v>187</v>
      </c>
      <c r="R7" s="94" t="s">
        <v>293</v>
      </c>
      <c r="S7" s="9" t="s">
        <v>187</v>
      </c>
      <c r="T7" s="9" t="s">
        <v>187</v>
      </c>
      <c r="U7" s="87" t="s">
        <v>187</v>
      </c>
      <c r="V7" s="14" t="s">
        <v>187</v>
      </c>
      <c r="W7" s="14" t="s">
        <v>187</v>
      </c>
      <c r="X7" s="14" t="s">
        <v>187</v>
      </c>
      <c r="Y7" s="14" t="s">
        <v>187</v>
      </c>
      <c r="Z7" s="14" t="s">
        <v>187</v>
      </c>
    </row>
    <row r="8" spans="1:26" x14ac:dyDescent="0.2">
      <c r="F8" s="95" t="s">
        <v>974</v>
      </c>
      <c r="G8" s="90"/>
      <c r="H8" s="99" t="s">
        <v>974</v>
      </c>
      <c r="I8" s="95" t="s">
        <v>642</v>
      </c>
      <c r="J8" s="90"/>
      <c r="K8" s="90"/>
      <c r="L8" s="90"/>
      <c r="M8" s="90"/>
      <c r="O8" s="99" t="s">
        <v>642</v>
      </c>
      <c r="P8" s="99" t="s">
        <v>642</v>
      </c>
      <c r="Q8" s="99" t="s">
        <v>642</v>
      </c>
      <c r="R8" s="94"/>
      <c r="S8" s="99" t="s">
        <v>652</v>
      </c>
      <c r="T8" s="99" t="s">
        <v>652</v>
      </c>
      <c r="U8" s="87"/>
      <c r="V8" s="14"/>
      <c r="W8" s="14"/>
      <c r="X8" s="14"/>
      <c r="Y8" s="14"/>
      <c r="Z8" s="14"/>
    </row>
    <row r="9" spans="1:26" x14ac:dyDescent="0.2">
      <c r="F9" s="95" t="s">
        <v>975</v>
      </c>
      <c r="G9" s="90"/>
      <c r="H9" s="99" t="s">
        <v>975</v>
      </c>
      <c r="I9" s="95" t="s">
        <v>976</v>
      </c>
      <c r="J9" s="90"/>
      <c r="K9" s="90"/>
      <c r="L9" s="90"/>
      <c r="M9" s="90"/>
      <c r="O9" s="99" t="s">
        <v>976</v>
      </c>
      <c r="P9" s="99" t="s">
        <v>976</v>
      </c>
      <c r="Q9" s="99" t="s">
        <v>976</v>
      </c>
      <c r="R9" s="94"/>
      <c r="S9" s="99" t="s">
        <v>977</v>
      </c>
      <c r="T9" s="99" t="s">
        <v>977</v>
      </c>
      <c r="U9" s="87"/>
      <c r="V9" s="14"/>
      <c r="W9" s="14"/>
      <c r="X9" s="14"/>
      <c r="Y9" s="14"/>
      <c r="Z9" s="14"/>
    </row>
    <row r="10" spans="1:26" x14ac:dyDescent="0.2">
      <c r="F10" s="95"/>
      <c r="G10" s="90"/>
      <c r="H10" s="99"/>
      <c r="I10" s="95" t="s">
        <v>671</v>
      </c>
      <c r="J10" s="90"/>
      <c r="K10" s="90"/>
      <c r="L10" s="90"/>
      <c r="M10" s="90"/>
      <c r="O10" s="99" t="s">
        <v>877</v>
      </c>
      <c r="P10" s="99" t="s">
        <v>671</v>
      </c>
      <c r="Q10" s="99" t="s">
        <v>878</v>
      </c>
      <c r="R10" s="94"/>
      <c r="S10" s="99" t="s">
        <v>672</v>
      </c>
      <c r="T10" s="99" t="s">
        <v>673</v>
      </c>
      <c r="U10" s="87"/>
      <c r="V10" s="14"/>
      <c r="W10" s="14"/>
      <c r="X10" s="14"/>
      <c r="Y10" s="14"/>
      <c r="Z10" s="14"/>
    </row>
    <row r="11" spans="1:26" x14ac:dyDescent="0.2">
      <c r="F11" s="87" t="s">
        <v>313</v>
      </c>
      <c r="G11" s="90" t="s">
        <v>313</v>
      </c>
      <c r="H11" s="9" t="s">
        <v>313</v>
      </c>
      <c r="I11" s="87" t="s">
        <v>313</v>
      </c>
      <c r="J11" s="90" t="s">
        <v>313</v>
      </c>
      <c r="K11" s="90" t="s">
        <v>313</v>
      </c>
      <c r="L11" s="90" t="s">
        <v>313</v>
      </c>
      <c r="M11" s="90" t="s">
        <v>313</v>
      </c>
      <c r="N11" s="9" t="s">
        <v>313</v>
      </c>
      <c r="O11" s="9" t="s">
        <v>313</v>
      </c>
      <c r="P11" s="9" t="s">
        <v>313</v>
      </c>
      <c r="Q11" s="9" t="s">
        <v>313</v>
      </c>
      <c r="R11" s="94" t="s">
        <v>313</v>
      </c>
      <c r="S11" s="9" t="s">
        <v>313</v>
      </c>
      <c r="T11" s="9" t="s">
        <v>313</v>
      </c>
      <c r="U11" s="87" t="s">
        <v>313</v>
      </c>
      <c r="V11" s="14" t="s">
        <v>313</v>
      </c>
      <c r="W11" s="14" t="s">
        <v>682</v>
      </c>
      <c r="X11" s="14" t="s">
        <v>682</v>
      </c>
      <c r="Y11" s="14" t="s">
        <v>683</v>
      </c>
      <c r="Z11" s="14" t="s">
        <v>313</v>
      </c>
    </row>
    <row r="12" spans="1:26" x14ac:dyDescent="0.2">
      <c r="F12" s="87" t="s">
        <v>316</v>
      </c>
      <c r="G12" s="90" t="s">
        <v>316</v>
      </c>
      <c r="H12" s="9" t="s">
        <v>316</v>
      </c>
      <c r="I12" s="87" t="s">
        <v>316</v>
      </c>
      <c r="J12" s="90" t="s">
        <v>316</v>
      </c>
      <c r="K12" s="90" t="s">
        <v>316</v>
      </c>
      <c r="L12" s="90" t="s">
        <v>316</v>
      </c>
      <c r="M12" s="90" t="s">
        <v>316</v>
      </c>
      <c r="N12" s="9" t="s">
        <v>316</v>
      </c>
      <c r="O12" s="9" t="s">
        <v>316</v>
      </c>
      <c r="P12" s="9" t="s">
        <v>316</v>
      </c>
      <c r="Q12" s="9" t="s">
        <v>316</v>
      </c>
      <c r="R12" s="94" t="s">
        <v>316</v>
      </c>
      <c r="S12" s="9" t="s">
        <v>316</v>
      </c>
      <c r="T12" s="9" t="s">
        <v>316</v>
      </c>
      <c r="U12" s="87" t="s">
        <v>316</v>
      </c>
      <c r="V12" s="14" t="s">
        <v>316</v>
      </c>
      <c r="W12" s="14" t="s">
        <v>689</v>
      </c>
      <c r="X12" s="14" t="s">
        <v>689</v>
      </c>
      <c r="Y12" s="14" t="s">
        <v>690</v>
      </c>
      <c r="Z12" s="14" t="s">
        <v>316</v>
      </c>
    </row>
    <row r="14" spans="1:26" x14ac:dyDescent="0.2">
      <c r="A14" s="102" t="s">
        <v>175</v>
      </c>
      <c r="B14" s="36" t="s">
        <v>189</v>
      </c>
      <c r="C14" s="36" t="s">
        <v>317</v>
      </c>
      <c r="D14" s="36" t="s">
        <v>318</v>
      </c>
      <c r="E14" s="36" t="s">
        <v>19</v>
      </c>
      <c r="F14" s="103" t="s">
        <v>978</v>
      </c>
      <c r="G14" s="105" t="s">
        <v>979</v>
      </c>
      <c r="H14" s="109" t="s">
        <v>980</v>
      </c>
      <c r="I14" s="103" t="s">
        <v>981</v>
      </c>
      <c r="J14" s="105" t="s">
        <v>982</v>
      </c>
      <c r="K14" s="105" t="s">
        <v>983</v>
      </c>
      <c r="L14" s="105" t="s">
        <v>984</v>
      </c>
      <c r="M14" s="105" t="s">
        <v>985</v>
      </c>
      <c r="N14" s="109" t="s">
        <v>986</v>
      </c>
      <c r="O14" s="109" t="s">
        <v>987</v>
      </c>
      <c r="P14" s="109" t="s">
        <v>988</v>
      </c>
      <c r="Q14" s="109" t="s">
        <v>989</v>
      </c>
      <c r="R14" s="107" t="s">
        <v>990</v>
      </c>
      <c r="S14" s="109" t="s">
        <v>991</v>
      </c>
      <c r="T14" s="109" t="s">
        <v>992</v>
      </c>
      <c r="U14" s="103" t="s">
        <v>911</v>
      </c>
      <c r="V14" s="39" t="s">
        <v>914</v>
      </c>
      <c r="W14" s="39" t="s">
        <v>912</v>
      </c>
      <c r="X14" s="39" t="s">
        <v>913</v>
      </c>
      <c r="Y14" s="39" t="s">
        <v>993</v>
      </c>
      <c r="Z14" s="39" t="s">
        <v>915</v>
      </c>
    </row>
    <row r="15" spans="1:26" x14ac:dyDescent="0.2">
      <c r="A15" t="str">
        <f>INDEX(Prioritization!$D:$D,MATCH($B15,Prioritization!$A:$A,0))</f>
        <v>Military</v>
      </c>
      <c r="B15" t="s">
        <v>193</v>
      </c>
      <c r="C15" t="s">
        <v>362</v>
      </c>
      <c r="D15" t="s">
        <v>29</v>
      </c>
      <c r="E15" s="13" t="str">
        <f t="shared" ref="E15:E78" si="0">B15&amp;"|"&amp;C15&amp;"|"&amp;D15</f>
        <v>_Military Malawi [PQZgU9dagaH]|01-09|Female</v>
      </c>
      <c r="F15" s="14"/>
      <c r="G15" s="90">
        <f>0</f>
        <v>0</v>
      </c>
      <c r="H15" s="9" t="str">
        <f t="shared" ref="H15:H78" si="1">IF(SUM($F15)=0,"",ROUND($F15*(1+$G15),0))</f>
        <v/>
      </c>
      <c r="I15" s="14"/>
      <c r="J15" s="90"/>
      <c r="K15" s="90" t="str">
        <f t="shared" ref="K15:K78" si="2">IF($J15="","",$J15)</f>
        <v/>
      </c>
      <c r="L15" s="90"/>
      <c r="M15" s="90" t="str">
        <f t="shared" ref="M15:M78" si="3">IF($L15="","",$L15)</f>
        <v/>
      </c>
      <c r="N15" s="9" t="str">
        <f t="shared" ref="N15:N78" si="4">$H15</f>
        <v/>
      </c>
      <c r="O15" s="9" t="str">
        <f t="shared" ref="O15:O78" si="5">IF(SUM($N15)=0,"",IF(AND(SUM($N15)&gt;0,$K15=""),"ENTER KNOWN POSITIVITY RATE",ROUND($N15*$K15,0)))</f>
        <v/>
      </c>
      <c r="P15" s="9" t="str">
        <f t="shared" ref="P15:P78" si="6">IF(SUM($N15)=0,"",IF(AND((SUM($N15)-SUM($O15))&gt;0,$M15=""),"ENTER YIELD RATE",ROUND(($N15-SUM($O15))*$M15,0)))</f>
        <v/>
      </c>
      <c r="Q15" s="9" t="str">
        <f t="shared" ref="Q15:Q78" si="7">IF(SUM($N15)=0,"",$N15-SUM($O15)-SUM($P15))</f>
        <v/>
      </c>
      <c r="R15" s="94" t="str">
        <f>IF(SUM($P15)=0,"",INDEX(Cascade!$BG:$BG,MATCH($E15,Cascade!$E:$E,0)))</f>
        <v/>
      </c>
      <c r="S15" s="9" t="str">
        <f t="shared" ref="S15:S78" si="8">$O15</f>
        <v/>
      </c>
      <c r="T15" s="9" t="str">
        <f t="shared" ref="T15:T78" si="9">IF(SUM($P15)=0,"",IF(AND($R15="",SUM($P15)&gt;0),"&lt;- Enter Linkage Rate",ROUND($P15*$R15,0)))</f>
        <v/>
      </c>
      <c r="U15" s="87" t="str">
        <f>IFERROR(1/(1/INDEX(Cascade!$BH:$BH,MATCH($E15,Cascade!$E:$E,0))),"")</f>
        <v/>
      </c>
      <c r="V15" s="14" t="str">
        <f t="shared" ref="V15:V78" si="10">IF(SUM($P15)=0,"",$P15)</f>
        <v/>
      </c>
      <c r="W15" s="14" t="str">
        <f>IFERROR(1/(1/INDEX(PMTCT!$AC:$AC,MATCH($E15,PMTCT!$E:$E,0))),"")</f>
        <v/>
      </c>
      <c r="X15" s="14" t="str">
        <f>IFERROR(1/(1/INDEX(PMTCT!$AS:$AS,MATCH($E15,PMTCT!$E:$E,0))),"")</f>
        <v/>
      </c>
      <c r="Y15" s="14" t="str">
        <f>IFERROR(1/(1/INDEX(VMMC!$AA:$AA,MATCH($E15,VMMC!$E:$E,0))),"")</f>
        <v/>
      </c>
      <c r="Z15" s="14" t="str">
        <f t="shared" ref="Z15:Z78" si="11">IFERROR(1/(1/(SUM($U15)-SUM($V15:$Y15))),"")</f>
        <v/>
      </c>
    </row>
    <row r="16" spans="1:26" x14ac:dyDescent="0.2">
      <c r="A16" t="str">
        <f>INDEX(Prioritization!$D:$D,MATCH($B16,Prioritization!$A:$A,0))</f>
        <v>Military</v>
      </c>
      <c r="B16" t="s">
        <v>193</v>
      </c>
      <c r="C16" t="s">
        <v>362</v>
      </c>
      <c r="D16" t="s">
        <v>47</v>
      </c>
      <c r="E16" t="str">
        <f t="shared" si="0"/>
        <v>_Military Malawi [PQZgU9dagaH]|01-09|Male</v>
      </c>
      <c r="F16" s="14"/>
      <c r="G16" s="90">
        <f>0</f>
        <v>0</v>
      </c>
      <c r="H16" s="42" t="str">
        <f t="shared" si="1"/>
        <v/>
      </c>
      <c r="I16" s="14"/>
      <c r="J16" s="90"/>
      <c r="K16" s="90" t="str">
        <f t="shared" si="2"/>
        <v/>
      </c>
      <c r="L16" s="90"/>
      <c r="M16" s="90" t="str">
        <f t="shared" si="3"/>
        <v/>
      </c>
      <c r="N16" s="14" t="str">
        <f t="shared" si="4"/>
        <v/>
      </c>
      <c r="O16" s="42" t="str">
        <f t="shared" si="5"/>
        <v/>
      </c>
      <c r="P16" s="42" t="str">
        <f t="shared" si="6"/>
        <v/>
      </c>
      <c r="Q16" s="42" t="str">
        <f t="shared" si="7"/>
        <v/>
      </c>
      <c r="R16" s="90" t="str">
        <f>IF(SUM($P16)=0,"",INDEX(Cascade!$BG:$BG,MATCH($E16,Cascade!$E:$E,0)))</f>
        <v/>
      </c>
      <c r="S16" s="42" t="str">
        <f t="shared" si="8"/>
        <v/>
      </c>
      <c r="T16" s="42" t="str">
        <f t="shared" si="9"/>
        <v/>
      </c>
      <c r="U16" s="14" t="str">
        <f>IFERROR(1/(1/INDEX(Cascade!$BH:$BH,MATCH($E16,Cascade!$E:$E,0))),"")</f>
        <v/>
      </c>
      <c r="V16" s="14" t="str">
        <f t="shared" si="10"/>
        <v/>
      </c>
      <c r="W16" s="14" t="str">
        <f>IFERROR(1/(1/INDEX(PMTCT!$AC:$AC,MATCH($E16,PMTCT!$E:$E,0))),"")</f>
        <v/>
      </c>
      <c r="X16" s="14" t="str">
        <f>IFERROR(1/(1/INDEX(PMTCT!$AS:$AS,MATCH($E16,PMTCT!$E:$E,0))),"")</f>
        <v/>
      </c>
      <c r="Y16" s="14" t="str">
        <f>IFERROR(1/(1/INDEX(VMMC!$AA:$AA,MATCH($E16,VMMC!$E:$E,0))),"")</f>
        <v/>
      </c>
      <c r="Z16" s="14" t="str">
        <f t="shared" si="11"/>
        <v/>
      </c>
    </row>
    <row r="17" spans="1:26" x14ac:dyDescent="0.2">
      <c r="A17" t="str">
        <f>INDEX(Prioritization!$D:$D,MATCH($B17,Prioritization!$A:$A,0))</f>
        <v>Military</v>
      </c>
      <c r="B17" t="s">
        <v>193</v>
      </c>
      <c r="C17" t="s">
        <v>363</v>
      </c>
      <c r="D17" t="s">
        <v>29</v>
      </c>
      <c r="E17" t="str">
        <f t="shared" si="0"/>
        <v>_Military Malawi [PQZgU9dagaH]|10-14|Female</v>
      </c>
      <c r="F17" s="14">
        <v>0</v>
      </c>
      <c r="G17" s="90">
        <f>0</f>
        <v>0</v>
      </c>
      <c r="H17" s="42" t="str">
        <f t="shared" si="1"/>
        <v/>
      </c>
      <c r="I17" s="14"/>
      <c r="J17" s="90"/>
      <c r="K17" s="90" t="str">
        <f t="shared" si="2"/>
        <v/>
      </c>
      <c r="L17" s="90"/>
      <c r="M17" s="90" t="str">
        <f t="shared" si="3"/>
        <v/>
      </c>
      <c r="N17" s="14" t="str">
        <f t="shared" si="4"/>
        <v/>
      </c>
      <c r="O17" s="42" t="str">
        <f t="shared" si="5"/>
        <v/>
      </c>
      <c r="P17" s="42" t="str">
        <f t="shared" si="6"/>
        <v/>
      </c>
      <c r="Q17" s="42" t="str">
        <f t="shared" si="7"/>
        <v/>
      </c>
      <c r="R17" s="90" t="str">
        <f>IF(SUM($P17)=0,"",INDEX(Cascade!$BG:$BG,MATCH($E17,Cascade!$E:$E,0)))</f>
        <v/>
      </c>
      <c r="S17" s="42" t="str">
        <f t="shared" si="8"/>
        <v/>
      </c>
      <c r="T17" s="42" t="str">
        <f t="shared" si="9"/>
        <v/>
      </c>
      <c r="U17" s="14">
        <f>IFERROR(1/(1/INDEX(Cascade!$BH:$BH,MATCH($E17,Cascade!$E:$E,0))),"")</f>
        <v>-47</v>
      </c>
      <c r="V17" s="14" t="str">
        <f t="shared" si="10"/>
        <v/>
      </c>
      <c r="W17" s="14" t="str">
        <f>IFERROR(1/(1/INDEX(PMTCT!$AC:$AC,MATCH($E17,PMTCT!$E:$E,0))),"")</f>
        <v/>
      </c>
      <c r="X17" s="14" t="str">
        <f>IFERROR(1/(1/INDEX(PMTCT!$AS:$AS,MATCH($E17,PMTCT!$E:$E,0))),"")</f>
        <v/>
      </c>
      <c r="Y17" s="14" t="str">
        <f>IFERROR(1/(1/INDEX(VMMC!$AA:$AA,MATCH($E17,VMMC!$E:$E,0))),"")</f>
        <v/>
      </c>
      <c r="Z17" s="14">
        <f t="shared" si="11"/>
        <v>-47</v>
      </c>
    </row>
    <row r="18" spans="1:26" x14ac:dyDescent="0.2">
      <c r="A18" t="str">
        <f>INDEX(Prioritization!$D:$D,MATCH($B18,Prioritization!$A:$A,0))</f>
        <v>Military</v>
      </c>
      <c r="B18" t="s">
        <v>193</v>
      </c>
      <c r="C18" t="s">
        <v>363</v>
      </c>
      <c r="D18" t="s">
        <v>47</v>
      </c>
      <c r="E18" t="str">
        <f t="shared" si="0"/>
        <v>_Military Malawi [PQZgU9dagaH]|10-14|Male</v>
      </c>
      <c r="F18" s="14">
        <v>0</v>
      </c>
      <c r="G18" s="90">
        <f>0</f>
        <v>0</v>
      </c>
      <c r="H18" s="42" t="str">
        <f t="shared" si="1"/>
        <v/>
      </c>
      <c r="I18" s="14"/>
      <c r="J18" s="90"/>
      <c r="K18" s="90" t="str">
        <f t="shared" si="2"/>
        <v/>
      </c>
      <c r="L18" s="90"/>
      <c r="M18" s="90" t="str">
        <f t="shared" si="3"/>
        <v/>
      </c>
      <c r="N18" s="14" t="str">
        <f t="shared" si="4"/>
        <v/>
      </c>
      <c r="O18" s="42" t="str">
        <f t="shared" si="5"/>
        <v/>
      </c>
      <c r="P18" s="42" t="str">
        <f t="shared" si="6"/>
        <v/>
      </c>
      <c r="Q18" s="42" t="str">
        <f t="shared" si="7"/>
        <v/>
      </c>
      <c r="R18" s="90" t="str">
        <f>IF(SUM($P18)=0,"",INDEX(Cascade!$BG:$BG,MATCH($E18,Cascade!$E:$E,0)))</f>
        <v/>
      </c>
      <c r="S18" s="42" t="str">
        <f t="shared" si="8"/>
        <v/>
      </c>
      <c r="T18" s="42" t="str">
        <f t="shared" si="9"/>
        <v/>
      </c>
      <c r="U18" s="14">
        <f>IFERROR(1/(1/INDEX(Cascade!$BH:$BH,MATCH($E18,Cascade!$E:$E,0))),"")</f>
        <v>-80</v>
      </c>
      <c r="V18" s="14" t="str">
        <f t="shared" si="10"/>
        <v/>
      </c>
      <c r="W18" s="14" t="str">
        <f>IFERROR(1/(1/INDEX(PMTCT!$AC:$AC,MATCH($E18,PMTCT!$E:$E,0))),"")</f>
        <v/>
      </c>
      <c r="X18" s="14" t="str">
        <f>IFERROR(1/(1/INDEX(PMTCT!$AS:$AS,MATCH($E18,PMTCT!$E:$E,0))),"")</f>
        <v/>
      </c>
      <c r="Y18" s="14" t="str">
        <f>IFERROR(1/(1/INDEX(VMMC!$AA:$AA,MATCH($E18,VMMC!$E:$E,0))),"")</f>
        <v/>
      </c>
      <c r="Z18" s="14">
        <f t="shared" si="11"/>
        <v>-80</v>
      </c>
    </row>
    <row r="19" spans="1:26" x14ac:dyDescent="0.2">
      <c r="A19" t="str">
        <f>INDEX(Prioritization!$D:$D,MATCH($B19,Prioritization!$A:$A,0))</f>
        <v>Military</v>
      </c>
      <c r="B19" t="s">
        <v>193</v>
      </c>
      <c r="C19" t="s">
        <v>364</v>
      </c>
      <c r="D19" t="s">
        <v>29</v>
      </c>
      <c r="E19" t="str">
        <f t="shared" si="0"/>
        <v>_Military Malawi [PQZgU9dagaH]|15-24|Female</v>
      </c>
      <c r="F19" s="14"/>
      <c r="G19" s="90">
        <f>0</f>
        <v>0</v>
      </c>
      <c r="H19" s="42" t="str">
        <f t="shared" si="1"/>
        <v/>
      </c>
      <c r="I19" s="14"/>
      <c r="J19" s="90"/>
      <c r="K19" s="90" t="str">
        <f t="shared" si="2"/>
        <v/>
      </c>
      <c r="L19" s="90"/>
      <c r="M19" s="90" t="str">
        <f t="shared" si="3"/>
        <v/>
      </c>
      <c r="N19" s="14" t="str">
        <f t="shared" si="4"/>
        <v/>
      </c>
      <c r="O19" s="42" t="str">
        <f t="shared" si="5"/>
        <v/>
      </c>
      <c r="P19" s="42" t="str">
        <f t="shared" si="6"/>
        <v/>
      </c>
      <c r="Q19" s="42" t="str">
        <f t="shared" si="7"/>
        <v/>
      </c>
      <c r="R19" s="90" t="str">
        <f>IF(SUM($P19)=0,"",INDEX(Cascade!$BG:$BG,MATCH($E19,Cascade!$E:$E,0)))</f>
        <v/>
      </c>
      <c r="S19" s="42" t="str">
        <f t="shared" si="8"/>
        <v/>
      </c>
      <c r="T19" s="42" t="str">
        <f t="shared" si="9"/>
        <v/>
      </c>
      <c r="U19" s="14" t="str">
        <f>IFERROR(1/(1/INDEX(Cascade!$BH:$BH,MATCH($E19,Cascade!$E:$E,0))),"")</f>
        <v/>
      </c>
      <c r="V19" s="14" t="str">
        <f t="shared" si="10"/>
        <v/>
      </c>
      <c r="W19" s="14" t="str">
        <f>IFERROR(1/(1/INDEX(PMTCT!$AC:$AC,MATCH($E19,PMTCT!$E:$E,0))),"")</f>
        <v/>
      </c>
      <c r="X19" s="14" t="str">
        <f>IFERROR(1/(1/INDEX(PMTCT!$AS:$AS,MATCH($E19,PMTCT!$E:$E,0))),"")</f>
        <v/>
      </c>
      <c r="Y19" s="14" t="str">
        <f>IFERROR(1/(1/INDEX(VMMC!$AA:$AA,MATCH($E19,VMMC!$E:$E,0))),"")</f>
        <v/>
      </c>
      <c r="Z19" s="14" t="str">
        <f t="shared" si="11"/>
        <v/>
      </c>
    </row>
    <row r="20" spans="1:26" x14ac:dyDescent="0.2">
      <c r="A20" t="str">
        <f>INDEX(Prioritization!$D:$D,MATCH($B20,Prioritization!$A:$A,0))</f>
        <v>Military</v>
      </c>
      <c r="B20" t="s">
        <v>193</v>
      </c>
      <c r="C20" t="s">
        <v>364</v>
      </c>
      <c r="D20" t="s">
        <v>47</v>
      </c>
      <c r="E20" t="str">
        <f t="shared" si="0"/>
        <v>_Military Malawi [PQZgU9dagaH]|15-24|Male</v>
      </c>
      <c r="F20" s="14"/>
      <c r="G20" s="90">
        <f>0</f>
        <v>0</v>
      </c>
      <c r="H20" s="42" t="str">
        <f t="shared" si="1"/>
        <v/>
      </c>
      <c r="I20" s="14"/>
      <c r="J20" s="90"/>
      <c r="K20" s="90" t="str">
        <f t="shared" si="2"/>
        <v/>
      </c>
      <c r="L20" s="90"/>
      <c r="M20" s="90" t="str">
        <f t="shared" si="3"/>
        <v/>
      </c>
      <c r="N20" s="14" t="str">
        <f t="shared" si="4"/>
        <v/>
      </c>
      <c r="O20" s="42" t="str">
        <f t="shared" si="5"/>
        <v/>
      </c>
      <c r="P20" s="42" t="str">
        <f t="shared" si="6"/>
        <v/>
      </c>
      <c r="Q20" s="42" t="str">
        <f t="shared" si="7"/>
        <v/>
      </c>
      <c r="R20" s="90" t="str">
        <f>IF(SUM($P20)=0,"",INDEX(Cascade!$BG:$BG,MATCH($E20,Cascade!$E:$E,0)))</f>
        <v/>
      </c>
      <c r="S20" s="42" t="str">
        <f t="shared" si="8"/>
        <v/>
      </c>
      <c r="T20" s="42" t="str">
        <f t="shared" si="9"/>
        <v/>
      </c>
      <c r="U20" s="14" t="str">
        <f>IFERROR(1/(1/INDEX(Cascade!$BH:$BH,MATCH($E20,Cascade!$E:$E,0))),"")</f>
        <v/>
      </c>
      <c r="V20" s="14" t="str">
        <f t="shared" si="10"/>
        <v/>
      </c>
      <c r="W20" s="14" t="str">
        <f>IFERROR(1/(1/INDEX(PMTCT!$AC:$AC,MATCH($E20,PMTCT!$E:$E,0))),"")</f>
        <v/>
      </c>
      <c r="X20" s="14" t="str">
        <f>IFERROR(1/(1/INDEX(PMTCT!$AS:$AS,MATCH($E20,PMTCT!$E:$E,0))),"")</f>
        <v/>
      </c>
      <c r="Y20" s="14" t="str">
        <f>IFERROR(1/(1/INDEX(VMMC!$AA:$AA,MATCH($E20,VMMC!$E:$E,0))),"")</f>
        <v/>
      </c>
      <c r="Z20" s="14" t="str">
        <f t="shared" si="11"/>
        <v/>
      </c>
    </row>
    <row r="21" spans="1:26" x14ac:dyDescent="0.2">
      <c r="A21" t="str">
        <f>INDEX(Prioritization!$D:$D,MATCH($B21,Prioritization!$A:$A,0))</f>
        <v>Military</v>
      </c>
      <c r="B21" t="s">
        <v>193</v>
      </c>
      <c r="C21" t="s">
        <v>365</v>
      </c>
      <c r="D21" t="s">
        <v>29</v>
      </c>
      <c r="E21" t="str">
        <f t="shared" si="0"/>
        <v>_Military Malawi [PQZgU9dagaH]|25-34|Female</v>
      </c>
      <c r="F21" s="14"/>
      <c r="G21" s="90">
        <f>0</f>
        <v>0</v>
      </c>
      <c r="H21" s="42" t="str">
        <f t="shared" si="1"/>
        <v/>
      </c>
      <c r="I21" s="14"/>
      <c r="J21" s="90"/>
      <c r="K21" s="90" t="str">
        <f t="shared" si="2"/>
        <v/>
      </c>
      <c r="L21" s="90"/>
      <c r="M21" s="90" t="str">
        <f t="shared" si="3"/>
        <v/>
      </c>
      <c r="N21" s="14" t="str">
        <f t="shared" si="4"/>
        <v/>
      </c>
      <c r="O21" s="42" t="str">
        <f t="shared" si="5"/>
        <v/>
      </c>
      <c r="P21" s="42" t="str">
        <f t="shared" si="6"/>
        <v/>
      </c>
      <c r="Q21" s="42" t="str">
        <f t="shared" si="7"/>
        <v/>
      </c>
      <c r="R21" s="90" t="str">
        <f>IF(SUM($P21)=0,"",INDEX(Cascade!$BG:$BG,MATCH($E21,Cascade!$E:$E,0)))</f>
        <v/>
      </c>
      <c r="S21" s="42" t="str">
        <f t="shared" si="8"/>
        <v/>
      </c>
      <c r="T21" s="42" t="str">
        <f t="shared" si="9"/>
        <v/>
      </c>
      <c r="U21" s="14" t="str">
        <f>IFERROR(1/(1/INDEX(Cascade!$BH:$BH,MATCH($E21,Cascade!$E:$E,0))),"")</f>
        <v/>
      </c>
      <c r="V21" s="14" t="str">
        <f t="shared" si="10"/>
        <v/>
      </c>
      <c r="W21" s="14" t="str">
        <f>IFERROR(1/(1/INDEX(PMTCT!$AC:$AC,MATCH($E21,PMTCT!$E:$E,0))),"")</f>
        <v/>
      </c>
      <c r="X21" s="14" t="str">
        <f>IFERROR(1/(1/INDEX(PMTCT!$AS:$AS,MATCH($E21,PMTCT!$E:$E,0))),"")</f>
        <v/>
      </c>
      <c r="Y21" s="14" t="str">
        <f>IFERROR(1/(1/INDEX(VMMC!$AA:$AA,MATCH($E21,VMMC!$E:$E,0))),"")</f>
        <v/>
      </c>
      <c r="Z21" s="14" t="str">
        <f t="shared" si="11"/>
        <v/>
      </c>
    </row>
    <row r="22" spans="1:26" x14ac:dyDescent="0.2">
      <c r="A22" t="str">
        <f>INDEX(Prioritization!$D:$D,MATCH($B22,Prioritization!$A:$A,0))</f>
        <v>Military</v>
      </c>
      <c r="B22" t="s">
        <v>193</v>
      </c>
      <c r="C22" t="s">
        <v>365</v>
      </c>
      <c r="D22" t="s">
        <v>47</v>
      </c>
      <c r="E22" t="str">
        <f t="shared" si="0"/>
        <v>_Military Malawi [PQZgU9dagaH]|25-34|Male</v>
      </c>
      <c r="F22" s="14"/>
      <c r="G22" s="90">
        <f>0</f>
        <v>0</v>
      </c>
      <c r="H22" s="42" t="str">
        <f t="shared" si="1"/>
        <v/>
      </c>
      <c r="I22" s="14"/>
      <c r="J22" s="90"/>
      <c r="K22" s="90" t="str">
        <f t="shared" si="2"/>
        <v/>
      </c>
      <c r="L22" s="90"/>
      <c r="M22" s="90" t="str">
        <f t="shared" si="3"/>
        <v/>
      </c>
      <c r="N22" s="14" t="str">
        <f t="shared" si="4"/>
        <v/>
      </c>
      <c r="O22" s="42" t="str">
        <f t="shared" si="5"/>
        <v/>
      </c>
      <c r="P22" s="42" t="str">
        <f t="shared" si="6"/>
        <v/>
      </c>
      <c r="Q22" s="42" t="str">
        <f t="shared" si="7"/>
        <v/>
      </c>
      <c r="R22" s="90" t="str">
        <f>IF(SUM($P22)=0,"",INDEX(Cascade!$BG:$BG,MATCH($E22,Cascade!$E:$E,0)))</f>
        <v/>
      </c>
      <c r="S22" s="42" t="str">
        <f t="shared" si="8"/>
        <v/>
      </c>
      <c r="T22" s="42" t="str">
        <f t="shared" si="9"/>
        <v/>
      </c>
      <c r="U22" s="14" t="str">
        <f>IFERROR(1/(1/INDEX(Cascade!$BH:$BH,MATCH($E22,Cascade!$E:$E,0))),"")</f>
        <v/>
      </c>
      <c r="V22" s="14" t="str">
        <f t="shared" si="10"/>
        <v/>
      </c>
      <c r="W22" s="14" t="str">
        <f>IFERROR(1/(1/INDEX(PMTCT!$AC:$AC,MATCH($E22,PMTCT!$E:$E,0))),"")</f>
        <v/>
      </c>
      <c r="X22" s="14" t="str">
        <f>IFERROR(1/(1/INDEX(PMTCT!$AS:$AS,MATCH($E22,PMTCT!$E:$E,0))),"")</f>
        <v/>
      </c>
      <c r="Y22" s="14" t="str">
        <f>IFERROR(1/(1/INDEX(VMMC!$AA:$AA,MATCH($E22,VMMC!$E:$E,0))),"")</f>
        <v/>
      </c>
      <c r="Z22" s="14" t="str">
        <f t="shared" si="11"/>
        <v/>
      </c>
    </row>
    <row r="23" spans="1:26" x14ac:dyDescent="0.2">
      <c r="A23" t="str">
        <f>INDEX(Prioritization!$D:$D,MATCH($B23,Prioritization!$A:$A,0))</f>
        <v>Military</v>
      </c>
      <c r="B23" t="s">
        <v>193</v>
      </c>
      <c r="C23" t="s">
        <v>366</v>
      </c>
      <c r="D23" t="s">
        <v>29</v>
      </c>
      <c r="E23" t="str">
        <f t="shared" si="0"/>
        <v>_Military Malawi [PQZgU9dagaH]|35-49|Female</v>
      </c>
      <c r="F23" s="14"/>
      <c r="G23" s="90">
        <f>0</f>
        <v>0</v>
      </c>
      <c r="H23" s="42" t="str">
        <f t="shared" si="1"/>
        <v/>
      </c>
      <c r="I23" s="14"/>
      <c r="J23" s="90"/>
      <c r="K23" s="90" t="str">
        <f t="shared" si="2"/>
        <v/>
      </c>
      <c r="L23" s="90"/>
      <c r="M23" s="90" t="str">
        <f t="shared" si="3"/>
        <v/>
      </c>
      <c r="N23" s="14" t="str">
        <f t="shared" si="4"/>
        <v/>
      </c>
      <c r="O23" s="42" t="str">
        <f t="shared" si="5"/>
        <v/>
      </c>
      <c r="P23" s="42" t="str">
        <f t="shared" si="6"/>
        <v/>
      </c>
      <c r="Q23" s="42" t="str">
        <f t="shared" si="7"/>
        <v/>
      </c>
      <c r="R23" s="90" t="str">
        <f>IF(SUM($P23)=0,"",INDEX(Cascade!$BG:$BG,MATCH($E23,Cascade!$E:$E,0)))</f>
        <v/>
      </c>
      <c r="S23" s="42" t="str">
        <f t="shared" si="8"/>
        <v/>
      </c>
      <c r="T23" s="42" t="str">
        <f t="shared" si="9"/>
        <v/>
      </c>
      <c r="U23" s="14" t="str">
        <f>IFERROR(1/(1/INDEX(Cascade!$BH:$BH,MATCH($E23,Cascade!$E:$E,0))),"")</f>
        <v/>
      </c>
      <c r="V23" s="14" t="str">
        <f t="shared" si="10"/>
        <v/>
      </c>
      <c r="W23" s="14" t="str">
        <f>IFERROR(1/(1/INDEX(PMTCT!$AC:$AC,MATCH($E23,PMTCT!$E:$E,0))),"")</f>
        <v/>
      </c>
      <c r="X23" s="14" t="str">
        <f>IFERROR(1/(1/INDEX(PMTCT!$AS:$AS,MATCH($E23,PMTCT!$E:$E,0))),"")</f>
        <v/>
      </c>
      <c r="Y23" s="14" t="str">
        <f>IFERROR(1/(1/INDEX(VMMC!$AA:$AA,MATCH($E23,VMMC!$E:$E,0))),"")</f>
        <v/>
      </c>
      <c r="Z23" s="14" t="str">
        <f t="shared" si="11"/>
        <v/>
      </c>
    </row>
    <row r="24" spans="1:26" x14ac:dyDescent="0.2">
      <c r="A24" t="str">
        <f>INDEX(Prioritization!$D:$D,MATCH($B24,Prioritization!$A:$A,0))</f>
        <v>Military</v>
      </c>
      <c r="B24" t="s">
        <v>193</v>
      </c>
      <c r="C24" t="s">
        <v>366</v>
      </c>
      <c r="D24" t="s">
        <v>47</v>
      </c>
      <c r="E24" t="str">
        <f t="shared" si="0"/>
        <v>_Military Malawi [PQZgU9dagaH]|35-49|Male</v>
      </c>
      <c r="F24" s="14"/>
      <c r="G24" s="90">
        <f>0</f>
        <v>0</v>
      </c>
      <c r="H24" s="42" t="str">
        <f t="shared" si="1"/>
        <v/>
      </c>
      <c r="I24" s="14"/>
      <c r="J24" s="90"/>
      <c r="K24" s="90" t="str">
        <f t="shared" si="2"/>
        <v/>
      </c>
      <c r="L24" s="90"/>
      <c r="M24" s="90" t="str">
        <f t="shared" si="3"/>
        <v/>
      </c>
      <c r="N24" s="14" t="str">
        <f t="shared" si="4"/>
        <v/>
      </c>
      <c r="O24" s="42" t="str">
        <f t="shared" si="5"/>
        <v/>
      </c>
      <c r="P24" s="42" t="str">
        <f t="shared" si="6"/>
        <v/>
      </c>
      <c r="Q24" s="42" t="str">
        <f t="shared" si="7"/>
        <v/>
      </c>
      <c r="R24" s="90" t="str">
        <f>IF(SUM($P24)=0,"",INDEX(Cascade!$BG:$BG,MATCH($E24,Cascade!$E:$E,0)))</f>
        <v/>
      </c>
      <c r="S24" s="42" t="str">
        <f t="shared" si="8"/>
        <v/>
      </c>
      <c r="T24" s="42" t="str">
        <f t="shared" si="9"/>
        <v/>
      </c>
      <c r="U24" s="14" t="str">
        <f>IFERROR(1/(1/INDEX(Cascade!$BH:$BH,MATCH($E24,Cascade!$E:$E,0))),"")</f>
        <v/>
      </c>
      <c r="V24" s="14" t="str">
        <f t="shared" si="10"/>
        <v/>
      </c>
      <c r="W24" s="14" t="str">
        <f>IFERROR(1/(1/INDEX(PMTCT!$AC:$AC,MATCH($E24,PMTCT!$E:$E,0))),"")</f>
        <v/>
      </c>
      <c r="X24" s="14" t="str">
        <f>IFERROR(1/(1/INDEX(PMTCT!$AS:$AS,MATCH($E24,PMTCT!$E:$E,0))),"")</f>
        <v/>
      </c>
      <c r="Y24" s="14" t="str">
        <f>IFERROR(1/(1/INDEX(VMMC!$AA:$AA,MATCH($E24,VMMC!$E:$E,0))),"")</f>
        <v/>
      </c>
      <c r="Z24" s="14" t="str">
        <f t="shared" si="11"/>
        <v/>
      </c>
    </row>
    <row r="25" spans="1:26" x14ac:dyDescent="0.2">
      <c r="A25" t="str">
        <f>INDEX(Prioritization!$D:$D,MATCH($B25,Prioritization!$A:$A,0))</f>
        <v>Military</v>
      </c>
      <c r="B25" t="s">
        <v>193</v>
      </c>
      <c r="C25" t="s">
        <v>367</v>
      </c>
      <c r="D25" t="s">
        <v>29</v>
      </c>
      <c r="E25" t="str">
        <f t="shared" si="0"/>
        <v>_Military Malawi [PQZgU9dagaH]|50+|Female</v>
      </c>
      <c r="F25" s="14"/>
      <c r="G25" s="90">
        <f>0</f>
        <v>0</v>
      </c>
      <c r="H25" s="42" t="str">
        <f t="shared" si="1"/>
        <v/>
      </c>
      <c r="I25" s="14"/>
      <c r="J25" s="90"/>
      <c r="K25" s="90" t="str">
        <f t="shared" si="2"/>
        <v/>
      </c>
      <c r="L25" s="90"/>
      <c r="M25" s="90" t="str">
        <f t="shared" si="3"/>
        <v/>
      </c>
      <c r="N25" s="14" t="str">
        <f t="shared" si="4"/>
        <v/>
      </c>
      <c r="O25" s="42" t="str">
        <f t="shared" si="5"/>
        <v/>
      </c>
      <c r="P25" s="42" t="str">
        <f t="shared" si="6"/>
        <v/>
      </c>
      <c r="Q25" s="42" t="str">
        <f t="shared" si="7"/>
        <v/>
      </c>
      <c r="R25" s="90" t="str">
        <f>IF(SUM($P25)=0,"",INDEX(Cascade!$BG:$BG,MATCH($E25,Cascade!$E:$E,0)))</f>
        <v/>
      </c>
      <c r="S25" s="42" t="str">
        <f t="shared" si="8"/>
        <v/>
      </c>
      <c r="T25" s="42" t="str">
        <f t="shared" si="9"/>
        <v/>
      </c>
      <c r="U25" s="14" t="str">
        <f>IFERROR(1/(1/INDEX(Cascade!$BH:$BH,MATCH($E25,Cascade!$E:$E,0))),"")</f>
        <v/>
      </c>
      <c r="V25" s="14" t="str">
        <f t="shared" si="10"/>
        <v/>
      </c>
      <c r="W25" s="14" t="str">
        <f>IFERROR(1/(1/INDEX(PMTCT!$AC:$AC,MATCH($E25,PMTCT!$E:$E,0))),"")</f>
        <v/>
      </c>
      <c r="X25" s="14" t="str">
        <f>IFERROR(1/(1/INDEX(PMTCT!$AS:$AS,MATCH($E25,PMTCT!$E:$E,0))),"")</f>
        <v/>
      </c>
      <c r="Y25" s="14" t="str">
        <f>IFERROR(1/(1/INDEX(VMMC!$AA:$AA,MATCH($E25,VMMC!$E:$E,0))),"")</f>
        <v/>
      </c>
      <c r="Z25" s="14" t="str">
        <f t="shared" si="11"/>
        <v/>
      </c>
    </row>
    <row r="26" spans="1:26" x14ac:dyDescent="0.2">
      <c r="A26" t="str">
        <f>INDEX(Prioritization!$D:$D,MATCH($B26,Prioritization!$A:$A,0))</f>
        <v>Military</v>
      </c>
      <c r="B26" t="s">
        <v>193</v>
      </c>
      <c r="C26" t="s">
        <v>367</v>
      </c>
      <c r="D26" t="s">
        <v>47</v>
      </c>
      <c r="E26" t="str">
        <f t="shared" si="0"/>
        <v>_Military Malawi [PQZgU9dagaH]|50+|Male</v>
      </c>
      <c r="F26" s="14"/>
      <c r="G26" s="90">
        <f>0</f>
        <v>0</v>
      </c>
      <c r="H26" s="42" t="str">
        <f t="shared" si="1"/>
        <v/>
      </c>
      <c r="I26" s="14"/>
      <c r="J26" s="90"/>
      <c r="K26" s="90" t="str">
        <f t="shared" si="2"/>
        <v/>
      </c>
      <c r="L26" s="90"/>
      <c r="M26" s="90" t="str">
        <f t="shared" si="3"/>
        <v/>
      </c>
      <c r="N26" s="14" t="str">
        <f t="shared" si="4"/>
        <v/>
      </c>
      <c r="O26" s="42" t="str">
        <f t="shared" si="5"/>
        <v/>
      </c>
      <c r="P26" s="42" t="str">
        <f t="shared" si="6"/>
        <v/>
      </c>
      <c r="Q26" s="42" t="str">
        <f t="shared" si="7"/>
        <v/>
      </c>
      <c r="R26" s="90" t="str">
        <f>IF(SUM($P26)=0,"",INDEX(Cascade!$BG:$BG,MATCH($E26,Cascade!$E:$E,0)))</f>
        <v/>
      </c>
      <c r="S26" s="42" t="str">
        <f t="shared" si="8"/>
        <v/>
      </c>
      <c r="T26" s="42" t="str">
        <f t="shared" si="9"/>
        <v/>
      </c>
      <c r="U26" s="14" t="str">
        <f>IFERROR(1/(1/INDEX(Cascade!$BH:$BH,MATCH($E26,Cascade!$E:$E,0))),"")</f>
        <v/>
      </c>
      <c r="V26" s="14" t="str">
        <f t="shared" si="10"/>
        <v/>
      </c>
      <c r="W26" s="14" t="str">
        <f>IFERROR(1/(1/INDEX(PMTCT!$AC:$AC,MATCH($E26,PMTCT!$E:$E,0))),"")</f>
        <v/>
      </c>
      <c r="X26" s="14" t="str">
        <f>IFERROR(1/(1/INDEX(PMTCT!$AS:$AS,MATCH($E26,PMTCT!$E:$E,0))),"")</f>
        <v/>
      </c>
      <c r="Y26" s="14" t="str">
        <f>IFERROR(1/(1/INDEX(VMMC!$AA:$AA,MATCH($E26,VMMC!$E:$E,0))),"")</f>
        <v/>
      </c>
      <c r="Z26" s="14" t="str">
        <f t="shared" si="11"/>
        <v/>
      </c>
    </row>
    <row r="27" spans="1:26" x14ac:dyDescent="0.2">
      <c r="A27" t="str">
        <f>INDEX(Prioritization!$D:$D,MATCH($B27,Prioritization!$A:$A,0))</f>
        <v>1 - Scale-up: Saturation</v>
      </c>
      <c r="B27" t="s">
        <v>194</v>
      </c>
      <c r="C27" t="s">
        <v>362</v>
      </c>
      <c r="D27" t="s">
        <v>29</v>
      </c>
      <c r="E27" t="str">
        <f t="shared" si="0"/>
        <v>Dedza District [PekKUkKHAzY]|01-09|Female</v>
      </c>
      <c r="F27" s="14"/>
      <c r="G27" s="90">
        <f>0</f>
        <v>0</v>
      </c>
      <c r="H27" s="42" t="str">
        <f t="shared" si="1"/>
        <v/>
      </c>
      <c r="I27" s="14"/>
      <c r="J27" s="90"/>
      <c r="K27" s="90" t="str">
        <f t="shared" si="2"/>
        <v/>
      </c>
      <c r="L27" s="90"/>
      <c r="M27" s="90" t="str">
        <f t="shared" si="3"/>
        <v/>
      </c>
      <c r="N27" s="14" t="str">
        <f t="shared" si="4"/>
        <v/>
      </c>
      <c r="O27" s="42" t="str">
        <f t="shared" si="5"/>
        <v/>
      </c>
      <c r="P27" s="42" t="str">
        <f t="shared" si="6"/>
        <v/>
      </c>
      <c r="Q27" s="42" t="str">
        <f t="shared" si="7"/>
        <v/>
      </c>
      <c r="R27" s="90" t="str">
        <f>IF(SUM($P27)=0,"",INDEX(Cascade!$BG:$BG,MATCH($E27,Cascade!$E:$E,0)))</f>
        <v/>
      </c>
      <c r="S27" s="42" t="str">
        <f t="shared" si="8"/>
        <v/>
      </c>
      <c r="T27" s="42" t="str">
        <f t="shared" si="9"/>
        <v/>
      </c>
      <c r="U27" s="14" t="str">
        <f>IFERROR(1/(1/INDEX(Cascade!$BH:$BH,MATCH($E27,Cascade!$E:$E,0))),"")</f>
        <v/>
      </c>
      <c r="V27" s="14" t="str">
        <f t="shared" si="10"/>
        <v/>
      </c>
      <c r="W27" s="14" t="str">
        <f>IFERROR(1/(1/INDEX(PMTCT!$AC:$AC,MATCH($E27,PMTCT!$E:$E,0))),"")</f>
        <v/>
      </c>
      <c r="X27" s="14" t="str">
        <f>IFERROR(1/(1/INDEX(PMTCT!$AS:$AS,MATCH($E27,PMTCT!$E:$E,0))),"")</f>
        <v/>
      </c>
      <c r="Y27" s="14" t="str">
        <f>IFERROR(1/(1/INDEX(VMMC!$AA:$AA,MATCH($E27,VMMC!$E:$E,0))),"")</f>
        <v/>
      </c>
      <c r="Z27" s="14" t="str">
        <f t="shared" si="11"/>
        <v/>
      </c>
    </row>
    <row r="28" spans="1:26" x14ac:dyDescent="0.2">
      <c r="A28" t="str">
        <f>INDEX(Prioritization!$D:$D,MATCH($B28,Prioritization!$A:$A,0))</f>
        <v>1 - Scale-up: Saturation</v>
      </c>
      <c r="B28" t="s">
        <v>194</v>
      </c>
      <c r="C28" t="s">
        <v>362</v>
      </c>
      <c r="D28" t="s">
        <v>47</v>
      </c>
      <c r="E28" t="str">
        <f t="shared" si="0"/>
        <v>Dedza District [PekKUkKHAzY]|01-09|Male</v>
      </c>
      <c r="F28" s="14"/>
      <c r="G28" s="90">
        <f>0</f>
        <v>0</v>
      </c>
      <c r="H28" s="42" t="str">
        <f t="shared" si="1"/>
        <v/>
      </c>
      <c r="I28" s="14"/>
      <c r="J28" s="90"/>
      <c r="K28" s="90" t="str">
        <f t="shared" si="2"/>
        <v/>
      </c>
      <c r="L28" s="90"/>
      <c r="M28" s="90" t="str">
        <f t="shared" si="3"/>
        <v/>
      </c>
      <c r="N28" s="14" t="str">
        <f t="shared" si="4"/>
        <v/>
      </c>
      <c r="O28" s="42" t="str">
        <f t="shared" si="5"/>
        <v/>
      </c>
      <c r="P28" s="42" t="str">
        <f t="shared" si="6"/>
        <v/>
      </c>
      <c r="Q28" s="42" t="str">
        <f t="shared" si="7"/>
        <v/>
      </c>
      <c r="R28" s="90" t="str">
        <f>IF(SUM($P28)=0,"",INDEX(Cascade!$BG:$BG,MATCH($E28,Cascade!$E:$E,0)))</f>
        <v/>
      </c>
      <c r="S28" s="42" t="str">
        <f t="shared" si="8"/>
        <v/>
      </c>
      <c r="T28" s="42" t="str">
        <f t="shared" si="9"/>
        <v/>
      </c>
      <c r="U28" s="14" t="str">
        <f>IFERROR(1/(1/INDEX(Cascade!$BH:$BH,MATCH($E28,Cascade!$E:$E,0))),"")</f>
        <v/>
      </c>
      <c r="V28" s="14" t="str">
        <f t="shared" si="10"/>
        <v/>
      </c>
      <c r="W28" s="14" t="str">
        <f>IFERROR(1/(1/INDEX(PMTCT!$AC:$AC,MATCH($E28,PMTCT!$E:$E,0))),"")</f>
        <v/>
      </c>
      <c r="X28" s="14" t="str">
        <f>IFERROR(1/(1/INDEX(PMTCT!$AS:$AS,MATCH($E28,PMTCT!$E:$E,0))),"")</f>
        <v/>
      </c>
      <c r="Y28" s="14" t="str">
        <f>IFERROR(1/(1/INDEX(VMMC!$AA:$AA,MATCH($E28,VMMC!$E:$E,0))),"")</f>
        <v/>
      </c>
      <c r="Z28" s="14" t="str">
        <f t="shared" si="11"/>
        <v/>
      </c>
    </row>
    <row r="29" spans="1:26" x14ac:dyDescent="0.2">
      <c r="A29" t="str">
        <f>INDEX(Prioritization!$D:$D,MATCH($B29,Prioritization!$A:$A,0))</f>
        <v>1 - Scale-up: Saturation</v>
      </c>
      <c r="B29" t="s">
        <v>194</v>
      </c>
      <c r="C29" t="s">
        <v>363</v>
      </c>
      <c r="D29" t="s">
        <v>29</v>
      </c>
      <c r="E29" t="str">
        <f t="shared" si="0"/>
        <v>Dedza District [PekKUkKHAzY]|10-14|Female</v>
      </c>
      <c r="F29" s="14">
        <v>0</v>
      </c>
      <c r="G29" s="90">
        <f>0</f>
        <v>0</v>
      </c>
      <c r="H29" s="42" t="str">
        <f t="shared" si="1"/>
        <v/>
      </c>
      <c r="I29" s="14"/>
      <c r="J29" s="90"/>
      <c r="K29" s="90" t="str">
        <f t="shared" si="2"/>
        <v/>
      </c>
      <c r="L29" s="90"/>
      <c r="M29" s="90" t="str">
        <f t="shared" si="3"/>
        <v/>
      </c>
      <c r="N29" s="14" t="str">
        <f t="shared" si="4"/>
        <v/>
      </c>
      <c r="O29" s="42" t="str">
        <f t="shared" si="5"/>
        <v/>
      </c>
      <c r="P29" s="42" t="str">
        <f t="shared" si="6"/>
        <v/>
      </c>
      <c r="Q29" s="42" t="str">
        <f t="shared" si="7"/>
        <v/>
      </c>
      <c r="R29" s="90" t="str">
        <f>IF(SUM($P29)=0,"",INDEX(Cascade!$BG:$BG,MATCH($E29,Cascade!$E:$E,0)))</f>
        <v/>
      </c>
      <c r="S29" s="42" t="str">
        <f t="shared" si="8"/>
        <v/>
      </c>
      <c r="T29" s="42" t="str">
        <f t="shared" si="9"/>
        <v/>
      </c>
      <c r="U29" s="14">
        <f>IFERROR(1/(1/INDEX(Cascade!$BH:$BH,MATCH($E29,Cascade!$E:$E,0))),"")</f>
        <v>-76</v>
      </c>
      <c r="V29" s="14" t="str">
        <f t="shared" si="10"/>
        <v/>
      </c>
      <c r="W29" s="14" t="str">
        <f>IFERROR(1/(1/INDEX(PMTCT!$AC:$AC,MATCH($E29,PMTCT!$E:$E,0))),"")</f>
        <v/>
      </c>
      <c r="X29" s="14" t="str">
        <f>IFERROR(1/(1/INDEX(PMTCT!$AS:$AS,MATCH($E29,PMTCT!$E:$E,0))),"")</f>
        <v/>
      </c>
      <c r="Y29" s="14" t="str">
        <f>IFERROR(1/(1/INDEX(VMMC!$AA:$AA,MATCH($E29,VMMC!$E:$E,0))),"")</f>
        <v/>
      </c>
      <c r="Z29" s="14">
        <f t="shared" si="11"/>
        <v>-76</v>
      </c>
    </row>
    <row r="30" spans="1:26" x14ac:dyDescent="0.2">
      <c r="A30" t="str">
        <f>INDEX(Prioritization!$D:$D,MATCH($B30,Prioritization!$A:$A,0))</f>
        <v>1 - Scale-up: Saturation</v>
      </c>
      <c r="B30" t="s">
        <v>194</v>
      </c>
      <c r="C30" t="s">
        <v>363</v>
      </c>
      <c r="D30" t="s">
        <v>47</v>
      </c>
      <c r="E30" t="str">
        <f t="shared" si="0"/>
        <v>Dedza District [PekKUkKHAzY]|10-14|Male</v>
      </c>
      <c r="F30" s="14">
        <v>1</v>
      </c>
      <c r="G30" s="90">
        <f>0</f>
        <v>0</v>
      </c>
      <c r="H30" s="42">
        <f t="shared" si="1"/>
        <v>1</v>
      </c>
      <c r="I30" s="14"/>
      <c r="J30" s="90"/>
      <c r="K30" s="90" t="str">
        <f t="shared" si="2"/>
        <v/>
      </c>
      <c r="L30" s="90"/>
      <c r="M30" s="90" t="str">
        <f t="shared" si="3"/>
        <v/>
      </c>
      <c r="N30" s="14">
        <f t="shared" si="4"/>
        <v>1</v>
      </c>
      <c r="O30" s="42" t="str">
        <f t="shared" si="5"/>
        <v>ENTER KNOWN POSITIVITY RATE</v>
      </c>
      <c r="P30" s="42" t="str">
        <f t="shared" si="6"/>
        <v>ENTER YIELD RATE</v>
      </c>
      <c r="Q30" s="42">
        <f t="shared" si="7"/>
        <v>1</v>
      </c>
      <c r="R30" s="90" t="str">
        <f>IF(SUM($P30)=0,"",INDEX(Cascade!$BG:$BG,MATCH($E30,Cascade!$E:$E,0)))</f>
        <v/>
      </c>
      <c r="S30" s="42" t="str">
        <f t="shared" si="8"/>
        <v>ENTER KNOWN POSITIVITY RATE</v>
      </c>
      <c r="T30" s="42" t="str">
        <f t="shared" si="9"/>
        <v/>
      </c>
      <c r="U30" s="14">
        <f>IFERROR(1/(1/INDEX(Cascade!$BH:$BH,MATCH($E30,Cascade!$E:$E,0))),"")</f>
        <v>-91</v>
      </c>
      <c r="V30" s="14" t="str">
        <f t="shared" si="10"/>
        <v/>
      </c>
      <c r="W30" s="14" t="str">
        <f>IFERROR(1/(1/INDEX(PMTCT!$AC:$AC,MATCH($E30,PMTCT!$E:$E,0))),"")</f>
        <v/>
      </c>
      <c r="X30" s="14" t="str">
        <f>IFERROR(1/(1/INDEX(PMTCT!$AS:$AS,MATCH($E30,PMTCT!$E:$E,0))),"")</f>
        <v/>
      </c>
      <c r="Y30" s="14" t="str">
        <f>IFERROR(1/(1/INDEX(VMMC!$AA:$AA,MATCH($E30,VMMC!$E:$E,0))),"")</f>
        <v/>
      </c>
      <c r="Z30" s="14">
        <f t="shared" si="11"/>
        <v>-91</v>
      </c>
    </row>
    <row r="31" spans="1:26" x14ac:dyDescent="0.2">
      <c r="A31" t="str">
        <f>INDEX(Prioritization!$D:$D,MATCH($B31,Prioritization!$A:$A,0))</f>
        <v>1 - Scale-up: Saturation</v>
      </c>
      <c r="B31" t="s">
        <v>194</v>
      </c>
      <c r="C31" t="s">
        <v>364</v>
      </c>
      <c r="D31" t="s">
        <v>29</v>
      </c>
      <c r="E31" t="str">
        <f t="shared" si="0"/>
        <v>Dedza District [PekKUkKHAzY]|15-24|Female</v>
      </c>
      <c r="F31" s="14"/>
      <c r="G31" s="90">
        <f>0</f>
        <v>0</v>
      </c>
      <c r="H31" s="42" t="str">
        <f t="shared" si="1"/>
        <v/>
      </c>
      <c r="I31" s="14"/>
      <c r="J31" s="90"/>
      <c r="K31" s="90" t="str">
        <f t="shared" si="2"/>
        <v/>
      </c>
      <c r="L31" s="90"/>
      <c r="M31" s="90" t="str">
        <f t="shared" si="3"/>
        <v/>
      </c>
      <c r="N31" s="14" t="str">
        <f t="shared" si="4"/>
        <v/>
      </c>
      <c r="O31" s="42" t="str">
        <f t="shared" si="5"/>
        <v/>
      </c>
      <c r="P31" s="42" t="str">
        <f t="shared" si="6"/>
        <v/>
      </c>
      <c r="Q31" s="42" t="str">
        <f t="shared" si="7"/>
        <v/>
      </c>
      <c r="R31" s="90" t="str">
        <f>IF(SUM($P31)=0,"",INDEX(Cascade!$BG:$BG,MATCH($E31,Cascade!$E:$E,0)))</f>
        <v/>
      </c>
      <c r="S31" s="42" t="str">
        <f t="shared" si="8"/>
        <v/>
      </c>
      <c r="T31" s="42" t="str">
        <f t="shared" si="9"/>
        <v/>
      </c>
      <c r="U31" s="14" t="str">
        <f>IFERROR(1/(1/INDEX(Cascade!$BH:$BH,MATCH($E31,Cascade!$E:$E,0))),"")</f>
        <v/>
      </c>
      <c r="V31" s="14" t="str">
        <f t="shared" si="10"/>
        <v/>
      </c>
      <c r="W31" s="14" t="str">
        <f>IFERROR(1/(1/INDEX(PMTCT!$AC:$AC,MATCH($E31,PMTCT!$E:$E,0))),"")</f>
        <v/>
      </c>
      <c r="X31" s="14" t="str">
        <f>IFERROR(1/(1/INDEX(PMTCT!$AS:$AS,MATCH($E31,PMTCT!$E:$E,0))),"")</f>
        <v/>
      </c>
      <c r="Y31" s="14" t="str">
        <f>IFERROR(1/(1/INDEX(VMMC!$AA:$AA,MATCH($E31,VMMC!$E:$E,0))),"")</f>
        <v/>
      </c>
      <c r="Z31" s="14" t="str">
        <f t="shared" si="11"/>
        <v/>
      </c>
    </row>
    <row r="32" spans="1:26" x14ac:dyDescent="0.2">
      <c r="A32" t="str">
        <f>INDEX(Prioritization!$D:$D,MATCH($B32,Prioritization!$A:$A,0))</f>
        <v>1 - Scale-up: Saturation</v>
      </c>
      <c r="B32" t="s">
        <v>194</v>
      </c>
      <c r="C32" t="s">
        <v>364</v>
      </c>
      <c r="D32" t="s">
        <v>47</v>
      </c>
      <c r="E32" t="str">
        <f t="shared" si="0"/>
        <v>Dedza District [PekKUkKHAzY]|15-24|Male</v>
      </c>
      <c r="F32" s="14"/>
      <c r="G32" s="90">
        <f>0</f>
        <v>0</v>
      </c>
      <c r="H32" s="42" t="str">
        <f t="shared" si="1"/>
        <v/>
      </c>
      <c r="I32" s="14"/>
      <c r="J32" s="90"/>
      <c r="K32" s="90" t="str">
        <f t="shared" si="2"/>
        <v/>
      </c>
      <c r="L32" s="90"/>
      <c r="M32" s="90" t="str">
        <f t="shared" si="3"/>
        <v/>
      </c>
      <c r="N32" s="14" t="str">
        <f t="shared" si="4"/>
        <v/>
      </c>
      <c r="O32" s="42" t="str">
        <f t="shared" si="5"/>
        <v/>
      </c>
      <c r="P32" s="42" t="str">
        <f t="shared" si="6"/>
        <v/>
      </c>
      <c r="Q32" s="42" t="str">
        <f t="shared" si="7"/>
        <v/>
      </c>
      <c r="R32" s="90" t="str">
        <f>IF(SUM($P32)=0,"",INDEX(Cascade!$BG:$BG,MATCH($E32,Cascade!$E:$E,0)))</f>
        <v/>
      </c>
      <c r="S32" s="42" t="str">
        <f t="shared" si="8"/>
        <v/>
      </c>
      <c r="T32" s="42" t="str">
        <f t="shared" si="9"/>
        <v/>
      </c>
      <c r="U32" s="14" t="str">
        <f>IFERROR(1/(1/INDEX(Cascade!$BH:$BH,MATCH($E32,Cascade!$E:$E,0))),"")</f>
        <v/>
      </c>
      <c r="V32" s="14" t="str">
        <f t="shared" si="10"/>
        <v/>
      </c>
      <c r="W32" s="14" t="str">
        <f>IFERROR(1/(1/INDEX(PMTCT!$AC:$AC,MATCH($E32,PMTCT!$E:$E,0))),"")</f>
        <v/>
      </c>
      <c r="X32" s="14" t="str">
        <f>IFERROR(1/(1/INDEX(PMTCT!$AS:$AS,MATCH($E32,PMTCT!$E:$E,0))),"")</f>
        <v/>
      </c>
      <c r="Y32" s="14" t="str">
        <f>IFERROR(1/(1/INDEX(VMMC!$AA:$AA,MATCH($E32,VMMC!$E:$E,0))),"")</f>
        <v/>
      </c>
      <c r="Z32" s="14" t="str">
        <f t="shared" si="11"/>
        <v/>
      </c>
    </row>
    <row r="33" spans="1:26" x14ac:dyDescent="0.2">
      <c r="A33" t="str">
        <f>INDEX(Prioritization!$D:$D,MATCH($B33,Prioritization!$A:$A,0))</f>
        <v>1 - Scale-up: Saturation</v>
      </c>
      <c r="B33" t="s">
        <v>194</v>
      </c>
      <c r="C33" t="s">
        <v>365</v>
      </c>
      <c r="D33" t="s">
        <v>29</v>
      </c>
      <c r="E33" t="str">
        <f t="shared" si="0"/>
        <v>Dedza District [PekKUkKHAzY]|25-34|Female</v>
      </c>
      <c r="F33" s="14"/>
      <c r="G33" s="90">
        <f>0</f>
        <v>0</v>
      </c>
      <c r="H33" s="42" t="str">
        <f t="shared" si="1"/>
        <v/>
      </c>
      <c r="I33" s="14"/>
      <c r="J33" s="90"/>
      <c r="K33" s="90" t="str">
        <f t="shared" si="2"/>
        <v/>
      </c>
      <c r="L33" s="90"/>
      <c r="M33" s="90" t="str">
        <f t="shared" si="3"/>
        <v/>
      </c>
      <c r="N33" s="14" t="str">
        <f t="shared" si="4"/>
        <v/>
      </c>
      <c r="O33" s="42" t="str">
        <f t="shared" si="5"/>
        <v/>
      </c>
      <c r="P33" s="42" t="str">
        <f t="shared" si="6"/>
        <v/>
      </c>
      <c r="Q33" s="42" t="str">
        <f t="shared" si="7"/>
        <v/>
      </c>
      <c r="R33" s="90" t="str">
        <f>IF(SUM($P33)=0,"",INDEX(Cascade!$BG:$BG,MATCH($E33,Cascade!$E:$E,0)))</f>
        <v/>
      </c>
      <c r="S33" s="42" t="str">
        <f t="shared" si="8"/>
        <v/>
      </c>
      <c r="T33" s="42" t="str">
        <f t="shared" si="9"/>
        <v/>
      </c>
      <c r="U33" s="14" t="str">
        <f>IFERROR(1/(1/INDEX(Cascade!$BH:$BH,MATCH($E33,Cascade!$E:$E,0))),"")</f>
        <v/>
      </c>
      <c r="V33" s="14" t="str">
        <f t="shared" si="10"/>
        <v/>
      </c>
      <c r="W33" s="14" t="str">
        <f>IFERROR(1/(1/INDEX(PMTCT!$AC:$AC,MATCH($E33,PMTCT!$E:$E,0))),"")</f>
        <v/>
      </c>
      <c r="X33" s="14" t="str">
        <f>IFERROR(1/(1/INDEX(PMTCT!$AS:$AS,MATCH($E33,PMTCT!$E:$E,0))),"")</f>
        <v/>
      </c>
      <c r="Y33" s="14" t="str">
        <f>IFERROR(1/(1/INDEX(VMMC!$AA:$AA,MATCH($E33,VMMC!$E:$E,0))),"")</f>
        <v/>
      </c>
      <c r="Z33" s="14" t="str">
        <f t="shared" si="11"/>
        <v/>
      </c>
    </row>
    <row r="34" spans="1:26" x14ac:dyDescent="0.2">
      <c r="A34" t="str">
        <f>INDEX(Prioritization!$D:$D,MATCH($B34,Prioritization!$A:$A,0))</f>
        <v>1 - Scale-up: Saturation</v>
      </c>
      <c r="B34" t="s">
        <v>194</v>
      </c>
      <c r="C34" t="s">
        <v>365</v>
      </c>
      <c r="D34" t="s">
        <v>47</v>
      </c>
      <c r="E34" t="str">
        <f t="shared" si="0"/>
        <v>Dedza District [PekKUkKHAzY]|25-34|Male</v>
      </c>
      <c r="F34" s="14"/>
      <c r="G34" s="90">
        <f>0</f>
        <v>0</v>
      </c>
      <c r="H34" s="42" t="str">
        <f t="shared" si="1"/>
        <v/>
      </c>
      <c r="I34" s="14"/>
      <c r="J34" s="90"/>
      <c r="K34" s="90" t="str">
        <f t="shared" si="2"/>
        <v/>
      </c>
      <c r="L34" s="90"/>
      <c r="M34" s="90" t="str">
        <f t="shared" si="3"/>
        <v/>
      </c>
      <c r="N34" s="14" t="str">
        <f t="shared" si="4"/>
        <v/>
      </c>
      <c r="O34" s="42" t="str">
        <f t="shared" si="5"/>
        <v/>
      </c>
      <c r="P34" s="42" t="str">
        <f t="shared" si="6"/>
        <v/>
      </c>
      <c r="Q34" s="42" t="str">
        <f t="shared" si="7"/>
        <v/>
      </c>
      <c r="R34" s="90" t="str">
        <f>IF(SUM($P34)=0,"",INDEX(Cascade!$BG:$BG,MATCH($E34,Cascade!$E:$E,0)))</f>
        <v/>
      </c>
      <c r="S34" s="42" t="str">
        <f t="shared" si="8"/>
        <v/>
      </c>
      <c r="T34" s="42" t="str">
        <f t="shared" si="9"/>
        <v/>
      </c>
      <c r="U34" s="14" t="str">
        <f>IFERROR(1/(1/INDEX(Cascade!$BH:$BH,MATCH($E34,Cascade!$E:$E,0))),"")</f>
        <v/>
      </c>
      <c r="V34" s="14" t="str">
        <f t="shared" si="10"/>
        <v/>
      </c>
      <c r="W34" s="14" t="str">
        <f>IFERROR(1/(1/INDEX(PMTCT!$AC:$AC,MATCH($E34,PMTCT!$E:$E,0))),"")</f>
        <v/>
      </c>
      <c r="X34" s="14" t="str">
        <f>IFERROR(1/(1/INDEX(PMTCT!$AS:$AS,MATCH($E34,PMTCT!$E:$E,0))),"")</f>
        <v/>
      </c>
      <c r="Y34" s="14" t="str">
        <f>IFERROR(1/(1/INDEX(VMMC!$AA:$AA,MATCH($E34,VMMC!$E:$E,0))),"")</f>
        <v/>
      </c>
      <c r="Z34" s="14" t="str">
        <f t="shared" si="11"/>
        <v/>
      </c>
    </row>
    <row r="35" spans="1:26" x14ac:dyDescent="0.2">
      <c r="A35" t="str">
        <f>INDEX(Prioritization!$D:$D,MATCH($B35,Prioritization!$A:$A,0))</f>
        <v>1 - Scale-up: Saturation</v>
      </c>
      <c r="B35" t="s">
        <v>194</v>
      </c>
      <c r="C35" t="s">
        <v>366</v>
      </c>
      <c r="D35" t="s">
        <v>29</v>
      </c>
      <c r="E35" t="str">
        <f t="shared" si="0"/>
        <v>Dedza District [PekKUkKHAzY]|35-49|Female</v>
      </c>
      <c r="F35" s="14"/>
      <c r="G35" s="90">
        <f>0</f>
        <v>0</v>
      </c>
      <c r="H35" s="42" t="str">
        <f t="shared" si="1"/>
        <v/>
      </c>
      <c r="I35" s="14"/>
      <c r="J35" s="90"/>
      <c r="K35" s="90" t="str">
        <f t="shared" si="2"/>
        <v/>
      </c>
      <c r="L35" s="90"/>
      <c r="M35" s="90" t="str">
        <f t="shared" si="3"/>
        <v/>
      </c>
      <c r="N35" s="14" t="str">
        <f t="shared" si="4"/>
        <v/>
      </c>
      <c r="O35" s="42" t="str">
        <f t="shared" si="5"/>
        <v/>
      </c>
      <c r="P35" s="42" t="str">
        <f t="shared" si="6"/>
        <v/>
      </c>
      <c r="Q35" s="42" t="str">
        <f t="shared" si="7"/>
        <v/>
      </c>
      <c r="R35" s="90" t="str">
        <f>IF(SUM($P35)=0,"",INDEX(Cascade!$BG:$BG,MATCH($E35,Cascade!$E:$E,0)))</f>
        <v/>
      </c>
      <c r="S35" s="42" t="str">
        <f t="shared" si="8"/>
        <v/>
      </c>
      <c r="T35" s="42" t="str">
        <f t="shared" si="9"/>
        <v/>
      </c>
      <c r="U35" s="14" t="str">
        <f>IFERROR(1/(1/INDEX(Cascade!$BH:$BH,MATCH($E35,Cascade!$E:$E,0))),"")</f>
        <v/>
      </c>
      <c r="V35" s="14" t="str">
        <f t="shared" si="10"/>
        <v/>
      </c>
      <c r="W35" s="14" t="str">
        <f>IFERROR(1/(1/INDEX(PMTCT!$AC:$AC,MATCH($E35,PMTCT!$E:$E,0))),"")</f>
        <v/>
      </c>
      <c r="X35" s="14" t="str">
        <f>IFERROR(1/(1/INDEX(PMTCT!$AS:$AS,MATCH($E35,PMTCT!$E:$E,0))),"")</f>
        <v/>
      </c>
      <c r="Y35" s="14" t="str">
        <f>IFERROR(1/(1/INDEX(VMMC!$AA:$AA,MATCH($E35,VMMC!$E:$E,0))),"")</f>
        <v/>
      </c>
      <c r="Z35" s="14" t="str">
        <f t="shared" si="11"/>
        <v/>
      </c>
    </row>
    <row r="36" spans="1:26" x14ac:dyDescent="0.2">
      <c r="A36" t="str">
        <f>INDEX(Prioritization!$D:$D,MATCH($B36,Prioritization!$A:$A,0))</f>
        <v>1 - Scale-up: Saturation</v>
      </c>
      <c r="B36" t="s">
        <v>194</v>
      </c>
      <c r="C36" t="s">
        <v>366</v>
      </c>
      <c r="D36" t="s">
        <v>47</v>
      </c>
      <c r="E36" t="str">
        <f t="shared" si="0"/>
        <v>Dedza District [PekKUkKHAzY]|35-49|Male</v>
      </c>
      <c r="F36" s="14"/>
      <c r="G36" s="90">
        <f>0</f>
        <v>0</v>
      </c>
      <c r="H36" s="42" t="str">
        <f t="shared" si="1"/>
        <v/>
      </c>
      <c r="I36" s="14"/>
      <c r="J36" s="90"/>
      <c r="K36" s="90" t="str">
        <f t="shared" si="2"/>
        <v/>
      </c>
      <c r="L36" s="90"/>
      <c r="M36" s="90" t="str">
        <f t="shared" si="3"/>
        <v/>
      </c>
      <c r="N36" s="14" t="str">
        <f t="shared" si="4"/>
        <v/>
      </c>
      <c r="O36" s="42" t="str">
        <f t="shared" si="5"/>
        <v/>
      </c>
      <c r="P36" s="42" t="str">
        <f t="shared" si="6"/>
        <v/>
      </c>
      <c r="Q36" s="42" t="str">
        <f t="shared" si="7"/>
        <v/>
      </c>
      <c r="R36" s="90" t="str">
        <f>IF(SUM($P36)=0,"",INDEX(Cascade!$BG:$BG,MATCH($E36,Cascade!$E:$E,0)))</f>
        <v/>
      </c>
      <c r="S36" s="42" t="str">
        <f t="shared" si="8"/>
        <v/>
      </c>
      <c r="T36" s="42" t="str">
        <f t="shared" si="9"/>
        <v/>
      </c>
      <c r="U36" s="14" t="str">
        <f>IFERROR(1/(1/INDEX(Cascade!$BH:$BH,MATCH($E36,Cascade!$E:$E,0))),"")</f>
        <v/>
      </c>
      <c r="V36" s="14" t="str">
        <f t="shared" si="10"/>
        <v/>
      </c>
      <c r="W36" s="14" t="str">
        <f>IFERROR(1/(1/INDEX(PMTCT!$AC:$AC,MATCH($E36,PMTCT!$E:$E,0))),"")</f>
        <v/>
      </c>
      <c r="X36" s="14" t="str">
        <f>IFERROR(1/(1/INDEX(PMTCT!$AS:$AS,MATCH($E36,PMTCT!$E:$E,0))),"")</f>
        <v/>
      </c>
      <c r="Y36" s="14" t="str">
        <f>IFERROR(1/(1/INDEX(VMMC!$AA:$AA,MATCH($E36,VMMC!$E:$E,0))),"")</f>
        <v/>
      </c>
      <c r="Z36" s="14" t="str">
        <f t="shared" si="11"/>
        <v/>
      </c>
    </row>
    <row r="37" spans="1:26" x14ac:dyDescent="0.2">
      <c r="A37" t="str">
        <f>INDEX(Prioritization!$D:$D,MATCH($B37,Prioritization!$A:$A,0))</f>
        <v>1 - Scale-up: Saturation</v>
      </c>
      <c r="B37" t="s">
        <v>194</v>
      </c>
      <c r="C37" t="s">
        <v>367</v>
      </c>
      <c r="D37" t="s">
        <v>29</v>
      </c>
      <c r="E37" t="str">
        <f t="shared" si="0"/>
        <v>Dedza District [PekKUkKHAzY]|50+|Female</v>
      </c>
      <c r="F37" s="14"/>
      <c r="G37" s="90">
        <f>0</f>
        <v>0</v>
      </c>
      <c r="H37" s="42" t="str">
        <f t="shared" si="1"/>
        <v/>
      </c>
      <c r="I37" s="14"/>
      <c r="J37" s="90"/>
      <c r="K37" s="90" t="str">
        <f t="shared" si="2"/>
        <v/>
      </c>
      <c r="L37" s="90"/>
      <c r="M37" s="90" t="str">
        <f t="shared" si="3"/>
        <v/>
      </c>
      <c r="N37" s="14" t="str">
        <f t="shared" si="4"/>
        <v/>
      </c>
      <c r="O37" s="42" t="str">
        <f t="shared" si="5"/>
        <v/>
      </c>
      <c r="P37" s="42" t="str">
        <f t="shared" si="6"/>
        <v/>
      </c>
      <c r="Q37" s="42" t="str">
        <f t="shared" si="7"/>
        <v/>
      </c>
      <c r="R37" s="90" t="str">
        <f>IF(SUM($P37)=0,"",INDEX(Cascade!$BG:$BG,MATCH($E37,Cascade!$E:$E,0)))</f>
        <v/>
      </c>
      <c r="S37" s="42" t="str">
        <f t="shared" si="8"/>
        <v/>
      </c>
      <c r="T37" s="42" t="str">
        <f t="shared" si="9"/>
        <v/>
      </c>
      <c r="U37" s="14" t="str">
        <f>IFERROR(1/(1/INDEX(Cascade!$BH:$BH,MATCH($E37,Cascade!$E:$E,0))),"")</f>
        <v/>
      </c>
      <c r="V37" s="14" t="str">
        <f t="shared" si="10"/>
        <v/>
      </c>
      <c r="W37" s="14" t="str">
        <f>IFERROR(1/(1/INDEX(PMTCT!$AC:$AC,MATCH($E37,PMTCT!$E:$E,0))),"")</f>
        <v/>
      </c>
      <c r="X37" s="14" t="str">
        <f>IFERROR(1/(1/INDEX(PMTCT!$AS:$AS,MATCH($E37,PMTCT!$E:$E,0))),"")</f>
        <v/>
      </c>
      <c r="Y37" s="14" t="str">
        <f>IFERROR(1/(1/INDEX(VMMC!$AA:$AA,MATCH($E37,VMMC!$E:$E,0))),"")</f>
        <v/>
      </c>
      <c r="Z37" s="14" t="str">
        <f t="shared" si="11"/>
        <v/>
      </c>
    </row>
    <row r="38" spans="1:26" x14ac:dyDescent="0.2">
      <c r="A38" t="str">
        <f>INDEX(Prioritization!$D:$D,MATCH($B38,Prioritization!$A:$A,0))</f>
        <v>1 - Scale-up: Saturation</v>
      </c>
      <c r="B38" t="s">
        <v>194</v>
      </c>
      <c r="C38" t="s">
        <v>367</v>
      </c>
      <c r="D38" t="s">
        <v>47</v>
      </c>
      <c r="E38" t="str">
        <f t="shared" si="0"/>
        <v>Dedza District [PekKUkKHAzY]|50+|Male</v>
      </c>
      <c r="F38" s="14"/>
      <c r="G38" s="90">
        <f>0</f>
        <v>0</v>
      </c>
      <c r="H38" s="42" t="str">
        <f t="shared" si="1"/>
        <v/>
      </c>
      <c r="I38" s="14"/>
      <c r="J38" s="90"/>
      <c r="K38" s="90" t="str">
        <f t="shared" si="2"/>
        <v/>
      </c>
      <c r="L38" s="90"/>
      <c r="M38" s="90" t="str">
        <f t="shared" si="3"/>
        <v/>
      </c>
      <c r="N38" s="14" t="str">
        <f t="shared" si="4"/>
        <v/>
      </c>
      <c r="O38" s="42" t="str">
        <f t="shared" si="5"/>
        <v/>
      </c>
      <c r="P38" s="42" t="str">
        <f t="shared" si="6"/>
        <v/>
      </c>
      <c r="Q38" s="42" t="str">
        <f t="shared" si="7"/>
        <v/>
      </c>
      <c r="R38" s="90" t="str">
        <f>IF(SUM($P38)=0,"",INDEX(Cascade!$BG:$BG,MATCH($E38,Cascade!$E:$E,0)))</f>
        <v/>
      </c>
      <c r="S38" s="42" t="str">
        <f t="shared" si="8"/>
        <v/>
      </c>
      <c r="T38" s="42" t="str">
        <f t="shared" si="9"/>
        <v/>
      </c>
      <c r="U38" s="14" t="str">
        <f>IFERROR(1/(1/INDEX(Cascade!$BH:$BH,MATCH($E38,Cascade!$E:$E,0))),"")</f>
        <v/>
      </c>
      <c r="V38" s="14" t="str">
        <f t="shared" si="10"/>
        <v/>
      </c>
      <c r="W38" s="14" t="str">
        <f>IFERROR(1/(1/INDEX(PMTCT!$AC:$AC,MATCH($E38,PMTCT!$E:$E,0))),"")</f>
        <v/>
      </c>
      <c r="X38" s="14" t="str">
        <f>IFERROR(1/(1/INDEX(PMTCT!$AS:$AS,MATCH($E38,PMTCT!$E:$E,0))),"")</f>
        <v/>
      </c>
      <c r="Y38" s="14" t="str">
        <f>IFERROR(1/(1/INDEX(VMMC!$AA:$AA,MATCH($E38,VMMC!$E:$E,0))),"")</f>
        <v/>
      </c>
      <c r="Z38" s="14" t="str">
        <f t="shared" si="11"/>
        <v/>
      </c>
    </row>
    <row r="39" spans="1:26" x14ac:dyDescent="0.2">
      <c r="A39" t="str">
        <f>INDEX(Prioritization!$D:$D,MATCH($B39,Prioritization!$A:$A,0))</f>
        <v>1 - Scale-up: Saturation</v>
      </c>
      <c r="B39" t="s">
        <v>195</v>
      </c>
      <c r="C39" t="s">
        <v>362</v>
      </c>
      <c r="D39" t="s">
        <v>29</v>
      </c>
      <c r="E39" t="str">
        <f t="shared" si="0"/>
        <v>Dowa District [zphK9WV8JB4]|01-09|Female</v>
      </c>
      <c r="F39" s="14"/>
      <c r="G39" s="90">
        <f>0</f>
        <v>0</v>
      </c>
      <c r="H39" s="42" t="str">
        <f t="shared" si="1"/>
        <v/>
      </c>
      <c r="I39" s="14"/>
      <c r="J39" s="90"/>
      <c r="K39" s="90" t="str">
        <f t="shared" si="2"/>
        <v/>
      </c>
      <c r="L39" s="90"/>
      <c r="M39" s="90" t="str">
        <f t="shared" si="3"/>
        <v/>
      </c>
      <c r="N39" s="14" t="str">
        <f t="shared" si="4"/>
        <v/>
      </c>
      <c r="O39" s="42" t="str">
        <f t="shared" si="5"/>
        <v/>
      </c>
      <c r="P39" s="42" t="str">
        <f t="shared" si="6"/>
        <v/>
      </c>
      <c r="Q39" s="42" t="str">
        <f t="shared" si="7"/>
        <v/>
      </c>
      <c r="R39" s="90" t="str">
        <f>IF(SUM($P39)=0,"",INDEX(Cascade!$BG:$BG,MATCH($E39,Cascade!$E:$E,0)))</f>
        <v/>
      </c>
      <c r="S39" s="42" t="str">
        <f t="shared" si="8"/>
        <v/>
      </c>
      <c r="T39" s="42" t="str">
        <f t="shared" si="9"/>
        <v/>
      </c>
      <c r="U39" s="14" t="str">
        <f>IFERROR(1/(1/INDEX(Cascade!$BH:$BH,MATCH($E39,Cascade!$E:$E,0))),"")</f>
        <v/>
      </c>
      <c r="V39" s="14" t="str">
        <f t="shared" si="10"/>
        <v/>
      </c>
      <c r="W39" s="14" t="str">
        <f>IFERROR(1/(1/INDEX(PMTCT!$AC:$AC,MATCH($E39,PMTCT!$E:$E,0))),"")</f>
        <v/>
      </c>
      <c r="X39" s="14" t="str">
        <f>IFERROR(1/(1/INDEX(PMTCT!$AS:$AS,MATCH($E39,PMTCT!$E:$E,0))),"")</f>
        <v/>
      </c>
      <c r="Y39" s="14" t="str">
        <f>IFERROR(1/(1/INDEX(VMMC!$AA:$AA,MATCH($E39,VMMC!$E:$E,0))),"")</f>
        <v/>
      </c>
      <c r="Z39" s="14" t="str">
        <f t="shared" si="11"/>
        <v/>
      </c>
    </row>
    <row r="40" spans="1:26" x14ac:dyDescent="0.2">
      <c r="A40" t="str">
        <f>INDEX(Prioritization!$D:$D,MATCH($B40,Prioritization!$A:$A,0))</f>
        <v>1 - Scale-up: Saturation</v>
      </c>
      <c r="B40" t="s">
        <v>195</v>
      </c>
      <c r="C40" t="s">
        <v>362</v>
      </c>
      <c r="D40" t="s">
        <v>47</v>
      </c>
      <c r="E40" t="str">
        <f t="shared" si="0"/>
        <v>Dowa District [zphK9WV8JB4]|01-09|Male</v>
      </c>
      <c r="F40" s="14"/>
      <c r="G40" s="90">
        <f>0</f>
        <v>0</v>
      </c>
      <c r="H40" s="42" t="str">
        <f t="shared" si="1"/>
        <v/>
      </c>
      <c r="I40" s="14"/>
      <c r="J40" s="90"/>
      <c r="K40" s="90" t="str">
        <f t="shared" si="2"/>
        <v/>
      </c>
      <c r="L40" s="90"/>
      <c r="M40" s="90" t="str">
        <f t="shared" si="3"/>
        <v/>
      </c>
      <c r="N40" s="14" t="str">
        <f t="shared" si="4"/>
        <v/>
      </c>
      <c r="O40" s="42" t="str">
        <f t="shared" si="5"/>
        <v/>
      </c>
      <c r="P40" s="42" t="str">
        <f t="shared" si="6"/>
        <v/>
      </c>
      <c r="Q40" s="42" t="str">
        <f t="shared" si="7"/>
        <v/>
      </c>
      <c r="R40" s="90" t="str">
        <f>IF(SUM($P40)=0,"",INDEX(Cascade!$BG:$BG,MATCH($E40,Cascade!$E:$E,0)))</f>
        <v/>
      </c>
      <c r="S40" s="42" t="str">
        <f t="shared" si="8"/>
        <v/>
      </c>
      <c r="T40" s="42" t="str">
        <f t="shared" si="9"/>
        <v/>
      </c>
      <c r="U40" s="14" t="str">
        <f>IFERROR(1/(1/INDEX(Cascade!$BH:$BH,MATCH($E40,Cascade!$E:$E,0))),"")</f>
        <v/>
      </c>
      <c r="V40" s="14" t="str">
        <f t="shared" si="10"/>
        <v/>
      </c>
      <c r="W40" s="14" t="str">
        <f>IFERROR(1/(1/INDEX(PMTCT!$AC:$AC,MATCH($E40,PMTCT!$E:$E,0))),"")</f>
        <v/>
      </c>
      <c r="X40" s="14" t="str">
        <f>IFERROR(1/(1/INDEX(PMTCT!$AS:$AS,MATCH($E40,PMTCT!$E:$E,0))),"")</f>
        <v/>
      </c>
      <c r="Y40" s="14" t="str">
        <f>IFERROR(1/(1/INDEX(VMMC!$AA:$AA,MATCH($E40,VMMC!$E:$E,0))),"")</f>
        <v/>
      </c>
      <c r="Z40" s="14" t="str">
        <f t="shared" si="11"/>
        <v/>
      </c>
    </row>
    <row r="41" spans="1:26" x14ac:dyDescent="0.2">
      <c r="A41" t="str">
        <f>INDEX(Prioritization!$D:$D,MATCH($B41,Prioritization!$A:$A,0))</f>
        <v>1 - Scale-up: Saturation</v>
      </c>
      <c r="B41" t="s">
        <v>195</v>
      </c>
      <c r="C41" t="s">
        <v>363</v>
      </c>
      <c r="D41" t="s">
        <v>29</v>
      </c>
      <c r="E41" t="str">
        <f t="shared" si="0"/>
        <v>Dowa District [zphK9WV8JB4]|10-14|Female</v>
      </c>
      <c r="F41" s="14">
        <v>1</v>
      </c>
      <c r="G41" s="90">
        <f>0</f>
        <v>0</v>
      </c>
      <c r="H41" s="42">
        <f t="shared" si="1"/>
        <v>1</v>
      </c>
      <c r="I41" s="14"/>
      <c r="J41" s="90"/>
      <c r="K41" s="90" t="str">
        <f t="shared" si="2"/>
        <v/>
      </c>
      <c r="L41" s="90"/>
      <c r="M41" s="90" t="str">
        <f t="shared" si="3"/>
        <v/>
      </c>
      <c r="N41" s="14">
        <f t="shared" si="4"/>
        <v>1</v>
      </c>
      <c r="O41" s="42" t="str">
        <f t="shared" si="5"/>
        <v>ENTER KNOWN POSITIVITY RATE</v>
      </c>
      <c r="P41" s="42" t="str">
        <f t="shared" si="6"/>
        <v>ENTER YIELD RATE</v>
      </c>
      <c r="Q41" s="42">
        <f t="shared" si="7"/>
        <v>1</v>
      </c>
      <c r="R41" s="90" t="str">
        <f>IF(SUM($P41)=0,"",INDEX(Cascade!$BG:$BG,MATCH($E41,Cascade!$E:$E,0)))</f>
        <v/>
      </c>
      <c r="S41" s="42" t="str">
        <f t="shared" si="8"/>
        <v>ENTER KNOWN POSITIVITY RATE</v>
      </c>
      <c r="T41" s="42" t="str">
        <f t="shared" si="9"/>
        <v/>
      </c>
      <c r="U41" s="14">
        <f>IFERROR(1/(1/INDEX(Cascade!$BH:$BH,MATCH($E41,Cascade!$E:$E,0))),"")</f>
        <v>-85</v>
      </c>
      <c r="V41" s="14" t="str">
        <f t="shared" si="10"/>
        <v/>
      </c>
      <c r="W41" s="14" t="str">
        <f>IFERROR(1/(1/INDEX(PMTCT!$AC:$AC,MATCH($E41,PMTCT!$E:$E,0))),"")</f>
        <v/>
      </c>
      <c r="X41" s="14" t="str">
        <f>IFERROR(1/(1/INDEX(PMTCT!$AS:$AS,MATCH($E41,PMTCT!$E:$E,0))),"")</f>
        <v/>
      </c>
      <c r="Y41" s="14" t="str">
        <f>IFERROR(1/(1/INDEX(VMMC!$AA:$AA,MATCH($E41,VMMC!$E:$E,0))),"")</f>
        <v/>
      </c>
      <c r="Z41" s="14">
        <f t="shared" si="11"/>
        <v>-85</v>
      </c>
    </row>
    <row r="42" spans="1:26" x14ac:dyDescent="0.2">
      <c r="A42" t="str">
        <f>INDEX(Prioritization!$D:$D,MATCH($B42,Prioritization!$A:$A,0))</f>
        <v>1 - Scale-up: Saturation</v>
      </c>
      <c r="B42" t="s">
        <v>195</v>
      </c>
      <c r="C42" t="s">
        <v>363</v>
      </c>
      <c r="D42" t="s">
        <v>47</v>
      </c>
      <c r="E42" t="str">
        <f t="shared" si="0"/>
        <v>Dowa District [zphK9WV8JB4]|10-14|Male</v>
      </c>
      <c r="F42" s="14">
        <v>0</v>
      </c>
      <c r="G42" s="90">
        <f>0</f>
        <v>0</v>
      </c>
      <c r="H42" s="42" t="str">
        <f t="shared" si="1"/>
        <v/>
      </c>
      <c r="I42" s="14"/>
      <c r="J42" s="90"/>
      <c r="K42" s="90" t="str">
        <f t="shared" si="2"/>
        <v/>
      </c>
      <c r="L42" s="90"/>
      <c r="M42" s="90" t="str">
        <f t="shared" si="3"/>
        <v/>
      </c>
      <c r="N42" s="14" t="str">
        <f t="shared" si="4"/>
        <v/>
      </c>
      <c r="O42" s="42" t="str">
        <f t="shared" si="5"/>
        <v/>
      </c>
      <c r="P42" s="42" t="str">
        <f t="shared" si="6"/>
        <v/>
      </c>
      <c r="Q42" s="42" t="str">
        <f t="shared" si="7"/>
        <v/>
      </c>
      <c r="R42" s="90" t="str">
        <f>IF(SUM($P42)=0,"",INDEX(Cascade!$BG:$BG,MATCH($E42,Cascade!$E:$E,0)))</f>
        <v/>
      </c>
      <c r="S42" s="42" t="str">
        <f t="shared" si="8"/>
        <v/>
      </c>
      <c r="T42" s="42" t="str">
        <f t="shared" si="9"/>
        <v/>
      </c>
      <c r="U42" s="14">
        <f>IFERROR(1/(1/INDEX(Cascade!$BH:$BH,MATCH($E42,Cascade!$E:$E,0))),"")</f>
        <v>-74</v>
      </c>
      <c r="V42" s="14" t="str">
        <f t="shared" si="10"/>
        <v/>
      </c>
      <c r="W42" s="14" t="str">
        <f>IFERROR(1/(1/INDEX(PMTCT!$AC:$AC,MATCH($E42,PMTCT!$E:$E,0))),"")</f>
        <v/>
      </c>
      <c r="X42" s="14" t="str">
        <f>IFERROR(1/(1/INDEX(PMTCT!$AS:$AS,MATCH($E42,PMTCT!$E:$E,0))),"")</f>
        <v/>
      </c>
      <c r="Y42" s="14" t="str">
        <f>IFERROR(1/(1/INDEX(VMMC!$AA:$AA,MATCH($E42,VMMC!$E:$E,0))),"")</f>
        <v/>
      </c>
      <c r="Z42" s="14">
        <f t="shared" si="11"/>
        <v>-74</v>
      </c>
    </row>
    <row r="43" spans="1:26" x14ac:dyDescent="0.2">
      <c r="A43" t="str">
        <f>INDEX(Prioritization!$D:$D,MATCH($B43,Prioritization!$A:$A,0))</f>
        <v>1 - Scale-up: Saturation</v>
      </c>
      <c r="B43" t="s">
        <v>195</v>
      </c>
      <c r="C43" t="s">
        <v>364</v>
      </c>
      <c r="D43" t="s">
        <v>29</v>
      </c>
      <c r="E43" t="str">
        <f t="shared" si="0"/>
        <v>Dowa District [zphK9WV8JB4]|15-24|Female</v>
      </c>
      <c r="F43" s="14"/>
      <c r="G43" s="90">
        <f>0</f>
        <v>0</v>
      </c>
      <c r="H43" s="42" t="str">
        <f t="shared" si="1"/>
        <v/>
      </c>
      <c r="I43" s="14"/>
      <c r="J43" s="90"/>
      <c r="K43" s="90" t="str">
        <f t="shared" si="2"/>
        <v/>
      </c>
      <c r="L43" s="90"/>
      <c r="M43" s="90" t="str">
        <f t="shared" si="3"/>
        <v/>
      </c>
      <c r="N43" s="14" t="str">
        <f t="shared" si="4"/>
        <v/>
      </c>
      <c r="O43" s="42" t="str">
        <f t="shared" si="5"/>
        <v/>
      </c>
      <c r="P43" s="42" t="str">
        <f t="shared" si="6"/>
        <v/>
      </c>
      <c r="Q43" s="42" t="str">
        <f t="shared" si="7"/>
        <v/>
      </c>
      <c r="R43" s="90" t="str">
        <f>IF(SUM($P43)=0,"",INDEX(Cascade!$BG:$BG,MATCH($E43,Cascade!$E:$E,0)))</f>
        <v/>
      </c>
      <c r="S43" s="42" t="str">
        <f t="shared" si="8"/>
        <v/>
      </c>
      <c r="T43" s="42" t="str">
        <f t="shared" si="9"/>
        <v/>
      </c>
      <c r="U43" s="14" t="str">
        <f>IFERROR(1/(1/INDEX(Cascade!$BH:$BH,MATCH($E43,Cascade!$E:$E,0))),"")</f>
        <v/>
      </c>
      <c r="V43" s="14" t="str">
        <f t="shared" si="10"/>
        <v/>
      </c>
      <c r="W43" s="14" t="str">
        <f>IFERROR(1/(1/INDEX(PMTCT!$AC:$AC,MATCH($E43,PMTCT!$E:$E,0))),"")</f>
        <v/>
      </c>
      <c r="X43" s="14" t="str">
        <f>IFERROR(1/(1/INDEX(PMTCT!$AS:$AS,MATCH($E43,PMTCT!$E:$E,0))),"")</f>
        <v/>
      </c>
      <c r="Y43" s="14" t="str">
        <f>IFERROR(1/(1/INDEX(VMMC!$AA:$AA,MATCH($E43,VMMC!$E:$E,0))),"")</f>
        <v/>
      </c>
      <c r="Z43" s="14" t="str">
        <f t="shared" si="11"/>
        <v/>
      </c>
    </row>
    <row r="44" spans="1:26" x14ac:dyDescent="0.2">
      <c r="A44" t="str">
        <f>INDEX(Prioritization!$D:$D,MATCH($B44,Prioritization!$A:$A,0))</f>
        <v>1 - Scale-up: Saturation</v>
      </c>
      <c r="B44" t="s">
        <v>195</v>
      </c>
      <c r="C44" t="s">
        <v>364</v>
      </c>
      <c r="D44" t="s">
        <v>47</v>
      </c>
      <c r="E44" t="str">
        <f t="shared" si="0"/>
        <v>Dowa District [zphK9WV8JB4]|15-24|Male</v>
      </c>
      <c r="F44" s="14"/>
      <c r="G44" s="90">
        <f>0</f>
        <v>0</v>
      </c>
      <c r="H44" s="42" t="str">
        <f t="shared" si="1"/>
        <v/>
      </c>
      <c r="I44" s="14"/>
      <c r="J44" s="90"/>
      <c r="K44" s="90" t="str">
        <f t="shared" si="2"/>
        <v/>
      </c>
      <c r="L44" s="90"/>
      <c r="M44" s="90" t="str">
        <f t="shared" si="3"/>
        <v/>
      </c>
      <c r="N44" s="14" t="str">
        <f t="shared" si="4"/>
        <v/>
      </c>
      <c r="O44" s="42" t="str">
        <f t="shared" si="5"/>
        <v/>
      </c>
      <c r="P44" s="42" t="str">
        <f t="shared" si="6"/>
        <v/>
      </c>
      <c r="Q44" s="42" t="str">
        <f t="shared" si="7"/>
        <v/>
      </c>
      <c r="R44" s="90" t="str">
        <f>IF(SUM($P44)=0,"",INDEX(Cascade!$BG:$BG,MATCH($E44,Cascade!$E:$E,0)))</f>
        <v/>
      </c>
      <c r="S44" s="42" t="str">
        <f t="shared" si="8"/>
        <v/>
      </c>
      <c r="T44" s="42" t="str">
        <f t="shared" si="9"/>
        <v/>
      </c>
      <c r="U44" s="14" t="str">
        <f>IFERROR(1/(1/INDEX(Cascade!$BH:$BH,MATCH($E44,Cascade!$E:$E,0))),"")</f>
        <v/>
      </c>
      <c r="V44" s="14" t="str">
        <f t="shared" si="10"/>
        <v/>
      </c>
      <c r="W44" s="14" t="str">
        <f>IFERROR(1/(1/INDEX(PMTCT!$AC:$AC,MATCH($E44,PMTCT!$E:$E,0))),"")</f>
        <v/>
      </c>
      <c r="X44" s="14" t="str">
        <f>IFERROR(1/(1/INDEX(PMTCT!$AS:$AS,MATCH($E44,PMTCT!$E:$E,0))),"")</f>
        <v/>
      </c>
      <c r="Y44" s="14" t="str">
        <f>IFERROR(1/(1/INDEX(VMMC!$AA:$AA,MATCH($E44,VMMC!$E:$E,0))),"")</f>
        <v/>
      </c>
      <c r="Z44" s="14" t="str">
        <f t="shared" si="11"/>
        <v/>
      </c>
    </row>
    <row r="45" spans="1:26" x14ac:dyDescent="0.2">
      <c r="A45" t="str">
        <f>INDEX(Prioritization!$D:$D,MATCH($B45,Prioritization!$A:$A,0))</f>
        <v>1 - Scale-up: Saturation</v>
      </c>
      <c r="B45" t="s">
        <v>195</v>
      </c>
      <c r="C45" t="s">
        <v>365</v>
      </c>
      <c r="D45" t="s">
        <v>29</v>
      </c>
      <c r="E45" t="str">
        <f t="shared" si="0"/>
        <v>Dowa District [zphK9WV8JB4]|25-34|Female</v>
      </c>
      <c r="F45" s="14"/>
      <c r="G45" s="90">
        <f>0</f>
        <v>0</v>
      </c>
      <c r="H45" s="42" t="str">
        <f t="shared" si="1"/>
        <v/>
      </c>
      <c r="I45" s="14"/>
      <c r="J45" s="90"/>
      <c r="K45" s="90" t="str">
        <f t="shared" si="2"/>
        <v/>
      </c>
      <c r="L45" s="90"/>
      <c r="M45" s="90" t="str">
        <f t="shared" si="3"/>
        <v/>
      </c>
      <c r="N45" s="14" t="str">
        <f t="shared" si="4"/>
        <v/>
      </c>
      <c r="O45" s="42" t="str">
        <f t="shared" si="5"/>
        <v/>
      </c>
      <c r="P45" s="42" t="str">
        <f t="shared" si="6"/>
        <v/>
      </c>
      <c r="Q45" s="42" t="str">
        <f t="shared" si="7"/>
        <v/>
      </c>
      <c r="R45" s="90" t="str">
        <f>IF(SUM($P45)=0,"",INDEX(Cascade!$BG:$BG,MATCH($E45,Cascade!$E:$E,0)))</f>
        <v/>
      </c>
      <c r="S45" s="42" t="str">
        <f t="shared" si="8"/>
        <v/>
      </c>
      <c r="T45" s="42" t="str">
        <f t="shared" si="9"/>
        <v/>
      </c>
      <c r="U45" s="14" t="str">
        <f>IFERROR(1/(1/INDEX(Cascade!$BH:$BH,MATCH($E45,Cascade!$E:$E,0))),"")</f>
        <v/>
      </c>
      <c r="V45" s="14" t="str">
        <f t="shared" si="10"/>
        <v/>
      </c>
      <c r="W45" s="14" t="str">
        <f>IFERROR(1/(1/INDEX(PMTCT!$AC:$AC,MATCH($E45,PMTCT!$E:$E,0))),"")</f>
        <v/>
      </c>
      <c r="X45" s="14" t="str">
        <f>IFERROR(1/(1/INDEX(PMTCT!$AS:$AS,MATCH($E45,PMTCT!$E:$E,0))),"")</f>
        <v/>
      </c>
      <c r="Y45" s="14" t="str">
        <f>IFERROR(1/(1/INDEX(VMMC!$AA:$AA,MATCH($E45,VMMC!$E:$E,0))),"")</f>
        <v/>
      </c>
      <c r="Z45" s="14" t="str">
        <f t="shared" si="11"/>
        <v/>
      </c>
    </row>
    <row r="46" spans="1:26" x14ac:dyDescent="0.2">
      <c r="A46" t="str">
        <f>INDEX(Prioritization!$D:$D,MATCH($B46,Prioritization!$A:$A,0))</f>
        <v>1 - Scale-up: Saturation</v>
      </c>
      <c r="B46" t="s">
        <v>195</v>
      </c>
      <c r="C46" t="s">
        <v>365</v>
      </c>
      <c r="D46" t="s">
        <v>47</v>
      </c>
      <c r="E46" t="str">
        <f t="shared" si="0"/>
        <v>Dowa District [zphK9WV8JB4]|25-34|Male</v>
      </c>
      <c r="F46" s="14"/>
      <c r="G46" s="90">
        <f>0</f>
        <v>0</v>
      </c>
      <c r="H46" s="42" t="str">
        <f t="shared" si="1"/>
        <v/>
      </c>
      <c r="I46" s="14"/>
      <c r="J46" s="90"/>
      <c r="K46" s="90" t="str">
        <f t="shared" si="2"/>
        <v/>
      </c>
      <c r="L46" s="90"/>
      <c r="M46" s="90" t="str">
        <f t="shared" si="3"/>
        <v/>
      </c>
      <c r="N46" s="14" t="str">
        <f t="shared" si="4"/>
        <v/>
      </c>
      <c r="O46" s="42" t="str">
        <f t="shared" si="5"/>
        <v/>
      </c>
      <c r="P46" s="42" t="str">
        <f t="shared" si="6"/>
        <v/>
      </c>
      <c r="Q46" s="42" t="str">
        <f t="shared" si="7"/>
        <v/>
      </c>
      <c r="R46" s="90" t="str">
        <f>IF(SUM($P46)=0,"",INDEX(Cascade!$BG:$BG,MATCH($E46,Cascade!$E:$E,0)))</f>
        <v/>
      </c>
      <c r="S46" s="42" t="str">
        <f t="shared" si="8"/>
        <v/>
      </c>
      <c r="T46" s="42" t="str">
        <f t="shared" si="9"/>
        <v/>
      </c>
      <c r="U46" s="14" t="str">
        <f>IFERROR(1/(1/INDEX(Cascade!$BH:$BH,MATCH($E46,Cascade!$E:$E,0))),"")</f>
        <v/>
      </c>
      <c r="V46" s="14" t="str">
        <f t="shared" si="10"/>
        <v/>
      </c>
      <c r="W46" s="14" t="str">
        <f>IFERROR(1/(1/INDEX(PMTCT!$AC:$AC,MATCH($E46,PMTCT!$E:$E,0))),"")</f>
        <v/>
      </c>
      <c r="X46" s="14" t="str">
        <f>IFERROR(1/(1/INDEX(PMTCT!$AS:$AS,MATCH($E46,PMTCT!$E:$E,0))),"")</f>
        <v/>
      </c>
      <c r="Y46" s="14" t="str">
        <f>IFERROR(1/(1/INDEX(VMMC!$AA:$AA,MATCH($E46,VMMC!$E:$E,0))),"")</f>
        <v/>
      </c>
      <c r="Z46" s="14" t="str">
        <f t="shared" si="11"/>
        <v/>
      </c>
    </row>
    <row r="47" spans="1:26" x14ac:dyDescent="0.2">
      <c r="A47" t="str">
        <f>INDEX(Prioritization!$D:$D,MATCH($B47,Prioritization!$A:$A,0))</f>
        <v>1 - Scale-up: Saturation</v>
      </c>
      <c r="B47" t="s">
        <v>195</v>
      </c>
      <c r="C47" t="s">
        <v>366</v>
      </c>
      <c r="D47" t="s">
        <v>29</v>
      </c>
      <c r="E47" t="str">
        <f t="shared" si="0"/>
        <v>Dowa District [zphK9WV8JB4]|35-49|Female</v>
      </c>
      <c r="F47" s="14"/>
      <c r="G47" s="90">
        <f>0</f>
        <v>0</v>
      </c>
      <c r="H47" s="42" t="str">
        <f t="shared" si="1"/>
        <v/>
      </c>
      <c r="I47" s="14"/>
      <c r="J47" s="90"/>
      <c r="K47" s="90" t="str">
        <f t="shared" si="2"/>
        <v/>
      </c>
      <c r="L47" s="90"/>
      <c r="M47" s="90" t="str">
        <f t="shared" si="3"/>
        <v/>
      </c>
      <c r="N47" s="14" t="str">
        <f t="shared" si="4"/>
        <v/>
      </c>
      <c r="O47" s="42" t="str">
        <f t="shared" si="5"/>
        <v/>
      </c>
      <c r="P47" s="42" t="str">
        <f t="shared" si="6"/>
        <v/>
      </c>
      <c r="Q47" s="42" t="str">
        <f t="shared" si="7"/>
        <v/>
      </c>
      <c r="R47" s="90" t="str">
        <f>IF(SUM($P47)=0,"",INDEX(Cascade!$BG:$BG,MATCH($E47,Cascade!$E:$E,0)))</f>
        <v/>
      </c>
      <c r="S47" s="42" t="str">
        <f t="shared" si="8"/>
        <v/>
      </c>
      <c r="T47" s="42" t="str">
        <f t="shared" si="9"/>
        <v/>
      </c>
      <c r="U47" s="14" t="str">
        <f>IFERROR(1/(1/INDEX(Cascade!$BH:$BH,MATCH($E47,Cascade!$E:$E,0))),"")</f>
        <v/>
      </c>
      <c r="V47" s="14" t="str">
        <f t="shared" si="10"/>
        <v/>
      </c>
      <c r="W47" s="14" t="str">
        <f>IFERROR(1/(1/INDEX(PMTCT!$AC:$AC,MATCH($E47,PMTCT!$E:$E,0))),"")</f>
        <v/>
      </c>
      <c r="X47" s="14" t="str">
        <f>IFERROR(1/(1/INDEX(PMTCT!$AS:$AS,MATCH($E47,PMTCT!$E:$E,0))),"")</f>
        <v/>
      </c>
      <c r="Y47" s="14" t="str">
        <f>IFERROR(1/(1/INDEX(VMMC!$AA:$AA,MATCH($E47,VMMC!$E:$E,0))),"")</f>
        <v/>
      </c>
      <c r="Z47" s="14" t="str">
        <f t="shared" si="11"/>
        <v/>
      </c>
    </row>
    <row r="48" spans="1:26" x14ac:dyDescent="0.2">
      <c r="A48" t="str">
        <f>INDEX(Prioritization!$D:$D,MATCH($B48,Prioritization!$A:$A,0))</f>
        <v>1 - Scale-up: Saturation</v>
      </c>
      <c r="B48" t="s">
        <v>195</v>
      </c>
      <c r="C48" t="s">
        <v>366</v>
      </c>
      <c r="D48" t="s">
        <v>47</v>
      </c>
      <c r="E48" t="str">
        <f t="shared" si="0"/>
        <v>Dowa District [zphK9WV8JB4]|35-49|Male</v>
      </c>
      <c r="F48" s="14"/>
      <c r="G48" s="90">
        <f>0</f>
        <v>0</v>
      </c>
      <c r="H48" s="42" t="str">
        <f t="shared" si="1"/>
        <v/>
      </c>
      <c r="I48" s="14"/>
      <c r="J48" s="90"/>
      <c r="K48" s="90" t="str">
        <f t="shared" si="2"/>
        <v/>
      </c>
      <c r="L48" s="90"/>
      <c r="M48" s="90" t="str">
        <f t="shared" si="3"/>
        <v/>
      </c>
      <c r="N48" s="14" t="str">
        <f t="shared" si="4"/>
        <v/>
      </c>
      <c r="O48" s="42" t="str">
        <f t="shared" si="5"/>
        <v/>
      </c>
      <c r="P48" s="42" t="str">
        <f t="shared" si="6"/>
        <v/>
      </c>
      <c r="Q48" s="42" t="str">
        <f t="shared" si="7"/>
        <v/>
      </c>
      <c r="R48" s="90" t="str">
        <f>IF(SUM($P48)=0,"",INDEX(Cascade!$BG:$BG,MATCH($E48,Cascade!$E:$E,0)))</f>
        <v/>
      </c>
      <c r="S48" s="42" t="str">
        <f t="shared" si="8"/>
        <v/>
      </c>
      <c r="T48" s="42" t="str">
        <f t="shared" si="9"/>
        <v/>
      </c>
      <c r="U48" s="14" t="str">
        <f>IFERROR(1/(1/INDEX(Cascade!$BH:$BH,MATCH($E48,Cascade!$E:$E,0))),"")</f>
        <v/>
      </c>
      <c r="V48" s="14" t="str">
        <f t="shared" si="10"/>
        <v/>
      </c>
      <c r="W48" s="14" t="str">
        <f>IFERROR(1/(1/INDEX(PMTCT!$AC:$AC,MATCH($E48,PMTCT!$E:$E,0))),"")</f>
        <v/>
      </c>
      <c r="X48" s="14" t="str">
        <f>IFERROR(1/(1/INDEX(PMTCT!$AS:$AS,MATCH($E48,PMTCT!$E:$E,0))),"")</f>
        <v/>
      </c>
      <c r="Y48" s="14" t="str">
        <f>IFERROR(1/(1/INDEX(VMMC!$AA:$AA,MATCH($E48,VMMC!$E:$E,0))),"")</f>
        <v/>
      </c>
      <c r="Z48" s="14" t="str">
        <f t="shared" si="11"/>
        <v/>
      </c>
    </row>
    <row r="49" spans="1:26" x14ac:dyDescent="0.2">
      <c r="A49" t="str">
        <f>INDEX(Prioritization!$D:$D,MATCH($B49,Prioritization!$A:$A,0))</f>
        <v>1 - Scale-up: Saturation</v>
      </c>
      <c r="B49" t="s">
        <v>195</v>
      </c>
      <c r="C49" t="s">
        <v>367</v>
      </c>
      <c r="D49" t="s">
        <v>29</v>
      </c>
      <c r="E49" t="str">
        <f t="shared" si="0"/>
        <v>Dowa District [zphK9WV8JB4]|50+|Female</v>
      </c>
      <c r="F49" s="14"/>
      <c r="G49" s="90">
        <f>0</f>
        <v>0</v>
      </c>
      <c r="H49" s="42" t="str">
        <f t="shared" si="1"/>
        <v/>
      </c>
      <c r="I49" s="14"/>
      <c r="J49" s="90"/>
      <c r="K49" s="90" t="str">
        <f t="shared" si="2"/>
        <v/>
      </c>
      <c r="L49" s="90"/>
      <c r="M49" s="90" t="str">
        <f t="shared" si="3"/>
        <v/>
      </c>
      <c r="N49" s="14" t="str">
        <f t="shared" si="4"/>
        <v/>
      </c>
      <c r="O49" s="42" t="str">
        <f t="shared" si="5"/>
        <v/>
      </c>
      <c r="P49" s="42" t="str">
        <f t="shared" si="6"/>
        <v/>
      </c>
      <c r="Q49" s="42" t="str">
        <f t="shared" si="7"/>
        <v/>
      </c>
      <c r="R49" s="90" t="str">
        <f>IF(SUM($P49)=0,"",INDEX(Cascade!$BG:$BG,MATCH($E49,Cascade!$E:$E,0)))</f>
        <v/>
      </c>
      <c r="S49" s="42" t="str">
        <f t="shared" si="8"/>
        <v/>
      </c>
      <c r="T49" s="42" t="str">
        <f t="shared" si="9"/>
        <v/>
      </c>
      <c r="U49" s="14" t="str">
        <f>IFERROR(1/(1/INDEX(Cascade!$BH:$BH,MATCH($E49,Cascade!$E:$E,0))),"")</f>
        <v/>
      </c>
      <c r="V49" s="14" t="str">
        <f t="shared" si="10"/>
        <v/>
      </c>
      <c r="W49" s="14" t="str">
        <f>IFERROR(1/(1/INDEX(PMTCT!$AC:$AC,MATCH($E49,PMTCT!$E:$E,0))),"")</f>
        <v/>
      </c>
      <c r="X49" s="14" t="str">
        <f>IFERROR(1/(1/INDEX(PMTCT!$AS:$AS,MATCH($E49,PMTCT!$E:$E,0))),"")</f>
        <v/>
      </c>
      <c r="Y49" s="14" t="str">
        <f>IFERROR(1/(1/INDEX(VMMC!$AA:$AA,MATCH($E49,VMMC!$E:$E,0))),"")</f>
        <v/>
      </c>
      <c r="Z49" s="14" t="str">
        <f t="shared" si="11"/>
        <v/>
      </c>
    </row>
    <row r="50" spans="1:26" x14ac:dyDescent="0.2">
      <c r="A50" t="str">
        <f>INDEX(Prioritization!$D:$D,MATCH($B50,Prioritization!$A:$A,0))</f>
        <v>1 - Scale-up: Saturation</v>
      </c>
      <c r="B50" t="s">
        <v>195</v>
      </c>
      <c r="C50" t="s">
        <v>367</v>
      </c>
      <c r="D50" t="s">
        <v>47</v>
      </c>
      <c r="E50" t="str">
        <f t="shared" si="0"/>
        <v>Dowa District [zphK9WV8JB4]|50+|Male</v>
      </c>
      <c r="F50" s="14"/>
      <c r="G50" s="90">
        <f>0</f>
        <v>0</v>
      </c>
      <c r="H50" s="42" t="str">
        <f t="shared" si="1"/>
        <v/>
      </c>
      <c r="I50" s="14"/>
      <c r="J50" s="90"/>
      <c r="K50" s="90" t="str">
        <f t="shared" si="2"/>
        <v/>
      </c>
      <c r="L50" s="90"/>
      <c r="M50" s="90" t="str">
        <f t="shared" si="3"/>
        <v/>
      </c>
      <c r="N50" s="14" t="str">
        <f t="shared" si="4"/>
        <v/>
      </c>
      <c r="O50" s="42" t="str">
        <f t="shared" si="5"/>
        <v/>
      </c>
      <c r="P50" s="42" t="str">
        <f t="shared" si="6"/>
        <v/>
      </c>
      <c r="Q50" s="42" t="str">
        <f t="shared" si="7"/>
        <v/>
      </c>
      <c r="R50" s="90" t="str">
        <f>IF(SUM($P50)=0,"",INDEX(Cascade!$BG:$BG,MATCH($E50,Cascade!$E:$E,0)))</f>
        <v/>
      </c>
      <c r="S50" s="42" t="str">
        <f t="shared" si="8"/>
        <v/>
      </c>
      <c r="T50" s="42" t="str">
        <f t="shared" si="9"/>
        <v/>
      </c>
      <c r="U50" s="14" t="str">
        <f>IFERROR(1/(1/INDEX(Cascade!$BH:$BH,MATCH($E50,Cascade!$E:$E,0))),"")</f>
        <v/>
      </c>
      <c r="V50" s="14" t="str">
        <f t="shared" si="10"/>
        <v/>
      </c>
      <c r="W50" s="14" t="str">
        <f>IFERROR(1/(1/INDEX(PMTCT!$AC:$AC,MATCH($E50,PMTCT!$E:$E,0))),"")</f>
        <v/>
      </c>
      <c r="X50" s="14" t="str">
        <f>IFERROR(1/(1/INDEX(PMTCT!$AS:$AS,MATCH($E50,PMTCT!$E:$E,0))),"")</f>
        <v/>
      </c>
      <c r="Y50" s="14" t="str">
        <f>IFERROR(1/(1/INDEX(VMMC!$AA:$AA,MATCH($E50,VMMC!$E:$E,0))),"")</f>
        <v/>
      </c>
      <c r="Z50" s="14" t="str">
        <f t="shared" si="11"/>
        <v/>
      </c>
    </row>
    <row r="51" spans="1:26" x14ac:dyDescent="0.2">
      <c r="A51" t="str">
        <f>INDEX(Prioritization!$D:$D,MATCH($B51,Prioritization!$A:$A,0))</f>
        <v>INVALID</v>
      </c>
      <c r="B51" t="s">
        <v>196</v>
      </c>
      <c r="C51" t="s">
        <v>362</v>
      </c>
      <c r="D51" t="s">
        <v>29</v>
      </c>
      <c r="E51" t="str">
        <f t="shared" si="0"/>
        <v>Kasungu District [JQKLKuVuY61]|01-09|Female</v>
      </c>
      <c r="F51" s="14"/>
      <c r="G51" s="90">
        <f>0</f>
        <v>0</v>
      </c>
      <c r="H51" s="42" t="str">
        <f t="shared" si="1"/>
        <v/>
      </c>
      <c r="I51" s="14"/>
      <c r="J51" s="90"/>
      <c r="K51" s="90" t="str">
        <f t="shared" si="2"/>
        <v/>
      </c>
      <c r="L51" s="90"/>
      <c r="M51" s="90" t="str">
        <f t="shared" si="3"/>
        <v/>
      </c>
      <c r="N51" s="14" t="str">
        <f t="shared" si="4"/>
        <v/>
      </c>
      <c r="O51" s="42" t="str">
        <f t="shared" si="5"/>
        <v/>
      </c>
      <c r="P51" s="42" t="str">
        <f t="shared" si="6"/>
        <v/>
      </c>
      <c r="Q51" s="42" t="str">
        <f t="shared" si="7"/>
        <v/>
      </c>
      <c r="R51" s="90" t="str">
        <f>IF(SUM($P51)=0,"",INDEX(Cascade!$BG:$BG,MATCH($E51,Cascade!$E:$E,0)))</f>
        <v/>
      </c>
      <c r="S51" s="42" t="str">
        <f t="shared" si="8"/>
        <v/>
      </c>
      <c r="T51" s="42" t="str">
        <f t="shared" si="9"/>
        <v/>
      </c>
      <c r="U51" s="14" t="str">
        <f>IFERROR(1/(1/INDEX(Cascade!$BH:$BH,MATCH($E51,Cascade!$E:$E,0))),"")</f>
        <v/>
      </c>
      <c r="V51" s="14" t="str">
        <f t="shared" si="10"/>
        <v/>
      </c>
      <c r="W51" s="14" t="str">
        <f>IFERROR(1/(1/INDEX(PMTCT!$AC:$AC,MATCH($E51,PMTCT!$E:$E,0))),"")</f>
        <v/>
      </c>
      <c r="X51" s="14" t="str">
        <f>IFERROR(1/(1/INDEX(PMTCT!$AS:$AS,MATCH($E51,PMTCT!$E:$E,0))),"")</f>
        <v/>
      </c>
      <c r="Y51" s="14" t="str">
        <f>IFERROR(1/(1/INDEX(VMMC!$AA:$AA,MATCH($E51,VMMC!$E:$E,0))),"")</f>
        <v/>
      </c>
      <c r="Z51" s="14" t="str">
        <f t="shared" si="11"/>
        <v/>
      </c>
    </row>
    <row r="52" spans="1:26" x14ac:dyDescent="0.2">
      <c r="A52" t="str">
        <f>INDEX(Prioritization!$D:$D,MATCH($B52,Prioritization!$A:$A,0))</f>
        <v>INVALID</v>
      </c>
      <c r="B52" t="s">
        <v>196</v>
      </c>
      <c r="C52" t="s">
        <v>362</v>
      </c>
      <c r="D52" t="s">
        <v>47</v>
      </c>
      <c r="E52" t="str">
        <f t="shared" si="0"/>
        <v>Kasungu District [JQKLKuVuY61]|01-09|Male</v>
      </c>
      <c r="F52" s="14"/>
      <c r="G52" s="90">
        <f>0</f>
        <v>0</v>
      </c>
      <c r="H52" s="42" t="str">
        <f t="shared" si="1"/>
        <v/>
      </c>
      <c r="I52" s="14"/>
      <c r="J52" s="90"/>
      <c r="K52" s="90" t="str">
        <f t="shared" si="2"/>
        <v/>
      </c>
      <c r="L52" s="90"/>
      <c r="M52" s="90" t="str">
        <f t="shared" si="3"/>
        <v/>
      </c>
      <c r="N52" s="14" t="str">
        <f t="shared" si="4"/>
        <v/>
      </c>
      <c r="O52" s="42" t="str">
        <f t="shared" si="5"/>
        <v/>
      </c>
      <c r="P52" s="42" t="str">
        <f t="shared" si="6"/>
        <v/>
      </c>
      <c r="Q52" s="42" t="str">
        <f t="shared" si="7"/>
        <v/>
      </c>
      <c r="R52" s="90" t="str">
        <f>IF(SUM($P52)=0,"",INDEX(Cascade!$BG:$BG,MATCH($E52,Cascade!$E:$E,0)))</f>
        <v/>
      </c>
      <c r="S52" s="42" t="str">
        <f t="shared" si="8"/>
        <v/>
      </c>
      <c r="T52" s="42" t="str">
        <f t="shared" si="9"/>
        <v/>
      </c>
      <c r="U52" s="14" t="str">
        <f>IFERROR(1/(1/INDEX(Cascade!$BH:$BH,MATCH($E52,Cascade!$E:$E,0))),"")</f>
        <v/>
      </c>
      <c r="V52" s="14" t="str">
        <f t="shared" si="10"/>
        <v/>
      </c>
      <c r="W52" s="14" t="str">
        <f>IFERROR(1/(1/INDEX(PMTCT!$AC:$AC,MATCH($E52,PMTCT!$E:$E,0))),"")</f>
        <v/>
      </c>
      <c r="X52" s="14" t="str">
        <f>IFERROR(1/(1/INDEX(PMTCT!$AS:$AS,MATCH($E52,PMTCT!$E:$E,0))),"")</f>
        <v/>
      </c>
      <c r="Y52" s="14" t="str">
        <f>IFERROR(1/(1/INDEX(VMMC!$AA:$AA,MATCH($E52,VMMC!$E:$E,0))),"")</f>
        <v/>
      </c>
      <c r="Z52" s="14" t="str">
        <f t="shared" si="11"/>
        <v/>
      </c>
    </row>
    <row r="53" spans="1:26" x14ac:dyDescent="0.2">
      <c r="A53" t="str">
        <f>INDEX(Prioritization!$D:$D,MATCH($B53,Prioritization!$A:$A,0))</f>
        <v>INVALID</v>
      </c>
      <c r="B53" t="s">
        <v>196</v>
      </c>
      <c r="C53" t="s">
        <v>363</v>
      </c>
      <c r="D53" t="s">
        <v>29</v>
      </c>
      <c r="E53" t="str">
        <f t="shared" si="0"/>
        <v>Kasungu District [JQKLKuVuY61]|10-14|Female</v>
      </c>
      <c r="F53" s="14">
        <v>1</v>
      </c>
      <c r="G53" s="90">
        <f>0</f>
        <v>0</v>
      </c>
      <c r="H53" s="42">
        <f t="shared" si="1"/>
        <v>1</v>
      </c>
      <c r="I53" s="14"/>
      <c r="J53" s="90"/>
      <c r="K53" s="90" t="str">
        <f t="shared" si="2"/>
        <v/>
      </c>
      <c r="L53" s="90"/>
      <c r="M53" s="90" t="str">
        <f t="shared" si="3"/>
        <v/>
      </c>
      <c r="N53" s="14">
        <f t="shared" si="4"/>
        <v>1</v>
      </c>
      <c r="O53" s="42" t="str">
        <f t="shared" si="5"/>
        <v>ENTER KNOWN POSITIVITY RATE</v>
      </c>
      <c r="P53" s="42" t="str">
        <f t="shared" si="6"/>
        <v>ENTER YIELD RATE</v>
      </c>
      <c r="Q53" s="42">
        <f t="shared" si="7"/>
        <v>1</v>
      </c>
      <c r="R53" s="90" t="str">
        <f>IF(SUM($P53)=0,"",INDEX(Cascade!$BG:$BG,MATCH($E53,Cascade!$E:$E,0)))</f>
        <v/>
      </c>
      <c r="S53" s="42" t="str">
        <f t="shared" si="8"/>
        <v>ENTER KNOWN POSITIVITY RATE</v>
      </c>
      <c r="T53" s="42" t="str">
        <f t="shared" si="9"/>
        <v/>
      </c>
      <c r="U53" s="14">
        <f>IFERROR(1/(1/INDEX(Cascade!$BH:$BH,MATCH($E53,Cascade!$E:$E,0))),"")</f>
        <v>-92.999999999999986</v>
      </c>
      <c r="V53" s="14" t="str">
        <f t="shared" si="10"/>
        <v/>
      </c>
      <c r="W53" s="14" t="str">
        <f>IFERROR(1/(1/INDEX(PMTCT!$AC:$AC,MATCH($E53,PMTCT!$E:$E,0))),"")</f>
        <v/>
      </c>
      <c r="X53" s="14" t="str">
        <f>IFERROR(1/(1/INDEX(PMTCT!$AS:$AS,MATCH($E53,PMTCT!$E:$E,0))),"")</f>
        <v/>
      </c>
      <c r="Y53" s="14" t="str">
        <f>IFERROR(1/(1/INDEX(VMMC!$AA:$AA,MATCH($E53,VMMC!$E:$E,0))),"")</f>
        <v/>
      </c>
      <c r="Z53" s="14">
        <f t="shared" si="11"/>
        <v>-92.999999999999986</v>
      </c>
    </row>
    <row r="54" spans="1:26" x14ac:dyDescent="0.2">
      <c r="A54" t="str">
        <f>INDEX(Prioritization!$D:$D,MATCH($B54,Prioritization!$A:$A,0))</f>
        <v>INVALID</v>
      </c>
      <c r="B54" t="s">
        <v>196</v>
      </c>
      <c r="C54" t="s">
        <v>363</v>
      </c>
      <c r="D54" t="s">
        <v>47</v>
      </c>
      <c r="E54" t="str">
        <f t="shared" si="0"/>
        <v>Kasungu District [JQKLKuVuY61]|10-14|Male</v>
      </c>
      <c r="F54" s="14">
        <v>0</v>
      </c>
      <c r="G54" s="90">
        <f>0</f>
        <v>0</v>
      </c>
      <c r="H54" s="42" t="str">
        <f t="shared" si="1"/>
        <v/>
      </c>
      <c r="I54" s="14"/>
      <c r="J54" s="90"/>
      <c r="K54" s="90" t="str">
        <f t="shared" si="2"/>
        <v/>
      </c>
      <c r="L54" s="90"/>
      <c r="M54" s="90" t="str">
        <f t="shared" si="3"/>
        <v/>
      </c>
      <c r="N54" s="14" t="str">
        <f t="shared" si="4"/>
        <v/>
      </c>
      <c r="O54" s="42" t="str">
        <f t="shared" si="5"/>
        <v/>
      </c>
      <c r="P54" s="42" t="str">
        <f t="shared" si="6"/>
        <v/>
      </c>
      <c r="Q54" s="42" t="str">
        <f t="shared" si="7"/>
        <v/>
      </c>
      <c r="R54" s="90" t="str">
        <f>IF(SUM($P54)=0,"",INDEX(Cascade!$BG:$BG,MATCH($E54,Cascade!$E:$E,0)))</f>
        <v/>
      </c>
      <c r="S54" s="42" t="str">
        <f t="shared" si="8"/>
        <v/>
      </c>
      <c r="T54" s="42" t="str">
        <f t="shared" si="9"/>
        <v/>
      </c>
      <c r="U54" s="14">
        <f>IFERROR(1/(1/INDEX(Cascade!$BH:$BH,MATCH($E54,Cascade!$E:$E,0))),"")</f>
        <v>-98.999999999999986</v>
      </c>
      <c r="V54" s="14" t="str">
        <f t="shared" si="10"/>
        <v/>
      </c>
      <c r="W54" s="14" t="str">
        <f>IFERROR(1/(1/INDEX(PMTCT!$AC:$AC,MATCH($E54,PMTCT!$E:$E,0))),"")</f>
        <v/>
      </c>
      <c r="X54" s="14" t="str">
        <f>IFERROR(1/(1/INDEX(PMTCT!$AS:$AS,MATCH($E54,PMTCT!$E:$E,0))),"")</f>
        <v/>
      </c>
      <c r="Y54" s="14" t="str">
        <f>IFERROR(1/(1/INDEX(VMMC!$AA:$AA,MATCH($E54,VMMC!$E:$E,0))),"")</f>
        <v/>
      </c>
      <c r="Z54" s="14">
        <f t="shared" si="11"/>
        <v>-98.999999999999986</v>
      </c>
    </row>
    <row r="55" spans="1:26" x14ac:dyDescent="0.2">
      <c r="A55" t="str">
        <f>INDEX(Prioritization!$D:$D,MATCH($B55,Prioritization!$A:$A,0))</f>
        <v>INVALID</v>
      </c>
      <c r="B55" t="s">
        <v>196</v>
      </c>
      <c r="C55" t="s">
        <v>364</v>
      </c>
      <c r="D55" t="s">
        <v>29</v>
      </c>
      <c r="E55" t="str">
        <f t="shared" si="0"/>
        <v>Kasungu District [JQKLKuVuY61]|15-24|Female</v>
      </c>
      <c r="F55" s="14"/>
      <c r="G55" s="90">
        <f>0</f>
        <v>0</v>
      </c>
      <c r="H55" s="42" t="str">
        <f t="shared" si="1"/>
        <v/>
      </c>
      <c r="I55" s="14"/>
      <c r="J55" s="90"/>
      <c r="K55" s="90" t="str">
        <f t="shared" si="2"/>
        <v/>
      </c>
      <c r="L55" s="90"/>
      <c r="M55" s="90" t="str">
        <f t="shared" si="3"/>
        <v/>
      </c>
      <c r="N55" s="14" t="str">
        <f t="shared" si="4"/>
        <v/>
      </c>
      <c r="O55" s="42" t="str">
        <f t="shared" si="5"/>
        <v/>
      </c>
      <c r="P55" s="42" t="str">
        <f t="shared" si="6"/>
        <v/>
      </c>
      <c r="Q55" s="42" t="str">
        <f t="shared" si="7"/>
        <v/>
      </c>
      <c r="R55" s="90" t="str">
        <f>IF(SUM($P55)=0,"",INDEX(Cascade!$BG:$BG,MATCH($E55,Cascade!$E:$E,0)))</f>
        <v/>
      </c>
      <c r="S55" s="42" t="str">
        <f t="shared" si="8"/>
        <v/>
      </c>
      <c r="T55" s="42" t="str">
        <f t="shared" si="9"/>
        <v/>
      </c>
      <c r="U55" s="14" t="str">
        <f>IFERROR(1/(1/INDEX(Cascade!$BH:$BH,MATCH($E55,Cascade!$E:$E,0))),"")</f>
        <v/>
      </c>
      <c r="V55" s="14" t="str">
        <f t="shared" si="10"/>
        <v/>
      </c>
      <c r="W55" s="14" t="str">
        <f>IFERROR(1/(1/INDEX(PMTCT!$AC:$AC,MATCH($E55,PMTCT!$E:$E,0))),"")</f>
        <v/>
      </c>
      <c r="X55" s="14" t="str">
        <f>IFERROR(1/(1/INDEX(PMTCT!$AS:$AS,MATCH($E55,PMTCT!$E:$E,0))),"")</f>
        <v/>
      </c>
      <c r="Y55" s="14" t="str">
        <f>IFERROR(1/(1/INDEX(VMMC!$AA:$AA,MATCH($E55,VMMC!$E:$E,0))),"")</f>
        <v/>
      </c>
      <c r="Z55" s="14" t="str">
        <f t="shared" si="11"/>
        <v/>
      </c>
    </row>
    <row r="56" spans="1:26" x14ac:dyDescent="0.2">
      <c r="A56" t="str">
        <f>INDEX(Prioritization!$D:$D,MATCH($B56,Prioritization!$A:$A,0))</f>
        <v>INVALID</v>
      </c>
      <c r="B56" t="s">
        <v>196</v>
      </c>
      <c r="C56" t="s">
        <v>364</v>
      </c>
      <c r="D56" t="s">
        <v>47</v>
      </c>
      <c r="E56" t="str">
        <f t="shared" si="0"/>
        <v>Kasungu District [JQKLKuVuY61]|15-24|Male</v>
      </c>
      <c r="F56" s="14"/>
      <c r="G56" s="90">
        <f>0</f>
        <v>0</v>
      </c>
      <c r="H56" s="42" t="str">
        <f t="shared" si="1"/>
        <v/>
      </c>
      <c r="I56" s="14"/>
      <c r="J56" s="90"/>
      <c r="K56" s="90" t="str">
        <f t="shared" si="2"/>
        <v/>
      </c>
      <c r="L56" s="90"/>
      <c r="M56" s="90" t="str">
        <f t="shared" si="3"/>
        <v/>
      </c>
      <c r="N56" s="14" t="str">
        <f t="shared" si="4"/>
        <v/>
      </c>
      <c r="O56" s="42" t="str">
        <f t="shared" si="5"/>
        <v/>
      </c>
      <c r="P56" s="42" t="str">
        <f t="shared" si="6"/>
        <v/>
      </c>
      <c r="Q56" s="42" t="str">
        <f t="shared" si="7"/>
        <v/>
      </c>
      <c r="R56" s="90" t="str">
        <f>IF(SUM($P56)=0,"",INDEX(Cascade!$BG:$BG,MATCH($E56,Cascade!$E:$E,0)))</f>
        <v/>
      </c>
      <c r="S56" s="42" t="str">
        <f t="shared" si="8"/>
        <v/>
      </c>
      <c r="T56" s="42" t="str">
        <f t="shared" si="9"/>
        <v/>
      </c>
      <c r="U56" s="14" t="str">
        <f>IFERROR(1/(1/INDEX(Cascade!$BH:$BH,MATCH($E56,Cascade!$E:$E,0))),"")</f>
        <v/>
      </c>
      <c r="V56" s="14" t="str">
        <f t="shared" si="10"/>
        <v/>
      </c>
      <c r="W56" s="14" t="str">
        <f>IFERROR(1/(1/INDEX(PMTCT!$AC:$AC,MATCH($E56,PMTCT!$E:$E,0))),"")</f>
        <v/>
      </c>
      <c r="X56" s="14" t="str">
        <f>IFERROR(1/(1/INDEX(PMTCT!$AS:$AS,MATCH($E56,PMTCT!$E:$E,0))),"")</f>
        <v/>
      </c>
      <c r="Y56" s="14" t="str">
        <f>IFERROR(1/(1/INDEX(VMMC!$AA:$AA,MATCH($E56,VMMC!$E:$E,0))),"")</f>
        <v/>
      </c>
      <c r="Z56" s="14" t="str">
        <f t="shared" si="11"/>
        <v/>
      </c>
    </row>
    <row r="57" spans="1:26" x14ac:dyDescent="0.2">
      <c r="A57" t="str">
        <f>INDEX(Prioritization!$D:$D,MATCH($B57,Prioritization!$A:$A,0))</f>
        <v>INVALID</v>
      </c>
      <c r="B57" t="s">
        <v>196</v>
      </c>
      <c r="C57" t="s">
        <v>365</v>
      </c>
      <c r="D57" t="s">
        <v>29</v>
      </c>
      <c r="E57" t="str">
        <f t="shared" si="0"/>
        <v>Kasungu District [JQKLKuVuY61]|25-34|Female</v>
      </c>
      <c r="F57" s="14"/>
      <c r="G57" s="90">
        <f>0</f>
        <v>0</v>
      </c>
      <c r="H57" s="42" t="str">
        <f t="shared" si="1"/>
        <v/>
      </c>
      <c r="I57" s="14"/>
      <c r="J57" s="90"/>
      <c r="K57" s="90" t="str">
        <f t="shared" si="2"/>
        <v/>
      </c>
      <c r="L57" s="90"/>
      <c r="M57" s="90" t="str">
        <f t="shared" si="3"/>
        <v/>
      </c>
      <c r="N57" s="14" t="str">
        <f t="shared" si="4"/>
        <v/>
      </c>
      <c r="O57" s="42" t="str">
        <f t="shared" si="5"/>
        <v/>
      </c>
      <c r="P57" s="42" t="str">
        <f t="shared" si="6"/>
        <v/>
      </c>
      <c r="Q57" s="42" t="str">
        <f t="shared" si="7"/>
        <v/>
      </c>
      <c r="R57" s="90" t="str">
        <f>IF(SUM($P57)=0,"",INDEX(Cascade!$BG:$BG,MATCH($E57,Cascade!$E:$E,0)))</f>
        <v/>
      </c>
      <c r="S57" s="42" t="str">
        <f t="shared" si="8"/>
        <v/>
      </c>
      <c r="T57" s="42" t="str">
        <f t="shared" si="9"/>
        <v/>
      </c>
      <c r="U57" s="14" t="str">
        <f>IFERROR(1/(1/INDEX(Cascade!$BH:$BH,MATCH($E57,Cascade!$E:$E,0))),"")</f>
        <v/>
      </c>
      <c r="V57" s="14" t="str">
        <f t="shared" si="10"/>
        <v/>
      </c>
      <c r="W57" s="14" t="str">
        <f>IFERROR(1/(1/INDEX(PMTCT!$AC:$AC,MATCH($E57,PMTCT!$E:$E,0))),"")</f>
        <v/>
      </c>
      <c r="X57" s="14" t="str">
        <f>IFERROR(1/(1/INDEX(PMTCT!$AS:$AS,MATCH($E57,PMTCT!$E:$E,0))),"")</f>
        <v/>
      </c>
      <c r="Y57" s="14" t="str">
        <f>IFERROR(1/(1/INDEX(VMMC!$AA:$AA,MATCH($E57,VMMC!$E:$E,0))),"")</f>
        <v/>
      </c>
      <c r="Z57" s="14" t="str">
        <f t="shared" si="11"/>
        <v/>
      </c>
    </row>
    <row r="58" spans="1:26" x14ac:dyDescent="0.2">
      <c r="A58" t="str">
        <f>INDEX(Prioritization!$D:$D,MATCH($B58,Prioritization!$A:$A,0))</f>
        <v>INVALID</v>
      </c>
      <c r="B58" t="s">
        <v>196</v>
      </c>
      <c r="C58" t="s">
        <v>365</v>
      </c>
      <c r="D58" t="s">
        <v>47</v>
      </c>
      <c r="E58" t="str">
        <f t="shared" si="0"/>
        <v>Kasungu District [JQKLKuVuY61]|25-34|Male</v>
      </c>
      <c r="F58" s="14"/>
      <c r="G58" s="90">
        <f>0</f>
        <v>0</v>
      </c>
      <c r="H58" s="42" t="str">
        <f t="shared" si="1"/>
        <v/>
      </c>
      <c r="I58" s="14"/>
      <c r="J58" s="90"/>
      <c r="K58" s="90" t="str">
        <f t="shared" si="2"/>
        <v/>
      </c>
      <c r="L58" s="90"/>
      <c r="M58" s="90" t="str">
        <f t="shared" si="3"/>
        <v/>
      </c>
      <c r="N58" s="14" t="str">
        <f t="shared" si="4"/>
        <v/>
      </c>
      <c r="O58" s="42" t="str">
        <f t="shared" si="5"/>
        <v/>
      </c>
      <c r="P58" s="42" t="str">
        <f t="shared" si="6"/>
        <v/>
      </c>
      <c r="Q58" s="42" t="str">
        <f t="shared" si="7"/>
        <v/>
      </c>
      <c r="R58" s="90" t="str">
        <f>IF(SUM($P58)=0,"",INDEX(Cascade!$BG:$BG,MATCH($E58,Cascade!$E:$E,0)))</f>
        <v/>
      </c>
      <c r="S58" s="42" t="str">
        <f t="shared" si="8"/>
        <v/>
      </c>
      <c r="T58" s="42" t="str">
        <f t="shared" si="9"/>
        <v/>
      </c>
      <c r="U58" s="14" t="str">
        <f>IFERROR(1/(1/INDEX(Cascade!$BH:$BH,MATCH($E58,Cascade!$E:$E,0))),"")</f>
        <v/>
      </c>
      <c r="V58" s="14" t="str">
        <f t="shared" si="10"/>
        <v/>
      </c>
      <c r="W58" s="14" t="str">
        <f>IFERROR(1/(1/INDEX(PMTCT!$AC:$AC,MATCH($E58,PMTCT!$E:$E,0))),"")</f>
        <v/>
      </c>
      <c r="X58" s="14" t="str">
        <f>IFERROR(1/(1/INDEX(PMTCT!$AS:$AS,MATCH($E58,PMTCT!$E:$E,0))),"")</f>
        <v/>
      </c>
      <c r="Y58" s="14" t="str">
        <f>IFERROR(1/(1/INDEX(VMMC!$AA:$AA,MATCH($E58,VMMC!$E:$E,0))),"")</f>
        <v/>
      </c>
      <c r="Z58" s="14" t="str">
        <f t="shared" si="11"/>
        <v/>
      </c>
    </row>
    <row r="59" spans="1:26" x14ac:dyDescent="0.2">
      <c r="A59" t="str">
        <f>INDEX(Prioritization!$D:$D,MATCH($B59,Prioritization!$A:$A,0))</f>
        <v>INVALID</v>
      </c>
      <c r="B59" t="s">
        <v>196</v>
      </c>
      <c r="C59" t="s">
        <v>366</v>
      </c>
      <c r="D59" t="s">
        <v>29</v>
      </c>
      <c r="E59" t="str">
        <f t="shared" si="0"/>
        <v>Kasungu District [JQKLKuVuY61]|35-49|Female</v>
      </c>
      <c r="F59" s="14"/>
      <c r="G59" s="90">
        <f>0</f>
        <v>0</v>
      </c>
      <c r="H59" s="42" t="str">
        <f t="shared" si="1"/>
        <v/>
      </c>
      <c r="I59" s="14"/>
      <c r="J59" s="90"/>
      <c r="K59" s="90" t="str">
        <f t="shared" si="2"/>
        <v/>
      </c>
      <c r="L59" s="90"/>
      <c r="M59" s="90" t="str">
        <f t="shared" si="3"/>
        <v/>
      </c>
      <c r="N59" s="14" t="str">
        <f t="shared" si="4"/>
        <v/>
      </c>
      <c r="O59" s="42" t="str">
        <f t="shared" si="5"/>
        <v/>
      </c>
      <c r="P59" s="42" t="str">
        <f t="shared" si="6"/>
        <v/>
      </c>
      <c r="Q59" s="42" t="str">
        <f t="shared" si="7"/>
        <v/>
      </c>
      <c r="R59" s="90" t="str">
        <f>IF(SUM($P59)=0,"",INDEX(Cascade!$BG:$BG,MATCH($E59,Cascade!$E:$E,0)))</f>
        <v/>
      </c>
      <c r="S59" s="42" t="str">
        <f t="shared" si="8"/>
        <v/>
      </c>
      <c r="T59" s="42" t="str">
        <f t="shared" si="9"/>
        <v/>
      </c>
      <c r="U59" s="14" t="str">
        <f>IFERROR(1/(1/INDEX(Cascade!$BH:$BH,MATCH($E59,Cascade!$E:$E,0))),"")</f>
        <v/>
      </c>
      <c r="V59" s="14" t="str">
        <f t="shared" si="10"/>
        <v/>
      </c>
      <c r="W59" s="14" t="str">
        <f>IFERROR(1/(1/INDEX(PMTCT!$AC:$AC,MATCH($E59,PMTCT!$E:$E,0))),"")</f>
        <v/>
      </c>
      <c r="X59" s="14" t="str">
        <f>IFERROR(1/(1/INDEX(PMTCT!$AS:$AS,MATCH($E59,PMTCT!$E:$E,0))),"")</f>
        <v/>
      </c>
      <c r="Y59" s="14" t="str">
        <f>IFERROR(1/(1/INDEX(VMMC!$AA:$AA,MATCH($E59,VMMC!$E:$E,0))),"")</f>
        <v/>
      </c>
      <c r="Z59" s="14" t="str">
        <f t="shared" si="11"/>
        <v/>
      </c>
    </row>
    <row r="60" spans="1:26" x14ac:dyDescent="0.2">
      <c r="A60" t="str">
        <f>INDEX(Prioritization!$D:$D,MATCH($B60,Prioritization!$A:$A,0))</f>
        <v>INVALID</v>
      </c>
      <c r="B60" t="s">
        <v>196</v>
      </c>
      <c r="C60" t="s">
        <v>366</v>
      </c>
      <c r="D60" t="s">
        <v>47</v>
      </c>
      <c r="E60" t="str">
        <f t="shared" si="0"/>
        <v>Kasungu District [JQKLKuVuY61]|35-49|Male</v>
      </c>
      <c r="F60" s="14"/>
      <c r="G60" s="90">
        <f>0</f>
        <v>0</v>
      </c>
      <c r="H60" s="42" t="str">
        <f t="shared" si="1"/>
        <v/>
      </c>
      <c r="I60" s="14"/>
      <c r="J60" s="90"/>
      <c r="K60" s="90" t="str">
        <f t="shared" si="2"/>
        <v/>
      </c>
      <c r="L60" s="90"/>
      <c r="M60" s="90" t="str">
        <f t="shared" si="3"/>
        <v/>
      </c>
      <c r="N60" s="14" t="str">
        <f t="shared" si="4"/>
        <v/>
      </c>
      <c r="O60" s="42" t="str">
        <f t="shared" si="5"/>
        <v/>
      </c>
      <c r="P60" s="42" t="str">
        <f t="shared" si="6"/>
        <v/>
      </c>
      <c r="Q60" s="42" t="str">
        <f t="shared" si="7"/>
        <v/>
      </c>
      <c r="R60" s="90" t="str">
        <f>IF(SUM($P60)=0,"",INDEX(Cascade!$BG:$BG,MATCH($E60,Cascade!$E:$E,0)))</f>
        <v/>
      </c>
      <c r="S60" s="42" t="str">
        <f t="shared" si="8"/>
        <v/>
      </c>
      <c r="T60" s="42" t="str">
        <f t="shared" si="9"/>
        <v/>
      </c>
      <c r="U60" s="14" t="str">
        <f>IFERROR(1/(1/INDEX(Cascade!$BH:$BH,MATCH($E60,Cascade!$E:$E,0))),"")</f>
        <v/>
      </c>
      <c r="V60" s="14" t="str">
        <f t="shared" si="10"/>
        <v/>
      </c>
      <c r="W60" s="14" t="str">
        <f>IFERROR(1/(1/INDEX(PMTCT!$AC:$AC,MATCH($E60,PMTCT!$E:$E,0))),"")</f>
        <v/>
      </c>
      <c r="X60" s="14" t="str">
        <f>IFERROR(1/(1/INDEX(PMTCT!$AS:$AS,MATCH($E60,PMTCT!$E:$E,0))),"")</f>
        <v/>
      </c>
      <c r="Y60" s="14" t="str">
        <f>IFERROR(1/(1/INDEX(VMMC!$AA:$AA,MATCH($E60,VMMC!$E:$E,0))),"")</f>
        <v/>
      </c>
      <c r="Z60" s="14" t="str">
        <f t="shared" si="11"/>
        <v/>
      </c>
    </row>
    <row r="61" spans="1:26" x14ac:dyDescent="0.2">
      <c r="A61" t="str">
        <f>INDEX(Prioritization!$D:$D,MATCH($B61,Prioritization!$A:$A,0))</f>
        <v>INVALID</v>
      </c>
      <c r="B61" t="s">
        <v>196</v>
      </c>
      <c r="C61" t="s">
        <v>367</v>
      </c>
      <c r="D61" t="s">
        <v>29</v>
      </c>
      <c r="E61" t="str">
        <f t="shared" si="0"/>
        <v>Kasungu District [JQKLKuVuY61]|50+|Female</v>
      </c>
      <c r="F61" s="14"/>
      <c r="G61" s="90">
        <f>0</f>
        <v>0</v>
      </c>
      <c r="H61" s="42" t="str">
        <f t="shared" si="1"/>
        <v/>
      </c>
      <c r="I61" s="14"/>
      <c r="J61" s="90"/>
      <c r="K61" s="90" t="str">
        <f t="shared" si="2"/>
        <v/>
      </c>
      <c r="L61" s="90"/>
      <c r="M61" s="90" t="str">
        <f t="shared" si="3"/>
        <v/>
      </c>
      <c r="N61" s="14" t="str">
        <f t="shared" si="4"/>
        <v/>
      </c>
      <c r="O61" s="42" t="str">
        <f t="shared" si="5"/>
        <v/>
      </c>
      <c r="P61" s="42" t="str">
        <f t="shared" si="6"/>
        <v/>
      </c>
      <c r="Q61" s="42" t="str">
        <f t="shared" si="7"/>
        <v/>
      </c>
      <c r="R61" s="90" t="str">
        <f>IF(SUM($P61)=0,"",INDEX(Cascade!$BG:$BG,MATCH($E61,Cascade!$E:$E,0)))</f>
        <v/>
      </c>
      <c r="S61" s="42" t="str">
        <f t="shared" si="8"/>
        <v/>
      </c>
      <c r="T61" s="42" t="str">
        <f t="shared" si="9"/>
        <v/>
      </c>
      <c r="U61" s="14" t="str">
        <f>IFERROR(1/(1/INDEX(Cascade!$BH:$BH,MATCH($E61,Cascade!$E:$E,0))),"")</f>
        <v/>
      </c>
      <c r="V61" s="14" t="str">
        <f t="shared" si="10"/>
        <v/>
      </c>
      <c r="W61" s="14" t="str">
        <f>IFERROR(1/(1/INDEX(PMTCT!$AC:$AC,MATCH($E61,PMTCT!$E:$E,0))),"")</f>
        <v/>
      </c>
      <c r="X61" s="14" t="str">
        <f>IFERROR(1/(1/INDEX(PMTCT!$AS:$AS,MATCH($E61,PMTCT!$E:$E,0))),"")</f>
        <v/>
      </c>
      <c r="Y61" s="14" t="str">
        <f>IFERROR(1/(1/INDEX(VMMC!$AA:$AA,MATCH($E61,VMMC!$E:$E,0))),"")</f>
        <v/>
      </c>
      <c r="Z61" s="14" t="str">
        <f t="shared" si="11"/>
        <v/>
      </c>
    </row>
    <row r="62" spans="1:26" x14ac:dyDescent="0.2">
      <c r="A62" t="str">
        <f>INDEX(Prioritization!$D:$D,MATCH($B62,Prioritization!$A:$A,0))</f>
        <v>INVALID</v>
      </c>
      <c r="B62" t="s">
        <v>196</v>
      </c>
      <c r="C62" t="s">
        <v>367</v>
      </c>
      <c r="D62" t="s">
        <v>47</v>
      </c>
      <c r="E62" t="str">
        <f t="shared" si="0"/>
        <v>Kasungu District [JQKLKuVuY61]|50+|Male</v>
      </c>
      <c r="F62" s="14"/>
      <c r="G62" s="90">
        <f>0</f>
        <v>0</v>
      </c>
      <c r="H62" s="42" t="str">
        <f t="shared" si="1"/>
        <v/>
      </c>
      <c r="I62" s="14"/>
      <c r="J62" s="90"/>
      <c r="K62" s="90" t="str">
        <f t="shared" si="2"/>
        <v/>
      </c>
      <c r="L62" s="90"/>
      <c r="M62" s="90" t="str">
        <f t="shared" si="3"/>
        <v/>
      </c>
      <c r="N62" s="14" t="str">
        <f t="shared" si="4"/>
        <v/>
      </c>
      <c r="O62" s="42" t="str">
        <f t="shared" si="5"/>
        <v/>
      </c>
      <c r="P62" s="42" t="str">
        <f t="shared" si="6"/>
        <v/>
      </c>
      <c r="Q62" s="42" t="str">
        <f t="shared" si="7"/>
        <v/>
      </c>
      <c r="R62" s="90" t="str">
        <f>IF(SUM($P62)=0,"",INDEX(Cascade!$BG:$BG,MATCH($E62,Cascade!$E:$E,0)))</f>
        <v/>
      </c>
      <c r="S62" s="42" t="str">
        <f t="shared" si="8"/>
        <v/>
      </c>
      <c r="T62" s="42" t="str">
        <f t="shared" si="9"/>
        <v/>
      </c>
      <c r="U62" s="14" t="str">
        <f>IFERROR(1/(1/INDEX(Cascade!$BH:$BH,MATCH($E62,Cascade!$E:$E,0))),"")</f>
        <v/>
      </c>
      <c r="V62" s="14" t="str">
        <f t="shared" si="10"/>
        <v/>
      </c>
      <c r="W62" s="14" t="str">
        <f>IFERROR(1/(1/INDEX(PMTCT!$AC:$AC,MATCH($E62,PMTCT!$E:$E,0))),"")</f>
        <v/>
      </c>
      <c r="X62" s="14" t="str">
        <f>IFERROR(1/(1/INDEX(PMTCT!$AS:$AS,MATCH($E62,PMTCT!$E:$E,0))),"")</f>
        <v/>
      </c>
      <c r="Y62" s="14" t="str">
        <f>IFERROR(1/(1/INDEX(VMMC!$AA:$AA,MATCH($E62,VMMC!$E:$E,0))),"")</f>
        <v/>
      </c>
      <c r="Z62" s="14" t="str">
        <f t="shared" si="11"/>
        <v/>
      </c>
    </row>
    <row r="63" spans="1:26" x14ac:dyDescent="0.2">
      <c r="A63" t="str">
        <f>INDEX(Prioritization!$D:$D,MATCH($B63,Prioritization!$A:$A,0))</f>
        <v>1 - Scale-up: Saturation</v>
      </c>
      <c r="B63" t="s">
        <v>197</v>
      </c>
      <c r="C63" t="s">
        <v>362</v>
      </c>
      <c r="D63" t="s">
        <v>29</v>
      </c>
      <c r="E63" t="str">
        <f t="shared" si="0"/>
        <v>Lilongwe District [ScR9iFKAasW]|01-09|Female</v>
      </c>
      <c r="F63" s="14"/>
      <c r="G63" s="90">
        <f>0</f>
        <v>0</v>
      </c>
      <c r="H63" s="42" t="str">
        <f t="shared" si="1"/>
        <v/>
      </c>
      <c r="I63" s="14"/>
      <c r="J63" s="90"/>
      <c r="K63" s="90" t="str">
        <f t="shared" si="2"/>
        <v/>
      </c>
      <c r="L63" s="90"/>
      <c r="M63" s="90" t="str">
        <f t="shared" si="3"/>
        <v/>
      </c>
      <c r="N63" s="14" t="str">
        <f t="shared" si="4"/>
        <v/>
      </c>
      <c r="O63" s="42" t="str">
        <f t="shared" si="5"/>
        <v/>
      </c>
      <c r="P63" s="42" t="str">
        <f t="shared" si="6"/>
        <v/>
      </c>
      <c r="Q63" s="42" t="str">
        <f t="shared" si="7"/>
        <v/>
      </c>
      <c r="R63" s="90" t="str">
        <f>IF(SUM($P63)=0,"",INDEX(Cascade!$BG:$BG,MATCH($E63,Cascade!$E:$E,0)))</f>
        <v/>
      </c>
      <c r="S63" s="42" t="str">
        <f t="shared" si="8"/>
        <v/>
      </c>
      <c r="T63" s="42" t="str">
        <f t="shared" si="9"/>
        <v/>
      </c>
      <c r="U63" s="14" t="str">
        <f>IFERROR(1/(1/INDEX(Cascade!$BH:$BH,MATCH($E63,Cascade!$E:$E,0))),"")</f>
        <v/>
      </c>
      <c r="V63" s="14" t="str">
        <f t="shared" si="10"/>
        <v/>
      </c>
      <c r="W63" s="14" t="str">
        <f>IFERROR(1/(1/INDEX(PMTCT!$AC:$AC,MATCH($E63,PMTCT!$E:$E,0))),"")</f>
        <v/>
      </c>
      <c r="X63" s="14" t="str">
        <f>IFERROR(1/(1/INDEX(PMTCT!$AS:$AS,MATCH($E63,PMTCT!$E:$E,0))),"")</f>
        <v/>
      </c>
      <c r="Y63" s="14" t="str">
        <f>IFERROR(1/(1/INDEX(VMMC!$AA:$AA,MATCH($E63,VMMC!$E:$E,0))),"")</f>
        <v/>
      </c>
      <c r="Z63" s="14" t="str">
        <f t="shared" si="11"/>
        <v/>
      </c>
    </row>
    <row r="64" spans="1:26" x14ac:dyDescent="0.2">
      <c r="A64" t="str">
        <f>INDEX(Prioritization!$D:$D,MATCH($B64,Prioritization!$A:$A,0))</f>
        <v>1 - Scale-up: Saturation</v>
      </c>
      <c r="B64" t="s">
        <v>197</v>
      </c>
      <c r="C64" t="s">
        <v>362</v>
      </c>
      <c r="D64" t="s">
        <v>47</v>
      </c>
      <c r="E64" t="str">
        <f t="shared" si="0"/>
        <v>Lilongwe District [ScR9iFKAasW]|01-09|Male</v>
      </c>
      <c r="F64" s="14"/>
      <c r="G64" s="90">
        <f>0</f>
        <v>0</v>
      </c>
      <c r="H64" s="42" t="str">
        <f t="shared" si="1"/>
        <v/>
      </c>
      <c r="I64" s="14"/>
      <c r="J64" s="90"/>
      <c r="K64" s="90" t="str">
        <f t="shared" si="2"/>
        <v/>
      </c>
      <c r="L64" s="90"/>
      <c r="M64" s="90" t="str">
        <f t="shared" si="3"/>
        <v/>
      </c>
      <c r="N64" s="14" t="str">
        <f t="shared" si="4"/>
        <v/>
      </c>
      <c r="O64" s="42" t="str">
        <f t="shared" si="5"/>
        <v/>
      </c>
      <c r="P64" s="42" t="str">
        <f t="shared" si="6"/>
        <v/>
      </c>
      <c r="Q64" s="42" t="str">
        <f t="shared" si="7"/>
        <v/>
      </c>
      <c r="R64" s="90" t="str">
        <f>IF(SUM($P64)=0,"",INDEX(Cascade!$BG:$BG,MATCH($E64,Cascade!$E:$E,0)))</f>
        <v/>
      </c>
      <c r="S64" s="42" t="str">
        <f t="shared" si="8"/>
        <v/>
      </c>
      <c r="T64" s="42" t="str">
        <f t="shared" si="9"/>
        <v/>
      </c>
      <c r="U64" s="14" t="str">
        <f>IFERROR(1/(1/INDEX(Cascade!$BH:$BH,MATCH($E64,Cascade!$E:$E,0))),"")</f>
        <v/>
      </c>
      <c r="V64" s="14" t="str">
        <f t="shared" si="10"/>
        <v/>
      </c>
      <c r="W64" s="14" t="str">
        <f>IFERROR(1/(1/INDEX(PMTCT!$AC:$AC,MATCH($E64,PMTCT!$E:$E,0))),"")</f>
        <v/>
      </c>
      <c r="X64" s="14" t="str">
        <f>IFERROR(1/(1/INDEX(PMTCT!$AS:$AS,MATCH($E64,PMTCT!$E:$E,0))),"")</f>
        <v/>
      </c>
      <c r="Y64" s="14" t="str">
        <f>IFERROR(1/(1/INDEX(VMMC!$AA:$AA,MATCH($E64,VMMC!$E:$E,0))),"")</f>
        <v/>
      </c>
      <c r="Z64" s="14" t="str">
        <f t="shared" si="11"/>
        <v/>
      </c>
    </row>
    <row r="65" spans="1:26" x14ac:dyDescent="0.2">
      <c r="A65" t="str">
        <f>INDEX(Prioritization!$D:$D,MATCH($B65,Prioritization!$A:$A,0))</f>
        <v>1 - Scale-up: Saturation</v>
      </c>
      <c r="B65" t="s">
        <v>197</v>
      </c>
      <c r="C65" t="s">
        <v>363</v>
      </c>
      <c r="D65" t="s">
        <v>29</v>
      </c>
      <c r="E65" t="str">
        <f t="shared" si="0"/>
        <v>Lilongwe District [ScR9iFKAasW]|10-14|Female</v>
      </c>
      <c r="F65" s="14">
        <v>8</v>
      </c>
      <c r="G65" s="90">
        <f>0</f>
        <v>0</v>
      </c>
      <c r="H65" s="42">
        <f t="shared" si="1"/>
        <v>8</v>
      </c>
      <c r="I65" s="14">
        <v>1</v>
      </c>
      <c r="J65" s="90"/>
      <c r="K65" s="90" t="str">
        <f t="shared" si="2"/>
        <v/>
      </c>
      <c r="L65" s="90"/>
      <c r="M65" s="90" t="str">
        <f t="shared" si="3"/>
        <v/>
      </c>
      <c r="N65" s="14">
        <f t="shared" si="4"/>
        <v>8</v>
      </c>
      <c r="O65" s="42" t="str">
        <f t="shared" si="5"/>
        <v>ENTER KNOWN POSITIVITY RATE</v>
      </c>
      <c r="P65" s="42" t="str">
        <f t="shared" si="6"/>
        <v>ENTER YIELD RATE</v>
      </c>
      <c r="Q65" s="42">
        <f t="shared" si="7"/>
        <v>8</v>
      </c>
      <c r="R65" s="90" t="str">
        <f>IF(SUM($P65)=0,"",INDEX(Cascade!$BG:$BG,MATCH($E65,Cascade!$E:$E,0)))</f>
        <v/>
      </c>
      <c r="S65" s="42" t="str">
        <f t="shared" si="8"/>
        <v>ENTER KNOWN POSITIVITY RATE</v>
      </c>
      <c r="T65" s="42" t="str">
        <f t="shared" si="9"/>
        <v/>
      </c>
      <c r="U65" s="14">
        <f>IFERROR(1/(1/INDEX(Cascade!$BH:$BH,MATCH($E65,Cascade!$E:$E,0))),"")</f>
        <v>-431</v>
      </c>
      <c r="V65" s="14" t="str">
        <f t="shared" si="10"/>
        <v/>
      </c>
      <c r="W65" s="14" t="str">
        <f>IFERROR(1/(1/INDEX(PMTCT!$AC:$AC,MATCH($E65,PMTCT!$E:$E,0))),"")</f>
        <v/>
      </c>
      <c r="X65" s="14">
        <f>IFERROR(1/(1/INDEX(PMTCT!$AS:$AS,MATCH($E65,PMTCT!$E:$E,0))),"")</f>
        <v>14</v>
      </c>
      <c r="Y65" s="14" t="str">
        <f>IFERROR(1/(1/INDEX(VMMC!$AA:$AA,MATCH($E65,VMMC!$E:$E,0))),"")</f>
        <v/>
      </c>
      <c r="Z65" s="14">
        <f t="shared" si="11"/>
        <v>-444.99999999999994</v>
      </c>
    </row>
    <row r="66" spans="1:26" x14ac:dyDescent="0.2">
      <c r="A66" t="str">
        <f>INDEX(Prioritization!$D:$D,MATCH($B66,Prioritization!$A:$A,0))</f>
        <v>1 - Scale-up: Saturation</v>
      </c>
      <c r="B66" t="s">
        <v>197</v>
      </c>
      <c r="C66" t="s">
        <v>363</v>
      </c>
      <c r="D66" t="s">
        <v>47</v>
      </c>
      <c r="E66" t="str">
        <f t="shared" si="0"/>
        <v>Lilongwe District [ScR9iFKAasW]|10-14|Male</v>
      </c>
      <c r="F66" s="14">
        <v>3</v>
      </c>
      <c r="G66" s="90">
        <f>0</f>
        <v>0</v>
      </c>
      <c r="H66" s="42">
        <f t="shared" si="1"/>
        <v>3</v>
      </c>
      <c r="I66" s="14">
        <v>1</v>
      </c>
      <c r="J66" s="90"/>
      <c r="K66" s="90" t="str">
        <f t="shared" si="2"/>
        <v/>
      </c>
      <c r="L66" s="90"/>
      <c r="M66" s="90" t="str">
        <f t="shared" si="3"/>
        <v/>
      </c>
      <c r="N66" s="14">
        <f t="shared" si="4"/>
        <v>3</v>
      </c>
      <c r="O66" s="42" t="str">
        <f t="shared" si="5"/>
        <v>ENTER KNOWN POSITIVITY RATE</v>
      </c>
      <c r="P66" s="42" t="str">
        <f t="shared" si="6"/>
        <v>ENTER YIELD RATE</v>
      </c>
      <c r="Q66" s="42">
        <f t="shared" si="7"/>
        <v>3</v>
      </c>
      <c r="R66" s="90" t="str">
        <f>IF(SUM($P66)=0,"",INDEX(Cascade!$BG:$BG,MATCH($E66,Cascade!$E:$E,0)))</f>
        <v/>
      </c>
      <c r="S66" s="42" t="str">
        <f t="shared" si="8"/>
        <v>ENTER KNOWN POSITIVITY RATE</v>
      </c>
      <c r="T66" s="42" t="str">
        <f t="shared" si="9"/>
        <v/>
      </c>
      <c r="U66" s="14">
        <f>IFERROR(1/(1/INDEX(Cascade!$BH:$BH,MATCH($E66,Cascade!$E:$E,0))),"")</f>
        <v>-777</v>
      </c>
      <c r="V66" s="14" t="str">
        <f t="shared" si="10"/>
        <v/>
      </c>
      <c r="W66" s="14" t="str">
        <f>IFERROR(1/(1/INDEX(PMTCT!$AC:$AC,MATCH($E66,PMTCT!$E:$E,0))),"")</f>
        <v/>
      </c>
      <c r="X66" s="14" t="str">
        <f>IFERROR(1/(1/INDEX(PMTCT!$AS:$AS,MATCH($E66,PMTCT!$E:$E,0))),"")</f>
        <v/>
      </c>
      <c r="Y66" s="14" t="str">
        <f>IFERROR(1/(1/INDEX(VMMC!$AA:$AA,MATCH($E66,VMMC!$E:$E,0))),"")</f>
        <v/>
      </c>
      <c r="Z66" s="14">
        <f t="shared" si="11"/>
        <v>-777</v>
      </c>
    </row>
    <row r="67" spans="1:26" x14ac:dyDescent="0.2">
      <c r="A67" t="str">
        <f>INDEX(Prioritization!$D:$D,MATCH($B67,Prioritization!$A:$A,0))</f>
        <v>1 - Scale-up: Saturation</v>
      </c>
      <c r="B67" t="s">
        <v>197</v>
      </c>
      <c r="C67" t="s">
        <v>364</v>
      </c>
      <c r="D67" t="s">
        <v>29</v>
      </c>
      <c r="E67" t="str">
        <f t="shared" si="0"/>
        <v>Lilongwe District [ScR9iFKAasW]|15-24|Female</v>
      </c>
      <c r="F67" s="14"/>
      <c r="G67" s="90">
        <f>0</f>
        <v>0</v>
      </c>
      <c r="H67" s="42" t="str">
        <f t="shared" si="1"/>
        <v/>
      </c>
      <c r="I67" s="14"/>
      <c r="J67" s="90"/>
      <c r="K67" s="90" t="str">
        <f t="shared" si="2"/>
        <v/>
      </c>
      <c r="L67" s="90"/>
      <c r="M67" s="90" t="str">
        <f t="shared" si="3"/>
        <v/>
      </c>
      <c r="N67" s="14" t="str">
        <f t="shared" si="4"/>
        <v/>
      </c>
      <c r="O67" s="42" t="str">
        <f t="shared" si="5"/>
        <v/>
      </c>
      <c r="P67" s="42" t="str">
        <f t="shared" si="6"/>
        <v/>
      </c>
      <c r="Q67" s="42" t="str">
        <f t="shared" si="7"/>
        <v/>
      </c>
      <c r="R67" s="90" t="str">
        <f>IF(SUM($P67)=0,"",INDEX(Cascade!$BG:$BG,MATCH($E67,Cascade!$E:$E,0)))</f>
        <v/>
      </c>
      <c r="S67" s="42" t="str">
        <f t="shared" si="8"/>
        <v/>
      </c>
      <c r="T67" s="42" t="str">
        <f t="shared" si="9"/>
        <v/>
      </c>
      <c r="U67" s="14" t="str">
        <f>IFERROR(1/(1/INDEX(Cascade!$BH:$BH,MATCH($E67,Cascade!$E:$E,0))),"")</f>
        <v/>
      </c>
      <c r="V67" s="14" t="str">
        <f t="shared" si="10"/>
        <v/>
      </c>
      <c r="W67" s="14" t="str">
        <f>IFERROR(1/(1/INDEX(PMTCT!$AC:$AC,MATCH($E67,PMTCT!$E:$E,0))),"")</f>
        <v/>
      </c>
      <c r="X67" s="14" t="str">
        <f>IFERROR(1/(1/INDEX(PMTCT!$AS:$AS,MATCH($E67,PMTCT!$E:$E,0))),"")</f>
        <v/>
      </c>
      <c r="Y67" s="14" t="str">
        <f>IFERROR(1/(1/INDEX(VMMC!$AA:$AA,MATCH($E67,VMMC!$E:$E,0))),"")</f>
        <v/>
      </c>
      <c r="Z67" s="14" t="str">
        <f t="shared" si="11"/>
        <v/>
      </c>
    </row>
    <row r="68" spans="1:26" x14ac:dyDescent="0.2">
      <c r="A68" t="str">
        <f>INDEX(Prioritization!$D:$D,MATCH($B68,Prioritization!$A:$A,0))</f>
        <v>1 - Scale-up: Saturation</v>
      </c>
      <c r="B68" t="s">
        <v>197</v>
      </c>
      <c r="C68" t="s">
        <v>364</v>
      </c>
      <c r="D68" t="s">
        <v>47</v>
      </c>
      <c r="E68" t="str">
        <f t="shared" si="0"/>
        <v>Lilongwe District [ScR9iFKAasW]|15-24|Male</v>
      </c>
      <c r="F68" s="14"/>
      <c r="G68" s="90">
        <f>0</f>
        <v>0</v>
      </c>
      <c r="H68" s="42" t="str">
        <f t="shared" si="1"/>
        <v/>
      </c>
      <c r="I68" s="14"/>
      <c r="J68" s="90"/>
      <c r="K68" s="90" t="str">
        <f t="shared" si="2"/>
        <v/>
      </c>
      <c r="L68" s="90"/>
      <c r="M68" s="90" t="str">
        <f t="shared" si="3"/>
        <v/>
      </c>
      <c r="N68" s="14" t="str">
        <f t="shared" si="4"/>
        <v/>
      </c>
      <c r="O68" s="42" t="str">
        <f t="shared" si="5"/>
        <v/>
      </c>
      <c r="P68" s="42" t="str">
        <f t="shared" si="6"/>
        <v/>
      </c>
      <c r="Q68" s="42" t="str">
        <f t="shared" si="7"/>
        <v/>
      </c>
      <c r="R68" s="90" t="str">
        <f>IF(SUM($P68)=0,"",INDEX(Cascade!$BG:$BG,MATCH($E68,Cascade!$E:$E,0)))</f>
        <v/>
      </c>
      <c r="S68" s="42" t="str">
        <f t="shared" si="8"/>
        <v/>
      </c>
      <c r="T68" s="42" t="str">
        <f t="shared" si="9"/>
        <v/>
      </c>
      <c r="U68" s="14" t="str">
        <f>IFERROR(1/(1/INDEX(Cascade!$BH:$BH,MATCH($E68,Cascade!$E:$E,0))),"")</f>
        <v/>
      </c>
      <c r="V68" s="14" t="str">
        <f t="shared" si="10"/>
        <v/>
      </c>
      <c r="W68" s="14" t="str">
        <f>IFERROR(1/(1/INDEX(PMTCT!$AC:$AC,MATCH($E68,PMTCT!$E:$E,0))),"")</f>
        <v/>
      </c>
      <c r="X68" s="14" t="str">
        <f>IFERROR(1/(1/INDEX(PMTCT!$AS:$AS,MATCH($E68,PMTCT!$E:$E,0))),"")</f>
        <v/>
      </c>
      <c r="Y68" s="14" t="str">
        <f>IFERROR(1/(1/INDEX(VMMC!$AA:$AA,MATCH($E68,VMMC!$E:$E,0))),"")</f>
        <v/>
      </c>
      <c r="Z68" s="14" t="str">
        <f t="shared" si="11"/>
        <v/>
      </c>
    </row>
    <row r="69" spans="1:26" x14ac:dyDescent="0.2">
      <c r="A69" t="str">
        <f>INDEX(Prioritization!$D:$D,MATCH($B69,Prioritization!$A:$A,0))</f>
        <v>1 - Scale-up: Saturation</v>
      </c>
      <c r="B69" t="s">
        <v>197</v>
      </c>
      <c r="C69" t="s">
        <v>365</v>
      </c>
      <c r="D69" t="s">
        <v>29</v>
      </c>
      <c r="E69" t="str">
        <f t="shared" si="0"/>
        <v>Lilongwe District [ScR9iFKAasW]|25-34|Female</v>
      </c>
      <c r="F69" s="14"/>
      <c r="G69" s="90">
        <f>0</f>
        <v>0</v>
      </c>
      <c r="H69" s="42" t="str">
        <f t="shared" si="1"/>
        <v/>
      </c>
      <c r="I69" s="14"/>
      <c r="J69" s="90"/>
      <c r="K69" s="90" t="str">
        <f t="shared" si="2"/>
        <v/>
      </c>
      <c r="L69" s="90"/>
      <c r="M69" s="90" t="str">
        <f t="shared" si="3"/>
        <v/>
      </c>
      <c r="N69" s="14" t="str">
        <f t="shared" si="4"/>
        <v/>
      </c>
      <c r="O69" s="42" t="str">
        <f t="shared" si="5"/>
        <v/>
      </c>
      <c r="P69" s="42" t="str">
        <f t="shared" si="6"/>
        <v/>
      </c>
      <c r="Q69" s="42" t="str">
        <f t="shared" si="7"/>
        <v/>
      </c>
      <c r="R69" s="90" t="str">
        <f>IF(SUM($P69)=0,"",INDEX(Cascade!$BG:$BG,MATCH($E69,Cascade!$E:$E,0)))</f>
        <v/>
      </c>
      <c r="S69" s="42" t="str">
        <f t="shared" si="8"/>
        <v/>
      </c>
      <c r="T69" s="42" t="str">
        <f t="shared" si="9"/>
        <v/>
      </c>
      <c r="U69" s="14" t="str">
        <f>IFERROR(1/(1/INDEX(Cascade!$BH:$BH,MATCH($E69,Cascade!$E:$E,0))),"")</f>
        <v/>
      </c>
      <c r="V69" s="14" t="str">
        <f t="shared" si="10"/>
        <v/>
      </c>
      <c r="W69" s="14" t="str">
        <f>IFERROR(1/(1/INDEX(PMTCT!$AC:$AC,MATCH($E69,PMTCT!$E:$E,0))),"")</f>
        <v/>
      </c>
      <c r="X69" s="14" t="str">
        <f>IFERROR(1/(1/INDEX(PMTCT!$AS:$AS,MATCH($E69,PMTCT!$E:$E,0))),"")</f>
        <v/>
      </c>
      <c r="Y69" s="14" t="str">
        <f>IFERROR(1/(1/INDEX(VMMC!$AA:$AA,MATCH($E69,VMMC!$E:$E,0))),"")</f>
        <v/>
      </c>
      <c r="Z69" s="14" t="str">
        <f t="shared" si="11"/>
        <v/>
      </c>
    </row>
    <row r="70" spans="1:26" x14ac:dyDescent="0.2">
      <c r="A70" t="str">
        <f>INDEX(Prioritization!$D:$D,MATCH($B70,Prioritization!$A:$A,0))</f>
        <v>1 - Scale-up: Saturation</v>
      </c>
      <c r="B70" t="s">
        <v>197</v>
      </c>
      <c r="C70" t="s">
        <v>365</v>
      </c>
      <c r="D70" t="s">
        <v>47</v>
      </c>
      <c r="E70" t="str">
        <f t="shared" si="0"/>
        <v>Lilongwe District [ScR9iFKAasW]|25-34|Male</v>
      </c>
      <c r="F70" s="14"/>
      <c r="G70" s="90">
        <f>0</f>
        <v>0</v>
      </c>
      <c r="H70" s="42" t="str">
        <f t="shared" si="1"/>
        <v/>
      </c>
      <c r="I70" s="14"/>
      <c r="J70" s="90"/>
      <c r="K70" s="90" t="str">
        <f t="shared" si="2"/>
        <v/>
      </c>
      <c r="L70" s="90"/>
      <c r="M70" s="90" t="str">
        <f t="shared" si="3"/>
        <v/>
      </c>
      <c r="N70" s="14" t="str">
        <f t="shared" si="4"/>
        <v/>
      </c>
      <c r="O70" s="42" t="str">
        <f t="shared" si="5"/>
        <v/>
      </c>
      <c r="P70" s="42" t="str">
        <f t="shared" si="6"/>
        <v/>
      </c>
      <c r="Q70" s="42" t="str">
        <f t="shared" si="7"/>
        <v/>
      </c>
      <c r="R70" s="90" t="str">
        <f>IF(SUM($P70)=0,"",INDEX(Cascade!$BG:$BG,MATCH($E70,Cascade!$E:$E,0)))</f>
        <v/>
      </c>
      <c r="S70" s="42" t="str">
        <f t="shared" si="8"/>
        <v/>
      </c>
      <c r="T70" s="42" t="str">
        <f t="shared" si="9"/>
        <v/>
      </c>
      <c r="U70" s="14" t="str">
        <f>IFERROR(1/(1/INDEX(Cascade!$BH:$BH,MATCH($E70,Cascade!$E:$E,0))),"")</f>
        <v/>
      </c>
      <c r="V70" s="14" t="str">
        <f t="shared" si="10"/>
        <v/>
      </c>
      <c r="W70" s="14" t="str">
        <f>IFERROR(1/(1/INDEX(PMTCT!$AC:$AC,MATCH($E70,PMTCT!$E:$E,0))),"")</f>
        <v/>
      </c>
      <c r="X70" s="14" t="str">
        <f>IFERROR(1/(1/INDEX(PMTCT!$AS:$AS,MATCH($E70,PMTCT!$E:$E,0))),"")</f>
        <v/>
      </c>
      <c r="Y70" s="14" t="str">
        <f>IFERROR(1/(1/INDEX(VMMC!$AA:$AA,MATCH($E70,VMMC!$E:$E,0))),"")</f>
        <v/>
      </c>
      <c r="Z70" s="14" t="str">
        <f t="shared" si="11"/>
        <v/>
      </c>
    </row>
    <row r="71" spans="1:26" x14ac:dyDescent="0.2">
      <c r="A71" t="str">
        <f>INDEX(Prioritization!$D:$D,MATCH($B71,Prioritization!$A:$A,0))</f>
        <v>1 - Scale-up: Saturation</v>
      </c>
      <c r="B71" t="s">
        <v>197</v>
      </c>
      <c r="C71" t="s">
        <v>366</v>
      </c>
      <c r="D71" t="s">
        <v>29</v>
      </c>
      <c r="E71" t="str">
        <f t="shared" si="0"/>
        <v>Lilongwe District [ScR9iFKAasW]|35-49|Female</v>
      </c>
      <c r="F71" s="14"/>
      <c r="G71" s="90">
        <f>0</f>
        <v>0</v>
      </c>
      <c r="H71" s="42" t="str">
        <f t="shared" si="1"/>
        <v/>
      </c>
      <c r="I71" s="14"/>
      <c r="J71" s="90"/>
      <c r="K71" s="90" t="str">
        <f t="shared" si="2"/>
        <v/>
      </c>
      <c r="L71" s="90"/>
      <c r="M71" s="90" t="str">
        <f t="shared" si="3"/>
        <v/>
      </c>
      <c r="N71" s="14" t="str">
        <f t="shared" si="4"/>
        <v/>
      </c>
      <c r="O71" s="42" t="str">
        <f t="shared" si="5"/>
        <v/>
      </c>
      <c r="P71" s="42" t="str">
        <f t="shared" si="6"/>
        <v/>
      </c>
      <c r="Q71" s="42" t="str">
        <f t="shared" si="7"/>
        <v/>
      </c>
      <c r="R71" s="90" t="str">
        <f>IF(SUM($P71)=0,"",INDEX(Cascade!$BG:$BG,MATCH($E71,Cascade!$E:$E,0)))</f>
        <v/>
      </c>
      <c r="S71" s="42" t="str">
        <f t="shared" si="8"/>
        <v/>
      </c>
      <c r="T71" s="42" t="str">
        <f t="shared" si="9"/>
        <v/>
      </c>
      <c r="U71" s="14" t="str">
        <f>IFERROR(1/(1/INDEX(Cascade!$BH:$BH,MATCH($E71,Cascade!$E:$E,0))),"")</f>
        <v/>
      </c>
      <c r="V71" s="14" t="str">
        <f t="shared" si="10"/>
        <v/>
      </c>
      <c r="W71" s="14" t="str">
        <f>IFERROR(1/(1/INDEX(PMTCT!$AC:$AC,MATCH($E71,PMTCT!$E:$E,0))),"")</f>
        <v/>
      </c>
      <c r="X71" s="14" t="str">
        <f>IFERROR(1/(1/INDEX(PMTCT!$AS:$AS,MATCH($E71,PMTCT!$E:$E,0))),"")</f>
        <v/>
      </c>
      <c r="Y71" s="14" t="str">
        <f>IFERROR(1/(1/INDEX(VMMC!$AA:$AA,MATCH($E71,VMMC!$E:$E,0))),"")</f>
        <v/>
      </c>
      <c r="Z71" s="14" t="str">
        <f t="shared" si="11"/>
        <v/>
      </c>
    </row>
    <row r="72" spans="1:26" x14ac:dyDescent="0.2">
      <c r="A72" t="str">
        <f>INDEX(Prioritization!$D:$D,MATCH($B72,Prioritization!$A:$A,0))</f>
        <v>1 - Scale-up: Saturation</v>
      </c>
      <c r="B72" t="s">
        <v>197</v>
      </c>
      <c r="C72" t="s">
        <v>366</v>
      </c>
      <c r="D72" t="s">
        <v>47</v>
      </c>
      <c r="E72" t="str">
        <f t="shared" si="0"/>
        <v>Lilongwe District [ScR9iFKAasW]|35-49|Male</v>
      </c>
      <c r="F72" s="14"/>
      <c r="G72" s="90">
        <f>0</f>
        <v>0</v>
      </c>
      <c r="H72" s="42" t="str">
        <f t="shared" si="1"/>
        <v/>
      </c>
      <c r="I72" s="14"/>
      <c r="J72" s="90"/>
      <c r="K72" s="90" t="str">
        <f t="shared" si="2"/>
        <v/>
      </c>
      <c r="L72" s="90"/>
      <c r="M72" s="90" t="str">
        <f t="shared" si="3"/>
        <v/>
      </c>
      <c r="N72" s="14" t="str">
        <f t="shared" si="4"/>
        <v/>
      </c>
      <c r="O72" s="42" t="str">
        <f t="shared" si="5"/>
        <v/>
      </c>
      <c r="P72" s="42" t="str">
        <f t="shared" si="6"/>
        <v/>
      </c>
      <c r="Q72" s="42" t="str">
        <f t="shared" si="7"/>
        <v/>
      </c>
      <c r="R72" s="90" t="str">
        <f>IF(SUM($P72)=0,"",INDEX(Cascade!$BG:$BG,MATCH($E72,Cascade!$E:$E,0)))</f>
        <v/>
      </c>
      <c r="S72" s="42" t="str">
        <f t="shared" si="8"/>
        <v/>
      </c>
      <c r="T72" s="42" t="str">
        <f t="shared" si="9"/>
        <v/>
      </c>
      <c r="U72" s="14" t="str">
        <f>IFERROR(1/(1/INDEX(Cascade!$BH:$BH,MATCH($E72,Cascade!$E:$E,0))),"")</f>
        <v/>
      </c>
      <c r="V72" s="14" t="str">
        <f t="shared" si="10"/>
        <v/>
      </c>
      <c r="W72" s="14" t="str">
        <f>IFERROR(1/(1/INDEX(PMTCT!$AC:$AC,MATCH($E72,PMTCT!$E:$E,0))),"")</f>
        <v/>
      </c>
      <c r="X72" s="14" t="str">
        <f>IFERROR(1/(1/INDEX(PMTCT!$AS:$AS,MATCH($E72,PMTCT!$E:$E,0))),"")</f>
        <v/>
      </c>
      <c r="Y72" s="14" t="str">
        <f>IFERROR(1/(1/INDEX(VMMC!$AA:$AA,MATCH($E72,VMMC!$E:$E,0))),"")</f>
        <v/>
      </c>
      <c r="Z72" s="14" t="str">
        <f t="shared" si="11"/>
        <v/>
      </c>
    </row>
    <row r="73" spans="1:26" x14ac:dyDescent="0.2">
      <c r="A73" t="str">
        <f>INDEX(Prioritization!$D:$D,MATCH($B73,Prioritization!$A:$A,0))</f>
        <v>1 - Scale-up: Saturation</v>
      </c>
      <c r="B73" t="s">
        <v>197</v>
      </c>
      <c r="C73" t="s">
        <v>367</v>
      </c>
      <c r="D73" t="s">
        <v>29</v>
      </c>
      <c r="E73" t="str">
        <f t="shared" si="0"/>
        <v>Lilongwe District [ScR9iFKAasW]|50+|Female</v>
      </c>
      <c r="F73" s="14"/>
      <c r="G73" s="90">
        <f>0</f>
        <v>0</v>
      </c>
      <c r="H73" s="42" t="str">
        <f t="shared" si="1"/>
        <v/>
      </c>
      <c r="I73" s="14"/>
      <c r="J73" s="90"/>
      <c r="K73" s="90" t="str">
        <f t="shared" si="2"/>
        <v/>
      </c>
      <c r="L73" s="90"/>
      <c r="M73" s="90" t="str">
        <f t="shared" si="3"/>
        <v/>
      </c>
      <c r="N73" s="14" t="str">
        <f t="shared" si="4"/>
        <v/>
      </c>
      <c r="O73" s="42" t="str">
        <f t="shared" si="5"/>
        <v/>
      </c>
      <c r="P73" s="42" t="str">
        <f t="shared" si="6"/>
        <v/>
      </c>
      <c r="Q73" s="42" t="str">
        <f t="shared" si="7"/>
        <v/>
      </c>
      <c r="R73" s="90" t="str">
        <f>IF(SUM($P73)=0,"",INDEX(Cascade!$BG:$BG,MATCH($E73,Cascade!$E:$E,0)))</f>
        <v/>
      </c>
      <c r="S73" s="42" t="str">
        <f t="shared" si="8"/>
        <v/>
      </c>
      <c r="T73" s="42" t="str">
        <f t="shared" si="9"/>
        <v/>
      </c>
      <c r="U73" s="14" t="str">
        <f>IFERROR(1/(1/INDEX(Cascade!$BH:$BH,MATCH($E73,Cascade!$E:$E,0))),"")</f>
        <v/>
      </c>
      <c r="V73" s="14" t="str">
        <f t="shared" si="10"/>
        <v/>
      </c>
      <c r="W73" s="14" t="str">
        <f>IFERROR(1/(1/INDEX(PMTCT!$AC:$AC,MATCH($E73,PMTCT!$E:$E,0))),"")</f>
        <v/>
      </c>
      <c r="X73" s="14" t="str">
        <f>IFERROR(1/(1/INDEX(PMTCT!$AS:$AS,MATCH($E73,PMTCT!$E:$E,0))),"")</f>
        <v/>
      </c>
      <c r="Y73" s="14" t="str">
        <f>IFERROR(1/(1/INDEX(VMMC!$AA:$AA,MATCH($E73,VMMC!$E:$E,0))),"")</f>
        <v/>
      </c>
      <c r="Z73" s="14" t="str">
        <f t="shared" si="11"/>
        <v/>
      </c>
    </row>
    <row r="74" spans="1:26" x14ac:dyDescent="0.2">
      <c r="A74" t="str">
        <f>INDEX(Prioritization!$D:$D,MATCH($B74,Prioritization!$A:$A,0))</f>
        <v>1 - Scale-up: Saturation</v>
      </c>
      <c r="B74" t="s">
        <v>197</v>
      </c>
      <c r="C74" t="s">
        <v>367</v>
      </c>
      <c r="D74" t="s">
        <v>47</v>
      </c>
      <c r="E74" t="str">
        <f t="shared" si="0"/>
        <v>Lilongwe District [ScR9iFKAasW]|50+|Male</v>
      </c>
      <c r="F74" s="14"/>
      <c r="G74" s="90">
        <f>0</f>
        <v>0</v>
      </c>
      <c r="H74" s="42" t="str">
        <f t="shared" si="1"/>
        <v/>
      </c>
      <c r="I74" s="14"/>
      <c r="J74" s="90"/>
      <c r="K74" s="90" t="str">
        <f t="shared" si="2"/>
        <v/>
      </c>
      <c r="L74" s="90"/>
      <c r="M74" s="90" t="str">
        <f t="shared" si="3"/>
        <v/>
      </c>
      <c r="N74" s="14" t="str">
        <f t="shared" si="4"/>
        <v/>
      </c>
      <c r="O74" s="42" t="str">
        <f t="shared" si="5"/>
        <v/>
      </c>
      <c r="P74" s="42" t="str">
        <f t="shared" si="6"/>
        <v/>
      </c>
      <c r="Q74" s="42" t="str">
        <f t="shared" si="7"/>
        <v/>
      </c>
      <c r="R74" s="90" t="str">
        <f>IF(SUM($P74)=0,"",INDEX(Cascade!$BG:$BG,MATCH($E74,Cascade!$E:$E,0)))</f>
        <v/>
      </c>
      <c r="S74" s="42" t="str">
        <f t="shared" si="8"/>
        <v/>
      </c>
      <c r="T74" s="42" t="str">
        <f t="shared" si="9"/>
        <v/>
      </c>
      <c r="U74" s="14" t="str">
        <f>IFERROR(1/(1/INDEX(Cascade!$BH:$BH,MATCH($E74,Cascade!$E:$E,0))),"")</f>
        <v/>
      </c>
      <c r="V74" s="14" t="str">
        <f t="shared" si="10"/>
        <v/>
      </c>
      <c r="W74" s="14" t="str">
        <f>IFERROR(1/(1/INDEX(PMTCT!$AC:$AC,MATCH($E74,PMTCT!$E:$E,0))),"")</f>
        <v/>
      </c>
      <c r="X74" s="14" t="str">
        <f>IFERROR(1/(1/INDEX(PMTCT!$AS:$AS,MATCH($E74,PMTCT!$E:$E,0))),"")</f>
        <v/>
      </c>
      <c r="Y74" s="14" t="str">
        <f>IFERROR(1/(1/INDEX(VMMC!$AA:$AA,MATCH($E74,VMMC!$E:$E,0))),"")</f>
        <v/>
      </c>
      <c r="Z74" s="14" t="str">
        <f t="shared" si="11"/>
        <v/>
      </c>
    </row>
    <row r="75" spans="1:26" x14ac:dyDescent="0.2">
      <c r="A75" t="str">
        <f>INDEX(Prioritization!$D:$D,MATCH($B75,Prioritization!$A:$A,0))</f>
        <v>1 - Scale-up: Saturation</v>
      </c>
      <c r="B75" t="s">
        <v>198</v>
      </c>
      <c r="C75" t="s">
        <v>362</v>
      </c>
      <c r="D75" t="s">
        <v>29</v>
      </c>
      <c r="E75" t="str">
        <f t="shared" si="0"/>
        <v>Mchinji District [kxuuIFpOXyO]|01-09|Female</v>
      </c>
      <c r="F75" s="14"/>
      <c r="G75" s="90">
        <f>0</f>
        <v>0</v>
      </c>
      <c r="H75" s="42" t="str">
        <f t="shared" si="1"/>
        <v/>
      </c>
      <c r="I75" s="14"/>
      <c r="J75" s="90"/>
      <c r="K75" s="90" t="str">
        <f t="shared" si="2"/>
        <v/>
      </c>
      <c r="L75" s="90"/>
      <c r="M75" s="90" t="str">
        <f t="shared" si="3"/>
        <v/>
      </c>
      <c r="N75" s="14" t="str">
        <f t="shared" si="4"/>
        <v/>
      </c>
      <c r="O75" s="42" t="str">
        <f t="shared" si="5"/>
        <v/>
      </c>
      <c r="P75" s="42" t="str">
        <f t="shared" si="6"/>
        <v/>
      </c>
      <c r="Q75" s="42" t="str">
        <f t="shared" si="7"/>
        <v/>
      </c>
      <c r="R75" s="90" t="str">
        <f>IF(SUM($P75)=0,"",INDEX(Cascade!$BG:$BG,MATCH($E75,Cascade!$E:$E,0)))</f>
        <v/>
      </c>
      <c r="S75" s="42" t="str">
        <f t="shared" si="8"/>
        <v/>
      </c>
      <c r="T75" s="42" t="str">
        <f t="shared" si="9"/>
        <v/>
      </c>
      <c r="U75" s="14" t="str">
        <f>IFERROR(1/(1/INDEX(Cascade!$BH:$BH,MATCH($E75,Cascade!$E:$E,0))),"")</f>
        <v/>
      </c>
      <c r="V75" s="14" t="str">
        <f t="shared" si="10"/>
        <v/>
      </c>
      <c r="W75" s="14" t="str">
        <f>IFERROR(1/(1/INDEX(PMTCT!$AC:$AC,MATCH($E75,PMTCT!$E:$E,0))),"")</f>
        <v/>
      </c>
      <c r="X75" s="14" t="str">
        <f>IFERROR(1/(1/INDEX(PMTCT!$AS:$AS,MATCH($E75,PMTCT!$E:$E,0))),"")</f>
        <v/>
      </c>
      <c r="Y75" s="14" t="str">
        <f>IFERROR(1/(1/INDEX(VMMC!$AA:$AA,MATCH($E75,VMMC!$E:$E,0))),"")</f>
        <v/>
      </c>
      <c r="Z75" s="14" t="str">
        <f t="shared" si="11"/>
        <v/>
      </c>
    </row>
    <row r="76" spans="1:26" x14ac:dyDescent="0.2">
      <c r="A76" t="str">
        <f>INDEX(Prioritization!$D:$D,MATCH($B76,Prioritization!$A:$A,0))</f>
        <v>1 - Scale-up: Saturation</v>
      </c>
      <c r="B76" t="s">
        <v>198</v>
      </c>
      <c r="C76" t="s">
        <v>362</v>
      </c>
      <c r="D76" t="s">
        <v>47</v>
      </c>
      <c r="E76" t="str">
        <f t="shared" si="0"/>
        <v>Mchinji District [kxuuIFpOXyO]|01-09|Male</v>
      </c>
      <c r="F76" s="14"/>
      <c r="G76" s="90">
        <f>0</f>
        <v>0</v>
      </c>
      <c r="H76" s="42" t="str">
        <f t="shared" si="1"/>
        <v/>
      </c>
      <c r="I76" s="14"/>
      <c r="J76" s="90"/>
      <c r="K76" s="90" t="str">
        <f t="shared" si="2"/>
        <v/>
      </c>
      <c r="L76" s="90"/>
      <c r="M76" s="90" t="str">
        <f t="shared" si="3"/>
        <v/>
      </c>
      <c r="N76" s="14" t="str">
        <f t="shared" si="4"/>
        <v/>
      </c>
      <c r="O76" s="42" t="str">
        <f t="shared" si="5"/>
        <v/>
      </c>
      <c r="P76" s="42" t="str">
        <f t="shared" si="6"/>
        <v/>
      </c>
      <c r="Q76" s="42" t="str">
        <f t="shared" si="7"/>
        <v/>
      </c>
      <c r="R76" s="90" t="str">
        <f>IF(SUM($P76)=0,"",INDEX(Cascade!$BG:$BG,MATCH($E76,Cascade!$E:$E,0)))</f>
        <v/>
      </c>
      <c r="S76" s="42" t="str">
        <f t="shared" si="8"/>
        <v/>
      </c>
      <c r="T76" s="42" t="str">
        <f t="shared" si="9"/>
        <v/>
      </c>
      <c r="U76" s="14" t="str">
        <f>IFERROR(1/(1/INDEX(Cascade!$BH:$BH,MATCH($E76,Cascade!$E:$E,0))),"")</f>
        <v/>
      </c>
      <c r="V76" s="14" t="str">
        <f t="shared" si="10"/>
        <v/>
      </c>
      <c r="W76" s="14" t="str">
        <f>IFERROR(1/(1/INDEX(PMTCT!$AC:$AC,MATCH($E76,PMTCT!$E:$E,0))),"")</f>
        <v/>
      </c>
      <c r="X76" s="14" t="str">
        <f>IFERROR(1/(1/INDEX(PMTCT!$AS:$AS,MATCH($E76,PMTCT!$E:$E,0))),"")</f>
        <v/>
      </c>
      <c r="Y76" s="14" t="str">
        <f>IFERROR(1/(1/INDEX(VMMC!$AA:$AA,MATCH($E76,VMMC!$E:$E,0))),"")</f>
        <v/>
      </c>
      <c r="Z76" s="14" t="str">
        <f t="shared" si="11"/>
        <v/>
      </c>
    </row>
    <row r="77" spans="1:26" x14ac:dyDescent="0.2">
      <c r="A77" t="str">
        <f>INDEX(Prioritization!$D:$D,MATCH($B77,Prioritization!$A:$A,0))</f>
        <v>1 - Scale-up: Saturation</v>
      </c>
      <c r="B77" t="s">
        <v>198</v>
      </c>
      <c r="C77" t="s">
        <v>363</v>
      </c>
      <c r="D77" t="s">
        <v>29</v>
      </c>
      <c r="E77" t="str">
        <f t="shared" si="0"/>
        <v>Mchinji District [kxuuIFpOXyO]|10-14|Female</v>
      </c>
      <c r="F77" s="14">
        <v>1</v>
      </c>
      <c r="G77" s="90">
        <f>0</f>
        <v>0</v>
      </c>
      <c r="H77" s="42">
        <f t="shared" si="1"/>
        <v>1</v>
      </c>
      <c r="I77" s="14"/>
      <c r="J77" s="90"/>
      <c r="K77" s="90" t="str">
        <f t="shared" si="2"/>
        <v/>
      </c>
      <c r="L77" s="90"/>
      <c r="M77" s="90" t="str">
        <f t="shared" si="3"/>
        <v/>
      </c>
      <c r="N77" s="14">
        <f t="shared" si="4"/>
        <v>1</v>
      </c>
      <c r="O77" s="42" t="str">
        <f t="shared" si="5"/>
        <v>ENTER KNOWN POSITIVITY RATE</v>
      </c>
      <c r="P77" s="42" t="str">
        <f t="shared" si="6"/>
        <v>ENTER YIELD RATE</v>
      </c>
      <c r="Q77" s="42">
        <f t="shared" si="7"/>
        <v>1</v>
      </c>
      <c r="R77" s="90" t="str">
        <f>IF(SUM($P77)=0,"",INDEX(Cascade!$BG:$BG,MATCH($E77,Cascade!$E:$E,0)))</f>
        <v/>
      </c>
      <c r="S77" s="42" t="str">
        <f t="shared" si="8"/>
        <v>ENTER KNOWN POSITIVITY RATE</v>
      </c>
      <c r="T77" s="42" t="str">
        <f t="shared" si="9"/>
        <v/>
      </c>
      <c r="U77" s="14">
        <f>IFERROR(1/(1/INDEX(Cascade!$BH:$BH,MATCH($E77,Cascade!$E:$E,0))),"")</f>
        <v>-75</v>
      </c>
      <c r="V77" s="14" t="str">
        <f t="shared" si="10"/>
        <v/>
      </c>
      <c r="W77" s="14" t="str">
        <f>IFERROR(1/(1/INDEX(PMTCT!$AC:$AC,MATCH($E77,PMTCT!$E:$E,0))),"")</f>
        <v/>
      </c>
      <c r="X77" s="14" t="str">
        <f>IFERROR(1/(1/INDEX(PMTCT!$AS:$AS,MATCH($E77,PMTCT!$E:$E,0))),"")</f>
        <v/>
      </c>
      <c r="Y77" s="14" t="str">
        <f>IFERROR(1/(1/INDEX(VMMC!$AA:$AA,MATCH($E77,VMMC!$E:$E,0))),"")</f>
        <v/>
      </c>
      <c r="Z77" s="14">
        <f t="shared" si="11"/>
        <v>-75</v>
      </c>
    </row>
    <row r="78" spans="1:26" x14ac:dyDescent="0.2">
      <c r="A78" t="str">
        <f>INDEX(Prioritization!$D:$D,MATCH($B78,Prioritization!$A:$A,0))</f>
        <v>1 - Scale-up: Saturation</v>
      </c>
      <c r="B78" t="s">
        <v>198</v>
      </c>
      <c r="C78" t="s">
        <v>363</v>
      </c>
      <c r="D78" t="s">
        <v>47</v>
      </c>
      <c r="E78" t="str">
        <f t="shared" si="0"/>
        <v>Mchinji District [kxuuIFpOXyO]|10-14|Male</v>
      </c>
      <c r="F78" s="14">
        <v>1</v>
      </c>
      <c r="G78" s="90">
        <f>0</f>
        <v>0</v>
      </c>
      <c r="H78" s="42">
        <f t="shared" si="1"/>
        <v>1</v>
      </c>
      <c r="I78" s="14"/>
      <c r="J78" s="90"/>
      <c r="K78" s="90" t="str">
        <f t="shared" si="2"/>
        <v/>
      </c>
      <c r="L78" s="90"/>
      <c r="M78" s="90" t="str">
        <f t="shared" si="3"/>
        <v/>
      </c>
      <c r="N78" s="14">
        <f t="shared" si="4"/>
        <v>1</v>
      </c>
      <c r="O78" s="42" t="str">
        <f t="shared" si="5"/>
        <v>ENTER KNOWN POSITIVITY RATE</v>
      </c>
      <c r="P78" s="42" t="str">
        <f t="shared" si="6"/>
        <v>ENTER YIELD RATE</v>
      </c>
      <c r="Q78" s="42">
        <f t="shared" si="7"/>
        <v>1</v>
      </c>
      <c r="R78" s="90" t="str">
        <f>IF(SUM($P78)=0,"",INDEX(Cascade!$BG:$BG,MATCH($E78,Cascade!$E:$E,0)))</f>
        <v/>
      </c>
      <c r="S78" s="42" t="str">
        <f t="shared" si="8"/>
        <v>ENTER KNOWN POSITIVITY RATE</v>
      </c>
      <c r="T78" s="42" t="str">
        <f t="shared" si="9"/>
        <v/>
      </c>
      <c r="U78" s="14">
        <f>IFERROR(1/(1/INDEX(Cascade!$BH:$BH,MATCH($E78,Cascade!$E:$E,0))),"")</f>
        <v>-94</v>
      </c>
      <c r="V78" s="14" t="str">
        <f t="shared" si="10"/>
        <v/>
      </c>
      <c r="W78" s="14" t="str">
        <f>IFERROR(1/(1/INDEX(PMTCT!$AC:$AC,MATCH($E78,PMTCT!$E:$E,0))),"")</f>
        <v/>
      </c>
      <c r="X78" s="14" t="str">
        <f>IFERROR(1/(1/INDEX(PMTCT!$AS:$AS,MATCH($E78,PMTCT!$E:$E,0))),"")</f>
        <v/>
      </c>
      <c r="Y78" s="14" t="str">
        <f>IFERROR(1/(1/INDEX(VMMC!$AA:$AA,MATCH($E78,VMMC!$E:$E,0))),"")</f>
        <v/>
      </c>
      <c r="Z78" s="14">
        <f t="shared" si="11"/>
        <v>-94</v>
      </c>
    </row>
    <row r="79" spans="1:26" x14ac:dyDescent="0.2">
      <c r="A79" t="str">
        <f>INDEX(Prioritization!$D:$D,MATCH($B79,Prioritization!$A:$A,0))</f>
        <v>1 - Scale-up: Saturation</v>
      </c>
      <c r="B79" t="s">
        <v>198</v>
      </c>
      <c r="C79" t="s">
        <v>364</v>
      </c>
      <c r="D79" t="s">
        <v>29</v>
      </c>
      <c r="E79" t="str">
        <f t="shared" ref="E79:E142" si="12">B79&amp;"|"&amp;C79&amp;"|"&amp;D79</f>
        <v>Mchinji District [kxuuIFpOXyO]|15-24|Female</v>
      </c>
      <c r="F79" s="14"/>
      <c r="G79" s="90">
        <f>0</f>
        <v>0</v>
      </c>
      <c r="H79" s="42" t="str">
        <f t="shared" ref="H79:H142" si="13">IF(SUM($F79)=0,"",ROUND($F79*(1+$G79),0))</f>
        <v/>
      </c>
      <c r="I79" s="14"/>
      <c r="J79" s="90"/>
      <c r="K79" s="90" t="str">
        <f t="shared" ref="K79:K142" si="14">IF($J79="","",$J79)</f>
        <v/>
      </c>
      <c r="L79" s="90"/>
      <c r="M79" s="90" t="str">
        <f t="shared" ref="M79:M142" si="15">IF($L79="","",$L79)</f>
        <v/>
      </c>
      <c r="N79" s="14" t="str">
        <f t="shared" ref="N79:N142" si="16">$H79</f>
        <v/>
      </c>
      <c r="O79" s="42" t="str">
        <f t="shared" ref="O79:O142" si="17">IF(SUM($N79)=0,"",IF(AND(SUM($N79)&gt;0,$K79=""),"ENTER KNOWN POSITIVITY RATE",ROUND($N79*$K79,0)))</f>
        <v/>
      </c>
      <c r="P79" s="42" t="str">
        <f t="shared" ref="P79:P142" si="18">IF(SUM($N79)=0,"",IF(AND((SUM($N79)-SUM($O79))&gt;0,$M79=""),"ENTER YIELD RATE",ROUND(($N79-SUM($O79))*$M79,0)))</f>
        <v/>
      </c>
      <c r="Q79" s="42" t="str">
        <f t="shared" ref="Q79:Q142" si="19">IF(SUM($N79)=0,"",$N79-SUM($O79)-SUM($P79))</f>
        <v/>
      </c>
      <c r="R79" s="90" t="str">
        <f>IF(SUM($P79)=0,"",INDEX(Cascade!$BG:$BG,MATCH($E79,Cascade!$E:$E,0)))</f>
        <v/>
      </c>
      <c r="S79" s="42" t="str">
        <f t="shared" ref="S79:S142" si="20">$O79</f>
        <v/>
      </c>
      <c r="T79" s="42" t="str">
        <f t="shared" ref="T79:T142" si="21">IF(SUM($P79)=0,"",IF(AND($R79="",SUM($P79)&gt;0),"&lt;- Enter Linkage Rate",ROUND($P79*$R79,0)))</f>
        <v/>
      </c>
      <c r="U79" s="14" t="str">
        <f>IFERROR(1/(1/INDEX(Cascade!$BH:$BH,MATCH($E79,Cascade!$E:$E,0))),"")</f>
        <v/>
      </c>
      <c r="V79" s="14" t="str">
        <f t="shared" ref="V79:V142" si="22">IF(SUM($P79)=0,"",$P79)</f>
        <v/>
      </c>
      <c r="W79" s="14" t="str">
        <f>IFERROR(1/(1/INDEX(PMTCT!$AC:$AC,MATCH($E79,PMTCT!$E:$E,0))),"")</f>
        <v/>
      </c>
      <c r="X79" s="14" t="str">
        <f>IFERROR(1/(1/INDEX(PMTCT!$AS:$AS,MATCH($E79,PMTCT!$E:$E,0))),"")</f>
        <v/>
      </c>
      <c r="Y79" s="14" t="str">
        <f>IFERROR(1/(1/INDEX(VMMC!$AA:$AA,MATCH($E79,VMMC!$E:$E,0))),"")</f>
        <v/>
      </c>
      <c r="Z79" s="14" t="str">
        <f t="shared" ref="Z79:Z142" si="23">IFERROR(1/(1/(SUM($U79)-SUM($V79:$Y79))),"")</f>
        <v/>
      </c>
    </row>
    <row r="80" spans="1:26" x14ac:dyDescent="0.2">
      <c r="A80" t="str">
        <f>INDEX(Prioritization!$D:$D,MATCH($B80,Prioritization!$A:$A,0))</f>
        <v>1 - Scale-up: Saturation</v>
      </c>
      <c r="B80" t="s">
        <v>198</v>
      </c>
      <c r="C80" t="s">
        <v>364</v>
      </c>
      <c r="D80" t="s">
        <v>47</v>
      </c>
      <c r="E80" t="str">
        <f t="shared" si="12"/>
        <v>Mchinji District [kxuuIFpOXyO]|15-24|Male</v>
      </c>
      <c r="F80" s="14"/>
      <c r="G80" s="90">
        <f>0</f>
        <v>0</v>
      </c>
      <c r="H80" s="42" t="str">
        <f t="shared" si="13"/>
        <v/>
      </c>
      <c r="I80" s="14"/>
      <c r="J80" s="90"/>
      <c r="K80" s="90" t="str">
        <f t="shared" si="14"/>
        <v/>
      </c>
      <c r="L80" s="90"/>
      <c r="M80" s="90" t="str">
        <f t="shared" si="15"/>
        <v/>
      </c>
      <c r="N80" s="14" t="str">
        <f t="shared" si="16"/>
        <v/>
      </c>
      <c r="O80" s="42" t="str">
        <f t="shared" si="17"/>
        <v/>
      </c>
      <c r="P80" s="42" t="str">
        <f t="shared" si="18"/>
        <v/>
      </c>
      <c r="Q80" s="42" t="str">
        <f t="shared" si="19"/>
        <v/>
      </c>
      <c r="R80" s="90" t="str">
        <f>IF(SUM($P80)=0,"",INDEX(Cascade!$BG:$BG,MATCH($E80,Cascade!$E:$E,0)))</f>
        <v/>
      </c>
      <c r="S80" s="42" t="str">
        <f t="shared" si="20"/>
        <v/>
      </c>
      <c r="T80" s="42" t="str">
        <f t="shared" si="21"/>
        <v/>
      </c>
      <c r="U80" s="14" t="str">
        <f>IFERROR(1/(1/INDEX(Cascade!$BH:$BH,MATCH($E80,Cascade!$E:$E,0))),"")</f>
        <v/>
      </c>
      <c r="V80" s="14" t="str">
        <f t="shared" si="22"/>
        <v/>
      </c>
      <c r="W80" s="14" t="str">
        <f>IFERROR(1/(1/INDEX(PMTCT!$AC:$AC,MATCH($E80,PMTCT!$E:$E,0))),"")</f>
        <v/>
      </c>
      <c r="X80" s="14" t="str">
        <f>IFERROR(1/(1/INDEX(PMTCT!$AS:$AS,MATCH($E80,PMTCT!$E:$E,0))),"")</f>
        <v/>
      </c>
      <c r="Y80" s="14" t="str">
        <f>IFERROR(1/(1/INDEX(VMMC!$AA:$AA,MATCH($E80,VMMC!$E:$E,0))),"")</f>
        <v/>
      </c>
      <c r="Z80" s="14" t="str">
        <f t="shared" si="23"/>
        <v/>
      </c>
    </row>
    <row r="81" spans="1:26" x14ac:dyDescent="0.2">
      <c r="A81" t="str">
        <f>INDEX(Prioritization!$D:$D,MATCH($B81,Prioritization!$A:$A,0))</f>
        <v>1 - Scale-up: Saturation</v>
      </c>
      <c r="B81" t="s">
        <v>198</v>
      </c>
      <c r="C81" t="s">
        <v>365</v>
      </c>
      <c r="D81" t="s">
        <v>29</v>
      </c>
      <c r="E81" t="str">
        <f t="shared" si="12"/>
        <v>Mchinji District [kxuuIFpOXyO]|25-34|Female</v>
      </c>
      <c r="F81" s="14"/>
      <c r="G81" s="90">
        <f>0</f>
        <v>0</v>
      </c>
      <c r="H81" s="42" t="str">
        <f t="shared" si="13"/>
        <v/>
      </c>
      <c r="I81" s="14"/>
      <c r="J81" s="90"/>
      <c r="K81" s="90" t="str">
        <f t="shared" si="14"/>
        <v/>
      </c>
      <c r="L81" s="90"/>
      <c r="M81" s="90" t="str">
        <f t="shared" si="15"/>
        <v/>
      </c>
      <c r="N81" s="14" t="str">
        <f t="shared" si="16"/>
        <v/>
      </c>
      <c r="O81" s="42" t="str">
        <f t="shared" si="17"/>
        <v/>
      </c>
      <c r="P81" s="42" t="str">
        <f t="shared" si="18"/>
        <v/>
      </c>
      <c r="Q81" s="42" t="str">
        <f t="shared" si="19"/>
        <v/>
      </c>
      <c r="R81" s="90" t="str">
        <f>IF(SUM($P81)=0,"",INDEX(Cascade!$BG:$BG,MATCH($E81,Cascade!$E:$E,0)))</f>
        <v/>
      </c>
      <c r="S81" s="42" t="str">
        <f t="shared" si="20"/>
        <v/>
      </c>
      <c r="T81" s="42" t="str">
        <f t="shared" si="21"/>
        <v/>
      </c>
      <c r="U81" s="14" t="str">
        <f>IFERROR(1/(1/INDEX(Cascade!$BH:$BH,MATCH($E81,Cascade!$E:$E,0))),"")</f>
        <v/>
      </c>
      <c r="V81" s="14" t="str">
        <f t="shared" si="22"/>
        <v/>
      </c>
      <c r="W81" s="14" t="str">
        <f>IFERROR(1/(1/INDEX(PMTCT!$AC:$AC,MATCH($E81,PMTCT!$E:$E,0))),"")</f>
        <v/>
      </c>
      <c r="X81" s="14" t="str">
        <f>IFERROR(1/(1/INDEX(PMTCT!$AS:$AS,MATCH($E81,PMTCT!$E:$E,0))),"")</f>
        <v/>
      </c>
      <c r="Y81" s="14" t="str">
        <f>IFERROR(1/(1/INDEX(VMMC!$AA:$AA,MATCH($E81,VMMC!$E:$E,0))),"")</f>
        <v/>
      </c>
      <c r="Z81" s="14" t="str">
        <f t="shared" si="23"/>
        <v/>
      </c>
    </row>
    <row r="82" spans="1:26" x14ac:dyDescent="0.2">
      <c r="A82" t="str">
        <f>INDEX(Prioritization!$D:$D,MATCH($B82,Prioritization!$A:$A,0))</f>
        <v>1 - Scale-up: Saturation</v>
      </c>
      <c r="B82" t="s">
        <v>198</v>
      </c>
      <c r="C82" t="s">
        <v>365</v>
      </c>
      <c r="D82" t="s">
        <v>47</v>
      </c>
      <c r="E82" t="str">
        <f t="shared" si="12"/>
        <v>Mchinji District [kxuuIFpOXyO]|25-34|Male</v>
      </c>
      <c r="F82" s="14"/>
      <c r="G82" s="90">
        <f>0</f>
        <v>0</v>
      </c>
      <c r="H82" s="42" t="str">
        <f t="shared" si="13"/>
        <v/>
      </c>
      <c r="I82" s="14"/>
      <c r="J82" s="90"/>
      <c r="K82" s="90" t="str">
        <f t="shared" si="14"/>
        <v/>
      </c>
      <c r="L82" s="90"/>
      <c r="M82" s="90" t="str">
        <f t="shared" si="15"/>
        <v/>
      </c>
      <c r="N82" s="14" t="str">
        <f t="shared" si="16"/>
        <v/>
      </c>
      <c r="O82" s="42" t="str">
        <f t="shared" si="17"/>
        <v/>
      </c>
      <c r="P82" s="42" t="str">
        <f t="shared" si="18"/>
        <v/>
      </c>
      <c r="Q82" s="42" t="str">
        <f t="shared" si="19"/>
        <v/>
      </c>
      <c r="R82" s="90" t="str">
        <f>IF(SUM($P82)=0,"",INDEX(Cascade!$BG:$BG,MATCH($E82,Cascade!$E:$E,0)))</f>
        <v/>
      </c>
      <c r="S82" s="42" t="str">
        <f t="shared" si="20"/>
        <v/>
      </c>
      <c r="T82" s="42" t="str">
        <f t="shared" si="21"/>
        <v/>
      </c>
      <c r="U82" s="14" t="str">
        <f>IFERROR(1/(1/INDEX(Cascade!$BH:$BH,MATCH($E82,Cascade!$E:$E,0))),"")</f>
        <v/>
      </c>
      <c r="V82" s="14" t="str">
        <f t="shared" si="22"/>
        <v/>
      </c>
      <c r="W82" s="14" t="str">
        <f>IFERROR(1/(1/INDEX(PMTCT!$AC:$AC,MATCH($E82,PMTCT!$E:$E,0))),"")</f>
        <v/>
      </c>
      <c r="X82" s="14" t="str">
        <f>IFERROR(1/(1/INDEX(PMTCT!$AS:$AS,MATCH($E82,PMTCT!$E:$E,0))),"")</f>
        <v/>
      </c>
      <c r="Y82" s="14" t="str">
        <f>IFERROR(1/(1/INDEX(VMMC!$AA:$AA,MATCH($E82,VMMC!$E:$E,0))),"")</f>
        <v/>
      </c>
      <c r="Z82" s="14" t="str">
        <f t="shared" si="23"/>
        <v/>
      </c>
    </row>
    <row r="83" spans="1:26" x14ac:dyDescent="0.2">
      <c r="A83" t="str">
        <f>INDEX(Prioritization!$D:$D,MATCH($B83,Prioritization!$A:$A,0))</f>
        <v>1 - Scale-up: Saturation</v>
      </c>
      <c r="B83" t="s">
        <v>198</v>
      </c>
      <c r="C83" t="s">
        <v>366</v>
      </c>
      <c r="D83" t="s">
        <v>29</v>
      </c>
      <c r="E83" t="str">
        <f t="shared" si="12"/>
        <v>Mchinji District [kxuuIFpOXyO]|35-49|Female</v>
      </c>
      <c r="F83" s="14"/>
      <c r="G83" s="90">
        <f>0</f>
        <v>0</v>
      </c>
      <c r="H83" s="42" t="str">
        <f t="shared" si="13"/>
        <v/>
      </c>
      <c r="I83" s="14"/>
      <c r="J83" s="90"/>
      <c r="K83" s="90" t="str">
        <f t="shared" si="14"/>
        <v/>
      </c>
      <c r="L83" s="90"/>
      <c r="M83" s="90" t="str">
        <f t="shared" si="15"/>
        <v/>
      </c>
      <c r="N83" s="14" t="str">
        <f t="shared" si="16"/>
        <v/>
      </c>
      <c r="O83" s="42" t="str">
        <f t="shared" si="17"/>
        <v/>
      </c>
      <c r="P83" s="42" t="str">
        <f t="shared" si="18"/>
        <v/>
      </c>
      <c r="Q83" s="42" t="str">
        <f t="shared" si="19"/>
        <v/>
      </c>
      <c r="R83" s="90" t="str">
        <f>IF(SUM($P83)=0,"",INDEX(Cascade!$BG:$BG,MATCH($E83,Cascade!$E:$E,0)))</f>
        <v/>
      </c>
      <c r="S83" s="42" t="str">
        <f t="shared" si="20"/>
        <v/>
      </c>
      <c r="T83" s="42" t="str">
        <f t="shared" si="21"/>
        <v/>
      </c>
      <c r="U83" s="14" t="str">
        <f>IFERROR(1/(1/INDEX(Cascade!$BH:$BH,MATCH($E83,Cascade!$E:$E,0))),"")</f>
        <v/>
      </c>
      <c r="V83" s="14" t="str">
        <f t="shared" si="22"/>
        <v/>
      </c>
      <c r="W83" s="14" t="str">
        <f>IFERROR(1/(1/INDEX(PMTCT!$AC:$AC,MATCH($E83,PMTCT!$E:$E,0))),"")</f>
        <v/>
      </c>
      <c r="X83" s="14" t="str">
        <f>IFERROR(1/(1/INDEX(PMTCT!$AS:$AS,MATCH($E83,PMTCT!$E:$E,0))),"")</f>
        <v/>
      </c>
      <c r="Y83" s="14" t="str">
        <f>IFERROR(1/(1/INDEX(VMMC!$AA:$AA,MATCH($E83,VMMC!$E:$E,0))),"")</f>
        <v/>
      </c>
      <c r="Z83" s="14" t="str">
        <f t="shared" si="23"/>
        <v/>
      </c>
    </row>
    <row r="84" spans="1:26" x14ac:dyDescent="0.2">
      <c r="A84" t="str">
        <f>INDEX(Prioritization!$D:$D,MATCH($B84,Prioritization!$A:$A,0))</f>
        <v>1 - Scale-up: Saturation</v>
      </c>
      <c r="B84" t="s">
        <v>198</v>
      </c>
      <c r="C84" t="s">
        <v>366</v>
      </c>
      <c r="D84" t="s">
        <v>47</v>
      </c>
      <c r="E84" t="str">
        <f t="shared" si="12"/>
        <v>Mchinji District [kxuuIFpOXyO]|35-49|Male</v>
      </c>
      <c r="F84" s="14"/>
      <c r="G84" s="90">
        <f>0</f>
        <v>0</v>
      </c>
      <c r="H84" s="42" t="str">
        <f t="shared" si="13"/>
        <v/>
      </c>
      <c r="I84" s="14"/>
      <c r="J84" s="90"/>
      <c r="K84" s="90" t="str">
        <f t="shared" si="14"/>
        <v/>
      </c>
      <c r="L84" s="90"/>
      <c r="M84" s="90" t="str">
        <f t="shared" si="15"/>
        <v/>
      </c>
      <c r="N84" s="14" t="str">
        <f t="shared" si="16"/>
        <v/>
      </c>
      <c r="O84" s="42" t="str">
        <f t="shared" si="17"/>
        <v/>
      </c>
      <c r="P84" s="42" t="str">
        <f t="shared" si="18"/>
        <v/>
      </c>
      <c r="Q84" s="42" t="str">
        <f t="shared" si="19"/>
        <v/>
      </c>
      <c r="R84" s="90" t="str">
        <f>IF(SUM($P84)=0,"",INDEX(Cascade!$BG:$BG,MATCH($E84,Cascade!$E:$E,0)))</f>
        <v/>
      </c>
      <c r="S84" s="42" t="str">
        <f t="shared" si="20"/>
        <v/>
      </c>
      <c r="T84" s="42" t="str">
        <f t="shared" si="21"/>
        <v/>
      </c>
      <c r="U84" s="14" t="str">
        <f>IFERROR(1/(1/INDEX(Cascade!$BH:$BH,MATCH($E84,Cascade!$E:$E,0))),"")</f>
        <v/>
      </c>
      <c r="V84" s="14" t="str">
        <f t="shared" si="22"/>
        <v/>
      </c>
      <c r="W84" s="14" t="str">
        <f>IFERROR(1/(1/INDEX(PMTCT!$AC:$AC,MATCH($E84,PMTCT!$E:$E,0))),"")</f>
        <v/>
      </c>
      <c r="X84" s="14" t="str">
        <f>IFERROR(1/(1/INDEX(PMTCT!$AS:$AS,MATCH($E84,PMTCT!$E:$E,0))),"")</f>
        <v/>
      </c>
      <c r="Y84" s="14" t="str">
        <f>IFERROR(1/(1/INDEX(VMMC!$AA:$AA,MATCH($E84,VMMC!$E:$E,0))),"")</f>
        <v/>
      </c>
      <c r="Z84" s="14" t="str">
        <f t="shared" si="23"/>
        <v/>
      </c>
    </row>
    <row r="85" spans="1:26" x14ac:dyDescent="0.2">
      <c r="A85" t="str">
        <f>INDEX(Prioritization!$D:$D,MATCH($B85,Prioritization!$A:$A,0))</f>
        <v>1 - Scale-up: Saturation</v>
      </c>
      <c r="B85" t="s">
        <v>198</v>
      </c>
      <c r="C85" t="s">
        <v>367</v>
      </c>
      <c r="D85" t="s">
        <v>29</v>
      </c>
      <c r="E85" t="str">
        <f t="shared" si="12"/>
        <v>Mchinji District [kxuuIFpOXyO]|50+|Female</v>
      </c>
      <c r="F85" s="14"/>
      <c r="G85" s="90">
        <f>0</f>
        <v>0</v>
      </c>
      <c r="H85" s="42" t="str">
        <f t="shared" si="13"/>
        <v/>
      </c>
      <c r="I85" s="14"/>
      <c r="J85" s="90"/>
      <c r="K85" s="90" t="str">
        <f t="shared" si="14"/>
        <v/>
      </c>
      <c r="L85" s="90"/>
      <c r="M85" s="90" t="str">
        <f t="shared" si="15"/>
        <v/>
      </c>
      <c r="N85" s="14" t="str">
        <f t="shared" si="16"/>
        <v/>
      </c>
      <c r="O85" s="42" t="str">
        <f t="shared" si="17"/>
        <v/>
      </c>
      <c r="P85" s="42" t="str">
        <f t="shared" si="18"/>
        <v/>
      </c>
      <c r="Q85" s="42" t="str">
        <f t="shared" si="19"/>
        <v/>
      </c>
      <c r="R85" s="90" t="str">
        <f>IF(SUM($P85)=0,"",INDEX(Cascade!$BG:$BG,MATCH($E85,Cascade!$E:$E,0)))</f>
        <v/>
      </c>
      <c r="S85" s="42" t="str">
        <f t="shared" si="20"/>
        <v/>
      </c>
      <c r="T85" s="42" t="str">
        <f t="shared" si="21"/>
        <v/>
      </c>
      <c r="U85" s="14" t="str">
        <f>IFERROR(1/(1/INDEX(Cascade!$BH:$BH,MATCH($E85,Cascade!$E:$E,0))),"")</f>
        <v/>
      </c>
      <c r="V85" s="14" t="str">
        <f t="shared" si="22"/>
        <v/>
      </c>
      <c r="W85" s="14" t="str">
        <f>IFERROR(1/(1/INDEX(PMTCT!$AC:$AC,MATCH($E85,PMTCT!$E:$E,0))),"")</f>
        <v/>
      </c>
      <c r="X85" s="14" t="str">
        <f>IFERROR(1/(1/INDEX(PMTCT!$AS:$AS,MATCH($E85,PMTCT!$E:$E,0))),"")</f>
        <v/>
      </c>
      <c r="Y85" s="14" t="str">
        <f>IFERROR(1/(1/INDEX(VMMC!$AA:$AA,MATCH($E85,VMMC!$E:$E,0))),"")</f>
        <v/>
      </c>
      <c r="Z85" s="14" t="str">
        <f t="shared" si="23"/>
        <v/>
      </c>
    </row>
    <row r="86" spans="1:26" x14ac:dyDescent="0.2">
      <c r="A86" t="str">
        <f>INDEX(Prioritization!$D:$D,MATCH($B86,Prioritization!$A:$A,0))</f>
        <v>1 - Scale-up: Saturation</v>
      </c>
      <c r="B86" t="s">
        <v>198</v>
      </c>
      <c r="C86" t="s">
        <v>367</v>
      </c>
      <c r="D86" t="s">
        <v>47</v>
      </c>
      <c r="E86" t="str">
        <f t="shared" si="12"/>
        <v>Mchinji District [kxuuIFpOXyO]|50+|Male</v>
      </c>
      <c r="F86" s="14"/>
      <c r="G86" s="90">
        <f>0</f>
        <v>0</v>
      </c>
      <c r="H86" s="42" t="str">
        <f t="shared" si="13"/>
        <v/>
      </c>
      <c r="I86" s="14"/>
      <c r="J86" s="90"/>
      <c r="K86" s="90" t="str">
        <f t="shared" si="14"/>
        <v/>
      </c>
      <c r="L86" s="90"/>
      <c r="M86" s="90" t="str">
        <f t="shared" si="15"/>
        <v/>
      </c>
      <c r="N86" s="14" t="str">
        <f t="shared" si="16"/>
        <v/>
      </c>
      <c r="O86" s="42" t="str">
        <f t="shared" si="17"/>
        <v/>
      </c>
      <c r="P86" s="42" t="str">
        <f t="shared" si="18"/>
        <v/>
      </c>
      <c r="Q86" s="42" t="str">
        <f t="shared" si="19"/>
        <v/>
      </c>
      <c r="R86" s="90" t="str">
        <f>IF(SUM($P86)=0,"",INDEX(Cascade!$BG:$BG,MATCH($E86,Cascade!$E:$E,0)))</f>
        <v/>
      </c>
      <c r="S86" s="42" t="str">
        <f t="shared" si="20"/>
        <v/>
      </c>
      <c r="T86" s="42" t="str">
        <f t="shared" si="21"/>
        <v/>
      </c>
      <c r="U86" s="14" t="str">
        <f>IFERROR(1/(1/INDEX(Cascade!$BH:$BH,MATCH($E86,Cascade!$E:$E,0))),"")</f>
        <v/>
      </c>
      <c r="V86" s="14" t="str">
        <f t="shared" si="22"/>
        <v/>
      </c>
      <c r="W86" s="14" t="str">
        <f>IFERROR(1/(1/INDEX(PMTCT!$AC:$AC,MATCH($E86,PMTCT!$E:$E,0))),"")</f>
        <v/>
      </c>
      <c r="X86" s="14" t="str">
        <f>IFERROR(1/(1/INDEX(PMTCT!$AS:$AS,MATCH($E86,PMTCT!$E:$E,0))),"")</f>
        <v/>
      </c>
      <c r="Y86" s="14" t="str">
        <f>IFERROR(1/(1/INDEX(VMMC!$AA:$AA,MATCH($E86,VMMC!$E:$E,0))),"")</f>
        <v/>
      </c>
      <c r="Z86" s="14" t="str">
        <f t="shared" si="23"/>
        <v/>
      </c>
    </row>
    <row r="87" spans="1:26" x14ac:dyDescent="0.2">
      <c r="A87" t="str">
        <f>INDEX(Prioritization!$D:$D,MATCH($B87,Prioritization!$A:$A,0))</f>
        <v>1 - Scale-up: Saturation</v>
      </c>
      <c r="B87" t="s">
        <v>199</v>
      </c>
      <c r="C87" t="s">
        <v>362</v>
      </c>
      <c r="D87" t="s">
        <v>29</v>
      </c>
      <c r="E87" t="str">
        <f t="shared" si="12"/>
        <v>Nkhotakota District [YCKiBAp8QAg]|01-09|Female</v>
      </c>
      <c r="F87" s="14"/>
      <c r="G87" s="90">
        <f>0</f>
        <v>0</v>
      </c>
      <c r="H87" s="42" t="str">
        <f t="shared" si="13"/>
        <v/>
      </c>
      <c r="I87" s="14"/>
      <c r="J87" s="90"/>
      <c r="K87" s="90" t="str">
        <f t="shared" si="14"/>
        <v/>
      </c>
      <c r="L87" s="90"/>
      <c r="M87" s="90" t="str">
        <f t="shared" si="15"/>
        <v/>
      </c>
      <c r="N87" s="14" t="str">
        <f t="shared" si="16"/>
        <v/>
      </c>
      <c r="O87" s="42" t="str">
        <f t="shared" si="17"/>
        <v/>
      </c>
      <c r="P87" s="42" t="str">
        <f t="shared" si="18"/>
        <v/>
      </c>
      <c r="Q87" s="42" t="str">
        <f t="shared" si="19"/>
        <v/>
      </c>
      <c r="R87" s="90" t="str">
        <f>IF(SUM($P87)=0,"",INDEX(Cascade!$BG:$BG,MATCH($E87,Cascade!$E:$E,0)))</f>
        <v/>
      </c>
      <c r="S87" s="42" t="str">
        <f t="shared" si="20"/>
        <v/>
      </c>
      <c r="T87" s="42" t="str">
        <f t="shared" si="21"/>
        <v/>
      </c>
      <c r="U87" s="14" t="str">
        <f>IFERROR(1/(1/INDEX(Cascade!$BH:$BH,MATCH($E87,Cascade!$E:$E,0))),"")</f>
        <v/>
      </c>
      <c r="V87" s="14" t="str">
        <f t="shared" si="22"/>
        <v/>
      </c>
      <c r="W87" s="14" t="str">
        <f>IFERROR(1/(1/INDEX(PMTCT!$AC:$AC,MATCH($E87,PMTCT!$E:$E,0))),"")</f>
        <v/>
      </c>
      <c r="X87" s="14" t="str">
        <f>IFERROR(1/(1/INDEX(PMTCT!$AS:$AS,MATCH($E87,PMTCT!$E:$E,0))),"")</f>
        <v/>
      </c>
      <c r="Y87" s="14" t="str">
        <f>IFERROR(1/(1/INDEX(VMMC!$AA:$AA,MATCH($E87,VMMC!$E:$E,0))),"")</f>
        <v/>
      </c>
      <c r="Z87" s="14" t="str">
        <f t="shared" si="23"/>
        <v/>
      </c>
    </row>
    <row r="88" spans="1:26" x14ac:dyDescent="0.2">
      <c r="A88" t="str">
        <f>INDEX(Prioritization!$D:$D,MATCH($B88,Prioritization!$A:$A,0))</f>
        <v>1 - Scale-up: Saturation</v>
      </c>
      <c r="B88" t="s">
        <v>199</v>
      </c>
      <c r="C88" t="s">
        <v>362</v>
      </c>
      <c r="D88" t="s">
        <v>47</v>
      </c>
      <c r="E88" t="str">
        <f t="shared" si="12"/>
        <v>Nkhotakota District [YCKiBAp8QAg]|01-09|Male</v>
      </c>
      <c r="F88" s="14"/>
      <c r="G88" s="90">
        <f>0</f>
        <v>0</v>
      </c>
      <c r="H88" s="42" t="str">
        <f t="shared" si="13"/>
        <v/>
      </c>
      <c r="I88" s="14"/>
      <c r="J88" s="90"/>
      <c r="K88" s="90" t="str">
        <f t="shared" si="14"/>
        <v/>
      </c>
      <c r="L88" s="90"/>
      <c r="M88" s="90" t="str">
        <f t="shared" si="15"/>
        <v/>
      </c>
      <c r="N88" s="14" t="str">
        <f t="shared" si="16"/>
        <v/>
      </c>
      <c r="O88" s="42" t="str">
        <f t="shared" si="17"/>
        <v/>
      </c>
      <c r="P88" s="42" t="str">
        <f t="shared" si="18"/>
        <v/>
      </c>
      <c r="Q88" s="42" t="str">
        <f t="shared" si="19"/>
        <v/>
      </c>
      <c r="R88" s="90" t="str">
        <f>IF(SUM($P88)=0,"",INDEX(Cascade!$BG:$BG,MATCH($E88,Cascade!$E:$E,0)))</f>
        <v/>
      </c>
      <c r="S88" s="42" t="str">
        <f t="shared" si="20"/>
        <v/>
      </c>
      <c r="T88" s="42" t="str">
        <f t="shared" si="21"/>
        <v/>
      </c>
      <c r="U88" s="14" t="str">
        <f>IFERROR(1/(1/INDEX(Cascade!$BH:$BH,MATCH($E88,Cascade!$E:$E,0))),"")</f>
        <v/>
      </c>
      <c r="V88" s="14" t="str">
        <f t="shared" si="22"/>
        <v/>
      </c>
      <c r="W88" s="14" t="str">
        <f>IFERROR(1/(1/INDEX(PMTCT!$AC:$AC,MATCH($E88,PMTCT!$E:$E,0))),"")</f>
        <v/>
      </c>
      <c r="X88" s="14" t="str">
        <f>IFERROR(1/(1/INDEX(PMTCT!$AS:$AS,MATCH($E88,PMTCT!$E:$E,0))),"")</f>
        <v/>
      </c>
      <c r="Y88" s="14" t="str">
        <f>IFERROR(1/(1/INDEX(VMMC!$AA:$AA,MATCH($E88,VMMC!$E:$E,0))),"")</f>
        <v/>
      </c>
      <c r="Z88" s="14" t="str">
        <f t="shared" si="23"/>
        <v/>
      </c>
    </row>
    <row r="89" spans="1:26" x14ac:dyDescent="0.2">
      <c r="A89" t="str">
        <f>INDEX(Prioritization!$D:$D,MATCH($B89,Prioritization!$A:$A,0))</f>
        <v>1 - Scale-up: Saturation</v>
      </c>
      <c r="B89" t="s">
        <v>199</v>
      </c>
      <c r="C89" t="s">
        <v>363</v>
      </c>
      <c r="D89" t="s">
        <v>29</v>
      </c>
      <c r="E89" t="str">
        <f t="shared" si="12"/>
        <v>Nkhotakota District [YCKiBAp8QAg]|10-14|Female</v>
      </c>
      <c r="F89" s="14">
        <v>1</v>
      </c>
      <c r="G89" s="90">
        <f>0</f>
        <v>0</v>
      </c>
      <c r="H89" s="42">
        <f t="shared" si="13"/>
        <v>1</v>
      </c>
      <c r="I89" s="14"/>
      <c r="J89" s="90"/>
      <c r="K89" s="90" t="str">
        <f t="shared" si="14"/>
        <v/>
      </c>
      <c r="L89" s="90"/>
      <c r="M89" s="90" t="str">
        <f t="shared" si="15"/>
        <v/>
      </c>
      <c r="N89" s="14">
        <f t="shared" si="16"/>
        <v>1</v>
      </c>
      <c r="O89" s="42" t="str">
        <f t="shared" si="17"/>
        <v>ENTER KNOWN POSITIVITY RATE</v>
      </c>
      <c r="P89" s="42" t="str">
        <f t="shared" si="18"/>
        <v>ENTER YIELD RATE</v>
      </c>
      <c r="Q89" s="42">
        <f t="shared" si="19"/>
        <v>1</v>
      </c>
      <c r="R89" s="90" t="str">
        <f>IF(SUM($P89)=0,"",INDEX(Cascade!$BG:$BG,MATCH($E89,Cascade!$E:$E,0)))</f>
        <v/>
      </c>
      <c r="S89" s="42" t="str">
        <f t="shared" si="20"/>
        <v>ENTER KNOWN POSITIVITY RATE</v>
      </c>
      <c r="T89" s="42" t="str">
        <f t="shared" si="21"/>
        <v/>
      </c>
      <c r="U89" s="14">
        <f>IFERROR(1/(1/INDEX(Cascade!$BH:$BH,MATCH($E89,Cascade!$E:$E,0))),"")</f>
        <v>-86</v>
      </c>
      <c r="V89" s="14" t="str">
        <f t="shared" si="22"/>
        <v/>
      </c>
      <c r="W89" s="14" t="str">
        <f>IFERROR(1/(1/INDEX(PMTCT!$AC:$AC,MATCH($E89,PMTCT!$E:$E,0))),"")</f>
        <v/>
      </c>
      <c r="X89" s="14" t="str">
        <f>IFERROR(1/(1/INDEX(PMTCT!$AS:$AS,MATCH($E89,PMTCT!$E:$E,0))),"")</f>
        <v/>
      </c>
      <c r="Y89" s="14" t="str">
        <f>IFERROR(1/(1/INDEX(VMMC!$AA:$AA,MATCH($E89,VMMC!$E:$E,0))),"")</f>
        <v/>
      </c>
      <c r="Z89" s="14">
        <f t="shared" si="23"/>
        <v>-86</v>
      </c>
    </row>
    <row r="90" spans="1:26" x14ac:dyDescent="0.2">
      <c r="A90" t="str">
        <f>INDEX(Prioritization!$D:$D,MATCH($B90,Prioritization!$A:$A,0))</f>
        <v>1 - Scale-up: Saturation</v>
      </c>
      <c r="B90" t="s">
        <v>199</v>
      </c>
      <c r="C90" t="s">
        <v>363</v>
      </c>
      <c r="D90" t="s">
        <v>47</v>
      </c>
      <c r="E90" t="str">
        <f t="shared" si="12"/>
        <v>Nkhotakota District [YCKiBAp8QAg]|10-14|Male</v>
      </c>
      <c r="F90" s="14">
        <v>0</v>
      </c>
      <c r="G90" s="90">
        <f>0</f>
        <v>0</v>
      </c>
      <c r="H90" s="42" t="str">
        <f t="shared" si="13"/>
        <v/>
      </c>
      <c r="I90" s="14"/>
      <c r="J90" s="90"/>
      <c r="K90" s="90" t="str">
        <f t="shared" si="14"/>
        <v/>
      </c>
      <c r="L90" s="90"/>
      <c r="M90" s="90" t="str">
        <f t="shared" si="15"/>
        <v/>
      </c>
      <c r="N90" s="14" t="str">
        <f t="shared" si="16"/>
        <v/>
      </c>
      <c r="O90" s="42" t="str">
        <f t="shared" si="17"/>
        <v/>
      </c>
      <c r="P90" s="42" t="str">
        <f t="shared" si="18"/>
        <v/>
      </c>
      <c r="Q90" s="42" t="str">
        <f t="shared" si="19"/>
        <v/>
      </c>
      <c r="R90" s="90" t="str">
        <f>IF(SUM($P90)=0,"",INDEX(Cascade!$BG:$BG,MATCH($E90,Cascade!$E:$E,0)))</f>
        <v/>
      </c>
      <c r="S90" s="42" t="str">
        <f t="shared" si="20"/>
        <v/>
      </c>
      <c r="T90" s="42" t="str">
        <f t="shared" si="21"/>
        <v/>
      </c>
      <c r="U90" s="14">
        <f>IFERROR(1/(1/INDEX(Cascade!$BH:$BH,MATCH($E90,Cascade!$E:$E,0))),"")</f>
        <v>-86</v>
      </c>
      <c r="V90" s="14" t="str">
        <f t="shared" si="22"/>
        <v/>
      </c>
      <c r="W90" s="14" t="str">
        <f>IFERROR(1/(1/INDEX(PMTCT!$AC:$AC,MATCH($E90,PMTCT!$E:$E,0))),"")</f>
        <v/>
      </c>
      <c r="X90" s="14" t="str">
        <f>IFERROR(1/(1/INDEX(PMTCT!$AS:$AS,MATCH($E90,PMTCT!$E:$E,0))),"")</f>
        <v/>
      </c>
      <c r="Y90" s="14" t="str">
        <f>IFERROR(1/(1/INDEX(VMMC!$AA:$AA,MATCH($E90,VMMC!$E:$E,0))),"")</f>
        <v/>
      </c>
      <c r="Z90" s="14">
        <f t="shared" si="23"/>
        <v>-86</v>
      </c>
    </row>
    <row r="91" spans="1:26" x14ac:dyDescent="0.2">
      <c r="A91" t="str">
        <f>INDEX(Prioritization!$D:$D,MATCH($B91,Prioritization!$A:$A,0))</f>
        <v>1 - Scale-up: Saturation</v>
      </c>
      <c r="B91" t="s">
        <v>199</v>
      </c>
      <c r="C91" t="s">
        <v>364</v>
      </c>
      <c r="D91" t="s">
        <v>29</v>
      </c>
      <c r="E91" t="str">
        <f t="shared" si="12"/>
        <v>Nkhotakota District [YCKiBAp8QAg]|15-24|Female</v>
      </c>
      <c r="F91" s="14"/>
      <c r="G91" s="90">
        <f>0</f>
        <v>0</v>
      </c>
      <c r="H91" s="42" t="str">
        <f t="shared" si="13"/>
        <v/>
      </c>
      <c r="I91" s="14"/>
      <c r="J91" s="90"/>
      <c r="K91" s="90" t="str">
        <f t="shared" si="14"/>
        <v/>
      </c>
      <c r="L91" s="90"/>
      <c r="M91" s="90" t="str">
        <f t="shared" si="15"/>
        <v/>
      </c>
      <c r="N91" s="14" t="str">
        <f t="shared" si="16"/>
        <v/>
      </c>
      <c r="O91" s="42" t="str">
        <f t="shared" si="17"/>
        <v/>
      </c>
      <c r="P91" s="42" t="str">
        <f t="shared" si="18"/>
        <v/>
      </c>
      <c r="Q91" s="42" t="str">
        <f t="shared" si="19"/>
        <v/>
      </c>
      <c r="R91" s="90" t="str">
        <f>IF(SUM($P91)=0,"",INDEX(Cascade!$BG:$BG,MATCH($E91,Cascade!$E:$E,0)))</f>
        <v/>
      </c>
      <c r="S91" s="42" t="str">
        <f t="shared" si="20"/>
        <v/>
      </c>
      <c r="T91" s="42" t="str">
        <f t="shared" si="21"/>
        <v/>
      </c>
      <c r="U91" s="14" t="str">
        <f>IFERROR(1/(1/INDEX(Cascade!$BH:$BH,MATCH($E91,Cascade!$E:$E,0))),"")</f>
        <v/>
      </c>
      <c r="V91" s="14" t="str">
        <f t="shared" si="22"/>
        <v/>
      </c>
      <c r="W91" s="14" t="str">
        <f>IFERROR(1/(1/INDEX(PMTCT!$AC:$AC,MATCH($E91,PMTCT!$E:$E,0))),"")</f>
        <v/>
      </c>
      <c r="X91" s="14" t="str">
        <f>IFERROR(1/(1/INDEX(PMTCT!$AS:$AS,MATCH($E91,PMTCT!$E:$E,0))),"")</f>
        <v/>
      </c>
      <c r="Y91" s="14" t="str">
        <f>IFERROR(1/(1/INDEX(VMMC!$AA:$AA,MATCH($E91,VMMC!$E:$E,0))),"")</f>
        <v/>
      </c>
      <c r="Z91" s="14" t="str">
        <f t="shared" si="23"/>
        <v/>
      </c>
    </row>
    <row r="92" spans="1:26" x14ac:dyDescent="0.2">
      <c r="A92" t="str">
        <f>INDEX(Prioritization!$D:$D,MATCH($B92,Prioritization!$A:$A,0))</f>
        <v>1 - Scale-up: Saturation</v>
      </c>
      <c r="B92" t="s">
        <v>199</v>
      </c>
      <c r="C92" t="s">
        <v>364</v>
      </c>
      <c r="D92" t="s">
        <v>47</v>
      </c>
      <c r="E92" t="str">
        <f t="shared" si="12"/>
        <v>Nkhotakota District [YCKiBAp8QAg]|15-24|Male</v>
      </c>
      <c r="F92" s="14"/>
      <c r="G92" s="90">
        <f>0</f>
        <v>0</v>
      </c>
      <c r="H92" s="42" t="str">
        <f t="shared" si="13"/>
        <v/>
      </c>
      <c r="I92" s="14"/>
      <c r="J92" s="90"/>
      <c r="K92" s="90" t="str">
        <f t="shared" si="14"/>
        <v/>
      </c>
      <c r="L92" s="90"/>
      <c r="M92" s="90" t="str">
        <f t="shared" si="15"/>
        <v/>
      </c>
      <c r="N92" s="14" t="str">
        <f t="shared" si="16"/>
        <v/>
      </c>
      <c r="O92" s="42" t="str">
        <f t="shared" si="17"/>
        <v/>
      </c>
      <c r="P92" s="42" t="str">
        <f t="shared" si="18"/>
        <v/>
      </c>
      <c r="Q92" s="42" t="str">
        <f t="shared" si="19"/>
        <v/>
      </c>
      <c r="R92" s="90" t="str">
        <f>IF(SUM($P92)=0,"",INDEX(Cascade!$BG:$BG,MATCH($E92,Cascade!$E:$E,0)))</f>
        <v/>
      </c>
      <c r="S92" s="42" t="str">
        <f t="shared" si="20"/>
        <v/>
      </c>
      <c r="T92" s="42" t="str">
        <f t="shared" si="21"/>
        <v/>
      </c>
      <c r="U92" s="14" t="str">
        <f>IFERROR(1/(1/INDEX(Cascade!$BH:$BH,MATCH($E92,Cascade!$E:$E,0))),"")</f>
        <v/>
      </c>
      <c r="V92" s="14" t="str">
        <f t="shared" si="22"/>
        <v/>
      </c>
      <c r="W92" s="14" t="str">
        <f>IFERROR(1/(1/INDEX(PMTCT!$AC:$AC,MATCH($E92,PMTCT!$E:$E,0))),"")</f>
        <v/>
      </c>
      <c r="X92" s="14" t="str">
        <f>IFERROR(1/(1/INDEX(PMTCT!$AS:$AS,MATCH($E92,PMTCT!$E:$E,0))),"")</f>
        <v/>
      </c>
      <c r="Y92" s="14" t="str">
        <f>IFERROR(1/(1/INDEX(VMMC!$AA:$AA,MATCH($E92,VMMC!$E:$E,0))),"")</f>
        <v/>
      </c>
      <c r="Z92" s="14" t="str">
        <f t="shared" si="23"/>
        <v/>
      </c>
    </row>
    <row r="93" spans="1:26" x14ac:dyDescent="0.2">
      <c r="A93" t="str">
        <f>INDEX(Prioritization!$D:$D,MATCH($B93,Prioritization!$A:$A,0))</f>
        <v>1 - Scale-up: Saturation</v>
      </c>
      <c r="B93" t="s">
        <v>199</v>
      </c>
      <c r="C93" t="s">
        <v>365</v>
      </c>
      <c r="D93" t="s">
        <v>29</v>
      </c>
      <c r="E93" t="str">
        <f t="shared" si="12"/>
        <v>Nkhotakota District [YCKiBAp8QAg]|25-34|Female</v>
      </c>
      <c r="F93" s="14"/>
      <c r="G93" s="90">
        <f>0</f>
        <v>0</v>
      </c>
      <c r="H93" s="42" t="str">
        <f t="shared" si="13"/>
        <v/>
      </c>
      <c r="I93" s="14"/>
      <c r="J93" s="90"/>
      <c r="K93" s="90" t="str">
        <f t="shared" si="14"/>
        <v/>
      </c>
      <c r="L93" s="90"/>
      <c r="M93" s="90" t="str">
        <f t="shared" si="15"/>
        <v/>
      </c>
      <c r="N93" s="14" t="str">
        <f t="shared" si="16"/>
        <v/>
      </c>
      <c r="O93" s="42" t="str">
        <f t="shared" si="17"/>
        <v/>
      </c>
      <c r="P93" s="42" t="str">
        <f t="shared" si="18"/>
        <v/>
      </c>
      <c r="Q93" s="42" t="str">
        <f t="shared" si="19"/>
        <v/>
      </c>
      <c r="R93" s="90" t="str">
        <f>IF(SUM($P93)=0,"",INDEX(Cascade!$BG:$BG,MATCH($E93,Cascade!$E:$E,0)))</f>
        <v/>
      </c>
      <c r="S93" s="42" t="str">
        <f t="shared" si="20"/>
        <v/>
      </c>
      <c r="T93" s="42" t="str">
        <f t="shared" si="21"/>
        <v/>
      </c>
      <c r="U93" s="14" t="str">
        <f>IFERROR(1/(1/INDEX(Cascade!$BH:$BH,MATCH($E93,Cascade!$E:$E,0))),"")</f>
        <v/>
      </c>
      <c r="V93" s="14" t="str">
        <f t="shared" si="22"/>
        <v/>
      </c>
      <c r="W93" s="14" t="str">
        <f>IFERROR(1/(1/INDEX(PMTCT!$AC:$AC,MATCH($E93,PMTCT!$E:$E,0))),"")</f>
        <v/>
      </c>
      <c r="X93" s="14" t="str">
        <f>IFERROR(1/(1/INDEX(PMTCT!$AS:$AS,MATCH($E93,PMTCT!$E:$E,0))),"")</f>
        <v/>
      </c>
      <c r="Y93" s="14" t="str">
        <f>IFERROR(1/(1/INDEX(VMMC!$AA:$AA,MATCH($E93,VMMC!$E:$E,0))),"")</f>
        <v/>
      </c>
      <c r="Z93" s="14" t="str">
        <f t="shared" si="23"/>
        <v/>
      </c>
    </row>
    <row r="94" spans="1:26" x14ac:dyDescent="0.2">
      <c r="A94" t="str">
        <f>INDEX(Prioritization!$D:$D,MATCH($B94,Prioritization!$A:$A,0))</f>
        <v>1 - Scale-up: Saturation</v>
      </c>
      <c r="B94" t="s">
        <v>199</v>
      </c>
      <c r="C94" t="s">
        <v>365</v>
      </c>
      <c r="D94" t="s">
        <v>47</v>
      </c>
      <c r="E94" t="str">
        <f t="shared" si="12"/>
        <v>Nkhotakota District [YCKiBAp8QAg]|25-34|Male</v>
      </c>
      <c r="F94" s="14"/>
      <c r="G94" s="90">
        <f>0</f>
        <v>0</v>
      </c>
      <c r="H94" s="42" t="str">
        <f t="shared" si="13"/>
        <v/>
      </c>
      <c r="I94" s="14"/>
      <c r="J94" s="90"/>
      <c r="K94" s="90" t="str">
        <f t="shared" si="14"/>
        <v/>
      </c>
      <c r="L94" s="90"/>
      <c r="M94" s="90" t="str">
        <f t="shared" si="15"/>
        <v/>
      </c>
      <c r="N94" s="14" t="str">
        <f t="shared" si="16"/>
        <v/>
      </c>
      <c r="O94" s="42" t="str">
        <f t="shared" si="17"/>
        <v/>
      </c>
      <c r="P94" s="42" t="str">
        <f t="shared" si="18"/>
        <v/>
      </c>
      <c r="Q94" s="42" t="str">
        <f t="shared" si="19"/>
        <v/>
      </c>
      <c r="R94" s="90" t="str">
        <f>IF(SUM($P94)=0,"",INDEX(Cascade!$BG:$BG,MATCH($E94,Cascade!$E:$E,0)))</f>
        <v/>
      </c>
      <c r="S94" s="42" t="str">
        <f t="shared" si="20"/>
        <v/>
      </c>
      <c r="T94" s="42" t="str">
        <f t="shared" si="21"/>
        <v/>
      </c>
      <c r="U94" s="14" t="str">
        <f>IFERROR(1/(1/INDEX(Cascade!$BH:$BH,MATCH($E94,Cascade!$E:$E,0))),"")</f>
        <v/>
      </c>
      <c r="V94" s="14" t="str">
        <f t="shared" si="22"/>
        <v/>
      </c>
      <c r="W94" s="14" t="str">
        <f>IFERROR(1/(1/INDEX(PMTCT!$AC:$AC,MATCH($E94,PMTCT!$E:$E,0))),"")</f>
        <v/>
      </c>
      <c r="X94" s="14" t="str">
        <f>IFERROR(1/(1/INDEX(PMTCT!$AS:$AS,MATCH($E94,PMTCT!$E:$E,0))),"")</f>
        <v/>
      </c>
      <c r="Y94" s="14" t="str">
        <f>IFERROR(1/(1/INDEX(VMMC!$AA:$AA,MATCH($E94,VMMC!$E:$E,0))),"")</f>
        <v/>
      </c>
      <c r="Z94" s="14" t="str">
        <f t="shared" si="23"/>
        <v/>
      </c>
    </row>
    <row r="95" spans="1:26" x14ac:dyDescent="0.2">
      <c r="A95" t="str">
        <f>INDEX(Prioritization!$D:$D,MATCH($B95,Prioritization!$A:$A,0))</f>
        <v>1 - Scale-up: Saturation</v>
      </c>
      <c r="B95" t="s">
        <v>199</v>
      </c>
      <c r="C95" t="s">
        <v>366</v>
      </c>
      <c r="D95" t="s">
        <v>29</v>
      </c>
      <c r="E95" t="str">
        <f t="shared" si="12"/>
        <v>Nkhotakota District [YCKiBAp8QAg]|35-49|Female</v>
      </c>
      <c r="F95" s="14"/>
      <c r="G95" s="90">
        <f>0</f>
        <v>0</v>
      </c>
      <c r="H95" s="42" t="str">
        <f t="shared" si="13"/>
        <v/>
      </c>
      <c r="I95" s="14"/>
      <c r="J95" s="90"/>
      <c r="K95" s="90" t="str">
        <f t="shared" si="14"/>
        <v/>
      </c>
      <c r="L95" s="90"/>
      <c r="M95" s="90" t="str">
        <f t="shared" si="15"/>
        <v/>
      </c>
      <c r="N95" s="14" t="str">
        <f t="shared" si="16"/>
        <v/>
      </c>
      <c r="O95" s="42" t="str">
        <f t="shared" si="17"/>
        <v/>
      </c>
      <c r="P95" s="42" t="str">
        <f t="shared" si="18"/>
        <v/>
      </c>
      <c r="Q95" s="42" t="str">
        <f t="shared" si="19"/>
        <v/>
      </c>
      <c r="R95" s="90" t="str">
        <f>IF(SUM($P95)=0,"",INDEX(Cascade!$BG:$BG,MATCH($E95,Cascade!$E:$E,0)))</f>
        <v/>
      </c>
      <c r="S95" s="42" t="str">
        <f t="shared" si="20"/>
        <v/>
      </c>
      <c r="T95" s="42" t="str">
        <f t="shared" si="21"/>
        <v/>
      </c>
      <c r="U95" s="14" t="str">
        <f>IFERROR(1/(1/INDEX(Cascade!$BH:$BH,MATCH($E95,Cascade!$E:$E,0))),"")</f>
        <v/>
      </c>
      <c r="V95" s="14" t="str">
        <f t="shared" si="22"/>
        <v/>
      </c>
      <c r="W95" s="14" t="str">
        <f>IFERROR(1/(1/INDEX(PMTCT!$AC:$AC,MATCH($E95,PMTCT!$E:$E,0))),"")</f>
        <v/>
      </c>
      <c r="X95" s="14" t="str">
        <f>IFERROR(1/(1/INDEX(PMTCT!$AS:$AS,MATCH($E95,PMTCT!$E:$E,0))),"")</f>
        <v/>
      </c>
      <c r="Y95" s="14" t="str">
        <f>IFERROR(1/(1/INDEX(VMMC!$AA:$AA,MATCH($E95,VMMC!$E:$E,0))),"")</f>
        <v/>
      </c>
      <c r="Z95" s="14" t="str">
        <f t="shared" si="23"/>
        <v/>
      </c>
    </row>
    <row r="96" spans="1:26" x14ac:dyDescent="0.2">
      <c r="A96" t="str">
        <f>INDEX(Prioritization!$D:$D,MATCH($B96,Prioritization!$A:$A,0))</f>
        <v>1 - Scale-up: Saturation</v>
      </c>
      <c r="B96" t="s">
        <v>199</v>
      </c>
      <c r="C96" t="s">
        <v>366</v>
      </c>
      <c r="D96" t="s">
        <v>47</v>
      </c>
      <c r="E96" t="str">
        <f t="shared" si="12"/>
        <v>Nkhotakota District [YCKiBAp8QAg]|35-49|Male</v>
      </c>
      <c r="F96" s="14"/>
      <c r="G96" s="90">
        <f>0</f>
        <v>0</v>
      </c>
      <c r="H96" s="42" t="str">
        <f t="shared" si="13"/>
        <v/>
      </c>
      <c r="I96" s="14"/>
      <c r="J96" s="90"/>
      <c r="K96" s="90" t="str">
        <f t="shared" si="14"/>
        <v/>
      </c>
      <c r="L96" s="90"/>
      <c r="M96" s="90" t="str">
        <f t="shared" si="15"/>
        <v/>
      </c>
      <c r="N96" s="14" t="str">
        <f t="shared" si="16"/>
        <v/>
      </c>
      <c r="O96" s="42" t="str">
        <f t="shared" si="17"/>
        <v/>
      </c>
      <c r="P96" s="42" t="str">
        <f t="shared" si="18"/>
        <v/>
      </c>
      <c r="Q96" s="42" t="str">
        <f t="shared" si="19"/>
        <v/>
      </c>
      <c r="R96" s="90" t="str">
        <f>IF(SUM($P96)=0,"",INDEX(Cascade!$BG:$BG,MATCH($E96,Cascade!$E:$E,0)))</f>
        <v/>
      </c>
      <c r="S96" s="42" t="str">
        <f t="shared" si="20"/>
        <v/>
      </c>
      <c r="T96" s="42" t="str">
        <f t="shared" si="21"/>
        <v/>
      </c>
      <c r="U96" s="14" t="str">
        <f>IFERROR(1/(1/INDEX(Cascade!$BH:$BH,MATCH($E96,Cascade!$E:$E,0))),"")</f>
        <v/>
      </c>
      <c r="V96" s="14" t="str">
        <f t="shared" si="22"/>
        <v/>
      </c>
      <c r="W96" s="14" t="str">
        <f>IFERROR(1/(1/INDEX(PMTCT!$AC:$AC,MATCH($E96,PMTCT!$E:$E,0))),"")</f>
        <v/>
      </c>
      <c r="X96" s="14" t="str">
        <f>IFERROR(1/(1/INDEX(PMTCT!$AS:$AS,MATCH($E96,PMTCT!$E:$E,0))),"")</f>
        <v/>
      </c>
      <c r="Y96" s="14" t="str">
        <f>IFERROR(1/(1/INDEX(VMMC!$AA:$AA,MATCH($E96,VMMC!$E:$E,0))),"")</f>
        <v/>
      </c>
      <c r="Z96" s="14" t="str">
        <f t="shared" si="23"/>
        <v/>
      </c>
    </row>
    <row r="97" spans="1:26" x14ac:dyDescent="0.2">
      <c r="A97" t="str">
        <f>INDEX(Prioritization!$D:$D,MATCH($B97,Prioritization!$A:$A,0))</f>
        <v>1 - Scale-up: Saturation</v>
      </c>
      <c r="B97" t="s">
        <v>199</v>
      </c>
      <c r="C97" t="s">
        <v>367</v>
      </c>
      <c r="D97" t="s">
        <v>29</v>
      </c>
      <c r="E97" t="str">
        <f t="shared" si="12"/>
        <v>Nkhotakota District [YCKiBAp8QAg]|50+|Female</v>
      </c>
      <c r="F97" s="14"/>
      <c r="G97" s="90">
        <f>0</f>
        <v>0</v>
      </c>
      <c r="H97" s="42" t="str">
        <f t="shared" si="13"/>
        <v/>
      </c>
      <c r="I97" s="14"/>
      <c r="J97" s="90"/>
      <c r="K97" s="90" t="str">
        <f t="shared" si="14"/>
        <v/>
      </c>
      <c r="L97" s="90"/>
      <c r="M97" s="90" t="str">
        <f t="shared" si="15"/>
        <v/>
      </c>
      <c r="N97" s="14" t="str">
        <f t="shared" si="16"/>
        <v/>
      </c>
      <c r="O97" s="42" t="str">
        <f t="shared" si="17"/>
        <v/>
      </c>
      <c r="P97" s="42" t="str">
        <f t="shared" si="18"/>
        <v/>
      </c>
      <c r="Q97" s="42" t="str">
        <f t="shared" si="19"/>
        <v/>
      </c>
      <c r="R97" s="90" t="str">
        <f>IF(SUM($P97)=0,"",INDEX(Cascade!$BG:$BG,MATCH($E97,Cascade!$E:$E,0)))</f>
        <v/>
      </c>
      <c r="S97" s="42" t="str">
        <f t="shared" si="20"/>
        <v/>
      </c>
      <c r="T97" s="42" t="str">
        <f t="shared" si="21"/>
        <v/>
      </c>
      <c r="U97" s="14" t="str">
        <f>IFERROR(1/(1/INDEX(Cascade!$BH:$BH,MATCH($E97,Cascade!$E:$E,0))),"")</f>
        <v/>
      </c>
      <c r="V97" s="14" t="str">
        <f t="shared" si="22"/>
        <v/>
      </c>
      <c r="W97" s="14" t="str">
        <f>IFERROR(1/(1/INDEX(PMTCT!$AC:$AC,MATCH($E97,PMTCT!$E:$E,0))),"")</f>
        <v/>
      </c>
      <c r="X97" s="14" t="str">
        <f>IFERROR(1/(1/INDEX(PMTCT!$AS:$AS,MATCH($E97,PMTCT!$E:$E,0))),"")</f>
        <v/>
      </c>
      <c r="Y97" s="14" t="str">
        <f>IFERROR(1/(1/INDEX(VMMC!$AA:$AA,MATCH($E97,VMMC!$E:$E,0))),"")</f>
        <v/>
      </c>
      <c r="Z97" s="14" t="str">
        <f t="shared" si="23"/>
        <v/>
      </c>
    </row>
    <row r="98" spans="1:26" x14ac:dyDescent="0.2">
      <c r="A98" t="str">
        <f>INDEX(Prioritization!$D:$D,MATCH($B98,Prioritization!$A:$A,0))</f>
        <v>1 - Scale-up: Saturation</v>
      </c>
      <c r="B98" t="s">
        <v>199</v>
      </c>
      <c r="C98" t="s">
        <v>367</v>
      </c>
      <c r="D98" t="s">
        <v>47</v>
      </c>
      <c r="E98" t="str">
        <f t="shared" si="12"/>
        <v>Nkhotakota District [YCKiBAp8QAg]|50+|Male</v>
      </c>
      <c r="F98" s="14"/>
      <c r="G98" s="90">
        <f>0</f>
        <v>0</v>
      </c>
      <c r="H98" s="42" t="str">
        <f t="shared" si="13"/>
        <v/>
      </c>
      <c r="I98" s="14"/>
      <c r="J98" s="90"/>
      <c r="K98" s="90" t="str">
        <f t="shared" si="14"/>
        <v/>
      </c>
      <c r="L98" s="90"/>
      <c r="M98" s="90" t="str">
        <f t="shared" si="15"/>
        <v/>
      </c>
      <c r="N98" s="14" t="str">
        <f t="shared" si="16"/>
        <v/>
      </c>
      <c r="O98" s="42" t="str">
        <f t="shared" si="17"/>
        <v/>
      </c>
      <c r="P98" s="42" t="str">
        <f t="shared" si="18"/>
        <v/>
      </c>
      <c r="Q98" s="42" t="str">
        <f t="shared" si="19"/>
        <v/>
      </c>
      <c r="R98" s="90" t="str">
        <f>IF(SUM($P98)=0,"",INDEX(Cascade!$BG:$BG,MATCH($E98,Cascade!$E:$E,0)))</f>
        <v/>
      </c>
      <c r="S98" s="42" t="str">
        <f t="shared" si="20"/>
        <v/>
      </c>
      <c r="T98" s="42" t="str">
        <f t="shared" si="21"/>
        <v/>
      </c>
      <c r="U98" s="14" t="str">
        <f>IFERROR(1/(1/INDEX(Cascade!$BH:$BH,MATCH($E98,Cascade!$E:$E,0))),"")</f>
        <v/>
      </c>
      <c r="V98" s="14" t="str">
        <f t="shared" si="22"/>
        <v/>
      </c>
      <c r="W98" s="14" t="str">
        <f>IFERROR(1/(1/INDEX(PMTCT!$AC:$AC,MATCH($E98,PMTCT!$E:$E,0))),"")</f>
        <v/>
      </c>
      <c r="X98" s="14" t="str">
        <f>IFERROR(1/(1/INDEX(PMTCT!$AS:$AS,MATCH($E98,PMTCT!$E:$E,0))),"")</f>
        <v/>
      </c>
      <c r="Y98" s="14" t="str">
        <f>IFERROR(1/(1/INDEX(VMMC!$AA:$AA,MATCH($E98,VMMC!$E:$E,0))),"")</f>
        <v/>
      </c>
      <c r="Z98" s="14" t="str">
        <f t="shared" si="23"/>
        <v/>
      </c>
    </row>
    <row r="99" spans="1:26" x14ac:dyDescent="0.2">
      <c r="A99" t="str">
        <f>INDEX(Prioritization!$D:$D,MATCH($B99,Prioritization!$A:$A,0))</f>
        <v>INVALID</v>
      </c>
      <c r="B99" t="s">
        <v>200</v>
      </c>
      <c r="C99" t="s">
        <v>362</v>
      </c>
      <c r="D99" t="s">
        <v>29</v>
      </c>
      <c r="E99" t="str">
        <f t="shared" si="12"/>
        <v>Ntcheu District [am530wpaGvr]|01-09|Female</v>
      </c>
      <c r="F99" s="14"/>
      <c r="G99" s="90">
        <f>0</f>
        <v>0</v>
      </c>
      <c r="H99" s="42" t="str">
        <f t="shared" si="13"/>
        <v/>
      </c>
      <c r="I99" s="14"/>
      <c r="J99" s="90"/>
      <c r="K99" s="90" t="str">
        <f t="shared" si="14"/>
        <v/>
      </c>
      <c r="L99" s="90"/>
      <c r="M99" s="90" t="str">
        <f t="shared" si="15"/>
        <v/>
      </c>
      <c r="N99" s="14" t="str">
        <f t="shared" si="16"/>
        <v/>
      </c>
      <c r="O99" s="42" t="str">
        <f t="shared" si="17"/>
        <v/>
      </c>
      <c r="P99" s="42" t="str">
        <f t="shared" si="18"/>
        <v/>
      </c>
      <c r="Q99" s="42" t="str">
        <f t="shared" si="19"/>
        <v/>
      </c>
      <c r="R99" s="90" t="str">
        <f>IF(SUM($P99)=0,"",INDEX(Cascade!$BG:$BG,MATCH($E99,Cascade!$E:$E,0)))</f>
        <v/>
      </c>
      <c r="S99" s="42" t="str">
        <f t="shared" si="20"/>
        <v/>
      </c>
      <c r="T99" s="42" t="str">
        <f t="shared" si="21"/>
        <v/>
      </c>
      <c r="U99" s="14" t="str">
        <f>IFERROR(1/(1/INDEX(Cascade!$BH:$BH,MATCH($E99,Cascade!$E:$E,0))),"")</f>
        <v/>
      </c>
      <c r="V99" s="14" t="str">
        <f t="shared" si="22"/>
        <v/>
      </c>
      <c r="W99" s="14" t="str">
        <f>IFERROR(1/(1/INDEX(PMTCT!$AC:$AC,MATCH($E99,PMTCT!$E:$E,0))),"")</f>
        <v/>
      </c>
      <c r="X99" s="14" t="str">
        <f>IFERROR(1/(1/INDEX(PMTCT!$AS:$AS,MATCH($E99,PMTCT!$E:$E,0))),"")</f>
        <v/>
      </c>
      <c r="Y99" s="14" t="str">
        <f>IFERROR(1/(1/INDEX(VMMC!$AA:$AA,MATCH($E99,VMMC!$E:$E,0))),"")</f>
        <v/>
      </c>
      <c r="Z99" s="14" t="str">
        <f t="shared" si="23"/>
        <v/>
      </c>
    </row>
    <row r="100" spans="1:26" x14ac:dyDescent="0.2">
      <c r="A100" t="str">
        <f>INDEX(Prioritization!$D:$D,MATCH($B100,Prioritization!$A:$A,0))</f>
        <v>INVALID</v>
      </c>
      <c r="B100" t="s">
        <v>200</v>
      </c>
      <c r="C100" t="s">
        <v>362</v>
      </c>
      <c r="D100" t="s">
        <v>47</v>
      </c>
      <c r="E100" t="str">
        <f t="shared" si="12"/>
        <v>Ntcheu District [am530wpaGvr]|01-09|Male</v>
      </c>
      <c r="F100" s="14"/>
      <c r="G100" s="90">
        <f>0</f>
        <v>0</v>
      </c>
      <c r="H100" s="42" t="str">
        <f t="shared" si="13"/>
        <v/>
      </c>
      <c r="I100" s="14"/>
      <c r="J100" s="90"/>
      <c r="K100" s="90" t="str">
        <f t="shared" si="14"/>
        <v/>
      </c>
      <c r="L100" s="90"/>
      <c r="M100" s="90" t="str">
        <f t="shared" si="15"/>
        <v/>
      </c>
      <c r="N100" s="14" t="str">
        <f t="shared" si="16"/>
        <v/>
      </c>
      <c r="O100" s="42" t="str">
        <f t="shared" si="17"/>
        <v/>
      </c>
      <c r="P100" s="42" t="str">
        <f t="shared" si="18"/>
        <v/>
      </c>
      <c r="Q100" s="42" t="str">
        <f t="shared" si="19"/>
        <v/>
      </c>
      <c r="R100" s="90" t="str">
        <f>IF(SUM($P100)=0,"",INDEX(Cascade!$BG:$BG,MATCH($E100,Cascade!$E:$E,0)))</f>
        <v/>
      </c>
      <c r="S100" s="42" t="str">
        <f t="shared" si="20"/>
        <v/>
      </c>
      <c r="T100" s="42" t="str">
        <f t="shared" si="21"/>
        <v/>
      </c>
      <c r="U100" s="14" t="str">
        <f>IFERROR(1/(1/INDEX(Cascade!$BH:$BH,MATCH($E100,Cascade!$E:$E,0))),"")</f>
        <v/>
      </c>
      <c r="V100" s="14" t="str">
        <f t="shared" si="22"/>
        <v/>
      </c>
      <c r="W100" s="14" t="str">
        <f>IFERROR(1/(1/INDEX(PMTCT!$AC:$AC,MATCH($E100,PMTCT!$E:$E,0))),"")</f>
        <v/>
      </c>
      <c r="X100" s="14" t="str">
        <f>IFERROR(1/(1/INDEX(PMTCT!$AS:$AS,MATCH($E100,PMTCT!$E:$E,0))),"")</f>
        <v/>
      </c>
      <c r="Y100" s="14" t="str">
        <f>IFERROR(1/(1/INDEX(VMMC!$AA:$AA,MATCH($E100,VMMC!$E:$E,0))),"")</f>
        <v/>
      </c>
      <c r="Z100" s="14" t="str">
        <f t="shared" si="23"/>
        <v/>
      </c>
    </row>
    <row r="101" spans="1:26" x14ac:dyDescent="0.2">
      <c r="A101" t="str">
        <f>INDEX(Prioritization!$D:$D,MATCH($B101,Prioritization!$A:$A,0))</f>
        <v>INVALID</v>
      </c>
      <c r="B101" t="s">
        <v>200</v>
      </c>
      <c r="C101" t="s">
        <v>363</v>
      </c>
      <c r="D101" t="s">
        <v>29</v>
      </c>
      <c r="E101" t="str">
        <f t="shared" si="12"/>
        <v>Ntcheu District [am530wpaGvr]|10-14|Female</v>
      </c>
      <c r="F101" s="14">
        <v>1</v>
      </c>
      <c r="G101" s="90">
        <f>0</f>
        <v>0</v>
      </c>
      <c r="H101" s="42">
        <f t="shared" si="13"/>
        <v>1</v>
      </c>
      <c r="I101" s="14"/>
      <c r="J101" s="90"/>
      <c r="K101" s="90" t="str">
        <f t="shared" si="14"/>
        <v/>
      </c>
      <c r="L101" s="90"/>
      <c r="M101" s="90" t="str">
        <f t="shared" si="15"/>
        <v/>
      </c>
      <c r="N101" s="14">
        <f t="shared" si="16"/>
        <v>1</v>
      </c>
      <c r="O101" s="42" t="str">
        <f t="shared" si="17"/>
        <v>ENTER KNOWN POSITIVITY RATE</v>
      </c>
      <c r="P101" s="42" t="str">
        <f t="shared" si="18"/>
        <v>ENTER YIELD RATE</v>
      </c>
      <c r="Q101" s="42">
        <f t="shared" si="19"/>
        <v>1</v>
      </c>
      <c r="R101" s="90" t="str">
        <f>IF(SUM($P101)=0,"",INDEX(Cascade!$BG:$BG,MATCH($E101,Cascade!$E:$E,0)))</f>
        <v/>
      </c>
      <c r="S101" s="42" t="str">
        <f t="shared" si="20"/>
        <v>ENTER KNOWN POSITIVITY RATE</v>
      </c>
      <c r="T101" s="42" t="str">
        <f t="shared" si="21"/>
        <v/>
      </c>
      <c r="U101" s="14">
        <f>IFERROR(1/(1/INDEX(Cascade!$BH:$BH,MATCH($E101,Cascade!$E:$E,0))),"")</f>
        <v>-84</v>
      </c>
      <c r="V101" s="14" t="str">
        <f t="shared" si="22"/>
        <v/>
      </c>
      <c r="W101" s="14" t="str">
        <f>IFERROR(1/(1/INDEX(PMTCT!$AC:$AC,MATCH($E101,PMTCT!$E:$E,0))),"")</f>
        <v/>
      </c>
      <c r="X101" s="14" t="str">
        <f>IFERROR(1/(1/INDEX(PMTCT!$AS:$AS,MATCH($E101,PMTCT!$E:$E,0))),"")</f>
        <v/>
      </c>
      <c r="Y101" s="14" t="str">
        <f>IFERROR(1/(1/INDEX(VMMC!$AA:$AA,MATCH($E101,VMMC!$E:$E,0))),"")</f>
        <v/>
      </c>
      <c r="Z101" s="14">
        <f t="shared" si="23"/>
        <v>-84</v>
      </c>
    </row>
    <row r="102" spans="1:26" x14ac:dyDescent="0.2">
      <c r="A102" t="str">
        <f>INDEX(Prioritization!$D:$D,MATCH($B102,Prioritization!$A:$A,0))</f>
        <v>INVALID</v>
      </c>
      <c r="B102" t="s">
        <v>200</v>
      </c>
      <c r="C102" t="s">
        <v>363</v>
      </c>
      <c r="D102" t="s">
        <v>47</v>
      </c>
      <c r="E102" t="str">
        <f t="shared" si="12"/>
        <v>Ntcheu District [am530wpaGvr]|10-14|Male</v>
      </c>
      <c r="F102" s="14">
        <v>1</v>
      </c>
      <c r="G102" s="90">
        <f>0</f>
        <v>0</v>
      </c>
      <c r="H102" s="42">
        <f t="shared" si="13"/>
        <v>1</v>
      </c>
      <c r="I102" s="14"/>
      <c r="J102" s="90"/>
      <c r="K102" s="90" t="str">
        <f t="shared" si="14"/>
        <v/>
      </c>
      <c r="L102" s="90"/>
      <c r="M102" s="90" t="str">
        <f t="shared" si="15"/>
        <v/>
      </c>
      <c r="N102" s="14">
        <f t="shared" si="16"/>
        <v>1</v>
      </c>
      <c r="O102" s="42" t="str">
        <f t="shared" si="17"/>
        <v>ENTER KNOWN POSITIVITY RATE</v>
      </c>
      <c r="P102" s="42" t="str">
        <f t="shared" si="18"/>
        <v>ENTER YIELD RATE</v>
      </c>
      <c r="Q102" s="42">
        <f t="shared" si="19"/>
        <v>1</v>
      </c>
      <c r="R102" s="90" t="str">
        <f>IF(SUM($P102)=0,"",INDEX(Cascade!$BG:$BG,MATCH($E102,Cascade!$E:$E,0)))</f>
        <v/>
      </c>
      <c r="S102" s="42" t="str">
        <f t="shared" si="20"/>
        <v>ENTER KNOWN POSITIVITY RATE</v>
      </c>
      <c r="T102" s="42" t="str">
        <f t="shared" si="21"/>
        <v/>
      </c>
      <c r="U102" s="14">
        <f>IFERROR(1/(1/INDEX(Cascade!$BH:$BH,MATCH($E102,Cascade!$E:$E,0))),"")</f>
        <v>-44</v>
      </c>
      <c r="V102" s="14" t="str">
        <f t="shared" si="22"/>
        <v/>
      </c>
      <c r="W102" s="14" t="str">
        <f>IFERROR(1/(1/INDEX(PMTCT!$AC:$AC,MATCH($E102,PMTCT!$E:$E,0))),"")</f>
        <v/>
      </c>
      <c r="X102" s="14" t="str">
        <f>IFERROR(1/(1/INDEX(PMTCT!$AS:$AS,MATCH($E102,PMTCT!$E:$E,0))),"")</f>
        <v/>
      </c>
      <c r="Y102" s="14" t="str">
        <f>IFERROR(1/(1/INDEX(VMMC!$AA:$AA,MATCH($E102,VMMC!$E:$E,0))),"")</f>
        <v/>
      </c>
      <c r="Z102" s="14">
        <f t="shared" si="23"/>
        <v>-44</v>
      </c>
    </row>
    <row r="103" spans="1:26" x14ac:dyDescent="0.2">
      <c r="A103" t="str">
        <f>INDEX(Prioritization!$D:$D,MATCH($B103,Prioritization!$A:$A,0))</f>
        <v>INVALID</v>
      </c>
      <c r="B103" t="s">
        <v>200</v>
      </c>
      <c r="C103" t="s">
        <v>364</v>
      </c>
      <c r="D103" t="s">
        <v>29</v>
      </c>
      <c r="E103" t="str">
        <f t="shared" si="12"/>
        <v>Ntcheu District [am530wpaGvr]|15-24|Female</v>
      </c>
      <c r="F103" s="14"/>
      <c r="G103" s="90">
        <f>0</f>
        <v>0</v>
      </c>
      <c r="H103" s="42" t="str">
        <f t="shared" si="13"/>
        <v/>
      </c>
      <c r="I103" s="14"/>
      <c r="J103" s="90"/>
      <c r="K103" s="90" t="str">
        <f t="shared" si="14"/>
        <v/>
      </c>
      <c r="L103" s="90"/>
      <c r="M103" s="90" t="str">
        <f t="shared" si="15"/>
        <v/>
      </c>
      <c r="N103" s="14" t="str">
        <f t="shared" si="16"/>
        <v/>
      </c>
      <c r="O103" s="42" t="str">
        <f t="shared" si="17"/>
        <v/>
      </c>
      <c r="P103" s="42" t="str">
        <f t="shared" si="18"/>
        <v/>
      </c>
      <c r="Q103" s="42" t="str">
        <f t="shared" si="19"/>
        <v/>
      </c>
      <c r="R103" s="90" t="str">
        <f>IF(SUM($P103)=0,"",INDEX(Cascade!$BG:$BG,MATCH($E103,Cascade!$E:$E,0)))</f>
        <v/>
      </c>
      <c r="S103" s="42" t="str">
        <f t="shared" si="20"/>
        <v/>
      </c>
      <c r="T103" s="42" t="str">
        <f t="shared" si="21"/>
        <v/>
      </c>
      <c r="U103" s="14" t="str">
        <f>IFERROR(1/(1/INDEX(Cascade!$BH:$BH,MATCH($E103,Cascade!$E:$E,0))),"")</f>
        <v/>
      </c>
      <c r="V103" s="14" t="str">
        <f t="shared" si="22"/>
        <v/>
      </c>
      <c r="W103" s="14" t="str">
        <f>IFERROR(1/(1/INDEX(PMTCT!$AC:$AC,MATCH($E103,PMTCT!$E:$E,0))),"")</f>
        <v/>
      </c>
      <c r="X103" s="14" t="str">
        <f>IFERROR(1/(1/INDEX(PMTCT!$AS:$AS,MATCH($E103,PMTCT!$E:$E,0))),"")</f>
        <v/>
      </c>
      <c r="Y103" s="14" t="str">
        <f>IFERROR(1/(1/INDEX(VMMC!$AA:$AA,MATCH($E103,VMMC!$E:$E,0))),"")</f>
        <v/>
      </c>
      <c r="Z103" s="14" t="str">
        <f t="shared" si="23"/>
        <v/>
      </c>
    </row>
    <row r="104" spans="1:26" x14ac:dyDescent="0.2">
      <c r="A104" t="str">
        <f>INDEX(Prioritization!$D:$D,MATCH($B104,Prioritization!$A:$A,0))</f>
        <v>INVALID</v>
      </c>
      <c r="B104" t="s">
        <v>200</v>
      </c>
      <c r="C104" t="s">
        <v>364</v>
      </c>
      <c r="D104" t="s">
        <v>47</v>
      </c>
      <c r="E104" t="str">
        <f t="shared" si="12"/>
        <v>Ntcheu District [am530wpaGvr]|15-24|Male</v>
      </c>
      <c r="F104" s="14"/>
      <c r="G104" s="90">
        <f>0</f>
        <v>0</v>
      </c>
      <c r="H104" s="42" t="str">
        <f t="shared" si="13"/>
        <v/>
      </c>
      <c r="I104" s="14"/>
      <c r="J104" s="90"/>
      <c r="K104" s="90" t="str">
        <f t="shared" si="14"/>
        <v/>
      </c>
      <c r="L104" s="90"/>
      <c r="M104" s="90" t="str">
        <f t="shared" si="15"/>
        <v/>
      </c>
      <c r="N104" s="14" t="str">
        <f t="shared" si="16"/>
        <v/>
      </c>
      <c r="O104" s="42" t="str">
        <f t="shared" si="17"/>
        <v/>
      </c>
      <c r="P104" s="42" t="str">
        <f t="shared" si="18"/>
        <v/>
      </c>
      <c r="Q104" s="42" t="str">
        <f t="shared" si="19"/>
        <v/>
      </c>
      <c r="R104" s="90" t="str">
        <f>IF(SUM($P104)=0,"",INDEX(Cascade!$BG:$BG,MATCH($E104,Cascade!$E:$E,0)))</f>
        <v/>
      </c>
      <c r="S104" s="42" t="str">
        <f t="shared" si="20"/>
        <v/>
      </c>
      <c r="T104" s="42" t="str">
        <f t="shared" si="21"/>
        <v/>
      </c>
      <c r="U104" s="14" t="str">
        <f>IFERROR(1/(1/INDEX(Cascade!$BH:$BH,MATCH($E104,Cascade!$E:$E,0))),"")</f>
        <v/>
      </c>
      <c r="V104" s="14" t="str">
        <f t="shared" si="22"/>
        <v/>
      </c>
      <c r="W104" s="14" t="str">
        <f>IFERROR(1/(1/INDEX(PMTCT!$AC:$AC,MATCH($E104,PMTCT!$E:$E,0))),"")</f>
        <v/>
      </c>
      <c r="X104" s="14" t="str">
        <f>IFERROR(1/(1/INDEX(PMTCT!$AS:$AS,MATCH($E104,PMTCT!$E:$E,0))),"")</f>
        <v/>
      </c>
      <c r="Y104" s="14" t="str">
        <f>IFERROR(1/(1/INDEX(VMMC!$AA:$AA,MATCH($E104,VMMC!$E:$E,0))),"")</f>
        <v/>
      </c>
      <c r="Z104" s="14" t="str">
        <f t="shared" si="23"/>
        <v/>
      </c>
    </row>
    <row r="105" spans="1:26" x14ac:dyDescent="0.2">
      <c r="A105" t="str">
        <f>INDEX(Prioritization!$D:$D,MATCH($B105,Prioritization!$A:$A,0))</f>
        <v>INVALID</v>
      </c>
      <c r="B105" t="s">
        <v>200</v>
      </c>
      <c r="C105" t="s">
        <v>365</v>
      </c>
      <c r="D105" t="s">
        <v>29</v>
      </c>
      <c r="E105" t="str">
        <f t="shared" si="12"/>
        <v>Ntcheu District [am530wpaGvr]|25-34|Female</v>
      </c>
      <c r="F105" s="14"/>
      <c r="G105" s="90">
        <f>0</f>
        <v>0</v>
      </c>
      <c r="H105" s="42" t="str">
        <f t="shared" si="13"/>
        <v/>
      </c>
      <c r="I105" s="14"/>
      <c r="J105" s="90"/>
      <c r="K105" s="90" t="str">
        <f t="shared" si="14"/>
        <v/>
      </c>
      <c r="L105" s="90"/>
      <c r="M105" s="90" t="str">
        <f t="shared" si="15"/>
        <v/>
      </c>
      <c r="N105" s="14" t="str">
        <f t="shared" si="16"/>
        <v/>
      </c>
      <c r="O105" s="42" t="str">
        <f t="shared" si="17"/>
        <v/>
      </c>
      <c r="P105" s="42" t="str">
        <f t="shared" si="18"/>
        <v/>
      </c>
      <c r="Q105" s="42" t="str">
        <f t="shared" si="19"/>
        <v/>
      </c>
      <c r="R105" s="90" t="str">
        <f>IF(SUM($P105)=0,"",INDEX(Cascade!$BG:$BG,MATCH($E105,Cascade!$E:$E,0)))</f>
        <v/>
      </c>
      <c r="S105" s="42" t="str">
        <f t="shared" si="20"/>
        <v/>
      </c>
      <c r="T105" s="42" t="str">
        <f t="shared" si="21"/>
        <v/>
      </c>
      <c r="U105" s="14" t="str">
        <f>IFERROR(1/(1/INDEX(Cascade!$BH:$BH,MATCH($E105,Cascade!$E:$E,0))),"")</f>
        <v/>
      </c>
      <c r="V105" s="14" t="str">
        <f t="shared" si="22"/>
        <v/>
      </c>
      <c r="W105" s="14" t="str">
        <f>IFERROR(1/(1/INDEX(PMTCT!$AC:$AC,MATCH($E105,PMTCT!$E:$E,0))),"")</f>
        <v/>
      </c>
      <c r="X105" s="14" t="str">
        <f>IFERROR(1/(1/INDEX(PMTCT!$AS:$AS,MATCH($E105,PMTCT!$E:$E,0))),"")</f>
        <v/>
      </c>
      <c r="Y105" s="14" t="str">
        <f>IFERROR(1/(1/INDEX(VMMC!$AA:$AA,MATCH($E105,VMMC!$E:$E,0))),"")</f>
        <v/>
      </c>
      <c r="Z105" s="14" t="str">
        <f t="shared" si="23"/>
        <v/>
      </c>
    </row>
    <row r="106" spans="1:26" x14ac:dyDescent="0.2">
      <c r="A106" t="str">
        <f>INDEX(Prioritization!$D:$D,MATCH($B106,Prioritization!$A:$A,0))</f>
        <v>INVALID</v>
      </c>
      <c r="B106" t="s">
        <v>200</v>
      </c>
      <c r="C106" t="s">
        <v>365</v>
      </c>
      <c r="D106" t="s">
        <v>47</v>
      </c>
      <c r="E106" t="str">
        <f t="shared" si="12"/>
        <v>Ntcheu District [am530wpaGvr]|25-34|Male</v>
      </c>
      <c r="F106" s="14"/>
      <c r="G106" s="90">
        <f>0</f>
        <v>0</v>
      </c>
      <c r="H106" s="42" t="str">
        <f t="shared" si="13"/>
        <v/>
      </c>
      <c r="I106" s="14"/>
      <c r="J106" s="90"/>
      <c r="K106" s="90" t="str">
        <f t="shared" si="14"/>
        <v/>
      </c>
      <c r="L106" s="90"/>
      <c r="M106" s="90" t="str">
        <f t="shared" si="15"/>
        <v/>
      </c>
      <c r="N106" s="14" t="str">
        <f t="shared" si="16"/>
        <v/>
      </c>
      <c r="O106" s="42" t="str">
        <f t="shared" si="17"/>
        <v/>
      </c>
      <c r="P106" s="42" t="str">
        <f t="shared" si="18"/>
        <v/>
      </c>
      <c r="Q106" s="42" t="str">
        <f t="shared" si="19"/>
        <v/>
      </c>
      <c r="R106" s="90" t="str">
        <f>IF(SUM($P106)=0,"",INDEX(Cascade!$BG:$BG,MATCH($E106,Cascade!$E:$E,0)))</f>
        <v/>
      </c>
      <c r="S106" s="42" t="str">
        <f t="shared" si="20"/>
        <v/>
      </c>
      <c r="T106" s="42" t="str">
        <f t="shared" si="21"/>
        <v/>
      </c>
      <c r="U106" s="14" t="str">
        <f>IFERROR(1/(1/INDEX(Cascade!$BH:$BH,MATCH($E106,Cascade!$E:$E,0))),"")</f>
        <v/>
      </c>
      <c r="V106" s="14" t="str">
        <f t="shared" si="22"/>
        <v/>
      </c>
      <c r="W106" s="14" t="str">
        <f>IFERROR(1/(1/INDEX(PMTCT!$AC:$AC,MATCH($E106,PMTCT!$E:$E,0))),"")</f>
        <v/>
      </c>
      <c r="X106" s="14" t="str">
        <f>IFERROR(1/(1/INDEX(PMTCT!$AS:$AS,MATCH($E106,PMTCT!$E:$E,0))),"")</f>
        <v/>
      </c>
      <c r="Y106" s="14" t="str">
        <f>IFERROR(1/(1/INDEX(VMMC!$AA:$AA,MATCH($E106,VMMC!$E:$E,0))),"")</f>
        <v/>
      </c>
      <c r="Z106" s="14" t="str">
        <f t="shared" si="23"/>
        <v/>
      </c>
    </row>
    <row r="107" spans="1:26" x14ac:dyDescent="0.2">
      <c r="A107" t="str">
        <f>INDEX(Prioritization!$D:$D,MATCH($B107,Prioritization!$A:$A,0))</f>
        <v>INVALID</v>
      </c>
      <c r="B107" t="s">
        <v>200</v>
      </c>
      <c r="C107" t="s">
        <v>366</v>
      </c>
      <c r="D107" t="s">
        <v>29</v>
      </c>
      <c r="E107" t="str">
        <f t="shared" si="12"/>
        <v>Ntcheu District [am530wpaGvr]|35-49|Female</v>
      </c>
      <c r="F107" s="14"/>
      <c r="G107" s="90">
        <f>0</f>
        <v>0</v>
      </c>
      <c r="H107" s="42" t="str">
        <f t="shared" si="13"/>
        <v/>
      </c>
      <c r="I107" s="14"/>
      <c r="J107" s="90"/>
      <c r="K107" s="90" t="str">
        <f t="shared" si="14"/>
        <v/>
      </c>
      <c r="L107" s="90"/>
      <c r="M107" s="90" t="str">
        <f t="shared" si="15"/>
        <v/>
      </c>
      <c r="N107" s="14" t="str">
        <f t="shared" si="16"/>
        <v/>
      </c>
      <c r="O107" s="42" t="str">
        <f t="shared" si="17"/>
        <v/>
      </c>
      <c r="P107" s="42" t="str">
        <f t="shared" si="18"/>
        <v/>
      </c>
      <c r="Q107" s="42" t="str">
        <f t="shared" si="19"/>
        <v/>
      </c>
      <c r="R107" s="90" t="str">
        <f>IF(SUM($P107)=0,"",INDEX(Cascade!$BG:$BG,MATCH($E107,Cascade!$E:$E,0)))</f>
        <v/>
      </c>
      <c r="S107" s="42" t="str">
        <f t="shared" si="20"/>
        <v/>
      </c>
      <c r="T107" s="42" t="str">
        <f t="shared" si="21"/>
        <v/>
      </c>
      <c r="U107" s="14" t="str">
        <f>IFERROR(1/(1/INDEX(Cascade!$BH:$BH,MATCH($E107,Cascade!$E:$E,0))),"")</f>
        <v/>
      </c>
      <c r="V107" s="14" t="str">
        <f t="shared" si="22"/>
        <v/>
      </c>
      <c r="W107" s="14" t="str">
        <f>IFERROR(1/(1/INDEX(PMTCT!$AC:$AC,MATCH($E107,PMTCT!$E:$E,0))),"")</f>
        <v/>
      </c>
      <c r="X107" s="14" t="str">
        <f>IFERROR(1/(1/INDEX(PMTCT!$AS:$AS,MATCH($E107,PMTCT!$E:$E,0))),"")</f>
        <v/>
      </c>
      <c r="Y107" s="14" t="str">
        <f>IFERROR(1/(1/INDEX(VMMC!$AA:$AA,MATCH($E107,VMMC!$E:$E,0))),"")</f>
        <v/>
      </c>
      <c r="Z107" s="14" t="str">
        <f t="shared" si="23"/>
        <v/>
      </c>
    </row>
    <row r="108" spans="1:26" x14ac:dyDescent="0.2">
      <c r="A108" t="str">
        <f>INDEX(Prioritization!$D:$D,MATCH($B108,Prioritization!$A:$A,0))</f>
        <v>INVALID</v>
      </c>
      <c r="B108" t="s">
        <v>200</v>
      </c>
      <c r="C108" t="s">
        <v>366</v>
      </c>
      <c r="D108" t="s">
        <v>47</v>
      </c>
      <c r="E108" t="str">
        <f t="shared" si="12"/>
        <v>Ntcheu District [am530wpaGvr]|35-49|Male</v>
      </c>
      <c r="F108" s="14"/>
      <c r="G108" s="90">
        <f>0</f>
        <v>0</v>
      </c>
      <c r="H108" s="42" t="str">
        <f t="shared" si="13"/>
        <v/>
      </c>
      <c r="I108" s="14"/>
      <c r="J108" s="90"/>
      <c r="K108" s="90" t="str">
        <f t="shared" si="14"/>
        <v/>
      </c>
      <c r="L108" s="90"/>
      <c r="M108" s="90" t="str">
        <f t="shared" si="15"/>
        <v/>
      </c>
      <c r="N108" s="14" t="str">
        <f t="shared" si="16"/>
        <v/>
      </c>
      <c r="O108" s="42" t="str">
        <f t="shared" si="17"/>
        <v/>
      </c>
      <c r="P108" s="42" t="str">
        <f t="shared" si="18"/>
        <v/>
      </c>
      <c r="Q108" s="42" t="str">
        <f t="shared" si="19"/>
        <v/>
      </c>
      <c r="R108" s="90" t="str">
        <f>IF(SUM($P108)=0,"",INDEX(Cascade!$BG:$BG,MATCH($E108,Cascade!$E:$E,0)))</f>
        <v/>
      </c>
      <c r="S108" s="42" t="str">
        <f t="shared" si="20"/>
        <v/>
      </c>
      <c r="T108" s="42" t="str">
        <f t="shared" si="21"/>
        <v/>
      </c>
      <c r="U108" s="14" t="str">
        <f>IFERROR(1/(1/INDEX(Cascade!$BH:$BH,MATCH($E108,Cascade!$E:$E,0))),"")</f>
        <v/>
      </c>
      <c r="V108" s="14" t="str">
        <f t="shared" si="22"/>
        <v/>
      </c>
      <c r="W108" s="14" t="str">
        <f>IFERROR(1/(1/INDEX(PMTCT!$AC:$AC,MATCH($E108,PMTCT!$E:$E,0))),"")</f>
        <v/>
      </c>
      <c r="X108" s="14" t="str">
        <f>IFERROR(1/(1/INDEX(PMTCT!$AS:$AS,MATCH($E108,PMTCT!$E:$E,0))),"")</f>
        <v/>
      </c>
      <c r="Y108" s="14" t="str">
        <f>IFERROR(1/(1/INDEX(VMMC!$AA:$AA,MATCH($E108,VMMC!$E:$E,0))),"")</f>
        <v/>
      </c>
      <c r="Z108" s="14" t="str">
        <f t="shared" si="23"/>
        <v/>
      </c>
    </row>
    <row r="109" spans="1:26" x14ac:dyDescent="0.2">
      <c r="A109" t="str">
        <f>INDEX(Prioritization!$D:$D,MATCH($B109,Prioritization!$A:$A,0))</f>
        <v>INVALID</v>
      </c>
      <c r="B109" t="s">
        <v>200</v>
      </c>
      <c r="C109" t="s">
        <v>367</v>
      </c>
      <c r="D109" t="s">
        <v>29</v>
      </c>
      <c r="E109" t="str">
        <f t="shared" si="12"/>
        <v>Ntcheu District [am530wpaGvr]|50+|Female</v>
      </c>
      <c r="F109" s="14"/>
      <c r="G109" s="90">
        <f>0</f>
        <v>0</v>
      </c>
      <c r="H109" s="42" t="str">
        <f t="shared" si="13"/>
        <v/>
      </c>
      <c r="I109" s="14"/>
      <c r="J109" s="90"/>
      <c r="K109" s="90" t="str">
        <f t="shared" si="14"/>
        <v/>
      </c>
      <c r="L109" s="90"/>
      <c r="M109" s="90" t="str">
        <f t="shared" si="15"/>
        <v/>
      </c>
      <c r="N109" s="14" t="str">
        <f t="shared" si="16"/>
        <v/>
      </c>
      <c r="O109" s="42" t="str">
        <f t="shared" si="17"/>
        <v/>
      </c>
      <c r="P109" s="42" t="str">
        <f t="shared" si="18"/>
        <v/>
      </c>
      <c r="Q109" s="42" t="str">
        <f t="shared" si="19"/>
        <v/>
      </c>
      <c r="R109" s="90" t="str">
        <f>IF(SUM($P109)=0,"",INDEX(Cascade!$BG:$BG,MATCH($E109,Cascade!$E:$E,0)))</f>
        <v/>
      </c>
      <c r="S109" s="42" t="str">
        <f t="shared" si="20"/>
        <v/>
      </c>
      <c r="T109" s="42" t="str">
        <f t="shared" si="21"/>
        <v/>
      </c>
      <c r="U109" s="14" t="str">
        <f>IFERROR(1/(1/INDEX(Cascade!$BH:$BH,MATCH($E109,Cascade!$E:$E,0))),"")</f>
        <v/>
      </c>
      <c r="V109" s="14" t="str">
        <f t="shared" si="22"/>
        <v/>
      </c>
      <c r="W109" s="14" t="str">
        <f>IFERROR(1/(1/INDEX(PMTCT!$AC:$AC,MATCH($E109,PMTCT!$E:$E,0))),"")</f>
        <v/>
      </c>
      <c r="X109" s="14" t="str">
        <f>IFERROR(1/(1/INDEX(PMTCT!$AS:$AS,MATCH($E109,PMTCT!$E:$E,0))),"")</f>
        <v/>
      </c>
      <c r="Y109" s="14" t="str">
        <f>IFERROR(1/(1/INDEX(VMMC!$AA:$AA,MATCH($E109,VMMC!$E:$E,0))),"")</f>
        <v/>
      </c>
      <c r="Z109" s="14" t="str">
        <f t="shared" si="23"/>
        <v/>
      </c>
    </row>
    <row r="110" spans="1:26" x14ac:dyDescent="0.2">
      <c r="A110" t="str">
        <f>INDEX(Prioritization!$D:$D,MATCH($B110,Prioritization!$A:$A,0))</f>
        <v>INVALID</v>
      </c>
      <c r="B110" t="s">
        <v>200</v>
      </c>
      <c r="C110" t="s">
        <v>367</v>
      </c>
      <c r="D110" t="s">
        <v>47</v>
      </c>
      <c r="E110" t="str">
        <f t="shared" si="12"/>
        <v>Ntcheu District [am530wpaGvr]|50+|Male</v>
      </c>
      <c r="F110" s="14"/>
      <c r="G110" s="90">
        <f>0</f>
        <v>0</v>
      </c>
      <c r="H110" s="42" t="str">
        <f t="shared" si="13"/>
        <v/>
      </c>
      <c r="I110" s="14"/>
      <c r="J110" s="90"/>
      <c r="K110" s="90" t="str">
        <f t="shared" si="14"/>
        <v/>
      </c>
      <c r="L110" s="90"/>
      <c r="M110" s="90" t="str">
        <f t="shared" si="15"/>
        <v/>
      </c>
      <c r="N110" s="14" t="str">
        <f t="shared" si="16"/>
        <v/>
      </c>
      <c r="O110" s="42" t="str">
        <f t="shared" si="17"/>
        <v/>
      </c>
      <c r="P110" s="42" t="str">
        <f t="shared" si="18"/>
        <v/>
      </c>
      <c r="Q110" s="42" t="str">
        <f t="shared" si="19"/>
        <v/>
      </c>
      <c r="R110" s="90" t="str">
        <f>IF(SUM($P110)=0,"",INDEX(Cascade!$BG:$BG,MATCH($E110,Cascade!$E:$E,0)))</f>
        <v/>
      </c>
      <c r="S110" s="42" t="str">
        <f t="shared" si="20"/>
        <v/>
      </c>
      <c r="T110" s="42" t="str">
        <f t="shared" si="21"/>
        <v/>
      </c>
      <c r="U110" s="14" t="str">
        <f>IFERROR(1/(1/INDEX(Cascade!$BH:$BH,MATCH($E110,Cascade!$E:$E,0))),"")</f>
        <v/>
      </c>
      <c r="V110" s="14" t="str">
        <f t="shared" si="22"/>
        <v/>
      </c>
      <c r="W110" s="14" t="str">
        <f>IFERROR(1/(1/INDEX(PMTCT!$AC:$AC,MATCH($E110,PMTCT!$E:$E,0))),"")</f>
        <v/>
      </c>
      <c r="X110" s="14" t="str">
        <f>IFERROR(1/(1/INDEX(PMTCT!$AS:$AS,MATCH($E110,PMTCT!$E:$E,0))),"")</f>
        <v/>
      </c>
      <c r="Y110" s="14" t="str">
        <f>IFERROR(1/(1/INDEX(VMMC!$AA:$AA,MATCH($E110,VMMC!$E:$E,0))),"")</f>
        <v/>
      </c>
      <c r="Z110" s="14" t="str">
        <f t="shared" si="23"/>
        <v/>
      </c>
    </row>
    <row r="111" spans="1:26" x14ac:dyDescent="0.2">
      <c r="A111" t="str">
        <f>INDEX(Prioritization!$D:$D,MATCH($B111,Prioritization!$A:$A,0))</f>
        <v>INVALID</v>
      </c>
      <c r="B111" t="s">
        <v>201</v>
      </c>
      <c r="C111" t="s">
        <v>362</v>
      </c>
      <c r="D111" t="s">
        <v>29</v>
      </c>
      <c r="E111" t="str">
        <f t="shared" si="12"/>
        <v>Ntchisi District [fiRkU6gEjLz]|01-09|Female</v>
      </c>
      <c r="F111" s="14"/>
      <c r="G111" s="90">
        <f>0</f>
        <v>0</v>
      </c>
      <c r="H111" s="42" t="str">
        <f t="shared" si="13"/>
        <v/>
      </c>
      <c r="I111" s="14"/>
      <c r="J111" s="90"/>
      <c r="K111" s="90" t="str">
        <f t="shared" si="14"/>
        <v/>
      </c>
      <c r="L111" s="90"/>
      <c r="M111" s="90" t="str">
        <f t="shared" si="15"/>
        <v/>
      </c>
      <c r="N111" s="14" t="str">
        <f t="shared" si="16"/>
        <v/>
      </c>
      <c r="O111" s="42" t="str">
        <f t="shared" si="17"/>
        <v/>
      </c>
      <c r="P111" s="42" t="str">
        <f t="shared" si="18"/>
        <v/>
      </c>
      <c r="Q111" s="42" t="str">
        <f t="shared" si="19"/>
        <v/>
      </c>
      <c r="R111" s="90" t="str">
        <f>IF(SUM($P111)=0,"",INDEX(Cascade!$BG:$BG,MATCH($E111,Cascade!$E:$E,0)))</f>
        <v/>
      </c>
      <c r="S111" s="42" t="str">
        <f t="shared" si="20"/>
        <v/>
      </c>
      <c r="T111" s="42" t="str">
        <f t="shared" si="21"/>
        <v/>
      </c>
      <c r="U111" s="14" t="str">
        <f>IFERROR(1/(1/INDEX(Cascade!$BH:$BH,MATCH($E111,Cascade!$E:$E,0))),"")</f>
        <v/>
      </c>
      <c r="V111" s="14" t="str">
        <f t="shared" si="22"/>
        <v/>
      </c>
      <c r="W111" s="14" t="str">
        <f>IFERROR(1/(1/INDEX(PMTCT!$AC:$AC,MATCH($E111,PMTCT!$E:$E,0))),"")</f>
        <v/>
      </c>
      <c r="X111" s="14" t="str">
        <f>IFERROR(1/(1/INDEX(PMTCT!$AS:$AS,MATCH($E111,PMTCT!$E:$E,0))),"")</f>
        <v/>
      </c>
      <c r="Y111" s="14" t="str">
        <f>IFERROR(1/(1/INDEX(VMMC!$AA:$AA,MATCH($E111,VMMC!$E:$E,0))),"")</f>
        <v/>
      </c>
      <c r="Z111" s="14" t="str">
        <f t="shared" si="23"/>
        <v/>
      </c>
    </row>
    <row r="112" spans="1:26" x14ac:dyDescent="0.2">
      <c r="A112" t="str">
        <f>INDEX(Prioritization!$D:$D,MATCH($B112,Prioritization!$A:$A,0))</f>
        <v>INVALID</v>
      </c>
      <c r="B112" t="s">
        <v>201</v>
      </c>
      <c r="C112" t="s">
        <v>362</v>
      </c>
      <c r="D112" t="s">
        <v>47</v>
      </c>
      <c r="E112" t="str">
        <f t="shared" si="12"/>
        <v>Ntchisi District [fiRkU6gEjLz]|01-09|Male</v>
      </c>
      <c r="F112" s="14"/>
      <c r="G112" s="90">
        <f>0</f>
        <v>0</v>
      </c>
      <c r="H112" s="42" t="str">
        <f t="shared" si="13"/>
        <v/>
      </c>
      <c r="I112" s="14"/>
      <c r="J112" s="90"/>
      <c r="K112" s="90" t="str">
        <f t="shared" si="14"/>
        <v/>
      </c>
      <c r="L112" s="90"/>
      <c r="M112" s="90" t="str">
        <f t="shared" si="15"/>
        <v/>
      </c>
      <c r="N112" s="14" t="str">
        <f t="shared" si="16"/>
        <v/>
      </c>
      <c r="O112" s="42" t="str">
        <f t="shared" si="17"/>
        <v/>
      </c>
      <c r="P112" s="42" t="str">
        <f t="shared" si="18"/>
        <v/>
      </c>
      <c r="Q112" s="42" t="str">
        <f t="shared" si="19"/>
        <v/>
      </c>
      <c r="R112" s="90" t="str">
        <f>IF(SUM($P112)=0,"",INDEX(Cascade!$BG:$BG,MATCH($E112,Cascade!$E:$E,0)))</f>
        <v/>
      </c>
      <c r="S112" s="42" t="str">
        <f t="shared" si="20"/>
        <v/>
      </c>
      <c r="T112" s="42" t="str">
        <f t="shared" si="21"/>
        <v/>
      </c>
      <c r="U112" s="14" t="str">
        <f>IFERROR(1/(1/INDEX(Cascade!$BH:$BH,MATCH($E112,Cascade!$E:$E,0))),"")</f>
        <v/>
      </c>
      <c r="V112" s="14" t="str">
        <f t="shared" si="22"/>
        <v/>
      </c>
      <c r="W112" s="14" t="str">
        <f>IFERROR(1/(1/INDEX(PMTCT!$AC:$AC,MATCH($E112,PMTCT!$E:$E,0))),"")</f>
        <v/>
      </c>
      <c r="X112" s="14" t="str">
        <f>IFERROR(1/(1/INDEX(PMTCT!$AS:$AS,MATCH($E112,PMTCT!$E:$E,0))),"")</f>
        <v/>
      </c>
      <c r="Y112" s="14" t="str">
        <f>IFERROR(1/(1/INDEX(VMMC!$AA:$AA,MATCH($E112,VMMC!$E:$E,0))),"")</f>
        <v/>
      </c>
      <c r="Z112" s="14" t="str">
        <f t="shared" si="23"/>
        <v/>
      </c>
    </row>
    <row r="113" spans="1:26" x14ac:dyDescent="0.2">
      <c r="A113" t="str">
        <f>INDEX(Prioritization!$D:$D,MATCH($B113,Prioritization!$A:$A,0))</f>
        <v>INVALID</v>
      </c>
      <c r="B113" t="s">
        <v>201</v>
      </c>
      <c r="C113" t="s">
        <v>363</v>
      </c>
      <c r="D113" t="s">
        <v>29</v>
      </c>
      <c r="E113" t="str">
        <f t="shared" si="12"/>
        <v>Ntchisi District [fiRkU6gEjLz]|10-14|Female</v>
      </c>
      <c r="F113" s="14">
        <v>0</v>
      </c>
      <c r="G113" s="90">
        <f>0</f>
        <v>0</v>
      </c>
      <c r="H113" s="42" t="str">
        <f t="shared" si="13"/>
        <v/>
      </c>
      <c r="I113" s="14"/>
      <c r="J113" s="90"/>
      <c r="K113" s="90" t="str">
        <f t="shared" si="14"/>
        <v/>
      </c>
      <c r="L113" s="90"/>
      <c r="M113" s="90" t="str">
        <f t="shared" si="15"/>
        <v/>
      </c>
      <c r="N113" s="14" t="str">
        <f t="shared" si="16"/>
        <v/>
      </c>
      <c r="O113" s="42" t="str">
        <f t="shared" si="17"/>
        <v/>
      </c>
      <c r="P113" s="42" t="str">
        <f t="shared" si="18"/>
        <v/>
      </c>
      <c r="Q113" s="42" t="str">
        <f t="shared" si="19"/>
        <v/>
      </c>
      <c r="R113" s="90" t="str">
        <f>IF(SUM($P113)=0,"",INDEX(Cascade!$BG:$BG,MATCH($E113,Cascade!$E:$E,0)))</f>
        <v/>
      </c>
      <c r="S113" s="42" t="str">
        <f t="shared" si="20"/>
        <v/>
      </c>
      <c r="T113" s="42" t="str">
        <f t="shared" si="21"/>
        <v/>
      </c>
      <c r="U113" s="14">
        <f>IFERROR(1/(1/INDEX(Cascade!$BH:$BH,MATCH($E113,Cascade!$E:$E,0))),"")</f>
        <v>-7</v>
      </c>
      <c r="V113" s="14" t="str">
        <f t="shared" si="22"/>
        <v/>
      </c>
      <c r="W113" s="14" t="str">
        <f>IFERROR(1/(1/INDEX(PMTCT!$AC:$AC,MATCH($E113,PMTCT!$E:$E,0))),"")</f>
        <v/>
      </c>
      <c r="X113" s="14" t="str">
        <f>IFERROR(1/(1/INDEX(PMTCT!$AS:$AS,MATCH($E113,PMTCT!$E:$E,0))),"")</f>
        <v/>
      </c>
      <c r="Y113" s="14" t="str">
        <f>IFERROR(1/(1/INDEX(VMMC!$AA:$AA,MATCH($E113,VMMC!$E:$E,0))),"")</f>
        <v/>
      </c>
      <c r="Z113" s="14">
        <f t="shared" si="23"/>
        <v>-7</v>
      </c>
    </row>
    <row r="114" spans="1:26" x14ac:dyDescent="0.2">
      <c r="A114" t="str">
        <f>INDEX(Prioritization!$D:$D,MATCH($B114,Prioritization!$A:$A,0))</f>
        <v>INVALID</v>
      </c>
      <c r="B114" t="s">
        <v>201</v>
      </c>
      <c r="C114" t="s">
        <v>363</v>
      </c>
      <c r="D114" t="s">
        <v>47</v>
      </c>
      <c r="E114" t="str">
        <f t="shared" si="12"/>
        <v>Ntchisi District [fiRkU6gEjLz]|10-14|Male</v>
      </c>
      <c r="F114" s="14">
        <v>1</v>
      </c>
      <c r="G114" s="90">
        <f>0</f>
        <v>0</v>
      </c>
      <c r="H114" s="42">
        <f t="shared" si="13"/>
        <v>1</v>
      </c>
      <c r="I114" s="14"/>
      <c r="J114" s="90"/>
      <c r="K114" s="90" t="str">
        <f t="shared" si="14"/>
        <v/>
      </c>
      <c r="L114" s="90"/>
      <c r="M114" s="90" t="str">
        <f t="shared" si="15"/>
        <v/>
      </c>
      <c r="N114" s="14">
        <f t="shared" si="16"/>
        <v>1</v>
      </c>
      <c r="O114" s="42" t="str">
        <f t="shared" si="17"/>
        <v>ENTER KNOWN POSITIVITY RATE</v>
      </c>
      <c r="P114" s="42" t="str">
        <f t="shared" si="18"/>
        <v>ENTER YIELD RATE</v>
      </c>
      <c r="Q114" s="42">
        <f t="shared" si="19"/>
        <v>1</v>
      </c>
      <c r="R114" s="90" t="str">
        <f>IF(SUM($P114)=0,"",INDEX(Cascade!$BG:$BG,MATCH($E114,Cascade!$E:$E,0)))</f>
        <v/>
      </c>
      <c r="S114" s="42" t="str">
        <f t="shared" si="20"/>
        <v>ENTER KNOWN POSITIVITY RATE</v>
      </c>
      <c r="T114" s="42" t="str">
        <f t="shared" si="21"/>
        <v/>
      </c>
      <c r="U114" s="14">
        <f>IFERROR(1/(1/INDEX(Cascade!$BH:$BH,MATCH($E114,Cascade!$E:$E,0))),"")</f>
        <v>-11</v>
      </c>
      <c r="V114" s="14" t="str">
        <f t="shared" si="22"/>
        <v/>
      </c>
      <c r="W114" s="14" t="str">
        <f>IFERROR(1/(1/INDEX(PMTCT!$AC:$AC,MATCH($E114,PMTCT!$E:$E,0))),"")</f>
        <v/>
      </c>
      <c r="X114" s="14" t="str">
        <f>IFERROR(1/(1/INDEX(PMTCT!$AS:$AS,MATCH($E114,PMTCT!$E:$E,0))),"")</f>
        <v/>
      </c>
      <c r="Y114" s="14" t="str">
        <f>IFERROR(1/(1/INDEX(VMMC!$AA:$AA,MATCH($E114,VMMC!$E:$E,0))),"")</f>
        <v/>
      </c>
      <c r="Z114" s="14">
        <f t="shared" si="23"/>
        <v>-11</v>
      </c>
    </row>
    <row r="115" spans="1:26" x14ac:dyDescent="0.2">
      <c r="A115" t="str">
        <f>INDEX(Prioritization!$D:$D,MATCH($B115,Prioritization!$A:$A,0))</f>
        <v>INVALID</v>
      </c>
      <c r="B115" t="s">
        <v>201</v>
      </c>
      <c r="C115" t="s">
        <v>364</v>
      </c>
      <c r="D115" t="s">
        <v>29</v>
      </c>
      <c r="E115" t="str">
        <f t="shared" si="12"/>
        <v>Ntchisi District [fiRkU6gEjLz]|15-24|Female</v>
      </c>
      <c r="F115" s="14"/>
      <c r="G115" s="90">
        <f>0</f>
        <v>0</v>
      </c>
      <c r="H115" s="42" t="str">
        <f t="shared" si="13"/>
        <v/>
      </c>
      <c r="I115" s="14"/>
      <c r="J115" s="90"/>
      <c r="K115" s="90" t="str">
        <f t="shared" si="14"/>
        <v/>
      </c>
      <c r="L115" s="90"/>
      <c r="M115" s="90" t="str">
        <f t="shared" si="15"/>
        <v/>
      </c>
      <c r="N115" s="14" t="str">
        <f t="shared" si="16"/>
        <v/>
      </c>
      <c r="O115" s="42" t="str">
        <f t="shared" si="17"/>
        <v/>
      </c>
      <c r="P115" s="42" t="str">
        <f t="shared" si="18"/>
        <v/>
      </c>
      <c r="Q115" s="42" t="str">
        <f t="shared" si="19"/>
        <v/>
      </c>
      <c r="R115" s="90" t="str">
        <f>IF(SUM($P115)=0,"",INDEX(Cascade!$BG:$BG,MATCH($E115,Cascade!$E:$E,0)))</f>
        <v/>
      </c>
      <c r="S115" s="42" t="str">
        <f t="shared" si="20"/>
        <v/>
      </c>
      <c r="T115" s="42" t="str">
        <f t="shared" si="21"/>
        <v/>
      </c>
      <c r="U115" s="14" t="str">
        <f>IFERROR(1/(1/INDEX(Cascade!$BH:$BH,MATCH($E115,Cascade!$E:$E,0))),"")</f>
        <v/>
      </c>
      <c r="V115" s="14" t="str">
        <f t="shared" si="22"/>
        <v/>
      </c>
      <c r="W115" s="14" t="str">
        <f>IFERROR(1/(1/INDEX(PMTCT!$AC:$AC,MATCH($E115,PMTCT!$E:$E,0))),"")</f>
        <v/>
      </c>
      <c r="X115" s="14" t="str">
        <f>IFERROR(1/(1/INDEX(PMTCT!$AS:$AS,MATCH($E115,PMTCT!$E:$E,0))),"")</f>
        <v/>
      </c>
      <c r="Y115" s="14" t="str">
        <f>IFERROR(1/(1/INDEX(VMMC!$AA:$AA,MATCH($E115,VMMC!$E:$E,0))),"")</f>
        <v/>
      </c>
      <c r="Z115" s="14" t="str">
        <f t="shared" si="23"/>
        <v/>
      </c>
    </row>
    <row r="116" spans="1:26" x14ac:dyDescent="0.2">
      <c r="A116" t="str">
        <f>INDEX(Prioritization!$D:$D,MATCH($B116,Prioritization!$A:$A,0))</f>
        <v>INVALID</v>
      </c>
      <c r="B116" t="s">
        <v>201</v>
      </c>
      <c r="C116" t="s">
        <v>364</v>
      </c>
      <c r="D116" t="s">
        <v>47</v>
      </c>
      <c r="E116" t="str">
        <f t="shared" si="12"/>
        <v>Ntchisi District [fiRkU6gEjLz]|15-24|Male</v>
      </c>
      <c r="F116" s="14"/>
      <c r="G116" s="90">
        <f>0</f>
        <v>0</v>
      </c>
      <c r="H116" s="42" t="str">
        <f t="shared" si="13"/>
        <v/>
      </c>
      <c r="I116" s="14"/>
      <c r="J116" s="90"/>
      <c r="K116" s="90" t="str">
        <f t="shared" si="14"/>
        <v/>
      </c>
      <c r="L116" s="90"/>
      <c r="M116" s="90" t="str">
        <f t="shared" si="15"/>
        <v/>
      </c>
      <c r="N116" s="14" t="str">
        <f t="shared" si="16"/>
        <v/>
      </c>
      <c r="O116" s="42" t="str">
        <f t="shared" si="17"/>
        <v/>
      </c>
      <c r="P116" s="42" t="str">
        <f t="shared" si="18"/>
        <v/>
      </c>
      <c r="Q116" s="42" t="str">
        <f t="shared" si="19"/>
        <v/>
      </c>
      <c r="R116" s="90" t="str">
        <f>IF(SUM($P116)=0,"",INDEX(Cascade!$BG:$BG,MATCH($E116,Cascade!$E:$E,0)))</f>
        <v/>
      </c>
      <c r="S116" s="42" t="str">
        <f t="shared" si="20"/>
        <v/>
      </c>
      <c r="T116" s="42" t="str">
        <f t="shared" si="21"/>
        <v/>
      </c>
      <c r="U116" s="14" t="str">
        <f>IFERROR(1/(1/INDEX(Cascade!$BH:$BH,MATCH($E116,Cascade!$E:$E,0))),"")</f>
        <v/>
      </c>
      <c r="V116" s="14" t="str">
        <f t="shared" si="22"/>
        <v/>
      </c>
      <c r="W116" s="14" t="str">
        <f>IFERROR(1/(1/INDEX(PMTCT!$AC:$AC,MATCH($E116,PMTCT!$E:$E,0))),"")</f>
        <v/>
      </c>
      <c r="X116" s="14" t="str">
        <f>IFERROR(1/(1/INDEX(PMTCT!$AS:$AS,MATCH($E116,PMTCT!$E:$E,0))),"")</f>
        <v/>
      </c>
      <c r="Y116" s="14" t="str">
        <f>IFERROR(1/(1/INDEX(VMMC!$AA:$AA,MATCH($E116,VMMC!$E:$E,0))),"")</f>
        <v/>
      </c>
      <c r="Z116" s="14" t="str">
        <f t="shared" si="23"/>
        <v/>
      </c>
    </row>
    <row r="117" spans="1:26" x14ac:dyDescent="0.2">
      <c r="A117" t="str">
        <f>INDEX(Prioritization!$D:$D,MATCH($B117,Prioritization!$A:$A,0))</f>
        <v>INVALID</v>
      </c>
      <c r="B117" t="s">
        <v>201</v>
      </c>
      <c r="C117" t="s">
        <v>365</v>
      </c>
      <c r="D117" t="s">
        <v>29</v>
      </c>
      <c r="E117" t="str">
        <f t="shared" si="12"/>
        <v>Ntchisi District [fiRkU6gEjLz]|25-34|Female</v>
      </c>
      <c r="F117" s="14"/>
      <c r="G117" s="90">
        <f>0</f>
        <v>0</v>
      </c>
      <c r="H117" s="42" t="str">
        <f t="shared" si="13"/>
        <v/>
      </c>
      <c r="I117" s="14"/>
      <c r="J117" s="90"/>
      <c r="K117" s="90" t="str">
        <f t="shared" si="14"/>
        <v/>
      </c>
      <c r="L117" s="90"/>
      <c r="M117" s="90" t="str">
        <f t="shared" si="15"/>
        <v/>
      </c>
      <c r="N117" s="14" t="str">
        <f t="shared" si="16"/>
        <v/>
      </c>
      <c r="O117" s="42" t="str">
        <f t="shared" si="17"/>
        <v/>
      </c>
      <c r="P117" s="42" t="str">
        <f t="shared" si="18"/>
        <v/>
      </c>
      <c r="Q117" s="42" t="str">
        <f t="shared" si="19"/>
        <v/>
      </c>
      <c r="R117" s="90" t="str">
        <f>IF(SUM($P117)=0,"",INDEX(Cascade!$BG:$BG,MATCH($E117,Cascade!$E:$E,0)))</f>
        <v/>
      </c>
      <c r="S117" s="42" t="str">
        <f t="shared" si="20"/>
        <v/>
      </c>
      <c r="T117" s="42" t="str">
        <f t="shared" si="21"/>
        <v/>
      </c>
      <c r="U117" s="14" t="str">
        <f>IFERROR(1/(1/INDEX(Cascade!$BH:$BH,MATCH($E117,Cascade!$E:$E,0))),"")</f>
        <v/>
      </c>
      <c r="V117" s="14" t="str">
        <f t="shared" si="22"/>
        <v/>
      </c>
      <c r="W117" s="14" t="str">
        <f>IFERROR(1/(1/INDEX(PMTCT!$AC:$AC,MATCH($E117,PMTCT!$E:$E,0))),"")</f>
        <v/>
      </c>
      <c r="X117" s="14" t="str">
        <f>IFERROR(1/(1/INDEX(PMTCT!$AS:$AS,MATCH($E117,PMTCT!$E:$E,0))),"")</f>
        <v/>
      </c>
      <c r="Y117" s="14" t="str">
        <f>IFERROR(1/(1/INDEX(VMMC!$AA:$AA,MATCH($E117,VMMC!$E:$E,0))),"")</f>
        <v/>
      </c>
      <c r="Z117" s="14" t="str">
        <f t="shared" si="23"/>
        <v/>
      </c>
    </row>
    <row r="118" spans="1:26" x14ac:dyDescent="0.2">
      <c r="A118" t="str">
        <f>INDEX(Prioritization!$D:$D,MATCH($B118,Prioritization!$A:$A,0))</f>
        <v>INVALID</v>
      </c>
      <c r="B118" t="s">
        <v>201</v>
      </c>
      <c r="C118" t="s">
        <v>365</v>
      </c>
      <c r="D118" t="s">
        <v>47</v>
      </c>
      <c r="E118" t="str">
        <f t="shared" si="12"/>
        <v>Ntchisi District [fiRkU6gEjLz]|25-34|Male</v>
      </c>
      <c r="F118" s="14"/>
      <c r="G118" s="90">
        <f>0</f>
        <v>0</v>
      </c>
      <c r="H118" s="42" t="str">
        <f t="shared" si="13"/>
        <v/>
      </c>
      <c r="I118" s="14"/>
      <c r="J118" s="90"/>
      <c r="K118" s="90" t="str">
        <f t="shared" si="14"/>
        <v/>
      </c>
      <c r="L118" s="90"/>
      <c r="M118" s="90" t="str">
        <f t="shared" si="15"/>
        <v/>
      </c>
      <c r="N118" s="14" t="str">
        <f t="shared" si="16"/>
        <v/>
      </c>
      <c r="O118" s="42" t="str">
        <f t="shared" si="17"/>
        <v/>
      </c>
      <c r="P118" s="42" t="str">
        <f t="shared" si="18"/>
        <v/>
      </c>
      <c r="Q118" s="42" t="str">
        <f t="shared" si="19"/>
        <v/>
      </c>
      <c r="R118" s="90" t="str">
        <f>IF(SUM($P118)=0,"",INDEX(Cascade!$BG:$BG,MATCH($E118,Cascade!$E:$E,0)))</f>
        <v/>
      </c>
      <c r="S118" s="42" t="str">
        <f t="shared" si="20"/>
        <v/>
      </c>
      <c r="T118" s="42" t="str">
        <f t="shared" si="21"/>
        <v/>
      </c>
      <c r="U118" s="14" t="str">
        <f>IFERROR(1/(1/INDEX(Cascade!$BH:$BH,MATCH($E118,Cascade!$E:$E,0))),"")</f>
        <v/>
      </c>
      <c r="V118" s="14" t="str">
        <f t="shared" si="22"/>
        <v/>
      </c>
      <c r="W118" s="14" t="str">
        <f>IFERROR(1/(1/INDEX(PMTCT!$AC:$AC,MATCH($E118,PMTCT!$E:$E,0))),"")</f>
        <v/>
      </c>
      <c r="X118" s="14" t="str">
        <f>IFERROR(1/(1/INDEX(PMTCT!$AS:$AS,MATCH($E118,PMTCT!$E:$E,0))),"")</f>
        <v/>
      </c>
      <c r="Y118" s="14" t="str">
        <f>IFERROR(1/(1/INDEX(VMMC!$AA:$AA,MATCH($E118,VMMC!$E:$E,0))),"")</f>
        <v/>
      </c>
      <c r="Z118" s="14" t="str">
        <f t="shared" si="23"/>
        <v/>
      </c>
    </row>
    <row r="119" spans="1:26" x14ac:dyDescent="0.2">
      <c r="A119" t="str">
        <f>INDEX(Prioritization!$D:$D,MATCH($B119,Prioritization!$A:$A,0))</f>
        <v>INVALID</v>
      </c>
      <c r="B119" t="s">
        <v>201</v>
      </c>
      <c r="C119" t="s">
        <v>366</v>
      </c>
      <c r="D119" t="s">
        <v>29</v>
      </c>
      <c r="E119" t="str">
        <f t="shared" si="12"/>
        <v>Ntchisi District [fiRkU6gEjLz]|35-49|Female</v>
      </c>
      <c r="F119" s="14"/>
      <c r="G119" s="90">
        <f>0</f>
        <v>0</v>
      </c>
      <c r="H119" s="42" t="str">
        <f t="shared" si="13"/>
        <v/>
      </c>
      <c r="I119" s="14"/>
      <c r="J119" s="90"/>
      <c r="K119" s="90" t="str">
        <f t="shared" si="14"/>
        <v/>
      </c>
      <c r="L119" s="90"/>
      <c r="M119" s="90" t="str">
        <f t="shared" si="15"/>
        <v/>
      </c>
      <c r="N119" s="14" t="str">
        <f t="shared" si="16"/>
        <v/>
      </c>
      <c r="O119" s="42" t="str">
        <f t="shared" si="17"/>
        <v/>
      </c>
      <c r="P119" s="42" t="str">
        <f t="shared" si="18"/>
        <v/>
      </c>
      <c r="Q119" s="42" t="str">
        <f t="shared" si="19"/>
        <v/>
      </c>
      <c r="R119" s="90" t="str">
        <f>IF(SUM($P119)=0,"",INDEX(Cascade!$BG:$BG,MATCH($E119,Cascade!$E:$E,0)))</f>
        <v/>
      </c>
      <c r="S119" s="42" t="str">
        <f t="shared" si="20"/>
        <v/>
      </c>
      <c r="T119" s="42" t="str">
        <f t="shared" si="21"/>
        <v/>
      </c>
      <c r="U119" s="14" t="str">
        <f>IFERROR(1/(1/INDEX(Cascade!$BH:$BH,MATCH($E119,Cascade!$E:$E,0))),"")</f>
        <v/>
      </c>
      <c r="V119" s="14" t="str">
        <f t="shared" si="22"/>
        <v/>
      </c>
      <c r="W119" s="14" t="str">
        <f>IFERROR(1/(1/INDEX(PMTCT!$AC:$AC,MATCH($E119,PMTCT!$E:$E,0))),"")</f>
        <v/>
      </c>
      <c r="X119" s="14" t="str">
        <f>IFERROR(1/(1/INDEX(PMTCT!$AS:$AS,MATCH($E119,PMTCT!$E:$E,0))),"")</f>
        <v/>
      </c>
      <c r="Y119" s="14" t="str">
        <f>IFERROR(1/(1/INDEX(VMMC!$AA:$AA,MATCH($E119,VMMC!$E:$E,0))),"")</f>
        <v/>
      </c>
      <c r="Z119" s="14" t="str">
        <f t="shared" si="23"/>
        <v/>
      </c>
    </row>
    <row r="120" spans="1:26" x14ac:dyDescent="0.2">
      <c r="A120" t="str">
        <f>INDEX(Prioritization!$D:$D,MATCH($B120,Prioritization!$A:$A,0))</f>
        <v>INVALID</v>
      </c>
      <c r="B120" t="s">
        <v>201</v>
      </c>
      <c r="C120" t="s">
        <v>366</v>
      </c>
      <c r="D120" t="s">
        <v>47</v>
      </c>
      <c r="E120" t="str">
        <f t="shared" si="12"/>
        <v>Ntchisi District [fiRkU6gEjLz]|35-49|Male</v>
      </c>
      <c r="F120" s="14"/>
      <c r="G120" s="90">
        <f>0</f>
        <v>0</v>
      </c>
      <c r="H120" s="42" t="str">
        <f t="shared" si="13"/>
        <v/>
      </c>
      <c r="I120" s="14"/>
      <c r="J120" s="90"/>
      <c r="K120" s="90" t="str">
        <f t="shared" si="14"/>
        <v/>
      </c>
      <c r="L120" s="90"/>
      <c r="M120" s="90" t="str">
        <f t="shared" si="15"/>
        <v/>
      </c>
      <c r="N120" s="14" t="str">
        <f t="shared" si="16"/>
        <v/>
      </c>
      <c r="O120" s="42" t="str">
        <f t="shared" si="17"/>
        <v/>
      </c>
      <c r="P120" s="42" t="str">
        <f t="shared" si="18"/>
        <v/>
      </c>
      <c r="Q120" s="42" t="str">
        <f t="shared" si="19"/>
        <v/>
      </c>
      <c r="R120" s="90" t="str">
        <f>IF(SUM($P120)=0,"",INDEX(Cascade!$BG:$BG,MATCH($E120,Cascade!$E:$E,0)))</f>
        <v/>
      </c>
      <c r="S120" s="42" t="str">
        <f t="shared" si="20"/>
        <v/>
      </c>
      <c r="T120" s="42" t="str">
        <f t="shared" si="21"/>
        <v/>
      </c>
      <c r="U120" s="14" t="str">
        <f>IFERROR(1/(1/INDEX(Cascade!$BH:$BH,MATCH($E120,Cascade!$E:$E,0))),"")</f>
        <v/>
      </c>
      <c r="V120" s="14" t="str">
        <f t="shared" si="22"/>
        <v/>
      </c>
      <c r="W120" s="14" t="str">
        <f>IFERROR(1/(1/INDEX(PMTCT!$AC:$AC,MATCH($E120,PMTCT!$E:$E,0))),"")</f>
        <v/>
      </c>
      <c r="X120" s="14" t="str">
        <f>IFERROR(1/(1/INDEX(PMTCT!$AS:$AS,MATCH($E120,PMTCT!$E:$E,0))),"")</f>
        <v/>
      </c>
      <c r="Y120" s="14" t="str">
        <f>IFERROR(1/(1/INDEX(VMMC!$AA:$AA,MATCH($E120,VMMC!$E:$E,0))),"")</f>
        <v/>
      </c>
      <c r="Z120" s="14" t="str">
        <f t="shared" si="23"/>
        <v/>
      </c>
    </row>
    <row r="121" spans="1:26" x14ac:dyDescent="0.2">
      <c r="A121" t="str">
        <f>INDEX(Prioritization!$D:$D,MATCH($B121,Prioritization!$A:$A,0))</f>
        <v>INVALID</v>
      </c>
      <c r="B121" t="s">
        <v>201</v>
      </c>
      <c r="C121" t="s">
        <v>367</v>
      </c>
      <c r="D121" t="s">
        <v>29</v>
      </c>
      <c r="E121" t="str">
        <f t="shared" si="12"/>
        <v>Ntchisi District [fiRkU6gEjLz]|50+|Female</v>
      </c>
      <c r="F121" s="14"/>
      <c r="G121" s="90">
        <f>0</f>
        <v>0</v>
      </c>
      <c r="H121" s="42" t="str">
        <f t="shared" si="13"/>
        <v/>
      </c>
      <c r="I121" s="14"/>
      <c r="J121" s="90"/>
      <c r="K121" s="90" t="str">
        <f t="shared" si="14"/>
        <v/>
      </c>
      <c r="L121" s="90"/>
      <c r="M121" s="90" t="str">
        <f t="shared" si="15"/>
        <v/>
      </c>
      <c r="N121" s="14" t="str">
        <f t="shared" si="16"/>
        <v/>
      </c>
      <c r="O121" s="42" t="str">
        <f t="shared" si="17"/>
        <v/>
      </c>
      <c r="P121" s="42" t="str">
        <f t="shared" si="18"/>
        <v/>
      </c>
      <c r="Q121" s="42" t="str">
        <f t="shared" si="19"/>
        <v/>
      </c>
      <c r="R121" s="90" t="str">
        <f>IF(SUM($P121)=0,"",INDEX(Cascade!$BG:$BG,MATCH($E121,Cascade!$E:$E,0)))</f>
        <v/>
      </c>
      <c r="S121" s="42" t="str">
        <f t="shared" si="20"/>
        <v/>
      </c>
      <c r="T121" s="42" t="str">
        <f t="shared" si="21"/>
        <v/>
      </c>
      <c r="U121" s="14" t="str">
        <f>IFERROR(1/(1/INDEX(Cascade!$BH:$BH,MATCH($E121,Cascade!$E:$E,0))),"")</f>
        <v/>
      </c>
      <c r="V121" s="14" t="str">
        <f t="shared" si="22"/>
        <v/>
      </c>
      <c r="W121" s="14" t="str">
        <f>IFERROR(1/(1/INDEX(PMTCT!$AC:$AC,MATCH($E121,PMTCT!$E:$E,0))),"")</f>
        <v/>
      </c>
      <c r="X121" s="14" t="str">
        <f>IFERROR(1/(1/INDEX(PMTCT!$AS:$AS,MATCH($E121,PMTCT!$E:$E,0))),"")</f>
        <v/>
      </c>
      <c r="Y121" s="14" t="str">
        <f>IFERROR(1/(1/INDEX(VMMC!$AA:$AA,MATCH($E121,VMMC!$E:$E,0))),"")</f>
        <v/>
      </c>
      <c r="Z121" s="14" t="str">
        <f t="shared" si="23"/>
        <v/>
      </c>
    </row>
    <row r="122" spans="1:26" x14ac:dyDescent="0.2">
      <c r="A122" t="str">
        <f>INDEX(Prioritization!$D:$D,MATCH($B122,Prioritization!$A:$A,0))</f>
        <v>INVALID</v>
      </c>
      <c r="B122" t="s">
        <v>201</v>
      </c>
      <c r="C122" t="s">
        <v>367</v>
      </c>
      <c r="D122" t="s">
        <v>47</v>
      </c>
      <c r="E122" t="str">
        <f t="shared" si="12"/>
        <v>Ntchisi District [fiRkU6gEjLz]|50+|Male</v>
      </c>
      <c r="F122" s="14"/>
      <c r="G122" s="90">
        <f>0</f>
        <v>0</v>
      </c>
      <c r="H122" s="42" t="str">
        <f t="shared" si="13"/>
        <v/>
      </c>
      <c r="I122" s="14"/>
      <c r="J122" s="90"/>
      <c r="K122" s="90" t="str">
        <f t="shared" si="14"/>
        <v/>
      </c>
      <c r="L122" s="90"/>
      <c r="M122" s="90" t="str">
        <f t="shared" si="15"/>
        <v/>
      </c>
      <c r="N122" s="14" t="str">
        <f t="shared" si="16"/>
        <v/>
      </c>
      <c r="O122" s="42" t="str">
        <f t="shared" si="17"/>
        <v/>
      </c>
      <c r="P122" s="42" t="str">
        <f t="shared" si="18"/>
        <v/>
      </c>
      <c r="Q122" s="42" t="str">
        <f t="shared" si="19"/>
        <v/>
      </c>
      <c r="R122" s="90" t="str">
        <f>IF(SUM($P122)=0,"",INDEX(Cascade!$BG:$BG,MATCH($E122,Cascade!$E:$E,0)))</f>
        <v/>
      </c>
      <c r="S122" s="42" t="str">
        <f t="shared" si="20"/>
        <v/>
      </c>
      <c r="T122" s="42" t="str">
        <f t="shared" si="21"/>
        <v/>
      </c>
      <c r="U122" s="14" t="str">
        <f>IFERROR(1/(1/INDEX(Cascade!$BH:$BH,MATCH($E122,Cascade!$E:$E,0))),"")</f>
        <v/>
      </c>
      <c r="V122" s="14" t="str">
        <f t="shared" si="22"/>
        <v/>
      </c>
      <c r="W122" s="14" t="str">
        <f>IFERROR(1/(1/INDEX(PMTCT!$AC:$AC,MATCH($E122,PMTCT!$E:$E,0))),"")</f>
        <v/>
      </c>
      <c r="X122" s="14" t="str">
        <f>IFERROR(1/(1/INDEX(PMTCT!$AS:$AS,MATCH($E122,PMTCT!$E:$E,0))),"")</f>
        <v/>
      </c>
      <c r="Y122" s="14" t="str">
        <f>IFERROR(1/(1/INDEX(VMMC!$AA:$AA,MATCH($E122,VMMC!$E:$E,0))),"")</f>
        <v/>
      </c>
      <c r="Z122" s="14" t="str">
        <f t="shared" si="23"/>
        <v/>
      </c>
    </row>
    <row r="123" spans="1:26" x14ac:dyDescent="0.2">
      <c r="A123" t="str">
        <f>INDEX(Prioritization!$D:$D,MATCH($B123,Prioritization!$A:$A,0))</f>
        <v>INVALID</v>
      </c>
      <c r="B123" t="s">
        <v>202</v>
      </c>
      <c r="C123" t="s">
        <v>362</v>
      </c>
      <c r="D123" t="s">
        <v>29</v>
      </c>
      <c r="E123" t="str">
        <f t="shared" si="12"/>
        <v>Salima District [msW2zpIN7up]|01-09|Female</v>
      </c>
      <c r="F123" s="14"/>
      <c r="G123" s="90">
        <f>0</f>
        <v>0</v>
      </c>
      <c r="H123" s="42" t="str">
        <f t="shared" si="13"/>
        <v/>
      </c>
      <c r="I123" s="14"/>
      <c r="J123" s="90"/>
      <c r="K123" s="90" t="str">
        <f t="shared" si="14"/>
        <v/>
      </c>
      <c r="L123" s="90"/>
      <c r="M123" s="90" t="str">
        <f t="shared" si="15"/>
        <v/>
      </c>
      <c r="N123" s="14" t="str">
        <f t="shared" si="16"/>
        <v/>
      </c>
      <c r="O123" s="42" t="str">
        <f t="shared" si="17"/>
        <v/>
      </c>
      <c r="P123" s="42" t="str">
        <f t="shared" si="18"/>
        <v/>
      </c>
      <c r="Q123" s="42" t="str">
        <f t="shared" si="19"/>
        <v/>
      </c>
      <c r="R123" s="90" t="str">
        <f>IF(SUM($P123)=0,"",INDEX(Cascade!$BG:$BG,MATCH($E123,Cascade!$E:$E,0)))</f>
        <v/>
      </c>
      <c r="S123" s="42" t="str">
        <f t="shared" si="20"/>
        <v/>
      </c>
      <c r="T123" s="42" t="str">
        <f t="shared" si="21"/>
        <v/>
      </c>
      <c r="U123" s="14" t="str">
        <f>IFERROR(1/(1/INDEX(Cascade!$BH:$BH,MATCH($E123,Cascade!$E:$E,0))),"")</f>
        <v/>
      </c>
      <c r="V123" s="14" t="str">
        <f t="shared" si="22"/>
        <v/>
      </c>
      <c r="W123" s="14" t="str">
        <f>IFERROR(1/(1/INDEX(PMTCT!$AC:$AC,MATCH($E123,PMTCT!$E:$E,0))),"")</f>
        <v/>
      </c>
      <c r="X123" s="14" t="str">
        <f>IFERROR(1/(1/INDEX(PMTCT!$AS:$AS,MATCH($E123,PMTCT!$E:$E,0))),"")</f>
        <v/>
      </c>
      <c r="Y123" s="14" t="str">
        <f>IFERROR(1/(1/INDEX(VMMC!$AA:$AA,MATCH($E123,VMMC!$E:$E,0))),"")</f>
        <v/>
      </c>
      <c r="Z123" s="14" t="str">
        <f t="shared" si="23"/>
        <v/>
      </c>
    </row>
    <row r="124" spans="1:26" x14ac:dyDescent="0.2">
      <c r="A124" t="str">
        <f>INDEX(Prioritization!$D:$D,MATCH($B124,Prioritization!$A:$A,0))</f>
        <v>INVALID</v>
      </c>
      <c r="B124" t="s">
        <v>202</v>
      </c>
      <c r="C124" t="s">
        <v>362</v>
      </c>
      <c r="D124" t="s">
        <v>47</v>
      </c>
      <c r="E124" t="str">
        <f t="shared" si="12"/>
        <v>Salima District [msW2zpIN7up]|01-09|Male</v>
      </c>
      <c r="F124" s="14"/>
      <c r="G124" s="90">
        <f>0</f>
        <v>0</v>
      </c>
      <c r="H124" s="42" t="str">
        <f t="shared" si="13"/>
        <v/>
      </c>
      <c r="I124" s="14"/>
      <c r="J124" s="90"/>
      <c r="K124" s="90" t="str">
        <f t="shared" si="14"/>
        <v/>
      </c>
      <c r="L124" s="90"/>
      <c r="M124" s="90" t="str">
        <f t="shared" si="15"/>
        <v/>
      </c>
      <c r="N124" s="14" t="str">
        <f t="shared" si="16"/>
        <v/>
      </c>
      <c r="O124" s="42" t="str">
        <f t="shared" si="17"/>
        <v/>
      </c>
      <c r="P124" s="42" t="str">
        <f t="shared" si="18"/>
        <v/>
      </c>
      <c r="Q124" s="42" t="str">
        <f t="shared" si="19"/>
        <v/>
      </c>
      <c r="R124" s="90" t="str">
        <f>IF(SUM($P124)=0,"",INDEX(Cascade!$BG:$BG,MATCH($E124,Cascade!$E:$E,0)))</f>
        <v/>
      </c>
      <c r="S124" s="42" t="str">
        <f t="shared" si="20"/>
        <v/>
      </c>
      <c r="T124" s="42" t="str">
        <f t="shared" si="21"/>
        <v/>
      </c>
      <c r="U124" s="14" t="str">
        <f>IFERROR(1/(1/INDEX(Cascade!$BH:$BH,MATCH($E124,Cascade!$E:$E,0))),"")</f>
        <v/>
      </c>
      <c r="V124" s="14" t="str">
        <f t="shared" si="22"/>
        <v/>
      </c>
      <c r="W124" s="14" t="str">
        <f>IFERROR(1/(1/INDEX(PMTCT!$AC:$AC,MATCH($E124,PMTCT!$E:$E,0))),"")</f>
        <v/>
      </c>
      <c r="X124" s="14" t="str">
        <f>IFERROR(1/(1/INDEX(PMTCT!$AS:$AS,MATCH($E124,PMTCT!$E:$E,0))),"")</f>
        <v/>
      </c>
      <c r="Y124" s="14" t="str">
        <f>IFERROR(1/(1/INDEX(VMMC!$AA:$AA,MATCH($E124,VMMC!$E:$E,0))),"")</f>
        <v/>
      </c>
      <c r="Z124" s="14" t="str">
        <f t="shared" si="23"/>
        <v/>
      </c>
    </row>
    <row r="125" spans="1:26" x14ac:dyDescent="0.2">
      <c r="A125" t="str">
        <f>INDEX(Prioritization!$D:$D,MATCH($B125,Prioritization!$A:$A,0))</f>
        <v>INVALID</v>
      </c>
      <c r="B125" t="s">
        <v>202</v>
      </c>
      <c r="C125" t="s">
        <v>363</v>
      </c>
      <c r="D125" t="s">
        <v>29</v>
      </c>
      <c r="E125" t="str">
        <f t="shared" si="12"/>
        <v>Salima District [msW2zpIN7up]|10-14|Female</v>
      </c>
      <c r="F125" s="14">
        <v>0</v>
      </c>
      <c r="G125" s="90">
        <f>0</f>
        <v>0</v>
      </c>
      <c r="H125" s="42" t="str">
        <f t="shared" si="13"/>
        <v/>
      </c>
      <c r="I125" s="14"/>
      <c r="J125" s="90"/>
      <c r="K125" s="90" t="str">
        <f t="shared" si="14"/>
        <v/>
      </c>
      <c r="L125" s="90"/>
      <c r="M125" s="90" t="str">
        <f t="shared" si="15"/>
        <v/>
      </c>
      <c r="N125" s="14" t="str">
        <f t="shared" si="16"/>
        <v/>
      </c>
      <c r="O125" s="42" t="str">
        <f t="shared" si="17"/>
        <v/>
      </c>
      <c r="P125" s="42" t="str">
        <f t="shared" si="18"/>
        <v/>
      </c>
      <c r="Q125" s="42" t="str">
        <f t="shared" si="19"/>
        <v/>
      </c>
      <c r="R125" s="90" t="str">
        <f>IF(SUM($P125)=0,"",INDEX(Cascade!$BG:$BG,MATCH($E125,Cascade!$E:$E,0)))</f>
        <v/>
      </c>
      <c r="S125" s="42" t="str">
        <f t="shared" si="20"/>
        <v/>
      </c>
      <c r="T125" s="42" t="str">
        <f t="shared" si="21"/>
        <v/>
      </c>
      <c r="U125" s="14">
        <f>IFERROR(1/(1/INDEX(Cascade!$BH:$BH,MATCH($E125,Cascade!$E:$E,0))),"")</f>
        <v>-82</v>
      </c>
      <c r="V125" s="14" t="str">
        <f t="shared" si="22"/>
        <v/>
      </c>
      <c r="W125" s="14" t="str">
        <f>IFERROR(1/(1/INDEX(PMTCT!$AC:$AC,MATCH($E125,PMTCT!$E:$E,0))),"")</f>
        <v/>
      </c>
      <c r="X125" s="14" t="str">
        <f>IFERROR(1/(1/INDEX(PMTCT!$AS:$AS,MATCH($E125,PMTCT!$E:$E,0))),"")</f>
        <v/>
      </c>
      <c r="Y125" s="14" t="str">
        <f>IFERROR(1/(1/INDEX(VMMC!$AA:$AA,MATCH($E125,VMMC!$E:$E,0))),"")</f>
        <v/>
      </c>
      <c r="Z125" s="14">
        <f t="shared" si="23"/>
        <v>-82</v>
      </c>
    </row>
    <row r="126" spans="1:26" x14ac:dyDescent="0.2">
      <c r="A126" t="str">
        <f>INDEX(Prioritization!$D:$D,MATCH($B126,Prioritization!$A:$A,0))</f>
        <v>INVALID</v>
      </c>
      <c r="B126" t="s">
        <v>202</v>
      </c>
      <c r="C126" t="s">
        <v>363</v>
      </c>
      <c r="D126" t="s">
        <v>47</v>
      </c>
      <c r="E126" t="str">
        <f t="shared" si="12"/>
        <v>Salima District [msW2zpIN7up]|10-14|Male</v>
      </c>
      <c r="F126" s="14">
        <v>1</v>
      </c>
      <c r="G126" s="90">
        <f>0</f>
        <v>0</v>
      </c>
      <c r="H126" s="42">
        <f t="shared" si="13"/>
        <v>1</v>
      </c>
      <c r="I126" s="14"/>
      <c r="J126" s="90"/>
      <c r="K126" s="90" t="str">
        <f t="shared" si="14"/>
        <v/>
      </c>
      <c r="L126" s="90"/>
      <c r="M126" s="90" t="str">
        <f t="shared" si="15"/>
        <v/>
      </c>
      <c r="N126" s="14">
        <f t="shared" si="16"/>
        <v>1</v>
      </c>
      <c r="O126" s="42" t="str">
        <f t="shared" si="17"/>
        <v>ENTER KNOWN POSITIVITY RATE</v>
      </c>
      <c r="P126" s="42" t="str">
        <f t="shared" si="18"/>
        <v>ENTER YIELD RATE</v>
      </c>
      <c r="Q126" s="42">
        <f t="shared" si="19"/>
        <v>1</v>
      </c>
      <c r="R126" s="90" t="str">
        <f>IF(SUM($P126)=0,"",INDEX(Cascade!$BG:$BG,MATCH($E126,Cascade!$E:$E,0)))</f>
        <v/>
      </c>
      <c r="S126" s="42" t="str">
        <f t="shared" si="20"/>
        <v>ENTER KNOWN POSITIVITY RATE</v>
      </c>
      <c r="T126" s="42" t="str">
        <f t="shared" si="21"/>
        <v/>
      </c>
      <c r="U126" s="14">
        <f>IFERROR(1/(1/INDEX(Cascade!$BH:$BH,MATCH($E126,Cascade!$E:$E,0))),"")</f>
        <v>-77</v>
      </c>
      <c r="V126" s="14" t="str">
        <f t="shared" si="22"/>
        <v/>
      </c>
      <c r="W126" s="14" t="str">
        <f>IFERROR(1/(1/INDEX(PMTCT!$AC:$AC,MATCH($E126,PMTCT!$E:$E,0))),"")</f>
        <v/>
      </c>
      <c r="X126" s="14" t="str">
        <f>IFERROR(1/(1/INDEX(PMTCT!$AS:$AS,MATCH($E126,PMTCT!$E:$E,0))),"")</f>
        <v/>
      </c>
      <c r="Y126" s="14" t="str">
        <f>IFERROR(1/(1/INDEX(VMMC!$AA:$AA,MATCH($E126,VMMC!$E:$E,0))),"")</f>
        <v/>
      </c>
      <c r="Z126" s="14">
        <f t="shared" si="23"/>
        <v>-77</v>
      </c>
    </row>
    <row r="127" spans="1:26" x14ac:dyDescent="0.2">
      <c r="A127" t="str">
        <f>INDEX(Prioritization!$D:$D,MATCH($B127,Prioritization!$A:$A,0))</f>
        <v>INVALID</v>
      </c>
      <c r="B127" t="s">
        <v>202</v>
      </c>
      <c r="C127" t="s">
        <v>364</v>
      </c>
      <c r="D127" t="s">
        <v>29</v>
      </c>
      <c r="E127" t="str">
        <f t="shared" si="12"/>
        <v>Salima District [msW2zpIN7up]|15-24|Female</v>
      </c>
      <c r="F127" s="14"/>
      <c r="G127" s="90">
        <f>0</f>
        <v>0</v>
      </c>
      <c r="H127" s="42" t="str">
        <f t="shared" si="13"/>
        <v/>
      </c>
      <c r="I127" s="14"/>
      <c r="J127" s="90"/>
      <c r="K127" s="90" t="str">
        <f t="shared" si="14"/>
        <v/>
      </c>
      <c r="L127" s="90"/>
      <c r="M127" s="90" t="str">
        <f t="shared" si="15"/>
        <v/>
      </c>
      <c r="N127" s="14" t="str">
        <f t="shared" si="16"/>
        <v/>
      </c>
      <c r="O127" s="42" t="str">
        <f t="shared" si="17"/>
        <v/>
      </c>
      <c r="P127" s="42" t="str">
        <f t="shared" si="18"/>
        <v/>
      </c>
      <c r="Q127" s="42" t="str">
        <f t="shared" si="19"/>
        <v/>
      </c>
      <c r="R127" s="90" t="str">
        <f>IF(SUM($P127)=0,"",INDEX(Cascade!$BG:$BG,MATCH($E127,Cascade!$E:$E,0)))</f>
        <v/>
      </c>
      <c r="S127" s="42" t="str">
        <f t="shared" si="20"/>
        <v/>
      </c>
      <c r="T127" s="42" t="str">
        <f t="shared" si="21"/>
        <v/>
      </c>
      <c r="U127" s="14" t="str">
        <f>IFERROR(1/(1/INDEX(Cascade!$BH:$BH,MATCH($E127,Cascade!$E:$E,0))),"")</f>
        <v/>
      </c>
      <c r="V127" s="14" t="str">
        <f t="shared" si="22"/>
        <v/>
      </c>
      <c r="W127" s="14" t="str">
        <f>IFERROR(1/(1/INDEX(PMTCT!$AC:$AC,MATCH($E127,PMTCT!$E:$E,0))),"")</f>
        <v/>
      </c>
      <c r="X127" s="14" t="str">
        <f>IFERROR(1/(1/INDEX(PMTCT!$AS:$AS,MATCH($E127,PMTCT!$E:$E,0))),"")</f>
        <v/>
      </c>
      <c r="Y127" s="14" t="str">
        <f>IFERROR(1/(1/INDEX(VMMC!$AA:$AA,MATCH($E127,VMMC!$E:$E,0))),"")</f>
        <v/>
      </c>
      <c r="Z127" s="14" t="str">
        <f t="shared" si="23"/>
        <v/>
      </c>
    </row>
    <row r="128" spans="1:26" x14ac:dyDescent="0.2">
      <c r="A128" t="str">
        <f>INDEX(Prioritization!$D:$D,MATCH($B128,Prioritization!$A:$A,0))</f>
        <v>INVALID</v>
      </c>
      <c r="B128" t="s">
        <v>202</v>
      </c>
      <c r="C128" t="s">
        <v>364</v>
      </c>
      <c r="D128" t="s">
        <v>47</v>
      </c>
      <c r="E128" t="str">
        <f t="shared" si="12"/>
        <v>Salima District [msW2zpIN7up]|15-24|Male</v>
      </c>
      <c r="F128" s="14"/>
      <c r="G128" s="90">
        <f>0</f>
        <v>0</v>
      </c>
      <c r="H128" s="42" t="str">
        <f t="shared" si="13"/>
        <v/>
      </c>
      <c r="I128" s="14"/>
      <c r="J128" s="90"/>
      <c r="K128" s="90" t="str">
        <f t="shared" si="14"/>
        <v/>
      </c>
      <c r="L128" s="90"/>
      <c r="M128" s="90" t="str">
        <f t="shared" si="15"/>
        <v/>
      </c>
      <c r="N128" s="14" t="str">
        <f t="shared" si="16"/>
        <v/>
      </c>
      <c r="O128" s="42" t="str">
        <f t="shared" si="17"/>
        <v/>
      </c>
      <c r="P128" s="42" t="str">
        <f t="shared" si="18"/>
        <v/>
      </c>
      <c r="Q128" s="42" t="str">
        <f t="shared" si="19"/>
        <v/>
      </c>
      <c r="R128" s="90" t="str">
        <f>IF(SUM($P128)=0,"",INDEX(Cascade!$BG:$BG,MATCH($E128,Cascade!$E:$E,0)))</f>
        <v/>
      </c>
      <c r="S128" s="42" t="str">
        <f t="shared" si="20"/>
        <v/>
      </c>
      <c r="T128" s="42" t="str">
        <f t="shared" si="21"/>
        <v/>
      </c>
      <c r="U128" s="14" t="str">
        <f>IFERROR(1/(1/INDEX(Cascade!$BH:$BH,MATCH($E128,Cascade!$E:$E,0))),"")</f>
        <v/>
      </c>
      <c r="V128" s="14" t="str">
        <f t="shared" si="22"/>
        <v/>
      </c>
      <c r="W128" s="14" t="str">
        <f>IFERROR(1/(1/INDEX(PMTCT!$AC:$AC,MATCH($E128,PMTCT!$E:$E,0))),"")</f>
        <v/>
      </c>
      <c r="X128" s="14" t="str">
        <f>IFERROR(1/(1/INDEX(PMTCT!$AS:$AS,MATCH($E128,PMTCT!$E:$E,0))),"")</f>
        <v/>
      </c>
      <c r="Y128" s="14" t="str">
        <f>IFERROR(1/(1/INDEX(VMMC!$AA:$AA,MATCH($E128,VMMC!$E:$E,0))),"")</f>
        <v/>
      </c>
      <c r="Z128" s="14" t="str">
        <f t="shared" si="23"/>
        <v/>
      </c>
    </row>
    <row r="129" spans="1:26" x14ac:dyDescent="0.2">
      <c r="A129" t="str">
        <f>INDEX(Prioritization!$D:$D,MATCH($B129,Prioritization!$A:$A,0))</f>
        <v>INVALID</v>
      </c>
      <c r="B129" t="s">
        <v>202</v>
      </c>
      <c r="C129" t="s">
        <v>365</v>
      </c>
      <c r="D129" t="s">
        <v>29</v>
      </c>
      <c r="E129" t="str">
        <f t="shared" si="12"/>
        <v>Salima District [msW2zpIN7up]|25-34|Female</v>
      </c>
      <c r="F129" s="14"/>
      <c r="G129" s="90">
        <f>0</f>
        <v>0</v>
      </c>
      <c r="H129" s="42" t="str">
        <f t="shared" si="13"/>
        <v/>
      </c>
      <c r="I129" s="14"/>
      <c r="J129" s="90"/>
      <c r="K129" s="90" t="str">
        <f t="shared" si="14"/>
        <v/>
      </c>
      <c r="L129" s="90"/>
      <c r="M129" s="90" t="str">
        <f t="shared" si="15"/>
        <v/>
      </c>
      <c r="N129" s="14" t="str">
        <f t="shared" si="16"/>
        <v/>
      </c>
      <c r="O129" s="42" t="str">
        <f t="shared" si="17"/>
        <v/>
      </c>
      <c r="P129" s="42" t="str">
        <f t="shared" si="18"/>
        <v/>
      </c>
      <c r="Q129" s="42" t="str">
        <f t="shared" si="19"/>
        <v/>
      </c>
      <c r="R129" s="90" t="str">
        <f>IF(SUM($P129)=0,"",INDEX(Cascade!$BG:$BG,MATCH($E129,Cascade!$E:$E,0)))</f>
        <v/>
      </c>
      <c r="S129" s="42" t="str">
        <f t="shared" si="20"/>
        <v/>
      </c>
      <c r="T129" s="42" t="str">
        <f t="shared" si="21"/>
        <v/>
      </c>
      <c r="U129" s="14" t="str">
        <f>IFERROR(1/(1/INDEX(Cascade!$BH:$BH,MATCH($E129,Cascade!$E:$E,0))),"")</f>
        <v/>
      </c>
      <c r="V129" s="14" t="str">
        <f t="shared" si="22"/>
        <v/>
      </c>
      <c r="W129" s="14" t="str">
        <f>IFERROR(1/(1/INDEX(PMTCT!$AC:$AC,MATCH($E129,PMTCT!$E:$E,0))),"")</f>
        <v/>
      </c>
      <c r="X129" s="14" t="str">
        <f>IFERROR(1/(1/INDEX(PMTCT!$AS:$AS,MATCH($E129,PMTCT!$E:$E,0))),"")</f>
        <v/>
      </c>
      <c r="Y129" s="14" t="str">
        <f>IFERROR(1/(1/INDEX(VMMC!$AA:$AA,MATCH($E129,VMMC!$E:$E,0))),"")</f>
        <v/>
      </c>
      <c r="Z129" s="14" t="str">
        <f t="shared" si="23"/>
        <v/>
      </c>
    </row>
    <row r="130" spans="1:26" x14ac:dyDescent="0.2">
      <c r="A130" t="str">
        <f>INDEX(Prioritization!$D:$D,MATCH($B130,Prioritization!$A:$A,0))</f>
        <v>INVALID</v>
      </c>
      <c r="B130" t="s">
        <v>202</v>
      </c>
      <c r="C130" t="s">
        <v>365</v>
      </c>
      <c r="D130" t="s">
        <v>47</v>
      </c>
      <c r="E130" t="str">
        <f t="shared" si="12"/>
        <v>Salima District [msW2zpIN7up]|25-34|Male</v>
      </c>
      <c r="F130" s="14"/>
      <c r="G130" s="90">
        <f>0</f>
        <v>0</v>
      </c>
      <c r="H130" s="42" t="str">
        <f t="shared" si="13"/>
        <v/>
      </c>
      <c r="I130" s="14"/>
      <c r="J130" s="90"/>
      <c r="K130" s="90" t="str">
        <f t="shared" si="14"/>
        <v/>
      </c>
      <c r="L130" s="90"/>
      <c r="M130" s="90" t="str">
        <f t="shared" si="15"/>
        <v/>
      </c>
      <c r="N130" s="14" t="str">
        <f t="shared" si="16"/>
        <v/>
      </c>
      <c r="O130" s="42" t="str">
        <f t="shared" si="17"/>
        <v/>
      </c>
      <c r="P130" s="42" t="str">
        <f t="shared" si="18"/>
        <v/>
      </c>
      <c r="Q130" s="42" t="str">
        <f t="shared" si="19"/>
        <v/>
      </c>
      <c r="R130" s="90" t="str">
        <f>IF(SUM($P130)=0,"",INDEX(Cascade!$BG:$BG,MATCH($E130,Cascade!$E:$E,0)))</f>
        <v/>
      </c>
      <c r="S130" s="42" t="str">
        <f t="shared" si="20"/>
        <v/>
      </c>
      <c r="T130" s="42" t="str">
        <f t="shared" si="21"/>
        <v/>
      </c>
      <c r="U130" s="14" t="str">
        <f>IFERROR(1/(1/INDEX(Cascade!$BH:$BH,MATCH($E130,Cascade!$E:$E,0))),"")</f>
        <v/>
      </c>
      <c r="V130" s="14" t="str">
        <f t="shared" si="22"/>
        <v/>
      </c>
      <c r="W130" s="14" t="str">
        <f>IFERROR(1/(1/INDEX(PMTCT!$AC:$AC,MATCH($E130,PMTCT!$E:$E,0))),"")</f>
        <v/>
      </c>
      <c r="X130" s="14" t="str">
        <f>IFERROR(1/(1/INDEX(PMTCT!$AS:$AS,MATCH($E130,PMTCT!$E:$E,0))),"")</f>
        <v/>
      </c>
      <c r="Y130" s="14" t="str">
        <f>IFERROR(1/(1/INDEX(VMMC!$AA:$AA,MATCH($E130,VMMC!$E:$E,0))),"")</f>
        <v/>
      </c>
      <c r="Z130" s="14" t="str">
        <f t="shared" si="23"/>
        <v/>
      </c>
    </row>
    <row r="131" spans="1:26" x14ac:dyDescent="0.2">
      <c r="A131" t="str">
        <f>INDEX(Prioritization!$D:$D,MATCH($B131,Prioritization!$A:$A,0))</f>
        <v>INVALID</v>
      </c>
      <c r="B131" t="s">
        <v>202</v>
      </c>
      <c r="C131" t="s">
        <v>366</v>
      </c>
      <c r="D131" t="s">
        <v>29</v>
      </c>
      <c r="E131" t="str">
        <f t="shared" si="12"/>
        <v>Salima District [msW2zpIN7up]|35-49|Female</v>
      </c>
      <c r="F131" s="14"/>
      <c r="G131" s="90">
        <f>0</f>
        <v>0</v>
      </c>
      <c r="H131" s="42" t="str">
        <f t="shared" si="13"/>
        <v/>
      </c>
      <c r="I131" s="14"/>
      <c r="J131" s="90"/>
      <c r="K131" s="90" t="str">
        <f t="shared" si="14"/>
        <v/>
      </c>
      <c r="L131" s="90"/>
      <c r="M131" s="90" t="str">
        <f t="shared" si="15"/>
        <v/>
      </c>
      <c r="N131" s="14" t="str">
        <f t="shared" si="16"/>
        <v/>
      </c>
      <c r="O131" s="42" t="str">
        <f t="shared" si="17"/>
        <v/>
      </c>
      <c r="P131" s="42" t="str">
        <f t="shared" si="18"/>
        <v/>
      </c>
      <c r="Q131" s="42" t="str">
        <f t="shared" si="19"/>
        <v/>
      </c>
      <c r="R131" s="90" t="str">
        <f>IF(SUM($P131)=0,"",INDEX(Cascade!$BG:$BG,MATCH($E131,Cascade!$E:$E,0)))</f>
        <v/>
      </c>
      <c r="S131" s="42" t="str">
        <f t="shared" si="20"/>
        <v/>
      </c>
      <c r="T131" s="42" t="str">
        <f t="shared" si="21"/>
        <v/>
      </c>
      <c r="U131" s="14" t="str">
        <f>IFERROR(1/(1/INDEX(Cascade!$BH:$BH,MATCH($E131,Cascade!$E:$E,0))),"")</f>
        <v/>
      </c>
      <c r="V131" s="14" t="str">
        <f t="shared" si="22"/>
        <v/>
      </c>
      <c r="W131" s="14" t="str">
        <f>IFERROR(1/(1/INDEX(PMTCT!$AC:$AC,MATCH($E131,PMTCT!$E:$E,0))),"")</f>
        <v/>
      </c>
      <c r="X131" s="14" t="str">
        <f>IFERROR(1/(1/INDEX(PMTCT!$AS:$AS,MATCH($E131,PMTCT!$E:$E,0))),"")</f>
        <v/>
      </c>
      <c r="Y131" s="14" t="str">
        <f>IFERROR(1/(1/INDEX(VMMC!$AA:$AA,MATCH($E131,VMMC!$E:$E,0))),"")</f>
        <v/>
      </c>
      <c r="Z131" s="14" t="str">
        <f t="shared" si="23"/>
        <v/>
      </c>
    </row>
    <row r="132" spans="1:26" x14ac:dyDescent="0.2">
      <c r="A132" t="str">
        <f>INDEX(Prioritization!$D:$D,MATCH($B132,Prioritization!$A:$A,0))</f>
        <v>INVALID</v>
      </c>
      <c r="B132" t="s">
        <v>202</v>
      </c>
      <c r="C132" t="s">
        <v>366</v>
      </c>
      <c r="D132" t="s">
        <v>47</v>
      </c>
      <c r="E132" t="str">
        <f t="shared" si="12"/>
        <v>Salima District [msW2zpIN7up]|35-49|Male</v>
      </c>
      <c r="F132" s="14"/>
      <c r="G132" s="90">
        <f>0</f>
        <v>0</v>
      </c>
      <c r="H132" s="42" t="str">
        <f t="shared" si="13"/>
        <v/>
      </c>
      <c r="I132" s="14"/>
      <c r="J132" s="90"/>
      <c r="K132" s="90" t="str">
        <f t="shared" si="14"/>
        <v/>
      </c>
      <c r="L132" s="90"/>
      <c r="M132" s="90" t="str">
        <f t="shared" si="15"/>
        <v/>
      </c>
      <c r="N132" s="14" t="str">
        <f t="shared" si="16"/>
        <v/>
      </c>
      <c r="O132" s="42" t="str">
        <f t="shared" si="17"/>
        <v/>
      </c>
      <c r="P132" s="42" t="str">
        <f t="shared" si="18"/>
        <v/>
      </c>
      <c r="Q132" s="42" t="str">
        <f t="shared" si="19"/>
        <v/>
      </c>
      <c r="R132" s="90" t="str">
        <f>IF(SUM($P132)=0,"",INDEX(Cascade!$BG:$BG,MATCH($E132,Cascade!$E:$E,0)))</f>
        <v/>
      </c>
      <c r="S132" s="42" t="str">
        <f t="shared" si="20"/>
        <v/>
      </c>
      <c r="T132" s="42" t="str">
        <f t="shared" si="21"/>
        <v/>
      </c>
      <c r="U132" s="14" t="str">
        <f>IFERROR(1/(1/INDEX(Cascade!$BH:$BH,MATCH($E132,Cascade!$E:$E,0))),"")</f>
        <v/>
      </c>
      <c r="V132" s="14" t="str">
        <f t="shared" si="22"/>
        <v/>
      </c>
      <c r="W132" s="14" t="str">
        <f>IFERROR(1/(1/INDEX(PMTCT!$AC:$AC,MATCH($E132,PMTCT!$E:$E,0))),"")</f>
        <v/>
      </c>
      <c r="X132" s="14" t="str">
        <f>IFERROR(1/(1/INDEX(PMTCT!$AS:$AS,MATCH($E132,PMTCT!$E:$E,0))),"")</f>
        <v/>
      </c>
      <c r="Y132" s="14" t="str">
        <f>IFERROR(1/(1/INDEX(VMMC!$AA:$AA,MATCH($E132,VMMC!$E:$E,0))),"")</f>
        <v/>
      </c>
      <c r="Z132" s="14" t="str">
        <f t="shared" si="23"/>
        <v/>
      </c>
    </row>
    <row r="133" spans="1:26" x14ac:dyDescent="0.2">
      <c r="A133" t="str">
        <f>INDEX(Prioritization!$D:$D,MATCH($B133,Prioritization!$A:$A,0))</f>
        <v>INVALID</v>
      </c>
      <c r="B133" t="s">
        <v>202</v>
      </c>
      <c r="C133" t="s">
        <v>367</v>
      </c>
      <c r="D133" t="s">
        <v>29</v>
      </c>
      <c r="E133" t="str">
        <f t="shared" si="12"/>
        <v>Salima District [msW2zpIN7up]|50+|Female</v>
      </c>
      <c r="F133" s="14"/>
      <c r="G133" s="90">
        <f>0</f>
        <v>0</v>
      </c>
      <c r="H133" s="42" t="str">
        <f t="shared" si="13"/>
        <v/>
      </c>
      <c r="I133" s="14"/>
      <c r="J133" s="90"/>
      <c r="K133" s="90" t="str">
        <f t="shared" si="14"/>
        <v/>
      </c>
      <c r="L133" s="90"/>
      <c r="M133" s="90" t="str">
        <f t="shared" si="15"/>
        <v/>
      </c>
      <c r="N133" s="14" t="str">
        <f t="shared" si="16"/>
        <v/>
      </c>
      <c r="O133" s="42" t="str">
        <f t="shared" si="17"/>
        <v/>
      </c>
      <c r="P133" s="42" t="str">
        <f t="shared" si="18"/>
        <v/>
      </c>
      <c r="Q133" s="42" t="str">
        <f t="shared" si="19"/>
        <v/>
      </c>
      <c r="R133" s="90" t="str">
        <f>IF(SUM($P133)=0,"",INDEX(Cascade!$BG:$BG,MATCH($E133,Cascade!$E:$E,0)))</f>
        <v/>
      </c>
      <c r="S133" s="42" t="str">
        <f t="shared" si="20"/>
        <v/>
      </c>
      <c r="T133" s="42" t="str">
        <f t="shared" si="21"/>
        <v/>
      </c>
      <c r="U133" s="14" t="str">
        <f>IFERROR(1/(1/INDEX(Cascade!$BH:$BH,MATCH($E133,Cascade!$E:$E,0))),"")</f>
        <v/>
      </c>
      <c r="V133" s="14" t="str">
        <f t="shared" si="22"/>
        <v/>
      </c>
      <c r="W133" s="14" t="str">
        <f>IFERROR(1/(1/INDEX(PMTCT!$AC:$AC,MATCH($E133,PMTCT!$E:$E,0))),"")</f>
        <v/>
      </c>
      <c r="X133" s="14" t="str">
        <f>IFERROR(1/(1/INDEX(PMTCT!$AS:$AS,MATCH($E133,PMTCT!$E:$E,0))),"")</f>
        <v/>
      </c>
      <c r="Y133" s="14" t="str">
        <f>IFERROR(1/(1/INDEX(VMMC!$AA:$AA,MATCH($E133,VMMC!$E:$E,0))),"")</f>
        <v/>
      </c>
      <c r="Z133" s="14" t="str">
        <f t="shared" si="23"/>
        <v/>
      </c>
    </row>
    <row r="134" spans="1:26" x14ac:dyDescent="0.2">
      <c r="A134" t="str">
        <f>INDEX(Prioritization!$D:$D,MATCH($B134,Prioritization!$A:$A,0))</f>
        <v>INVALID</v>
      </c>
      <c r="B134" t="s">
        <v>202</v>
      </c>
      <c r="C134" t="s">
        <v>367</v>
      </c>
      <c r="D134" t="s">
        <v>47</v>
      </c>
      <c r="E134" t="str">
        <f t="shared" si="12"/>
        <v>Salima District [msW2zpIN7up]|50+|Male</v>
      </c>
      <c r="F134" s="14"/>
      <c r="G134" s="90">
        <f>0</f>
        <v>0</v>
      </c>
      <c r="H134" s="42" t="str">
        <f t="shared" si="13"/>
        <v/>
      </c>
      <c r="I134" s="14"/>
      <c r="J134" s="90"/>
      <c r="K134" s="90" t="str">
        <f t="shared" si="14"/>
        <v/>
      </c>
      <c r="L134" s="90"/>
      <c r="M134" s="90" t="str">
        <f t="shared" si="15"/>
        <v/>
      </c>
      <c r="N134" s="14" t="str">
        <f t="shared" si="16"/>
        <v/>
      </c>
      <c r="O134" s="42" t="str">
        <f t="shared" si="17"/>
        <v/>
      </c>
      <c r="P134" s="42" t="str">
        <f t="shared" si="18"/>
        <v/>
      </c>
      <c r="Q134" s="42" t="str">
        <f t="shared" si="19"/>
        <v/>
      </c>
      <c r="R134" s="90" t="str">
        <f>IF(SUM($P134)=0,"",INDEX(Cascade!$BG:$BG,MATCH($E134,Cascade!$E:$E,0)))</f>
        <v/>
      </c>
      <c r="S134" s="42" t="str">
        <f t="shared" si="20"/>
        <v/>
      </c>
      <c r="T134" s="42" t="str">
        <f t="shared" si="21"/>
        <v/>
      </c>
      <c r="U134" s="14" t="str">
        <f>IFERROR(1/(1/INDEX(Cascade!$BH:$BH,MATCH($E134,Cascade!$E:$E,0))),"")</f>
        <v/>
      </c>
      <c r="V134" s="14" t="str">
        <f t="shared" si="22"/>
        <v/>
      </c>
      <c r="W134" s="14" t="str">
        <f>IFERROR(1/(1/INDEX(PMTCT!$AC:$AC,MATCH($E134,PMTCT!$E:$E,0))),"")</f>
        <v/>
      </c>
      <c r="X134" s="14" t="str">
        <f>IFERROR(1/(1/INDEX(PMTCT!$AS:$AS,MATCH($E134,PMTCT!$E:$E,0))),"")</f>
        <v/>
      </c>
      <c r="Y134" s="14" t="str">
        <f>IFERROR(1/(1/INDEX(VMMC!$AA:$AA,MATCH($E134,VMMC!$E:$E,0))),"")</f>
        <v/>
      </c>
      <c r="Z134" s="14" t="str">
        <f t="shared" si="23"/>
        <v/>
      </c>
    </row>
    <row r="135" spans="1:26" x14ac:dyDescent="0.2">
      <c r="A135" t="str">
        <f>INDEX(Prioritization!$D:$D,MATCH($B135,Prioritization!$A:$A,0))</f>
        <v>1 - Scale-up: Saturation</v>
      </c>
      <c r="B135" t="s">
        <v>203</v>
      </c>
      <c r="C135" t="s">
        <v>362</v>
      </c>
      <c r="D135" t="s">
        <v>29</v>
      </c>
      <c r="E135" t="str">
        <f t="shared" si="12"/>
        <v>Chitipa District [GkIwZrXy1h2]|01-09|Female</v>
      </c>
      <c r="F135" s="14"/>
      <c r="G135" s="90">
        <f>0</f>
        <v>0</v>
      </c>
      <c r="H135" s="42" t="str">
        <f t="shared" si="13"/>
        <v/>
      </c>
      <c r="I135" s="14"/>
      <c r="J135" s="90"/>
      <c r="K135" s="90" t="str">
        <f t="shared" si="14"/>
        <v/>
      </c>
      <c r="L135" s="90"/>
      <c r="M135" s="90" t="str">
        <f t="shared" si="15"/>
        <v/>
      </c>
      <c r="N135" s="14" t="str">
        <f t="shared" si="16"/>
        <v/>
      </c>
      <c r="O135" s="42" t="str">
        <f t="shared" si="17"/>
        <v/>
      </c>
      <c r="P135" s="42" t="str">
        <f t="shared" si="18"/>
        <v/>
      </c>
      <c r="Q135" s="42" t="str">
        <f t="shared" si="19"/>
        <v/>
      </c>
      <c r="R135" s="90" t="str">
        <f>IF(SUM($P135)=0,"",INDEX(Cascade!$BG:$BG,MATCH($E135,Cascade!$E:$E,0)))</f>
        <v/>
      </c>
      <c r="S135" s="42" t="str">
        <f t="shared" si="20"/>
        <v/>
      </c>
      <c r="T135" s="42" t="str">
        <f t="shared" si="21"/>
        <v/>
      </c>
      <c r="U135" s="14" t="str">
        <f>IFERROR(1/(1/INDEX(Cascade!$BH:$BH,MATCH($E135,Cascade!$E:$E,0))),"")</f>
        <v/>
      </c>
      <c r="V135" s="14" t="str">
        <f t="shared" si="22"/>
        <v/>
      </c>
      <c r="W135" s="14" t="str">
        <f>IFERROR(1/(1/INDEX(PMTCT!$AC:$AC,MATCH($E135,PMTCT!$E:$E,0))),"")</f>
        <v/>
      </c>
      <c r="X135" s="14" t="str">
        <f>IFERROR(1/(1/INDEX(PMTCT!$AS:$AS,MATCH($E135,PMTCT!$E:$E,0))),"")</f>
        <v/>
      </c>
      <c r="Y135" s="14" t="str">
        <f>IFERROR(1/(1/INDEX(VMMC!$AA:$AA,MATCH($E135,VMMC!$E:$E,0))),"")</f>
        <v/>
      </c>
      <c r="Z135" s="14" t="str">
        <f t="shared" si="23"/>
        <v/>
      </c>
    </row>
    <row r="136" spans="1:26" x14ac:dyDescent="0.2">
      <c r="A136" t="str">
        <f>INDEX(Prioritization!$D:$D,MATCH($B136,Prioritization!$A:$A,0))</f>
        <v>1 - Scale-up: Saturation</v>
      </c>
      <c r="B136" t="s">
        <v>203</v>
      </c>
      <c r="C136" t="s">
        <v>362</v>
      </c>
      <c r="D136" t="s">
        <v>47</v>
      </c>
      <c r="E136" t="str">
        <f t="shared" si="12"/>
        <v>Chitipa District [GkIwZrXy1h2]|01-09|Male</v>
      </c>
      <c r="F136" s="14"/>
      <c r="G136" s="90">
        <f>0</f>
        <v>0</v>
      </c>
      <c r="H136" s="42" t="str">
        <f t="shared" si="13"/>
        <v/>
      </c>
      <c r="I136" s="14"/>
      <c r="J136" s="90"/>
      <c r="K136" s="90" t="str">
        <f t="shared" si="14"/>
        <v/>
      </c>
      <c r="L136" s="90"/>
      <c r="M136" s="90" t="str">
        <f t="shared" si="15"/>
        <v/>
      </c>
      <c r="N136" s="14" t="str">
        <f t="shared" si="16"/>
        <v/>
      </c>
      <c r="O136" s="42" t="str">
        <f t="shared" si="17"/>
        <v/>
      </c>
      <c r="P136" s="42" t="str">
        <f t="shared" si="18"/>
        <v/>
      </c>
      <c r="Q136" s="42" t="str">
        <f t="shared" si="19"/>
        <v/>
      </c>
      <c r="R136" s="90" t="str">
        <f>IF(SUM($P136)=0,"",INDEX(Cascade!$BG:$BG,MATCH($E136,Cascade!$E:$E,0)))</f>
        <v/>
      </c>
      <c r="S136" s="42" t="str">
        <f t="shared" si="20"/>
        <v/>
      </c>
      <c r="T136" s="42" t="str">
        <f t="shared" si="21"/>
        <v/>
      </c>
      <c r="U136" s="14" t="str">
        <f>IFERROR(1/(1/INDEX(Cascade!$BH:$BH,MATCH($E136,Cascade!$E:$E,0))),"")</f>
        <v/>
      </c>
      <c r="V136" s="14" t="str">
        <f t="shared" si="22"/>
        <v/>
      </c>
      <c r="W136" s="14" t="str">
        <f>IFERROR(1/(1/INDEX(PMTCT!$AC:$AC,MATCH($E136,PMTCT!$E:$E,0))),"")</f>
        <v/>
      </c>
      <c r="X136" s="14" t="str">
        <f>IFERROR(1/(1/INDEX(PMTCT!$AS:$AS,MATCH($E136,PMTCT!$E:$E,0))),"")</f>
        <v/>
      </c>
      <c r="Y136" s="14" t="str">
        <f>IFERROR(1/(1/INDEX(VMMC!$AA:$AA,MATCH($E136,VMMC!$E:$E,0))),"")</f>
        <v/>
      </c>
      <c r="Z136" s="14" t="str">
        <f t="shared" si="23"/>
        <v/>
      </c>
    </row>
    <row r="137" spans="1:26" x14ac:dyDescent="0.2">
      <c r="A137" t="str">
        <f>INDEX(Prioritization!$D:$D,MATCH($B137,Prioritization!$A:$A,0))</f>
        <v>1 - Scale-up: Saturation</v>
      </c>
      <c r="B137" t="s">
        <v>203</v>
      </c>
      <c r="C137" t="s">
        <v>363</v>
      </c>
      <c r="D137" t="s">
        <v>29</v>
      </c>
      <c r="E137" t="str">
        <f t="shared" si="12"/>
        <v>Chitipa District [GkIwZrXy1h2]|10-14|Female</v>
      </c>
      <c r="F137" s="14">
        <v>0</v>
      </c>
      <c r="G137" s="90">
        <f>0</f>
        <v>0</v>
      </c>
      <c r="H137" s="42" t="str">
        <f t="shared" si="13"/>
        <v/>
      </c>
      <c r="I137" s="14"/>
      <c r="J137" s="90"/>
      <c r="K137" s="90" t="str">
        <f t="shared" si="14"/>
        <v/>
      </c>
      <c r="L137" s="90"/>
      <c r="M137" s="90" t="str">
        <f t="shared" si="15"/>
        <v/>
      </c>
      <c r="N137" s="14" t="str">
        <f t="shared" si="16"/>
        <v/>
      </c>
      <c r="O137" s="42" t="str">
        <f t="shared" si="17"/>
        <v/>
      </c>
      <c r="P137" s="42" t="str">
        <f t="shared" si="18"/>
        <v/>
      </c>
      <c r="Q137" s="42" t="str">
        <f t="shared" si="19"/>
        <v/>
      </c>
      <c r="R137" s="90" t="str">
        <f>IF(SUM($P137)=0,"",INDEX(Cascade!$BG:$BG,MATCH($E137,Cascade!$E:$E,0)))</f>
        <v/>
      </c>
      <c r="S137" s="42" t="str">
        <f t="shared" si="20"/>
        <v/>
      </c>
      <c r="T137" s="42" t="str">
        <f t="shared" si="21"/>
        <v/>
      </c>
      <c r="U137" s="14">
        <f>IFERROR(1/(1/INDEX(Cascade!$BH:$BH,MATCH($E137,Cascade!$E:$E,0))),"")</f>
        <v>-6</v>
      </c>
      <c r="V137" s="14" t="str">
        <f t="shared" si="22"/>
        <v/>
      </c>
      <c r="W137" s="14" t="str">
        <f>IFERROR(1/(1/INDEX(PMTCT!$AC:$AC,MATCH($E137,PMTCT!$E:$E,0))),"")</f>
        <v/>
      </c>
      <c r="X137" s="14" t="str">
        <f>IFERROR(1/(1/INDEX(PMTCT!$AS:$AS,MATCH($E137,PMTCT!$E:$E,0))),"")</f>
        <v/>
      </c>
      <c r="Y137" s="14" t="str">
        <f>IFERROR(1/(1/INDEX(VMMC!$AA:$AA,MATCH($E137,VMMC!$E:$E,0))),"")</f>
        <v/>
      </c>
      <c r="Z137" s="14">
        <f t="shared" si="23"/>
        <v>-6</v>
      </c>
    </row>
    <row r="138" spans="1:26" x14ac:dyDescent="0.2">
      <c r="A138" t="str">
        <f>INDEX(Prioritization!$D:$D,MATCH($B138,Prioritization!$A:$A,0))</f>
        <v>1 - Scale-up: Saturation</v>
      </c>
      <c r="B138" t="s">
        <v>203</v>
      </c>
      <c r="C138" t="s">
        <v>363</v>
      </c>
      <c r="D138" t="s">
        <v>47</v>
      </c>
      <c r="E138" t="str">
        <f t="shared" si="12"/>
        <v>Chitipa District [GkIwZrXy1h2]|10-14|Male</v>
      </c>
      <c r="F138" s="14">
        <v>0</v>
      </c>
      <c r="G138" s="90">
        <f>0</f>
        <v>0</v>
      </c>
      <c r="H138" s="42" t="str">
        <f t="shared" si="13"/>
        <v/>
      </c>
      <c r="I138" s="14"/>
      <c r="J138" s="90"/>
      <c r="K138" s="90" t="str">
        <f t="shared" si="14"/>
        <v/>
      </c>
      <c r="L138" s="90"/>
      <c r="M138" s="90" t="str">
        <f t="shared" si="15"/>
        <v/>
      </c>
      <c r="N138" s="14" t="str">
        <f t="shared" si="16"/>
        <v/>
      </c>
      <c r="O138" s="42" t="str">
        <f t="shared" si="17"/>
        <v/>
      </c>
      <c r="P138" s="42" t="str">
        <f t="shared" si="18"/>
        <v/>
      </c>
      <c r="Q138" s="42" t="str">
        <f t="shared" si="19"/>
        <v/>
      </c>
      <c r="R138" s="90" t="str">
        <f>IF(SUM($P138)=0,"",INDEX(Cascade!$BG:$BG,MATCH($E138,Cascade!$E:$E,0)))</f>
        <v/>
      </c>
      <c r="S138" s="42" t="str">
        <f t="shared" si="20"/>
        <v/>
      </c>
      <c r="T138" s="42" t="str">
        <f t="shared" si="21"/>
        <v/>
      </c>
      <c r="U138" s="14">
        <f>IFERROR(1/(1/INDEX(Cascade!$BH:$BH,MATCH($E138,Cascade!$E:$E,0))),"")</f>
        <v>-85</v>
      </c>
      <c r="V138" s="14" t="str">
        <f t="shared" si="22"/>
        <v/>
      </c>
      <c r="W138" s="14" t="str">
        <f>IFERROR(1/(1/INDEX(PMTCT!$AC:$AC,MATCH($E138,PMTCT!$E:$E,0))),"")</f>
        <v/>
      </c>
      <c r="X138" s="14" t="str">
        <f>IFERROR(1/(1/INDEX(PMTCT!$AS:$AS,MATCH($E138,PMTCT!$E:$E,0))),"")</f>
        <v/>
      </c>
      <c r="Y138" s="14" t="str">
        <f>IFERROR(1/(1/INDEX(VMMC!$AA:$AA,MATCH($E138,VMMC!$E:$E,0))),"")</f>
        <v/>
      </c>
      <c r="Z138" s="14">
        <f t="shared" si="23"/>
        <v>-85</v>
      </c>
    </row>
    <row r="139" spans="1:26" x14ac:dyDescent="0.2">
      <c r="A139" t="str">
        <f>INDEX(Prioritization!$D:$D,MATCH($B139,Prioritization!$A:$A,0))</f>
        <v>1 - Scale-up: Saturation</v>
      </c>
      <c r="B139" t="s">
        <v>203</v>
      </c>
      <c r="C139" t="s">
        <v>364</v>
      </c>
      <c r="D139" t="s">
        <v>29</v>
      </c>
      <c r="E139" t="str">
        <f t="shared" si="12"/>
        <v>Chitipa District [GkIwZrXy1h2]|15-24|Female</v>
      </c>
      <c r="F139" s="14"/>
      <c r="G139" s="90">
        <f>0</f>
        <v>0</v>
      </c>
      <c r="H139" s="42" t="str">
        <f t="shared" si="13"/>
        <v/>
      </c>
      <c r="I139" s="14"/>
      <c r="J139" s="90"/>
      <c r="K139" s="90" t="str">
        <f t="shared" si="14"/>
        <v/>
      </c>
      <c r="L139" s="90"/>
      <c r="M139" s="90" t="str">
        <f t="shared" si="15"/>
        <v/>
      </c>
      <c r="N139" s="14" t="str">
        <f t="shared" si="16"/>
        <v/>
      </c>
      <c r="O139" s="42" t="str">
        <f t="shared" si="17"/>
        <v/>
      </c>
      <c r="P139" s="42" t="str">
        <f t="shared" si="18"/>
        <v/>
      </c>
      <c r="Q139" s="42" t="str">
        <f t="shared" si="19"/>
        <v/>
      </c>
      <c r="R139" s="90" t="str">
        <f>IF(SUM($P139)=0,"",INDEX(Cascade!$BG:$BG,MATCH($E139,Cascade!$E:$E,0)))</f>
        <v/>
      </c>
      <c r="S139" s="42" t="str">
        <f t="shared" si="20"/>
        <v/>
      </c>
      <c r="T139" s="42" t="str">
        <f t="shared" si="21"/>
        <v/>
      </c>
      <c r="U139" s="14" t="str">
        <f>IFERROR(1/(1/INDEX(Cascade!$BH:$BH,MATCH($E139,Cascade!$E:$E,0))),"")</f>
        <v/>
      </c>
      <c r="V139" s="14" t="str">
        <f t="shared" si="22"/>
        <v/>
      </c>
      <c r="W139" s="14" t="str">
        <f>IFERROR(1/(1/INDEX(PMTCT!$AC:$AC,MATCH($E139,PMTCT!$E:$E,0))),"")</f>
        <v/>
      </c>
      <c r="X139" s="14" t="str">
        <f>IFERROR(1/(1/INDEX(PMTCT!$AS:$AS,MATCH($E139,PMTCT!$E:$E,0))),"")</f>
        <v/>
      </c>
      <c r="Y139" s="14" t="str">
        <f>IFERROR(1/(1/INDEX(VMMC!$AA:$AA,MATCH($E139,VMMC!$E:$E,0))),"")</f>
        <v/>
      </c>
      <c r="Z139" s="14" t="str">
        <f t="shared" si="23"/>
        <v/>
      </c>
    </row>
    <row r="140" spans="1:26" x14ac:dyDescent="0.2">
      <c r="A140" t="str">
        <f>INDEX(Prioritization!$D:$D,MATCH($B140,Prioritization!$A:$A,0))</f>
        <v>1 - Scale-up: Saturation</v>
      </c>
      <c r="B140" t="s">
        <v>203</v>
      </c>
      <c r="C140" t="s">
        <v>364</v>
      </c>
      <c r="D140" t="s">
        <v>47</v>
      </c>
      <c r="E140" t="str">
        <f t="shared" si="12"/>
        <v>Chitipa District [GkIwZrXy1h2]|15-24|Male</v>
      </c>
      <c r="F140" s="14"/>
      <c r="G140" s="90">
        <f>0</f>
        <v>0</v>
      </c>
      <c r="H140" s="42" t="str">
        <f t="shared" si="13"/>
        <v/>
      </c>
      <c r="I140" s="14"/>
      <c r="J140" s="90"/>
      <c r="K140" s="90" t="str">
        <f t="shared" si="14"/>
        <v/>
      </c>
      <c r="L140" s="90"/>
      <c r="M140" s="90" t="str">
        <f t="shared" si="15"/>
        <v/>
      </c>
      <c r="N140" s="14" t="str">
        <f t="shared" si="16"/>
        <v/>
      </c>
      <c r="O140" s="42" t="str">
        <f t="shared" si="17"/>
        <v/>
      </c>
      <c r="P140" s="42" t="str">
        <f t="shared" si="18"/>
        <v/>
      </c>
      <c r="Q140" s="42" t="str">
        <f t="shared" si="19"/>
        <v/>
      </c>
      <c r="R140" s="90" t="str">
        <f>IF(SUM($P140)=0,"",INDEX(Cascade!$BG:$BG,MATCH($E140,Cascade!$E:$E,0)))</f>
        <v/>
      </c>
      <c r="S140" s="42" t="str">
        <f t="shared" si="20"/>
        <v/>
      </c>
      <c r="T140" s="42" t="str">
        <f t="shared" si="21"/>
        <v/>
      </c>
      <c r="U140" s="14" t="str">
        <f>IFERROR(1/(1/INDEX(Cascade!$BH:$BH,MATCH($E140,Cascade!$E:$E,0))),"")</f>
        <v/>
      </c>
      <c r="V140" s="14" t="str">
        <f t="shared" si="22"/>
        <v/>
      </c>
      <c r="W140" s="14" t="str">
        <f>IFERROR(1/(1/INDEX(PMTCT!$AC:$AC,MATCH($E140,PMTCT!$E:$E,0))),"")</f>
        <v/>
      </c>
      <c r="X140" s="14" t="str">
        <f>IFERROR(1/(1/INDEX(PMTCT!$AS:$AS,MATCH($E140,PMTCT!$E:$E,0))),"")</f>
        <v/>
      </c>
      <c r="Y140" s="14" t="str">
        <f>IFERROR(1/(1/INDEX(VMMC!$AA:$AA,MATCH($E140,VMMC!$E:$E,0))),"")</f>
        <v/>
      </c>
      <c r="Z140" s="14" t="str">
        <f t="shared" si="23"/>
        <v/>
      </c>
    </row>
    <row r="141" spans="1:26" x14ac:dyDescent="0.2">
      <c r="A141" t="str">
        <f>INDEX(Prioritization!$D:$D,MATCH($B141,Prioritization!$A:$A,0))</f>
        <v>1 - Scale-up: Saturation</v>
      </c>
      <c r="B141" t="s">
        <v>203</v>
      </c>
      <c r="C141" t="s">
        <v>365</v>
      </c>
      <c r="D141" t="s">
        <v>29</v>
      </c>
      <c r="E141" t="str">
        <f t="shared" si="12"/>
        <v>Chitipa District [GkIwZrXy1h2]|25-34|Female</v>
      </c>
      <c r="F141" s="14"/>
      <c r="G141" s="90">
        <f>0</f>
        <v>0</v>
      </c>
      <c r="H141" s="42" t="str">
        <f t="shared" si="13"/>
        <v/>
      </c>
      <c r="I141" s="14"/>
      <c r="J141" s="90"/>
      <c r="K141" s="90" t="str">
        <f t="shared" si="14"/>
        <v/>
      </c>
      <c r="L141" s="90"/>
      <c r="M141" s="90" t="str">
        <f t="shared" si="15"/>
        <v/>
      </c>
      <c r="N141" s="14" t="str">
        <f t="shared" si="16"/>
        <v/>
      </c>
      <c r="O141" s="42" t="str">
        <f t="shared" si="17"/>
        <v/>
      </c>
      <c r="P141" s="42" t="str">
        <f t="shared" si="18"/>
        <v/>
      </c>
      <c r="Q141" s="42" t="str">
        <f t="shared" si="19"/>
        <v/>
      </c>
      <c r="R141" s="90" t="str">
        <f>IF(SUM($P141)=0,"",INDEX(Cascade!$BG:$BG,MATCH($E141,Cascade!$E:$E,0)))</f>
        <v/>
      </c>
      <c r="S141" s="42" t="str">
        <f t="shared" si="20"/>
        <v/>
      </c>
      <c r="T141" s="42" t="str">
        <f t="shared" si="21"/>
        <v/>
      </c>
      <c r="U141" s="14" t="str">
        <f>IFERROR(1/(1/INDEX(Cascade!$BH:$BH,MATCH($E141,Cascade!$E:$E,0))),"")</f>
        <v/>
      </c>
      <c r="V141" s="14" t="str">
        <f t="shared" si="22"/>
        <v/>
      </c>
      <c r="W141" s="14" t="str">
        <f>IFERROR(1/(1/INDEX(PMTCT!$AC:$AC,MATCH($E141,PMTCT!$E:$E,0))),"")</f>
        <v/>
      </c>
      <c r="X141" s="14" t="str">
        <f>IFERROR(1/(1/INDEX(PMTCT!$AS:$AS,MATCH($E141,PMTCT!$E:$E,0))),"")</f>
        <v/>
      </c>
      <c r="Y141" s="14" t="str">
        <f>IFERROR(1/(1/INDEX(VMMC!$AA:$AA,MATCH($E141,VMMC!$E:$E,0))),"")</f>
        <v/>
      </c>
      <c r="Z141" s="14" t="str">
        <f t="shared" si="23"/>
        <v/>
      </c>
    </row>
    <row r="142" spans="1:26" x14ac:dyDescent="0.2">
      <c r="A142" t="str">
        <f>INDEX(Prioritization!$D:$D,MATCH($B142,Prioritization!$A:$A,0))</f>
        <v>1 - Scale-up: Saturation</v>
      </c>
      <c r="B142" t="s">
        <v>203</v>
      </c>
      <c r="C142" t="s">
        <v>365</v>
      </c>
      <c r="D142" t="s">
        <v>47</v>
      </c>
      <c r="E142" t="str">
        <f t="shared" si="12"/>
        <v>Chitipa District [GkIwZrXy1h2]|25-34|Male</v>
      </c>
      <c r="F142" s="14"/>
      <c r="G142" s="90">
        <f>0</f>
        <v>0</v>
      </c>
      <c r="H142" s="42" t="str">
        <f t="shared" si="13"/>
        <v/>
      </c>
      <c r="I142" s="14"/>
      <c r="J142" s="90"/>
      <c r="K142" s="90" t="str">
        <f t="shared" si="14"/>
        <v/>
      </c>
      <c r="L142" s="90"/>
      <c r="M142" s="90" t="str">
        <f t="shared" si="15"/>
        <v/>
      </c>
      <c r="N142" s="14" t="str">
        <f t="shared" si="16"/>
        <v/>
      </c>
      <c r="O142" s="42" t="str">
        <f t="shared" si="17"/>
        <v/>
      </c>
      <c r="P142" s="42" t="str">
        <f t="shared" si="18"/>
        <v/>
      </c>
      <c r="Q142" s="42" t="str">
        <f t="shared" si="19"/>
        <v/>
      </c>
      <c r="R142" s="90" t="str">
        <f>IF(SUM($P142)=0,"",INDEX(Cascade!$BG:$BG,MATCH($E142,Cascade!$E:$E,0)))</f>
        <v/>
      </c>
      <c r="S142" s="42" t="str">
        <f t="shared" si="20"/>
        <v/>
      </c>
      <c r="T142" s="42" t="str">
        <f t="shared" si="21"/>
        <v/>
      </c>
      <c r="U142" s="14" t="str">
        <f>IFERROR(1/(1/INDEX(Cascade!$BH:$BH,MATCH($E142,Cascade!$E:$E,0))),"")</f>
        <v/>
      </c>
      <c r="V142" s="14" t="str">
        <f t="shared" si="22"/>
        <v/>
      </c>
      <c r="W142" s="14" t="str">
        <f>IFERROR(1/(1/INDEX(PMTCT!$AC:$AC,MATCH($E142,PMTCT!$E:$E,0))),"")</f>
        <v/>
      </c>
      <c r="X142" s="14" t="str">
        <f>IFERROR(1/(1/INDEX(PMTCT!$AS:$AS,MATCH($E142,PMTCT!$E:$E,0))),"")</f>
        <v/>
      </c>
      <c r="Y142" s="14" t="str">
        <f>IFERROR(1/(1/INDEX(VMMC!$AA:$AA,MATCH($E142,VMMC!$E:$E,0))),"")</f>
        <v/>
      </c>
      <c r="Z142" s="14" t="str">
        <f t="shared" si="23"/>
        <v/>
      </c>
    </row>
    <row r="143" spans="1:26" x14ac:dyDescent="0.2">
      <c r="A143" t="str">
        <f>INDEX(Prioritization!$D:$D,MATCH($B143,Prioritization!$A:$A,0))</f>
        <v>1 - Scale-up: Saturation</v>
      </c>
      <c r="B143" t="s">
        <v>203</v>
      </c>
      <c r="C143" t="s">
        <v>366</v>
      </c>
      <c r="D143" t="s">
        <v>29</v>
      </c>
      <c r="E143" t="str">
        <f t="shared" ref="E143:E206" si="24">B143&amp;"|"&amp;C143&amp;"|"&amp;D143</f>
        <v>Chitipa District [GkIwZrXy1h2]|35-49|Female</v>
      </c>
      <c r="F143" s="14"/>
      <c r="G143" s="90">
        <f>0</f>
        <v>0</v>
      </c>
      <c r="H143" s="42" t="str">
        <f t="shared" ref="H143:H206" si="25">IF(SUM($F143)=0,"",ROUND($F143*(1+$G143),0))</f>
        <v/>
      </c>
      <c r="I143" s="14"/>
      <c r="J143" s="90"/>
      <c r="K143" s="90" t="str">
        <f t="shared" ref="K143:K206" si="26">IF($J143="","",$J143)</f>
        <v/>
      </c>
      <c r="L143" s="90"/>
      <c r="M143" s="90" t="str">
        <f t="shared" ref="M143:M206" si="27">IF($L143="","",$L143)</f>
        <v/>
      </c>
      <c r="N143" s="14" t="str">
        <f t="shared" ref="N143:N206" si="28">$H143</f>
        <v/>
      </c>
      <c r="O143" s="42" t="str">
        <f t="shared" ref="O143:O206" si="29">IF(SUM($N143)=0,"",IF(AND(SUM($N143)&gt;0,$K143=""),"ENTER KNOWN POSITIVITY RATE",ROUND($N143*$K143,0)))</f>
        <v/>
      </c>
      <c r="P143" s="42" t="str">
        <f t="shared" ref="P143:P206" si="30">IF(SUM($N143)=0,"",IF(AND((SUM($N143)-SUM($O143))&gt;0,$M143=""),"ENTER YIELD RATE",ROUND(($N143-SUM($O143))*$M143,0)))</f>
        <v/>
      </c>
      <c r="Q143" s="42" t="str">
        <f t="shared" ref="Q143:Q206" si="31">IF(SUM($N143)=0,"",$N143-SUM($O143)-SUM($P143))</f>
        <v/>
      </c>
      <c r="R143" s="90" t="str">
        <f>IF(SUM($P143)=0,"",INDEX(Cascade!$BG:$BG,MATCH($E143,Cascade!$E:$E,0)))</f>
        <v/>
      </c>
      <c r="S143" s="42" t="str">
        <f t="shared" ref="S143:S206" si="32">$O143</f>
        <v/>
      </c>
      <c r="T143" s="42" t="str">
        <f t="shared" ref="T143:T206" si="33">IF(SUM($P143)=0,"",IF(AND($R143="",SUM($P143)&gt;0),"&lt;- Enter Linkage Rate",ROUND($P143*$R143,0)))</f>
        <v/>
      </c>
      <c r="U143" s="14" t="str">
        <f>IFERROR(1/(1/INDEX(Cascade!$BH:$BH,MATCH($E143,Cascade!$E:$E,0))),"")</f>
        <v/>
      </c>
      <c r="V143" s="14" t="str">
        <f t="shared" ref="V143:V206" si="34">IF(SUM($P143)=0,"",$P143)</f>
        <v/>
      </c>
      <c r="W143" s="14" t="str">
        <f>IFERROR(1/(1/INDEX(PMTCT!$AC:$AC,MATCH($E143,PMTCT!$E:$E,0))),"")</f>
        <v/>
      </c>
      <c r="X143" s="14" t="str">
        <f>IFERROR(1/(1/INDEX(PMTCT!$AS:$AS,MATCH($E143,PMTCT!$E:$E,0))),"")</f>
        <v/>
      </c>
      <c r="Y143" s="14" t="str">
        <f>IFERROR(1/(1/INDEX(VMMC!$AA:$AA,MATCH($E143,VMMC!$E:$E,0))),"")</f>
        <v/>
      </c>
      <c r="Z143" s="14" t="str">
        <f t="shared" ref="Z143:Z206" si="35">IFERROR(1/(1/(SUM($U143)-SUM($V143:$Y143))),"")</f>
        <v/>
      </c>
    </row>
    <row r="144" spans="1:26" x14ac:dyDescent="0.2">
      <c r="A144" t="str">
        <f>INDEX(Prioritization!$D:$D,MATCH($B144,Prioritization!$A:$A,0))</f>
        <v>1 - Scale-up: Saturation</v>
      </c>
      <c r="B144" t="s">
        <v>203</v>
      </c>
      <c r="C144" t="s">
        <v>366</v>
      </c>
      <c r="D144" t="s">
        <v>47</v>
      </c>
      <c r="E144" t="str">
        <f t="shared" si="24"/>
        <v>Chitipa District [GkIwZrXy1h2]|35-49|Male</v>
      </c>
      <c r="F144" s="14"/>
      <c r="G144" s="90">
        <f>0</f>
        <v>0</v>
      </c>
      <c r="H144" s="42" t="str">
        <f t="shared" si="25"/>
        <v/>
      </c>
      <c r="I144" s="14"/>
      <c r="J144" s="90"/>
      <c r="K144" s="90" t="str">
        <f t="shared" si="26"/>
        <v/>
      </c>
      <c r="L144" s="90"/>
      <c r="M144" s="90" t="str">
        <f t="shared" si="27"/>
        <v/>
      </c>
      <c r="N144" s="14" t="str">
        <f t="shared" si="28"/>
        <v/>
      </c>
      <c r="O144" s="42" t="str">
        <f t="shared" si="29"/>
        <v/>
      </c>
      <c r="P144" s="42" t="str">
        <f t="shared" si="30"/>
        <v/>
      </c>
      <c r="Q144" s="42" t="str">
        <f t="shared" si="31"/>
        <v/>
      </c>
      <c r="R144" s="90" t="str">
        <f>IF(SUM($P144)=0,"",INDEX(Cascade!$BG:$BG,MATCH($E144,Cascade!$E:$E,0)))</f>
        <v/>
      </c>
      <c r="S144" s="42" t="str">
        <f t="shared" si="32"/>
        <v/>
      </c>
      <c r="T144" s="42" t="str">
        <f t="shared" si="33"/>
        <v/>
      </c>
      <c r="U144" s="14" t="str">
        <f>IFERROR(1/(1/INDEX(Cascade!$BH:$BH,MATCH($E144,Cascade!$E:$E,0))),"")</f>
        <v/>
      </c>
      <c r="V144" s="14" t="str">
        <f t="shared" si="34"/>
        <v/>
      </c>
      <c r="W144" s="14" t="str">
        <f>IFERROR(1/(1/INDEX(PMTCT!$AC:$AC,MATCH($E144,PMTCT!$E:$E,0))),"")</f>
        <v/>
      </c>
      <c r="X144" s="14" t="str">
        <f>IFERROR(1/(1/INDEX(PMTCT!$AS:$AS,MATCH($E144,PMTCT!$E:$E,0))),"")</f>
        <v/>
      </c>
      <c r="Y144" s="14" t="str">
        <f>IFERROR(1/(1/INDEX(VMMC!$AA:$AA,MATCH($E144,VMMC!$E:$E,0))),"")</f>
        <v/>
      </c>
      <c r="Z144" s="14" t="str">
        <f t="shared" si="35"/>
        <v/>
      </c>
    </row>
    <row r="145" spans="1:26" x14ac:dyDescent="0.2">
      <c r="A145" t="str">
        <f>INDEX(Prioritization!$D:$D,MATCH($B145,Prioritization!$A:$A,0))</f>
        <v>1 - Scale-up: Saturation</v>
      </c>
      <c r="B145" t="s">
        <v>203</v>
      </c>
      <c r="C145" t="s">
        <v>367</v>
      </c>
      <c r="D145" t="s">
        <v>29</v>
      </c>
      <c r="E145" t="str">
        <f t="shared" si="24"/>
        <v>Chitipa District [GkIwZrXy1h2]|50+|Female</v>
      </c>
      <c r="F145" s="14"/>
      <c r="G145" s="90">
        <f>0</f>
        <v>0</v>
      </c>
      <c r="H145" s="42" t="str">
        <f t="shared" si="25"/>
        <v/>
      </c>
      <c r="I145" s="14"/>
      <c r="J145" s="90"/>
      <c r="K145" s="90" t="str">
        <f t="shared" si="26"/>
        <v/>
      </c>
      <c r="L145" s="90"/>
      <c r="M145" s="90" t="str">
        <f t="shared" si="27"/>
        <v/>
      </c>
      <c r="N145" s="14" t="str">
        <f t="shared" si="28"/>
        <v/>
      </c>
      <c r="O145" s="42" t="str">
        <f t="shared" si="29"/>
        <v/>
      </c>
      <c r="P145" s="42" t="str">
        <f t="shared" si="30"/>
        <v/>
      </c>
      <c r="Q145" s="42" t="str">
        <f t="shared" si="31"/>
        <v/>
      </c>
      <c r="R145" s="90" t="str">
        <f>IF(SUM($P145)=0,"",INDEX(Cascade!$BG:$BG,MATCH($E145,Cascade!$E:$E,0)))</f>
        <v/>
      </c>
      <c r="S145" s="42" t="str">
        <f t="shared" si="32"/>
        <v/>
      </c>
      <c r="T145" s="42" t="str">
        <f t="shared" si="33"/>
        <v/>
      </c>
      <c r="U145" s="14" t="str">
        <f>IFERROR(1/(1/INDEX(Cascade!$BH:$BH,MATCH($E145,Cascade!$E:$E,0))),"")</f>
        <v/>
      </c>
      <c r="V145" s="14" t="str">
        <f t="shared" si="34"/>
        <v/>
      </c>
      <c r="W145" s="14" t="str">
        <f>IFERROR(1/(1/INDEX(PMTCT!$AC:$AC,MATCH($E145,PMTCT!$E:$E,0))),"")</f>
        <v/>
      </c>
      <c r="X145" s="14" t="str">
        <f>IFERROR(1/(1/INDEX(PMTCT!$AS:$AS,MATCH($E145,PMTCT!$E:$E,0))),"")</f>
        <v/>
      </c>
      <c r="Y145" s="14" t="str">
        <f>IFERROR(1/(1/INDEX(VMMC!$AA:$AA,MATCH($E145,VMMC!$E:$E,0))),"")</f>
        <v/>
      </c>
      <c r="Z145" s="14" t="str">
        <f t="shared" si="35"/>
        <v/>
      </c>
    </row>
    <row r="146" spans="1:26" x14ac:dyDescent="0.2">
      <c r="A146" t="str">
        <f>INDEX(Prioritization!$D:$D,MATCH($B146,Prioritization!$A:$A,0))</f>
        <v>1 - Scale-up: Saturation</v>
      </c>
      <c r="B146" t="s">
        <v>203</v>
      </c>
      <c r="C146" t="s">
        <v>367</v>
      </c>
      <c r="D146" t="s">
        <v>47</v>
      </c>
      <c r="E146" t="str">
        <f t="shared" si="24"/>
        <v>Chitipa District [GkIwZrXy1h2]|50+|Male</v>
      </c>
      <c r="F146" s="14"/>
      <c r="G146" s="90">
        <f>0</f>
        <v>0</v>
      </c>
      <c r="H146" s="42" t="str">
        <f t="shared" si="25"/>
        <v/>
      </c>
      <c r="I146" s="14"/>
      <c r="J146" s="90"/>
      <c r="K146" s="90" t="str">
        <f t="shared" si="26"/>
        <v/>
      </c>
      <c r="L146" s="90"/>
      <c r="M146" s="90" t="str">
        <f t="shared" si="27"/>
        <v/>
      </c>
      <c r="N146" s="14" t="str">
        <f t="shared" si="28"/>
        <v/>
      </c>
      <c r="O146" s="42" t="str">
        <f t="shared" si="29"/>
        <v/>
      </c>
      <c r="P146" s="42" t="str">
        <f t="shared" si="30"/>
        <v/>
      </c>
      <c r="Q146" s="42" t="str">
        <f t="shared" si="31"/>
        <v/>
      </c>
      <c r="R146" s="90" t="str">
        <f>IF(SUM($P146)=0,"",INDEX(Cascade!$BG:$BG,MATCH($E146,Cascade!$E:$E,0)))</f>
        <v/>
      </c>
      <c r="S146" s="42" t="str">
        <f t="shared" si="32"/>
        <v/>
      </c>
      <c r="T146" s="42" t="str">
        <f t="shared" si="33"/>
        <v/>
      </c>
      <c r="U146" s="14" t="str">
        <f>IFERROR(1/(1/INDEX(Cascade!$BH:$BH,MATCH($E146,Cascade!$E:$E,0))),"")</f>
        <v/>
      </c>
      <c r="V146" s="14" t="str">
        <f t="shared" si="34"/>
        <v/>
      </c>
      <c r="W146" s="14" t="str">
        <f>IFERROR(1/(1/INDEX(PMTCT!$AC:$AC,MATCH($E146,PMTCT!$E:$E,0))),"")</f>
        <v/>
      </c>
      <c r="X146" s="14" t="str">
        <f>IFERROR(1/(1/INDEX(PMTCT!$AS:$AS,MATCH($E146,PMTCT!$E:$E,0))),"")</f>
        <v/>
      </c>
      <c r="Y146" s="14" t="str">
        <f>IFERROR(1/(1/INDEX(VMMC!$AA:$AA,MATCH($E146,VMMC!$E:$E,0))),"")</f>
        <v/>
      </c>
      <c r="Z146" s="14" t="str">
        <f t="shared" si="35"/>
        <v/>
      </c>
    </row>
    <row r="147" spans="1:26" x14ac:dyDescent="0.2">
      <c r="A147" t="str">
        <f>INDEX(Prioritization!$D:$D,MATCH($B147,Prioritization!$A:$A,0))</f>
        <v>INVALID</v>
      </c>
      <c r="B147" t="s">
        <v>204</v>
      </c>
      <c r="C147" t="s">
        <v>362</v>
      </c>
      <c r="D147" t="s">
        <v>29</v>
      </c>
      <c r="E147" t="str">
        <f t="shared" si="24"/>
        <v>Karonga District [cPtvxaZqXIH]|01-09|Female</v>
      </c>
      <c r="F147" s="14"/>
      <c r="G147" s="90">
        <f>0</f>
        <v>0</v>
      </c>
      <c r="H147" s="42" t="str">
        <f t="shared" si="25"/>
        <v/>
      </c>
      <c r="I147" s="14"/>
      <c r="J147" s="90"/>
      <c r="K147" s="90" t="str">
        <f t="shared" si="26"/>
        <v/>
      </c>
      <c r="L147" s="90"/>
      <c r="M147" s="90" t="str">
        <f t="shared" si="27"/>
        <v/>
      </c>
      <c r="N147" s="14" t="str">
        <f t="shared" si="28"/>
        <v/>
      </c>
      <c r="O147" s="42" t="str">
        <f t="shared" si="29"/>
        <v/>
      </c>
      <c r="P147" s="42" t="str">
        <f t="shared" si="30"/>
        <v/>
      </c>
      <c r="Q147" s="42" t="str">
        <f t="shared" si="31"/>
        <v/>
      </c>
      <c r="R147" s="90" t="str">
        <f>IF(SUM($P147)=0,"",INDEX(Cascade!$BG:$BG,MATCH($E147,Cascade!$E:$E,0)))</f>
        <v/>
      </c>
      <c r="S147" s="42" t="str">
        <f t="shared" si="32"/>
        <v/>
      </c>
      <c r="T147" s="42" t="str">
        <f t="shared" si="33"/>
        <v/>
      </c>
      <c r="U147" s="14" t="str">
        <f>IFERROR(1/(1/INDEX(Cascade!$BH:$BH,MATCH($E147,Cascade!$E:$E,0))),"")</f>
        <v/>
      </c>
      <c r="V147" s="14" t="str">
        <f t="shared" si="34"/>
        <v/>
      </c>
      <c r="W147" s="14" t="str">
        <f>IFERROR(1/(1/INDEX(PMTCT!$AC:$AC,MATCH($E147,PMTCT!$E:$E,0))),"")</f>
        <v/>
      </c>
      <c r="X147" s="14" t="str">
        <f>IFERROR(1/(1/INDEX(PMTCT!$AS:$AS,MATCH($E147,PMTCT!$E:$E,0))),"")</f>
        <v/>
      </c>
      <c r="Y147" s="14" t="str">
        <f>IFERROR(1/(1/INDEX(VMMC!$AA:$AA,MATCH($E147,VMMC!$E:$E,0))),"")</f>
        <v/>
      </c>
      <c r="Z147" s="14" t="str">
        <f t="shared" si="35"/>
        <v/>
      </c>
    </row>
    <row r="148" spans="1:26" x14ac:dyDescent="0.2">
      <c r="A148" t="str">
        <f>INDEX(Prioritization!$D:$D,MATCH($B148,Prioritization!$A:$A,0))</f>
        <v>INVALID</v>
      </c>
      <c r="B148" t="s">
        <v>204</v>
      </c>
      <c r="C148" t="s">
        <v>362</v>
      </c>
      <c r="D148" t="s">
        <v>47</v>
      </c>
      <c r="E148" t="str">
        <f t="shared" si="24"/>
        <v>Karonga District [cPtvxaZqXIH]|01-09|Male</v>
      </c>
      <c r="F148" s="14"/>
      <c r="G148" s="90">
        <f>0</f>
        <v>0</v>
      </c>
      <c r="H148" s="42" t="str">
        <f t="shared" si="25"/>
        <v/>
      </c>
      <c r="I148" s="14"/>
      <c r="J148" s="90"/>
      <c r="K148" s="90" t="str">
        <f t="shared" si="26"/>
        <v/>
      </c>
      <c r="L148" s="90"/>
      <c r="M148" s="90" t="str">
        <f t="shared" si="27"/>
        <v/>
      </c>
      <c r="N148" s="14" t="str">
        <f t="shared" si="28"/>
        <v/>
      </c>
      <c r="O148" s="42" t="str">
        <f t="shared" si="29"/>
        <v/>
      </c>
      <c r="P148" s="42" t="str">
        <f t="shared" si="30"/>
        <v/>
      </c>
      <c r="Q148" s="42" t="str">
        <f t="shared" si="31"/>
        <v/>
      </c>
      <c r="R148" s="90" t="str">
        <f>IF(SUM($P148)=0,"",INDEX(Cascade!$BG:$BG,MATCH($E148,Cascade!$E:$E,0)))</f>
        <v/>
      </c>
      <c r="S148" s="42" t="str">
        <f t="shared" si="32"/>
        <v/>
      </c>
      <c r="T148" s="42" t="str">
        <f t="shared" si="33"/>
        <v/>
      </c>
      <c r="U148" s="14" t="str">
        <f>IFERROR(1/(1/INDEX(Cascade!$BH:$BH,MATCH($E148,Cascade!$E:$E,0))),"")</f>
        <v/>
      </c>
      <c r="V148" s="14" t="str">
        <f t="shared" si="34"/>
        <v/>
      </c>
      <c r="W148" s="14" t="str">
        <f>IFERROR(1/(1/INDEX(PMTCT!$AC:$AC,MATCH($E148,PMTCT!$E:$E,0))),"")</f>
        <v/>
      </c>
      <c r="X148" s="14" t="str">
        <f>IFERROR(1/(1/INDEX(PMTCT!$AS:$AS,MATCH($E148,PMTCT!$E:$E,0))),"")</f>
        <v/>
      </c>
      <c r="Y148" s="14" t="str">
        <f>IFERROR(1/(1/INDEX(VMMC!$AA:$AA,MATCH($E148,VMMC!$E:$E,0))),"")</f>
        <v/>
      </c>
      <c r="Z148" s="14" t="str">
        <f t="shared" si="35"/>
        <v/>
      </c>
    </row>
    <row r="149" spans="1:26" x14ac:dyDescent="0.2">
      <c r="A149" t="str">
        <f>INDEX(Prioritization!$D:$D,MATCH($B149,Prioritization!$A:$A,0))</f>
        <v>INVALID</v>
      </c>
      <c r="B149" t="s">
        <v>204</v>
      </c>
      <c r="C149" t="s">
        <v>363</v>
      </c>
      <c r="D149" t="s">
        <v>29</v>
      </c>
      <c r="E149" t="str">
        <f t="shared" si="24"/>
        <v>Karonga District [cPtvxaZqXIH]|10-14|Female</v>
      </c>
      <c r="F149" s="14">
        <v>1</v>
      </c>
      <c r="G149" s="90">
        <f>0</f>
        <v>0</v>
      </c>
      <c r="H149" s="42">
        <f t="shared" si="25"/>
        <v>1</v>
      </c>
      <c r="I149" s="14"/>
      <c r="J149" s="90"/>
      <c r="K149" s="90" t="str">
        <f t="shared" si="26"/>
        <v/>
      </c>
      <c r="L149" s="90"/>
      <c r="M149" s="90" t="str">
        <f t="shared" si="27"/>
        <v/>
      </c>
      <c r="N149" s="14">
        <f t="shared" si="28"/>
        <v>1</v>
      </c>
      <c r="O149" s="42" t="str">
        <f t="shared" si="29"/>
        <v>ENTER KNOWN POSITIVITY RATE</v>
      </c>
      <c r="P149" s="42" t="str">
        <f t="shared" si="30"/>
        <v>ENTER YIELD RATE</v>
      </c>
      <c r="Q149" s="42">
        <f t="shared" si="31"/>
        <v>1</v>
      </c>
      <c r="R149" s="90" t="str">
        <f>IF(SUM($P149)=0,"",INDEX(Cascade!$BG:$BG,MATCH($E149,Cascade!$E:$E,0)))</f>
        <v/>
      </c>
      <c r="S149" s="42" t="str">
        <f t="shared" si="32"/>
        <v>ENTER KNOWN POSITIVITY RATE</v>
      </c>
      <c r="T149" s="42" t="str">
        <f t="shared" si="33"/>
        <v/>
      </c>
      <c r="U149" s="14">
        <f>IFERROR(1/(1/INDEX(Cascade!$BH:$BH,MATCH($E149,Cascade!$E:$E,0))),"")</f>
        <v>-96</v>
      </c>
      <c r="V149" s="14" t="str">
        <f t="shared" si="34"/>
        <v/>
      </c>
      <c r="W149" s="14" t="str">
        <f>IFERROR(1/(1/INDEX(PMTCT!$AC:$AC,MATCH($E149,PMTCT!$E:$E,0))),"")</f>
        <v/>
      </c>
      <c r="X149" s="14" t="str">
        <f>IFERROR(1/(1/INDEX(PMTCT!$AS:$AS,MATCH($E149,PMTCT!$E:$E,0))),"")</f>
        <v/>
      </c>
      <c r="Y149" s="14" t="str">
        <f>IFERROR(1/(1/INDEX(VMMC!$AA:$AA,MATCH($E149,VMMC!$E:$E,0))),"")</f>
        <v/>
      </c>
      <c r="Z149" s="14">
        <f t="shared" si="35"/>
        <v>-96</v>
      </c>
    </row>
    <row r="150" spans="1:26" x14ac:dyDescent="0.2">
      <c r="A150" t="str">
        <f>INDEX(Prioritization!$D:$D,MATCH($B150,Prioritization!$A:$A,0))</f>
        <v>INVALID</v>
      </c>
      <c r="B150" t="s">
        <v>204</v>
      </c>
      <c r="C150" t="s">
        <v>363</v>
      </c>
      <c r="D150" t="s">
        <v>47</v>
      </c>
      <c r="E150" t="str">
        <f t="shared" si="24"/>
        <v>Karonga District [cPtvxaZqXIH]|10-14|Male</v>
      </c>
      <c r="F150" s="14">
        <v>1</v>
      </c>
      <c r="G150" s="90">
        <f>0</f>
        <v>0</v>
      </c>
      <c r="H150" s="42">
        <f t="shared" si="25"/>
        <v>1</v>
      </c>
      <c r="I150" s="14"/>
      <c r="J150" s="90"/>
      <c r="K150" s="90" t="str">
        <f t="shared" si="26"/>
        <v/>
      </c>
      <c r="L150" s="90"/>
      <c r="M150" s="90" t="str">
        <f t="shared" si="27"/>
        <v/>
      </c>
      <c r="N150" s="14">
        <f t="shared" si="28"/>
        <v>1</v>
      </c>
      <c r="O150" s="42" t="str">
        <f t="shared" si="29"/>
        <v>ENTER KNOWN POSITIVITY RATE</v>
      </c>
      <c r="P150" s="42" t="str">
        <f t="shared" si="30"/>
        <v>ENTER YIELD RATE</v>
      </c>
      <c r="Q150" s="42">
        <f t="shared" si="31"/>
        <v>1</v>
      </c>
      <c r="R150" s="90" t="str">
        <f>IF(SUM($P150)=0,"",INDEX(Cascade!$BG:$BG,MATCH($E150,Cascade!$E:$E,0)))</f>
        <v/>
      </c>
      <c r="S150" s="42" t="str">
        <f t="shared" si="32"/>
        <v>ENTER KNOWN POSITIVITY RATE</v>
      </c>
      <c r="T150" s="42" t="str">
        <f t="shared" si="33"/>
        <v/>
      </c>
      <c r="U150" s="14">
        <f>IFERROR(1/(1/INDEX(Cascade!$BH:$BH,MATCH($E150,Cascade!$E:$E,0))),"")</f>
        <v>-85</v>
      </c>
      <c r="V150" s="14" t="str">
        <f t="shared" si="34"/>
        <v/>
      </c>
      <c r="W150" s="14" t="str">
        <f>IFERROR(1/(1/INDEX(PMTCT!$AC:$AC,MATCH($E150,PMTCT!$E:$E,0))),"")</f>
        <v/>
      </c>
      <c r="X150" s="14" t="str">
        <f>IFERROR(1/(1/INDEX(PMTCT!$AS:$AS,MATCH($E150,PMTCT!$E:$E,0))),"")</f>
        <v/>
      </c>
      <c r="Y150" s="14" t="str">
        <f>IFERROR(1/(1/INDEX(VMMC!$AA:$AA,MATCH($E150,VMMC!$E:$E,0))),"")</f>
        <v/>
      </c>
      <c r="Z150" s="14">
        <f t="shared" si="35"/>
        <v>-85</v>
      </c>
    </row>
    <row r="151" spans="1:26" x14ac:dyDescent="0.2">
      <c r="A151" t="str">
        <f>INDEX(Prioritization!$D:$D,MATCH($B151,Prioritization!$A:$A,0))</f>
        <v>INVALID</v>
      </c>
      <c r="B151" t="s">
        <v>204</v>
      </c>
      <c r="C151" t="s">
        <v>364</v>
      </c>
      <c r="D151" t="s">
        <v>29</v>
      </c>
      <c r="E151" t="str">
        <f t="shared" si="24"/>
        <v>Karonga District [cPtvxaZqXIH]|15-24|Female</v>
      </c>
      <c r="F151" s="14"/>
      <c r="G151" s="90">
        <f>0</f>
        <v>0</v>
      </c>
      <c r="H151" s="42" t="str">
        <f t="shared" si="25"/>
        <v/>
      </c>
      <c r="I151" s="14"/>
      <c r="J151" s="90"/>
      <c r="K151" s="90" t="str">
        <f t="shared" si="26"/>
        <v/>
      </c>
      <c r="L151" s="90"/>
      <c r="M151" s="90" t="str">
        <f t="shared" si="27"/>
        <v/>
      </c>
      <c r="N151" s="14" t="str">
        <f t="shared" si="28"/>
        <v/>
      </c>
      <c r="O151" s="42" t="str">
        <f t="shared" si="29"/>
        <v/>
      </c>
      <c r="P151" s="42" t="str">
        <f t="shared" si="30"/>
        <v/>
      </c>
      <c r="Q151" s="42" t="str">
        <f t="shared" si="31"/>
        <v/>
      </c>
      <c r="R151" s="90" t="str">
        <f>IF(SUM($P151)=0,"",INDEX(Cascade!$BG:$BG,MATCH($E151,Cascade!$E:$E,0)))</f>
        <v/>
      </c>
      <c r="S151" s="42" t="str">
        <f t="shared" si="32"/>
        <v/>
      </c>
      <c r="T151" s="42" t="str">
        <f t="shared" si="33"/>
        <v/>
      </c>
      <c r="U151" s="14" t="str">
        <f>IFERROR(1/(1/INDEX(Cascade!$BH:$BH,MATCH($E151,Cascade!$E:$E,0))),"")</f>
        <v/>
      </c>
      <c r="V151" s="14" t="str">
        <f t="shared" si="34"/>
        <v/>
      </c>
      <c r="W151" s="14" t="str">
        <f>IFERROR(1/(1/INDEX(PMTCT!$AC:$AC,MATCH($E151,PMTCT!$E:$E,0))),"")</f>
        <v/>
      </c>
      <c r="X151" s="14" t="str">
        <f>IFERROR(1/(1/INDEX(PMTCT!$AS:$AS,MATCH($E151,PMTCT!$E:$E,0))),"")</f>
        <v/>
      </c>
      <c r="Y151" s="14" t="str">
        <f>IFERROR(1/(1/INDEX(VMMC!$AA:$AA,MATCH($E151,VMMC!$E:$E,0))),"")</f>
        <v/>
      </c>
      <c r="Z151" s="14" t="str">
        <f t="shared" si="35"/>
        <v/>
      </c>
    </row>
    <row r="152" spans="1:26" x14ac:dyDescent="0.2">
      <c r="A152" t="str">
        <f>INDEX(Prioritization!$D:$D,MATCH($B152,Prioritization!$A:$A,0))</f>
        <v>INVALID</v>
      </c>
      <c r="B152" t="s">
        <v>204</v>
      </c>
      <c r="C152" t="s">
        <v>364</v>
      </c>
      <c r="D152" t="s">
        <v>47</v>
      </c>
      <c r="E152" t="str">
        <f t="shared" si="24"/>
        <v>Karonga District [cPtvxaZqXIH]|15-24|Male</v>
      </c>
      <c r="F152" s="14"/>
      <c r="G152" s="90">
        <f>0</f>
        <v>0</v>
      </c>
      <c r="H152" s="42" t="str">
        <f t="shared" si="25"/>
        <v/>
      </c>
      <c r="I152" s="14"/>
      <c r="J152" s="90"/>
      <c r="K152" s="90" t="str">
        <f t="shared" si="26"/>
        <v/>
      </c>
      <c r="L152" s="90"/>
      <c r="M152" s="90" t="str">
        <f t="shared" si="27"/>
        <v/>
      </c>
      <c r="N152" s="14" t="str">
        <f t="shared" si="28"/>
        <v/>
      </c>
      <c r="O152" s="42" t="str">
        <f t="shared" si="29"/>
        <v/>
      </c>
      <c r="P152" s="42" t="str">
        <f t="shared" si="30"/>
        <v/>
      </c>
      <c r="Q152" s="42" t="str">
        <f t="shared" si="31"/>
        <v/>
      </c>
      <c r="R152" s="90" t="str">
        <f>IF(SUM($P152)=0,"",INDEX(Cascade!$BG:$BG,MATCH($E152,Cascade!$E:$E,0)))</f>
        <v/>
      </c>
      <c r="S152" s="42" t="str">
        <f t="shared" si="32"/>
        <v/>
      </c>
      <c r="T152" s="42" t="str">
        <f t="shared" si="33"/>
        <v/>
      </c>
      <c r="U152" s="14" t="str">
        <f>IFERROR(1/(1/INDEX(Cascade!$BH:$BH,MATCH($E152,Cascade!$E:$E,0))),"")</f>
        <v/>
      </c>
      <c r="V152" s="14" t="str">
        <f t="shared" si="34"/>
        <v/>
      </c>
      <c r="W152" s="14" t="str">
        <f>IFERROR(1/(1/INDEX(PMTCT!$AC:$AC,MATCH($E152,PMTCT!$E:$E,0))),"")</f>
        <v/>
      </c>
      <c r="X152" s="14" t="str">
        <f>IFERROR(1/(1/INDEX(PMTCT!$AS:$AS,MATCH($E152,PMTCT!$E:$E,0))),"")</f>
        <v/>
      </c>
      <c r="Y152" s="14" t="str">
        <f>IFERROR(1/(1/INDEX(VMMC!$AA:$AA,MATCH($E152,VMMC!$E:$E,0))),"")</f>
        <v/>
      </c>
      <c r="Z152" s="14" t="str">
        <f t="shared" si="35"/>
        <v/>
      </c>
    </row>
    <row r="153" spans="1:26" x14ac:dyDescent="0.2">
      <c r="A153" t="str">
        <f>INDEX(Prioritization!$D:$D,MATCH($B153,Prioritization!$A:$A,0))</f>
        <v>INVALID</v>
      </c>
      <c r="B153" t="s">
        <v>204</v>
      </c>
      <c r="C153" t="s">
        <v>365</v>
      </c>
      <c r="D153" t="s">
        <v>29</v>
      </c>
      <c r="E153" t="str">
        <f t="shared" si="24"/>
        <v>Karonga District [cPtvxaZqXIH]|25-34|Female</v>
      </c>
      <c r="F153" s="14"/>
      <c r="G153" s="90">
        <f>0</f>
        <v>0</v>
      </c>
      <c r="H153" s="42" t="str">
        <f t="shared" si="25"/>
        <v/>
      </c>
      <c r="I153" s="14"/>
      <c r="J153" s="90"/>
      <c r="K153" s="90" t="str">
        <f t="shared" si="26"/>
        <v/>
      </c>
      <c r="L153" s="90"/>
      <c r="M153" s="90" t="str">
        <f t="shared" si="27"/>
        <v/>
      </c>
      <c r="N153" s="14" t="str">
        <f t="shared" si="28"/>
        <v/>
      </c>
      <c r="O153" s="42" t="str">
        <f t="shared" si="29"/>
        <v/>
      </c>
      <c r="P153" s="42" t="str">
        <f t="shared" si="30"/>
        <v/>
      </c>
      <c r="Q153" s="42" t="str">
        <f t="shared" si="31"/>
        <v/>
      </c>
      <c r="R153" s="90" t="str">
        <f>IF(SUM($P153)=0,"",INDEX(Cascade!$BG:$BG,MATCH($E153,Cascade!$E:$E,0)))</f>
        <v/>
      </c>
      <c r="S153" s="42" t="str">
        <f t="shared" si="32"/>
        <v/>
      </c>
      <c r="T153" s="42" t="str">
        <f t="shared" si="33"/>
        <v/>
      </c>
      <c r="U153" s="14" t="str">
        <f>IFERROR(1/(1/INDEX(Cascade!$BH:$BH,MATCH($E153,Cascade!$E:$E,0))),"")</f>
        <v/>
      </c>
      <c r="V153" s="14" t="str">
        <f t="shared" si="34"/>
        <v/>
      </c>
      <c r="W153" s="14" t="str">
        <f>IFERROR(1/(1/INDEX(PMTCT!$AC:$AC,MATCH($E153,PMTCT!$E:$E,0))),"")</f>
        <v/>
      </c>
      <c r="X153" s="14" t="str">
        <f>IFERROR(1/(1/INDEX(PMTCT!$AS:$AS,MATCH($E153,PMTCT!$E:$E,0))),"")</f>
        <v/>
      </c>
      <c r="Y153" s="14" t="str">
        <f>IFERROR(1/(1/INDEX(VMMC!$AA:$AA,MATCH($E153,VMMC!$E:$E,0))),"")</f>
        <v/>
      </c>
      <c r="Z153" s="14" t="str">
        <f t="shared" si="35"/>
        <v/>
      </c>
    </row>
    <row r="154" spans="1:26" x14ac:dyDescent="0.2">
      <c r="A154" t="str">
        <f>INDEX(Prioritization!$D:$D,MATCH($B154,Prioritization!$A:$A,0))</f>
        <v>INVALID</v>
      </c>
      <c r="B154" t="s">
        <v>204</v>
      </c>
      <c r="C154" t="s">
        <v>365</v>
      </c>
      <c r="D154" t="s">
        <v>47</v>
      </c>
      <c r="E154" t="str">
        <f t="shared" si="24"/>
        <v>Karonga District [cPtvxaZqXIH]|25-34|Male</v>
      </c>
      <c r="F154" s="14"/>
      <c r="G154" s="90">
        <f>0</f>
        <v>0</v>
      </c>
      <c r="H154" s="42" t="str">
        <f t="shared" si="25"/>
        <v/>
      </c>
      <c r="I154" s="14"/>
      <c r="J154" s="90"/>
      <c r="K154" s="90" t="str">
        <f t="shared" si="26"/>
        <v/>
      </c>
      <c r="L154" s="90"/>
      <c r="M154" s="90" t="str">
        <f t="shared" si="27"/>
        <v/>
      </c>
      <c r="N154" s="14" t="str">
        <f t="shared" si="28"/>
        <v/>
      </c>
      <c r="O154" s="42" t="str">
        <f t="shared" si="29"/>
        <v/>
      </c>
      <c r="P154" s="42" t="str">
        <f t="shared" si="30"/>
        <v/>
      </c>
      <c r="Q154" s="42" t="str">
        <f t="shared" si="31"/>
        <v/>
      </c>
      <c r="R154" s="90" t="str">
        <f>IF(SUM($P154)=0,"",INDEX(Cascade!$BG:$BG,MATCH($E154,Cascade!$E:$E,0)))</f>
        <v/>
      </c>
      <c r="S154" s="42" t="str">
        <f t="shared" si="32"/>
        <v/>
      </c>
      <c r="T154" s="42" t="str">
        <f t="shared" si="33"/>
        <v/>
      </c>
      <c r="U154" s="14" t="str">
        <f>IFERROR(1/(1/INDEX(Cascade!$BH:$BH,MATCH($E154,Cascade!$E:$E,0))),"")</f>
        <v/>
      </c>
      <c r="V154" s="14" t="str">
        <f t="shared" si="34"/>
        <v/>
      </c>
      <c r="W154" s="14" t="str">
        <f>IFERROR(1/(1/INDEX(PMTCT!$AC:$AC,MATCH($E154,PMTCT!$E:$E,0))),"")</f>
        <v/>
      </c>
      <c r="X154" s="14" t="str">
        <f>IFERROR(1/(1/INDEX(PMTCT!$AS:$AS,MATCH($E154,PMTCT!$E:$E,0))),"")</f>
        <v/>
      </c>
      <c r="Y154" s="14" t="str">
        <f>IFERROR(1/(1/INDEX(VMMC!$AA:$AA,MATCH($E154,VMMC!$E:$E,0))),"")</f>
        <v/>
      </c>
      <c r="Z154" s="14" t="str">
        <f t="shared" si="35"/>
        <v/>
      </c>
    </row>
    <row r="155" spans="1:26" x14ac:dyDescent="0.2">
      <c r="A155" t="str">
        <f>INDEX(Prioritization!$D:$D,MATCH($B155,Prioritization!$A:$A,0))</f>
        <v>INVALID</v>
      </c>
      <c r="B155" t="s">
        <v>204</v>
      </c>
      <c r="C155" t="s">
        <v>366</v>
      </c>
      <c r="D155" t="s">
        <v>29</v>
      </c>
      <c r="E155" t="str">
        <f t="shared" si="24"/>
        <v>Karonga District [cPtvxaZqXIH]|35-49|Female</v>
      </c>
      <c r="F155" s="14"/>
      <c r="G155" s="90">
        <f>0</f>
        <v>0</v>
      </c>
      <c r="H155" s="42" t="str">
        <f t="shared" si="25"/>
        <v/>
      </c>
      <c r="I155" s="14"/>
      <c r="J155" s="90"/>
      <c r="K155" s="90" t="str">
        <f t="shared" si="26"/>
        <v/>
      </c>
      <c r="L155" s="90"/>
      <c r="M155" s="90" t="str">
        <f t="shared" si="27"/>
        <v/>
      </c>
      <c r="N155" s="14" t="str">
        <f t="shared" si="28"/>
        <v/>
      </c>
      <c r="O155" s="42" t="str">
        <f t="shared" si="29"/>
        <v/>
      </c>
      <c r="P155" s="42" t="str">
        <f t="shared" si="30"/>
        <v/>
      </c>
      <c r="Q155" s="42" t="str">
        <f t="shared" si="31"/>
        <v/>
      </c>
      <c r="R155" s="90" t="str">
        <f>IF(SUM($P155)=0,"",INDEX(Cascade!$BG:$BG,MATCH($E155,Cascade!$E:$E,0)))</f>
        <v/>
      </c>
      <c r="S155" s="42" t="str">
        <f t="shared" si="32"/>
        <v/>
      </c>
      <c r="T155" s="42" t="str">
        <f t="shared" si="33"/>
        <v/>
      </c>
      <c r="U155" s="14" t="str">
        <f>IFERROR(1/(1/INDEX(Cascade!$BH:$BH,MATCH($E155,Cascade!$E:$E,0))),"")</f>
        <v/>
      </c>
      <c r="V155" s="14" t="str">
        <f t="shared" si="34"/>
        <v/>
      </c>
      <c r="W155" s="14" t="str">
        <f>IFERROR(1/(1/INDEX(PMTCT!$AC:$AC,MATCH($E155,PMTCT!$E:$E,0))),"")</f>
        <v/>
      </c>
      <c r="X155" s="14" t="str">
        <f>IFERROR(1/(1/INDEX(PMTCT!$AS:$AS,MATCH($E155,PMTCT!$E:$E,0))),"")</f>
        <v/>
      </c>
      <c r="Y155" s="14" t="str">
        <f>IFERROR(1/(1/INDEX(VMMC!$AA:$AA,MATCH($E155,VMMC!$E:$E,0))),"")</f>
        <v/>
      </c>
      <c r="Z155" s="14" t="str">
        <f t="shared" si="35"/>
        <v/>
      </c>
    </row>
    <row r="156" spans="1:26" x14ac:dyDescent="0.2">
      <c r="A156" t="str">
        <f>INDEX(Prioritization!$D:$D,MATCH($B156,Prioritization!$A:$A,0))</f>
        <v>INVALID</v>
      </c>
      <c r="B156" t="s">
        <v>204</v>
      </c>
      <c r="C156" t="s">
        <v>366</v>
      </c>
      <c r="D156" t="s">
        <v>47</v>
      </c>
      <c r="E156" t="str">
        <f t="shared" si="24"/>
        <v>Karonga District [cPtvxaZqXIH]|35-49|Male</v>
      </c>
      <c r="F156" s="14"/>
      <c r="G156" s="90">
        <f>0</f>
        <v>0</v>
      </c>
      <c r="H156" s="42" t="str">
        <f t="shared" si="25"/>
        <v/>
      </c>
      <c r="I156" s="14"/>
      <c r="J156" s="90"/>
      <c r="K156" s="90" t="str">
        <f t="shared" si="26"/>
        <v/>
      </c>
      <c r="L156" s="90"/>
      <c r="M156" s="90" t="str">
        <f t="shared" si="27"/>
        <v/>
      </c>
      <c r="N156" s="14" t="str">
        <f t="shared" si="28"/>
        <v/>
      </c>
      <c r="O156" s="42" t="str">
        <f t="shared" si="29"/>
        <v/>
      </c>
      <c r="P156" s="42" t="str">
        <f t="shared" si="30"/>
        <v/>
      </c>
      <c r="Q156" s="42" t="str">
        <f t="shared" si="31"/>
        <v/>
      </c>
      <c r="R156" s="90" t="str">
        <f>IF(SUM($P156)=0,"",INDEX(Cascade!$BG:$BG,MATCH($E156,Cascade!$E:$E,0)))</f>
        <v/>
      </c>
      <c r="S156" s="42" t="str">
        <f t="shared" si="32"/>
        <v/>
      </c>
      <c r="T156" s="42" t="str">
        <f t="shared" si="33"/>
        <v/>
      </c>
      <c r="U156" s="14" t="str">
        <f>IFERROR(1/(1/INDEX(Cascade!$BH:$BH,MATCH($E156,Cascade!$E:$E,0))),"")</f>
        <v/>
      </c>
      <c r="V156" s="14" t="str">
        <f t="shared" si="34"/>
        <v/>
      </c>
      <c r="W156" s="14" t="str">
        <f>IFERROR(1/(1/INDEX(PMTCT!$AC:$AC,MATCH($E156,PMTCT!$E:$E,0))),"")</f>
        <v/>
      </c>
      <c r="X156" s="14" t="str">
        <f>IFERROR(1/(1/INDEX(PMTCT!$AS:$AS,MATCH($E156,PMTCT!$E:$E,0))),"")</f>
        <v/>
      </c>
      <c r="Y156" s="14" t="str">
        <f>IFERROR(1/(1/INDEX(VMMC!$AA:$AA,MATCH($E156,VMMC!$E:$E,0))),"")</f>
        <v/>
      </c>
      <c r="Z156" s="14" t="str">
        <f t="shared" si="35"/>
        <v/>
      </c>
    </row>
    <row r="157" spans="1:26" x14ac:dyDescent="0.2">
      <c r="A157" t="str">
        <f>INDEX(Prioritization!$D:$D,MATCH($B157,Prioritization!$A:$A,0))</f>
        <v>INVALID</v>
      </c>
      <c r="B157" t="s">
        <v>204</v>
      </c>
      <c r="C157" t="s">
        <v>367</v>
      </c>
      <c r="D157" t="s">
        <v>29</v>
      </c>
      <c r="E157" t="str">
        <f t="shared" si="24"/>
        <v>Karonga District [cPtvxaZqXIH]|50+|Female</v>
      </c>
      <c r="F157" s="14"/>
      <c r="G157" s="90">
        <f>0</f>
        <v>0</v>
      </c>
      <c r="H157" s="42" t="str">
        <f t="shared" si="25"/>
        <v/>
      </c>
      <c r="I157" s="14"/>
      <c r="J157" s="90"/>
      <c r="K157" s="90" t="str">
        <f t="shared" si="26"/>
        <v/>
      </c>
      <c r="L157" s="90"/>
      <c r="M157" s="90" t="str">
        <f t="shared" si="27"/>
        <v/>
      </c>
      <c r="N157" s="14" t="str">
        <f t="shared" si="28"/>
        <v/>
      </c>
      <c r="O157" s="42" t="str">
        <f t="shared" si="29"/>
        <v/>
      </c>
      <c r="P157" s="42" t="str">
        <f t="shared" si="30"/>
        <v/>
      </c>
      <c r="Q157" s="42" t="str">
        <f t="shared" si="31"/>
        <v/>
      </c>
      <c r="R157" s="90" t="str">
        <f>IF(SUM($P157)=0,"",INDEX(Cascade!$BG:$BG,MATCH($E157,Cascade!$E:$E,0)))</f>
        <v/>
      </c>
      <c r="S157" s="42" t="str">
        <f t="shared" si="32"/>
        <v/>
      </c>
      <c r="T157" s="42" t="str">
        <f t="shared" si="33"/>
        <v/>
      </c>
      <c r="U157" s="14" t="str">
        <f>IFERROR(1/(1/INDEX(Cascade!$BH:$BH,MATCH($E157,Cascade!$E:$E,0))),"")</f>
        <v/>
      </c>
      <c r="V157" s="14" t="str">
        <f t="shared" si="34"/>
        <v/>
      </c>
      <c r="W157" s="14" t="str">
        <f>IFERROR(1/(1/INDEX(PMTCT!$AC:$AC,MATCH($E157,PMTCT!$E:$E,0))),"")</f>
        <v/>
      </c>
      <c r="X157" s="14" t="str">
        <f>IFERROR(1/(1/INDEX(PMTCT!$AS:$AS,MATCH($E157,PMTCT!$E:$E,0))),"")</f>
        <v/>
      </c>
      <c r="Y157" s="14" t="str">
        <f>IFERROR(1/(1/INDEX(VMMC!$AA:$AA,MATCH($E157,VMMC!$E:$E,0))),"")</f>
        <v/>
      </c>
      <c r="Z157" s="14" t="str">
        <f t="shared" si="35"/>
        <v/>
      </c>
    </row>
    <row r="158" spans="1:26" x14ac:dyDescent="0.2">
      <c r="A158" t="str">
        <f>INDEX(Prioritization!$D:$D,MATCH($B158,Prioritization!$A:$A,0))</f>
        <v>INVALID</v>
      </c>
      <c r="B158" t="s">
        <v>204</v>
      </c>
      <c r="C158" t="s">
        <v>367</v>
      </c>
      <c r="D158" t="s">
        <v>47</v>
      </c>
      <c r="E158" t="str">
        <f t="shared" si="24"/>
        <v>Karonga District [cPtvxaZqXIH]|50+|Male</v>
      </c>
      <c r="F158" s="14"/>
      <c r="G158" s="90">
        <f>0</f>
        <v>0</v>
      </c>
      <c r="H158" s="42" t="str">
        <f t="shared" si="25"/>
        <v/>
      </c>
      <c r="I158" s="14"/>
      <c r="J158" s="90"/>
      <c r="K158" s="90" t="str">
        <f t="shared" si="26"/>
        <v/>
      </c>
      <c r="L158" s="90"/>
      <c r="M158" s="90" t="str">
        <f t="shared" si="27"/>
        <v/>
      </c>
      <c r="N158" s="14" t="str">
        <f t="shared" si="28"/>
        <v/>
      </c>
      <c r="O158" s="42" t="str">
        <f t="shared" si="29"/>
        <v/>
      </c>
      <c r="P158" s="42" t="str">
        <f t="shared" si="30"/>
        <v/>
      </c>
      <c r="Q158" s="42" t="str">
        <f t="shared" si="31"/>
        <v/>
      </c>
      <c r="R158" s="90" t="str">
        <f>IF(SUM($P158)=0,"",INDEX(Cascade!$BG:$BG,MATCH($E158,Cascade!$E:$E,0)))</f>
        <v/>
      </c>
      <c r="S158" s="42" t="str">
        <f t="shared" si="32"/>
        <v/>
      </c>
      <c r="T158" s="42" t="str">
        <f t="shared" si="33"/>
        <v/>
      </c>
      <c r="U158" s="14" t="str">
        <f>IFERROR(1/(1/INDEX(Cascade!$BH:$BH,MATCH($E158,Cascade!$E:$E,0))),"")</f>
        <v/>
      </c>
      <c r="V158" s="14" t="str">
        <f t="shared" si="34"/>
        <v/>
      </c>
      <c r="W158" s="14" t="str">
        <f>IFERROR(1/(1/INDEX(PMTCT!$AC:$AC,MATCH($E158,PMTCT!$E:$E,0))),"")</f>
        <v/>
      </c>
      <c r="X158" s="14" t="str">
        <f>IFERROR(1/(1/INDEX(PMTCT!$AS:$AS,MATCH($E158,PMTCT!$E:$E,0))),"")</f>
        <v/>
      </c>
      <c r="Y158" s="14" t="str">
        <f>IFERROR(1/(1/INDEX(VMMC!$AA:$AA,MATCH($E158,VMMC!$E:$E,0))),"")</f>
        <v/>
      </c>
      <c r="Z158" s="14" t="str">
        <f t="shared" si="35"/>
        <v/>
      </c>
    </row>
    <row r="159" spans="1:26" x14ac:dyDescent="0.2">
      <c r="A159" t="str">
        <f>INDEX(Prioritization!$D:$D,MATCH($B159,Prioritization!$A:$A,0))</f>
        <v>INVALID</v>
      </c>
      <c r="B159" t="s">
        <v>205</v>
      </c>
      <c r="C159" t="s">
        <v>362</v>
      </c>
      <c r="D159" t="s">
        <v>29</v>
      </c>
      <c r="E159" t="str">
        <f t="shared" si="24"/>
        <v>Likoma District [ZCjuwgaMB9u]|01-09|Female</v>
      </c>
      <c r="F159" s="14"/>
      <c r="G159" s="90">
        <f>0</f>
        <v>0</v>
      </c>
      <c r="H159" s="42" t="str">
        <f t="shared" si="25"/>
        <v/>
      </c>
      <c r="I159" s="14"/>
      <c r="J159" s="90"/>
      <c r="K159" s="90" t="str">
        <f t="shared" si="26"/>
        <v/>
      </c>
      <c r="L159" s="90"/>
      <c r="M159" s="90" t="str">
        <f t="shared" si="27"/>
        <v/>
      </c>
      <c r="N159" s="14" t="str">
        <f t="shared" si="28"/>
        <v/>
      </c>
      <c r="O159" s="42" t="str">
        <f t="shared" si="29"/>
        <v/>
      </c>
      <c r="P159" s="42" t="str">
        <f t="shared" si="30"/>
        <v/>
      </c>
      <c r="Q159" s="42" t="str">
        <f t="shared" si="31"/>
        <v/>
      </c>
      <c r="R159" s="90" t="str">
        <f>IF(SUM($P159)=0,"",INDEX(Cascade!$BG:$BG,MATCH($E159,Cascade!$E:$E,0)))</f>
        <v/>
      </c>
      <c r="S159" s="42" t="str">
        <f t="shared" si="32"/>
        <v/>
      </c>
      <c r="T159" s="42" t="str">
        <f t="shared" si="33"/>
        <v/>
      </c>
      <c r="U159" s="14" t="str">
        <f>IFERROR(1/(1/INDEX(Cascade!$BH:$BH,MATCH($E159,Cascade!$E:$E,0))),"")</f>
        <v/>
      </c>
      <c r="V159" s="14" t="str">
        <f t="shared" si="34"/>
        <v/>
      </c>
      <c r="W159" s="14" t="str">
        <f>IFERROR(1/(1/INDEX(PMTCT!$AC:$AC,MATCH($E159,PMTCT!$E:$E,0))),"")</f>
        <v/>
      </c>
      <c r="X159" s="14" t="str">
        <f>IFERROR(1/(1/INDEX(PMTCT!$AS:$AS,MATCH($E159,PMTCT!$E:$E,0))),"")</f>
        <v/>
      </c>
      <c r="Y159" s="14" t="str">
        <f>IFERROR(1/(1/INDEX(VMMC!$AA:$AA,MATCH($E159,VMMC!$E:$E,0))),"")</f>
        <v/>
      </c>
      <c r="Z159" s="14" t="str">
        <f t="shared" si="35"/>
        <v/>
      </c>
    </row>
    <row r="160" spans="1:26" x14ac:dyDescent="0.2">
      <c r="A160" t="str">
        <f>INDEX(Prioritization!$D:$D,MATCH($B160,Prioritization!$A:$A,0))</f>
        <v>INVALID</v>
      </c>
      <c r="B160" t="s">
        <v>205</v>
      </c>
      <c r="C160" t="s">
        <v>362</v>
      </c>
      <c r="D160" t="s">
        <v>47</v>
      </c>
      <c r="E160" t="str">
        <f t="shared" si="24"/>
        <v>Likoma District [ZCjuwgaMB9u]|01-09|Male</v>
      </c>
      <c r="F160" s="14"/>
      <c r="G160" s="90">
        <f>0</f>
        <v>0</v>
      </c>
      <c r="H160" s="42" t="str">
        <f t="shared" si="25"/>
        <v/>
      </c>
      <c r="I160" s="14"/>
      <c r="J160" s="90"/>
      <c r="K160" s="90" t="str">
        <f t="shared" si="26"/>
        <v/>
      </c>
      <c r="L160" s="90"/>
      <c r="M160" s="90" t="str">
        <f t="shared" si="27"/>
        <v/>
      </c>
      <c r="N160" s="14" t="str">
        <f t="shared" si="28"/>
        <v/>
      </c>
      <c r="O160" s="42" t="str">
        <f t="shared" si="29"/>
        <v/>
      </c>
      <c r="P160" s="42" t="str">
        <f t="shared" si="30"/>
        <v/>
      </c>
      <c r="Q160" s="42" t="str">
        <f t="shared" si="31"/>
        <v/>
      </c>
      <c r="R160" s="90" t="str">
        <f>IF(SUM($P160)=0,"",INDEX(Cascade!$BG:$BG,MATCH($E160,Cascade!$E:$E,0)))</f>
        <v/>
      </c>
      <c r="S160" s="42" t="str">
        <f t="shared" si="32"/>
        <v/>
      </c>
      <c r="T160" s="42" t="str">
        <f t="shared" si="33"/>
        <v/>
      </c>
      <c r="U160" s="14" t="str">
        <f>IFERROR(1/(1/INDEX(Cascade!$BH:$BH,MATCH($E160,Cascade!$E:$E,0))),"")</f>
        <v/>
      </c>
      <c r="V160" s="14" t="str">
        <f t="shared" si="34"/>
        <v/>
      </c>
      <c r="W160" s="14" t="str">
        <f>IFERROR(1/(1/INDEX(PMTCT!$AC:$AC,MATCH($E160,PMTCT!$E:$E,0))),"")</f>
        <v/>
      </c>
      <c r="X160" s="14" t="str">
        <f>IFERROR(1/(1/INDEX(PMTCT!$AS:$AS,MATCH($E160,PMTCT!$E:$E,0))),"")</f>
        <v/>
      </c>
      <c r="Y160" s="14" t="str">
        <f>IFERROR(1/(1/INDEX(VMMC!$AA:$AA,MATCH($E160,VMMC!$E:$E,0))),"")</f>
        <v/>
      </c>
      <c r="Z160" s="14" t="str">
        <f t="shared" si="35"/>
        <v/>
      </c>
    </row>
    <row r="161" spans="1:26" x14ac:dyDescent="0.2">
      <c r="A161" t="str">
        <f>INDEX(Prioritization!$D:$D,MATCH($B161,Prioritization!$A:$A,0))</f>
        <v>INVALID</v>
      </c>
      <c r="B161" t="s">
        <v>205</v>
      </c>
      <c r="C161" t="s">
        <v>363</v>
      </c>
      <c r="D161" t="s">
        <v>29</v>
      </c>
      <c r="E161" t="str">
        <f t="shared" si="24"/>
        <v>Likoma District [ZCjuwgaMB9u]|10-14|Female</v>
      </c>
      <c r="F161" s="14"/>
      <c r="G161" s="90">
        <f>0</f>
        <v>0</v>
      </c>
      <c r="H161" s="42" t="str">
        <f t="shared" si="25"/>
        <v/>
      </c>
      <c r="I161" s="14"/>
      <c r="J161" s="90"/>
      <c r="K161" s="90" t="str">
        <f t="shared" si="26"/>
        <v/>
      </c>
      <c r="L161" s="90"/>
      <c r="M161" s="90" t="str">
        <f t="shared" si="27"/>
        <v/>
      </c>
      <c r="N161" s="14" t="str">
        <f t="shared" si="28"/>
        <v/>
      </c>
      <c r="O161" s="42" t="str">
        <f t="shared" si="29"/>
        <v/>
      </c>
      <c r="P161" s="42" t="str">
        <f t="shared" si="30"/>
        <v/>
      </c>
      <c r="Q161" s="42" t="str">
        <f t="shared" si="31"/>
        <v/>
      </c>
      <c r="R161" s="90" t="str">
        <f>IF(SUM($P161)=0,"",INDEX(Cascade!$BG:$BG,MATCH($E161,Cascade!$E:$E,0)))</f>
        <v/>
      </c>
      <c r="S161" s="42" t="str">
        <f t="shared" si="32"/>
        <v/>
      </c>
      <c r="T161" s="42" t="str">
        <f t="shared" si="33"/>
        <v/>
      </c>
      <c r="U161" s="14">
        <f>IFERROR(1/(1/INDEX(Cascade!$BH:$BH,MATCH($E161,Cascade!$E:$E,0))),"")</f>
        <v>-5</v>
      </c>
      <c r="V161" s="14" t="str">
        <f t="shared" si="34"/>
        <v/>
      </c>
      <c r="W161" s="14" t="str">
        <f>IFERROR(1/(1/INDEX(PMTCT!$AC:$AC,MATCH($E161,PMTCT!$E:$E,0))),"")</f>
        <v/>
      </c>
      <c r="X161" s="14" t="str">
        <f>IFERROR(1/(1/INDEX(PMTCT!$AS:$AS,MATCH($E161,PMTCT!$E:$E,0))),"")</f>
        <v/>
      </c>
      <c r="Y161" s="14" t="str">
        <f>IFERROR(1/(1/INDEX(VMMC!$AA:$AA,MATCH($E161,VMMC!$E:$E,0))),"")</f>
        <v/>
      </c>
      <c r="Z161" s="14">
        <f t="shared" si="35"/>
        <v>-5</v>
      </c>
    </row>
    <row r="162" spans="1:26" x14ac:dyDescent="0.2">
      <c r="A162" t="str">
        <f>INDEX(Prioritization!$D:$D,MATCH($B162,Prioritization!$A:$A,0))</f>
        <v>INVALID</v>
      </c>
      <c r="B162" t="s">
        <v>205</v>
      </c>
      <c r="C162" t="s">
        <v>363</v>
      </c>
      <c r="D162" t="s">
        <v>47</v>
      </c>
      <c r="E162" t="str">
        <f t="shared" si="24"/>
        <v>Likoma District [ZCjuwgaMB9u]|10-14|Male</v>
      </c>
      <c r="F162" s="14"/>
      <c r="G162" s="90">
        <f>0</f>
        <v>0</v>
      </c>
      <c r="H162" s="42" t="str">
        <f t="shared" si="25"/>
        <v/>
      </c>
      <c r="I162" s="14"/>
      <c r="J162" s="90"/>
      <c r="K162" s="90" t="str">
        <f t="shared" si="26"/>
        <v/>
      </c>
      <c r="L162" s="90"/>
      <c r="M162" s="90" t="str">
        <f t="shared" si="27"/>
        <v/>
      </c>
      <c r="N162" s="14" t="str">
        <f t="shared" si="28"/>
        <v/>
      </c>
      <c r="O162" s="42" t="str">
        <f t="shared" si="29"/>
        <v/>
      </c>
      <c r="P162" s="42" t="str">
        <f t="shared" si="30"/>
        <v/>
      </c>
      <c r="Q162" s="42" t="str">
        <f t="shared" si="31"/>
        <v/>
      </c>
      <c r="R162" s="90" t="str">
        <f>IF(SUM($P162)=0,"",INDEX(Cascade!$BG:$BG,MATCH($E162,Cascade!$E:$E,0)))</f>
        <v/>
      </c>
      <c r="S162" s="42" t="str">
        <f t="shared" si="32"/>
        <v/>
      </c>
      <c r="T162" s="42" t="str">
        <f t="shared" si="33"/>
        <v/>
      </c>
      <c r="U162" s="14">
        <f>IFERROR(1/(1/INDEX(Cascade!$BH:$BH,MATCH($E162,Cascade!$E:$E,0))),"")</f>
        <v>-4</v>
      </c>
      <c r="V162" s="14" t="str">
        <f t="shared" si="34"/>
        <v/>
      </c>
      <c r="W162" s="14" t="str">
        <f>IFERROR(1/(1/INDEX(PMTCT!$AC:$AC,MATCH($E162,PMTCT!$E:$E,0))),"")</f>
        <v/>
      </c>
      <c r="X162" s="14" t="str">
        <f>IFERROR(1/(1/INDEX(PMTCT!$AS:$AS,MATCH($E162,PMTCT!$E:$E,0))),"")</f>
        <v/>
      </c>
      <c r="Y162" s="14" t="str">
        <f>IFERROR(1/(1/INDEX(VMMC!$AA:$AA,MATCH($E162,VMMC!$E:$E,0))),"")</f>
        <v/>
      </c>
      <c r="Z162" s="14">
        <f t="shared" si="35"/>
        <v>-4</v>
      </c>
    </row>
    <row r="163" spans="1:26" x14ac:dyDescent="0.2">
      <c r="A163" t="str">
        <f>INDEX(Prioritization!$D:$D,MATCH($B163,Prioritization!$A:$A,0))</f>
        <v>INVALID</v>
      </c>
      <c r="B163" t="s">
        <v>205</v>
      </c>
      <c r="C163" t="s">
        <v>364</v>
      </c>
      <c r="D163" t="s">
        <v>29</v>
      </c>
      <c r="E163" t="str">
        <f t="shared" si="24"/>
        <v>Likoma District [ZCjuwgaMB9u]|15-24|Female</v>
      </c>
      <c r="F163" s="14"/>
      <c r="G163" s="90">
        <f>0</f>
        <v>0</v>
      </c>
      <c r="H163" s="42" t="str">
        <f t="shared" si="25"/>
        <v/>
      </c>
      <c r="I163" s="14"/>
      <c r="J163" s="90"/>
      <c r="K163" s="90" t="str">
        <f t="shared" si="26"/>
        <v/>
      </c>
      <c r="L163" s="90"/>
      <c r="M163" s="90" t="str">
        <f t="shared" si="27"/>
        <v/>
      </c>
      <c r="N163" s="14" t="str">
        <f t="shared" si="28"/>
        <v/>
      </c>
      <c r="O163" s="42" t="str">
        <f t="shared" si="29"/>
        <v/>
      </c>
      <c r="P163" s="42" t="str">
        <f t="shared" si="30"/>
        <v/>
      </c>
      <c r="Q163" s="42" t="str">
        <f t="shared" si="31"/>
        <v/>
      </c>
      <c r="R163" s="90" t="str">
        <f>IF(SUM($P163)=0,"",INDEX(Cascade!$BG:$BG,MATCH($E163,Cascade!$E:$E,0)))</f>
        <v/>
      </c>
      <c r="S163" s="42" t="str">
        <f t="shared" si="32"/>
        <v/>
      </c>
      <c r="T163" s="42" t="str">
        <f t="shared" si="33"/>
        <v/>
      </c>
      <c r="U163" s="14" t="str">
        <f>IFERROR(1/(1/INDEX(Cascade!$BH:$BH,MATCH($E163,Cascade!$E:$E,0))),"")</f>
        <v/>
      </c>
      <c r="V163" s="14" t="str">
        <f t="shared" si="34"/>
        <v/>
      </c>
      <c r="W163" s="14" t="str">
        <f>IFERROR(1/(1/INDEX(PMTCT!$AC:$AC,MATCH($E163,PMTCT!$E:$E,0))),"")</f>
        <v/>
      </c>
      <c r="X163" s="14" t="str">
        <f>IFERROR(1/(1/INDEX(PMTCT!$AS:$AS,MATCH($E163,PMTCT!$E:$E,0))),"")</f>
        <v/>
      </c>
      <c r="Y163" s="14" t="str">
        <f>IFERROR(1/(1/INDEX(VMMC!$AA:$AA,MATCH($E163,VMMC!$E:$E,0))),"")</f>
        <v/>
      </c>
      <c r="Z163" s="14" t="str">
        <f t="shared" si="35"/>
        <v/>
      </c>
    </row>
    <row r="164" spans="1:26" x14ac:dyDescent="0.2">
      <c r="A164" t="str">
        <f>INDEX(Prioritization!$D:$D,MATCH($B164,Prioritization!$A:$A,0))</f>
        <v>INVALID</v>
      </c>
      <c r="B164" t="s">
        <v>205</v>
      </c>
      <c r="C164" t="s">
        <v>364</v>
      </c>
      <c r="D164" t="s">
        <v>47</v>
      </c>
      <c r="E164" t="str">
        <f t="shared" si="24"/>
        <v>Likoma District [ZCjuwgaMB9u]|15-24|Male</v>
      </c>
      <c r="F164" s="14"/>
      <c r="G164" s="90">
        <f>0</f>
        <v>0</v>
      </c>
      <c r="H164" s="42" t="str">
        <f t="shared" si="25"/>
        <v/>
      </c>
      <c r="I164" s="14"/>
      <c r="J164" s="90"/>
      <c r="K164" s="90" t="str">
        <f t="shared" si="26"/>
        <v/>
      </c>
      <c r="L164" s="90"/>
      <c r="M164" s="90" t="str">
        <f t="shared" si="27"/>
        <v/>
      </c>
      <c r="N164" s="14" t="str">
        <f t="shared" si="28"/>
        <v/>
      </c>
      <c r="O164" s="42" t="str">
        <f t="shared" si="29"/>
        <v/>
      </c>
      <c r="P164" s="42" t="str">
        <f t="shared" si="30"/>
        <v/>
      </c>
      <c r="Q164" s="42" t="str">
        <f t="shared" si="31"/>
        <v/>
      </c>
      <c r="R164" s="90" t="str">
        <f>IF(SUM($P164)=0,"",INDEX(Cascade!$BG:$BG,MATCH($E164,Cascade!$E:$E,0)))</f>
        <v/>
      </c>
      <c r="S164" s="42" t="str">
        <f t="shared" si="32"/>
        <v/>
      </c>
      <c r="T164" s="42" t="str">
        <f t="shared" si="33"/>
        <v/>
      </c>
      <c r="U164" s="14" t="str">
        <f>IFERROR(1/(1/INDEX(Cascade!$BH:$BH,MATCH($E164,Cascade!$E:$E,0))),"")</f>
        <v/>
      </c>
      <c r="V164" s="14" t="str">
        <f t="shared" si="34"/>
        <v/>
      </c>
      <c r="W164" s="14" t="str">
        <f>IFERROR(1/(1/INDEX(PMTCT!$AC:$AC,MATCH($E164,PMTCT!$E:$E,0))),"")</f>
        <v/>
      </c>
      <c r="X164" s="14" t="str">
        <f>IFERROR(1/(1/INDEX(PMTCT!$AS:$AS,MATCH($E164,PMTCT!$E:$E,0))),"")</f>
        <v/>
      </c>
      <c r="Y164" s="14" t="str">
        <f>IFERROR(1/(1/INDEX(VMMC!$AA:$AA,MATCH($E164,VMMC!$E:$E,0))),"")</f>
        <v/>
      </c>
      <c r="Z164" s="14" t="str">
        <f t="shared" si="35"/>
        <v/>
      </c>
    </row>
    <row r="165" spans="1:26" x14ac:dyDescent="0.2">
      <c r="A165" t="str">
        <f>INDEX(Prioritization!$D:$D,MATCH($B165,Prioritization!$A:$A,0))</f>
        <v>INVALID</v>
      </c>
      <c r="B165" t="s">
        <v>205</v>
      </c>
      <c r="C165" t="s">
        <v>365</v>
      </c>
      <c r="D165" t="s">
        <v>29</v>
      </c>
      <c r="E165" t="str">
        <f t="shared" si="24"/>
        <v>Likoma District [ZCjuwgaMB9u]|25-34|Female</v>
      </c>
      <c r="F165" s="14"/>
      <c r="G165" s="90">
        <f>0</f>
        <v>0</v>
      </c>
      <c r="H165" s="42" t="str">
        <f t="shared" si="25"/>
        <v/>
      </c>
      <c r="I165" s="14"/>
      <c r="J165" s="90"/>
      <c r="K165" s="90" t="str">
        <f t="shared" si="26"/>
        <v/>
      </c>
      <c r="L165" s="90"/>
      <c r="M165" s="90" t="str">
        <f t="shared" si="27"/>
        <v/>
      </c>
      <c r="N165" s="14" t="str">
        <f t="shared" si="28"/>
        <v/>
      </c>
      <c r="O165" s="42" t="str">
        <f t="shared" si="29"/>
        <v/>
      </c>
      <c r="P165" s="42" t="str">
        <f t="shared" si="30"/>
        <v/>
      </c>
      <c r="Q165" s="42" t="str">
        <f t="shared" si="31"/>
        <v/>
      </c>
      <c r="R165" s="90" t="str">
        <f>IF(SUM($P165)=0,"",INDEX(Cascade!$BG:$BG,MATCH($E165,Cascade!$E:$E,0)))</f>
        <v/>
      </c>
      <c r="S165" s="42" t="str">
        <f t="shared" si="32"/>
        <v/>
      </c>
      <c r="T165" s="42" t="str">
        <f t="shared" si="33"/>
        <v/>
      </c>
      <c r="U165" s="14" t="str">
        <f>IFERROR(1/(1/INDEX(Cascade!$BH:$BH,MATCH($E165,Cascade!$E:$E,0))),"")</f>
        <v/>
      </c>
      <c r="V165" s="14" t="str">
        <f t="shared" si="34"/>
        <v/>
      </c>
      <c r="W165" s="14" t="str">
        <f>IFERROR(1/(1/INDEX(PMTCT!$AC:$AC,MATCH($E165,PMTCT!$E:$E,0))),"")</f>
        <v/>
      </c>
      <c r="X165" s="14" t="str">
        <f>IFERROR(1/(1/INDEX(PMTCT!$AS:$AS,MATCH($E165,PMTCT!$E:$E,0))),"")</f>
        <v/>
      </c>
      <c r="Y165" s="14" t="str">
        <f>IFERROR(1/(1/INDEX(VMMC!$AA:$AA,MATCH($E165,VMMC!$E:$E,0))),"")</f>
        <v/>
      </c>
      <c r="Z165" s="14" t="str">
        <f t="shared" si="35"/>
        <v/>
      </c>
    </row>
    <row r="166" spans="1:26" x14ac:dyDescent="0.2">
      <c r="A166" t="str">
        <f>INDEX(Prioritization!$D:$D,MATCH($B166,Prioritization!$A:$A,0))</f>
        <v>INVALID</v>
      </c>
      <c r="B166" t="s">
        <v>205</v>
      </c>
      <c r="C166" t="s">
        <v>365</v>
      </c>
      <c r="D166" t="s">
        <v>47</v>
      </c>
      <c r="E166" t="str">
        <f t="shared" si="24"/>
        <v>Likoma District [ZCjuwgaMB9u]|25-34|Male</v>
      </c>
      <c r="F166" s="14"/>
      <c r="G166" s="90">
        <f>0</f>
        <v>0</v>
      </c>
      <c r="H166" s="42" t="str">
        <f t="shared" si="25"/>
        <v/>
      </c>
      <c r="I166" s="14"/>
      <c r="J166" s="90"/>
      <c r="K166" s="90" t="str">
        <f t="shared" si="26"/>
        <v/>
      </c>
      <c r="L166" s="90"/>
      <c r="M166" s="90" t="str">
        <f t="shared" si="27"/>
        <v/>
      </c>
      <c r="N166" s="14" t="str">
        <f t="shared" si="28"/>
        <v/>
      </c>
      <c r="O166" s="42" t="str">
        <f t="shared" si="29"/>
        <v/>
      </c>
      <c r="P166" s="42" t="str">
        <f t="shared" si="30"/>
        <v/>
      </c>
      <c r="Q166" s="42" t="str">
        <f t="shared" si="31"/>
        <v/>
      </c>
      <c r="R166" s="90" t="str">
        <f>IF(SUM($P166)=0,"",INDEX(Cascade!$BG:$BG,MATCH($E166,Cascade!$E:$E,0)))</f>
        <v/>
      </c>
      <c r="S166" s="42" t="str">
        <f t="shared" si="32"/>
        <v/>
      </c>
      <c r="T166" s="42" t="str">
        <f t="shared" si="33"/>
        <v/>
      </c>
      <c r="U166" s="14" t="str">
        <f>IFERROR(1/(1/INDEX(Cascade!$BH:$BH,MATCH($E166,Cascade!$E:$E,0))),"")</f>
        <v/>
      </c>
      <c r="V166" s="14" t="str">
        <f t="shared" si="34"/>
        <v/>
      </c>
      <c r="W166" s="14" t="str">
        <f>IFERROR(1/(1/INDEX(PMTCT!$AC:$AC,MATCH($E166,PMTCT!$E:$E,0))),"")</f>
        <v/>
      </c>
      <c r="X166" s="14" t="str">
        <f>IFERROR(1/(1/INDEX(PMTCT!$AS:$AS,MATCH($E166,PMTCT!$E:$E,0))),"")</f>
        <v/>
      </c>
      <c r="Y166" s="14" t="str">
        <f>IFERROR(1/(1/INDEX(VMMC!$AA:$AA,MATCH($E166,VMMC!$E:$E,0))),"")</f>
        <v/>
      </c>
      <c r="Z166" s="14" t="str">
        <f t="shared" si="35"/>
        <v/>
      </c>
    </row>
    <row r="167" spans="1:26" x14ac:dyDescent="0.2">
      <c r="A167" t="str">
        <f>INDEX(Prioritization!$D:$D,MATCH($B167,Prioritization!$A:$A,0))</f>
        <v>INVALID</v>
      </c>
      <c r="B167" t="s">
        <v>205</v>
      </c>
      <c r="C167" t="s">
        <v>366</v>
      </c>
      <c r="D167" t="s">
        <v>29</v>
      </c>
      <c r="E167" t="str">
        <f t="shared" si="24"/>
        <v>Likoma District [ZCjuwgaMB9u]|35-49|Female</v>
      </c>
      <c r="F167" s="14"/>
      <c r="G167" s="90">
        <f>0</f>
        <v>0</v>
      </c>
      <c r="H167" s="42" t="str">
        <f t="shared" si="25"/>
        <v/>
      </c>
      <c r="I167" s="14"/>
      <c r="J167" s="90"/>
      <c r="K167" s="90" t="str">
        <f t="shared" si="26"/>
        <v/>
      </c>
      <c r="L167" s="90"/>
      <c r="M167" s="90" t="str">
        <f t="shared" si="27"/>
        <v/>
      </c>
      <c r="N167" s="14" t="str">
        <f t="shared" si="28"/>
        <v/>
      </c>
      <c r="O167" s="42" t="str">
        <f t="shared" si="29"/>
        <v/>
      </c>
      <c r="P167" s="42" t="str">
        <f t="shared" si="30"/>
        <v/>
      </c>
      <c r="Q167" s="42" t="str">
        <f t="shared" si="31"/>
        <v/>
      </c>
      <c r="R167" s="90" t="str">
        <f>IF(SUM($P167)=0,"",INDEX(Cascade!$BG:$BG,MATCH($E167,Cascade!$E:$E,0)))</f>
        <v/>
      </c>
      <c r="S167" s="42" t="str">
        <f t="shared" si="32"/>
        <v/>
      </c>
      <c r="T167" s="42" t="str">
        <f t="shared" si="33"/>
        <v/>
      </c>
      <c r="U167" s="14" t="str">
        <f>IFERROR(1/(1/INDEX(Cascade!$BH:$BH,MATCH($E167,Cascade!$E:$E,0))),"")</f>
        <v/>
      </c>
      <c r="V167" s="14" t="str">
        <f t="shared" si="34"/>
        <v/>
      </c>
      <c r="W167" s="14" t="str">
        <f>IFERROR(1/(1/INDEX(PMTCT!$AC:$AC,MATCH($E167,PMTCT!$E:$E,0))),"")</f>
        <v/>
      </c>
      <c r="X167" s="14" t="str">
        <f>IFERROR(1/(1/INDEX(PMTCT!$AS:$AS,MATCH($E167,PMTCT!$E:$E,0))),"")</f>
        <v/>
      </c>
      <c r="Y167" s="14" t="str">
        <f>IFERROR(1/(1/INDEX(VMMC!$AA:$AA,MATCH($E167,VMMC!$E:$E,0))),"")</f>
        <v/>
      </c>
      <c r="Z167" s="14" t="str">
        <f t="shared" si="35"/>
        <v/>
      </c>
    </row>
    <row r="168" spans="1:26" x14ac:dyDescent="0.2">
      <c r="A168" t="str">
        <f>INDEX(Prioritization!$D:$D,MATCH($B168,Prioritization!$A:$A,0))</f>
        <v>INVALID</v>
      </c>
      <c r="B168" t="s">
        <v>205</v>
      </c>
      <c r="C168" t="s">
        <v>366</v>
      </c>
      <c r="D168" t="s">
        <v>47</v>
      </c>
      <c r="E168" t="str">
        <f t="shared" si="24"/>
        <v>Likoma District [ZCjuwgaMB9u]|35-49|Male</v>
      </c>
      <c r="F168" s="14"/>
      <c r="G168" s="90">
        <f>0</f>
        <v>0</v>
      </c>
      <c r="H168" s="42" t="str">
        <f t="shared" si="25"/>
        <v/>
      </c>
      <c r="I168" s="14"/>
      <c r="J168" s="90"/>
      <c r="K168" s="90" t="str">
        <f t="shared" si="26"/>
        <v/>
      </c>
      <c r="L168" s="90"/>
      <c r="M168" s="90" t="str">
        <f t="shared" si="27"/>
        <v/>
      </c>
      <c r="N168" s="14" t="str">
        <f t="shared" si="28"/>
        <v/>
      </c>
      <c r="O168" s="42" t="str">
        <f t="shared" si="29"/>
        <v/>
      </c>
      <c r="P168" s="42" t="str">
        <f t="shared" si="30"/>
        <v/>
      </c>
      <c r="Q168" s="42" t="str">
        <f t="shared" si="31"/>
        <v/>
      </c>
      <c r="R168" s="90" t="str">
        <f>IF(SUM($P168)=0,"",INDEX(Cascade!$BG:$BG,MATCH($E168,Cascade!$E:$E,0)))</f>
        <v/>
      </c>
      <c r="S168" s="42" t="str">
        <f t="shared" si="32"/>
        <v/>
      </c>
      <c r="T168" s="42" t="str">
        <f t="shared" si="33"/>
        <v/>
      </c>
      <c r="U168" s="14" t="str">
        <f>IFERROR(1/(1/INDEX(Cascade!$BH:$BH,MATCH($E168,Cascade!$E:$E,0))),"")</f>
        <v/>
      </c>
      <c r="V168" s="14" t="str">
        <f t="shared" si="34"/>
        <v/>
      </c>
      <c r="W168" s="14" t="str">
        <f>IFERROR(1/(1/INDEX(PMTCT!$AC:$AC,MATCH($E168,PMTCT!$E:$E,0))),"")</f>
        <v/>
      </c>
      <c r="X168" s="14" t="str">
        <f>IFERROR(1/(1/INDEX(PMTCT!$AS:$AS,MATCH($E168,PMTCT!$E:$E,0))),"")</f>
        <v/>
      </c>
      <c r="Y168" s="14" t="str">
        <f>IFERROR(1/(1/INDEX(VMMC!$AA:$AA,MATCH($E168,VMMC!$E:$E,0))),"")</f>
        <v/>
      </c>
      <c r="Z168" s="14" t="str">
        <f t="shared" si="35"/>
        <v/>
      </c>
    </row>
    <row r="169" spans="1:26" x14ac:dyDescent="0.2">
      <c r="A169" t="str">
        <f>INDEX(Prioritization!$D:$D,MATCH($B169,Prioritization!$A:$A,0))</f>
        <v>INVALID</v>
      </c>
      <c r="B169" t="s">
        <v>205</v>
      </c>
      <c r="C169" t="s">
        <v>367</v>
      </c>
      <c r="D169" t="s">
        <v>29</v>
      </c>
      <c r="E169" t="str">
        <f t="shared" si="24"/>
        <v>Likoma District [ZCjuwgaMB9u]|50+|Female</v>
      </c>
      <c r="F169" s="14"/>
      <c r="G169" s="90">
        <f>0</f>
        <v>0</v>
      </c>
      <c r="H169" s="42" t="str">
        <f t="shared" si="25"/>
        <v/>
      </c>
      <c r="I169" s="14"/>
      <c r="J169" s="90"/>
      <c r="K169" s="90" t="str">
        <f t="shared" si="26"/>
        <v/>
      </c>
      <c r="L169" s="90"/>
      <c r="M169" s="90" t="str">
        <f t="shared" si="27"/>
        <v/>
      </c>
      <c r="N169" s="14" t="str">
        <f t="shared" si="28"/>
        <v/>
      </c>
      <c r="O169" s="42" t="str">
        <f t="shared" si="29"/>
        <v/>
      </c>
      <c r="P169" s="42" t="str">
        <f t="shared" si="30"/>
        <v/>
      </c>
      <c r="Q169" s="42" t="str">
        <f t="shared" si="31"/>
        <v/>
      </c>
      <c r="R169" s="90" t="str">
        <f>IF(SUM($P169)=0,"",INDEX(Cascade!$BG:$BG,MATCH($E169,Cascade!$E:$E,0)))</f>
        <v/>
      </c>
      <c r="S169" s="42" t="str">
        <f t="shared" si="32"/>
        <v/>
      </c>
      <c r="T169" s="42" t="str">
        <f t="shared" si="33"/>
        <v/>
      </c>
      <c r="U169" s="14" t="str">
        <f>IFERROR(1/(1/INDEX(Cascade!$BH:$BH,MATCH($E169,Cascade!$E:$E,0))),"")</f>
        <v/>
      </c>
      <c r="V169" s="14" t="str">
        <f t="shared" si="34"/>
        <v/>
      </c>
      <c r="W169" s="14" t="str">
        <f>IFERROR(1/(1/INDEX(PMTCT!$AC:$AC,MATCH($E169,PMTCT!$E:$E,0))),"")</f>
        <v/>
      </c>
      <c r="X169" s="14" t="str">
        <f>IFERROR(1/(1/INDEX(PMTCT!$AS:$AS,MATCH($E169,PMTCT!$E:$E,0))),"")</f>
        <v/>
      </c>
      <c r="Y169" s="14" t="str">
        <f>IFERROR(1/(1/INDEX(VMMC!$AA:$AA,MATCH($E169,VMMC!$E:$E,0))),"")</f>
        <v/>
      </c>
      <c r="Z169" s="14" t="str">
        <f t="shared" si="35"/>
        <v/>
      </c>
    </row>
    <row r="170" spans="1:26" x14ac:dyDescent="0.2">
      <c r="A170" t="str">
        <f>INDEX(Prioritization!$D:$D,MATCH($B170,Prioritization!$A:$A,0))</f>
        <v>INVALID</v>
      </c>
      <c r="B170" t="s">
        <v>205</v>
      </c>
      <c r="C170" t="s">
        <v>367</v>
      </c>
      <c r="D170" t="s">
        <v>47</v>
      </c>
      <c r="E170" t="str">
        <f t="shared" si="24"/>
        <v>Likoma District [ZCjuwgaMB9u]|50+|Male</v>
      </c>
      <c r="F170" s="14"/>
      <c r="G170" s="90">
        <f>0</f>
        <v>0</v>
      </c>
      <c r="H170" s="42" t="str">
        <f t="shared" si="25"/>
        <v/>
      </c>
      <c r="I170" s="14"/>
      <c r="J170" s="90"/>
      <c r="K170" s="90" t="str">
        <f t="shared" si="26"/>
        <v/>
      </c>
      <c r="L170" s="90"/>
      <c r="M170" s="90" t="str">
        <f t="shared" si="27"/>
        <v/>
      </c>
      <c r="N170" s="14" t="str">
        <f t="shared" si="28"/>
        <v/>
      </c>
      <c r="O170" s="42" t="str">
        <f t="shared" si="29"/>
        <v/>
      </c>
      <c r="P170" s="42" t="str">
        <f t="shared" si="30"/>
        <v/>
      </c>
      <c r="Q170" s="42" t="str">
        <f t="shared" si="31"/>
        <v/>
      </c>
      <c r="R170" s="90" t="str">
        <f>IF(SUM($P170)=0,"",INDEX(Cascade!$BG:$BG,MATCH($E170,Cascade!$E:$E,0)))</f>
        <v/>
      </c>
      <c r="S170" s="42" t="str">
        <f t="shared" si="32"/>
        <v/>
      </c>
      <c r="T170" s="42" t="str">
        <f t="shared" si="33"/>
        <v/>
      </c>
      <c r="U170" s="14" t="str">
        <f>IFERROR(1/(1/INDEX(Cascade!$BH:$BH,MATCH($E170,Cascade!$E:$E,0))),"")</f>
        <v/>
      </c>
      <c r="V170" s="14" t="str">
        <f t="shared" si="34"/>
        <v/>
      </c>
      <c r="W170" s="14" t="str">
        <f>IFERROR(1/(1/INDEX(PMTCT!$AC:$AC,MATCH($E170,PMTCT!$E:$E,0))),"")</f>
        <v/>
      </c>
      <c r="X170" s="14" t="str">
        <f>IFERROR(1/(1/INDEX(PMTCT!$AS:$AS,MATCH($E170,PMTCT!$E:$E,0))),"")</f>
        <v/>
      </c>
      <c r="Y170" s="14" t="str">
        <f>IFERROR(1/(1/INDEX(VMMC!$AA:$AA,MATCH($E170,VMMC!$E:$E,0))),"")</f>
        <v/>
      </c>
      <c r="Z170" s="14" t="str">
        <f t="shared" si="35"/>
        <v/>
      </c>
    </row>
    <row r="171" spans="1:26" x14ac:dyDescent="0.2">
      <c r="A171" t="str">
        <f>INDEX(Prioritization!$D:$D,MATCH($B171,Prioritization!$A:$A,0))</f>
        <v>1 - Scale-up: Saturation</v>
      </c>
      <c r="B171" t="s">
        <v>206</v>
      </c>
      <c r="C171" t="s">
        <v>362</v>
      </c>
      <c r="D171" t="s">
        <v>29</v>
      </c>
      <c r="E171" t="str">
        <f t="shared" si="24"/>
        <v>Mzimba District [vA4NcHxfMBq]|01-09|Female</v>
      </c>
      <c r="F171" s="14"/>
      <c r="G171" s="90">
        <f>0</f>
        <v>0</v>
      </c>
      <c r="H171" s="42" t="str">
        <f t="shared" si="25"/>
        <v/>
      </c>
      <c r="I171" s="14"/>
      <c r="J171" s="90"/>
      <c r="K171" s="90" t="str">
        <f t="shared" si="26"/>
        <v/>
      </c>
      <c r="L171" s="90"/>
      <c r="M171" s="90" t="str">
        <f t="shared" si="27"/>
        <v/>
      </c>
      <c r="N171" s="14" t="str">
        <f t="shared" si="28"/>
        <v/>
      </c>
      <c r="O171" s="42" t="str">
        <f t="shared" si="29"/>
        <v/>
      </c>
      <c r="P171" s="42" t="str">
        <f t="shared" si="30"/>
        <v/>
      </c>
      <c r="Q171" s="42" t="str">
        <f t="shared" si="31"/>
        <v/>
      </c>
      <c r="R171" s="90" t="str">
        <f>IF(SUM($P171)=0,"",INDEX(Cascade!$BG:$BG,MATCH($E171,Cascade!$E:$E,0)))</f>
        <v/>
      </c>
      <c r="S171" s="42" t="str">
        <f t="shared" si="32"/>
        <v/>
      </c>
      <c r="T171" s="42" t="str">
        <f t="shared" si="33"/>
        <v/>
      </c>
      <c r="U171" s="14" t="str">
        <f>IFERROR(1/(1/INDEX(Cascade!$BH:$BH,MATCH($E171,Cascade!$E:$E,0))),"")</f>
        <v/>
      </c>
      <c r="V171" s="14" t="str">
        <f t="shared" si="34"/>
        <v/>
      </c>
      <c r="W171" s="14" t="str">
        <f>IFERROR(1/(1/INDEX(PMTCT!$AC:$AC,MATCH($E171,PMTCT!$E:$E,0))),"")</f>
        <v/>
      </c>
      <c r="X171" s="14" t="str">
        <f>IFERROR(1/(1/INDEX(PMTCT!$AS:$AS,MATCH($E171,PMTCT!$E:$E,0))),"")</f>
        <v/>
      </c>
      <c r="Y171" s="14" t="str">
        <f>IFERROR(1/(1/INDEX(VMMC!$AA:$AA,MATCH($E171,VMMC!$E:$E,0))),"")</f>
        <v/>
      </c>
      <c r="Z171" s="14" t="str">
        <f t="shared" si="35"/>
        <v/>
      </c>
    </row>
    <row r="172" spans="1:26" x14ac:dyDescent="0.2">
      <c r="A172" t="str">
        <f>INDEX(Prioritization!$D:$D,MATCH($B172,Prioritization!$A:$A,0))</f>
        <v>1 - Scale-up: Saturation</v>
      </c>
      <c r="B172" t="s">
        <v>206</v>
      </c>
      <c r="C172" t="s">
        <v>362</v>
      </c>
      <c r="D172" t="s">
        <v>47</v>
      </c>
      <c r="E172" t="str">
        <f t="shared" si="24"/>
        <v>Mzimba District [vA4NcHxfMBq]|01-09|Male</v>
      </c>
      <c r="F172" s="14"/>
      <c r="G172" s="90">
        <f>0</f>
        <v>0</v>
      </c>
      <c r="H172" s="42" t="str">
        <f t="shared" si="25"/>
        <v/>
      </c>
      <c r="I172" s="14"/>
      <c r="J172" s="90"/>
      <c r="K172" s="90" t="str">
        <f t="shared" si="26"/>
        <v/>
      </c>
      <c r="L172" s="90"/>
      <c r="M172" s="90" t="str">
        <f t="shared" si="27"/>
        <v/>
      </c>
      <c r="N172" s="14" t="str">
        <f t="shared" si="28"/>
        <v/>
      </c>
      <c r="O172" s="42" t="str">
        <f t="shared" si="29"/>
        <v/>
      </c>
      <c r="P172" s="42" t="str">
        <f t="shared" si="30"/>
        <v/>
      </c>
      <c r="Q172" s="42" t="str">
        <f t="shared" si="31"/>
        <v/>
      </c>
      <c r="R172" s="90" t="str">
        <f>IF(SUM($P172)=0,"",INDEX(Cascade!$BG:$BG,MATCH($E172,Cascade!$E:$E,0)))</f>
        <v/>
      </c>
      <c r="S172" s="42" t="str">
        <f t="shared" si="32"/>
        <v/>
      </c>
      <c r="T172" s="42" t="str">
        <f t="shared" si="33"/>
        <v/>
      </c>
      <c r="U172" s="14" t="str">
        <f>IFERROR(1/(1/INDEX(Cascade!$BH:$BH,MATCH($E172,Cascade!$E:$E,0))),"")</f>
        <v/>
      </c>
      <c r="V172" s="14" t="str">
        <f t="shared" si="34"/>
        <v/>
      </c>
      <c r="W172" s="14" t="str">
        <f>IFERROR(1/(1/INDEX(PMTCT!$AC:$AC,MATCH($E172,PMTCT!$E:$E,0))),"")</f>
        <v/>
      </c>
      <c r="X172" s="14" t="str">
        <f>IFERROR(1/(1/INDEX(PMTCT!$AS:$AS,MATCH($E172,PMTCT!$E:$E,0))),"")</f>
        <v/>
      </c>
      <c r="Y172" s="14" t="str">
        <f>IFERROR(1/(1/INDEX(VMMC!$AA:$AA,MATCH($E172,VMMC!$E:$E,0))),"")</f>
        <v/>
      </c>
      <c r="Z172" s="14" t="str">
        <f t="shared" si="35"/>
        <v/>
      </c>
    </row>
    <row r="173" spans="1:26" x14ac:dyDescent="0.2">
      <c r="A173" t="str">
        <f>INDEX(Prioritization!$D:$D,MATCH($B173,Prioritization!$A:$A,0))</f>
        <v>1 - Scale-up: Saturation</v>
      </c>
      <c r="B173" t="s">
        <v>206</v>
      </c>
      <c r="C173" t="s">
        <v>363</v>
      </c>
      <c r="D173" t="s">
        <v>29</v>
      </c>
      <c r="E173" t="str">
        <f t="shared" si="24"/>
        <v>Mzimba District [vA4NcHxfMBq]|10-14|Female</v>
      </c>
      <c r="F173" s="14">
        <v>5</v>
      </c>
      <c r="G173" s="90">
        <f>0</f>
        <v>0</v>
      </c>
      <c r="H173" s="42">
        <f t="shared" si="25"/>
        <v>5</v>
      </c>
      <c r="I173" s="14"/>
      <c r="J173" s="90"/>
      <c r="K173" s="90" t="str">
        <f t="shared" si="26"/>
        <v/>
      </c>
      <c r="L173" s="90"/>
      <c r="M173" s="90" t="str">
        <f t="shared" si="27"/>
        <v/>
      </c>
      <c r="N173" s="14">
        <f t="shared" si="28"/>
        <v>5</v>
      </c>
      <c r="O173" s="42" t="str">
        <f t="shared" si="29"/>
        <v>ENTER KNOWN POSITIVITY RATE</v>
      </c>
      <c r="P173" s="42" t="str">
        <f t="shared" si="30"/>
        <v>ENTER YIELD RATE</v>
      </c>
      <c r="Q173" s="42">
        <f t="shared" si="31"/>
        <v>5</v>
      </c>
      <c r="R173" s="90" t="str">
        <f>IF(SUM($P173)=0,"",INDEX(Cascade!$BG:$BG,MATCH($E173,Cascade!$E:$E,0)))</f>
        <v/>
      </c>
      <c r="S173" s="42" t="str">
        <f t="shared" si="32"/>
        <v>ENTER KNOWN POSITIVITY RATE</v>
      </c>
      <c r="T173" s="42" t="str">
        <f t="shared" si="33"/>
        <v/>
      </c>
      <c r="U173" s="14">
        <f>IFERROR(1/(1/INDEX(Cascade!$BH:$BH,MATCH($E173,Cascade!$E:$E,0))),"")</f>
        <v>-98.000000000000014</v>
      </c>
      <c r="V173" s="14" t="str">
        <f t="shared" si="34"/>
        <v/>
      </c>
      <c r="W173" s="14" t="str">
        <f>IFERROR(1/(1/INDEX(PMTCT!$AC:$AC,MATCH($E173,PMTCT!$E:$E,0))),"")</f>
        <v/>
      </c>
      <c r="X173" s="14" t="str">
        <f>IFERROR(1/(1/INDEX(PMTCT!$AS:$AS,MATCH($E173,PMTCT!$E:$E,0))),"")</f>
        <v/>
      </c>
      <c r="Y173" s="14" t="str">
        <f>IFERROR(1/(1/INDEX(VMMC!$AA:$AA,MATCH($E173,VMMC!$E:$E,0))),"")</f>
        <v/>
      </c>
      <c r="Z173" s="14">
        <f t="shared" si="35"/>
        <v>-98.000000000000014</v>
      </c>
    </row>
    <row r="174" spans="1:26" x14ac:dyDescent="0.2">
      <c r="A174" t="str">
        <f>INDEX(Prioritization!$D:$D,MATCH($B174,Prioritization!$A:$A,0))</f>
        <v>1 - Scale-up: Saturation</v>
      </c>
      <c r="B174" t="s">
        <v>206</v>
      </c>
      <c r="C174" t="s">
        <v>363</v>
      </c>
      <c r="D174" t="s">
        <v>47</v>
      </c>
      <c r="E174" t="str">
        <f t="shared" si="24"/>
        <v>Mzimba District [vA4NcHxfMBq]|10-14|Male</v>
      </c>
      <c r="F174" s="14">
        <v>4</v>
      </c>
      <c r="G174" s="90">
        <f>0</f>
        <v>0</v>
      </c>
      <c r="H174" s="42">
        <f t="shared" si="25"/>
        <v>4</v>
      </c>
      <c r="I174" s="14"/>
      <c r="J174" s="90"/>
      <c r="K174" s="90" t="str">
        <f t="shared" si="26"/>
        <v/>
      </c>
      <c r="L174" s="90"/>
      <c r="M174" s="90" t="str">
        <f t="shared" si="27"/>
        <v/>
      </c>
      <c r="N174" s="14">
        <f t="shared" si="28"/>
        <v>4</v>
      </c>
      <c r="O174" s="42" t="str">
        <f t="shared" si="29"/>
        <v>ENTER KNOWN POSITIVITY RATE</v>
      </c>
      <c r="P174" s="42" t="str">
        <f t="shared" si="30"/>
        <v>ENTER YIELD RATE</v>
      </c>
      <c r="Q174" s="42">
        <f t="shared" si="31"/>
        <v>4</v>
      </c>
      <c r="R174" s="90" t="str">
        <f>IF(SUM($P174)=0,"",INDEX(Cascade!$BG:$BG,MATCH($E174,Cascade!$E:$E,0)))</f>
        <v/>
      </c>
      <c r="S174" s="42" t="str">
        <f t="shared" si="32"/>
        <v>ENTER KNOWN POSITIVITY RATE</v>
      </c>
      <c r="T174" s="42" t="str">
        <f t="shared" si="33"/>
        <v/>
      </c>
      <c r="U174" s="14">
        <f>IFERROR(1/(1/INDEX(Cascade!$BH:$BH,MATCH($E174,Cascade!$E:$E,0))),"")</f>
        <v>-98.999999999999986</v>
      </c>
      <c r="V174" s="14" t="str">
        <f t="shared" si="34"/>
        <v/>
      </c>
      <c r="W174" s="14" t="str">
        <f>IFERROR(1/(1/INDEX(PMTCT!$AC:$AC,MATCH($E174,PMTCT!$E:$E,0))),"")</f>
        <v/>
      </c>
      <c r="X174" s="14" t="str">
        <f>IFERROR(1/(1/INDEX(PMTCT!$AS:$AS,MATCH($E174,PMTCT!$E:$E,0))),"")</f>
        <v/>
      </c>
      <c r="Y174" s="14" t="str">
        <f>IFERROR(1/(1/INDEX(VMMC!$AA:$AA,MATCH($E174,VMMC!$E:$E,0))),"")</f>
        <v/>
      </c>
      <c r="Z174" s="14">
        <f t="shared" si="35"/>
        <v>-98.999999999999986</v>
      </c>
    </row>
    <row r="175" spans="1:26" x14ac:dyDescent="0.2">
      <c r="A175" t="str">
        <f>INDEX(Prioritization!$D:$D,MATCH($B175,Prioritization!$A:$A,0))</f>
        <v>1 - Scale-up: Saturation</v>
      </c>
      <c r="B175" t="s">
        <v>206</v>
      </c>
      <c r="C175" t="s">
        <v>364</v>
      </c>
      <c r="D175" t="s">
        <v>29</v>
      </c>
      <c r="E175" t="str">
        <f t="shared" si="24"/>
        <v>Mzimba District [vA4NcHxfMBq]|15-24|Female</v>
      </c>
      <c r="F175" s="14"/>
      <c r="G175" s="90">
        <f>0</f>
        <v>0</v>
      </c>
      <c r="H175" s="42" t="str">
        <f t="shared" si="25"/>
        <v/>
      </c>
      <c r="I175" s="14"/>
      <c r="J175" s="90"/>
      <c r="K175" s="90" t="str">
        <f t="shared" si="26"/>
        <v/>
      </c>
      <c r="L175" s="90"/>
      <c r="M175" s="90" t="str">
        <f t="shared" si="27"/>
        <v/>
      </c>
      <c r="N175" s="14" t="str">
        <f t="shared" si="28"/>
        <v/>
      </c>
      <c r="O175" s="42" t="str">
        <f t="shared" si="29"/>
        <v/>
      </c>
      <c r="P175" s="42" t="str">
        <f t="shared" si="30"/>
        <v/>
      </c>
      <c r="Q175" s="42" t="str">
        <f t="shared" si="31"/>
        <v/>
      </c>
      <c r="R175" s="90" t="str">
        <f>IF(SUM($P175)=0,"",INDEX(Cascade!$BG:$BG,MATCH($E175,Cascade!$E:$E,0)))</f>
        <v/>
      </c>
      <c r="S175" s="42" t="str">
        <f t="shared" si="32"/>
        <v/>
      </c>
      <c r="T175" s="42" t="str">
        <f t="shared" si="33"/>
        <v/>
      </c>
      <c r="U175" s="14" t="str">
        <f>IFERROR(1/(1/INDEX(Cascade!$BH:$BH,MATCH($E175,Cascade!$E:$E,0))),"")</f>
        <v/>
      </c>
      <c r="V175" s="14" t="str">
        <f t="shared" si="34"/>
        <v/>
      </c>
      <c r="W175" s="14" t="str">
        <f>IFERROR(1/(1/INDEX(PMTCT!$AC:$AC,MATCH($E175,PMTCT!$E:$E,0))),"")</f>
        <v/>
      </c>
      <c r="X175" s="14" t="str">
        <f>IFERROR(1/(1/INDEX(PMTCT!$AS:$AS,MATCH($E175,PMTCT!$E:$E,0))),"")</f>
        <v/>
      </c>
      <c r="Y175" s="14" t="str">
        <f>IFERROR(1/(1/INDEX(VMMC!$AA:$AA,MATCH($E175,VMMC!$E:$E,0))),"")</f>
        <v/>
      </c>
      <c r="Z175" s="14" t="str">
        <f t="shared" si="35"/>
        <v/>
      </c>
    </row>
    <row r="176" spans="1:26" x14ac:dyDescent="0.2">
      <c r="A176" t="str">
        <f>INDEX(Prioritization!$D:$D,MATCH($B176,Prioritization!$A:$A,0))</f>
        <v>1 - Scale-up: Saturation</v>
      </c>
      <c r="B176" t="s">
        <v>206</v>
      </c>
      <c r="C176" t="s">
        <v>364</v>
      </c>
      <c r="D176" t="s">
        <v>47</v>
      </c>
      <c r="E176" t="str">
        <f t="shared" si="24"/>
        <v>Mzimba District [vA4NcHxfMBq]|15-24|Male</v>
      </c>
      <c r="F176" s="14"/>
      <c r="G176" s="90">
        <f>0</f>
        <v>0</v>
      </c>
      <c r="H176" s="42" t="str">
        <f t="shared" si="25"/>
        <v/>
      </c>
      <c r="I176" s="14"/>
      <c r="J176" s="90"/>
      <c r="K176" s="90" t="str">
        <f t="shared" si="26"/>
        <v/>
      </c>
      <c r="L176" s="90"/>
      <c r="M176" s="90" t="str">
        <f t="shared" si="27"/>
        <v/>
      </c>
      <c r="N176" s="14" t="str">
        <f t="shared" si="28"/>
        <v/>
      </c>
      <c r="O176" s="42" t="str">
        <f t="shared" si="29"/>
        <v/>
      </c>
      <c r="P176" s="42" t="str">
        <f t="shared" si="30"/>
        <v/>
      </c>
      <c r="Q176" s="42" t="str">
        <f t="shared" si="31"/>
        <v/>
      </c>
      <c r="R176" s="90" t="str">
        <f>IF(SUM($P176)=0,"",INDEX(Cascade!$BG:$BG,MATCH($E176,Cascade!$E:$E,0)))</f>
        <v/>
      </c>
      <c r="S176" s="42" t="str">
        <f t="shared" si="32"/>
        <v/>
      </c>
      <c r="T176" s="42" t="str">
        <f t="shared" si="33"/>
        <v/>
      </c>
      <c r="U176" s="14" t="str">
        <f>IFERROR(1/(1/INDEX(Cascade!$BH:$BH,MATCH($E176,Cascade!$E:$E,0))),"")</f>
        <v/>
      </c>
      <c r="V176" s="14" t="str">
        <f t="shared" si="34"/>
        <v/>
      </c>
      <c r="W176" s="14" t="str">
        <f>IFERROR(1/(1/INDEX(PMTCT!$AC:$AC,MATCH($E176,PMTCT!$E:$E,0))),"")</f>
        <v/>
      </c>
      <c r="X176" s="14" t="str">
        <f>IFERROR(1/(1/INDEX(PMTCT!$AS:$AS,MATCH($E176,PMTCT!$E:$E,0))),"")</f>
        <v/>
      </c>
      <c r="Y176" s="14" t="str">
        <f>IFERROR(1/(1/INDEX(VMMC!$AA:$AA,MATCH($E176,VMMC!$E:$E,0))),"")</f>
        <v/>
      </c>
      <c r="Z176" s="14" t="str">
        <f t="shared" si="35"/>
        <v/>
      </c>
    </row>
    <row r="177" spans="1:26" x14ac:dyDescent="0.2">
      <c r="A177" t="str">
        <f>INDEX(Prioritization!$D:$D,MATCH($B177,Prioritization!$A:$A,0))</f>
        <v>1 - Scale-up: Saturation</v>
      </c>
      <c r="B177" t="s">
        <v>206</v>
      </c>
      <c r="C177" t="s">
        <v>365</v>
      </c>
      <c r="D177" t="s">
        <v>29</v>
      </c>
      <c r="E177" t="str">
        <f t="shared" si="24"/>
        <v>Mzimba District [vA4NcHxfMBq]|25-34|Female</v>
      </c>
      <c r="F177" s="14"/>
      <c r="G177" s="90">
        <f>0</f>
        <v>0</v>
      </c>
      <c r="H177" s="42" t="str">
        <f t="shared" si="25"/>
        <v/>
      </c>
      <c r="I177" s="14"/>
      <c r="J177" s="90"/>
      <c r="K177" s="90" t="str">
        <f t="shared" si="26"/>
        <v/>
      </c>
      <c r="L177" s="90"/>
      <c r="M177" s="90" t="str">
        <f t="shared" si="27"/>
        <v/>
      </c>
      <c r="N177" s="14" t="str">
        <f t="shared" si="28"/>
        <v/>
      </c>
      <c r="O177" s="42" t="str">
        <f t="shared" si="29"/>
        <v/>
      </c>
      <c r="P177" s="42" t="str">
        <f t="shared" si="30"/>
        <v/>
      </c>
      <c r="Q177" s="42" t="str">
        <f t="shared" si="31"/>
        <v/>
      </c>
      <c r="R177" s="90" t="str">
        <f>IF(SUM($P177)=0,"",INDEX(Cascade!$BG:$BG,MATCH($E177,Cascade!$E:$E,0)))</f>
        <v/>
      </c>
      <c r="S177" s="42" t="str">
        <f t="shared" si="32"/>
        <v/>
      </c>
      <c r="T177" s="42" t="str">
        <f t="shared" si="33"/>
        <v/>
      </c>
      <c r="U177" s="14" t="str">
        <f>IFERROR(1/(1/INDEX(Cascade!$BH:$BH,MATCH($E177,Cascade!$E:$E,0))),"")</f>
        <v/>
      </c>
      <c r="V177" s="14" t="str">
        <f t="shared" si="34"/>
        <v/>
      </c>
      <c r="W177" s="14" t="str">
        <f>IFERROR(1/(1/INDEX(PMTCT!$AC:$AC,MATCH($E177,PMTCT!$E:$E,0))),"")</f>
        <v/>
      </c>
      <c r="X177" s="14" t="str">
        <f>IFERROR(1/(1/INDEX(PMTCT!$AS:$AS,MATCH($E177,PMTCT!$E:$E,0))),"")</f>
        <v/>
      </c>
      <c r="Y177" s="14" t="str">
        <f>IFERROR(1/(1/INDEX(VMMC!$AA:$AA,MATCH($E177,VMMC!$E:$E,0))),"")</f>
        <v/>
      </c>
      <c r="Z177" s="14" t="str">
        <f t="shared" si="35"/>
        <v/>
      </c>
    </row>
    <row r="178" spans="1:26" x14ac:dyDescent="0.2">
      <c r="A178" t="str">
        <f>INDEX(Prioritization!$D:$D,MATCH($B178,Prioritization!$A:$A,0))</f>
        <v>1 - Scale-up: Saturation</v>
      </c>
      <c r="B178" t="s">
        <v>206</v>
      </c>
      <c r="C178" t="s">
        <v>365</v>
      </c>
      <c r="D178" t="s">
        <v>47</v>
      </c>
      <c r="E178" t="str">
        <f t="shared" si="24"/>
        <v>Mzimba District [vA4NcHxfMBq]|25-34|Male</v>
      </c>
      <c r="F178" s="14"/>
      <c r="G178" s="90">
        <f>0</f>
        <v>0</v>
      </c>
      <c r="H178" s="42" t="str">
        <f t="shared" si="25"/>
        <v/>
      </c>
      <c r="I178" s="14"/>
      <c r="J178" s="90"/>
      <c r="K178" s="90" t="str">
        <f t="shared" si="26"/>
        <v/>
      </c>
      <c r="L178" s="90"/>
      <c r="M178" s="90" t="str">
        <f t="shared" si="27"/>
        <v/>
      </c>
      <c r="N178" s="14" t="str">
        <f t="shared" si="28"/>
        <v/>
      </c>
      <c r="O178" s="42" t="str">
        <f t="shared" si="29"/>
        <v/>
      </c>
      <c r="P178" s="42" t="str">
        <f t="shared" si="30"/>
        <v/>
      </c>
      <c r="Q178" s="42" t="str">
        <f t="shared" si="31"/>
        <v/>
      </c>
      <c r="R178" s="90" t="str">
        <f>IF(SUM($P178)=0,"",INDEX(Cascade!$BG:$BG,MATCH($E178,Cascade!$E:$E,0)))</f>
        <v/>
      </c>
      <c r="S178" s="42" t="str">
        <f t="shared" si="32"/>
        <v/>
      </c>
      <c r="T178" s="42" t="str">
        <f t="shared" si="33"/>
        <v/>
      </c>
      <c r="U178" s="14" t="str">
        <f>IFERROR(1/(1/INDEX(Cascade!$BH:$BH,MATCH($E178,Cascade!$E:$E,0))),"")</f>
        <v/>
      </c>
      <c r="V178" s="14" t="str">
        <f t="shared" si="34"/>
        <v/>
      </c>
      <c r="W178" s="14" t="str">
        <f>IFERROR(1/(1/INDEX(PMTCT!$AC:$AC,MATCH($E178,PMTCT!$E:$E,0))),"")</f>
        <v/>
      </c>
      <c r="X178" s="14" t="str">
        <f>IFERROR(1/(1/INDEX(PMTCT!$AS:$AS,MATCH($E178,PMTCT!$E:$E,0))),"")</f>
        <v/>
      </c>
      <c r="Y178" s="14" t="str">
        <f>IFERROR(1/(1/INDEX(VMMC!$AA:$AA,MATCH($E178,VMMC!$E:$E,0))),"")</f>
        <v/>
      </c>
      <c r="Z178" s="14" t="str">
        <f t="shared" si="35"/>
        <v/>
      </c>
    </row>
    <row r="179" spans="1:26" x14ac:dyDescent="0.2">
      <c r="A179" t="str">
        <f>INDEX(Prioritization!$D:$D,MATCH($B179,Prioritization!$A:$A,0))</f>
        <v>1 - Scale-up: Saturation</v>
      </c>
      <c r="B179" t="s">
        <v>206</v>
      </c>
      <c r="C179" t="s">
        <v>366</v>
      </c>
      <c r="D179" t="s">
        <v>29</v>
      </c>
      <c r="E179" t="str">
        <f t="shared" si="24"/>
        <v>Mzimba District [vA4NcHxfMBq]|35-49|Female</v>
      </c>
      <c r="F179" s="14"/>
      <c r="G179" s="90">
        <f>0</f>
        <v>0</v>
      </c>
      <c r="H179" s="42" t="str">
        <f t="shared" si="25"/>
        <v/>
      </c>
      <c r="I179" s="14"/>
      <c r="J179" s="90"/>
      <c r="K179" s="90" t="str">
        <f t="shared" si="26"/>
        <v/>
      </c>
      <c r="L179" s="90"/>
      <c r="M179" s="90" t="str">
        <f t="shared" si="27"/>
        <v/>
      </c>
      <c r="N179" s="14" t="str">
        <f t="shared" si="28"/>
        <v/>
      </c>
      <c r="O179" s="42" t="str">
        <f t="shared" si="29"/>
        <v/>
      </c>
      <c r="P179" s="42" t="str">
        <f t="shared" si="30"/>
        <v/>
      </c>
      <c r="Q179" s="42" t="str">
        <f t="shared" si="31"/>
        <v/>
      </c>
      <c r="R179" s="90" t="str">
        <f>IF(SUM($P179)=0,"",INDEX(Cascade!$BG:$BG,MATCH($E179,Cascade!$E:$E,0)))</f>
        <v/>
      </c>
      <c r="S179" s="42" t="str">
        <f t="shared" si="32"/>
        <v/>
      </c>
      <c r="T179" s="42" t="str">
        <f t="shared" si="33"/>
        <v/>
      </c>
      <c r="U179" s="14" t="str">
        <f>IFERROR(1/(1/INDEX(Cascade!$BH:$BH,MATCH($E179,Cascade!$E:$E,0))),"")</f>
        <v/>
      </c>
      <c r="V179" s="14" t="str">
        <f t="shared" si="34"/>
        <v/>
      </c>
      <c r="W179" s="14" t="str">
        <f>IFERROR(1/(1/INDEX(PMTCT!$AC:$AC,MATCH($E179,PMTCT!$E:$E,0))),"")</f>
        <v/>
      </c>
      <c r="X179" s="14" t="str">
        <f>IFERROR(1/(1/INDEX(PMTCT!$AS:$AS,MATCH($E179,PMTCT!$E:$E,0))),"")</f>
        <v/>
      </c>
      <c r="Y179" s="14" t="str">
        <f>IFERROR(1/(1/INDEX(VMMC!$AA:$AA,MATCH($E179,VMMC!$E:$E,0))),"")</f>
        <v/>
      </c>
      <c r="Z179" s="14" t="str">
        <f t="shared" si="35"/>
        <v/>
      </c>
    </row>
    <row r="180" spans="1:26" x14ac:dyDescent="0.2">
      <c r="A180" t="str">
        <f>INDEX(Prioritization!$D:$D,MATCH($B180,Prioritization!$A:$A,0))</f>
        <v>1 - Scale-up: Saturation</v>
      </c>
      <c r="B180" t="s">
        <v>206</v>
      </c>
      <c r="C180" t="s">
        <v>366</v>
      </c>
      <c r="D180" t="s">
        <v>47</v>
      </c>
      <c r="E180" t="str">
        <f t="shared" si="24"/>
        <v>Mzimba District [vA4NcHxfMBq]|35-49|Male</v>
      </c>
      <c r="F180" s="14"/>
      <c r="G180" s="90">
        <f>0</f>
        <v>0</v>
      </c>
      <c r="H180" s="42" t="str">
        <f t="shared" si="25"/>
        <v/>
      </c>
      <c r="I180" s="14"/>
      <c r="J180" s="90"/>
      <c r="K180" s="90" t="str">
        <f t="shared" si="26"/>
        <v/>
      </c>
      <c r="L180" s="90"/>
      <c r="M180" s="90" t="str">
        <f t="shared" si="27"/>
        <v/>
      </c>
      <c r="N180" s="14" t="str">
        <f t="shared" si="28"/>
        <v/>
      </c>
      <c r="O180" s="42" t="str">
        <f t="shared" si="29"/>
        <v/>
      </c>
      <c r="P180" s="42" t="str">
        <f t="shared" si="30"/>
        <v/>
      </c>
      <c r="Q180" s="42" t="str">
        <f t="shared" si="31"/>
        <v/>
      </c>
      <c r="R180" s="90" t="str">
        <f>IF(SUM($P180)=0,"",INDEX(Cascade!$BG:$BG,MATCH($E180,Cascade!$E:$E,0)))</f>
        <v/>
      </c>
      <c r="S180" s="42" t="str">
        <f t="shared" si="32"/>
        <v/>
      </c>
      <c r="T180" s="42" t="str">
        <f t="shared" si="33"/>
        <v/>
      </c>
      <c r="U180" s="14" t="str">
        <f>IFERROR(1/(1/INDEX(Cascade!$BH:$BH,MATCH($E180,Cascade!$E:$E,0))),"")</f>
        <v/>
      </c>
      <c r="V180" s="14" t="str">
        <f t="shared" si="34"/>
        <v/>
      </c>
      <c r="W180" s="14" t="str">
        <f>IFERROR(1/(1/INDEX(PMTCT!$AC:$AC,MATCH($E180,PMTCT!$E:$E,0))),"")</f>
        <v/>
      </c>
      <c r="X180" s="14" t="str">
        <f>IFERROR(1/(1/INDEX(PMTCT!$AS:$AS,MATCH($E180,PMTCT!$E:$E,0))),"")</f>
        <v/>
      </c>
      <c r="Y180" s="14" t="str">
        <f>IFERROR(1/(1/INDEX(VMMC!$AA:$AA,MATCH($E180,VMMC!$E:$E,0))),"")</f>
        <v/>
      </c>
      <c r="Z180" s="14" t="str">
        <f t="shared" si="35"/>
        <v/>
      </c>
    </row>
    <row r="181" spans="1:26" x14ac:dyDescent="0.2">
      <c r="A181" t="str">
        <f>INDEX(Prioritization!$D:$D,MATCH($B181,Prioritization!$A:$A,0))</f>
        <v>1 - Scale-up: Saturation</v>
      </c>
      <c r="B181" t="s">
        <v>206</v>
      </c>
      <c r="C181" t="s">
        <v>367</v>
      </c>
      <c r="D181" t="s">
        <v>29</v>
      </c>
      <c r="E181" t="str">
        <f t="shared" si="24"/>
        <v>Mzimba District [vA4NcHxfMBq]|50+|Female</v>
      </c>
      <c r="F181" s="14"/>
      <c r="G181" s="90">
        <f>0</f>
        <v>0</v>
      </c>
      <c r="H181" s="42" t="str">
        <f t="shared" si="25"/>
        <v/>
      </c>
      <c r="I181" s="14"/>
      <c r="J181" s="90"/>
      <c r="K181" s="90" t="str">
        <f t="shared" si="26"/>
        <v/>
      </c>
      <c r="L181" s="90"/>
      <c r="M181" s="90" t="str">
        <f t="shared" si="27"/>
        <v/>
      </c>
      <c r="N181" s="14" t="str">
        <f t="shared" si="28"/>
        <v/>
      </c>
      <c r="O181" s="42" t="str">
        <f t="shared" si="29"/>
        <v/>
      </c>
      <c r="P181" s="42" t="str">
        <f t="shared" si="30"/>
        <v/>
      </c>
      <c r="Q181" s="42" t="str">
        <f t="shared" si="31"/>
        <v/>
      </c>
      <c r="R181" s="90" t="str">
        <f>IF(SUM($P181)=0,"",INDEX(Cascade!$BG:$BG,MATCH($E181,Cascade!$E:$E,0)))</f>
        <v/>
      </c>
      <c r="S181" s="42" t="str">
        <f t="shared" si="32"/>
        <v/>
      </c>
      <c r="T181" s="42" t="str">
        <f t="shared" si="33"/>
        <v/>
      </c>
      <c r="U181" s="14" t="str">
        <f>IFERROR(1/(1/INDEX(Cascade!$BH:$BH,MATCH($E181,Cascade!$E:$E,0))),"")</f>
        <v/>
      </c>
      <c r="V181" s="14" t="str">
        <f t="shared" si="34"/>
        <v/>
      </c>
      <c r="W181" s="14" t="str">
        <f>IFERROR(1/(1/INDEX(PMTCT!$AC:$AC,MATCH($E181,PMTCT!$E:$E,0))),"")</f>
        <v/>
      </c>
      <c r="X181" s="14" t="str">
        <f>IFERROR(1/(1/INDEX(PMTCT!$AS:$AS,MATCH($E181,PMTCT!$E:$E,0))),"")</f>
        <v/>
      </c>
      <c r="Y181" s="14" t="str">
        <f>IFERROR(1/(1/INDEX(VMMC!$AA:$AA,MATCH($E181,VMMC!$E:$E,0))),"")</f>
        <v/>
      </c>
      <c r="Z181" s="14" t="str">
        <f t="shared" si="35"/>
        <v/>
      </c>
    </row>
    <row r="182" spans="1:26" x14ac:dyDescent="0.2">
      <c r="A182" t="str">
        <f>INDEX(Prioritization!$D:$D,MATCH($B182,Prioritization!$A:$A,0))</f>
        <v>1 - Scale-up: Saturation</v>
      </c>
      <c r="B182" t="s">
        <v>206</v>
      </c>
      <c r="C182" t="s">
        <v>367</v>
      </c>
      <c r="D182" t="s">
        <v>47</v>
      </c>
      <c r="E182" t="str">
        <f t="shared" si="24"/>
        <v>Mzimba District [vA4NcHxfMBq]|50+|Male</v>
      </c>
      <c r="F182" s="14"/>
      <c r="G182" s="90">
        <f>0</f>
        <v>0</v>
      </c>
      <c r="H182" s="42" t="str">
        <f t="shared" si="25"/>
        <v/>
      </c>
      <c r="I182" s="14"/>
      <c r="J182" s="90"/>
      <c r="K182" s="90" t="str">
        <f t="shared" si="26"/>
        <v/>
      </c>
      <c r="L182" s="90"/>
      <c r="M182" s="90" t="str">
        <f t="shared" si="27"/>
        <v/>
      </c>
      <c r="N182" s="14" t="str">
        <f t="shared" si="28"/>
        <v/>
      </c>
      <c r="O182" s="42" t="str">
        <f t="shared" si="29"/>
        <v/>
      </c>
      <c r="P182" s="42" t="str">
        <f t="shared" si="30"/>
        <v/>
      </c>
      <c r="Q182" s="42" t="str">
        <f t="shared" si="31"/>
        <v/>
      </c>
      <c r="R182" s="90" t="str">
        <f>IF(SUM($P182)=0,"",INDEX(Cascade!$BG:$BG,MATCH($E182,Cascade!$E:$E,0)))</f>
        <v/>
      </c>
      <c r="S182" s="42" t="str">
        <f t="shared" si="32"/>
        <v/>
      </c>
      <c r="T182" s="42" t="str">
        <f t="shared" si="33"/>
        <v/>
      </c>
      <c r="U182" s="14" t="str">
        <f>IFERROR(1/(1/INDEX(Cascade!$BH:$BH,MATCH($E182,Cascade!$E:$E,0))),"")</f>
        <v/>
      </c>
      <c r="V182" s="14" t="str">
        <f t="shared" si="34"/>
        <v/>
      </c>
      <c r="W182" s="14" t="str">
        <f>IFERROR(1/(1/INDEX(PMTCT!$AC:$AC,MATCH($E182,PMTCT!$E:$E,0))),"")</f>
        <v/>
      </c>
      <c r="X182" s="14" t="str">
        <f>IFERROR(1/(1/INDEX(PMTCT!$AS:$AS,MATCH($E182,PMTCT!$E:$E,0))),"")</f>
        <v/>
      </c>
      <c r="Y182" s="14" t="str">
        <f>IFERROR(1/(1/INDEX(VMMC!$AA:$AA,MATCH($E182,VMMC!$E:$E,0))),"")</f>
        <v/>
      </c>
      <c r="Z182" s="14" t="str">
        <f t="shared" si="35"/>
        <v/>
      </c>
    </row>
    <row r="183" spans="1:26" x14ac:dyDescent="0.2">
      <c r="A183" t="str">
        <f>INDEX(Prioritization!$D:$D,MATCH($B183,Prioritization!$A:$A,0))</f>
        <v>INVALID</v>
      </c>
      <c r="B183" t="s">
        <v>207</v>
      </c>
      <c r="C183" t="s">
        <v>362</v>
      </c>
      <c r="D183" t="s">
        <v>29</v>
      </c>
      <c r="E183" t="str">
        <f t="shared" si="24"/>
        <v>Nkhata Bay District [E7zpfyBt7Tw]|01-09|Female</v>
      </c>
      <c r="F183" s="14"/>
      <c r="G183" s="90">
        <f>0</f>
        <v>0</v>
      </c>
      <c r="H183" s="42" t="str">
        <f t="shared" si="25"/>
        <v/>
      </c>
      <c r="I183" s="14"/>
      <c r="J183" s="90"/>
      <c r="K183" s="90" t="str">
        <f t="shared" si="26"/>
        <v/>
      </c>
      <c r="L183" s="90"/>
      <c r="M183" s="90" t="str">
        <f t="shared" si="27"/>
        <v/>
      </c>
      <c r="N183" s="14" t="str">
        <f t="shared" si="28"/>
        <v/>
      </c>
      <c r="O183" s="42" t="str">
        <f t="shared" si="29"/>
        <v/>
      </c>
      <c r="P183" s="42" t="str">
        <f t="shared" si="30"/>
        <v/>
      </c>
      <c r="Q183" s="42" t="str">
        <f t="shared" si="31"/>
        <v/>
      </c>
      <c r="R183" s="90" t="str">
        <f>IF(SUM($P183)=0,"",INDEX(Cascade!$BG:$BG,MATCH($E183,Cascade!$E:$E,0)))</f>
        <v/>
      </c>
      <c r="S183" s="42" t="str">
        <f t="shared" si="32"/>
        <v/>
      </c>
      <c r="T183" s="42" t="str">
        <f t="shared" si="33"/>
        <v/>
      </c>
      <c r="U183" s="14" t="str">
        <f>IFERROR(1/(1/INDEX(Cascade!$BH:$BH,MATCH($E183,Cascade!$E:$E,0))),"")</f>
        <v/>
      </c>
      <c r="V183" s="14" t="str">
        <f t="shared" si="34"/>
        <v/>
      </c>
      <c r="W183" s="14" t="str">
        <f>IFERROR(1/(1/INDEX(PMTCT!$AC:$AC,MATCH($E183,PMTCT!$E:$E,0))),"")</f>
        <v/>
      </c>
      <c r="X183" s="14" t="str">
        <f>IFERROR(1/(1/INDEX(PMTCT!$AS:$AS,MATCH($E183,PMTCT!$E:$E,0))),"")</f>
        <v/>
      </c>
      <c r="Y183" s="14" t="str">
        <f>IFERROR(1/(1/INDEX(VMMC!$AA:$AA,MATCH($E183,VMMC!$E:$E,0))),"")</f>
        <v/>
      </c>
      <c r="Z183" s="14" t="str">
        <f t="shared" si="35"/>
        <v/>
      </c>
    </row>
    <row r="184" spans="1:26" x14ac:dyDescent="0.2">
      <c r="A184" t="str">
        <f>INDEX(Prioritization!$D:$D,MATCH($B184,Prioritization!$A:$A,0))</f>
        <v>INVALID</v>
      </c>
      <c r="B184" t="s">
        <v>207</v>
      </c>
      <c r="C184" t="s">
        <v>362</v>
      </c>
      <c r="D184" t="s">
        <v>47</v>
      </c>
      <c r="E184" t="str">
        <f t="shared" si="24"/>
        <v>Nkhata Bay District [E7zpfyBt7Tw]|01-09|Male</v>
      </c>
      <c r="F184" s="14"/>
      <c r="G184" s="90">
        <f>0</f>
        <v>0</v>
      </c>
      <c r="H184" s="42" t="str">
        <f t="shared" si="25"/>
        <v/>
      </c>
      <c r="I184" s="14"/>
      <c r="J184" s="90"/>
      <c r="K184" s="90" t="str">
        <f t="shared" si="26"/>
        <v/>
      </c>
      <c r="L184" s="90"/>
      <c r="M184" s="90" t="str">
        <f t="shared" si="27"/>
        <v/>
      </c>
      <c r="N184" s="14" t="str">
        <f t="shared" si="28"/>
        <v/>
      </c>
      <c r="O184" s="42" t="str">
        <f t="shared" si="29"/>
        <v/>
      </c>
      <c r="P184" s="42" t="str">
        <f t="shared" si="30"/>
        <v/>
      </c>
      <c r="Q184" s="42" t="str">
        <f t="shared" si="31"/>
        <v/>
      </c>
      <c r="R184" s="90" t="str">
        <f>IF(SUM($P184)=0,"",INDEX(Cascade!$BG:$BG,MATCH($E184,Cascade!$E:$E,0)))</f>
        <v/>
      </c>
      <c r="S184" s="42" t="str">
        <f t="shared" si="32"/>
        <v/>
      </c>
      <c r="T184" s="42" t="str">
        <f t="shared" si="33"/>
        <v/>
      </c>
      <c r="U184" s="14" t="str">
        <f>IFERROR(1/(1/INDEX(Cascade!$BH:$BH,MATCH($E184,Cascade!$E:$E,0))),"")</f>
        <v/>
      </c>
      <c r="V184" s="14" t="str">
        <f t="shared" si="34"/>
        <v/>
      </c>
      <c r="W184" s="14" t="str">
        <f>IFERROR(1/(1/INDEX(PMTCT!$AC:$AC,MATCH($E184,PMTCT!$E:$E,0))),"")</f>
        <v/>
      </c>
      <c r="X184" s="14" t="str">
        <f>IFERROR(1/(1/INDEX(PMTCT!$AS:$AS,MATCH($E184,PMTCT!$E:$E,0))),"")</f>
        <v/>
      </c>
      <c r="Y184" s="14" t="str">
        <f>IFERROR(1/(1/INDEX(VMMC!$AA:$AA,MATCH($E184,VMMC!$E:$E,0))),"")</f>
        <v/>
      </c>
      <c r="Z184" s="14" t="str">
        <f t="shared" si="35"/>
        <v/>
      </c>
    </row>
    <row r="185" spans="1:26" x14ac:dyDescent="0.2">
      <c r="A185" t="str">
        <f>INDEX(Prioritization!$D:$D,MATCH($B185,Prioritization!$A:$A,0))</f>
        <v>INVALID</v>
      </c>
      <c r="B185" t="s">
        <v>207</v>
      </c>
      <c r="C185" t="s">
        <v>363</v>
      </c>
      <c r="D185" t="s">
        <v>29</v>
      </c>
      <c r="E185" t="str">
        <f t="shared" si="24"/>
        <v>Nkhata Bay District [E7zpfyBt7Tw]|10-14|Female</v>
      </c>
      <c r="F185" s="14">
        <v>1</v>
      </c>
      <c r="G185" s="90">
        <f>0</f>
        <v>0</v>
      </c>
      <c r="H185" s="42">
        <f t="shared" si="25"/>
        <v>1</v>
      </c>
      <c r="I185" s="14"/>
      <c r="J185" s="90"/>
      <c r="K185" s="90" t="str">
        <f t="shared" si="26"/>
        <v/>
      </c>
      <c r="L185" s="90"/>
      <c r="M185" s="90" t="str">
        <f t="shared" si="27"/>
        <v/>
      </c>
      <c r="N185" s="14">
        <f t="shared" si="28"/>
        <v>1</v>
      </c>
      <c r="O185" s="42" t="str">
        <f t="shared" si="29"/>
        <v>ENTER KNOWN POSITIVITY RATE</v>
      </c>
      <c r="P185" s="42" t="str">
        <f t="shared" si="30"/>
        <v>ENTER YIELD RATE</v>
      </c>
      <c r="Q185" s="42">
        <f t="shared" si="31"/>
        <v>1</v>
      </c>
      <c r="R185" s="90" t="str">
        <f>IF(SUM($P185)=0,"",INDEX(Cascade!$BG:$BG,MATCH($E185,Cascade!$E:$E,0)))</f>
        <v/>
      </c>
      <c r="S185" s="42" t="str">
        <f t="shared" si="32"/>
        <v>ENTER KNOWN POSITIVITY RATE</v>
      </c>
      <c r="T185" s="42" t="str">
        <f t="shared" si="33"/>
        <v/>
      </c>
      <c r="U185" s="14">
        <f>IFERROR(1/(1/INDEX(Cascade!$BH:$BH,MATCH($E185,Cascade!$E:$E,0))),"")</f>
        <v>-76</v>
      </c>
      <c r="V185" s="14" t="str">
        <f t="shared" si="34"/>
        <v/>
      </c>
      <c r="W185" s="14" t="str">
        <f>IFERROR(1/(1/INDEX(PMTCT!$AC:$AC,MATCH($E185,PMTCT!$E:$E,0))),"")</f>
        <v/>
      </c>
      <c r="X185" s="14" t="str">
        <f>IFERROR(1/(1/INDEX(PMTCT!$AS:$AS,MATCH($E185,PMTCT!$E:$E,0))),"")</f>
        <v/>
      </c>
      <c r="Y185" s="14" t="str">
        <f>IFERROR(1/(1/INDEX(VMMC!$AA:$AA,MATCH($E185,VMMC!$E:$E,0))),"")</f>
        <v/>
      </c>
      <c r="Z185" s="14">
        <f t="shared" si="35"/>
        <v>-76</v>
      </c>
    </row>
    <row r="186" spans="1:26" x14ac:dyDescent="0.2">
      <c r="A186" t="str">
        <f>INDEX(Prioritization!$D:$D,MATCH($B186,Prioritization!$A:$A,0))</f>
        <v>INVALID</v>
      </c>
      <c r="B186" t="s">
        <v>207</v>
      </c>
      <c r="C186" t="s">
        <v>363</v>
      </c>
      <c r="D186" t="s">
        <v>47</v>
      </c>
      <c r="E186" t="str">
        <f t="shared" si="24"/>
        <v>Nkhata Bay District [E7zpfyBt7Tw]|10-14|Male</v>
      </c>
      <c r="F186" s="14">
        <v>0</v>
      </c>
      <c r="G186" s="90">
        <f>0</f>
        <v>0</v>
      </c>
      <c r="H186" s="42" t="str">
        <f t="shared" si="25"/>
        <v/>
      </c>
      <c r="I186" s="14"/>
      <c r="J186" s="90"/>
      <c r="K186" s="90" t="str">
        <f t="shared" si="26"/>
        <v/>
      </c>
      <c r="L186" s="90"/>
      <c r="M186" s="90" t="str">
        <f t="shared" si="27"/>
        <v/>
      </c>
      <c r="N186" s="14" t="str">
        <f t="shared" si="28"/>
        <v/>
      </c>
      <c r="O186" s="42" t="str">
        <f t="shared" si="29"/>
        <v/>
      </c>
      <c r="P186" s="42" t="str">
        <f t="shared" si="30"/>
        <v/>
      </c>
      <c r="Q186" s="42" t="str">
        <f t="shared" si="31"/>
        <v/>
      </c>
      <c r="R186" s="90" t="str">
        <f>IF(SUM($P186)=0,"",INDEX(Cascade!$BG:$BG,MATCH($E186,Cascade!$E:$E,0)))</f>
        <v/>
      </c>
      <c r="S186" s="42" t="str">
        <f t="shared" si="32"/>
        <v/>
      </c>
      <c r="T186" s="42" t="str">
        <f t="shared" si="33"/>
        <v/>
      </c>
      <c r="U186" s="14">
        <f>IFERROR(1/(1/INDEX(Cascade!$BH:$BH,MATCH($E186,Cascade!$E:$E,0))),"")</f>
        <v>-87</v>
      </c>
      <c r="V186" s="14" t="str">
        <f t="shared" si="34"/>
        <v/>
      </c>
      <c r="W186" s="14" t="str">
        <f>IFERROR(1/(1/INDEX(PMTCT!$AC:$AC,MATCH($E186,PMTCT!$E:$E,0))),"")</f>
        <v/>
      </c>
      <c r="X186" s="14" t="str">
        <f>IFERROR(1/(1/INDEX(PMTCT!$AS:$AS,MATCH($E186,PMTCT!$E:$E,0))),"")</f>
        <v/>
      </c>
      <c r="Y186" s="14" t="str">
        <f>IFERROR(1/(1/INDEX(VMMC!$AA:$AA,MATCH($E186,VMMC!$E:$E,0))),"")</f>
        <v/>
      </c>
      <c r="Z186" s="14">
        <f t="shared" si="35"/>
        <v>-87</v>
      </c>
    </row>
    <row r="187" spans="1:26" x14ac:dyDescent="0.2">
      <c r="A187" t="str">
        <f>INDEX(Prioritization!$D:$D,MATCH($B187,Prioritization!$A:$A,0))</f>
        <v>INVALID</v>
      </c>
      <c r="B187" t="s">
        <v>207</v>
      </c>
      <c r="C187" t="s">
        <v>364</v>
      </c>
      <c r="D187" t="s">
        <v>29</v>
      </c>
      <c r="E187" t="str">
        <f t="shared" si="24"/>
        <v>Nkhata Bay District [E7zpfyBt7Tw]|15-24|Female</v>
      </c>
      <c r="F187" s="14"/>
      <c r="G187" s="90">
        <f>0</f>
        <v>0</v>
      </c>
      <c r="H187" s="42" t="str">
        <f t="shared" si="25"/>
        <v/>
      </c>
      <c r="I187" s="14"/>
      <c r="J187" s="90"/>
      <c r="K187" s="90" t="str">
        <f t="shared" si="26"/>
        <v/>
      </c>
      <c r="L187" s="90"/>
      <c r="M187" s="90" t="str">
        <f t="shared" si="27"/>
        <v/>
      </c>
      <c r="N187" s="14" t="str">
        <f t="shared" si="28"/>
        <v/>
      </c>
      <c r="O187" s="42" t="str">
        <f t="shared" si="29"/>
        <v/>
      </c>
      <c r="P187" s="42" t="str">
        <f t="shared" si="30"/>
        <v/>
      </c>
      <c r="Q187" s="42" t="str">
        <f t="shared" si="31"/>
        <v/>
      </c>
      <c r="R187" s="90" t="str">
        <f>IF(SUM($P187)=0,"",INDEX(Cascade!$BG:$BG,MATCH($E187,Cascade!$E:$E,0)))</f>
        <v/>
      </c>
      <c r="S187" s="42" t="str">
        <f t="shared" si="32"/>
        <v/>
      </c>
      <c r="T187" s="42" t="str">
        <f t="shared" si="33"/>
        <v/>
      </c>
      <c r="U187" s="14" t="str">
        <f>IFERROR(1/(1/INDEX(Cascade!$BH:$BH,MATCH($E187,Cascade!$E:$E,0))),"")</f>
        <v/>
      </c>
      <c r="V187" s="14" t="str">
        <f t="shared" si="34"/>
        <v/>
      </c>
      <c r="W187" s="14" t="str">
        <f>IFERROR(1/(1/INDEX(PMTCT!$AC:$AC,MATCH($E187,PMTCT!$E:$E,0))),"")</f>
        <v/>
      </c>
      <c r="X187" s="14" t="str">
        <f>IFERROR(1/(1/INDEX(PMTCT!$AS:$AS,MATCH($E187,PMTCT!$E:$E,0))),"")</f>
        <v/>
      </c>
      <c r="Y187" s="14" t="str">
        <f>IFERROR(1/(1/INDEX(VMMC!$AA:$AA,MATCH($E187,VMMC!$E:$E,0))),"")</f>
        <v/>
      </c>
      <c r="Z187" s="14" t="str">
        <f t="shared" si="35"/>
        <v/>
      </c>
    </row>
    <row r="188" spans="1:26" x14ac:dyDescent="0.2">
      <c r="A188" t="str">
        <f>INDEX(Prioritization!$D:$D,MATCH($B188,Prioritization!$A:$A,0))</f>
        <v>INVALID</v>
      </c>
      <c r="B188" t="s">
        <v>207</v>
      </c>
      <c r="C188" t="s">
        <v>364</v>
      </c>
      <c r="D188" t="s">
        <v>47</v>
      </c>
      <c r="E188" t="str">
        <f t="shared" si="24"/>
        <v>Nkhata Bay District [E7zpfyBt7Tw]|15-24|Male</v>
      </c>
      <c r="F188" s="14"/>
      <c r="G188" s="90">
        <f>0</f>
        <v>0</v>
      </c>
      <c r="H188" s="42" t="str">
        <f t="shared" si="25"/>
        <v/>
      </c>
      <c r="I188" s="14"/>
      <c r="J188" s="90"/>
      <c r="K188" s="90" t="str">
        <f t="shared" si="26"/>
        <v/>
      </c>
      <c r="L188" s="90"/>
      <c r="M188" s="90" t="str">
        <f t="shared" si="27"/>
        <v/>
      </c>
      <c r="N188" s="14" t="str">
        <f t="shared" si="28"/>
        <v/>
      </c>
      <c r="O188" s="42" t="str">
        <f t="shared" si="29"/>
        <v/>
      </c>
      <c r="P188" s="42" t="str">
        <f t="shared" si="30"/>
        <v/>
      </c>
      <c r="Q188" s="42" t="str">
        <f t="shared" si="31"/>
        <v/>
      </c>
      <c r="R188" s="90" t="str">
        <f>IF(SUM($P188)=0,"",INDEX(Cascade!$BG:$BG,MATCH($E188,Cascade!$E:$E,0)))</f>
        <v/>
      </c>
      <c r="S188" s="42" t="str">
        <f t="shared" si="32"/>
        <v/>
      </c>
      <c r="T188" s="42" t="str">
        <f t="shared" si="33"/>
        <v/>
      </c>
      <c r="U188" s="14" t="str">
        <f>IFERROR(1/(1/INDEX(Cascade!$BH:$BH,MATCH($E188,Cascade!$E:$E,0))),"")</f>
        <v/>
      </c>
      <c r="V188" s="14" t="str">
        <f t="shared" si="34"/>
        <v/>
      </c>
      <c r="W188" s="14" t="str">
        <f>IFERROR(1/(1/INDEX(PMTCT!$AC:$AC,MATCH($E188,PMTCT!$E:$E,0))),"")</f>
        <v/>
      </c>
      <c r="X188" s="14" t="str">
        <f>IFERROR(1/(1/INDEX(PMTCT!$AS:$AS,MATCH($E188,PMTCT!$E:$E,0))),"")</f>
        <v/>
      </c>
      <c r="Y188" s="14" t="str">
        <f>IFERROR(1/(1/INDEX(VMMC!$AA:$AA,MATCH($E188,VMMC!$E:$E,0))),"")</f>
        <v/>
      </c>
      <c r="Z188" s="14" t="str">
        <f t="shared" si="35"/>
        <v/>
      </c>
    </row>
    <row r="189" spans="1:26" x14ac:dyDescent="0.2">
      <c r="A189" t="str">
        <f>INDEX(Prioritization!$D:$D,MATCH($B189,Prioritization!$A:$A,0))</f>
        <v>INVALID</v>
      </c>
      <c r="B189" t="s">
        <v>207</v>
      </c>
      <c r="C189" t="s">
        <v>365</v>
      </c>
      <c r="D189" t="s">
        <v>29</v>
      </c>
      <c r="E189" t="str">
        <f t="shared" si="24"/>
        <v>Nkhata Bay District [E7zpfyBt7Tw]|25-34|Female</v>
      </c>
      <c r="F189" s="14"/>
      <c r="G189" s="90">
        <f>0</f>
        <v>0</v>
      </c>
      <c r="H189" s="42" t="str">
        <f t="shared" si="25"/>
        <v/>
      </c>
      <c r="I189" s="14"/>
      <c r="J189" s="90"/>
      <c r="K189" s="90" t="str">
        <f t="shared" si="26"/>
        <v/>
      </c>
      <c r="L189" s="90"/>
      <c r="M189" s="90" t="str">
        <f t="shared" si="27"/>
        <v/>
      </c>
      <c r="N189" s="14" t="str">
        <f t="shared" si="28"/>
        <v/>
      </c>
      <c r="O189" s="42" t="str">
        <f t="shared" si="29"/>
        <v/>
      </c>
      <c r="P189" s="42" t="str">
        <f t="shared" si="30"/>
        <v/>
      </c>
      <c r="Q189" s="42" t="str">
        <f t="shared" si="31"/>
        <v/>
      </c>
      <c r="R189" s="90" t="str">
        <f>IF(SUM($P189)=0,"",INDEX(Cascade!$BG:$BG,MATCH($E189,Cascade!$E:$E,0)))</f>
        <v/>
      </c>
      <c r="S189" s="42" t="str">
        <f t="shared" si="32"/>
        <v/>
      </c>
      <c r="T189" s="42" t="str">
        <f t="shared" si="33"/>
        <v/>
      </c>
      <c r="U189" s="14" t="str">
        <f>IFERROR(1/(1/INDEX(Cascade!$BH:$BH,MATCH($E189,Cascade!$E:$E,0))),"")</f>
        <v/>
      </c>
      <c r="V189" s="14" t="str">
        <f t="shared" si="34"/>
        <v/>
      </c>
      <c r="W189" s="14" t="str">
        <f>IFERROR(1/(1/INDEX(PMTCT!$AC:$AC,MATCH($E189,PMTCT!$E:$E,0))),"")</f>
        <v/>
      </c>
      <c r="X189" s="14" t="str">
        <f>IFERROR(1/(1/INDEX(PMTCT!$AS:$AS,MATCH($E189,PMTCT!$E:$E,0))),"")</f>
        <v/>
      </c>
      <c r="Y189" s="14" t="str">
        <f>IFERROR(1/(1/INDEX(VMMC!$AA:$AA,MATCH($E189,VMMC!$E:$E,0))),"")</f>
        <v/>
      </c>
      <c r="Z189" s="14" t="str">
        <f t="shared" si="35"/>
        <v/>
      </c>
    </row>
    <row r="190" spans="1:26" x14ac:dyDescent="0.2">
      <c r="A190" t="str">
        <f>INDEX(Prioritization!$D:$D,MATCH($B190,Prioritization!$A:$A,0))</f>
        <v>INVALID</v>
      </c>
      <c r="B190" t="s">
        <v>207</v>
      </c>
      <c r="C190" t="s">
        <v>365</v>
      </c>
      <c r="D190" t="s">
        <v>47</v>
      </c>
      <c r="E190" t="str">
        <f t="shared" si="24"/>
        <v>Nkhata Bay District [E7zpfyBt7Tw]|25-34|Male</v>
      </c>
      <c r="F190" s="14"/>
      <c r="G190" s="90">
        <f>0</f>
        <v>0</v>
      </c>
      <c r="H190" s="42" t="str">
        <f t="shared" si="25"/>
        <v/>
      </c>
      <c r="I190" s="14"/>
      <c r="J190" s="90"/>
      <c r="K190" s="90" t="str">
        <f t="shared" si="26"/>
        <v/>
      </c>
      <c r="L190" s="90"/>
      <c r="M190" s="90" t="str">
        <f t="shared" si="27"/>
        <v/>
      </c>
      <c r="N190" s="14" t="str">
        <f t="shared" si="28"/>
        <v/>
      </c>
      <c r="O190" s="42" t="str">
        <f t="shared" si="29"/>
        <v/>
      </c>
      <c r="P190" s="42" t="str">
        <f t="shared" si="30"/>
        <v/>
      </c>
      <c r="Q190" s="42" t="str">
        <f t="shared" si="31"/>
        <v/>
      </c>
      <c r="R190" s="90" t="str">
        <f>IF(SUM($P190)=0,"",INDEX(Cascade!$BG:$BG,MATCH($E190,Cascade!$E:$E,0)))</f>
        <v/>
      </c>
      <c r="S190" s="42" t="str">
        <f t="shared" si="32"/>
        <v/>
      </c>
      <c r="T190" s="42" t="str">
        <f t="shared" si="33"/>
        <v/>
      </c>
      <c r="U190" s="14" t="str">
        <f>IFERROR(1/(1/INDEX(Cascade!$BH:$BH,MATCH($E190,Cascade!$E:$E,0))),"")</f>
        <v/>
      </c>
      <c r="V190" s="14" t="str">
        <f t="shared" si="34"/>
        <v/>
      </c>
      <c r="W190" s="14" t="str">
        <f>IFERROR(1/(1/INDEX(PMTCT!$AC:$AC,MATCH($E190,PMTCT!$E:$E,0))),"")</f>
        <v/>
      </c>
      <c r="X190" s="14" t="str">
        <f>IFERROR(1/(1/INDEX(PMTCT!$AS:$AS,MATCH($E190,PMTCT!$E:$E,0))),"")</f>
        <v/>
      </c>
      <c r="Y190" s="14" t="str">
        <f>IFERROR(1/(1/INDEX(VMMC!$AA:$AA,MATCH($E190,VMMC!$E:$E,0))),"")</f>
        <v/>
      </c>
      <c r="Z190" s="14" t="str">
        <f t="shared" si="35"/>
        <v/>
      </c>
    </row>
    <row r="191" spans="1:26" x14ac:dyDescent="0.2">
      <c r="A191" t="str">
        <f>INDEX(Prioritization!$D:$D,MATCH($B191,Prioritization!$A:$A,0))</f>
        <v>INVALID</v>
      </c>
      <c r="B191" t="s">
        <v>207</v>
      </c>
      <c r="C191" t="s">
        <v>366</v>
      </c>
      <c r="D191" t="s">
        <v>29</v>
      </c>
      <c r="E191" t="str">
        <f t="shared" si="24"/>
        <v>Nkhata Bay District [E7zpfyBt7Tw]|35-49|Female</v>
      </c>
      <c r="F191" s="14"/>
      <c r="G191" s="90">
        <f>0</f>
        <v>0</v>
      </c>
      <c r="H191" s="42" t="str">
        <f t="shared" si="25"/>
        <v/>
      </c>
      <c r="I191" s="14"/>
      <c r="J191" s="90"/>
      <c r="K191" s="90" t="str">
        <f t="shared" si="26"/>
        <v/>
      </c>
      <c r="L191" s="90"/>
      <c r="M191" s="90" t="str">
        <f t="shared" si="27"/>
        <v/>
      </c>
      <c r="N191" s="14" t="str">
        <f t="shared" si="28"/>
        <v/>
      </c>
      <c r="O191" s="42" t="str">
        <f t="shared" si="29"/>
        <v/>
      </c>
      <c r="P191" s="42" t="str">
        <f t="shared" si="30"/>
        <v/>
      </c>
      <c r="Q191" s="42" t="str">
        <f t="shared" si="31"/>
        <v/>
      </c>
      <c r="R191" s="90" t="str">
        <f>IF(SUM($P191)=0,"",INDEX(Cascade!$BG:$BG,MATCH($E191,Cascade!$E:$E,0)))</f>
        <v/>
      </c>
      <c r="S191" s="42" t="str">
        <f t="shared" si="32"/>
        <v/>
      </c>
      <c r="T191" s="42" t="str">
        <f t="shared" si="33"/>
        <v/>
      </c>
      <c r="U191" s="14" t="str">
        <f>IFERROR(1/(1/INDEX(Cascade!$BH:$BH,MATCH($E191,Cascade!$E:$E,0))),"")</f>
        <v/>
      </c>
      <c r="V191" s="14" t="str">
        <f t="shared" si="34"/>
        <v/>
      </c>
      <c r="W191" s="14" t="str">
        <f>IFERROR(1/(1/INDEX(PMTCT!$AC:$AC,MATCH($E191,PMTCT!$E:$E,0))),"")</f>
        <v/>
      </c>
      <c r="X191" s="14" t="str">
        <f>IFERROR(1/(1/INDEX(PMTCT!$AS:$AS,MATCH($E191,PMTCT!$E:$E,0))),"")</f>
        <v/>
      </c>
      <c r="Y191" s="14" t="str">
        <f>IFERROR(1/(1/INDEX(VMMC!$AA:$AA,MATCH($E191,VMMC!$E:$E,0))),"")</f>
        <v/>
      </c>
      <c r="Z191" s="14" t="str">
        <f t="shared" si="35"/>
        <v/>
      </c>
    </row>
    <row r="192" spans="1:26" x14ac:dyDescent="0.2">
      <c r="A192" t="str">
        <f>INDEX(Prioritization!$D:$D,MATCH($B192,Prioritization!$A:$A,0))</f>
        <v>INVALID</v>
      </c>
      <c r="B192" t="s">
        <v>207</v>
      </c>
      <c r="C192" t="s">
        <v>366</v>
      </c>
      <c r="D192" t="s">
        <v>47</v>
      </c>
      <c r="E192" t="str">
        <f t="shared" si="24"/>
        <v>Nkhata Bay District [E7zpfyBt7Tw]|35-49|Male</v>
      </c>
      <c r="F192" s="14"/>
      <c r="G192" s="90">
        <f>0</f>
        <v>0</v>
      </c>
      <c r="H192" s="42" t="str">
        <f t="shared" si="25"/>
        <v/>
      </c>
      <c r="I192" s="14"/>
      <c r="J192" s="90"/>
      <c r="K192" s="90" t="str">
        <f t="shared" si="26"/>
        <v/>
      </c>
      <c r="L192" s="90"/>
      <c r="M192" s="90" t="str">
        <f t="shared" si="27"/>
        <v/>
      </c>
      <c r="N192" s="14" t="str">
        <f t="shared" si="28"/>
        <v/>
      </c>
      <c r="O192" s="42" t="str">
        <f t="shared" si="29"/>
        <v/>
      </c>
      <c r="P192" s="42" t="str">
        <f t="shared" si="30"/>
        <v/>
      </c>
      <c r="Q192" s="42" t="str">
        <f t="shared" si="31"/>
        <v/>
      </c>
      <c r="R192" s="90" t="str">
        <f>IF(SUM($P192)=0,"",INDEX(Cascade!$BG:$BG,MATCH($E192,Cascade!$E:$E,0)))</f>
        <v/>
      </c>
      <c r="S192" s="42" t="str">
        <f t="shared" si="32"/>
        <v/>
      </c>
      <c r="T192" s="42" t="str">
        <f t="shared" si="33"/>
        <v/>
      </c>
      <c r="U192" s="14" t="str">
        <f>IFERROR(1/(1/INDEX(Cascade!$BH:$BH,MATCH($E192,Cascade!$E:$E,0))),"")</f>
        <v/>
      </c>
      <c r="V192" s="14" t="str">
        <f t="shared" si="34"/>
        <v/>
      </c>
      <c r="W192" s="14" t="str">
        <f>IFERROR(1/(1/INDEX(PMTCT!$AC:$AC,MATCH($E192,PMTCT!$E:$E,0))),"")</f>
        <v/>
      </c>
      <c r="X192" s="14" t="str">
        <f>IFERROR(1/(1/INDEX(PMTCT!$AS:$AS,MATCH($E192,PMTCT!$E:$E,0))),"")</f>
        <v/>
      </c>
      <c r="Y192" s="14" t="str">
        <f>IFERROR(1/(1/INDEX(VMMC!$AA:$AA,MATCH($E192,VMMC!$E:$E,0))),"")</f>
        <v/>
      </c>
      <c r="Z192" s="14" t="str">
        <f t="shared" si="35"/>
        <v/>
      </c>
    </row>
    <row r="193" spans="1:26" x14ac:dyDescent="0.2">
      <c r="A193" t="str">
        <f>INDEX(Prioritization!$D:$D,MATCH($B193,Prioritization!$A:$A,0))</f>
        <v>INVALID</v>
      </c>
      <c r="B193" t="s">
        <v>207</v>
      </c>
      <c r="C193" t="s">
        <v>367</v>
      </c>
      <c r="D193" t="s">
        <v>29</v>
      </c>
      <c r="E193" t="str">
        <f t="shared" si="24"/>
        <v>Nkhata Bay District [E7zpfyBt7Tw]|50+|Female</v>
      </c>
      <c r="F193" s="14"/>
      <c r="G193" s="90">
        <f>0</f>
        <v>0</v>
      </c>
      <c r="H193" s="42" t="str">
        <f t="shared" si="25"/>
        <v/>
      </c>
      <c r="I193" s="14"/>
      <c r="J193" s="90"/>
      <c r="K193" s="90" t="str">
        <f t="shared" si="26"/>
        <v/>
      </c>
      <c r="L193" s="90"/>
      <c r="M193" s="90" t="str">
        <f t="shared" si="27"/>
        <v/>
      </c>
      <c r="N193" s="14" t="str">
        <f t="shared" si="28"/>
        <v/>
      </c>
      <c r="O193" s="42" t="str">
        <f t="shared" si="29"/>
        <v/>
      </c>
      <c r="P193" s="42" t="str">
        <f t="shared" si="30"/>
        <v/>
      </c>
      <c r="Q193" s="42" t="str">
        <f t="shared" si="31"/>
        <v/>
      </c>
      <c r="R193" s="90" t="str">
        <f>IF(SUM($P193)=0,"",INDEX(Cascade!$BG:$BG,MATCH($E193,Cascade!$E:$E,0)))</f>
        <v/>
      </c>
      <c r="S193" s="42" t="str">
        <f t="shared" si="32"/>
        <v/>
      </c>
      <c r="T193" s="42" t="str">
        <f t="shared" si="33"/>
        <v/>
      </c>
      <c r="U193" s="14" t="str">
        <f>IFERROR(1/(1/INDEX(Cascade!$BH:$BH,MATCH($E193,Cascade!$E:$E,0))),"")</f>
        <v/>
      </c>
      <c r="V193" s="14" t="str">
        <f t="shared" si="34"/>
        <v/>
      </c>
      <c r="W193" s="14" t="str">
        <f>IFERROR(1/(1/INDEX(PMTCT!$AC:$AC,MATCH($E193,PMTCT!$E:$E,0))),"")</f>
        <v/>
      </c>
      <c r="X193" s="14" t="str">
        <f>IFERROR(1/(1/INDEX(PMTCT!$AS:$AS,MATCH($E193,PMTCT!$E:$E,0))),"")</f>
        <v/>
      </c>
      <c r="Y193" s="14" t="str">
        <f>IFERROR(1/(1/INDEX(VMMC!$AA:$AA,MATCH($E193,VMMC!$E:$E,0))),"")</f>
        <v/>
      </c>
      <c r="Z193" s="14" t="str">
        <f t="shared" si="35"/>
        <v/>
      </c>
    </row>
    <row r="194" spans="1:26" x14ac:dyDescent="0.2">
      <c r="A194" t="str">
        <f>INDEX(Prioritization!$D:$D,MATCH($B194,Prioritization!$A:$A,0))</f>
        <v>INVALID</v>
      </c>
      <c r="B194" t="s">
        <v>207</v>
      </c>
      <c r="C194" t="s">
        <v>367</v>
      </c>
      <c r="D194" t="s">
        <v>47</v>
      </c>
      <c r="E194" t="str">
        <f t="shared" si="24"/>
        <v>Nkhata Bay District [E7zpfyBt7Tw]|50+|Male</v>
      </c>
      <c r="F194" s="14"/>
      <c r="G194" s="90">
        <f>0</f>
        <v>0</v>
      </c>
      <c r="H194" s="42" t="str">
        <f t="shared" si="25"/>
        <v/>
      </c>
      <c r="I194" s="14"/>
      <c r="J194" s="90"/>
      <c r="K194" s="90" t="str">
        <f t="shared" si="26"/>
        <v/>
      </c>
      <c r="L194" s="90"/>
      <c r="M194" s="90" t="str">
        <f t="shared" si="27"/>
        <v/>
      </c>
      <c r="N194" s="14" t="str">
        <f t="shared" si="28"/>
        <v/>
      </c>
      <c r="O194" s="42" t="str">
        <f t="shared" si="29"/>
        <v/>
      </c>
      <c r="P194" s="42" t="str">
        <f t="shared" si="30"/>
        <v/>
      </c>
      <c r="Q194" s="42" t="str">
        <f t="shared" si="31"/>
        <v/>
      </c>
      <c r="R194" s="90" t="str">
        <f>IF(SUM($P194)=0,"",INDEX(Cascade!$BG:$BG,MATCH($E194,Cascade!$E:$E,0)))</f>
        <v/>
      </c>
      <c r="S194" s="42" t="str">
        <f t="shared" si="32"/>
        <v/>
      </c>
      <c r="T194" s="42" t="str">
        <f t="shared" si="33"/>
        <v/>
      </c>
      <c r="U194" s="14" t="str">
        <f>IFERROR(1/(1/INDEX(Cascade!$BH:$BH,MATCH($E194,Cascade!$E:$E,0))),"")</f>
        <v/>
      </c>
      <c r="V194" s="14" t="str">
        <f t="shared" si="34"/>
        <v/>
      </c>
      <c r="W194" s="14" t="str">
        <f>IFERROR(1/(1/INDEX(PMTCT!$AC:$AC,MATCH($E194,PMTCT!$E:$E,0))),"")</f>
        <v/>
      </c>
      <c r="X194" s="14" t="str">
        <f>IFERROR(1/(1/INDEX(PMTCT!$AS:$AS,MATCH($E194,PMTCT!$E:$E,0))),"")</f>
        <v/>
      </c>
      <c r="Y194" s="14" t="str">
        <f>IFERROR(1/(1/INDEX(VMMC!$AA:$AA,MATCH($E194,VMMC!$E:$E,0))),"")</f>
        <v/>
      </c>
      <c r="Z194" s="14" t="str">
        <f t="shared" si="35"/>
        <v/>
      </c>
    </row>
    <row r="195" spans="1:26" x14ac:dyDescent="0.2">
      <c r="A195" t="str">
        <f>INDEX(Prioritization!$D:$D,MATCH($B195,Prioritization!$A:$A,0))</f>
        <v>INVALID</v>
      </c>
      <c r="B195" t="s">
        <v>208</v>
      </c>
      <c r="C195" t="s">
        <v>362</v>
      </c>
      <c r="D195" t="s">
        <v>29</v>
      </c>
      <c r="E195" t="str">
        <f t="shared" si="24"/>
        <v>Rumphi District [lPTyjLi4w3d]|01-09|Female</v>
      </c>
      <c r="F195" s="14"/>
      <c r="G195" s="90">
        <f>0</f>
        <v>0</v>
      </c>
      <c r="H195" s="42" t="str">
        <f t="shared" si="25"/>
        <v/>
      </c>
      <c r="I195" s="14"/>
      <c r="J195" s="90"/>
      <c r="K195" s="90" t="str">
        <f t="shared" si="26"/>
        <v/>
      </c>
      <c r="L195" s="90"/>
      <c r="M195" s="90" t="str">
        <f t="shared" si="27"/>
        <v/>
      </c>
      <c r="N195" s="14" t="str">
        <f t="shared" si="28"/>
        <v/>
      </c>
      <c r="O195" s="42" t="str">
        <f t="shared" si="29"/>
        <v/>
      </c>
      <c r="P195" s="42" t="str">
        <f t="shared" si="30"/>
        <v/>
      </c>
      <c r="Q195" s="42" t="str">
        <f t="shared" si="31"/>
        <v/>
      </c>
      <c r="R195" s="90" t="str">
        <f>IF(SUM($P195)=0,"",INDEX(Cascade!$BG:$BG,MATCH($E195,Cascade!$E:$E,0)))</f>
        <v/>
      </c>
      <c r="S195" s="42" t="str">
        <f t="shared" si="32"/>
        <v/>
      </c>
      <c r="T195" s="42" t="str">
        <f t="shared" si="33"/>
        <v/>
      </c>
      <c r="U195" s="14" t="str">
        <f>IFERROR(1/(1/INDEX(Cascade!$BH:$BH,MATCH($E195,Cascade!$E:$E,0))),"")</f>
        <v/>
      </c>
      <c r="V195" s="14" t="str">
        <f t="shared" si="34"/>
        <v/>
      </c>
      <c r="W195" s="14" t="str">
        <f>IFERROR(1/(1/INDEX(PMTCT!$AC:$AC,MATCH($E195,PMTCT!$E:$E,0))),"")</f>
        <v/>
      </c>
      <c r="X195" s="14" t="str">
        <f>IFERROR(1/(1/INDEX(PMTCT!$AS:$AS,MATCH($E195,PMTCT!$E:$E,0))),"")</f>
        <v/>
      </c>
      <c r="Y195" s="14" t="str">
        <f>IFERROR(1/(1/INDEX(VMMC!$AA:$AA,MATCH($E195,VMMC!$E:$E,0))),"")</f>
        <v/>
      </c>
      <c r="Z195" s="14" t="str">
        <f t="shared" si="35"/>
        <v/>
      </c>
    </row>
    <row r="196" spans="1:26" x14ac:dyDescent="0.2">
      <c r="A196" t="str">
        <f>INDEX(Prioritization!$D:$D,MATCH($B196,Prioritization!$A:$A,0))</f>
        <v>INVALID</v>
      </c>
      <c r="B196" t="s">
        <v>208</v>
      </c>
      <c r="C196" t="s">
        <v>362</v>
      </c>
      <c r="D196" t="s">
        <v>47</v>
      </c>
      <c r="E196" t="str">
        <f t="shared" si="24"/>
        <v>Rumphi District [lPTyjLi4w3d]|01-09|Male</v>
      </c>
      <c r="F196" s="14"/>
      <c r="G196" s="90">
        <f>0</f>
        <v>0</v>
      </c>
      <c r="H196" s="42" t="str">
        <f t="shared" si="25"/>
        <v/>
      </c>
      <c r="I196" s="14"/>
      <c r="J196" s="90"/>
      <c r="K196" s="90" t="str">
        <f t="shared" si="26"/>
        <v/>
      </c>
      <c r="L196" s="90"/>
      <c r="M196" s="90" t="str">
        <f t="shared" si="27"/>
        <v/>
      </c>
      <c r="N196" s="14" t="str">
        <f t="shared" si="28"/>
        <v/>
      </c>
      <c r="O196" s="42" t="str">
        <f t="shared" si="29"/>
        <v/>
      </c>
      <c r="P196" s="42" t="str">
        <f t="shared" si="30"/>
        <v/>
      </c>
      <c r="Q196" s="42" t="str">
        <f t="shared" si="31"/>
        <v/>
      </c>
      <c r="R196" s="90" t="str">
        <f>IF(SUM($P196)=0,"",INDEX(Cascade!$BG:$BG,MATCH($E196,Cascade!$E:$E,0)))</f>
        <v/>
      </c>
      <c r="S196" s="42" t="str">
        <f t="shared" si="32"/>
        <v/>
      </c>
      <c r="T196" s="42" t="str">
        <f t="shared" si="33"/>
        <v/>
      </c>
      <c r="U196" s="14" t="str">
        <f>IFERROR(1/(1/INDEX(Cascade!$BH:$BH,MATCH($E196,Cascade!$E:$E,0))),"")</f>
        <v/>
      </c>
      <c r="V196" s="14" t="str">
        <f t="shared" si="34"/>
        <v/>
      </c>
      <c r="W196" s="14" t="str">
        <f>IFERROR(1/(1/INDEX(PMTCT!$AC:$AC,MATCH($E196,PMTCT!$E:$E,0))),"")</f>
        <v/>
      </c>
      <c r="X196" s="14" t="str">
        <f>IFERROR(1/(1/INDEX(PMTCT!$AS:$AS,MATCH($E196,PMTCT!$E:$E,0))),"")</f>
        <v/>
      </c>
      <c r="Y196" s="14" t="str">
        <f>IFERROR(1/(1/INDEX(VMMC!$AA:$AA,MATCH($E196,VMMC!$E:$E,0))),"")</f>
        <v/>
      </c>
      <c r="Z196" s="14" t="str">
        <f t="shared" si="35"/>
        <v/>
      </c>
    </row>
    <row r="197" spans="1:26" x14ac:dyDescent="0.2">
      <c r="A197" t="str">
        <f>INDEX(Prioritization!$D:$D,MATCH($B197,Prioritization!$A:$A,0))</f>
        <v>INVALID</v>
      </c>
      <c r="B197" t="s">
        <v>208</v>
      </c>
      <c r="C197" t="s">
        <v>363</v>
      </c>
      <c r="D197" t="s">
        <v>29</v>
      </c>
      <c r="E197" t="str">
        <f t="shared" si="24"/>
        <v>Rumphi District [lPTyjLi4w3d]|10-14|Female</v>
      </c>
      <c r="F197" s="14">
        <v>1</v>
      </c>
      <c r="G197" s="90">
        <f>0</f>
        <v>0</v>
      </c>
      <c r="H197" s="42">
        <f t="shared" si="25"/>
        <v>1</v>
      </c>
      <c r="I197" s="14"/>
      <c r="J197" s="90"/>
      <c r="K197" s="90" t="str">
        <f t="shared" si="26"/>
        <v/>
      </c>
      <c r="L197" s="90"/>
      <c r="M197" s="90" t="str">
        <f t="shared" si="27"/>
        <v/>
      </c>
      <c r="N197" s="14">
        <f t="shared" si="28"/>
        <v>1</v>
      </c>
      <c r="O197" s="42" t="str">
        <f t="shared" si="29"/>
        <v>ENTER KNOWN POSITIVITY RATE</v>
      </c>
      <c r="P197" s="42" t="str">
        <f t="shared" si="30"/>
        <v>ENTER YIELD RATE</v>
      </c>
      <c r="Q197" s="42">
        <f t="shared" si="31"/>
        <v>1</v>
      </c>
      <c r="R197" s="90" t="str">
        <f>IF(SUM($P197)=0,"",INDEX(Cascade!$BG:$BG,MATCH($E197,Cascade!$E:$E,0)))</f>
        <v/>
      </c>
      <c r="S197" s="42" t="str">
        <f t="shared" si="32"/>
        <v>ENTER KNOWN POSITIVITY RATE</v>
      </c>
      <c r="T197" s="42" t="str">
        <f t="shared" si="33"/>
        <v/>
      </c>
      <c r="U197" s="14">
        <f>IFERROR(1/(1/INDEX(Cascade!$BH:$BH,MATCH($E197,Cascade!$E:$E,0))),"")</f>
        <v>-63</v>
      </c>
      <c r="V197" s="14" t="str">
        <f t="shared" si="34"/>
        <v/>
      </c>
      <c r="W197" s="14" t="str">
        <f>IFERROR(1/(1/INDEX(PMTCT!$AC:$AC,MATCH($E197,PMTCT!$E:$E,0))),"")</f>
        <v/>
      </c>
      <c r="X197" s="14" t="str">
        <f>IFERROR(1/(1/INDEX(PMTCT!$AS:$AS,MATCH($E197,PMTCT!$E:$E,0))),"")</f>
        <v/>
      </c>
      <c r="Y197" s="14" t="str">
        <f>IFERROR(1/(1/INDEX(VMMC!$AA:$AA,MATCH($E197,VMMC!$E:$E,0))),"")</f>
        <v/>
      </c>
      <c r="Z197" s="14">
        <f t="shared" si="35"/>
        <v>-63</v>
      </c>
    </row>
    <row r="198" spans="1:26" x14ac:dyDescent="0.2">
      <c r="A198" t="str">
        <f>INDEX(Prioritization!$D:$D,MATCH($B198,Prioritization!$A:$A,0))</f>
        <v>INVALID</v>
      </c>
      <c r="B198" t="s">
        <v>208</v>
      </c>
      <c r="C198" t="s">
        <v>363</v>
      </c>
      <c r="D198" t="s">
        <v>47</v>
      </c>
      <c r="E198" t="str">
        <f t="shared" si="24"/>
        <v>Rumphi District [lPTyjLi4w3d]|10-14|Male</v>
      </c>
      <c r="F198" s="14">
        <v>0</v>
      </c>
      <c r="G198" s="90">
        <f>0</f>
        <v>0</v>
      </c>
      <c r="H198" s="42" t="str">
        <f t="shared" si="25"/>
        <v/>
      </c>
      <c r="I198" s="14"/>
      <c r="J198" s="90"/>
      <c r="K198" s="90" t="str">
        <f t="shared" si="26"/>
        <v/>
      </c>
      <c r="L198" s="90"/>
      <c r="M198" s="90" t="str">
        <f t="shared" si="27"/>
        <v/>
      </c>
      <c r="N198" s="14" t="str">
        <f t="shared" si="28"/>
        <v/>
      </c>
      <c r="O198" s="42" t="str">
        <f t="shared" si="29"/>
        <v/>
      </c>
      <c r="P198" s="42" t="str">
        <f t="shared" si="30"/>
        <v/>
      </c>
      <c r="Q198" s="42" t="str">
        <f t="shared" si="31"/>
        <v/>
      </c>
      <c r="R198" s="90" t="str">
        <f>IF(SUM($P198)=0,"",INDEX(Cascade!$BG:$BG,MATCH($E198,Cascade!$E:$E,0)))</f>
        <v/>
      </c>
      <c r="S198" s="42" t="str">
        <f t="shared" si="32"/>
        <v/>
      </c>
      <c r="T198" s="42" t="str">
        <f t="shared" si="33"/>
        <v/>
      </c>
      <c r="U198" s="14">
        <f>IFERROR(1/(1/INDEX(Cascade!$BH:$BH,MATCH($E198,Cascade!$E:$E,0))),"")</f>
        <v>-98.000000000000014</v>
      </c>
      <c r="V198" s="14" t="str">
        <f t="shared" si="34"/>
        <v/>
      </c>
      <c r="W198" s="14" t="str">
        <f>IFERROR(1/(1/INDEX(PMTCT!$AC:$AC,MATCH($E198,PMTCT!$E:$E,0))),"")</f>
        <v/>
      </c>
      <c r="X198" s="14" t="str">
        <f>IFERROR(1/(1/INDEX(PMTCT!$AS:$AS,MATCH($E198,PMTCT!$E:$E,0))),"")</f>
        <v/>
      </c>
      <c r="Y198" s="14" t="str">
        <f>IFERROR(1/(1/INDEX(VMMC!$AA:$AA,MATCH($E198,VMMC!$E:$E,0))),"")</f>
        <v/>
      </c>
      <c r="Z198" s="14">
        <f t="shared" si="35"/>
        <v>-98.000000000000014</v>
      </c>
    </row>
    <row r="199" spans="1:26" x14ac:dyDescent="0.2">
      <c r="A199" t="str">
        <f>INDEX(Prioritization!$D:$D,MATCH($B199,Prioritization!$A:$A,0))</f>
        <v>INVALID</v>
      </c>
      <c r="B199" t="s">
        <v>208</v>
      </c>
      <c r="C199" t="s">
        <v>364</v>
      </c>
      <c r="D199" t="s">
        <v>29</v>
      </c>
      <c r="E199" t="str">
        <f t="shared" si="24"/>
        <v>Rumphi District [lPTyjLi4w3d]|15-24|Female</v>
      </c>
      <c r="F199" s="14"/>
      <c r="G199" s="90">
        <f>0</f>
        <v>0</v>
      </c>
      <c r="H199" s="42" t="str">
        <f t="shared" si="25"/>
        <v/>
      </c>
      <c r="I199" s="14"/>
      <c r="J199" s="90"/>
      <c r="K199" s="90" t="str">
        <f t="shared" si="26"/>
        <v/>
      </c>
      <c r="L199" s="90"/>
      <c r="M199" s="90" t="str">
        <f t="shared" si="27"/>
        <v/>
      </c>
      <c r="N199" s="14" t="str">
        <f t="shared" si="28"/>
        <v/>
      </c>
      <c r="O199" s="42" t="str">
        <f t="shared" si="29"/>
        <v/>
      </c>
      <c r="P199" s="42" t="str">
        <f t="shared" si="30"/>
        <v/>
      </c>
      <c r="Q199" s="42" t="str">
        <f t="shared" si="31"/>
        <v/>
      </c>
      <c r="R199" s="90" t="str">
        <f>IF(SUM($P199)=0,"",INDEX(Cascade!$BG:$BG,MATCH($E199,Cascade!$E:$E,0)))</f>
        <v/>
      </c>
      <c r="S199" s="42" t="str">
        <f t="shared" si="32"/>
        <v/>
      </c>
      <c r="T199" s="42" t="str">
        <f t="shared" si="33"/>
        <v/>
      </c>
      <c r="U199" s="14" t="str">
        <f>IFERROR(1/(1/INDEX(Cascade!$BH:$BH,MATCH($E199,Cascade!$E:$E,0))),"")</f>
        <v/>
      </c>
      <c r="V199" s="14" t="str">
        <f t="shared" si="34"/>
        <v/>
      </c>
      <c r="W199" s="14" t="str">
        <f>IFERROR(1/(1/INDEX(PMTCT!$AC:$AC,MATCH($E199,PMTCT!$E:$E,0))),"")</f>
        <v/>
      </c>
      <c r="X199" s="14" t="str">
        <f>IFERROR(1/(1/INDEX(PMTCT!$AS:$AS,MATCH($E199,PMTCT!$E:$E,0))),"")</f>
        <v/>
      </c>
      <c r="Y199" s="14" t="str">
        <f>IFERROR(1/(1/INDEX(VMMC!$AA:$AA,MATCH($E199,VMMC!$E:$E,0))),"")</f>
        <v/>
      </c>
      <c r="Z199" s="14" t="str">
        <f t="shared" si="35"/>
        <v/>
      </c>
    </row>
    <row r="200" spans="1:26" x14ac:dyDescent="0.2">
      <c r="A200" t="str">
        <f>INDEX(Prioritization!$D:$D,MATCH($B200,Prioritization!$A:$A,0))</f>
        <v>INVALID</v>
      </c>
      <c r="B200" t="s">
        <v>208</v>
      </c>
      <c r="C200" t="s">
        <v>364</v>
      </c>
      <c r="D200" t="s">
        <v>47</v>
      </c>
      <c r="E200" t="str">
        <f t="shared" si="24"/>
        <v>Rumphi District [lPTyjLi4w3d]|15-24|Male</v>
      </c>
      <c r="F200" s="14"/>
      <c r="G200" s="90">
        <f>0</f>
        <v>0</v>
      </c>
      <c r="H200" s="42" t="str">
        <f t="shared" si="25"/>
        <v/>
      </c>
      <c r="I200" s="14"/>
      <c r="J200" s="90"/>
      <c r="K200" s="90" t="str">
        <f t="shared" si="26"/>
        <v/>
      </c>
      <c r="L200" s="90"/>
      <c r="M200" s="90" t="str">
        <f t="shared" si="27"/>
        <v/>
      </c>
      <c r="N200" s="14" t="str">
        <f t="shared" si="28"/>
        <v/>
      </c>
      <c r="O200" s="42" t="str">
        <f t="shared" si="29"/>
        <v/>
      </c>
      <c r="P200" s="42" t="str">
        <f t="shared" si="30"/>
        <v/>
      </c>
      <c r="Q200" s="42" t="str">
        <f t="shared" si="31"/>
        <v/>
      </c>
      <c r="R200" s="90" t="str">
        <f>IF(SUM($P200)=0,"",INDEX(Cascade!$BG:$BG,MATCH($E200,Cascade!$E:$E,0)))</f>
        <v/>
      </c>
      <c r="S200" s="42" t="str">
        <f t="shared" si="32"/>
        <v/>
      </c>
      <c r="T200" s="42" t="str">
        <f t="shared" si="33"/>
        <v/>
      </c>
      <c r="U200" s="14" t="str">
        <f>IFERROR(1/(1/INDEX(Cascade!$BH:$BH,MATCH($E200,Cascade!$E:$E,0))),"")</f>
        <v/>
      </c>
      <c r="V200" s="14" t="str">
        <f t="shared" si="34"/>
        <v/>
      </c>
      <c r="W200" s="14" t="str">
        <f>IFERROR(1/(1/INDEX(PMTCT!$AC:$AC,MATCH($E200,PMTCT!$E:$E,0))),"")</f>
        <v/>
      </c>
      <c r="X200" s="14" t="str">
        <f>IFERROR(1/(1/INDEX(PMTCT!$AS:$AS,MATCH($E200,PMTCT!$E:$E,0))),"")</f>
        <v/>
      </c>
      <c r="Y200" s="14" t="str">
        <f>IFERROR(1/(1/INDEX(VMMC!$AA:$AA,MATCH($E200,VMMC!$E:$E,0))),"")</f>
        <v/>
      </c>
      <c r="Z200" s="14" t="str">
        <f t="shared" si="35"/>
        <v/>
      </c>
    </row>
    <row r="201" spans="1:26" x14ac:dyDescent="0.2">
      <c r="A201" t="str">
        <f>INDEX(Prioritization!$D:$D,MATCH($B201,Prioritization!$A:$A,0))</f>
        <v>INVALID</v>
      </c>
      <c r="B201" t="s">
        <v>208</v>
      </c>
      <c r="C201" t="s">
        <v>365</v>
      </c>
      <c r="D201" t="s">
        <v>29</v>
      </c>
      <c r="E201" t="str">
        <f t="shared" si="24"/>
        <v>Rumphi District [lPTyjLi4w3d]|25-34|Female</v>
      </c>
      <c r="F201" s="14"/>
      <c r="G201" s="90">
        <f>0</f>
        <v>0</v>
      </c>
      <c r="H201" s="42" t="str">
        <f t="shared" si="25"/>
        <v/>
      </c>
      <c r="I201" s="14"/>
      <c r="J201" s="90"/>
      <c r="K201" s="90" t="str">
        <f t="shared" si="26"/>
        <v/>
      </c>
      <c r="L201" s="90"/>
      <c r="M201" s="90" t="str">
        <f t="shared" si="27"/>
        <v/>
      </c>
      <c r="N201" s="14" t="str">
        <f t="shared" si="28"/>
        <v/>
      </c>
      <c r="O201" s="42" t="str">
        <f t="shared" si="29"/>
        <v/>
      </c>
      <c r="P201" s="42" t="str">
        <f t="shared" si="30"/>
        <v/>
      </c>
      <c r="Q201" s="42" t="str">
        <f t="shared" si="31"/>
        <v/>
      </c>
      <c r="R201" s="90" t="str">
        <f>IF(SUM($P201)=0,"",INDEX(Cascade!$BG:$BG,MATCH($E201,Cascade!$E:$E,0)))</f>
        <v/>
      </c>
      <c r="S201" s="42" t="str">
        <f t="shared" si="32"/>
        <v/>
      </c>
      <c r="T201" s="42" t="str">
        <f t="shared" si="33"/>
        <v/>
      </c>
      <c r="U201" s="14" t="str">
        <f>IFERROR(1/(1/INDEX(Cascade!$BH:$BH,MATCH($E201,Cascade!$E:$E,0))),"")</f>
        <v/>
      </c>
      <c r="V201" s="14" t="str">
        <f t="shared" si="34"/>
        <v/>
      </c>
      <c r="W201" s="14" t="str">
        <f>IFERROR(1/(1/INDEX(PMTCT!$AC:$AC,MATCH($E201,PMTCT!$E:$E,0))),"")</f>
        <v/>
      </c>
      <c r="X201" s="14" t="str">
        <f>IFERROR(1/(1/INDEX(PMTCT!$AS:$AS,MATCH($E201,PMTCT!$E:$E,0))),"")</f>
        <v/>
      </c>
      <c r="Y201" s="14" t="str">
        <f>IFERROR(1/(1/INDEX(VMMC!$AA:$AA,MATCH($E201,VMMC!$E:$E,0))),"")</f>
        <v/>
      </c>
      <c r="Z201" s="14" t="str">
        <f t="shared" si="35"/>
        <v/>
      </c>
    </row>
    <row r="202" spans="1:26" x14ac:dyDescent="0.2">
      <c r="A202" t="str">
        <f>INDEX(Prioritization!$D:$D,MATCH($B202,Prioritization!$A:$A,0))</f>
        <v>INVALID</v>
      </c>
      <c r="B202" t="s">
        <v>208</v>
      </c>
      <c r="C202" t="s">
        <v>365</v>
      </c>
      <c r="D202" t="s">
        <v>47</v>
      </c>
      <c r="E202" t="str">
        <f t="shared" si="24"/>
        <v>Rumphi District [lPTyjLi4w3d]|25-34|Male</v>
      </c>
      <c r="F202" s="14"/>
      <c r="G202" s="90">
        <f>0</f>
        <v>0</v>
      </c>
      <c r="H202" s="42" t="str">
        <f t="shared" si="25"/>
        <v/>
      </c>
      <c r="I202" s="14"/>
      <c r="J202" s="90"/>
      <c r="K202" s="90" t="str">
        <f t="shared" si="26"/>
        <v/>
      </c>
      <c r="L202" s="90"/>
      <c r="M202" s="90" t="str">
        <f t="shared" si="27"/>
        <v/>
      </c>
      <c r="N202" s="14" t="str">
        <f t="shared" si="28"/>
        <v/>
      </c>
      <c r="O202" s="42" t="str">
        <f t="shared" si="29"/>
        <v/>
      </c>
      <c r="P202" s="42" t="str">
        <f t="shared" si="30"/>
        <v/>
      </c>
      <c r="Q202" s="42" t="str">
        <f t="shared" si="31"/>
        <v/>
      </c>
      <c r="R202" s="90" t="str">
        <f>IF(SUM($P202)=0,"",INDEX(Cascade!$BG:$BG,MATCH($E202,Cascade!$E:$E,0)))</f>
        <v/>
      </c>
      <c r="S202" s="42" t="str">
        <f t="shared" si="32"/>
        <v/>
      </c>
      <c r="T202" s="42" t="str">
        <f t="shared" si="33"/>
        <v/>
      </c>
      <c r="U202" s="14" t="str">
        <f>IFERROR(1/(1/INDEX(Cascade!$BH:$BH,MATCH($E202,Cascade!$E:$E,0))),"")</f>
        <v/>
      </c>
      <c r="V202" s="14" t="str">
        <f t="shared" si="34"/>
        <v/>
      </c>
      <c r="W202" s="14" t="str">
        <f>IFERROR(1/(1/INDEX(PMTCT!$AC:$AC,MATCH($E202,PMTCT!$E:$E,0))),"")</f>
        <v/>
      </c>
      <c r="X202" s="14" t="str">
        <f>IFERROR(1/(1/INDEX(PMTCT!$AS:$AS,MATCH($E202,PMTCT!$E:$E,0))),"")</f>
        <v/>
      </c>
      <c r="Y202" s="14" t="str">
        <f>IFERROR(1/(1/INDEX(VMMC!$AA:$AA,MATCH($E202,VMMC!$E:$E,0))),"")</f>
        <v/>
      </c>
      <c r="Z202" s="14" t="str">
        <f t="shared" si="35"/>
        <v/>
      </c>
    </row>
    <row r="203" spans="1:26" x14ac:dyDescent="0.2">
      <c r="A203" t="str">
        <f>INDEX(Prioritization!$D:$D,MATCH($B203,Prioritization!$A:$A,0))</f>
        <v>INVALID</v>
      </c>
      <c r="B203" t="s">
        <v>208</v>
      </c>
      <c r="C203" t="s">
        <v>366</v>
      </c>
      <c r="D203" t="s">
        <v>29</v>
      </c>
      <c r="E203" t="str">
        <f t="shared" si="24"/>
        <v>Rumphi District [lPTyjLi4w3d]|35-49|Female</v>
      </c>
      <c r="F203" s="14"/>
      <c r="G203" s="90">
        <f>0</f>
        <v>0</v>
      </c>
      <c r="H203" s="42" t="str">
        <f t="shared" si="25"/>
        <v/>
      </c>
      <c r="I203" s="14"/>
      <c r="J203" s="90"/>
      <c r="K203" s="90" t="str">
        <f t="shared" si="26"/>
        <v/>
      </c>
      <c r="L203" s="90"/>
      <c r="M203" s="90" t="str">
        <f t="shared" si="27"/>
        <v/>
      </c>
      <c r="N203" s="14" t="str">
        <f t="shared" si="28"/>
        <v/>
      </c>
      <c r="O203" s="42" t="str">
        <f t="shared" si="29"/>
        <v/>
      </c>
      <c r="P203" s="42" t="str">
        <f t="shared" si="30"/>
        <v/>
      </c>
      <c r="Q203" s="42" t="str">
        <f t="shared" si="31"/>
        <v/>
      </c>
      <c r="R203" s="90" t="str">
        <f>IF(SUM($P203)=0,"",INDEX(Cascade!$BG:$BG,MATCH($E203,Cascade!$E:$E,0)))</f>
        <v/>
      </c>
      <c r="S203" s="42" t="str">
        <f t="shared" si="32"/>
        <v/>
      </c>
      <c r="T203" s="42" t="str">
        <f t="shared" si="33"/>
        <v/>
      </c>
      <c r="U203" s="14" t="str">
        <f>IFERROR(1/(1/INDEX(Cascade!$BH:$BH,MATCH($E203,Cascade!$E:$E,0))),"")</f>
        <v/>
      </c>
      <c r="V203" s="14" t="str">
        <f t="shared" si="34"/>
        <v/>
      </c>
      <c r="W203" s="14" t="str">
        <f>IFERROR(1/(1/INDEX(PMTCT!$AC:$AC,MATCH($E203,PMTCT!$E:$E,0))),"")</f>
        <v/>
      </c>
      <c r="X203" s="14" t="str">
        <f>IFERROR(1/(1/INDEX(PMTCT!$AS:$AS,MATCH($E203,PMTCT!$E:$E,0))),"")</f>
        <v/>
      </c>
      <c r="Y203" s="14" t="str">
        <f>IFERROR(1/(1/INDEX(VMMC!$AA:$AA,MATCH($E203,VMMC!$E:$E,0))),"")</f>
        <v/>
      </c>
      <c r="Z203" s="14" t="str">
        <f t="shared" si="35"/>
        <v/>
      </c>
    </row>
    <row r="204" spans="1:26" x14ac:dyDescent="0.2">
      <c r="A204" t="str">
        <f>INDEX(Prioritization!$D:$D,MATCH($B204,Prioritization!$A:$A,0))</f>
        <v>INVALID</v>
      </c>
      <c r="B204" t="s">
        <v>208</v>
      </c>
      <c r="C204" t="s">
        <v>366</v>
      </c>
      <c r="D204" t="s">
        <v>47</v>
      </c>
      <c r="E204" t="str">
        <f t="shared" si="24"/>
        <v>Rumphi District [lPTyjLi4w3d]|35-49|Male</v>
      </c>
      <c r="F204" s="14"/>
      <c r="G204" s="90">
        <f>0</f>
        <v>0</v>
      </c>
      <c r="H204" s="42" t="str">
        <f t="shared" si="25"/>
        <v/>
      </c>
      <c r="I204" s="14"/>
      <c r="J204" s="90"/>
      <c r="K204" s="90" t="str">
        <f t="shared" si="26"/>
        <v/>
      </c>
      <c r="L204" s="90"/>
      <c r="M204" s="90" t="str">
        <f t="shared" si="27"/>
        <v/>
      </c>
      <c r="N204" s="14" t="str">
        <f t="shared" si="28"/>
        <v/>
      </c>
      <c r="O204" s="42" t="str">
        <f t="shared" si="29"/>
        <v/>
      </c>
      <c r="P204" s="42" t="str">
        <f t="shared" si="30"/>
        <v/>
      </c>
      <c r="Q204" s="42" t="str">
        <f t="shared" si="31"/>
        <v/>
      </c>
      <c r="R204" s="90" t="str">
        <f>IF(SUM($P204)=0,"",INDEX(Cascade!$BG:$BG,MATCH($E204,Cascade!$E:$E,0)))</f>
        <v/>
      </c>
      <c r="S204" s="42" t="str">
        <f t="shared" si="32"/>
        <v/>
      </c>
      <c r="T204" s="42" t="str">
        <f t="shared" si="33"/>
        <v/>
      </c>
      <c r="U204" s="14" t="str">
        <f>IFERROR(1/(1/INDEX(Cascade!$BH:$BH,MATCH($E204,Cascade!$E:$E,0))),"")</f>
        <v/>
      </c>
      <c r="V204" s="14" t="str">
        <f t="shared" si="34"/>
        <v/>
      </c>
      <c r="W204" s="14" t="str">
        <f>IFERROR(1/(1/INDEX(PMTCT!$AC:$AC,MATCH($E204,PMTCT!$E:$E,0))),"")</f>
        <v/>
      </c>
      <c r="X204" s="14" t="str">
        <f>IFERROR(1/(1/INDEX(PMTCT!$AS:$AS,MATCH($E204,PMTCT!$E:$E,0))),"")</f>
        <v/>
      </c>
      <c r="Y204" s="14" t="str">
        <f>IFERROR(1/(1/INDEX(VMMC!$AA:$AA,MATCH($E204,VMMC!$E:$E,0))),"")</f>
        <v/>
      </c>
      <c r="Z204" s="14" t="str">
        <f t="shared" si="35"/>
        <v/>
      </c>
    </row>
    <row r="205" spans="1:26" x14ac:dyDescent="0.2">
      <c r="A205" t="str">
        <f>INDEX(Prioritization!$D:$D,MATCH($B205,Prioritization!$A:$A,0))</f>
        <v>INVALID</v>
      </c>
      <c r="B205" t="s">
        <v>208</v>
      </c>
      <c r="C205" t="s">
        <v>367</v>
      </c>
      <c r="D205" t="s">
        <v>29</v>
      </c>
      <c r="E205" t="str">
        <f t="shared" si="24"/>
        <v>Rumphi District [lPTyjLi4w3d]|50+|Female</v>
      </c>
      <c r="F205" s="14"/>
      <c r="G205" s="90">
        <f>0</f>
        <v>0</v>
      </c>
      <c r="H205" s="42" t="str">
        <f t="shared" si="25"/>
        <v/>
      </c>
      <c r="I205" s="14"/>
      <c r="J205" s="90"/>
      <c r="K205" s="90" t="str">
        <f t="shared" si="26"/>
        <v/>
      </c>
      <c r="L205" s="90"/>
      <c r="M205" s="90" t="str">
        <f t="shared" si="27"/>
        <v/>
      </c>
      <c r="N205" s="14" t="str">
        <f t="shared" si="28"/>
        <v/>
      </c>
      <c r="O205" s="42" t="str">
        <f t="shared" si="29"/>
        <v/>
      </c>
      <c r="P205" s="42" t="str">
        <f t="shared" si="30"/>
        <v/>
      </c>
      <c r="Q205" s="42" t="str">
        <f t="shared" si="31"/>
        <v/>
      </c>
      <c r="R205" s="90" t="str">
        <f>IF(SUM($P205)=0,"",INDEX(Cascade!$BG:$BG,MATCH($E205,Cascade!$E:$E,0)))</f>
        <v/>
      </c>
      <c r="S205" s="42" t="str">
        <f t="shared" si="32"/>
        <v/>
      </c>
      <c r="T205" s="42" t="str">
        <f t="shared" si="33"/>
        <v/>
      </c>
      <c r="U205" s="14" t="str">
        <f>IFERROR(1/(1/INDEX(Cascade!$BH:$BH,MATCH($E205,Cascade!$E:$E,0))),"")</f>
        <v/>
      </c>
      <c r="V205" s="14" t="str">
        <f t="shared" si="34"/>
        <v/>
      </c>
      <c r="W205" s="14" t="str">
        <f>IFERROR(1/(1/INDEX(PMTCT!$AC:$AC,MATCH($E205,PMTCT!$E:$E,0))),"")</f>
        <v/>
      </c>
      <c r="X205" s="14" t="str">
        <f>IFERROR(1/(1/INDEX(PMTCT!$AS:$AS,MATCH($E205,PMTCT!$E:$E,0))),"")</f>
        <v/>
      </c>
      <c r="Y205" s="14" t="str">
        <f>IFERROR(1/(1/INDEX(VMMC!$AA:$AA,MATCH($E205,VMMC!$E:$E,0))),"")</f>
        <v/>
      </c>
      <c r="Z205" s="14" t="str">
        <f t="shared" si="35"/>
        <v/>
      </c>
    </row>
    <row r="206" spans="1:26" x14ac:dyDescent="0.2">
      <c r="A206" t="str">
        <f>INDEX(Prioritization!$D:$D,MATCH($B206,Prioritization!$A:$A,0))</f>
        <v>INVALID</v>
      </c>
      <c r="B206" t="s">
        <v>208</v>
      </c>
      <c r="C206" t="s">
        <v>367</v>
      </c>
      <c r="D206" t="s">
        <v>47</v>
      </c>
      <c r="E206" t="str">
        <f t="shared" si="24"/>
        <v>Rumphi District [lPTyjLi4w3d]|50+|Male</v>
      </c>
      <c r="F206" s="14"/>
      <c r="G206" s="90">
        <f>0</f>
        <v>0</v>
      </c>
      <c r="H206" s="42" t="str">
        <f t="shared" si="25"/>
        <v/>
      </c>
      <c r="I206" s="14"/>
      <c r="J206" s="90"/>
      <c r="K206" s="90" t="str">
        <f t="shared" si="26"/>
        <v/>
      </c>
      <c r="L206" s="90"/>
      <c r="M206" s="90" t="str">
        <f t="shared" si="27"/>
        <v/>
      </c>
      <c r="N206" s="14" t="str">
        <f t="shared" si="28"/>
        <v/>
      </c>
      <c r="O206" s="42" t="str">
        <f t="shared" si="29"/>
        <v/>
      </c>
      <c r="P206" s="42" t="str">
        <f t="shared" si="30"/>
        <v/>
      </c>
      <c r="Q206" s="42" t="str">
        <f t="shared" si="31"/>
        <v/>
      </c>
      <c r="R206" s="90" t="str">
        <f>IF(SUM($P206)=0,"",INDEX(Cascade!$BG:$BG,MATCH($E206,Cascade!$E:$E,0)))</f>
        <v/>
      </c>
      <c r="S206" s="42" t="str">
        <f t="shared" si="32"/>
        <v/>
      </c>
      <c r="T206" s="42" t="str">
        <f t="shared" si="33"/>
        <v/>
      </c>
      <c r="U206" s="14" t="str">
        <f>IFERROR(1/(1/INDEX(Cascade!$BH:$BH,MATCH($E206,Cascade!$E:$E,0))),"")</f>
        <v/>
      </c>
      <c r="V206" s="14" t="str">
        <f t="shared" si="34"/>
        <v/>
      </c>
      <c r="W206" s="14" t="str">
        <f>IFERROR(1/(1/INDEX(PMTCT!$AC:$AC,MATCH($E206,PMTCT!$E:$E,0))),"")</f>
        <v/>
      </c>
      <c r="X206" s="14" t="str">
        <f>IFERROR(1/(1/INDEX(PMTCT!$AS:$AS,MATCH($E206,PMTCT!$E:$E,0))),"")</f>
        <v/>
      </c>
      <c r="Y206" s="14" t="str">
        <f>IFERROR(1/(1/INDEX(VMMC!$AA:$AA,MATCH($E206,VMMC!$E:$E,0))),"")</f>
        <v/>
      </c>
      <c r="Z206" s="14" t="str">
        <f t="shared" si="35"/>
        <v/>
      </c>
    </row>
    <row r="207" spans="1:26" x14ac:dyDescent="0.2">
      <c r="A207" t="str">
        <f>INDEX(Prioritization!$D:$D,MATCH($B207,Prioritization!$A:$A,0))</f>
        <v>1 - Scale-up: Saturation</v>
      </c>
      <c r="B207" t="s">
        <v>209</v>
      </c>
      <c r="C207" t="s">
        <v>362</v>
      </c>
      <c r="D207" t="s">
        <v>29</v>
      </c>
      <c r="E207" t="str">
        <f t="shared" ref="E207:E270" si="36">B207&amp;"|"&amp;C207&amp;"|"&amp;D207</f>
        <v>Balaka District [ir8wuHHzoSs]|01-09|Female</v>
      </c>
      <c r="F207" s="14"/>
      <c r="G207" s="90">
        <f>0</f>
        <v>0</v>
      </c>
      <c r="H207" s="42" t="str">
        <f t="shared" ref="H207:H270" si="37">IF(SUM($F207)=0,"",ROUND($F207*(1+$G207),0))</f>
        <v/>
      </c>
      <c r="I207" s="14"/>
      <c r="J207" s="90"/>
      <c r="K207" s="90" t="str">
        <f t="shared" ref="K207:K270" si="38">IF($J207="","",$J207)</f>
        <v/>
      </c>
      <c r="L207" s="90"/>
      <c r="M207" s="90" t="str">
        <f t="shared" ref="M207:M270" si="39">IF($L207="","",$L207)</f>
        <v/>
      </c>
      <c r="N207" s="14" t="str">
        <f t="shared" ref="N207:N270" si="40">$H207</f>
        <v/>
      </c>
      <c r="O207" s="42" t="str">
        <f t="shared" ref="O207:O270" si="41">IF(SUM($N207)=0,"",IF(AND(SUM($N207)&gt;0,$K207=""),"ENTER KNOWN POSITIVITY RATE",ROUND($N207*$K207,0)))</f>
        <v/>
      </c>
      <c r="P207" s="42" t="str">
        <f t="shared" ref="P207:P270" si="42">IF(SUM($N207)=0,"",IF(AND((SUM($N207)-SUM($O207))&gt;0,$M207=""),"ENTER YIELD RATE",ROUND(($N207-SUM($O207))*$M207,0)))</f>
        <v/>
      </c>
      <c r="Q207" s="42" t="str">
        <f t="shared" ref="Q207:Q270" si="43">IF(SUM($N207)=0,"",$N207-SUM($O207)-SUM($P207))</f>
        <v/>
      </c>
      <c r="R207" s="90" t="str">
        <f>IF(SUM($P207)=0,"",INDEX(Cascade!$BG:$BG,MATCH($E207,Cascade!$E:$E,0)))</f>
        <v/>
      </c>
      <c r="S207" s="42" t="str">
        <f t="shared" ref="S207:S270" si="44">$O207</f>
        <v/>
      </c>
      <c r="T207" s="42" t="str">
        <f t="shared" ref="T207:T270" si="45">IF(SUM($P207)=0,"",IF(AND($R207="",SUM($P207)&gt;0),"&lt;- Enter Linkage Rate",ROUND($P207*$R207,0)))</f>
        <v/>
      </c>
      <c r="U207" s="14" t="str">
        <f>IFERROR(1/(1/INDEX(Cascade!$BH:$BH,MATCH($E207,Cascade!$E:$E,0))),"")</f>
        <v/>
      </c>
      <c r="V207" s="14" t="str">
        <f t="shared" ref="V207:V270" si="46">IF(SUM($P207)=0,"",$P207)</f>
        <v/>
      </c>
      <c r="W207" s="14" t="str">
        <f>IFERROR(1/(1/INDEX(PMTCT!$AC:$AC,MATCH($E207,PMTCT!$E:$E,0))),"")</f>
        <v/>
      </c>
      <c r="X207" s="14" t="str">
        <f>IFERROR(1/(1/INDEX(PMTCT!$AS:$AS,MATCH($E207,PMTCT!$E:$E,0))),"")</f>
        <v/>
      </c>
      <c r="Y207" s="14" t="str">
        <f>IFERROR(1/(1/INDEX(VMMC!$AA:$AA,MATCH($E207,VMMC!$E:$E,0))),"")</f>
        <v/>
      </c>
      <c r="Z207" s="14" t="str">
        <f t="shared" ref="Z207:Z270" si="47">IFERROR(1/(1/(SUM($U207)-SUM($V207:$Y207))),"")</f>
        <v/>
      </c>
    </row>
    <row r="208" spans="1:26" x14ac:dyDescent="0.2">
      <c r="A208" t="str">
        <f>INDEX(Prioritization!$D:$D,MATCH($B208,Prioritization!$A:$A,0))</f>
        <v>1 - Scale-up: Saturation</v>
      </c>
      <c r="B208" t="s">
        <v>209</v>
      </c>
      <c r="C208" t="s">
        <v>362</v>
      </c>
      <c r="D208" t="s">
        <v>47</v>
      </c>
      <c r="E208" t="str">
        <f t="shared" si="36"/>
        <v>Balaka District [ir8wuHHzoSs]|01-09|Male</v>
      </c>
      <c r="F208" s="14"/>
      <c r="G208" s="90">
        <f>0</f>
        <v>0</v>
      </c>
      <c r="H208" s="42" t="str">
        <f t="shared" si="37"/>
        <v/>
      </c>
      <c r="I208" s="14"/>
      <c r="J208" s="90"/>
      <c r="K208" s="90" t="str">
        <f t="shared" si="38"/>
        <v/>
      </c>
      <c r="L208" s="90"/>
      <c r="M208" s="90" t="str">
        <f t="shared" si="39"/>
        <v/>
      </c>
      <c r="N208" s="14" t="str">
        <f t="shared" si="40"/>
        <v/>
      </c>
      <c r="O208" s="42" t="str">
        <f t="shared" si="41"/>
        <v/>
      </c>
      <c r="P208" s="42" t="str">
        <f t="shared" si="42"/>
        <v/>
      </c>
      <c r="Q208" s="42" t="str">
        <f t="shared" si="43"/>
        <v/>
      </c>
      <c r="R208" s="90" t="str">
        <f>IF(SUM($P208)=0,"",INDEX(Cascade!$BG:$BG,MATCH($E208,Cascade!$E:$E,0)))</f>
        <v/>
      </c>
      <c r="S208" s="42" t="str">
        <f t="shared" si="44"/>
        <v/>
      </c>
      <c r="T208" s="42" t="str">
        <f t="shared" si="45"/>
        <v/>
      </c>
      <c r="U208" s="14" t="str">
        <f>IFERROR(1/(1/INDEX(Cascade!$BH:$BH,MATCH($E208,Cascade!$E:$E,0))),"")</f>
        <v/>
      </c>
      <c r="V208" s="14" t="str">
        <f t="shared" si="46"/>
        <v/>
      </c>
      <c r="W208" s="14" t="str">
        <f>IFERROR(1/(1/INDEX(PMTCT!$AC:$AC,MATCH($E208,PMTCT!$E:$E,0))),"")</f>
        <v/>
      </c>
      <c r="X208" s="14" t="str">
        <f>IFERROR(1/(1/INDEX(PMTCT!$AS:$AS,MATCH($E208,PMTCT!$E:$E,0))),"")</f>
        <v/>
      </c>
      <c r="Y208" s="14" t="str">
        <f>IFERROR(1/(1/INDEX(VMMC!$AA:$AA,MATCH($E208,VMMC!$E:$E,0))),"")</f>
        <v/>
      </c>
      <c r="Z208" s="14" t="str">
        <f t="shared" si="47"/>
        <v/>
      </c>
    </row>
    <row r="209" spans="1:26" x14ac:dyDescent="0.2">
      <c r="A209" t="str">
        <f>INDEX(Prioritization!$D:$D,MATCH($B209,Prioritization!$A:$A,0))</f>
        <v>1 - Scale-up: Saturation</v>
      </c>
      <c r="B209" t="s">
        <v>209</v>
      </c>
      <c r="C209" t="s">
        <v>363</v>
      </c>
      <c r="D209" t="s">
        <v>29</v>
      </c>
      <c r="E209" t="str">
        <f t="shared" si="36"/>
        <v>Balaka District [ir8wuHHzoSs]|10-14|Female</v>
      </c>
      <c r="F209" s="14">
        <v>1</v>
      </c>
      <c r="G209" s="90">
        <f>0</f>
        <v>0</v>
      </c>
      <c r="H209" s="42">
        <f t="shared" si="37"/>
        <v>1</v>
      </c>
      <c r="I209" s="14"/>
      <c r="J209" s="90"/>
      <c r="K209" s="90" t="str">
        <f t="shared" si="38"/>
        <v/>
      </c>
      <c r="L209" s="90"/>
      <c r="M209" s="90" t="str">
        <f t="shared" si="39"/>
        <v/>
      </c>
      <c r="N209" s="14">
        <f t="shared" si="40"/>
        <v>1</v>
      </c>
      <c r="O209" s="42" t="str">
        <f t="shared" si="41"/>
        <v>ENTER KNOWN POSITIVITY RATE</v>
      </c>
      <c r="P209" s="42" t="str">
        <f t="shared" si="42"/>
        <v>ENTER YIELD RATE</v>
      </c>
      <c r="Q209" s="42">
        <f t="shared" si="43"/>
        <v>1</v>
      </c>
      <c r="R209" s="90" t="str">
        <f>IF(SUM($P209)=0,"",INDEX(Cascade!$BG:$BG,MATCH($E209,Cascade!$E:$E,0)))</f>
        <v/>
      </c>
      <c r="S209" s="42" t="str">
        <f t="shared" si="44"/>
        <v>ENTER KNOWN POSITIVITY RATE</v>
      </c>
      <c r="T209" s="42" t="str">
        <f t="shared" si="45"/>
        <v/>
      </c>
      <c r="U209" s="14">
        <f>IFERROR(1/(1/INDEX(Cascade!$BH:$BH,MATCH($E209,Cascade!$E:$E,0))),"")</f>
        <v>-97</v>
      </c>
      <c r="V209" s="14" t="str">
        <f t="shared" si="46"/>
        <v/>
      </c>
      <c r="W209" s="14" t="str">
        <f>IFERROR(1/(1/INDEX(PMTCT!$AC:$AC,MATCH($E209,PMTCT!$E:$E,0))),"")</f>
        <v/>
      </c>
      <c r="X209" s="14" t="str">
        <f>IFERROR(1/(1/INDEX(PMTCT!$AS:$AS,MATCH($E209,PMTCT!$E:$E,0))),"")</f>
        <v/>
      </c>
      <c r="Y209" s="14" t="str">
        <f>IFERROR(1/(1/INDEX(VMMC!$AA:$AA,MATCH($E209,VMMC!$E:$E,0))),"")</f>
        <v/>
      </c>
      <c r="Z209" s="14">
        <f t="shared" si="47"/>
        <v>-97</v>
      </c>
    </row>
    <row r="210" spans="1:26" x14ac:dyDescent="0.2">
      <c r="A210" t="str">
        <f>INDEX(Prioritization!$D:$D,MATCH($B210,Prioritization!$A:$A,0))</f>
        <v>1 - Scale-up: Saturation</v>
      </c>
      <c r="B210" t="s">
        <v>209</v>
      </c>
      <c r="C210" t="s">
        <v>363</v>
      </c>
      <c r="D210" t="s">
        <v>47</v>
      </c>
      <c r="E210" t="str">
        <f t="shared" si="36"/>
        <v>Balaka District [ir8wuHHzoSs]|10-14|Male</v>
      </c>
      <c r="F210" s="14">
        <v>0</v>
      </c>
      <c r="G210" s="90">
        <f>0</f>
        <v>0</v>
      </c>
      <c r="H210" s="42" t="str">
        <f t="shared" si="37"/>
        <v/>
      </c>
      <c r="I210" s="14"/>
      <c r="J210" s="90"/>
      <c r="K210" s="90" t="str">
        <f t="shared" si="38"/>
        <v/>
      </c>
      <c r="L210" s="90"/>
      <c r="M210" s="90" t="str">
        <f t="shared" si="39"/>
        <v/>
      </c>
      <c r="N210" s="14" t="str">
        <f t="shared" si="40"/>
        <v/>
      </c>
      <c r="O210" s="42" t="str">
        <f t="shared" si="41"/>
        <v/>
      </c>
      <c r="P210" s="42" t="str">
        <f t="shared" si="42"/>
        <v/>
      </c>
      <c r="Q210" s="42" t="str">
        <f t="shared" si="43"/>
        <v/>
      </c>
      <c r="R210" s="90" t="str">
        <f>IF(SUM($P210)=0,"",INDEX(Cascade!$BG:$BG,MATCH($E210,Cascade!$E:$E,0)))</f>
        <v/>
      </c>
      <c r="S210" s="42" t="str">
        <f t="shared" si="44"/>
        <v/>
      </c>
      <c r="T210" s="42" t="str">
        <f t="shared" si="45"/>
        <v/>
      </c>
      <c r="U210" s="14">
        <f>IFERROR(1/(1/INDEX(Cascade!$BH:$BH,MATCH($E210,Cascade!$E:$E,0))),"")</f>
        <v>-40</v>
      </c>
      <c r="V210" s="14" t="str">
        <f t="shared" si="46"/>
        <v/>
      </c>
      <c r="W210" s="14" t="str">
        <f>IFERROR(1/(1/INDEX(PMTCT!$AC:$AC,MATCH($E210,PMTCT!$E:$E,0))),"")</f>
        <v/>
      </c>
      <c r="X210" s="14" t="str">
        <f>IFERROR(1/(1/INDEX(PMTCT!$AS:$AS,MATCH($E210,PMTCT!$E:$E,0))),"")</f>
        <v/>
      </c>
      <c r="Y210" s="14" t="str">
        <f>IFERROR(1/(1/INDEX(VMMC!$AA:$AA,MATCH($E210,VMMC!$E:$E,0))),"")</f>
        <v/>
      </c>
      <c r="Z210" s="14">
        <f t="shared" si="47"/>
        <v>-40</v>
      </c>
    </row>
    <row r="211" spans="1:26" x14ac:dyDescent="0.2">
      <c r="A211" t="str">
        <f>INDEX(Prioritization!$D:$D,MATCH($B211,Prioritization!$A:$A,0))</f>
        <v>1 - Scale-up: Saturation</v>
      </c>
      <c r="B211" t="s">
        <v>209</v>
      </c>
      <c r="C211" t="s">
        <v>364</v>
      </c>
      <c r="D211" t="s">
        <v>29</v>
      </c>
      <c r="E211" t="str">
        <f t="shared" si="36"/>
        <v>Balaka District [ir8wuHHzoSs]|15-24|Female</v>
      </c>
      <c r="F211" s="14"/>
      <c r="G211" s="90">
        <f>0</f>
        <v>0</v>
      </c>
      <c r="H211" s="42" t="str">
        <f t="shared" si="37"/>
        <v/>
      </c>
      <c r="I211" s="14"/>
      <c r="J211" s="90"/>
      <c r="K211" s="90" t="str">
        <f t="shared" si="38"/>
        <v/>
      </c>
      <c r="L211" s="90"/>
      <c r="M211" s="90" t="str">
        <f t="shared" si="39"/>
        <v/>
      </c>
      <c r="N211" s="14" t="str">
        <f t="shared" si="40"/>
        <v/>
      </c>
      <c r="O211" s="42" t="str">
        <f t="shared" si="41"/>
        <v/>
      </c>
      <c r="P211" s="42" t="str">
        <f t="shared" si="42"/>
        <v/>
      </c>
      <c r="Q211" s="42" t="str">
        <f t="shared" si="43"/>
        <v/>
      </c>
      <c r="R211" s="90" t="str">
        <f>IF(SUM($P211)=0,"",INDEX(Cascade!$BG:$BG,MATCH($E211,Cascade!$E:$E,0)))</f>
        <v/>
      </c>
      <c r="S211" s="42" t="str">
        <f t="shared" si="44"/>
        <v/>
      </c>
      <c r="T211" s="42" t="str">
        <f t="shared" si="45"/>
        <v/>
      </c>
      <c r="U211" s="14" t="str">
        <f>IFERROR(1/(1/INDEX(Cascade!$BH:$BH,MATCH($E211,Cascade!$E:$E,0))),"")</f>
        <v/>
      </c>
      <c r="V211" s="14" t="str">
        <f t="shared" si="46"/>
        <v/>
      </c>
      <c r="W211" s="14" t="str">
        <f>IFERROR(1/(1/INDEX(PMTCT!$AC:$AC,MATCH($E211,PMTCT!$E:$E,0))),"")</f>
        <v/>
      </c>
      <c r="X211" s="14" t="str">
        <f>IFERROR(1/(1/INDEX(PMTCT!$AS:$AS,MATCH($E211,PMTCT!$E:$E,0))),"")</f>
        <v/>
      </c>
      <c r="Y211" s="14" t="str">
        <f>IFERROR(1/(1/INDEX(VMMC!$AA:$AA,MATCH($E211,VMMC!$E:$E,0))),"")</f>
        <v/>
      </c>
      <c r="Z211" s="14" t="str">
        <f t="shared" si="47"/>
        <v/>
      </c>
    </row>
    <row r="212" spans="1:26" x14ac:dyDescent="0.2">
      <c r="A212" t="str">
        <f>INDEX(Prioritization!$D:$D,MATCH($B212,Prioritization!$A:$A,0))</f>
        <v>1 - Scale-up: Saturation</v>
      </c>
      <c r="B212" t="s">
        <v>209</v>
      </c>
      <c r="C212" t="s">
        <v>364</v>
      </c>
      <c r="D212" t="s">
        <v>47</v>
      </c>
      <c r="E212" t="str">
        <f t="shared" si="36"/>
        <v>Balaka District [ir8wuHHzoSs]|15-24|Male</v>
      </c>
      <c r="F212" s="14"/>
      <c r="G212" s="90">
        <f>0</f>
        <v>0</v>
      </c>
      <c r="H212" s="42" t="str">
        <f t="shared" si="37"/>
        <v/>
      </c>
      <c r="I212" s="14"/>
      <c r="J212" s="90"/>
      <c r="K212" s="90" t="str">
        <f t="shared" si="38"/>
        <v/>
      </c>
      <c r="L212" s="90"/>
      <c r="M212" s="90" t="str">
        <f t="shared" si="39"/>
        <v/>
      </c>
      <c r="N212" s="14" t="str">
        <f t="shared" si="40"/>
        <v/>
      </c>
      <c r="O212" s="42" t="str">
        <f t="shared" si="41"/>
        <v/>
      </c>
      <c r="P212" s="42" t="str">
        <f t="shared" si="42"/>
        <v/>
      </c>
      <c r="Q212" s="42" t="str">
        <f t="shared" si="43"/>
        <v/>
      </c>
      <c r="R212" s="90" t="str">
        <f>IF(SUM($P212)=0,"",INDEX(Cascade!$BG:$BG,MATCH($E212,Cascade!$E:$E,0)))</f>
        <v/>
      </c>
      <c r="S212" s="42" t="str">
        <f t="shared" si="44"/>
        <v/>
      </c>
      <c r="T212" s="42" t="str">
        <f t="shared" si="45"/>
        <v/>
      </c>
      <c r="U212" s="14" t="str">
        <f>IFERROR(1/(1/INDEX(Cascade!$BH:$BH,MATCH($E212,Cascade!$E:$E,0))),"")</f>
        <v/>
      </c>
      <c r="V212" s="14" t="str">
        <f t="shared" si="46"/>
        <v/>
      </c>
      <c r="W212" s="14" t="str">
        <f>IFERROR(1/(1/INDEX(PMTCT!$AC:$AC,MATCH($E212,PMTCT!$E:$E,0))),"")</f>
        <v/>
      </c>
      <c r="X212" s="14" t="str">
        <f>IFERROR(1/(1/INDEX(PMTCT!$AS:$AS,MATCH($E212,PMTCT!$E:$E,0))),"")</f>
        <v/>
      </c>
      <c r="Y212" s="14" t="str">
        <f>IFERROR(1/(1/INDEX(VMMC!$AA:$AA,MATCH($E212,VMMC!$E:$E,0))),"")</f>
        <v/>
      </c>
      <c r="Z212" s="14" t="str">
        <f t="shared" si="47"/>
        <v/>
      </c>
    </row>
    <row r="213" spans="1:26" x14ac:dyDescent="0.2">
      <c r="A213" t="str">
        <f>INDEX(Prioritization!$D:$D,MATCH($B213,Prioritization!$A:$A,0))</f>
        <v>1 - Scale-up: Saturation</v>
      </c>
      <c r="B213" t="s">
        <v>209</v>
      </c>
      <c r="C213" t="s">
        <v>365</v>
      </c>
      <c r="D213" t="s">
        <v>29</v>
      </c>
      <c r="E213" t="str">
        <f t="shared" si="36"/>
        <v>Balaka District [ir8wuHHzoSs]|25-34|Female</v>
      </c>
      <c r="F213" s="14"/>
      <c r="G213" s="90">
        <f>0</f>
        <v>0</v>
      </c>
      <c r="H213" s="42" t="str">
        <f t="shared" si="37"/>
        <v/>
      </c>
      <c r="I213" s="14"/>
      <c r="J213" s="90"/>
      <c r="K213" s="90" t="str">
        <f t="shared" si="38"/>
        <v/>
      </c>
      <c r="L213" s="90"/>
      <c r="M213" s="90" t="str">
        <f t="shared" si="39"/>
        <v/>
      </c>
      <c r="N213" s="14" t="str">
        <f t="shared" si="40"/>
        <v/>
      </c>
      <c r="O213" s="42" t="str">
        <f t="shared" si="41"/>
        <v/>
      </c>
      <c r="P213" s="42" t="str">
        <f t="shared" si="42"/>
        <v/>
      </c>
      <c r="Q213" s="42" t="str">
        <f t="shared" si="43"/>
        <v/>
      </c>
      <c r="R213" s="90" t="str">
        <f>IF(SUM($P213)=0,"",INDEX(Cascade!$BG:$BG,MATCH($E213,Cascade!$E:$E,0)))</f>
        <v/>
      </c>
      <c r="S213" s="42" t="str">
        <f t="shared" si="44"/>
        <v/>
      </c>
      <c r="T213" s="42" t="str">
        <f t="shared" si="45"/>
        <v/>
      </c>
      <c r="U213" s="14" t="str">
        <f>IFERROR(1/(1/INDEX(Cascade!$BH:$BH,MATCH($E213,Cascade!$E:$E,0))),"")</f>
        <v/>
      </c>
      <c r="V213" s="14" t="str">
        <f t="shared" si="46"/>
        <v/>
      </c>
      <c r="W213" s="14" t="str">
        <f>IFERROR(1/(1/INDEX(PMTCT!$AC:$AC,MATCH($E213,PMTCT!$E:$E,0))),"")</f>
        <v/>
      </c>
      <c r="X213" s="14" t="str">
        <f>IFERROR(1/(1/INDEX(PMTCT!$AS:$AS,MATCH($E213,PMTCT!$E:$E,0))),"")</f>
        <v/>
      </c>
      <c r="Y213" s="14" t="str">
        <f>IFERROR(1/(1/INDEX(VMMC!$AA:$AA,MATCH($E213,VMMC!$E:$E,0))),"")</f>
        <v/>
      </c>
      <c r="Z213" s="14" t="str">
        <f t="shared" si="47"/>
        <v/>
      </c>
    </row>
    <row r="214" spans="1:26" x14ac:dyDescent="0.2">
      <c r="A214" t="str">
        <f>INDEX(Prioritization!$D:$D,MATCH($B214,Prioritization!$A:$A,0))</f>
        <v>1 - Scale-up: Saturation</v>
      </c>
      <c r="B214" t="s">
        <v>209</v>
      </c>
      <c r="C214" t="s">
        <v>365</v>
      </c>
      <c r="D214" t="s">
        <v>47</v>
      </c>
      <c r="E214" t="str">
        <f t="shared" si="36"/>
        <v>Balaka District [ir8wuHHzoSs]|25-34|Male</v>
      </c>
      <c r="F214" s="14"/>
      <c r="G214" s="90">
        <f>0</f>
        <v>0</v>
      </c>
      <c r="H214" s="42" t="str">
        <f t="shared" si="37"/>
        <v/>
      </c>
      <c r="I214" s="14"/>
      <c r="J214" s="90"/>
      <c r="K214" s="90" t="str">
        <f t="shared" si="38"/>
        <v/>
      </c>
      <c r="L214" s="90"/>
      <c r="M214" s="90" t="str">
        <f t="shared" si="39"/>
        <v/>
      </c>
      <c r="N214" s="14" t="str">
        <f t="shared" si="40"/>
        <v/>
      </c>
      <c r="O214" s="42" t="str">
        <f t="shared" si="41"/>
        <v/>
      </c>
      <c r="P214" s="42" t="str">
        <f t="shared" si="42"/>
        <v/>
      </c>
      <c r="Q214" s="42" t="str">
        <f t="shared" si="43"/>
        <v/>
      </c>
      <c r="R214" s="90" t="str">
        <f>IF(SUM($P214)=0,"",INDEX(Cascade!$BG:$BG,MATCH($E214,Cascade!$E:$E,0)))</f>
        <v/>
      </c>
      <c r="S214" s="42" t="str">
        <f t="shared" si="44"/>
        <v/>
      </c>
      <c r="T214" s="42" t="str">
        <f t="shared" si="45"/>
        <v/>
      </c>
      <c r="U214" s="14" t="str">
        <f>IFERROR(1/(1/INDEX(Cascade!$BH:$BH,MATCH($E214,Cascade!$E:$E,0))),"")</f>
        <v/>
      </c>
      <c r="V214" s="14" t="str">
        <f t="shared" si="46"/>
        <v/>
      </c>
      <c r="W214" s="14" t="str">
        <f>IFERROR(1/(1/INDEX(PMTCT!$AC:$AC,MATCH($E214,PMTCT!$E:$E,0))),"")</f>
        <v/>
      </c>
      <c r="X214" s="14" t="str">
        <f>IFERROR(1/(1/INDEX(PMTCT!$AS:$AS,MATCH($E214,PMTCT!$E:$E,0))),"")</f>
        <v/>
      </c>
      <c r="Y214" s="14" t="str">
        <f>IFERROR(1/(1/INDEX(VMMC!$AA:$AA,MATCH($E214,VMMC!$E:$E,0))),"")</f>
        <v/>
      </c>
      <c r="Z214" s="14" t="str">
        <f t="shared" si="47"/>
        <v/>
      </c>
    </row>
    <row r="215" spans="1:26" x14ac:dyDescent="0.2">
      <c r="A215" t="str">
        <f>INDEX(Prioritization!$D:$D,MATCH($B215,Prioritization!$A:$A,0))</f>
        <v>1 - Scale-up: Saturation</v>
      </c>
      <c r="B215" t="s">
        <v>209</v>
      </c>
      <c r="C215" t="s">
        <v>366</v>
      </c>
      <c r="D215" t="s">
        <v>29</v>
      </c>
      <c r="E215" t="str">
        <f t="shared" si="36"/>
        <v>Balaka District [ir8wuHHzoSs]|35-49|Female</v>
      </c>
      <c r="F215" s="14"/>
      <c r="G215" s="90">
        <f>0</f>
        <v>0</v>
      </c>
      <c r="H215" s="42" t="str">
        <f t="shared" si="37"/>
        <v/>
      </c>
      <c r="I215" s="14"/>
      <c r="J215" s="90"/>
      <c r="K215" s="90" t="str">
        <f t="shared" si="38"/>
        <v/>
      </c>
      <c r="L215" s="90"/>
      <c r="M215" s="90" t="str">
        <f t="shared" si="39"/>
        <v/>
      </c>
      <c r="N215" s="14" t="str">
        <f t="shared" si="40"/>
        <v/>
      </c>
      <c r="O215" s="42" t="str">
        <f t="shared" si="41"/>
        <v/>
      </c>
      <c r="P215" s="42" t="str">
        <f t="shared" si="42"/>
        <v/>
      </c>
      <c r="Q215" s="42" t="str">
        <f t="shared" si="43"/>
        <v/>
      </c>
      <c r="R215" s="90" t="str">
        <f>IF(SUM($P215)=0,"",INDEX(Cascade!$BG:$BG,MATCH($E215,Cascade!$E:$E,0)))</f>
        <v/>
      </c>
      <c r="S215" s="42" t="str">
        <f t="shared" si="44"/>
        <v/>
      </c>
      <c r="T215" s="42" t="str">
        <f t="shared" si="45"/>
        <v/>
      </c>
      <c r="U215" s="14" t="str">
        <f>IFERROR(1/(1/INDEX(Cascade!$BH:$BH,MATCH($E215,Cascade!$E:$E,0))),"")</f>
        <v/>
      </c>
      <c r="V215" s="14" t="str">
        <f t="shared" si="46"/>
        <v/>
      </c>
      <c r="W215" s="14" t="str">
        <f>IFERROR(1/(1/INDEX(PMTCT!$AC:$AC,MATCH($E215,PMTCT!$E:$E,0))),"")</f>
        <v/>
      </c>
      <c r="X215" s="14" t="str">
        <f>IFERROR(1/(1/INDEX(PMTCT!$AS:$AS,MATCH($E215,PMTCT!$E:$E,0))),"")</f>
        <v/>
      </c>
      <c r="Y215" s="14" t="str">
        <f>IFERROR(1/(1/INDEX(VMMC!$AA:$AA,MATCH($E215,VMMC!$E:$E,0))),"")</f>
        <v/>
      </c>
      <c r="Z215" s="14" t="str">
        <f t="shared" si="47"/>
        <v/>
      </c>
    </row>
    <row r="216" spans="1:26" x14ac:dyDescent="0.2">
      <c r="A216" t="str">
        <f>INDEX(Prioritization!$D:$D,MATCH($B216,Prioritization!$A:$A,0))</f>
        <v>1 - Scale-up: Saturation</v>
      </c>
      <c r="B216" t="s">
        <v>209</v>
      </c>
      <c r="C216" t="s">
        <v>366</v>
      </c>
      <c r="D216" t="s">
        <v>47</v>
      </c>
      <c r="E216" t="str">
        <f t="shared" si="36"/>
        <v>Balaka District [ir8wuHHzoSs]|35-49|Male</v>
      </c>
      <c r="F216" s="14"/>
      <c r="G216" s="90">
        <f>0</f>
        <v>0</v>
      </c>
      <c r="H216" s="42" t="str">
        <f t="shared" si="37"/>
        <v/>
      </c>
      <c r="I216" s="14"/>
      <c r="J216" s="90"/>
      <c r="K216" s="90" t="str">
        <f t="shared" si="38"/>
        <v/>
      </c>
      <c r="L216" s="90"/>
      <c r="M216" s="90" t="str">
        <f t="shared" si="39"/>
        <v/>
      </c>
      <c r="N216" s="14" t="str">
        <f t="shared" si="40"/>
        <v/>
      </c>
      <c r="O216" s="42" t="str">
        <f t="shared" si="41"/>
        <v/>
      </c>
      <c r="P216" s="42" t="str">
        <f t="shared" si="42"/>
        <v/>
      </c>
      <c r="Q216" s="42" t="str">
        <f t="shared" si="43"/>
        <v/>
      </c>
      <c r="R216" s="90" t="str">
        <f>IF(SUM($P216)=0,"",INDEX(Cascade!$BG:$BG,MATCH($E216,Cascade!$E:$E,0)))</f>
        <v/>
      </c>
      <c r="S216" s="42" t="str">
        <f t="shared" si="44"/>
        <v/>
      </c>
      <c r="T216" s="42" t="str">
        <f t="shared" si="45"/>
        <v/>
      </c>
      <c r="U216" s="14" t="str">
        <f>IFERROR(1/(1/INDEX(Cascade!$BH:$BH,MATCH($E216,Cascade!$E:$E,0))),"")</f>
        <v/>
      </c>
      <c r="V216" s="14" t="str">
        <f t="shared" si="46"/>
        <v/>
      </c>
      <c r="W216" s="14" t="str">
        <f>IFERROR(1/(1/INDEX(PMTCT!$AC:$AC,MATCH($E216,PMTCT!$E:$E,0))),"")</f>
        <v/>
      </c>
      <c r="X216" s="14" t="str">
        <f>IFERROR(1/(1/INDEX(PMTCT!$AS:$AS,MATCH($E216,PMTCT!$E:$E,0))),"")</f>
        <v/>
      </c>
      <c r="Y216" s="14" t="str">
        <f>IFERROR(1/(1/INDEX(VMMC!$AA:$AA,MATCH($E216,VMMC!$E:$E,0))),"")</f>
        <v/>
      </c>
      <c r="Z216" s="14" t="str">
        <f t="shared" si="47"/>
        <v/>
      </c>
    </row>
    <row r="217" spans="1:26" x14ac:dyDescent="0.2">
      <c r="A217" t="str">
        <f>INDEX(Prioritization!$D:$D,MATCH($B217,Prioritization!$A:$A,0))</f>
        <v>1 - Scale-up: Saturation</v>
      </c>
      <c r="B217" t="s">
        <v>209</v>
      </c>
      <c r="C217" t="s">
        <v>367</v>
      </c>
      <c r="D217" t="s">
        <v>29</v>
      </c>
      <c r="E217" t="str">
        <f t="shared" si="36"/>
        <v>Balaka District [ir8wuHHzoSs]|50+|Female</v>
      </c>
      <c r="F217" s="14"/>
      <c r="G217" s="90">
        <f>0</f>
        <v>0</v>
      </c>
      <c r="H217" s="42" t="str">
        <f t="shared" si="37"/>
        <v/>
      </c>
      <c r="I217" s="14"/>
      <c r="J217" s="90"/>
      <c r="K217" s="90" t="str">
        <f t="shared" si="38"/>
        <v/>
      </c>
      <c r="L217" s="90"/>
      <c r="M217" s="90" t="str">
        <f t="shared" si="39"/>
        <v/>
      </c>
      <c r="N217" s="14" t="str">
        <f t="shared" si="40"/>
        <v/>
      </c>
      <c r="O217" s="42" t="str">
        <f t="shared" si="41"/>
        <v/>
      </c>
      <c r="P217" s="42" t="str">
        <f t="shared" si="42"/>
        <v/>
      </c>
      <c r="Q217" s="42" t="str">
        <f t="shared" si="43"/>
        <v/>
      </c>
      <c r="R217" s="90" t="str">
        <f>IF(SUM($P217)=0,"",INDEX(Cascade!$BG:$BG,MATCH($E217,Cascade!$E:$E,0)))</f>
        <v/>
      </c>
      <c r="S217" s="42" t="str">
        <f t="shared" si="44"/>
        <v/>
      </c>
      <c r="T217" s="42" t="str">
        <f t="shared" si="45"/>
        <v/>
      </c>
      <c r="U217" s="14" t="str">
        <f>IFERROR(1/(1/INDEX(Cascade!$BH:$BH,MATCH($E217,Cascade!$E:$E,0))),"")</f>
        <v/>
      </c>
      <c r="V217" s="14" t="str">
        <f t="shared" si="46"/>
        <v/>
      </c>
      <c r="W217" s="14" t="str">
        <f>IFERROR(1/(1/INDEX(PMTCT!$AC:$AC,MATCH($E217,PMTCT!$E:$E,0))),"")</f>
        <v/>
      </c>
      <c r="X217" s="14" t="str">
        <f>IFERROR(1/(1/INDEX(PMTCT!$AS:$AS,MATCH($E217,PMTCT!$E:$E,0))),"")</f>
        <v/>
      </c>
      <c r="Y217" s="14" t="str">
        <f>IFERROR(1/(1/INDEX(VMMC!$AA:$AA,MATCH($E217,VMMC!$E:$E,0))),"")</f>
        <v/>
      </c>
      <c r="Z217" s="14" t="str">
        <f t="shared" si="47"/>
        <v/>
      </c>
    </row>
    <row r="218" spans="1:26" x14ac:dyDescent="0.2">
      <c r="A218" t="str">
        <f>INDEX(Prioritization!$D:$D,MATCH($B218,Prioritization!$A:$A,0))</f>
        <v>1 - Scale-up: Saturation</v>
      </c>
      <c r="B218" t="s">
        <v>209</v>
      </c>
      <c r="C218" t="s">
        <v>367</v>
      </c>
      <c r="D218" t="s">
        <v>47</v>
      </c>
      <c r="E218" t="str">
        <f t="shared" si="36"/>
        <v>Balaka District [ir8wuHHzoSs]|50+|Male</v>
      </c>
      <c r="F218" s="14"/>
      <c r="G218" s="90">
        <f>0</f>
        <v>0</v>
      </c>
      <c r="H218" s="42" t="str">
        <f t="shared" si="37"/>
        <v/>
      </c>
      <c r="I218" s="14"/>
      <c r="J218" s="90"/>
      <c r="K218" s="90" t="str">
        <f t="shared" si="38"/>
        <v/>
      </c>
      <c r="L218" s="90"/>
      <c r="M218" s="90" t="str">
        <f t="shared" si="39"/>
        <v/>
      </c>
      <c r="N218" s="14" t="str">
        <f t="shared" si="40"/>
        <v/>
      </c>
      <c r="O218" s="42" t="str">
        <f t="shared" si="41"/>
        <v/>
      </c>
      <c r="P218" s="42" t="str">
        <f t="shared" si="42"/>
        <v/>
      </c>
      <c r="Q218" s="42" t="str">
        <f t="shared" si="43"/>
        <v/>
      </c>
      <c r="R218" s="90" t="str">
        <f>IF(SUM($P218)=0,"",INDEX(Cascade!$BG:$BG,MATCH($E218,Cascade!$E:$E,0)))</f>
        <v/>
      </c>
      <c r="S218" s="42" t="str">
        <f t="shared" si="44"/>
        <v/>
      </c>
      <c r="T218" s="42" t="str">
        <f t="shared" si="45"/>
        <v/>
      </c>
      <c r="U218" s="14" t="str">
        <f>IFERROR(1/(1/INDEX(Cascade!$BH:$BH,MATCH($E218,Cascade!$E:$E,0))),"")</f>
        <v/>
      </c>
      <c r="V218" s="14" t="str">
        <f t="shared" si="46"/>
        <v/>
      </c>
      <c r="W218" s="14" t="str">
        <f>IFERROR(1/(1/INDEX(PMTCT!$AC:$AC,MATCH($E218,PMTCT!$E:$E,0))),"")</f>
        <v/>
      </c>
      <c r="X218" s="14" t="str">
        <f>IFERROR(1/(1/INDEX(PMTCT!$AS:$AS,MATCH($E218,PMTCT!$E:$E,0))),"")</f>
        <v/>
      </c>
      <c r="Y218" s="14" t="str">
        <f>IFERROR(1/(1/INDEX(VMMC!$AA:$AA,MATCH($E218,VMMC!$E:$E,0))),"")</f>
        <v/>
      </c>
      <c r="Z218" s="14" t="str">
        <f t="shared" si="47"/>
        <v/>
      </c>
    </row>
    <row r="219" spans="1:26" x14ac:dyDescent="0.2">
      <c r="A219" t="str">
        <f>INDEX(Prioritization!$D:$D,MATCH($B219,Prioritization!$A:$A,0))</f>
        <v>1 - Scale-up: Saturation</v>
      </c>
      <c r="B219" t="s">
        <v>210</v>
      </c>
      <c r="C219" t="s">
        <v>362</v>
      </c>
      <c r="D219" t="s">
        <v>29</v>
      </c>
      <c r="E219" t="str">
        <f t="shared" si="36"/>
        <v>Blantyre District [mxqa3CDFmIT]|01-09|Female</v>
      </c>
      <c r="F219" s="14"/>
      <c r="G219" s="90">
        <f>0</f>
        <v>0</v>
      </c>
      <c r="H219" s="42" t="str">
        <f t="shared" si="37"/>
        <v/>
      </c>
      <c r="I219" s="14"/>
      <c r="J219" s="90"/>
      <c r="K219" s="90" t="str">
        <f t="shared" si="38"/>
        <v/>
      </c>
      <c r="L219" s="90"/>
      <c r="M219" s="90" t="str">
        <f t="shared" si="39"/>
        <v/>
      </c>
      <c r="N219" s="14" t="str">
        <f t="shared" si="40"/>
        <v/>
      </c>
      <c r="O219" s="42" t="str">
        <f t="shared" si="41"/>
        <v/>
      </c>
      <c r="P219" s="42" t="str">
        <f t="shared" si="42"/>
        <v/>
      </c>
      <c r="Q219" s="42" t="str">
        <f t="shared" si="43"/>
        <v/>
      </c>
      <c r="R219" s="90" t="str">
        <f>IF(SUM($P219)=0,"",INDEX(Cascade!$BG:$BG,MATCH($E219,Cascade!$E:$E,0)))</f>
        <v/>
      </c>
      <c r="S219" s="42" t="str">
        <f t="shared" si="44"/>
        <v/>
      </c>
      <c r="T219" s="42" t="str">
        <f t="shared" si="45"/>
        <v/>
      </c>
      <c r="U219" s="14" t="str">
        <f>IFERROR(1/(1/INDEX(Cascade!$BH:$BH,MATCH($E219,Cascade!$E:$E,0))),"")</f>
        <v/>
      </c>
      <c r="V219" s="14" t="str">
        <f t="shared" si="46"/>
        <v/>
      </c>
      <c r="W219" s="14" t="str">
        <f>IFERROR(1/(1/INDEX(PMTCT!$AC:$AC,MATCH($E219,PMTCT!$E:$E,0))),"")</f>
        <v/>
      </c>
      <c r="X219" s="14" t="str">
        <f>IFERROR(1/(1/INDEX(PMTCT!$AS:$AS,MATCH($E219,PMTCT!$E:$E,0))),"")</f>
        <v/>
      </c>
      <c r="Y219" s="14" t="str">
        <f>IFERROR(1/(1/INDEX(VMMC!$AA:$AA,MATCH($E219,VMMC!$E:$E,0))),"")</f>
        <v/>
      </c>
      <c r="Z219" s="14" t="str">
        <f t="shared" si="47"/>
        <v/>
      </c>
    </row>
    <row r="220" spans="1:26" x14ac:dyDescent="0.2">
      <c r="A220" t="str">
        <f>INDEX(Prioritization!$D:$D,MATCH($B220,Prioritization!$A:$A,0))</f>
        <v>1 - Scale-up: Saturation</v>
      </c>
      <c r="B220" t="s">
        <v>210</v>
      </c>
      <c r="C220" t="s">
        <v>362</v>
      </c>
      <c r="D220" t="s">
        <v>47</v>
      </c>
      <c r="E220" t="str">
        <f t="shared" si="36"/>
        <v>Blantyre District [mxqa3CDFmIT]|01-09|Male</v>
      </c>
      <c r="F220" s="14"/>
      <c r="G220" s="90">
        <f>0</f>
        <v>0</v>
      </c>
      <c r="H220" s="42" t="str">
        <f t="shared" si="37"/>
        <v/>
      </c>
      <c r="I220" s="14"/>
      <c r="J220" s="90"/>
      <c r="K220" s="90" t="str">
        <f t="shared" si="38"/>
        <v/>
      </c>
      <c r="L220" s="90"/>
      <c r="M220" s="90" t="str">
        <f t="shared" si="39"/>
        <v/>
      </c>
      <c r="N220" s="14" t="str">
        <f t="shared" si="40"/>
        <v/>
      </c>
      <c r="O220" s="42" t="str">
        <f t="shared" si="41"/>
        <v/>
      </c>
      <c r="P220" s="42" t="str">
        <f t="shared" si="42"/>
        <v/>
      </c>
      <c r="Q220" s="42" t="str">
        <f t="shared" si="43"/>
        <v/>
      </c>
      <c r="R220" s="90" t="str">
        <f>IF(SUM($P220)=0,"",INDEX(Cascade!$BG:$BG,MATCH($E220,Cascade!$E:$E,0)))</f>
        <v/>
      </c>
      <c r="S220" s="42" t="str">
        <f t="shared" si="44"/>
        <v/>
      </c>
      <c r="T220" s="42" t="str">
        <f t="shared" si="45"/>
        <v/>
      </c>
      <c r="U220" s="14" t="str">
        <f>IFERROR(1/(1/INDEX(Cascade!$BH:$BH,MATCH($E220,Cascade!$E:$E,0))),"")</f>
        <v/>
      </c>
      <c r="V220" s="14" t="str">
        <f t="shared" si="46"/>
        <v/>
      </c>
      <c r="W220" s="14" t="str">
        <f>IFERROR(1/(1/INDEX(PMTCT!$AC:$AC,MATCH($E220,PMTCT!$E:$E,0))),"")</f>
        <v/>
      </c>
      <c r="X220" s="14" t="str">
        <f>IFERROR(1/(1/INDEX(PMTCT!$AS:$AS,MATCH($E220,PMTCT!$E:$E,0))),"")</f>
        <v/>
      </c>
      <c r="Y220" s="14" t="str">
        <f>IFERROR(1/(1/INDEX(VMMC!$AA:$AA,MATCH($E220,VMMC!$E:$E,0))),"")</f>
        <v/>
      </c>
      <c r="Z220" s="14" t="str">
        <f t="shared" si="47"/>
        <v/>
      </c>
    </row>
    <row r="221" spans="1:26" x14ac:dyDescent="0.2">
      <c r="A221" t="str">
        <f>INDEX(Prioritization!$D:$D,MATCH($B221,Prioritization!$A:$A,0))</f>
        <v>1 - Scale-up: Saturation</v>
      </c>
      <c r="B221" t="s">
        <v>210</v>
      </c>
      <c r="C221" t="s">
        <v>363</v>
      </c>
      <c r="D221" t="s">
        <v>29</v>
      </c>
      <c r="E221" t="str">
        <f t="shared" si="36"/>
        <v>Blantyre District [mxqa3CDFmIT]|10-14|Female</v>
      </c>
      <c r="F221" s="14">
        <v>8</v>
      </c>
      <c r="G221" s="90">
        <f>0</f>
        <v>0</v>
      </c>
      <c r="H221" s="42">
        <f t="shared" si="37"/>
        <v>8</v>
      </c>
      <c r="I221" s="14">
        <v>1</v>
      </c>
      <c r="J221" s="90"/>
      <c r="K221" s="90" t="str">
        <f t="shared" si="38"/>
        <v/>
      </c>
      <c r="L221" s="90"/>
      <c r="M221" s="90" t="str">
        <f t="shared" si="39"/>
        <v/>
      </c>
      <c r="N221" s="14">
        <f t="shared" si="40"/>
        <v>8</v>
      </c>
      <c r="O221" s="42" t="str">
        <f t="shared" si="41"/>
        <v>ENTER KNOWN POSITIVITY RATE</v>
      </c>
      <c r="P221" s="42" t="str">
        <f t="shared" si="42"/>
        <v>ENTER YIELD RATE</v>
      </c>
      <c r="Q221" s="42">
        <f t="shared" si="43"/>
        <v>8</v>
      </c>
      <c r="R221" s="90" t="str">
        <f>IF(SUM($P221)=0,"",INDEX(Cascade!$BG:$BG,MATCH($E221,Cascade!$E:$E,0)))</f>
        <v/>
      </c>
      <c r="S221" s="42" t="str">
        <f t="shared" si="44"/>
        <v>ENTER KNOWN POSITIVITY RATE</v>
      </c>
      <c r="T221" s="42" t="str">
        <f t="shared" si="45"/>
        <v/>
      </c>
      <c r="U221" s="14">
        <f>IFERROR(1/(1/INDEX(Cascade!$BH:$BH,MATCH($E221,Cascade!$E:$E,0))),"")</f>
        <v>-208</v>
      </c>
      <c r="V221" s="14" t="str">
        <f t="shared" si="46"/>
        <v/>
      </c>
      <c r="W221" s="14">
        <f>IFERROR(1/(1/INDEX(PMTCT!$AC:$AC,MATCH($E221,PMTCT!$E:$E,0))),"")</f>
        <v>1</v>
      </c>
      <c r="X221" s="14">
        <f>IFERROR(1/(1/INDEX(PMTCT!$AS:$AS,MATCH($E221,PMTCT!$E:$E,0))),"")</f>
        <v>1</v>
      </c>
      <c r="Y221" s="14" t="str">
        <f>IFERROR(1/(1/INDEX(VMMC!$AA:$AA,MATCH($E221,VMMC!$E:$E,0))),"")</f>
        <v/>
      </c>
      <c r="Z221" s="14">
        <f t="shared" si="47"/>
        <v>-209.99999999999997</v>
      </c>
    </row>
    <row r="222" spans="1:26" x14ac:dyDescent="0.2">
      <c r="A222" t="str">
        <f>INDEX(Prioritization!$D:$D,MATCH($B222,Prioritization!$A:$A,0))</f>
        <v>1 - Scale-up: Saturation</v>
      </c>
      <c r="B222" t="s">
        <v>210</v>
      </c>
      <c r="C222" t="s">
        <v>363</v>
      </c>
      <c r="D222" t="s">
        <v>47</v>
      </c>
      <c r="E222" t="str">
        <f t="shared" si="36"/>
        <v>Blantyre District [mxqa3CDFmIT]|10-14|Male</v>
      </c>
      <c r="F222" s="14">
        <v>3</v>
      </c>
      <c r="G222" s="90">
        <f>0</f>
        <v>0</v>
      </c>
      <c r="H222" s="42">
        <f t="shared" si="37"/>
        <v>3</v>
      </c>
      <c r="I222" s="14">
        <v>1</v>
      </c>
      <c r="J222" s="90"/>
      <c r="K222" s="90" t="str">
        <f t="shared" si="38"/>
        <v/>
      </c>
      <c r="L222" s="90"/>
      <c r="M222" s="90" t="str">
        <f t="shared" si="39"/>
        <v/>
      </c>
      <c r="N222" s="14">
        <f t="shared" si="40"/>
        <v>3</v>
      </c>
      <c r="O222" s="42" t="str">
        <f t="shared" si="41"/>
        <v>ENTER KNOWN POSITIVITY RATE</v>
      </c>
      <c r="P222" s="42" t="str">
        <f t="shared" si="42"/>
        <v>ENTER YIELD RATE</v>
      </c>
      <c r="Q222" s="42">
        <f t="shared" si="43"/>
        <v>3</v>
      </c>
      <c r="R222" s="90" t="str">
        <f>IF(SUM($P222)=0,"",INDEX(Cascade!$BG:$BG,MATCH($E222,Cascade!$E:$E,0)))</f>
        <v/>
      </c>
      <c r="S222" s="42" t="str">
        <f t="shared" si="44"/>
        <v>ENTER KNOWN POSITIVITY RATE</v>
      </c>
      <c r="T222" s="42" t="str">
        <f t="shared" si="45"/>
        <v/>
      </c>
      <c r="U222" s="14">
        <f>IFERROR(1/(1/INDEX(Cascade!$BH:$BH,MATCH($E222,Cascade!$E:$E,0))),"")</f>
        <v>-600</v>
      </c>
      <c r="V222" s="14" t="str">
        <f t="shared" si="46"/>
        <v/>
      </c>
      <c r="W222" s="14" t="str">
        <f>IFERROR(1/(1/INDEX(PMTCT!$AC:$AC,MATCH($E222,PMTCT!$E:$E,0))),"")</f>
        <v/>
      </c>
      <c r="X222" s="14" t="str">
        <f>IFERROR(1/(1/INDEX(PMTCT!$AS:$AS,MATCH($E222,PMTCT!$E:$E,0))),"")</f>
        <v/>
      </c>
      <c r="Y222" s="14" t="str">
        <f>IFERROR(1/(1/INDEX(VMMC!$AA:$AA,MATCH($E222,VMMC!$E:$E,0))),"")</f>
        <v/>
      </c>
      <c r="Z222" s="14">
        <f t="shared" si="47"/>
        <v>-600</v>
      </c>
    </row>
    <row r="223" spans="1:26" x14ac:dyDescent="0.2">
      <c r="A223" t="str">
        <f>INDEX(Prioritization!$D:$D,MATCH($B223,Prioritization!$A:$A,0))</f>
        <v>1 - Scale-up: Saturation</v>
      </c>
      <c r="B223" t="s">
        <v>210</v>
      </c>
      <c r="C223" t="s">
        <v>364</v>
      </c>
      <c r="D223" t="s">
        <v>29</v>
      </c>
      <c r="E223" t="str">
        <f t="shared" si="36"/>
        <v>Blantyre District [mxqa3CDFmIT]|15-24|Female</v>
      </c>
      <c r="F223" s="14"/>
      <c r="G223" s="90">
        <f>0</f>
        <v>0</v>
      </c>
      <c r="H223" s="42" t="str">
        <f t="shared" si="37"/>
        <v/>
      </c>
      <c r="I223" s="14"/>
      <c r="J223" s="90"/>
      <c r="K223" s="90" t="str">
        <f t="shared" si="38"/>
        <v/>
      </c>
      <c r="L223" s="90"/>
      <c r="M223" s="90" t="str">
        <f t="shared" si="39"/>
        <v/>
      </c>
      <c r="N223" s="14" t="str">
        <f t="shared" si="40"/>
        <v/>
      </c>
      <c r="O223" s="42" t="str">
        <f t="shared" si="41"/>
        <v/>
      </c>
      <c r="P223" s="42" t="str">
        <f t="shared" si="42"/>
        <v/>
      </c>
      <c r="Q223" s="42" t="str">
        <f t="shared" si="43"/>
        <v/>
      </c>
      <c r="R223" s="90" t="str">
        <f>IF(SUM($P223)=0,"",INDEX(Cascade!$BG:$BG,MATCH($E223,Cascade!$E:$E,0)))</f>
        <v/>
      </c>
      <c r="S223" s="42" t="str">
        <f t="shared" si="44"/>
        <v/>
      </c>
      <c r="T223" s="42" t="str">
        <f t="shared" si="45"/>
        <v/>
      </c>
      <c r="U223" s="14" t="str">
        <f>IFERROR(1/(1/INDEX(Cascade!$BH:$BH,MATCH($E223,Cascade!$E:$E,0))),"")</f>
        <v/>
      </c>
      <c r="V223" s="14" t="str">
        <f t="shared" si="46"/>
        <v/>
      </c>
      <c r="W223" s="14" t="str">
        <f>IFERROR(1/(1/INDEX(PMTCT!$AC:$AC,MATCH($E223,PMTCT!$E:$E,0))),"")</f>
        <v/>
      </c>
      <c r="X223" s="14" t="str">
        <f>IFERROR(1/(1/INDEX(PMTCT!$AS:$AS,MATCH($E223,PMTCT!$E:$E,0))),"")</f>
        <v/>
      </c>
      <c r="Y223" s="14" t="str">
        <f>IFERROR(1/(1/INDEX(VMMC!$AA:$AA,MATCH($E223,VMMC!$E:$E,0))),"")</f>
        <v/>
      </c>
      <c r="Z223" s="14" t="str">
        <f t="shared" si="47"/>
        <v/>
      </c>
    </row>
    <row r="224" spans="1:26" x14ac:dyDescent="0.2">
      <c r="A224" t="str">
        <f>INDEX(Prioritization!$D:$D,MATCH($B224,Prioritization!$A:$A,0))</f>
        <v>1 - Scale-up: Saturation</v>
      </c>
      <c r="B224" t="s">
        <v>210</v>
      </c>
      <c r="C224" t="s">
        <v>364</v>
      </c>
      <c r="D224" t="s">
        <v>47</v>
      </c>
      <c r="E224" t="str">
        <f t="shared" si="36"/>
        <v>Blantyre District [mxqa3CDFmIT]|15-24|Male</v>
      </c>
      <c r="F224" s="14"/>
      <c r="G224" s="90">
        <f>0</f>
        <v>0</v>
      </c>
      <c r="H224" s="42" t="str">
        <f t="shared" si="37"/>
        <v/>
      </c>
      <c r="I224" s="14"/>
      <c r="J224" s="90"/>
      <c r="K224" s="90" t="str">
        <f t="shared" si="38"/>
        <v/>
      </c>
      <c r="L224" s="90"/>
      <c r="M224" s="90" t="str">
        <f t="shared" si="39"/>
        <v/>
      </c>
      <c r="N224" s="14" t="str">
        <f t="shared" si="40"/>
        <v/>
      </c>
      <c r="O224" s="42" t="str">
        <f t="shared" si="41"/>
        <v/>
      </c>
      <c r="P224" s="42" t="str">
        <f t="shared" si="42"/>
        <v/>
      </c>
      <c r="Q224" s="42" t="str">
        <f t="shared" si="43"/>
        <v/>
      </c>
      <c r="R224" s="90" t="str">
        <f>IF(SUM($P224)=0,"",INDEX(Cascade!$BG:$BG,MATCH($E224,Cascade!$E:$E,0)))</f>
        <v/>
      </c>
      <c r="S224" s="42" t="str">
        <f t="shared" si="44"/>
        <v/>
      </c>
      <c r="T224" s="42" t="str">
        <f t="shared" si="45"/>
        <v/>
      </c>
      <c r="U224" s="14" t="str">
        <f>IFERROR(1/(1/INDEX(Cascade!$BH:$BH,MATCH($E224,Cascade!$E:$E,0))),"")</f>
        <v/>
      </c>
      <c r="V224" s="14" t="str">
        <f t="shared" si="46"/>
        <v/>
      </c>
      <c r="W224" s="14" t="str">
        <f>IFERROR(1/(1/INDEX(PMTCT!$AC:$AC,MATCH($E224,PMTCT!$E:$E,0))),"")</f>
        <v/>
      </c>
      <c r="X224" s="14" t="str">
        <f>IFERROR(1/(1/INDEX(PMTCT!$AS:$AS,MATCH($E224,PMTCT!$E:$E,0))),"")</f>
        <v/>
      </c>
      <c r="Y224" s="14" t="str">
        <f>IFERROR(1/(1/INDEX(VMMC!$AA:$AA,MATCH($E224,VMMC!$E:$E,0))),"")</f>
        <v/>
      </c>
      <c r="Z224" s="14" t="str">
        <f t="shared" si="47"/>
        <v/>
      </c>
    </row>
    <row r="225" spans="1:26" x14ac:dyDescent="0.2">
      <c r="A225" t="str">
        <f>INDEX(Prioritization!$D:$D,MATCH($B225,Prioritization!$A:$A,0))</f>
        <v>1 - Scale-up: Saturation</v>
      </c>
      <c r="B225" t="s">
        <v>210</v>
      </c>
      <c r="C225" t="s">
        <v>365</v>
      </c>
      <c r="D225" t="s">
        <v>29</v>
      </c>
      <c r="E225" t="str">
        <f t="shared" si="36"/>
        <v>Blantyre District [mxqa3CDFmIT]|25-34|Female</v>
      </c>
      <c r="F225" s="14"/>
      <c r="G225" s="90">
        <f>0</f>
        <v>0</v>
      </c>
      <c r="H225" s="42" t="str">
        <f t="shared" si="37"/>
        <v/>
      </c>
      <c r="I225" s="14"/>
      <c r="J225" s="90"/>
      <c r="K225" s="90" t="str">
        <f t="shared" si="38"/>
        <v/>
      </c>
      <c r="L225" s="90"/>
      <c r="M225" s="90" t="str">
        <f t="shared" si="39"/>
        <v/>
      </c>
      <c r="N225" s="14" t="str">
        <f t="shared" si="40"/>
        <v/>
      </c>
      <c r="O225" s="42" t="str">
        <f t="shared" si="41"/>
        <v/>
      </c>
      <c r="P225" s="42" t="str">
        <f t="shared" si="42"/>
        <v/>
      </c>
      <c r="Q225" s="42" t="str">
        <f t="shared" si="43"/>
        <v/>
      </c>
      <c r="R225" s="90" t="str">
        <f>IF(SUM($P225)=0,"",INDEX(Cascade!$BG:$BG,MATCH($E225,Cascade!$E:$E,0)))</f>
        <v/>
      </c>
      <c r="S225" s="42" t="str">
        <f t="shared" si="44"/>
        <v/>
      </c>
      <c r="T225" s="42" t="str">
        <f t="shared" si="45"/>
        <v/>
      </c>
      <c r="U225" s="14" t="str">
        <f>IFERROR(1/(1/INDEX(Cascade!$BH:$BH,MATCH($E225,Cascade!$E:$E,0))),"")</f>
        <v/>
      </c>
      <c r="V225" s="14" t="str">
        <f t="shared" si="46"/>
        <v/>
      </c>
      <c r="W225" s="14" t="str">
        <f>IFERROR(1/(1/INDEX(PMTCT!$AC:$AC,MATCH($E225,PMTCT!$E:$E,0))),"")</f>
        <v/>
      </c>
      <c r="X225" s="14" t="str">
        <f>IFERROR(1/(1/INDEX(PMTCT!$AS:$AS,MATCH($E225,PMTCT!$E:$E,0))),"")</f>
        <v/>
      </c>
      <c r="Y225" s="14" t="str">
        <f>IFERROR(1/(1/INDEX(VMMC!$AA:$AA,MATCH($E225,VMMC!$E:$E,0))),"")</f>
        <v/>
      </c>
      <c r="Z225" s="14" t="str">
        <f t="shared" si="47"/>
        <v/>
      </c>
    </row>
    <row r="226" spans="1:26" x14ac:dyDescent="0.2">
      <c r="A226" t="str">
        <f>INDEX(Prioritization!$D:$D,MATCH($B226,Prioritization!$A:$A,0))</f>
        <v>1 - Scale-up: Saturation</v>
      </c>
      <c r="B226" t="s">
        <v>210</v>
      </c>
      <c r="C226" t="s">
        <v>365</v>
      </c>
      <c r="D226" t="s">
        <v>47</v>
      </c>
      <c r="E226" t="str">
        <f t="shared" si="36"/>
        <v>Blantyre District [mxqa3CDFmIT]|25-34|Male</v>
      </c>
      <c r="F226" s="14"/>
      <c r="G226" s="90">
        <f>0</f>
        <v>0</v>
      </c>
      <c r="H226" s="42" t="str">
        <f t="shared" si="37"/>
        <v/>
      </c>
      <c r="I226" s="14"/>
      <c r="J226" s="90"/>
      <c r="K226" s="90" t="str">
        <f t="shared" si="38"/>
        <v/>
      </c>
      <c r="L226" s="90"/>
      <c r="M226" s="90" t="str">
        <f t="shared" si="39"/>
        <v/>
      </c>
      <c r="N226" s="14" t="str">
        <f t="shared" si="40"/>
        <v/>
      </c>
      <c r="O226" s="42" t="str">
        <f t="shared" si="41"/>
        <v/>
      </c>
      <c r="P226" s="42" t="str">
        <f t="shared" si="42"/>
        <v/>
      </c>
      <c r="Q226" s="42" t="str">
        <f t="shared" si="43"/>
        <v/>
      </c>
      <c r="R226" s="90" t="str">
        <f>IF(SUM($P226)=0,"",INDEX(Cascade!$BG:$BG,MATCH($E226,Cascade!$E:$E,0)))</f>
        <v/>
      </c>
      <c r="S226" s="42" t="str">
        <f t="shared" si="44"/>
        <v/>
      </c>
      <c r="T226" s="42" t="str">
        <f t="shared" si="45"/>
        <v/>
      </c>
      <c r="U226" s="14" t="str">
        <f>IFERROR(1/(1/INDEX(Cascade!$BH:$BH,MATCH($E226,Cascade!$E:$E,0))),"")</f>
        <v/>
      </c>
      <c r="V226" s="14" t="str">
        <f t="shared" si="46"/>
        <v/>
      </c>
      <c r="W226" s="14" t="str">
        <f>IFERROR(1/(1/INDEX(PMTCT!$AC:$AC,MATCH($E226,PMTCT!$E:$E,0))),"")</f>
        <v/>
      </c>
      <c r="X226" s="14" t="str">
        <f>IFERROR(1/(1/INDEX(PMTCT!$AS:$AS,MATCH($E226,PMTCT!$E:$E,0))),"")</f>
        <v/>
      </c>
      <c r="Y226" s="14" t="str">
        <f>IFERROR(1/(1/INDEX(VMMC!$AA:$AA,MATCH($E226,VMMC!$E:$E,0))),"")</f>
        <v/>
      </c>
      <c r="Z226" s="14" t="str">
        <f t="shared" si="47"/>
        <v/>
      </c>
    </row>
    <row r="227" spans="1:26" x14ac:dyDescent="0.2">
      <c r="A227" t="str">
        <f>INDEX(Prioritization!$D:$D,MATCH($B227,Prioritization!$A:$A,0))</f>
        <v>1 - Scale-up: Saturation</v>
      </c>
      <c r="B227" t="s">
        <v>210</v>
      </c>
      <c r="C227" t="s">
        <v>366</v>
      </c>
      <c r="D227" t="s">
        <v>29</v>
      </c>
      <c r="E227" t="str">
        <f t="shared" si="36"/>
        <v>Blantyre District [mxqa3CDFmIT]|35-49|Female</v>
      </c>
      <c r="F227" s="14"/>
      <c r="G227" s="90">
        <f>0</f>
        <v>0</v>
      </c>
      <c r="H227" s="42" t="str">
        <f t="shared" si="37"/>
        <v/>
      </c>
      <c r="I227" s="14"/>
      <c r="J227" s="90"/>
      <c r="K227" s="90" t="str">
        <f t="shared" si="38"/>
        <v/>
      </c>
      <c r="L227" s="90"/>
      <c r="M227" s="90" t="str">
        <f t="shared" si="39"/>
        <v/>
      </c>
      <c r="N227" s="14" t="str">
        <f t="shared" si="40"/>
        <v/>
      </c>
      <c r="O227" s="42" t="str">
        <f t="shared" si="41"/>
        <v/>
      </c>
      <c r="P227" s="42" t="str">
        <f t="shared" si="42"/>
        <v/>
      </c>
      <c r="Q227" s="42" t="str">
        <f t="shared" si="43"/>
        <v/>
      </c>
      <c r="R227" s="90" t="str">
        <f>IF(SUM($P227)=0,"",INDEX(Cascade!$BG:$BG,MATCH($E227,Cascade!$E:$E,0)))</f>
        <v/>
      </c>
      <c r="S227" s="42" t="str">
        <f t="shared" si="44"/>
        <v/>
      </c>
      <c r="T227" s="42" t="str">
        <f t="shared" si="45"/>
        <v/>
      </c>
      <c r="U227" s="14" t="str">
        <f>IFERROR(1/(1/INDEX(Cascade!$BH:$BH,MATCH($E227,Cascade!$E:$E,0))),"")</f>
        <v/>
      </c>
      <c r="V227" s="14" t="str">
        <f t="shared" si="46"/>
        <v/>
      </c>
      <c r="W227" s="14" t="str">
        <f>IFERROR(1/(1/INDEX(PMTCT!$AC:$AC,MATCH($E227,PMTCT!$E:$E,0))),"")</f>
        <v/>
      </c>
      <c r="X227" s="14" t="str">
        <f>IFERROR(1/(1/INDEX(PMTCT!$AS:$AS,MATCH($E227,PMTCT!$E:$E,0))),"")</f>
        <v/>
      </c>
      <c r="Y227" s="14" t="str">
        <f>IFERROR(1/(1/INDEX(VMMC!$AA:$AA,MATCH($E227,VMMC!$E:$E,0))),"")</f>
        <v/>
      </c>
      <c r="Z227" s="14" t="str">
        <f t="shared" si="47"/>
        <v/>
      </c>
    </row>
    <row r="228" spans="1:26" x14ac:dyDescent="0.2">
      <c r="A228" t="str">
        <f>INDEX(Prioritization!$D:$D,MATCH($B228,Prioritization!$A:$A,0))</f>
        <v>1 - Scale-up: Saturation</v>
      </c>
      <c r="B228" t="s">
        <v>210</v>
      </c>
      <c r="C228" t="s">
        <v>366</v>
      </c>
      <c r="D228" t="s">
        <v>47</v>
      </c>
      <c r="E228" t="str">
        <f t="shared" si="36"/>
        <v>Blantyre District [mxqa3CDFmIT]|35-49|Male</v>
      </c>
      <c r="F228" s="14"/>
      <c r="G228" s="90">
        <f>0</f>
        <v>0</v>
      </c>
      <c r="H228" s="42" t="str">
        <f t="shared" si="37"/>
        <v/>
      </c>
      <c r="I228" s="14"/>
      <c r="J228" s="90"/>
      <c r="K228" s="90" t="str">
        <f t="shared" si="38"/>
        <v/>
      </c>
      <c r="L228" s="90"/>
      <c r="M228" s="90" t="str">
        <f t="shared" si="39"/>
        <v/>
      </c>
      <c r="N228" s="14" t="str">
        <f t="shared" si="40"/>
        <v/>
      </c>
      <c r="O228" s="42" t="str">
        <f t="shared" si="41"/>
        <v/>
      </c>
      <c r="P228" s="42" t="str">
        <f t="shared" si="42"/>
        <v/>
      </c>
      <c r="Q228" s="42" t="str">
        <f t="shared" si="43"/>
        <v/>
      </c>
      <c r="R228" s="90" t="str">
        <f>IF(SUM($P228)=0,"",INDEX(Cascade!$BG:$BG,MATCH($E228,Cascade!$E:$E,0)))</f>
        <v/>
      </c>
      <c r="S228" s="42" t="str">
        <f t="shared" si="44"/>
        <v/>
      </c>
      <c r="T228" s="42" t="str">
        <f t="shared" si="45"/>
        <v/>
      </c>
      <c r="U228" s="14" t="str">
        <f>IFERROR(1/(1/INDEX(Cascade!$BH:$BH,MATCH($E228,Cascade!$E:$E,0))),"")</f>
        <v/>
      </c>
      <c r="V228" s="14" t="str">
        <f t="shared" si="46"/>
        <v/>
      </c>
      <c r="W228" s="14" t="str">
        <f>IFERROR(1/(1/INDEX(PMTCT!$AC:$AC,MATCH($E228,PMTCT!$E:$E,0))),"")</f>
        <v/>
      </c>
      <c r="X228" s="14" t="str">
        <f>IFERROR(1/(1/INDEX(PMTCT!$AS:$AS,MATCH($E228,PMTCT!$E:$E,0))),"")</f>
        <v/>
      </c>
      <c r="Y228" s="14" t="str">
        <f>IFERROR(1/(1/INDEX(VMMC!$AA:$AA,MATCH($E228,VMMC!$E:$E,0))),"")</f>
        <v/>
      </c>
      <c r="Z228" s="14" t="str">
        <f t="shared" si="47"/>
        <v/>
      </c>
    </row>
    <row r="229" spans="1:26" x14ac:dyDescent="0.2">
      <c r="A229" t="str">
        <f>INDEX(Prioritization!$D:$D,MATCH($B229,Prioritization!$A:$A,0))</f>
        <v>1 - Scale-up: Saturation</v>
      </c>
      <c r="B229" t="s">
        <v>210</v>
      </c>
      <c r="C229" t="s">
        <v>367</v>
      </c>
      <c r="D229" t="s">
        <v>29</v>
      </c>
      <c r="E229" t="str">
        <f t="shared" si="36"/>
        <v>Blantyre District [mxqa3CDFmIT]|50+|Female</v>
      </c>
      <c r="F229" s="14"/>
      <c r="G229" s="90">
        <f>0</f>
        <v>0</v>
      </c>
      <c r="H229" s="42" t="str">
        <f t="shared" si="37"/>
        <v/>
      </c>
      <c r="I229" s="14"/>
      <c r="J229" s="90"/>
      <c r="K229" s="90" t="str">
        <f t="shared" si="38"/>
        <v/>
      </c>
      <c r="L229" s="90"/>
      <c r="M229" s="90" t="str">
        <f t="shared" si="39"/>
        <v/>
      </c>
      <c r="N229" s="14" t="str">
        <f t="shared" si="40"/>
        <v/>
      </c>
      <c r="O229" s="42" t="str">
        <f t="shared" si="41"/>
        <v/>
      </c>
      <c r="P229" s="42" t="str">
        <f t="shared" si="42"/>
        <v/>
      </c>
      <c r="Q229" s="42" t="str">
        <f t="shared" si="43"/>
        <v/>
      </c>
      <c r="R229" s="90" t="str">
        <f>IF(SUM($P229)=0,"",INDEX(Cascade!$BG:$BG,MATCH($E229,Cascade!$E:$E,0)))</f>
        <v/>
      </c>
      <c r="S229" s="42" t="str">
        <f t="shared" si="44"/>
        <v/>
      </c>
      <c r="T229" s="42" t="str">
        <f t="shared" si="45"/>
        <v/>
      </c>
      <c r="U229" s="14" t="str">
        <f>IFERROR(1/(1/INDEX(Cascade!$BH:$BH,MATCH($E229,Cascade!$E:$E,0))),"")</f>
        <v/>
      </c>
      <c r="V229" s="14" t="str">
        <f t="shared" si="46"/>
        <v/>
      </c>
      <c r="W229" s="14" t="str">
        <f>IFERROR(1/(1/INDEX(PMTCT!$AC:$AC,MATCH($E229,PMTCT!$E:$E,0))),"")</f>
        <v/>
      </c>
      <c r="X229" s="14" t="str">
        <f>IFERROR(1/(1/INDEX(PMTCT!$AS:$AS,MATCH($E229,PMTCT!$E:$E,0))),"")</f>
        <v/>
      </c>
      <c r="Y229" s="14" t="str">
        <f>IFERROR(1/(1/INDEX(VMMC!$AA:$AA,MATCH($E229,VMMC!$E:$E,0))),"")</f>
        <v/>
      </c>
      <c r="Z229" s="14" t="str">
        <f t="shared" si="47"/>
        <v/>
      </c>
    </row>
    <row r="230" spans="1:26" x14ac:dyDescent="0.2">
      <c r="A230" t="str">
        <f>INDEX(Prioritization!$D:$D,MATCH($B230,Prioritization!$A:$A,0))</f>
        <v>1 - Scale-up: Saturation</v>
      </c>
      <c r="B230" t="s">
        <v>210</v>
      </c>
      <c r="C230" t="s">
        <v>367</v>
      </c>
      <c r="D230" t="s">
        <v>47</v>
      </c>
      <c r="E230" t="str">
        <f t="shared" si="36"/>
        <v>Blantyre District [mxqa3CDFmIT]|50+|Male</v>
      </c>
      <c r="F230" s="14"/>
      <c r="G230" s="90">
        <f>0</f>
        <v>0</v>
      </c>
      <c r="H230" s="42" t="str">
        <f t="shared" si="37"/>
        <v/>
      </c>
      <c r="I230" s="14"/>
      <c r="J230" s="90"/>
      <c r="K230" s="90" t="str">
        <f t="shared" si="38"/>
        <v/>
      </c>
      <c r="L230" s="90"/>
      <c r="M230" s="90" t="str">
        <f t="shared" si="39"/>
        <v/>
      </c>
      <c r="N230" s="14" t="str">
        <f t="shared" si="40"/>
        <v/>
      </c>
      <c r="O230" s="42" t="str">
        <f t="shared" si="41"/>
        <v/>
      </c>
      <c r="P230" s="42" t="str">
        <f t="shared" si="42"/>
        <v/>
      </c>
      <c r="Q230" s="42" t="str">
        <f t="shared" si="43"/>
        <v/>
      </c>
      <c r="R230" s="90" t="str">
        <f>IF(SUM($P230)=0,"",INDEX(Cascade!$BG:$BG,MATCH($E230,Cascade!$E:$E,0)))</f>
        <v/>
      </c>
      <c r="S230" s="42" t="str">
        <f t="shared" si="44"/>
        <v/>
      </c>
      <c r="T230" s="42" t="str">
        <f t="shared" si="45"/>
        <v/>
      </c>
      <c r="U230" s="14" t="str">
        <f>IFERROR(1/(1/INDEX(Cascade!$BH:$BH,MATCH($E230,Cascade!$E:$E,0))),"")</f>
        <v/>
      </c>
      <c r="V230" s="14" t="str">
        <f t="shared" si="46"/>
        <v/>
      </c>
      <c r="W230" s="14" t="str">
        <f>IFERROR(1/(1/INDEX(PMTCT!$AC:$AC,MATCH($E230,PMTCT!$E:$E,0))),"")</f>
        <v/>
      </c>
      <c r="X230" s="14" t="str">
        <f>IFERROR(1/(1/INDEX(PMTCT!$AS:$AS,MATCH($E230,PMTCT!$E:$E,0))),"")</f>
        <v/>
      </c>
      <c r="Y230" s="14" t="str">
        <f>IFERROR(1/(1/INDEX(VMMC!$AA:$AA,MATCH($E230,VMMC!$E:$E,0))),"")</f>
        <v/>
      </c>
      <c r="Z230" s="14" t="str">
        <f t="shared" si="47"/>
        <v/>
      </c>
    </row>
    <row r="231" spans="1:26" x14ac:dyDescent="0.2">
      <c r="A231" t="str">
        <f>INDEX(Prioritization!$D:$D,MATCH($B231,Prioritization!$A:$A,0))</f>
        <v>1 - Scale-up: Saturation</v>
      </c>
      <c r="B231" t="s">
        <v>211</v>
      </c>
      <c r="C231" t="s">
        <v>362</v>
      </c>
      <c r="D231" t="s">
        <v>29</v>
      </c>
      <c r="E231" t="str">
        <f t="shared" si="36"/>
        <v>Chikwawa District [U8c0so51kT6]|01-09|Female</v>
      </c>
      <c r="F231" s="14"/>
      <c r="G231" s="90">
        <f>0</f>
        <v>0</v>
      </c>
      <c r="H231" s="42" t="str">
        <f t="shared" si="37"/>
        <v/>
      </c>
      <c r="I231" s="14"/>
      <c r="J231" s="90"/>
      <c r="K231" s="90" t="str">
        <f t="shared" si="38"/>
        <v/>
      </c>
      <c r="L231" s="90"/>
      <c r="M231" s="90" t="str">
        <f t="shared" si="39"/>
        <v/>
      </c>
      <c r="N231" s="14" t="str">
        <f t="shared" si="40"/>
        <v/>
      </c>
      <c r="O231" s="42" t="str">
        <f t="shared" si="41"/>
        <v/>
      </c>
      <c r="P231" s="42" t="str">
        <f t="shared" si="42"/>
        <v/>
      </c>
      <c r="Q231" s="42" t="str">
        <f t="shared" si="43"/>
        <v/>
      </c>
      <c r="R231" s="90" t="str">
        <f>IF(SUM($P231)=0,"",INDEX(Cascade!$BG:$BG,MATCH($E231,Cascade!$E:$E,0)))</f>
        <v/>
      </c>
      <c r="S231" s="42" t="str">
        <f t="shared" si="44"/>
        <v/>
      </c>
      <c r="T231" s="42" t="str">
        <f t="shared" si="45"/>
        <v/>
      </c>
      <c r="U231" s="14" t="str">
        <f>IFERROR(1/(1/INDEX(Cascade!$BH:$BH,MATCH($E231,Cascade!$E:$E,0))),"")</f>
        <v/>
      </c>
      <c r="V231" s="14" t="str">
        <f t="shared" si="46"/>
        <v/>
      </c>
      <c r="W231" s="14" t="str">
        <f>IFERROR(1/(1/INDEX(PMTCT!$AC:$AC,MATCH($E231,PMTCT!$E:$E,0))),"")</f>
        <v/>
      </c>
      <c r="X231" s="14" t="str">
        <f>IFERROR(1/(1/INDEX(PMTCT!$AS:$AS,MATCH($E231,PMTCT!$E:$E,0))),"")</f>
        <v/>
      </c>
      <c r="Y231" s="14" t="str">
        <f>IFERROR(1/(1/INDEX(VMMC!$AA:$AA,MATCH($E231,VMMC!$E:$E,0))),"")</f>
        <v/>
      </c>
      <c r="Z231" s="14" t="str">
        <f t="shared" si="47"/>
        <v/>
      </c>
    </row>
    <row r="232" spans="1:26" x14ac:dyDescent="0.2">
      <c r="A232" t="str">
        <f>INDEX(Prioritization!$D:$D,MATCH($B232,Prioritization!$A:$A,0))</f>
        <v>1 - Scale-up: Saturation</v>
      </c>
      <c r="B232" t="s">
        <v>211</v>
      </c>
      <c r="C232" t="s">
        <v>362</v>
      </c>
      <c r="D232" t="s">
        <v>47</v>
      </c>
      <c r="E232" t="str">
        <f t="shared" si="36"/>
        <v>Chikwawa District [U8c0so51kT6]|01-09|Male</v>
      </c>
      <c r="F232" s="14"/>
      <c r="G232" s="90">
        <f>0</f>
        <v>0</v>
      </c>
      <c r="H232" s="42" t="str">
        <f t="shared" si="37"/>
        <v/>
      </c>
      <c r="I232" s="14"/>
      <c r="J232" s="90"/>
      <c r="K232" s="90" t="str">
        <f t="shared" si="38"/>
        <v/>
      </c>
      <c r="L232" s="90"/>
      <c r="M232" s="90" t="str">
        <f t="shared" si="39"/>
        <v/>
      </c>
      <c r="N232" s="14" t="str">
        <f t="shared" si="40"/>
        <v/>
      </c>
      <c r="O232" s="42" t="str">
        <f t="shared" si="41"/>
        <v/>
      </c>
      <c r="P232" s="42" t="str">
        <f t="shared" si="42"/>
        <v/>
      </c>
      <c r="Q232" s="42" t="str">
        <f t="shared" si="43"/>
        <v/>
      </c>
      <c r="R232" s="90" t="str">
        <f>IF(SUM($P232)=0,"",INDEX(Cascade!$BG:$BG,MATCH($E232,Cascade!$E:$E,0)))</f>
        <v/>
      </c>
      <c r="S232" s="42" t="str">
        <f t="shared" si="44"/>
        <v/>
      </c>
      <c r="T232" s="42" t="str">
        <f t="shared" si="45"/>
        <v/>
      </c>
      <c r="U232" s="14" t="str">
        <f>IFERROR(1/(1/INDEX(Cascade!$BH:$BH,MATCH($E232,Cascade!$E:$E,0))),"")</f>
        <v/>
      </c>
      <c r="V232" s="14" t="str">
        <f t="shared" si="46"/>
        <v/>
      </c>
      <c r="W232" s="14" t="str">
        <f>IFERROR(1/(1/INDEX(PMTCT!$AC:$AC,MATCH($E232,PMTCT!$E:$E,0))),"")</f>
        <v/>
      </c>
      <c r="X232" s="14" t="str">
        <f>IFERROR(1/(1/INDEX(PMTCT!$AS:$AS,MATCH($E232,PMTCT!$E:$E,0))),"")</f>
        <v/>
      </c>
      <c r="Y232" s="14" t="str">
        <f>IFERROR(1/(1/INDEX(VMMC!$AA:$AA,MATCH($E232,VMMC!$E:$E,0))),"")</f>
        <v/>
      </c>
      <c r="Z232" s="14" t="str">
        <f t="shared" si="47"/>
        <v/>
      </c>
    </row>
    <row r="233" spans="1:26" x14ac:dyDescent="0.2">
      <c r="A233" t="str">
        <f>INDEX(Prioritization!$D:$D,MATCH($B233,Prioritization!$A:$A,0))</f>
        <v>1 - Scale-up: Saturation</v>
      </c>
      <c r="B233" t="s">
        <v>211</v>
      </c>
      <c r="C233" t="s">
        <v>363</v>
      </c>
      <c r="D233" t="s">
        <v>29</v>
      </c>
      <c r="E233" t="str">
        <f t="shared" si="36"/>
        <v>Chikwawa District [U8c0so51kT6]|10-14|Female</v>
      </c>
      <c r="F233" s="14">
        <v>0</v>
      </c>
      <c r="G233" s="90">
        <f>0</f>
        <v>0</v>
      </c>
      <c r="H233" s="42" t="str">
        <f t="shared" si="37"/>
        <v/>
      </c>
      <c r="I233" s="14"/>
      <c r="J233" s="90"/>
      <c r="K233" s="90" t="str">
        <f t="shared" si="38"/>
        <v/>
      </c>
      <c r="L233" s="90"/>
      <c r="M233" s="90" t="str">
        <f t="shared" si="39"/>
        <v/>
      </c>
      <c r="N233" s="14" t="str">
        <f t="shared" si="40"/>
        <v/>
      </c>
      <c r="O233" s="42" t="str">
        <f t="shared" si="41"/>
        <v/>
      </c>
      <c r="P233" s="42" t="str">
        <f t="shared" si="42"/>
        <v/>
      </c>
      <c r="Q233" s="42" t="str">
        <f t="shared" si="43"/>
        <v/>
      </c>
      <c r="R233" s="90" t="str">
        <f>IF(SUM($P233)=0,"",INDEX(Cascade!$BG:$BG,MATCH($E233,Cascade!$E:$E,0)))</f>
        <v/>
      </c>
      <c r="S233" s="42" t="str">
        <f t="shared" si="44"/>
        <v/>
      </c>
      <c r="T233" s="42" t="str">
        <f t="shared" si="45"/>
        <v/>
      </c>
      <c r="U233" s="14">
        <f>IFERROR(1/(1/INDEX(Cascade!$BH:$BH,MATCH($E233,Cascade!$E:$E,0))),"")</f>
        <v>-94</v>
      </c>
      <c r="V233" s="14" t="str">
        <f t="shared" si="46"/>
        <v/>
      </c>
      <c r="W233" s="14">
        <f>IFERROR(1/(1/INDEX(PMTCT!$AC:$AC,MATCH($E233,PMTCT!$E:$E,0))),"")</f>
        <v>4</v>
      </c>
      <c r="X233" s="14" t="str">
        <f>IFERROR(1/(1/INDEX(PMTCT!$AS:$AS,MATCH($E233,PMTCT!$E:$E,0))),"")</f>
        <v/>
      </c>
      <c r="Y233" s="14" t="str">
        <f>IFERROR(1/(1/INDEX(VMMC!$AA:$AA,MATCH($E233,VMMC!$E:$E,0))),"")</f>
        <v/>
      </c>
      <c r="Z233" s="14">
        <f t="shared" si="47"/>
        <v>-98.000000000000014</v>
      </c>
    </row>
    <row r="234" spans="1:26" x14ac:dyDescent="0.2">
      <c r="A234" t="str">
        <f>INDEX(Prioritization!$D:$D,MATCH($B234,Prioritization!$A:$A,0))</f>
        <v>1 - Scale-up: Saturation</v>
      </c>
      <c r="B234" t="s">
        <v>211</v>
      </c>
      <c r="C234" t="s">
        <v>363</v>
      </c>
      <c r="D234" t="s">
        <v>47</v>
      </c>
      <c r="E234" t="str">
        <f t="shared" si="36"/>
        <v>Chikwawa District [U8c0so51kT6]|10-14|Male</v>
      </c>
      <c r="F234" s="14">
        <v>1</v>
      </c>
      <c r="G234" s="90">
        <f>0</f>
        <v>0</v>
      </c>
      <c r="H234" s="42">
        <f t="shared" si="37"/>
        <v>1</v>
      </c>
      <c r="I234" s="14"/>
      <c r="J234" s="90"/>
      <c r="K234" s="90" t="str">
        <f t="shared" si="38"/>
        <v/>
      </c>
      <c r="L234" s="90"/>
      <c r="M234" s="90" t="str">
        <f t="shared" si="39"/>
        <v/>
      </c>
      <c r="N234" s="14">
        <f t="shared" si="40"/>
        <v>1</v>
      </c>
      <c r="O234" s="42" t="str">
        <f t="shared" si="41"/>
        <v>ENTER KNOWN POSITIVITY RATE</v>
      </c>
      <c r="P234" s="42" t="str">
        <f t="shared" si="42"/>
        <v>ENTER YIELD RATE</v>
      </c>
      <c r="Q234" s="42">
        <f t="shared" si="43"/>
        <v>1</v>
      </c>
      <c r="R234" s="90" t="str">
        <f>IF(SUM($P234)=0,"",INDEX(Cascade!$BG:$BG,MATCH($E234,Cascade!$E:$E,0)))</f>
        <v/>
      </c>
      <c r="S234" s="42" t="str">
        <f t="shared" si="44"/>
        <v>ENTER KNOWN POSITIVITY RATE</v>
      </c>
      <c r="T234" s="42" t="str">
        <f t="shared" si="45"/>
        <v/>
      </c>
      <c r="U234" s="14">
        <f>IFERROR(1/(1/INDEX(Cascade!$BH:$BH,MATCH($E234,Cascade!$E:$E,0))),"")</f>
        <v>-96</v>
      </c>
      <c r="V234" s="14" t="str">
        <f t="shared" si="46"/>
        <v/>
      </c>
      <c r="W234" s="14" t="str">
        <f>IFERROR(1/(1/INDEX(PMTCT!$AC:$AC,MATCH($E234,PMTCT!$E:$E,0))),"")</f>
        <v/>
      </c>
      <c r="X234" s="14" t="str">
        <f>IFERROR(1/(1/INDEX(PMTCT!$AS:$AS,MATCH($E234,PMTCT!$E:$E,0))),"")</f>
        <v/>
      </c>
      <c r="Y234" s="14" t="str">
        <f>IFERROR(1/(1/INDEX(VMMC!$AA:$AA,MATCH($E234,VMMC!$E:$E,0))),"")</f>
        <v/>
      </c>
      <c r="Z234" s="14">
        <f t="shared" si="47"/>
        <v>-96</v>
      </c>
    </row>
    <row r="235" spans="1:26" x14ac:dyDescent="0.2">
      <c r="A235" t="str">
        <f>INDEX(Prioritization!$D:$D,MATCH($B235,Prioritization!$A:$A,0))</f>
        <v>1 - Scale-up: Saturation</v>
      </c>
      <c r="B235" t="s">
        <v>211</v>
      </c>
      <c r="C235" t="s">
        <v>364</v>
      </c>
      <c r="D235" t="s">
        <v>29</v>
      </c>
      <c r="E235" t="str">
        <f t="shared" si="36"/>
        <v>Chikwawa District [U8c0so51kT6]|15-24|Female</v>
      </c>
      <c r="F235" s="14"/>
      <c r="G235" s="90">
        <f>0</f>
        <v>0</v>
      </c>
      <c r="H235" s="42" t="str">
        <f t="shared" si="37"/>
        <v/>
      </c>
      <c r="I235" s="14"/>
      <c r="J235" s="90"/>
      <c r="K235" s="90" t="str">
        <f t="shared" si="38"/>
        <v/>
      </c>
      <c r="L235" s="90"/>
      <c r="M235" s="90" t="str">
        <f t="shared" si="39"/>
        <v/>
      </c>
      <c r="N235" s="14" t="str">
        <f t="shared" si="40"/>
        <v/>
      </c>
      <c r="O235" s="42" t="str">
        <f t="shared" si="41"/>
        <v/>
      </c>
      <c r="P235" s="42" t="str">
        <f t="shared" si="42"/>
        <v/>
      </c>
      <c r="Q235" s="42" t="str">
        <f t="shared" si="43"/>
        <v/>
      </c>
      <c r="R235" s="90" t="str">
        <f>IF(SUM($P235)=0,"",INDEX(Cascade!$BG:$BG,MATCH($E235,Cascade!$E:$E,0)))</f>
        <v/>
      </c>
      <c r="S235" s="42" t="str">
        <f t="shared" si="44"/>
        <v/>
      </c>
      <c r="T235" s="42" t="str">
        <f t="shared" si="45"/>
        <v/>
      </c>
      <c r="U235" s="14" t="str">
        <f>IFERROR(1/(1/INDEX(Cascade!$BH:$BH,MATCH($E235,Cascade!$E:$E,0))),"")</f>
        <v/>
      </c>
      <c r="V235" s="14" t="str">
        <f t="shared" si="46"/>
        <v/>
      </c>
      <c r="W235" s="14" t="str">
        <f>IFERROR(1/(1/INDEX(PMTCT!$AC:$AC,MATCH($E235,PMTCT!$E:$E,0))),"")</f>
        <v/>
      </c>
      <c r="X235" s="14" t="str">
        <f>IFERROR(1/(1/INDEX(PMTCT!$AS:$AS,MATCH($E235,PMTCT!$E:$E,0))),"")</f>
        <v/>
      </c>
      <c r="Y235" s="14" t="str">
        <f>IFERROR(1/(1/INDEX(VMMC!$AA:$AA,MATCH($E235,VMMC!$E:$E,0))),"")</f>
        <v/>
      </c>
      <c r="Z235" s="14" t="str">
        <f t="shared" si="47"/>
        <v/>
      </c>
    </row>
    <row r="236" spans="1:26" x14ac:dyDescent="0.2">
      <c r="A236" t="str">
        <f>INDEX(Prioritization!$D:$D,MATCH($B236,Prioritization!$A:$A,0))</f>
        <v>1 - Scale-up: Saturation</v>
      </c>
      <c r="B236" t="s">
        <v>211</v>
      </c>
      <c r="C236" t="s">
        <v>364</v>
      </c>
      <c r="D236" t="s">
        <v>47</v>
      </c>
      <c r="E236" t="str">
        <f t="shared" si="36"/>
        <v>Chikwawa District [U8c0so51kT6]|15-24|Male</v>
      </c>
      <c r="F236" s="14"/>
      <c r="G236" s="90">
        <f>0</f>
        <v>0</v>
      </c>
      <c r="H236" s="42" t="str">
        <f t="shared" si="37"/>
        <v/>
      </c>
      <c r="I236" s="14"/>
      <c r="J236" s="90"/>
      <c r="K236" s="90" t="str">
        <f t="shared" si="38"/>
        <v/>
      </c>
      <c r="L236" s="90"/>
      <c r="M236" s="90" t="str">
        <f t="shared" si="39"/>
        <v/>
      </c>
      <c r="N236" s="14" t="str">
        <f t="shared" si="40"/>
        <v/>
      </c>
      <c r="O236" s="42" t="str">
        <f t="shared" si="41"/>
        <v/>
      </c>
      <c r="P236" s="42" t="str">
        <f t="shared" si="42"/>
        <v/>
      </c>
      <c r="Q236" s="42" t="str">
        <f t="shared" si="43"/>
        <v/>
      </c>
      <c r="R236" s="90" t="str">
        <f>IF(SUM($P236)=0,"",INDEX(Cascade!$BG:$BG,MATCH($E236,Cascade!$E:$E,0)))</f>
        <v/>
      </c>
      <c r="S236" s="42" t="str">
        <f t="shared" si="44"/>
        <v/>
      </c>
      <c r="T236" s="42" t="str">
        <f t="shared" si="45"/>
        <v/>
      </c>
      <c r="U236" s="14" t="str">
        <f>IFERROR(1/(1/INDEX(Cascade!$BH:$BH,MATCH($E236,Cascade!$E:$E,0))),"")</f>
        <v/>
      </c>
      <c r="V236" s="14" t="str">
        <f t="shared" si="46"/>
        <v/>
      </c>
      <c r="W236" s="14" t="str">
        <f>IFERROR(1/(1/INDEX(PMTCT!$AC:$AC,MATCH($E236,PMTCT!$E:$E,0))),"")</f>
        <v/>
      </c>
      <c r="X236" s="14" t="str">
        <f>IFERROR(1/(1/INDEX(PMTCT!$AS:$AS,MATCH($E236,PMTCT!$E:$E,0))),"")</f>
        <v/>
      </c>
      <c r="Y236" s="14" t="str">
        <f>IFERROR(1/(1/INDEX(VMMC!$AA:$AA,MATCH($E236,VMMC!$E:$E,0))),"")</f>
        <v/>
      </c>
      <c r="Z236" s="14" t="str">
        <f t="shared" si="47"/>
        <v/>
      </c>
    </row>
    <row r="237" spans="1:26" x14ac:dyDescent="0.2">
      <c r="A237" t="str">
        <f>INDEX(Prioritization!$D:$D,MATCH($B237,Prioritization!$A:$A,0))</f>
        <v>1 - Scale-up: Saturation</v>
      </c>
      <c r="B237" t="s">
        <v>211</v>
      </c>
      <c r="C237" t="s">
        <v>365</v>
      </c>
      <c r="D237" t="s">
        <v>29</v>
      </c>
      <c r="E237" t="str">
        <f t="shared" si="36"/>
        <v>Chikwawa District [U8c0so51kT6]|25-34|Female</v>
      </c>
      <c r="F237" s="14"/>
      <c r="G237" s="90">
        <f>0</f>
        <v>0</v>
      </c>
      <c r="H237" s="42" t="str">
        <f t="shared" si="37"/>
        <v/>
      </c>
      <c r="I237" s="14"/>
      <c r="J237" s="90"/>
      <c r="K237" s="90" t="str">
        <f t="shared" si="38"/>
        <v/>
      </c>
      <c r="L237" s="90"/>
      <c r="M237" s="90" t="str">
        <f t="shared" si="39"/>
        <v/>
      </c>
      <c r="N237" s="14" t="str">
        <f t="shared" si="40"/>
        <v/>
      </c>
      <c r="O237" s="42" t="str">
        <f t="shared" si="41"/>
        <v/>
      </c>
      <c r="P237" s="42" t="str">
        <f t="shared" si="42"/>
        <v/>
      </c>
      <c r="Q237" s="42" t="str">
        <f t="shared" si="43"/>
        <v/>
      </c>
      <c r="R237" s="90" t="str">
        <f>IF(SUM($P237)=0,"",INDEX(Cascade!$BG:$BG,MATCH($E237,Cascade!$E:$E,0)))</f>
        <v/>
      </c>
      <c r="S237" s="42" t="str">
        <f t="shared" si="44"/>
        <v/>
      </c>
      <c r="T237" s="42" t="str">
        <f t="shared" si="45"/>
        <v/>
      </c>
      <c r="U237" s="14" t="str">
        <f>IFERROR(1/(1/INDEX(Cascade!$BH:$BH,MATCH($E237,Cascade!$E:$E,0))),"")</f>
        <v/>
      </c>
      <c r="V237" s="14" t="str">
        <f t="shared" si="46"/>
        <v/>
      </c>
      <c r="W237" s="14" t="str">
        <f>IFERROR(1/(1/INDEX(PMTCT!$AC:$AC,MATCH($E237,PMTCT!$E:$E,0))),"")</f>
        <v/>
      </c>
      <c r="X237" s="14" t="str">
        <f>IFERROR(1/(1/INDEX(PMTCT!$AS:$AS,MATCH($E237,PMTCT!$E:$E,0))),"")</f>
        <v/>
      </c>
      <c r="Y237" s="14" t="str">
        <f>IFERROR(1/(1/INDEX(VMMC!$AA:$AA,MATCH($E237,VMMC!$E:$E,0))),"")</f>
        <v/>
      </c>
      <c r="Z237" s="14" t="str">
        <f t="shared" si="47"/>
        <v/>
      </c>
    </row>
    <row r="238" spans="1:26" x14ac:dyDescent="0.2">
      <c r="A238" t="str">
        <f>INDEX(Prioritization!$D:$D,MATCH($B238,Prioritization!$A:$A,0))</f>
        <v>1 - Scale-up: Saturation</v>
      </c>
      <c r="B238" t="s">
        <v>211</v>
      </c>
      <c r="C238" t="s">
        <v>365</v>
      </c>
      <c r="D238" t="s">
        <v>47</v>
      </c>
      <c r="E238" t="str">
        <f t="shared" si="36"/>
        <v>Chikwawa District [U8c0so51kT6]|25-34|Male</v>
      </c>
      <c r="F238" s="14"/>
      <c r="G238" s="90">
        <f>0</f>
        <v>0</v>
      </c>
      <c r="H238" s="42" t="str">
        <f t="shared" si="37"/>
        <v/>
      </c>
      <c r="I238" s="14"/>
      <c r="J238" s="90"/>
      <c r="K238" s="90" t="str">
        <f t="shared" si="38"/>
        <v/>
      </c>
      <c r="L238" s="90"/>
      <c r="M238" s="90" t="str">
        <f t="shared" si="39"/>
        <v/>
      </c>
      <c r="N238" s="14" t="str">
        <f t="shared" si="40"/>
        <v/>
      </c>
      <c r="O238" s="42" t="str">
        <f t="shared" si="41"/>
        <v/>
      </c>
      <c r="P238" s="42" t="str">
        <f t="shared" si="42"/>
        <v/>
      </c>
      <c r="Q238" s="42" t="str">
        <f t="shared" si="43"/>
        <v/>
      </c>
      <c r="R238" s="90" t="str">
        <f>IF(SUM($P238)=0,"",INDEX(Cascade!$BG:$BG,MATCH($E238,Cascade!$E:$E,0)))</f>
        <v/>
      </c>
      <c r="S238" s="42" t="str">
        <f t="shared" si="44"/>
        <v/>
      </c>
      <c r="T238" s="42" t="str">
        <f t="shared" si="45"/>
        <v/>
      </c>
      <c r="U238" s="14" t="str">
        <f>IFERROR(1/(1/INDEX(Cascade!$BH:$BH,MATCH($E238,Cascade!$E:$E,0))),"")</f>
        <v/>
      </c>
      <c r="V238" s="14" t="str">
        <f t="shared" si="46"/>
        <v/>
      </c>
      <c r="W238" s="14" t="str">
        <f>IFERROR(1/(1/INDEX(PMTCT!$AC:$AC,MATCH($E238,PMTCT!$E:$E,0))),"")</f>
        <v/>
      </c>
      <c r="X238" s="14" t="str">
        <f>IFERROR(1/(1/INDEX(PMTCT!$AS:$AS,MATCH($E238,PMTCT!$E:$E,0))),"")</f>
        <v/>
      </c>
      <c r="Y238" s="14" t="str">
        <f>IFERROR(1/(1/INDEX(VMMC!$AA:$AA,MATCH($E238,VMMC!$E:$E,0))),"")</f>
        <v/>
      </c>
      <c r="Z238" s="14" t="str">
        <f t="shared" si="47"/>
        <v/>
      </c>
    </row>
    <row r="239" spans="1:26" x14ac:dyDescent="0.2">
      <c r="A239" t="str">
        <f>INDEX(Prioritization!$D:$D,MATCH($B239,Prioritization!$A:$A,0))</f>
        <v>1 - Scale-up: Saturation</v>
      </c>
      <c r="B239" t="s">
        <v>211</v>
      </c>
      <c r="C239" t="s">
        <v>366</v>
      </c>
      <c r="D239" t="s">
        <v>29</v>
      </c>
      <c r="E239" t="str">
        <f t="shared" si="36"/>
        <v>Chikwawa District [U8c0so51kT6]|35-49|Female</v>
      </c>
      <c r="F239" s="14"/>
      <c r="G239" s="90">
        <f>0</f>
        <v>0</v>
      </c>
      <c r="H239" s="42" t="str">
        <f t="shared" si="37"/>
        <v/>
      </c>
      <c r="I239" s="14"/>
      <c r="J239" s="90"/>
      <c r="K239" s="90" t="str">
        <f t="shared" si="38"/>
        <v/>
      </c>
      <c r="L239" s="90"/>
      <c r="M239" s="90" t="str">
        <f t="shared" si="39"/>
        <v/>
      </c>
      <c r="N239" s="14" t="str">
        <f t="shared" si="40"/>
        <v/>
      </c>
      <c r="O239" s="42" t="str">
        <f t="shared" si="41"/>
        <v/>
      </c>
      <c r="P239" s="42" t="str">
        <f t="shared" si="42"/>
        <v/>
      </c>
      <c r="Q239" s="42" t="str">
        <f t="shared" si="43"/>
        <v/>
      </c>
      <c r="R239" s="90" t="str">
        <f>IF(SUM($P239)=0,"",INDEX(Cascade!$BG:$BG,MATCH($E239,Cascade!$E:$E,0)))</f>
        <v/>
      </c>
      <c r="S239" s="42" t="str">
        <f t="shared" si="44"/>
        <v/>
      </c>
      <c r="T239" s="42" t="str">
        <f t="shared" si="45"/>
        <v/>
      </c>
      <c r="U239" s="14" t="str">
        <f>IFERROR(1/(1/INDEX(Cascade!$BH:$BH,MATCH($E239,Cascade!$E:$E,0))),"")</f>
        <v/>
      </c>
      <c r="V239" s="14" t="str">
        <f t="shared" si="46"/>
        <v/>
      </c>
      <c r="W239" s="14" t="str">
        <f>IFERROR(1/(1/INDEX(PMTCT!$AC:$AC,MATCH($E239,PMTCT!$E:$E,0))),"")</f>
        <v/>
      </c>
      <c r="X239" s="14" t="str">
        <f>IFERROR(1/(1/INDEX(PMTCT!$AS:$AS,MATCH($E239,PMTCT!$E:$E,0))),"")</f>
        <v/>
      </c>
      <c r="Y239" s="14" t="str">
        <f>IFERROR(1/(1/INDEX(VMMC!$AA:$AA,MATCH($E239,VMMC!$E:$E,0))),"")</f>
        <v/>
      </c>
      <c r="Z239" s="14" t="str">
        <f t="shared" si="47"/>
        <v/>
      </c>
    </row>
    <row r="240" spans="1:26" x14ac:dyDescent="0.2">
      <c r="A240" t="str">
        <f>INDEX(Prioritization!$D:$D,MATCH($B240,Prioritization!$A:$A,0))</f>
        <v>1 - Scale-up: Saturation</v>
      </c>
      <c r="B240" t="s">
        <v>211</v>
      </c>
      <c r="C240" t="s">
        <v>366</v>
      </c>
      <c r="D240" t="s">
        <v>47</v>
      </c>
      <c r="E240" t="str">
        <f t="shared" si="36"/>
        <v>Chikwawa District [U8c0so51kT6]|35-49|Male</v>
      </c>
      <c r="F240" s="14"/>
      <c r="G240" s="90">
        <f>0</f>
        <v>0</v>
      </c>
      <c r="H240" s="42" t="str">
        <f t="shared" si="37"/>
        <v/>
      </c>
      <c r="I240" s="14"/>
      <c r="J240" s="90"/>
      <c r="K240" s="90" t="str">
        <f t="shared" si="38"/>
        <v/>
      </c>
      <c r="L240" s="90"/>
      <c r="M240" s="90" t="str">
        <f t="shared" si="39"/>
        <v/>
      </c>
      <c r="N240" s="14" t="str">
        <f t="shared" si="40"/>
        <v/>
      </c>
      <c r="O240" s="42" t="str">
        <f t="shared" si="41"/>
        <v/>
      </c>
      <c r="P240" s="42" t="str">
        <f t="shared" si="42"/>
        <v/>
      </c>
      <c r="Q240" s="42" t="str">
        <f t="shared" si="43"/>
        <v/>
      </c>
      <c r="R240" s="90" t="str">
        <f>IF(SUM($P240)=0,"",INDEX(Cascade!$BG:$BG,MATCH($E240,Cascade!$E:$E,0)))</f>
        <v/>
      </c>
      <c r="S240" s="42" t="str">
        <f t="shared" si="44"/>
        <v/>
      </c>
      <c r="T240" s="42" t="str">
        <f t="shared" si="45"/>
        <v/>
      </c>
      <c r="U240" s="14" t="str">
        <f>IFERROR(1/(1/INDEX(Cascade!$BH:$BH,MATCH($E240,Cascade!$E:$E,0))),"")</f>
        <v/>
      </c>
      <c r="V240" s="14" t="str">
        <f t="shared" si="46"/>
        <v/>
      </c>
      <c r="W240" s="14" t="str">
        <f>IFERROR(1/(1/INDEX(PMTCT!$AC:$AC,MATCH($E240,PMTCT!$E:$E,0))),"")</f>
        <v/>
      </c>
      <c r="X240" s="14" t="str">
        <f>IFERROR(1/(1/INDEX(PMTCT!$AS:$AS,MATCH($E240,PMTCT!$E:$E,0))),"")</f>
        <v/>
      </c>
      <c r="Y240" s="14" t="str">
        <f>IFERROR(1/(1/INDEX(VMMC!$AA:$AA,MATCH($E240,VMMC!$E:$E,0))),"")</f>
        <v/>
      </c>
      <c r="Z240" s="14" t="str">
        <f t="shared" si="47"/>
        <v/>
      </c>
    </row>
    <row r="241" spans="1:26" x14ac:dyDescent="0.2">
      <c r="A241" t="str">
        <f>INDEX(Prioritization!$D:$D,MATCH($B241,Prioritization!$A:$A,0))</f>
        <v>1 - Scale-up: Saturation</v>
      </c>
      <c r="B241" t="s">
        <v>211</v>
      </c>
      <c r="C241" t="s">
        <v>367</v>
      </c>
      <c r="D241" t="s">
        <v>29</v>
      </c>
      <c r="E241" t="str">
        <f t="shared" si="36"/>
        <v>Chikwawa District [U8c0so51kT6]|50+|Female</v>
      </c>
      <c r="F241" s="14"/>
      <c r="G241" s="90">
        <f>0</f>
        <v>0</v>
      </c>
      <c r="H241" s="42" t="str">
        <f t="shared" si="37"/>
        <v/>
      </c>
      <c r="I241" s="14"/>
      <c r="J241" s="90"/>
      <c r="K241" s="90" t="str">
        <f t="shared" si="38"/>
        <v/>
      </c>
      <c r="L241" s="90"/>
      <c r="M241" s="90" t="str">
        <f t="shared" si="39"/>
        <v/>
      </c>
      <c r="N241" s="14" t="str">
        <f t="shared" si="40"/>
        <v/>
      </c>
      <c r="O241" s="42" t="str">
        <f t="shared" si="41"/>
        <v/>
      </c>
      <c r="P241" s="42" t="str">
        <f t="shared" si="42"/>
        <v/>
      </c>
      <c r="Q241" s="42" t="str">
        <f t="shared" si="43"/>
        <v/>
      </c>
      <c r="R241" s="90" t="str">
        <f>IF(SUM($P241)=0,"",INDEX(Cascade!$BG:$BG,MATCH($E241,Cascade!$E:$E,0)))</f>
        <v/>
      </c>
      <c r="S241" s="42" t="str">
        <f t="shared" si="44"/>
        <v/>
      </c>
      <c r="T241" s="42" t="str">
        <f t="shared" si="45"/>
        <v/>
      </c>
      <c r="U241" s="14" t="str">
        <f>IFERROR(1/(1/INDEX(Cascade!$BH:$BH,MATCH($E241,Cascade!$E:$E,0))),"")</f>
        <v/>
      </c>
      <c r="V241" s="14" t="str">
        <f t="shared" si="46"/>
        <v/>
      </c>
      <c r="W241" s="14" t="str">
        <f>IFERROR(1/(1/INDEX(PMTCT!$AC:$AC,MATCH($E241,PMTCT!$E:$E,0))),"")</f>
        <v/>
      </c>
      <c r="X241" s="14" t="str">
        <f>IFERROR(1/(1/INDEX(PMTCT!$AS:$AS,MATCH($E241,PMTCT!$E:$E,0))),"")</f>
        <v/>
      </c>
      <c r="Y241" s="14" t="str">
        <f>IFERROR(1/(1/INDEX(VMMC!$AA:$AA,MATCH($E241,VMMC!$E:$E,0))),"")</f>
        <v/>
      </c>
      <c r="Z241" s="14" t="str">
        <f t="shared" si="47"/>
        <v/>
      </c>
    </row>
    <row r="242" spans="1:26" x14ac:dyDescent="0.2">
      <c r="A242" t="str">
        <f>INDEX(Prioritization!$D:$D,MATCH($B242,Prioritization!$A:$A,0))</f>
        <v>1 - Scale-up: Saturation</v>
      </c>
      <c r="B242" t="s">
        <v>211</v>
      </c>
      <c r="C242" t="s">
        <v>367</v>
      </c>
      <c r="D242" t="s">
        <v>47</v>
      </c>
      <c r="E242" t="str">
        <f t="shared" si="36"/>
        <v>Chikwawa District [U8c0so51kT6]|50+|Male</v>
      </c>
      <c r="F242" s="14"/>
      <c r="G242" s="90">
        <f>0</f>
        <v>0</v>
      </c>
      <c r="H242" s="42" t="str">
        <f t="shared" si="37"/>
        <v/>
      </c>
      <c r="I242" s="14"/>
      <c r="J242" s="90"/>
      <c r="K242" s="90" t="str">
        <f t="shared" si="38"/>
        <v/>
      </c>
      <c r="L242" s="90"/>
      <c r="M242" s="90" t="str">
        <f t="shared" si="39"/>
        <v/>
      </c>
      <c r="N242" s="14" t="str">
        <f t="shared" si="40"/>
        <v/>
      </c>
      <c r="O242" s="42" t="str">
        <f t="shared" si="41"/>
        <v/>
      </c>
      <c r="P242" s="42" t="str">
        <f t="shared" si="42"/>
        <v/>
      </c>
      <c r="Q242" s="42" t="str">
        <f t="shared" si="43"/>
        <v/>
      </c>
      <c r="R242" s="90" t="str">
        <f>IF(SUM($P242)=0,"",INDEX(Cascade!$BG:$BG,MATCH($E242,Cascade!$E:$E,0)))</f>
        <v/>
      </c>
      <c r="S242" s="42" t="str">
        <f t="shared" si="44"/>
        <v/>
      </c>
      <c r="T242" s="42" t="str">
        <f t="shared" si="45"/>
        <v/>
      </c>
      <c r="U242" s="14" t="str">
        <f>IFERROR(1/(1/INDEX(Cascade!$BH:$BH,MATCH($E242,Cascade!$E:$E,0))),"")</f>
        <v/>
      </c>
      <c r="V242" s="14" t="str">
        <f t="shared" si="46"/>
        <v/>
      </c>
      <c r="W242" s="14" t="str">
        <f>IFERROR(1/(1/INDEX(PMTCT!$AC:$AC,MATCH($E242,PMTCT!$E:$E,0))),"")</f>
        <v/>
      </c>
      <c r="X242" s="14" t="str">
        <f>IFERROR(1/(1/INDEX(PMTCT!$AS:$AS,MATCH($E242,PMTCT!$E:$E,0))),"")</f>
        <v/>
      </c>
      <c r="Y242" s="14" t="str">
        <f>IFERROR(1/(1/INDEX(VMMC!$AA:$AA,MATCH($E242,VMMC!$E:$E,0))),"")</f>
        <v/>
      </c>
      <c r="Z242" s="14" t="str">
        <f t="shared" si="47"/>
        <v/>
      </c>
    </row>
    <row r="243" spans="1:26" x14ac:dyDescent="0.2">
      <c r="A243" t="str">
        <f>INDEX(Prioritization!$D:$D,MATCH($B243,Prioritization!$A:$A,0))</f>
        <v>1 - Scale-up: Saturation</v>
      </c>
      <c r="B243" t="s">
        <v>212</v>
      </c>
      <c r="C243" t="s">
        <v>362</v>
      </c>
      <c r="D243" t="s">
        <v>29</v>
      </c>
      <c r="E243" t="str">
        <f t="shared" si="36"/>
        <v>Chiradzulu District [oiPR2CiVJbf]|01-09|Female</v>
      </c>
      <c r="F243" s="14"/>
      <c r="G243" s="90">
        <f>0</f>
        <v>0</v>
      </c>
      <c r="H243" s="42" t="str">
        <f t="shared" si="37"/>
        <v/>
      </c>
      <c r="I243" s="14"/>
      <c r="J243" s="90"/>
      <c r="K243" s="90" t="str">
        <f t="shared" si="38"/>
        <v/>
      </c>
      <c r="L243" s="90"/>
      <c r="M243" s="90" t="str">
        <f t="shared" si="39"/>
        <v/>
      </c>
      <c r="N243" s="14" t="str">
        <f t="shared" si="40"/>
        <v/>
      </c>
      <c r="O243" s="42" t="str">
        <f t="shared" si="41"/>
        <v/>
      </c>
      <c r="P243" s="42" t="str">
        <f t="shared" si="42"/>
        <v/>
      </c>
      <c r="Q243" s="42" t="str">
        <f t="shared" si="43"/>
        <v/>
      </c>
      <c r="R243" s="90" t="str">
        <f>IF(SUM($P243)=0,"",INDEX(Cascade!$BG:$BG,MATCH($E243,Cascade!$E:$E,0)))</f>
        <v/>
      </c>
      <c r="S243" s="42" t="str">
        <f t="shared" si="44"/>
        <v/>
      </c>
      <c r="T243" s="42" t="str">
        <f t="shared" si="45"/>
        <v/>
      </c>
      <c r="U243" s="14" t="str">
        <f>IFERROR(1/(1/INDEX(Cascade!$BH:$BH,MATCH($E243,Cascade!$E:$E,0))),"")</f>
        <v/>
      </c>
      <c r="V243" s="14" t="str">
        <f t="shared" si="46"/>
        <v/>
      </c>
      <c r="W243" s="14" t="str">
        <f>IFERROR(1/(1/INDEX(PMTCT!$AC:$AC,MATCH($E243,PMTCT!$E:$E,0))),"")</f>
        <v/>
      </c>
      <c r="X243" s="14" t="str">
        <f>IFERROR(1/(1/INDEX(PMTCT!$AS:$AS,MATCH($E243,PMTCT!$E:$E,0))),"")</f>
        <v/>
      </c>
      <c r="Y243" s="14" t="str">
        <f>IFERROR(1/(1/INDEX(VMMC!$AA:$AA,MATCH($E243,VMMC!$E:$E,0))),"")</f>
        <v/>
      </c>
      <c r="Z243" s="14" t="str">
        <f t="shared" si="47"/>
        <v/>
      </c>
    </row>
    <row r="244" spans="1:26" x14ac:dyDescent="0.2">
      <c r="A244" t="str">
        <f>INDEX(Prioritization!$D:$D,MATCH($B244,Prioritization!$A:$A,0))</f>
        <v>1 - Scale-up: Saturation</v>
      </c>
      <c r="B244" t="s">
        <v>212</v>
      </c>
      <c r="C244" t="s">
        <v>362</v>
      </c>
      <c r="D244" t="s">
        <v>47</v>
      </c>
      <c r="E244" t="str">
        <f t="shared" si="36"/>
        <v>Chiradzulu District [oiPR2CiVJbf]|01-09|Male</v>
      </c>
      <c r="F244" s="14"/>
      <c r="G244" s="90">
        <f>0</f>
        <v>0</v>
      </c>
      <c r="H244" s="42" t="str">
        <f t="shared" si="37"/>
        <v/>
      </c>
      <c r="I244" s="14"/>
      <c r="J244" s="90"/>
      <c r="K244" s="90" t="str">
        <f t="shared" si="38"/>
        <v/>
      </c>
      <c r="L244" s="90"/>
      <c r="M244" s="90" t="str">
        <f t="shared" si="39"/>
        <v/>
      </c>
      <c r="N244" s="14" t="str">
        <f t="shared" si="40"/>
        <v/>
      </c>
      <c r="O244" s="42" t="str">
        <f t="shared" si="41"/>
        <v/>
      </c>
      <c r="P244" s="42" t="str">
        <f t="shared" si="42"/>
        <v/>
      </c>
      <c r="Q244" s="42" t="str">
        <f t="shared" si="43"/>
        <v/>
      </c>
      <c r="R244" s="90" t="str">
        <f>IF(SUM($P244)=0,"",INDEX(Cascade!$BG:$BG,MATCH($E244,Cascade!$E:$E,0)))</f>
        <v/>
      </c>
      <c r="S244" s="42" t="str">
        <f t="shared" si="44"/>
        <v/>
      </c>
      <c r="T244" s="42" t="str">
        <f t="shared" si="45"/>
        <v/>
      </c>
      <c r="U244" s="14" t="str">
        <f>IFERROR(1/(1/INDEX(Cascade!$BH:$BH,MATCH($E244,Cascade!$E:$E,0))),"")</f>
        <v/>
      </c>
      <c r="V244" s="14" t="str">
        <f t="shared" si="46"/>
        <v/>
      </c>
      <c r="W244" s="14" t="str">
        <f>IFERROR(1/(1/INDEX(PMTCT!$AC:$AC,MATCH($E244,PMTCT!$E:$E,0))),"")</f>
        <v/>
      </c>
      <c r="X244" s="14" t="str">
        <f>IFERROR(1/(1/INDEX(PMTCT!$AS:$AS,MATCH($E244,PMTCT!$E:$E,0))),"")</f>
        <v/>
      </c>
      <c r="Y244" s="14" t="str">
        <f>IFERROR(1/(1/INDEX(VMMC!$AA:$AA,MATCH($E244,VMMC!$E:$E,0))),"")</f>
        <v/>
      </c>
      <c r="Z244" s="14" t="str">
        <f t="shared" si="47"/>
        <v/>
      </c>
    </row>
    <row r="245" spans="1:26" x14ac:dyDescent="0.2">
      <c r="A245" t="str">
        <f>INDEX(Prioritization!$D:$D,MATCH($B245,Prioritization!$A:$A,0))</f>
        <v>1 - Scale-up: Saturation</v>
      </c>
      <c r="B245" t="s">
        <v>212</v>
      </c>
      <c r="C245" t="s">
        <v>363</v>
      </c>
      <c r="D245" t="s">
        <v>29</v>
      </c>
      <c r="E245" t="str">
        <f t="shared" si="36"/>
        <v>Chiradzulu District [oiPR2CiVJbf]|10-14|Female</v>
      </c>
      <c r="F245" s="14">
        <v>0</v>
      </c>
      <c r="G245" s="90">
        <f>0</f>
        <v>0</v>
      </c>
      <c r="H245" s="42" t="str">
        <f t="shared" si="37"/>
        <v/>
      </c>
      <c r="I245" s="14"/>
      <c r="J245" s="90"/>
      <c r="K245" s="90" t="str">
        <f t="shared" si="38"/>
        <v/>
      </c>
      <c r="L245" s="90"/>
      <c r="M245" s="90" t="str">
        <f t="shared" si="39"/>
        <v/>
      </c>
      <c r="N245" s="14" t="str">
        <f t="shared" si="40"/>
        <v/>
      </c>
      <c r="O245" s="42" t="str">
        <f t="shared" si="41"/>
        <v/>
      </c>
      <c r="P245" s="42" t="str">
        <f t="shared" si="42"/>
        <v/>
      </c>
      <c r="Q245" s="42" t="str">
        <f t="shared" si="43"/>
        <v/>
      </c>
      <c r="R245" s="90" t="str">
        <f>IF(SUM($P245)=0,"",INDEX(Cascade!$BG:$BG,MATCH($E245,Cascade!$E:$E,0)))</f>
        <v/>
      </c>
      <c r="S245" s="42" t="str">
        <f t="shared" si="44"/>
        <v/>
      </c>
      <c r="T245" s="42" t="str">
        <f t="shared" si="45"/>
        <v/>
      </c>
      <c r="U245" s="14">
        <f>IFERROR(1/(1/INDEX(Cascade!$BH:$BH,MATCH($E245,Cascade!$E:$E,0))),"")</f>
        <v>-26</v>
      </c>
      <c r="V245" s="14" t="str">
        <f t="shared" si="46"/>
        <v/>
      </c>
      <c r="W245" s="14" t="str">
        <f>IFERROR(1/(1/INDEX(PMTCT!$AC:$AC,MATCH($E245,PMTCT!$E:$E,0))),"")</f>
        <v/>
      </c>
      <c r="X245" s="14" t="str">
        <f>IFERROR(1/(1/INDEX(PMTCT!$AS:$AS,MATCH($E245,PMTCT!$E:$E,0))),"")</f>
        <v/>
      </c>
      <c r="Y245" s="14" t="str">
        <f>IFERROR(1/(1/INDEX(VMMC!$AA:$AA,MATCH($E245,VMMC!$E:$E,0))),"")</f>
        <v/>
      </c>
      <c r="Z245" s="14">
        <f t="shared" si="47"/>
        <v>-26</v>
      </c>
    </row>
    <row r="246" spans="1:26" x14ac:dyDescent="0.2">
      <c r="A246" t="str">
        <f>INDEX(Prioritization!$D:$D,MATCH($B246,Prioritization!$A:$A,0))</f>
        <v>1 - Scale-up: Saturation</v>
      </c>
      <c r="B246" t="s">
        <v>212</v>
      </c>
      <c r="C246" t="s">
        <v>363</v>
      </c>
      <c r="D246" t="s">
        <v>47</v>
      </c>
      <c r="E246" t="str">
        <f t="shared" si="36"/>
        <v>Chiradzulu District [oiPR2CiVJbf]|10-14|Male</v>
      </c>
      <c r="F246" s="14">
        <v>0</v>
      </c>
      <c r="G246" s="90">
        <f>0</f>
        <v>0</v>
      </c>
      <c r="H246" s="42" t="str">
        <f t="shared" si="37"/>
        <v/>
      </c>
      <c r="I246" s="14"/>
      <c r="J246" s="90"/>
      <c r="K246" s="90" t="str">
        <f t="shared" si="38"/>
        <v/>
      </c>
      <c r="L246" s="90"/>
      <c r="M246" s="90" t="str">
        <f t="shared" si="39"/>
        <v/>
      </c>
      <c r="N246" s="14" t="str">
        <f t="shared" si="40"/>
        <v/>
      </c>
      <c r="O246" s="42" t="str">
        <f t="shared" si="41"/>
        <v/>
      </c>
      <c r="P246" s="42" t="str">
        <f t="shared" si="42"/>
        <v/>
      </c>
      <c r="Q246" s="42" t="str">
        <f t="shared" si="43"/>
        <v/>
      </c>
      <c r="R246" s="90" t="str">
        <f>IF(SUM($P246)=0,"",INDEX(Cascade!$BG:$BG,MATCH($E246,Cascade!$E:$E,0)))</f>
        <v/>
      </c>
      <c r="S246" s="42" t="str">
        <f t="shared" si="44"/>
        <v/>
      </c>
      <c r="T246" s="42" t="str">
        <f t="shared" si="45"/>
        <v/>
      </c>
      <c r="U246" s="14">
        <f>IFERROR(1/(1/INDEX(Cascade!$BH:$BH,MATCH($E246,Cascade!$E:$E,0))),"")</f>
        <v>-49.000000000000007</v>
      </c>
      <c r="V246" s="14" t="str">
        <f t="shared" si="46"/>
        <v/>
      </c>
      <c r="W246" s="14" t="str">
        <f>IFERROR(1/(1/INDEX(PMTCT!$AC:$AC,MATCH($E246,PMTCT!$E:$E,0))),"")</f>
        <v/>
      </c>
      <c r="X246" s="14" t="str">
        <f>IFERROR(1/(1/INDEX(PMTCT!$AS:$AS,MATCH($E246,PMTCT!$E:$E,0))),"")</f>
        <v/>
      </c>
      <c r="Y246" s="14" t="str">
        <f>IFERROR(1/(1/INDEX(VMMC!$AA:$AA,MATCH($E246,VMMC!$E:$E,0))),"")</f>
        <v/>
      </c>
      <c r="Z246" s="14">
        <f t="shared" si="47"/>
        <v>-49.000000000000007</v>
      </c>
    </row>
    <row r="247" spans="1:26" x14ac:dyDescent="0.2">
      <c r="A247" t="str">
        <f>INDEX(Prioritization!$D:$D,MATCH($B247,Prioritization!$A:$A,0))</f>
        <v>1 - Scale-up: Saturation</v>
      </c>
      <c r="B247" t="s">
        <v>212</v>
      </c>
      <c r="C247" t="s">
        <v>364</v>
      </c>
      <c r="D247" t="s">
        <v>29</v>
      </c>
      <c r="E247" t="str">
        <f t="shared" si="36"/>
        <v>Chiradzulu District [oiPR2CiVJbf]|15-24|Female</v>
      </c>
      <c r="F247" s="14"/>
      <c r="G247" s="90">
        <f>0</f>
        <v>0</v>
      </c>
      <c r="H247" s="42" t="str">
        <f t="shared" si="37"/>
        <v/>
      </c>
      <c r="I247" s="14"/>
      <c r="J247" s="90"/>
      <c r="K247" s="90" t="str">
        <f t="shared" si="38"/>
        <v/>
      </c>
      <c r="L247" s="90"/>
      <c r="M247" s="90" t="str">
        <f t="shared" si="39"/>
        <v/>
      </c>
      <c r="N247" s="14" t="str">
        <f t="shared" si="40"/>
        <v/>
      </c>
      <c r="O247" s="42" t="str">
        <f t="shared" si="41"/>
        <v/>
      </c>
      <c r="P247" s="42" t="str">
        <f t="shared" si="42"/>
        <v/>
      </c>
      <c r="Q247" s="42" t="str">
        <f t="shared" si="43"/>
        <v/>
      </c>
      <c r="R247" s="90" t="str">
        <f>IF(SUM($P247)=0,"",INDEX(Cascade!$BG:$BG,MATCH($E247,Cascade!$E:$E,0)))</f>
        <v/>
      </c>
      <c r="S247" s="42" t="str">
        <f t="shared" si="44"/>
        <v/>
      </c>
      <c r="T247" s="42" t="str">
        <f t="shared" si="45"/>
        <v/>
      </c>
      <c r="U247" s="14" t="str">
        <f>IFERROR(1/(1/INDEX(Cascade!$BH:$BH,MATCH($E247,Cascade!$E:$E,0))),"")</f>
        <v/>
      </c>
      <c r="V247" s="14" t="str">
        <f t="shared" si="46"/>
        <v/>
      </c>
      <c r="W247" s="14" t="str">
        <f>IFERROR(1/(1/INDEX(PMTCT!$AC:$AC,MATCH($E247,PMTCT!$E:$E,0))),"")</f>
        <v/>
      </c>
      <c r="X247" s="14" t="str">
        <f>IFERROR(1/(1/INDEX(PMTCT!$AS:$AS,MATCH($E247,PMTCT!$E:$E,0))),"")</f>
        <v/>
      </c>
      <c r="Y247" s="14" t="str">
        <f>IFERROR(1/(1/INDEX(VMMC!$AA:$AA,MATCH($E247,VMMC!$E:$E,0))),"")</f>
        <v/>
      </c>
      <c r="Z247" s="14" t="str">
        <f t="shared" si="47"/>
        <v/>
      </c>
    </row>
    <row r="248" spans="1:26" x14ac:dyDescent="0.2">
      <c r="A248" t="str">
        <f>INDEX(Prioritization!$D:$D,MATCH($B248,Prioritization!$A:$A,0))</f>
        <v>1 - Scale-up: Saturation</v>
      </c>
      <c r="B248" t="s">
        <v>212</v>
      </c>
      <c r="C248" t="s">
        <v>364</v>
      </c>
      <c r="D248" t="s">
        <v>47</v>
      </c>
      <c r="E248" t="str">
        <f t="shared" si="36"/>
        <v>Chiradzulu District [oiPR2CiVJbf]|15-24|Male</v>
      </c>
      <c r="F248" s="14"/>
      <c r="G248" s="90">
        <f>0</f>
        <v>0</v>
      </c>
      <c r="H248" s="42" t="str">
        <f t="shared" si="37"/>
        <v/>
      </c>
      <c r="I248" s="14"/>
      <c r="J248" s="90"/>
      <c r="K248" s="90" t="str">
        <f t="shared" si="38"/>
        <v/>
      </c>
      <c r="L248" s="90"/>
      <c r="M248" s="90" t="str">
        <f t="shared" si="39"/>
        <v/>
      </c>
      <c r="N248" s="14" t="str">
        <f t="shared" si="40"/>
        <v/>
      </c>
      <c r="O248" s="42" t="str">
        <f t="shared" si="41"/>
        <v/>
      </c>
      <c r="P248" s="42" t="str">
        <f t="shared" si="42"/>
        <v/>
      </c>
      <c r="Q248" s="42" t="str">
        <f t="shared" si="43"/>
        <v/>
      </c>
      <c r="R248" s="90" t="str">
        <f>IF(SUM($P248)=0,"",INDEX(Cascade!$BG:$BG,MATCH($E248,Cascade!$E:$E,0)))</f>
        <v/>
      </c>
      <c r="S248" s="42" t="str">
        <f t="shared" si="44"/>
        <v/>
      </c>
      <c r="T248" s="42" t="str">
        <f t="shared" si="45"/>
        <v/>
      </c>
      <c r="U248" s="14" t="str">
        <f>IFERROR(1/(1/INDEX(Cascade!$BH:$BH,MATCH($E248,Cascade!$E:$E,0))),"")</f>
        <v/>
      </c>
      <c r="V248" s="14" t="str">
        <f t="shared" si="46"/>
        <v/>
      </c>
      <c r="W248" s="14" t="str">
        <f>IFERROR(1/(1/INDEX(PMTCT!$AC:$AC,MATCH($E248,PMTCT!$E:$E,0))),"")</f>
        <v/>
      </c>
      <c r="X248" s="14" t="str">
        <f>IFERROR(1/(1/INDEX(PMTCT!$AS:$AS,MATCH($E248,PMTCT!$E:$E,0))),"")</f>
        <v/>
      </c>
      <c r="Y248" s="14" t="str">
        <f>IFERROR(1/(1/INDEX(VMMC!$AA:$AA,MATCH($E248,VMMC!$E:$E,0))),"")</f>
        <v/>
      </c>
      <c r="Z248" s="14" t="str">
        <f t="shared" si="47"/>
        <v/>
      </c>
    </row>
    <row r="249" spans="1:26" x14ac:dyDescent="0.2">
      <c r="A249" t="str">
        <f>INDEX(Prioritization!$D:$D,MATCH($B249,Prioritization!$A:$A,0))</f>
        <v>1 - Scale-up: Saturation</v>
      </c>
      <c r="B249" t="s">
        <v>212</v>
      </c>
      <c r="C249" t="s">
        <v>365</v>
      </c>
      <c r="D249" t="s">
        <v>29</v>
      </c>
      <c r="E249" t="str">
        <f t="shared" si="36"/>
        <v>Chiradzulu District [oiPR2CiVJbf]|25-34|Female</v>
      </c>
      <c r="F249" s="14"/>
      <c r="G249" s="90">
        <f>0</f>
        <v>0</v>
      </c>
      <c r="H249" s="42" t="str">
        <f t="shared" si="37"/>
        <v/>
      </c>
      <c r="I249" s="14"/>
      <c r="J249" s="90"/>
      <c r="K249" s="90" t="str">
        <f t="shared" si="38"/>
        <v/>
      </c>
      <c r="L249" s="90"/>
      <c r="M249" s="90" t="str">
        <f t="shared" si="39"/>
        <v/>
      </c>
      <c r="N249" s="14" t="str">
        <f t="shared" si="40"/>
        <v/>
      </c>
      <c r="O249" s="42" t="str">
        <f t="shared" si="41"/>
        <v/>
      </c>
      <c r="P249" s="42" t="str">
        <f t="shared" si="42"/>
        <v/>
      </c>
      <c r="Q249" s="42" t="str">
        <f t="shared" si="43"/>
        <v/>
      </c>
      <c r="R249" s="90" t="str">
        <f>IF(SUM($P249)=0,"",INDEX(Cascade!$BG:$BG,MATCH($E249,Cascade!$E:$E,0)))</f>
        <v/>
      </c>
      <c r="S249" s="42" t="str">
        <f t="shared" si="44"/>
        <v/>
      </c>
      <c r="T249" s="42" t="str">
        <f t="shared" si="45"/>
        <v/>
      </c>
      <c r="U249" s="14" t="str">
        <f>IFERROR(1/(1/INDEX(Cascade!$BH:$BH,MATCH($E249,Cascade!$E:$E,0))),"")</f>
        <v/>
      </c>
      <c r="V249" s="14" t="str">
        <f t="shared" si="46"/>
        <v/>
      </c>
      <c r="W249" s="14" t="str">
        <f>IFERROR(1/(1/INDEX(PMTCT!$AC:$AC,MATCH($E249,PMTCT!$E:$E,0))),"")</f>
        <v/>
      </c>
      <c r="X249" s="14" t="str">
        <f>IFERROR(1/(1/INDEX(PMTCT!$AS:$AS,MATCH($E249,PMTCT!$E:$E,0))),"")</f>
        <v/>
      </c>
      <c r="Y249" s="14" t="str">
        <f>IFERROR(1/(1/INDEX(VMMC!$AA:$AA,MATCH($E249,VMMC!$E:$E,0))),"")</f>
        <v/>
      </c>
      <c r="Z249" s="14" t="str">
        <f t="shared" si="47"/>
        <v/>
      </c>
    </row>
    <row r="250" spans="1:26" x14ac:dyDescent="0.2">
      <c r="A250" t="str">
        <f>INDEX(Prioritization!$D:$D,MATCH($B250,Prioritization!$A:$A,0))</f>
        <v>1 - Scale-up: Saturation</v>
      </c>
      <c r="B250" t="s">
        <v>212</v>
      </c>
      <c r="C250" t="s">
        <v>365</v>
      </c>
      <c r="D250" t="s">
        <v>47</v>
      </c>
      <c r="E250" t="str">
        <f t="shared" si="36"/>
        <v>Chiradzulu District [oiPR2CiVJbf]|25-34|Male</v>
      </c>
      <c r="F250" s="14"/>
      <c r="G250" s="90">
        <f>0</f>
        <v>0</v>
      </c>
      <c r="H250" s="42" t="str">
        <f t="shared" si="37"/>
        <v/>
      </c>
      <c r="I250" s="14"/>
      <c r="J250" s="90"/>
      <c r="K250" s="90" t="str">
        <f t="shared" si="38"/>
        <v/>
      </c>
      <c r="L250" s="90"/>
      <c r="M250" s="90" t="str">
        <f t="shared" si="39"/>
        <v/>
      </c>
      <c r="N250" s="14" t="str">
        <f t="shared" si="40"/>
        <v/>
      </c>
      <c r="O250" s="42" t="str">
        <f t="shared" si="41"/>
        <v/>
      </c>
      <c r="P250" s="42" t="str">
        <f t="shared" si="42"/>
        <v/>
      </c>
      <c r="Q250" s="42" t="str">
        <f t="shared" si="43"/>
        <v/>
      </c>
      <c r="R250" s="90" t="str">
        <f>IF(SUM($P250)=0,"",INDEX(Cascade!$BG:$BG,MATCH($E250,Cascade!$E:$E,0)))</f>
        <v/>
      </c>
      <c r="S250" s="42" t="str">
        <f t="shared" si="44"/>
        <v/>
      </c>
      <c r="T250" s="42" t="str">
        <f t="shared" si="45"/>
        <v/>
      </c>
      <c r="U250" s="14" t="str">
        <f>IFERROR(1/(1/INDEX(Cascade!$BH:$BH,MATCH($E250,Cascade!$E:$E,0))),"")</f>
        <v/>
      </c>
      <c r="V250" s="14" t="str">
        <f t="shared" si="46"/>
        <v/>
      </c>
      <c r="W250" s="14" t="str">
        <f>IFERROR(1/(1/INDEX(PMTCT!$AC:$AC,MATCH($E250,PMTCT!$E:$E,0))),"")</f>
        <v/>
      </c>
      <c r="X250" s="14" t="str">
        <f>IFERROR(1/(1/INDEX(PMTCT!$AS:$AS,MATCH($E250,PMTCT!$E:$E,0))),"")</f>
        <v/>
      </c>
      <c r="Y250" s="14" t="str">
        <f>IFERROR(1/(1/INDEX(VMMC!$AA:$AA,MATCH($E250,VMMC!$E:$E,0))),"")</f>
        <v/>
      </c>
      <c r="Z250" s="14" t="str">
        <f t="shared" si="47"/>
        <v/>
      </c>
    </row>
    <row r="251" spans="1:26" x14ac:dyDescent="0.2">
      <c r="A251" t="str">
        <f>INDEX(Prioritization!$D:$D,MATCH($B251,Prioritization!$A:$A,0))</f>
        <v>1 - Scale-up: Saturation</v>
      </c>
      <c r="B251" t="s">
        <v>212</v>
      </c>
      <c r="C251" t="s">
        <v>366</v>
      </c>
      <c r="D251" t="s">
        <v>29</v>
      </c>
      <c r="E251" t="str">
        <f t="shared" si="36"/>
        <v>Chiradzulu District [oiPR2CiVJbf]|35-49|Female</v>
      </c>
      <c r="F251" s="14"/>
      <c r="G251" s="90">
        <f>0</f>
        <v>0</v>
      </c>
      <c r="H251" s="42" t="str">
        <f t="shared" si="37"/>
        <v/>
      </c>
      <c r="I251" s="14"/>
      <c r="J251" s="90"/>
      <c r="K251" s="90" t="str">
        <f t="shared" si="38"/>
        <v/>
      </c>
      <c r="L251" s="90"/>
      <c r="M251" s="90" t="str">
        <f t="shared" si="39"/>
        <v/>
      </c>
      <c r="N251" s="14" t="str">
        <f t="shared" si="40"/>
        <v/>
      </c>
      <c r="O251" s="42" t="str">
        <f t="shared" si="41"/>
        <v/>
      </c>
      <c r="P251" s="42" t="str">
        <f t="shared" si="42"/>
        <v/>
      </c>
      <c r="Q251" s="42" t="str">
        <f t="shared" si="43"/>
        <v/>
      </c>
      <c r="R251" s="90" t="str">
        <f>IF(SUM($P251)=0,"",INDEX(Cascade!$BG:$BG,MATCH($E251,Cascade!$E:$E,0)))</f>
        <v/>
      </c>
      <c r="S251" s="42" t="str">
        <f t="shared" si="44"/>
        <v/>
      </c>
      <c r="T251" s="42" t="str">
        <f t="shared" si="45"/>
        <v/>
      </c>
      <c r="U251" s="14" t="str">
        <f>IFERROR(1/(1/INDEX(Cascade!$BH:$BH,MATCH($E251,Cascade!$E:$E,0))),"")</f>
        <v/>
      </c>
      <c r="V251" s="14" t="str">
        <f t="shared" si="46"/>
        <v/>
      </c>
      <c r="W251" s="14" t="str">
        <f>IFERROR(1/(1/INDEX(PMTCT!$AC:$AC,MATCH($E251,PMTCT!$E:$E,0))),"")</f>
        <v/>
      </c>
      <c r="X251" s="14" t="str">
        <f>IFERROR(1/(1/INDEX(PMTCT!$AS:$AS,MATCH($E251,PMTCT!$E:$E,0))),"")</f>
        <v/>
      </c>
      <c r="Y251" s="14" t="str">
        <f>IFERROR(1/(1/INDEX(VMMC!$AA:$AA,MATCH($E251,VMMC!$E:$E,0))),"")</f>
        <v/>
      </c>
      <c r="Z251" s="14" t="str">
        <f t="shared" si="47"/>
        <v/>
      </c>
    </row>
    <row r="252" spans="1:26" x14ac:dyDescent="0.2">
      <c r="A252" t="str">
        <f>INDEX(Prioritization!$D:$D,MATCH($B252,Prioritization!$A:$A,0))</f>
        <v>1 - Scale-up: Saturation</v>
      </c>
      <c r="B252" t="s">
        <v>212</v>
      </c>
      <c r="C252" t="s">
        <v>366</v>
      </c>
      <c r="D252" t="s">
        <v>47</v>
      </c>
      <c r="E252" t="str">
        <f t="shared" si="36"/>
        <v>Chiradzulu District [oiPR2CiVJbf]|35-49|Male</v>
      </c>
      <c r="F252" s="14"/>
      <c r="G252" s="90">
        <f>0</f>
        <v>0</v>
      </c>
      <c r="H252" s="42" t="str">
        <f t="shared" si="37"/>
        <v/>
      </c>
      <c r="I252" s="14"/>
      <c r="J252" s="90"/>
      <c r="K252" s="90" t="str">
        <f t="shared" si="38"/>
        <v/>
      </c>
      <c r="L252" s="90"/>
      <c r="M252" s="90" t="str">
        <f t="shared" si="39"/>
        <v/>
      </c>
      <c r="N252" s="14" t="str">
        <f t="shared" si="40"/>
        <v/>
      </c>
      <c r="O252" s="42" t="str">
        <f t="shared" si="41"/>
        <v/>
      </c>
      <c r="P252" s="42" t="str">
        <f t="shared" si="42"/>
        <v/>
      </c>
      <c r="Q252" s="42" t="str">
        <f t="shared" si="43"/>
        <v/>
      </c>
      <c r="R252" s="90" t="str">
        <f>IF(SUM($P252)=0,"",INDEX(Cascade!$BG:$BG,MATCH($E252,Cascade!$E:$E,0)))</f>
        <v/>
      </c>
      <c r="S252" s="42" t="str">
        <f t="shared" si="44"/>
        <v/>
      </c>
      <c r="T252" s="42" t="str">
        <f t="shared" si="45"/>
        <v/>
      </c>
      <c r="U252" s="14" t="str">
        <f>IFERROR(1/(1/INDEX(Cascade!$BH:$BH,MATCH($E252,Cascade!$E:$E,0))),"")</f>
        <v/>
      </c>
      <c r="V252" s="14" t="str">
        <f t="shared" si="46"/>
        <v/>
      </c>
      <c r="W252" s="14" t="str">
        <f>IFERROR(1/(1/INDEX(PMTCT!$AC:$AC,MATCH($E252,PMTCT!$E:$E,0))),"")</f>
        <v/>
      </c>
      <c r="X252" s="14" t="str">
        <f>IFERROR(1/(1/INDEX(PMTCT!$AS:$AS,MATCH($E252,PMTCT!$E:$E,0))),"")</f>
        <v/>
      </c>
      <c r="Y252" s="14" t="str">
        <f>IFERROR(1/(1/INDEX(VMMC!$AA:$AA,MATCH($E252,VMMC!$E:$E,0))),"")</f>
        <v/>
      </c>
      <c r="Z252" s="14" t="str">
        <f t="shared" si="47"/>
        <v/>
      </c>
    </row>
    <row r="253" spans="1:26" x14ac:dyDescent="0.2">
      <c r="A253" t="str">
        <f>INDEX(Prioritization!$D:$D,MATCH($B253,Prioritization!$A:$A,0))</f>
        <v>1 - Scale-up: Saturation</v>
      </c>
      <c r="B253" t="s">
        <v>212</v>
      </c>
      <c r="C253" t="s">
        <v>367</v>
      </c>
      <c r="D253" t="s">
        <v>29</v>
      </c>
      <c r="E253" t="str">
        <f t="shared" si="36"/>
        <v>Chiradzulu District [oiPR2CiVJbf]|50+|Female</v>
      </c>
      <c r="F253" s="14"/>
      <c r="G253" s="90">
        <f>0</f>
        <v>0</v>
      </c>
      <c r="H253" s="42" t="str">
        <f t="shared" si="37"/>
        <v/>
      </c>
      <c r="I253" s="14"/>
      <c r="J253" s="90"/>
      <c r="K253" s="90" t="str">
        <f t="shared" si="38"/>
        <v/>
      </c>
      <c r="L253" s="90"/>
      <c r="M253" s="90" t="str">
        <f t="shared" si="39"/>
        <v/>
      </c>
      <c r="N253" s="14" t="str">
        <f t="shared" si="40"/>
        <v/>
      </c>
      <c r="O253" s="42" t="str">
        <f t="shared" si="41"/>
        <v/>
      </c>
      <c r="P253" s="42" t="str">
        <f t="shared" si="42"/>
        <v/>
      </c>
      <c r="Q253" s="42" t="str">
        <f t="shared" si="43"/>
        <v/>
      </c>
      <c r="R253" s="90" t="str">
        <f>IF(SUM($P253)=0,"",INDEX(Cascade!$BG:$BG,MATCH($E253,Cascade!$E:$E,0)))</f>
        <v/>
      </c>
      <c r="S253" s="42" t="str">
        <f t="shared" si="44"/>
        <v/>
      </c>
      <c r="T253" s="42" t="str">
        <f t="shared" si="45"/>
        <v/>
      </c>
      <c r="U253" s="14" t="str">
        <f>IFERROR(1/(1/INDEX(Cascade!$BH:$BH,MATCH($E253,Cascade!$E:$E,0))),"")</f>
        <v/>
      </c>
      <c r="V253" s="14" t="str">
        <f t="shared" si="46"/>
        <v/>
      </c>
      <c r="W253" s="14" t="str">
        <f>IFERROR(1/(1/INDEX(PMTCT!$AC:$AC,MATCH($E253,PMTCT!$E:$E,0))),"")</f>
        <v/>
      </c>
      <c r="X253" s="14" t="str">
        <f>IFERROR(1/(1/INDEX(PMTCT!$AS:$AS,MATCH($E253,PMTCT!$E:$E,0))),"")</f>
        <v/>
      </c>
      <c r="Y253" s="14" t="str">
        <f>IFERROR(1/(1/INDEX(VMMC!$AA:$AA,MATCH($E253,VMMC!$E:$E,0))),"")</f>
        <v/>
      </c>
      <c r="Z253" s="14" t="str">
        <f t="shared" si="47"/>
        <v/>
      </c>
    </row>
    <row r="254" spans="1:26" x14ac:dyDescent="0.2">
      <c r="A254" t="str">
        <f>INDEX(Prioritization!$D:$D,MATCH($B254,Prioritization!$A:$A,0))</f>
        <v>1 - Scale-up: Saturation</v>
      </c>
      <c r="B254" t="s">
        <v>212</v>
      </c>
      <c r="C254" t="s">
        <v>367</v>
      </c>
      <c r="D254" t="s">
        <v>47</v>
      </c>
      <c r="E254" t="str">
        <f t="shared" si="36"/>
        <v>Chiradzulu District [oiPR2CiVJbf]|50+|Male</v>
      </c>
      <c r="F254" s="14"/>
      <c r="G254" s="90">
        <f>0</f>
        <v>0</v>
      </c>
      <c r="H254" s="42" t="str">
        <f t="shared" si="37"/>
        <v/>
      </c>
      <c r="I254" s="14"/>
      <c r="J254" s="90"/>
      <c r="K254" s="90" t="str">
        <f t="shared" si="38"/>
        <v/>
      </c>
      <c r="L254" s="90"/>
      <c r="M254" s="90" t="str">
        <f t="shared" si="39"/>
        <v/>
      </c>
      <c r="N254" s="14" t="str">
        <f t="shared" si="40"/>
        <v/>
      </c>
      <c r="O254" s="42" t="str">
        <f t="shared" si="41"/>
        <v/>
      </c>
      <c r="P254" s="42" t="str">
        <f t="shared" si="42"/>
        <v/>
      </c>
      <c r="Q254" s="42" t="str">
        <f t="shared" si="43"/>
        <v/>
      </c>
      <c r="R254" s="90" t="str">
        <f>IF(SUM($P254)=0,"",INDEX(Cascade!$BG:$BG,MATCH($E254,Cascade!$E:$E,0)))</f>
        <v/>
      </c>
      <c r="S254" s="42" t="str">
        <f t="shared" si="44"/>
        <v/>
      </c>
      <c r="T254" s="42" t="str">
        <f t="shared" si="45"/>
        <v/>
      </c>
      <c r="U254" s="14" t="str">
        <f>IFERROR(1/(1/INDEX(Cascade!$BH:$BH,MATCH($E254,Cascade!$E:$E,0))),"")</f>
        <v/>
      </c>
      <c r="V254" s="14" t="str">
        <f t="shared" si="46"/>
        <v/>
      </c>
      <c r="W254" s="14" t="str">
        <f>IFERROR(1/(1/INDEX(PMTCT!$AC:$AC,MATCH($E254,PMTCT!$E:$E,0))),"")</f>
        <v/>
      </c>
      <c r="X254" s="14" t="str">
        <f>IFERROR(1/(1/INDEX(PMTCT!$AS:$AS,MATCH($E254,PMTCT!$E:$E,0))),"")</f>
        <v/>
      </c>
      <c r="Y254" s="14" t="str">
        <f>IFERROR(1/(1/INDEX(VMMC!$AA:$AA,MATCH($E254,VMMC!$E:$E,0))),"")</f>
        <v/>
      </c>
      <c r="Z254" s="14" t="str">
        <f t="shared" si="47"/>
        <v/>
      </c>
    </row>
    <row r="255" spans="1:26" x14ac:dyDescent="0.2">
      <c r="A255" t="str">
        <f>INDEX(Prioritization!$D:$D,MATCH($B255,Prioritization!$A:$A,0))</f>
        <v>1 - Scale-up: Saturation</v>
      </c>
      <c r="B255" t="s">
        <v>213</v>
      </c>
      <c r="C255" t="s">
        <v>362</v>
      </c>
      <c r="D255" t="s">
        <v>29</v>
      </c>
      <c r="E255" t="str">
        <f t="shared" si="36"/>
        <v>Machinga District [TYnMSwzko3z]|01-09|Female</v>
      </c>
      <c r="F255" s="14"/>
      <c r="G255" s="90">
        <f>0</f>
        <v>0</v>
      </c>
      <c r="H255" s="42" t="str">
        <f t="shared" si="37"/>
        <v/>
      </c>
      <c r="I255" s="14"/>
      <c r="J255" s="90"/>
      <c r="K255" s="90" t="str">
        <f t="shared" si="38"/>
        <v/>
      </c>
      <c r="L255" s="90"/>
      <c r="M255" s="90" t="str">
        <f t="shared" si="39"/>
        <v/>
      </c>
      <c r="N255" s="14" t="str">
        <f t="shared" si="40"/>
        <v/>
      </c>
      <c r="O255" s="42" t="str">
        <f t="shared" si="41"/>
        <v/>
      </c>
      <c r="P255" s="42" t="str">
        <f t="shared" si="42"/>
        <v/>
      </c>
      <c r="Q255" s="42" t="str">
        <f t="shared" si="43"/>
        <v/>
      </c>
      <c r="R255" s="90" t="str">
        <f>IF(SUM($P255)=0,"",INDEX(Cascade!$BG:$BG,MATCH($E255,Cascade!$E:$E,0)))</f>
        <v/>
      </c>
      <c r="S255" s="42" t="str">
        <f t="shared" si="44"/>
        <v/>
      </c>
      <c r="T255" s="42" t="str">
        <f t="shared" si="45"/>
        <v/>
      </c>
      <c r="U255" s="14" t="str">
        <f>IFERROR(1/(1/INDEX(Cascade!$BH:$BH,MATCH($E255,Cascade!$E:$E,0))),"")</f>
        <v/>
      </c>
      <c r="V255" s="14" t="str">
        <f t="shared" si="46"/>
        <v/>
      </c>
      <c r="W255" s="14" t="str">
        <f>IFERROR(1/(1/INDEX(PMTCT!$AC:$AC,MATCH($E255,PMTCT!$E:$E,0))),"")</f>
        <v/>
      </c>
      <c r="X255" s="14" t="str">
        <f>IFERROR(1/(1/INDEX(PMTCT!$AS:$AS,MATCH($E255,PMTCT!$E:$E,0))),"")</f>
        <v/>
      </c>
      <c r="Y255" s="14" t="str">
        <f>IFERROR(1/(1/INDEX(VMMC!$AA:$AA,MATCH($E255,VMMC!$E:$E,0))),"")</f>
        <v/>
      </c>
      <c r="Z255" s="14" t="str">
        <f t="shared" si="47"/>
        <v/>
      </c>
    </row>
    <row r="256" spans="1:26" x14ac:dyDescent="0.2">
      <c r="A256" t="str">
        <f>INDEX(Prioritization!$D:$D,MATCH($B256,Prioritization!$A:$A,0))</f>
        <v>1 - Scale-up: Saturation</v>
      </c>
      <c r="B256" t="s">
        <v>213</v>
      </c>
      <c r="C256" t="s">
        <v>362</v>
      </c>
      <c r="D256" t="s">
        <v>47</v>
      </c>
      <c r="E256" t="str">
        <f t="shared" si="36"/>
        <v>Machinga District [TYnMSwzko3z]|01-09|Male</v>
      </c>
      <c r="F256" s="14"/>
      <c r="G256" s="90">
        <f>0</f>
        <v>0</v>
      </c>
      <c r="H256" s="42" t="str">
        <f t="shared" si="37"/>
        <v/>
      </c>
      <c r="I256" s="14"/>
      <c r="J256" s="90"/>
      <c r="K256" s="90" t="str">
        <f t="shared" si="38"/>
        <v/>
      </c>
      <c r="L256" s="90"/>
      <c r="M256" s="90" t="str">
        <f t="shared" si="39"/>
        <v/>
      </c>
      <c r="N256" s="14" t="str">
        <f t="shared" si="40"/>
        <v/>
      </c>
      <c r="O256" s="42" t="str">
        <f t="shared" si="41"/>
        <v/>
      </c>
      <c r="P256" s="42" t="str">
        <f t="shared" si="42"/>
        <v/>
      </c>
      <c r="Q256" s="42" t="str">
        <f t="shared" si="43"/>
        <v/>
      </c>
      <c r="R256" s="90" t="str">
        <f>IF(SUM($P256)=0,"",INDEX(Cascade!$BG:$BG,MATCH($E256,Cascade!$E:$E,0)))</f>
        <v/>
      </c>
      <c r="S256" s="42" t="str">
        <f t="shared" si="44"/>
        <v/>
      </c>
      <c r="T256" s="42" t="str">
        <f t="shared" si="45"/>
        <v/>
      </c>
      <c r="U256" s="14" t="str">
        <f>IFERROR(1/(1/INDEX(Cascade!$BH:$BH,MATCH($E256,Cascade!$E:$E,0))),"")</f>
        <v/>
      </c>
      <c r="V256" s="14" t="str">
        <f t="shared" si="46"/>
        <v/>
      </c>
      <c r="W256" s="14" t="str">
        <f>IFERROR(1/(1/INDEX(PMTCT!$AC:$AC,MATCH($E256,PMTCT!$E:$E,0))),"")</f>
        <v/>
      </c>
      <c r="X256" s="14" t="str">
        <f>IFERROR(1/(1/INDEX(PMTCT!$AS:$AS,MATCH($E256,PMTCT!$E:$E,0))),"")</f>
        <v/>
      </c>
      <c r="Y256" s="14" t="str">
        <f>IFERROR(1/(1/INDEX(VMMC!$AA:$AA,MATCH($E256,VMMC!$E:$E,0))),"")</f>
        <v/>
      </c>
      <c r="Z256" s="14" t="str">
        <f t="shared" si="47"/>
        <v/>
      </c>
    </row>
    <row r="257" spans="1:26" x14ac:dyDescent="0.2">
      <c r="A257" t="str">
        <f>INDEX(Prioritization!$D:$D,MATCH($B257,Prioritization!$A:$A,0))</f>
        <v>1 - Scale-up: Saturation</v>
      </c>
      <c r="B257" t="s">
        <v>213</v>
      </c>
      <c r="C257" t="s">
        <v>363</v>
      </c>
      <c r="D257" t="s">
        <v>29</v>
      </c>
      <c r="E257" t="str">
        <f t="shared" si="36"/>
        <v>Machinga District [TYnMSwzko3z]|10-14|Female</v>
      </c>
      <c r="F257" s="14">
        <v>1</v>
      </c>
      <c r="G257" s="90">
        <f>0</f>
        <v>0</v>
      </c>
      <c r="H257" s="42">
        <f t="shared" si="37"/>
        <v>1</v>
      </c>
      <c r="I257" s="14"/>
      <c r="J257" s="90"/>
      <c r="K257" s="90" t="str">
        <f t="shared" si="38"/>
        <v/>
      </c>
      <c r="L257" s="90"/>
      <c r="M257" s="90" t="str">
        <f t="shared" si="39"/>
        <v/>
      </c>
      <c r="N257" s="14">
        <f t="shared" si="40"/>
        <v>1</v>
      </c>
      <c r="O257" s="42" t="str">
        <f t="shared" si="41"/>
        <v>ENTER KNOWN POSITIVITY RATE</v>
      </c>
      <c r="P257" s="42" t="str">
        <f t="shared" si="42"/>
        <v>ENTER YIELD RATE</v>
      </c>
      <c r="Q257" s="42">
        <f t="shared" si="43"/>
        <v>1</v>
      </c>
      <c r="R257" s="90" t="str">
        <f>IF(SUM($P257)=0,"",INDEX(Cascade!$BG:$BG,MATCH($E257,Cascade!$E:$E,0)))</f>
        <v/>
      </c>
      <c r="S257" s="42" t="str">
        <f t="shared" si="44"/>
        <v>ENTER KNOWN POSITIVITY RATE</v>
      </c>
      <c r="T257" s="42" t="str">
        <f t="shared" si="45"/>
        <v/>
      </c>
      <c r="U257" s="14">
        <f>IFERROR(1/(1/INDEX(Cascade!$BH:$BH,MATCH($E257,Cascade!$E:$E,0))),"")</f>
        <v>-87</v>
      </c>
      <c r="V257" s="14" t="str">
        <f t="shared" si="46"/>
        <v/>
      </c>
      <c r="W257" s="14" t="str">
        <f>IFERROR(1/(1/INDEX(PMTCT!$AC:$AC,MATCH($E257,PMTCT!$E:$E,0))),"")</f>
        <v/>
      </c>
      <c r="X257" s="14" t="str">
        <f>IFERROR(1/(1/INDEX(PMTCT!$AS:$AS,MATCH($E257,PMTCT!$E:$E,0))),"")</f>
        <v/>
      </c>
      <c r="Y257" s="14" t="str">
        <f>IFERROR(1/(1/INDEX(VMMC!$AA:$AA,MATCH($E257,VMMC!$E:$E,0))),"")</f>
        <v/>
      </c>
      <c r="Z257" s="14">
        <f t="shared" si="47"/>
        <v>-87</v>
      </c>
    </row>
    <row r="258" spans="1:26" x14ac:dyDescent="0.2">
      <c r="A258" t="str">
        <f>INDEX(Prioritization!$D:$D,MATCH($B258,Prioritization!$A:$A,0))</f>
        <v>1 - Scale-up: Saturation</v>
      </c>
      <c r="B258" t="s">
        <v>213</v>
      </c>
      <c r="C258" t="s">
        <v>363</v>
      </c>
      <c r="D258" t="s">
        <v>47</v>
      </c>
      <c r="E258" t="str">
        <f t="shared" si="36"/>
        <v>Machinga District [TYnMSwzko3z]|10-14|Male</v>
      </c>
      <c r="F258" s="14">
        <v>1</v>
      </c>
      <c r="G258" s="90">
        <f>0</f>
        <v>0</v>
      </c>
      <c r="H258" s="42">
        <f t="shared" si="37"/>
        <v>1</v>
      </c>
      <c r="I258" s="14"/>
      <c r="J258" s="90"/>
      <c r="K258" s="90" t="str">
        <f t="shared" si="38"/>
        <v/>
      </c>
      <c r="L258" s="90"/>
      <c r="M258" s="90" t="str">
        <f t="shared" si="39"/>
        <v/>
      </c>
      <c r="N258" s="14">
        <f t="shared" si="40"/>
        <v>1</v>
      </c>
      <c r="O258" s="42" t="str">
        <f t="shared" si="41"/>
        <v>ENTER KNOWN POSITIVITY RATE</v>
      </c>
      <c r="P258" s="42" t="str">
        <f t="shared" si="42"/>
        <v>ENTER YIELD RATE</v>
      </c>
      <c r="Q258" s="42">
        <f t="shared" si="43"/>
        <v>1</v>
      </c>
      <c r="R258" s="90" t="str">
        <f>IF(SUM($P258)=0,"",INDEX(Cascade!$BG:$BG,MATCH($E258,Cascade!$E:$E,0)))</f>
        <v/>
      </c>
      <c r="S258" s="42" t="str">
        <f t="shared" si="44"/>
        <v>ENTER KNOWN POSITIVITY RATE</v>
      </c>
      <c r="T258" s="42" t="str">
        <f t="shared" si="45"/>
        <v/>
      </c>
      <c r="U258" s="14">
        <f>IFERROR(1/(1/INDEX(Cascade!$BH:$BH,MATCH($E258,Cascade!$E:$E,0))),"")</f>
        <v>-55</v>
      </c>
      <c r="V258" s="14" t="str">
        <f t="shared" si="46"/>
        <v/>
      </c>
      <c r="W258" s="14" t="str">
        <f>IFERROR(1/(1/INDEX(PMTCT!$AC:$AC,MATCH($E258,PMTCT!$E:$E,0))),"")</f>
        <v/>
      </c>
      <c r="X258" s="14" t="str">
        <f>IFERROR(1/(1/INDEX(PMTCT!$AS:$AS,MATCH($E258,PMTCT!$E:$E,0))),"")</f>
        <v/>
      </c>
      <c r="Y258" s="14" t="str">
        <f>IFERROR(1/(1/INDEX(VMMC!$AA:$AA,MATCH($E258,VMMC!$E:$E,0))),"")</f>
        <v/>
      </c>
      <c r="Z258" s="14">
        <f t="shared" si="47"/>
        <v>-55</v>
      </c>
    </row>
    <row r="259" spans="1:26" x14ac:dyDescent="0.2">
      <c r="A259" t="str">
        <f>INDEX(Prioritization!$D:$D,MATCH($B259,Prioritization!$A:$A,0))</f>
        <v>1 - Scale-up: Saturation</v>
      </c>
      <c r="B259" t="s">
        <v>213</v>
      </c>
      <c r="C259" t="s">
        <v>364</v>
      </c>
      <c r="D259" t="s">
        <v>29</v>
      </c>
      <c r="E259" t="str">
        <f t="shared" si="36"/>
        <v>Machinga District [TYnMSwzko3z]|15-24|Female</v>
      </c>
      <c r="F259" s="14"/>
      <c r="G259" s="90">
        <f>0</f>
        <v>0</v>
      </c>
      <c r="H259" s="42" t="str">
        <f t="shared" si="37"/>
        <v/>
      </c>
      <c r="I259" s="14"/>
      <c r="J259" s="90"/>
      <c r="K259" s="90" t="str">
        <f t="shared" si="38"/>
        <v/>
      </c>
      <c r="L259" s="90"/>
      <c r="M259" s="90" t="str">
        <f t="shared" si="39"/>
        <v/>
      </c>
      <c r="N259" s="14" t="str">
        <f t="shared" si="40"/>
        <v/>
      </c>
      <c r="O259" s="42" t="str">
        <f t="shared" si="41"/>
        <v/>
      </c>
      <c r="P259" s="42" t="str">
        <f t="shared" si="42"/>
        <v/>
      </c>
      <c r="Q259" s="42" t="str">
        <f t="shared" si="43"/>
        <v/>
      </c>
      <c r="R259" s="90" t="str">
        <f>IF(SUM($P259)=0,"",INDEX(Cascade!$BG:$BG,MATCH($E259,Cascade!$E:$E,0)))</f>
        <v/>
      </c>
      <c r="S259" s="42" t="str">
        <f t="shared" si="44"/>
        <v/>
      </c>
      <c r="T259" s="42" t="str">
        <f t="shared" si="45"/>
        <v/>
      </c>
      <c r="U259" s="14" t="str">
        <f>IFERROR(1/(1/INDEX(Cascade!$BH:$BH,MATCH($E259,Cascade!$E:$E,0))),"")</f>
        <v/>
      </c>
      <c r="V259" s="14" t="str">
        <f t="shared" si="46"/>
        <v/>
      </c>
      <c r="W259" s="14" t="str">
        <f>IFERROR(1/(1/INDEX(PMTCT!$AC:$AC,MATCH($E259,PMTCT!$E:$E,0))),"")</f>
        <v/>
      </c>
      <c r="X259" s="14" t="str">
        <f>IFERROR(1/(1/INDEX(PMTCT!$AS:$AS,MATCH($E259,PMTCT!$E:$E,0))),"")</f>
        <v/>
      </c>
      <c r="Y259" s="14" t="str">
        <f>IFERROR(1/(1/INDEX(VMMC!$AA:$AA,MATCH($E259,VMMC!$E:$E,0))),"")</f>
        <v/>
      </c>
      <c r="Z259" s="14" t="str">
        <f t="shared" si="47"/>
        <v/>
      </c>
    </row>
    <row r="260" spans="1:26" x14ac:dyDescent="0.2">
      <c r="A260" t="str">
        <f>INDEX(Prioritization!$D:$D,MATCH($B260,Prioritization!$A:$A,0))</f>
        <v>1 - Scale-up: Saturation</v>
      </c>
      <c r="B260" t="s">
        <v>213</v>
      </c>
      <c r="C260" t="s">
        <v>364</v>
      </c>
      <c r="D260" t="s">
        <v>47</v>
      </c>
      <c r="E260" t="str">
        <f t="shared" si="36"/>
        <v>Machinga District [TYnMSwzko3z]|15-24|Male</v>
      </c>
      <c r="F260" s="14"/>
      <c r="G260" s="90">
        <f>0</f>
        <v>0</v>
      </c>
      <c r="H260" s="42" t="str">
        <f t="shared" si="37"/>
        <v/>
      </c>
      <c r="I260" s="14"/>
      <c r="J260" s="90"/>
      <c r="K260" s="90" t="str">
        <f t="shared" si="38"/>
        <v/>
      </c>
      <c r="L260" s="90"/>
      <c r="M260" s="90" t="str">
        <f t="shared" si="39"/>
        <v/>
      </c>
      <c r="N260" s="14" t="str">
        <f t="shared" si="40"/>
        <v/>
      </c>
      <c r="O260" s="42" t="str">
        <f t="shared" si="41"/>
        <v/>
      </c>
      <c r="P260" s="42" t="str">
        <f t="shared" si="42"/>
        <v/>
      </c>
      <c r="Q260" s="42" t="str">
        <f t="shared" si="43"/>
        <v/>
      </c>
      <c r="R260" s="90" t="str">
        <f>IF(SUM($P260)=0,"",INDEX(Cascade!$BG:$BG,MATCH($E260,Cascade!$E:$E,0)))</f>
        <v/>
      </c>
      <c r="S260" s="42" t="str">
        <f t="shared" si="44"/>
        <v/>
      </c>
      <c r="T260" s="42" t="str">
        <f t="shared" si="45"/>
        <v/>
      </c>
      <c r="U260" s="14" t="str">
        <f>IFERROR(1/(1/INDEX(Cascade!$BH:$BH,MATCH($E260,Cascade!$E:$E,0))),"")</f>
        <v/>
      </c>
      <c r="V260" s="14" t="str">
        <f t="shared" si="46"/>
        <v/>
      </c>
      <c r="W260" s="14" t="str">
        <f>IFERROR(1/(1/INDEX(PMTCT!$AC:$AC,MATCH($E260,PMTCT!$E:$E,0))),"")</f>
        <v/>
      </c>
      <c r="X260" s="14" t="str">
        <f>IFERROR(1/(1/INDEX(PMTCT!$AS:$AS,MATCH($E260,PMTCT!$E:$E,0))),"")</f>
        <v/>
      </c>
      <c r="Y260" s="14" t="str">
        <f>IFERROR(1/(1/INDEX(VMMC!$AA:$AA,MATCH($E260,VMMC!$E:$E,0))),"")</f>
        <v/>
      </c>
      <c r="Z260" s="14" t="str">
        <f t="shared" si="47"/>
        <v/>
      </c>
    </row>
    <row r="261" spans="1:26" x14ac:dyDescent="0.2">
      <c r="A261" t="str">
        <f>INDEX(Prioritization!$D:$D,MATCH($B261,Prioritization!$A:$A,0))</f>
        <v>1 - Scale-up: Saturation</v>
      </c>
      <c r="B261" t="s">
        <v>213</v>
      </c>
      <c r="C261" t="s">
        <v>365</v>
      </c>
      <c r="D261" t="s">
        <v>29</v>
      </c>
      <c r="E261" t="str">
        <f t="shared" si="36"/>
        <v>Machinga District [TYnMSwzko3z]|25-34|Female</v>
      </c>
      <c r="F261" s="14"/>
      <c r="G261" s="90">
        <f>0</f>
        <v>0</v>
      </c>
      <c r="H261" s="42" t="str">
        <f t="shared" si="37"/>
        <v/>
      </c>
      <c r="I261" s="14"/>
      <c r="J261" s="90"/>
      <c r="K261" s="90" t="str">
        <f t="shared" si="38"/>
        <v/>
      </c>
      <c r="L261" s="90"/>
      <c r="M261" s="90" t="str">
        <f t="shared" si="39"/>
        <v/>
      </c>
      <c r="N261" s="14" t="str">
        <f t="shared" si="40"/>
        <v/>
      </c>
      <c r="O261" s="42" t="str">
        <f t="shared" si="41"/>
        <v/>
      </c>
      <c r="P261" s="42" t="str">
        <f t="shared" si="42"/>
        <v/>
      </c>
      <c r="Q261" s="42" t="str">
        <f t="shared" si="43"/>
        <v/>
      </c>
      <c r="R261" s="90" t="str">
        <f>IF(SUM($P261)=0,"",INDEX(Cascade!$BG:$BG,MATCH($E261,Cascade!$E:$E,0)))</f>
        <v/>
      </c>
      <c r="S261" s="42" t="str">
        <f t="shared" si="44"/>
        <v/>
      </c>
      <c r="T261" s="42" t="str">
        <f t="shared" si="45"/>
        <v/>
      </c>
      <c r="U261" s="14" t="str">
        <f>IFERROR(1/(1/INDEX(Cascade!$BH:$BH,MATCH($E261,Cascade!$E:$E,0))),"")</f>
        <v/>
      </c>
      <c r="V261" s="14" t="str">
        <f t="shared" si="46"/>
        <v/>
      </c>
      <c r="W261" s="14" t="str">
        <f>IFERROR(1/(1/INDEX(PMTCT!$AC:$AC,MATCH($E261,PMTCT!$E:$E,0))),"")</f>
        <v/>
      </c>
      <c r="X261" s="14" t="str">
        <f>IFERROR(1/(1/INDEX(PMTCT!$AS:$AS,MATCH($E261,PMTCT!$E:$E,0))),"")</f>
        <v/>
      </c>
      <c r="Y261" s="14" t="str">
        <f>IFERROR(1/(1/INDEX(VMMC!$AA:$AA,MATCH($E261,VMMC!$E:$E,0))),"")</f>
        <v/>
      </c>
      <c r="Z261" s="14" t="str">
        <f t="shared" si="47"/>
        <v/>
      </c>
    </row>
    <row r="262" spans="1:26" x14ac:dyDescent="0.2">
      <c r="A262" t="str">
        <f>INDEX(Prioritization!$D:$D,MATCH($B262,Prioritization!$A:$A,0))</f>
        <v>1 - Scale-up: Saturation</v>
      </c>
      <c r="B262" t="s">
        <v>213</v>
      </c>
      <c r="C262" t="s">
        <v>365</v>
      </c>
      <c r="D262" t="s">
        <v>47</v>
      </c>
      <c r="E262" t="str">
        <f t="shared" si="36"/>
        <v>Machinga District [TYnMSwzko3z]|25-34|Male</v>
      </c>
      <c r="F262" s="14"/>
      <c r="G262" s="90">
        <f>0</f>
        <v>0</v>
      </c>
      <c r="H262" s="42" t="str">
        <f t="shared" si="37"/>
        <v/>
      </c>
      <c r="I262" s="14"/>
      <c r="J262" s="90"/>
      <c r="K262" s="90" t="str">
        <f t="shared" si="38"/>
        <v/>
      </c>
      <c r="L262" s="90"/>
      <c r="M262" s="90" t="str">
        <f t="shared" si="39"/>
        <v/>
      </c>
      <c r="N262" s="14" t="str">
        <f t="shared" si="40"/>
        <v/>
      </c>
      <c r="O262" s="42" t="str">
        <f t="shared" si="41"/>
        <v/>
      </c>
      <c r="P262" s="42" t="str">
        <f t="shared" si="42"/>
        <v/>
      </c>
      <c r="Q262" s="42" t="str">
        <f t="shared" si="43"/>
        <v/>
      </c>
      <c r="R262" s="90" t="str">
        <f>IF(SUM($P262)=0,"",INDEX(Cascade!$BG:$BG,MATCH($E262,Cascade!$E:$E,0)))</f>
        <v/>
      </c>
      <c r="S262" s="42" t="str">
        <f t="shared" si="44"/>
        <v/>
      </c>
      <c r="T262" s="42" t="str">
        <f t="shared" si="45"/>
        <v/>
      </c>
      <c r="U262" s="14" t="str">
        <f>IFERROR(1/(1/INDEX(Cascade!$BH:$BH,MATCH($E262,Cascade!$E:$E,0))),"")</f>
        <v/>
      </c>
      <c r="V262" s="14" t="str">
        <f t="shared" si="46"/>
        <v/>
      </c>
      <c r="W262" s="14" t="str">
        <f>IFERROR(1/(1/INDEX(PMTCT!$AC:$AC,MATCH($E262,PMTCT!$E:$E,0))),"")</f>
        <v/>
      </c>
      <c r="X262" s="14" t="str">
        <f>IFERROR(1/(1/INDEX(PMTCT!$AS:$AS,MATCH($E262,PMTCT!$E:$E,0))),"")</f>
        <v/>
      </c>
      <c r="Y262" s="14" t="str">
        <f>IFERROR(1/(1/INDEX(VMMC!$AA:$AA,MATCH($E262,VMMC!$E:$E,0))),"")</f>
        <v/>
      </c>
      <c r="Z262" s="14" t="str">
        <f t="shared" si="47"/>
        <v/>
      </c>
    </row>
    <row r="263" spans="1:26" x14ac:dyDescent="0.2">
      <c r="A263" t="str">
        <f>INDEX(Prioritization!$D:$D,MATCH($B263,Prioritization!$A:$A,0))</f>
        <v>1 - Scale-up: Saturation</v>
      </c>
      <c r="B263" t="s">
        <v>213</v>
      </c>
      <c r="C263" t="s">
        <v>366</v>
      </c>
      <c r="D263" t="s">
        <v>29</v>
      </c>
      <c r="E263" t="str">
        <f t="shared" si="36"/>
        <v>Machinga District [TYnMSwzko3z]|35-49|Female</v>
      </c>
      <c r="F263" s="14"/>
      <c r="G263" s="90">
        <f>0</f>
        <v>0</v>
      </c>
      <c r="H263" s="42" t="str">
        <f t="shared" si="37"/>
        <v/>
      </c>
      <c r="I263" s="14"/>
      <c r="J263" s="90"/>
      <c r="K263" s="90" t="str">
        <f t="shared" si="38"/>
        <v/>
      </c>
      <c r="L263" s="90"/>
      <c r="M263" s="90" t="str">
        <f t="shared" si="39"/>
        <v/>
      </c>
      <c r="N263" s="14" t="str">
        <f t="shared" si="40"/>
        <v/>
      </c>
      <c r="O263" s="42" t="str">
        <f t="shared" si="41"/>
        <v/>
      </c>
      <c r="P263" s="42" t="str">
        <f t="shared" si="42"/>
        <v/>
      </c>
      <c r="Q263" s="42" t="str">
        <f t="shared" si="43"/>
        <v/>
      </c>
      <c r="R263" s="90" t="str">
        <f>IF(SUM($P263)=0,"",INDEX(Cascade!$BG:$BG,MATCH($E263,Cascade!$E:$E,0)))</f>
        <v/>
      </c>
      <c r="S263" s="42" t="str">
        <f t="shared" si="44"/>
        <v/>
      </c>
      <c r="T263" s="42" t="str">
        <f t="shared" si="45"/>
        <v/>
      </c>
      <c r="U263" s="14" t="str">
        <f>IFERROR(1/(1/INDEX(Cascade!$BH:$BH,MATCH($E263,Cascade!$E:$E,0))),"")</f>
        <v/>
      </c>
      <c r="V263" s="14" t="str">
        <f t="shared" si="46"/>
        <v/>
      </c>
      <c r="W263" s="14" t="str">
        <f>IFERROR(1/(1/INDEX(PMTCT!$AC:$AC,MATCH($E263,PMTCT!$E:$E,0))),"")</f>
        <v/>
      </c>
      <c r="X263" s="14" t="str">
        <f>IFERROR(1/(1/INDEX(PMTCT!$AS:$AS,MATCH($E263,PMTCT!$E:$E,0))),"")</f>
        <v/>
      </c>
      <c r="Y263" s="14" t="str">
        <f>IFERROR(1/(1/INDEX(VMMC!$AA:$AA,MATCH($E263,VMMC!$E:$E,0))),"")</f>
        <v/>
      </c>
      <c r="Z263" s="14" t="str">
        <f t="shared" si="47"/>
        <v/>
      </c>
    </row>
    <row r="264" spans="1:26" x14ac:dyDescent="0.2">
      <c r="A264" t="str">
        <f>INDEX(Prioritization!$D:$D,MATCH($B264,Prioritization!$A:$A,0))</f>
        <v>1 - Scale-up: Saturation</v>
      </c>
      <c r="B264" t="s">
        <v>213</v>
      </c>
      <c r="C264" t="s">
        <v>366</v>
      </c>
      <c r="D264" t="s">
        <v>47</v>
      </c>
      <c r="E264" t="str">
        <f t="shared" si="36"/>
        <v>Machinga District [TYnMSwzko3z]|35-49|Male</v>
      </c>
      <c r="F264" s="14"/>
      <c r="G264" s="90">
        <f>0</f>
        <v>0</v>
      </c>
      <c r="H264" s="42" t="str">
        <f t="shared" si="37"/>
        <v/>
      </c>
      <c r="I264" s="14"/>
      <c r="J264" s="90"/>
      <c r="K264" s="90" t="str">
        <f t="shared" si="38"/>
        <v/>
      </c>
      <c r="L264" s="90"/>
      <c r="M264" s="90" t="str">
        <f t="shared" si="39"/>
        <v/>
      </c>
      <c r="N264" s="14" t="str">
        <f t="shared" si="40"/>
        <v/>
      </c>
      <c r="O264" s="42" t="str">
        <f t="shared" si="41"/>
        <v/>
      </c>
      <c r="P264" s="42" t="str">
        <f t="shared" si="42"/>
        <v/>
      </c>
      <c r="Q264" s="42" t="str">
        <f t="shared" si="43"/>
        <v/>
      </c>
      <c r="R264" s="90" t="str">
        <f>IF(SUM($P264)=0,"",INDEX(Cascade!$BG:$BG,MATCH($E264,Cascade!$E:$E,0)))</f>
        <v/>
      </c>
      <c r="S264" s="42" t="str">
        <f t="shared" si="44"/>
        <v/>
      </c>
      <c r="T264" s="42" t="str">
        <f t="shared" si="45"/>
        <v/>
      </c>
      <c r="U264" s="14" t="str">
        <f>IFERROR(1/(1/INDEX(Cascade!$BH:$BH,MATCH($E264,Cascade!$E:$E,0))),"")</f>
        <v/>
      </c>
      <c r="V264" s="14" t="str">
        <f t="shared" si="46"/>
        <v/>
      </c>
      <c r="W264" s="14" t="str">
        <f>IFERROR(1/(1/INDEX(PMTCT!$AC:$AC,MATCH($E264,PMTCT!$E:$E,0))),"")</f>
        <v/>
      </c>
      <c r="X264" s="14" t="str">
        <f>IFERROR(1/(1/INDEX(PMTCT!$AS:$AS,MATCH($E264,PMTCT!$E:$E,0))),"")</f>
        <v/>
      </c>
      <c r="Y264" s="14" t="str">
        <f>IFERROR(1/(1/INDEX(VMMC!$AA:$AA,MATCH($E264,VMMC!$E:$E,0))),"")</f>
        <v/>
      </c>
      <c r="Z264" s="14" t="str">
        <f t="shared" si="47"/>
        <v/>
      </c>
    </row>
    <row r="265" spans="1:26" x14ac:dyDescent="0.2">
      <c r="A265" t="str">
        <f>INDEX(Prioritization!$D:$D,MATCH($B265,Prioritization!$A:$A,0))</f>
        <v>1 - Scale-up: Saturation</v>
      </c>
      <c r="B265" t="s">
        <v>213</v>
      </c>
      <c r="C265" t="s">
        <v>367</v>
      </c>
      <c r="D265" t="s">
        <v>29</v>
      </c>
      <c r="E265" t="str">
        <f t="shared" si="36"/>
        <v>Machinga District [TYnMSwzko3z]|50+|Female</v>
      </c>
      <c r="F265" s="14"/>
      <c r="G265" s="90">
        <f>0</f>
        <v>0</v>
      </c>
      <c r="H265" s="42" t="str">
        <f t="shared" si="37"/>
        <v/>
      </c>
      <c r="I265" s="14"/>
      <c r="J265" s="90"/>
      <c r="K265" s="90" t="str">
        <f t="shared" si="38"/>
        <v/>
      </c>
      <c r="L265" s="90"/>
      <c r="M265" s="90" t="str">
        <f t="shared" si="39"/>
        <v/>
      </c>
      <c r="N265" s="14" t="str">
        <f t="shared" si="40"/>
        <v/>
      </c>
      <c r="O265" s="42" t="str">
        <f t="shared" si="41"/>
        <v/>
      </c>
      <c r="P265" s="42" t="str">
        <f t="shared" si="42"/>
        <v/>
      </c>
      <c r="Q265" s="42" t="str">
        <f t="shared" si="43"/>
        <v/>
      </c>
      <c r="R265" s="90" t="str">
        <f>IF(SUM($P265)=0,"",INDEX(Cascade!$BG:$BG,MATCH($E265,Cascade!$E:$E,0)))</f>
        <v/>
      </c>
      <c r="S265" s="42" t="str">
        <f t="shared" si="44"/>
        <v/>
      </c>
      <c r="T265" s="42" t="str">
        <f t="shared" si="45"/>
        <v/>
      </c>
      <c r="U265" s="14" t="str">
        <f>IFERROR(1/(1/INDEX(Cascade!$BH:$BH,MATCH($E265,Cascade!$E:$E,0))),"")</f>
        <v/>
      </c>
      <c r="V265" s="14" t="str">
        <f t="shared" si="46"/>
        <v/>
      </c>
      <c r="W265" s="14" t="str">
        <f>IFERROR(1/(1/INDEX(PMTCT!$AC:$AC,MATCH($E265,PMTCT!$E:$E,0))),"")</f>
        <v/>
      </c>
      <c r="X265" s="14" t="str">
        <f>IFERROR(1/(1/INDEX(PMTCT!$AS:$AS,MATCH($E265,PMTCT!$E:$E,0))),"")</f>
        <v/>
      </c>
      <c r="Y265" s="14" t="str">
        <f>IFERROR(1/(1/INDEX(VMMC!$AA:$AA,MATCH($E265,VMMC!$E:$E,0))),"")</f>
        <v/>
      </c>
      <c r="Z265" s="14" t="str">
        <f t="shared" si="47"/>
        <v/>
      </c>
    </row>
    <row r="266" spans="1:26" x14ac:dyDescent="0.2">
      <c r="A266" t="str">
        <f>INDEX(Prioritization!$D:$D,MATCH($B266,Prioritization!$A:$A,0))</f>
        <v>1 - Scale-up: Saturation</v>
      </c>
      <c r="B266" t="s">
        <v>213</v>
      </c>
      <c r="C266" t="s">
        <v>367</v>
      </c>
      <c r="D266" t="s">
        <v>47</v>
      </c>
      <c r="E266" t="str">
        <f t="shared" si="36"/>
        <v>Machinga District [TYnMSwzko3z]|50+|Male</v>
      </c>
      <c r="F266" s="14"/>
      <c r="G266" s="90">
        <f>0</f>
        <v>0</v>
      </c>
      <c r="H266" s="42" t="str">
        <f t="shared" si="37"/>
        <v/>
      </c>
      <c r="I266" s="14"/>
      <c r="J266" s="90"/>
      <c r="K266" s="90" t="str">
        <f t="shared" si="38"/>
        <v/>
      </c>
      <c r="L266" s="90"/>
      <c r="M266" s="90" t="str">
        <f t="shared" si="39"/>
        <v/>
      </c>
      <c r="N266" s="14" t="str">
        <f t="shared" si="40"/>
        <v/>
      </c>
      <c r="O266" s="42" t="str">
        <f t="shared" si="41"/>
        <v/>
      </c>
      <c r="P266" s="42" t="str">
        <f t="shared" si="42"/>
        <v/>
      </c>
      <c r="Q266" s="42" t="str">
        <f t="shared" si="43"/>
        <v/>
      </c>
      <c r="R266" s="90" t="str">
        <f>IF(SUM($P266)=0,"",INDEX(Cascade!$BG:$BG,MATCH($E266,Cascade!$E:$E,0)))</f>
        <v/>
      </c>
      <c r="S266" s="42" t="str">
        <f t="shared" si="44"/>
        <v/>
      </c>
      <c r="T266" s="42" t="str">
        <f t="shared" si="45"/>
        <v/>
      </c>
      <c r="U266" s="14" t="str">
        <f>IFERROR(1/(1/INDEX(Cascade!$BH:$BH,MATCH($E266,Cascade!$E:$E,0))),"")</f>
        <v/>
      </c>
      <c r="V266" s="14" t="str">
        <f t="shared" si="46"/>
        <v/>
      </c>
      <c r="W266" s="14" t="str">
        <f>IFERROR(1/(1/INDEX(PMTCT!$AC:$AC,MATCH($E266,PMTCT!$E:$E,0))),"")</f>
        <v/>
      </c>
      <c r="X266" s="14" t="str">
        <f>IFERROR(1/(1/INDEX(PMTCT!$AS:$AS,MATCH($E266,PMTCT!$E:$E,0))),"")</f>
        <v/>
      </c>
      <c r="Y266" s="14" t="str">
        <f>IFERROR(1/(1/INDEX(VMMC!$AA:$AA,MATCH($E266,VMMC!$E:$E,0))),"")</f>
        <v/>
      </c>
      <c r="Z266" s="14" t="str">
        <f t="shared" si="47"/>
        <v/>
      </c>
    </row>
    <row r="267" spans="1:26" x14ac:dyDescent="0.2">
      <c r="A267" t="str">
        <f>INDEX(Prioritization!$D:$D,MATCH($B267,Prioritization!$A:$A,0))</f>
        <v>INVALID</v>
      </c>
      <c r="B267" t="s">
        <v>214</v>
      </c>
      <c r="C267" t="s">
        <v>362</v>
      </c>
      <c r="D267" t="s">
        <v>29</v>
      </c>
      <c r="E267" t="str">
        <f t="shared" si="36"/>
        <v>Mangochi District [lLDyBx5XyUi]|01-09|Female</v>
      </c>
      <c r="F267" s="14"/>
      <c r="G267" s="90">
        <f>0</f>
        <v>0</v>
      </c>
      <c r="H267" s="42" t="str">
        <f t="shared" si="37"/>
        <v/>
      </c>
      <c r="I267" s="14"/>
      <c r="J267" s="90"/>
      <c r="K267" s="90" t="str">
        <f t="shared" si="38"/>
        <v/>
      </c>
      <c r="L267" s="90"/>
      <c r="M267" s="90" t="str">
        <f t="shared" si="39"/>
        <v/>
      </c>
      <c r="N267" s="14" t="str">
        <f t="shared" si="40"/>
        <v/>
      </c>
      <c r="O267" s="42" t="str">
        <f t="shared" si="41"/>
        <v/>
      </c>
      <c r="P267" s="42" t="str">
        <f t="shared" si="42"/>
        <v/>
      </c>
      <c r="Q267" s="42" t="str">
        <f t="shared" si="43"/>
        <v/>
      </c>
      <c r="R267" s="90" t="str">
        <f>IF(SUM($P267)=0,"",INDEX(Cascade!$BG:$BG,MATCH($E267,Cascade!$E:$E,0)))</f>
        <v/>
      </c>
      <c r="S267" s="42" t="str">
        <f t="shared" si="44"/>
        <v/>
      </c>
      <c r="T267" s="42" t="str">
        <f t="shared" si="45"/>
        <v/>
      </c>
      <c r="U267" s="14" t="str">
        <f>IFERROR(1/(1/INDEX(Cascade!$BH:$BH,MATCH($E267,Cascade!$E:$E,0))),"")</f>
        <v/>
      </c>
      <c r="V267" s="14" t="str">
        <f t="shared" si="46"/>
        <v/>
      </c>
      <c r="W267" s="14" t="str">
        <f>IFERROR(1/(1/INDEX(PMTCT!$AC:$AC,MATCH($E267,PMTCT!$E:$E,0))),"")</f>
        <v/>
      </c>
      <c r="X267" s="14" t="str">
        <f>IFERROR(1/(1/INDEX(PMTCT!$AS:$AS,MATCH($E267,PMTCT!$E:$E,0))),"")</f>
        <v/>
      </c>
      <c r="Y267" s="14" t="str">
        <f>IFERROR(1/(1/INDEX(VMMC!$AA:$AA,MATCH($E267,VMMC!$E:$E,0))),"")</f>
        <v/>
      </c>
      <c r="Z267" s="14" t="str">
        <f t="shared" si="47"/>
        <v/>
      </c>
    </row>
    <row r="268" spans="1:26" x14ac:dyDescent="0.2">
      <c r="A268" t="str">
        <f>INDEX(Prioritization!$D:$D,MATCH($B268,Prioritization!$A:$A,0))</f>
        <v>INVALID</v>
      </c>
      <c r="B268" t="s">
        <v>214</v>
      </c>
      <c r="C268" t="s">
        <v>362</v>
      </c>
      <c r="D268" t="s">
        <v>47</v>
      </c>
      <c r="E268" t="str">
        <f t="shared" si="36"/>
        <v>Mangochi District [lLDyBx5XyUi]|01-09|Male</v>
      </c>
      <c r="F268" s="14"/>
      <c r="G268" s="90">
        <f>0</f>
        <v>0</v>
      </c>
      <c r="H268" s="42" t="str">
        <f t="shared" si="37"/>
        <v/>
      </c>
      <c r="I268" s="14"/>
      <c r="J268" s="90"/>
      <c r="K268" s="90" t="str">
        <f t="shared" si="38"/>
        <v/>
      </c>
      <c r="L268" s="90"/>
      <c r="M268" s="90" t="str">
        <f t="shared" si="39"/>
        <v/>
      </c>
      <c r="N268" s="14" t="str">
        <f t="shared" si="40"/>
        <v/>
      </c>
      <c r="O268" s="42" t="str">
        <f t="shared" si="41"/>
        <v/>
      </c>
      <c r="P268" s="42" t="str">
        <f t="shared" si="42"/>
        <v/>
      </c>
      <c r="Q268" s="42" t="str">
        <f t="shared" si="43"/>
        <v/>
      </c>
      <c r="R268" s="90" t="str">
        <f>IF(SUM($P268)=0,"",INDEX(Cascade!$BG:$BG,MATCH($E268,Cascade!$E:$E,0)))</f>
        <v/>
      </c>
      <c r="S268" s="42" t="str">
        <f t="shared" si="44"/>
        <v/>
      </c>
      <c r="T268" s="42" t="str">
        <f t="shared" si="45"/>
        <v/>
      </c>
      <c r="U268" s="14" t="str">
        <f>IFERROR(1/(1/INDEX(Cascade!$BH:$BH,MATCH($E268,Cascade!$E:$E,0))),"")</f>
        <v/>
      </c>
      <c r="V268" s="14" t="str">
        <f t="shared" si="46"/>
        <v/>
      </c>
      <c r="W268" s="14" t="str">
        <f>IFERROR(1/(1/INDEX(PMTCT!$AC:$AC,MATCH($E268,PMTCT!$E:$E,0))),"")</f>
        <v/>
      </c>
      <c r="X268" s="14" t="str">
        <f>IFERROR(1/(1/INDEX(PMTCT!$AS:$AS,MATCH($E268,PMTCT!$E:$E,0))),"")</f>
        <v/>
      </c>
      <c r="Y268" s="14" t="str">
        <f>IFERROR(1/(1/INDEX(VMMC!$AA:$AA,MATCH($E268,VMMC!$E:$E,0))),"")</f>
        <v/>
      </c>
      <c r="Z268" s="14" t="str">
        <f t="shared" si="47"/>
        <v/>
      </c>
    </row>
    <row r="269" spans="1:26" x14ac:dyDescent="0.2">
      <c r="A269" t="str">
        <f>INDEX(Prioritization!$D:$D,MATCH($B269,Prioritization!$A:$A,0))</f>
        <v>INVALID</v>
      </c>
      <c r="B269" t="s">
        <v>214</v>
      </c>
      <c r="C269" t="s">
        <v>363</v>
      </c>
      <c r="D269" t="s">
        <v>29</v>
      </c>
      <c r="E269" t="str">
        <f t="shared" si="36"/>
        <v>Mangochi District [lLDyBx5XyUi]|10-14|Female</v>
      </c>
      <c r="F269" s="14">
        <v>7</v>
      </c>
      <c r="G269" s="90">
        <f>0</f>
        <v>0</v>
      </c>
      <c r="H269" s="42">
        <f t="shared" si="37"/>
        <v>7</v>
      </c>
      <c r="I269" s="14"/>
      <c r="J269" s="90"/>
      <c r="K269" s="90" t="str">
        <f t="shared" si="38"/>
        <v/>
      </c>
      <c r="L269" s="90"/>
      <c r="M269" s="90" t="str">
        <f t="shared" si="39"/>
        <v/>
      </c>
      <c r="N269" s="14">
        <f t="shared" si="40"/>
        <v>7</v>
      </c>
      <c r="O269" s="42" t="str">
        <f t="shared" si="41"/>
        <v>ENTER KNOWN POSITIVITY RATE</v>
      </c>
      <c r="P269" s="42" t="str">
        <f t="shared" si="42"/>
        <v>ENTER YIELD RATE</v>
      </c>
      <c r="Q269" s="42">
        <f t="shared" si="43"/>
        <v>7</v>
      </c>
      <c r="R269" s="90" t="str">
        <f>IF(SUM($P269)=0,"",INDEX(Cascade!$BG:$BG,MATCH($E269,Cascade!$E:$E,0)))</f>
        <v/>
      </c>
      <c r="S269" s="42" t="str">
        <f t="shared" si="44"/>
        <v>ENTER KNOWN POSITIVITY RATE</v>
      </c>
      <c r="T269" s="42" t="str">
        <f t="shared" si="45"/>
        <v/>
      </c>
      <c r="U269" s="14">
        <f>IFERROR(1/(1/INDEX(Cascade!$BH:$BH,MATCH($E269,Cascade!$E:$E,0))),"")</f>
        <v>-77</v>
      </c>
      <c r="V269" s="14" t="str">
        <f t="shared" si="46"/>
        <v/>
      </c>
      <c r="W269" s="14">
        <f>IFERROR(1/(1/INDEX(PMTCT!$AC:$AC,MATCH($E269,PMTCT!$E:$E,0))),"")</f>
        <v>4</v>
      </c>
      <c r="X269" s="14" t="str">
        <f>IFERROR(1/(1/INDEX(PMTCT!$AS:$AS,MATCH($E269,PMTCT!$E:$E,0))),"")</f>
        <v/>
      </c>
      <c r="Y269" s="14" t="str">
        <f>IFERROR(1/(1/INDEX(VMMC!$AA:$AA,MATCH($E269,VMMC!$E:$E,0))),"")</f>
        <v/>
      </c>
      <c r="Z269" s="14">
        <f t="shared" si="47"/>
        <v>-81</v>
      </c>
    </row>
    <row r="270" spans="1:26" x14ac:dyDescent="0.2">
      <c r="A270" t="str">
        <f>INDEX(Prioritization!$D:$D,MATCH($B270,Prioritization!$A:$A,0))</f>
        <v>INVALID</v>
      </c>
      <c r="B270" t="s">
        <v>214</v>
      </c>
      <c r="C270" t="s">
        <v>363</v>
      </c>
      <c r="D270" t="s">
        <v>47</v>
      </c>
      <c r="E270" t="str">
        <f t="shared" si="36"/>
        <v>Mangochi District [lLDyBx5XyUi]|10-14|Male</v>
      </c>
      <c r="F270" s="14">
        <v>6</v>
      </c>
      <c r="G270" s="90">
        <f>0</f>
        <v>0</v>
      </c>
      <c r="H270" s="42">
        <f t="shared" si="37"/>
        <v>6</v>
      </c>
      <c r="I270" s="14"/>
      <c r="J270" s="90"/>
      <c r="K270" s="90" t="str">
        <f t="shared" si="38"/>
        <v/>
      </c>
      <c r="L270" s="90"/>
      <c r="M270" s="90" t="str">
        <f t="shared" si="39"/>
        <v/>
      </c>
      <c r="N270" s="14">
        <f t="shared" si="40"/>
        <v>6</v>
      </c>
      <c r="O270" s="42" t="str">
        <f t="shared" si="41"/>
        <v>ENTER KNOWN POSITIVITY RATE</v>
      </c>
      <c r="P270" s="42" t="str">
        <f t="shared" si="42"/>
        <v>ENTER YIELD RATE</v>
      </c>
      <c r="Q270" s="42">
        <f t="shared" si="43"/>
        <v>6</v>
      </c>
      <c r="R270" s="90" t="str">
        <f>IF(SUM($P270)=0,"",INDEX(Cascade!$BG:$BG,MATCH($E270,Cascade!$E:$E,0)))</f>
        <v/>
      </c>
      <c r="S270" s="42" t="str">
        <f t="shared" si="44"/>
        <v>ENTER KNOWN POSITIVITY RATE</v>
      </c>
      <c r="T270" s="42" t="str">
        <f t="shared" si="45"/>
        <v/>
      </c>
      <c r="U270" s="14">
        <f>IFERROR(1/(1/INDEX(Cascade!$BH:$BH,MATCH($E270,Cascade!$E:$E,0))),"")</f>
        <v>-21</v>
      </c>
      <c r="V270" s="14" t="str">
        <f t="shared" si="46"/>
        <v/>
      </c>
      <c r="W270" s="14" t="str">
        <f>IFERROR(1/(1/INDEX(PMTCT!$AC:$AC,MATCH($E270,PMTCT!$E:$E,0))),"")</f>
        <v/>
      </c>
      <c r="X270" s="14" t="str">
        <f>IFERROR(1/(1/INDEX(PMTCT!$AS:$AS,MATCH($E270,PMTCT!$E:$E,0))),"")</f>
        <v/>
      </c>
      <c r="Y270" s="14" t="str">
        <f>IFERROR(1/(1/INDEX(VMMC!$AA:$AA,MATCH($E270,VMMC!$E:$E,0))),"")</f>
        <v/>
      </c>
      <c r="Z270" s="14">
        <f t="shared" si="47"/>
        <v>-21</v>
      </c>
    </row>
    <row r="271" spans="1:26" x14ac:dyDescent="0.2">
      <c r="A271" t="str">
        <f>INDEX(Prioritization!$D:$D,MATCH($B271,Prioritization!$A:$A,0))</f>
        <v>INVALID</v>
      </c>
      <c r="B271" t="s">
        <v>214</v>
      </c>
      <c r="C271" t="s">
        <v>364</v>
      </c>
      <c r="D271" t="s">
        <v>29</v>
      </c>
      <c r="E271" t="str">
        <f t="shared" ref="E271:E334" si="48">B271&amp;"|"&amp;C271&amp;"|"&amp;D271</f>
        <v>Mangochi District [lLDyBx5XyUi]|15-24|Female</v>
      </c>
      <c r="F271" s="14"/>
      <c r="G271" s="90">
        <f>0</f>
        <v>0</v>
      </c>
      <c r="H271" s="42" t="str">
        <f t="shared" ref="H271:H334" si="49">IF(SUM($F271)=0,"",ROUND($F271*(1+$G271),0))</f>
        <v/>
      </c>
      <c r="I271" s="14"/>
      <c r="J271" s="90"/>
      <c r="K271" s="90" t="str">
        <f t="shared" ref="K271:K334" si="50">IF($J271="","",$J271)</f>
        <v/>
      </c>
      <c r="L271" s="90"/>
      <c r="M271" s="90" t="str">
        <f t="shared" ref="M271:M334" si="51">IF($L271="","",$L271)</f>
        <v/>
      </c>
      <c r="N271" s="14" t="str">
        <f t="shared" ref="N271:N334" si="52">$H271</f>
        <v/>
      </c>
      <c r="O271" s="42" t="str">
        <f t="shared" ref="O271:O334" si="53">IF(SUM($N271)=0,"",IF(AND(SUM($N271)&gt;0,$K271=""),"ENTER KNOWN POSITIVITY RATE",ROUND($N271*$K271,0)))</f>
        <v/>
      </c>
      <c r="P271" s="42" t="str">
        <f t="shared" ref="P271:P334" si="54">IF(SUM($N271)=0,"",IF(AND((SUM($N271)-SUM($O271))&gt;0,$M271=""),"ENTER YIELD RATE",ROUND(($N271-SUM($O271))*$M271,0)))</f>
        <v/>
      </c>
      <c r="Q271" s="42" t="str">
        <f t="shared" ref="Q271:Q334" si="55">IF(SUM($N271)=0,"",$N271-SUM($O271)-SUM($P271))</f>
        <v/>
      </c>
      <c r="R271" s="90" t="str">
        <f>IF(SUM($P271)=0,"",INDEX(Cascade!$BG:$BG,MATCH($E271,Cascade!$E:$E,0)))</f>
        <v/>
      </c>
      <c r="S271" s="42" t="str">
        <f t="shared" ref="S271:S334" si="56">$O271</f>
        <v/>
      </c>
      <c r="T271" s="42" t="str">
        <f t="shared" ref="T271:T334" si="57">IF(SUM($P271)=0,"",IF(AND($R271="",SUM($P271)&gt;0),"&lt;- Enter Linkage Rate",ROUND($P271*$R271,0)))</f>
        <v/>
      </c>
      <c r="U271" s="14" t="str">
        <f>IFERROR(1/(1/INDEX(Cascade!$BH:$BH,MATCH($E271,Cascade!$E:$E,0))),"")</f>
        <v/>
      </c>
      <c r="V271" s="14" t="str">
        <f t="shared" ref="V271:V334" si="58">IF(SUM($P271)=0,"",$P271)</f>
        <v/>
      </c>
      <c r="W271" s="14" t="str">
        <f>IFERROR(1/(1/INDEX(PMTCT!$AC:$AC,MATCH($E271,PMTCT!$E:$E,0))),"")</f>
        <v/>
      </c>
      <c r="X271" s="14" t="str">
        <f>IFERROR(1/(1/INDEX(PMTCT!$AS:$AS,MATCH($E271,PMTCT!$E:$E,0))),"")</f>
        <v/>
      </c>
      <c r="Y271" s="14" t="str">
        <f>IFERROR(1/(1/INDEX(VMMC!$AA:$AA,MATCH($E271,VMMC!$E:$E,0))),"")</f>
        <v/>
      </c>
      <c r="Z271" s="14" t="str">
        <f t="shared" ref="Z271:Z334" si="59">IFERROR(1/(1/(SUM($U271)-SUM($V271:$Y271))),"")</f>
        <v/>
      </c>
    </row>
    <row r="272" spans="1:26" x14ac:dyDescent="0.2">
      <c r="A272" t="str">
        <f>INDEX(Prioritization!$D:$D,MATCH($B272,Prioritization!$A:$A,0))</f>
        <v>INVALID</v>
      </c>
      <c r="B272" t="s">
        <v>214</v>
      </c>
      <c r="C272" t="s">
        <v>364</v>
      </c>
      <c r="D272" t="s">
        <v>47</v>
      </c>
      <c r="E272" t="str">
        <f t="shared" si="48"/>
        <v>Mangochi District [lLDyBx5XyUi]|15-24|Male</v>
      </c>
      <c r="F272" s="14"/>
      <c r="G272" s="90">
        <f>0</f>
        <v>0</v>
      </c>
      <c r="H272" s="42" t="str">
        <f t="shared" si="49"/>
        <v/>
      </c>
      <c r="I272" s="14"/>
      <c r="J272" s="90"/>
      <c r="K272" s="90" t="str">
        <f t="shared" si="50"/>
        <v/>
      </c>
      <c r="L272" s="90"/>
      <c r="M272" s="90" t="str">
        <f t="shared" si="51"/>
        <v/>
      </c>
      <c r="N272" s="14" t="str">
        <f t="shared" si="52"/>
        <v/>
      </c>
      <c r="O272" s="42" t="str">
        <f t="shared" si="53"/>
        <v/>
      </c>
      <c r="P272" s="42" t="str">
        <f t="shared" si="54"/>
        <v/>
      </c>
      <c r="Q272" s="42" t="str">
        <f t="shared" si="55"/>
        <v/>
      </c>
      <c r="R272" s="90" t="str">
        <f>IF(SUM($P272)=0,"",INDEX(Cascade!$BG:$BG,MATCH($E272,Cascade!$E:$E,0)))</f>
        <v/>
      </c>
      <c r="S272" s="42" t="str">
        <f t="shared" si="56"/>
        <v/>
      </c>
      <c r="T272" s="42" t="str">
        <f t="shared" si="57"/>
        <v/>
      </c>
      <c r="U272" s="14" t="str">
        <f>IFERROR(1/(1/INDEX(Cascade!$BH:$BH,MATCH($E272,Cascade!$E:$E,0))),"")</f>
        <v/>
      </c>
      <c r="V272" s="14" t="str">
        <f t="shared" si="58"/>
        <v/>
      </c>
      <c r="W272" s="14" t="str">
        <f>IFERROR(1/(1/INDEX(PMTCT!$AC:$AC,MATCH($E272,PMTCT!$E:$E,0))),"")</f>
        <v/>
      </c>
      <c r="X272" s="14" t="str">
        <f>IFERROR(1/(1/INDEX(PMTCT!$AS:$AS,MATCH($E272,PMTCT!$E:$E,0))),"")</f>
        <v/>
      </c>
      <c r="Y272" s="14" t="str">
        <f>IFERROR(1/(1/INDEX(VMMC!$AA:$AA,MATCH($E272,VMMC!$E:$E,0))),"")</f>
        <v/>
      </c>
      <c r="Z272" s="14" t="str">
        <f t="shared" si="59"/>
        <v/>
      </c>
    </row>
    <row r="273" spans="1:26" x14ac:dyDescent="0.2">
      <c r="A273" t="str">
        <f>INDEX(Prioritization!$D:$D,MATCH($B273,Prioritization!$A:$A,0))</f>
        <v>INVALID</v>
      </c>
      <c r="B273" t="s">
        <v>214</v>
      </c>
      <c r="C273" t="s">
        <v>365</v>
      </c>
      <c r="D273" t="s">
        <v>29</v>
      </c>
      <c r="E273" t="str">
        <f t="shared" si="48"/>
        <v>Mangochi District [lLDyBx5XyUi]|25-34|Female</v>
      </c>
      <c r="F273" s="14"/>
      <c r="G273" s="90">
        <f>0</f>
        <v>0</v>
      </c>
      <c r="H273" s="42" t="str">
        <f t="shared" si="49"/>
        <v/>
      </c>
      <c r="I273" s="14"/>
      <c r="J273" s="90"/>
      <c r="K273" s="90" t="str">
        <f t="shared" si="50"/>
        <v/>
      </c>
      <c r="L273" s="90"/>
      <c r="M273" s="90" t="str">
        <f t="shared" si="51"/>
        <v/>
      </c>
      <c r="N273" s="14" t="str">
        <f t="shared" si="52"/>
        <v/>
      </c>
      <c r="O273" s="42" t="str">
        <f t="shared" si="53"/>
        <v/>
      </c>
      <c r="P273" s="42" t="str">
        <f t="shared" si="54"/>
        <v/>
      </c>
      <c r="Q273" s="42" t="str">
        <f t="shared" si="55"/>
        <v/>
      </c>
      <c r="R273" s="90" t="str">
        <f>IF(SUM($P273)=0,"",INDEX(Cascade!$BG:$BG,MATCH($E273,Cascade!$E:$E,0)))</f>
        <v/>
      </c>
      <c r="S273" s="42" t="str">
        <f t="shared" si="56"/>
        <v/>
      </c>
      <c r="T273" s="42" t="str">
        <f t="shared" si="57"/>
        <v/>
      </c>
      <c r="U273" s="14" t="str">
        <f>IFERROR(1/(1/INDEX(Cascade!$BH:$BH,MATCH($E273,Cascade!$E:$E,0))),"")</f>
        <v/>
      </c>
      <c r="V273" s="14" t="str">
        <f t="shared" si="58"/>
        <v/>
      </c>
      <c r="W273" s="14" t="str">
        <f>IFERROR(1/(1/INDEX(PMTCT!$AC:$AC,MATCH($E273,PMTCT!$E:$E,0))),"")</f>
        <v/>
      </c>
      <c r="X273" s="14" t="str">
        <f>IFERROR(1/(1/INDEX(PMTCT!$AS:$AS,MATCH($E273,PMTCT!$E:$E,0))),"")</f>
        <v/>
      </c>
      <c r="Y273" s="14" t="str">
        <f>IFERROR(1/(1/INDEX(VMMC!$AA:$AA,MATCH($E273,VMMC!$E:$E,0))),"")</f>
        <v/>
      </c>
      <c r="Z273" s="14" t="str">
        <f t="shared" si="59"/>
        <v/>
      </c>
    </row>
    <row r="274" spans="1:26" x14ac:dyDescent="0.2">
      <c r="A274" t="str">
        <f>INDEX(Prioritization!$D:$D,MATCH($B274,Prioritization!$A:$A,0))</f>
        <v>INVALID</v>
      </c>
      <c r="B274" t="s">
        <v>214</v>
      </c>
      <c r="C274" t="s">
        <v>365</v>
      </c>
      <c r="D274" t="s">
        <v>47</v>
      </c>
      <c r="E274" t="str">
        <f t="shared" si="48"/>
        <v>Mangochi District [lLDyBx5XyUi]|25-34|Male</v>
      </c>
      <c r="F274" s="14"/>
      <c r="G274" s="90">
        <f>0</f>
        <v>0</v>
      </c>
      <c r="H274" s="42" t="str">
        <f t="shared" si="49"/>
        <v/>
      </c>
      <c r="I274" s="14"/>
      <c r="J274" s="90"/>
      <c r="K274" s="90" t="str">
        <f t="shared" si="50"/>
        <v/>
      </c>
      <c r="L274" s="90"/>
      <c r="M274" s="90" t="str">
        <f t="shared" si="51"/>
        <v/>
      </c>
      <c r="N274" s="14" t="str">
        <f t="shared" si="52"/>
        <v/>
      </c>
      <c r="O274" s="42" t="str">
        <f t="shared" si="53"/>
        <v/>
      </c>
      <c r="P274" s="42" t="str">
        <f t="shared" si="54"/>
        <v/>
      </c>
      <c r="Q274" s="42" t="str">
        <f t="shared" si="55"/>
        <v/>
      </c>
      <c r="R274" s="90" t="str">
        <f>IF(SUM($P274)=0,"",INDEX(Cascade!$BG:$BG,MATCH($E274,Cascade!$E:$E,0)))</f>
        <v/>
      </c>
      <c r="S274" s="42" t="str">
        <f t="shared" si="56"/>
        <v/>
      </c>
      <c r="T274" s="42" t="str">
        <f t="shared" si="57"/>
        <v/>
      </c>
      <c r="U274" s="14" t="str">
        <f>IFERROR(1/(1/INDEX(Cascade!$BH:$BH,MATCH($E274,Cascade!$E:$E,0))),"")</f>
        <v/>
      </c>
      <c r="V274" s="14" t="str">
        <f t="shared" si="58"/>
        <v/>
      </c>
      <c r="W274" s="14" t="str">
        <f>IFERROR(1/(1/INDEX(PMTCT!$AC:$AC,MATCH($E274,PMTCT!$E:$E,0))),"")</f>
        <v/>
      </c>
      <c r="X274" s="14" t="str">
        <f>IFERROR(1/(1/INDEX(PMTCT!$AS:$AS,MATCH($E274,PMTCT!$E:$E,0))),"")</f>
        <v/>
      </c>
      <c r="Y274" s="14" t="str">
        <f>IFERROR(1/(1/INDEX(VMMC!$AA:$AA,MATCH($E274,VMMC!$E:$E,0))),"")</f>
        <v/>
      </c>
      <c r="Z274" s="14" t="str">
        <f t="shared" si="59"/>
        <v/>
      </c>
    </row>
    <row r="275" spans="1:26" x14ac:dyDescent="0.2">
      <c r="A275" t="str">
        <f>INDEX(Prioritization!$D:$D,MATCH($B275,Prioritization!$A:$A,0))</f>
        <v>INVALID</v>
      </c>
      <c r="B275" t="s">
        <v>214</v>
      </c>
      <c r="C275" t="s">
        <v>366</v>
      </c>
      <c r="D275" t="s">
        <v>29</v>
      </c>
      <c r="E275" t="str">
        <f t="shared" si="48"/>
        <v>Mangochi District [lLDyBx5XyUi]|35-49|Female</v>
      </c>
      <c r="F275" s="14"/>
      <c r="G275" s="90">
        <f>0</f>
        <v>0</v>
      </c>
      <c r="H275" s="42" t="str">
        <f t="shared" si="49"/>
        <v/>
      </c>
      <c r="I275" s="14"/>
      <c r="J275" s="90"/>
      <c r="K275" s="90" t="str">
        <f t="shared" si="50"/>
        <v/>
      </c>
      <c r="L275" s="90"/>
      <c r="M275" s="90" t="str">
        <f t="shared" si="51"/>
        <v/>
      </c>
      <c r="N275" s="14" t="str">
        <f t="shared" si="52"/>
        <v/>
      </c>
      <c r="O275" s="42" t="str">
        <f t="shared" si="53"/>
        <v/>
      </c>
      <c r="P275" s="42" t="str">
        <f t="shared" si="54"/>
        <v/>
      </c>
      <c r="Q275" s="42" t="str">
        <f t="shared" si="55"/>
        <v/>
      </c>
      <c r="R275" s="90" t="str">
        <f>IF(SUM($P275)=0,"",INDEX(Cascade!$BG:$BG,MATCH($E275,Cascade!$E:$E,0)))</f>
        <v/>
      </c>
      <c r="S275" s="42" t="str">
        <f t="shared" si="56"/>
        <v/>
      </c>
      <c r="T275" s="42" t="str">
        <f t="shared" si="57"/>
        <v/>
      </c>
      <c r="U275" s="14" t="str">
        <f>IFERROR(1/(1/INDEX(Cascade!$BH:$BH,MATCH($E275,Cascade!$E:$E,0))),"")</f>
        <v/>
      </c>
      <c r="V275" s="14" t="str">
        <f t="shared" si="58"/>
        <v/>
      </c>
      <c r="W275" s="14" t="str">
        <f>IFERROR(1/(1/INDEX(PMTCT!$AC:$AC,MATCH($E275,PMTCT!$E:$E,0))),"")</f>
        <v/>
      </c>
      <c r="X275" s="14" t="str">
        <f>IFERROR(1/(1/INDEX(PMTCT!$AS:$AS,MATCH($E275,PMTCT!$E:$E,0))),"")</f>
        <v/>
      </c>
      <c r="Y275" s="14" t="str">
        <f>IFERROR(1/(1/INDEX(VMMC!$AA:$AA,MATCH($E275,VMMC!$E:$E,0))),"")</f>
        <v/>
      </c>
      <c r="Z275" s="14" t="str">
        <f t="shared" si="59"/>
        <v/>
      </c>
    </row>
    <row r="276" spans="1:26" x14ac:dyDescent="0.2">
      <c r="A276" t="str">
        <f>INDEX(Prioritization!$D:$D,MATCH($B276,Prioritization!$A:$A,0))</f>
        <v>INVALID</v>
      </c>
      <c r="B276" t="s">
        <v>214</v>
      </c>
      <c r="C276" t="s">
        <v>366</v>
      </c>
      <c r="D276" t="s">
        <v>47</v>
      </c>
      <c r="E276" t="str">
        <f t="shared" si="48"/>
        <v>Mangochi District [lLDyBx5XyUi]|35-49|Male</v>
      </c>
      <c r="F276" s="14"/>
      <c r="G276" s="90">
        <f>0</f>
        <v>0</v>
      </c>
      <c r="H276" s="42" t="str">
        <f t="shared" si="49"/>
        <v/>
      </c>
      <c r="I276" s="14"/>
      <c r="J276" s="90"/>
      <c r="K276" s="90" t="str">
        <f t="shared" si="50"/>
        <v/>
      </c>
      <c r="L276" s="90"/>
      <c r="M276" s="90" t="str">
        <f t="shared" si="51"/>
        <v/>
      </c>
      <c r="N276" s="14" t="str">
        <f t="shared" si="52"/>
        <v/>
      </c>
      <c r="O276" s="42" t="str">
        <f t="shared" si="53"/>
        <v/>
      </c>
      <c r="P276" s="42" t="str">
        <f t="shared" si="54"/>
        <v/>
      </c>
      <c r="Q276" s="42" t="str">
        <f t="shared" si="55"/>
        <v/>
      </c>
      <c r="R276" s="90" t="str">
        <f>IF(SUM($P276)=0,"",INDEX(Cascade!$BG:$BG,MATCH($E276,Cascade!$E:$E,0)))</f>
        <v/>
      </c>
      <c r="S276" s="42" t="str">
        <f t="shared" si="56"/>
        <v/>
      </c>
      <c r="T276" s="42" t="str">
        <f t="shared" si="57"/>
        <v/>
      </c>
      <c r="U276" s="14" t="str">
        <f>IFERROR(1/(1/INDEX(Cascade!$BH:$BH,MATCH($E276,Cascade!$E:$E,0))),"")</f>
        <v/>
      </c>
      <c r="V276" s="14" t="str">
        <f t="shared" si="58"/>
        <v/>
      </c>
      <c r="W276" s="14" t="str">
        <f>IFERROR(1/(1/INDEX(PMTCT!$AC:$AC,MATCH($E276,PMTCT!$E:$E,0))),"")</f>
        <v/>
      </c>
      <c r="X276" s="14" t="str">
        <f>IFERROR(1/(1/INDEX(PMTCT!$AS:$AS,MATCH($E276,PMTCT!$E:$E,0))),"")</f>
        <v/>
      </c>
      <c r="Y276" s="14" t="str">
        <f>IFERROR(1/(1/INDEX(VMMC!$AA:$AA,MATCH($E276,VMMC!$E:$E,0))),"")</f>
        <v/>
      </c>
      <c r="Z276" s="14" t="str">
        <f t="shared" si="59"/>
        <v/>
      </c>
    </row>
    <row r="277" spans="1:26" x14ac:dyDescent="0.2">
      <c r="A277" t="str">
        <f>INDEX(Prioritization!$D:$D,MATCH($B277,Prioritization!$A:$A,0))</f>
        <v>INVALID</v>
      </c>
      <c r="B277" t="s">
        <v>214</v>
      </c>
      <c r="C277" t="s">
        <v>367</v>
      </c>
      <c r="D277" t="s">
        <v>29</v>
      </c>
      <c r="E277" t="str">
        <f t="shared" si="48"/>
        <v>Mangochi District [lLDyBx5XyUi]|50+|Female</v>
      </c>
      <c r="F277" s="14"/>
      <c r="G277" s="90">
        <f>0</f>
        <v>0</v>
      </c>
      <c r="H277" s="42" t="str">
        <f t="shared" si="49"/>
        <v/>
      </c>
      <c r="I277" s="14"/>
      <c r="J277" s="90"/>
      <c r="K277" s="90" t="str">
        <f t="shared" si="50"/>
        <v/>
      </c>
      <c r="L277" s="90"/>
      <c r="M277" s="90" t="str">
        <f t="shared" si="51"/>
        <v/>
      </c>
      <c r="N277" s="14" t="str">
        <f t="shared" si="52"/>
        <v/>
      </c>
      <c r="O277" s="42" t="str">
        <f t="shared" si="53"/>
        <v/>
      </c>
      <c r="P277" s="42" t="str">
        <f t="shared" si="54"/>
        <v/>
      </c>
      <c r="Q277" s="42" t="str">
        <f t="shared" si="55"/>
        <v/>
      </c>
      <c r="R277" s="90" t="str">
        <f>IF(SUM($P277)=0,"",INDEX(Cascade!$BG:$BG,MATCH($E277,Cascade!$E:$E,0)))</f>
        <v/>
      </c>
      <c r="S277" s="42" t="str">
        <f t="shared" si="56"/>
        <v/>
      </c>
      <c r="T277" s="42" t="str">
        <f t="shared" si="57"/>
        <v/>
      </c>
      <c r="U277" s="14" t="str">
        <f>IFERROR(1/(1/INDEX(Cascade!$BH:$BH,MATCH($E277,Cascade!$E:$E,0))),"")</f>
        <v/>
      </c>
      <c r="V277" s="14" t="str">
        <f t="shared" si="58"/>
        <v/>
      </c>
      <c r="W277" s="14" t="str">
        <f>IFERROR(1/(1/INDEX(PMTCT!$AC:$AC,MATCH($E277,PMTCT!$E:$E,0))),"")</f>
        <v/>
      </c>
      <c r="X277" s="14" t="str">
        <f>IFERROR(1/(1/INDEX(PMTCT!$AS:$AS,MATCH($E277,PMTCT!$E:$E,0))),"")</f>
        <v/>
      </c>
      <c r="Y277" s="14" t="str">
        <f>IFERROR(1/(1/INDEX(VMMC!$AA:$AA,MATCH($E277,VMMC!$E:$E,0))),"")</f>
        <v/>
      </c>
      <c r="Z277" s="14" t="str">
        <f t="shared" si="59"/>
        <v/>
      </c>
    </row>
    <row r="278" spans="1:26" x14ac:dyDescent="0.2">
      <c r="A278" t="str">
        <f>INDEX(Prioritization!$D:$D,MATCH($B278,Prioritization!$A:$A,0))</f>
        <v>INVALID</v>
      </c>
      <c r="B278" t="s">
        <v>214</v>
      </c>
      <c r="C278" t="s">
        <v>367</v>
      </c>
      <c r="D278" t="s">
        <v>47</v>
      </c>
      <c r="E278" t="str">
        <f t="shared" si="48"/>
        <v>Mangochi District [lLDyBx5XyUi]|50+|Male</v>
      </c>
      <c r="F278" s="14"/>
      <c r="G278" s="90">
        <f>0</f>
        <v>0</v>
      </c>
      <c r="H278" s="42" t="str">
        <f t="shared" si="49"/>
        <v/>
      </c>
      <c r="I278" s="14"/>
      <c r="J278" s="90"/>
      <c r="K278" s="90" t="str">
        <f t="shared" si="50"/>
        <v/>
      </c>
      <c r="L278" s="90"/>
      <c r="M278" s="90" t="str">
        <f t="shared" si="51"/>
        <v/>
      </c>
      <c r="N278" s="14" t="str">
        <f t="shared" si="52"/>
        <v/>
      </c>
      <c r="O278" s="42" t="str">
        <f t="shared" si="53"/>
        <v/>
      </c>
      <c r="P278" s="42" t="str">
        <f t="shared" si="54"/>
        <v/>
      </c>
      <c r="Q278" s="42" t="str">
        <f t="shared" si="55"/>
        <v/>
      </c>
      <c r="R278" s="90" t="str">
        <f>IF(SUM($P278)=0,"",INDEX(Cascade!$BG:$BG,MATCH($E278,Cascade!$E:$E,0)))</f>
        <v/>
      </c>
      <c r="S278" s="42" t="str">
        <f t="shared" si="56"/>
        <v/>
      </c>
      <c r="T278" s="42" t="str">
        <f t="shared" si="57"/>
        <v/>
      </c>
      <c r="U278" s="14" t="str">
        <f>IFERROR(1/(1/INDEX(Cascade!$BH:$BH,MATCH($E278,Cascade!$E:$E,0))),"")</f>
        <v/>
      </c>
      <c r="V278" s="14" t="str">
        <f t="shared" si="58"/>
        <v/>
      </c>
      <c r="W278" s="14" t="str">
        <f>IFERROR(1/(1/INDEX(PMTCT!$AC:$AC,MATCH($E278,PMTCT!$E:$E,0))),"")</f>
        <v/>
      </c>
      <c r="X278" s="14" t="str">
        <f>IFERROR(1/(1/INDEX(PMTCT!$AS:$AS,MATCH($E278,PMTCT!$E:$E,0))),"")</f>
        <v/>
      </c>
      <c r="Y278" s="14" t="str">
        <f>IFERROR(1/(1/INDEX(VMMC!$AA:$AA,MATCH($E278,VMMC!$E:$E,0))),"")</f>
        <v/>
      </c>
      <c r="Z278" s="14" t="str">
        <f t="shared" si="59"/>
        <v/>
      </c>
    </row>
    <row r="279" spans="1:26" x14ac:dyDescent="0.2">
      <c r="A279" t="str">
        <f>INDEX(Prioritization!$D:$D,MATCH($B279,Prioritization!$A:$A,0))</f>
        <v>INVALID</v>
      </c>
      <c r="B279" t="s">
        <v>215</v>
      </c>
      <c r="C279" t="s">
        <v>362</v>
      </c>
      <c r="D279" t="s">
        <v>29</v>
      </c>
      <c r="E279" t="str">
        <f t="shared" si="48"/>
        <v>Mulanje District [umc2n1Z4wNv]|01-09|Female</v>
      </c>
      <c r="F279" s="14"/>
      <c r="G279" s="90">
        <f>0</f>
        <v>0</v>
      </c>
      <c r="H279" s="42" t="str">
        <f t="shared" si="49"/>
        <v/>
      </c>
      <c r="I279" s="14"/>
      <c r="J279" s="90"/>
      <c r="K279" s="90" t="str">
        <f t="shared" si="50"/>
        <v/>
      </c>
      <c r="L279" s="90"/>
      <c r="M279" s="90" t="str">
        <f t="shared" si="51"/>
        <v/>
      </c>
      <c r="N279" s="14" t="str">
        <f t="shared" si="52"/>
        <v/>
      </c>
      <c r="O279" s="42" t="str">
        <f t="shared" si="53"/>
        <v/>
      </c>
      <c r="P279" s="42" t="str">
        <f t="shared" si="54"/>
        <v/>
      </c>
      <c r="Q279" s="42" t="str">
        <f t="shared" si="55"/>
        <v/>
      </c>
      <c r="R279" s="90" t="str">
        <f>IF(SUM($P279)=0,"",INDEX(Cascade!$BG:$BG,MATCH($E279,Cascade!$E:$E,0)))</f>
        <v/>
      </c>
      <c r="S279" s="42" t="str">
        <f t="shared" si="56"/>
        <v/>
      </c>
      <c r="T279" s="42" t="str">
        <f t="shared" si="57"/>
        <v/>
      </c>
      <c r="U279" s="14" t="str">
        <f>IFERROR(1/(1/INDEX(Cascade!$BH:$BH,MATCH($E279,Cascade!$E:$E,0))),"")</f>
        <v/>
      </c>
      <c r="V279" s="14" t="str">
        <f t="shared" si="58"/>
        <v/>
      </c>
      <c r="W279" s="14" t="str">
        <f>IFERROR(1/(1/INDEX(PMTCT!$AC:$AC,MATCH($E279,PMTCT!$E:$E,0))),"")</f>
        <v/>
      </c>
      <c r="X279" s="14" t="str">
        <f>IFERROR(1/(1/INDEX(PMTCT!$AS:$AS,MATCH($E279,PMTCT!$E:$E,0))),"")</f>
        <v/>
      </c>
      <c r="Y279" s="14" t="str">
        <f>IFERROR(1/(1/INDEX(VMMC!$AA:$AA,MATCH($E279,VMMC!$E:$E,0))),"")</f>
        <v/>
      </c>
      <c r="Z279" s="14" t="str">
        <f t="shared" si="59"/>
        <v/>
      </c>
    </row>
    <row r="280" spans="1:26" x14ac:dyDescent="0.2">
      <c r="A280" t="str">
        <f>INDEX(Prioritization!$D:$D,MATCH($B280,Prioritization!$A:$A,0))</f>
        <v>INVALID</v>
      </c>
      <c r="B280" t="s">
        <v>215</v>
      </c>
      <c r="C280" t="s">
        <v>362</v>
      </c>
      <c r="D280" t="s">
        <v>47</v>
      </c>
      <c r="E280" t="str">
        <f t="shared" si="48"/>
        <v>Mulanje District [umc2n1Z4wNv]|01-09|Male</v>
      </c>
      <c r="F280" s="14"/>
      <c r="G280" s="90">
        <f>0</f>
        <v>0</v>
      </c>
      <c r="H280" s="42" t="str">
        <f t="shared" si="49"/>
        <v/>
      </c>
      <c r="I280" s="14"/>
      <c r="J280" s="90"/>
      <c r="K280" s="90" t="str">
        <f t="shared" si="50"/>
        <v/>
      </c>
      <c r="L280" s="90"/>
      <c r="M280" s="90" t="str">
        <f t="shared" si="51"/>
        <v/>
      </c>
      <c r="N280" s="14" t="str">
        <f t="shared" si="52"/>
        <v/>
      </c>
      <c r="O280" s="42" t="str">
        <f t="shared" si="53"/>
        <v/>
      </c>
      <c r="P280" s="42" t="str">
        <f t="shared" si="54"/>
        <v/>
      </c>
      <c r="Q280" s="42" t="str">
        <f t="shared" si="55"/>
        <v/>
      </c>
      <c r="R280" s="90" t="str">
        <f>IF(SUM($P280)=0,"",INDEX(Cascade!$BG:$BG,MATCH($E280,Cascade!$E:$E,0)))</f>
        <v/>
      </c>
      <c r="S280" s="42" t="str">
        <f t="shared" si="56"/>
        <v/>
      </c>
      <c r="T280" s="42" t="str">
        <f t="shared" si="57"/>
        <v/>
      </c>
      <c r="U280" s="14" t="str">
        <f>IFERROR(1/(1/INDEX(Cascade!$BH:$BH,MATCH($E280,Cascade!$E:$E,0))),"")</f>
        <v/>
      </c>
      <c r="V280" s="14" t="str">
        <f t="shared" si="58"/>
        <v/>
      </c>
      <c r="W280" s="14" t="str">
        <f>IFERROR(1/(1/INDEX(PMTCT!$AC:$AC,MATCH($E280,PMTCT!$E:$E,0))),"")</f>
        <v/>
      </c>
      <c r="X280" s="14" t="str">
        <f>IFERROR(1/(1/INDEX(PMTCT!$AS:$AS,MATCH($E280,PMTCT!$E:$E,0))),"")</f>
        <v/>
      </c>
      <c r="Y280" s="14" t="str">
        <f>IFERROR(1/(1/INDEX(VMMC!$AA:$AA,MATCH($E280,VMMC!$E:$E,0))),"")</f>
        <v/>
      </c>
      <c r="Z280" s="14" t="str">
        <f t="shared" si="59"/>
        <v/>
      </c>
    </row>
    <row r="281" spans="1:26" x14ac:dyDescent="0.2">
      <c r="A281" t="str">
        <f>INDEX(Prioritization!$D:$D,MATCH($B281,Prioritization!$A:$A,0))</f>
        <v>INVALID</v>
      </c>
      <c r="B281" t="s">
        <v>215</v>
      </c>
      <c r="C281" t="s">
        <v>363</v>
      </c>
      <c r="D281" t="s">
        <v>29</v>
      </c>
      <c r="E281" t="str">
        <f t="shared" si="48"/>
        <v>Mulanje District [umc2n1Z4wNv]|10-14|Female</v>
      </c>
      <c r="F281" s="14">
        <v>0</v>
      </c>
      <c r="G281" s="90">
        <f>0</f>
        <v>0</v>
      </c>
      <c r="H281" s="42" t="str">
        <f t="shared" si="49"/>
        <v/>
      </c>
      <c r="I281" s="14"/>
      <c r="J281" s="90"/>
      <c r="K281" s="90" t="str">
        <f t="shared" si="50"/>
        <v/>
      </c>
      <c r="L281" s="90"/>
      <c r="M281" s="90" t="str">
        <f t="shared" si="51"/>
        <v/>
      </c>
      <c r="N281" s="14" t="str">
        <f t="shared" si="52"/>
        <v/>
      </c>
      <c r="O281" s="42" t="str">
        <f t="shared" si="53"/>
        <v/>
      </c>
      <c r="P281" s="42" t="str">
        <f t="shared" si="54"/>
        <v/>
      </c>
      <c r="Q281" s="42" t="str">
        <f t="shared" si="55"/>
        <v/>
      </c>
      <c r="R281" s="90" t="str">
        <f>IF(SUM($P281)=0,"",INDEX(Cascade!$BG:$BG,MATCH($E281,Cascade!$E:$E,0)))</f>
        <v/>
      </c>
      <c r="S281" s="42" t="str">
        <f t="shared" si="56"/>
        <v/>
      </c>
      <c r="T281" s="42" t="str">
        <f t="shared" si="57"/>
        <v/>
      </c>
      <c r="U281" s="14">
        <f>IFERROR(1/(1/INDEX(Cascade!$BH:$BH,MATCH($E281,Cascade!$E:$E,0))),"")</f>
        <v>-762</v>
      </c>
      <c r="V281" s="14" t="str">
        <f t="shared" si="58"/>
        <v/>
      </c>
      <c r="W281" s="14">
        <f>IFERROR(1/(1/INDEX(PMTCT!$AC:$AC,MATCH($E281,PMTCT!$E:$E,0))),"")</f>
        <v>5</v>
      </c>
      <c r="X281" s="14" t="str">
        <f>IFERROR(1/(1/INDEX(PMTCT!$AS:$AS,MATCH($E281,PMTCT!$E:$E,0))),"")</f>
        <v/>
      </c>
      <c r="Y281" s="14" t="str">
        <f>IFERROR(1/(1/INDEX(VMMC!$AA:$AA,MATCH($E281,VMMC!$E:$E,0))),"")</f>
        <v/>
      </c>
      <c r="Z281" s="14">
        <f t="shared" si="59"/>
        <v>-767</v>
      </c>
    </row>
    <row r="282" spans="1:26" x14ac:dyDescent="0.2">
      <c r="A282" t="str">
        <f>INDEX(Prioritization!$D:$D,MATCH($B282,Prioritization!$A:$A,0))</f>
        <v>INVALID</v>
      </c>
      <c r="B282" t="s">
        <v>215</v>
      </c>
      <c r="C282" t="s">
        <v>363</v>
      </c>
      <c r="D282" t="s">
        <v>47</v>
      </c>
      <c r="E282" t="str">
        <f t="shared" si="48"/>
        <v>Mulanje District [umc2n1Z4wNv]|10-14|Male</v>
      </c>
      <c r="F282" s="14">
        <v>0</v>
      </c>
      <c r="G282" s="90">
        <f>0</f>
        <v>0</v>
      </c>
      <c r="H282" s="42" t="str">
        <f t="shared" si="49"/>
        <v/>
      </c>
      <c r="I282" s="14"/>
      <c r="J282" s="90"/>
      <c r="K282" s="90" t="str">
        <f t="shared" si="50"/>
        <v/>
      </c>
      <c r="L282" s="90"/>
      <c r="M282" s="90" t="str">
        <f t="shared" si="51"/>
        <v/>
      </c>
      <c r="N282" s="14" t="str">
        <f t="shared" si="52"/>
        <v/>
      </c>
      <c r="O282" s="42" t="str">
        <f t="shared" si="53"/>
        <v/>
      </c>
      <c r="P282" s="42" t="str">
        <f t="shared" si="54"/>
        <v/>
      </c>
      <c r="Q282" s="42" t="str">
        <f t="shared" si="55"/>
        <v/>
      </c>
      <c r="R282" s="90" t="str">
        <f>IF(SUM($P282)=0,"",INDEX(Cascade!$BG:$BG,MATCH($E282,Cascade!$E:$E,0)))</f>
        <v/>
      </c>
      <c r="S282" s="42" t="str">
        <f t="shared" si="56"/>
        <v/>
      </c>
      <c r="T282" s="42" t="str">
        <f t="shared" si="57"/>
        <v/>
      </c>
      <c r="U282" s="14">
        <f>IFERROR(1/(1/INDEX(Cascade!$BH:$BH,MATCH($E282,Cascade!$E:$E,0))),"")</f>
        <v>-94</v>
      </c>
      <c r="V282" s="14" t="str">
        <f t="shared" si="58"/>
        <v/>
      </c>
      <c r="W282" s="14" t="str">
        <f>IFERROR(1/(1/INDEX(PMTCT!$AC:$AC,MATCH($E282,PMTCT!$E:$E,0))),"")</f>
        <v/>
      </c>
      <c r="X282" s="14" t="str">
        <f>IFERROR(1/(1/INDEX(PMTCT!$AS:$AS,MATCH($E282,PMTCT!$E:$E,0))),"")</f>
        <v/>
      </c>
      <c r="Y282" s="14" t="str">
        <f>IFERROR(1/(1/INDEX(VMMC!$AA:$AA,MATCH($E282,VMMC!$E:$E,0))),"")</f>
        <v/>
      </c>
      <c r="Z282" s="14">
        <f t="shared" si="59"/>
        <v>-94</v>
      </c>
    </row>
    <row r="283" spans="1:26" x14ac:dyDescent="0.2">
      <c r="A283" t="str">
        <f>INDEX(Prioritization!$D:$D,MATCH($B283,Prioritization!$A:$A,0))</f>
        <v>INVALID</v>
      </c>
      <c r="B283" t="s">
        <v>215</v>
      </c>
      <c r="C283" t="s">
        <v>364</v>
      </c>
      <c r="D283" t="s">
        <v>29</v>
      </c>
      <c r="E283" t="str">
        <f t="shared" si="48"/>
        <v>Mulanje District [umc2n1Z4wNv]|15-24|Female</v>
      </c>
      <c r="F283" s="14"/>
      <c r="G283" s="90">
        <f>0</f>
        <v>0</v>
      </c>
      <c r="H283" s="42" t="str">
        <f t="shared" si="49"/>
        <v/>
      </c>
      <c r="I283" s="14"/>
      <c r="J283" s="90"/>
      <c r="K283" s="90" t="str">
        <f t="shared" si="50"/>
        <v/>
      </c>
      <c r="L283" s="90"/>
      <c r="M283" s="90" t="str">
        <f t="shared" si="51"/>
        <v/>
      </c>
      <c r="N283" s="14" t="str">
        <f t="shared" si="52"/>
        <v/>
      </c>
      <c r="O283" s="42" t="str">
        <f t="shared" si="53"/>
        <v/>
      </c>
      <c r="P283" s="42" t="str">
        <f t="shared" si="54"/>
        <v/>
      </c>
      <c r="Q283" s="42" t="str">
        <f t="shared" si="55"/>
        <v/>
      </c>
      <c r="R283" s="90" t="str">
        <f>IF(SUM($P283)=0,"",INDEX(Cascade!$BG:$BG,MATCH($E283,Cascade!$E:$E,0)))</f>
        <v/>
      </c>
      <c r="S283" s="42" t="str">
        <f t="shared" si="56"/>
        <v/>
      </c>
      <c r="T283" s="42" t="str">
        <f t="shared" si="57"/>
        <v/>
      </c>
      <c r="U283" s="14" t="str">
        <f>IFERROR(1/(1/INDEX(Cascade!$BH:$BH,MATCH($E283,Cascade!$E:$E,0))),"")</f>
        <v/>
      </c>
      <c r="V283" s="14" t="str">
        <f t="shared" si="58"/>
        <v/>
      </c>
      <c r="W283" s="14" t="str">
        <f>IFERROR(1/(1/INDEX(PMTCT!$AC:$AC,MATCH($E283,PMTCT!$E:$E,0))),"")</f>
        <v/>
      </c>
      <c r="X283" s="14" t="str">
        <f>IFERROR(1/(1/INDEX(PMTCT!$AS:$AS,MATCH($E283,PMTCT!$E:$E,0))),"")</f>
        <v/>
      </c>
      <c r="Y283" s="14" t="str">
        <f>IFERROR(1/(1/INDEX(VMMC!$AA:$AA,MATCH($E283,VMMC!$E:$E,0))),"")</f>
        <v/>
      </c>
      <c r="Z283" s="14" t="str">
        <f t="shared" si="59"/>
        <v/>
      </c>
    </row>
    <row r="284" spans="1:26" x14ac:dyDescent="0.2">
      <c r="A284" t="str">
        <f>INDEX(Prioritization!$D:$D,MATCH($B284,Prioritization!$A:$A,0))</f>
        <v>INVALID</v>
      </c>
      <c r="B284" t="s">
        <v>215</v>
      </c>
      <c r="C284" t="s">
        <v>364</v>
      </c>
      <c r="D284" t="s">
        <v>47</v>
      </c>
      <c r="E284" t="str">
        <f t="shared" si="48"/>
        <v>Mulanje District [umc2n1Z4wNv]|15-24|Male</v>
      </c>
      <c r="F284" s="14"/>
      <c r="G284" s="90">
        <f>0</f>
        <v>0</v>
      </c>
      <c r="H284" s="42" t="str">
        <f t="shared" si="49"/>
        <v/>
      </c>
      <c r="I284" s="14"/>
      <c r="J284" s="90"/>
      <c r="K284" s="90" t="str">
        <f t="shared" si="50"/>
        <v/>
      </c>
      <c r="L284" s="90"/>
      <c r="M284" s="90" t="str">
        <f t="shared" si="51"/>
        <v/>
      </c>
      <c r="N284" s="14" t="str">
        <f t="shared" si="52"/>
        <v/>
      </c>
      <c r="O284" s="42" t="str">
        <f t="shared" si="53"/>
        <v/>
      </c>
      <c r="P284" s="42" t="str">
        <f t="shared" si="54"/>
        <v/>
      </c>
      <c r="Q284" s="42" t="str">
        <f t="shared" si="55"/>
        <v/>
      </c>
      <c r="R284" s="90" t="str">
        <f>IF(SUM($P284)=0,"",INDEX(Cascade!$BG:$BG,MATCH($E284,Cascade!$E:$E,0)))</f>
        <v/>
      </c>
      <c r="S284" s="42" t="str">
        <f t="shared" si="56"/>
        <v/>
      </c>
      <c r="T284" s="42" t="str">
        <f t="shared" si="57"/>
        <v/>
      </c>
      <c r="U284" s="14" t="str">
        <f>IFERROR(1/(1/INDEX(Cascade!$BH:$BH,MATCH($E284,Cascade!$E:$E,0))),"")</f>
        <v/>
      </c>
      <c r="V284" s="14" t="str">
        <f t="shared" si="58"/>
        <v/>
      </c>
      <c r="W284" s="14" t="str">
        <f>IFERROR(1/(1/INDEX(PMTCT!$AC:$AC,MATCH($E284,PMTCT!$E:$E,0))),"")</f>
        <v/>
      </c>
      <c r="X284" s="14" t="str">
        <f>IFERROR(1/(1/INDEX(PMTCT!$AS:$AS,MATCH($E284,PMTCT!$E:$E,0))),"")</f>
        <v/>
      </c>
      <c r="Y284" s="14" t="str">
        <f>IFERROR(1/(1/INDEX(VMMC!$AA:$AA,MATCH($E284,VMMC!$E:$E,0))),"")</f>
        <v/>
      </c>
      <c r="Z284" s="14" t="str">
        <f t="shared" si="59"/>
        <v/>
      </c>
    </row>
    <row r="285" spans="1:26" x14ac:dyDescent="0.2">
      <c r="A285" t="str">
        <f>INDEX(Prioritization!$D:$D,MATCH($B285,Prioritization!$A:$A,0))</f>
        <v>INVALID</v>
      </c>
      <c r="B285" t="s">
        <v>215</v>
      </c>
      <c r="C285" t="s">
        <v>365</v>
      </c>
      <c r="D285" t="s">
        <v>29</v>
      </c>
      <c r="E285" t="str">
        <f t="shared" si="48"/>
        <v>Mulanje District [umc2n1Z4wNv]|25-34|Female</v>
      </c>
      <c r="F285" s="14"/>
      <c r="G285" s="90">
        <f>0</f>
        <v>0</v>
      </c>
      <c r="H285" s="42" t="str">
        <f t="shared" si="49"/>
        <v/>
      </c>
      <c r="I285" s="14"/>
      <c r="J285" s="90"/>
      <c r="K285" s="90" t="str">
        <f t="shared" si="50"/>
        <v/>
      </c>
      <c r="L285" s="90"/>
      <c r="M285" s="90" t="str">
        <f t="shared" si="51"/>
        <v/>
      </c>
      <c r="N285" s="14" t="str">
        <f t="shared" si="52"/>
        <v/>
      </c>
      <c r="O285" s="42" t="str">
        <f t="shared" si="53"/>
        <v/>
      </c>
      <c r="P285" s="42" t="str">
        <f t="shared" si="54"/>
        <v/>
      </c>
      <c r="Q285" s="42" t="str">
        <f t="shared" si="55"/>
        <v/>
      </c>
      <c r="R285" s="90" t="str">
        <f>IF(SUM($P285)=0,"",INDEX(Cascade!$BG:$BG,MATCH($E285,Cascade!$E:$E,0)))</f>
        <v/>
      </c>
      <c r="S285" s="42" t="str">
        <f t="shared" si="56"/>
        <v/>
      </c>
      <c r="T285" s="42" t="str">
        <f t="shared" si="57"/>
        <v/>
      </c>
      <c r="U285" s="14" t="str">
        <f>IFERROR(1/(1/INDEX(Cascade!$BH:$BH,MATCH($E285,Cascade!$E:$E,0))),"")</f>
        <v/>
      </c>
      <c r="V285" s="14" t="str">
        <f t="shared" si="58"/>
        <v/>
      </c>
      <c r="W285" s="14" t="str">
        <f>IFERROR(1/(1/INDEX(PMTCT!$AC:$AC,MATCH($E285,PMTCT!$E:$E,0))),"")</f>
        <v/>
      </c>
      <c r="X285" s="14" t="str">
        <f>IFERROR(1/(1/INDEX(PMTCT!$AS:$AS,MATCH($E285,PMTCT!$E:$E,0))),"")</f>
        <v/>
      </c>
      <c r="Y285" s="14" t="str">
        <f>IFERROR(1/(1/INDEX(VMMC!$AA:$AA,MATCH($E285,VMMC!$E:$E,0))),"")</f>
        <v/>
      </c>
      <c r="Z285" s="14" t="str">
        <f t="shared" si="59"/>
        <v/>
      </c>
    </row>
    <row r="286" spans="1:26" x14ac:dyDescent="0.2">
      <c r="A286" t="str">
        <f>INDEX(Prioritization!$D:$D,MATCH($B286,Prioritization!$A:$A,0))</f>
        <v>INVALID</v>
      </c>
      <c r="B286" t="s">
        <v>215</v>
      </c>
      <c r="C286" t="s">
        <v>365</v>
      </c>
      <c r="D286" t="s">
        <v>47</v>
      </c>
      <c r="E286" t="str">
        <f t="shared" si="48"/>
        <v>Mulanje District [umc2n1Z4wNv]|25-34|Male</v>
      </c>
      <c r="F286" s="14"/>
      <c r="G286" s="90">
        <f>0</f>
        <v>0</v>
      </c>
      <c r="H286" s="42" t="str">
        <f t="shared" si="49"/>
        <v/>
      </c>
      <c r="I286" s="14"/>
      <c r="J286" s="90"/>
      <c r="K286" s="90" t="str">
        <f t="shared" si="50"/>
        <v/>
      </c>
      <c r="L286" s="90"/>
      <c r="M286" s="90" t="str">
        <f t="shared" si="51"/>
        <v/>
      </c>
      <c r="N286" s="14" t="str">
        <f t="shared" si="52"/>
        <v/>
      </c>
      <c r="O286" s="42" t="str">
        <f t="shared" si="53"/>
        <v/>
      </c>
      <c r="P286" s="42" t="str">
        <f t="shared" si="54"/>
        <v/>
      </c>
      <c r="Q286" s="42" t="str">
        <f t="shared" si="55"/>
        <v/>
      </c>
      <c r="R286" s="90" t="str">
        <f>IF(SUM($P286)=0,"",INDEX(Cascade!$BG:$BG,MATCH($E286,Cascade!$E:$E,0)))</f>
        <v/>
      </c>
      <c r="S286" s="42" t="str">
        <f t="shared" si="56"/>
        <v/>
      </c>
      <c r="T286" s="42" t="str">
        <f t="shared" si="57"/>
        <v/>
      </c>
      <c r="U286" s="14" t="str">
        <f>IFERROR(1/(1/INDEX(Cascade!$BH:$BH,MATCH($E286,Cascade!$E:$E,0))),"")</f>
        <v/>
      </c>
      <c r="V286" s="14" t="str">
        <f t="shared" si="58"/>
        <v/>
      </c>
      <c r="W286" s="14" t="str">
        <f>IFERROR(1/(1/INDEX(PMTCT!$AC:$AC,MATCH($E286,PMTCT!$E:$E,0))),"")</f>
        <v/>
      </c>
      <c r="X286" s="14" t="str">
        <f>IFERROR(1/(1/INDEX(PMTCT!$AS:$AS,MATCH($E286,PMTCT!$E:$E,0))),"")</f>
        <v/>
      </c>
      <c r="Y286" s="14" t="str">
        <f>IFERROR(1/(1/INDEX(VMMC!$AA:$AA,MATCH($E286,VMMC!$E:$E,0))),"")</f>
        <v/>
      </c>
      <c r="Z286" s="14" t="str">
        <f t="shared" si="59"/>
        <v/>
      </c>
    </row>
    <row r="287" spans="1:26" x14ac:dyDescent="0.2">
      <c r="A287" t="str">
        <f>INDEX(Prioritization!$D:$D,MATCH($B287,Prioritization!$A:$A,0))</f>
        <v>INVALID</v>
      </c>
      <c r="B287" t="s">
        <v>215</v>
      </c>
      <c r="C287" t="s">
        <v>366</v>
      </c>
      <c r="D287" t="s">
        <v>29</v>
      </c>
      <c r="E287" t="str">
        <f t="shared" si="48"/>
        <v>Mulanje District [umc2n1Z4wNv]|35-49|Female</v>
      </c>
      <c r="F287" s="14"/>
      <c r="G287" s="90">
        <f>0</f>
        <v>0</v>
      </c>
      <c r="H287" s="42" t="str">
        <f t="shared" si="49"/>
        <v/>
      </c>
      <c r="I287" s="14"/>
      <c r="J287" s="90"/>
      <c r="K287" s="90" t="str">
        <f t="shared" si="50"/>
        <v/>
      </c>
      <c r="L287" s="90"/>
      <c r="M287" s="90" t="str">
        <f t="shared" si="51"/>
        <v/>
      </c>
      <c r="N287" s="14" t="str">
        <f t="shared" si="52"/>
        <v/>
      </c>
      <c r="O287" s="42" t="str">
        <f t="shared" si="53"/>
        <v/>
      </c>
      <c r="P287" s="42" t="str">
        <f t="shared" si="54"/>
        <v/>
      </c>
      <c r="Q287" s="42" t="str">
        <f t="shared" si="55"/>
        <v/>
      </c>
      <c r="R287" s="90" t="str">
        <f>IF(SUM($P287)=0,"",INDEX(Cascade!$BG:$BG,MATCH($E287,Cascade!$E:$E,0)))</f>
        <v/>
      </c>
      <c r="S287" s="42" t="str">
        <f t="shared" si="56"/>
        <v/>
      </c>
      <c r="T287" s="42" t="str">
        <f t="shared" si="57"/>
        <v/>
      </c>
      <c r="U287" s="14" t="str">
        <f>IFERROR(1/(1/INDEX(Cascade!$BH:$BH,MATCH($E287,Cascade!$E:$E,0))),"")</f>
        <v/>
      </c>
      <c r="V287" s="14" t="str">
        <f t="shared" si="58"/>
        <v/>
      </c>
      <c r="W287" s="14" t="str">
        <f>IFERROR(1/(1/INDEX(PMTCT!$AC:$AC,MATCH($E287,PMTCT!$E:$E,0))),"")</f>
        <v/>
      </c>
      <c r="X287" s="14" t="str">
        <f>IFERROR(1/(1/INDEX(PMTCT!$AS:$AS,MATCH($E287,PMTCT!$E:$E,0))),"")</f>
        <v/>
      </c>
      <c r="Y287" s="14" t="str">
        <f>IFERROR(1/(1/INDEX(VMMC!$AA:$AA,MATCH($E287,VMMC!$E:$E,0))),"")</f>
        <v/>
      </c>
      <c r="Z287" s="14" t="str">
        <f t="shared" si="59"/>
        <v/>
      </c>
    </row>
    <row r="288" spans="1:26" x14ac:dyDescent="0.2">
      <c r="A288" t="str">
        <f>INDEX(Prioritization!$D:$D,MATCH($B288,Prioritization!$A:$A,0))</f>
        <v>INVALID</v>
      </c>
      <c r="B288" t="s">
        <v>215</v>
      </c>
      <c r="C288" t="s">
        <v>366</v>
      </c>
      <c r="D288" t="s">
        <v>47</v>
      </c>
      <c r="E288" t="str">
        <f t="shared" si="48"/>
        <v>Mulanje District [umc2n1Z4wNv]|35-49|Male</v>
      </c>
      <c r="F288" s="14"/>
      <c r="G288" s="90">
        <f>0</f>
        <v>0</v>
      </c>
      <c r="H288" s="42" t="str">
        <f t="shared" si="49"/>
        <v/>
      </c>
      <c r="I288" s="14"/>
      <c r="J288" s="90"/>
      <c r="K288" s="90" t="str">
        <f t="shared" si="50"/>
        <v/>
      </c>
      <c r="L288" s="90"/>
      <c r="M288" s="90" t="str">
        <f t="shared" si="51"/>
        <v/>
      </c>
      <c r="N288" s="14" t="str">
        <f t="shared" si="52"/>
        <v/>
      </c>
      <c r="O288" s="42" t="str">
        <f t="shared" si="53"/>
        <v/>
      </c>
      <c r="P288" s="42" t="str">
        <f t="shared" si="54"/>
        <v/>
      </c>
      <c r="Q288" s="42" t="str">
        <f t="shared" si="55"/>
        <v/>
      </c>
      <c r="R288" s="90" t="str">
        <f>IF(SUM($P288)=0,"",INDEX(Cascade!$BG:$BG,MATCH($E288,Cascade!$E:$E,0)))</f>
        <v/>
      </c>
      <c r="S288" s="42" t="str">
        <f t="shared" si="56"/>
        <v/>
      </c>
      <c r="T288" s="42" t="str">
        <f t="shared" si="57"/>
        <v/>
      </c>
      <c r="U288" s="14" t="str">
        <f>IFERROR(1/(1/INDEX(Cascade!$BH:$BH,MATCH($E288,Cascade!$E:$E,0))),"")</f>
        <v/>
      </c>
      <c r="V288" s="14" t="str">
        <f t="shared" si="58"/>
        <v/>
      </c>
      <c r="W288" s="14" t="str">
        <f>IFERROR(1/(1/INDEX(PMTCT!$AC:$AC,MATCH($E288,PMTCT!$E:$E,0))),"")</f>
        <v/>
      </c>
      <c r="X288" s="14" t="str">
        <f>IFERROR(1/(1/INDEX(PMTCT!$AS:$AS,MATCH($E288,PMTCT!$E:$E,0))),"")</f>
        <v/>
      </c>
      <c r="Y288" s="14" t="str">
        <f>IFERROR(1/(1/INDEX(VMMC!$AA:$AA,MATCH($E288,VMMC!$E:$E,0))),"")</f>
        <v/>
      </c>
      <c r="Z288" s="14" t="str">
        <f t="shared" si="59"/>
        <v/>
      </c>
    </row>
    <row r="289" spans="1:26" x14ac:dyDescent="0.2">
      <c r="A289" t="str">
        <f>INDEX(Prioritization!$D:$D,MATCH($B289,Prioritization!$A:$A,0))</f>
        <v>INVALID</v>
      </c>
      <c r="B289" t="s">
        <v>215</v>
      </c>
      <c r="C289" t="s">
        <v>367</v>
      </c>
      <c r="D289" t="s">
        <v>29</v>
      </c>
      <c r="E289" t="str">
        <f t="shared" si="48"/>
        <v>Mulanje District [umc2n1Z4wNv]|50+|Female</v>
      </c>
      <c r="F289" s="14"/>
      <c r="G289" s="90">
        <f>0</f>
        <v>0</v>
      </c>
      <c r="H289" s="42" t="str">
        <f t="shared" si="49"/>
        <v/>
      </c>
      <c r="I289" s="14"/>
      <c r="J289" s="90"/>
      <c r="K289" s="90" t="str">
        <f t="shared" si="50"/>
        <v/>
      </c>
      <c r="L289" s="90"/>
      <c r="M289" s="90" t="str">
        <f t="shared" si="51"/>
        <v/>
      </c>
      <c r="N289" s="14" t="str">
        <f t="shared" si="52"/>
        <v/>
      </c>
      <c r="O289" s="42" t="str">
        <f t="shared" si="53"/>
        <v/>
      </c>
      <c r="P289" s="42" t="str">
        <f t="shared" si="54"/>
        <v/>
      </c>
      <c r="Q289" s="42" t="str">
        <f t="shared" si="55"/>
        <v/>
      </c>
      <c r="R289" s="90" t="str">
        <f>IF(SUM($P289)=0,"",INDEX(Cascade!$BG:$BG,MATCH($E289,Cascade!$E:$E,0)))</f>
        <v/>
      </c>
      <c r="S289" s="42" t="str">
        <f t="shared" si="56"/>
        <v/>
      </c>
      <c r="T289" s="42" t="str">
        <f t="shared" si="57"/>
        <v/>
      </c>
      <c r="U289" s="14" t="str">
        <f>IFERROR(1/(1/INDEX(Cascade!$BH:$BH,MATCH($E289,Cascade!$E:$E,0))),"")</f>
        <v/>
      </c>
      <c r="V289" s="14" t="str">
        <f t="shared" si="58"/>
        <v/>
      </c>
      <c r="W289" s="14" t="str">
        <f>IFERROR(1/(1/INDEX(PMTCT!$AC:$AC,MATCH($E289,PMTCT!$E:$E,0))),"")</f>
        <v/>
      </c>
      <c r="X289" s="14" t="str">
        <f>IFERROR(1/(1/INDEX(PMTCT!$AS:$AS,MATCH($E289,PMTCT!$E:$E,0))),"")</f>
        <v/>
      </c>
      <c r="Y289" s="14" t="str">
        <f>IFERROR(1/(1/INDEX(VMMC!$AA:$AA,MATCH($E289,VMMC!$E:$E,0))),"")</f>
        <v/>
      </c>
      <c r="Z289" s="14" t="str">
        <f t="shared" si="59"/>
        <v/>
      </c>
    </row>
    <row r="290" spans="1:26" x14ac:dyDescent="0.2">
      <c r="A290" t="str">
        <f>INDEX(Prioritization!$D:$D,MATCH($B290,Prioritization!$A:$A,0))</f>
        <v>INVALID</v>
      </c>
      <c r="B290" t="s">
        <v>215</v>
      </c>
      <c r="C290" t="s">
        <v>367</v>
      </c>
      <c r="D290" t="s">
        <v>47</v>
      </c>
      <c r="E290" t="str">
        <f t="shared" si="48"/>
        <v>Mulanje District [umc2n1Z4wNv]|50+|Male</v>
      </c>
      <c r="F290" s="14"/>
      <c r="G290" s="90">
        <f>0</f>
        <v>0</v>
      </c>
      <c r="H290" s="42" t="str">
        <f t="shared" si="49"/>
        <v/>
      </c>
      <c r="I290" s="14"/>
      <c r="J290" s="90"/>
      <c r="K290" s="90" t="str">
        <f t="shared" si="50"/>
        <v/>
      </c>
      <c r="L290" s="90"/>
      <c r="M290" s="90" t="str">
        <f t="shared" si="51"/>
        <v/>
      </c>
      <c r="N290" s="14" t="str">
        <f t="shared" si="52"/>
        <v/>
      </c>
      <c r="O290" s="42" t="str">
        <f t="shared" si="53"/>
        <v/>
      </c>
      <c r="P290" s="42" t="str">
        <f t="shared" si="54"/>
        <v/>
      </c>
      <c r="Q290" s="42" t="str">
        <f t="shared" si="55"/>
        <v/>
      </c>
      <c r="R290" s="90" t="str">
        <f>IF(SUM($P290)=0,"",INDEX(Cascade!$BG:$BG,MATCH($E290,Cascade!$E:$E,0)))</f>
        <v/>
      </c>
      <c r="S290" s="42" t="str">
        <f t="shared" si="56"/>
        <v/>
      </c>
      <c r="T290" s="42" t="str">
        <f t="shared" si="57"/>
        <v/>
      </c>
      <c r="U290" s="14" t="str">
        <f>IFERROR(1/(1/INDEX(Cascade!$BH:$BH,MATCH($E290,Cascade!$E:$E,0))),"")</f>
        <v/>
      </c>
      <c r="V290" s="14" t="str">
        <f t="shared" si="58"/>
        <v/>
      </c>
      <c r="W290" s="14" t="str">
        <f>IFERROR(1/(1/INDEX(PMTCT!$AC:$AC,MATCH($E290,PMTCT!$E:$E,0))),"")</f>
        <v/>
      </c>
      <c r="X290" s="14" t="str">
        <f>IFERROR(1/(1/INDEX(PMTCT!$AS:$AS,MATCH($E290,PMTCT!$E:$E,0))),"")</f>
        <v/>
      </c>
      <c r="Y290" s="14" t="str">
        <f>IFERROR(1/(1/INDEX(VMMC!$AA:$AA,MATCH($E290,VMMC!$E:$E,0))),"")</f>
        <v/>
      </c>
      <c r="Z290" s="14" t="str">
        <f t="shared" si="59"/>
        <v/>
      </c>
    </row>
    <row r="291" spans="1:26" x14ac:dyDescent="0.2">
      <c r="A291" t="str">
        <f>INDEX(Prioritization!$D:$D,MATCH($B291,Prioritization!$A:$A,0))</f>
        <v>INVALID</v>
      </c>
      <c r="B291" t="s">
        <v>216</v>
      </c>
      <c r="C291" t="s">
        <v>362</v>
      </c>
      <c r="D291" t="s">
        <v>29</v>
      </c>
      <c r="E291" t="str">
        <f t="shared" si="48"/>
        <v>Mwanza District [wNqJp8oRIcF]|01-09|Female</v>
      </c>
      <c r="F291" s="14"/>
      <c r="G291" s="90">
        <f>0</f>
        <v>0</v>
      </c>
      <c r="H291" s="42" t="str">
        <f t="shared" si="49"/>
        <v/>
      </c>
      <c r="I291" s="14"/>
      <c r="J291" s="90"/>
      <c r="K291" s="90" t="str">
        <f t="shared" si="50"/>
        <v/>
      </c>
      <c r="L291" s="90"/>
      <c r="M291" s="90" t="str">
        <f t="shared" si="51"/>
        <v/>
      </c>
      <c r="N291" s="14" t="str">
        <f t="shared" si="52"/>
        <v/>
      </c>
      <c r="O291" s="42" t="str">
        <f t="shared" si="53"/>
        <v/>
      </c>
      <c r="P291" s="42" t="str">
        <f t="shared" si="54"/>
        <v/>
      </c>
      <c r="Q291" s="42" t="str">
        <f t="shared" si="55"/>
        <v/>
      </c>
      <c r="R291" s="90" t="str">
        <f>IF(SUM($P291)=0,"",INDEX(Cascade!$BG:$BG,MATCH($E291,Cascade!$E:$E,0)))</f>
        <v/>
      </c>
      <c r="S291" s="42" t="str">
        <f t="shared" si="56"/>
        <v/>
      </c>
      <c r="T291" s="42" t="str">
        <f t="shared" si="57"/>
        <v/>
      </c>
      <c r="U291" s="14" t="str">
        <f>IFERROR(1/(1/INDEX(Cascade!$BH:$BH,MATCH($E291,Cascade!$E:$E,0))),"")</f>
        <v/>
      </c>
      <c r="V291" s="14" t="str">
        <f t="shared" si="58"/>
        <v/>
      </c>
      <c r="W291" s="14" t="str">
        <f>IFERROR(1/(1/INDEX(PMTCT!$AC:$AC,MATCH($E291,PMTCT!$E:$E,0))),"")</f>
        <v/>
      </c>
      <c r="X291" s="14" t="str">
        <f>IFERROR(1/(1/INDEX(PMTCT!$AS:$AS,MATCH($E291,PMTCT!$E:$E,0))),"")</f>
        <v/>
      </c>
      <c r="Y291" s="14" t="str">
        <f>IFERROR(1/(1/INDEX(VMMC!$AA:$AA,MATCH($E291,VMMC!$E:$E,0))),"")</f>
        <v/>
      </c>
      <c r="Z291" s="14" t="str">
        <f t="shared" si="59"/>
        <v/>
      </c>
    </row>
    <row r="292" spans="1:26" x14ac:dyDescent="0.2">
      <c r="A292" t="str">
        <f>INDEX(Prioritization!$D:$D,MATCH($B292,Prioritization!$A:$A,0))</f>
        <v>INVALID</v>
      </c>
      <c r="B292" t="s">
        <v>216</v>
      </c>
      <c r="C292" t="s">
        <v>362</v>
      </c>
      <c r="D292" t="s">
        <v>47</v>
      </c>
      <c r="E292" t="str">
        <f t="shared" si="48"/>
        <v>Mwanza District [wNqJp8oRIcF]|01-09|Male</v>
      </c>
      <c r="F292" s="14"/>
      <c r="G292" s="90">
        <f>0</f>
        <v>0</v>
      </c>
      <c r="H292" s="42" t="str">
        <f t="shared" si="49"/>
        <v/>
      </c>
      <c r="I292" s="14"/>
      <c r="J292" s="90"/>
      <c r="K292" s="90" t="str">
        <f t="shared" si="50"/>
        <v/>
      </c>
      <c r="L292" s="90"/>
      <c r="M292" s="90" t="str">
        <f t="shared" si="51"/>
        <v/>
      </c>
      <c r="N292" s="14" t="str">
        <f t="shared" si="52"/>
        <v/>
      </c>
      <c r="O292" s="42" t="str">
        <f t="shared" si="53"/>
        <v/>
      </c>
      <c r="P292" s="42" t="str">
        <f t="shared" si="54"/>
        <v/>
      </c>
      <c r="Q292" s="42" t="str">
        <f t="shared" si="55"/>
        <v/>
      </c>
      <c r="R292" s="90" t="str">
        <f>IF(SUM($P292)=0,"",INDEX(Cascade!$BG:$BG,MATCH($E292,Cascade!$E:$E,0)))</f>
        <v/>
      </c>
      <c r="S292" s="42" t="str">
        <f t="shared" si="56"/>
        <v/>
      </c>
      <c r="T292" s="42" t="str">
        <f t="shared" si="57"/>
        <v/>
      </c>
      <c r="U292" s="14" t="str">
        <f>IFERROR(1/(1/INDEX(Cascade!$BH:$BH,MATCH($E292,Cascade!$E:$E,0))),"")</f>
        <v/>
      </c>
      <c r="V292" s="14" t="str">
        <f t="shared" si="58"/>
        <v/>
      </c>
      <c r="W292" s="14" t="str">
        <f>IFERROR(1/(1/INDEX(PMTCT!$AC:$AC,MATCH($E292,PMTCT!$E:$E,0))),"")</f>
        <v/>
      </c>
      <c r="X292" s="14" t="str">
        <f>IFERROR(1/(1/INDEX(PMTCT!$AS:$AS,MATCH($E292,PMTCT!$E:$E,0))),"")</f>
        <v/>
      </c>
      <c r="Y292" s="14" t="str">
        <f>IFERROR(1/(1/INDEX(VMMC!$AA:$AA,MATCH($E292,VMMC!$E:$E,0))),"")</f>
        <v/>
      </c>
      <c r="Z292" s="14" t="str">
        <f t="shared" si="59"/>
        <v/>
      </c>
    </row>
    <row r="293" spans="1:26" x14ac:dyDescent="0.2">
      <c r="A293" t="str">
        <f>INDEX(Prioritization!$D:$D,MATCH($B293,Prioritization!$A:$A,0))</f>
        <v>INVALID</v>
      </c>
      <c r="B293" t="s">
        <v>216</v>
      </c>
      <c r="C293" t="s">
        <v>363</v>
      </c>
      <c r="D293" t="s">
        <v>29</v>
      </c>
      <c r="E293" t="str">
        <f t="shared" si="48"/>
        <v>Mwanza District [wNqJp8oRIcF]|10-14|Female</v>
      </c>
      <c r="F293" s="14">
        <v>1</v>
      </c>
      <c r="G293" s="90">
        <f>0</f>
        <v>0</v>
      </c>
      <c r="H293" s="42">
        <f t="shared" si="49"/>
        <v>1</v>
      </c>
      <c r="I293" s="14"/>
      <c r="J293" s="90"/>
      <c r="K293" s="90" t="str">
        <f t="shared" si="50"/>
        <v/>
      </c>
      <c r="L293" s="90"/>
      <c r="M293" s="90" t="str">
        <f t="shared" si="51"/>
        <v/>
      </c>
      <c r="N293" s="14">
        <f t="shared" si="52"/>
        <v>1</v>
      </c>
      <c r="O293" s="42" t="str">
        <f t="shared" si="53"/>
        <v>ENTER KNOWN POSITIVITY RATE</v>
      </c>
      <c r="P293" s="42" t="str">
        <f t="shared" si="54"/>
        <v>ENTER YIELD RATE</v>
      </c>
      <c r="Q293" s="42">
        <f t="shared" si="55"/>
        <v>1</v>
      </c>
      <c r="R293" s="90" t="str">
        <f>IF(SUM($P293)=0,"",INDEX(Cascade!$BG:$BG,MATCH($E293,Cascade!$E:$E,0)))</f>
        <v/>
      </c>
      <c r="S293" s="42" t="str">
        <f t="shared" si="56"/>
        <v>ENTER KNOWN POSITIVITY RATE</v>
      </c>
      <c r="T293" s="42" t="str">
        <f t="shared" si="57"/>
        <v/>
      </c>
      <c r="U293" s="14">
        <f>IFERROR(1/(1/INDEX(Cascade!$BH:$BH,MATCH($E293,Cascade!$E:$E,0))),"")</f>
        <v>-8</v>
      </c>
      <c r="V293" s="14" t="str">
        <f t="shared" si="58"/>
        <v/>
      </c>
      <c r="W293" s="14" t="str">
        <f>IFERROR(1/(1/INDEX(PMTCT!$AC:$AC,MATCH($E293,PMTCT!$E:$E,0))),"")</f>
        <v/>
      </c>
      <c r="X293" s="14" t="str">
        <f>IFERROR(1/(1/INDEX(PMTCT!$AS:$AS,MATCH($E293,PMTCT!$E:$E,0))),"")</f>
        <v/>
      </c>
      <c r="Y293" s="14" t="str">
        <f>IFERROR(1/(1/INDEX(VMMC!$AA:$AA,MATCH($E293,VMMC!$E:$E,0))),"")</f>
        <v/>
      </c>
      <c r="Z293" s="14">
        <f t="shared" si="59"/>
        <v>-8</v>
      </c>
    </row>
    <row r="294" spans="1:26" x14ac:dyDescent="0.2">
      <c r="A294" t="str">
        <f>INDEX(Prioritization!$D:$D,MATCH($B294,Prioritization!$A:$A,0))</f>
        <v>INVALID</v>
      </c>
      <c r="B294" t="s">
        <v>216</v>
      </c>
      <c r="C294" t="s">
        <v>363</v>
      </c>
      <c r="D294" t="s">
        <v>47</v>
      </c>
      <c r="E294" t="str">
        <f t="shared" si="48"/>
        <v>Mwanza District [wNqJp8oRIcF]|10-14|Male</v>
      </c>
      <c r="F294" s="14">
        <v>0</v>
      </c>
      <c r="G294" s="90">
        <f>0</f>
        <v>0</v>
      </c>
      <c r="H294" s="42" t="str">
        <f t="shared" si="49"/>
        <v/>
      </c>
      <c r="I294" s="14"/>
      <c r="J294" s="90"/>
      <c r="K294" s="90" t="str">
        <f t="shared" si="50"/>
        <v/>
      </c>
      <c r="L294" s="90"/>
      <c r="M294" s="90" t="str">
        <f t="shared" si="51"/>
        <v/>
      </c>
      <c r="N294" s="14" t="str">
        <f t="shared" si="52"/>
        <v/>
      </c>
      <c r="O294" s="42" t="str">
        <f t="shared" si="53"/>
        <v/>
      </c>
      <c r="P294" s="42" t="str">
        <f t="shared" si="54"/>
        <v/>
      </c>
      <c r="Q294" s="42" t="str">
        <f t="shared" si="55"/>
        <v/>
      </c>
      <c r="R294" s="90" t="str">
        <f>IF(SUM($P294)=0,"",INDEX(Cascade!$BG:$BG,MATCH($E294,Cascade!$E:$E,0)))</f>
        <v/>
      </c>
      <c r="S294" s="42" t="str">
        <f t="shared" si="56"/>
        <v/>
      </c>
      <c r="T294" s="42" t="str">
        <f t="shared" si="57"/>
        <v/>
      </c>
      <c r="U294" s="14">
        <f>IFERROR(1/(1/INDEX(Cascade!$BH:$BH,MATCH($E294,Cascade!$E:$E,0))),"")</f>
        <v>-58</v>
      </c>
      <c r="V294" s="14" t="str">
        <f t="shared" si="58"/>
        <v/>
      </c>
      <c r="W294" s="14" t="str">
        <f>IFERROR(1/(1/INDEX(PMTCT!$AC:$AC,MATCH($E294,PMTCT!$E:$E,0))),"")</f>
        <v/>
      </c>
      <c r="X294" s="14" t="str">
        <f>IFERROR(1/(1/INDEX(PMTCT!$AS:$AS,MATCH($E294,PMTCT!$E:$E,0))),"")</f>
        <v/>
      </c>
      <c r="Y294" s="14" t="str">
        <f>IFERROR(1/(1/INDEX(VMMC!$AA:$AA,MATCH($E294,VMMC!$E:$E,0))),"")</f>
        <v/>
      </c>
      <c r="Z294" s="14">
        <f t="shared" si="59"/>
        <v>-58</v>
      </c>
    </row>
    <row r="295" spans="1:26" x14ac:dyDescent="0.2">
      <c r="A295" t="str">
        <f>INDEX(Prioritization!$D:$D,MATCH($B295,Prioritization!$A:$A,0))</f>
        <v>INVALID</v>
      </c>
      <c r="B295" t="s">
        <v>216</v>
      </c>
      <c r="C295" t="s">
        <v>364</v>
      </c>
      <c r="D295" t="s">
        <v>29</v>
      </c>
      <c r="E295" t="str">
        <f t="shared" si="48"/>
        <v>Mwanza District [wNqJp8oRIcF]|15-24|Female</v>
      </c>
      <c r="F295" s="14"/>
      <c r="G295" s="90">
        <f>0</f>
        <v>0</v>
      </c>
      <c r="H295" s="42" t="str">
        <f t="shared" si="49"/>
        <v/>
      </c>
      <c r="I295" s="14"/>
      <c r="J295" s="90"/>
      <c r="K295" s="90" t="str">
        <f t="shared" si="50"/>
        <v/>
      </c>
      <c r="L295" s="90"/>
      <c r="M295" s="90" t="str">
        <f t="shared" si="51"/>
        <v/>
      </c>
      <c r="N295" s="14" t="str">
        <f t="shared" si="52"/>
        <v/>
      </c>
      <c r="O295" s="42" t="str">
        <f t="shared" si="53"/>
        <v/>
      </c>
      <c r="P295" s="42" t="str">
        <f t="shared" si="54"/>
        <v/>
      </c>
      <c r="Q295" s="42" t="str">
        <f t="shared" si="55"/>
        <v/>
      </c>
      <c r="R295" s="90" t="str">
        <f>IF(SUM($P295)=0,"",INDEX(Cascade!$BG:$BG,MATCH($E295,Cascade!$E:$E,0)))</f>
        <v/>
      </c>
      <c r="S295" s="42" t="str">
        <f t="shared" si="56"/>
        <v/>
      </c>
      <c r="T295" s="42" t="str">
        <f t="shared" si="57"/>
        <v/>
      </c>
      <c r="U295" s="14" t="str">
        <f>IFERROR(1/(1/INDEX(Cascade!$BH:$BH,MATCH($E295,Cascade!$E:$E,0))),"")</f>
        <v/>
      </c>
      <c r="V295" s="14" t="str">
        <f t="shared" si="58"/>
        <v/>
      </c>
      <c r="W295" s="14" t="str">
        <f>IFERROR(1/(1/INDEX(PMTCT!$AC:$AC,MATCH($E295,PMTCT!$E:$E,0))),"")</f>
        <v/>
      </c>
      <c r="X295" s="14" t="str">
        <f>IFERROR(1/(1/INDEX(PMTCT!$AS:$AS,MATCH($E295,PMTCT!$E:$E,0))),"")</f>
        <v/>
      </c>
      <c r="Y295" s="14" t="str">
        <f>IFERROR(1/(1/INDEX(VMMC!$AA:$AA,MATCH($E295,VMMC!$E:$E,0))),"")</f>
        <v/>
      </c>
      <c r="Z295" s="14" t="str">
        <f t="shared" si="59"/>
        <v/>
      </c>
    </row>
    <row r="296" spans="1:26" x14ac:dyDescent="0.2">
      <c r="A296" t="str">
        <f>INDEX(Prioritization!$D:$D,MATCH($B296,Prioritization!$A:$A,0))</f>
        <v>INVALID</v>
      </c>
      <c r="B296" t="s">
        <v>216</v>
      </c>
      <c r="C296" t="s">
        <v>364</v>
      </c>
      <c r="D296" t="s">
        <v>47</v>
      </c>
      <c r="E296" t="str">
        <f t="shared" si="48"/>
        <v>Mwanza District [wNqJp8oRIcF]|15-24|Male</v>
      </c>
      <c r="F296" s="14"/>
      <c r="G296" s="90">
        <f>0</f>
        <v>0</v>
      </c>
      <c r="H296" s="42" t="str">
        <f t="shared" si="49"/>
        <v/>
      </c>
      <c r="I296" s="14"/>
      <c r="J296" s="90"/>
      <c r="K296" s="90" t="str">
        <f t="shared" si="50"/>
        <v/>
      </c>
      <c r="L296" s="90"/>
      <c r="M296" s="90" t="str">
        <f t="shared" si="51"/>
        <v/>
      </c>
      <c r="N296" s="14" t="str">
        <f t="shared" si="52"/>
        <v/>
      </c>
      <c r="O296" s="42" t="str">
        <f t="shared" si="53"/>
        <v/>
      </c>
      <c r="P296" s="42" t="str">
        <f t="shared" si="54"/>
        <v/>
      </c>
      <c r="Q296" s="42" t="str">
        <f t="shared" si="55"/>
        <v/>
      </c>
      <c r="R296" s="90" t="str">
        <f>IF(SUM($P296)=0,"",INDEX(Cascade!$BG:$BG,MATCH($E296,Cascade!$E:$E,0)))</f>
        <v/>
      </c>
      <c r="S296" s="42" t="str">
        <f t="shared" si="56"/>
        <v/>
      </c>
      <c r="T296" s="42" t="str">
        <f t="shared" si="57"/>
        <v/>
      </c>
      <c r="U296" s="14" t="str">
        <f>IFERROR(1/(1/INDEX(Cascade!$BH:$BH,MATCH($E296,Cascade!$E:$E,0))),"")</f>
        <v/>
      </c>
      <c r="V296" s="14" t="str">
        <f t="shared" si="58"/>
        <v/>
      </c>
      <c r="W296" s="14" t="str">
        <f>IFERROR(1/(1/INDEX(PMTCT!$AC:$AC,MATCH($E296,PMTCT!$E:$E,0))),"")</f>
        <v/>
      </c>
      <c r="X296" s="14" t="str">
        <f>IFERROR(1/(1/INDEX(PMTCT!$AS:$AS,MATCH($E296,PMTCT!$E:$E,0))),"")</f>
        <v/>
      </c>
      <c r="Y296" s="14" t="str">
        <f>IFERROR(1/(1/INDEX(VMMC!$AA:$AA,MATCH($E296,VMMC!$E:$E,0))),"")</f>
        <v/>
      </c>
      <c r="Z296" s="14" t="str">
        <f t="shared" si="59"/>
        <v/>
      </c>
    </row>
    <row r="297" spans="1:26" x14ac:dyDescent="0.2">
      <c r="A297" t="str">
        <f>INDEX(Prioritization!$D:$D,MATCH($B297,Prioritization!$A:$A,0))</f>
        <v>INVALID</v>
      </c>
      <c r="B297" t="s">
        <v>216</v>
      </c>
      <c r="C297" t="s">
        <v>365</v>
      </c>
      <c r="D297" t="s">
        <v>29</v>
      </c>
      <c r="E297" t="str">
        <f t="shared" si="48"/>
        <v>Mwanza District [wNqJp8oRIcF]|25-34|Female</v>
      </c>
      <c r="F297" s="14"/>
      <c r="G297" s="90">
        <f>0</f>
        <v>0</v>
      </c>
      <c r="H297" s="42" t="str">
        <f t="shared" si="49"/>
        <v/>
      </c>
      <c r="I297" s="14"/>
      <c r="J297" s="90"/>
      <c r="K297" s="90" t="str">
        <f t="shared" si="50"/>
        <v/>
      </c>
      <c r="L297" s="90"/>
      <c r="M297" s="90" t="str">
        <f t="shared" si="51"/>
        <v/>
      </c>
      <c r="N297" s="14" t="str">
        <f t="shared" si="52"/>
        <v/>
      </c>
      <c r="O297" s="42" t="str">
        <f t="shared" si="53"/>
        <v/>
      </c>
      <c r="P297" s="42" t="str">
        <f t="shared" si="54"/>
        <v/>
      </c>
      <c r="Q297" s="42" t="str">
        <f t="shared" si="55"/>
        <v/>
      </c>
      <c r="R297" s="90" t="str">
        <f>IF(SUM($P297)=0,"",INDEX(Cascade!$BG:$BG,MATCH($E297,Cascade!$E:$E,0)))</f>
        <v/>
      </c>
      <c r="S297" s="42" t="str">
        <f t="shared" si="56"/>
        <v/>
      </c>
      <c r="T297" s="42" t="str">
        <f t="shared" si="57"/>
        <v/>
      </c>
      <c r="U297" s="14" t="str">
        <f>IFERROR(1/(1/INDEX(Cascade!$BH:$BH,MATCH($E297,Cascade!$E:$E,0))),"")</f>
        <v/>
      </c>
      <c r="V297" s="14" t="str">
        <f t="shared" si="58"/>
        <v/>
      </c>
      <c r="W297" s="14" t="str">
        <f>IFERROR(1/(1/INDEX(PMTCT!$AC:$AC,MATCH($E297,PMTCT!$E:$E,0))),"")</f>
        <v/>
      </c>
      <c r="X297" s="14" t="str">
        <f>IFERROR(1/(1/INDEX(PMTCT!$AS:$AS,MATCH($E297,PMTCT!$E:$E,0))),"")</f>
        <v/>
      </c>
      <c r="Y297" s="14" t="str">
        <f>IFERROR(1/(1/INDEX(VMMC!$AA:$AA,MATCH($E297,VMMC!$E:$E,0))),"")</f>
        <v/>
      </c>
      <c r="Z297" s="14" t="str">
        <f t="shared" si="59"/>
        <v/>
      </c>
    </row>
    <row r="298" spans="1:26" x14ac:dyDescent="0.2">
      <c r="A298" t="str">
        <f>INDEX(Prioritization!$D:$D,MATCH($B298,Prioritization!$A:$A,0))</f>
        <v>INVALID</v>
      </c>
      <c r="B298" t="s">
        <v>216</v>
      </c>
      <c r="C298" t="s">
        <v>365</v>
      </c>
      <c r="D298" t="s">
        <v>47</v>
      </c>
      <c r="E298" t="str">
        <f t="shared" si="48"/>
        <v>Mwanza District [wNqJp8oRIcF]|25-34|Male</v>
      </c>
      <c r="F298" s="14"/>
      <c r="G298" s="90">
        <f>0</f>
        <v>0</v>
      </c>
      <c r="H298" s="42" t="str">
        <f t="shared" si="49"/>
        <v/>
      </c>
      <c r="I298" s="14"/>
      <c r="J298" s="90"/>
      <c r="K298" s="90" t="str">
        <f t="shared" si="50"/>
        <v/>
      </c>
      <c r="L298" s="90"/>
      <c r="M298" s="90" t="str">
        <f t="shared" si="51"/>
        <v/>
      </c>
      <c r="N298" s="14" t="str">
        <f t="shared" si="52"/>
        <v/>
      </c>
      <c r="O298" s="42" t="str">
        <f t="shared" si="53"/>
        <v/>
      </c>
      <c r="P298" s="42" t="str">
        <f t="shared" si="54"/>
        <v/>
      </c>
      <c r="Q298" s="42" t="str">
        <f t="shared" si="55"/>
        <v/>
      </c>
      <c r="R298" s="90" t="str">
        <f>IF(SUM($P298)=0,"",INDEX(Cascade!$BG:$BG,MATCH($E298,Cascade!$E:$E,0)))</f>
        <v/>
      </c>
      <c r="S298" s="42" t="str">
        <f t="shared" si="56"/>
        <v/>
      </c>
      <c r="T298" s="42" t="str">
        <f t="shared" si="57"/>
        <v/>
      </c>
      <c r="U298" s="14" t="str">
        <f>IFERROR(1/(1/INDEX(Cascade!$BH:$BH,MATCH($E298,Cascade!$E:$E,0))),"")</f>
        <v/>
      </c>
      <c r="V298" s="14" t="str">
        <f t="shared" si="58"/>
        <v/>
      </c>
      <c r="W298" s="14" t="str">
        <f>IFERROR(1/(1/INDEX(PMTCT!$AC:$AC,MATCH($E298,PMTCT!$E:$E,0))),"")</f>
        <v/>
      </c>
      <c r="X298" s="14" t="str">
        <f>IFERROR(1/(1/INDEX(PMTCT!$AS:$AS,MATCH($E298,PMTCT!$E:$E,0))),"")</f>
        <v/>
      </c>
      <c r="Y298" s="14" t="str">
        <f>IFERROR(1/(1/INDEX(VMMC!$AA:$AA,MATCH($E298,VMMC!$E:$E,0))),"")</f>
        <v/>
      </c>
      <c r="Z298" s="14" t="str">
        <f t="shared" si="59"/>
        <v/>
      </c>
    </row>
    <row r="299" spans="1:26" x14ac:dyDescent="0.2">
      <c r="A299" t="str">
        <f>INDEX(Prioritization!$D:$D,MATCH($B299,Prioritization!$A:$A,0))</f>
        <v>INVALID</v>
      </c>
      <c r="B299" t="s">
        <v>216</v>
      </c>
      <c r="C299" t="s">
        <v>366</v>
      </c>
      <c r="D299" t="s">
        <v>29</v>
      </c>
      <c r="E299" t="str">
        <f t="shared" si="48"/>
        <v>Mwanza District [wNqJp8oRIcF]|35-49|Female</v>
      </c>
      <c r="F299" s="14"/>
      <c r="G299" s="90">
        <f>0</f>
        <v>0</v>
      </c>
      <c r="H299" s="42" t="str">
        <f t="shared" si="49"/>
        <v/>
      </c>
      <c r="I299" s="14"/>
      <c r="J299" s="90"/>
      <c r="K299" s="90" t="str">
        <f t="shared" si="50"/>
        <v/>
      </c>
      <c r="L299" s="90"/>
      <c r="M299" s="90" t="str">
        <f t="shared" si="51"/>
        <v/>
      </c>
      <c r="N299" s="14" t="str">
        <f t="shared" si="52"/>
        <v/>
      </c>
      <c r="O299" s="42" t="str">
        <f t="shared" si="53"/>
        <v/>
      </c>
      <c r="P299" s="42" t="str">
        <f t="shared" si="54"/>
        <v/>
      </c>
      <c r="Q299" s="42" t="str">
        <f t="shared" si="55"/>
        <v/>
      </c>
      <c r="R299" s="90" t="str">
        <f>IF(SUM($P299)=0,"",INDEX(Cascade!$BG:$BG,MATCH($E299,Cascade!$E:$E,0)))</f>
        <v/>
      </c>
      <c r="S299" s="42" t="str">
        <f t="shared" si="56"/>
        <v/>
      </c>
      <c r="T299" s="42" t="str">
        <f t="shared" si="57"/>
        <v/>
      </c>
      <c r="U299" s="14" t="str">
        <f>IFERROR(1/(1/INDEX(Cascade!$BH:$BH,MATCH($E299,Cascade!$E:$E,0))),"")</f>
        <v/>
      </c>
      <c r="V299" s="14" t="str">
        <f t="shared" si="58"/>
        <v/>
      </c>
      <c r="W299" s="14" t="str">
        <f>IFERROR(1/(1/INDEX(PMTCT!$AC:$AC,MATCH($E299,PMTCT!$E:$E,0))),"")</f>
        <v/>
      </c>
      <c r="X299" s="14" t="str">
        <f>IFERROR(1/(1/INDEX(PMTCT!$AS:$AS,MATCH($E299,PMTCT!$E:$E,0))),"")</f>
        <v/>
      </c>
      <c r="Y299" s="14" t="str">
        <f>IFERROR(1/(1/INDEX(VMMC!$AA:$AA,MATCH($E299,VMMC!$E:$E,0))),"")</f>
        <v/>
      </c>
      <c r="Z299" s="14" t="str">
        <f t="shared" si="59"/>
        <v/>
      </c>
    </row>
    <row r="300" spans="1:26" x14ac:dyDescent="0.2">
      <c r="A300" t="str">
        <f>INDEX(Prioritization!$D:$D,MATCH($B300,Prioritization!$A:$A,0))</f>
        <v>INVALID</v>
      </c>
      <c r="B300" t="s">
        <v>216</v>
      </c>
      <c r="C300" t="s">
        <v>366</v>
      </c>
      <c r="D300" t="s">
        <v>47</v>
      </c>
      <c r="E300" t="str">
        <f t="shared" si="48"/>
        <v>Mwanza District [wNqJp8oRIcF]|35-49|Male</v>
      </c>
      <c r="F300" s="14"/>
      <c r="G300" s="90">
        <f>0</f>
        <v>0</v>
      </c>
      <c r="H300" s="42" t="str">
        <f t="shared" si="49"/>
        <v/>
      </c>
      <c r="I300" s="14"/>
      <c r="J300" s="90"/>
      <c r="K300" s="90" t="str">
        <f t="shared" si="50"/>
        <v/>
      </c>
      <c r="L300" s="90"/>
      <c r="M300" s="90" t="str">
        <f t="shared" si="51"/>
        <v/>
      </c>
      <c r="N300" s="14" t="str">
        <f t="shared" si="52"/>
        <v/>
      </c>
      <c r="O300" s="42" t="str">
        <f t="shared" si="53"/>
        <v/>
      </c>
      <c r="P300" s="42" t="str">
        <f t="shared" si="54"/>
        <v/>
      </c>
      <c r="Q300" s="42" t="str">
        <f t="shared" si="55"/>
        <v/>
      </c>
      <c r="R300" s="90" t="str">
        <f>IF(SUM($P300)=0,"",INDEX(Cascade!$BG:$BG,MATCH($E300,Cascade!$E:$E,0)))</f>
        <v/>
      </c>
      <c r="S300" s="42" t="str">
        <f t="shared" si="56"/>
        <v/>
      </c>
      <c r="T300" s="42" t="str">
        <f t="shared" si="57"/>
        <v/>
      </c>
      <c r="U300" s="14" t="str">
        <f>IFERROR(1/(1/INDEX(Cascade!$BH:$BH,MATCH($E300,Cascade!$E:$E,0))),"")</f>
        <v/>
      </c>
      <c r="V300" s="14" t="str">
        <f t="shared" si="58"/>
        <v/>
      </c>
      <c r="W300" s="14" t="str">
        <f>IFERROR(1/(1/INDEX(PMTCT!$AC:$AC,MATCH($E300,PMTCT!$E:$E,0))),"")</f>
        <v/>
      </c>
      <c r="X300" s="14" t="str">
        <f>IFERROR(1/(1/INDEX(PMTCT!$AS:$AS,MATCH($E300,PMTCT!$E:$E,0))),"")</f>
        <v/>
      </c>
      <c r="Y300" s="14" t="str">
        <f>IFERROR(1/(1/INDEX(VMMC!$AA:$AA,MATCH($E300,VMMC!$E:$E,0))),"")</f>
        <v/>
      </c>
      <c r="Z300" s="14" t="str">
        <f t="shared" si="59"/>
        <v/>
      </c>
    </row>
    <row r="301" spans="1:26" x14ac:dyDescent="0.2">
      <c r="A301" t="str">
        <f>INDEX(Prioritization!$D:$D,MATCH($B301,Prioritization!$A:$A,0))</f>
        <v>INVALID</v>
      </c>
      <c r="B301" t="s">
        <v>216</v>
      </c>
      <c r="C301" t="s">
        <v>367</v>
      </c>
      <c r="D301" t="s">
        <v>29</v>
      </c>
      <c r="E301" t="str">
        <f t="shared" si="48"/>
        <v>Mwanza District [wNqJp8oRIcF]|50+|Female</v>
      </c>
      <c r="F301" s="14"/>
      <c r="G301" s="90">
        <f>0</f>
        <v>0</v>
      </c>
      <c r="H301" s="42" t="str">
        <f t="shared" si="49"/>
        <v/>
      </c>
      <c r="I301" s="14"/>
      <c r="J301" s="90"/>
      <c r="K301" s="90" t="str">
        <f t="shared" si="50"/>
        <v/>
      </c>
      <c r="L301" s="90"/>
      <c r="M301" s="90" t="str">
        <f t="shared" si="51"/>
        <v/>
      </c>
      <c r="N301" s="14" t="str">
        <f t="shared" si="52"/>
        <v/>
      </c>
      <c r="O301" s="42" t="str">
        <f t="shared" si="53"/>
        <v/>
      </c>
      <c r="P301" s="42" t="str">
        <f t="shared" si="54"/>
        <v/>
      </c>
      <c r="Q301" s="42" t="str">
        <f t="shared" si="55"/>
        <v/>
      </c>
      <c r="R301" s="90" t="str">
        <f>IF(SUM($P301)=0,"",INDEX(Cascade!$BG:$BG,MATCH($E301,Cascade!$E:$E,0)))</f>
        <v/>
      </c>
      <c r="S301" s="42" t="str">
        <f t="shared" si="56"/>
        <v/>
      </c>
      <c r="T301" s="42" t="str">
        <f t="shared" si="57"/>
        <v/>
      </c>
      <c r="U301" s="14" t="str">
        <f>IFERROR(1/(1/INDEX(Cascade!$BH:$BH,MATCH($E301,Cascade!$E:$E,0))),"")</f>
        <v/>
      </c>
      <c r="V301" s="14" t="str">
        <f t="shared" si="58"/>
        <v/>
      </c>
      <c r="W301" s="14" t="str">
        <f>IFERROR(1/(1/INDEX(PMTCT!$AC:$AC,MATCH($E301,PMTCT!$E:$E,0))),"")</f>
        <v/>
      </c>
      <c r="X301" s="14" t="str">
        <f>IFERROR(1/(1/INDEX(PMTCT!$AS:$AS,MATCH($E301,PMTCT!$E:$E,0))),"")</f>
        <v/>
      </c>
      <c r="Y301" s="14" t="str">
        <f>IFERROR(1/(1/INDEX(VMMC!$AA:$AA,MATCH($E301,VMMC!$E:$E,0))),"")</f>
        <v/>
      </c>
      <c r="Z301" s="14" t="str">
        <f t="shared" si="59"/>
        <v/>
      </c>
    </row>
    <row r="302" spans="1:26" x14ac:dyDescent="0.2">
      <c r="A302" t="str">
        <f>INDEX(Prioritization!$D:$D,MATCH($B302,Prioritization!$A:$A,0))</f>
        <v>INVALID</v>
      </c>
      <c r="B302" t="s">
        <v>216</v>
      </c>
      <c r="C302" t="s">
        <v>367</v>
      </c>
      <c r="D302" t="s">
        <v>47</v>
      </c>
      <c r="E302" t="str">
        <f t="shared" si="48"/>
        <v>Mwanza District [wNqJp8oRIcF]|50+|Male</v>
      </c>
      <c r="F302" s="14"/>
      <c r="G302" s="90">
        <f>0</f>
        <v>0</v>
      </c>
      <c r="H302" s="42" t="str">
        <f t="shared" si="49"/>
        <v/>
      </c>
      <c r="I302" s="14"/>
      <c r="J302" s="90"/>
      <c r="K302" s="90" t="str">
        <f t="shared" si="50"/>
        <v/>
      </c>
      <c r="L302" s="90"/>
      <c r="M302" s="90" t="str">
        <f t="shared" si="51"/>
        <v/>
      </c>
      <c r="N302" s="14" t="str">
        <f t="shared" si="52"/>
        <v/>
      </c>
      <c r="O302" s="42" t="str">
        <f t="shared" si="53"/>
        <v/>
      </c>
      <c r="P302" s="42" t="str">
        <f t="shared" si="54"/>
        <v/>
      </c>
      <c r="Q302" s="42" t="str">
        <f t="shared" si="55"/>
        <v/>
      </c>
      <c r="R302" s="90" t="str">
        <f>IF(SUM($P302)=0,"",INDEX(Cascade!$BG:$BG,MATCH($E302,Cascade!$E:$E,0)))</f>
        <v/>
      </c>
      <c r="S302" s="42" t="str">
        <f t="shared" si="56"/>
        <v/>
      </c>
      <c r="T302" s="42" t="str">
        <f t="shared" si="57"/>
        <v/>
      </c>
      <c r="U302" s="14" t="str">
        <f>IFERROR(1/(1/INDEX(Cascade!$BH:$BH,MATCH($E302,Cascade!$E:$E,0))),"")</f>
        <v/>
      </c>
      <c r="V302" s="14" t="str">
        <f t="shared" si="58"/>
        <v/>
      </c>
      <c r="W302" s="14" t="str">
        <f>IFERROR(1/(1/INDEX(PMTCT!$AC:$AC,MATCH($E302,PMTCT!$E:$E,0))),"")</f>
        <v/>
      </c>
      <c r="X302" s="14" t="str">
        <f>IFERROR(1/(1/INDEX(PMTCT!$AS:$AS,MATCH($E302,PMTCT!$E:$E,0))),"")</f>
        <v/>
      </c>
      <c r="Y302" s="14" t="str">
        <f>IFERROR(1/(1/INDEX(VMMC!$AA:$AA,MATCH($E302,VMMC!$E:$E,0))),"")</f>
        <v/>
      </c>
      <c r="Z302" s="14" t="str">
        <f t="shared" si="59"/>
        <v/>
      </c>
    </row>
    <row r="303" spans="1:26" x14ac:dyDescent="0.2">
      <c r="A303" t="str">
        <f>INDEX(Prioritization!$D:$D,MATCH($B303,Prioritization!$A:$A,0))</f>
        <v>INVALID</v>
      </c>
      <c r="B303" t="s">
        <v>217</v>
      </c>
      <c r="C303" t="s">
        <v>362</v>
      </c>
      <c r="D303" t="s">
        <v>29</v>
      </c>
      <c r="E303" t="str">
        <f t="shared" si="48"/>
        <v>Neno District [gwVYinjBAe9]|01-09|Female</v>
      </c>
      <c r="F303" s="14"/>
      <c r="G303" s="90">
        <f>0</f>
        <v>0</v>
      </c>
      <c r="H303" s="42" t="str">
        <f t="shared" si="49"/>
        <v/>
      </c>
      <c r="I303" s="14"/>
      <c r="J303" s="90"/>
      <c r="K303" s="90" t="str">
        <f t="shared" si="50"/>
        <v/>
      </c>
      <c r="L303" s="90"/>
      <c r="M303" s="90" t="str">
        <f t="shared" si="51"/>
        <v/>
      </c>
      <c r="N303" s="14" t="str">
        <f t="shared" si="52"/>
        <v/>
      </c>
      <c r="O303" s="42" t="str">
        <f t="shared" si="53"/>
        <v/>
      </c>
      <c r="P303" s="42" t="str">
        <f t="shared" si="54"/>
        <v/>
      </c>
      <c r="Q303" s="42" t="str">
        <f t="shared" si="55"/>
        <v/>
      </c>
      <c r="R303" s="90" t="str">
        <f>IF(SUM($P303)=0,"",INDEX(Cascade!$BG:$BG,MATCH($E303,Cascade!$E:$E,0)))</f>
        <v/>
      </c>
      <c r="S303" s="42" t="str">
        <f t="shared" si="56"/>
        <v/>
      </c>
      <c r="T303" s="42" t="str">
        <f t="shared" si="57"/>
        <v/>
      </c>
      <c r="U303" s="14" t="str">
        <f>IFERROR(1/(1/INDEX(Cascade!$BH:$BH,MATCH($E303,Cascade!$E:$E,0))),"")</f>
        <v/>
      </c>
      <c r="V303" s="14" t="str">
        <f t="shared" si="58"/>
        <v/>
      </c>
      <c r="W303" s="14" t="str">
        <f>IFERROR(1/(1/INDEX(PMTCT!$AC:$AC,MATCH($E303,PMTCT!$E:$E,0))),"")</f>
        <v/>
      </c>
      <c r="X303" s="14" t="str">
        <f>IFERROR(1/(1/INDEX(PMTCT!$AS:$AS,MATCH($E303,PMTCT!$E:$E,0))),"")</f>
        <v/>
      </c>
      <c r="Y303" s="14" t="str">
        <f>IFERROR(1/(1/INDEX(VMMC!$AA:$AA,MATCH($E303,VMMC!$E:$E,0))),"")</f>
        <v/>
      </c>
      <c r="Z303" s="14" t="str">
        <f t="shared" si="59"/>
        <v/>
      </c>
    </row>
    <row r="304" spans="1:26" x14ac:dyDescent="0.2">
      <c r="A304" t="str">
        <f>INDEX(Prioritization!$D:$D,MATCH($B304,Prioritization!$A:$A,0))</f>
        <v>INVALID</v>
      </c>
      <c r="B304" t="s">
        <v>217</v>
      </c>
      <c r="C304" t="s">
        <v>362</v>
      </c>
      <c r="D304" t="s">
        <v>47</v>
      </c>
      <c r="E304" t="str">
        <f t="shared" si="48"/>
        <v>Neno District [gwVYinjBAe9]|01-09|Male</v>
      </c>
      <c r="F304" s="14"/>
      <c r="G304" s="90">
        <f>0</f>
        <v>0</v>
      </c>
      <c r="H304" s="42" t="str">
        <f t="shared" si="49"/>
        <v/>
      </c>
      <c r="I304" s="14"/>
      <c r="J304" s="90"/>
      <c r="K304" s="90" t="str">
        <f t="shared" si="50"/>
        <v/>
      </c>
      <c r="L304" s="90"/>
      <c r="M304" s="90" t="str">
        <f t="shared" si="51"/>
        <v/>
      </c>
      <c r="N304" s="14" t="str">
        <f t="shared" si="52"/>
        <v/>
      </c>
      <c r="O304" s="42" t="str">
        <f t="shared" si="53"/>
        <v/>
      </c>
      <c r="P304" s="42" t="str">
        <f t="shared" si="54"/>
        <v/>
      </c>
      <c r="Q304" s="42" t="str">
        <f t="shared" si="55"/>
        <v/>
      </c>
      <c r="R304" s="90" t="str">
        <f>IF(SUM($P304)=0,"",INDEX(Cascade!$BG:$BG,MATCH($E304,Cascade!$E:$E,0)))</f>
        <v/>
      </c>
      <c r="S304" s="42" t="str">
        <f t="shared" si="56"/>
        <v/>
      </c>
      <c r="T304" s="42" t="str">
        <f t="shared" si="57"/>
        <v/>
      </c>
      <c r="U304" s="14" t="str">
        <f>IFERROR(1/(1/INDEX(Cascade!$BH:$BH,MATCH($E304,Cascade!$E:$E,0))),"")</f>
        <v/>
      </c>
      <c r="V304" s="14" t="str">
        <f t="shared" si="58"/>
        <v/>
      </c>
      <c r="W304" s="14" t="str">
        <f>IFERROR(1/(1/INDEX(PMTCT!$AC:$AC,MATCH($E304,PMTCT!$E:$E,0))),"")</f>
        <v/>
      </c>
      <c r="X304" s="14" t="str">
        <f>IFERROR(1/(1/INDEX(PMTCT!$AS:$AS,MATCH($E304,PMTCT!$E:$E,0))),"")</f>
        <v/>
      </c>
      <c r="Y304" s="14" t="str">
        <f>IFERROR(1/(1/INDEX(VMMC!$AA:$AA,MATCH($E304,VMMC!$E:$E,0))),"")</f>
        <v/>
      </c>
      <c r="Z304" s="14" t="str">
        <f t="shared" si="59"/>
        <v/>
      </c>
    </row>
    <row r="305" spans="1:26" x14ac:dyDescent="0.2">
      <c r="A305" t="str">
        <f>INDEX(Prioritization!$D:$D,MATCH($B305,Prioritization!$A:$A,0))</f>
        <v>INVALID</v>
      </c>
      <c r="B305" t="s">
        <v>217</v>
      </c>
      <c r="C305" t="s">
        <v>363</v>
      </c>
      <c r="D305" t="s">
        <v>29</v>
      </c>
      <c r="E305" t="str">
        <f t="shared" si="48"/>
        <v>Neno District [gwVYinjBAe9]|10-14|Female</v>
      </c>
      <c r="F305" s="14">
        <v>1</v>
      </c>
      <c r="G305" s="90">
        <f>0</f>
        <v>0</v>
      </c>
      <c r="H305" s="42">
        <f t="shared" si="49"/>
        <v>1</v>
      </c>
      <c r="I305" s="14"/>
      <c r="J305" s="90"/>
      <c r="K305" s="90" t="str">
        <f t="shared" si="50"/>
        <v/>
      </c>
      <c r="L305" s="90"/>
      <c r="M305" s="90" t="str">
        <f t="shared" si="51"/>
        <v/>
      </c>
      <c r="N305" s="14">
        <f t="shared" si="52"/>
        <v>1</v>
      </c>
      <c r="O305" s="42" t="str">
        <f t="shared" si="53"/>
        <v>ENTER KNOWN POSITIVITY RATE</v>
      </c>
      <c r="P305" s="42" t="str">
        <f t="shared" si="54"/>
        <v>ENTER YIELD RATE</v>
      </c>
      <c r="Q305" s="42">
        <f t="shared" si="55"/>
        <v>1</v>
      </c>
      <c r="R305" s="90" t="str">
        <f>IF(SUM($P305)=0,"",INDEX(Cascade!$BG:$BG,MATCH($E305,Cascade!$E:$E,0)))</f>
        <v/>
      </c>
      <c r="S305" s="42" t="str">
        <f t="shared" si="56"/>
        <v>ENTER KNOWN POSITIVITY RATE</v>
      </c>
      <c r="T305" s="42" t="str">
        <f t="shared" si="57"/>
        <v/>
      </c>
      <c r="U305" s="14">
        <f>IFERROR(1/(1/INDEX(Cascade!$BH:$BH,MATCH($E305,Cascade!$E:$E,0))),"")</f>
        <v>-67</v>
      </c>
      <c r="V305" s="14" t="str">
        <f t="shared" si="58"/>
        <v/>
      </c>
      <c r="W305" s="14" t="str">
        <f>IFERROR(1/(1/INDEX(PMTCT!$AC:$AC,MATCH($E305,PMTCT!$E:$E,0))),"")</f>
        <v/>
      </c>
      <c r="X305" s="14" t="str">
        <f>IFERROR(1/(1/INDEX(PMTCT!$AS:$AS,MATCH($E305,PMTCT!$E:$E,0))),"")</f>
        <v/>
      </c>
      <c r="Y305" s="14" t="str">
        <f>IFERROR(1/(1/INDEX(VMMC!$AA:$AA,MATCH($E305,VMMC!$E:$E,0))),"")</f>
        <v/>
      </c>
      <c r="Z305" s="14">
        <f t="shared" si="59"/>
        <v>-67</v>
      </c>
    </row>
    <row r="306" spans="1:26" x14ac:dyDescent="0.2">
      <c r="A306" t="str">
        <f>INDEX(Prioritization!$D:$D,MATCH($B306,Prioritization!$A:$A,0))</f>
        <v>INVALID</v>
      </c>
      <c r="B306" t="s">
        <v>217</v>
      </c>
      <c r="C306" t="s">
        <v>363</v>
      </c>
      <c r="D306" t="s">
        <v>47</v>
      </c>
      <c r="E306" t="str">
        <f t="shared" si="48"/>
        <v>Neno District [gwVYinjBAe9]|10-14|Male</v>
      </c>
      <c r="F306" s="14">
        <v>1</v>
      </c>
      <c r="G306" s="90">
        <f>0</f>
        <v>0</v>
      </c>
      <c r="H306" s="42">
        <f t="shared" si="49"/>
        <v>1</v>
      </c>
      <c r="I306" s="14"/>
      <c r="J306" s="90"/>
      <c r="K306" s="90" t="str">
        <f t="shared" si="50"/>
        <v/>
      </c>
      <c r="L306" s="90"/>
      <c r="M306" s="90" t="str">
        <f t="shared" si="51"/>
        <v/>
      </c>
      <c r="N306" s="14">
        <f t="shared" si="52"/>
        <v>1</v>
      </c>
      <c r="O306" s="42" t="str">
        <f t="shared" si="53"/>
        <v>ENTER KNOWN POSITIVITY RATE</v>
      </c>
      <c r="P306" s="42" t="str">
        <f t="shared" si="54"/>
        <v>ENTER YIELD RATE</v>
      </c>
      <c r="Q306" s="42">
        <f t="shared" si="55"/>
        <v>1</v>
      </c>
      <c r="R306" s="90" t="str">
        <f>IF(SUM($P306)=0,"",INDEX(Cascade!$BG:$BG,MATCH($E306,Cascade!$E:$E,0)))</f>
        <v/>
      </c>
      <c r="S306" s="42" t="str">
        <f t="shared" si="56"/>
        <v>ENTER KNOWN POSITIVITY RATE</v>
      </c>
      <c r="T306" s="42" t="str">
        <f t="shared" si="57"/>
        <v/>
      </c>
      <c r="U306" s="14">
        <f>IFERROR(1/(1/INDEX(Cascade!$BH:$BH,MATCH($E306,Cascade!$E:$E,0))),"")</f>
        <v>-94</v>
      </c>
      <c r="V306" s="14" t="str">
        <f t="shared" si="58"/>
        <v/>
      </c>
      <c r="W306" s="14" t="str">
        <f>IFERROR(1/(1/INDEX(PMTCT!$AC:$AC,MATCH($E306,PMTCT!$E:$E,0))),"")</f>
        <v/>
      </c>
      <c r="X306" s="14" t="str">
        <f>IFERROR(1/(1/INDEX(PMTCT!$AS:$AS,MATCH($E306,PMTCT!$E:$E,0))),"")</f>
        <v/>
      </c>
      <c r="Y306" s="14" t="str">
        <f>IFERROR(1/(1/INDEX(VMMC!$AA:$AA,MATCH($E306,VMMC!$E:$E,0))),"")</f>
        <v/>
      </c>
      <c r="Z306" s="14">
        <f t="shared" si="59"/>
        <v>-94</v>
      </c>
    </row>
    <row r="307" spans="1:26" x14ac:dyDescent="0.2">
      <c r="A307" t="str">
        <f>INDEX(Prioritization!$D:$D,MATCH($B307,Prioritization!$A:$A,0))</f>
        <v>INVALID</v>
      </c>
      <c r="B307" t="s">
        <v>217</v>
      </c>
      <c r="C307" t="s">
        <v>364</v>
      </c>
      <c r="D307" t="s">
        <v>29</v>
      </c>
      <c r="E307" t="str">
        <f t="shared" si="48"/>
        <v>Neno District [gwVYinjBAe9]|15-24|Female</v>
      </c>
      <c r="F307" s="14"/>
      <c r="G307" s="90">
        <f>0</f>
        <v>0</v>
      </c>
      <c r="H307" s="42" t="str">
        <f t="shared" si="49"/>
        <v/>
      </c>
      <c r="I307" s="14"/>
      <c r="J307" s="90"/>
      <c r="K307" s="90" t="str">
        <f t="shared" si="50"/>
        <v/>
      </c>
      <c r="L307" s="90"/>
      <c r="M307" s="90" t="str">
        <f t="shared" si="51"/>
        <v/>
      </c>
      <c r="N307" s="14" t="str">
        <f t="shared" si="52"/>
        <v/>
      </c>
      <c r="O307" s="42" t="str">
        <f t="shared" si="53"/>
        <v/>
      </c>
      <c r="P307" s="42" t="str">
        <f t="shared" si="54"/>
        <v/>
      </c>
      <c r="Q307" s="42" t="str">
        <f t="shared" si="55"/>
        <v/>
      </c>
      <c r="R307" s="90" t="str">
        <f>IF(SUM($P307)=0,"",INDEX(Cascade!$BG:$BG,MATCH($E307,Cascade!$E:$E,0)))</f>
        <v/>
      </c>
      <c r="S307" s="42" t="str">
        <f t="shared" si="56"/>
        <v/>
      </c>
      <c r="T307" s="42" t="str">
        <f t="shared" si="57"/>
        <v/>
      </c>
      <c r="U307" s="14" t="str">
        <f>IFERROR(1/(1/INDEX(Cascade!$BH:$BH,MATCH($E307,Cascade!$E:$E,0))),"")</f>
        <v/>
      </c>
      <c r="V307" s="14" t="str">
        <f t="shared" si="58"/>
        <v/>
      </c>
      <c r="W307" s="14" t="str">
        <f>IFERROR(1/(1/INDEX(PMTCT!$AC:$AC,MATCH($E307,PMTCT!$E:$E,0))),"")</f>
        <v/>
      </c>
      <c r="X307" s="14" t="str">
        <f>IFERROR(1/(1/INDEX(PMTCT!$AS:$AS,MATCH($E307,PMTCT!$E:$E,0))),"")</f>
        <v/>
      </c>
      <c r="Y307" s="14" t="str">
        <f>IFERROR(1/(1/INDEX(VMMC!$AA:$AA,MATCH($E307,VMMC!$E:$E,0))),"")</f>
        <v/>
      </c>
      <c r="Z307" s="14" t="str">
        <f t="shared" si="59"/>
        <v/>
      </c>
    </row>
    <row r="308" spans="1:26" x14ac:dyDescent="0.2">
      <c r="A308" t="str">
        <f>INDEX(Prioritization!$D:$D,MATCH($B308,Prioritization!$A:$A,0))</f>
        <v>INVALID</v>
      </c>
      <c r="B308" t="s">
        <v>217</v>
      </c>
      <c r="C308" t="s">
        <v>364</v>
      </c>
      <c r="D308" t="s">
        <v>47</v>
      </c>
      <c r="E308" t="str">
        <f t="shared" si="48"/>
        <v>Neno District [gwVYinjBAe9]|15-24|Male</v>
      </c>
      <c r="F308" s="14"/>
      <c r="G308" s="90">
        <f>0</f>
        <v>0</v>
      </c>
      <c r="H308" s="42" t="str">
        <f t="shared" si="49"/>
        <v/>
      </c>
      <c r="I308" s="14"/>
      <c r="J308" s="90"/>
      <c r="K308" s="90" t="str">
        <f t="shared" si="50"/>
        <v/>
      </c>
      <c r="L308" s="90"/>
      <c r="M308" s="90" t="str">
        <f t="shared" si="51"/>
        <v/>
      </c>
      <c r="N308" s="14" t="str">
        <f t="shared" si="52"/>
        <v/>
      </c>
      <c r="O308" s="42" t="str">
        <f t="shared" si="53"/>
        <v/>
      </c>
      <c r="P308" s="42" t="str">
        <f t="shared" si="54"/>
        <v/>
      </c>
      <c r="Q308" s="42" t="str">
        <f t="shared" si="55"/>
        <v/>
      </c>
      <c r="R308" s="90" t="str">
        <f>IF(SUM($P308)=0,"",INDEX(Cascade!$BG:$BG,MATCH($E308,Cascade!$E:$E,0)))</f>
        <v/>
      </c>
      <c r="S308" s="42" t="str">
        <f t="shared" si="56"/>
        <v/>
      </c>
      <c r="T308" s="42" t="str">
        <f t="shared" si="57"/>
        <v/>
      </c>
      <c r="U308" s="14" t="str">
        <f>IFERROR(1/(1/INDEX(Cascade!$BH:$BH,MATCH($E308,Cascade!$E:$E,0))),"")</f>
        <v/>
      </c>
      <c r="V308" s="14" t="str">
        <f t="shared" si="58"/>
        <v/>
      </c>
      <c r="W308" s="14" t="str">
        <f>IFERROR(1/(1/INDEX(PMTCT!$AC:$AC,MATCH($E308,PMTCT!$E:$E,0))),"")</f>
        <v/>
      </c>
      <c r="X308" s="14" t="str">
        <f>IFERROR(1/(1/INDEX(PMTCT!$AS:$AS,MATCH($E308,PMTCT!$E:$E,0))),"")</f>
        <v/>
      </c>
      <c r="Y308" s="14" t="str">
        <f>IFERROR(1/(1/INDEX(VMMC!$AA:$AA,MATCH($E308,VMMC!$E:$E,0))),"")</f>
        <v/>
      </c>
      <c r="Z308" s="14" t="str">
        <f t="shared" si="59"/>
        <v/>
      </c>
    </row>
    <row r="309" spans="1:26" x14ac:dyDescent="0.2">
      <c r="A309" t="str">
        <f>INDEX(Prioritization!$D:$D,MATCH($B309,Prioritization!$A:$A,0))</f>
        <v>INVALID</v>
      </c>
      <c r="B309" t="s">
        <v>217</v>
      </c>
      <c r="C309" t="s">
        <v>365</v>
      </c>
      <c r="D309" t="s">
        <v>29</v>
      </c>
      <c r="E309" t="str">
        <f t="shared" si="48"/>
        <v>Neno District [gwVYinjBAe9]|25-34|Female</v>
      </c>
      <c r="F309" s="14"/>
      <c r="G309" s="90">
        <f>0</f>
        <v>0</v>
      </c>
      <c r="H309" s="42" t="str">
        <f t="shared" si="49"/>
        <v/>
      </c>
      <c r="I309" s="14"/>
      <c r="J309" s="90"/>
      <c r="K309" s="90" t="str">
        <f t="shared" si="50"/>
        <v/>
      </c>
      <c r="L309" s="90"/>
      <c r="M309" s="90" t="str">
        <f t="shared" si="51"/>
        <v/>
      </c>
      <c r="N309" s="14" t="str">
        <f t="shared" si="52"/>
        <v/>
      </c>
      <c r="O309" s="42" t="str">
        <f t="shared" si="53"/>
        <v/>
      </c>
      <c r="P309" s="42" t="str">
        <f t="shared" si="54"/>
        <v/>
      </c>
      <c r="Q309" s="42" t="str">
        <f t="shared" si="55"/>
        <v/>
      </c>
      <c r="R309" s="90" t="str">
        <f>IF(SUM($P309)=0,"",INDEX(Cascade!$BG:$BG,MATCH($E309,Cascade!$E:$E,0)))</f>
        <v/>
      </c>
      <c r="S309" s="42" t="str">
        <f t="shared" si="56"/>
        <v/>
      </c>
      <c r="T309" s="42" t="str">
        <f t="shared" si="57"/>
        <v/>
      </c>
      <c r="U309" s="14" t="str">
        <f>IFERROR(1/(1/INDEX(Cascade!$BH:$BH,MATCH($E309,Cascade!$E:$E,0))),"")</f>
        <v/>
      </c>
      <c r="V309" s="14" t="str">
        <f t="shared" si="58"/>
        <v/>
      </c>
      <c r="W309" s="14" t="str">
        <f>IFERROR(1/(1/INDEX(PMTCT!$AC:$AC,MATCH($E309,PMTCT!$E:$E,0))),"")</f>
        <v/>
      </c>
      <c r="X309" s="14" t="str">
        <f>IFERROR(1/(1/INDEX(PMTCT!$AS:$AS,MATCH($E309,PMTCT!$E:$E,0))),"")</f>
        <v/>
      </c>
      <c r="Y309" s="14" t="str">
        <f>IFERROR(1/(1/INDEX(VMMC!$AA:$AA,MATCH($E309,VMMC!$E:$E,0))),"")</f>
        <v/>
      </c>
      <c r="Z309" s="14" t="str">
        <f t="shared" si="59"/>
        <v/>
      </c>
    </row>
    <row r="310" spans="1:26" x14ac:dyDescent="0.2">
      <c r="A310" t="str">
        <f>INDEX(Prioritization!$D:$D,MATCH($B310,Prioritization!$A:$A,0))</f>
        <v>INVALID</v>
      </c>
      <c r="B310" t="s">
        <v>217</v>
      </c>
      <c r="C310" t="s">
        <v>365</v>
      </c>
      <c r="D310" t="s">
        <v>47</v>
      </c>
      <c r="E310" t="str">
        <f t="shared" si="48"/>
        <v>Neno District [gwVYinjBAe9]|25-34|Male</v>
      </c>
      <c r="F310" s="14"/>
      <c r="G310" s="90">
        <f>0</f>
        <v>0</v>
      </c>
      <c r="H310" s="42" t="str">
        <f t="shared" si="49"/>
        <v/>
      </c>
      <c r="I310" s="14"/>
      <c r="J310" s="90"/>
      <c r="K310" s="90" t="str">
        <f t="shared" si="50"/>
        <v/>
      </c>
      <c r="L310" s="90"/>
      <c r="M310" s="90" t="str">
        <f t="shared" si="51"/>
        <v/>
      </c>
      <c r="N310" s="14" t="str">
        <f t="shared" si="52"/>
        <v/>
      </c>
      <c r="O310" s="42" t="str">
        <f t="shared" si="53"/>
        <v/>
      </c>
      <c r="P310" s="42" t="str">
        <f t="shared" si="54"/>
        <v/>
      </c>
      <c r="Q310" s="42" t="str">
        <f t="shared" si="55"/>
        <v/>
      </c>
      <c r="R310" s="90" t="str">
        <f>IF(SUM($P310)=0,"",INDEX(Cascade!$BG:$BG,MATCH($E310,Cascade!$E:$E,0)))</f>
        <v/>
      </c>
      <c r="S310" s="42" t="str">
        <f t="shared" si="56"/>
        <v/>
      </c>
      <c r="T310" s="42" t="str">
        <f t="shared" si="57"/>
        <v/>
      </c>
      <c r="U310" s="14" t="str">
        <f>IFERROR(1/(1/INDEX(Cascade!$BH:$BH,MATCH($E310,Cascade!$E:$E,0))),"")</f>
        <v/>
      </c>
      <c r="V310" s="14" t="str">
        <f t="shared" si="58"/>
        <v/>
      </c>
      <c r="W310" s="14" t="str">
        <f>IFERROR(1/(1/INDEX(PMTCT!$AC:$AC,MATCH($E310,PMTCT!$E:$E,0))),"")</f>
        <v/>
      </c>
      <c r="X310" s="14" t="str">
        <f>IFERROR(1/(1/INDEX(PMTCT!$AS:$AS,MATCH($E310,PMTCT!$E:$E,0))),"")</f>
        <v/>
      </c>
      <c r="Y310" s="14" t="str">
        <f>IFERROR(1/(1/INDEX(VMMC!$AA:$AA,MATCH($E310,VMMC!$E:$E,0))),"")</f>
        <v/>
      </c>
      <c r="Z310" s="14" t="str">
        <f t="shared" si="59"/>
        <v/>
      </c>
    </row>
    <row r="311" spans="1:26" x14ac:dyDescent="0.2">
      <c r="A311" t="str">
        <f>INDEX(Prioritization!$D:$D,MATCH($B311,Prioritization!$A:$A,0))</f>
        <v>INVALID</v>
      </c>
      <c r="B311" t="s">
        <v>217</v>
      </c>
      <c r="C311" t="s">
        <v>366</v>
      </c>
      <c r="D311" t="s">
        <v>29</v>
      </c>
      <c r="E311" t="str">
        <f t="shared" si="48"/>
        <v>Neno District [gwVYinjBAe9]|35-49|Female</v>
      </c>
      <c r="F311" s="14"/>
      <c r="G311" s="90">
        <f>0</f>
        <v>0</v>
      </c>
      <c r="H311" s="42" t="str">
        <f t="shared" si="49"/>
        <v/>
      </c>
      <c r="I311" s="14"/>
      <c r="J311" s="90"/>
      <c r="K311" s="90" t="str">
        <f t="shared" si="50"/>
        <v/>
      </c>
      <c r="L311" s="90"/>
      <c r="M311" s="90" t="str">
        <f t="shared" si="51"/>
        <v/>
      </c>
      <c r="N311" s="14" t="str">
        <f t="shared" si="52"/>
        <v/>
      </c>
      <c r="O311" s="42" t="str">
        <f t="shared" si="53"/>
        <v/>
      </c>
      <c r="P311" s="42" t="str">
        <f t="shared" si="54"/>
        <v/>
      </c>
      <c r="Q311" s="42" t="str">
        <f t="shared" si="55"/>
        <v/>
      </c>
      <c r="R311" s="90" t="str">
        <f>IF(SUM($P311)=0,"",INDEX(Cascade!$BG:$BG,MATCH($E311,Cascade!$E:$E,0)))</f>
        <v/>
      </c>
      <c r="S311" s="42" t="str">
        <f t="shared" si="56"/>
        <v/>
      </c>
      <c r="T311" s="42" t="str">
        <f t="shared" si="57"/>
        <v/>
      </c>
      <c r="U311" s="14" t="str">
        <f>IFERROR(1/(1/INDEX(Cascade!$BH:$BH,MATCH($E311,Cascade!$E:$E,0))),"")</f>
        <v/>
      </c>
      <c r="V311" s="14" t="str">
        <f t="shared" si="58"/>
        <v/>
      </c>
      <c r="W311" s="14" t="str">
        <f>IFERROR(1/(1/INDEX(PMTCT!$AC:$AC,MATCH($E311,PMTCT!$E:$E,0))),"")</f>
        <v/>
      </c>
      <c r="X311" s="14" t="str">
        <f>IFERROR(1/(1/INDEX(PMTCT!$AS:$AS,MATCH($E311,PMTCT!$E:$E,0))),"")</f>
        <v/>
      </c>
      <c r="Y311" s="14" t="str">
        <f>IFERROR(1/(1/INDEX(VMMC!$AA:$AA,MATCH($E311,VMMC!$E:$E,0))),"")</f>
        <v/>
      </c>
      <c r="Z311" s="14" t="str">
        <f t="shared" si="59"/>
        <v/>
      </c>
    </row>
    <row r="312" spans="1:26" x14ac:dyDescent="0.2">
      <c r="A312" t="str">
        <f>INDEX(Prioritization!$D:$D,MATCH($B312,Prioritization!$A:$A,0))</f>
        <v>INVALID</v>
      </c>
      <c r="B312" t="s">
        <v>217</v>
      </c>
      <c r="C312" t="s">
        <v>366</v>
      </c>
      <c r="D312" t="s">
        <v>47</v>
      </c>
      <c r="E312" t="str">
        <f t="shared" si="48"/>
        <v>Neno District [gwVYinjBAe9]|35-49|Male</v>
      </c>
      <c r="F312" s="14"/>
      <c r="G312" s="90">
        <f>0</f>
        <v>0</v>
      </c>
      <c r="H312" s="42" t="str">
        <f t="shared" si="49"/>
        <v/>
      </c>
      <c r="I312" s="14"/>
      <c r="J312" s="90"/>
      <c r="K312" s="90" t="str">
        <f t="shared" si="50"/>
        <v/>
      </c>
      <c r="L312" s="90"/>
      <c r="M312" s="90" t="str">
        <f t="shared" si="51"/>
        <v/>
      </c>
      <c r="N312" s="14" t="str">
        <f t="shared" si="52"/>
        <v/>
      </c>
      <c r="O312" s="42" t="str">
        <f t="shared" si="53"/>
        <v/>
      </c>
      <c r="P312" s="42" t="str">
        <f t="shared" si="54"/>
        <v/>
      </c>
      <c r="Q312" s="42" t="str">
        <f t="shared" si="55"/>
        <v/>
      </c>
      <c r="R312" s="90" t="str">
        <f>IF(SUM($P312)=0,"",INDEX(Cascade!$BG:$BG,MATCH($E312,Cascade!$E:$E,0)))</f>
        <v/>
      </c>
      <c r="S312" s="42" t="str">
        <f t="shared" si="56"/>
        <v/>
      </c>
      <c r="T312" s="42" t="str">
        <f t="shared" si="57"/>
        <v/>
      </c>
      <c r="U312" s="14" t="str">
        <f>IFERROR(1/(1/INDEX(Cascade!$BH:$BH,MATCH($E312,Cascade!$E:$E,0))),"")</f>
        <v/>
      </c>
      <c r="V312" s="14" t="str">
        <f t="shared" si="58"/>
        <v/>
      </c>
      <c r="W312" s="14" t="str">
        <f>IFERROR(1/(1/INDEX(PMTCT!$AC:$AC,MATCH($E312,PMTCT!$E:$E,0))),"")</f>
        <v/>
      </c>
      <c r="X312" s="14" t="str">
        <f>IFERROR(1/(1/INDEX(PMTCT!$AS:$AS,MATCH($E312,PMTCT!$E:$E,0))),"")</f>
        <v/>
      </c>
      <c r="Y312" s="14" t="str">
        <f>IFERROR(1/(1/INDEX(VMMC!$AA:$AA,MATCH($E312,VMMC!$E:$E,0))),"")</f>
        <v/>
      </c>
      <c r="Z312" s="14" t="str">
        <f t="shared" si="59"/>
        <v/>
      </c>
    </row>
    <row r="313" spans="1:26" x14ac:dyDescent="0.2">
      <c r="A313" t="str">
        <f>INDEX(Prioritization!$D:$D,MATCH($B313,Prioritization!$A:$A,0))</f>
        <v>INVALID</v>
      </c>
      <c r="B313" t="s">
        <v>217</v>
      </c>
      <c r="C313" t="s">
        <v>367</v>
      </c>
      <c r="D313" t="s">
        <v>29</v>
      </c>
      <c r="E313" t="str">
        <f t="shared" si="48"/>
        <v>Neno District [gwVYinjBAe9]|50+|Female</v>
      </c>
      <c r="F313" s="14"/>
      <c r="G313" s="90">
        <f>0</f>
        <v>0</v>
      </c>
      <c r="H313" s="42" t="str">
        <f t="shared" si="49"/>
        <v/>
      </c>
      <c r="I313" s="14"/>
      <c r="J313" s="90"/>
      <c r="K313" s="90" t="str">
        <f t="shared" si="50"/>
        <v/>
      </c>
      <c r="L313" s="90"/>
      <c r="M313" s="90" t="str">
        <f t="shared" si="51"/>
        <v/>
      </c>
      <c r="N313" s="14" t="str">
        <f t="shared" si="52"/>
        <v/>
      </c>
      <c r="O313" s="42" t="str">
        <f t="shared" si="53"/>
        <v/>
      </c>
      <c r="P313" s="42" t="str">
        <f t="shared" si="54"/>
        <v/>
      </c>
      <c r="Q313" s="42" t="str">
        <f t="shared" si="55"/>
        <v/>
      </c>
      <c r="R313" s="90" t="str">
        <f>IF(SUM($P313)=0,"",INDEX(Cascade!$BG:$BG,MATCH($E313,Cascade!$E:$E,0)))</f>
        <v/>
      </c>
      <c r="S313" s="42" t="str">
        <f t="shared" si="56"/>
        <v/>
      </c>
      <c r="T313" s="42" t="str">
        <f t="shared" si="57"/>
        <v/>
      </c>
      <c r="U313" s="14" t="str">
        <f>IFERROR(1/(1/INDEX(Cascade!$BH:$BH,MATCH($E313,Cascade!$E:$E,0))),"")</f>
        <v/>
      </c>
      <c r="V313" s="14" t="str">
        <f t="shared" si="58"/>
        <v/>
      </c>
      <c r="W313" s="14" t="str">
        <f>IFERROR(1/(1/INDEX(PMTCT!$AC:$AC,MATCH($E313,PMTCT!$E:$E,0))),"")</f>
        <v/>
      </c>
      <c r="X313" s="14" t="str">
        <f>IFERROR(1/(1/INDEX(PMTCT!$AS:$AS,MATCH($E313,PMTCT!$E:$E,0))),"")</f>
        <v/>
      </c>
      <c r="Y313" s="14" t="str">
        <f>IFERROR(1/(1/INDEX(VMMC!$AA:$AA,MATCH($E313,VMMC!$E:$E,0))),"")</f>
        <v/>
      </c>
      <c r="Z313" s="14" t="str">
        <f t="shared" si="59"/>
        <v/>
      </c>
    </row>
    <row r="314" spans="1:26" x14ac:dyDescent="0.2">
      <c r="A314" t="str">
        <f>INDEX(Prioritization!$D:$D,MATCH($B314,Prioritization!$A:$A,0))</f>
        <v>INVALID</v>
      </c>
      <c r="B314" t="s">
        <v>217</v>
      </c>
      <c r="C314" t="s">
        <v>367</v>
      </c>
      <c r="D314" t="s">
        <v>47</v>
      </c>
      <c r="E314" t="str">
        <f t="shared" si="48"/>
        <v>Neno District [gwVYinjBAe9]|50+|Male</v>
      </c>
      <c r="F314" s="14"/>
      <c r="G314" s="90">
        <f>0</f>
        <v>0</v>
      </c>
      <c r="H314" s="42" t="str">
        <f t="shared" si="49"/>
        <v/>
      </c>
      <c r="I314" s="14"/>
      <c r="J314" s="90"/>
      <c r="K314" s="90" t="str">
        <f t="shared" si="50"/>
        <v/>
      </c>
      <c r="L314" s="90"/>
      <c r="M314" s="90" t="str">
        <f t="shared" si="51"/>
        <v/>
      </c>
      <c r="N314" s="14" t="str">
        <f t="shared" si="52"/>
        <v/>
      </c>
      <c r="O314" s="42" t="str">
        <f t="shared" si="53"/>
        <v/>
      </c>
      <c r="P314" s="42" t="str">
        <f t="shared" si="54"/>
        <v/>
      </c>
      <c r="Q314" s="42" t="str">
        <f t="shared" si="55"/>
        <v/>
      </c>
      <c r="R314" s="90" t="str">
        <f>IF(SUM($P314)=0,"",INDEX(Cascade!$BG:$BG,MATCH($E314,Cascade!$E:$E,0)))</f>
        <v/>
      </c>
      <c r="S314" s="42" t="str">
        <f t="shared" si="56"/>
        <v/>
      </c>
      <c r="T314" s="42" t="str">
        <f t="shared" si="57"/>
        <v/>
      </c>
      <c r="U314" s="14" t="str">
        <f>IFERROR(1/(1/INDEX(Cascade!$BH:$BH,MATCH($E314,Cascade!$E:$E,0))),"")</f>
        <v/>
      </c>
      <c r="V314" s="14" t="str">
        <f t="shared" si="58"/>
        <v/>
      </c>
      <c r="W314" s="14" t="str">
        <f>IFERROR(1/(1/INDEX(PMTCT!$AC:$AC,MATCH($E314,PMTCT!$E:$E,0))),"")</f>
        <v/>
      </c>
      <c r="X314" s="14" t="str">
        <f>IFERROR(1/(1/INDEX(PMTCT!$AS:$AS,MATCH($E314,PMTCT!$E:$E,0))),"")</f>
        <v/>
      </c>
      <c r="Y314" s="14" t="str">
        <f>IFERROR(1/(1/INDEX(VMMC!$AA:$AA,MATCH($E314,VMMC!$E:$E,0))),"")</f>
        <v/>
      </c>
      <c r="Z314" s="14" t="str">
        <f t="shared" si="59"/>
        <v/>
      </c>
    </row>
    <row r="315" spans="1:26" x14ac:dyDescent="0.2">
      <c r="A315" t="str">
        <f>INDEX(Prioritization!$D:$D,MATCH($B315,Prioritization!$A:$A,0))</f>
        <v>INVALID</v>
      </c>
      <c r="B315" t="s">
        <v>218</v>
      </c>
      <c r="C315" t="s">
        <v>362</v>
      </c>
      <c r="D315" t="s">
        <v>29</v>
      </c>
      <c r="E315" t="str">
        <f t="shared" si="48"/>
        <v>Nsanje District [rpw540fmNUz]|01-09|Female</v>
      </c>
      <c r="F315" s="14"/>
      <c r="G315" s="90">
        <f>0</f>
        <v>0</v>
      </c>
      <c r="H315" s="42" t="str">
        <f t="shared" si="49"/>
        <v/>
      </c>
      <c r="I315" s="14"/>
      <c r="J315" s="90"/>
      <c r="K315" s="90" t="str">
        <f t="shared" si="50"/>
        <v/>
      </c>
      <c r="L315" s="90"/>
      <c r="M315" s="90" t="str">
        <f t="shared" si="51"/>
        <v/>
      </c>
      <c r="N315" s="14" t="str">
        <f t="shared" si="52"/>
        <v/>
      </c>
      <c r="O315" s="42" t="str">
        <f t="shared" si="53"/>
        <v/>
      </c>
      <c r="P315" s="42" t="str">
        <f t="shared" si="54"/>
        <v/>
      </c>
      <c r="Q315" s="42" t="str">
        <f t="shared" si="55"/>
        <v/>
      </c>
      <c r="R315" s="90" t="str">
        <f>IF(SUM($P315)=0,"",INDEX(Cascade!$BG:$BG,MATCH($E315,Cascade!$E:$E,0)))</f>
        <v/>
      </c>
      <c r="S315" s="42" t="str">
        <f t="shared" si="56"/>
        <v/>
      </c>
      <c r="T315" s="42" t="str">
        <f t="shared" si="57"/>
        <v/>
      </c>
      <c r="U315" s="14" t="str">
        <f>IFERROR(1/(1/INDEX(Cascade!$BH:$BH,MATCH($E315,Cascade!$E:$E,0))),"")</f>
        <v/>
      </c>
      <c r="V315" s="14" t="str">
        <f t="shared" si="58"/>
        <v/>
      </c>
      <c r="W315" s="14" t="str">
        <f>IFERROR(1/(1/INDEX(PMTCT!$AC:$AC,MATCH($E315,PMTCT!$E:$E,0))),"")</f>
        <v/>
      </c>
      <c r="X315" s="14" t="str">
        <f>IFERROR(1/(1/INDEX(PMTCT!$AS:$AS,MATCH($E315,PMTCT!$E:$E,0))),"")</f>
        <v/>
      </c>
      <c r="Y315" s="14" t="str">
        <f>IFERROR(1/(1/INDEX(VMMC!$AA:$AA,MATCH($E315,VMMC!$E:$E,0))),"")</f>
        <v/>
      </c>
      <c r="Z315" s="14" t="str">
        <f t="shared" si="59"/>
        <v/>
      </c>
    </row>
    <row r="316" spans="1:26" x14ac:dyDescent="0.2">
      <c r="A316" t="str">
        <f>INDEX(Prioritization!$D:$D,MATCH($B316,Prioritization!$A:$A,0))</f>
        <v>INVALID</v>
      </c>
      <c r="B316" t="s">
        <v>218</v>
      </c>
      <c r="C316" t="s">
        <v>362</v>
      </c>
      <c r="D316" t="s">
        <v>47</v>
      </c>
      <c r="E316" t="str">
        <f t="shared" si="48"/>
        <v>Nsanje District [rpw540fmNUz]|01-09|Male</v>
      </c>
      <c r="F316" s="14"/>
      <c r="G316" s="90">
        <f>0</f>
        <v>0</v>
      </c>
      <c r="H316" s="42" t="str">
        <f t="shared" si="49"/>
        <v/>
      </c>
      <c r="I316" s="14"/>
      <c r="J316" s="90"/>
      <c r="K316" s="90" t="str">
        <f t="shared" si="50"/>
        <v/>
      </c>
      <c r="L316" s="90"/>
      <c r="M316" s="90" t="str">
        <f t="shared" si="51"/>
        <v/>
      </c>
      <c r="N316" s="14" t="str">
        <f t="shared" si="52"/>
        <v/>
      </c>
      <c r="O316" s="42" t="str">
        <f t="shared" si="53"/>
        <v/>
      </c>
      <c r="P316" s="42" t="str">
        <f t="shared" si="54"/>
        <v/>
      </c>
      <c r="Q316" s="42" t="str">
        <f t="shared" si="55"/>
        <v/>
      </c>
      <c r="R316" s="90" t="str">
        <f>IF(SUM($P316)=0,"",INDEX(Cascade!$BG:$BG,MATCH($E316,Cascade!$E:$E,0)))</f>
        <v/>
      </c>
      <c r="S316" s="42" t="str">
        <f t="shared" si="56"/>
        <v/>
      </c>
      <c r="T316" s="42" t="str">
        <f t="shared" si="57"/>
        <v/>
      </c>
      <c r="U316" s="14" t="str">
        <f>IFERROR(1/(1/INDEX(Cascade!$BH:$BH,MATCH($E316,Cascade!$E:$E,0))),"")</f>
        <v/>
      </c>
      <c r="V316" s="14" t="str">
        <f t="shared" si="58"/>
        <v/>
      </c>
      <c r="W316" s="14" t="str">
        <f>IFERROR(1/(1/INDEX(PMTCT!$AC:$AC,MATCH($E316,PMTCT!$E:$E,0))),"")</f>
        <v/>
      </c>
      <c r="X316" s="14" t="str">
        <f>IFERROR(1/(1/INDEX(PMTCT!$AS:$AS,MATCH($E316,PMTCT!$E:$E,0))),"")</f>
        <v/>
      </c>
      <c r="Y316" s="14" t="str">
        <f>IFERROR(1/(1/INDEX(VMMC!$AA:$AA,MATCH($E316,VMMC!$E:$E,0))),"")</f>
        <v/>
      </c>
      <c r="Z316" s="14" t="str">
        <f t="shared" si="59"/>
        <v/>
      </c>
    </row>
    <row r="317" spans="1:26" x14ac:dyDescent="0.2">
      <c r="A317" t="str">
        <f>INDEX(Prioritization!$D:$D,MATCH($B317,Prioritization!$A:$A,0))</f>
        <v>INVALID</v>
      </c>
      <c r="B317" t="s">
        <v>218</v>
      </c>
      <c r="C317" t="s">
        <v>363</v>
      </c>
      <c r="D317" t="s">
        <v>29</v>
      </c>
      <c r="E317" t="str">
        <f t="shared" si="48"/>
        <v>Nsanje District [rpw540fmNUz]|10-14|Female</v>
      </c>
      <c r="F317" s="14">
        <v>1</v>
      </c>
      <c r="G317" s="90">
        <f>0</f>
        <v>0</v>
      </c>
      <c r="H317" s="42">
        <f t="shared" si="49"/>
        <v>1</v>
      </c>
      <c r="I317" s="14"/>
      <c r="J317" s="90"/>
      <c r="K317" s="90" t="str">
        <f t="shared" si="50"/>
        <v/>
      </c>
      <c r="L317" s="90"/>
      <c r="M317" s="90" t="str">
        <f t="shared" si="51"/>
        <v/>
      </c>
      <c r="N317" s="14">
        <f t="shared" si="52"/>
        <v>1</v>
      </c>
      <c r="O317" s="42" t="str">
        <f t="shared" si="53"/>
        <v>ENTER KNOWN POSITIVITY RATE</v>
      </c>
      <c r="P317" s="42" t="str">
        <f t="shared" si="54"/>
        <v>ENTER YIELD RATE</v>
      </c>
      <c r="Q317" s="42">
        <f t="shared" si="55"/>
        <v>1</v>
      </c>
      <c r="R317" s="90" t="str">
        <f>IF(SUM($P317)=0,"",INDEX(Cascade!$BG:$BG,MATCH($E317,Cascade!$E:$E,0)))</f>
        <v/>
      </c>
      <c r="S317" s="42" t="str">
        <f t="shared" si="56"/>
        <v>ENTER KNOWN POSITIVITY RATE</v>
      </c>
      <c r="T317" s="42" t="str">
        <f t="shared" si="57"/>
        <v/>
      </c>
      <c r="U317" s="14">
        <f>IFERROR(1/(1/INDEX(Cascade!$BH:$BH,MATCH($E317,Cascade!$E:$E,0))),"")</f>
        <v>-59</v>
      </c>
      <c r="V317" s="14" t="str">
        <f t="shared" si="58"/>
        <v/>
      </c>
      <c r="W317" s="14" t="str">
        <f>IFERROR(1/(1/INDEX(PMTCT!$AC:$AC,MATCH($E317,PMTCT!$E:$E,0))),"")</f>
        <v/>
      </c>
      <c r="X317" s="14" t="str">
        <f>IFERROR(1/(1/INDEX(PMTCT!$AS:$AS,MATCH($E317,PMTCT!$E:$E,0))),"")</f>
        <v/>
      </c>
      <c r="Y317" s="14" t="str">
        <f>IFERROR(1/(1/INDEX(VMMC!$AA:$AA,MATCH($E317,VMMC!$E:$E,0))),"")</f>
        <v/>
      </c>
      <c r="Z317" s="14">
        <f t="shared" si="59"/>
        <v>-59</v>
      </c>
    </row>
    <row r="318" spans="1:26" x14ac:dyDescent="0.2">
      <c r="A318" t="str">
        <f>INDEX(Prioritization!$D:$D,MATCH($B318,Prioritization!$A:$A,0))</f>
        <v>INVALID</v>
      </c>
      <c r="B318" t="s">
        <v>218</v>
      </c>
      <c r="C318" t="s">
        <v>363</v>
      </c>
      <c r="D318" t="s">
        <v>47</v>
      </c>
      <c r="E318" t="str">
        <f t="shared" si="48"/>
        <v>Nsanje District [rpw540fmNUz]|10-14|Male</v>
      </c>
      <c r="F318" s="14">
        <v>0</v>
      </c>
      <c r="G318" s="90">
        <f>0</f>
        <v>0</v>
      </c>
      <c r="H318" s="42" t="str">
        <f t="shared" si="49"/>
        <v/>
      </c>
      <c r="I318" s="14"/>
      <c r="J318" s="90"/>
      <c r="K318" s="90" t="str">
        <f t="shared" si="50"/>
        <v/>
      </c>
      <c r="L318" s="90"/>
      <c r="M318" s="90" t="str">
        <f t="shared" si="51"/>
        <v/>
      </c>
      <c r="N318" s="14" t="str">
        <f t="shared" si="52"/>
        <v/>
      </c>
      <c r="O318" s="42" t="str">
        <f t="shared" si="53"/>
        <v/>
      </c>
      <c r="P318" s="42" t="str">
        <f t="shared" si="54"/>
        <v/>
      </c>
      <c r="Q318" s="42" t="str">
        <f t="shared" si="55"/>
        <v/>
      </c>
      <c r="R318" s="90" t="str">
        <f>IF(SUM($P318)=0,"",INDEX(Cascade!$BG:$BG,MATCH($E318,Cascade!$E:$E,0)))</f>
        <v/>
      </c>
      <c r="S318" s="42" t="str">
        <f t="shared" si="56"/>
        <v/>
      </c>
      <c r="T318" s="42" t="str">
        <f t="shared" si="57"/>
        <v/>
      </c>
      <c r="U318" s="14">
        <f>IFERROR(1/(1/INDEX(Cascade!$BH:$BH,MATCH($E318,Cascade!$E:$E,0))),"")</f>
        <v>-80</v>
      </c>
      <c r="V318" s="14" t="str">
        <f t="shared" si="58"/>
        <v/>
      </c>
      <c r="W318" s="14" t="str">
        <f>IFERROR(1/(1/INDEX(PMTCT!$AC:$AC,MATCH($E318,PMTCT!$E:$E,0))),"")</f>
        <v/>
      </c>
      <c r="X318" s="14" t="str">
        <f>IFERROR(1/(1/INDEX(PMTCT!$AS:$AS,MATCH($E318,PMTCT!$E:$E,0))),"")</f>
        <v/>
      </c>
      <c r="Y318" s="14" t="str">
        <f>IFERROR(1/(1/INDEX(VMMC!$AA:$AA,MATCH($E318,VMMC!$E:$E,0))),"")</f>
        <v/>
      </c>
      <c r="Z318" s="14">
        <f t="shared" si="59"/>
        <v>-80</v>
      </c>
    </row>
    <row r="319" spans="1:26" x14ac:dyDescent="0.2">
      <c r="A319" t="str">
        <f>INDEX(Prioritization!$D:$D,MATCH($B319,Prioritization!$A:$A,0))</f>
        <v>INVALID</v>
      </c>
      <c r="B319" t="s">
        <v>218</v>
      </c>
      <c r="C319" t="s">
        <v>364</v>
      </c>
      <c r="D319" t="s">
        <v>29</v>
      </c>
      <c r="E319" t="str">
        <f t="shared" si="48"/>
        <v>Nsanje District [rpw540fmNUz]|15-24|Female</v>
      </c>
      <c r="F319" s="14"/>
      <c r="G319" s="90">
        <f>0</f>
        <v>0</v>
      </c>
      <c r="H319" s="42" t="str">
        <f t="shared" si="49"/>
        <v/>
      </c>
      <c r="I319" s="14"/>
      <c r="J319" s="90"/>
      <c r="K319" s="90" t="str">
        <f t="shared" si="50"/>
        <v/>
      </c>
      <c r="L319" s="90"/>
      <c r="M319" s="90" t="str">
        <f t="shared" si="51"/>
        <v/>
      </c>
      <c r="N319" s="14" t="str">
        <f t="shared" si="52"/>
        <v/>
      </c>
      <c r="O319" s="42" t="str">
        <f t="shared" si="53"/>
        <v/>
      </c>
      <c r="P319" s="42" t="str">
        <f t="shared" si="54"/>
        <v/>
      </c>
      <c r="Q319" s="42" t="str">
        <f t="shared" si="55"/>
        <v/>
      </c>
      <c r="R319" s="90" t="str">
        <f>IF(SUM($P319)=0,"",INDEX(Cascade!$BG:$BG,MATCH($E319,Cascade!$E:$E,0)))</f>
        <v/>
      </c>
      <c r="S319" s="42" t="str">
        <f t="shared" si="56"/>
        <v/>
      </c>
      <c r="T319" s="42" t="str">
        <f t="shared" si="57"/>
        <v/>
      </c>
      <c r="U319" s="14" t="str">
        <f>IFERROR(1/(1/INDEX(Cascade!$BH:$BH,MATCH($E319,Cascade!$E:$E,0))),"")</f>
        <v/>
      </c>
      <c r="V319" s="14" t="str">
        <f t="shared" si="58"/>
        <v/>
      </c>
      <c r="W319" s="14" t="str">
        <f>IFERROR(1/(1/INDEX(PMTCT!$AC:$AC,MATCH($E319,PMTCT!$E:$E,0))),"")</f>
        <v/>
      </c>
      <c r="X319" s="14" t="str">
        <f>IFERROR(1/(1/INDEX(PMTCT!$AS:$AS,MATCH($E319,PMTCT!$E:$E,0))),"")</f>
        <v/>
      </c>
      <c r="Y319" s="14" t="str">
        <f>IFERROR(1/(1/INDEX(VMMC!$AA:$AA,MATCH($E319,VMMC!$E:$E,0))),"")</f>
        <v/>
      </c>
      <c r="Z319" s="14" t="str">
        <f t="shared" si="59"/>
        <v/>
      </c>
    </row>
    <row r="320" spans="1:26" x14ac:dyDescent="0.2">
      <c r="A320" t="str">
        <f>INDEX(Prioritization!$D:$D,MATCH($B320,Prioritization!$A:$A,0))</f>
        <v>INVALID</v>
      </c>
      <c r="B320" t="s">
        <v>218</v>
      </c>
      <c r="C320" t="s">
        <v>364</v>
      </c>
      <c r="D320" t="s">
        <v>47</v>
      </c>
      <c r="E320" t="str">
        <f t="shared" si="48"/>
        <v>Nsanje District [rpw540fmNUz]|15-24|Male</v>
      </c>
      <c r="F320" s="14"/>
      <c r="G320" s="90">
        <f>0</f>
        <v>0</v>
      </c>
      <c r="H320" s="42" t="str">
        <f t="shared" si="49"/>
        <v/>
      </c>
      <c r="I320" s="14"/>
      <c r="J320" s="90"/>
      <c r="K320" s="90" t="str">
        <f t="shared" si="50"/>
        <v/>
      </c>
      <c r="L320" s="90"/>
      <c r="M320" s="90" t="str">
        <f t="shared" si="51"/>
        <v/>
      </c>
      <c r="N320" s="14" t="str">
        <f t="shared" si="52"/>
        <v/>
      </c>
      <c r="O320" s="42" t="str">
        <f t="shared" si="53"/>
        <v/>
      </c>
      <c r="P320" s="42" t="str">
        <f t="shared" si="54"/>
        <v/>
      </c>
      <c r="Q320" s="42" t="str">
        <f t="shared" si="55"/>
        <v/>
      </c>
      <c r="R320" s="90" t="str">
        <f>IF(SUM($P320)=0,"",INDEX(Cascade!$BG:$BG,MATCH($E320,Cascade!$E:$E,0)))</f>
        <v/>
      </c>
      <c r="S320" s="42" t="str">
        <f t="shared" si="56"/>
        <v/>
      </c>
      <c r="T320" s="42" t="str">
        <f t="shared" si="57"/>
        <v/>
      </c>
      <c r="U320" s="14" t="str">
        <f>IFERROR(1/(1/INDEX(Cascade!$BH:$BH,MATCH($E320,Cascade!$E:$E,0))),"")</f>
        <v/>
      </c>
      <c r="V320" s="14" t="str">
        <f t="shared" si="58"/>
        <v/>
      </c>
      <c r="W320" s="14" t="str">
        <f>IFERROR(1/(1/INDEX(PMTCT!$AC:$AC,MATCH($E320,PMTCT!$E:$E,0))),"")</f>
        <v/>
      </c>
      <c r="X320" s="14" t="str">
        <f>IFERROR(1/(1/INDEX(PMTCT!$AS:$AS,MATCH($E320,PMTCT!$E:$E,0))),"")</f>
        <v/>
      </c>
      <c r="Y320" s="14" t="str">
        <f>IFERROR(1/(1/INDEX(VMMC!$AA:$AA,MATCH($E320,VMMC!$E:$E,0))),"")</f>
        <v/>
      </c>
      <c r="Z320" s="14" t="str">
        <f t="shared" si="59"/>
        <v/>
      </c>
    </row>
    <row r="321" spans="1:26" x14ac:dyDescent="0.2">
      <c r="A321" t="str">
        <f>INDEX(Prioritization!$D:$D,MATCH($B321,Prioritization!$A:$A,0))</f>
        <v>INVALID</v>
      </c>
      <c r="B321" t="s">
        <v>218</v>
      </c>
      <c r="C321" t="s">
        <v>365</v>
      </c>
      <c r="D321" t="s">
        <v>29</v>
      </c>
      <c r="E321" t="str">
        <f t="shared" si="48"/>
        <v>Nsanje District [rpw540fmNUz]|25-34|Female</v>
      </c>
      <c r="F321" s="14"/>
      <c r="G321" s="90">
        <f>0</f>
        <v>0</v>
      </c>
      <c r="H321" s="42" t="str">
        <f t="shared" si="49"/>
        <v/>
      </c>
      <c r="I321" s="14"/>
      <c r="J321" s="90"/>
      <c r="K321" s="90" t="str">
        <f t="shared" si="50"/>
        <v/>
      </c>
      <c r="L321" s="90"/>
      <c r="M321" s="90" t="str">
        <f t="shared" si="51"/>
        <v/>
      </c>
      <c r="N321" s="14" t="str">
        <f t="shared" si="52"/>
        <v/>
      </c>
      <c r="O321" s="42" t="str">
        <f t="shared" si="53"/>
        <v/>
      </c>
      <c r="P321" s="42" t="str">
        <f t="shared" si="54"/>
        <v/>
      </c>
      <c r="Q321" s="42" t="str">
        <f t="shared" si="55"/>
        <v/>
      </c>
      <c r="R321" s="90" t="str">
        <f>IF(SUM($P321)=0,"",INDEX(Cascade!$BG:$BG,MATCH($E321,Cascade!$E:$E,0)))</f>
        <v/>
      </c>
      <c r="S321" s="42" t="str">
        <f t="shared" si="56"/>
        <v/>
      </c>
      <c r="T321" s="42" t="str">
        <f t="shared" si="57"/>
        <v/>
      </c>
      <c r="U321" s="14" t="str">
        <f>IFERROR(1/(1/INDEX(Cascade!$BH:$BH,MATCH($E321,Cascade!$E:$E,0))),"")</f>
        <v/>
      </c>
      <c r="V321" s="14" t="str">
        <f t="shared" si="58"/>
        <v/>
      </c>
      <c r="W321" s="14" t="str">
        <f>IFERROR(1/(1/INDEX(PMTCT!$AC:$AC,MATCH($E321,PMTCT!$E:$E,0))),"")</f>
        <v/>
      </c>
      <c r="X321" s="14" t="str">
        <f>IFERROR(1/(1/INDEX(PMTCT!$AS:$AS,MATCH($E321,PMTCT!$E:$E,0))),"")</f>
        <v/>
      </c>
      <c r="Y321" s="14" t="str">
        <f>IFERROR(1/(1/INDEX(VMMC!$AA:$AA,MATCH($E321,VMMC!$E:$E,0))),"")</f>
        <v/>
      </c>
      <c r="Z321" s="14" t="str">
        <f t="shared" si="59"/>
        <v/>
      </c>
    </row>
    <row r="322" spans="1:26" x14ac:dyDescent="0.2">
      <c r="A322" t="str">
        <f>INDEX(Prioritization!$D:$D,MATCH($B322,Prioritization!$A:$A,0))</f>
        <v>INVALID</v>
      </c>
      <c r="B322" t="s">
        <v>218</v>
      </c>
      <c r="C322" t="s">
        <v>365</v>
      </c>
      <c r="D322" t="s">
        <v>47</v>
      </c>
      <c r="E322" t="str">
        <f t="shared" si="48"/>
        <v>Nsanje District [rpw540fmNUz]|25-34|Male</v>
      </c>
      <c r="F322" s="14"/>
      <c r="G322" s="90">
        <f>0</f>
        <v>0</v>
      </c>
      <c r="H322" s="42" t="str">
        <f t="shared" si="49"/>
        <v/>
      </c>
      <c r="I322" s="14"/>
      <c r="J322" s="90"/>
      <c r="K322" s="90" t="str">
        <f t="shared" si="50"/>
        <v/>
      </c>
      <c r="L322" s="90"/>
      <c r="M322" s="90" t="str">
        <f t="shared" si="51"/>
        <v/>
      </c>
      <c r="N322" s="14" t="str">
        <f t="shared" si="52"/>
        <v/>
      </c>
      <c r="O322" s="42" t="str">
        <f t="shared" si="53"/>
        <v/>
      </c>
      <c r="P322" s="42" t="str">
        <f t="shared" si="54"/>
        <v/>
      </c>
      <c r="Q322" s="42" t="str">
        <f t="shared" si="55"/>
        <v/>
      </c>
      <c r="R322" s="90" t="str">
        <f>IF(SUM($P322)=0,"",INDEX(Cascade!$BG:$BG,MATCH($E322,Cascade!$E:$E,0)))</f>
        <v/>
      </c>
      <c r="S322" s="42" t="str">
        <f t="shared" si="56"/>
        <v/>
      </c>
      <c r="T322" s="42" t="str">
        <f t="shared" si="57"/>
        <v/>
      </c>
      <c r="U322" s="14" t="str">
        <f>IFERROR(1/(1/INDEX(Cascade!$BH:$BH,MATCH($E322,Cascade!$E:$E,0))),"")</f>
        <v/>
      </c>
      <c r="V322" s="14" t="str">
        <f t="shared" si="58"/>
        <v/>
      </c>
      <c r="W322" s="14" t="str">
        <f>IFERROR(1/(1/INDEX(PMTCT!$AC:$AC,MATCH($E322,PMTCT!$E:$E,0))),"")</f>
        <v/>
      </c>
      <c r="X322" s="14" t="str">
        <f>IFERROR(1/(1/INDEX(PMTCT!$AS:$AS,MATCH($E322,PMTCT!$E:$E,0))),"")</f>
        <v/>
      </c>
      <c r="Y322" s="14" t="str">
        <f>IFERROR(1/(1/INDEX(VMMC!$AA:$AA,MATCH($E322,VMMC!$E:$E,0))),"")</f>
        <v/>
      </c>
      <c r="Z322" s="14" t="str">
        <f t="shared" si="59"/>
        <v/>
      </c>
    </row>
    <row r="323" spans="1:26" x14ac:dyDescent="0.2">
      <c r="A323" t="str">
        <f>INDEX(Prioritization!$D:$D,MATCH($B323,Prioritization!$A:$A,0))</f>
        <v>INVALID</v>
      </c>
      <c r="B323" t="s">
        <v>218</v>
      </c>
      <c r="C323" t="s">
        <v>366</v>
      </c>
      <c r="D323" t="s">
        <v>29</v>
      </c>
      <c r="E323" t="str">
        <f t="shared" si="48"/>
        <v>Nsanje District [rpw540fmNUz]|35-49|Female</v>
      </c>
      <c r="F323" s="14"/>
      <c r="G323" s="90">
        <f>0</f>
        <v>0</v>
      </c>
      <c r="H323" s="42" t="str">
        <f t="shared" si="49"/>
        <v/>
      </c>
      <c r="I323" s="14"/>
      <c r="J323" s="90"/>
      <c r="K323" s="90" t="str">
        <f t="shared" si="50"/>
        <v/>
      </c>
      <c r="L323" s="90"/>
      <c r="M323" s="90" t="str">
        <f t="shared" si="51"/>
        <v/>
      </c>
      <c r="N323" s="14" t="str">
        <f t="shared" si="52"/>
        <v/>
      </c>
      <c r="O323" s="42" t="str">
        <f t="shared" si="53"/>
        <v/>
      </c>
      <c r="P323" s="42" t="str">
        <f t="shared" si="54"/>
        <v/>
      </c>
      <c r="Q323" s="42" t="str">
        <f t="shared" si="55"/>
        <v/>
      </c>
      <c r="R323" s="90" t="str">
        <f>IF(SUM($P323)=0,"",INDEX(Cascade!$BG:$BG,MATCH($E323,Cascade!$E:$E,0)))</f>
        <v/>
      </c>
      <c r="S323" s="42" t="str">
        <f t="shared" si="56"/>
        <v/>
      </c>
      <c r="T323" s="42" t="str">
        <f t="shared" si="57"/>
        <v/>
      </c>
      <c r="U323" s="14" t="str">
        <f>IFERROR(1/(1/INDEX(Cascade!$BH:$BH,MATCH($E323,Cascade!$E:$E,0))),"")</f>
        <v/>
      </c>
      <c r="V323" s="14" t="str">
        <f t="shared" si="58"/>
        <v/>
      </c>
      <c r="W323" s="14" t="str">
        <f>IFERROR(1/(1/INDEX(PMTCT!$AC:$AC,MATCH($E323,PMTCT!$E:$E,0))),"")</f>
        <v/>
      </c>
      <c r="X323" s="14" t="str">
        <f>IFERROR(1/(1/INDEX(PMTCT!$AS:$AS,MATCH($E323,PMTCT!$E:$E,0))),"")</f>
        <v/>
      </c>
      <c r="Y323" s="14" t="str">
        <f>IFERROR(1/(1/INDEX(VMMC!$AA:$AA,MATCH($E323,VMMC!$E:$E,0))),"")</f>
        <v/>
      </c>
      <c r="Z323" s="14" t="str">
        <f t="shared" si="59"/>
        <v/>
      </c>
    </row>
    <row r="324" spans="1:26" x14ac:dyDescent="0.2">
      <c r="A324" t="str">
        <f>INDEX(Prioritization!$D:$D,MATCH($B324,Prioritization!$A:$A,0))</f>
        <v>INVALID</v>
      </c>
      <c r="B324" t="s">
        <v>218</v>
      </c>
      <c r="C324" t="s">
        <v>366</v>
      </c>
      <c r="D324" t="s">
        <v>47</v>
      </c>
      <c r="E324" t="str">
        <f t="shared" si="48"/>
        <v>Nsanje District [rpw540fmNUz]|35-49|Male</v>
      </c>
      <c r="F324" s="14"/>
      <c r="G324" s="90">
        <f>0</f>
        <v>0</v>
      </c>
      <c r="H324" s="42" t="str">
        <f t="shared" si="49"/>
        <v/>
      </c>
      <c r="I324" s="14"/>
      <c r="J324" s="90"/>
      <c r="K324" s="90" t="str">
        <f t="shared" si="50"/>
        <v/>
      </c>
      <c r="L324" s="90"/>
      <c r="M324" s="90" t="str">
        <f t="shared" si="51"/>
        <v/>
      </c>
      <c r="N324" s="14" t="str">
        <f t="shared" si="52"/>
        <v/>
      </c>
      <c r="O324" s="42" t="str">
        <f t="shared" si="53"/>
        <v/>
      </c>
      <c r="P324" s="42" t="str">
        <f t="shared" si="54"/>
        <v/>
      </c>
      <c r="Q324" s="42" t="str">
        <f t="shared" si="55"/>
        <v/>
      </c>
      <c r="R324" s="90" t="str">
        <f>IF(SUM($P324)=0,"",INDEX(Cascade!$BG:$BG,MATCH($E324,Cascade!$E:$E,0)))</f>
        <v/>
      </c>
      <c r="S324" s="42" t="str">
        <f t="shared" si="56"/>
        <v/>
      </c>
      <c r="T324" s="42" t="str">
        <f t="shared" si="57"/>
        <v/>
      </c>
      <c r="U324" s="14" t="str">
        <f>IFERROR(1/(1/INDEX(Cascade!$BH:$BH,MATCH($E324,Cascade!$E:$E,0))),"")</f>
        <v/>
      </c>
      <c r="V324" s="14" t="str">
        <f t="shared" si="58"/>
        <v/>
      </c>
      <c r="W324" s="14" t="str">
        <f>IFERROR(1/(1/INDEX(PMTCT!$AC:$AC,MATCH($E324,PMTCT!$E:$E,0))),"")</f>
        <v/>
      </c>
      <c r="X324" s="14" t="str">
        <f>IFERROR(1/(1/INDEX(PMTCT!$AS:$AS,MATCH($E324,PMTCT!$E:$E,0))),"")</f>
        <v/>
      </c>
      <c r="Y324" s="14" t="str">
        <f>IFERROR(1/(1/INDEX(VMMC!$AA:$AA,MATCH($E324,VMMC!$E:$E,0))),"")</f>
        <v/>
      </c>
      <c r="Z324" s="14" t="str">
        <f t="shared" si="59"/>
        <v/>
      </c>
    </row>
    <row r="325" spans="1:26" x14ac:dyDescent="0.2">
      <c r="A325" t="str">
        <f>INDEX(Prioritization!$D:$D,MATCH($B325,Prioritization!$A:$A,0))</f>
        <v>INVALID</v>
      </c>
      <c r="B325" t="s">
        <v>218</v>
      </c>
      <c r="C325" t="s">
        <v>367</v>
      </c>
      <c r="D325" t="s">
        <v>29</v>
      </c>
      <c r="E325" t="str">
        <f t="shared" si="48"/>
        <v>Nsanje District [rpw540fmNUz]|50+|Female</v>
      </c>
      <c r="F325" s="14"/>
      <c r="G325" s="90">
        <f>0</f>
        <v>0</v>
      </c>
      <c r="H325" s="42" t="str">
        <f t="shared" si="49"/>
        <v/>
      </c>
      <c r="I325" s="14"/>
      <c r="J325" s="90"/>
      <c r="K325" s="90" t="str">
        <f t="shared" si="50"/>
        <v/>
      </c>
      <c r="L325" s="90"/>
      <c r="M325" s="90" t="str">
        <f t="shared" si="51"/>
        <v/>
      </c>
      <c r="N325" s="14" t="str">
        <f t="shared" si="52"/>
        <v/>
      </c>
      <c r="O325" s="42" t="str">
        <f t="shared" si="53"/>
        <v/>
      </c>
      <c r="P325" s="42" t="str">
        <f t="shared" si="54"/>
        <v/>
      </c>
      <c r="Q325" s="42" t="str">
        <f t="shared" si="55"/>
        <v/>
      </c>
      <c r="R325" s="90" t="str">
        <f>IF(SUM($P325)=0,"",INDEX(Cascade!$BG:$BG,MATCH($E325,Cascade!$E:$E,0)))</f>
        <v/>
      </c>
      <c r="S325" s="42" t="str">
        <f t="shared" si="56"/>
        <v/>
      </c>
      <c r="T325" s="42" t="str">
        <f t="shared" si="57"/>
        <v/>
      </c>
      <c r="U325" s="14" t="str">
        <f>IFERROR(1/(1/INDEX(Cascade!$BH:$BH,MATCH($E325,Cascade!$E:$E,0))),"")</f>
        <v/>
      </c>
      <c r="V325" s="14" t="str">
        <f t="shared" si="58"/>
        <v/>
      </c>
      <c r="W325" s="14" t="str">
        <f>IFERROR(1/(1/INDEX(PMTCT!$AC:$AC,MATCH($E325,PMTCT!$E:$E,0))),"")</f>
        <v/>
      </c>
      <c r="X325" s="14" t="str">
        <f>IFERROR(1/(1/INDEX(PMTCT!$AS:$AS,MATCH($E325,PMTCT!$E:$E,0))),"")</f>
        <v/>
      </c>
      <c r="Y325" s="14" t="str">
        <f>IFERROR(1/(1/INDEX(VMMC!$AA:$AA,MATCH($E325,VMMC!$E:$E,0))),"")</f>
        <v/>
      </c>
      <c r="Z325" s="14" t="str">
        <f t="shared" si="59"/>
        <v/>
      </c>
    </row>
    <row r="326" spans="1:26" x14ac:dyDescent="0.2">
      <c r="A326" t="str">
        <f>INDEX(Prioritization!$D:$D,MATCH($B326,Prioritization!$A:$A,0))</f>
        <v>INVALID</v>
      </c>
      <c r="B326" t="s">
        <v>218</v>
      </c>
      <c r="C326" t="s">
        <v>367</v>
      </c>
      <c r="D326" t="s">
        <v>47</v>
      </c>
      <c r="E326" t="str">
        <f t="shared" si="48"/>
        <v>Nsanje District [rpw540fmNUz]|50+|Male</v>
      </c>
      <c r="F326" s="14"/>
      <c r="G326" s="90">
        <f>0</f>
        <v>0</v>
      </c>
      <c r="H326" s="42" t="str">
        <f t="shared" si="49"/>
        <v/>
      </c>
      <c r="I326" s="14"/>
      <c r="J326" s="90"/>
      <c r="K326" s="90" t="str">
        <f t="shared" si="50"/>
        <v/>
      </c>
      <c r="L326" s="90"/>
      <c r="M326" s="90" t="str">
        <f t="shared" si="51"/>
        <v/>
      </c>
      <c r="N326" s="14" t="str">
        <f t="shared" si="52"/>
        <v/>
      </c>
      <c r="O326" s="42" t="str">
        <f t="shared" si="53"/>
        <v/>
      </c>
      <c r="P326" s="42" t="str">
        <f t="shared" si="54"/>
        <v/>
      </c>
      <c r="Q326" s="42" t="str">
        <f t="shared" si="55"/>
        <v/>
      </c>
      <c r="R326" s="90" t="str">
        <f>IF(SUM($P326)=0,"",INDEX(Cascade!$BG:$BG,MATCH($E326,Cascade!$E:$E,0)))</f>
        <v/>
      </c>
      <c r="S326" s="42" t="str">
        <f t="shared" si="56"/>
        <v/>
      </c>
      <c r="T326" s="42" t="str">
        <f t="shared" si="57"/>
        <v/>
      </c>
      <c r="U326" s="14" t="str">
        <f>IFERROR(1/(1/INDEX(Cascade!$BH:$BH,MATCH($E326,Cascade!$E:$E,0))),"")</f>
        <v/>
      </c>
      <c r="V326" s="14" t="str">
        <f t="shared" si="58"/>
        <v/>
      </c>
      <c r="W326" s="14" t="str">
        <f>IFERROR(1/(1/INDEX(PMTCT!$AC:$AC,MATCH($E326,PMTCT!$E:$E,0))),"")</f>
        <v/>
      </c>
      <c r="X326" s="14" t="str">
        <f>IFERROR(1/(1/INDEX(PMTCT!$AS:$AS,MATCH($E326,PMTCT!$E:$E,0))),"")</f>
        <v/>
      </c>
      <c r="Y326" s="14" t="str">
        <f>IFERROR(1/(1/INDEX(VMMC!$AA:$AA,MATCH($E326,VMMC!$E:$E,0))),"")</f>
        <v/>
      </c>
      <c r="Z326" s="14" t="str">
        <f t="shared" si="59"/>
        <v/>
      </c>
    </row>
    <row r="327" spans="1:26" x14ac:dyDescent="0.2">
      <c r="A327" t="str">
        <f>INDEX(Prioritization!$D:$D,MATCH($B327,Prioritization!$A:$A,0))</f>
        <v>INVALID</v>
      </c>
      <c r="B327" t="s">
        <v>219</v>
      </c>
      <c r="C327" t="s">
        <v>362</v>
      </c>
      <c r="D327" t="s">
        <v>29</v>
      </c>
      <c r="E327" t="str">
        <f t="shared" si="48"/>
        <v>Phalombe District [AZyWpGzhcaA]|01-09|Female</v>
      </c>
      <c r="F327" s="14"/>
      <c r="G327" s="90">
        <f>0</f>
        <v>0</v>
      </c>
      <c r="H327" s="42" t="str">
        <f t="shared" si="49"/>
        <v/>
      </c>
      <c r="I327" s="14"/>
      <c r="J327" s="90"/>
      <c r="K327" s="90" t="str">
        <f t="shared" si="50"/>
        <v/>
      </c>
      <c r="L327" s="90"/>
      <c r="M327" s="90" t="str">
        <f t="shared" si="51"/>
        <v/>
      </c>
      <c r="N327" s="14" t="str">
        <f t="shared" si="52"/>
        <v/>
      </c>
      <c r="O327" s="42" t="str">
        <f t="shared" si="53"/>
        <v/>
      </c>
      <c r="P327" s="42" t="str">
        <f t="shared" si="54"/>
        <v/>
      </c>
      <c r="Q327" s="42" t="str">
        <f t="shared" si="55"/>
        <v/>
      </c>
      <c r="R327" s="90" t="str">
        <f>IF(SUM($P327)=0,"",INDEX(Cascade!$BG:$BG,MATCH($E327,Cascade!$E:$E,0)))</f>
        <v/>
      </c>
      <c r="S327" s="42" t="str">
        <f t="shared" si="56"/>
        <v/>
      </c>
      <c r="T327" s="42" t="str">
        <f t="shared" si="57"/>
        <v/>
      </c>
      <c r="U327" s="14" t="str">
        <f>IFERROR(1/(1/INDEX(Cascade!$BH:$BH,MATCH($E327,Cascade!$E:$E,0))),"")</f>
        <v/>
      </c>
      <c r="V327" s="14" t="str">
        <f t="shared" si="58"/>
        <v/>
      </c>
      <c r="W327" s="14" t="str">
        <f>IFERROR(1/(1/INDEX(PMTCT!$AC:$AC,MATCH($E327,PMTCT!$E:$E,0))),"")</f>
        <v/>
      </c>
      <c r="X327" s="14" t="str">
        <f>IFERROR(1/(1/INDEX(PMTCT!$AS:$AS,MATCH($E327,PMTCT!$E:$E,0))),"")</f>
        <v/>
      </c>
      <c r="Y327" s="14" t="str">
        <f>IFERROR(1/(1/INDEX(VMMC!$AA:$AA,MATCH($E327,VMMC!$E:$E,0))),"")</f>
        <v/>
      </c>
      <c r="Z327" s="14" t="str">
        <f t="shared" si="59"/>
        <v/>
      </c>
    </row>
    <row r="328" spans="1:26" x14ac:dyDescent="0.2">
      <c r="A328" t="str">
        <f>INDEX(Prioritization!$D:$D,MATCH($B328,Prioritization!$A:$A,0))</f>
        <v>INVALID</v>
      </c>
      <c r="B328" t="s">
        <v>219</v>
      </c>
      <c r="C328" t="s">
        <v>362</v>
      </c>
      <c r="D328" t="s">
        <v>47</v>
      </c>
      <c r="E328" t="str">
        <f t="shared" si="48"/>
        <v>Phalombe District [AZyWpGzhcaA]|01-09|Male</v>
      </c>
      <c r="F328" s="14"/>
      <c r="G328" s="90">
        <f>0</f>
        <v>0</v>
      </c>
      <c r="H328" s="42" t="str">
        <f t="shared" si="49"/>
        <v/>
      </c>
      <c r="I328" s="14"/>
      <c r="J328" s="90"/>
      <c r="K328" s="90" t="str">
        <f t="shared" si="50"/>
        <v/>
      </c>
      <c r="L328" s="90"/>
      <c r="M328" s="90" t="str">
        <f t="shared" si="51"/>
        <v/>
      </c>
      <c r="N328" s="14" t="str">
        <f t="shared" si="52"/>
        <v/>
      </c>
      <c r="O328" s="42" t="str">
        <f t="shared" si="53"/>
        <v/>
      </c>
      <c r="P328" s="42" t="str">
        <f t="shared" si="54"/>
        <v/>
      </c>
      <c r="Q328" s="42" t="str">
        <f t="shared" si="55"/>
        <v/>
      </c>
      <c r="R328" s="90" t="str">
        <f>IF(SUM($P328)=0,"",INDEX(Cascade!$BG:$BG,MATCH($E328,Cascade!$E:$E,0)))</f>
        <v/>
      </c>
      <c r="S328" s="42" t="str">
        <f t="shared" si="56"/>
        <v/>
      </c>
      <c r="T328" s="42" t="str">
        <f t="shared" si="57"/>
        <v/>
      </c>
      <c r="U328" s="14" t="str">
        <f>IFERROR(1/(1/INDEX(Cascade!$BH:$BH,MATCH($E328,Cascade!$E:$E,0))),"")</f>
        <v/>
      </c>
      <c r="V328" s="14" t="str">
        <f t="shared" si="58"/>
        <v/>
      </c>
      <c r="W328" s="14" t="str">
        <f>IFERROR(1/(1/INDEX(PMTCT!$AC:$AC,MATCH($E328,PMTCT!$E:$E,0))),"")</f>
        <v/>
      </c>
      <c r="X328" s="14" t="str">
        <f>IFERROR(1/(1/INDEX(PMTCT!$AS:$AS,MATCH($E328,PMTCT!$E:$E,0))),"")</f>
        <v/>
      </c>
      <c r="Y328" s="14" t="str">
        <f>IFERROR(1/(1/INDEX(VMMC!$AA:$AA,MATCH($E328,VMMC!$E:$E,0))),"")</f>
        <v/>
      </c>
      <c r="Z328" s="14" t="str">
        <f t="shared" si="59"/>
        <v/>
      </c>
    </row>
    <row r="329" spans="1:26" x14ac:dyDescent="0.2">
      <c r="A329" t="str">
        <f>INDEX(Prioritization!$D:$D,MATCH($B329,Prioritization!$A:$A,0))</f>
        <v>INVALID</v>
      </c>
      <c r="B329" t="s">
        <v>219</v>
      </c>
      <c r="C329" t="s">
        <v>363</v>
      </c>
      <c r="D329" t="s">
        <v>29</v>
      </c>
      <c r="E329" t="str">
        <f t="shared" si="48"/>
        <v>Phalombe District [AZyWpGzhcaA]|10-14|Female</v>
      </c>
      <c r="F329" s="14">
        <v>1</v>
      </c>
      <c r="G329" s="90">
        <f>0</f>
        <v>0</v>
      </c>
      <c r="H329" s="42">
        <f t="shared" si="49"/>
        <v>1</v>
      </c>
      <c r="I329" s="14"/>
      <c r="J329" s="90"/>
      <c r="K329" s="90" t="str">
        <f t="shared" si="50"/>
        <v/>
      </c>
      <c r="L329" s="90"/>
      <c r="M329" s="90" t="str">
        <f t="shared" si="51"/>
        <v/>
      </c>
      <c r="N329" s="14">
        <f t="shared" si="52"/>
        <v>1</v>
      </c>
      <c r="O329" s="42" t="str">
        <f t="shared" si="53"/>
        <v>ENTER KNOWN POSITIVITY RATE</v>
      </c>
      <c r="P329" s="42" t="str">
        <f t="shared" si="54"/>
        <v>ENTER YIELD RATE</v>
      </c>
      <c r="Q329" s="42">
        <f t="shared" si="55"/>
        <v>1</v>
      </c>
      <c r="R329" s="90" t="str">
        <f>IF(SUM($P329)=0,"",INDEX(Cascade!$BG:$BG,MATCH($E329,Cascade!$E:$E,0)))</f>
        <v/>
      </c>
      <c r="S329" s="42" t="str">
        <f t="shared" si="56"/>
        <v>ENTER KNOWN POSITIVITY RATE</v>
      </c>
      <c r="T329" s="42" t="str">
        <f t="shared" si="57"/>
        <v/>
      </c>
      <c r="U329" s="14">
        <f>IFERROR(1/(1/INDEX(Cascade!$BH:$BH,MATCH($E329,Cascade!$E:$E,0))),"")</f>
        <v>-68</v>
      </c>
      <c r="V329" s="14" t="str">
        <f t="shared" si="58"/>
        <v/>
      </c>
      <c r="W329" s="14" t="str">
        <f>IFERROR(1/(1/INDEX(PMTCT!$AC:$AC,MATCH($E329,PMTCT!$E:$E,0))),"")</f>
        <v/>
      </c>
      <c r="X329" s="14" t="str">
        <f>IFERROR(1/(1/INDEX(PMTCT!$AS:$AS,MATCH($E329,PMTCT!$E:$E,0))),"")</f>
        <v/>
      </c>
      <c r="Y329" s="14" t="str">
        <f>IFERROR(1/(1/INDEX(VMMC!$AA:$AA,MATCH($E329,VMMC!$E:$E,0))),"")</f>
        <v/>
      </c>
      <c r="Z329" s="14">
        <f t="shared" si="59"/>
        <v>-68</v>
      </c>
    </row>
    <row r="330" spans="1:26" x14ac:dyDescent="0.2">
      <c r="A330" t="str">
        <f>INDEX(Prioritization!$D:$D,MATCH($B330,Prioritization!$A:$A,0))</f>
        <v>INVALID</v>
      </c>
      <c r="B330" t="s">
        <v>219</v>
      </c>
      <c r="C330" t="s">
        <v>363</v>
      </c>
      <c r="D330" t="s">
        <v>47</v>
      </c>
      <c r="E330" t="str">
        <f t="shared" si="48"/>
        <v>Phalombe District [AZyWpGzhcaA]|10-14|Male</v>
      </c>
      <c r="F330" s="14">
        <v>1</v>
      </c>
      <c r="G330" s="90">
        <f>0</f>
        <v>0</v>
      </c>
      <c r="H330" s="42">
        <f t="shared" si="49"/>
        <v>1</v>
      </c>
      <c r="I330" s="14"/>
      <c r="J330" s="90"/>
      <c r="K330" s="90" t="str">
        <f t="shared" si="50"/>
        <v/>
      </c>
      <c r="L330" s="90"/>
      <c r="M330" s="90" t="str">
        <f t="shared" si="51"/>
        <v/>
      </c>
      <c r="N330" s="14">
        <f t="shared" si="52"/>
        <v>1</v>
      </c>
      <c r="O330" s="42" t="str">
        <f t="shared" si="53"/>
        <v>ENTER KNOWN POSITIVITY RATE</v>
      </c>
      <c r="P330" s="42" t="str">
        <f t="shared" si="54"/>
        <v>ENTER YIELD RATE</v>
      </c>
      <c r="Q330" s="42">
        <f t="shared" si="55"/>
        <v>1</v>
      </c>
      <c r="R330" s="90" t="str">
        <f>IF(SUM($P330)=0,"",INDEX(Cascade!$BG:$BG,MATCH($E330,Cascade!$E:$E,0)))</f>
        <v/>
      </c>
      <c r="S330" s="42" t="str">
        <f t="shared" si="56"/>
        <v>ENTER KNOWN POSITIVITY RATE</v>
      </c>
      <c r="T330" s="42" t="str">
        <f t="shared" si="57"/>
        <v/>
      </c>
      <c r="U330" s="14">
        <f>IFERROR(1/(1/INDEX(Cascade!$BH:$BH,MATCH($E330,Cascade!$E:$E,0))),"")</f>
        <v>-88</v>
      </c>
      <c r="V330" s="14" t="str">
        <f t="shared" si="58"/>
        <v/>
      </c>
      <c r="W330" s="14" t="str">
        <f>IFERROR(1/(1/INDEX(PMTCT!$AC:$AC,MATCH($E330,PMTCT!$E:$E,0))),"")</f>
        <v/>
      </c>
      <c r="X330" s="14" t="str">
        <f>IFERROR(1/(1/INDEX(PMTCT!$AS:$AS,MATCH($E330,PMTCT!$E:$E,0))),"")</f>
        <v/>
      </c>
      <c r="Y330" s="14" t="str">
        <f>IFERROR(1/(1/INDEX(VMMC!$AA:$AA,MATCH($E330,VMMC!$E:$E,0))),"")</f>
        <v/>
      </c>
      <c r="Z330" s="14">
        <f t="shared" si="59"/>
        <v>-88</v>
      </c>
    </row>
    <row r="331" spans="1:26" x14ac:dyDescent="0.2">
      <c r="A331" t="str">
        <f>INDEX(Prioritization!$D:$D,MATCH($B331,Prioritization!$A:$A,0))</f>
        <v>INVALID</v>
      </c>
      <c r="B331" t="s">
        <v>219</v>
      </c>
      <c r="C331" t="s">
        <v>364</v>
      </c>
      <c r="D331" t="s">
        <v>29</v>
      </c>
      <c r="E331" t="str">
        <f t="shared" si="48"/>
        <v>Phalombe District [AZyWpGzhcaA]|15-24|Female</v>
      </c>
      <c r="F331" s="14"/>
      <c r="G331" s="90">
        <f>0</f>
        <v>0</v>
      </c>
      <c r="H331" s="42" t="str">
        <f t="shared" si="49"/>
        <v/>
      </c>
      <c r="I331" s="14"/>
      <c r="J331" s="90"/>
      <c r="K331" s="90" t="str">
        <f t="shared" si="50"/>
        <v/>
      </c>
      <c r="L331" s="90"/>
      <c r="M331" s="90" t="str">
        <f t="shared" si="51"/>
        <v/>
      </c>
      <c r="N331" s="14" t="str">
        <f t="shared" si="52"/>
        <v/>
      </c>
      <c r="O331" s="42" t="str">
        <f t="shared" si="53"/>
        <v/>
      </c>
      <c r="P331" s="42" t="str">
        <f t="shared" si="54"/>
        <v/>
      </c>
      <c r="Q331" s="42" t="str">
        <f t="shared" si="55"/>
        <v/>
      </c>
      <c r="R331" s="90" t="str">
        <f>IF(SUM($P331)=0,"",INDEX(Cascade!$BG:$BG,MATCH($E331,Cascade!$E:$E,0)))</f>
        <v/>
      </c>
      <c r="S331" s="42" t="str">
        <f t="shared" si="56"/>
        <v/>
      </c>
      <c r="T331" s="42" t="str">
        <f t="shared" si="57"/>
        <v/>
      </c>
      <c r="U331" s="14" t="str">
        <f>IFERROR(1/(1/INDEX(Cascade!$BH:$BH,MATCH($E331,Cascade!$E:$E,0))),"")</f>
        <v/>
      </c>
      <c r="V331" s="14" t="str">
        <f t="shared" si="58"/>
        <v/>
      </c>
      <c r="W331" s="14" t="str">
        <f>IFERROR(1/(1/INDEX(PMTCT!$AC:$AC,MATCH($E331,PMTCT!$E:$E,0))),"")</f>
        <v/>
      </c>
      <c r="X331" s="14" t="str">
        <f>IFERROR(1/(1/INDEX(PMTCT!$AS:$AS,MATCH($E331,PMTCT!$E:$E,0))),"")</f>
        <v/>
      </c>
      <c r="Y331" s="14" t="str">
        <f>IFERROR(1/(1/INDEX(VMMC!$AA:$AA,MATCH($E331,VMMC!$E:$E,0))),"")</f>
        <v/>
      </c>
      <c r="Z331" s="14" t="str">
        <f t="shared" si="59"/>
        <v/>
      </c>
    </row>
    <row r="332" spans="1:26" x14ac:dyDescent="0.2">
      <c r="A332" t="str">
        <f>INDEX(Prioritization!$D:$D,MATCH($B332,Prioritization!$A:$A,0))</f>
        <v>INVALID</v>
      </c>
      <c r="B332" t="s">
        <v>219</v>
      </c>
      <c r="C332" t="s">
        <v>364</v>
      </c>
      <c r="D332" t="s">
        <v>47</v>
      </c>
      <c r="E332" t="str">
        <f t="shared" si="48"/>
        <v>Phalombe District [AZyWpGzhcaA]|15-24|Male</v>
      </c>
      <c r="F332" s="14"/>
      <c r="G332" s="90">
        <f>0</f>
        <v>0</v>
      </c>
      <c r="H332" s="42" t="str">
        <f t="shared" si="49"/>
        <v/>
      </c>
      <c r="I332" s="14"/>
      <c r="J332" s="90"/>
      <c r="K332" s="90" t="str">
        <f t="shared" si="50"/>
        <v/>
      </c>
      <c r="L332" s="90"/>
      <c r="M332" s="90" t="str">
        <f t="shared" si="51"/>
        <v/>
      </c>
      <c r="N332" s="14" t="str">
        <f t="shared" si="52"/>
        <v/>
      </c>
      <c r="O332" s="42" t="str">
        <f t="shared" si="53"/>
        <v/>
      </c>
      <c r="P332" s="42" t="str">
        <f t="shared" si="54"/>
        <v/>
      </c>
      <c r="Q332" s="42" t="str">
        <f t="shared" si="55"/>
        <v/>
      </c>
      <c r="R332" s="90" t="str">
        <f>IF(SUM($P332)=0,"",INDEX(Cascade!$BG:$BG,MATCH($E332,Cascade!$E:$E,0)))</f>
        <v/>
      </c>
      <c r="S332" s="42" t="str">
        <f t="shared" si="56"/>
        <v/>
      </c>
      <c r="T332" s="42" t="str">
        <f t="shared" si="57"/>
        <v/>
      </c>
      <c r="U332" s="14" t="str">
        <f>IFERROR(1/(1/INDEX(Cascade!$BH:$BH,MATCH($E332,Cascade!$E:$E,0))),"")</f>
        <v/>
      </c>
      <c r="V332" s="14" t="str">
        <f t="shared" si="58"/>
        <v/>
      </c>
      <c r="W332" s="14" t="str">
        <f>IFERROR(1/(1/INDEX(PMTCT!$AC:$AC,MATCH($E332,PMTCT!$E:$E,0))),"")</f>
        <v/>
      </c>
      <c r="X332" s="14" t="str">
        <f>IFERROR(1/(1/INDEX(PMTCT!$AS:$AS,MATCH($E332,PMTCT!$E:$E,0))),"")</f>
        <v/>
      </c>
      <c r="Y332" s="14" t="str">
        <f>IFERROR(1/(1/INDEX(VMMC!$AA:$AA,MATCH($E332,VMMC!$E:$E,0))),"")</f>
        <v/>
      </c>
      <c r="Z332" s="14" t="str">
        <f t="shared" si="59"/>
        <v/>
      </c>
    </row>
    <row r="333" spans="1:26" x14ac:dyDescent="0.2">
      <c r="A333" t="str">
        <f>INDEX(Prioritization!$D:$D,MATCH($B333,Prioritization!$A:$A,0))</f>
        <v>INVALID</v>
      </c>
      <c r="B333" t="s">
        <v>219</v>
      </c>
      <c r="C333" t="s">
        <v>365</v>
      </c>
      <c r="D333" t="s">
        <v>29</v>
      </c>
      <c r="E333" t="str">
        <f t="shared" si="48"/>
        <v>Phalombe District [AZyWpGzhcaA]|25-34|Female</v>
      </c>
      <c r="F333" s="14"/>
      <c r="G333" s="90">
        <f>0</f>
        <v>0</v>
      </c>
      <c r="H333" s="42" t="str">
        <f t="shared" si="49"/>
        <v/>
      </c>
      <c r="I333" s="14"/>
      <c r="J333" s="90"/>
      <c r="K333" s="90" t="str">
        <f t="shared" si="50"/>
        <v/>
      </c>
      <c r="L333" s="90"/>
      <c r="M333" s="90" t="str">
        <f t="shared" si="51"/>
        <v/>
      </c>
      <c r="N333" s="14" t="str">
        <f t="shared" si="52"/>
        <v/>
      </c>
      <c r="O333" s="42" t="str">
        <f t="shared" si="53"/>
        <v/>
      </c>
      <c r="P333" s="42" t="str">
        <f t="shared" si="54"/>
        <v/>
      </c>
      <c r="Q333" s="42" t="str">
        <f t="shared" si="55"/>
        <v/>
      </c>
      <c r="R333" s="90" t="str">
        <f>IF(SUM($P333)=0,"",INDEX(Cascade!$BG:$BG,MATCH($E333,Cascade!$E:$E,0)))</f>
        <v/>
      </c>
      <c r="S333" s="42" t="str">
        <f t="shared" si="56"/>
        <v/>
      </c>
      <c r="T333" s="42" t="str">
        <f t="shared" si="57"/>
        <v/>
      </c>
      <c r="U333" s="14" t="str">
        <f>IFERROR(1/(1/INDEX(Cascade!$BH:$BH,MATCH($E333,Cascade!$E:$E,0))),"")</f>
        <v/>
      </c>
      <c r="V333" s="14" t="str">
        <f t="shared" si="58"/>
        <v/>
      </c>
      <c r="W333" s="14" t="str">
        <f>IFERROR(1/(1/INDEX(PMTCT!$AC:$AC,MATCH($E333,PMTCT!$E:$E,0))),"")</f>
        <v/>
      </c>
      <c r="X333" s="14" t="str">
        <f>IFERROR(1/(1/INDEX(PMTCT!$AS:$AS,MATCH($E333,PMTCT!$E:$E,0))),"")</f>
        <v/>
      </c>
      <c r="Y333" s="14" t="str">
        <f>IFERROR(1/(1/INDEX(VMMC!$AA:$AA,MATCH($E333,VMMC!$E:$E,0))),"")</f>
        <v/>
      </c>
      <c r="Z333" s="14" t="str">
        <f t="shared" si="59"/>
        <v/>
      </c>
    </row>
    <row r="334" spans="1:26" x14ac:dyDescent="0.2">
      <c r="A334" t="str">
        <f>INDEX(Prioritization!$D:$D,MATCH($B334,Prioritization!$A:$A,0))</f>
        <v>INVALID</v>
      </c>
      <c r="B334" t="s">
        <v>219</v>
      </c>
      <c r="C334" t="s">
        <v>365</v>
      </c>
      <c r="D334" t="s">
        <v>47</v>
      </c>
      <c r="E334" t="str">
        <f t="shared" si="48"/>
        <v>Phalombe District [AZyWpGzhcaA]|25-34|Male</v>
      </c>
      <c r="F334" s="14"/>
      <c r="G334" s="90">
        <f>0</f>
        <v>0</v>
      </c>
      <c r="H334" s="42" t="str">
        <f t="shared" si="49"/>
        <v/>
      </c>
      <c r="I334" s="14"/>
      <c r="J334" s="90"/>
      <c r="K334" s="90" t="str">
        <f t="shared" si="50"/>
        <v/>
      </c>
      <c r="L334" s="90"/>
      <c r="M334" s="90" t="str">
        <f t="shared" si="51"/>
        <v/>
      </c>
      <c r="N334" s="14" t="str">
        <f t="shared" si="52"/>
        <v/>
      </c>
      <c r="O334" s="42" t="str">
        <f t="shared" si="53"/>
        <v/>
      </c>
      <c r="P334" s="42" t="str">
        <f t="shared" si="54"/>
        <v/>
      </c>
      <c r="Q334" s="42" t="str">
        <f t="shared" si="55"/>
        <v/>
      </c>
      <c r="R334" s="90" t="str">
        <f>IF(SUM($P334)=0,"",INDEX(Cascade!$BG:$BG,MATCH($E334,Cascade!$E:$E,0)))</f>
        <v/>
      </c>
      <c r="S334" s="42" t="str">
        <f t="shared" si="56"/>
        <v/>
      </c>
      <c r="T334" s="42" t="str">
        <f t="shared" si="57"/>
        <v/>
      </c>
      <c r="U334" s="14" t="str">
        <f>IFERROR(1/(1/INDEX(Cascade!$BH:$BH,MATCH($E334,Cascade!$E:$E,0))),"")</f>
        <v/>
      </c>
      <c r="V334" s="14" t="str">
        <f t="shared" si="58"/>
        <v/>
      </c>
      <c r="W334" s="14" t="str">
        <f>IFERROR(1/(1/INDEX(PMTCT!$AC:$AC,MATCH($E334,PMTCT!$E:$E,0))),"")</f>
        <v/>
      </c>
      <c r="X334" s="14" t="str">
        <f>IFERROR(1/(1/INDEX(PMTCT!$AS:$AS,MATCH($E334,PMTCT!$E:$E,0))),"")</f>
        <v/>
      </c>
      <c r="Y334" s="14" t="str">
        <f>IFERROR(1/(1/INDEX(VMMC!$AA:$AA,MATCH($E334,VMMC!$E:$E,0))),"")</f>
        <v/>
      </c>
      <c r="Z334" s="14" t="str">
        <f t="shared" si="59"/>
        <v/>
      </c>
    </row>
    <row r="335" spans="1:26" x14ac:dyDescent="0.2">
      <c r="A335" t="str">
        <f>INDEX(Prioritization!$D:$D,MATCH($B335,Prioritization!$A:$A,0))</f>
        <v>INVALID</v>
      </c>
      <c r="B335" t="s">
        <v>219</v>
      </c>
      <c r="C335" t="s">
        <v>366</v>
      </c>
      <c r="D335" t="s">
        <v>29</v>
      </c>
      <c r="E335" t="str">
        <f t="shared" ref="E335:E398" si="60">B335&amp;"|"&amp;C335&amp;"|"&amp;D335</f>
        <v>Phalombe District [AZyWpGzhcaA]|35-49|Female</v>
      </c>
      <c r="F335" s="14"/>
      <c r="G335" s="90">
        <f>0</f>
        <v>0</v>
      </c>
      <c r="H335" s="42" t="str">
        <f t="shared" ref="H335:H362" si="61">IF(SUM($F335)=0,"",ROUND($F335*(1+$G335),0))</f>
        <v/>
      </c>
      <c r="I335" s="14"/>
      <c r="J335" s="90"/>
      <c r="K335" s="90" t="str">
        <f t="shared" ref="K335:K362" si="62">IF($J335="","",$J335)</f>
        <v/>
      </c>
      <c r="L335" s="90"/>
      <c r="M335" s="90" t="str">
        <f t="shared" ref="M335:M362" si="63">IF($L335="","",$L335)</f>
        <v/>
      </c>
      <c r="N335" s="14" t="str">
        <f t="shared" ref="N335:N362" si="64">$H335</f>
        <v/>
      </c>
      <c r="O335" s="42" t="str">
        <f t="shared" ref="O335:O362" si="65">IF(SUM($N335)=0,"",IF(AND(SUM($N335)&gt;0,$K335=""),"ENTER KNOWN POSITIVITY RATE",ROUND($N335*$K335,0)))</f>
        <v/>
      </c>
      <c r="P335" s="42" t="str">
        <f t="shared" ref="P335:P362" si="66">IF(SUM($N335)=0,"",IF(AND((SUM($N335)-SUM($O335))&gt;0,$M335=""),"ENTER YIELD RATE",ROUND(($N335-SUM($O335))*$M335,0)))</f>
        <v/>
      </c>
      <c r="Q335" s="42" t="str">
        <f t="shared" ref="Q335:Q362" si="67">IF(SUM($N335)=0,"",$N335-SUM($O335)-SUM($P335))</f>
        <v/>
      </c>
      <c r="R335" s="90" t="str">
        <f>IF(SUM($P335)=0,"",INDEX(Cascade!$BG:$BG,MATCH($E335,Cascade!$E:$E,0)))</f>
        <v/>
      </c>
      <c r="S335" s="42" t="str">
        <f t="shared" ref="S335:S362" si="68">$O335</f>
        <v/>
      </c>
      <c r="T335" s="42" t="str">
        <f t="shared" ref="T335:T362" si="69">IF(SUM($P335)=0,"",IF(AND($R335="",SUM($P335)&gt;0),"&lt;- Enter Linkage Rate",ROUND($P335*$R335,0)))</f>
        <v/>
      </c>
      <c r="U335" s="14" t="str">
        <f>IFERROR(1/(1/INDEX(Cascade!$BH:$BH,MATCH($E335,Cascade!$E:$E,0))),"")</f>
        <v/>
      </c>
      <c r="V335" s="14" t="str">
        <f t="shared" ref="V335:V362" si="70">IF(SUM($P335)=0,"",$P335)</f>
        <v/>
      </c>
      <c r="W335" s="14" t="str">
        <f>IFERROR(1/(1/INDEX(PMTCT!$AC:$AC,MATCH($E335,PMTCT!$E:$E,0))),"")</f>
        <v/>
      </c>
      <c r="X335" s="14" t="str">
        <f>IFERROR(1/(1/INDEX(PMTCT!$AS:$AS,MATCH($E335,PMTCT!$E:$E,0))),"")</f>
        <v/>
      </c>
      <c r="Y335" s="14" t="str">
        <f>IFERROR(1/(1/INDEX(VMMC!$AA:$AA,MATCH($E335,VMMC!$E:$E,0))),"")</f>
        <v/>
      </c>
      <c r="Z335" s="14" t="str">
        <f t="shared" ref="Z335:Z362" si="71">IFERROR(1/(1/(SUM($U335)-SUM($V335:$Y335))),"")</f>
        <v/>
      </c>
    </row>
    <row r="336" spans="1:26" x14ac:dyDescent="0.2">
      <c r="A336" t="str">
        <f>INDEX(Prioritization!$D:$D,MATCH($B336,Prioritization!$A:$A,0))</f>
        <v>INVALID</v>
      </c>
      <c r="B336" t="s">
        <v>219</v>
      </c>
      <c r="C336" t="s">
        <v>366</v>
      </c>
      <c r="D336" t="s">
        <v>47</v>
      </c>
      <c r="E336" t="str">
        <f t="shared" si="60"/>
        <v>Phalombe District [AZyWpGzhcaA]|35-49|Male</v>
      </c>
      <c r="F336" s="14"/>
      <c r="G336" s="90">
        <f>0</f>
        <v>0</v>
      </c>
      <c r="H336" s="42" t="str">
        <f t="shared" si="61"/>
        <v/>
      </c>
      <c r="I336" s="14"/>
      <c r="J336" s="90"/>
      <c r="K336" s="90" t="str">
        <f t="shared" si="62"/>
        <v/>
      </c>
      <c r="L336" s="90"/>
      <c r="M336" s="90" t="str">
        <f t="shared" si="63"/>
        <v/>
      </c>
      <c r="N336" s="14" t="str">
        <f t="shared" si="64"/>
        <v/>
      </c>
      <c r="O336" s="42" t="str">
        <f t="shared" si="65"/>
        <v/>
      </c>
      <c r="P336" s="42" t="str">
        <f t="shared" si="66"/>
        <v/>
      </c>
      <c r="Q336" s="42" t="str">
        <f t="shared" si="67"/>
        <v/>
      </c>
      <c r="R336" s="90" t="str">
        <f>IF(SUM($P336)=0,"",INDEX(Cascade!$BG:$BG,MATCH($E336,Cascade!$E:$E,0)))</f>
        <v/>
      </c>
      <c r="S336" s="42" t="str">
        <f t="shared" si="68"/>
        <v/>
      </c>
      <c r="T336" s="42" t="str">
        <f t="shared" si="69"/>
        <v/>
      </c>
      <c r="U336" s="14" t="str">
        <f>IFERROR(1/(1/INDEX(Cascade!$BH:$BH,MATCH($E336,Cascade!$E:$E,0))),"")</f>
        <v/>
      </c>
      <c r="V336" s="14" t="str">
        <f t="shared" si="70"/>
        <v/>
      </c>
      <c r="W336" s="14" t="str">
        <f>IFERROR(1/(1/INDEX(PMTCT!$AC:$AC,MATCH($E336,PMTCT!$E:$E,0))),"")</f>
        <v/>
      </c>
      <c r="X336" s="14" t="str">
        <f>IFERROR(1/(1/INDEX(PMTCT!$AS:$AS,MATCH($E336,PMTCT!$E:$E,0))),"")</f>
        <v/>
      </c>
      <c r="Y336" s="14" t="str">
        <f>IFERROR(1/(1/INDEX(VMMC!$AA:$AA,MATCH($E336,VMMC!$E:$E,0))),"")</f>
        <v/>
      </c>
      <c r="Z336" s="14" t="str">
        <f t="shared" si="71"/>
        <v/>
      </c>
    </row>
    <row r="337" spans="1:26" x14ac:dyDescent="0.2">
      <c r="A337" t="str">
        <f>INDEX(Prioritization!$D:$D,MATCH($B337,Prioritization!$A:$A,0))</f>
        <v>INVALID</v>
      </c>
      <c r="B337" t="s">
        <v>219</v>
      </c>
      <c r="C337" t="s">
        <v>367</v>
      </c>
      <c r="D337" t="s">
        <v>29</v>
      </c>
      <c r="E337" t="str">
        <f t="shared" si="60"/>
        <v>Phalombe District [AZyWpGzhcaA]|50+|Female</v>
      </c>
      <c r="F337" s="14"/>
      <c r="G337" s="90">
        <f>0</f>
        <v>0</v>
      </c>
      <c r="H337" s="42" t="str">
        <f t="shared" si="61"/>
        <v/>
      </c>
      <c r="I337" s="14"/>
      <c r="J337" s="90"/>
      <c r="K337" s="90" t="str">
        <f t="shared" si="62"/>
        <v/>
      </c>
      <c r="L337" s="90"/>
      <c r="M337" s="90" t="str">
        <f t="shared" si="63"/>
        <v/>
      </c>
      <c r="N337" s="14" t="str">
        <f t="shared" si="64"/>
        <v/>
      </c>
      <c r="O337" s="42" t="str">
        <f t="shared" si="65"/>
        <v/>
      </c>
      <c r="P337" s="42" t="str">
        <f t="shared" si="66"/>
        <v/>
      </c>
      <c r="Q337" s="42" t="str">
        <f t="shared" si="67"/>
        <v/>
      </c>
      <c r="R337" s="90" t="str">
        <f>IF(SUM($P337)=0,"",INDEX(Cascade!$BG:$BG,MATCH($E337,Cascade!$E:$E,0)))</f>
        <v/>
      </c>
      <c r="S337" s="42" t="str">
        <f t="shared" si="68"/>
        <v/>
      </c>
      <c r="T337" s="42" t="str">
        <f t="shared" si="69"/>
        <v/>
      </c>
      <c r="U337" s="14" t="str">
        <f>IFERROR(1/(1/INDEX(Cascade!$BH:$BH,MATCH($E337,Cascade!$E:$E,0))),"")</f>
        <v/>
      </c>
      <c r="V337" s="14" t="str">
        <f t="shared" si="70"/>
        <v/>
      </c>
      <c r="W337" s="14" t="str">
        <f>IFERROR(1/(1/INDEX(PMTCT!$AC:$AC,MATCH($E337,PMTCT!$E:$E,0))),"")</f>
        <v/>
      </c>
      <c r="X337" s="14" t="str">
        <f>IFERROR(1/(1/INDEX(PMTCT!$AS:$AS,MATCH($E337,PMTCT!$E:$E,0))),"")</f>
        <v/>
      </c>
      <c r="Y337" s="14" t="str">
        <f>IFERROR(1/(1/INDEX(VMMC!$AA:$AA,MATCH($E337,VMMC!$E:$E,0))),"")</f>
        <v/>
      </c>
      <c r="Z337" s="14" t="str">
        <f t="shared" si="71"/>
        <v/>
      </c>
    </row>
    <row r="338" spans="1:26" x14ac:dyDescent="0.2">
      <c r="A338" t="str">
        <f>INDEX(Prioritization!$D:$D,MATCH($B338,Prioritization!$A:$A,0))</f>
        <v>INVALID</v>
      </c>
      <c r="B338" t="s">
        <v>219</v>
      </c>
      <c r="C338" t="s">
        <v>367</v>
      </c>
      <c r="D338" t="s">
        <v>47</v>
      </c>
      <c r="E338" t="str">
        <f t="shared" si="60"/>
        <v>Phalombe District [AZyWpGzhcaA]|50+|Male</v>
      </c>
      <c r="F338" s="14"/>
      <c r="G338" s="90">
        <f>0</f>
        <v>0</v>
      </c>
      <c r="H338" s="42" t="str">
        <f t="shared" si="61"/>
        <v/>
      </c>
      <c r="I338" s="14"/>
      <c r="J338" s="90"/>
      <c r="K338" s="90" t="str">
        <f t="shared" si="62"/>
        <v/>
      </c>
      <c r="L338" s="90"/>
      <c r="M338" s="90" t="str">
        <f t="shared" si="63"/>
        <v/>
      </c>
      <c r="N338" s="14" t="str">
        <f t="shared" si="64"/>
        <v/>
      </c>
      <c r="O338" s="42" t="str">
        <f t="shared" si="65"/>
        <v/>
      </c>
      <c r="P338" s="42" t="str">
        <f t="shared" si="66"/>
        <v/>
      </c>
      <c r="Q338" s="42" t="str">
        <f t="shared" si="67"/>
        <v/>
      </c>
      <c r="R338" s="90" t="str">
        <f>IF(SUM($P338)=0,"",INDEX(Cascade!$BG:$BG,MATCH($E338,Cascade!$E:$E,0)))</f>
        <v/>
      </c>
      <c r="S338" s="42" t="str">
        <f t="shared" si="68"/>
        <v/>
      </c>
      <c r="T338" s="42" t="str">
        <f t="shared" si="69"/>
        <v/>
      </c>
      <c r="U338" s="14" t="str">
        <f>IFERROR(1/(1/INDEX(Cascade!$BH:$BH,MATCH($E338,Cascade!$E:$E,0))),"")</f>
        <v/>
      </c>
      <c r="V338" s="14" t="str">
        <f t="shared" si="70"/>
        <v/>
      </c>
      <c r="W338" s="14" t="str">
        <f>IFERROR(1/(1/INDEX(PMTCT!$AC:$AC,MATCH($E338,PMTCT!$E:$E,0))),"")</f>
        <v/>
      </c>
      <c r="X338" s="14" t="str">
        <f>IFERROR(1/(1/INDEX(PMTCT!$AS:$AS,MATCH($E338,PMTCT!$E:$E,0))),"")</f>
        <v/>
      </c>
      <c r="Y338" s="14" t="str">
        <f>IFERROR(1/(1/INDEX(VMMC!$AA:$AA,MATCH($E338,VMMC!$E:$E,0))),"")</f>
        <v/>
      </c>
      <c r="Z338" s="14" t="str">
        <f t="shared" si="71"/>
        <v/>
      </c>
    </row>
    <row r="339" spans="1:26" x14ac:dyDescent="0.2">
      <c r="A339" t="str">
        <f>INDEX(Prioritization!$D:$D,MATCH($B339,Prioritization!$A:$A,0))</f>
        <v>1 - Scale-up: Saturation</v>
      </c>
      <c r="B339" t="s">
        <v>220</v>
      </c>
      <c r="C339" t="s">
        <v>362</v>
      </c>
      <c r="D339" t="s">
        <v>29</v>
      </c>
      <c r="E339" t="str">
        <f t="shared" si="60"/>
        <v>Thyolo District [ul0y9diGujK]|01-09|Female</v>
      </c>
      <c r="F339" s="14"/>
      <c r="G339" s="90">
        <f>0</f>
        <v>0</v>
      </c>
      <c r="H339" s="42" t="str">
        <f t="shared" si="61"/>
        <v/>
      </c>
      <c r="I339" s="14"/>
      <c r="J339" s="90"/>
      <c r="K339" s="90" t="str">
        <f t="shared" si="62"/>
        <v/>
      </c>
      <c r="L339" s="90"/>
      <c r="M339" s="90" t="str">
        <f t="shared" si="63"/>
        <v/>
      </c>
      <c r="N339" s="14" t="str">
        <f t="shared" si="64"/>
        <v/>
      </c>
      <c r="O339" s="42" t="str">
        <f t="shared" si="65"/>
        <v/>
      </c>
      <c r="P339" s="42" t="str">
        <f t="shared" si="66"/>
        <v/>
      </c>
      <c r="Q339" s="42" t="str">
        <f t="shared" si="67"/>
        <v/>
      </c>
      <c r="R339" s="90" t="str">
        <f>IF(SUM($P339)=0,"",INDEX(Cascade!$BG:$BG,MATCH($E339,Cascade!$E:$E,0)))</f>
        <v/>
      </c>
      <c r="S339" s="42" t="str">
        <f t="shared" si="68"/>
        <v/>
      </c>
      <c r="T339" s="42" t="str">
        <f t="shared" si="69"/>
        <v/>
      </c>
      <c r="U339" s="14" t="str">
        <f>IFERROR(1/(1/INDEX(Cascade!$BH:$BH,MATCH($E339,Cascade!$E:$E,0))),"")</f>
        <v/>
      </c>
      <c r="V339" s="14" t="str">
        <f t="shared" si="70"/>
        <v/>
      </c>
      <c r="W339" s="14" t="str">
        <f>IFERROR(1/(1/INDEX(PMTCT!$AC:$AC,MATCH($E339,PMTCT!$E:$E,0))),"")</f>
        <v/>
      </c>
      <c r="X339" s="14" t="str">
        <f>IFERROR(1/(1/INDEX(PMTCT!$AS:$AS,MATCH($E339,PMTCT!$E:$E,0))),"")</f>
        <v/>
      </c>
      <c r="Y339" s="14" t="str">
        <f>IFERROR(1/(1/INDEX(VMMC!$AA:$AA,MATCH($E339,VMMC!$E:$E,0))),"")</f>
        <v/>
      </c>
      <c r="Z339" s="14" t="str">
        <f t="shared" si="71"/>
        <v/>
      </c>
    </row>
    <row r="340" spans="1:26" x14ac:dyDescent="0.2">
      <c r="A340" t="str">
        <f>INDEX(Prioritization!$D:$D,MATCH($B340,Prioritization!$A:$A,0))</f>
        <v>1 - Scale-up: Saturation</v>
      </c>
      <c r="B340" t="s">
        <v>220</v>
      </c>
      <c r="C340" t="s">
        <v>362</v>
      </c>
      <c r="D340" t="s">
        <v>47</v>
      </c>
      <c r="E340" t="str">
        <f t="shared" si="60"/>
        <v>Thyolo District [ul0y9diGujK]|01-09|Male</v>
      </c>
      <c r="F340" s="14"/>
      <c r="G340" s="90">
        <f>0</f>
        <v>0</v>
      </c>
      <c r="H340" s="42" t="str">
        <f t="shared" si="61"/>
        <v/>
      </c>
      <c r="I340" s="14"/>
      <c r="J340" s="90"/>
      <c r="K340" s="90" t="str">
        <f t="shared" si="62"/>
        <v/>
      </c>
      <c r="L340" s="90"/>
      <c r="M340" s="90" t="str">
        <f t="shared" si="63"/>
        <v/>
      </c>
      <c r="N340" s="14" t="str">
        <f t="shared" si="64"/>
        <v/>
      </c>
      <c r="O340" s="42" t="str">
        <f t="shared" si="65"/>
        <v/>
      </c>
      <c r="P340" s="42" t="str">
        <f t="shared" si="66"/>
        <v/>
      </c>
      <c r="Q340" s="42" t="str">
        <f t="shared" si="67"/>
        <v/>
      </c>
      <c r="R340" s="90" t="str">
        <f>IF(SUM($P340)=0,"",INDEX(Cascade!$BG:$BG,MATCH($E340,Cascade!$E:$E,0)))</f>
        <v/>
      </c>
      <c r="S340" s="42" t="str">
        <f t="shared" si="68"/>
        <v/>
      </c>
      <c r="T340" s="42" t="str">
        <f t="shared" si="69"/>
        <v/>
      </c>
      <c r="U340" s="14" t="str">
        <f>IFERROR(1/(1/INDEX(Cascade!$BH:$BH,MATCH($E340,Cascade!$E:$E,0))),"")</f>
        <v/>
      </c>
      <c r="V340" s="14" t="str">
        <f t="shared" si="70"/>
        <v/>
      </c>
      <c r="W340" s="14" t="str">
        <f>IFERROR(1/(1/INDEX(PMTCT!$AC:$AC,MATCH($E340,PMTCT!$E:$E,0))),"")</f>
        <v/>
      </c>
      <c r="X340" s="14" t="str">
        <f>IFERROR(1/(1/INDEX(PMTCT!$AS:$AS,MATCH($E340,PMTCT!$E:$E,0))),"")</f>
        <v/>
      </c>
      <c r="Y340" s="14" t="str">
        <f>IFERROR(1/(1/INDEX(VMMC!$AA:$AA,MATCH($E340,VMMC!$E:$E,0))),"")</f>
        <v/>
      </c>
      <c r="Z340" s="14" t="str">
        <f t="shared" si="71"/>
        <v/>
      </c>
    </row>
    <row r="341" spans="1:26" x14ac:dyDescent="0.2">
      <c r="A341" t="str">
        <f>INDEX(Prioritization!$D:$D,MATCH($B341,Prioritization!$A:$A,0))</f>
        <v>1 - Scale-up: Saturation</v>
      </c>
      <c r="B341" t="s">
        <v>220</v>
      </c>
      <c r="C341" t="s">
        <v>363</v>
      </c>
      <c r="D341" t="s">
        <v>29</v>
      </c>
      <c r="E341" t="str">
        <f t="shared" si="60"/>
        <v>Thyolo District [ul0y9diGujK]|10-14|Female</v>
      </c>
      <c r="F341" s="14">
        <v>0</v>
      </c>
      <c r="G341" s="90">
        <f>0</f>
        <v>0</v>
      </c>
      <c r="H341" s="42" t="str">
        <f t="shared" si="61"/>
        <v/>
      </c>
      <c r="I341" s="14"/>
      <c r="J341" s="90"/>
      <c r="K341" s="90" t="str">
        <f t="shared" si="62"/>
        <v/>
      </c>
      <c r="L341" s="90"/>
      <c r="M341" s="90" t="str">
        <f t="shared" si="63"/>
        <v/>
      </c>
      <c r="N341" s="14" t="str">
        <f t="shared" si="64"/>
        <v/>
      </c>
      <c r="O341" s="42" t="str">
        <f t="shared" si="65"/>
        <v/>
      </c>
      <c r="P341" s="42" t="str">
        <f t="shared" si="66"/>
        <v/>
      </c>
      <c r="Q341" s="42" t="str">
        <f t="shared" si="67"/>
        <v/>
      </c>
      <c r="R341" s="90" t="str">
        <f>IF(SUM($P341)=0,"",INDEX(Cascade!$BG:$BG,MATCH($E341,Cascade!$E:$E,0)))</f>
        <v/>
      </c>
      <c r="S341" s="42" t="str">
        <f t="shared" si="68"/>
        <v/>
      </c>
      <c r="T341" s="42" t="str">
        <f t="shared" si="69"/>
        <v/>
      </c>
      <c r="U341" s="14">
        <f>IFERROR(1/(1/INDEX(Cascade!$BH:$BH,MATCH($E341,Cascade!$E:$E,0))),"")</f>
        <v>-102</v>
      </c>
      <c r="V341" s="14" t="str">
        <f t="shared" si="70"/>
        <v/>
      </c>
      <c r="W341" s="14" t="str">
        <f>IFERROR(1/(1/INDEX(PMTCT!$AC:$AC,MATCH($E341,PMTCT!$E:$E,0))),"")</f>
        <v/>
      </c>
      <c r="X341" s="14" t="str">
        <f>IFERROR(1/(1/INDEX(PMTCT!$AS:$AS,MATCH($E341,PMTCT!$E:$E,0))),"")</f>
        <v/>
      </c>
      <c r="Y341" s="14" t="str">
        <f>IFERROR(1/(1/INDEX(VMMC!$AA:$AA,MATCH($E341,VMMC!$E:$E,0))),"")</f>
        <v/>
      </c>
      <c r="Z341" s="14">
        <f t="shared" si="71"/>
        <v>-102</v>
      </c>
    </row>
    <row r="342" spans="1:26" x14ac:dyDescent="0.2">
      <c r="A342" t="str">
        <f>INDEX(Prioritization!$D:$D,MATCH($B342,Prioritization!$A:$A,0))</f>
        <v>1 - Scale-up: Saturation</v>
      </c>
      <c r="B342" t="s">
        <v>220</v>
      </c>
      <c r="C342" t="s">
        <v>363</v>
      </c>
      <c r="D342" t="s">
        <v>47</v>
      </c>
      <c r="E342" t="str">
        <f t="shared" si="60"/>
        <v>Thyolo District [ul0y9diGujK]|10-14|Male</v>
      </c>
      <c r="F342" s="14">
        <v>1</v>
      </c>
      <c r="G342" s="90">
        <f>0</f>
        <v>0</v>
      </c>
      <c r="H342" s="42">
        <f t="shared" si="61"/>
        <v>1</v>
      </c>
      <c r="I342" s="14"/>
      <c r="J342" s="90"/>
      <c r="K342" s="90" t="str">
        <f t="shared" si="62"/>
        <v/>
      </c>
      <c r="L342" s="90"/>
      <c r="M342" s="90" t="str">
        <f t="shared" si="63"/>
        <v/>
      </c>
      <c r="N342" s="14">
        <f t="shared" si="64"/>
        <v>1</v>
      </c>
      <c r="O342" s="42" t="str">
        <f t="shared" si="65"/>
        <v>ENTER KNOWN POSITIVITY RATE</v>
      </c>
      <c r="P342" s="42" t="str">
        <f t="shared" si="66"/>
        <v>ENTER YIELD RATE</v>
      </c>
      <c r="Q342" s="42">
        <f t="shared" si="67"/>
        <v>1</v>
      </c>
      <c r="R342" s="90" t="str">
        <f>IF(SUM($P342)=0,"",INDEX(Cascade!$BG:$BG,MATCH($E342,Cascade!$E:$E,0)))</f>
        <v/>
      </c>
      <c r="S342" s="42" t="str">
        <f t="shared" si="68"/>
        <v>ENTER KNOWN POSITIVITY RATE</v>
      </c>
      <c r="T342" s="42" t="str">
        <f t="shared" si="69"/>
        <v/>
      </c>
      <c r="U342" s="14">
        <f>IFERROR(1/(1/INDEX(Cascade!$BH:$BH,MATCH($E342,Cascade!$E:$E,0))),"")</f>
        <v>-95</v>
      </c>
      <c r="V342" s="14" t="str">
        <f t="shared" si="70"/>
        <v/>
      </c>
      <c r="W342" s="14" t="str">
        <f>IFERROR(1/(1/INDEX(PMTCT!$AC:$AC,MATCH($E342,PMTCT!$E:$E,0))),"")</f>
        <v/>
      </c>
      <c r="X342" s="14" t="str">
        <f>IFERROR(1/(1/INDEX(PMTCT!$AS:$AS,MATCH($E342,PMTCT!$E:$E,0))),"")</f>
        <v/>
      </c>
      <c r="Y342" s="14" t="str">
        <f>IFERROR(1/(1/INDEX(VMMC!$AA:$AA,MATCH($E342,VMMC!$E:$E,0))),"")</f>
        <v/>
      </c>
      <c r="Z342" s="14">
        <f t="shared" si="71"/>
        <v>-95</v>
      </c>
    </row>
    <row r="343" spans="1:26" x14ac:dyDescent="0.2">
      <c r="A343" t="str">
        <f>INDEX(Prioritization!$D:$D,MATCH($B343,Prioritization!$A:$A,0))</f>
        <v>1 - Scale-up: Saturation</v>
      </c>
      <c r="B343" t="s">
        <v>220</v>
      </c>
      <c r="C343" t="s">
        <v>364</v>
      </c>
      <c r="D343" t="s">
        <v>29</v>
      </c>
      <c r="E343" t="str">
        <f t="shared" si="60"/>
        <v>Thyolo District [ul0y9diGujK]|15-24|Female</v>
      </c>
      <c r="F343" s="14"/>
      <c r="G343" s="90">
        <f>0</f>
        <v>0</v>
      </c>
      <c r="H343" s="42" t="str">
        <f t="shared" si="61"/>
        <v/>
      </c>
      <c r="I343" s="14"/>
      <c r="J343" s="90"/>
      <c r="K343" s="90" t="str">
        <f t="shared" si="62"/>
        <v/>
      </c>
      <c r="L343" s="90"/>
      <c r="M343" s="90" t="str">
        <f t="shared" si="63"/>
        <v/>
      </c>
      <c r="N343" s="14" t="str">
        <f t="shared" si="64"/>
        <v/>
      </c>
      <c r="O343" s="42" t="str">
        <f t="shared" si="65"/>
        <v/>
      </c>
      <c r="P343" s="42" t="str">
        <f t="shared" si="66"/>
        <v/>
      </c>
      <c r="Q343" s="42" t="str">
        <f t="shared" si="67"/>
        <v/>
      </c>
      <c r="R343" s="90" t="str">
        <f>IF(SUM($P343)=0,"",INDEX(Cascade!$BG:$BG,MATCH($E343,Cascade!$E:$E,0)))</f>
        <v/>
      </c>
      <c r="S343" s="42" t="str">
        <f t="shared" si="68"/>
        <v/>
      </c>
      <c r="T343" s="42" t="str">
        <f t="shared" si="69"/>
        <v/>
      </c>
      <c r="U343" s="14" t="str">
        <f>IFERROR(1/(1/INDEX(Cascade!$BH:$BH,MATCH($E343,Cascade!$E:$E,0))),"")</f>
        <v/>
      </c>
      <c r="V343" s="14" t="str">
        <f t="shared" si="70"/>
        <v/>
      </c>
      <c r="W343" s="14" t="str">
        <f>IFERROR(1/(1/INDEX(PMTCT!$AC:$AC,MATCH($E343,PMTCT!$E:$E,0))),"")</f>
        <v/>
      </c>
      <c r="X343" s="14" t="str">
        <f>IFERROR(1/(1/INDEX(PMTCT!$AS:$AS,MATCH($E343,PMTCT!$E:$E,0))),"")</f>
        <v/>
      </c>
      <c r="Y343" s="14" t="str">
        <f>IFERROR(1/(1/INDEX(VMMC!$AA:$AA,MATCH($E343,VMMC!$E:$E,0))),"")</f>
        <v/>
      </c>
      <c r="Z343" s="14" t="str">
        <f t="shared" si="71"/>
        <v/>
      </c>
    </row>
    <row r="344" spans="1:26" x14ac:dyDescent="0.2">
      <c r="A344" t="str">
        <f>INDEX(Prioritization!$D:$D,MATCH($B344,Prioritization!$A:$A,0))</f>
        <v>1 - Scale-up: Saturation</v>
      </c>
      <c r="B344" t="s">
        <v>220</v>
      </c>
      <c r="C344" t="s">
        <v>364</v>
      </c>
      <c r="D344" t="s">
        <v>47</v>
      </c>
      <c r="E344" t="str">
        <f t="shared" si="60"/>
        <v>Thyolo District [ul0y9diGujK]|15-24|Male</v>
      </c>
      <c r="F344" s="14"/>
      <c r="G344" s="90">
        <f>0</f>
        <v>0</v>
      </c>
      <c r="H344" s="42" t="str">
        <f t="shared" si="61"/>
        <v/>
      </c>
      <c r="I344" s="14"/>
      <c r="J344" s="90"/>
      <c r="K344" s="90" t="str">
        <f t="shared" si="62"/>
        <v/>
      </c>
      <c r="L344" s="90"/>
      <c r="M344" s="90" t="str">
        <f t="shared" si="63"/>
        <v/>
      </c>
      <c r="N344" s="14" t="str">
        <f t="shared" si="64"/>
        <v/>
      </c>
      <c r="O344" s="42" t="str">
        <f t="shared" si="65"/>
        <v/>
      </c>
      <c r="P344" s="42" t="str">
        <f t="shared" si="66"/>
        <v/>
      </c>
      <c r="Q344" s="42" t="str">
        <f t="shared" si="67"/>
        <v/>
      </c>
      <c r="R344" s="90" t="str">
        <f>IF(SUM($P344)=0,"",INDEX(Cascade!$BG:$BG,MATCH($E344,Cascade!$E:$E,0)))</f>
        <v/>
      </c>
      <c r="S344" s="42" t="str">
        <f t="shared" si="68"/>
        <v/>
      </c>
      <c r="T344" s="42" t="str">
        <f t="shared" si="69"/>
        <v/>
      </c>
      <c r="U344" s="14" t="str">
        <f>IFERROR(1/(1/INDEX(Cascade!$BH:$BH,MATCH($E344,Cascade!$E:$E,0))),"")</f>
        <v/>
      </c>
      <c r="V344" s="14" t="str">
        <f t="shared" si="70"/>
        <v/>
      </c>
      <c r="W344" s="14" t="str">
        <f>IFERROR(1/(1/INDEX(PMTCT!$AC:$AC,MATCH($E344,PMTCT!$E:$E,0))),"")</f>
        <v/>
      </c>
      <c r="X344" s="14" t="str">
        <f>IFERROR(1/(1/INDEX(PMTCT!$AS:$AS,MATCH($E344,PMTCT!$E:$E,0))),"")</f>
        <v/>
      </c>
      <c r="Y344" s="14" t="str">
        <f>IFERROR(1/(1/INDEX(VMMC!$AA:$AA,MATCH($E344,VMMC!$E:$E,0))),"")</f>
        <v/>
      </c>
      <c r="Z344" s="14" t="str">
        <f t="shared" si="71"/>
        <v/>
      </c>
    </row>
    <row r="345" spans="1:26" x14ac:dyDescent="0.2">
      <c r="A345" t="str">
        <f>INDEX(Prioritization!$D:$D,MATCH($B345,Prioritization!$A:$A,0))</f>
        <v>1 - Scale-up: Saturation</v>
      </c>
      <c r="B345" t="s">
        <v>220</v>
      </c>
      <c r="C345" t="s">
        <v>365</v>
      </c>
      <c r="D345" t="s">
        <v>29</v>
      </c>
      <c r="E345" t="str">
        <f t="shared" si="60"/>
        <v>Thyolo District [ul0y9diGujK]|25-34|Female</v>
      </c>
      <c r="F345" s="14"/>
      <c r="G345" s="90">
        <f>0</f>
        <v>0</v>
      </c>
      <c r="H345" s="42" t="str">
        <f t="shared" si="61"/>
        <v/>
      </c>
      <c r="I345" s="14"/>
      <c r="J345" s="90"/>
      <c r="K345" s="90" t="str">
        <f t="shared" si="62"/>
        <v/>
      </c>
      <c r="L345" s="90"/>
      <c r="M345" s="90" t="str">
        <f t="shared" si="63"/>
        <v/>
      </c>
      <c r="N345" s="14" t="str">
        <f t="shared" si="64"/>
        <v/>
      </c>
      <c r="O345" s="42" t="str">
        <f t="shared" si="65"/>
        <v/>
      </c>
      <c r="P345" s="42" t="str">
        <f t="shared" si="66"/>
        <v/>
      </c>
      <c r="Q345" s="42" t="str">
        <f t="shared" si="67"/>
        <v/>
      </c>
      <c r="R345" s="90" t="str">
        <f>IF(SUM($P345)=0,"",INDEX(Cascade!$BG:$BG,MATCH($E345,Cascade!$E:$E,0)))</f>
        <v/>
      </c>
      <c r="S345" s="42" t="str">
        <f t="shared" si="68"/>
        <v/>
      </c>
      <c r="T345" s="42" t="str">
        <f t="shared" si="69"/>
        <v/>
      </c>
      <c r="U345" s="14" t="str">
        <f>IFERROR(1/(1/INDEX(Cascade!$BH:$BH,MATCH($E345,Cascade!$E:$E,0))),"")</f>
        <v/>
      </c>
      <c r="V345" s="14" t="str">
        <f t="shared" si="70"/>
        <v/>
      </c>
      <c r="W345" s="14" t="str">
        <f>IFERROR(1/(1/INDEX(PMTCT!$AC:$AC,MATCH($E345,PMTCT!$E:$E,0))),"")</f>
        <v/>
      </c>
      <c r="X345" s="14" t="str">
        <f>IFERROR(1/(1/INDEX(PMTCT!$AS:$AS,MATCH($E345,PMTCT!$E:$E,0))),"")</f>
        <v/>
      </c>
      <c r="Y345" s="14" t="str">
        <f>IFERROR(1/(1/INDEX(VMMC!$AA:$AA,MATCH($E345,VMMC!$E:$E,0))),"")</f>
        <v/>
      </c>
      <c r="Z345" s="14" t="str">
        <f t="shared" si="71"/>
        <v/>
      </c>
    </row>
    <row r="346" spans="1:26" x14ac:dyDescent="0.2">
      <c r="A346" t="str">
        <f>INDEX(Prioritization!$D:$D,MATCH($B346,Prioritization!$A:$A,0))</f>
        <v>1 - Scale-up: Saturation</v>
      </c>
      <c r="B346" t="s">
        <v>220</v>
      </c>
      <c r="C346" t="s">
        <v>365</v>
      </c>
      <c r="D346" t="s">
        <v>47</v>
      </c>
      <c r="E346" t="str">
        <f t="shared" si="60"/>
        <v>Thyolo District [ul0y9diGujK]|25-34|Male</v>
      </c>
      <c r="F346" s="14"/>
      <c r="G346" s="90">
        <f>0</f>
        <v>0</v>
      </c>
      <c r="H346" s="42" t="str">
        <f t="shared" si="61"/>
        <v/>
      </c>
      <c r="I346" s="14"/>
      <c r="J346" s="90"/>
      <c r="K346" s="90" t="str">
        <f t="shared" si="62"/>
        <v/>
      </c>
      <c r="L346" s="90"/>
      <c r="M346" s="90" t="str">
        <f t="shared" si="63"/>
        <v/>
      </c>
      <c r="N346" s="14" t="str">
        <f t="shared" si="64"/>
        <v/>
      </c>
      <c r="O346" s="42" t="str">
        <f t="shared" si="65"/>
        <v/>
      </c>
      <c r="P346" s="42" t="str">
        <f t="shared" si="66"/>
        <v/>
      </c>
      <c r="Q346" s="42" t="str">
        <f t="shared" si="67"/>
        <v/>
      </c>
      <c r="R346" s="90" t="str">
        <f>IF(SUM($P346)=0,"",INDEX(Cascade!$BG:$BG,MATCH($E346,Cascade!$E:$E,0)))</f>
        <v/>
      </c>
      <c r="S346" s="42" t="str">
        <f t="shared" si="68"/>
        <v/>
      </c>
      <c r="T346" s="42" t="str">
        <f t="shared" si="69"/>
        <v/>
      </c>
      <c r="U346" s="14" t="str">
        <f>IFERROR(1/(1/INDEX(Cascade!$BH:$BH,MATCH($E346,Cascade!$E:$E,0))),"")</f>
        <v/>
      </c>
      <c r="V346" s="14" t="str">
        <f t="shared" si="70"/>
        <v/>
      </c>
      <c r="W346" s="14" t="str">
        <f>IFERROR(1/(1/INDEX(PMTCT!$AC:$AC,MATCH($E346,PMTCT!$E:$E,0))),"")</f>
        <v/>
      </c>
      <c r="X346" s="14" t="str">
        <f>IFERROR(1/(1/INDEX(PMTCT!$AS:$AS,MATCH($E346,PMTCT!$E:$E,0))),"")</f>
        <v/>
      </c>
      <c r="Y346" s="14" t="str">
        <f>IFERROR(1/(1/INDEX(VMMC!$AA:$AA,MATCH($E346,VMMC!$E:$E,0))),"")</f>
        <v/>
      </c>
      <c r="Z346" s="14" t="str">
        <f t="shared" si="71"/>
        <v/>
      </c>
    </row>
    <row r="347" spans="1:26" x14ac:dyDescent="0.2">
      <c r="A347" t="str">
        <f>INDEX(Prioritization!$D:$D,MATCH($B347,Prioritization!$A:$A,0))</f>
        <v>1 - Scale-up: Saturation</v>
      </c>
      <c r="B347" t="s">
        <v>220</v>
      </c>
      <c r="C347" t="s">
        <v>366</v>
      </c>
      <c r="D347" t="s">
        <v>29</v>
      </c>
      <c r="E347" t="str">
        <f t="shared" si="60"/>
        <v>Thyolo District [ul0y9diGujK]|35-49|Female</v>
      </c>
      <c r="F347" s="14"/>
      <c r="G347" s="90">
        <f>0</f>
        <v>0</v>
      </c>
      <c r="H347" s="42" t="str">
        <f t="shared" si="61"/>
        <v/>
      </c>
      <c r="I347" s="14"/>
      <c r="J347" s="90"/>
      <c r="K347" s="90" t="str">
        <f t="shared" si="62"/>
        <v/>
      </c>
      <c r="L347" s="90"/>
      <c r="M347" s="90" t="str">
        <f t="shared" si="63"/>
        <v/>
      </c>
      <c r="N347" s="14" t="str">
        <f t="shared" si="64"/>
        <v/>
      </c>
      <c r="O347" s="42" t="str">
        <f t="shared" si="65"/>
        <v/>
      </c>
      <c r="P347" s="42" t="str">
        <f t="shared" si="66"/>
        <v/>
      </c>
      <c r="Q347" s="42" t="str">
        <f t="shared" si="67"/>
        <v/>
      </c>
      <c r="R347" s="90" t="str">
        <f>IF(SUM($P347)=0,"",INDEX(Cascade!$BG:$BG,MATCH($E347,Cascade!$E:$E,0)))</f>
        <v/>
      </c>
      <c r="S347" s="42" t="str">
        <f t="shared" si="68"/>
        <v/>
      </c>
      <c r="T347" s="42" t="str">
        <f t="shared" si="69"/>
        <v/>
      </c>
      <c r="U347" s="14" t="str">
        <f>IFERROR(1/(1/INDEX(Cascade!$BH:$BH,MATCH($E347,Cascade!$E:$E,0))),"")</f>
        <v/>
      </c>
      <c r="V347" s="14" t="str">
        <f t="shared" si="70"/>
        <v/>
      </c>
      <c r="W347" s="14" t="str">
        <f>IFERROR(1/(1/INDEX(PMTCT!$AC:$AC,MATCH($E347,PMTCT!$E:$E,0))),"")</f>
        <v/>
      </c>
      <c r="X347" s="14" t="str">
        <f>IFERROR(1/(1/INDEX(PMTCT!$AS:$AS,MATCH($E347,PMTCT!$E:$E,0))),"")</f>
        <v/>
      </c>
      <c r="Y347" s="14" t="str">
        <f>IFERROR(1/(1/INDEX(VMMC!$AA:$AA,MATCH($E347,VMMC!$E:$E,0))),"")</f>
        <v/>
      </c>
      <c r="Z347" s="14" t="str">
        <f t="shared" si="71"/>
        <v/>
      </c>
    </row>
    <row r="348" spans="1:26" x14ac:dyDescent="0.2">
      <c r="A348" t="str">
        <f>INDEX(Prioritization!$D:$D,MATCH($B348,Prioritization!$A:$A,0))</f>
        <v>1 - Scale-up: Saturation</v>
      </c>
      <c r="B348" t="s">
        <v>220</v>
      </c>
      <c r="C348" t="s">
        <v>366</v>
      </c>
      <c r="D348" t="s">
        <v>47</v>
      </c>
      <c r="E348" t="str">
        <f t="shared" si="60"/>
        <v>Thyolo District [ul0y9diGujK]|35-49|Male</v>
      </c>
      <c r="F348" s="14"/>
      <c r="G348" s="90">
        <f>0</f>
        <v>0</v>
      </c>
      <c r="H348" s="42" t="str">
        <f t="shared" si="61"/>
        <v/>
      </c>
      <c r="I348" s="14"/>
      <c r="J348" s="90"/>
      <c r="K348" s="90" t="str">
        <f t="shared" si="62"/>
        <v/>
      </c>
      <c r="L348" s="90"/>
      <c r="M348" s="90" t="str">
        <f t="shared" si="63"/>
        <v/>
      </c>
      <c r="N348" s="14" t="str">
        <f t="shared" si="64"/>
        <v/>
      </c>
      <c r="O348" s="42" t="str">
        <f t="shared" si="65"/>
        <v/>
      </c>
      <c r="P348" s="42" t="str">
        <f t="shared" si="66"/>
        <v/>
      </c>
      <c r="Q348" s="42" t="str">
        <f t="shared" si="67"/>
        <v/>
      </c>
      <c r="R348" s="90" t="str">
        <f>IF(SUM($P348)=0,"",INDEX(Cascade!$BG:$BG,MATCH($E348,Cascade!$E:$E,0)))</f>
        <v/>
      </c>
      <c r="S348" s="42" t="str">
        <f t="shared" si="68"/>
        <v/>
      </c>
      <c r="T348" s="42" t="str">
        <f t="shared" si="69"/>
        <v/>
      </c>
      <c r="U348" s="14" t="str">
        <f>IFERROR(1/(1/INDEX(Cascade!$BH:$BH,MATCH($E348,Cascade!$E:$E,0))),"")</f>
        <v/>
      </c>
      <c r="V348" s="14" t="str">
        <f t="shared" si="70"/>
        <v/>
      </c>
      <c r="W348" s="14" t="str">
        <f>IFERROR(1/(1/INDEX(PMTCT!$AC:$AC,MATCH($E348,PMTCT!$E:$E,0))),"")</f>
        <v/>
      </c>
      <c r="X348" s="14" t="str">
        <f>IFERROR(1/(1/INDEX(PMTCT!$AS:$AS,MATCH($E348,PMTCT!$E:$E,0))),"")</f>
        <v/>
      </c>
      <c r="Y348" s="14" t="str">
        <f>IFERROR(1/(1/INDEX(VMMC!$AA:$AA,MATCH($E348,VMMC!$E:$E,0))),"")</f>
        <v/>
      </c>
      <c r="Z348" s="14" t="str">
        <f t="shared" si="71"/>
        <v/>
      </c>
    </row>
    <row r="349" spans="1:26" x14ac:dyDescent="0.2">
      <c r="A349" t="str">
        <f>INDEX(Prioritization!$D:$D,MATCH($B349,Prioritization!$A:$A,0))</f>
        <v>1 - Scale-up: Saturation</v>
      </c>
      <c r="B349" t="s">
        <v>220</v>
      </c>
      <c r="C349" t="s">
        <v>367</v>
      </c>
      <c r="D349" t="s">
        <v>29</v>
      </c>
      <c r="E349" t="str">
        <f t="shared" si="60"/>
        <v>Thyolo District [ul0y9diGujK]|50+|Female</v>
      </c>
      <c r="F349" s="14"/>
      <c r="G349" s="90">
        <f>0</f>
        <v>0</v>
      </c>
      <c r="H349" s="42" t="str">
        <f t="shared" si="61"/>
        <v/>
      </c>
      <c r="I349" s="14"/>
      <c r="J349" s="90"/>
      <c r="K349" s="90" t="str">
        <f t="shared" si="62"/>
        <v/>
      </c>
      <c r="L349" s="90"/>
      <c r="M349" s="90" t="str">
        <f t="shared" si="63"/>
        <v/>
      </c>
      <c r="N349" s="14" t="str">
        <f t="shared" si="64"/>
        <v/>
      </c>
      <c r="O349" s="42" t="str">
        <f t="shared" si="65"/>
        <v/>
      </c>
      <c r="P349" s="42" t="str">
        <f t="shared" si="66"/>
        <v/>
      </c>
      <c r="Q349" s="42" t="str">
        <f t="shared" si="67"/>
        <v/>
      </c>
      <c r="R349" s="90" t="str">
        <f>IF(SUM($P349)=0,"",INDEX(Cascade!$BG:$BG,MATCH($E349,Cascade!$E:$E,0)))</f>
        <v/>
      </c>
      <c r="S349" s="42" t="str">
        <f t="shared" si="68"/>
        <v/>
      </c>
      <c r="T349" s="42" t="str">
        <f t="shared" si="69"/>
        <v/>
      </c>
      <c r="U349" s="14" t="str">
        <f>IFERROR(1/(1/INDEX(Cascade!$BH:$BH,MATCH($E349,Cascade!$E:$E,0))),"")</f>
        <v/>
      </c>
      <c r="V349" s="14" t="str">
        <f t="shared" si="70"/>
        <v/>
      </c>
      <c r="W349" s="14" t="str">
        <f>IFERROR(1/(1/INDEX(PMTCT!$AC:$AC,MATCH($E349,PMTCT!$E:$E,0))),"")</f>
        <v/>
      </c>
      <c r="X349" s="14" t="str">
        <f>IFERROR(1/(1/INDEX(PMTCT!$AS:$AS,MATCH($E349,PMTCT!$E:$E,0))),"")</f>
        <v/>
      </c>
      <c r="Y349" s="14" t="str">
        <f>IFERROR(1/(1/INDEX(VMMC!$AA:$AA,MATCH($E349,VMMC!$E:$E,0))),"")</f>
        <v/>
      </c>
      <c r="Z349" s="14" t="str">
        <f t="shared" si="71"/>
        <v/>
      </c>
    </row>
    <row r="350" spans="1:26" x14ac:dyDescent="0.2">
      <c r="A350" t="str">
        <f>INDEX(Prioritization!$D:$D,MATCH($B350,Prioritization!$A:$A,0))</f>
        <v>1 - Scale-up: Saturation</v>
      </c>
      <c r="B350" t="s">
        <v>220</v>
      </c>
      <c r="C350" t="s">
        <v>367</v>
      </c>
      <c r="D350" t="s">
        <v>47</v>
      </c>
      <c r="E350" t="str">
        <f t="shared" si="60"/>
        <v>Thyolo District [ul0y9diGujK]|50+|Male</v>
      </c>
      <c r="F350" s="14"/>
      <c r="G350" s="90">
        <f>0</f>
        <v>0</v>
      </c>
      <c r="H350" s="42" t="str">
        <f t="shared" si="61"/>
        <v/>
      </c>
      <c r="I350" s="14"/>
      <c r="J350" s="90"/>
      <c r="K350" s="90" t="str">
        <f t="shared" si="62"/>
        <v/>
      </c>
      <c r="L350" s="90"/>
      <c r="M350" s="90" t="str">
        <f t="shared" si="63"/>
        <v/>
      </c>
      <c r="N350" s="14" t="str">
        <f t="shared" si="64"/>
        <v/>
      </c>
      <c r="O350" s="42" t="str">
        <f t="shared" si="65"/>
        <v/>
      </c>
      <c r="P350" s="42" t="str">
        <f t="shared" si="66"/>
        <v/>
      </c>
      <c r="Q350" s="42" t="str">
        <f t="shared" si="67"/>
        <v/>
      </c>
      <c r="R350" s="90" t="str">
        <f>IF(SUM($P350)=0,"",INDEX(Cascade!$BG:$BG,MATCH($E350,Cascade!$E:$E,0)))</f>
        <v/>
      </c>
      <c r="S350" s="42" t="str">
        <f t="shared" si="68"/>
        <v/>
      </c>
      <c r="T350" s="42" t="str">
        <f t="shared" si="69"/>
        <v/>
      </c>
      <c r="U350" s="14" t="str">
        <f>IFERROR(1/(1/INDEX(Cascade!$BH:$BH,MATCH($E350,Cascade!$E:$E,0))),"")</f>
        <v/>
      </c>
      <c r="V350" s="14" t="str">
        <f t="shared" si="70"/>
        <v/>
      </c>
      <c r="W350" s="14" t="str">
        <f>IFERROR(1/(1/INDEX(PMTCT!$AC:$AC,MATCH($E350,PMTCT!$E:$E,0))),"")</f>
        <v/>
      </c>
      <c r="X350" s="14" t="str">
        <f>IFERROR(1/(1/INDEX(PMTCT!$AS:$AS,MATCH($E350,PMTCT!$E:$E,0))),"")</f>
        <v/>
      </c>
      <c r="Y350" s="14" t="str">
        <f>IFERROR(1/(1/INDEX(VMMC!$AA:$AA,MATCH($E350,VMMC!$E:$E,0))),"")</f>
        <v/>
      </c>
      <c r="Z350" s="14" t="str">
        <f t="shared" si="71"/>
        <v/>
      </c>
    </row>
    <row r="351" spans="1:26" x14ac:dyDescent="0.2">
      <c r="A351" t="str">
        <f>INDEX(Prioritization!$D:$D,MATCH($B351,Prioritization!$A:$A,0))</f>
        <v>1 - Scale-up: Saturation</v>
      </c>
      <c r="B351" t="s">
        <v>221</v>
      </c>
      <c r="C351" t="s">
        <v>362</v>
      </c>
      <c r="D351" t="s">
        <v>29</v>
      </c>
      <c r="E351" t="str">
        <f t="shared" si="60"/>
        <v>Zomba District [fyEoGEPERdI]|01-09|Female</v>
      </c>
      <c r="F351" s="14"/>
      <c r="G351" s="90">
        <f>0</f>
        <v>0</v>
      </c>
      <c r="H351" s="42" t="str">
        <f t="shared" si="61"/>
        <v/>
      </c>
      <c r="I351" s="14"/>
      <c r="J351" s="90"/>
      <c r="K351" s="90" t="str">
        <f t="shared" si="62"/>
        <v/>
      </c>
      <c r="L351" s="90"/>
      <c r="M351" s="90" t="str">
        <f t="shared" si="63"/>
        <v/>
      </c>
      <c r="N351" s="14" t="str">
        <f t="shared" si="64"/>
        <v/>
      </c>
      <c r="O351" s="42" t="str">
        <f t="shared" si="65"/>
        <v/>
      </c>
      <c r="P351" s="42" t="str">
        <f t="shared" si="66"/>
        <v/>
      </c>
      <c r="Q351" s="42" t="str">
        <f t="shared" si="67"/>
        <v/>
      </c>
      <c r="R351" s="90" t="str">
        <f>IF(SUM($P351)=0,"",INDEX(Cascade!$BG:$BG,MATCH($E351,Cascade!$E:$E,0)))</f>
        <v/>
      </c>
      <c r="S351" s="42" t="str">
        <f t="shared" si="68"/>
        <v/>
      </c>
      <c r="T351" s="42" t="str">
        <f t="shared" si="69"/>
        <v/>
      </c>
      <c r="U351" s="14" t="str">
        <f>IFERROR(1/(1/INDEX(Cascade!$BH:$BH,MATCH($E351,Cascade!$E:$E,0))),"")</f>
        <v/>
      </c>
      <c r="V351" s="14" t="str">
        <f t="shared" si="70"/>
        <v/>
      </c>
      <c r="W351" s="14" t="str">
        <f>IFERROR(1/(1/INDEX(PMTCT!$AC:$AC,MATCH($E351,PMTCT!$E:$E,0))),"")</f>
        <v/>
      </c>
      <c r="X351" s="14" t="str">
        <f>IFERROR(1/(1/INDEX(PMTCT!$AS:$AS,MATCH($E351,PMTCT!$E:$E,0))),"")</f>
        <v/>
      </c>
      <c r="Y351" s="14" t="str">
        <f>IFERROR(1/(1/INDEX(VMMC!$AA:$AA,MATCH($E351,VMMC!$E:$E,0))),"")</f>
        <v/>
      </c>
      <c r="Z351" s="14" t="str">
        <f t="shared" si="71"/>
        <v/>
      </c>
    </row>
    <row r="352" spans="1:26" x14ac:dyDescent="0.2">
      <c r="A352" t="str">
        <f>INDEX(Prioritization!$D:$D,MATCH($B352,Prioritization!$A:$A,0))</f>
        <v>1 - Scale-up: Saturation</v>
      </c>
      <c r="B352" t="s">
        <v>221</v>
      </c>
      <c r="C352" t="s">
        <v>362</v>
      </c>
      <c r="D352" t="s">
        <v>47</v>
      </c>
      <c r="E352" t="str">
        <f t="shared" si="60"/>
        <v>Zomba District [fyEoGEPERdI]|01-09|Male</v>
      </c>
      <c r="F352" s="14"/>
      <c r="G352" s="90">
        <f>0</f>
        <v>0</v>
      </c>
      <c r="H352" s="42" t="str">
        <f t="shared" si="61"/>
        <v/>
      </c>
      <c r="I352" s="14"/>
      <c r="J352" s="90"/>
      <c r="K352" s="90" t="str">
        <f t="shared" si="62"/>
        <v/>
      </c>
      <c r="L352" s="90"/>
      <c r="M352" s="90" t="str">
        <f t="shared" si="63"/>
        <v/>
      </c>
      <c r="N352" s="14" t="str">
        <f t="shared" si="64"/>
        <v/>
      </c>
      <c r="O352" s="42" t="str">
        <f t="shared" si="65"/>
        <v/>
      </c>
      <c r="P352" s="42" t="str">
        <f t="shared" si="66"/>
        <v/>
      </c>
      <c r="Q352" s="42" t="str">
        <f t="shared" si="67"/>
        <v/>
      </c>
      <c r="R352" s="90" t="str">
        <f>IF(SUM($P352)=0,"",INDEX(Cascade!$BG:$BG,MATCH($E352,Cascade!$E:$E,0)))</f>
        <v/>
      </c>
      <c r="S352" s="42" t="str">
        <f t="shared" si="68"/>
        <v/>
      </c>
      <c r="T352" s="42" t="str">
        <f t="shared" si="69"/>
        <v/>
      </c>
      <c r="U352" s="14" t="str">
        <f>IFERROR(1/(1/INDEX(Cascade!$BH:$BH,MATCH($E352,Cascade!$E:$E,0))),"")</f>
        <v/>
      </c>
      <c r="V352" s="14" t="str">
        <f t="shared" si="70"/>
        <v/>
      </c>
      <c r="W352" s="14" t="str">
        <f>IFERROR(1/(1/INDEX(PMTCT!$AC:$AC,MATCH($E352,PMTCT!$E:$E,0))),"")</f>
        <v/>
      </c>
      <c r="X352" s="14" t="str">
        <f>IFERROR(1/(1/INDEX(PMTCT!$AS:$AS,MATCH($E352,PMTCT!$E:$E,0))),"")</f>
        <v/>
      </c>
      <c r="Y352" s="14" t="str">
        <f>IFERROR(1/(1/INDEX(VMMC!$AA:$AA,MATCH($E352,VMMC!$E:$E,0))),"")</f>
        <v/>
      </c>
      <c r="Z352" s="14" t="str">
        <f t="shared" si="71"/>
        <v/>
      </c>
    </row>
    <row r="353" spans="1:26" x14ac:dyDescent="0.2">
      <c r="A353" t="str">
        <f>INDEX(Prioritization!$D:$D,MATCH($B353,Prioritization!$A:$A,0))</f>
        <v>1 - Scale-up: Saturation</v>
      </c>
      <c r="B353" t="s">
        <v>221</v>
      </c>
      <c r="C353" t="s">
        <v>363</v>
      </c>
      <c r="D353" t="s">
        <v>29</v>
      </c>
      <c r="E353" t="str">
        <f t="shared" si="60"/>
        <v>Zomba District [fyEoGEPERdI]|10-14|Female</v>
      </c>
      <c r="F353" s="14">
        <v>4</v>
      </c>
      <c r="G353" s="90">
        <f>0</f>
        <v>0</v>
      </c>
      <c r="H353" s="42">
        <f t="shared" si="61"/>
        <v>4</v>
      </c>
      <c r="I353" s="14"/>
      <c r="J353" s="90"/>
      <c r="K353" s="90" t="str">
        <f t="shared" si="62"/>
        <v/>
      </c>
      <c r="L353" s="90"/>
      <c r="M353" s="90" t="str">
        <f t="shared" si="63"/>
        <v/>
      </c>
      <c r="N353" s="14">
        <f t="shared" si="64"/>
        <v>4</v>
      </c>
      <c r="O353" s="42" t="str">
        <f t="shared" si="65"/>
        <v>ENTER KNOWN POSITIVITY RATE</v>
      </c>
      <c r="P353" s="42" t="str">
        <f t="shared" si="66"/>
        <v>ENTER YIELD RATE</v>
      </c>
      <c r="Q353" s="42">
        <f t="shared" si="67"/>
        <v>4</v>
      </c>
      <c r="R353" s="90" t="str">
        <f>IF(SUM($P353)=0,"",INDEX(Cascade!$BG:$BG,MATCH($E353,Cascade!$E:$E,0)))</f>
        <v/>
      </c>
      <c r="S353" s="42" t="str">
        <f t="shared" si="68"/>
        <v>ENTER KNOWN POSITIVITY RATE</v>
      </c>
      <c r="T353" s="42" t="str">
        <f t="shared" si="69"/>
        <v/>
      </c>
      <c r="U353" s="14">
        <f>IFERROR(1/(1/INDEX(Cascade!$BH:$BH,MATCH($E353,Cascade!$E:$E,0))),"")</f>
        <v>-25</v>
      </c>
      <c r="V353" s="14" t="str">
        <f t="shared" si="70"/>
        <v/>
      </c>
      <c r="W353" s="14">
        <f>IFERROR(1/(1/INDEX(PMTCT!$AC:$AC,MATCH($E353,PMTCT!$E:$E,0))),"")</f>
        <v>1</v>
      </c>
      <c r="X353" s="14" t="str">
        <f>IFERROR(1/(1/INDEX(PMTCT!$AS:$AS,MATCH($E353,PMTCT!$E:$E,0))),"")</f>
        <v/>
      </c>
      <c r="Y353" s="14" t="str">
        <f>IFERROR(1/(1/INDEX(VMMC!$AA:$AA,MATCH($E353,VMMC!$E:$E,0))),"")</f>
        <v/>
      </c>
      <c r="Z353" s="14">
        <f t="shared" si="71"/>
        <v>-26</v>
      </c>
    </row>
    <row r="354" spans="1:26" x14ac:dyDescent="0.2">
      <c r="A354" t="str">
        <f>INDEX(Prioritization!$D:$D,MATCH($B354,Prioritization!$A:$A,0))</f>
        <v>1 - Scale-up: Saturation</v>
      </c>
      <c r="B354" t="s">
        <v>221</v>
      </c>
      <c r="C354" t="s">
        <v>363</v>
      </c>
      <c r="D354" t="s">
        <v>47</v>
      </c>
      <c r="E354" t="str">
        <f t="shared" si="60"/>
        <v>Zomba District [fyEoGEPERdI]|10-14|Male</v>
      </c>
      <c r="F354" s="14">
        <v>5</v>
      </c>
      <c r="G354" s="90">
        <f>0</f>
        <v>0</v>
      </c>
      <c r="H354" s="42">
        <f t="shared" si="61"/>
        <v>5</v>
      </c>
      <c r="I354" s="14"/>
      <c r="J354" s="90"/>
      <c r="K354" s="90" t="str">
        <f t="shared" si="62"/>
        <v/>
      </c>
      <c r="L354" s="90"/>
      <c r="M354" s="90" t="str">
        <f t="shared" si="63"/>
        <v/>
      </c>
      <c r="N354" s="14">
        <f t="shared" si="64"/>
        <v>5</v>
      </c>
      <c r="O354" s="42" t="str">
        <f t="shared" si="65"/>
        <v>ENTER KNOWN POSITIVITY RATE</v>
      </c>
      <c r="P354" s="42" t="str">
        <f t="shared" si="66"/>
        <v>ENTER YIELD RATE</v>
      </c>
      <c r="Q354" s="42">
        <f t="shared" si="67"/>
        <v>5</v>
      </c>
      <c r="R354" s="90" t="str">
        <f>IF(SUM($P354)=0,"",INDEX(Cascade!$BG:$BG,MATCH($E354,Cascade!$E:$E,0)))</f>
        <v/>
      </c>
      <c r="S354" s="42" t="str">
        <f t="shared" si="68"/>
        <v>ENTER KNOWN POSITIVITY RATE</v>
      </c>
      <c r="T354" s="42" t="str">
        <f t="shared" si="69"/>
        <v/>
      </c>
      <c r="U354" s="14">
        <f>IFERROR(1/(1/INDEX(Cascade!$BH:$BH,MATCH($E354,Cascade!$E:$E,0))),"")</f>
        <v>-53</v>
      </c>
      <c r="V354" s="14" t="str">
        <f t="shared" si="70"/>
        <v/>
      </c>
      <c r="W354" s="14" t="str">
        <f>IFERROR(1/(1/INDEX(PMTCT!$AC:$AC,MATCH($E354,PMTCT!$E:$E,0))),"")</f>
        <v/>
      </c>
      <c r="X354" s="14" t="str">
        <f>IFERROR(1/(1/INDEX(PMTCT!$AS:$AS,MATCH($E354,PMTCT!$E:$E,0))),"")</f>
        <v/>
      </c>
      <c r="Y354" s="14" t="str">
        <f>IFERROR(1/(1/INDEX(VMMC!$AA:$AA,MATCH($E354,VMMC!$E:$E,0))),"")</f>
        <v/>
      </c>
      <c r="Z354" s="14">
        <f t="shared" si="71"/>
        <v>-53</v>
      </c>
    </row>
    <row r="355" spans="1:26" x14ac:dyDescent="0.2">
      <c r="A355" t="str">
        <f>INDEX(Prioritization!$D:$D,MATCH($B355,Prioritization!$A:$A,0))</f>
        <v>1 - Scale-up: Saturation</v>
      </c>
      <c r="B355" t="s">
        <v>221</v>
      </c>
      <c r="C355" t="s">
        <v>364</v>
      </c>
      <c r="D355" t="s">
        <v>29</v>
      </c>
      <c r="E355" t="str">
        <f t="shared" si="60"/>
        <v>Zomba District [fyEoGEPERdI]|15-24|Female</v>
      </c>
      <c r="F355" s="14"/>
      <c r="G355" s="90">
        <f>0</f>
        <v>0</v>
      </c>
      <c r="H355" s="42" t="str">
        <f t="shared" si="61"/>
        <v/>
      </c>
      <c r="I355" s="14"/>
      <c r="J355" s="90"/>
      <c r="K355" s="90" t="str">
        <f t="shared" si="62"/>
        <v/>
      </c>
      <c r="L355" s="90"/>
      <c r="M355" s="90" t="str">
        <f t="shared" si="63"/>
        <v/>
      </c>
      <c r="N355" s="14" t="str">
        <f t="shared" si="64"/>
        <v/>
      </c>
      <c r="O355" s="42" t="str">
        <f t="shared" si="65"/>
        <v/>
      </c>
      <c r="P355" s="42" t="str">
        <f t="shared" si="66"/>
        <v/>
      </c>
      <c r="Q355" s="42" t="str">
        <f t="shared" si="67"/>
        <v/>
      </c>
      <c r="R355" s="90" t="str">
        <f>IF(SUM($P355)=0,"",INDEX(Cascade!$BG:$BG,MATCH($E355,Cascade!$E:$E,0)))</f>
        <v/>
      </c>
      <c r="S355" s="42" t="str">
        <f t="shared" si="68"/>
        <v/>
      </c>
      <c r="T355" s="42" t="str">
        <f t="shared" si="69"/>
        <v/>
      </c>
      <c r="U355" s="14" t="str">
        <f>IFERROR(1/(1/INDEX(Cascade!$BH:$BH,MATCH($E355,Cascade!$E:$E,0))),"")</f>
        <v/>
      </c>
      <c r="V355" s="14" t="str">
        <f t="shared" si="70"/>
        <v/>
      </c>
      <c r="W355" s="14" t="str">
        <f>IFERROR(1/(1/INDEX(PMTCT!$AC:$AC,MATCH($E355,PMTCT!$E:$E,0))),"")</f>
        <v/>
      </c>
      <c r="X355" s="14" t="str">
        <f>IFERROR(1/(1/INDEX(PMTCT!$AS:$AS,MATCH($E355,PMTCT!$E:$E,0))),"")</f>
        <v/>
      </c>
      <c r="Y355" s="14" t="str">
        <f>IFERROR(1/(1/INDEX(VMMC!$AA:$AA,MATCH($E355,VMMC!$E:$E,0))),"")</f>
        <v/>
      </c>
      <c r="Z355" s="14" t="str">
        <f t="shared" si="71"/>
        <v/>
      </c>
    </row>
    <row r="356" spans="1:26" x14ac:dyDescent="0.2">
      <c r="A356" t="str">
        <f>INDEX(Prioritization!$D:$D,MATCH($B356,Prioritization!$A:$A,0))</f>
        <v>1 - Scale-up: Saturation</v>
      </c>
      <c r="B356" t="s">
        <v>221</v>
      </c>
      <c r="C356" t="s">
        <v>364</v>
      </c>
      <c r="D356" t="s">
        <v>47</v>
      </c>
      <c r="E356" t="str">
        <f t="shared" si="60"/>
        <v>Zomba District [fyEoGEPERdI]|15-24|Male</v>
      </c>
      <c r="F356" s="14"/>
      <c r="G356" s="90">
        <f>0</f>
        <v>0</v>
      </c>
      <c r="H356" s="42" t="str">
        <f t="shared" si="61"/>
        <v/>
      </c>
      <c r="I356" s="14"/>
      <c r="J356" s="90"/>
      <c r="K356" s="90" t="str">
        <f t="shared" si="62"/>
        <v/>
      </c>
      <c r="L356" s="90"/>
      <c r="M356" s="90" t="str">
        <f t="shared" si="63"/>
        <v/>
      </c>
      <c r="N356" s="14" t="str">
        <f t="shared" si="64"/>
        <v/>
      </c>
      <c r="O356" s="42" t="str">
        <f t="shared" si="65"/>
        <v/>
      </c>
      <c r="P356" s="42" t="str">
        <f t="shared" si="66"/>
        <v/>
      </c>
      <c r="Q356" s="42" t="str">
        <f t="shared" si="67"/>
        <v/>
      </c>
      <c r="R356" s="90" t="str">
        <f>IF(SUM($P356)=0,"",INDEX(Cascade!$BG:$BG,MATCH($E356,Cascade!$E:$E,0)))</f>
        <v/>
      </c>
      <c r="S356" s="42" t="str">
        <f t="shared" si="68"/>
        <v/>
      </c>
      <c r="T356" s="42" t="str">
        <f t="shared" si="69"/>
        <v/>
      </c>
      <c r="U356" s="14" t="str">
        <f>IFERROR(1/(1/INDEX(Cascade!$BH:$BH,MATCH($E356,Cascade!$E:$E,0))),"")</f>
        <v/>
      </c>
      <c r="V356" s="14" t="str">
        <f t="shared" si="70"/>
        <v/>
      </c>
      <c r="W356" s="14" t="str">
        <f>IFERROR(1/(1/INDEX(PMTCT!$AC:$AC,MATCH($E356,PMTCT!$E:$E,0))),"")</f>
        <v/>
      </c>
      <c r="X356" s="14" t="str">
        <f>IFERROR(1/(1/INDEX(PMTCT!$AS:$AS,MATCH($E356,PMTCT!$E:$E,0))),"")</f>
        <v/>
      </c>
      <c r="Y356" s="14" t="str">
        <f>IFERROR(1/(1/INDEX(VMMC!$AA:$AA,MATCH($E356,VMMC!$E:$E,0))),"")</f>
        <v/>
      </c>
      <c r="Z356" s="14" t="str">
        <f t="shared" si="71"/>
        <v/>
      </c>
    </row>
    <row r="357" spans="1:26" x14ac:dyDescent="0.2">
      <c r="A357" t="str">
        <f>INDEX(Prioritization!$D:$D,MATCH($B357,Prioritization!$A:$A,0))</f>
        <v>1 - Scale-up: Saturation</v>
      </c>
      <c r="B357" t="s">
        <v>221</v>
      </c>
      <c r="C357" t="s">
        <v>365</v>
      </c>
      <c r="D357" t="s">
        <v>29</v>
      </c>
      <c r="E357" t="str">
        <f t="shared" si="60"/>
        <v>Zomba District [fyEoGEPERdI]|25-34|Female</v>
      </c>
      <c r="F357" s="14"/>
      <c r="G357" s="90">
        <f>0</f>
        <v>0</v>
      </c>
      <c r="H357" s="42" t="str">
        <f t="shared" si="61"/>
        <v/>
      </c>
      <c r="I357" s="14"/>
      <c r="J357" s="90"/>
      <c r="K357" s="90" t="str">
        <f t="shared" si="62"/>
        <v/>
      </c>
      <c r="L357" s="90"/>
      <c r="M357" s="90" t="str">
        <f t="shared" si="63"/>
        <v/>
      </c>
      <c r="N357" s="14" t="str">
        <f t="shared" si="64"/>
        <v/>
      </c>
      <c r="O357" s="42" t="str">
        <f t="shared" si="65"/>
        <v/>
      </c>
      <c r="P357" s="42" t="str">
        <f t="shared" si="66"/>
        <v/>
      </c>
      <c r="Q357" s="42" t="str">
        <f t="shared" si="67"/>
        <v/>
      </c>
      <c r="R357" s="90" t="str">
        <f>IF(SUM($P357)=0,"",INDEX(Cascade!$BG:$BG,MATCH($E357,Cascade!$E:$E,0)))</f>
        <v/>
      </c>
      <c r="S357" s="42" t="str">
        <f t="shared" si="68"/>
        <v/>
      </c>
      <c r="T357" s="42" t="str">
        <f t="shared" si="69"/>
        <v/>
      </c>
      <c r="U357" s="14" t="str">
        <f>IFERROR(1/(1/INDEX(Cascade!$BH:$BH,MATCH($E357,Cascade!$E:$E,0))),"")</f>
        <v/>
      </c>
      <c r="V357" s="14" t="str">
        <f t="shared" si="70"/>
        <v/>
      </c>
      <c r="W357" s="14" t="str">
        <f>IFERROR(1/(1/INDEX(PMTCT!$AC:$AC,MATCH($E357,PMTCT!$E:$E,0))),"")</f>
        <v/>
      </c>
      <c r="X357" s="14" t="str">
        <f>IFERROR(1/(1/INDEX(PMTCT!$AS:$AS,MATCH($E357,PMTCT!$E:$E,0))),"")</f>
        <v/>
      </c>
      <c r="Y357" s="14" t="str">
        <f>IFERROR(1/(1/INDEX(VMMC!$AA:$AA,MATCH($E357,VMMC!$E:$E,0))),"")</f>
        <v/>
      </c>
      <c r="Z357" s="14" t="str">
        <f t="shared" si="71"/>
        <v/>
      </c>
    </row>
    <row r="358" spans="1:26" x14ac:dyDescent="0.2">
      <c r="A358" t="str">
        <f>INDEX(Prioritization!$D:$D,MATCH($B358,Prioritization!$A:$A,0))</f>
        <v>1 - Scale-up: Saturation</v>
      </c>
      <c r="B358" t="s">
        <v>221</v>
      </c>
      <c r="C358" t="s">
        <v>365</v>
      </c>
      <c r="D358" t="s">
        <v>47</v>
      </c>
      <c r="E358" t="str">
        <f t="shared" si="60"/>
        <v>Zomba District [fyEoGEPERdI]|25-34|Male</v>
      </c>
      <c r="F358" s="14"/>
      <c r="G358" s="90">
        <f>0</f>
        <v>0</v>
      </c>
      <c r="H358" s="42" t="str">
        <f t="shared" si="61"/>
        <v/>
      </c>
      <c r="I358" s="14"/>
      <c r="J358" s="90"/>
      <c r="K358" s="90" t="str">
        <f t="shared" si="62"/>
        <v/>
      </c>
      <c r="L358" s="90"/>
      <c r="M358" s="90" t="str">
        <f t="shared" si="63"/>
        <v/>
      </c>
      <c r="N358" s="14" t="str">
        <f t="shared" si="64"/>
        <v/>
      </c>
      <c r="O358" s="42" t="str">
        <f t="shared" si="65"/>
        <v/>
      </c>
      <c r="P358" s="42" t="str">
        <f t="shared" si="66"/>
        <v/>
      </c>
      <c r="Q358" s="42" t="str">
        <f t="shared" si="67"/>
        <v/>
      </c>
      <c r="R358" s="90" t="str">
        <f>IF(SUM($P358)=0,"",INDEX(Cascade!$BG:$BG,MATCH($E358,Cascade!$E:$E,0)))</f>
        <v/>
      </c>
      <c r="S358" s="42" t="str">
        <f t="shared" si="68"/>
        <v/>
      </c>
      <c r="T358" s="42" t="str">
        <f t="shared" si="69"/>
        <v/>
      </c>
      <c r="U358" s="14" t="str">
        <f>IFERROR(1/(1/INDEX(Cascade!$BH:$BH,MATCH($E358,Cascade!$E:$E,0))),"")</f>
        <v/>
      </c>
      <c r="V358" s="14" t="str">
        <f t="shared" si="70"/>
        <v/>
      </c>
      <c r="W358" s="14" t="str">
        <f>IFERROR(1/(1/INDEX(PMTCT!$AC:$AC,MATCH($E358,PMTCT!$E:$E,0))),"")</f>
        <v/>
      </c>
      <c r="X358" s="14" t="str">
        <f>IFERROR(1/(1/INDEX(PMTCT!$AS:$AS,MATCH($E358,PMTCT!$E:$E,0))),"")</f>
        <v/>
      </c>
      <c r="Y358" s="14" t="str">
        <f>IFERROR(1/(1/INDEX(VMMC!$AA:$AA,MATCH($E358,VMMC!$E:$E,0))),"")</f>
        <v/>
      </c>
      <c r="Z358" s="14" t="str">
        <f t="shared" si="71"/>
        <v/>
      </c>
    </row>
    <row r="359" spans="1:26" x14ac:dyDescent="0.2">
      <c r="A359" t="str">
        <f>INDEX(Prioritization!$D:$D,MATCH($B359,Prioritization!$A:$A,0))</f>
        <v>1 - Scale-up: Saturation</v>
      </c>
      <c r="B359" t="s">
        <v>221</v>
      </c>
      <c r="C359" t="s">
        <v>366</v>
      </c>
      <c r="D359" t="s">
        <v>29</v>
      </c>
      <c r="E359" t="str">
        <f t="shared" si="60"/>
        <v>Zomba District [fyEoGEPERdI]|35-49|Female</v>
      </c>
      <c r="F359" s="14"/>
      <c r="G359" s="90">
        <f>0</f>
        <v>0</v>
      </c>
      <c r="H359" s="42" t="str">
        <f t="shared" si="61"/>
        <v/>
      </c>
      <c r="I359" s="14"/>
      <c r="J359" s="90"/>
      <c r="K359" s="90" t="str">
        <f t="shared" si="62"/>
        <v/>
      </c>
      <c r="L359" s="90"/>
      <c r="M359" s="90" t="str">
        <f t="shared" si="63"/>
        <v/>
      </c>
      <c r="N359" s="14" t="str">
        <f t="shared" si="64"/>
        <v/>
      </c>
      <c r="O359" s="42" t="str">
        <f t="shared" si="65"/>
        <v/>
      </c>
      <c r="P359" s="42" t="str">
        <f t="shared" si="66"/>
        <v/>
      </c>
      <c r="Q359" s="42" t="str">
        <f t="shared" si="67"/>
        <v/>
      </c>
      <c r="R359" s="90" t="str">
        <f>IF(SUM($P359)=0,"",INDEX(Cascade!$BG:$BG,MATCH($E359,Cascade!$E:$E,0)))</f>
        <v/>
      </c>
      <c r="S359" s="42" t="str">
        <f t="shared" si="68"/>
        <v/>
      </c>
      <c r="T359" s="42" t="str">
        <f t="shared" si="69"/>
        <v/>
      </c>
      <c r="U359" s="14" t="str">
        <f>IFERROR(1/(1/INDEX(Cascade!$BH:$BH,MATCH($E359,Cascade!$E:$E,0))),"")</f>
        <v/>
      </c>
      <c r="V359" s="14" t="str">
        <f t="shared" si="70"/>
        <v/>
      </c>
      <c r="W359" s="14" t="str">
        <f>IFERROR(1/(1/INDEX(PMTCT!$AC:$AC,MATCH($E359,PMTCT!$E:$E,0))),"")</f>
        <v/>
      </c>
      <c r="X359" s="14" t="str">
        <f>IFERROR(1/(1/INDEX(PMTCT!$AS:$AS,MATCH($E359,PMTCT!$E:$E,0))),"")</f>
        <v/>
      </c>
      <c r="Y359" s="14" t="str">
        <f>IFERROR(1/(1/INDEX(VMMC!$AA:$AA,MATCH($E359,VMMC!$E:$E,0))),"")</f>
        <v/>
      </c>
      <c r="Z359" s="14" t="str">
        <f t="shared" si="71"/>
        <v/>
      </c>
    </row>
    <row r="360" spans="1:26" x14ac:dyDescent="0.2">
      <c r="A360" t="str">
        <f>INDEX(Prioritization!$D:$D,MATCH($B360,Prioritization!$A:$A,0))</f>
        <v>1 - Scale-up: Saturation</v>
      </c>
      <c r="B360" t="s">
        <v>221</v>
      </c>
      <c r="C360" t="s">
        <v>366</v>
      </c>
      <c r="D360" t="s">
        <v>47</v>
      </c>
      <c r="E360" t="str">
        <f t="shared" si="60"/>
        <v>Zomba District [fyEoGEPERdI]|35-49|Male</v>
      </c>
      <c r="F360" s="14"/>
      <c r="G360" s="90">
        <f>0</f>
        <v>0</v>
      </c>
      <c r="H360" s="42" t="str">
        <f t="shared" si="61"/>
        <v/>
      </c>
      <c r="I360" s="14"/>
      <c r="J360" s="90"/>
      <c r="K360" s="90" t="str">
        <f t="shared" si="62"/>
        <v/>
      </c>
      <c r="L360" s="90"/>
      <c r="M360" s="90" t="str">
        <f t="shared" si="63"/>
        <v/>
      </c>
      <c r="N360" s="14" t="str">
        <f t="shared" si="64"/>
        <v/>
      </c>
      <c r="O360" s="42" t="str">
        <f t="shared" si="65"/>
        <v/>
      </c>
      <c r="P360" s="42" t="str">
        <f t="shared" si="66"/>
        <v/>
      </c>
      <c r="Q360" s="42" t="str">
        <f t="shared" si="67"/>
        <v/>
      </c>
      <c r="R360" s="90" t="str">
        <f>IF(SUM($P360)=0,"",INDEX(Cascade!$BG:$BG,MATCH($E360,Cascade!$E:$E,0)))</f>
        <v/>
      </c>
      <c r="S360" s="42" t="str">
        <f t="shared" si="68"/>
        <v/>
      </c>
      <c r="T360" s="42" t="str">
        <f t="shared" si="69"/>
        <v/>
      </c>
      <c r="U360" s="14" t="str">
        <f>IFERROR(1/(1/INDEX(Cascade!$BH:$BH,MATCH($E360,Cascade!$E:$E,0))),"")</f>
        <v/>
      </c>
      <c r="V360" s="14" t="str">
        <f t="shared" si="70"/>
        <v/>
      </c>
      <c r="W360" s="14" t="str">
        <f>IFERROR(1/(1/INDEX(PMTCT!$AC:$AC,MATCH($E360,PMTCT!$E:$E,0))),"")</f>
        <v/>
      </c>
      <c r="X360" s="14" t="str">
        <f>IFERROR(1/(1/INDEX(PMTCT!$AS:$AS,MATCH($E360,PMTCT!$E:$E,0))),"")</f>
        <v/>
      </c>
      <c r="Y360" s="14" t="str">
        <f>IFERROR(1/(1/INDEX(VMMC!$AA:$AA,MATCH($E360,VMMC!$E:$E,0))),"")</f>
        <v/>
      </c>
      <c r="Z360" s="14" t="str">
        <f t="shared" si="71"/>
        <v/>
      </c>
    </row>
    <row r="361" spans="1:26" x14ac:dyDescent="0.2">
      <c r="A361" t="str">
        <f>INDEX(Prioritization!$D:$D,MATCH($B361,Prioritization!$A:$A,0))</f>
        <v>1 - Scale-up: Saturation</v>
      </c>
      <c r="B361" t="s">
        <v>221</v>
      </c>
      <c r="C361" t="s">
        <v>367</v>
      </c>
      <c r="D361" t="s">
        <v>29</v>
      </c>
      <c r="E361" t="str">
        <f t="shared" si="60"/>
        <v>Zomba District [fyEoGEPERdI]|50+|Female</v>
      </c>
      <c r="F361" s="14"/>
      <c r="G361" s="90">
        <f>0</f>
        <v>0</v>
      </c>
      <c r="H361" s="42" t="str">
        <f t="shared" si="61"/>
        <v/>
      </c>
      <c r="I361" s="14"/>
      <c r="J361" s="90"/>
      <c r="K361" s="90" t="str">
        <f t="shared" si="62"/>
        <v/>
      </c>
      <c r="L361" s="90"/>
      <c r="M361" s="90" t="str">
        <f t="shared" si="63"/>
        <v/>
      </c>
      <c r="N361" s="14" t="str">
        <f t="shared" si="64"/>
        <v/>
      </c>
      <c r="O361" s="42" t="str">
        <f t="shared" si="65"/>
        <v/>
      </c>
      <c r="P361" s="42" t="str">
        <f t="shared" si="66"/>
        <v/>
      </c>
      <c r="Q361" s="42" t="str">
        <f t="shared" si="67"/>
        <v/>
      </c>
      <c r="R361" s="90" t="str">
        <f>IF(SUM($P361)=0,"",INDEX(Cascade!$BG:$BG,MATCH($E361,Cascade!$E:$E,0)))</f>
        <v/>
      </c>
      <c r="S361" s="42" t="str">
        <f t="shared" si="68"/>
        <v/>
      </c>
      <c r="T361" s="42" t="str">
        <f t="shared" si="69"/>
        <v/>
      </c>
      <c r="U361" s="14" t="str">
        <f>IFERROR(1/(1/INDEX(Cascade!$BH:$BH,MATCH($E361,Cascade!$E:$E,0))),"")</f>
        <v/>
      </c>
      <c r="V361" s="14" t="str">
        <f t="shared" si="70"/>
        <v/>
      </c>
      <c r="W361" s="14" t="str">
        <f>IFERROR(1/(1/INDEX(PMTCT!$AC:$AC,MATCH($E361,PMTCT!$E:$E,0))),"")</f>
        <v/>
      </c>
      <c r="X361" s="14" t="str">
        <f>IFERROR(1/(1/INDEX(PMTCT!$AS:$AS,MATCH($E361,PMTCT!$E:$E,0))),"")</f>
        <v/>
      </c>
      <c r="Y361" s="14" t="str">
        <f>IFERROR(1/(1/INDEX(VMMC!$AA:$AA,MATCH($E361,VMMC!$E:$E,0))),"")</f>
        <v/>
      </c>
      <c r="Z361" s="14" t="str">
        <f t="shared" si="71"/>
        <v/>
      </c>
    </row>
    <row r="362" spans="1:26" x14ac:dyDescent="0.2">
      <c r="A362" t="str">
        <f>INDEX(Prioritization!$D:$D,MATCH($B362,Prioritization!$A:$A,0))</f>
        <v>1 - Scale-up: Saturation</v>
      </c>
      <c r="B362" t="s">
        <v>221</v>
      </c>
      <c r="C362" t="s">
        <v>367</v>
      </c>
      <c r="D362" t="s">
        <v>47</v>
      </c>
      <c r="E362" t="str">
        <f t="shared" si="60"/>
        <v>Zomba District [fyEoGEPERdI]|50+|Male</v>
      </c>
      <c r="F362" s="14"/>
      <c r="G362" s="90">
        <f>0</f>
        <v>0</v>
      </c>
      <c r="H362" s="42" t="str">
        <f t="shared" si="61"/>
        <v/>
      </c>
      <c r="I362" s="14"/>
      <c r="J362" s="90"/>
      <c r="K362" s="90" t="str">
        <f t="shared" si="62"/>
        <v/>
      </c>
      <c r="L362" s="90"/>
      <c r="M362" s="90" t="str">
        <f t="shared" si="63"/>
        <v/>
      </c>
      <c r="N362" s="14" t="str">
        <f t="shared" si="64"/>
        <v/>
      </c>
      <c r="O362" s="42" t="str">
        <f t="shared" si="65"/>
        <v/>
      </c>
      <c r="P362" s="42" t="str">
        <f t="shared" si="66"/>
        <v/>
      </c>
      <c r="Q362" s="42" t="str">
        <f t="shared" si="67"/>
        <v/>
      </c>
      <c r="R362" s="90" t="str">
        <f>IF(SUM($P362)=0,"",INDEX(Cascade!$BG:$BG,MATCH($E362,Cascade!$E:$E,0)))</f>
        <v/>
      </c>
      <c r="S362" s="42" t="str">
        <f t="shared" si="68"/>
        <v/>
      </c>
      <c r="T362" s="42" t="str">
        <f t="shared" si="69"/>
        <v/>
      </c>
      <c r="U362" s="14" t="str">
        <f>IFERROR(1/(1/INDEX(Cascade!$BH:$BH,MATCH($E362,Cascade!$E:$E,0))),"")</f>
        <v/>
      </c>
      <c r="V362" s="14" t="str">
        <f t="shared" si="70"/>
        <v/>
      </c>
      <c r="W362" s="14" t="str">
        <f>IFERROR(1/(1/INDEX(PMTCT!$AC:$AC,MATCH($E362,PMTCT!$E:$E,0))),"")</f>
        <v/>
      </c>
      <c r="X362" s="14" t="str">
        <f>IFERROR(1/(1/INDEX(PMTCT!$AS:$AS,MATCH($E362,PMTCT!$E:$E,0))),"")</f>
        <v/>
      </c>
      <c r="Y362" s="14" t="str">
        <f>IFERROR(1/(1/INDEX(VMMC!$AA:$AA,MATCH($E362,VMMC!$E:$E,0))),"")</f>
        <v/>
      </c>
      <c r="Z362" s="14" t="str">
        <f t="shared" si="71"/>
        <v/>
      </c>
    </row>
  </sheetData>
  <mergeCells count="1">
    <mergeCell ref="A2:B3"/>
  </mergeCells>
  <conditionalFormatting sqref="G1:G1048576">
    <cfRule type="expression" dxfId="102" priority="2">
      <formula>AND(ISNUMBER(G1),G1&lt;&gt;0)</formula>
    </cfRule>
  </conditionalFormatting>
  <conditionalFormatting sqref="R1:R1048576">
    <cfRule type="expression" dxfId="101" priority="3">
      <formula>AND(ISNUMBER(R1),R1&lt;0.95)</formula>
    </cfRule>
  </conditionalFormatting>
  <conditionalFormatting sqref="M1:M1048576">
    <cfRule type="expression" dxfId="100" priority="4">
      <formula>AND(ROW($M1)&gt;14,$P1="ENTER YIELD RATE")</formula>
    </cfRule>
    <cfRule type="expression" dxfId="99" priority="5">
      <formula>AND(ISNUMBER($M1),SUM($M1)&gt;10%)</formula>
    </cfRule>
  </conditionalFormatting>
  <conditionalFormatting sqref="K1:K1048576">
    <cfRule type="expression" dxfId="98" priority="6">
      <formula>AND(ROW($K1)&gt;14,$O1="ENTER KNOWN POSITIVITY RATE")</formula>
    </cfRule>
    <cfRule type="expression" dxfId="97" priority="7">
      <formula>AND(ISNUMBER($K1),ROUND(SUM($K1),2)&gt;=0.75)</formula>
    </cfRule>
  </conditionalFormatting>
  <conditionalFormatting sqref="F1:F1048576 H1:Z1048576">
    <cfRule type="expression" dxfId="96" priority="8">
      <formula>AND(ISNUMBER(F1),F1&lt;0)</formula>
    </cfRule>
  </conditionalFormatting>
  <conditionalFormatting sqref="U1:Z1048576">
    <cfRule type="expression" dxfId="95" priority="9">
      <formula>AND(ROW($Z1)&gt;14,$Z1&lt;0)</formula>
    </cfRule>
    <cfRule type="expression" dxfId="94" priority="10">
      <formula>AND(ROW($Z1)&gt;14,ISERROR($Z1))</formula>
    </cfRule>
  </conditionalFormatting>
  <conditionalFormatting sqref="P1:P1048576">
    <cfRule type="expression" dxfId="93" priority="11">
      <formula>AND(ISNUMBER($P1),ROUND(SUM($P1),2)&gt;ROUND(SUM($I1),2))</formula>
    </cfRule>
  </conditionalFormatting>
  <conditionalFormatting sqref="W1:X1048576">
    <cfRule type="expression" dxfId="92" priority="12">
      <formula>AND(ROW(W1)&gt;14,$B1&lt;&gt;"",OR($D1&lt;&gt;"Female",$C1="&lt;01",$C1="01-09"))</formula>
    </cfRule>
  </conditionalFormatting>
  <conditionalFormatting sqref="Y1:Y1048576">
    <cfRule type="expression" dxfId="91" priority="13">
      <formula>AND(ROW(Y1)&gt;14,$B1&lt;&gt;"",OR($D1&lt;&gt;"Male",$C1="&lt;01",$C1="01-09",$C1="10-14"))</formula>
    </cfRule>
  </conditionalFormatting>
  <conditionalFormatting sqref="J1:M1048576 R1:R1048576">
    <cfRule type="expression" dxfId="90" priority="14">
      <formula>AND(ISNUMBER(J1),J1&gt;1)</formula>
    </cfRule>
  </conditionalFormatting>
  <hyperlinks>
    <hyperlink ref="P3" location="Cascade!CF:CF" display="New Positive (FY24)" xr:uid="{00000000-0004-0000-0800-000000000000}"/>
    <hyperlink ref="U3" location="Cascade!BE:BE" display="Total HTS_TST_POS (FY24)" xr:uid="{00000000-0004-0000-0800-000001000000}"/>
    <hyperlink ref="V3" location="TB!P:P" display="Total New Positives from TB_STAT (FY24)" xr:uid="{00000000-0004-0000-0800-000002000000}"/>
    <hyperlink ref="W3" location="PMTCT!AC:AC" display="Total New Positives from PMTCT_STAT ANC1 (FY24)" xr:uid="{00000000-0004-0000-0800-000003000000}"/>
    <hyperlink ref="X3" location="PMTCT!AS:AS" display="Total New Positives from PMTCT Post ANC1 (FY24)" xr:uid="{00000000-0004-0000-0800-000004000000}"/>
    <hyperlink ref="Y3" location="VMMC!AA:AA" display="Total Positives from VMMC_CIRC (FY24)" xr:uid="{00000000-0004-0000-0800-000005000000}"/>
  </hyperlinks>
  <pageMargins left="0.7" right="0.7" top="0.75" bottom="0.75" header="0.511811023622047" footer="0.511811023622047"/>
  <pageSetup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130"/>
  <sheetViews>
    <sheetView zoomScaleNormal="100" workbookViewId="0">
      <pane xSplit="5" ySplit="14" topLeftCell="N15" activePane="bottomRight" state="frozen"/>
      <selection pane="topRight" activeCell="N1" sqref="N1"/>
      <selection pane="bottomLeft" activeCell="A15" sqref="A15"/>
      <selection pane="bottomRight" activeCell="Y3" sqref="Y3"/>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32" width="11.83203125" customWidth="1"/>
  </cols>
  <sheetData>
    <row r="1" spans="1:32" ht="30.75" customHeight="1" x14ac:dyDescent="0.2">
      <c r="A1" s="44" t="s">
        <v>994</v>
      </c>
      <c r="B1" s="18"/>
      <c r="C1" s="18"/>
      <c r="D1" s="18"/>
      <c r="E1" s="18"/>
      <c r="F1" s="45" t="s">
        <v>995</v>
      </c>
      <c r="G1" s="46"/>
      <c r="H1" s="50"/>
      <c r="I1" s="46"/>
      <c r="J1" s="50"/>
      <c r="K1" s="46"/>
      <c r="L1" s="21"/>
      <c r="M1" s="46"/>
      <c r="N1" s="46"/>
      <c r="O1" s="50"/>
      <c r="P1" s="50"/>
      <c r="Q1" s="46"/>
      <c r="R1" s="46"/>
      <c r="S1" s="51" t="s">
        <v>487</v>
      </c>
      <c r="T1" s="48"/>
      <c r="U1" s="48"/>
      <c r="V1" s="48"/>
      <c r="W1" s="48"/>
      <c r="X1" s="48"/>
      <c r="Y1" s="46"/>
      <c r="Z1" s="46"/>
      <c r="AA1" s="46"/>
      <c r="AB1" s="46"/>
      <c r="AC1" s="45" t="s">
        <v>827</v>
      </c>
      <c r="AD1" s="21"/>
      <c r="AE1" s="21"/>
      <c r="AF1" s="21"/>
    </row>
    <row r="2" spans="1:32" ht="18.75" customHeight="1" x14ac:dyDescent="0.25">
      <c r="A2" s="1" t="s">
        <v>996</v>
      </c>
      <c r="B2" s="1"/>
      <c r="C2" s="22"/>
      <c r="D2" s="22"/>
      <c r="E2" s="22"/>
      <c r="F2" s="52"/>
      <c r="G2" s="25"/>
      <c r="H2" s="54"/>
      <c r="I2" s="25"/>
      <c r="J2" s="54"/>
      <c r="K2" s="25"/>
      <c r="L2" s="25"/>
      <c r="M2" s="24" t="s">
        <v>176</v>
      </c>
      <c r="N2" s="24" t="s">
        <v>176</v>
      </c>
      <c r="O2" s="54"/>
      <c r="P2" s="54"/>
      <c r="Q2" s="24" t="s">
        <v>176</v>
      </c>
      <c r="R2" s="24" t="s">
        <v>176</v>
      </c>
      <c r="S2" s="56"/>
      <c r="T2" s="54"/>
      <c r="U2" s="54"/>
      <c r="V2" s="54"/>
      <c r="W2" s="54"/>
      <c r="X2" s="54"/>
      <c r="Y2" s="24" t="s">
        <v>176</v>
      </c>
      <c r="Z2" s="24" t="s">
        <v>176</v>
      </c>
      <c r="AA2" s="24" t="s">
        <v>176</v>
      </c>
      <c r="AB2" s="24" t="s">
        <v>176</v>
      </c>
      <c r="AC2" s="52"/>
      <c r="AD2" s="25"/>
      <c r="AE2" s="25"/>
      <c r="AF2" s="25"/>
    </row>
    <row r="3" spans="1:32" ht="117" customHeight="1" x14ac:dyDescent="0.2">
      <c r="A3" s="1"/>
      <c r="B3" s="1"/>
      <c r="C3" s="26"/>
      <c r="D3" s="26"/>
      <c r="E3" s="26"/>
      <c r="F3" s="138" t="s">
        <v>997</v>
      </c>
      <c r="G3" s="139" t="s">
        <v>830</v>
      </c>
      <c r="H3" s="140" t="s">
        <v>378</v>
      </c>
      <c r="I3" s="139" t="s">
        <v>831</v>
      </c>
      <c r="J3" s="140" t="s">
        <v>832</v>
      </c>
      <c r="K3" s="71" t="s">
        <v>998</v>
      </c>
      <c r="L3" s="71" t="s">
        <v>999</v>
      </c>
      <c r="M3" s="28" t="s">
        <v>1000</v>
      </c>
      <c r="N3" s="28" t="s">
        <v>1001</v>
      </c>
      <c r="O3" s="73" t="s">
        <v>1002</v>
      </c>
      <c r="P3" s="160" t="s">
        <v>1003</v>
      </c>
      <c r="Q3" s="28" t="s">
        <v>1004</v>
      </c>
      <c r="R3" s="28" t="s">
        <v>1005</v>
      </c>
      <c r="S3" s="70" t="s">
        <v>1006</v>
      </c>
      <c r="T3" s="67" t="s">
        <v>1007</v>
      </c>
      <c r="U3" s="73" t="s">
        <v>1008</v>
      </c>
      <c r="V3" s="67" t="s">
        <v>1009</v>
      </c>
      <c r="W3" s="73" t="s">
        <v>971</v>
      </c>
      <c r="X3" s="67" t="s">
        <v>972</v>
      </c>
      <c r="Y3" s="28" t="s">
        <v>1010</v>
      </c>
      <c r="Z3" s="74" t="s">
        <v>1011</v>
      </c>
      <c r="AA3" s="74" t="s">
        <v>1012</v>
      </c>
      <c r="AB3" s="74" t="s">
        <v>1013</v>
      </c>
      <c r="AC3" s="138" t="s">
        <v>863</v>
      </c>
      <c r="AD3" s="139" t="s">
        <v>973</v>
      </c>
      <c r="AE3" s="139" t="s">
        <v>1014</v>
      </c>
      <c r="AF3" s="71" t="s">
        <v>1015</v>
      </c>
    </row>
    <row r="4" spans="1:32" x14ac:dyDescent="0.2">
      <c r="A4" s="75"/>
      <c r="B4" s="30"/>
      <c r="C4" s="30"/>
      <c r="D4" s="30" t="s">
        <v>287</v>
      </c>
      <c r="E4" s="30"/>
      <c r="F4" s="76">
        <f>SUBTOTAL(109,F$15:INDEX(F:F,COUNTA($B:$B)+14-COUNTA($B$1:$B$14)))</f>
        <v>137365</v>
      </c>
      <c r="G4" s="77">
        <f>SUBTOTAL(109,G$15:INDEX(G:G,COUNTA($B:$B)+14-COUNTA($B$1:$B$14)))</f>
        <v>0</v>
      </c>
      <c r="H4" s="80">
        <f>IF(SUM($F$4)=0,"",SUM($G$4)/$F$4)</f>
        <v>0</v>
      </c>
      <c r="I4" s="77">
        <f>SUBTOTAL(109,I$15:INDEX(I:I,COUNTA($B:$B)+14-COUNTA($B$1:$B$14)))</f>
        <v>140389</v>
      </c>
      <c r="J4" s="80" t="str">
        <f>IF(SUM($G$4)=0,"",SUM($I$4)/$G$4)</f>
        <v/>
      </c>
      <c r="K4" s="75">
        <f>SUBTOTAL(109,K$15:INDEX(K:K,COUNTA($B:$B)+14-COUNTA($B$1:$B$14)))</f>
        <v>0</v>
      </c>
      <c r="L4" s="75">
        <f>SUBTOTAL(109,L$15:INDEX(L:L,COUNTA($B:$B)+14-COUNTA($B$1:$B$14)))</f>
        <v>0</v>
      </c>
      <c r="M4" s="84">
        <f>SUBTOTAL(109,M$15:INDEX(M:M,COUNTA($B:$B)+14-COUNTA($B$1:$B$14)))</f>
        <v>0</v>
      </c>
      <c r="N4" s="84">
        <f>SUBTOTAL(109,N$15:INDEX(N:N,COUNTA($B:$B)+14-COUNTA($B$1:$B$14)))</f>
        <v>0</v>
      </c>
      <c r="O4" s="86">
        <f>IF($F$4=0,"",$N$4/$F$4)</f>
        <v>0</v>
      </c>
      <c r="P4" s="86">
        <f>IF($F$4=0,"",$Q$4/$F$4)</f>
        <v>0.80006551887307542</v>
      </c>
      <c r="Q4" s="84">
        <f>SUBTOTAL(109,Q$15:INDEX(Q:Q,COUNTA($B:$B)+14-COUNTA($B$1:$B$14)))</f>
        <v>109901</v>
      </c>
      <c r="R4" s="84">
        <f>SUBTOTAL(109,R$15:INDEX(R:R,COUNTA($B:$B)+14-COUNTA($B$1:$B$14)))</f>
        <v>109901</v>
      </c>
      <c r="S4" s="82">
        <f>IF($R$4=0,"",$Y$4/$R$4)</f>
        <v>0</v>
      </c>
      <c r="T4" s="80"/>
      <c r="U4" s="80"/>
      <c r="V4" s="80" t="str">
        <f>IF($Y$4=0,"",$Z$4/$Y$4)</f>
        <v/>
      </c>
      <c r="W4" s="80"/>
      <c r="X4" s="80" t="str">
        <f>IF(SUM($Y$4,$Z$4)=0,"",SUM($AA4)/(SUM($Y$4)-SUM($Z$4)))</f>
        <v/>
      </c>
      <c r="Y4" s="84">
        <f>SUBTOTAL(109,Y$15:INDEX(Y:Y,COUNTA($B:$B)+14-COUNTA($B$1:$B$14)))</f>
        <v>0</v>
      </c>
      <c r="Z4" s="84">
        <f>SUBTOTAL(109,Z$15:INDEX(Z:Z,COUNTA($B:$B)+14-COUNTA($B$1:$B$14)))</f>
        <v>0</v>
      </c>
      <c r="AA4" s="84">
        <f>SUBTOTAL(109,AA$15:INDEX(AA:AA,COUNTA($B:$B)+14-COUNTA($B$1:$B$14)))</f>
        <v>0</v>
      </c>
      <c r="AB4" s="84">
        <f>SUBTOTAL(109,AB$15:INDEX(AB:AB,COUNTA($B:$B)+14-COUNTA($B$1:$B$14)))</f>
        <v>0</v>
      </c>
      <c r="AC4" s="76">
        <f>SUBTOTAL(109,AC$15:INDEX(AC:AC,COUNTA($B:$B)+14-COUNTA($B$1:$B$14)))</f>
        <v>0</v>
      </c>
      <c r="AD4" s="77">
        <f>SUBTOTAL(109,AD$15:INDEX(AD:AD,COUNTA($B:$B)+14-COUNTA($B$1:$B$14)))</f>
        <v>0</v>
      </c>
      <c r="AE4" s="77">
        <f>SUBTOTAL(109,AE$15:INDEX(AE:AE,COUNTA($B:$B)+14-COUNTA($B$1:$B$14)))</f>
        <v>0</v>
      </c>
      <c r="AF4" s="77">
        <f>SUBTOTAL(109,AF$15:INDEX(AF:AF,COUNTA($B:$B)+14-COUNTA($B$1:$B$14)))</f>
        <v>0</v>
      </c>
    </row>
    <row r="5" spans="1:32" x14ac:dyDescent="0.2">
      <c r="A5" t="s">
        <v>180</v>
      </c>
      <c r="B5" s="13" t="s">
        <v>180</v>
      </c>
      <c r="C5" s="13" t="s">
        <v>180</v>
      </c>
      <c r="D5" s="13" t="s">
        <v>180</v>
      </c>
      <c r="E5" s="13" t="s">
        <v>180</v>
      </c>
      <c r="F5" s="87" t="s">
        <v>180</v>
      </c>
      <c r="G5" s="14" t="s">
        <v>180</v>
      </c>
      <c r="H5" s="90" t="s">
        <v>180</v>
      </c>
      <c r="I5" s="14" t="s">
        <v>180</v>
      </c>
      <c r="J5" s="90" t="s">
        <v>180</v>
      </c>
      <c r="K5" s="14" t="s">
        <v>288</v>
      </c>
      <c r="L5" s="14" t="s">
        <v>288</v>
      </c>
      <c r="M5" s="9" t="s">
        <v>289</v>
      </c>
      <c r="N5" s="9" t="s">
        <v>289</v>
      </c>
      <c r="O5" s="90" t="s">
        <v>180</v>
      </c>
      <c r="P5" s="90" t="s">
        <v>180</v>
      </c>
      <c r="Q5" s="9" t="s">
        <v>289</v>
      </c>
      <c r="R5" s="9" t="s">
        <v>289</v>
      </c>
      <c r="S5" s="116" t="s">
        <v>180</v>
      </c>
      <c r="T5" s="89" t="s">
        <v>180</v>
      </c>
      <c r="U5" s="89" t="s">
        <v>180</v>
      </c>
      <c r="V5" s="89" t="s">
        <v>180</v>
      </c>
      <c r="W5" s="89" t="s">
        <v>180</v>
      </c>
      <c r="X5" s="89" t="s">
        <v>180</v>
      </c>
      <c r="Y5" s="9" t="s">
        <v>180</v>
      </c>
      <c r="Z5" s="9" t="s">
        <v>288</v>
      </c>
      <c r="AA5" s="9" t="s">
        <v>288</v>
      </c>
      <c r="AB5" s="9" t="s">
        <v>288</v>
      </c>
      <c r="AC5" s="87" t="s">
        <v>180</v>
      </c>
      <c r="AD5" s="14" t="s">
        <v>180</v>
      </c>
      <c r="AE5" s="14" t="s">
        <v>180</v>
      </c>
      <c r="AF5" s="93" t="s">
        <v>180</v>
      </c>
    </row>
    <row r="6" spans="1:32" x14ac:dyDescent="0.2">
      <c r="A6" t="s">
        <v>182</v>
      </c>
      <c r="B6" s="13" t="s">
        <v>182</v>
      </c>
      <c r="C6" s="13" t="s">
        <v>182</v>
      </c>
      <c r="D6" s="13" t="s">
        <v>182</v>
      </c>
      <c r="E6" s="13" t="s">
        <v>182</v>
      </c>
      <c r="F6" s="87" t="s">
        <v>185</v>
      </c>
      <c r="G6" s="14" t="s">
        <v>185</v>
      </c>
      <c r="H6" s="90" t="s">
        <v>185</v>
      </c>
      <c r="I6" s="14" t="s">
        <v>185</v>
      </c>
      <c r="J6" s="90" t="s">
        <v>185</v>
      </c>
      <c r="K6" s="14" t="s">
        <v>183</v>
      </c>
      <c r="L6" s="14" t="s">
        <v>183</v>
      </c>
      <c r="M6" s="9" t="s">
        <v>184</v>
      </c>
      <c r="N6" s="9" t="s">
        <v>184</v>
      </c>
      <c r="O6" s="90" t="s">
        <v>185</v>
      </c>
      <c r="P6" s="90" t="s">
        <v>290</v>
      </c>
      <c r="Q6" s="9" t="s">
        <v>184</v>
      </c>
      <c r="R6" s="9" t="s">
        <v>184</v>
      </c>
      <c r="S6" s="116" t="s">
        <v>290</v>
      </c>
      <c r="T6" s="89" t="s">
        <v>290</v>
      </c>
      <c r="U6" s="89" t="s">
        <v>291</v>
      </c>
      <c r="V6" s="89" t="s">
        <v>290</v>
      </c>
      <c r="W6" s="89" t="s">
        <v>291</v>
      </c>
      <c r="X6" s="89" t="s">
        <v>290</v>
      </c>
      <c r="Y6" s="9" t="s">
        <v>290</v>
      </c>
      <c r="Z6" s="9" t="s">
        <v>184</v>
      </c>
      <c r="AA6" s="9" t="s">
        <v>184</v>
      </c>
      <c r="AB6" s="9" t="s">
        <v>184</v>
      </c>
      <c r="AC6" s="87" t="s">
        <v>185</v>
      </c>
      <c r="AD6" s="14" t="s">
        <v>185</v>
      </c>
      <c r="AE6" s="14" t="s">
        <v>185</v>
      </c>
      <c r="AF6" s="93" t="s">
        <v>185</v>
      </c>
    </row>
    <row r="7" spans="1:32" x14ac:dyDescent="0.2">
      <c r="A7" t="s">
        <v>186</v>
      </c>
      <c r="B7" s="13" t="s">
        <v>186</v>
      </c>
      <c r="C7" s="13" t="s">
        <v>186</v>
      </c>
      <c r="D7" s="13" t="s">
        <v>186</v>
      </c>
      <c r="E7" s="13" t="s">
        <v>186</v>
      </c>
      <c r="F7" s="87" t="s">
        <v>187</v>
      </c>
      <c r="G7" s="14" t="s">
        <v>187</v>
      </c>
      <c r="H7" s="90" t="s">
        <v>293</v>
      </c>
      <c r="I7" s="14" t="s">
        <v>187</v>
      </c>
      <c r="J7" s="90" t="s">
        <v>293</v>
      </c>
      <c r="K7" s="14" t="s">
        <v>187</v>
      </c>
      <c r="L7" s="14" t="s">
        <v>187</v>
      </c>
      <c r="M7" s="9" t="s">
        <v>187</v>
      </c>
      <c r="N7" s="9" t="s">
        <v>187</v>
      </c>
      <c r="O7" s="90" t="s">
        <v>293</v>
      </c>
      <c r="P7" s="90" t="s">
        <v>293</v>
      </c>
      <c r="Q7" s="9" t="s">
        <v>187</v>
      </c>
      <c r="R7" s="9" t="s">
        <v>187</v>
      </c>
      <c r="S7" s="116" t="s">
        <v>293</v>
      </c>
      <c r="T7" s="89" t="s">
        <v>293</v>
      </c>
      <c r="U7" s="89" t="s">
        <v>293</v>
      </c>
      <c r="V7" s="89" t="s">
        <v>293</v>
      </c>
      <c r="W7" s="89" t="s">
        <v>293</v>
      </c>
      <c r="X7" s="89" t="s">
        <v>293</v>
      </c>
      <c r="Y7" s="9" t="s">
        <v>187</v>
      </c>
      <c r="Z7" s="9" t="s">
        <v>187</v>
      </c>
      <c r="AA7" s="9" t="s">
        <v>187</v>
      </c>
      <c r="AB7" s="9" t="s">
        <v>187</v>
      </c>
      <c r="AC7" s="87" t="s">
        <v>187</v>
      </c>
      <c r="AD7" s="14" t="s">
        <v>187</v>
      </c>
      <c r="AE7" s="14" t="s">
        <v>187</v>
      </c>
      <c r="AF7" s="93" t="s">
        <v>187</v>
      </c>
    </row>
    <row r="8" spans="1:32" x14ac:dyDescent="0.2">
      <c r="F8" s="87"/>
      <c r="G8" s="14"/>
      <c r="H8" s="90"/>
      <c r="I8" s="14"/>
      <c r="J8" s="90"/>
      <c r="K8" s="96" t="s">
        <v>1016</v>
      </c>
      <c r="L8" s="96" t="s">
        <v>643</v>
      </c>
      <c r="M8" s="99" t="s">
        <v>1017</v>
      </c>
      <c r="N8" s="99" t="s">
        <v>1018</v>
      </c>
      <c r="O8" s="90"/>
      <c r="P8" s="90"/>
      <c r="Q8" s="99" t="s">
        <v>1018</v>
      </c>
      <c r="R8" s="99" t="s">
        <v>1017</v>
      </c>
      <c r="Z8" s="99" t="s">
        <v>643</v>
      </c>
      <c r="AA8" s="99" t="s">
        <v>643</v>
      </c>
      <c r="AB8" s="99" t="s">
        <v>643</v>
      </c>
    </row>
    <row r="9" spans="1:32" x14ac:dyDescent="0.2">
      <c r="F9" s="87"/>
      <c r="G9" s="14"/>
      <c r="H9" s="90"/>
      <c r="I9" s="14"/>
      <c r="J9" s="90"/>
      <c r="K9" s="96" t="s">
        <v>1019</v>
      </c>
      <c r="L9" s="96" t="s">
        <v>1020</v>
      </c>
      <c r="M9" s="99"/>
      <c r="N9" s="99"/>
      <c r="O9" s="90"/>
      <c r="P9" s="90"/>
      <c r="Q9" s="99"/>
      <c r="R9" s="99"/>
      <c r="Z9" s="99" t="s">
        <v>1020</v>
      </c>
      <c r="AA9" s="99" t="s">
        <v>1020</v>
      </c>
      <c r="AB9" s="99" t="s">
        <v>1020</v>
      </c>
    </row>
    <row r="10" spans="1:32" x14ac:dyDescent="0.2">
      <c r="F10" s="87"/>
      <c r="G10" s="14"/>
      <c r="H10" s="90"/>
      <c r="I10" s="14"/>
      <c r="J10" s="90"/>
      <c r="K10" s="96"/>
      <c r="L10" s="96"/>
      <c r="M10" s="99"/>
      <c r="N10" s="99"/>
      <c r="O10" s="90"/>
      <c r="P10" s="90"/>
      <c r="Q10" s="99"/>
      <c r="R10" s="99"/>
      <c r="Z10" s="99" t="s">
        <v>1021</v>
      </c>
      <c r="AA10" s="99" t="s">
        <v>311</v>
      </c>
      <c r="AB10" s="99" t="s">
        <v>430</v>
      </c>
    </row>
    <row r="11" spans="1:32" x14ac:dyDescent="0.2">
      <c r="F11" s="87" t="s">
        <v>683</v>
      </c>
      <c r="G11" s="14" t="s">
        <v>683</v>
      </c>
      <c r="H11" s="90" t="s">
        <v>683</v>
      </c>
      <c r="I11" s="14" t="s">
        <v>683</v>
      </c>
      <c r="J11" s="90" t="s">
        <v>683</v>
      </c>
      <c r="K11" s="14" t="s">
        <v>683</v>
      </c>
      <c r="L11" s="14" t="s">
        <v>683</v>
      </c>
      <c r="M11" s="9" t="s">
        <v>683</v>
      </c>
      <c r="N11" s="9" t="s">
        <v>683</v>
      </c>
      <c r="O11" s="90" t="s">
        <v>683</v>
      </c>
      <c r="P11" s="90" t="s">
        <v>683</v>
      </c>
      <c r="Q11" s="9" t="s">
        <v>683</v>
      </c>
      <c r="R11" s="9" t="s">
        <v>683</v>
      </c>
      <c r="S11" s="116" t="s">
        <v>683</v>
      </c>
      <c r="T11" s="89" t="s">
        <v>683</v>
      </c>
      <c r="U11" s="89" t="s">
        <v>683</v>
      </c>
      <c r="V11" s="89" t="s">
        <v>683</v>
      </c>
      <c r="W11" s="89" t="s">
        <v>683</v>
      </c>
      <c r="X11" s="89" t="s">
        <v>683</v>
      </c>
      <c r="Y11" s="9" t="s">
        <v>683</v>
      </c>
      <c r="Z11" s="9" t="s">
        <v>683</v>
      </c>
      <c r="AA11" s="9" t="s">
        <v>683</v>
      </c>
      <c r="AB11" s="9" t="s">
        <v>683</v>
      </c>
      <c r="AC11" s="87" t="s">
        <v>683</v>
      </c>
      <c r="AD11" s="14" t="s">
        <v>683</v>
      </c>
      <c r="AE11" s="14" t="s">
        <v>683</v>
      </c>
      <c r="AF11" s="93" t="s">
        <v>683</v>
      </c>
    </row>
    <row r="12" spans="1:32" x14ac:dyDescent="0.2">
      <c r="F12" s="87" t="s">
        <v>690</v>
      </c>
      <c r="G12" s="14" t="s">
        <v>690</v>
      </c>
      <c r="H12" s="90" t="s">
        <v>690</v>
      </c>
      <c r="I12" s="14" t="s">
        <v>690</v>
      </c>
      <c r="J12" s="90" t="s">
        <v>690</v>
      </c>
      <c r="K12" s="14" t="s">
        <v>690</v>
      </c>
      <c r="L12" s="14" t="s">
        <v>690</v>
      </c>
      <c r="M12" s="9" t="s">
        <v>690</v>
      </c>
      <c r="N12" s="9" t="s">
        <v>690</v>
      </c>
      <c r="O12" s="90" t="s">
        <v>690</v>
      </c>
      <c r="P12" s="90" t="s">
        <v>690</v>
      </c>
      <c r="Q12" s="9" t="s">
        <v>690</v>
      </c>
      <c r="R12" s="9" t="s">
        <v>690</v>
      </c>
      <c r="S12" s="116" t="s">
        <v>690</v>
      </c>
      <c r="T12" s="89" t="s">
        <v>690</v>
      </c>
      <c r="U12" s="89" t="s">
        <v>690</v>
      </c>
      <c r="V12" s="89" t="s">
        <v>690</v>
      </c>
      <c r="W12" s="89" t="s">
        <v>690</v>
      </c>
      <c r="X12" s="89" t="s">
        <v>690</v>
      </c>
      <c r="Y12" s="9" t="s">
        <v>690</v>
      </c>
      <c r="Z12" s="9" t="s">
        <v>690</v>
      </c>
      <c r="AA12" s="9" t="s">
        <v>690</v>
      </c>
      <c r="AB12" s="9" t="s">
        <v>690</v>
      </c>
      <c r="AC12" s="87" t="s">
        <v>690</v>
      </c>
      <c r="AD12" s="14" t="s">
        <v>690</v>
      </c>
      <c r="AE12" s="14" t="s">
        <v>690</v>
      </c>
      <c r="AF12" s="93" t="s">
        <v>690</v>
      </c>
    </row>
    <row r="13" spans="1:32" x14ac:dyDescent="0.2">
      <c r="F13" s="87"/>
      <c r="G13" s="14"/>
      <c r="H13" s="90"/>
      <c r="I13" s="14"/>
      <c r="J13" s="90"/>
      <c r="K13" s="14"/>
    </row>
    <row r="14" spans="1:32" x14ac:dyDescent="0.2">
      <c r="A14" s="102" t="s">
        <v>175</v>
      </c>
      <c r="B14" s="36" t="s">
        <v>189</v>
      </c>
      <c r="C14" s="36" t="s">
        <v>317</v>
      </c>
      <c r="D14" s="36" t="s">
        <v>318</v>
      </c>
      <c r="E14" s="36" t="s">
        <v>19</v>
      </c>
      <c r="F14" s="103" t="s">
        <v>137</v>
      </c>
      <c r="G14" s="39" t="s">
        <v>332</v>
      </c>
      <c r="H14" s="105" t="s">
        <v>140</v>
      </c>
      <c r="I14" s="39" t="s">
        <v>145</v>
      </c>
      <c r="J14" s="105" t="s">
        <v>144</v>
      </c>
      <c r="K14" s="39" t="s">
        <v>1022</v>
      </c>
      <c r="L14" s="39" t="s">
        <v>1023</v>
      </c>
      <c r="M14" s="109" t="s">
        <v>1024</v>
      </c>
      <c r="N14" s="109" t="s">
        <v>1025</v>
      </c>
      <c r="O14" s="105" t="s">
        <v>1026</v>
      </c>
      <c r="P14" s="105" t="s">
        <v>1027</v>
      </c>
      <c r="Q14" s="109" t="s">
        <v>1028</v>
      </c>
      <c r="R14" s="109" t="s">
        <v>1029</v>
      </c>
      <c r="S14" s="107" t="s">
        <v>1030</v>
      </c>
      <c r="T14" s="105" t="s">
        <v>1031</v>
      </c>
      <c r="U14" s="105" t="s">
        <v>1032</v>
      </c>
      <c r="V14" s="105" t="s">
        <v>1033</v>
      </c>
      <c r="W14" s="105" t="s">
        <v>1034</v>
      </c>
      <c r="X14" s="105" t="s">
        <v>1035</v>
      </c>
      <c r="Y14" s="109" t="s">
        <v>1036</v>
      </c>
      <c r="Z14" s="109" t="s">
        <v>1037</v>
      </c>
      <c r="AA14" s="109" t="s">
        <v>1038</v>
      </c>
      <c r="AB14" s="109" t="s">
        <v>1039</v>
      </c>
      <c r="AC14" s="103" t="s">
        <v>911</v>
      </c>
      <c r="AD14" s="39" t="s">
        <v>993</v>
      </c>
      <c r="AE14" s="39" t="s">
        <v>914</v>
      </c>
      <c r="AF14" s="39" t="s">
        <v>915</v>
      </c>
    </row>
    <row r="15" spans="1:32" x14ac:dyDescent="0.2">
      <c r="A15" t="str">
        <f>INDEX(Prioritization!$D:$D,MATCH($B15,Prioritization!$A:$A,0))</f>
        <v>Military</v>
      </c>
      <c r="B15" t="s">
        <v>193</v>
      </c>
      <c r="C15" t="s">
        <v>364</v>
      </c>
      <c r="D15" t="s">
        <v>47</v>
      </c>
      <c r="E15" s="13" t="str">
        <f t="shared" ref="E15:E46" si="0">B15&amp;"|"&amp;C15&amp;"|"&amp;D15</f>
        <v>_Military Malawi [PQZgU9dagaH]|15-24|Male</v>
      </c>
      <c r="F15" s="87" t="str">
        <f>IF(LEFT($B15,4)="_Mil","",INDEX(Cascade!$T:$T,MATCH($E15,Cascade!$E:$E,0)))</f>
        <v/>
      </c>
      <c r="G15" s="14" t="str">
        <f>IF(LEFT($B15,4)="_Mil","",INDEX(Cascade!$U:$U,MATCH($E15,Cascade!$E:$E,0)))</f>
        <v/>
      </c>
      <c r="H15" s="88" t="str">
        <f>IF(LEFT($B15,4)="_Mil","",INDEX(Cascade!$W:$W,MATCH($E15,Cascade!$E:$E,0)))</f>
        <v/>
      </c>
      <c r="I15" s="14" t="str">
        <f>IF(LEFT($B15,4)="_Mil","",INDEX(Cascade!$Z:$Z,MATCH($E15,Cascade!$E:$E,0)))</f>
        <v/>
      </c>
      <c r="J15" s="90" t="str">
        <f>IF(LEFT($B15,4)="_Mil","",INDEX(Cascade!$AA:$AA,MATCH($E15,Cascade!$E:$E,0)))</f>
        <v/>
      </c>
      <c r="K15" s="14"/>
      <c r="L15" s="14"/>
      <c r="M15" s="9" t="str">
        <f>IF(LEFT($B15,4)="_Mil","",IFERROR(1/(1/ROUND(INDEX(Spectrum!$N:$N,MATCH(RIGHT($B15,13)&amp;"|"&amp;$C15&amp;"|"&amp;$D15&amp;"|"&amp;M$14&amp;"|"&amp;"CY2023Q3",Spectrum!$R:$R,0)),0)),IF(SUM($L15)=0,"",$L15)))</f>
        <v/>
      </c>
      <c r="N15" s="9" t="str">
        <f>IF(LEFT($B15,4)="_Mil","",IFERROR(1/(1/ROUND(INDEX(Spectrum!$N:$N,MATCH(RIGHT($B15,13)&amp;"|"&amp;$C15&amp;"|"&amp;$D15&amp;"|"&amp;N$14&amp;"|"&amp;"CY2023Q3",Spectrum!$R:$R,0)),0)),IF(SUM($M15)=0,"",$M15)))</f>
        <v/>
      </c>
      <c r="O15" s="90" t="str">
        <f t="shared" ref="O15:O46" si="1">IF(OR(LEFT($B15,4)="_Mil",SUM($F15)=0),"",SUM($N15)/$F15)</f>
        <v/>
      </c>
      <c r="P15" s="90" t="str">
        <f t="shared" ref="P15:P46" si="2">IF(OR(LEFT($B15,4)="_Mil",SUM($F15)=0),"",MAX(SUM($O15),80%))</f>
        <v/>
      </c>
      <c r="Q15" s="9" t="str">
        <f t="shared" ref="Q15:Q46" si="3">IF(OR(LEFT($B15,4)="_Mil",SUM($F15)=0),"",ROUND(SUM($F15)*$P15,0))</f>
        <v/>
      </c>
      <c r="R15" s="9" t="str">
        <f t="shared" ref="R15:R46" si="4">IF(OR(LEFT($B15,4)="_Mil",SUM($Q15)=0),"",ROUND(MAX($Q15-SUM($N15),0),0))</f>
        <v/>
      </c>
      <c r="S15" s="94" t="str">
        <f t="shared" ref="S15:S46" si="5">IF(LEFT($B15,4)="_Mil","",IF(SUM($L15)=0,"",IF(SUM($M15)=0,1,$L15/$M15)))</f>
        <v/>
      </c>
      <c r="T15" s="90">
        <f t="shared" ref="T15:T46" si="6">IF(LEFT($B15,4)="_Mil",0,"")</f>
        <v>0</v>
      </c>
      <c r="U15" s="90"/>
      <c r="V15" s="90" t="str">
        <f t="shared" ref="V15:V46" si="7">IF($U15="","",$U15)</f>
        <v/>
      </c>
      <c r="W15" s="90"/>
      <c r="X15" s="90" t="str">
        <f t="shared" ref="X15:X46" si="8">IF($W15="","",$W15)</f>
        <v/>
      </c>
      <c r="Y15" s="9" t="str">
        <f t="shared" ref="Y15:Y46" si="9">IF(LEFT($B15,4)="_Mil",IF(SUM($L15)=0,"",ROUND($L15*(1+$T15),0)),IF(SUM($R15)=0,"",IF($S15="","ENTER IN COL S",ROUND($R15*$S15,0))))</f>
        <v/>
      </c>
      <c r="Z15" s="9" t="str">
        <f t="shared" ref="Z15:Z46" si="10">IF(SUM($Y15)=0,"",IF(AND(SUM($Y15)&gt;0,$V15=""),"ENTER INDETERMINATE RATE",ROUND($Y15*$V15,0)))</f>
        <v/>
      </c>
      <c r="AA15" s="9" t="str">
        <f t="shared" ref="AA15:AA46" si="11">IF(SUM($Y15)=0,"",IF(AND(($Y15-SUM($Z15))&gt;0,$X15=""),"ENTER YIELD RATE",ROUND(($Y15-SUM($Z15))*SUM($X15),0)))</f>
        <v/>
      </c>
      <c r="AB15" s="9" t="str">
        <f t="shared" ref="AB15:AB46" si="12">IF(SUM($Y15)=0,"",$Y15-SUM($Z15)-SUM($AA15))</f>
        <v/>
      </c>
      <c r="AC15" s="87" t="str">
        <f>IFERROR(1/(1/INDEX(Cascade!$BH:$BH,MATCH($E15,Cascade!$E:$E,0))),"")</f>
        <v/>
      </c>
      <c r="AD15" s="14" t="str">
        <f t="shared" ref="AD15:AD46" si="13">IF(SUM($AA15)=0,"",$AA15)</f>
        <v/>
      </c>
      <c r="AE15" s="14" t="str">
        <f>IFERROR(1/(1/INDEX(TB!$P:$P,MATCH($E15,TB!$E:$E,0))),"")</f>
        <v/>
      </c>
      <c r="AF15" s="14" t="str">
        <f t="shared" ref="AF15:AF46" si="14">IFERROR(1/(1/(SUM($AC15)-SUM($AD15:$AE15))),"")</f>
        <v/>
      </c>
    </row>
    <row r="16" spans="1:32" x14ac:dyDescent="0.2">
      <c r="A16" t="str">
        <f>INDEX(Prioritization!$D:$D,MATCH($B16,Prioritization!$A:$A,0))</f>
        <v>Military</v>
      </c>
      <c r="B16" t="s">
        <v>193</v>
      </c>
      <c r="C16" t="s">
        <v>365</v>
      </c>
      <c r="D16" t="s">
        <v>47</v>
      </c>
      <c r="E16" t="str">
        <f t="shared" si="0"/>
        <v>_Military Malawi [PQZgU9dagaH]|25-34|Male</v>
      </c>
      <c r="F16" s="14" t="str">
        <f>IF(LEFT($B16,4)="_Mil","",INDEX(Cascade!$T:$T,MATCH($E16,Cascade!$E:$E,0)))</f>
        <v/>
      </c>
      <c r="G16" s="14" t="str">
        <f>IF(LEFT($B16,4)="_Mil","",INDEX(Cascade!$U:$U,MATCH($E16,Cascade!$E:$E,0)))</f>
        <v/>
      </c>
      <c r="H16" s="88" t="str">
        <f>IF(LEFT($B16,4)="_Mil","",INDEX(Cascade!$W:$W,MATCH($E16,Cascade!$E:$E,0)))</f>
        <v/>
      </c>
      <c r="I16" s="14" t="str">
        <f>IF(LEFT($B16,4)="_Mil","",INDEX(Cascade!$Z:$Z,MATCH($E16,Cascade!$E:$E,0)))</f>
        <v/>
      </c>
      <c r="J16" s="90" t="str">
        <f>IF(LEFT($B16,4)="_Mil","",INDEX(Cascade!$AA:$AA,MATCH($E16,Cascade!$E:$E,0)))</f>
        <v/>
      </c>
      <c r="K16" s="14"/>
      <c r="L16" s="14"/>
      <c r="M16" s="42" t="str">
        <f>IF(LEFT($B16,4)="_Mil","",IFERROR(1/(1/ROUND(INDEX(Spectrum!$N:$N,MATCH(RIGHT($B16,13)&amp;"|"&amp;$C16&amp;"|"&amp;$D16&amp;"|"&amp;M$14&amp;"|"&amp;"CY2023Q3",Spectrum!$R:$R,0)),0)),IF(SUM($L16)=0,"",$L16)))</f>
        <v/>
      </c>
      <c r="N16" s="42" t="str">
        <f>IF(LEFT($B16,4)="_Mil","",IFERROR(1/(1/ROUND(INDEX(Spectrum!$N:$N,MATCH(RIGHT($B16,13)&amp;"|"&amp;$C16&amp;"|"&amp;$D16&amp;"|"&amp;N$14&amp;"|"&amp;"CY2023Q3",Spectrum!$R:$R,0)),0)),IF(SUM($M16)=0,"",$M16)))</f>
        <v/>
      </c>
      <c r="O16" s="90" t="str">
        <f t="shared" si="1"/>
        <v/>
      </c>
      <c r="P16" s="90" t="str">
        <f t="shared" si="2"/>
        <v/>
      </c>
      <c r="Q16" s="42" t="str">
        <f t="shared" si="3"/>
        <v/>
      </c>
      <c r="R16" s="42" t="str">
        <f t="shared" si="4"/>
        <v/>
      </c>
      <c r="S16" s="90" t="str">
        <f t="shared" si="5"/>
        <v/>
      </c>
      <c r="T16" s="90">
        <f t="shared" si="6"/>
        <v>0</v>
      </c>
      <c r="U16" s="90"/>
      <c r="V16" s="90" t="str">
        <f t="shared" si="7"/>
        <v/>
      </c>
      <c r="W16" s="90"/>
      <c r="X16" s="90" t="str">
        <f t="shared" si="8"/>
        <v/>
      </c>
      <c r="Y16" s="14" t="str">
        <f t="shared" si="9"/>
        <v/>
      </c>
      <c r="Z16" s="42" t="str">
        <f t="shared" si="10"/>
        <v/>
      </c>
      <c r="AA16" s="42" t="str">
        <f t="shared" si="11"/>
        <v/>
      </c>
      <c r="AB16" s="42" t="str">
        <f t="shared" si="12"/>
        <v/>
      </c>
      <c r="AC16" s="14" t="str">
        <f>IFERROR(1/(1/INDEX(Cascade!$BH:$BH,MATCH($E16,Cascade!$E:$E,0))),"")</f>
        <v/>
      </c>
      <c r="AD16" s="14" t="str">
        <f t="shared" si="13"/>
        <v/>
      </c>
      <c r="AE16" s="14" t="str">
        <f>IFERROR(1/(1/INDEX(TB!$P:$P,MATCH($E16,TB!$E:$E,0))),"")</f>
        <v/>
      </c>
      <c r="AF16" s="14" t="str">
        <f t="shared" si="14"/>
        <v/>
      </c>
    </row>
    <row r="17" spans="1:32" x14ac:dyDescent="0.2">
      <c r="A17" t="str">
        <f>INDEX(Prioritization!$D:$D,MATCH($B17,Prioritization!$A:$A,0))</f>
        <v>Military</v>
      </c>
      <c r="B17" t="s">
        <v>193</v>
      </c>
      <c r="C17" t="s">
        <v>366</v>
      </c>
      <c r="D17" t="s">
        <v>47</v>
      </c>
      <c r="E17" t="str">
        <f t="shared" si="0"/>
        <v>_Military Malawi [PQZgU9dagaH]|35-49|Male</v>
      </c>
      <c r="F17" s="14" t="str">
        <f>IF(LEFT($B17,4)="_Mil","",INDEX(Cascade!$T:$T,MATCH($E17,Cascade!$E:$E,0)))</f>
        <v/>
      </c>
      <c r="G17" s="14" t="str">
        <f>IF(LEFT($B17,4)="_Mil","",INDEX(Cascade!$U:$U,MATCH($E17,Cascade!$E:$E,0)))</f>
        <v/>
      </c>
      <c r="H17" s="88" t="str">
        <f>IF(LEFT($B17,4)="_Mil","",INDEX(Cascade!$W:$W,MATCH($E17,Cascade!$E:$E,0)))</f>
        <v/>
      </c>
      <c r="I17" s="14" t="str">
        <f>IF(LEFT($B17,4)="_Mil","",INDEX(Cascade!$Z:$Z,MATCH($E17,Cascade!$E:$E,0)))</f>
        <v/>
      </c>
      <c r="J17" s="90" t="str">
        <f>IF(LEFT($B17,4)="_Mil","",INDEX(Cascade!$AA:$AA,MATCH($E17,Cascade!$E:$E,0)))</f>
        <v/>
      </c>
      <c r="K17" s="14"/>
      <c r="L17" s="14"/>
      <c r="M17" s="42" t="str">
        <f>IF(LEFT($B17,4)="_Mil","",IFERROR(1/(1/ROUND(INDEX(Spectrum!$N:$N,MATCH(RIGHT($B17,13)&amp;"|"&amp;$C17&amp;"|"&amp;$D17&amp;"|"&amp;M$14&amp;"|"&amp;"CY2023Q3",Spectrum!$R:$R,0)),0)),IF(SUM($L17)=0,"",$L17)))</f>
        <v/>
      </c>
      <c r="N17" s="42" t="str">
        <f>IF(LEFT($B17,4)="_Mil","",IFERROR(1/(1/ROUND(INDEX(Spectrum!$N:$N,MATCH(RIGHT($B17,13)&amp;"|"&amp;$C17&amp;"|"&amp;$D17&amp;"|"&amp;N$14&amp;"|"&amp;"CY2023Q3",Spectrum!$R:$R,0)),0)),IF(SUM($M17)=0,"",$M17)))</f>
        <v/>
      </c>
      <c r="O17" s="90" t="str">
        <f t="shared" si="1"/>
        <v/>
      </c>
      <c r="P17" s="90" t="str">
        <f t="shared" si="2"/>
        <v/>
      </c>
      <c r="Q17" s="42" t="str">
        <f t="shared" si="3"/>
        <v/>
      </c>
      <c r="R17" s="42" t="str">
        <f t="shared" si="4"/>
        <v/>
      </c>
      <c r="S17" s="90" t="str">
        <f t="shared" si="5"/>
        <v/>
      </c>
      <c r="T17" s="90">
        <f t="shared" si="6"/>
        <v>0</v>
      </c>
      <c r="U17" s="90"/>
      <c r="V17" s="90" t="str">
        <f t="shared" si="7"/>
        <v/>
      </c>
      <c r="W17" s="90"/>
      <c r="X17" s="90" t="str">
        <f t="shared" si="8"/>
        <v/>
      </c>
      <c r="Y17" s="14" t="str">
        <f t="shared" si="9"/>
        <v/>
      </c>
      <c r="Z17" s="42" t="str">
        <f t="shared" si="10"/>
        <v/>
      </c>
      <c r="AA17" s="42" t="str">
        <f t="shared" si="11"/>
        <v/>
      </c>
      <c r="AB17" s="42" t="str">
        <f t="shared" si="12"/>
        <v/>
      </c>
      <c r="AC17" s="14" t="str">
        <f>IFERROR(1/(1/INDEX(Cascade!$BH:$BH,MATCH($E17,Cascade!$E:$E,0))),"")</f>
        <v/>
      </c>
      <c r="AD17" s="14" t="str">
        <f t="shared" si="13"/>
        <v/>
      </c>
      <c r="AE17" s="14" t="str">
        <f>IFERROR(1/(1/INDEX(TB!$P:$P,MATCH($E17,TB!$E:$E,0))),"")</f>
        <v/>
      </c>
      <c r="AF17" s="14" t="str">
        <f t="shared" si="14"/>
        <v/>
      </c>
    </row>
    <row r="18" spans="1:32" x14ac:dyDescent="0.2">
      <c r="A18" t="str">
        <f>INDEX(Prioritization!$D:$D,MATCH($B18,Prioritization!$A:$A,0))</f>
        <v>Military</v>
      </c>
      <c r="B18" t="s">
        <v>193</v>
      </c>
      <c r="C18" t="s">
        <v>367</v>
      </c>
      <c r="D18" t="s">
        <v>47</v>
      </c>
      <c r="E18" t="str">
        <f t="shared" si="0"/>
        <v>_Military Malawi [PQZgU9dagaH]|50+|Male</v>
      </c>
      <c r="F18" s="14" t="str">
        <f>IF(LEFT($B18,4)="_Mil","",INDEX(Cascade!$T:$T,MATCH($E18,Cascade!$E:$E,0)))</f>
        <v/>
      </c>
      <c r="G18" s="14" t="str">
        <f>IF(LEFT($B18,4)="_Mil","",INDEX(Cascade!$U:$U,MATCH($E18,Cascade!$E:$E,0)))</f>
        <v/>
      </c>
      <c r="H18" s="88" t="str">
        <f>IF(LEFT($B18,4)="_Mil","",INDEX(Cascade!$W:$W,MATCH($E18,Cascade!$E:$E,0)))</f>
        <v/>
      </c>
      <c r="I18" s="14" t="str">
        <f>IF(LEFT($B18,4)="_Mil","",INDEX(Cascade!$Z:$Z,MATCH($E18,Cascade!$E:$E,0)))</f>
        <v/>
      </c>
      <c r="J18" s="90" t="str">
        <f>IF(LEFT($B18,4)="_Mil","",INDEX(Cascade!$AA:$AA,MATCH($E18,Cascade!$E:$E,0)))</f>
        <v/>
      </c>
      <c r="K18" s="14"/>
      <c r="L18" s="14"/>
      <c r="M18" s="42" t="str">
        <f>IF(LEFT($B18,4)="_Mil","",IFERROR(1/(1/ROUND(INDEX(Spectrum!$N:$N,MATCH(RIGHT($B18,13)&amp;"|"&amp;$C18&amp;"|"&amp;$D18&amp;"|"&amp;M$14&amp;"|"&amp;"CY2023Q3",Spectrum!$R:$R,0)),0)),IF(SUM($L18)=0,"",$L18)))</f>
        <v/>
      </c>
      <c r="N18" s="42" t="str">
        <f>IF(LEFT($B18,4)="_Mil","",IFERROR(1/(1/ROUND(INDEX(Spectrum!$N:$N,MATCH(RIGHT($B18,13)&amp;"|"&amp;$C18&amp;"|"&amp;$D18&amp;"|"&amp;N$14&amp;"|"&amp;"CY2023Q3",Spectrum!$R:$R,0)),0)),IF(SUM($M18)=0,"",$M18)))</f>
        <v/>
      </c>
      <c r="O18" s="90" t="str">
        <f t="shared" si="1"/>
        <v/>
      </c>
      <c r="P18" s="90" t="str">
        <f t="shared" si="2"/>
        <v/>
      </c>
      <c r="Q18" s="42" t="str">
        <f t="shared" si="3"/>
        <v/>
      </c>
      <c r="R18" s="42" t="str">
        <f t="shared" si="4"/>
        <v/>
      </c>
      <c r="S18" s="90" t="str">
        <f t="shared" si="5"/>
        <v/>
      </c>
      <c r="T18" s="90">
        <f t="shared" si="6"/>
        <v>0</v>
      </c>
      <c r="U18" s="90"/>
      <c r="V18" s="90" t="str">
        <f t="shared" si="7"/>
        <v/>
      </c>
      <c r="W18" s="90"/>
      <c r="X18" s="90" t="str">
        <f t="shared" si="8"/>
        <v/>
      </c>
      <c r="Y18" s="14" t="str">
        <f t="shared" si="9"/>
        <v/>
      </c>
      <c r="Z18" s="42" t="str">
        <f t="shared" si="10"/>
        <v/>
      </c>
      <c r="AA18" s="42" t="str">
        <f t="shared" si="11"/>
        <v/>
      </c>
      <c r="AB18" s="42" t="str">
        <f t="shared" si="12"/>
        <v/>
      </c>
      <c r="AC18" s="14" t="str">
        <f>IFERROR(1/(1/INDEX(Cascade!$BH:$BH,MATCH($E18,Cascade!$E:$E,0))),"")</f>
        <v/>
      </c>
      <c r="AD18" s="14" t="str">
        <f t="shared" si="13"/>
        <v/>
      </c>
      <c r="AE18" s="14" t="str">
        <f>IFERROR(1/(1/INDEX(TB!$P:$P,MATCH($E18,TB!$E:$E,0))),"")</f>
        <v/>
      </c>
      <c r="AF18" s="14" t="str">
        <f t="shared" si="14"/>
        <v/>
      </c>
    </row>
    <row r="19" spans="1:32" x14ac:dyDescent="0.2">
      <c r="A19" t="str">
        <f>INDEX(Prioritization!$D:$D,MATCH($B19,Prioritization!$A:$A,0))</f>
        <v>1 - Scale-up: Saturation</v>
      </c>
      <c r="B19" t="s">
        <v>194</v>
      </c>
      <c r="C19" t="s">
        <v>364</v>
      </c>
      <c r="D19" t="s">
        <v>47</v>
      </c>
      <c r="E19" t="str">
        <f t="shared" si="0"/>
        <v>Dedza District [PekKUkKHAzY]|15-24|Male</v>
      </c>
      <c r="F19" s="14">
        <f>IF(LEFT($B19,4)="_Mil","",INDEX(Cascade!$T:$T,MATCH($E19,Cascade!$E:$E,0)))</f>
        <v>1052</v>
      </c>
      <c r="G19" s="14" t="str">
        <f>IF(LEFT($B19,4)="_Mil","",INDEX(Cascade!$U:$U,MATCH($E19,Cascade!$E:$E,0)))</f>
        <v/>
      </c>
      <c r="H19" s="88">
        <f>IF(LEFT($B19,4)="_Mil","",INDEX(Cascade!$W:$W,MATCH($E19,Cascade!$E:$E,0)))</f>
        <v>1526</v>
      </c>
      <c r="I19" s="14">
        <f>IF(LEFT($B19,4)="_Mil","",INDEX(Cascade!$Z:$Z,MATCH($E19,Cascade!$E:$E,0)))</f>
        <v>1120</v>
      </c>
      <c r="J19" s="90">
        <f>IF(LEFT($B19,4)="_Mil","",INDEX(Cascade!$AA:$AA,MATCH($E19,Cascade!$E:$E,0)))</f>
        <v>911</v>
      </c>
      <c r="K19" s="14"/>
      <c r="L19" s="14"/>
      <c r="M19" s="42" t="str">
        <f>IF(LEFT($B19,4)="_Mil","",IFERROR(1/(1/ROUND(INDEX(Spectrum!$N:$N,MATCH(RIGHT($B19,13)&amp;"|"&amp;$C19&amp;"|"&amp;$D19&amp;"|"&amp;M$14&amp;"|"&amp;"CY2023Q3",Spectrum!$R:$R,0)),0)),IF(SUM($L19)=0,"",$L19)))</f>
        <v/>
      </c>
      <c r="N19" s="42" t="str">
        <f>IF(LEFT($B19,4)="_Mil","",IFERROR(1/(1/ROUND(INDEX(Spectrum!$N:$N,MATCH(RIGHT($B19,13)&amp;"|"&amp;$C19&amp;"|"&amp;$D19&amp;"|"&amp;N$14&amp;"|"&amp;"CY2023Q3",Spectrum!$R:$R,0)),0)),IF(SUM($M19)=0,"",$M19)))</f>
        <v/>
      </c>
      <c r="O19" s="90">
        <f t="shared" si="1"/>
        <v>0</v>
      </c>
      <c r="P19" s="90">
        <f t="shared" si="2"/>
        <v>0.8</v>
      </c>
      <c r="Q19" s="42">
        <f t="shared" si="3"/>
        <v>842</v>
      </c>
      <c r="R19" s="42">
        <f t="shared" si="4"/>
        <v>842</v>
      </c>
      <c r="S19" s="90" t="str">
        <f t="shared" si="5"/>
        <v/>
      </c>
      <c r="T19" s="90" t="str">
        <f t="shared" si="6"/>
        <v/>
      </c>
      <c r="U19" s="90"/>
      <c r="V19" s="90" t="str">
        <f t="shared" si="7"/>
        <v/>
      </c>
      <c r="W19" s="90"/>
      <c r="X19" s="90" t="str">
        <f t="shared" si="8"/>
        <v/>
      </c>
      <c r="Y19" s="14" t="str">
        <f t="shared" si="9"/>
        <v>ENTER IN COL S</v>
      </c>
      <c r="Z19" s="42" t="str">
        <f t="shared" si="10"/>
        <v/>
      </c>
      <c r="AA19" s="42" t="str">
        <f t="shared" si="11"/>
        <v/>
      </c>
      <c r="AB19" s="42" t="str">
        <f t="shared" si="12"/>
        <v/>
      </c>
      <c r="AC19" s="14" t="str">
        <f>IFERROR(1/(1/INDEX(Cascade!$BH:$BH,MATCH($E19,Cascade!$E:$E,0))),"")</f>
        <v/>
      </c>
      <c r="AD19" s="14" t="str">
        <f t="shared" si="13"/>
        <v/>
      </c>
      <c r="AE19" s="14" t="str">
        <f>IFERROR(1/(1/INDEX(TB!$P:$P,MATCH($E19,TB!$E:$E,0))),"")</f>
        <v/>
      </c>
      <c r="AF19" s="14" t="str">
        <f t="shared" si="14"/>
        <v/>
      </c>
    </row>
    <row r="20" spans="1:32" x14ac:dyDescent="0.2">
      <c r="A20" t="str">
        <f>INDEX(Prioritization!$D:$D,MATCH($B20,Prioritization!$A:$A,0))</f>
        <v>1 - Scale-up: Saturation</v>
      </c>
      <c r="B20" t="s">
        <v>194</v>
      </c>
      <c r="C20" t="s">
        <v>365</v>
      </c>
      <c r="D20" t="s">
        <v>47</v>
      </c>
      <c r="E20" t="str">
        <f t="shared" si="0"/>
        <v>Dedza District [PekKUkKHAzY]|25-34|Male</v>
      </c>
      <c r="F20" s="14">
        <f>IF(LEFT($B20,4)="_Mil","",INDEX(Cascade!$T:$T,MATCH($E20,Cascade!$E:$E,0)))</f>
        <v>996</v>
      </c>
      <c r="G20" s="14" t="str">
        <f>IF(LEFT($B20,4)="_Mil","",INDEX(Cascade!$U:$U,MATCH($E20,Cascade!$E:$E,0)))</f>
        <v/>
      </c>
      <c r="H20" s="88">
        <f>IF(LEFT($B20,4)="_Mil","",INDEX(Cascade!$W:$W,MATCH($E20,Cascade!$E:$E,0)))</f>
        <v>1934</v>
      </c>
      <c r="I20" s="14">
        <f>IF(LEFT($B20,4)="_Mil","",INDEX(Cascade!$Z:$Z,MATCH($E20,Cascade!$E:$E,0)))</f>
        <v>1762</v>
      </c>
      <c r="J20" s="90">
        <f>IF(LEFT($B20,4)="_Mil","",INDEX(Cascade!$AA:$AA,MATCH($E20,Cascade!$E:$E,0)))</f>
        <v>707</v>
      </c>
      <c r="K20" s="14"/>
      <c r="L20" s="14"/>
      <c r="M20" s="42" t="str">
        <f>IF(LEFT($B20,4)="_Mil","",IFERROR(1/(1/ROUND(INDEX(Spectrum!$N:$N,MATCH(RIGHT($B20,13)&amp;"|"&amp;$C20&amp;"|"&amp;$D20&amp;"|"&amp;M$14&amp;"|"&amp;"CY2023Q3",Spectrum!$R:$R,0)),0)),IF(SUM($L20)=0,"",$L20)))</f>
        <v/>
      </c>
      <c r="N20" s="42" t="str">
        <f>IF(LEFT($B20,4)="_Mil","",IFERROR(1/(1/ROUND(INDEX(Spectrum!$N:$N,MATCH(RIGHT($B20,13)&amp;"|"&amp;$C20&amp;"|"&amp;$D20&amp;"|"&amp;N$14&amp;"|"&amp;"CY2023Q3",Spectrum!$R:$R,0)),0)),IF(SUM($M20)=0,"",$M20)))</f>
        <v/>
      </c>
      <c r="O20" s="90">
        <f t="shared" si="1"/>
        <v>0</v>
      </c>
      <c r="P20" s="90">
        <f t="shared" si="2"/>
        <v>0.8</v>
      </c>
      <c r="Q20" s="42">
        <f t="shared" si="3"/>
        <v>797</v>
      </c>
      <c r="R20" s="42">
        <f t="shared" si="4"/>
        <v>797</v>
      </c>
      <c r="S20" s="90" t="str">
        <f t="shared" si="5"/>
        <v/>
      </c>
      <c r="T20" s="90" t="str">
        <f t="shared" si="6"/>
        <v/>
      </c>
      <c r="U20" s="90"/>
      <c r="V20" s="90" t="str">
        <f t="shared" si="7"/>
        <v/>
      </c>
      <c r="W20" s="90"/>
      <c r="X20" s="90" t="str">
        <f t="shared" si="8"/>
        <v/>
      </c>
      <c r="Y20" s="14" t="str">
        <f t="shared" si="9"/>
        <v>ENTER IN COL S</v>
      </c>
      <c r="Z20" s="42" t="str">
        <f t="shared" si="10"/>
        <v/>
      </c>
      <c r="AA20" s="42" t="str">
        <f t="shared" si="11"/>
        <v/>
      </c>
      <c r="AB20" s="42" t="str">
        <f t="shared" si="12"/>
        <v/>
      </c>
      <c r="AC20" s="14" t="str">
        <f>IFERROR(1/(1/INDEX(Cascade!$BH:$BH,MATCH($E20,Cascade!$E:$E,0))),"")</f>
        <v/>
      </c>
      <c r="AD20" s="14" t="str">
        <f t="shared" si="13"/>
        <v/>
      </c>
      <c r="AE20" s="14" t="str">
        <f>IFERROR(1/(1/INDEX(TB!$P:$P,MATCH($E20,TB!$E:$E,0))),"")</f>
        <v/>
      </c>
      <c r="AF20" s="14" t="str">
        <f t="shared" si="14"/>
        <v/>
      </c>
    </row>
    <row r="21" spans="1:32" x14ac:dyDescent="0.2">
      <c r="A21" t="str">
        <f>INDEX(Prioritization!$D:$D,MATCH($B21,Prioritization!$A:$A,0))</f>
        <v>1 - Scale-up: Saturation</v>
      </c>
      <c r="B21" t="s">
        <v>194</v>
      </c>
      <c r="C21" t="s">
        <v>366</v>
      </c>
      <c r="D21" t="s">
        <v>47</v>
      </c>
      <c r="E21" t="str">
        <f t="shared" si="0"/>
        <v>Dedza District [PekKUkKHAzY]|35-49|Male</v>
      </c>
      <c r="F21" s="14">
        <f>IF(LEFT($B21,4)="_Mil","",INDEX(Cascade!$T:$T,MATCH($E21,Cascade!$E:$E,0)))</f>
        <v>609</v>
      </c>
      <c r="G21" s="14" t="str">
        <f>IF(LEFT($B21,4)="_Mil","",INDEX(Cascade!$U:$U,MATCH($E21,Cascade!$E:$E,0)))</f>
        <v/>
      </c>
      <c r="H21" s="88">
        <f>IF(LEFT($B21,4)="_Mil","",INDEX(Cascade!$W:$W,MATCH($E21,Cascade!$E:$E,0)))</f>
        <v>1076</v>
      </c>
      <c r="I21" s="14">
        <f>IF(LEFT($B21,4)="_Mil","",INDEX(Cascade!$Z:$Z,MATCH($E21,Cascade!$E:$E,0)))</f>
        <v>1855</v>
      </c>
      <c r="J21" s="90">
        <f>IF(LEFT($B21,4)="_Mil","",INDEX(Cascade!$AA:$AA,MATCH($E21,Cascade!$E:$E,0)))</f>
        <v>1114</v>
      </c>
      <c r="K21" s="14"/>
      <c r="L21" s="14"/>
      <c r="M21" s="42" t="str">
        <f>IF(LEFT($B21,4)="_Mil","",IFERROR(1/(1/ROUND(INDEX(Spectrum!$N:$N,MATCH(RIGHT($B21,13)&amp;"|"&amp;$C21&amp;"|"&amp;$D21&amp;"|"&amp;M$14&amp;"|"&amp;"CY2023Q3",Spectrum!$R:$R,0)),0)),IF(SUM($L21)=0,"",$L21)))</f>
        <v/>
      </c>
      <c r="N21" s="42" t="str">
        <f>IF(LEFT($B21,4)="_Mil","",IFERROR(1/(1/ROUND(INDEX(Spectrum!$N:$N,MATCH(RIGHT($B21,13)&amp;"|"&amp;$C21&amp;"|"&amp;$D21&amp;"|"&amp;N$14&amp;"|"&amp;"CY2023Q3",Spectrum!$R:$R,0)),0)),IF(SUM($M21)=0,"",$M21)))</f>
        <v/>
      </c>
      <c r="O21" s="90">
        <f t="shared" si="1"/>
        <v>0</v>
      </c>
      <c r="P21" s="90">
        <f t="shared" si="2"/>
        <v>0.8</v>
      </c>
      <c r="Q21" s="42">
        <f t="shared" si="3"/>
        <v>487</v>
      </c>
      <c r="R21" s="42">
        <f t="shared" si="4"/>
        <v>487</v>
      </c>
      <c r="S21" s="90" t="str">
        <f t="shared" si="5"/>
        <v/>
      </c>
      <c r="T21" s="90" t="str">
        <f t="shared" si="6"/>
        <v/>
      </c>
      <c r="U21" s="90"/>
      <c r="V21" s="90" t="str">
        <f t="shared" si="7"/>
        <v/>
      </c>
      <c r="W21" s="90"/>
      <c r="X21" s="90" t="str">
        <f t="shared" si="8"/>
        <v/>
      </c>
      <c r="Y21" s="14" t="str">
        <f t="shared" si="9"/>
        <v>ENTER IN COL S</v>
      </c>
      <c r="Z21" s="42" t="str">
        <f t="shared" si="10"/>
        <v/>
      </c>
      <c r="AA21" s="42" t="str">
        <f t="shared" si="11"/>
        <v/>
      </c>
      <c r="AB21" s="42" t="str">
        <f t="shared" si="12"/>
        <v/>
      </c>
      <c r="AC21" s="14" t="str">
        <f>IFERROR(1/(1/INDEX(Cascade!$BH:$BH,MATCH($E21,Cascade!$E:$E,0))),"")</f>
        <v/>
      </c>
      <c r="AD21" s="14" t="str">
        <f t="shared" si="13"/>
        <v/>
      </c>
      <c r="AE21" s="14" t="str">
        <f>IFERROR(1/(1/INDEX(TB!$P:$P,MATCH($E21,TB!$E:$E,0))),"")</f>
        <v/>
      </c>
      <c r="AF21" s="14" t="str">
        <f t="shared" si="14"/>
        <v/>
      </c>
    </row>
    <row r="22" spans="1:32" x14ac:dyDescent="0.2">
      <c r="A22" t="str">
        <f>INDEX(Prioritization!$D:$D,MATCH($B22,Prioritization!$A:$A,0))</f>
        <v>1 - Scale-up: Saturation</v>
      </c>
      <c r="B22" t="s">
        <v>194</v>
      </c>
      <c r="C22" t="s">
        <v>367</v>
      </c>
      <c r="D22" t="s">
        <v>47</v>
      </c>
      <c r="E22" t="str">
        <f t="shared" si="0"/>
        <v>Dedza District [PekKUkKHAzY]|50+|Male</v>
      </c>
      <c r="F22" s="14">
        <f>IF(LEFT($B22,4)="_Mil","",INDEX(Cascade!$T:$T,MATCH($E22,Cascade!$E:$E,0)))</f>
        <v>845</v>
      </c>
      <c r="G22" s="14" t="str">
        <f>IF(LEFT($B22,4)="_Mil","",INDEX(Cascade!$U:$U,MATCH($E22,Cascade!$E:$E,0)))</f>
        <v/>
      </c>
      <c r="H22" s="88">
        <f>IF(LEFT($B22,4)="_Mil","",INDEX(Cascade!$W:$W,MATCH($E22,Cascade!$E:$E,0)))</f>
        <v>1688</v>
      </c>
      <c r="I22" s="14">
        <f>IF(LEFT($B22,4)="_Mil","",INDEX(Cascade!$Z:$Z,MATCH($E22,Cascade!$E:$E,0)))</f>
        <v>1805</v>
      </c>
      <c r="J22" s="90">
        <f>IF(LEFT($B22,4)="_Mil","",INDEX(Cascade!$AA:$AA,MATCH($E22,Cascade!$E:$E,0)))</f>
        <v>1973.9999999999998</v>
      </c>
      <c r="K22" s="14"/>
      <c r="L22" s="14"/>
      <c r="M22" s="42" t="str">
        <f>IF(LEFT($B22,4)="_Mil","",IFERROR(1/(1/ROUND(INDEX(Spectrum!$N:$N,MATCH(RIGHT($B22,13)&amp;"|"&amp;$C22&amp;"|"&amp;$D22&amp;"|"&amp;M$14&amp;"|"&amp;"CY2023Q3",Spectrum!$R:$R,0)),0)),IF(SUM($L22)=0,"",$L22)))</f>
        <v/>
      </c>
      <c r="N22" s="42" t="str">
        <f>IF(LEFT($B22,4)="_Mil","",IFERROR(1/(1/ROUND(INDEX(Spectrum!$N:$N,MATCH(RIGHT($B22,13)&amp;"|"&amp;$C22&amp;"|"&amp;$D22&amp;"|"&amp;N$14&amp;"|"&amp;"CY2023Q3",Spectrum!$R:$R,0)),0)),IF(SUM($M22)=0,"",$M22)))</f>
        <v/>
      </c>
      <c r="O22" s="90">
        <f t="shared" si="1"/>
        <v>0</v>
      </c>
      <c r="P22" s="90">
        <f t="shared" si="2"/>
        <v>0.8</v>
      </c>
      <c r="Q22" s="42">
        <f t="shared" si="3"/>
        <v>676</v>
      </c>
      <c r="R22" s="42">
        <f t="shared" si="4"/>
        <v>676</v>
      </c>
      <c r="S22" s="90" t="str">
        <f t="shared" si="5"/>
        <v/>
      </c>
      <c r="T22" s="90" t="str">
        <f t="shared" si="6"/>
        <v/>
      </c>
      <c r="U22" s="90"/>
      <c r="V22" s="90" t="str">
        <f t="shared" si="7"/>
        <v/>
      </c>
      <c r="W22" s="90"/>
      <c r="X22" s="90" t="str">
        <f t="shared" si="8"/>
        <v/>
      </c>
      <c r="Y22" s="14" t="str">
        <f t="shared" si="9"/>
        <v>ENTER IN COL S</v>
      </c>
      <c r="Z22" s="42" t="str">
        <f t="shared" si="10"/>
        <v/>
      </c>
      <c r="AA22" s="42" t="str">
        <f t="shared" si="11"/>
        <v/>
      </c>
      <c r="AB22" s="42" t="str">
        <f t="shared" si="12"/>
        <v/>
      </c>
      <c r="AC22" s="14" t="str">
        <f>IFERROR(1/(1/INDEX(Cascade!$BH:$BH,MATCH($E22,Cascade!$E:$E,0))),"")</f>
        <v/>
      </c>
      <c r="AD22" s="14" t="str">
        <f t="shared" si="13"/>
        <v/>
      </c>
      <c r="AE22" s="14" t="str">
        <f>IFERROR(1/(1/INDEX(TB!$P:$P,MATCH($E22,TB!$E:$E,0))),"")</f>
        <v/>
      </c>
      <c r="AF22" s="14" t="str">
        <f t="shared" si="14"/>
        <v/>
      </c>
    </row>
    <row r="23" spans="1:32" x14ac:dyDescent="0.2">
      <c r="A23" t="str">
        <f>INDEX(Prioritization!$D:$D,MATCH($B23,Prioritization!$A:$A,0))</f>
        <v>1 - Scale-up: Saturation</v>
      </c>
      <c r="B23" t="s">
        <v>195</v>
      </c>
      <c r="C23" t="s">
        <v>364</v>
      </c>
      <c r="D23" t="s">
        <v>47</v>
      </c>
      <c r="E23" t="str">
        <f t="shared" si="0"/>
        <v>Dowa District [zphK9WV8JB4]|15-24|Male</v>
      </c>
      <c r="F23" s="14">
        <f>IF(LEFT($B23,4)="_Mil","",INDEX(Cascade!$T:$T,MATCH($E23,Cascade!$E:$E,0)))</f>
        <v>1452</v>
      </c>
      <c r="G23" s="14" t="str">
        <f>IF(LEFT($B23,4)="_Mil","",INDEX(Cascade!$U:$U,MATCH($E23,Cascade!$E:$E,0)))</f>
        <v/>
      </c>
      <c r="H23" s="88">
        <f>IF(LEFT($B23,4)="_Mil","",INDEX(Cascade!$W:$W,MATCH($E23,Cascade!$E:$E,0)))</f>
        <v>988</v>
      </c>
      <c r="I23" s="14">
        <f>IF(LEFT($B23,4)="_Mil","",INDEX(Cascade!$Z:$Z,MATCH($E23,Cascade!$E:$E,0)))</f>
        <v>1932</v>
      </c>
      <c r="J23" s="90">
        <f>IF(LEFT($B23,4)="_Mil","",INDEX(Cascade!$AA:$AA,MATCH($E23,Cascade!$E:$E,0)))</f>
        <v>1202</v>
      </c>
      <c r="K23" s="14"/>
      <c r="L23" s="14"/>
      <c r="M23" s="42" t="str">
        <f>IF(LEFT($B23,4)="_Mil","",IFERROR(1/(1/ROUND(INDEX(Spectrum!$N:$N,MATCH(RIGHT($B23,13)&amp;"|"&amp;$C23&amp;"|"&amp;$D23&amp;"|"&amp;M$14&amp;"|"&amp;"CY2023Q3",Spectrum!$R:$R,0)),0)),IF(SUM($L23)=0,"",$L23)))</f>
        <v/>
      </c>
      <c r="N23" s="42" t="str">
        <f>IF(LEFT($B23,4)="_Mil","",IFERROR(1/(1/ROUND(INDEX(Spectrum!$N:$N,MATCH(RIGHT($B23,13)&amp;"|"&amp;$C23&amp;"|"&amp;$D23&amp;"|"&amp;N$14&amp;"|"&amp;"CY2023Q3",Spectrum!$R:$R,0)),0)),IF(SUM($M23)=0,"",$M23)))</f>
        <v/>
      </c>
      <c r="O23" s="90">
        <f t="shared" si="1"/>
        <v>0</v>
      </c>
      <c r="P23" s="90">
        <f t="shared" si="2"/>
        <v>0.8</v>
      </c>
      <c r="Q23" s="42">
        <f t="shared" si="3"/>
        <v>1162</v>
      </c>
      <c r="R23" s="42">
        <f t="shared" si="4"/>
        <v>1162</v>
      </c>
      <c r="S23" s="90" t="str">
        <f t="shared" si="5"/>
        <v/>
      </c>
      <c r="T23" s="90" t="str">
        <f t="shared" si="6"/>
        <v/>
      </c>
      <c r="U23" s="90"/>
      <c r="V23" s="90" t="str">
        <f t="shared" si="7"/>
        <v/>
      </c>
      <c r="W23" s="90"/>
      <c r="X23" s="90" t="str">
        <f t="shared" si="8"/>
        <v/>
      </c>
      <c r="Y23" s="14" t="str">
        <f t="shared" si="9"/>
        <v>ENTER IN COL S</v>
      </c>
      <c r="Z23" s="42" t="str">
        <f t="shared" si="10"/>
        <v/>
      </c>
      <c r="AA23" s="42" t="str">
        <f t="shared" si="11"/>
        <v/>
      </c>
      <c r="AB23" s="42" t="str">
        <f t="shared" si="12"/>
        <v/>
      </c>
      <c r="AC23" s="14" t="str">
        <f>IFERROR(1/(1/INDEX(Cascade!$BH:$BH,MATCH($E23,Cascade!$E:$E,0))),"")</f>
        <v/>
      </c>
      <c r="AD23" s="14" t="str">
        <f t="shared" si="13"/>
        <v/>
      </c>
      <c r="AE23" s="14" t="str">
        <f>IFERROR(1/(1/INDEX(TB!$P:$P,MATCH($E23,TB!$E:$E,0))),"")</f>
        <v/>
      </c>
      <c r="AF23" s="14" t="str">
        <f t="shared" si="14"/>
        <v/>
      </c>
    </row>
    <row r="24" spans="1:32" x14ac:dyDescent="0.2">
      <c r="A24" t="str">
        <f>INDEX(Prioritization!$D:$D,MATCH($B24,Prioritization!$A:$A,0))</f>
        <v>1 - Scale-up: Saturation</v>
      </c>
      <c r="B24" t="s">
        <v>195</v>
      </c>
      <c r="C24" t="s">
        <v>365</v>
      </c>
      <c r="D24" t="s">
        <v>47</v>
      </c>
      <c r="E24" t="str">
        <f t="shared" si="0"/>
        <v>Dowa District [zphK9WV8JB4]|25-34|Male</v>
      </c>
      <c r="F24" s="14">
        <f>IF(LEFT($B24,4)="_Mil","",INDEX(Cascade!$T:$T,MATCH($E24,Cascade!$E:$E,0)))</f>
        <v>902</v>
      </c>
      <c r="G24" s="14" t="str">
        <f>IF(LEFT($B24,4)="_Mil","",INDEX(Cascade!$U:$U,MATCH($E24,Cascade!$E:$E,0)))</f>
        <v/>
      </c>
      <c r="H24" s="88">
        <f>IF(LEFT($B24,4)="_Mil","",INDEX(Cascade!$W:$W,MATCH($E24,Cascade!$E:$E,0)))</f>
        <v>1243</v>
      </c>
      <c r="I24" s="14">
        <f>IF(LEFT($B24,4)="_Mil","",INDEX(Cascade!$Z:$Z,MATCH($E24,Cascade!$E:$E,0)))</f>
        <v>1138</v>
      </c>
      <c r="J24" s="90">
        <f>IF(LEFT($B24,4)="_Mil","",INDEX(Cascade!$AA:$AA,MATCH($E24,Cascade!$E:$E,0)))</f>
        <v>1826</v>
      </c>
      <c r="K24" s="14"/>
      <c r="L24" s="14"/>
      <c r="M24" s="42" t="str">
        <f>IF(LEFT($B24,4)="_Mil","",IFERROR(1/(1/ROUND(INDEX(Spectrum!$N:$N,MATCH(RIGHT($B24,13)&amp;"|"&amp;$C24&amp;"|"&amp;$D24&amp;"|"&amp;M$14&amp;"|"&amp;"CY2023Q3",Spectrum!$R:$R,0)),0)),IF(SUM($L24)=0,"",$L24)))</f>
        <v/>
      </c>
      <c r="N24" s="42" t="str">
        <f>IF(LEFT($B24,4)="_Mil","",IFERROR(1/(1/ROUND(INDEX(Spectrum!$N:$N,MATCH(RIGHT($B24,13)&amp;"|"&amp;$C24&amp;"|"&amp;$D24&amp;"|"&amp;N$14&amp;"|"&amp;"CY2023Q3",Spectrum!$R:$R,0)),0)),IF(SUM($M24)=0,"",$M24)))</f>
        <v/>
      </c>
      <c r="O24" s="90">
        <f t="shared" si="1"/>
        <v>0</v>
      </c>
      <c r="P24" s="90">
        <f t="shared" si="2"/>
        <v>0.8</v>
      </c>
      <c r="Q24" s="42">
        <f t="shared" si="3"/>
        <v>722</v>
      </c>
      <c r="R24" s="42">
        <f t="shared" si="4"/>
        <v>722</v>
      </c>
      <c r="S24" s="90" t="str">
        <f t="shared" si="5"/>
        <v/>
      </c>
      <c r="T24" s="90" t="str">
        <f t="shared" si="6"/>
        <v/>
      </c>
      <c r="U24" s="90"/>
      <c r="V24" s="90" t="str">
        <f t="shared" si="7"/>
        <v/>
      </c>
      <c r="W24" s="90"/>
      <c r="X24" s="90" t="str">
        <f t="shared" si="8"/>
        <v/>
      </c>
      <c r="Y24" s="14" t="str">
        <f t="shared" si="9"/>
        <v>ENTER IN COL S</v>
      </c>
      <c r="Z24" s="42" t="str">
        <f t="shared" si="10"/>
        <v/>
      </c>
      <c r="AA24" s="42" t="str">
        <f t="shared" si="11"/>
        <v/>
      </c>
      <c r="AB24" s="42" t="str">
        <f t="shared" si="12"/>
        <v/>
      </c>
      <c r="AC24" s="14" t="str">
        <f>IFERROR(1/(1/INDEX(Cascade!$BH:$BH,MATCH($E24,Cascade!$E:$E,0))),"")</f>
        <v/>
      </c>
      <c r="AD24" s="14" t="str">
        <f t="shared" si="13"/>
        <v/>
      </c>
      <c r="AE24" s="14" t="str">
        <f>IFERROR(1/(1/INDEX(TB!$P:$P,MATCH($E24,TB!$E:$E,0))),"")</f>
        <v/>
      </c>
      <c r="AF24" s="14" t="str">
        <f t="shared" si="14"/>
        <v/>
      </c>
    </row>
    <row r="25" spans="1:32" x14ac:dyDescent="0.2">
      <c r="A25" t="str">
        <f>INDEX(Prioritization!$D:$D,MATCH($B25,Prioritization!$A:$A,0))</f>
        <v>1 - Scale-up: Saturation</v>
      </c>
      <c r="B25" t="s">
        <v>195</v>
      </c>
      <c r="C25" t="s">
        <v>366</v>
      </c>
      <c r="D25" t="s">
        <v>47</v>
      </c>
      <c r="E25" t="str">
        <f t="shared" si="0"/>
        <v>Dowa District [zphK9WV8JB4]|35-49|Male</v>
      </c>
      <c r="F25" s="14">
        <f>IF(LEFT($B25,4)="_Mil","",INDEX(Cascade!$T:$T,MATCH($E25,Cascade!$E:$E,0)))</f>
        <v>1463</v>
      </c>
      <c r="G25" s="14" t="str">
        <f>IF(LEFT($B25,4)="_Mil","",INDEX(Cascade!$U:$U,MATCH($E25,Cascade!$E:$E,0)))</f>
        <v/>
      </c>
      <c r="H25" s="88">
        <f>IF(LEFT($B25,4)="_Mil","",INDEX(Cascade!$W:$W,MATCH($E25,Cascade!$E:$E,0)))</f>
        <v>532</v>
      </c>
      <c r="I25" s="14">
        <f>IF(LEFT($B25,4)="_Mil","",INDEX(Cascade!$Z:$Z,MATCH($E25,Cascade!$E:$E,0)))</f>
        <v>1148</v>
      </c>
      <c r="J25" s="90">
        <f>IF(LEFT($B25,4)="_Mil","",INDEX(Cascade!$AA:$AA,MATCH($E25,Cascade!$E:$E,0)))</f>
        <v>1724</v>
      </c>
      <c r="K25" s="14"/>
      <c r="L25" s="14"/>
      <c r="M25" s="42" t="str">
        <f>IF(LEFT($B25,4)="_Mil","",IFERROR(1/(1/ROUND(INDEX(Spectrum!$N:$N,MATCH(RIGHT($B25,13)&amp;"|"&amp;$C25&amp;"|"&amp;$D25&amp;"|"&amp;M$14&amp;"|"&amp;"CY2023Q3",Spectrum!$R:$R,0)),0)),IF(SUM($L25)=0,"",$L25)))</f>
        <v/>
      </c>
      <c r="N25" s="42" t="str">
        <f>IF(LEFT($B25,4)="_Mil","",IFERROR(1/(1/ROUND(INDEX(Spectrum!$N:$N,MATCH(RIGHT($B25,13)&amp;"|"&amp;$C25&amp;"|"&amp;$D25&amp;"|"&amp;N$14&amp;"|"&amp;"CY2023Q3",Spectrum!$R:$R,0)),0)),IF(SUM($M25)=0,"",$M25)))</f>
        <v/>
      </c>
      <c r="O25" s="90">
        <f t="shared" si="1"/>
        <v>0</v>
      </c>
      <c r="P25" s="90">
        <f t="shared" si="2"/>
        <v>0.8</v>
      </c>
      <c r="Q25" s="42">
        <f t="shared" si="3"/>
        <v>1170</v>
      </c>
      <c r="R25" s="42">
        <f t="shared" si="4"/>
        <v>1170</v>
      </c>
      <c r="S25" s="90" t="str">
        <f t="shared" si="5"/>
        <v/>
      </c>
      <c r="T25" s="90" t="str">
        <f t="shared" si="6"/>
        <v/>
      </c>
      <c r="U25" s="90"/>
      <c r="V25" s="90" t="str">
        <f t="shared" si="7"/>
        <v/>
      </c>
      <c r="W25" s="90"/>
      <c r="X25" s="90" t="str">
        <f t="shared" si="8"/>
        <v/>
      </c>
      <c r="Y25" s="14" t="str">
        <f t="shared" si="9"/>
        <v>ENTER IN COL S</v>
      </c>
      <c r="Z25" s="42" t="str">
        <f t="shared" si="10"/>
        <v/>
      </c>
      <c r="AA25" s="42" t="str">
        <f t="shared" si="11"/>
        <v/>
      </c>
      <c r="AB25" s="42" t="str">
        <f t="shared" si="12"/>
        <v/>
      </c>
      <c r="AC25" s="14" t="str">
        <f>IFERROR(1/(1/INDEX(Cascade!$BH:$BH,MATCH($E25,Cascade!$E:$E,0))),"")</f>
        <v/>
      </c>
      <c r="AD25" s="14" t="str">
        <f t="shared" si="13"/>
        <v/>
      </c>
      <c r="AE25" s="14" t="str">
        <f>IFERROR(1/(1/INDEX(TB!$P:$P,MATCH($E25,TB!$E:$E,0))),"")</f>
        <v/>
      </c>
      <c r="AF25" s="14" t="str">
        <f t="shared" si="14"/>
        <v/>
      </c>
    </row>
    <row r="26" spans="1:32" x14ac:dyDescent="0.2">
      <c r="A26" t="str">
        <f>INDEX(Prioritization!$D:$D,MATCH($B26,Prioritization!$A:$A,0))</f>
        <v>1 - Scale-up: Saturation</v>
      </c>
      <c r="B26" t="s">
        <v>195</v>
      </c>
      <c r="C26" t="s">
        <v>367</v>
      </c>
      <c r="D26" t="s">
        <v>47</v>
      </c>
      <c r="E26" t="str">
        <f t="shared" si="0"/>
        <v>Dowa District [zphK9WV8JB4]|50+|Male</v>
      </c>
      <c r="F26" s="14">
        <f>IF(LEFT($B26,4)="_Mil","",INDEX(Cascade!$T:$T,MATCH($E26,Cascade!$E:$E,0)))</f>
        <v>816</v>
      </c>
      <c r="G26" s="14" t="str">
        <f>IF(LEFT($B26,4)="_Mil","",INDEX(Cascade!$U:$U,MATCH($E26,Cascade!$E:$E,0)))</f>
        <v/>
      </c>
      <c r="H26" s="88">
        <f>IF(LEFT($B26,4)="_Mil","",INDEX(Cascade!$W:$W,MATCH($E26,Cascade!$E:$E,0)))</f>
        <v>636</v>
      </c>
      <c r="I26" s="14">
        <f>IF(LEFT($B26,4)="_Mil","",INDEX(Cascade!$Z:$Z,MATCH($E26,Cascade!$E:$E,0)))</f>
        <v>1982</v>
      </c>
      <c r="J26" s="90">
        <f>IF(LEFT($B26,4)="_Mil","",INDEX(Cascade!$AA:$AA,MATCH($E26,Cascade!$E:$E,0)))</f>
        <v>1591</v>
      </c>
      <c r="K26" s="14"/>
      <c r="L26" s="14"/>
      <c r="M26" s="42" t="str">
        <f>IF(LEFT($B26,4)="_Mil","",IFERROR(1/(1/ROUND(INDEX(Spectrum!$N:$N,MATCH(RIGHT($B26,13)&amp;"|"&amp;$C26&amp;"|"&amp;$D26&amp;"|"&amp;M$14&amp;"|"&amp;"CY2023Q3",Spectrum!$R:$R,0)),0)),IF(SUM($L26)=0,"",$L26)))</f>
        <v/>
      </c>
      <c r="N26" s="42" t="str">
        <f>IF(LEFT($B26,4)="_Mil","",IFERROR(1/(1/ROUND(INDEX(Spectrum!$N:$N,MATCH(RIGHT($B26,13)&amp;"|"&amp;$C26&amp;"|"&amp;$D26&amp;"|"&amp;N$14&amp;"|"&amp;"CY2023Q3",Spectrum!$R:$R,0)),0)),IF(SUM($M26)=0,"",$M26)))</f>
        <v/>
      </c>
      <c r="O26" s="90">
        <f t="shared" si="1"/>
        <v>0</v>
      </c>
      <c r="P26" s="90">
        <f t="shared" si="2"/>
        <v>0.8</v>
      </c>
      <c r="Q26" s="42">
        <f t="shared" si="3"/>
        <v>653</v>
      </c>
      <c r="R26" s="42">
        <f t="shared" si="4"/>
        <v>653</v>
      </c>
      <c r="S26" s="90" t="str">
        <f t="shared" si="5"/>
        <v/>
      </c>
      <c r="T26" s="90" t="str">
        <f t="shared" si="6"/>
        <v/>
      </c>
      <c r="U26" s="90"/>
      <c r="V26" s="90" t="str">
        <f t="shared" si="7"/>
        <v/>
      </c>
      <c r="W26" s="90"/>
      <c r="X26" s="90" t="str">
        <f t="shared" si="8"/>
        <v/>
      </c>
      <c r="Y26" s="14" t="str">
        <f t="shared" si="9"/>
        <v>ENTER IN COL S</v>
      </c>
      <c r="Z26" s="42" t="str">
        <f t="shared" si="10"/>
        <v/>
      </c>
      <c r="AA26" s="42" t="str">
        <f t="shared" si="11"/>
        <v/>
      </c>
      <c r="AB26" s="42" t="str">
        <f t="shared" si="12"/>
        <v/>
      </c>
      <c r="AC26" s="14" t="str">
        <f>IFERROR(1/(1/INDEX(Cascade!$BH:$BH,MATCH($E26,Cascade!$E:$E,0))),"")</f>
        <v/>
      </c>
      <c r="AD26" s="14" t="str">
        <f t="shared" si="13"/>
        <v/>
      </c>
      <c r="AE26" s="14" t="str">
        <f>IFERROR(1/(1/INDEX(TB!$P:$P,MATCH($E26,TB!$E:$E,0))),"")</f>
        <v/>
      </c>
      <c r="AF26" s="14" t="str">
        <f t="shared" si="14"/>
        <v/>
      </c>
    </row>
    <row r="27" spans="1:32" x14ac:dyDescent="0.2">
      <c r="A27" t="str">
        <f>INDEX(Prioritization!$D:$D,MATCH($B27,Prioritization!$A:$A,0))</f>
        <v>INVALID</v>
      </c>
      <c r="B27" t="s">
        <v>196</v>
      </c>
      <c r="C27" t="s">
        <v>364</v>
      </c>
      <c r="D27" t="s">
        <v>47</v>
      </c>
      <c r="E27" t="str">
        <f t="shared" si="0"/>
        <v>Kasungu District [JQKLKuVuY61]|15-24|Male</v>
      </c>
      <c r="F27" s="14">
        <f>IF(LEFT($B27,4)="_Mil","",INDEX(Cascade!$T:$T,MATCH($E27,Cascade!$E:$E,0)))</f>
        <v>591</v>
      </c>
      <c r="G27" s="14" t="str">
        <f>IF(LEFT($B27,4)="_Mil","",INDEX(Cascade!$U:$U,MATCH($E27,Cascade!$E:$E,0)))</f>
        <v/>
      </c>
      <c r="H27" s="88">
        <f>IF(LEFT($B27,4)="_Mil","",INDEX(Cascade!$W:$W,MATCH($E27,Cascade!$E:$E,0)))</f>
        <v>604</v>
      </c>
      <c r="I27" s="14">
        <f>IF(LEFT($B27,4)="_Mil","",INDEX(Cascade!$Z:$Z,MATCH($E27,Cascade!$E:$E,0)))</f>
        <v>1883</v>
      </c>
      <c r="J27" s="90">
        <f>IF(LEFT($B27,4)="_Mil","",INDEX(Cascade!$AA:$AA,MATCH($E27,Cascade!$E:$E,0)))</f>
        <v>1382</v>
      </c>
      <c r="K27" s="14"/>
      <c r="L27" s="14"/>
      <c r="M27" s="42" t="str">
        <f>IF(LEFT($B27,4)="_Mil","",IFERROR(1/(1/ROUND(INDEX(Spectrum!$N:$N,MATCH(RIGHT($B27,13)&amp;"|"&amp;$C27&amp;"|"&amp;$D27&amp;"|"&amp;M$14&amp;"|"&amp;"CY2023Q3",Spectrum!$R:$R,0)),0)),IF(SUM($L27)=0,"",$L27)))</f>
        <v/>
      </c>
      <c r="N27" s="42" t="str">
        <f>IF(LEFT($B27,4)="_Mil","",IFERROR(1/(1/ROUND(INDEX(Spectrum!$N:$N,MATCH(RIGHT($B27,13)&amp;"|"&amp;$C27&amp;"|"&amp;$D27&amp;"|"&amp;N$14&amp;"|"&amp;"CY2023Q3",Spectrum!$R:$R,0)),0)),IF(SUM($M27)=0,"",$M27)))</f>
        <v/>
      </c>
      <c r="O27" s="90">
        <f t="shared" si="1"/>
        <v>0</v>
      </c>
      <c r="P27" s="90">
        <f t="shared" si="2"/>
        <v>0.8</v>
      </c>
      <c r="Q27" s="42">
        <f t="shared" si="3"/>
        <v>473</v>
      </c>
      <c r="R27" s="42">
        <f t="shared" si="4"/>
        <v>473</v>
      </c>
      <c r="S27" s="90" t="str">
        <f t="shared" si="5"/>
        <v/>
      </c>
      <c r="T27" s="90" t="str">
        <f t="shared" si="6"/>
        <v/>
      </c>
      <c r="U27" s="90"/>
      <c r="V27" s="90" t="str">
        <f t="shared" si="7"/>
        <v/>
      </c>
      <c r="W27" s="90"/>
      <c r="X27" s="90" t="str">
        <f t="shared" si="8"/>
        <v/>
      </c>
      <c r="Y27" s="14" t="str">
        <f t="shared" si="9"/>
        <v>ENTER IN COL S</v>
      </c>
      <c r="Z27" s="42" t="str">
        <f t="shared" si="10"/>
        <v/>
      </c>
      <c r="AA27" s="42" t="str">
        <f t="shared" si="11"/>
        <v/>
      </c>
      <c r="AB27" s="42" t="str">
        <f t="shared" si="12"/>
        <v/>
      </c>
      <c r="AC27" s="14" t="str">
        <f>IFERROR(1/(1/INDEX(Cascade!$BH:$BH,MATCH($E27,Cascade!$E:$E,0))),"")</f>
        <v/>
      </c>
      <c r="AD27" s="14" t="str">
        <f t="shared" si="13"/>
        <v/>
      </c>
      <c r="AE27" s="14" t="str">
        <f>IFERROR(1/(1/INDEX(TB!$P:$P,MATCH($E27,TB!$E:$E,0))),"")</f>
        <v/>
      </c>
      <c r="AF27" s="14" t="str">
        <f t="shared" si="14"/>
        <v/>
      </c>
    </row>
    <row r="28" spans="1:32" x14ac:dyDescent="0.2">
      <c r="A28" t="str">
        <f>INDEX(Prioritization!$D:$D,MATCH($B28,Prioritization!$A:$A,0))</f>
        <v>INVALID</v>
      </c>
      <c r="B28" t="s">
        <v>196</v>
      </c>
      <c r="C28" t="s">
        <v>365</v>
      </c>
      <c r="D28" t="s">
        <v>47</v>
      </c>
      <c r="E28" t="str">
        <f t="shared" si="0"/>
        <v>Kasungu District [JQKLKuVuY61]|25-34|Male</v>
      </c>
      <c r="F28" s="14">
        <f>IF(LEFT($B28,4)="_Mil","",INDEX(Cascade!$T:$T,MATCH($E28,Cascade!$E:$E,0)))</f>
        <v>1929</v>
      </c>
      <c r="G28" s="14" t="str">
        <f>IF(LEFT($B28,4)="_Mil","",INDEX(Cascade!$U:$U,MATCH($E28,Cascade!$E:$E,0)))</f>
        <v/>
      </c>
      <c r="H28" s="88">
        <f>IF(LEFT($B28,4)="_Mil","",INDEX(Cascade!$W:$W,MATCH($E28,Cascade!$E:$E,0)))</f>
        <v>1365</v>
      </c>
      <c r="I28" s="14">
        <f>IF(LEFT($B28,4)="_Mil","",INDEX(Cascade!$Z:$Z,MATCH($E28,Cascade!$E:$E,0)))</f>
        <v>999</v>
      </c>
      <c r="J28" s="90">
        <f>IF(LEFT($B28,4)="_Mil","",INDEX(Cascade!$AA:$AA,MATCH($E28,Cascade!$E:$E,0)))</f>
        <v>1340</v>
      </c>
      <c r="K28" s="14"/>
      <c r="L28" s="14"/>
      <c r="M28" s="42" t="str">
        <f>IF(LEFT($B28,4)="_Mil","",IFERROR(1/(1/ROUND(INDEX(Spectrum!$N:$N,MATCH(RIGHT($B28,13)&amp;"|"&amp;$C28&amp;"|"&amp;$D28&amp;"|"&amp;M$14&amp;"|"&amp;"CY2023Q3",Spectrum!$R:$R,0)),0)),IF(SUM($L28)=0,"",$L28)))</f>
        <v/>
      </c>
      <c r="N28" s="42" t="str">
        <f>IF(LEFT($B28,4)="_Mil","",IFERROR(1/(1/ROUND(INDEX(Spectrum!$N:$N,MATCH(RIGHT($B28,13)&amp;"|"&amp;$C28&amp;"|"&amp;$D28&amp;"|"&amp;N$14&amp;"|"&amp;"CY2023Q3",Spectrum!$R:$R,0)),0)),IF(SUM($M28)=0,"",$M28)))</f>
        <v/>
      </c>
      <c r="O28" s="90">
        <f t="shared" si="1"/>
        <v>0</v>
      </c>
      <c r="P28" s="90">
        <f t="shared" si="2"/>
        <v>0.8</v>
      </c>
      <c r="Q28" s="42">
        <f t="shared" si="3"/>
        <v>1543</v>
      </c>
      <c r="R28" s="42">
        <f t="shared" si="4"/>
        <v>1543</v>
      </c>
      <c r="S28" s="90" t="str">
        <f t="shared" si="5"/>
        <v/>
      </c>
      <c r="T28" s="90" t="str">
        <f t="shared" si="6"/>
        <v/>
      </c>
      <c r="U28" s="90"/>
      <c r="V28" s="90" t="str">
        <f t="shared" si="7"/>
        <v/>
      </c>
      <c r="W28" s="90"/>
      <c r="X28" s="90" t="str">
        <f t="shared" si="8"/>
        <v/>
      </c>
      <c r="Y28" s="14" t="str">
        <f t="shared" si="9"/>
        <v>ENTER IN COL S</v>
      </c>
      <c r="Z28" s="42" t="str">
        <f t="shared" si="10"/>
        <v/>
      </c>
      <c r="AA28" s="42" t="str">
        <f t="shared" si="11"/>
        <v/>
      </c>
      <c r="AB28" s="42" t="str">
        <f t="shared" si="12"/>
        <v/>
      </c>
      <c r="AC28" s="14" t="str">
        <f>IFERROR(1/(1/INDEX(Cascade!$BH:$BH,MATCH($E28,Cascade!$E:$E,0))),"")</f>
        <v/>
      </c>
      <c r="AD28" s="14" t="str">
        <f t="shared" si="13"/>
        <v/>
      </c>
      <c r="AE28" s="14" t="str">
        <f>IFERROR(1/(1/INDEX(TB!$P:$P,MATCH($E28,TB!$E:$E,0))),"")</f>
        <v/>
      </c>
      <c r="AF28" s="14" t="str">
        <f t="shared" si="14"/>
        <v/>
      </c>
    </row>
    <row r="29" spans="1:32" x14ac:dyDescent="0.2">
      <c r="A29" t="str">
        <f>INDEX(Prioritization!$D:$D,MATCH($B29,Prioritization!$A:$A,0))</f>
        <v>INVALID</v>
      </c>
      <c r="B29" t="s">
        <v>196</v>
      </c>
      <c r="C29" t="s">
        <v>366</v>
      </c>
      <c r="D29" t="s">
        <v>47</v>
      </c>
      <c r="E29" t="str">
        <f t="shared" si="0"/>
        <v>Kasungu District [JQKLKuVuY61]|35-49|Male</v>
      </c>
      <c r="F29" s="14">
        <f>IF(LEFT($B29,4)="_Mil","",INDEX(Cascade!$T:$T,MATCH($E29,Cascade!$E:$E,0)))</f>
        <v>1723</v>
      </c>
      <c r="G29" s="14" t="str">
        <f>IF(LEFT($B29,4)="_Mil","",INDEX(Cascade!$U:$U,MATCH($E29,Cascade!$E:$E,0)))</f>
        <v/>
      </c>
      <c r="H29" s="88">
        <f>IF(LEFT($B29,4)="_Mil","",INDEX(Cascade!$W:$W,MATCH($E29,Cascade!$E:$E,0)))</f>
        <v>1408</v>
      </c>
      <c r="I29" s="14">
        <f>IF(LEFT($B29,4)="_Mil","",INDEX(Cascade!$Z:$Z,MATCH($E29,Cascade!$E:$E,0)))</f>
        <v>1101</v>
      </c>
      <c r="J29" s="90">
        <f>IF(LEFT($B29,4)="_Mil","",INDEX(Cascade!$AA:$AA,MATCH($E29,Cascade!$E:$E,0)))</f>
        <v>1735</v>
      </c>
      <c r="K29" s="14"/>
      <c r="L29" s="14"/>
      <c r="M29" s="42" t="str">
        <f>IF(LEFT($B29,4)="_Mil","",IFERROR(1/(1/ROUND(INDEX(Spectrum!$N:$N,MATCH(RIGHT($B29,13)&amp;"|"&amp;$C29&amp;"|"&amp;$D29&amp;"|"&amp;M$14&amp;"|"&amp;"CY2023Q3",Spectrum!$R:$R,0)),0)),IF(SUM($L29)=0,"",$L29)))</f>
        <v/>
      </c>
      <c r="N29" s="42" t="str">
        <f>IF(LEFT($B29,4)="_Mil","",IFERROR(1/(1/ROUND(INDEX(Spectrum!$N:$N,MATCH(RIGHT($B29,13)&amp;"|"&amp;$C29&amp;"|"&amp;$D29&amp;"|"&amp;N$14&amp;"|"&amp;"CY2023Q3",Spectrum!$R:$R,0)),0)),IF(SUM($M29)=0,"",$M29)))</f>
        <v/>
      </c>
      <c r="O29" s="90">
        <f t="shared" si="1"/>
        <v>0</v>
      </c>
      <c r="P29" s="90">
        <f t="shared" si="2"/>
        <v>0.8</v>
      </c>
      <c r="Q29" s="42">
        <f t="shared" si="3"/>
        <v>1378</v>
      </c>
      <c r="R29" s="42">
        <f t="shared" si="4"/>
        <v>1378</v>
      </c>
      <c r="S29" s="90" t="str">
        <f t="shared" si="5"/>
        <v/>
      </c>
      <c r="T29" s="90" t="str">
        <f t="shared" si="6"/>
        <v/>
      </c>
      <c r="U29" s="90"/>
      <c r="V29" s="90" t="str">
        <f t="shared" si="7"/>
        <v/>
      </c>
      <c r="W29" s="90"/>
      <c r="X29" s="90" t="str">
        <f t="shared" si="8"/>
        <v/>
      </c>
      <c r="Y29" s="14" t="str">
        <f t="shared" si="9"/>
        <v>ENTER IN COL S</v>
      </c>
      <c r="Z29" s="42" t="str">
        <f t="shared" si="10"/>
        <v/>
      </c>
      <c r="AA29" s="42" t="str">
        <f t="shared" si="11"/>
        <v/>
      </c>
      <c r="AB29" s="42" t="str">
        <f t="shared" si="12"/>
        <v/>
      </c>
      <c r="AC29" s="14" t="str">
        <f>IFERROR(1/(1/INDEX(Cascade!$BH:$BH,MATCH($E29,Cascade!$E:$E,0))),"")</f>
        <v/>
      </c>
      <c r="AD29" s="14" t="str">
        <f t="shared" si="13"/>
        <v/>
      </c>
      <c r="AE29" s="14" t="str">
        <f>IFERROR(1/(1/INDEX(TB!$P:$P,MATCH($E29,TB!$E:$E,0))),"")</f>
        <v/>
      </c>
      <c r="AF29" s="14" t="str">
        <f t="shared" si="14"/>
        <v/>
      </c>
    </row>
    <row r="30" spans="1:32" x14ac:dyDescent="0.2">
      <c r="A30" t="str">
        <f>INDEX(Prioritization!$D:$D,MATCH($B30,Prioritization!$A:$A,0))</f>
        <v>INVALID</v>
      </c>
      <c r="B30" t="s">
        <v>196</v>
      </c>
      <c r="C30" t="s">
        <v>367</v>
      </c>
      <c r="D30" t="s">
        <v>47</v>
      </c>
      <c r="E30" t="str">
        <f t="shared" si="0"/>
        <v>Kasungu District [JQKLKuVuY61]|50+|Male</v>
      </c>
      <c r="F30" s="14">
        <f>IF(LEFT($B30,4)="_Mil","",INDEX(Cascade!$T:$T,MATCH($E30,Cascade!$E:$E,0)))</f>
        <v>963</v>
      </c>
      <c r="G30" s="14" t="str">
        <f>IF(LEFT($B30,4)="_Mil","",INDEX(Cascade!$U:$U,MATCH($E30,Cascade!$E:$E,0)))</f>
        <v/>
      </c>
      <c r="H30" s="88">
        <f>IF(LEFT($B30,4)="_Mil","",INDEX(Cascade!$W:$W,MATCH($E30,Cascade!$E:$E,0)))</f>
        <v>580</v>
      </c>
      <c r="I30" s="14">
        <f>IF(LEFT($B30,4)="_Mil","",INDEX(Cascade!$Z:$Z,MATCH($E30,Cascade!$E:$E,0)))</f>
        <v>932</v>
      </c>
      <c r="J30" s="90">
        <f>IF(LEFT($B30,4)="_Mil","",INDEX(Cascade!$AA:$AA,MATCH($E30,Cascade!$E:$E,0)))</f>
        <v>501.00000000000006</v>
      </c>
      <c r="K30" s="14"/>
      <c r="L30" s="14"/>
      <c r="M30" s="42" t="str">
        <f>IF(LEFT($B30,4)="_Mil","",IFERROR(1/(1/ROUND(INDEX(Spectrum!$N:$N,MATCH(RIGHT($B30,13)&amp;"|"&amp;$C30&amp;"|"&amp;$D30&amp;"|"&amp;M$14&amp;"|"&amp;"CY2023Q3",Spectrum!$R:$R,0)),0)),IF(SUM($L30)=0,"",$L30)))</f>
        <v/>
      </c>
      <c r="N30" s="42" t="str">
        <f>IF(LEFT($B30,4)="_Mil","",IFERROR(1/(1/ROUND(INDEX(Spectrum!$N:$N,MATCH(RIGHT($B30,13)&amp;"|"&amp;$C30&amp;"|"&amp;$D30&amp;"|"&amp;N$14&amp;"|"&amp;"CY2023Q3",Spectrum!$R:$R,0)),0)),IF(SUM($M30)=0,"",$M30)))</f>
        <v/>
      </c>
      <c r="O30" s="90">
        <f t="shared" si="1"/>
        <v>0</v>
      </c>
      <c r="P30" s="90">
        <f t="shared" si="2"/>
        <v>0.8</v>
      </c>
      <c r="Q30" s="42">
        <f t="shared" si="3"/>
        <v>770</v>
      </c>
      <c r="R30" s="42">
        <f t="shared" si="4"/>
        <v>770</v>
      </c>
      <c r="S30" s="90" t="str">
        <f t="shared" si="5"/>
        <v/>
      </c>
      <c r="T30" s="90" t="str">
        <f t="shared" si="6"/>
        <v/>
      </c>
      <c r="U30" s="90"/>
      <c r="V30" s="90" t="str">
        <f t="shared" si="7"/>
        <v/>
      </c>
      <c r="W30" s="90"/>
      <c r="X30" s="90" t="str">
        <f t="shared" si="8"/>
        <v/>
      </c>
      <c r="Y30" s="14" t="str">
        <f t="shared" si="9"/>
        <v>ENTER IN COL S</v>
      </c>
      <c r="Z30" s="42" t="str">
        <f t="shared" si="10"/>
        <v/>
      </c>
      <c r="AA30" s="42" t="str">
        <f t="shared" si="11"/>
        <v/>
      </c>
      <c r="AB30" s="42" t="str">
        <f t="shared" si="12"/>
        <v/>
      </c>
      <c r="AC30" s="14" t="str">
        <f>IFERROR(1/(1/INDEX(Cascade!$BH:$BH,MATCH($E30,Cascade!$E:$E,0))),"")</f>
        <v/>
      </c>
      <c r="AD30" s="14" t="str">
        <f t="shared" si="13"/>
        <v/>
      </c>
      <c r="AE30" s="14" t="str">
        <f>IFERROR(1/(1/INDEX(TB!$P:$P,MATCH($E30,TB!$E:$E,0))),"")</f>
        <v/>
      </c>
      <c r="AF30" s="14" t="str">
        <f t="shared" si="14"/>
        <v/>
      </c>
    </row>
    <row r="31" spans="1:32" x14ac:dyDescent="0.2">
      <c r="A31" t="str">
        <f>INDEX(Prioritization!$D:$D,MATCH($B31,Prioritization!$A:$A,0))</f>
        <v>1 - Scale-up: Saturation</v>
      </c>
      <c r="B31" t="s">
        <v>197</v>
      </c>
      <c r="C31" t="s">
        <v>364</v>
      </c>
      <c r="D31" t="s">
        <v>47</v>
      </c>
      <c r="E31" t="str">
        <f t="shared" si="0"/>
        <v>Lilongwe District [ScR9iFKAasW]|15-24|Male</v>
      </c>
      <c r="F31" s="14">
        <f>IF(LEFT($B31,4)="_Mil","",INDEX(Cascade!$T:$T,MATCH($E31,Cascade!$E:$E,0)))</f>
        <v>1493</v>
      </c>
      <c r="G31" s="14" t="str">
        <f>IF(LEFT($B31,4)="_Mil","",INDEX(Cascade!$U:$U,MATCH($E31,Cascade!$E:$E,0)))</f>
        <v/>
      </c>
      <c r="H31" s="88">
        <f>IF(LEFT($B31,4)="_Mil","",INDEX(Cascade!$W:$W,MATCH($E31,Cascade!$E:$E,0)))</f>
        <v>1947</v>
      </c>
      <c r="I31" s="14">
        <f>IF(LEFT($B31,4)="_Mil","",INDEX(Cascade!$Z:$Z,MATCH($E31,Cascade!$E:$E,0)))</f>
        <v>822</v>
      </c>
      <c r="J31" s="90">
        <f>IF(LEFT($B31,4)="_Mil","",INDEX(Cascade!$AA:$AA,MATCH($E31,Cascade!$E:$E,0)))</f>
        <v>590</v>
      </c>
      <c r="K31" s="14"/>
      <c r="L31" s="14"/>
      <c r="M31" s="42" t="str">
        <f>IF(LEFT($B31,4)="_Mil","",IFERROR(1/(1/ROUND(INDEX(Spectrum!$N:$N,MATCH(RIGHT($B31,13)&amp;"|"&amp;$C31&amp;"|"&amp;$D31&amp;"|"&amp;M$14&amp;"|"&amp;"CY2023Q3",Spectrum!$R:$R,0)),0)),IF(SUM($L31)=0,"",$L31)))</f>
        <v/>
      </c>
      <c r="N31" s="42" t="str">
        <f>IF(LEFT($B31,4)="_Mil","",IFERROR(1/(1/ROUND(INDEX(Spectrum!$N:$N,MATCH(RIGHT($B31,13)&amp;"|"&amp;$C31&amp;"|"&amp;$D31&amp;"|"&amp;N$14&amp;"|"&amp;"CY2023Q3",Spectrum!$R:$R,0)),0)),IF(SUM($M31)=0,"",$M31)))</f>
        <v/>
      </c>
      <c r="O31" s="90">
        <f t="shared" si="1"/>
        <v>0</v>
      </c>
      <c r="P31" s="90">
        <f t="shared" si="2"/>
        <v>0.8</v>
      </c>
      <c r="Q31" s="42">
        <f t="shared" si="3"/>
        <v>1194</v>
      </c>
      <c r="R31" s="42">
        <f t="shared" si="4"/>
        <v>1194</v>
      </c>
      <c r="S31" s="90" t="str">
        <f t="shared" si="5"/>
        <v/>
      </c>
      <c r="T31" s="90" t="str">
        <f t="shared" si="6"/>
        <v/>
      </c>
      <c r="U31" s="90"/>
      <c r="V31" s="90" t="str">
        <f t="shared" si="7"/>
        <v/>
      </c>
      <c r="W31" s="90"/>
      <c r="X31" s="90" t="str">
        <f t="shared" si="8"/>
        <v/>
      </c>
      <c r="Y31" s="14" t="str">
        <f t="shared" si="9"/>
        <v>ENTER IN COL S</v>
      </c>
      <c r="Z31" s="42" t="str">
        <f t="shared" si="10"/>
        <v/>
      </c>
      <c r="AA31" s="42" t="str">
        <f t="shared" si="11"/>
        <v/>
      </c>
      <c r="AB31" s="42" t="str">
        <f t="shared" si="12"/>
        <v/>
      </c>
      <c r="AC31" s="14" t="str">
        <f>IFERROR(1/(1/INDEX(Cascade!$BH:$BH,MATCH($E31,Cascade!$E:$E,0))),"")</f>
        <v/>
      </c>
      <c r="AD31" s="14" t="str">
        <f t="shared" si="13"/>
        <v/>
      </c>
      <c r="AE31" s="14" t="str">
        <f>IFERROR(1/(1/INDEX(TB!$P:$P,MATCH($E31,TB!$E:$E,0))),"")</f>
        <v/>
      </c>
      <c r="AF31" s="14" t="str">
        <f t="shared" si="14"/>
        <v/>
      </c>
    </row>
    <row r="32" spans="1:32" x14ac:dyDescent="0.2">
      <c r="A32" t="str">
        <f>INDEX(Prioritization!$D:$D,MATCH($B32,Prioritization!$A:$A,0))</f>
        <v>1 - Scale-up: Saturation</v>
      </c>
      <c r="B32" t="s">
        <v>197</v>
      </c>
      <c r="C32" t="s">
        <v>365</v>
      </c>
      <c r="D32" t="s">
        <v>47</v>
      </c>
      <c r="E32" t="str">
        <f t="shared" si="0"/>
        <v>Lilongwe District [ScR9iFKAasW]|25-34|Male</v>
      </c>
      <c r="F32" s="14">
        <f>IF(LEFT($B32,4)="_Mil","",INDEX(Cascade!$T:$T,MATCH($E32,Cascade!$E:$E,0)))</f>
        <v>1287</v>
      </c>
      <c r="G32" s="14" t="str">
        <f>IF(LEFT($B32,4)="_Mil","",INDEX(Cascade!$U:$U,MATCH($E32,Cascade!$E:$E,0)))</f>
        <v/>
      </c>
      <c r="H32" s="88">
        <f>IF(LEFT($B32,4)="_Mil","",INDEX(Cascade!$W:$W,MATCH($E32,Cascade!$E:$E,0)))</f>
        <v>1679</v>
      </c>
      <c r="I32" s="14">
        <f>IF(LEFT($B32,4)="_Mil","",INDEX(Cascade!$Z:$Z,MATCH($E32,Cascade!$E:$E,0)))</f>
        <v>1927</v>
      </c>
      <c r="J32" s="90">
        <f>IF(LEFT($B32,4)="_Mil","",INDEX(Cascade!$AA:$AA,MATCH($E32,Cascade!$E:$E,0)))</f>
        <v>1520</v>
      </c>
      <c r="K32" s="14"/>
      <c r="L32" s="14"/>
      <c r="M32" s="42" t="str">
        <f>IF(LEFT($B32,4)="_Mil","",IFERROR(1/(1/ROUND(INDEX(Spectrum!$N:$N,MATCH(RIGHT($B32,13)&amp;"|"&amp;$C32&amp;"|"&amp;$D32&amp;"|"&amp;M$14&amp;"|"&amp;"CY2023Q3",Spectrum!$R:$R,0)),0)),IF(SUM($L32)=0,"",$L32)))</f>
        <v/>
      </c>
      <c r="N32" s="42" t="str">
        <f>IF(LEFT($B32,4)="_Mil","",IFERROR(1/(1/ROUND(INDEX(Spectrum!$N:$N,MATCH(RIGHT($B32,13)&amp;"|"&amp;$C32&amp;"|"&amp;$D32&amp;"|"&amp;N$14&amp;"|"&amp;"CY2023Q3",Spectrum!$R:$R,0)),0)),IF(SUM($M32)=0,"",$M32)))</f>
        <v/>
      </c>
      <c r="O32" s="90">
        <f t="shared" si="1"/>
        <v>0</v>
      </c>
      <c r="P32" s="90">
        <f t="shared" si="2"/>
        <v>0.8</v>
      </c>
      <c r="Q32" s="42">
        <f t="shared" si="3"/>
        <v>1030</v>
      </c>
      <c r="R32" s="42">
        <f t="shared" si="4"/>
        <v>1030</v>
      </c>
      <c r="S32" s="90" t="str">
        <f t="shared" si="5"/>
        <v/>
      </c>
      <c r="T32" s="90" t="str">
        <f t="shared" si="6"/>
        <v/>
      </c>
      <c r="U32" s="90"/>
      <c r="V32" s="90" t="str">
        <f t="shared" si="7"/>
        <v/>
      </c>
      <c r="W32" s="90"/>
      <c r="X32" s="90" t="str">
        <f t="shared" si="8"/>
        <v/>
      </c>
      <c r="Y32" s="14" t="str">
        <f t="shared" si="9"/>
        <v>ENTER IN COL S</v>
      </c>
      <c r="Z32" s="42" t="str">
        <f t="shared" si="10"/>
        <v/>
      </c>
      <c r="AA32" s="42" t="str">
        <f t="shared" si="11"/>
        <v/>
      </c>
      <c r="AB32" s="42" t="str">
        <f t="shared" si="12"/>
        <v/>
      </c>
      <c r="AC32" s="14" t="str">
        <f>IFERROR(1/(1/INDEX(Cascade!$BH:$BH,MATCH($E32,Cascade!$E:$E,0))),"")</f>
        <v/>
      </c>
      <c r="AD32" s="14" t="str">
        <f t="shared" si="13"/>
        <v/>
      </c>
      <c r="AE32" s="14" t="str">
        <f>IFERROR(1/(1/INDEX(TB!$P:$P,MATCH($E32,TB!$E:$E,0))),"")</f>
        <v/>
      </c>
      <c r="AF32" s="14" t="str">
        <f t="shared" si="14"/>
        <v/>
      </c>
    </row>
    <row r="33" spans="1:32" x14ac:dyDescent="0.2">
      <c r="A33" t="str">
        <f>INDEX(Prioritization!$D:$D,MATCH($B33,Prioritization!$A:$A,0))</f>
        <v>1 - Scale-up: Saturation</v>
      </c>
      <c r="B33" t="s">
        <v>197</v>
      </c>
      <c r="C33" t="s">
        <v>366</v>
      </c>
      <c r="D33" t="s">
        <v>47</v>
      </c>
      <c r="E33" t="str">
        <f t="shared" si="0"/>
        <v>Lilongwe District [ScR9iFKAasW]|35-49|Male</v>
      </c>
      <c r="F33" s="14">
        <f>IF(LEFT($B33,4)="_Mil","",INDEX(Cascade!$T:$T,MATCH($E33,Cascade!$E:$E,0)))</f>
        <v>1945</v>
      </c>
      <c r="G33" s="14" t="str">
        <f>IF(LEFT($B33,4)="_Mil","",INDEX(Cascade!$U:$U,MATCH($E33,Cascade!$E:$E,0)))</f>
        <v/>
      </c>
      <c r="H33" s="88">
        <f>IF(LEFT($B33,4)="_Mil","",INDEX(Cascade!$W:$W,MATCH($E33,Cascade!$E:$E,0)))</f>
        <v>727</v>
      </c>
      <c r="I33" s="14">
        <f>IF(LEFT($B33,4)="_Mil","",INDEX(Cascade!$Z:$Z,MATCH($E33,Cascade!$E:$E,0)))</f>
        <v>1900</v>
      </c>
      <c r="J33" s="90">
        <f>IF(LEFT($B33,4)="_Mil","",INDEX(Cascade!$AA:$AA,MATCH($E33,Cascade!$E:$E,0)))</f>
        <v>1735</v>
      </c>
      <c r="K33" s="14"/>
      <c r="L33" s="14"/>
      <c r="M33" s="42" t="str">
        <f>IF(LEFT($B33,4)="_Mil","",IFERROR(1/(1/ROUND(INDEX(Spectrum!$N:$N,MATCH(RIGHT($B33,13)&amp;"|"&amp;$C33&amp;"|"&amp;$D33&amp;"|"&amp;M$14&amp;"|"&amp;"CY2023Q3",Spectrum!$R:$R,0)),0)),IF(SUM($L33)=0,"",$L33)))</f>
        <v/>
      </c>
      <c r="N33" s="42" t="str">
        <f>IF(LEFT($B33,4)="_Mil","",IFERROR(1/(1/ROUND(INDEX(Spectrum!$N:$N,MATCH(RIGHT($B33,13)&amp;"|"&amp;$C33&amp;"|"&amp;$D33&amp;"|"&amp;N$14&amp;"|"&amp;"CY2023Q3",Spectrum!$R:$R,0)),0)),IF(SUM($M33)=0,"",$M33)))</f>
        <v/>
      </c>
      <c r="O33" s="90">
        <f t="shared" si="1"/>
        <v>0</v>
      </c>
      <c r="P33" s="90">
        <f t="shared" si="2"/>
        <v>0.8</v>
      </c>
      <c r="Q33" s="42">
        <f t="shared" si="3"/>
        <v>1556</v>
      </c>
      <c r="R33" s="42">
        <f t="shared" si="4"/>
        <v>1556</v>
      </c>
      <c r="S33" s="90" t="str">
        <f t="shared" si="5"/>
        <v/>
      </c>
      <c r="T33" s="90" t="str">
        <f t="shared" si="6"/>
        <v/>
      </c>
      <c r="U33" s="90"/>
      <c r="V33" s="90" t="str">
        <f t="shared" si="7"/>
        <v/>
      </c>
      <c r="W33" s="90"/>
      <c r="X33" s="90" t="str">
        <f t="shared" si="8"/>
        <v/>
      </c>
      <c r="Y33" s="14" t="str">
        <f t="shared" si="9"/>
        <v>ENTER IN COL S</v>
      </c>
      <c r="Z33" s="42" t="str">
        <f t="shared" si="10"/>
        <v/>
      </c>
      <c r="AA33" s="42" t="str">
        <f t="shared" si="11"/>
        <v/>
      </c>
      <c r="AB33" s="42" t="str">
        <f t="shared" si="12"/>
        <v/>
      </c>
      <c r="AC33" s="14" t="str">
        <f>IFERROR(1/(1/INDEX(Cascade!$BH:$BH,MATCH($E33,Cascade!$E:$E,0))),"")</f>
        <v/>
      </c>
      <c r="AD33" s="14" t="str">
        <f t="shared" si="13"/>
        <v/>
      </c>
      <c r="AE33" s="14" t="str">
        <f>IFERROR(1/(1/INDEX(TB!$P:$P,MATCH($E33,TB!$E:$E,0))),"")</f>
        <v/>
      </c>
      <c r="AF33" s="14" t="str">
        <f t="shared" si="14"/>
        <v/>
      </c>
    </row>
    <row r="34" spans="1:32" x14ac:dyDescent="0.2">
      <c r="A34" t="str">
        <f>INDEX(Prioritization!$D:$D,MATCH($B34,Prioritization!$A:$A,0))</f>
        <v>1 - Scale-up: Saturation</v>
      </c>
      <c r="B34" t="s">
        <v>197</v>
      </c>
      <c r="C34" t="s">
        <v>367</v>
      </c>
      <c r="D34" t="s">
        <v>47</v>
      </c>
      <c r="E34" t="str">
        <f t="shared" si="0"/>
        <v>Lilongwe District [ScR9iFKAasW]|50+|Male</v>
      </c>
      <c r="F34" s="14">
        <f>IF(LEFT($B34,4)="_Mil","",INDEX(Cascade!$T:$T,MATCH($E34,Cascade!$E:$E,0)))</f>
        <v>1217</v>
      </c>
      <c r="G34" s="14" t="str">
        <f>IF(LEFT($B34,4)="_Mil","",INDEX(Cascade!$U:$U,MATCH($E34,Cascade!$E:$E,0)))</f>
        <v/>
      </c>
      <c r="H34" s="88">
        <f>IF(LEFT($B34,4)="_Mil","",INDEX(Cascade!$W:$W,MATCH($E34,Cascade!$E:$E,0)))</f>
        <v>1686</v>
      </c>
      <c r="I34" s="14">
        <f>IF(LEFT($B34,4)="_Mil","",INDEX(Cascade!$Z:$Z,MATCH($E34,Cascade!$E:$E,0)))</f>
        <v>1663</v>
      </c>
      <c r="J34" s="90">
        <f>IF(LEFT($B34,4)="_Mil","",INDEX(Cascade!$AA:$AA,MATCH($E34,Cascade!$E:$E,0)))</f>
        <v>1820</v>
      </c>
      <c r="K34" s="14"/>
      <c r="L34" s="14"/>
      <c r="M34" s="42" t="str">
        <f>IF(LEFT($B34,4)="_Mil","",IFERROR(1/(1/ROUND(INDEX(Spectrum!$N:$N,MATCH(RIGHT($B34,13)&amp;"|"&amp;$C34&amp;"|"&amp;$D34&amp;"|"&amp;M$14&amp;"|"&amp;"CY2023Q3",Spectrum!$R:$R,0)),0)),IF(SUM($L34)=0,"",$L34)))</f>
        <v/>
      </c>
      <c r="N34" s="42" t="str">
        <f>IF(LEFT($B34,4)="_Mil","",IFERROR(1/(1/ROUND(INDEX(Spectrum!$N:$N,MATCH(RIGHT($B34,13)&amp;"|"&amp;$C34&amp;"|"&amp;$D34&amp;"|"&amp;N$14&amp;"|"&amp;"CY2023Q3",Spectrum!$R:$R,0)),0)),IF(SUM($M34)=0,"",$M34)))</f>
        <v/>
      </c>
      <c r="O34" s="90">
        <f t="shared" si="1"/>
        <v>0</v>
      </c>
      <c r="P34" s="90">
        <f t="shared" si="2"/>
        <v>0.8</v>
      </c>
      <c r="Q34" s="42">
        <f t="shared" si="3"/>
        <v>974</v>
      </c>
      <c r="R34" s="42">
        <f t="shared" si="4"/>
        <v>974</v>
      </c>
      <c r="S34" s="90" t="str">
        <f t="shared" si="5"/>
        <v/>
      </c>
      <c r="T34" s="90" t="str">
        <f t="shared" si="6"/>
        <v/>
      </c>
      <c r="U34" s="90"/>
      <c r="V34" s="90" t="str">
        <f t="shared" si="7"/>
        <v/>
      </c>
      <c r="W34" s="90"/>
      <c r="X34" s="90" t="str">
        <f t="shared" si="8"/>
        <v/>
      </c>
      <c r="Y34" s="14" t="str">
        <f t="shared" si="9"/>
        <v>ENTER IN COL S</v>
      </c>
      <c r="Z34" s="42" t="str">
        <f t="shared" si="10"/>
        <v/>
      </c>
      <c r="AA34" s="42" t="str">
        <f t="shared" si="11"/>
        <v/>
      </c>
      <c r="AB34" s="42" t="str">
        <f t="shared" si="12"/>
        <v/>
      </c>
      <c r="AC34" s="14" t="str">
        <f>IFERROR(1/(1/INDEX(Cascade!$BH:$BH,MATCH($E34,Cascade!$E:$E,0))),"")</f>
        <v/>
      </c>
      <c r="AD34" s="14" t="str">
        <f t="shared" si="13"/>
        <v/>
      </c>
      <c r="AE34" s="14" t="str">
        <f>IFERROR(1/(1/INDEX(TB!$P:$P,MATCH($E34,TB!$E:$E,0))),"")</f>
        <v/>
      </c>
      <c r="AF34" s="14" t="str">
        <f t="shared" si="14"/>
        <v/>
      </c>
    </row>
    <row r="35" spans="1:32" x14ac:dyDescent="0.2">
      <c r="A35" t="str">
        <f>INDEX(Prioritization!$D:$D,MATCH($B35,Prioritization!$A:$A,0))</f>
        <v>1 - Scale-up: Saturation</v>
      </c>
      <c r="B35" t="s">
        <v>198</v>
      </c>
      <c r="C35" t="s">
        <v>364</v>
      </c>
      <c r="D35" t="s">
        <v>47</v>
      </c>
      <c r="E35" t="str">
        <f t="shared" si="0"/>
        <v>Mchinji District [kxuuIFpOXyO]|15-24|Male</v>
      </c>
      <c r="F35" s="14">
        <f>IF(LEFT($B35,4)="_Mil","",INDEX(Cascade!$T:$T,MATCH($E35,Cascade!$E:$E,0)))</f>
        <v>1499</v>
      </c>
      <c r="G35" s="14" t="str">
        <f>IF(LEFT($B35,4)="_Mil","",INDEX(Cascade!$U:$U,MATCH($E35,Cascade!$E:$E,0)))</f>
        <v/>
      </c>
      <c r="H35" s="88">
        <f>IF(LEFT($B35,4)="_Mil","",INDEX(Cascade!$W:$W,MATCH($E35,Cascade!$E:$E,0)))</f>
        <v>1090</v>
      </c>
      <c r="I35" s="14">
        <f>IF(LEFT($B35,4)="_Mil","",INDEX(Cascade!$Z:$Z,MATCH($E35,Cascade!$E:$E,0)))</f>
        <v>1632</v>
      </c>
      <c r="J35" s="90">
        <f>IF(LEFT($B35,4)="_Mil","",INDEX(Cascade!$AA:$AA,MATCH($E35,Cascade!$E:$E,0)))</f>
        <v>742</v>
      </c>
      <c r="K35" s="14"/>
      <c r="L35" s="14"/>
      <c r="M35" s="42" t="str">
        <f>IF(LEFT($B35,4)="_Mil","",IFERROR(1/(1/ROUND(INDEX(Spectrum!$N:$N,MATCH(RIGHT($B35,13)&amp;"|"&amp;$C35&amp;"|"&amp;$D35&amp;"|"&amp;M$14&amp;"|"&amp;"CY2023Q3",Spectrum!$R:$R,0)),0)),IF(SUM($L35)=0,"",$L35)))</f>
        <v/>
      </c>
      <c r="N35" s="42" t="str">
        <f>IF(LEFT($B35,4)="_Mil","",IFERROR(1/(1/ROUND(INDEX(Spectrum!$N:$N,MATCH(RIGHT($B35,13)&amp;"|"&amp;$C35&amp;"|"&amp;$D35&amp;"|"&amp;N$14&amp;"|"&amp;"CY2023Q3",Spectrum!$R:$R,0)),0)),IF(SUM($M35)=0,"",$M35)))</f>
        <v/>
      </c>
      <c r="O35" s="90">
        <f t="shared" si="1"/>
        <v>0</v>
      </c>
      <c r="P35" s="90">
        <f t="shared" si="2"/>
        <v>0.8</v>
      </c>
      <c r="Q35" s="42">
        <f t="shared" si="3"/>
        <v>1199</v>
      </c>
      <c r="R35" s="42">
        <f t="shared" si="4"/>
        <v>1199</v>
      </c>
      <c r="S35" s="90" t="str">
        <f t="shared" si="5"/>
        <v/>
      </c>
      <c r="T35" s="90" t="str">
        <f t="shared" si="6"/>
        <v/>
      </c>
      <c r="U35" s="90"/>
      <c r="V35" s="90" t="str">
        <f t="shared" si="7"/>
        <v/>
      </c>
      <c r="W35" s="90"/>
      <c r="X35" s="90" t="str">
        <f t="shared" si="8"/>
        <v/>
      </c>
      <c r="Y35" s="14" t="str">
        <f t="shared" si="9"/>
        <v>ENTER IN COL S</v>
      </c>
      <c r="Z35" s="42" t="str">
        <f t="shared" si="10"/>
        <v/>
      </c>
      <c r="AA35" s="42" t="str">
        <f t="shared" si="11"/>
        <v/>
      </c>
      <c r="AB35" s="42" t="str">
        <f t="shared" si="12"/>
        <v/>
      </c>
      <c r="AC35" s="14" t="str">
        <f>IFERROR(1/(1/INDEX(Cascade!$BH:$BH,MATCH($E35,Cascade!$E:$E,0))),"")</f>
        <v/>
      </c>
      <c r="AD35" s="14" t="str">
        <f t="shared" si="13"/>
        <v/>
      </c>
      <c r="AE35" s="14" t="str">
        <f>IFERROR(1/(1/INDEX(TB!$P:$P,MATCH($E35,TB!$E:$E,0))),"")</f>
        <v/>
      </c>
      <c r="AF35" s="14" t="str">
        <f t="shared" si="14"/>
        <v/>
      </c>
    </row>
    <row r="36" spans="1:32" x14ac:dyDescent="0.2">
      <c r="A36" t="str">
        <f>INDEX(Prioritization!$D:$D,MATCH($B36,Prioritization!$A:$A,0))</f>
        <v>1 - Scale-up: Saturation</v>
      </c>
      <c r="B36" t="s">
        <v>198</v>
      </c>
      <c r="C36" t="s">
        <v>365</v>
      </c>
      <c r="D36" t="s">
        <v>47</v>
      </c>
      <c r="E36" t="str">
        <f t="shared" si="0"/>
        <v>Mchinji District [kxuuIFpOXyO]|25-34|Male</v>
      </c>
      <c r="F36" s="14">
        <f>IF(LEFT($B36,4)="_Mil","",INDEX(Cascade!$T:$T,MATCH($E36,Cascade!$E:$E,0)))</f>
        <v>906</v>
      </c>
      <c r="G36" s="14" t="str">
        <f>IF(LEFT($B36,4)="_Mil","",INDEX(Cascade!$U:$U,MATCH($E36,Cascade!$E:$E,0)))</f>
        <v/>
      </c>
      <c r="H36" s="88">
        <f>IF(LEFT($B36,4)="_Mil","",INDEX(Cascade!$W:$W,MATCH($E36,Cascade!$E:$E,0)))</f>
        <v>916</v>
      </c>
      <c r="I36" s="14">
        <f>IF(LEFT($B36,4)="_Mil","",INDEX(Cascade!$Z:$Z,MATCH($E36,Cascade!$E:$E,0)))</f>
        <v>890</v>
      </c>
      <c r="J36" s="90">
        <f>IF(LEFT($B36,4)="_Mil","",INDEX(Cascade!$AA:$AA,MATCH($E36,Cascade!$E:$E,0)))</f>
        <v>539</v>
      </c>
      <c r="K36" s="14"/>
      <c r="L36" s="14"/>
      <c r="M36" s="42" t="str">
        <f>IF(LEFT($B36,4)="_Mil","",IFERROR(1/(1/ROUND(INDEX(Spectrum!$N:$N,MATCH(RIGHT($B36,13)&amp;"|"&amp;$C36&amp;"|"&amp;$D36&amp;"|"&amp;M$14&amp;"|"&amp;"CY2023Q3",Spectrum!$R:$R,0)),0)),IF(SUM($L36)=0,"",$L36)))</f>
        <v/>
      </c>
      <c r="N36" s="42" t="str">
        <f>IF(LEFT($B36,4)="_Mil","",IFERROR(1/(1/ROUND(INDEX(Spectrum!$N:$N,MATCH(RIGHT($B36,13)&amp;"|"&amp;$C36&amp;"|"&amp;$D36&amp;"|"&amp;N$14&amp;"|"&amp;"CY2023Q3",Spectrum!$R:$R,0)),0)),IF(SUM($M36)=0,"",$M36)))</f>
        <v/>
      </c>
      <c r="O36" s="90">
        <f t="shared" si="1"/>
        <v>0</v>
      </c>
      <c r="P36" s="90">
        <f t="shared" si="2"/>
        <v>0.8</v>
      </c>
      <c r="Q36" s="42">
        <f t="shared" si="3"/>
        <v>725</v>
      </c>
      <c r="R36" s="42">
        <f t="shared" si="4"/>
        <v>725</v>
      </c>
      <c r="S36" s="90" t="str">
        <f t="shared" si="5"/>
        <v/>
      </c>
      <c r="T36" s="90" t="str">
        <f t="shared" si="6"/>
        <v/>
      </c>
      <c r="U36" s="90"/>
      <c r="V36" s="90" t="str">
        <f t="shared" si="7"/>
        <v/>
      </c>
      <c r="W36" s="90"/>
      <c r="X36" s="90" t="str">
        <f t="shared" si="8"/>
        <v/>
      </c>
      <c r="Y36" s="14" t="str">
        <f t="shared" si="9"/>
        <v>ENTER IN COL S</v>
      </c>
      <c r="Z36" s="42" t="str">
        <f t="shared" si="10"/>
        <v/>
      </c>
      <c r="AA36" s="42" t="str">
        <f t="shared" si="11"/>
        <v/>
      </c>
      <c r="AB36" s="42" t="str">
        <f t="shared" si="12"/>
        <v/>
      </c>
      <c r="AC36" s="14" t="str">
        <f>IFERROR(1/(1/INDEX(Cascade!$BH:$BH,MATCH($E36,Cascade!$E:$E,0))),"")</f>
        <v/>
      </c>
      <c r="AD36" s="14" t="str">
        <f t="shared" si="13"/>
        <v/>
      </c>
      <c r="AE36" s="14" t="str">
        <f>IFERROR(1/(1/INDEX(TB!$P:$P,MATCH($E36,TB!$E:$E,0))),"")</f>
        <v/>
      </c>
      <c r="AF36" s="14" t="str">
        <f t="shared" si="14"/>
        <v/>
      </c>
    </row>
    <row r="37" spans="1:32" x14ac:dyDescent="0.2">
      <c r="A37" t="str">
        <f>INDEX(Prioritization!$D:$D,MATCH($B37,Prioritization!$A:$A,0))</f>
        <v>1 - Scale-up: Saturation</v>
      </c>
      <c r="B37" t="s">
        <v>198</v>
      </c>
      <c r="C37" t="s">
        <v>366</v>
      </c>
      <c r="D37" t="s">
        <v>47</v>
      </c>
      <c r="E37" t="str">
        <f t="shared" si="0"/>
        <v>Mchinji District [kxuuIFpOXyO]|35-49|Male</v>
      </c>
      <c r="F37" s="14">
        <f>IF(LEFT($B37,4)="_Mil","",INDEX(Cascade!$T:$T,MATCH($E37,Cascade!$E:$E,0)))</f>
        <v>1852</v>
      </c>
      <c r="G37" s="14" t="str">
        <f>IF(LEFT($B37,4)="_Mil","",INDEX(Cascade!$U:$U,MATCH($E37,Cascade!$E:$E,0)))</f>
        <v/>
      </c>
      <c r="H37" s="88">
        <f>IF(LEFT($B37,4)="_Mil","",INDEX(Cascade!$W:$W,MATCH($E37,Cascade!$E:$E,0)))</f>
        <v>1731</v>
      </c>
      <c r="I37" s="14">
        <f>IF(LEFT($B37,4)="_Mil","",INDEX(Cascade!$Z:$Z,MATCH($E37,Cascade!$E:$E,0)))</f>
        <v>956</v>
      </c>
      <c r="J37" s="90">
        <f>IF(LEFT($B37,4)="_Mil","",INDEX(Cascade!$AA:$AA,MATCH($E37,Cascade!$E:$E,0)))</f>
        <v>1493</v>
      </c>
      <c r="K37" s="14"/>
      <c r="L37" s="14"/>
      <c r="M37" s="42" t="str">
        <f>IF(LEFT($B37,4)="_Mil","",IFERROR(1/(1/ROUND(INDEX(Spectrum!$N:$N,MATCH(RIGHT($B37,13)&amp;"|"&amp;$C37&amp;"|"&amp;$D37&amp;"|"&amp;M$14&amp;"|"&amp;"CY2023Q3",Spectrum!$R:$R,0)),0)),IF(SUM($L37)=0,"",$L37)))</f>
        <v/>
      </c>
      <c r="N37" s="42" t="str">
        <f>IF(LEFT($B37,4)="_Mil","",IFERROR(1/(1/ROUND(INDEX(Spectrum!$N:$N,MATCH(RIGHT($B37,13)&amp;"|"&amp;$C37&amp;"|"&amp;$D37&amp;"|"&amp;N$14&amp;"|"&amp;"CY2023Q3",Spectrum!$R:$R,0)),0)),IF(SUM($M37)=0,"",$M37)))</f>
        <v/>
      </c>
      <c r="O37" s="90">
        <f t="shared" si="1"/>
        <v>0</v>
      </c>
      <c r="P37" s="90">
        <f t="shared" si="2"/>
        <v>0.8</v>
      </c>
      <c r="Q37" s="42">
        <f t="shared" si="3"/>
        <v>1482</v>
      </c>
      <c r="R37" s="42">
        <f t="shared" si="4"/>
        <v>1482</v>
      </c>
      <c r="S37" s="90" t="str">
        <f t="shared" si="5"/>
        <v/>
      </c>
      <c r="T37" s="90" t="str">
        <f t="shared" si="6"/>
        <v/>
      </c>
      <c r="U37" s="90"/>
      <c r="V37" s="90" t="str">
        <f t="shared" si="7"/>
        <v/>
      </c>
      <c r="W37" s="90"/>
      <c r="X37" s="90" t="str">
        <f t="shared" si="8"/>
        <v/>
      </c>
      <c r="Y37" s="14" t="str">
        <f t="shared" si="9"/>
        <v>ENTER IN COL S</v>
      </c>
      <c r="Z37" s="42" t="str">
        <f t="shared" si="10"/>
        <v/>
      </c>
      <c r="AA37" s="42" t="str">
        <f t="shared" si="11"/>
        <v/>
      </c>
      <c r="AB37" s="42" t="str">
        <f t="shared" si="12"/>
        <v/>
      </c>
      <c r="AC37" s="14" t="str">
        <f>IFERROR(1/(1/INDEX(Cascade!$BH:$BH,MATCH($E37,Cascade!$E:$E,0))),"")</f>
        <v/>
      </c>
      <c r="AD37" s="14" t="str">
        <f t="shared" si="13"/>
        <v/>
      </c>
      <c r="AE37" s="14" t="str">
        <f>IFERROR(1/(1/INDEX(TB!$P:$P,MATCH($E37,TB!$E:$E,0))),"")</f>
        <v/>
      </c>
      <c r="AF37" s="14" t="str">
        <f t="shared" si="14"/>
        <v/>
      </c>
    </row>
    <row r="38" spans="1:32" x14ac:dyDescent="0.2">
      <c r="A38" t="str">
        <f>INDEX(Prioritization!$D:$D,MATCH($B38,Prioritization!$A:$A,0))</f>
        <v>1 - Scale-up: Saturation</v>
      </c>
      <c r="B38" t="s">
        <v>198</v>
      </c>
      <c r="C38" t="s">
        <v>367</v>
      </c>
      <c r="D38" t="s">
        <v>47</v>
      </c>
      <c r="E38" t="str">
        <f t="shared" si="0"/>
        <v>Mchinji District [kxuuIFpOXyO]|50+|Male</v>
      </c>
      <c r="F38" s="14">
        <f>IF(LEFT($B38,4)="_Mil","",INDEX(Cascade!$T:$T,MATCH($E38,Cascade!$E:$E,0)))</f>
        <v>637</v>
      </c>
      <c r="G38" s="14" t="str">
        <f>IF(LEFT($B38,4)="_Mil","",INDEX(Cascade!$U:$U,MATCH($E38,Cascade!$E:$E,0)))</f>
        <v/>
      </c>
      <c r="H38" s="88">
        <f>IF(LEFT($B38,4)="_Mil","",INDEX(Cascade!$W:$W,MATCH($E38,Cascade!$E:$E,0)))</f>
        <v>908</v>
      </c>
      <c r="I38" s="14">
        <f>IF(LEFT($B38,4)="_Mil","",INDEX(Cascade!$Z:$Z,MATCH($E38,Cascade!$E:$E,0)))</f>
        <v>1458</v>
      </c>
      <c r="J38" s="90">
        <f>IF(LEFT($B38,4)="_Mil","",INDEX(Cascade!$AA:$AA,MATCH($E38,Cascade!$E:$E,0)))</f>
        <v>1145</v>
      </c>
      <c r="K38" s="14"/>
      <c r="L38" s="14"/>
      <c r="M38" s="42" t="str">
        <f>IF(LEFT($B38,4)="_Mil","",IFERROR(1/(1/ROUND(INDEX(Spectrum!$N:$N,MATCH(RIGHT($B38,13)&amp;"|"&amp;$C38&amp;"|"&amp;$D38&amp;"|"&amp;M$14&amp;"|"&amp;"CY2023Q3",Spectrum!$R:$R,0)),0)),IF(SUM($L38)=0,"",$L38)))</f>
        <v/>
      </c>
      <c r="N38" s="42" t="str">
        <f>IF(LEFT($B38,4)="_Mil","",IFERROR(1/(1/ROUND(INDEX(Spectrum!$N:$N,MATCH(RIGHT($B38,13)&amp;"|"&amp;$C38&amp;"|"&amp;$D38&amp;"|"&amp;N$14&amp;"|"&amp;"CY2023Q3",Spectrum!$R:$R,0)),0)),IF(SUM($M38)=0,"",$M38)))</f>
        <v/>
      </c>
      <c r="O38" s="90">
        <f t="shared" si="1"/>
        <v>0</v>
      </c>
      <c r="P38" s="90">
        <f t="shared" si="2"/>
        <v>0.8</v>
      </c>
      <c r="Q38" s="42">
        <f t="shared" si="3"/>
        <v>510</v>
      </c>
      <c r="R38" s="42">
        <f t="shared" si="4"/>
        <v>510</v>
      </c>
      <c r="S38" s="90" t="str">
        <f t="shared" si="5"/>
        <v/>
      </c>
      <c r="T38" s="90" t="str">
        <f t="shared" si="6"/>
        <v/>
      </c>
      <c r="U38" s="90"/>
      <c r="V38" s="90" t="str">
        <f t="shared" si="7"/>
        <v/>
      </c>
      <c r="W38" s="90"/>
      <c r="X38" s="90" t="str">
        <f t="shared" si="8"/>
        <v/>
      </c>
      <c r="Y38" s="14" t="str">
        <f t="shared" si="9"/>
        <v>ENTER IN COL S</v>
      </c>
      <c r="Z38" s="42" t="str">
        <f t="shared" si="10"/>
        <v/>
      </c>
      <c r="AA38" s="42" t="str">
        <f t="shared" si="11"/>
        <v/>
      </c>
      <c r="AB38" s="42" t="str">
        <f t="shared" si="12"/>
        <v/>
      </c>
      <c r="AC38" s="14" t="str">
        <f>IFERROR(1/(1/INDEX(Cascade!$BH:$BH,MATCH($E38,Cascade!$E:$E,0))),"")</f>
        <v/>
      </c>
      <c r="AD38" s="14" t="str">
        <f t="shared" si="13"/>
        <v/>
      </c>
      <c r="AE38" s="14" t="str">
        <f>IFERROR(1/(1/INDEX(TB!$P:$P,MATCH($E38,TB!$E:$E,0))),"")</f>
        <v/>
      </c>
      <c r="AF38" s="14" t="str">
        <f t="shared" si="14"/>
        <v/>
      </c>
    </row>
    <row r="39" spans="1:32" x14ac:dyDescent="0.2">
      <c r="A39" t="str">
        <f>INDEX(Prioritization!$D:$D,MATCH($B39,Prioritization!$A:$A,0))</f>
        <v>1 - Scale-up: Saturation</v>
      </c>
      <c r="B39" t="s">
        <v>199</v>
      </c>
      <c r="C39" t="s">
        <v>364</v>
      </c>
      <c r="D39" t="s">
        <v>47</v>
      </c>
      <c r="E39" t="str">
        <f t="shared" si="0"/>
        <v>Nkhotakota District [YCKiBAp8QAg]|15-24|Male</v>
      </c>
      <c r="F39" s="14">
        <f>IF(LEFT($B39,4)="_Mil","",INDEX(Cascade!$T:$T,MATCH($E39,Cascade!$E:$E,0)))</f>
        <v>1953</v>
      </c>
      <c r="G39" s="14" t="str">
        <f>IF(LEFT($B39,4)="_Mil","",INDEX(Cascade!$U:$U,MATCH($E39,Cascade!$E:$E,0)))</f>
        <v/>
      </c>
      <c r="H39" s="88">
        <f>IF(LEFT($B39,4)="_Mil","",INDEX(Cascade!$W:$W,MATCH($E39,Cascade!$E:$E,0)))</f>
        <v>1488</v>
      </c>
      <c r="I39" s="14">
        <f>IF(LEFT($B39,4)="_Mil","",INDEX(Cascade!$Z:$Z,MATCH($E39,Cascade!$E:$E,0)))</f>
        <v>1053</v>
      </c>
      <c r="J39" s="90">
        <f>IF(LEFT($B39,4)="_Mil","",INDEX(Cascade!$AA:$AA,MATCH($E39,Cascade!$E:$E,0)))</f>
        <v>1020</v>
      </c>
      <c r="K39" s="14"/>
      <c r="L39" s="14"/>
      <c r="M39" s="42" t="str">
        <f>IF(LEFT($B39,4)="_Mil","",IFERROR(1/(1/ROUND(INDEX(Spectrum!$N:$N,MATCH(RIGHT($B39,13)&amp;"|"&amp;$C39&amp;"|"&amp;$D39&amp;"|"&amp;M$14&amp;"|"&amp;"CY2023Q3",Spectrum!$R:$R,0)),0)),IF(SUM($L39)=0,"",$L39)))</f>
        <v/>
      </c>
      <c r="N39" s="42" t="str">
        <f>IF(LEFT($B39,4)="_Mil","",IFERROR(1/(1/ROUND(INDEX(Spectrum!$N:$N,MATCH(RIGHT($B39,13)&amp;"|"&amp;$C39&amp;"|"&amp;$D39&amp;"|"&amp;N$14&amp;"|"&amp;"CY2023Q3",Spectrum!$R:$R,0)),0)),IF(SUM($M39)=0,"",$M39)))</f>
        <v/>
      </c>
      <c r="O39" s="90">
        <f t="shared" si="1"/>
        <v>0</v>
      </c>
      <c r="P39" s="90">
        <f t="shared" si="2"/>
        <v>0.8</v>
      </c>
      <c r="Q39" s="42">
        <f t="shared" si="3"/>
        <v>1562</v>
      </c>
      <c r="R39" s="42">
        <f t="shared" si="4"/>
        <v>1562</v>
      </c>
      <c r="S39" s="90" t="str">
        <f t="shared" si="5"/>
        <v/>
      </c>
      <c r="T39" s="90" t="str">
        <f t="shared" si="6"/>
        <v/>
      </c>
      <c r="U39" s="90"/>
      <c r="V39" s="90" t="str">
        <f t="shared" si="7"/>
        <v/>
      </c>
      <c r="W39" s="90"/>
      <c r="X39" s="90" t="str">
        <f t="shared" si="8"/>
        <v/>
      </c>
      <c r="Y39" s="14" t="str">
        <f t="shared" si="9"/>
        <v>ENTER IN COL S</v>
      </c>
      <c r="Z39" s="42" t="str">
        <f t="shared" si="10"/>
        <v/>
      </c>
      <c r="AA39" s="42" t="str">
        <f t="shared" si="11"/>
        <v/>
      </c>
      <c r="AB39" s="42" t="str">
        <f t="shared" si="12"/>
        <v/>
      </c>
      <c r="AC39" s="14" t="str">
        <f>IFERROR(1/(1/INDEX(Cascade!$BH:$BH,MATCH($E39,Cascade!$E:$E,0))),"")</f>
        <v/>
      </c>
      <c r="AD39" s="14" t="str">
        <f t="shared" si="13"/>
        <v/>
      </c>
      <c r="AE39" s="14" t="str">
        <f>IFERROR(1/(1/INDEX(TB!$P:$P,MATCH($E39,TB!$E:$E,0))),"")</f>
        <v/>
      </c>
      <c r="AF39" s="14" t="str">
        <f t="shared" si="14"/>
        <v/>
      </c>
    </row>
    <row r="40" spans="1:32" x14ac:dyDescent="0.2">
      <c r="A40" t="str">
        <f>INDEX(Prioritization!$D:$D,MATCH($B40,Prioritization!$A:$A,0))</f>
        <v>1 - Scale-up: Saturation</v>
      </c>
      <c r="B40" t="s">
        <v>199</v>
      </c>
      <c r="C40" t="s">
        <v>365</v>
      </c>
      <c r="D40" t="s">
        <v>47</v>
      </c>
      <c r="E40" t="str">
        <f t="shared" si="0"/>
        <v>Nkhotakota District [YCKiBAp8QAg]|25-34|Male</v>
      </c>
      <c r="F40" s="14">
        <f>IF(LEFT($B40,4)="_Mil","",INDEX(Cascade!$T:$T,MATCH($E40,Cascade!$E:$E,0)))</f>
        <v>1777</v>
      </c>
      <c r="G40" s="14" t="str">
        <f>IF(LEFT($B40,4)="_Mil","",INDEX(Cascade!$U:$U,MATCH($E40,Cascade!$E:$E,0)))</f>
        <v/>
      </c>
      <c r="H40" s="88">
        <f>IF(LEFT($B40,4)="_Mil","",INDEX(Cascade!$W:$W,MATCH($E40,Cascade!$E:$E,0)))</f>
        <v>905</v>
      </c>
      <c r="I40" s="14">
        <f>IF(LEFT($B40,4)="_Mil","",INDEX(Cascade!$Z:$Z,MATCH($E40,Cascade!$E:$E,0)))</f>
        <v>798</v>
      </c>
      <c r="J40" s="90">
        <f>IF(LEFT($B40,4)="_Mil","",INDEX(Cascade!$AA:$AA,MATCH($E40,Cascade!$E:$E,0)))</f>
        <v>1603</v>
      </c>
      <c r="K40" s="14"/>
      <c r="L40" s="14"/>
      <c r="M40" s="42" t="str">
        <f>IF(LEFT($B40,4)="_Mil","",IFERROR(1/(1/ROUND(INDEX(Spectrum!$N:$N,MATCH(RIGHT($B40,13)&amp;"|"&amp;$C40&amp;"|"&amp;$D40&amp;"|"&amp;M$14&amp;"|"&amp;"CY2023Q3",Spectrum!$R:$R,0)),0)),IF(SUM($L40)=0,"",$L40)))</f>
        <v/>
      </c>
      <c r="N40" s="42" t="str">
        <f>IF(LEFT($B40,4)="_Mil","",IFERROR(1/(1/ROUND(INDEX(Spectrum!$N:$N,MATCH(RIGHT($B40,13)&amp;"|"&amp;$C40&amp;"|"&amp;$D40&amp;"|"&amp;N$14&amp;"|"&amp;"CY2023Q3",Spectrum!$R:$R,0)),0)),IF(SUM($M40)=0,"",$M40)))</f>
        <v/>
      </c>
      <c r="O40" s="90">
        <f t="shared" si="1"/>
        <v>0</v>
      </c>
      <c r="P40" s="90">
        <f t="shared" si="2"/>
        <v>0.8</v>
      </c>
      <c r="Q40" s="42">
        <f t="shared" si="3"/>
        <v>1422</v>
      </c>
      <c r="R40" s="42">
        <f t="shared" si="4"/>
        <v>1422</v>
      </c>
      <c r="S40" s="90" t="str">
        <f t="shared" si="5"/>
        <v/>
      </c>
      <c r="T40" s="90" t="str">
        <f t="shared" si="6"/>
        <v/>
      </c>
      <c r="U40" s="90"/>
      <c r="V40" s="90" t="str">
        <f t="shared" si="7"/>
        <v/>
      </c>
      <c r="W40" s="90"/>
      <c r="X40" s="90" t="str">
        <f t="shared" si="8"/>
        <v/>
      </c>
      <c r="Y40" s="14" t="str">
        <f t="shared" si="9"/>
        <v>ENTER IN COL S</v>
      </c>
      <c r="Z40" s="42" t="str">
        <f t="shared" si="10"/>
        <v/>
      </c>
      <c r="AA40" s="42" t="str">
        <f t="shared" si="11"/>
        <v/>
      </c>
      <c r="AB40" s="42" t="str">
        <f t="shared" si="12"/>
        <v/>
      </c>
      <c r="AC40" s="14" t="str">
        <f>IFERROR(1/(1/INDEX(Cascade!$BH:$BH,MATCH($E40,Cascade!$E:$E,0))),"")</f>
        <v/>
      </c>
      <c r="AD40" s="14" t="str">
        <f t="shared" si="13"/>
        <v/>
      </c>
      <c r="AE40" s="14" t="str">
        <f>IFERROR(1/(1/INDEX(TB!$P:$P,MATCH($E40,TB!$E:$E,0))),"")</f>
        <v/>
      </c>
      <c r="AF40" s="14" t="str">
        <f t="shared" si="14"/>
        <v/>
      </c>
    </row>
    <row r="41" spans="1:32" x14ac:dyDescent="0.2">
      <c r="A41" t="str">
        <f>INDEX(Prioritization!$D:$D,MATCH($B41,Prioritization!$A:$A,0))</f>
        <v>1 - Scale-up: Saturation</v>
      </c>
      <c r="B41" t="s">
        <v>199</v>
      </c>
      <c r="C41" t="s">
        <v>366</v>
      </c>
      <c r="D41" t="s">
        <v>47</v>
      </c>
      <c r="E41" t="str">
        <f t="shared" si="0"/>
        <v>Nkhotakota District [YCKiBAp8QAg]|35-49|Male</v>
      </c>
      <c r="F41" s="14">
        <f>IF(LEFT($B41,4)="_Mil","",INDEX(Cascade!$T:$T,MATCH($E41,Cascade!$E:$E,0)))</f>
        <v>1337</v>
      </c>
      <c r="G41" s="14" t="str">
        <f>IF(LEFT($B41,4)="_Mil","",INDEX(Cascade!$U:$U,MATCH($E41,Cascade!$E:$E,0)))</f>
        <v/>
      </c>
      <c r="H41" s="88">
        <f>IF(LEFT($B41,4)="_Mil","",INDEX(Cascade!$W:$W,MATCH($E41,Cascade!$E:$E,0)))</f>
        <v>511</v>
      </c>
      <c r="I41" s="14">
        <f>IF(LEFT($B41,4)="_Mil","",INDEX(Cascade!$Z:$Z,MATCH($E41,Cascade!$E:$E,0)))</f>
        <v>648</v>
      </c>
      <c r="J41" s="90">
        <f>IF(LEFT($B41,4)="_Mil","",INDEX(Cascade!$AA:$AA,MATCH($E41,Cascade!$E:$E,0)))</f>
        <v>1398</v>
      </c>
      <c r="K41" s="14"/>
      <c r="L41" s="14"/>
      <c r="M41" s="42" t="str">
        <f>IF(LEFT($B41,4)="_Mil","",IFERROR(1/(1/ROUND(INDEX(Spectrum!$N:$N,MATCH(RIGHT($B41,13)&amp;"|"&amp;$C41&amp;"|"&amp;$D41&amp;"|"&amp;M$14&amp;"|"&amp;"CY2023Q3",Spectrum!$R:$R,0)),0)),IF(SUM($L41)=0,"",$L41)))</f>
        <v/>
      </c>
      <c r="N41" s="42" t="str">
        <f>IF(LEFT($B41,4)="_Mil","",IFERROR(1/(1/ROUND(INDEX(Spectrum!$N:$N,MATCH(RIGHT($B41,13)&amp;"|"&amp;$C41&amp;"|"&amp;$D41&amp;"|"&amp;N$14&amp;"|"&amp;"CY2023Q3",Spectrum!$R:$R,0)),0)),IF(SUM($M41)=0,"",$M41)))</f>
        <v/>
      </c>
      <c r="O41" s="90">
        <f t="shared" si="1"/>
        <v>0</v>
      </c>
      <c r="P41" s="90">
        <f t="shared" si="2"/>
        <v>0.8</v>
      </c>
      <c r="Q41" s="42">
        <f t="shared" si="3"/>
        <v>1070</v>
      </c>
      <c r="R41" s="42">
        <f t="shared" si="4"/>
        <v>1070</v>
      </c>
      <c r="S41" s="90" t="str">
        <f t="shared" si="5"/>
        <v/>
      </c>
      <c r="T41" s="90" t="str">
        <f t="shared" si="6"/>
        <v/>
      </c>
      <c r="U41" s="90"/>
      <c r="V41" s="90" t="str">
        <f t="shared" si="7"/>
        <v/>
      </c>
      <c r="W41" s="90"/>
      <c r="X41" s="90" t="str">
        <f t="shared" si="8"/>
        <v/>
      </c>
      <c r="Y41" s="14" t="str">
        <f t="shared" si="9"/>
        <v>ENTER IN COL S</v>
      </c>
      <c r="Z41" s="42" t="str">
        <f t="shared" si="10"/>
        <v/>
      </c>
      <c r="AA41" s="42" t="str">
        <f t="shared" si="11"/>
        <v/>
      </c>
      <c r="AB41" s="42" t="str">
        <f t="shared" si="12"/>
        <v/>
      </c>
      <c r="AC41" s="14" t="str">
        <f>IFERROR(1/(1/INDEX(Cascade!$BH:$BH,MATCH($E41,Cascade!$E:$E,0))),"")</f>
        <v/>
      </c>
      <c r="AD41" s="14" t="str">
        <f t="shared" si="13"/>
        <v/>
      </c>
      <c r="AE41" s="14" t="str">
        <f>IFERROR(1/(1/INDEX(TB!$P:$P,MATCH($E41,TB!$E:$E,0))),"")</f>
        <v/>
      </c>
      <c r="AF41" s="14" t="str">
        <f t="shared" si="14"/>
        <v/>
      </c>
    </row>
    <row r="42" spans="1:32" x14ac:dyDescent="0.2">
      <c r="A42" t="str">
        <f>INDEX(Prioritization!$D:$D,MATCH($B42,Prioritization!$A:$A,0))</f>
        <v>1 - Scale-up: Saturation</v>
      </c>
      <c r="B42" t="s">
        <v>199</v>
      </c>
      <c r="C42" t="s">
        <v>367</v>
      </c>
      <c r="D42" t="s">
        <v>47</v>
      </c>
      <c r="E42" t="str">
        <f t="shared" si="0"/>
        <v>Nkhotakota District [YCKiBAp8QAg]|50+|Male</v>
      </c>
      <c r="F42" s="14">
        <f>IF(LEFT($B42,4)="_Mil","",INDEX(Cascade!$T:$T,MATCH($E42,Cascade!$E:$E,0)))</f>
        <v>610</v>
      </c>
      <c r="G42" s="14" t="str">
        <f>IF(LEFT($B42,4)="_Mil","",INDEX(Cascade!$U:$U,MATCH($E42,Cascade!$E:$E,0)))</f>
        <v/>
      </c>
      <c r="H42" s="88">
        <f>IF(LEFT($B42,4)="_Mil","",INDEX(Cascade!$W:$W,MATCH($E42,Cascade!$E:$E,0)))</f>
        <v>1395</v>
      </c>
      <c r="I42" s="14">
        <f>IF(LEFT($B42,4)="_Mil","",INDEX(Cascade!$Z:$Z,MATCH($E42,Cascade!$E:$E,0)))</f>
        <v>721</v>
      </c>
      <c r="J42" s="90">
        <f>IF(LEFT($B42,4)="_Mil","",INDEX(Cascade!$AA:$AA,MATCH($E42,Cascade!$E:$E,0)))</f>
        <v>1711</v>
      </c>
      <c r="K42" s="14"/>
      <c r="L42" s="14"/>
      <c r="M42" s="42" t="str">
        <f>IF(LEFT($B42,4)="_Mil","",IFERROR(1/(1/ROUND(INDEX(Spectrum!$N:$N,MATCH(RIGHT($B42,13)&amp;"|"&amp;$C42&amp;"|"&amp;$D42&amp;"|"&amp;M$14&amp;"|"&amp;"CY2023Q3",Spectrum!$R:$R,0)),0)),IF(SUM($L42)=0,"",$L42)))</f>
        <v/>
      </c>
      <c r="N42" s="42" t="str">
        <f>IF(LEFT($B42,4)="_Mil","",IFERROR(1/(1/ROUND(INDEX(Spectrum!$N:$N,MATCH(RIGHT($B42,13)&amp;"|"&amp;$C42&amp;"|"&amp;$D42&amp;"|"&amp;N$14&amp;"|"&amp;"CY2023Q3",Spectrum!$R:$R,0)),0)),IF(SUM($M42)=0,"",$M42)))</f>
        <v/>
      </c>
      <c r="O42" s="90">
        <f t="shared" si="1"/>
        <v>0</v>
      </c>
      <c r="P42" s="90">
        <f t="shared" si="2"/>
        <v>0.8</v>
      </c>
      <c r="Q42" s="42">
        <f t="shared" si="3"/>
        <v>488</v>
      </c>
      <c r="R42" s="42">
        <f t="shared" si="4"/>
        <v>488</v>
      </c>
      <c r="S42" s="90" t="str">
        <f t="shared" si="5"/>
        <v/>
      </c>
      <c r="T42" s="90" t="str">
        <f t="shared" si="6"/>
        <v/>
      </c>
      <c r="U42" s="90"/>
      <c r="V42" s="90" t="str">
        <f t="shared" si="7"/>
        <v/>
      </c>
      <c r="W42" s="90"/>
      <c r="X42" s="90" t="str">
        <f t="shared" si="8"/>
        <v/>
      </c>
      <c r="Y42" s="14" t="str">
        <f t="shared" si="9"/>
        <v>ENTER IN COL S</v>
      </c>
      <c r="Z42" s="42" t="str">
        <f t="shared" si="10"/>
        <v/>
      </c>
      <c r="AA42" s="42" t="str">
        <f t="shared" si="11"/>
        <v/>
      </c>
      <c r="AB42" s="42" t="str">
        <f t="shared" si="12"/>
        <v/>
      </c>
      <c r="AC42" s="14" t="str">
        <f>IFERROR(1/(1/INDEX(Cascade!$BH:$BH,MATCH($E42,Cascade!$E:$E,0))),"")</f>
        <v/>
      </c>
      <c r="AD42" s="14" t="str">
        <f t="shared" si="13"/>
        <v/>
      </c>
      <c r="AE42" s="14" t="str">
        <f>IFERROR(1/(1/INDEX(TB!$P:$P,MATCH($E42,TB!$E:$E,0))),"")</f>
        <v/>
      </c>
      <c r="AF42" s="14" t="str">
        <f t="shared" si="14"/>
        <v/>
      </c>
    </row>
    <row r="43" spans="1:32" x14ac:dyDescent="0.2">
      <c r="A43" t="str">
        <f>INDEX(Prioritization!$D:$D,MATCH($B43,Prioritization!$A:$A,0))</f>
        <v>INVALID</v>
      </c>
      <c r="B43" t="s">
        <v>200</v>
      </c>
      <c r="C43" t="s">
        <v>364</v>
      </c>
      <c r="D43" t="s">
        <v>47</v>
      </c>
      <c r="E43" t="str">
        <f t="shared" si="0"/>
        <v>Ntcheu District [am530wpaGvr]|15-24|Male</v>
      </c>
      <c r="F43" s="14">
        <f>IF(LEFT($B43,4)="_Mil","",INDEX(Cascade!$T:$T,MATCH($E43,Cascade!$E:$E,0)))</f>
        <v>1551</v>
      </c>
      <c r="G43" s="14" t="str">
        <f>IF(LEFT($B43,4)="_Mil","",INDEX(Cascade!$U:$U,MATCH($E43,Cascade!$E:$E,0)))</f>
        <v/>
      </c>
      <c r="H43" s="88">
        <f>IF(LEFT($B43,4)="_Mil","",INDEX(Cascade!$W:$W,MATCH($E43,Cascade!$E:$E,0)))</f>
        <v>607</v>
      </c>
      <c r="I43" s="14">
        <f>IF(LEFT($B43,4)="_Mil","",INDEX(Cascade!$Z:$Z,MATCH($E43,Cascade!$E:$E,0)))</f>
        <v>1469</v>
      </c>
      <c r="J43" s="90">
        <f>IF(LEFT($B43,4)="_Mil","",INDEX(Cascade!$AA:$AA,MATCH($E43,Cascade!$E:$E,0)))</f>
        <v>1256</v>
      </c>
      <c r="K43" s="14"/>
      <c r="L43" s="14"/>
      <c r="M43" s="42" t="str">
        <f>IF(LEFT($B43,4)="_Mil","",IFERROR(1/(1/ROUND(INDEX(Spectrum!$N:$N,MATCH(RIGHT($B43,13)&amp;"|"&amp;$C43&amp;"|"&amp;$D43&amp;"|"&amp;M$14&amp;"|"&amp;"CY2023Q3",Spectrum!$R:$R,0)),0)),IF(SUM($L43)=0,"",$L43)))</f>
        <v/>
      </c>
      <c r="N43" s="42" t="str">
        <f>IF(LEFT($B43,4)="_Mil","",IFERROR(1/(1/ROUND(INDEX(Spectrum!$N:$N,MATCH(RIGHT($B43,13)&amp;"|"&amp;$C43&amp;"|"&amp;$D43&amp;"|"&amp;N$14&amp;"|"&amp;"CY2023Q3",Spectrum!$R:$R,0)),0)),IF(SUM($M43)=0,"",$M43)))</f>
        <v/>
      </c>
      <c r="O43" s="90">
        <f t="shared" si="1"/>
        <v>0</v>
      </c>
      <c r="P43" s="90">
        <f t="shared" si="2"/>
        <v>0.8</v>
      </c>
      <c r="Q43" s="42">
        <f t="shared" si="3"/>
        <v>1241</v>
      </c>
      <c r="R43" s="42">
        <f t="shared" si="4"/>
        <v>1241</v>
      </c>
      <c r="S43" s="90" t="str">
        <f t="shared" si="5"/>
        <v/>
      </c>
      <c r="T43" s="90" t="str">
        <f t="shared" si="6"/>
        <v/>
      </c>
      <c r="U43" s="90"/>
      <c r="V43" s="90" t="str">
        <f t="shared" si="7"/>
        <v/>
      </c>
      <c r="W43" s="90"/>
      <c r="X43" s="90" t="str">
        <f t="shared" si="8"/>
        <v/>
      </c>
      <c r="Y43" s="14" t="str">
        <f t="shared" si="9"/>
        <v>ENTER IN COL S</v>
      </c>
      <c r="Z43" s="42" t="str">
        <f t="shared" si="10"/>
        <v/>
      </c>
      <c r="AA43" s="42" t="str">
        <f t="shared" si="11"/>
        <v/>
      </c>
      <c r="AB43" s="42" t="str">
        <f t="shared" si="12"/>
        <v/>
      </c>
      <c r="AC43" s="14" t="str">
        <f>IFERROR(1/(1/INDEX(Cascade!$BH:$BH,MATCH($E43,Cascade!$E:$E,0))),"")</f>
        <v/>
      </c>
      <c r="AD43" s="14" t="str">
        <f t="shared" si="13"/>
        <v/>
      </c>
      <c r="AE43" s="14" t="str">
        <f>IFERROR(1/(1/INDEX(TB!$P:$P,MATCH($E43,TB!$E:$E,0))),"")</f>
        <v/>
      </c>
      <c r="AF43" s="14" t="str">
        <f t="shared" si="14"/>
        <v/>
      </c>
    </row>
    <row r="44" spans="1:32" x14ac:dyDescent="0.2">
      <c r="A44" t="str">
        <f>INDEX(Prioritization!$D:$D,MATCH($B44,Prioritization!$A:$A,0))</f>
        <v>INVALID</v>
      </c>
      <c r="B44" t="s">
        <v>200</v>
      </c>
      <c r="C44" t="s">
        <v>365</v>
      </c>
      <c r="D44" t="s">
        <v>47</v>
      </c>
      <c r="E44" t="str">
        <f t="shared" si="0"/>
        <v>Ntcheu District [am530wpaGvr]|25-34|Male</v>
      </c>
      <c r="F44" s="14">
        <f>IF(LEFT($B44,4)="_Mil","",INDEX(Cascade!$T:$T,MATCH($E44,Cascade!$E:$E,0)))</f>
        <v>1171</v>
      </c>
      <c r="G44" s="14" t="str">
        <f>IF(LEFT($B44,4)="_Mil","",INDEX(Cascade!$U:$U,MATCH($E44,Cascade!$E:$E,0)))</f>
        <v/>
      </c>
      <c r="H44" s="88">
        <f>IF(LEFT($B44,4)="_Mil","",INDEX(Cascade!$W:$W,MATCH($E44,Cascade!$E:$E,0)))</f>
        <v>1623</v>
      </c>
      <c r="I44" s="14">
        <f>IF(LEFT($B44,4)="_Mil","",INDEX(Cascade!$Z:$Z,MATCH($E44,Cascade!$E:$E,0)))</f>
        <v>582</v>
      </c>
      <c r="J44" s="90">
        <f>IF(LEFT($B44,4)="_Mil","",INDEX(Cascade!$AA:$AA,MATCH($E44,Cascade!$E:$E,0)))</f>
        <v>506.00000000000006</v>
      </c>
      <c r="K44" s="14"/>
      <c r="L44" s="14"/>
      <c r="M44" s="42" t="str">
        <f>IF(LEFT($B44,4)="_Mil","",IFERROR(1/(1/ROUND(INDEX(Spectrum!$N:$N,MATCH(RIGHT($B44,13)&amp;"|"&amp;$C44&amp;"|"&amp;$D44&amp;"|"&amp;M$14&amp;"|"&amp;"CY2023Q3",Spectrum!$R:$R,0)),0)),IF(SUM($L44)=0,"",$L44)))</f>
        <v/>
      </c>
      <c r="N44" s="42" t="str">
        <f>IF(LEFT($B44,4)="_Mil","",IFERROR(1/(1/ROUND(INDEX(Spectrum!$N:$N,MATCH(RIGHT($B44,13)&amp;"|"&amp;$C44&amp;"|"&amp;$D44&amp;"|"&amp;N$14&amp;"|"&amp;"CY2023Q3",Spectrum!$R:$R,0)),0)),IF(SUM($M44)=0,"",$M44)))</f>
        <v/>
      </c>
      <c r="O44" s="90">
        <f t="shared" si="1"/>
        <v>0</v>
      </c>
      <c r="P44" s="90">
        <f t="shared" si="2"/>
        <v>0.8</v>
      </c>
      <c r="Q44" s="42">
        <f t="shared" si="3"/>
        <v>937</v>
      </c>
      <c r="R44" s="42">
        <f t="shared" si="4"/>
        <v>937</v>
      </c>
      <c r="S44" s="90" t="str">
        <f t="shared" si="5"/>
        <v/>
      </c>
      <c r="T44" s="90" t="str">
        <f t="shared" si="6"/>
        <v/>
      </c>
      <c r="U44" s="90"/>
      <c r="V44" s="90" t="str">
        <f t="shared" si="7"/>
        <v/>
      </c>
      <c r="W44" s="90"/>
      <c r="X44" s="90" t="str">
        <f t="shared" si="8"/>
        <v/>
      </c>
      <c r="Y44" s="14" t="str">
        <f t="shared" si="9"/>
        <v>ENTER IN COL S</v>
      </c>
      <c r="Z44" s="42" t="str">
        <f t="shared" si="10"/>
        <v/>
      </c>
      <c r="AA44" s="42" t="str">
        <f t="shared" si="11"/>
        <v/>
      </c>
      <c r="AB44" s="42" t="str">
        <f t="shared" si="12"/>
        <v/>
      </c>
      <c r="AC44" s="14" t="str">
        <f>IFERROR(1/(1/INDEX(Cascade!$BH:$BH,MATCH($E44,Cascade!$E:$E,0))),"")</f>
        <v/>
      </c>
      <c r="AD44" s="14" t="str">
        <f t="shared" si="13"/>
        <v/>
      </c>
      <c r="AE44" s="14" t="str">
        <f>IFERROR(1/(1/INDEX(TB!$P:$P,MATCH($E44,TB!$E:$E,0))),"")</f>
        <v/>
      </c>
      <c r="AF44" s="14" t="str">
        <f t="shared" si="14"/>
        <v/>
      </c>
    </row>
    <row r="45" spans="1:32" x14ac:dyDescent="0.2">
      <c r="A45" t="str">
        <f>INDEX(Prioritization!$D:$D,MATCH($B45,Prioritization!$A:$A,0))</f>
        <v>INVALID</v>
      </c>
      <c r="B45" t="s">
        <v>200</v>
      </c>
      <c r="C45" t="s">
        <v>366</v>
      </c>
      <c r="D45" t="s">
        <v>47</v>
      </c>
      <c r="E45" t="str">
        <f t="shared" si="0"/>
        <v>Ntcheu District [am530wpaGvr]|35-49|Male</v>
      </c>
      <c r="F45" s="14">
        <f>IF(LEFT($B45,4)="_Mil","",INDEX(Cascade!$T:$T,MATCH($E45,Cascade!$E:$E,0)))</f>
        <v>1353</v>
      </c>
      <c r="G45" s="14" t="str">
        <f>IF(LEFT($B45,4)="_Mil","",INDEX(Cascade!$U:$U,MATCH($E45,Cascade!$E:$E,0)))</f>
        <v/>
      </c>
      <c r="H45" s="88">
        <f>IF(LEFT($B45,4)="_Mil","",INDEX(Cascade!$W:$W,MATCH($E45,Cascade!$E:$E,0)))</f>
        <v>527</v>
      </c>
      <c r="I45" s="14">
        <f>IF(LEFT($B45,4)="_Mil","",INDEX(Cascade!$Z:$Z,MATCH($E45,Cascade!$E:$E,0)))</f>
        <v>1906</v>
      </c>
      <c r="J45" s="90">
        <f>IF(LEFT($B45,4)="_Mil","",INDEX(Cascade!$AA:$AA,MATCH($E45,Cascade!$E:$E,0)))</f>
        <v>697</v>
      </c>
      <c r="K45" s="14"/>
      <c r="L45" s="14"/>
      <c r="M45" s="42" t="str">
        <f>IF(LEFT($B45,4)="_Mil","",IFERROR(1/(1/ROUND(INDEX(Spectrum!$N:$N,MATCH(RIGHT($B45,13)&amp;"|"&amp;$C45&amp;"|"&amp;$D45&amp;"|"&amp;M$14&amp;"|"&amp;"CY2023Q3",Spectrum!$R:$R,0)),0)),IF(SUM($L45)=0,"",$L45)))</f>
        <v/>
      </c>
      <c r="N45" s="42" t="str">
        <f>IF(LEFT($B45,4)="_Mil","",IFERROR(1/(1/ROUND(INDEX(Spectrum!$N:$N,MATCH(RIGHT($B45,13)&amp;"|"&amp;$C45&amp;"|"&amp;$D45&amp;"|"&amp;N$14&amp;"|"&amp;"CY2023Q3",Spectrum!$R:$R,0)),0)),IF(SUM($M45)=0,"",$M45)))</f>
        <v/>
      </c>
      <c r="O45" s="90">
        <f t="shared" si="1"/>
        <v>0</v>
      </c>
      <c r="P45" s="90">
        <f t="shared" si="2"/>
        <v>0.8</v>
      </c>
      <c r="Q45" s="42">
        <f t="shared" si="3"/>
        <v>1082</v>
      </c>
      <c r="R45" s="42">
        <f t="shared" si="4"/>
        <v>1082</v>
      </c>
      <c r="S45" s="90" t="str">
        <f t="shared" si="5"/>
        <v/>
      </c>
      <c r="T45" s="90" t="str">
        <f t="shared" si="6"/>
        <v/>
      </c>
      <c r="U45" s="90"/>
      <c r="V45" s="90" t="str">
        <f t="shared" si="7"/>
        <v/>
      </c>
      <c r="W45" s="90"/>
      <c r="X45" s="90" t="str">
        <f t="shared" si="8"/>
        <v/>
      </c>
      <c r="Y45" s="14" t="str">
        <f t="shared" si="9"/>
        <v>ENTER IN COL S</v>
      </c>
      <c r="Z45" s="42" t="str">
        <f t="shared" si="10"/>
        <v/>
      </c>
      <c r="AA45" s="42" t="str">
        <f t="shared" si="11"/>
        <v/>
      </c>
      <c r="AB45" s="42" t="str">
        <f t="shared" si="12"/>
        <v/>
      </c>
      <c r="AC45" s="14" t="str">
        <f>IFERROR(1/(1/INDEX(Cascade!$BH:$BH,MATCH($E45,Cascade!$E:$E,0))),"")</f>
        <v/>
      </c>
      <c r="AD45" s="14" t="str">
        <f t="shared" si="13"/>
        <v/>
      </c>
      <c r="AE45" s="14" t="str">
        <f>IFERROR(1/(1/INDEX(TB!$P:$P,MATCH($E45,TB!$E:$E,0))),"")</f>
        <v/>
      </c>
      <c r="AF45" s="14" t="str">
        <f t="shared" si="14"/>
        <v/>
      </c>
    </row>
    <row r="46" spans="1:32" x14ac:dyDescent="0.2">
      <c r="A46" t="str">
        <f>INDEX(Prioritization!$D:$D,MATCH($B46,Prioritization!$A:$A,0))</f>
        <v>INVALID</v>
      </c>
      <c r="B46" t="s">
        <v>200</v>
      </c>
      <c r="C46" t="s">
        <v>367</v>
      </c>
      <c r="D46" t="s">
        <v>47</v>
      </c>
      <c r="E46" t="str">
        <f t="shared" si="0"/>
        <v>Ntcheu District [am530wpaGvr]|50+|Male</v>
      </c>
      <c r="F46" s="14">
        <f>IF(LEFT($B46,4)="_Mil","",INDEX(Cascade!$T:$T,MATCH($E46,Cascade!$E:$E,0)))</f>
        <v>631</v>
      </c>
      <c r="G46" s="14" t="str">
        <f>IF(LEFT($B46,4)="_Mil","",INDEX(Cascade!$U:$U,MATCH($E46,Cascade!$E:$E,0)))</f>
        <v/>
      </c>
      <c r="H46" s="88">
        <f>IF(LEFT($B46,4)="_Mil","",INDEX(Cascade!$W:$W,MATCH($E46,Cascade!$E:$E,0)))</f>
        <v>1350</v>
      </c>
      <c r="I46" s="14">
        <f>IF(LEFT($B46,4)="_Mil","",INDEX(Cascade!$Z:$Z,MATCH($E46,Cascade!$E:$E,0)))</f>
        <v>1075</v>
      </c>
      <c r="J46" s="90">
        <f>IF(LEFT($B46,4)="_Mil","",INDEX(Cascade!$AA:$AA,MATCH($E46,Cascade!$E:$E,0)))</f>
        <v>1977</v>
      </c>
      <c r="K46" s="14"/>
      <c r="L46" s="14"/>
      <c r="M46" s="42" t="str">
        <f>IF(LEFT($B46,4)="_Mil","",IFERROR(1/(1/ROUND(INDEX(Spectrum!$N:$N,MATCH(RIGHT($B46,13)&amp;"|"&amp;$C46&amp;"|"&amp;$D46&amp;"|"&amp;M$14&amp;"|"&amp;"CY2023Q3",Spectrum!$R:$R,0)),0)),IF(SUM($L46)=0,"",$L46)))</f>
        <v/>
      </c>
      <c r="N46" s="42" t="str">
        <f>IF(LEFT($B46,4)="_Mil","",IFERROR(1/(1/ROUND(INDEX(Spectrum!$N:$N,MATCH(RIGHT($B46,13)&amp;"|"&amp;$C46&amp;"|"&amp;$D46&amp;"|"&amp;N$14&amp;"|"&amp;"CY2023Q3",Spectrum!$R:$R,0)),0)),IF(SUM($M46)=0,"",$M46)))</f>
        <v/>
      </c>
      <c r="O46" s="90">
        <f t="shared" si="1"/>
        <v>0</v>
      </c>
      <c r="P46" s="90">
        <f t="shared" si="2"/>
        <v>0.8</v>
      </c>
      <c r="Q46" s="42">
        <f t="shared" si="3"/>
        <v>505</v>
      </c>
      <c r="R46" s="42">
        <f t="shared" si="4"/>
        <v>505</v>
      </c>
      <c r="S46" s="90" t="str">
        <f t="shared" si="5"/>
        <v/>
      </c>
      <c r="T46" s="90" t="str">
        <f t="shared" si="6"/>
        <v/>
      </c>
      <c r="U46" s="90"/>
      <c r="V46" s="90" t="str">
        <f t="shared" si="7"/>
        <v/>
      </c>
      <c r="W46" s="90"/>
      <c r="X46" s="90" t="str">
        <f t="shared" si="8"/>
        <v/>
      </c>
      <c r="Y46" s="14" t="str">
        <f t="shared" si="9"/>
        <v>ENTER IN COL S</v>
      </c>
      <c r="Z46" s="42" t="str">
        <f t="shared" si="10"/>
        <v/>
      </c>
      <c r="AA46" s="42" t="str">
        <f t="shared" si="11"/>
        <v/>
      </c>
      <c r="AB46" s="42" t="str">
        <f t="shared" si="12"/>
        <v/>
      </c>
      <c r="AC46" s="14" t="str">
        <f>IFERROR(1/(1/INDEX(Cascade!$BH:$BH,MATCH($E46,Cascade!$E:$E,0))),"")</f>
        <v/>
      </c>
      <c r="AD46" s="14" t="str">
        <f t="shared" si="13"/>
        <v/>
      </c>
      <c r="AE46" s="14" t="str">
        <f>IFERROR(1/(1/INDEX(TB!$P:$P,MATCH($E46,TB!$E:$E,0))),"")</f>
        <v/>
      </c>
      <c r="AF46" s="14" t="str">
        <f t="shared" si="14"/>
        <v/>
      </c>
    </row>
    <row r="47" spans="1:32" x14ac:dyDescent="0.2">
      <c r="A47" t="str">
        <f>INDEX(Prioritization!$D:$D,MATCH($B47,Prioritization!$A:$A,0))</f>
        <v>INVALID</v>
      </c>
      <c r="B47" t="s">
        <v>201</v>
      </c>
      <c r="C47" t="s">
        <v>364</v>
      </c>
      <c r="D47" t="s">
        <v>47</v>
      </c>
      <c r="E47" t="str">
        <f t="shared" ref="E47:E78" si="15">B47&amp;"|"&amp;C47&amp;"|"&amp;D47</f>
        <v>Ntchisi District [fiRkU6gEjLz]|15-24|Male</v>
      </c>
      <c r="F47" s="14">
        <f>IF(LEFT($B47,4)="_Mil","",INDEX(Cascade!$T:$T,MATCH($E47,Cascade!$E:$E,0)))</f>
        <v>1940</v>
      </c>
      <c r="G47" s="14" t="str">
        <f>IF(LEFT($B47,4)="_Mil","",INDEX(Cascade!$U:$U,MATCH($E47,Cascade!$E:$E,0)))</f>
        <v/>
      </c>
      <c r="H47" s="88">
        <f>IF(LEFT($B47,4)="_Mil","",INDEX(Cascade!$W:$W,MATCH($E47,Cascade!$E:$E,0)))</f>
        <v>605</v>
      </c>
      <c r="I47" s="14">
        <f>IF(LEFT($B47,4)="_Mil","",INDEX(Cascade!$Z:$Z,MATCH($E47,Cascade!$E:$E,0)))</f>
        <v>968</v>
      </c>
      <c r="J47" s="90">
        <f>IF(LEFT($B47,4)="_Mil","",INDEX(Cascade!$AA:$AA,MATCH($E47,Cascade!$E:$E,0)))</f>
        <v>1616</v>
      </c>
      <c r="K47" s="14"/>
      <c r="L47" s="14"/>
      <c r="M47" s="42" t="str">
        <f>IF(LEFT($B47,4)="_Mil","",IFERROR(1/(1/ROUND(INDEX(Spectrum!$N:$N,MATCH(RIGHT($B47,13)&amp;"|"&amp;$C47&amp;"|"&amp;$D47&amp;"|"&amp;M$14&amp;"|"&amp;"CY2023Q3",Spectrum!$R:$R,0)),0)),IF(SUM($L47)=0,"",$L47)))</f>
        <v/>
      </c>
      <c r="N47" s="42" t="str">
        <f>IF(LEFT($B47,4)="_Mil","",IFERROR(1/(1/ROUND(INDEX(Spectrum!$N:$N,MATCH(RIGHT($B47,13)&amp;"|"&amp;$C47&amp;"|"&amp;$D47&amp;"|"&amp;N$14&amp;"|"&amp;"CY2023Q3",Spectrum!$R:$R,0)),0)),IF(SUM($M47)=0,"",$M47)))</f>
        <v/>
      </c>
      <c r="O47" s="90">
        <f t="shared" ref="O47:O78" si="16">IF(OR(LEFT($B47,4)="_Mil",SUM($F47)=0),"",SUM($N47)/$F47)</f>
        <v>0</v>
      </c>
      <c r="P47" s="90">
        <f t="shared" ref="P47:P78" si="17">IF(OR(LEFT($B47,4)="_Mil",SUM($F47)=0),"",MAX(SUM($O47),80%))</f>
        <v>0.8</v>
      </c>
      <c r="Q47" s="42">
        <f t="shared" ref="Q47:Q78" si="18">IF(OR(LEFT($B47,4)="_Mil",SUM($F47)=0),"",ROUND(SUM($F47)*$P47,0))</f>
        <v>1552</v>
      </c>
      <c r="R47" s="42">
        <f t="shared" ref="R47:R78" si="19">IF(OR(LEFT($B47,4)="_Mil",SUM($Q47)=0),"",ROUND(MAX($Q47-SUM($N47),0),0))</f>
        <v>1552</v>
      </c>
      <c r="S47" s="90" t="str">
        <f t="shared" ref="S47:S78" si="20">IF(LEFT($B47,4)="_Mil","",IF(SUM($L47)=0,"",IF(SUM($M47)=0,1,$L47/$M47)))</f>
        <v/>
      </c>
      <c r="T47" s="90" t="str">
        <f t="shared" ref="T47:T78" si="21">IF(LEFT($B47,4)="_Mil",0,"")</f>
        <v/>
      </c>
      <c r="U47" s="90"/>
      <c r="V47" s="90" t="str">
        <f t="shared" ref="V47:V78" si="22">IF($U47="","",$U47)</f>
        <v/>
      </c>
      <c r="W47" s="90"/>
      <c r="X47" s="90" t="str">
        <f t="shared" ref="X47:X78" si="23">IF($W47="","",$W47)</f>
        <v/>
      </c>
      <c r="Y47" s="14" t="str">
        <f t="shared" ref="Y47:Y78" si="24">IF(LEFT($B47,4)="_Mil",IF(SUM($L47)=0,"",ROUND($L47*(1+$T47),0)),IF(SUM($R47)=0,"",IF($S47="","ENTER IN COL S",ROUND($R47*$S47,0))))</f>
        <v>ENTER IN COL S</v>
      </c>
      <c r="Z47" s="42" t="str">
        <f t="shared" ref="Z47:Z78" si="25">IF(SUM($Y47)=0,"",IF(AND(SUM($Y47)&gt;0,$V47=""),"ENTER INDETERMINATE RATE",ROUND($Y47*$V47,0)))</f>
        <v/>
      </c>
      <c r="AA47" s="42" t="str">
        <f t="shared" ref="AA47:AA78" si="26">IF(SUM($Y47)=0,"",IF(AND(($Y47-SUM($Z47))&gt;0,$X47=""),"ENTER YIELD RATE",ROUND(($Y47-SUM($Z47))*SUM($X47),0)))</f>
        <v/>
      </c>
      <c r="AB47" s="42" t="str">
        <f t="shared" ref="AB47:AB78" si="27">IF(SUM($Y47)=0,"",$Y47-SUM($Z47)-SUM($AA47))</f>
        <v/>
      </c>
      <c r="AC47" s="14" t="str">
        <f>IFERROR(1/(1/INDEX(Cascade!$BH:$BH,MATCH($E47,Cascade!$E:$E,0))),"")</f>
        <v/>
      </c>
      <c r="AD47" s="14" t="str">
        <f t="shared" ref="AD47:AD78" si="28">IF(SUM($AA47)=0,"",$AA47)</f>
        <v/>
      </c>
      <c r="AE47" s="14" t="str">
        <f>IFERROR(1/(1/INDEX(TB!$P:$P,MATCH($E47,TB!$E:$E,0))),"")</f>
        <v/>
      </c>
      <c r="AF47" s="14" t="str">
        <f t="shared" ref="AF47:AF78" si="29">IFERROR(1/(1/(SUM($AC47)-SUM($AD47:$AE47))),"")</f>
        <v/>
      </c>
    </row>
    <row r="48" spans="1:32" x14ac:dyDescent="0.2">
      <c r="A48" t="str">
        <f>INDEX(Prioritization!$D:$D,MATCH($B48,Prioritization!$A:$A,0))</f>
        <v>INVALID</v>
      </c>
      <c r="B48" t="s">
        <v>201</v>
      </c>
      <c r="C48" t="s">
        <v>365</v>
      </c>
      <c r="D48" t="s">
        <v>47</v>
      </c>
      <c r="E48" t="str">
        <f t="shared" si="15"/>
        <v>Ntchisi District [fiRkU6gEjLz]|25-34|Male</v>
      </c>
      <c r="F48" s="14">
        <f>IF(LEFT($B48,4)="_Mil","",INDEX(Cascade!$T:$T,MATCH($E48,Cascade!$E:$E,0)))</f>
        <v>1613</v>
      </c>
      <c r="G48" s="14" t="str">
        <f>IF(LEFT($B48,4)="_Mil","",INDEX(Cascade!$U:$U,MATCH($E48,Cascade!$E:$E,0)))</f>
        <v/>
      </c>
      <c r="H48" s="88">
        <f>IF(LEFT($B48,4)="_Mil","",INDEX(Cascade!$W:$W,MATCH($E48,Cascade!$E:$E,0)))</f>
        <v>1909</v>
      </c>
      <c r="I48" s="14">
        <f>IF(LEFT($B48,4)="_Mil","",INDEX(Cascade!$Z:$Z,MATCH($E48,Cascade!$E:$E,0)))</f>
        <v>724</v>
      </c>
      <c r="J48" s="90">
        <f>IF(LEFT($B48,4)="_Mil","",INDEX(Cascade!$AA:$AA,MATCH($E48,Cascade!$E:$E,0)))</f>
        <v>1790.0000000000002</v>
      </c>
      <c r="K48" s="14"/>
      <c r="L48" s="14"/>
      <c r="M48" s="42" t="str">
        <f>IF(LEFT($B48,4)="_Mil","",IFERROR(1/(1/ROUND(INDEX(Spectrum!$N:$N,MATCH(RIGHT($B48,13)&amp;"|"&amp;$C48&amp;"|"&amp;$D48&amp;"|"&amp;M$14&amp;"|"&amp;"CY2023Q3",Spectrum!$R:$R,0)),0)),IF(SUM($L48)=0,"",$L48)))</f>
        <v/>
      </c>
      <c r="N48" s="42" t="str">
        <f>IF(LEFT($B48,4)="_Mil","",IFERROR(1/(1/ROUND(INDEX(Spectrum!$N:$N,MATCH(RIGHT($B48,13)&amp;"|"&amp;$C48&amp;"|"&amp;$D48&amp;"|"&amp;N$14&amp;"|"&amp;"CY2023Q3",Spectrum!$R:$R,0)),0)),IF(SUM($M48)=0,"",$M48)))</f>
        <v/>
      </c>
      <c r="O48" s="90">
        <f t="shared" si="16"/>
        <v>0</v>
      </c>
      <c r="P48" s="90">
        <f t="shared" si="17"/>
        <v>0.8</v>
      </c>
      <c r="Q48" s="42">
        <f t="shared" si="18"/>
        <v>1290</v>
      </c>
      <c r="R48" s="42">
        <f t="shared" si="19"/>
        <v>1290</v>
      </c>
      <c r="S48" s="90" t="str">
        <f t="shared" si="20"/>
        <v/>
      </c>
      <c r="T48" s="90" t="str">
        <f t="shared" si="21"/>
        <v/>
      </c>
      <c r="U48" s="90"/>
      <c r="V48" s="90" t="str">
        <f t="shared" si="22"/>
        <v/>
      </c>
      <c r="W48" s="90"/>
      <c r="X48" s="90" t="str">
        <f t="shared" si="23"/>
        <v/>
      </c>
      <c r="Y48" s="14" t="str">
        <f t="shared" si="24"/>
        <v>ENTER IN COL S</v>
      </c>
      <c r="Z48" s="42" t="str">
        <f t="shared" si="25"/>
        <v/>
      </c>
      <c r="AA48" s="42" t="str">
        <f t="shared" si="26"/>
        <v/>
      </c>
      <c r="AB48" s="42" t="str">
        <f t="shared" si="27"/>
        <v/>
      </c>
      <c r="AC48" s="14" t="str">
        <f>IFERROR(1/(1/INDEX(Cascade!$BH:$BH,MATCH($E48,Cascade!$E:$E,0))),"")</f>
        <v/>
      </c>
      <c r="AD48" s="14" t="str">
        <f t="shared" si="28"/>
        <v/>
      </c>
      <c r="AE48" s="14" t="str">
        <f>IFERROR(1/(1/INDEX(TB!$P:$P,MATCH($E48,TB!$E:$E,0))),"")</f>
        <v/>
      </c>
      <c r="AF48" s="14" t="str">
        <f t="shared" si="29"/>
        <v/>
      </c>
    </row>
    <row r="49" spans="1:32" x14ac:dyDescent="0.2">
      <c r="A49" t="str">
        <f>INDEX(Prioritization!$D:$D,MATCH($B49,Prioritization!$A:$A,0))</f>
        <v>INVALID</v>
      </c>
      <c r="B49" t="s">
        <v>201</v>
      </c>
      <c r="C49" t="s">
        <v>366</v>
      </c>
      <c r="D49" t="s">
        <v>47</v>
      </c>
      <c r="E49" t="str">
        <f t="shared" si="15"/>
        <v>Ntchisi District [fiRkU6gEjLz]|35-49|Male</v>
      </c>
      <c r="F49" s="14">
        <f>IF(LEFT($B49,4)="_Mil","",INDEX(Cascade!$T:$T,MATCH($E49,Cascade!$E:$E,0)))</f>
        <v>1172</v>
      </c>
      <c r="G49" s="14" t="str">
        <f>IF(LEFT($B49,4)="_Mil","",INDEX(Cascade!$U:$U,MATCH($E49,Cascade!$E:$E,0)))</f>
        <v/>
      </c>
      <c r="H49" s="88">
        <f>IF(LEFT($B49,4)="_Mil","",INDEX(Cascade!$W:$W,MATCH($E49,Cascade!$E:$E,0)))</f>
        <v>935</v>
      </c>
      <c r="I49" s="14">
        <f>IF(LEFT($B49,4)="_Mil","",INDEX(Cascade!$Z:$Z,MATCH($E49,Cascade!$E:$E,0)))</f>
        <v>794</v>
      </c>
      <c r="J49" s="90">
        <f>IF(LEFT($B49,4)="_Mil","",INDEX(Cascade!$AA:$AA,MATCH($E49,Cascade!$E:$E,0)))</f>
        <v>670</v>
      </c>
      <c r="K49" s="14"/>
      <c r="L49" s="14"/>
      <c r="M49" s="42" t="str">
        <f>IF(LEFT($B49,4)="_Mil","",IFERROR(1/(1/ROUND(INDEX(Spectrum!$N:$N,MATCH(RIGHT($B49,13)&amp;"|"&amp;$C49&amp;"|"&amp;$D49&amp;"|"&amp;M$14&amp;"|"&amp;"CY2023Q3",Spectrum!$R:$R,0)),0)),IF(SUM($L49)=0,"",$L49)))</f>
        <v/>
      </c>
      <c r="N49" s="42" t="str">
        <f>IF(LEFT($B49,4)="_Mil","",IFERROR(1/(1/ROUND(INDEX(Spectrum!$N:$N,MATCH(RIGHT($B49,13)&amp;"|"&amp;$C49&amp;"|"&amp;$D49&amp;"|"&amp;N$14&amp;"|"&amp;"CY2023Q3",Spectrum!$R:$R,0)),0)),IF(SUM($M49)=0,"",$M49)))</f>
        <v/>
      </c>
      <c r="O49" s="90">
        <f t="shared" si="16"/>
        <v>0</v>
      </c>
      <c r="P49" s="90">
        <f t="shared" si="17"/>
        <v>0.8</v>
      </c>
      <c r="Q49" s="42">
        <f t="shared" si="18"/>
        <v>938</v>
      </c>
      <c r="R49" s="42">
        <f t="shared" si="19"/>
        <v>938</v>
      </c>
      <c r="S49" s="90" t="str">
        <f t="shared" si="20"/>
        <v/>
      </c>
      <c r="T49" s="90" t="str">
        <f t="shared" si="21"/>
        <v/>
      </c>
      <c r="U49" s="90"/>
      <c r="V49" s="90" t="str">
        <f t="shared" si="22"/>
        <v/>
      </c>
      <c r="W49" s="90"/>
      <c r="X49" s="90" t="str">
        <f t="shared" si="23"/>
        <v/>
      </c>
      <c r="Y49" s="14" t="str">
        <f t="shared" si="24"/>
        <v>ENTER IN COL S</v>
      </c>
      <c r="Z49" s="42" t="str">
        <f t="shared" si="25"/>
        <v/>
      </c>
      <c r="AA49" s="42" t="str">
        <f t="shared" si="26"/>
        <v/>
      </c>
      <c r="AB49" s="42" t="str">
        <f t="shared" si="27"/>
        <v/>
      </c>
      <c r="AC49" s="14" t="str">
        <f>IFERROR(1/(1/INDEX(Cascade!$BH:$BH,MATCH($E49,Cascade!$E:$E,0))),"")</f>
        <v/>
      </c>
      <c r="AD49" s="14" t="str">
        <f t="shared" si="28"/>
        <v/>
      </c>
      <c r="AE49" s="14" t="str">
        <f>IFERROR(1/(1/INDEX(TB!$P:$P,MATCH($E49,TB!$E:$E,0))),"")</f>
        <v/>
      </c>
      <c r="AF49" s="14" t="str">
        <f t="shared" si="29"/>
        <v/>
      </c>
    </row>
    <row r="50" spans="1:32" x14ac:dyDescent="0.2">
      <c r="A50" t="str">
        <f>INDEX(Prioritization!$D:$D,MATCH($B50,Prioritization!$A:$A,0))</f>
        <v>INVALID</v>
      </c>
      <c r="B50" t="s">
        <v>201</v>
      </c>
      <c r="C50" t="s">
        <v>367</v>
      </c>
      <c r="D50" t="s">
        <v>47</v>
      </c>
      <c r="E50" t="str">
        <f t="shared" si="15"/>
        <v>Ntchisi District [fiRkU6gEjLz]|50+|Male</v>
      </c>
      <c r="F50" s="14">
        <f>IF(LEFT($B50,4)="_Mil","",INDEX(Cascade!$T:$T,MATCH($E50,Cascade!$E:$E,0)))</f>
        <v>536</v>
      </c>
      <c r="G50" s="14" t="str">
        <f>IF(LEFT($B50,4)="_Mil","",INDEX(Cascade!$U:$U,MATCH($E50,Cascade!$E:$E,0)))</f>
        <v/>
      </c>
      <c r="H50" s="88">
        <f>IF(LEFT($B50,4)="_Mil","",INDEX(Cascade!$W:$W,MATCH($E50,Cascade!$E:$E,0)))</f>
        <v>1644</v>
      </c>
      <c r="I50" s="14">
        <f>IF(LEFT($B50,4)="_Mil","",INDEX(Cascade!$Z:$Z,MATCH($E50,Cascade!$E:$E,0)))</f>
        <v>1369</v>
      </c>
      <c r="J50" s="90">
        <f>IF(LEFT($B50,4)="_Mil","",INDEX(Cascade!$AA:$AA,MATCH($E50,Cascade!$E:$E,0)))</f>
        <v>1011</v>
      </c>
      <c r="K50" s="14"/>
      <c r="L50" s="14"/>
      <c r="M50" s="42" t="str">
        <f>IF(LEFT($B50,4)="_Mil","",IFERROR(1/(1/ROUND(INDEX(Spectrum!$N:$N,MATCH(RIGHT($B50,13)&amp;"|"&amp;$C50&amp;"|"&amp;$D50&amp;"|"&amp;M$14&amp;"|"&amp;"CY2023Q3",Spectrum!$R:$R,0)),0)),IF(SUM($L50)=0,"",$L50)))</f>
        <v/>
      </c>
      <c r="N50" s="42" t="str">
        <f>IF(LEFT($B50,4)="_Mil","",IFERROR(1/(1/ROUND(INDEX(Spectrum!$N:$N,MATCH(RIGHT($B50,13)&amp;"|"&amp;$C50&amp;"|"&amp;$D50&amp;"|"&amp;N$14&amp;"|"&amp;"CY2023Q3",Spectrum!$R:$R,0)),0)),IF(SUM($M50)=0,"",$M50)))</f>
        <v/>
      </c>
      <c r="O50" s="90">
        <f t="shared" si="16"/>
        <v>0</v>
      </c>
      <c r="P50" s="90">
        <f t="shared" si="17"/>
        <v>0.8</v>
      </c>
      <c r="Q50" s="42">
        <f t="shared" si="18"/>
        <v>429</v>
      </c>
      <c r="R50" s="42">
        <f t="shared" si="19"/>
        <v>429</v>
      </c>
      <c r="S50" s="90" t="str">
        <f t="shared" si="20"/>
        <v/>
      </c>
      <c r="T50" s="90" t="str">
        <f t="shared" si="21"/>
        <v/>
      </c>
      <c r="U50" s="90"/>
      <c r="V50" s="90" t="str">
        <f t="shared" si="22"/>
        <v/>
      </c>
      <c r="W50" s="90"/>
      <c r="X50" s="90" t="str">
        <f t="shared" si="23"/>
        <v/>
      </c>
      <c r="Y50" s="14" t="str">
        <f t="shared" si="24"/>
        <v>ENTER IN COL S</v>
      </c>
      <c r="Z50" s="42" t="str">
        <f t="shared" si="25"/>
        <v/>
      </c>
      <c r="AA50" s="42" t="str">
        <f t="shared" si="26"/>
        <v/>
      </c>
      <c r="AB50" s="42" t="str">
        <f t="shared" si="27"/>
        <v/>
      </c>
      <c r="AC50" s="14" t="str">
        <f>IFERROR(1/(1/INDEX(Cascade!$BH:$BH,MATCH($E50,Cascade!$E:$E,0))),"")</f>
        <v/>
      </c>
      <c r="AD50" s="14" t="str">
        <f t="shared" si="28"/>
        <v/>
      </c>
      <c r="AE50" s="14" t="str">
        <f>IFERROR(1/(1/INDEX(TB!$P:$P,MATCH($E50,TB!$E:$E,0))),"")</f>
        <v/>
      </c>
      <c r="AF50" s="14" t="str">
        <f t="shared" si="29"/>
        <v/>
      </c>
    </row>
    <row r="51" spans="1:32" x14ac:dyDescent="0.2">
      <c r="A51" t="str">
        <f>INDEX(Prioritization!$D:$D,MATCH($B51,Prioritization!$A:$A,0))</f>
        <v>INVALID</v>
      </c>
      <c r="B51" t="s">
        <v>202</v>
      </c>
      <c r="C51" t="s">
        <v>364</v>
      </c>
      <c r="D51" t="s">
        <v>47</v>
      </c>
      <c r="E51" t="str">
        <f t="shared" si="15"/>
        <v>Salima District [msW2zpIN7up]|15-24|Male</v>
      </c>
      <c r="F51" s="14">
        <f>IF(LEFT($B51,4)="_Mil","",INDEX(Cascade!$T:$T,MATCH($E51,Cascade!$E:$E,0)))</f>
        <v>1297</v>
      </c>
      <c r="G51" s="14" t="str">
        <f>IF(LEFT($B51,4)="_Mil","",INDEX(Cascade!$U:$U,MATCH($E51,Cascade!$E:$E,0)))</f>
        <v/>
      </c>
      <c r="H51" s="88">
        <f>IF(LEFT($B51,4)="_Mil","",INDEX(Cascade!$W:$W,MATCH($E51,Cascade!$E:$E,0)))</f>
        <v>1984</v>
      </c>
      <c r="I51" s="14">
        <f>IF(LEFT($B51,4)="_Mil","",INDEX(Cascade!$Z:$Z,MATCH($E51,Cascade!$E:$E,0)))</f>
        <v>1301</v>
      </c>
      <c r="J51" s="90">
        <f>IF(LEFT($B51,4)="_Mil","",INDEX(Cascade!$AA:$AA,MATCH($E51,Cascade!$E:$E,0)))</f>
        <v>1321</v>
      </c>
      <c r="K51" s="14"/>
      <c r="L51" s="14"/>
      <c r="M51" s="42" t="str">
        <f>IF(LEFT($B51,4)="_Mil","",IFERROR(1/(1/ROUND(INDEX(Spectrum!$N:$N,MATCH(RIGHT($B51,13)&amp;"|"&amp;$C51&amp;"|"&amp;$D51&amp;"|"&amp;M$14&amp;"|"&amp;"CY2023Q3",Spectrum!$R:$R,0)),0)),IF(SUM($L51)=0,"",$L51)))</f>
        <v/>
      </c>
      <c r="N51" s="42" t="str">
        <f>IF(LEFT($B51,4)="_Mil","",IFERROR(1/(1/ROUND(INDEX(Spectrum!$N:$N,MATCH(RIGHT($B51,13)&amp;"|"&amp;$C51&amp;"|"&amp;$D51&amp;"|"&amp;N$14&amp;"|"&amp;"CY2023Q3",Spectrum!$R:$R,0)),0)),IF(SUM($M51)=0,"",$M51)))</f>
        <v/>
      </c>
      <c r="O51" s="90">
        <f t="shared" si="16"/>
        <v>0</v>
      </c>
      <c r="P51" s="90">
        <f t="shared" si="17"/>
        <v>0.8</v>
      </c>
      <c r="Q51" s="42">
        <f t="shared" si="18"/>
        <v>1038</v>
      </c>
      <c r="R51" s="42">
        <f t="shared" si="19"/>
        <v>1038</v>
      </c>
      <c r="S51" s="90" t="str">
        <f t="shared" si="20"/>
        <v/>
      </c>
      <c r="T51" s="90" t="str">
        <f t="shared" si="21"/>
        <v/>
      </c>
      <c r="U51" s="90"/>
      <c r="V51" s="90" t="str">
        <f t="shared" si="22"/>
        <v/>
      </c>
      <c r="W51" s="90"/>
      <c r="X51" s="90" t="str">
        <f t="shared" si="23"/>
        <v/>
      </c>
      <c r="Y51" s="14" t="str">
        <f t="shared" si="24"/>
        <v>ENTER IN COL S</v>
      </c>
      <c r="Z51" s="42" t="str">
        <f t="shared" si="25"/>
        <v/>
      </c>
      <c r="AA51" s="42" t="str">
        <f t="shared" si="26"/>
        <v/>
      </c>
      <c r="AB51" s="42" t="str">
        <f t="shared" si="27"/>
        <v/>
      </c>
      <c r="AC51" s="14" t="str">
        <f>IFERROR(1/(1/INDEX(Cascade!$BH:$BH,MATCH($E51,Cascade!$E:$E,0))),"")</f>
        <v/>
      </c>
      <c r="AD51" s="14" t="str">
        <f t="shared" si="28"/>
        <v/>
      </c>
      <c r="AE51" s="14" t="str">
        <f>IFERROR(1/(1/INDEX(TB!$P:$P,MATCH($E51,TB!$E:$E,0))),"")</f>
        <v/>
      </c>
      <c r="AF51" s="14" t="str">
        <f t="shared" si="29"/>
        <v/>
      </c>
    </row>
    <row r="52" spans="1:32" x14ac:dyDescent="0.2">
      <c r="A52" t="str">
        <f>INDEX(Prioritization!$D:$D,MATCH($B52,Prioritization!$A:$A,0))</f>
        <v>INVALID</v>
      </c>
      <c r="B52" t="s">
        <v>202</v>
      </c>
      <c r="C52" t="s">
        <v>365</v>
      </c>
      <c r="D52" t="s">
        <v>47</v>
      </c>
      <c r="E52" t="str">
        <f t="shared" si="15"/>
        <v>Salima District [msW2zpIN7up]|25-34|Male</v>
      </c>
      <c r="F52" s="14">
        <f>IF(LEFT($B52,4)="_Mil","",INDEX(Cascade!$T:$T,MATCH($E52,Cascade!$E:$E,0)))</f>
        <v>896</v>
      </c>
      <c r="G52" s="14" t="str">
        <f>IF(LEFT($B52,4)="_Mil","",INDEX(Cascade!$U:$U,MATCH($E52,Cascade!$E:$E,0)))</f>
        <v/>
      </c>
      <c r="H52" s="88">
        <f>IF(LEFT($B52,4)="_Mil","",INDEX(Cascade!$W:$W,MATCH($E52,Cascade!$E:$E,0)))</f>
        <v>888</v>
      </c>
      <c r="I52" s="14">
        <f>IF(LEFT($B52,4)="_Mil","",INDEX(Cascade!$Z:$Z,MATCH($E52,Cascade!$E:$E,0)))</f>
        <v>1135</v>
      </c>
      <c r="J52" s="90">
        <f>IF(LEFT($B52,4)="_Mil","",INDEX(Cascade!$AA:$AA,MATCH($E52,Cascade!$E:$E,0)))</f>
        <v>509.00000000000006</v>
      </c>
      <c r="K52" s="14"/>
      <c r="L52" s="14"/>
      <c r="M52" s="42" t="str">
        <f>IF(LEFT($B52,4)="_Mil","",IFERROR(1/(1/ROUND(INDEX(Spectrum!$N:$N,MATCH(RIGHT($B52,13)&amp;"|"&amp;$C52&amp;"|"&amp;$D52&amp;"|"&amp;M$14&amp;"|"&amp;"CY2023Q3",Spectrum!$R:$R,0)),0)),IF(SUM($L52)=0,"",$L52)))</f>
        <v/>
      </c>
      <c r="N52" s="42" t="str">
        <f>IF(LEFT($B52,4)="_Mil","",IFERROR(1/(1/ROUND(INDEX(Spectrum!$N:$N,MATCH(RIGHT($B52,13)&amp;"|"&amp;$C52&amp;"|"&amp;$D52&amp;"|"&amp;N$14&amp;"|"&amp;"CY2023Q3",Spectrum!$R:$R,0)),0)),IF(SUM($M52)=0,"",$M52)))</f>
        <v/>
      </c>
      <c r="O52" s="90">
        <f t="shared" si="16"/>
        <v>0</v>
      </c>
      <c r="P52" s="90">
        <f t="shared" si="17"/>
        <v>0.8</v>
      </c>
      <c r="Q52" s="42">
        <f t="shared" si="18"/>
        <v>717</v>
      </c>
      <c r="R52" s="42">
        <f t="shared" si="19"/>
        <v>717</v>
      </c>
      <c r="S52" s="90" t="str">
        <f t="shared" si="20"/>
        <v/>
      </c>
      <c r="T52" s="90" t="str">
        <f t="shared" si="21"/>
        <v/>
      </c>
      <c r="U52" s="90"/>
      <c r="V52" s="90" t="str">
        <f t="shared" si="22"/>
        <v/>
      </c>
      <c r="W52" s="90"/>
      <c r="X52" s="90" t="str">
        <f t="shared" si="23"/>
        <v/>
      </c>
      <c r="Y52" s="14" t="str">
        <f t="shared" si="24"/>
        <v>ENTER IN COL S</v>
      </c>
      <c r="Z52" s="42" t="str">
        <f t="shared" si="25"/>
        <v/>
      </c>
      <c r="AA52" s="42" t="str">
        <f t="shared" si="26"/>
        <v/>
      </c>
      <c r="AB52" s="42" t="str">
        <f t="shared" si="27"/>
        <v/>
      </c>
      <c r="AC52" s="14" t="str">
        <f>IFERROR(1/(1/INDEX(Cascade!$BH:$BH,MATCH($E52,Cascade!$E:$E,0))),"")</f>
        <v/>
      </c>
      <c r="AD52" s="14" t="str">
        <f t="shared" si="28"/>
        <v/>
      </c>
      <c r="AE52" s="14" t="str">
        <f>IFERROR(1/(1/INDEX(TB!$P:$P,MATCH($E52,TB!$E:$E,0))),"")</f>
        <v/>
      </c>
      <c r="AF52" s="14" t="str">
        <f t="shared" si="29"/>
        <v/>
      </c>
    </row>
    <row r="53" spans="1:32" x14ac:dyDescent="0.2">
      <c r="A53" t="str">
        <f>INDEX(Prioritization!$D:$D,MATCH($B53,Prioritization!$A:$A,0))</f>
        <v>INVALID</v>
      </c>
      <c r="B53" t="s">
        <v>202</v>
      </c>
      <c r="C53" t="s">
        <v>366</v>
      </c>
      <c r="D53" t="s">
        <v>47</v>
      </c>
      <c r="E53" t="str">
        <f t="shared" si="15"/>
        <v>Salima District [msW2zpIN7up]|35-49|Male</v>
      </c>
      <c r="F53" s="14">
        <f>IF(LEFT($B53,4)="_Mil","",INDEX(Cascade!$T:$T,MATCH($E53,Cascade!$E:$E,0)))</f>
        <v>1091</v>
      </c>
      <c r="G53" s="14" t="str">
        <f>IF(LEFT($B53,4)="_Mil","",INDEX(Cascade!$U:$U,MATCH($E53,Cascade!$E:$E,0)))</f>
        <v/>
      </c>
      <c r="H53" s="88">
        <f>IF(LEFT($B53,4)="_Mil","",INDEX(Cascade!$W:$W,MATCH($E53,Cascade!$E:$E,0)))</f>
        <v>1594</v>
      </c>
      <c r="I53" s="14">
        <f>IF(LEFT($B53,4)="_Mil","",INDEX(Cascade!$Z:$Z,MATCH($E53,Cascade!$E:$E,0)))</f>
        <v>1942</v>
      </c>
      <c r="J53" s="90">
        <f>IF(LEFT($B53,4)="_Mil","",INDEX(Cascade!$AA:$AA,MATCH($E53,Cascade!$E:$E,0)))</f>
        <v>1338</v>
      </c>
      <c r="K53" s="14"/>
      <c r="L53" s="14"/>
      <c r="M53" s="42" t="str">
        <f>IF(LEFT($B53,4)="_Mil","",IFERROR(1/(1/ROUND(INDEX(Spectrum!$N:$N,MATCH(RIGHT($B53,13)&amp;"|"&amp;$C53&amp;"|"&amp;$D53&amp;"|"&amp;M$14&amp;"|"&amp;"CY2023Q3",Spectrum!$R:$R,0)),0)),IF(SUM($L53)=0,"",$L53)))</f>
        <v/>
      </c>
      <c r="N53" s="42" t="str">
        <f>IF(LEFT($B53,4)="_Mil","",IFERROR(1/(1/ROUND(INDEX(Spectrum!$N:$N,MATCH(RIGHT($B53,13)&amp;"|"&amp;$C53&amp;"|"&amp;$D53&amp;"|"&amp;N$14&amp;"|"&amp;"CY2023Q3",Spectrum!$R:$R,0)),0)),IF(SUM($M53)=0,"",$M53)))</f>
        <v/>
      </c>
      <c r="O53" s="90">
        <f t="shared" si="16"/>
        <v>0</v>
      </c>
      <c r="P53" s="90">
        <f t="shared" si="17"/>
        <v>0.8</v>
      </c>
      <c r="Q53" s="42">
        <f t="shared" si="18"/>
        <v>873</v>
      </c>
      <c r="R53" s="42">
        <f t="shared" si="19"/>
        <v>873</v>
      </c>
      <c r="S53" s="90" t="str">
        <f t="shared" si="20"/>
        <v/>
      </c>
      <c r="T53" s="90" t="str">
        <f t="shared" si="21"/>
        <v/>
      </c>
      <c r="U53" s="90"/>
      <c r="V53" s="90" t="str">
        <f t="shared" si="22"/>
        <v/>
      </c>
      <c r="W53" s="90"/>
      <c r="X53" s="90" t="str">
        <f t="shared" si="23"/>
        <v/>
      </c>
      <c r="Y53" s="14" t="str">
        <f t="shared" si="24"/>
        <v>ENTER IN COL S</v>
      </c>
      <c r="Z53" s="42" t="str">
        <f t="shared" si="25"/>
        <v/>
      </c>
      <c r="AA53" s="42" t="str">
        <f t="shared" si="26"/>
        <v/>
      </c>
      <c r="AB53" s="42" t="str">
        <f t="shared" si="27"/>
        <v/>
      </c>
      <c r="AC53" s="14" t="str">
        <f>IFERROR(1/(1/INDEX(Cascade!$BH:$BH,MATCH($E53,Cascade!$E:$E,0))),"")</f>
        <v/>
      </c>
      <c r="AD53" s="14" t="str">
        <f t="shared" si="28"/>
        <v/>
      </c>
      <c r="AE53" s="14" t="str">
        <f>IFERROR(1/(1/INDEX(TB!$P:$P,MATCH($E53,TB!$E:$E,0))),"")</f>
        <v/>
      </c>
      <c r="AF53" s="14" t="str">
        <f t="shared" si="29"/>
        <v/>
      </c>
    </row>
    <row r="54" spans="1:32" x14ac:dyDescent="0.2">
      <c r="A54" t="str">
        <f>INDEX(Prioritization!$D:$D,MATCH($B54,Prioritization!$A:$A,0))</f>
        <v>INVALID</v>
      </c>
      <c r="B54" t="s">
        <v>202</v>
      </c>
      <c r="C54" t="s">
        <v>367</v>
      </c>
      <c r="D54" t="s">
        <v>47</v>
      </c>
      <c r="E54" t="str">
        <f t="shared" si="15"/>
        <v>Salima District [msW2zpIN7up]|50+|Male</v>
      </c>
      <c r="F54" s="14">
        <f>IF(LEFT($B54,4)="_Mil","",INDEX(Cascade!$T:$T,MATCH($E54,Cascade!$E:$E,0)))</f>
        <v>1967</v>
      </c>
      <c r="G54" s="14" t="str">
        <f>IF(LEFT($B54,4)="_Mil","",INDEX(Cascade!$U:$U,MATCH($E54,Cascade!$E:$E,0)))</f>
        <v/>
      </c>
      <c r="H54" s="88">
        <f>IF(LEFT($B54,4)="_Mil","",INDEX(Cascade!$W:$W,MATCH($E54,Cascade!$E:$E,0)))</f>
        <v>1609</v>
      </c>
      <c r="I54" s="14">
        <f>IF(LEFT($B54,4)="_Mil","",INDEX(Cascade!$Z:$Z,MATCH($E54,Cascade!$E:$E,0)))</f>
        <v>1636</v>
      </c>
      <c r="J54" s="90">
        <f>IF(LEFT($B54,4)="_Mil","",INDEX(Cascade!$AA:$AA,MATCH($E54,Cascade!$E:$E,0)))</f>
        <v>716</v>
      </c>
      <c r="K54" s="14"/>
      <c r="L54" s="14"/>
      <c r="M54" s="42" t="str">
        <f>IF(LEFT($B54,4)="_Mil","",IFERROR(1/(1/ROUND(INDEX(Spectrum!$N:$N,MATCH(RIGHT($B54,13)&amp;"|"&amp;$C54&amp;"|"&amp;$D54&amp;"|"&amp;M$14&amp;"|"&amp;"CY2023Q3",Spectrum!$R:$R,0)),0)),IF(SUM($L54)=0,"",$L54)))</f>
        <v/>
      </c>
      <c r="N54" s="42" t="str">
        <f>IF(LEFT($B54,4)="_Mil","",IFERROR(1/(1/ROUND(INDEX(Spectrum!$N:$N,MATCH(RIGHT($B54,13)&amp;"|"&amp;$C54&amp;"|"&amp;$D54&amp;"|"&amp;N$14&amp;"|"&amp;"CY2023Q3",Spectrum!$R:$R,0)),0)),IF(SUM($M54)=0,"",$M54)))</f>
        <v/>
      </c>
      <c r="O54" s="90">
        <f t="shared" si="16"/>
        <v>0</v>
      </c>
      <c r="P54" s="90">
        <f t="shared" si="17"/>
        <v>0.8</v>
      </c>
      <c r="Q54" s="42">
        <f t="shared" si="18"/>
        <v>1574</v>
      </c>
      <c r="R54" s="42">
        <f t="shared" si="19"/>
        <v>1574</v>
      </c>
      <c r="S54" s="90" t="str">
        <f t="shared" si="20"/>
        <v/>
      </c>
      <c r="T54" s="90" t="str">
        <f t="shared" si="21"/>
        <v/>
      </c>
      <c r="U54" s="90"/>
      <c r="V54" s="90" t="str">
        <f t="shared" si="22"/>
        <v/>
      </c>
      <c r="W54" s="90"/>
      <c r="X54" s="90" t="str">
        <f t="shared" si="23"/>
        <v/>
      </c>
      <c r="Y54" s="14" t="str">
        <f t="shared" si="24"/>
        <v>ENTER IN COL S</v>
      </c>
      <c r="Z54" s="42" t="str">
        <f t="shared" si="25"/>
        <v/>
      </c>
      <c r="AA54" s="42" t="str">
        <f t="shared" si="26"/>
        <v/>
      </c>
      <c r="AB54" s="42" t="str">
        <f t="shared" si="27"/>
        <v/>
      </c>
      <c r="AC54" s="14" t="str">
        <f>IFERROR(1/(1/INDEX(Cascade!$BH:$BH,MATCH($E54,Cascade!$E:$E,0))),"")</f>
        <v/>
      </c>
      <c r="AD54" s="14" t="str">
        <f t="shared" si="28"/>
        <v/>
      </c>
      <c r="AE54" s="14" t="str">
        <f>IFERROR(1/(1/INDEX(TB!$P:$P,MATCH($E54,TB!$E:$E,0))),"")</f>
        <v/>
      </c>
      <c r="AF54" s="14" t="str">
        <f t="shared" si="29"/>
        <v/>
      </c>
    </row>
    <row r="55" spans="1:32" x14ac:dyDescent="0.2">
      <c r="A55" t="str">
        <f>INDEX(Prioritization!$D:$D,MATCH($B55,Prioritization!$A:$A,0))</f>
        <v>1 - Scale-up: Saturation</v>
      </c>
      <c r="B55" t="s">
        <v>203</v>
      </c>
      <c r="C55" t="s">
        <v>364</v>
      </c>
      <c r="D55" t="s">
        <v>47</v>
      </c>
      <c r="E55" t="str">
        <f t="shared" si="15"/>
        <v>Chitipa District [GkIwZrXy1h2]|15-24|Male</v>
      </c>
      <c r="F55" s="14">
        <f>IF(LEFT($B55,4)="_Mil","",INDEX(Cascade!$T:$T,MATCH($E55,Cascade!$E:$E,0)))</f>
        <v>1977</v>
      </c>
      <c r="G55" s="14" t="str">
        <f>IF(LEFT($B55,4)="_Mil","",INDEX(Cascade!$U:$U,MATCH($E55,Cascade!$E:$E,0)))</f>
        <v/>
      </c>
      <c r="H55" s="88">
        <f>IF(LEFT($B55,4)="_Mil","",INDEX(Cascade!$W:$W,MATCH($E55,Cascade!$E:$E,0)))</f>
        <v>1784</v>
      </c>
      <c r="I55" s="14">
        <f>IF(LEFT($B55,4)="_Mil","",INDEX(Cascade!$Z:$Z,MATCH($E55,Cascade!$E:$E,0)))</f>
        <v>515</v>
      </c>
      <c r="J55" s="90">
        <f>IF(LEFT($B55,4)="_Mil","",INDEX(Cascade!$AA:$AA,MATCH($E55,Cascade!$E:$E,0)))</f>
        <v>690</v>
      </c>
      <c r="K55" s="14"/>
      <c r="L55" s="14"/>
      <c r="M55" s="42" t="str">
        <f>IF(LEFT($B55,4)="_Mil","",IFERROR(1/(1/ROUND(INDEX(Spectrum!$N:$N,MATCH(RIGHT($B55,13)&amp;"|"&amp;$C55&amp;"|"&amp;$D55&amp;"|"&amp;M$14&amp;"|"&amp;"CY2023Q3",Spectrum!$R:$R,0)),0)),IF(SUM($L55)=0,"",$L55)))</f>
        <v/>
      </c>
      <c r="N55" s="42" t="str">
        <f>IF(LEFT($B55,4)="_Mil","",IFERROR(1/(1/ROUND(INDEX(Spectrum!$N:$N,MATCH(RIGHT($B55,13)&amp;"|"&amp;$C55&amp;"|"&amp;$D55&amp;"|"&amp;N$14&amp;"|"&amp;"CY2023Q3",Spectrum!$R:$R,0)),0)),IF(SUM($M55)=0,"",$M55)))</f>
        <v/>
      </c>
      <c r="O55" s="90">
        <f t="shared" si="16"/>
        <v>0</v>
      </c>
      <c r="P55" s="90">
        <f t="shared" si="17"/>
        <v>0.8</v>
      </c>
      <c r="Q55" s="42">
        <f t="shared" si="18"/>
        <v>1582</v>
      </c>
      <c r="R55" s="42">
        <f t="shared" si="19"/>
        <v>1582</v>
      </c>
      <c r="S55" s="90" t="str">
        <f t="shared" si="20"/>
        <v/>
      </c>
      <c r="T55" s="90" t="str">
        <f t="shared" si="21"/>
        <v/>
      </c>
      <c r="U55" s="90"/>
      <c r="V55" s="90" t="str">
        <f t="shared" si="22"/>
        <v/>
      </c>
      <c r="W55" s="90"/>
      <c r="X55" s="90" t="str">
        <f t="shared" si="23"/>
        <v/>
      </c>
      <c r="Y55" s="14" t="str">
        <f t="shared" si="24"/>
        <v>ENTER IN COL S</v>
      </c>
      <c r="Z55" s="42" t="str">
        <f t="shared" si="25"/>
        <v/>
      </c>
      <c r="AA55" s="42" t="str">
        <f t="shared" si="26"/>
        <v/>
      </c>
      <c r="AB55" s="42" t="str">
        <f t="shared" si="27"/>
        <v/>
      </c>
      <c r="AC55" s="14" t="str">
        <f>IFERROR(1/(1/INDEX(Cascade!$BH:$BH,MATCH($E55,Cascade!$E:$E,0))),"")</f>
        <v/>
      </c>
      <c r="AD55" s="14" t="str">
        <f t="shared" si="28"/>
        <v/>
      </c>
      <c r="AE55" s="14" t="str">
        <f>IFERROR(1/(1/INDEX(TB!$P:$P,MATCH($E55,TB!$E:$E,0))),"")</f>
        <v/>
      </c>
      <c r="AF55" s="14" t="str">
        <f t="shared" si="29"/>
        <v/>
      </c>
    </row>
    <row r="56" spans="1:32" x14ac:dyDescent="0.2">
      <c r="A56" t="str">
        <f>INDEX(Prioritization!$D:$D,MATCH($B56,Prioritization!$A:$A,0))</f>
        <v>1 - Scale-up: Saturation</v>
      </c>
      <c r="B56" t="s">
        <v>203</v>
      </c>
      <c r="C56" t="s">
        <v>365</v>
      </c>
      <c r="D56" t="s">
        <v>47</v>
      </c>
      <c r="E56" t="str">
        <f t="shared" si="15"/>
        <v>Chitipa District [GkIwZrXy1h2]|25-34|Male</v>
      </c>
      <c r="F56" s="14">
        <f>IF(LEFT($B56,4)="_Mil","",INDEX(Cascade!$T:$T,MATCH($E56,Cascade!$E:$E,0)))</f>
        <v>638</v>
      </c>
      <c r="G56" s="14" t="str">
        <f>IF(LEFT($B56,4)="_Mil","",INDEX(Cascade!$U:$U,MATCH($E56,Cascade!$E:$E,0)))</f>
        <v/>
      </c>
      <c r="H56" s="88">
        <f>IF(LEFT($B56,4)="_Mil","",INDEX(Cascade!$W:$W,MATCH($E56,Cascade!$E:$E,0)))</f>
        <v>838</v>
      </c>
      <c r="I56" s="14">
        <f>IF(LEFT($B56,4)="_Mil","",INDEX(Cascade!$Z:$Z,MATCH($E56,Cascade!$E:$E,0)))</f>
        <v>1146</v>
      </c>
      <c r="J56" s="90">
        <f>IF(LEFT($B56,4)="_Mil","",INDEX(Cascade!$AA:$AA,MATCH($E56,Cascade!$E:$E,0)))</f>
        <v>647</v>
      </c>
      <c r="K56" s="14"/>
      <c r="L56" s="14"/>
      <c r="M56" s="42" t="str">
        <f>IF(LEFT($B56,4)="_Mil","",IFERROR(1/(1/ROUND(INDEX(Spectrum!$N:$N,MATCH(RIGHT($B56,13)&amp;"|"&amp;$C56&amp;"|"&amp;$D56&amp;"|"&amp;M$14&amp;"|"&amp;"CY2023Q3",Spectrum!$R:$R,0)),0)),IF(SUM($L56)=0,"",$L56)))</f>
        <v/>
      </c>
      <c r="N56" s="42" t="str">
        <f>IF(LEFT($B56,4)="_Mil","",IFERROR(1/(1/ROUND(INDEX(Spectrum!$N:$N,MATCH(RIGHT($B56,13)&amp;"|"&amp;$C56&amp;"|"&amp;$D56&amp;"|"&amp;N$14&amp;"|"&amp;"CY2023Q3",Spectrum!$R:$R,0)),0)),IF(SUM($M56)=0,"",$M56)))</f>
        <v/>
      </c>
      <c r="O56" s="90">
        <f t="shared" si="16"/>
        <v>0</v>
      </c>
      <c r="P56" s="90">
        <f t="shared" si="17"/>
        <v>0.8</v>
      </c>
      <c r="Q56" s="42">
        <f t="shared" si="18"/>
        <v>510</v>
      </c>
      <c r="R56" s="42">
        <f t="shared" si="19"/>
        <v>510</v>
      </c>
      <c r="S56" s="90" t="str">
        <f t="shared" si="20"/>
        <v/>
      </c>
      <c r="T56" s="90" t="str">
        <f t="shared" si="21"/>
        <v/>
      </c>
      <c r="U56" s="90"/>
      <c r="V56" s="90" t="str">
        <f t="shared" si="22"/>
        <v/>
      </c>
      <c r="W56" s="90"/>
      <c r="X56" s="90" t="str">
        <f t="shared" si="23"/>
        <v/>
      </c>
      <c r="Y56" s="14" t="str">
        <f t="shared" si="24"/>
        <v>ENTER IN COL S</v>
      </c>
      <c r="Z56" s="42" t="str">
        <f t="shared" si="25"/>
        <v/>
      </c>
      <c r="AA56" s="42" t="str">
        <f t="shared" si="26"/>
        <v/>
      </c>
      <c r="AB56" s="42" t="str">
        <f t="shared" si="27"/>
        <v/>
      </c>
      <c r="AC56" s="14" t="str">
        <f>IFERROR(1/(1/INDEX(Cascade!$BH:$BH,MATCH($E56,Cascade!$E:$E,0))),"")</f>
        <v/>
      </c>
      <c r="AD56" s="14" t="str">
        <f t="shared" si="28"/>
        <v/>
      </c>
      <c r="AE56" s="14" t="str">
        <f>IFERROR(1/(1/INDEX(TB!$P:$P,MATCH($E56,TB!$E:$E,0))),"")</f>
        <v/>
      </c>
      <c r="AF56" s="14" t="str">
        <f t="shared" si="29"/>
        <v/>
      </c>
    </row>
    <row r="57" spans="1:32" x14ac:dyDescent="0.2">
      <c r="A57" t="str">
        <f>INDEX(Prioritization!$D:$D,MATCH($B57,Prioritization!$A:$A,0))</f>
        <v>1 - Scale-up: Saturation</v>
      </c>
      <c r="B57" t="s">
        <v>203</v>
      </c>
      <c r="C57" t="s">
        <v>366</v>
      </c>
      <c r="D57" t="s">
        <v>47</v>
      </c>
      <c r="E57" t="str">
        <f t="shared" si="15"/>
        <v>Chitipa District [GkIwZrXy1h2]|35-49|Male</v>
      </c>
      <c r="F57" s="14">
        <f>IF(LEFT($B57,4)="_Mil","",INDEX(Cascade!$T:$T,MATCH($E57,Cascade!$E:$E,0)))</f>
        <v>687</v>
      </c>
      <c r="G57" s="14" t="str">
        <f>IF(LEFT($B57,4)="_Mil","",INDEX(Cascade!$U:$U,MATCH($E57,Cascade!$E:$E,0)))</f>
        <v/>
      </c>
      <c r="H57" s="88">
        <f>IF(LEFT($B57,4)="_Mil","",INDEX(Cascade!$W:$W,MATCH($E57,Cascade!$E:$E,0)))</f>
        <v>987</v>
      </c>
      <c r="I57" s="14">
        <f>IF(LEFT($B57,4)="_Mil","",INDEX(Cascade!$Z:$Z,MATCH($E57,Cascade!$E:$E,0)))</f>
        <v>1938</v>
      </c>
      <c r="J57" s="90">
        <f>IF(LEFT($B57,4)="_Mil","",INDEX(Cascade!$AA:$AA,MATCH($E57,Cascade!$E:$E,0)))</f>
        <v>1192</v>
      </c>
      <c r="K57" s="14"/>
      <c r="L57" s="14"/>
      <c r="M57" s="42" t="str">
        <f>IF(LEFT($B57,4)="_Mil","",IFERROR(1/(1/ROUND(INDEX(Spectrum!$N:$N,MATCH(RIGHT($B57,13)&amp;"|"&amp;$C57&amp;"|"&amp;$D57&amp;"|"&amp;M$14&amp;"|"&amp;"CY2023Q3",Spectrum!$R:$R,0)),0)),IF(SUM($L57)=0,"",$L57)))</f>
        <v/>
      </c>
      <c r="N57" s="42" t="str">
        <f>IF(LEFT($B57,4)="_Mil","",IFERROR(1/(1/ROUND(INDEX(Spectrum!$N:$N,MATCH(RIGHT($B57,13)&amp;"|"&amp;$C57&amp;"|"&amp;$D57&amp;"|"&amp;N$14&amp;"|"&amp;"CY2023Q3",Spectrum!$R:$R,0)),0)),IF(SUM($M57)=0,"",$M57)))</f>
        <v/>
      </c>
      <c r="O57" s="90">
        <f t="shared" si="16"/>
        <v>0</v>
      </c>
      <c r="P57" s="90">
        <f t="shared" si="17"/>
        <v>0.8</v>
      </c>
      <c r="Q57" s="42">
        <f t="shared" si="18"/>
        <v>550</v>
      </c>
      <c r="R57" s="42">
        <f t="shared" si="19"/>
        <v>550</v>
      </c>
      <c r="S57" s="90" t="str">
        <f t="shared" si="20"/>
        <v/>
      </c>
      <c r="T57" s="90" t="str">
        <f t="shared" si="21"/>
        <v/>
      </c>
      <c r="U57" s="90"/>
      <c r="V57" s="90" t="str">
        <f t="shared" si="22"/>
        <v/>
      </c>
      <c r="W57" s="90"/>
      <c r="X57" s="90" t="str">
        <f t="shared" si="23"/>
        <v/>
      </c>
      <c r="Y57" s="14" t="str">
        <f t="shared" si="24"/>
        <v>ENTER IN COL S</v>
      </c>
      <c r="Z57" s="42" t="str">
        <f t="shared" si="25"/>
        <v/>
      </c>
      <c r="AA57" s="42" t="str">
        <f t="shared" si="26"/>
        <v/>
      </c>
      <c r="AB57" s="42" t="str">
        <f t="shared" si="27"/>
        <v/>
      </c>
      <c r="AC57" s="14" t="str">
        <f>IFERROR(1/(1/INDEX(Cascade!$BH:$BH,MATCH($E57,Cascade!$E:$E,0))),"")</f>
        <v/>
      </c>
      <c r="AD57" s="14" t="str">
        <f t="shared" si="28"/>
        <v/>
      </c>
      <c r="AE57" s="14" t="str">
        <f>IFERROR(1/(1/INDEX(TB!$P:$P,MATCH($E57,TB!$E:$E,0))),"")</f>
        <v/>
      </c>
      <c r="AF57" s="14" t="str">
        <f t="shared" si="29"/>
        <v/>
      </c>
    </row>
    <row r="58" spans="1:32" x14ac:dyDescent="0.2">
      <c r="A58" t="str">
        <f>INDEX(Prioritization!$D:$D,MATCH($B58,Prioritization!$A:$A,0))</f>
        <v>1 - Scale-up: Saturation</v>
      </c>
      <c r="B58" t="s">
        <v>203</v>
      </c>
      <c r="C58" t="s">
        <v>367</v>
      </c>
      <c r="D58" t="s">
        <v>47</v>
      </c>
      <c r="E58" t="str">
        <f t="shared" si="15"/>
        <v>Chitipa District [GkIwZrXy1h2]|50+|Male</v>
      </c>
      <c r="F58" s="14">
        <f>IF(LEFT($B58,4)="_Mil","",INDEX(Cascade!$T:$T,MATCH($E58,Cascade!$E:$E,0)))</f>
        <v>696</v>
      </c>
      <c r="G58" s="14" t="str">
        <f>IF(LEFT($B58,4)="_Mil","",INDEX(Cascade!$U:$U,MATCH($E58,Cascade!$E:$E,0)))</f>
        <v/>
      </c>
      <c r="H58" s="88">
        <f>IF(LEFT($B58,4)="_Mil","",INDEX(Cascade!$W:$W,MATCH($E58,Cascade!$E:$E,0)))</f>
        <v>1130</v>
      </c>
      <c r="I58" s="14">
        <f>IF(LEFT($B58,4)="_Mil","",INDEX(Cascade!$Z:$Z,MATCH($E58,Cascade!$E:$E,0)))</f>
        <v>1126</v>
      </c>
      <c r="J58" s="90">
        <f>IF(LEFT($B58,4)="_Mil","",INDEX(Cascade!$AA:$AA,MATCH($E58,Cascade!$E:$E,0)))</f>
        <v>1815.9999999999998</v>
      </c>
      <c r="K58" s="14"/>
      <c r="L58" s="14"/>
      <c r="M58" s="42" t="str">
        <f>IF(LEFT($B58,4)="_Mil","",IFERROR(1/(1/ROUND(INDEX(Spectrum!$N:$N,MATCH(RIGHT($B58,13)&amp;"|"&amp;$C58&amp;"|"&amp;$D58&amp;"|"&amp;M$14&amp;"|"&amp;"CY2023Q3",Spectrum!$R:$R,0)),0)),IF(SUM($L58)=0,"",$L58)))</f>
        <v/>
      </c>
      <c r="N58" s="42" t="str">
        <f>IF(LEFT($B58,4)="_Mil","",IFERROR(1/(1/ROUND(INDEX(Spectrum!$N:$N,MATCH(RIGHT($B58,13)&amp;"|"&amp;$C58&amp;"|"&amp;$D58&amp;"|"&amp;N$14&amp;"|"&amp;"CY2023Q3",Spectrum!$R:$R,0)),0)),IF(SUM($M58)=0,"",$M58)))</f>
        <v/>
      </c>
      <c r="O58" s="90">
        <f t="shared" si="16"/>
        <v>0</v>
      </c>
      <c r="P58" s="90">
        <f t="shared" si="17"/>
        <v>0.8</v>
      </c>
      <c r="Q58" s="42">
        <f t="shared" si="18"/>
        <v>557</v>
      </c>
      <c r="R58" s="42">
        <f t="shared" si="19"/>
        <v>557</v>
      </c>
      <c r="S58" s="90" t="str">
        <f t="shared" si="20"/>
        <v/>
      </c>
      <c r="T58" s="90" t="str">
        <f t="shared" si="21"/>
        <v/>
      </c>
      <c r="U58" s="90"/>
      <c r="V58" s="90" t="str">
        <f t="shared" si="22"/>
        <v/>
      </c>
      <c r="W58" s="90"/>
      <c r="X58" s="90" t="str">
        <f t="shared" si="23"/>
        <v/>
      </c>
      <c r="Y58" s="14" t="str">
        <f t="shared" si="24"/>
        <v>ENTER IN COL S</v>
      </c>
      <c r="Z58" s="42" t="str">
        <f t="shared" si="25"/>
        <v/>
      </c>
      <c r="AA58" s="42" t="str">
        <f t="shared" si="26"/>
        <v/>
      </c>
      <c r="AB58" s="42" t="str">
        <f t="shared" si="27"/>
        <v/>
      </c>
      <c r="AC58" s="14" t="str">
        <f>IFERROR(1/(1/INDEX(Cascade!$BH:$BH,MATCH($E58,Cascade!$E:$E,0))),"")</f>
        <v/>
      </c>
      <c r="AD58" s="14" t="str">
        <f t="shared" si="28"/>
        <v/>
      </c>
      <c r="AE58" s="14" t="str">
        <f>IFERROR(1/(1/INDEX(TB!$P:$P,MATCH($E58,TB!$E:$E,0))),"")</f>
        <v/>
      </c>
      <c r="AF58" s="14" t="str">
        <f t="shared" si="29"/>
        <v/>
      </c>
    </row>
    <row r="59" spans="1:32" x14ac:dyDescent="0.2">
      <c r="A59" t="str">
        <f>INDEX(Prioritization!$D:$D,MATCH($B59,Prioritization!$A:$A,0))</f>
        <v>INVALID</v>
      </c>
      <c r="B59" t="s">
        <v>204</v>
      </c>
      <c r="C59" t="s">
        <v>364</v>
      </c>
      <c r="D59" t="s">
        <v>47</v>
      </c>
      <c r="E59" t="str">
        <f t="shared" si="15"/>
        <v>Karonga District [cPtvxaZqXIH]|15-24|Male</v>
      </c>
      <c r="F59" s="14">
        <f>IF(LEFT($B59,4)="_Mil","",INDEX(Cascade!$T:$T,MATCH($E59,Cascade!$E:$E,0)))</f>
        <v>1477</v>
      </c>
      <c r="G59" s="14" t="str">
        <f>IF(LEFT($B59,4)="_Mil","",INDEX(Cascade!$U:$U,MATCH($E59,Cascade!$E:$E,0)))</f>
        <v/>
      </c>
      <c r="H59" s="88">
        <f>IF(LEFT($B59,4)="_Mil","",INDEX(Cascade!$W:$W,MATCH($E59,Cascade!$E:$E,0)))</f>
        <v>803</v>
      </c>
      <c r="I59" s="14">
        <f>IF(LEFT($B59,4)="_Mil","",INDEX(Cascade!$Z:$Z,MATCH($E59,Cascade!$E:$E,0)))</f>
        <v>1129</v>
      </c>
      <c r="J59" s="90">
        <f>IF(LEFT($B59,4)="_Mil","",INDEX(Cascade!$AA:$AA,MATCH($E59,Cascade!$E:$E,0)))</f>
        <v>569</v>
      </c>
      <c r="K59" s="14"/>
      <c r="L59" s="14"/>
      <c r="M59" s="42" t="str">
        <f>IF(LEFT($B59,4)="_Mil","",IFERROR(1/(1/ROUND(INDEX(Spectrum!$N:$N,MATCH(RIGHT($B59,13)&amp;"|"&amp;$C59&amp;"|"&amp;$D59&amp;"|"&amp;M$14&amp;"|"&amp;"CY2023Q3",Spectrum!$R:$R,0)),0)),IF(SUM($L59)=0,"",$L59)))</f>
        <v/>
      </c>
      <c r="N59" s="42" t="str">
        <f>IF(LEFT($B59,4)="_Mil","",IFERROR(1/(1/ROUND(INDEX(Spectrum!$N:$N,MATCH(RIGHT($B59,13)&amp;"|"&amp;$C59&amp;"|"&amp;$D59&amp;"|"&amp;N$14&amp;"|"&amp;"CY2023Q3",Spectrum!$R:$R,0)),0)),IF(SUM($M59)=0,"",$M59)))</f>
        <v/>
      </c>
      <c r="O59" s="90">
        <f t="shared" si="16"/>
        <v>0</v>
      </c>
      <c r="P59" s="90">
        <f t="shared" si="17"/>
        <v>0.8</v>
      </c>
      <c r="Q59" s="42">
        <f t="shared" si="18"/>
        <v>1182</v>
      </c>
      <c r="R59" s="42">
        <f t="shared" si="19"/>
        <v>1182</v>
      </c>
      <c r="S59" s="90" t="str">
        <f t="shared" si="20"/>
        <v/>
      </c>
      <c r="T59" s="90" t="str">
        <f t="shared" si="21"/>
        <v/>
      </c>
      <c r="U59" s="90"/>
      <c r="V59" s="90" t="str">
        <f t="shared" si="22"/>
        <v/>
      </c>
      <c r="W59" s="90"/>
      <c r="X59" s="90" t="str">
        <f t="shared" si="23"/>
        <v/>
      </c>
      <c r="Y59" s="14" t="str">
        <f t="shared" si="24"/>
        <v>ENTER IN COL S</v>
      </c>
      <c r="Z59" s="42" t="str">
        <f t="shared" si="25"/>
        <v/>
      </c>
      <c r="AA59" s="42" t="str">
        <f t="shared" si="26"/>
        <v/>
      </c>
      <c r="AB59" s="42" t="str">
        <f t="shared" si="27"/>
        <v/>
      </c>
      <c r="AC59" s="14" t="str">
        <f>IFERROR(1/(1/INDEX(Cascade!$BH:$BH,MATCH($E59,Cascade!$E:$E,0))),"")</f>
        <v/>
      </c>
      <c r="AD59" s="14" t="str">
        <f t="shared" si="28"/>
        <v/>
      </c>
      <c r="AE59" s="14" t="str">
        <f>IFERROR(1/(1/INDEX(TB!$P:$P,MATCH($E59,TB!$E:$E,0))),"")</f>
        <v/>
      </c>
      <c r="AF59" s="14" t="str">
        <f t="shared" si="29"/>
        <v/>
      </c>
    </row>
    <row r="60" spans="1:32" x14ac:dyDescent="0.2">
      <c r="A60" t="str">
        <f>INDEX(Prioritization!$D:$D,MATCH($B60,Prioritization!$A:$A,0))</f>
        <v>INVALID</v>
      </c>
      <c r="B60" t="s">
        <v>204</v>
      </c>
      <c r="C60" t="s">
        <v>365</v>
      </c>
      <c r="D60" t="s">
        <v>47</v>
      </c>
      <c r="E60" t="str">
        <f t="shared" si="15"/>
        <v>Karonga District [cPtvxaZqXIH]|25-34|Male</v>
      </c>
      <c r="F60" s="14">
        <f>IF(LEFT($B60,4)="_Mil","",INDEX(Cascade!$T:$T,MATCH($E60,Cascade!$E:$E,0)))</f>
        <v>896</v>
      </c>
      <c r="G60" s="14" t="str">
        <f>IF(LEFT($B60,4)="_Mil","",INDEX(Cascade!$U:$U,MATCH($E60,Cascade!$E:$E,0)))</f>
        <v/>
      </c>
      <c r="H60" s="88">
        <f>IF(LEFT($B60,4)="_Mil","",INDEX(Cascade!$W:$W,MATCH($E60,Cascade!$E:$E,0)))</f>
        <v>660</v>
      </c>
      <c r="I60" s="14">
        <f>IF(LEFT($B60,4)="_Mil","",INDEX(Cascade!$Z:$Z,MATCH($E60,Cascade!$E:$E,0)))</f>
        <v>1639</v>
      </c>
      <c r="J60" s="90">
        <f>IF(LEFT($B60,4)="_Mil","",INDEX(Cascade!$AA:$AA,MATCH($E60,Cascade!$E:$E,0)))</f>
        <v>751</v>
      </c>
      <c r="K60" s="14"/>
      <c r="L60" s="14"/>
      <c r="M60" s="42" t="str">
        <f>IF(LEFT($B60,4)="_Mil","",IFERROR(1/(1/ROUND(INDEX(Spectrum!$N:$N,MATCH(RIGHT($B60,13)&amp;"|"&amp;$C60&amp;"|"&amp;$D60&amp;"|"&amp;M$14&amp;"|"&amp;"CY2023Q3",Spectrum!$R:$R,0)),0)),IF(SUM($L60)=0,"",$L60)))</f>
        <v/>
      </c>
      <c r="N60" s="42" t="str">
        <f>IF(LEFT($B60,4)="_Mil","",IFERROR(1/(1/ROUND(INDEX(Spectrum!$N:$N,MATCH(RIGHT($B60,13)&amp;"|"&amp;$C60&amp;"|"&amp;$D60&amp;"|"&amp;N$14&amp;"|"&amp;"CY2023Q3",Spectrum!$R:$R,0)),0)),IF(SUM($M60)=0,"",$M60)))</f>
        <v/>
      </c>
      <c r="O60" s="90">
        <f t="shared" si="16"/>
        <v>0</v>
      </c>
      <c r="P60" s="90">
        <f t="shared" si="17"/>
        <v>0.8</v>
      </c>
      <c r="Q60" s="42">
        <f t="shared" si="18"/>
        <v>717</v>
      </c>
      <c r="R60" s="42">
        <f t="shared" si="19"/>
        <v>717</v>
      </c>
      <c r="S60" s="90" t="str">
        <f t="shared" si="20"/>
        <v/>
      </c>
      <c r="T60" s="90" t="str">
        <f t="shared" si="21"/>
        <v/>
      </c>
      <c r="U60" s="90"/>
      <c r="V60" s="90" t="str">
        <f t="shared" si="22"/>
        <v/>
      </c>
      <c r="W60" s="90"/>
      <c r="X60" s="90" t="str">
        <f t="shared" si="23"/>
        <v/>
      </c>
      <c r="Y60" s="14" t="str">
        <f t="shared" si="24"/>
        <v>ENTER IN COL S</v>
      </c>
      <c r="Z60" s="42" t="str">
        <f t="shared" si="25"/>
        <v/>
      </c>
      <c r="AA60" s="42" t="str">
        <f t="shared" si="26"/>
        <v/>
      </c>
      <c r="AB60" s="42" t="str">
        <f t="shared" si="27"/>
        <v/>
      </c>
      <c r="AC60" s="14" t="str">
        <f>IFERROR(1/(1/INDEX(Cascade!$BH:$BH,MATCH($E60,Cascade!$E:$E,0))),"")</f>
        <v/>
      </c>
      <c r="AD60" s="14" t="str">
        <f t="shared" si="28"/>
        <v/>
      </c>
      <c r="AE60" s="14" t="str">
        <f>IFERROR(1/(1/INDEX(TB!$P:$P,MATCH($E60,TB!$E:$E,0))),"")</f>
        <v/>
      </c>
      <c r="AF60" s="14" t="str">
        <f t="shared" si="29"/>
        <v/>
      </c>
    </row>
    <row r="61" spans="1:32" x14ac:dyDescent="0.2">
      <c r="A61" t="str">
        <f>INDEX(Prioritization!$D:$D,MATCH($B61,Prioritization!$A:$A,0))</f>
        <v>INVALID</v>
      </c>
      <c r="B61" t="s">
        <v>204</v>
      </c>
      <c r="C61" t="s">
        <v>366</v>
      </c>
      <c r="D61" t="s">
        <v>47</v>
      </c>
      <c r="E61" t="str">
        <f t="shared" si="15"/>
        <v>Karonga District [cPtvxaZqXIH]|35-49|Male</v>
      </c>
      <c r="F61" s="14">
        <f>IF(LEFT($B61,4)="_Mil","",INDEX(Cascade!$T:$T,MATCH($E61,Cascade!$E:$E,0)))</f>
        <v>1038</v>
      </c>
      <c r="G61" s="14" t="str">
        <f>IF(LEFT($B61,4)="_Mil","",INDEX(Cascade!$U:$U,MATCH($E61,Cascade!$E:$E,0)))</f>
        <v/>
      </c>
      <c r="H61" s="88">
        <f>IF(LEFT($B61,4)="_Mil","",INDEX(Cascade!$W:$W,MATCH($E61,Cascade!$E:$E,0)))</f>
        <v>1738</v>
      </c>
      <c r="I61" s="14">
        <f>IF(LEFT($B61,4)="_Mil","",INDEX(Cascade!$Z:$Z,MATCH($E61,Cascade!$E:$E,0)))</f>
        <v>1607</v>
      </c>
      <c r="J61" s="90">
        <f>IF(LEFT($B61,4)="_Mil","",INDEX(Cascade!$AA:$AA,MATCH($E61,Cascade!$E:$E,0)))</f>
        <v>771</v>
      </c>
      <c r="K61" s="14"/>
      <c r="L61" s="14"/>
      <c r="M61" s="42" t="str">
        <f>IF(LEFT($B61,4)="_Mil","",IFERROR(1/(1/ROUND(INDEX(Spectrum!$N:$N,MATCH(RIGHT($B61,13)&amp;"|"&amp;$C61&amp;"|"&amp;$D61&amp;"|"&amp;M$14&amp;"|"&amp;"CY2023Q3",Spectrum!$R:$R,0)),0)),IF(SUM($L61)=0,"",$L61)))</f>
        <v/>
      </c>
      <c r="N61" s="42" t="str">
        <f>IF(LEFT($B61,4)="_Mil","",IFERROR(1/(1/ROUND(INDEX(Spectrum!$N:$N,MATCH(RIGHT($B61,13)&amp;"|"&amp;$C61&amp;"|"&amp;$D61&amp;"|"&amp;N$14&amp;"|"&amp;"CY2023Q3",Spectrum!$R:$R,0)),0)),IF(SUM($M61)=0,"",$M61)))</f>
        <v/>
      </c>
      <c r="O61" s="90">
        <f t="shared" si="16"/>
        <v>0</v>
      </c>
      <c r="P61" s="90">
        <f t="shared" si="17"/>
        <v>0.8</v>
      </c>
      <c r="Q61" s="42">
        <f t="shared" si="18"/>
        <v>830</v>
      </c>
      <c r="R61" s="42">
        <f t="shared" si="19"/>
        <v>830</v>
      </c>
      <c r="S61" s="90" t="str">
        <f t="shared" si="20"/>
        <v/>
      </c>
      <c r="T61" s="90" t="str">
        <f t="shared" si="21"/>
        <v/>
      </c>
      <c r="U61" s="90"/>
      <c r="V61" s="90" t="str">
        <f t="shared" si="22"/>
        <v/>
      </c>
      <c r="W61" s="90"/>
      <c r="X61" s="90" t="str">
        <f t="shared" si="23"/>
        <v/>
      </c>
      <c r="Y61" s="14" t="str">
        <f t="shared" si="24"/>
        <v>ENTER IN COL S</v>
      </c>
      <c r="Z61" s="42" t="str">
        <f t="shared" si="25"/>
        <v/>
      </c>
      <c r="AA61" s="42" t="str">
        <f t="shared" si="26"/>
        <v/>
      </c>
      <c r="AB61" s="42" t="str">
        <f t="shared" si="27"/>
        <v/>
      </c>
      <c r="AC61" s="14" t="str">
        <f>IFERROR(1/(1/INDEX(Cascade!$BH:$BH,MATCH($E61,Cascade!$E:$E,0))),"")</f>
        <v/>
      </c>
      <c r="AD61" s="14" t="str">
        <f t="shared" si="28"/>
        <v/>
      </c>
      <c r="AE61" s="14" t="str">
        <f>IFERROR(1/(1/INDEX(TB!$P:$P,MATCH($E61,TB!$E:$E,0))),"")</f>
        <v/>
      </c>
      <c r="AF61" s="14" t="str">
        <f t="shared" si="29"/>
        <v/>
      </c>
    </row>
    <row r="62" spans="1:32" x14ac:dyDescent="0.2">
      <c r="A62" t="str">
        <f>INDEX(Prioritization!$D:$D,MATCH($B62,Prioritization!$A:$A,0))</f>
        <v>INVALID</v>
      </c>
      <c r="B62" t="s">
        <v>204</v>
      </c>
      <c r="C62" t="s">
        <v>367</v>
      </c>
      <c r="D62" t="s">
        <v>47</v>
      </c>
      <c r="E62" t="str">
        <f t="shared" si="15"/>
        <v>Karonga District [cPtvxaZqXIH]|50+|Male</v>
      </c>
      <c r="F62" s="14">
        <f>IF(LEFT($B62,4)="_Mil","",INDEX(Cascade!$T:$T,MATCH($E62,Cascade!$E:$E,0)))</f>
        <v>891</v>
      </c>
      <c r="G62" s="14" t="str">
        <f>IF(LEFT($B62,4)="_Mil","",INDEX(Cascade!$U:$U,MATCH($E62,Cascade!$E:$E,0)))</f>
        <v/>
      </c>
      <c r="H62" s="88">
        <f>IF(LEFT($B62,4)="_Mil","",INDEX(Cascade!$W:$W,MATCH($E62,Cascade!$E:$E,0)))</f>
        <v>1344</v>
      </c>
      <c r="I62" s="14">
        <f>IF(LEFT($B62,4)="_Mil","",INDEX(Cascade!$Z:$Z,MATCH($E62,Cascade!$E:$E,0)))</f>
        <v>1025</v>
      </c>
      <c r="J62" s="90">
        <f>IF(LEFT($B62,4)="_Mil","",INDEX(Cascade!$AA:$AA,MATCH($E62,Cascade!$E:$E,0)))</f>
        <v>1897</v>
      </c>
      <c r="K62" s="14"/>
      <c r="L62" s="14"/>
      <c r="M62" s="42" t="str">
        <f>IF(LEFT($B62,4)="_Mil","",IFERROR(1/(1/ROUND(INDEX(Spectrum!$N:$N,MATCH(RIGHT($B62,13)&amp;"|"&amp;$C62&amp;"|"&amp;$D62&amp;"|"&amp;M$14&amp;"|"&amp;"CY2023Q3",Spectrum!$R:$R,0)),0)),IF(SUM($L62)=0,"",$L62)))</f>
        <v/>
      </c>
      <c r="N62" s="42" t="str">
        <f>IF(LEFT($B62,4)="_Mil","",IFERROR(1/(1/ROUND(INDEX(Spectrum!$N:$N,MATCH(RIGHT($B62,13)&amp;"|"&amp;$C62&amp;"|"&amp;$D62&amp;"|"&amp;N$14&amp;"|"&amp;"CY2023Q3",Spectrum!$R:$R,0)),0)),IF(SUM($M62)=0,"",$M62)))</f>
        <v/>
      </c>
      <c r="O62" s="90">
        <f t="shared" si="16"/>
        <v>0</v>
      </c>
      <c r="P62" s="90">
        <f t="shared" si="17"/>
        <v>0.8</v>
      </c>
      <c r="Q62" s="42">
        <f t="shared" si="18"/>
        <v>713</v>
      </c>
      <c r="R62" s="42">
        <f t="shared" si="19"/>
        <v>713</v>
      </c>
      <c r="S62" s="90" t="str">
        <f t="shared" si="20"/>
        <v/>
      </c>
      <c r="T62" s="90" t="str">
        <f t="shared" si="21"/>
        <v/>
      </c>
      <c r="U62" s="90"/>
      <c r="V62" s="90" t="str">
        <f t="shared" si="22"/>
        <v/>
      </c>
      <c r="W62" s="90"/>
      <c r="X62" s="90" t="str">
        <f t="shared" si="23"/>
        <v/>
      </c>
      <c r="Y62" s="14" t="str">
        <f t="shared" si="24"/>
        <v>ENTER IN COL S</v>
      </c>
      <c r="Z62" s="42" t="str">
        <f t="shared" si="25"/>
        <v/>
      </c>
      <c r="AA62" s="42" t="str">
        <f t="shared" si="26"/>
        <v/>
      </c>
      <c r="AB62" s="42" t="str">
        <f t="shared" si="27"/>
        <v/>
      </c>
      <c r="AC62" s="14" t="str">
        <f>IFERROR(1/(1/INDEX(Cascade!$BH:$BH,MATCH($E62,Cascade!$E:$E,0))),"")</f>
        <v/>
      </c>
      <c r="AD62" s="14" t="str">
        <f t="shared" si="28"/>
        <v/>
      </c>
      <c r="AE62" s="14" t="str">
        <f>IFERROR(1/(1/INDEX(TB!$P:$P,MATCH($E62,TB!$E:$E,0))),"")</f>
        <v/>
      </c>
      <c r="AF62" s="14" t="str">
        <f t="shared" si="29"/>
        <v/>
      </c>
    </row>
    <row r="63" spans="1:32" x14ac:dyDescent="0.2">
      <c r="A63" t="str">
        <f>INDEX(Prioritization!$D:$D,MATCH($B63,Prioritization!$A:$A,0))</f>
        <v>INVALID</v>
      </c>
      <c r="B63" t="s">
        <v>205</v>
      </c>
      <c r="C63" t="s">
        <v>364</v>
      </c>
      <c r="D63" t="s">
        <v>47</v>
      </c>
      <c r="E63" t="str">
        <f t="shared" si="15"/>
        <v>Likoma District [ZCjuwgaMB9u]|15-24|Male</v>
      </c>
      <c r="F63" s="14">
        <f>IF(LEFT($B63,4)="_Mil","",INDEX(Cascade!$T:$T,MATCH($E63,Cascade!$E:$E,0)))</f>
        <v>1645</v>
      </c>
      <c r="G63" s="14" t="str">
        <f>IF(LEFT($B63,4)="_Mil","",INDEX(Cascade!$U:$U,MATCH($E63,Cascade!$E:$E,0)))</f>
        <v/>
      </c>
      <c r="H63" s="88">
        <f>IF(LEFT($B63,4)="_Mil","",INDEX(Cascade!$W:$W,MATCH($E63,Cascade!$E:$E,0)))</f>
        <v>1915</v>
      </c>
      <c r="I63" s="14">
        <f>IF(LEFT($B63,4)="_Mil","",INDEX(Cascade!$Z:$Z,MATCH($E63,Cascade!$E:$E,0)))</f>
        <v>1609</v>
      </c>
      <c r="J63" s="90">
        <f>IF(LEFT($B63,4)="_Mil","",INDEX(Cascade!$AA:$AA,MATCH($E63,Cascade!$E:$E,0)))</f>
        <v>1116</v>
      </c>
      <c r="K63" s="14"/>
      <c r="L63" s="14"/>
      <c r="M63" s="42" t="str">
        <f>IF(LEFT($B63,4)="_Mil","",IFERROR(1/(1/ROUND(INDEX(Spectrum!$N:$N,MATCH(RIGHT($B63,13)&amp;"|"&amp;$C63&amp;"|"&amp;$D63&amp;"|"&amp;M$14&amp;"|"&amp;"CY2023Q3",Spectrum!$R:$R,0)),0)),IF(SUM($L63)=0,"",$L63)))</f>
        <v/>
      </c>
      <c r="N63" s="42" t="str">
        <f>IF(LEFT($B63,4)="_Mil","",IFERROR(1/(1/ROUND(INDEX(Spectrum!$N:$N,MATCH(RIGHT($B63,13)&amp;"|"&amp;$C63&amp;"|"&amp;$D63&amp;"|"&amp;N$14&amp;"|"&amp;"CY2023Q3",Spectrum!$R:$R,0)),0)),IF(SUM($M63)=0,"",$M63)))</f>
        <v/>
      </c>
      <c r="O63" s="90">
        <f t="shared" si="16"/>
        <v>0</v>
      </c>
      <c r="P63" s="90">
        <f t="shared" si="17"/>
        <v>0.8</v>
      </c>
      <c r="Q63" s="42">
        <f t="shared" si="18"/>
        <v>1316</v>
      </c>
      <c r="R63" s="42">
        <f t="shared" si="19"/>
        <v>1316</v>
      </c>
      <c r="S63" s="90" t="str">
        <f t="shared" si="20"/>
        <v/>
      </c>
      <c r="T63" s="90" t="str">
        <f t="shared" si="21"/>
        <v/>
      </c>
      <c r="U63" s="90"/>
      <c r="V63" s="90" t="str">
        <f t="shared" si="22"/>
        <v/>
      </c>
      <c r="W63" s="90"/>
      <c r="X63" s="90" t="str">
        <f t="shared" si="23"/>
        <v/>
      </c>
      <c r="Y63" s="14" t="str">
        <f t="shared" si="24"/>
        <v>ENTER IN COL S</v>
      </c>
      <c r="Z63" s="42" t="str">
        <f t="shared" si="25"/>
        <v/>
      </c>
      <c r="AA63" s="42" t="str">
        <f t="shared" si="26"/>
        <v/>
      </c>
      <c r="AB63" s="42" t="str">
        <f t="shared" si="27"/>
        <v/>
      </c>
      <c r="AC63" s="14" t="str">
        <f>IFERROR(1/(1/INDEX(Cascade!$BH:$BH,MATCH($E63,Cascade!$E:$E,0))),"")</f>
        <v/>
      </c>
      <c r="AD63" s="14" t="str">
        <f t="shared" si="28"/>
        <v/>
      </c>
      <c r="AE63" s="14" t="str">
        <f>IFERROR(1/(1/INDEX(TB!$P:$P,MATCH($E63,TB!$E:$E,0))),"")</f>
        <v/>
      </c>
      <c r="AF63" s="14" t="str">
        <f t="shared" si="29"/>
        <v/>
      </c>
    </row>
    <row r="64" spans="1:32" x14ac:dyDescent="0.2">
      <c r="A64" t="str">
        <f>INDEX(Prioritization!$D:$D,MATCH($B64,Prioritization!$A:$A,0))</f>
        <v>INVALID</v>
      </c>
      <c r="B64" t="s">
        <v>205</v>
      </c>
      <c r="C64" t="s">
        <v>365</v>
      </c>
      <c r="D64" t="s">
        <v>47</v>
      </c>
      <c r="E64" t="str">
        <f t="shared" si="15"/>
        <v>Likoma District [ZCjuwgaMB9u]|25-34|Male</v>
      </c>
      <c r="F64" s="14">
        <f>IF(LEFT($B64,4)="_Mil","",INDEX(Cascade!$T:$T,MATCH($E64,Cascade!$E:$E,0)))</f>
        <v>506</v>
      </c>
      <c r="G64" s="14" t="str">
        <f>IF(LEFT($B64,4)="_Mil","",INDEX(Cascade!$U:$U,MATCH($E64,Cascade!$E:$E,0)))</f>
        <v/>
      </c>
      <c r="H64" s="88">
        <f>IF(LEFT($B64,4)="_Mil","",INDEX(Cascade!$W:$W,MATCH($E64,Cascade!$E:$E,0)))</f>
        <v>1075</v>
      </c>
      <c r="I64" s="14">
        <f>IF(LEFT($B64,4)="_Mil","",INDEX(Cascade!$Z:$Z,MATCH($E64,Cascade!$E:$E,0)))</f>
        <v>786</v>
      </c>
      <c r="J64" s="90">
        <f>IF(LEFT($B64,4)="_Mil","",INDEX(Cascade!$AA:$AA,MATCH($E64,Cascade!$E:$E,0)))</f>
        <v>1520</v>
      </c>
      <c r="K64" s="14"/>
      <c r="L64" s="14"/>
      <c r="M64" s="42" t="str">
        <f>IF(LEFT($B64,4)="_Mil","",IFERROR(1/(1/ROUND(INDEX(Spectrum!$N:$N,MATCH(RIGHT($B64,13)&amp;"|"&amp;$C64&amp;"|"&amp;$D64&amp;"|"&amp;M$14&amp;"|"&amp;"CY2023Q3",Spectrum!$R:$R,0)),0)),IF(SUM($L64)=0,"",$L64)))</f>
        <v/>
      </c>
      <c r="N64" s="42" t="str">
        <f>IF(LEFT($B64,4)="_Mil","",IFERROR(1/(1/ROUND(INDEX(Spectrum!$N:$N,MATCH(RIGHT($B64,13)&amp;"|"&amp;$C64&amp;"|"&amp;$D64&amp;"|"&amp;N$14&amp;"|"&amp;"CY2023Q3",Spectrum!$R:$R,0)),0)),IF(SUM($M64)=0,"",$M64)))</f>
        <v/>
      </c>
      <c r="O64" s="90">
        <f t="shared" si="16"/>
        <v>0</v>
      </c>
      <c r="P64" s="90">
        <f t="shared" si="17"/>
        <v>0.8</v>
      </c>
      <c r="Q64" s="42">
        <f t="shared" si="18"/>
        <v>405</v>
      </c>
      <c r="R64" s="42">
        <f t="shared" si="19"/>
        <v>405</v>
      </c>
      <c r="S64" s="90" t="str">
        <f t="shared" si="20"/>
        <v/>
      </c>
      <c r="T64" s="90" t="str">
        <f t="shared" si="21"/>
        <v/>
      </c>
      <c r="U64" s="90"/>
      <c r="V64" s="90" t="str">
        <f t="shared" si="22"/>
        <v/>
      </c>
      <c r="W64" s="90"/>
      <c r="X64" s="90" t="str">
        <f t="shared" si="23"/>
        <v/>
      </c>
      <c r="Y64" s="14" t="str">
        <f t="shared" si="24"/>
        <v>ENTER IN COL S</v>
      </c>
      <c r="Z64" s="42" t="str">
        <f t="shared" si="25"/>
        <v/>
      </c>
      <c r="AA64" s="42" t="str">
        <f t="shared" si="26"/>
        <v/>
      </c>
      <c r="AB64" s="42" t="str">
        <f t="shared" si="27"/>
        <v/>
      </c>
      <c r="AC64" s="14" t="str">
        <f>IFERROR(1/(1/INDEX(Cascade!$BH:$BH,MATCH($E64,Cascade!$E:$E,0))),"")</f>
        <v/>
      </c>
      <c r="AD64" s="14" t="str">
        <f t="shared" si="28"/>
        <v/>
      </c>
      <c r="AE64" s="14" t="str">
        <f>IFERROR(1/(1/INDEX(TB!$P:$P,MATCH($E64,TB!$E:$E,0))),"")</f>
        <v/>
      </c>
      <c r="AF64" s="14" t="str">
        <f t="shared" si="29"/>
        <v/>
      </c>
    </row>
    <row r="65" spans="1:32" x14ac:dyDescent="0.2">
      <c r="A65" t="str">
        <f>INDEX(Prioritization!$D:$D,MATCH($B65,Prioritization!$A:$A,0))</f>
        <v>INVALID</v>
      </c>
      <c r="B65" t="s">
        <v>205</v>
      </c>
      <c r="C65" t="s">
        <v>366</v>
      </c>
      <c r="D65" t="s">
        <v>47</v>
      </c>
      <c r="E65" t="str">
        <f t="shared" si="15"/>
        <v>Likoma District [ZCjuwgaMB9u]|35-49|Male</v>
      </c>
      <c r="F65" s="14">
        <f>IF(LEFT($B65,4)="_Mil","",INDEX(Cascade!$T:$T,MATCH($E65,Cascade!$E:$E,0)))</f>
        <v>1305</v>
      </c>
      <c r="G65" s="14" t="str">
        <f>IF(LEFT($B65,4)="_Mil","",INDEX(Cascade!$U:$U,MATCH($E65,Cascade!$E:$E,0)))</f>
        <v/>
      </c>
      <c r="H65" s="88">
        <f>IF(LEFT($B65,4)="_Mil","",INDEX(Cascade!$W:$W,MATCH($E65,Cascade!$E:$E,0)))</f>
        <v>1845</v>
      </c>
      <c r="I65" s="14">
        <f>IF(LEFT($B65,4)="_Mil","",INDEX(Cascade!$Z:$Z,MATCH($E65,Cascade!$E:$E,0)))</f>
        <v>1546</v>
      </c>
      <c r="J65" s="90">
        <f>IF(LEFT($B65,4)="_Mil","",INDEX(Cascade!$AA:$AA,MATCH($E65,Cascade!$E:$E,0)))</f>
        <v>1913</v>
      </c>
      <c r="K65" s="14"/>
      <c r="L65" s="14"/>
      <c r="M65" s="42" t="str">
        <f>IF(LEFT($B65,4)="_Mil","",IFERROR(1/(1/ROUND(INDEX(Spectrum!$N:$N,MATCH(RIGHT($B65,13)&amp;"|"&amp;$C65&amp;"|"&amp;$D65&amp;"|"&amp;M$14&amp;"|"&amp;"CY2023Q3",Spectrum!$R:$R,0)),0)),IF(SUM($L65)=0,"",$L65)))</f>
        <v/>
      </c>
      <c r="N65" s="42" t="str">
        <f>IF(LEFT($B65,4)="_Mil","",IFERROR(1/(1/ROUND(INDEX(Spectrum!$N:$N,MATCH(RIGHT($B65,13)&amp;"|"&amp;$C65&amp;"|"&amp;$D65&amp;"|"&amp;N$14&amp;"|"&amp;"CY2023Q3",Spectrum!$R:$R,0)),0)),IF(SUM($M65)=0,"",$M65)))</f>
        <v/>
      </c>
      <c r="O65" s="90">
        <f t="shared" si="16"/>
        <v>0</v>
      </c>
      <c r="P65" s="90">
        <f t="shared" si="17"/>
        <v>0.8</v>
      </c>
      <c r="Q65" s="42">
        <f t="shared" si="18"/>
        <v>1044</v>
      </c>
      <c r="R65" s="42">
        <f t="shared" si="19"/>
        <v>1044</v>
      </c>
      <c r="S65" s="90" t="str">
        <f t="shared" si="20"/>
        <v/>
      </c>
      <c r="T65" s="90" t="str">
        <f t="shared" si="21"/>
        <v/>
      </c>
      <c r="U65" s="90"/>
      <c r="V65" s="90" t="str">
        <f t="shared" si="22"/>
        <v/>
      </c>
      <c r="W65" s="90"/>
      <c r="X65" s="90" t="str">
        <f t="shared" si="23"/>
        <v/>
      </c>
      <c r="Y65" s="14" t="str">
        <f t="shared" si="24"/>
        <v>ENTER IN COL S</v>
      </c>
      <c r="Z65" s="42" t="str">
        <f t="shared" si="25"/>
        <v/>
      </c>
      <c r="AA65" s="42" t="str">
        <f t="shared" si="26"/>
        <v/>
      </c>
      <c r="AB65" s="42" t="str">
        <f t="shared" si="27"/>
        <v/>
      </c>
      <c r="AC65" s="14" t="str">
        <f>IFERROR(1/(1/INDEX(Cascade!$BH:$BH,MATCH($E65,Cascade!$E:$E,0))),"")</f>
        <v/>
      </c>
      <c r="AD65" s="14" t="str">
        <f t="shared" si="28"/>
        <v/>
      </c>
      <c r="AE65" s="14" t="str">
        <f>IFERROR(1/(1/INDEX(TB!$P:$P,MATCH($E65,TB!$E:$E,0))),"")</f>
        <v/>
      </c>
      <c r="AF65" s="14" t="str">
        <f t="shared" si="29"/>
        <v/>
      </c>
    </row>
    <row r="66" spans="1:32" x14ac:dyDescent="0.2">
      <c r="A66" t="str">
        <f>INDEX(Prioritization!$D:$D,MATCH($B66,Prioritization!$A:$A,0))</f>
        <v>INVALID</v>
      </c>
      <c r="B66" t="s">
        <v>205</v>
      </c>
      <c r="C66" t="s">
        <v>367</v>
      </c>
      <c r="D66" t="s">
        <v>47</v>
      </c>
      <c r="E66" t="str">
        <f t="shared" si="15"/>
        <v>Likoma District [ZCjuwgaMB9u]|50+|Male</v>
      </c>
      <c r="F66" s="14">
        <f>IF(LEFT($B66,4)="_Mil","",INDEX(Cascade!$T:$T,MATCH($E66,Cascade!$E:$E,0)))</f>
        <v>534</v>
      </c>
      <c r="G66" s="14" t="str">
        <f>IF(LEFT($B66,4)="_Mil","",INDEX(Cascade!$U:$U,MATCH($E66,Cascade!$E:$E,0)))</f>
        <v/>
      </c>
      <c r="H66" s="88">
        <f>IF(LEFT($B66,4)="_Mil","",INDEX(Cascade!$W:$W,MATCH($E66,Cascade!$E:$E,0)))</f>
        <v>1541</v>
      </c>
      <c r="I66" s="14">
        <f>IF(LEFT($B66,4)="_Mil","",INDEX(Cascade!$Z:$Z,MATCH($E66,Cascade!$E:$E,0)))</f>
        <v>1388</v>
      </c>
      <c r="J66" s="90">
        <f>IF(LEFT($B66,4)="_Mil","",INDEX(Cascade!$AA:$AA,MATCH($E66,Cascade!$E:$E,0)))</f>
        <v>1918</v>
      </c>
      <c r="K66" s="14"/>
      <c r="L66" s="14"/>
      <c r="M66" s="42" t="str">
        <f>IF(LEFT($B66,4)="_Mil","",IFERROR(1/(1/ROUND(INDEX(Spectrum!$N:$N,MATCH(RIGHT($B66,13)&amp;"|"&amp;$C66&amp;"|"&amp;$D66&amp;"|"&amp;M$14&amp;"|"&amp;"CY2023Q3",Spectrum!$R:$R,0)),0)),IF(SUM($L66)=0,"",$L66)))</f>
        <v/>
      </c>
      <c r="N66" s="42" t="str">
        <f>IF(LEFT($B66,4)="_Mil","",IFERROR(1/(1/ROUND(INDEX(Spectrum!$N:$N,MATCH(RIGHT($B66,13)&amp;"|"&amp;$C66&amp;"|"&amp;$D66&amp;"|"&amp;N$14&amp;"|"&amp;"CY2023Q3",Spectrum!$R:$R,0)),0)),IF(SUM($M66)=0,"",$M66)))</f>
        <v/>
      </c>
      <c r="O66" s="90">
        <f t="shared" si="16"/>
        <v>0</v>
      </c>
      <c r="P66" s="90">
        <f t="shared" si="17"/>
        <v>0.8</v>
      </c>
      <c r="Q66" s="42">
        <f t="shared" si="18"/>
        <v>427</v>
      </c>
      <c r="R66" s="42">
        <f t="shared" si="19"/>
        <v>427</v>
      </c>
      <c r="S66" s="90" t="str">
        <f t="shared" si="20"/>
        <v/>
      </c>
      <c r="T66" s="90" t="str">
        <f t="shared" si="21"/>
        <v/>
      </c>
      <c r="U66" s="90"/>
      <c r="V66" s="90" t="str">
        <f t="shared" si="22"/>
        <v/>
      </c>
      <c r="W66" s="90"/>
      <c r="X66" s="90" t="str">
        <f t="shared" si="23"/>
        <v/>
      </c>
      <c r="Y66" s="14" t="str">
        <f t="shared" si="24"/>
        <v>ENTER IN COL S</v>
      </c>
      <c r="Z66" s="42" t="str">
        <f t="shared" si="25"/>
        <v/>
      </c>
      <c r="AA66" s="42" t="str">
        <f t="shared" si="26"/>
        <v/>
      </c>
      <c r="AB66" s="42" t="str">
        <f t="shared" si="27"/>
        <v/>
      </c>
      <c r="AC66" s="14" t="str">
        <f>IFERROR(1/(1/INDEX(Cascade!$BH:$BH,MATCH($E66,Cascade!$E:$E,0))),"")</f>
        <v/>
      </c>
      <c r="AD66" s="14" t="str">
        <f t="shared" si="28"/>
        <v/>
      </c>
      <c r="AE66" s="14" t="str">
        <f>IFERROR(1/(1/INDEX(TB!$P:$P,MATCH($E66,TB!$E:$E,0))),"")</f>
        <v/>
      </c>
      <c r="AF66" s="14" t="str">
        <f t="shared" si="29"/>
        <v/>
      </c>
    </row>
    <row r="67" spans="1:32" x14ac:dyDescent="0.2">
      <c r="A67" t="str">
        <f>INDEX(Prioritization!$D:$D,MATCH($B67,Prioritization!$A:$A,0))</f>
        <v>1 - Scale-up: Saturation</v>
      </c>
      <c r="B67" t="s">
        <v>206</v>
      </c>
      <c r="C67" t="s">
        <v>364</v>
      </c>
      <c r="D67" t="s">
        <v>47</v>
      </c>
      <c r="E67" t="str">
        <f t="shared" si="15"/>
        <v>Mzimba District [vA4NcHxfMBq]|15-24|Male</v>
      </c>
      <c r="F67" s="14">
        <f>IF(LEFT($B67,4)="_Mil","",INDEX(Cascade!$T:$T,MATCH($E67,Cascade!$E:$E,0)))</f>
        <v>734</v>
      </c>
      <c r="G67" s="14" t="str">
        <f>IF(LEFT($B67,4)="_Mil","",INDEX(Cascade!$U:$U,MATCH($E67,Cascade!$E:$E,0)))</f>
        <v/>
      </c>
      <c r="H67" s="88">
        <f>IF(LEFT($B67,4)="_Mil","",INDEX(Cascade!$W:$W,MATCH($E67,Cascade!$E:$E,0)))</f>
        <v>1106</v>
      </c>
      <c r="I67" s="14">
        <f>IF(LEFT($B67,4)="_Mil","",INDEX(Cascade!$Z:$Z,MATCH($E67,Cascade!$E:$E,0)))</f>
        <v>630</v>
      </c>
      <c r="J67" s="90">
        <f>IF(LEFT($B67,4)="_Mil","",INDEX(Cascade!$AA:$AA,MATCH($E67,Cascade!$E:$E,0)))</f>
        <v>1946</v>
      </c>
      <c r="K67" s="14"/>
      <c r="L67" s="14"/>
      <c r="M67" s="42" t="str">
        <f>IF(LEFT($B67,4)="_Mil","",IFERROR(1/(1/ROUND(INDEX(Spectrum!$N:$N,MATCH(RIGHT($B67,13)&amp;"|"&amp;$C67&amp;"|"&amp;$D67&amp;"|"&amp;M$14&amp;"|"&amp;"CY2023Q3",Spectrum!$R:$R,0)),0)),IF(SUM($L67)=0,"",$L67)))</f>
        <v/>
      </c>
      <c r="N67" s="42" t="str">
        <f>IF(LEFT($B67,4)="_Mil","",IFERROR(1/(1/ROUND(INDEX(Spectrum!$N:$N,MATCH(RIGHT($B67,13)&amp;"|"&amp;$C67&amp;"|"&amp;$D67&amp;"|"&amp;N$14&amp;"|"&amp;"CY2023Q3",Spectrum!$R:$R,0)),0)),IF(SUM($M67)=0,"",$M67)))</f>
        <v/>
      </c>
      <c r="O67" s="90">
        <f t="shared" si="16"/>
        <v>0</v>
      </c>
      <c r="P67" s="90">
        <f t="shared" si="17"/>
        <v>0.8</v>
      </c>
      <c r="Q67" s="42">
        <f t="shared" si="18"/>
        <v>587</v>
      </c>
      <c r="R67" s="42">
        <f t="shared" si="19"/>
        <v>587</v>
      </c>
      <c r="S67" s="90" t="str">
        <f t="shared" si="20"/>
        <v/>
      </c>
      <c r="T67" s="90" t="str">
        <f t="shared" si="21"/>
        <v/>
      </c>
      <c r="U67" s="90"/>
      <c r="V67" s="90" t="str">
        <f t="shared" si="22"/>
        <v/>
      </c>
      <c r="W67" s="90"/>
      <c r="X67" s="90" t="str">
        <f t="shared" si="23"/>
        <v/>
      </c>
      <c r="Y67" s="14" t="str">
        <f t="shared" si="24"/>
        <v>ENTER IN COL S</v>
      </c>
      <c r="Z67" s="42" t="str">
        <f t="shared" si="25"/>
        <v/>
      </c>
      <c r="AA67" s="42" t="str">
        <f t="shared" si="26"/>
        <v/>
      </c>
      <c r="AB67" s="42" t="str">
        <f t="shared" si="27"/>
        <v/>
      </c>
      <c r="AC67" s="14" t="str">
        <f>IFERROR(1/(1/INDEX(Cascade!$BH:$BH,MATCH($E67,Cascade!$E:$E,0))),"")</f>
        <v/>
      </c>
      <c r="AD67" s="14" t="str">
        <f t="shared" si="28"/>
        <v/>
      </c>
      <c r="AE67" s="14" t="str">
        <f>IFERROR(1/(1/INDEX(TB!$P:$P,MATCH($E67,TB!$E:$E,0))),"")</f>
        <v/>
      </c>
      <c r="AF67" s="14" t="str">
        <f t="shared" si="29"/>
        <v/>
      </c>
    </row>
    <row r="68" spans="1:32" x14ac:dyDescent="0.2">
      <c r="A68" t="str">
        <f>INDEX(Prioritization!$D:$D,MATCH($B68,Prioritization!$A:$A,0))</f>
        <v>1 - Scale-up: Saturation</v>
      </c>
      <c r="B68" t="s">
        <v>206</v>
      </c>
      <c r="C68" t="s">
        <v>365</v>
      </c>
      <c r="D68" t="s">
        <v>47</v>
      </c>
      <c r="E68" t="str">
        <f t="shared" si="15"/>
        <v>Mzimba District [vA4NcHxfMBq]|25-34|Male</v>
      </c>
      <c r="F68" s="14">
        <f>IF(LEFT($B68,4)="_Mil","",INDEX(Cascade!$T:$T,MATCH($E68,Cascade!$E:$E,0)))</f>
        <v>1328</v>
      </c>
      <c r="G68" s="14" t="str">
        <f>IF(LEFT($B68,4)="_Mil","",INDEX(Cascade!$U:$U,MATCH($E68,Cascade!$E:$E,0)))</f>
        <v/>
      </c>
      <c r="H68" s="88">
        <f>IF(LEFT($B68,4)="_Mil","",INDEX(Cascade!$W:$W,MATCH($E68,Cascade!$E:$E,0)))</f>
        <v>1558</v>
      </c>
      <c r="I68" s="14">
        <f>IF(LEFT($B68,4)="_Mil","",INDEX(Cascade!$Z:$Z,MATCH($E68,Cascade!$E:$E,0)))</f>
        <v>1580</v>
      </c>
      <c r="J68" s="90">
        <f>IF(LEFT($B68,4)="_Mil","",INDEX(Cascade!$AA:$AA,MATCH($E68,Cascade!$E:$E,0)))</f>
        <v>1023</v>
      </c>
      <c r="K68" s="14"/>
      <c r="L68" s="14"/>
      <c r="M68" s="42" t="str">
        <f>IF(LEFT($B68,4)="_Mil","",IFERROR(1/(1/ROUND(INDEX(Spectrum!$N:$N,MATCH(RIGHT($B68,13)&amp;"|"&amp;$C68&amp;"|"&amp;$D68&amp;"|"&amp;M$14&amp;"|"&amp;"CY2023Q3",Spectrum!$R:$R,0)),0)),IF(SUM($L68)=0,"",$L68)))</f>
        <v/>
      </c>
      <c r="N68" s="42" t="str">
        <f>IF(LEFT($B68,4)="_Mil","",IFERROR(1/(1/ROUND(INDEX(Spectrum!$N:$N,MATCH(RIGHT($B68,13)&amp;"|"&amp;$C68&amp;"|"&amp;$D68&amp;"|"&amp;N$14&amp;"|"&amp;"CY2023Q3",Spectrum!$R:$R,0)),0)),IF(SUM($M68)=0,"",$M68)))</f>
        <v/>
      </c>
      <c r="O68" s="90">
        <f t="shared" si="16"/>
        <v>0</v>
      </c>
      <c r="P68" s="90">
        <f t="shared" si="17"/>
        <v>0.8</v>
      </c>
      <c r="Q68" s="42">
        <f t="shared" si="18"/>
        <v>1062</v>
      </c>
      <c r="R68" s="42">
        <f t="shared" si="19"/>
        <v>1062</v>
      </c>
      <c r="S68" s="90" t="str">
        <f t="shared" si="20"/>
        <v/>
      </c>
      <c r="T68" s="90" t="str">
        <f t="shared" si="21"/>
        <v/>
      </c>
      <c r="U68" s="90"/>
      <c r="V68" s="90" t="str">
        <f t="shared" si="22"/>
        <v/>
      </c>
      <c r="W68" s="90"/>
      <c r="X68" s="90" t="str">
        <f t="shared" si="23"/>
        <v/>
      </c>
      <c r="Y68" s="14" t="str">
        <f t="shared" si="24"/>
        <v>ENTER IN COL S</v>
      </c>
      <c r="Z68" s="42" t="str">
        <f t="shared" si="25"/>
        <v/>
      </c>
      <c r="AA68" s="42" t="str">
        <f t="shared" si="26"/>
        <v/>
      </c>
      <c r="AB68" s="42" t="str">
        <f t="shared" si="27"/>
        <v/>
      </c>
      <c r="AC68" s="14" t="str">
        <f>IFERROR(1/(1/INDEX(Cascade!$BH:$BH,MATCH($E68,Cascade!$E:$E,0))),"")</f>
        <v/>
      </c>
      <c r="AD68" s="14" t="str">
        <f t="shared" si="28"/>
        <v/>
      </c>
      <c r="AE68" s="14" t="str">
        <f>IFERROR(1/(1/INDEX(TB!$P:$P,MATCH($E68,TB!$E:$E,0))),"")</f>
        <v/>
      </c>
      <c r="AF68" s="14" t="str">
        <f t="shared" si="29"/>
        <v/>
      </c>
    </row>
    <row r="69" spans="1:32" x14ac:dyDescent="0.2">
      <c r="A69" t="str">
        <f>INDEX(Prioritization!$D:$D,MATCH($B69,Prioritization!$A:$A,0))</f>
        <v>1 - Scale-up: Saturation</v>
      </c>
      <c r="B69" t="s">
        <v>206</v>
      </c>
      <c r="C69" t="s">
        <v>366</v>
      </c>
      <c r="D69" t="s">
        <v>47</v>
      </c>
      <c r="E69" t="str">
        <f t="shared" si="15"/>
        <v>Mzimba District [vA4NcHxfMBq]|35-49|Male</v>
      </c>
      <c r="F69" s="14">
        <f>IF(LEFT($B69,4)="_Mil","",INDEX(Cascade!$T:$T,MATCH($E69,Cascade!$E:$E,0)))</f>
        <v>1395</v>
      </c>
      <c r="G69" s="14" t="str">
        <f>IF(LEFT($B69,4)="_Mil","",INDEX(Cascade!$U:$U,MATCH($E69,Cascade!$E:$E,0)))</f>
        <v/>
      </c>
      <c r="H69" s="88">
        <f>IF(LEFT($B69,4)="_Mil","",INDEX(Cascade!$W:$W,MATCH($E69,Cascade!$E:$E,0)))</f>
        <v>952</v>
      </c>
      <c r="I69" s="14">
        <f>IF(LEFT($B69,4)="_Mil","",INDEX(Cascade!$Z:$Z,MATCH($E69,Cascade!$E:$E,0)))</f>
        <v>1401</v>
      </c>
      <c r="J69" s="90">
        <f>IF(LEFT($B69,4)="_Mil","",INDEX(Cascade!$AA:$AA,MATCH($E69,Cascade!$E:$E,0)))</f>
        <v>1021</v>
      </c>
      <c r="K69" s="14"/>
      <c r="L69" s="14"/>
      <c r="M69" s="42" t="str">
        <f>IF(LEFT($B69,4)="_Mil","",IFERROR(1/(1/ROUND(INDEX(Spectrum!$N:$N,MATCH(RIGHT($B69,13)&amp;"|"&amp;$C69&amp;"|"&amp;$D69&amp;"|"&amp;M$14&amp;"|"&amp;"CY2023Q3",Spectrum!$R:$R,0)),0)),IF(SUM($L69)=0,"",$L69)))</f>
        <v/>
      </c>
      <c r="N69" s="42" t="str">
        <f>IF(LEFT($B69,4)="_Mil","",IFERROR(1/(1/ROUND(INDEX(Spectrum!$N:$N,MATCH(RIGHT($B69,13)&amp;"|"&amp;$C69&amp;"|"&amp;$D69&amp;"|"&amp;N$14&amp;"|"&amp;"CY2023Q3",Spectrum!$R:$R,0)),0)),IF(SUM($M69)=0,"",$M69)))</f>
        <v/>
      </c>
      <c r="O69" s="90">
        <f t="shared" si="16"/>
        <v>0</v>
      </c>
      <c r="P69" s="90">
        <f t="shared" si="17"/>
        <v>0.8</v>
      </c>
      <c r="Q69" s="42">
        <f t="shared" si="18"/>
        <v>1116</v>
      </c>
      <c r="R69" s="42">
        <f t="shared" si="19"/>
        <v>1116</v>
      </c>
      <c r="S69" s="90" t="str">
        <f t="shared" si="20"/>
        <v/>
      </c>
      <c r="T69" s="90" t="str">
        <f t="shared" si="21"/>
        <v/>
      </c>
      <c r="U69" s="90"/>
      <c r="V69" s="90" t="str">
        <f t="shared" si="22"/>
        <v/>
      </c>
      <c r="W69" s="90"/>
      <c r="X69" s="90" t="str">
        <f t="shared" si="23"/>
        <v/>
      </c>
      <c r="Y69" s="14" t="str">
        <f t="shared" si="24"/>
        <v>ENTER IN COL S</v>
      </c>
      <c r="Z69" s="42" t="str">
        <f t="shared" si="25"/>
        <v/>
      </c>
      <c r="AA69" s="42" t="str">
        <f t="shared" si="26"/>
        <v/>
      </c>
      <c r="AB69" s="42" t="str">
        <f t="shared" si="27"/>
        <v/>
      </c>
      <c r="AC69" s="14" t="str">
        <f>IFERROR(1/(1/INDEX(Cascade!$BH:$BH,MATCH($E69,Cascade!$E:$E,0))),"")</f>
        <v/>
      </c>
      <c r="AD69" s="14" t="str">
        <f t="shared" si="28"/>
        <v/>
      </c>
      <c r="AE69" s="14" t="str">
        <f>IFERROR(1/(1/INDEX(TB!$P:$P,MATCH($E69,TB!$E:$E,0))),"")</f>
        <v/>
      </c>
      <c r="AF69" s="14" t="str">
        <f t="shared" si="29"/>
        <v/>
      </c>
    </row>
    <row r="70" spans="1:32" x14ac:dyDescent="0.2">
      <c r="A70" t="str">
        <f>INDEX(Prioritization!$D:$D,MATCH($B70,Prioritization!$A:$A,0))</f>
        <v>1 - Scale-up: Saturation</v>
      </c>
      <c r="B70" t="s">
        <v>206</v>
      </c>
      <c r="C70" t="s">
        <v>367</v>
      </c>
      <c r="D70" t="s">
        <v>47</v>
      </c>
      <c r="E70" t="str">
        <f t="shared" si="15"/>
        <v>Mzimba District [vA4NcHxfMBq]|50+|Male</v>
      </c>
      <c r="F70" s="14">
        <f>IF(LEFT($B70,4)="_Mil","",INDEX(Cascade!$T:$T,MATCH($E70,Cascade!$E:$E,0)))</f>
        <v>1270</v>
      </c>
      <c r="G70" s="14" t="str">
        <f>IF(LEFT($B70,4)="_Mil","",INDEX(Cascade!$U:$U,MATCH($E70,Cascade!$E:$E,0)))</f>
        <v/>
      </c>
      <c r="H70" s="88">
        <f>IF(LEFT($B70,4)="_Mil","",INDEX(Cascade!$W:$W,MATCH($E70,Cascade!$E:$E,0)))</f>
        <v>678</v>
      </c>
      <c r="I70" s="14">
        <f>IF(LEFT($B70,4)="_Mil","",INDEX(Cascade!$Z:$Z,MATCH($E70,Cascade!$E:$E,0)))</f>
        <v>1516</v>
      </c>
      <c r="J70" s="90">
        <f>IF(LEFT($B70,4)="_Mil","",INDEX(Cascade!$AA:$AA,MATCH($E70,Cascade!$E:$E,0)))</f>
        <v>1119</v>
      </c>
      <c r="K70" s="14"/>
      <c r="L70" s="14"/>
      <c r="M70" s="42" t="str">
        <f>IF(LEFT($B70,4)="_Mil","",IFERROR(1/(1/ROUND(INDEX(Spectrum!$N:$N,MATCH(RIGHT($B70,13)&amp;"|"&amp;$C70&amp;"|"&amp;$D70&amp;"|"&amp;M$14&amp;"|"&amp;"CY2023Q3",Spectrum!$R:$R,0)),0)),IF(SUM($L70)=0,"",$L70)))</f>
        <v/>
      </c>
      <c r="N70" s="42" t="str">
        <f>IF(LEFT($B70,4)="_Mil","",IFERROR(1/(1/ROUND(INDEX(Spectrum!$N:$N,MATCH(RIGHT($B70,13)&amp;"|"&amp;$C70&amp;"|"&amp;$D70&amp;"|"&amp;N$14&amp;"|"&amp;"CY2023Q3",Spectrum!$R:$R,0)),0)),IF(SUM($M70)=0,"",$M70)))</f>
        <v/>
      </c>
      <c r="O70" s="90">
        <f t="shared" si="16"/>
        <v>0</v>
      </c>
      <c r="P70" s="90">
        <f t="shared" si="17"/>
        <v>0.8</v>
      </c>
      <c r="Q70" s="42">
        <f t="shared" si="18"/>
        <v>1016</v>
      </c>
      <c r="R70" s="42">
        <f t="shared" si="19"/>
        <v>1016</v>
      </c>
      <c r="S70" s="90" t="str">
        <f t="shared" si="20"/>
        <v/>
      </c>
      <c r="T70" s="90" t="str">
        <f t="shared" si="21"/>
        <v/>
      </c>
      <c r="U70" s="90"/>
      <c r="V70" s="90" t="str">
        <f t="shared" si="22"/>
        <v/>
      </c>
      <c r="W70" s="90"/>
      <c r="X70" s="90" t="str">
        <f t="shared" si="23"/>
        <v/>
      </c>
      <c r="Y70" s="14" t="str">
        <f t="shared" si="24"/>
        <v>ENTER IN COL S</v>
      </c>
      <c r="Z70" s="42" t="str">
        <f t="shared" si="25"/>
        <v/>
      </c>
      <c r="AA70" s="42" t="str">
        <f t="shared" si="26"/>
        <v/>
      </c>
      <c r="AB70" s="42" t="str">
        <f t="shared" si="27"/>
        <v/>
      </c>
      <c r="AC70" s="14" t="str">
        <f>IFERROR(1/(1/INDEX(Cascade!$BH:$BH,MATCH($E70,Cascade!$E:$E,0))),"")</f>
        <v/>
      </c>
      <c r="AD70" s="14" t="str">
        <f t="shared" si="28"/>
        <v/>
      </c>
      <c r="AE70" s="14" t="str">
        <f>IFERROR(1/(1/INDEX(TB!$P:$P,MATCH($E70,TB!$E:$E,0))),"")</f>
        <v/>
      </c>
      <c r="AF70" s="14" t="str">
        <f t="shared" si="29"/>
        <v/>
      </c>
    </row>
    <row r="71" spans="1:32" x14ac:dyDescent="0.2">
      <c r="A71" t="str">
        <f>INDEX(Prioritization!$D:$D,MATCH($B71,Prioritization!$A:$A,0))</f>
        <v>INVALID</v>
      </c>
      <c r="B71" t="s">
        <v>207</v>
      </c>
      <c r="C71" t="s">
        <v>364</v>
      </c>
      <c r="D71" t="s">
        <v>47</v>
      </c>
      <c r="E71" t="str">
        <f t="shared" si="15"/>
        <v>Nkhata Bay District [E7zpfyBt7Tw]|15-24|Male</v>
      </c>
      <c r="F71" s="14">
        <f>IF(LEFT($B71,4)="_Mil","",INDEX(Cascade!$T:$T,MATCH($E71,Cascade!$E:$E,0)))</f>
        <v>1481</v>
      </c>
      <c r="G71" s="14" t="str">
        <f>IF(LEFT($B71,4)="_Mil","",INDEX(Cascade!$U:$U,MATCH($E71,Cascade!$E:$E,0)))</f>
        <v/>
      </c>
      <c r="H71" s="88">
        <f>IF(LEFT($B71,4)="_Mil","",INDEX(Cascade!$W:$W,MATCH($E71,Cascade!$E:$E,0)))</f>
        <v>1363</v>
      </c>
      <c r="I71" s="14">
        <f>IF(LEFT($B71,4)="_Mil","",INDEX(Cascade!$Z:$Z,MATCH($E71,Cascade!$E:$E,0)))</f>
        <v>1364</v>
      </c>
      <c r="J71" s="90">
        <f>IF(LEFT($B71,4)="_Mil","",INDEX(Cascade!$AA:$AA,MATCH($E71,Cascade!$E:$E,0)))</f>
        <v>953</v>
      </c>
      <c r="K71" s="14"/>
      <c r="L71" s="14"/>
      <c r="M71" s="42" t="str">
        <f>IF(LEFT($B71,4)="_Mil","",IFERROR(1/(1/ROUND(INDEX(Spectrum!$N:$N,MATCH(RIGHT($B71,13)&amp;"|"&amp;$C71&amp;"|"&amp;$D71&amp;"|"&amp;M$14&amp;"|"&amp;"CY2023Q3",Spectrum!$R:$R,0)),0)),IF(SUM($L71)=0,"",$L71)))</f>
        <v/>
      </c>
      <c r="N71" s="42" t="str">
        <f>IF(LEFT($B71,4)="_Mil","",IFERROR(1/(1/ROUND(INDEX(Spectrum!$N:$N,MATCH(RIGHT($B71,13)&amp;"|"&amp;$C71&amp;"|"&amp;$D71&amp;"|"&amp;N$14&amp;"|"&amp;"CY2023Q3",Spectrum!$R:$R,0)),0)),IF(SUM($M71)=0,"",$M71)))</f>
        <v/>
      </c>
      <c r="O71" s="90">
        <f t="shared" si="16"/>
        <v>0</v>
      </c>
      <c r="P71" s="90">
        <f t="shared" si="17"/>
        <v>0.8</v>
      </c>
      <c r="Q71" s="42">
        <f t="shared" si="18"/>
        <v>1185</v>
      </c>
      <c r="R71" s="42">
        <f t="shared" si="19"/>
        <v>1185</v>
      </c>
      <c r="S71" s="90" t="str">
        <f t="shared" si="20"/>
        <v/>
      </c>
      <c r="T71" s="90" t="str">
        <f t="shared" si="21"/>
        <v/>
      </c>
      <c r="U71" s="90"/>
      <c r="V71" s="90" t="str">
        <f t="shared" si="22"/>
        <v/>
      </c>
      <c r="W71" s="90"/>
      <c r="X71" s="90" t="str">
        <f t="shared" si="23"/>
        <v/>
      </c>
      <c r="Y71" s="14" t="str">
        <f t="shared" si="24"/>
        <v>ENTER IN COL S</v>
      </c>
      <c r="Z71" s="42" t="str">
        <f t="shared" si="25"/>
        <v/>
      </c>
      <c r="AA71" s="42" t="str">
        <f t="shared" si="26"/>
        <v/>
      </c>
      <c r="AB71" s="42" t="str">
        <f t="shared" si="27"/>
        <v/>
      </c>
      <c r="AC71" s="14" t="str">
        <f>IFERROR(1/(1/INDEX(Cascade!$BH:$BH,MATCH($E71,Cascade!$E:$E,0))),"")</f>
        <v/>
      </c>
      <c r="AD71" s="14" t="str">
        <f t="shared" si="28"/>
        <v/>
      </c>
      <c r="AE71" s="14" t="str">
        <f>IFERROR(1/(1/INDEX(TB!$P:$P,MATCH($E71,TB!$E:$E,0))),"")</f>
        <v/>
      </c>
      <c r="AF71" s="14" t="str">
        <f t="shared" si="29"/>
        <v/>
      </c>
    </row>
    <row r="72" spans="1:32" x14ac:dyDescent="0.2">
      <c r="A72" t="str">
        <f>INDEX(Prioritization!$D:$D,MATCH($B72,Prioritization!$A:$A,0))</f>
        <v>INVALID</v>
      </c>
      <c r="B72" t="s">
        <v>207</v>
      </c>
      <c r="C72" t="s">
        <v>365</v>
      </c>
      <c r="D72" t="s">
        <v>47</v>
      </c>
      <c r="E72" t="str">
        <f t="shared" si="15"/>
        <v>Nkhata Bay District [E7zpfyBt7Tw]|25-34|Male</v>
      </c>
      <c r="F72" s="14">
        <f>IF(LEFT($B72,4)="_Mil","",INDEX(Cascade!$T:$T,MATCH($E72,Cascade!$E:$E,0)))</f>
        <v>646</v>
      </c>
      <c r="G72" s="14" t="str">
        <f>IF(LEFT($B72,4)="_Mil","",INDEX(Cascade!$U:$U,MATCH($E72,Cascade!$E:$E,0)))</f>
        <v/>
      </c>
      <c r="H72" s="88">
        <f>IF(LEFT($B72,4)="_Mil","",INDEX(Cascade!$W:$W,MATCH($E72,Cascade!$E:$E,0)))</f>
        <v>743</v>
      </c>
      <c r="I72" s="14">
        <f>IF(LEFT($B72,4)="_Mil","",INDEX(Cascade!$Z:$Z,MATCH($E72,Cascade!$E:$E,0)))</f>
        <v>771</v>
      </c>
      <c r="J72" s="90">
        <f>IF(LEFT($B72,4)="_Mil","",INDEX(Cascade!$AA:$AA,MATCH($E72,Cascade!$E:$E,0)))</f>
        <v>1023</v>
      </c>
      <c r="K72" s="14"/>
      <c r="L72" s="14"/>
      <c r="M72" s="42" t="str">
        <f>IF(LEFT($B72,4)="_Mil","",IFERROR(1/(1/ROUND(INDEX(Spectrum!$N:$N,MATCH(RIGHT($B72,13)&amp;"|"&amp;$C72&amp;"|"&amp;$D72&amp;"|"&amp;M$14&amp;"|"&amp;"CY2023Q3",Spectrum!$R:$R,0)),0)),IF(SUM($L72)=0,"",$L72)))</f>
        <v/>
      </c>
      <c r="N72" s="42" t="str">
        <f>IF(LEFT($B72,4)="_Mil","",IFERROR(1/(1/ROUND(INDEX(Spectrum!$N:$N,MATCH(RIGHT($B72,13)&amp;"|"&amp;$C72&amp;"|"&amp;$D72&amp;"|"&amp;N$14&amp;"|"&amp;"CY2023Q3",Spectrum!$R:$R,0)),0)),IF(SUM($M72)=0,"",$M72)))</f>
        <v/>
      </c>
      <c r="O72" s="90">
        <f t="shared" si="16"/>
        <v>0</v>
      </c>
      <c r="P72" s="90">
        <f t="shared" si="17"/>
        <v>0.8</v>
      </c>
      <c r="Q72" s="42">
        <f t="shared" si="18"/>
        <v>517</v>
      </c>
      <c r="R72" s="42">
        <f t="shared" si="19"/>
        <v>517</v>
      </c>
      <c r="S72" s="90" t="str">
        <f t="shared" si="20"/>
        <v/>
      </c>
      <c r="T72" s="90" t="str">
        <f t="shared" si="21"/>
        <v/>
      </c>
      <c r="U72" s="90"/>
      <c r="V72" s="90" t="str">
        <f t="shared" si="22"/>
        <v/>
      </c>
      <c r="W72" s="90"/>
      <c r="X72" s="90" t="str">
        <f t="shared" si="23"/>
        <v/>
      </c>
      <c r="Y72" s="14" t="str">
        <f t="shared" si="24"/>
        <v>ENTER IN COL S</v>
      </c>
      <c r="Z72" s="42" t="str">
        <f t="shared" si="25"/>
        <v/>
      </c>
      <c r="AA72" s="42" t="str">
        <f t="shared" si="26"/>
        <v/>
      </c>
      <c r="AB72" s="42" t="str">
        <f t="shared" si="27"/>
        <v/>
      </c>
      <c r="AC72" s="14" t="str">
        <f>IFERROR(1/(1/INDEX(Cascade!$BH:$BH,MATCH($E72,Cascade!$E:$E,0))),"")</f>
        <v/>
      </c>
      <c r="AD72" s="14" t="str">
        <f t="shared" si="28"/>
        <v/>
      </c>
      <c r="AE72" s="14" t="str">
        <f>IFERROR(1/(1/INDEX(TB!$P:$P,MATCH($E72,TB!$E:$E,0))),"")</f>
        <v/>
      </c>
      <c r="AF72" s="14" t="str">
        <f t="shared" si="29"/>
        <v/>
      </c>
    </row>
    <row r="73" spans="1:32" x14ac:dyDescent="0.2">
      <c r="A73" t="str">
        <f>INDEX(Prioritization!$D:$D,MATCH($B73,Prioritization!$A:$A,0))</f>
        <v>INVALID</v>
      </c>
      <c r="B73" t="s">
        <v>207</v>
      </c>
      <c r="C73" t="s">
        <v>366</v>
      </c>
      <c r="D73" t="s">
        <v>47</v>
      </c>
      <c r="E73" t="str">
        <f t="shared" si="15"/>
        <v>Nkhata Bay District [E7zpfyBt7Tw]|35-49|Male</v>
      </c>
      <c r="F73" s="14">
        <f>IF(LEFT($B73,4)="_Mil","",INDEX(Cascade!$T:$T,MATCH($E73,Cascade!$E:$E,0)))</f>
        <v>1335</v>
      </c>
      <c r="G73" s="14" t="str">
        <f>IF(LEFT($B73,4)="_Mil","",INDEX(Cascade!$U:$U,MATCH($E73,Cascade!$E:$E,0)))</f>
        <v/>
      </c>
      <c r="H73" s="88">
        <f>IF(LEFT($B73,4)="_Mil","",INDEX(Cascade!$W:$W,MATCH($E73,Cascade!$E:$E,0)))</f>
        <v>940</v>
      </c>
      <c r="I73" s="14">
        <f>IF(LEFT($B73,4)="_Mil","",INDEX(Cascade!$Z:$Z,MATCH($E73,Cascade!$E:$E,0)))</f>
        <v>1091</v>
      </c>
      <c r="J73" s="90">
        <f>IF(LEFT($B73,4)="_Mil","",INDEX(Cascade!$AA:$AA,MATCH($E73,Cascade!$E:$E,0)))</f>
        <v>1819</v>
      </c>
      <c r="K73" s="14"/>
      <c r="L73" s="14"/>
      <c r="M73" s="42" t="str">
        <f>IF(LEFT($B73,4)="_Mil","",IFERROR(1/(1/ROUND(INDEX(Spectrum!$N:$N,MATCH(RIGHT($B73,13)&amp;"|"&amp;$C73&amp;"|"&amp;$D73&amp;"|"&amp;M$14&amp;"|"&amp;"CY2023Q3",Spectrum!$R:$R,0)),0)),IF(SUM($L73)=0,"",$L73)))</f>
        <v/>
      </c>
      <c r="N73" s="42" t="str">
        <f>IF(LEFT($B73,4)="_Mil","",IFERROR(1/(1/ROUND(INDEX(Spectrum!$N:$N,MATCH(RIGHT($B73,13)&amp;"|"&amp;$C73&amp;"|"&amp;$D73&amp;"|"&amp;N$14&amp;"|"&amp;"CY2023Q3",Spectrum!$R:$R,0)),0)),IF(SUM($M73)=0,"",$M73)))</f>
        <v/>
      </c>
      <c r="O73" s="90">
        <f t="shared" si="16"/>
        <v>0</v>
      </c>
      <c r="P73" s="90">
        <f t="shared" si="17"/>
        <v>0.8</v>
      </c>
      <c r="Q73" s="42">
        <f t="shared" si="18"/>
        <v>1068</v>
      </c>
      <c r="R73" s="42">
        <f t="shared" si="19"/>
        <v>1068</v>
      </c>
      <c r="S73" s="90" t="str">
        <f t="shared" si="20"/>
        <v/>
      </c>
      <c r="T73" s="90" t="str">
        <f t="shared" si="21"/>
        <v/>
      </c>
      <c r="U73" s="90"/>
      <c r="V73" s="90" t="str">
        <f t="shared" si="22"/>
        <v/>
      </c>
      <c r="W73" s="90"/>
      <c r="X73" s="90" t="str">
        <f t="shared" si="23"/>
        <v/>
      </c>
      <c r="Y73" s="14" t="str">
        <f t="shared" si="24"/>
        <v>ENTER IN COL S</v>
      </c>
      <c r="Z73" s="42" t="str">
        <f t="shared" si="25"/>
        <v/>
      </c>
      <c r="AA73" s="42" t="str">
        <f t="shared" si="26"/>
        <v/>
      </c>
      <c r="AB73" s="42" t="str">
        <f t="shared" si="27"/>
        <v/>
      </c>
      <c r="AC73" s="14" t="str">
        <f>IFERROR(1/(1/INDEX(Cascade!$BH:$BH,MATCH($E73,Cascade!$E:$E,0))),"")</f>
        <v/>
      </c>
      <c r="AD73" s="14" t="str">
        <f t="shared" si="28"/>
        <v/>
      </c>
      <c r="AE73" s="14" t="str">
        <f>IFERROR(1/(1/INDEX(TB!$P:$P,MATCH($E73,TB!$E:$E,0))),"")</f>
        <v/>
      </c>
      <c r="AF73" s="14" t="str">
        <f t="shared" si="29"/>
        <v/>
      </c>
    </row>
    <row r="74" spans="1:32" x14ac:dyDescent="0.2">
      <c r="A74" t="str">
        <f>INDEX(Prioritization!$D:$D,MATCH($B74,Prioritization!$A:$A,0))</f>
        <v>INVALID</v>
      </c>
      <c r="B74" t="s">
        <v>207</v>
      </c>
      <c r="C74" t="s">
        <v>367</v>
      </c>
      <c r="D74" t="s">
        <v>47</v>
      </c>
      <c r="E74" t="str">
        <f t="shared" si="15"/>
        <v>Nkhata Bay District [E7zpfyBt7Tw]|50+|Male</v>
      </c>
      <c r="F74" s="14">
        <f>IF(LEFT($B74,4)="_Mil","",INDEX(Cascade!$T:$T,MATCH($E74,Cascade!$E:$E,0)))</f>
        <v>1684</v>
      </c>
      <c r="G74" s="14" t="str">
        <f>IF(LEFT($B74,4)="_Mil","",INDEX(Cascade!$U:$U,MATCH($E74,Cascade!$E:$E,0)))</f>
        <v/>
      </c>
      <c r="H74" s="88">
        <f>IF(LEFT($B74,4)="_Mil","",INDEX(Cascade!$W:$W,MATCH($E74,Cascade!$E:$E,0)))</f>
        <v>575</v>
      </c>
      <c r="I74" s="14">
        <f>IF(LEFT($B74,4)="_Mil","",INDEX(Cascade!$Z:$Z,MATCH($E74,Cascade!$E:$E,0)))</f>
        <v>1170</v>
      </c>
      <c r="J74" s="90">
        <f>IF(LEFT($B74,4)="_Mil","",INDEX(Cascade!$AA:$AA,MATCH($E74,Cascade!$E:$E,0)))</f>
        <v>1677</v>
      </c>
      <c r="K74" s="14"/>
      <c r="L74" s="14"/>
      <c r="M74" s="42" t="str">
        <f>IF(LEFT($B74,4)="_Mil","",IFERROR(1/(1/ROUND(INDEX(Spectrum!$N:$N,MATCH(RIGHT($B74,13)&amp;"|"&amp;$C74&amp;"|"&amp;$D74&amp;"|"&amp;M$14&amp;"|"&amp;"CY2023Q3",Spectrum!$R:$R,0)),0)),IF(SUM($L74)=0,"",$L74)))</f>
        <v/>
      </c>
      <c r="N74" s="42" t="str">
        <f>IF(LEFT($B74,4)="_Mil","",IFERROR(1/(1/ROUND(INDEX(Spectrum!$N:$N,MATCH(RIGHT($B74,13)&amp;"|"&amp;$C74&amp;"|"&amp;$D74&amp;"|"&amp;N$14&amp;"|"&amp;"CY2023Q3",Spectrum!$R:$R,0)),0)),IF(SUM($M74)=0,"",$M74)))</f>
        <v/>
      </c>
      <c r="O74" s="90">
        <f t="shared" si="16"/>
        <v>0</v>
      </c>
      <c r="P74" s="90">
        <f t="shared" si="17"/>
        <v>0.8</v>
      </c>
      <c r="Q74" s="42">
        <f t="shared" si="18"/>
        <v>1347</v>
      </c>
      <c r="R74" s="42">
        <f t="shared" si="19"/>
        <v>1347</v>
      </c>
      <c r="S74" s="90" t="str">
        <f t="shared" si="20"/>
        <v/>
      </c>
      <c r="T74" s="90" t="str">
        <f t="shared" si="21"/>
        <v/>
      </c>
      <c r="U74" s="90"/>
      <c r="V74" s="90" t="str">
        <f t="shared" si="22"/>
        <v/>
      </c>
      <c r="W74" s="90"/>
      <c r="X74" s="90" t="str">
        <f t="shared" si="23"/>
        <v/>
      </c>
      <c r="Y74" s="14" t="str">
        <f t="shared" si="24"/>
        <v>ENTER IN COL S</v>
      </c>
      <c r="Z74" s="42" t="str">
        <f t="shared" si="25"/>
        <v/>
      </c>
      <c r="AA74" s="42" t="str">
        <f t="shared" si="26"/>
        <v/>
      </c>
      <c r="AB74" s="42" t="str">
        <f t="shared" si="27"/>
        <v/>
      </c>
      <c r="AC74" s="14" t="str">
        <f>IFERROR(1/(1/INDEX(Cascade!$BH:$BH,MATCH($E74,Cascade!$E:$E,0))),"")</f>
        <v/>
      </c>
      <c r="AD74" s="14" t="str">
        <f t="shared" si="28"/>
        <v/>
      </c>
      <c r="AE74" s="14" t="str">
        <f>IFERROR(1/(1/INDEX(TB!$P:$P,MATCH($E74,TB!$E:$E,0))),"")</f>
        <v/>
      </c>
      <c r="AF74" s="14" t="str">
        <f t="shared" si="29"/>
        <v/>
      </c>
    </row>
    <row r="75" spans="1:32" x14ac:dyDescent="0.2">
      <c r="A75" t="str">
        <f>INDEX(Prioritization!$D:$D,MATCH($B75,Prioritization!$A:$A,0))</f>
        <v>INVALID</v>
      </c>
      <c r="B75" t="s">
        <v>208</v>
      </c>
      <c r="C75" t="s">
        <v>364</v>
      </c>
      <c r="D75" t="s">
        <v>47</v>
      </c>
      <c r="E75" t="str">
        <f t="shared" si="15"/>
        <v>Rumphi District [lPTyjLi4w3d]|15-24|Male</v>
      </c>
      <c r="F75" s="14">
        <f>IF(LEFT($B75,4)="_Mil","",INDEX(Cascade!$T:$T,MATCH($E75,Cascade!$E:$E,0)))</f>
        <v>687</v>
      </c>
      <c r="G75" s="14" t="str">
        <f>IF(LEFT($B75,4)="_Mil","",INDEX(Cascade!$U:$U,MATCH($E75,Cascade!$E:$E,0)))</f>
        <v/>
      </c>
      <c r="H75" s="88">
        <f>IF(LEFT($B75,4)="_Mil","",INDEX(Cascade!$W:$W,MATCH($E75,Cascade!$E:$E,0)))</f>
        <v>677</v>
      </c>
      <c r="I75" s="14">
        <f>IF(LEFT($B75,4)="_Mil","",INDEX(Cascade!$Z:$Z,MATCH($E75,Cascade!$E:$E,0)))</f>
        <v>530</v>
      </c>
      <c r="J75" s="90">
        <f>IF(LEFT($B75,4)="_Mil","",INDEX(Cascade!$AA:$AA,MATCH($E75,Cascade!$E:$E,0)))</f>
        <v>1548</v>
      </c>
      <c r="K75" s="14"/>
      <c r="L75" s="14"/>
      <c r="M75" s="42" t="str">
        <f>IF(LEFT($B75,4)="_Mil","",IFERROR(1/(1/ROUND(INDEX(Spectrum!$N:$N,MATCH(RIGHT($B75,13)&amp;"|"&amp;$C75&amp;"|"&amp;$D75&amp;"|"&amp;M$14&amp;"|"&amp;"CY2023Q3",Spectrum!$R:$R,0)),0)),IF(SUM($L75)=0,"",$L75)))</f>
        <v/>
      </c>
      <c r="N75" s="42" t="str">
        <f>IF(LEFT($B75,4)="_Mil","",IFERROR(1/(1/ROUND(INDEX(Spectrum!$N:$N,MATCH(RIGHT($B75,13)&amp;"|"&amp;$C75&amp;"|"&amp;$D75&amp;"|"&amp;N$14&amp;"|"&amp;"CY2023Q3",Spectrum!$R:$R,0)),0)),IF(SUM($M75)=0,"",$M75)))</f>
        <v/>
      </c>
      <c r="O75" s="90">
        <f t="shared" si="16"/>
        <v>0</v>
      </c>
      <c r="P75" s="90">
        <f t="shared" si="17"/>
        <v>0.8</v>
      </c>
      <c r="Q75" s="42">
        <f t="shared" si="18"/>
        <v>550</v>
      </c>
      <c r="R75" s="42">
        <f t="shared" si="19"/>
        <v>550</v>
      </c>
      <c r="S75" s="90" t="str">
        <f t="shared" si="20"/>
        <v/>
      </c>
      <c r="T75" s="90" t="str">
        <f t="shared" si="21"/>
        <v/>
      </c>
      <c r="U75" s="90"/>
      <c r="V75" s="90" t="str">
        <f t="shared" si="22"/>
        <v/>
      </c>
      <c r="W75" s="90"/>
      <c r="X75" s="90" t="str">
        <f t="shared" si="23"/>
        <v/>
      </c>
      <c r="Y75" s="14" t="str">
        <f t="shared" si="24"/>
        <v>ENTER IN COL S</v>
      </c>
      <c r="Z75" s="42" t="str">
        <f t="shared" si="25"/>
        <v/>
      </c>
      <c r="AA75" s="42" t="str">
        <f t="shared" si="26"/>
        <v/>
      </c>
      <c r="AB75" s="42" t="str">
        <f t="shared" si="27"/>
        <v/>
      </c>
      <c r="AC75" s="14" t="str">
        <f>IFERROR(1/(1/INDEX(Cascade!$BH:$BH,MATCH($E75,Cascade!$E:$E,0))),"")</f>
        <v/>
      </c>
      <c r="AD75" s="14" t="str">
        <f t="shared" si="28"/>
        <v/>
      </c>
      <c r="AE75" s="14" t="str">
        <f>IFERROR(1/(1/INDEX(TB!$P:$P,MATCH($E75,TB!$E:$E,0))),"")</f>
        <v/>
      </c>
      <c r="AF75" s="14" t="str">
        <f t="shared" si="29"/>
        <v/>
      </c>
    </row>
    <row r="76" spans="1:32" x14ac:dyDescent="0.2">
      <c r="A76" t="str">
        <f>INDEX(Prioritization!$D:$D,MATCH($B76,Prioritization!$A:$A,0))</f>
        <v>INVALID</v>
      </c>
      <c r="B76" t="s">
        <v>208</v>
      </c>
      <c r="C76" t="s">
        <v>365</v>
      </c>
      <c r="D76" t="s">
        <v>47</v>
      </c>
      <c r="E76" t="str">
        <f t="shared" si="15"/>
        <v>Rumphi District [lPTyjLi4w3d]|25-34|Male</v>
      </c>
      <c r="F76" s="14">
        <f>IF(LEFT($B76,4)="_Mil","",INDEX(Cascade!$T:$T,MATCH($E76,Cascade!$E:$E,0)))</f>
        <v>1661</v>
      </c>
      <c r="G76" s="14" t="str">
        <f>IF(LEFT($B76,4)="_Mil","",INDEX(Cascade!$U:$U,MATCH($E76,Cascade!$E:$E,0)))</f>
        <v/>
      </c>
      <c r="H76" s="88">
        <f>IF(LEFT($B76,4)="_Mil","",INDEX(Cascade!$W:$W,MATCH($E76,Cascade!$E:$E,0)))</f>
        <v>1858</v>
      </c>
      <c r="I76" s="14">
        <f>IF(LEFT($B76,4)="_Mil","",INDEX(Cascade!$Z:$Z,MATCH($E76,Cascade!$E:$E,0)))</f>
        <v>502</v>
      </c>
      <c r="J76" s="90">
        <f>IF(LEFT($B76,4)="_Mil","",INDEX(Cascade!$AA:$AA,MATCH($E76,Cascade!$E:$E,0)))</f>
        <v>1048</v>
      </c>
      <c r="K76" s="14"/>
      <c r="L76" s="14"/>
      <c r="M76" s="42" t="str">
        <f>IF(LEFT($B76,4)="_Mil","",IFERROR(1/(1/ROUND(INDEX(Spectrum!$N:$N,MATCH(RIGHT($B76,13)&amp;"|"&amp;$C76&amp;"|"&amp;$D76&amp;"|"&amp;M$14&amp;"|"&amp;"CY2023Q3",Spectrum!$R:$R,0)),0)),IF(SUM($L76)=0,"",$L76)))</f>
        <v/>
      </c>
      <c r="N76" s="42" t="str">
        <f>IF(LEFT($B76,4)="_Mil","",IFERROR(1/(1/ROUND(INDEX(Spectrum!$N:$N,MATCH(RIGHT($B76,13)&amp;"|"&amp;$C76&amp;"|"&amp;$D76&amp;"|"&amp;N$14&amp;"|"&amp;"CY2023Q3",Spectrum!$R:$R,0)),0)),IF(SUM($M76)=0,"",$M76)))</f>
        <v/>
      </c>
      <c r="O76" s="90">
        <f t="shared" si="16"/>
        <v>0</v>
      </c>
      <c r="P76" s="90">
        <f t="shared" si="17"/>
        <v>0.8</v>
      </c>
      <c r="Q76" s="42">
        <f t="shared" si="18"/>
        <v>1329</v>
      </c>
      <c r="R76" s="42">
        <f t="shared" si="19"/>
        <v>1329</v>
      </c>
      <c r="S76" s="90" t="str">
        <f t="shared" si="20"/>
        <v/>
      </c>
      <c r="T76" s="90" t="str">
        <f t="shared" si="21"/>
        <v/>
      </c>
      <c r="U76" s="90"/>
      <c r="V76" s="90" t="str">
        <f t="shared" si="22"/>
        <v/>
      </c>
      <c r="W76" s="90"/>
      <c r="X76" s="90" t="str">
        <f t="shared" si="23"/>
        <v/>
      </c>
      <c r="Y76" s="14" t="str">
        <f t="shared" si="24"/>
        <v>ENTER IN COL S</v>
      </c>
      <c r="Z76" s="42" t="str">
        <f t="shared" si="25"/>
        <v/>
      </c>
      <c r="AA76" s="42" t="str">
        <f t="shared" si="26"/>
        <v/>
      </c>
      <c r="AB76" s="42" t="str">
        <f t="shared" si="27"/>
        <v/>
      </c>
      <c r="AC76" s="14" t="str">
        <f>IFERROR(1/(1/INDEX(Cascade!$BH:$BH,MATCH($E76,Cascade!$E:$E,0))),"")</f>
        <v/>
      </c>
      <c r="AD76" s="14" t="str">
        <f t="shared" si="28"/>
        <v/>
      </c>
      <c r="AE76" s="14" t="str">
        <f>IFERROR(1/(1/INDEX(TB!$P:$P,MATCH($E76,TB!$E:$E,0))),"")</f>
        <v/>
      </c>
      <c r="AF76" s="14" t="str">
        <f t="shared" si="29"/>
        <v/>
      </c>
    </row>
    <row r="77" spans="1:32" x14ac:dyDescent="0.2">
      <c r="A77" t="str">
        <f>INDEX(Prioritization!$D:$D,MATCH($B77,Prioritization!$A:$A,0))</f>
        <v>INVALID</v>
      </c>
      <c r="B77" t="s">
        <v>208</v>
      </c>
      <c r="C77" t="s">
        <v>366</v>
      </c>
      <c r="D77" t="s">
        <v>47</v>
      </c>
      <c r="E77" t="str">
        <f t="shared" si="15"/>
        <v>Rumphi District [lPTyjLi4w3d]|35-49|Male</v>
      </c>
      <c r="F77" s="14">
        <f>IF(LEFT($B77,4)="_Mil","",INDEX(Cascade!$T:$T,MATCH($E77,Cascade!$E:$E,0)))</f>
        <v>1605</v>
      </c>
      <c r="G77" s="14" t="str">
        <f>IF(LEFT($B77,4)="_Mil","",INDEX(Cascade!$U:$U,MATCH($E77,Cascade!$E:$E,0)))</f>
        <v/>
      </c>
      <c r="H77" s="88">
        <f>IF(LEFT($B77,4)="_Mil","",INDEX(Cascade!$W:$W,MATCH($E77,Cascade!$E:$E,0)))</f>
        <v>1212</v>
      </c>
      <c r="I77" s="14">
        <f>IF(LEFT($B77,4)="_Mil","",INDEX(Cascade!$Z:$Z,MATCH($E77,Cascade!$E:$E,0)))</f>
        <v>1051</v>
      </c>
      <c r="J77" s="90">
        <f>IF(LEFT($B77,4)="_Mil","",INDEX(Cascade!$AA:$AA,MATCH($E77,Cascade!$E:$E,0)))</f>
        <v>1835.9999999999998</v>
      </c>
      <c r="K77" s="14"/>
      <c r="L77" s="14"/>
      <c r="M77" s="42" t="str">
        <f>IF(LEFT($B77,4)="_Mil","",IFERROR(1/(1/ROUND(INDEX(Spectrum!$N:$N,MATCH(RIGHT($B77,13)&amp;"|"&amp;$C77&amp;"|"&amp;$D77&amp;"|"&amp;M$14&amp;"|"&amp;"CY2023Q3",Spectrum!$R:$R,0)),0)),IF(SUM($L77)=0,"",$L77)))</f>
        <v/>
      </c>
      <c r="N77" s="42" t="str">
        <f>IF(LEFT($B77,4)="_Mil","",IFERROR(1/(1/ROUND(INDEX(Spectrum!$N:$N,MATCH(RIGHT($B77,13)&amp;"|"&amp;$C77&amp;"|"&amp;$D77&amp;"|"&amp;N$14&amp;"|"&amp;"CY2023Q3",Spectrum!$R:$R,0)),0)),IF(SUM($M77)=0,"",$M77)))</f>
        <v/>
      </c>
      <c r="O77" s="90">
        <f t="shared" si="16"/>
        <v>0</v>
      </c>
      <c r="P77" s="90">
        <f t="shared" si="17"/>
        <v>0.8</v>
      </c>
      <c r="Q77" s="42">
        <f t="shared" si="18"/>
        <v>1284</v>
      </c>
      <c r="R77" s="42">
        <f t="shared" si="19"/>
        <v>1284</v>
      </c>
      <c r="S77" s="90" t="str">
        <f t="shared" si="20"/>
        <v/>
      </c>
      <c r="T77" s="90" t="str">
        <f t="shared" si="21"/>
        <v/>
      </c>
      <c r="U77" s="90"/>
      <c r="V77" s="90" t="str">
        <f t="shared" si="22"/>
        <v/>
      </c>
      <c r="W77" s="90"/>
      <c r="X77" s="90" t="str">
        <f t="shared" si="23"/>
        <v/>
      </c>
      <c r="Y77" s="14" t="str">
        <f t="shared" si="24"/>
        <v>ENTER IN COL S</v>
      </c>
      <c r="Z77" s="42" t="str">
        <f t="shared" si="25"/>
        <v/>
      </c>
      <c r="AA77" s="42" t="str">
        <f t="shared" si="26"/>
        <v/>
      </c>
      <c r="AB77" s="42" t="str">
        <f t="shared" si="27"/>
        <v/>
      </c>
      <c r="AC77" s="14" t="str">
        <f>IFERROR(1/(1/INDEX(Cascade!$BH:$BH,MATCH($E77,Cascade!$E:$E,0))),"")</f>
        <v/>
      </c>
      <c r="AD77" s="14" t="str">
        <f t="shared" si="28"/>
        <v/>
      </c>
      <c r="AE77" s="14" t="str">
        <f>IFERROR(1/(1/INDEX(TB!$P:$P,MATCH($E77,TB!$E:$E,0))),"")</f>
        <v/>
      </c>
      <c r="AF77" s="14" t="str">
        <f t="shared" si="29"/>
        <v/>
      </c>
    </row>
    <row r="78" spans="1:32" x14ac:dyDescent="0.2">
      <c r="A78" t="str">
        <f>INDEX(Prioritization!$D:$D,MATCH($B78,Prioritization!$A:$A,0))</f>
        <v>INVALID</v>
      </c>
      <c r="B78" t="s">
        <v>208</v>
      </c>
      <c r="C78" t="s">
        <v>367</v>
      </c>
      <c r="D78" t="s">
        <v>47</v>
      </c>
      <c r="E78" t="str">
        <f t="shared" si="15"/>
        <v>Rumphi District [lPTyjLi4w3d]|50+|Male</v>
      </c>
      <c r="F78" s="14">
        <f>IF(LEFT($B78,4)="_Mil","",INDEX(Cascade!$T:$T,MATCH($E78,Cascade!$E:$E,0)))</f>
        <v>527</v>
      </c>
      <c r="G78" s="14" t="str">
        <f>IF(LEFT($B78,4)="_Mil","",INDEX(Cascade!$U:$U,MATCH($E78,Cascade!$E:$E,0)))</f>
        <v/>
      </c>
      <c r="H78" s="88">
        <f>IF(LEFT($B78,4)="_Mil","",INDEX(Cascade!$W:$W,MATCH($E78,Cascade!$E:$E,0)))</f>
        <v>726</v>
      </c>
      <c r="I78" s="14">
        <f>IF(LEFT($B78,4)="_Mil","",INDEX(Cascade!$Z:$Z,MATCH($E78,Cascade!$E:$E,0)))</f>
        <v>1221</v>
      </c>
      <c r="J78" s="90">
        <f>IF(LEFT($B78,4)="_Mil","",INDEX(Cascade!$AA:$AA,MATCH($E78,Cascade!$E:$E,0)))</f>
        <v>1898.0000000000002</v>
      </c>
      <c r="K78" s="14"/>
      <c r="L78" s="14"/>
      <c r="M78" s="42" t="str">
        <f>IF(LEFT($B78,4)="_Mil","",IFERROR(1/(1/ROUND(INDEX(Spectrum!$N:$N,MATCH(RIGHT($B78,13)&amp;"|"&amp;$C78&amp;"|"&amp;$D78&amp;"|"&amp;M$14&amp;"|"&amp;"CY2023Q3",Spectrum!$R:$R,0)),0)),IF(SUM($L78)=0,"",$L78)))</f>
        <v/>
      </c>
      <c r="N78" s="42" t="str">
        <f>IF(LEFT($B78,4)="_Mil","",IFERROR(1/(1/ROUND(INDEX(Spectrum!$N:$N,MATCH(RIGHT($B78,13)&amp;"|"&amp;$C78&amp;"|"&amp;$D78&amp;"|"&amp;N$14&amp;"|"&amp;"CY2023Q3",Spectrum!$R:$R,0)),0)),IF(SUM($M78)=0,"",$M78)))</f>
        <v/>
      </c>
      <c r="O78" s="90">
        <f t="shared" si="16"/>
        <v>0</v>
      </c>
      <c r="P78" s="90">
        <f t="shared" si="17"/>
        <v>0.8</v>
      </c>
      <c r="Q78" s="42">
        <f t="shared" si="18"/>
        <v>422</v>
      </c>
      <c r="R78" s="42">
        <f t="shared" si="19"/>
        <v>422</v>
      </c>
      <c r="S78" s="90" t="str">
        <f t="shared" si="20"/>
        <v/>
      </c>
      <c r="T78" s="90" t="str">
        <f t="shared" si="21"/>
        <v/>
      </c>
      <c r="U78" s="90"/>
      <c r="V78" s="90" t="str">
        <f t="shared" si="22"/>
        <v/>
      </c>
      <c r="W78" s="90"/>
      <c r="X78" s="90" t="str">
        <f t="shared" si="23"/>
        <v/>
      </c>
      <c r="Y78" s="14" t="str">
        <f t="shared" si="24"/>
        <v>ENTER IN COL S</v>
      </c>
      <c r="Z78" s="42" t="str">
        <f t="shared" si="25"/>
        <v/>
      </c>
      <c r="AA78" s="42" t="str">
        <f t="shared" si="26"/>
        <v/>
      </c>
      <c r="AB78" s="42" t="str">
        <f t="shared" si="27"/>
        <v/>
      </c>
      <c r="AC78" s="14" t="str">
        <f>IFERROR(1/(1/INDEX(Cascade!$BH:$BH,MATCH($E78,Cascade!$E:$E,0))),"")</f>
        <v/>
      </c>
      <c r="AD78" s="14" t="str">
        <f t="shared" si="28"/>
        <v/>
      </c>
      <c r="AE78" s="14" t="str">
        <f>IFERROR(1/(1/INDEX(TB!$P:$P,MATCH($E78,TB!$E:$E,0))),"")</f>
        <v/>
      </c>
      <c r="AF78" s="14" t="str">
        <f t="shared" si="29"/>
        <v/>
      </c>
    </row>
    <row r="79" spans="1:32" x14ac:dyDescent="0.2">
      <c r="A79" t="str">
        <f>INDEX(Prioritization!$D:$D,MATCH($B79,Prioritization!$A:$A,0))</f>
        <v>1 - Scale-up: Saturation</v>
      </c>
      <c r="B79" t="s">
        <v>209</v>
      </c>
      <c r="C79" t="s">
        <v>364</v>
      </c>
      <c r="D79" t="s">
        <v>47</v>
      </c>
      <c r="E79" t="str">
        <f t="shared" ref="E79:E110" si="30">B79&amp;"|"&amp;C79&amp;"|"&amp;D79</f>
        <v>Balaka District [ir8wuHHzoSs]|15-24|Male</v>
      </c>
      <c r="F79" s="14">
        <f>IF(LEFT($B79,4)="_Mil","",INDEX(Cascade!$T:$T,MATCH($E79,Cascade!$E:$E,0)))</f>
        <v>1527</v>
      </c>
      <c r="G79" s="14" t="str">
        <f>IF(LEFT($B79,4)="_Mil","",INDEX(Cascade!$U:$U,MATCH($E79,Cascade!$E:$E,0)))</f>
        <v/>
      </c>
      <c r="H79" s="88">
        <f>IF(LEFT($B79,4)="_Mil","",INDEX(Cascade!$W:$W,MATCH($E79,Cascade!$E:$E,0)))</f>
        <v>1455</v>
      </c>
      <c r="I79" s="14">
        <f>IF(LEFT($B79,4)="_Mil","",INDEX(Cascade!$Z:$Z,MATCH($E79,Cascade!$E:$E,0)))</f>
        <v>1401</v>
      </c>
      <c r="J79" s="90">
        <f>IF(LEFT($B79,4)="_Mil","",INDEX(Cascade!$AA:$AA,MATCH($E79,Cascade!$E:$E,0)))</f>
        <v>802</v>
      </c>
      <c r="K79" s="14"/>
      <c r="L79" s="14"/>
      <c r="M79" s="42" t="str">
        <f>IF(LEFT($B79,4)="_Mil","",IFERROR(1/(1/ROUND(INDEX(Spectrum!$N:$N,MATCH(RIGHT($B79,13)&amp;"|"&amp;$C79&amp;"|"&amp;$D79&amp;"|"&amp;M$14&amp;"|"&amp;"CY2023Q3",Spectrum!$R:$R,0)),0)),IF(SUM($L79)=0,"",$L79)))</f>
        <v/>
      </c>
      <c r="N79" s="42" t="str">
        <f>IF(LEFT($B79,4)="_Mil","",IFERROR(1/(1/ROUND(INDEX(Spectrum!$N:$N,MATCH(RIGHT($B79,13)&amp;"|"&amp;$C79&amp;"|"&amp;$D79&amp;"|"&amp;N$14&amp;"|"&amp;"CY2023Q3",Spectrum!$R:$R,0)),0)),IF(SUM($M79)=0,"",$M79)))</f>
        <v/>
      </c>
      <c r="O79" s="90">
        <f t="shared" ref="O79:O110" si="31">IF(OR(LEFT($B79,4)="_Mil",SUM($F79)=0),"",SUM($N79)/$F79)</f>
        <v>0</v>
      </c>
      <c r="P79" s="90">
        <f t="shared" ref="P79:P110" si="32">IF(OR(LEFT($B79,4)="_Mil",SUM($F79)=0),"",MAX(SUM($O79),80%))</f>
        <v>0.8</v>
      </c>
      <c r="Q79" s="42">
        <f t="shared" ref="Q79:Q110" si="33">IF(OR(LEFT($B79,4)="_Mil",SUM($F79)=0),"",ROUND(SUM($F79)*$P79,0))</f>
        <v>1222</v>
      </c>
      <c r="R79" s="42">
        <f t="shared" ref="R79:R110" si="34">IF(OR(LEFT($B79,4)="_Mil",SUM($Q79)=0),"",ROUND(MAX($Q79-SUM($N79),0),0))</f>
        <v>1222</v>
      </c>
      <c r="S79" s="90" t="str">
        <f t="shared" ref="S79:S110" si="35">IF(LEFT($B79,4)="_Mil","",IF(SUM($L79)=0,"",IF(SUM($M79)=0,1,$L79/$M79)))</f>
        <v/>
      </c>
      <c r="T79" s="90" t="str">
        <f t="shared" ref="T79:T110" si="36">IF(LEFT($B79,4)="_Mil",0,"")</f>
        <v/>
      </c>
      <c r="U79" s="90"/>
      <c r="V79" s="90" t="str">
        <f t="shared" ref="V79:V110" si="37">IF($U79="","",$U79)</f>
        <v/>
      </c>
      <c r="W79" s="90"/>
      <c r="X79" s="90" t="str">
        <f t="shared" ref="X79:X110" si="38">IF($W79="","",$W79)</f>
        <v/>
      </c>
      <c r="Y79" s="14" t="str">
        <f t="shared" ref="Y79:Y110" si="39">IF(LEFT($B79,4)="_Mil",IF(SUM($L79)=0,"",ROUND($L79*(1+$T79),0)),IF(SUM($R79)=0,"",IF($S79="","ENTER IN COL S",ROUND($R79*$S79,0))))</f>
        <v>ENTER IN COL S</v>
      </c>
      <c r="Z79" s="42" t="str">
        <f t="shared" ref="Z79:Z110" si="40">IF(SUM($Y79)=0,"",IF(AND(SUM($Y79)&gt;0,$V79=""),"ENTER INDETERMINATE RATE",ROUND($Y79*$V79,0)))</f>
        <v/>
      </c>
      <c r="AA79" s="42" t="str">
        <f t="shared" ref="AA79:AA110" si="41">IF(SUM($Y79)=0,"",IF(AND(($Y79-SUM($Z79))&gt;0,$X79=""),"ENTER YIELD RATE",ROUND(($Y79-SUM($Z79))*SUM($X79),0)))</f>
        <v/>
      </c>
      <c r="AB79" s="42" t="str">
        <f t="shared" ref="AB79:AB110" si="42">IF(SUM($Y79)=0,"",$Y79-SUM($Z79)-SUM($AA79))</f>
        <v/>
      </c>
      <c r="AC79" s="14" t="str">
        <f>IFERROR(1/(1/INDEX(Cascade!$BH:$BH,MATCH($E79,Cascade!$E:$E,0))),"")</f>
        <v/>
      </c>
      <c r="AD79" s="14" t="str">
        <f t="shared" ref="AD79:AD110" si="43">IF(SUM($AA79)=0,"",$AA79)</f>
        <v/>
      </c>
      <c r="AE79" s="14" t="str">
        <f>IFERROR(1/(1/INDEX(TB!$P:$P,MATCH($E79,TB!$E:$E,0))),"")</f>
        <v/>
      </c>
      <c r="AF79" s="14" t="str">
        <f t="shared" ref="AF79:AF110" si="44">IFERROR(1/(1/(SUM($AC79)-SUM($AD79:$AE79))),"")</f>
        <v/>
      </c>
    </row>
    <row r="80" spans="1:32" x14ac:dyDescent="0.2">
      <c r="A80" t="str">
        <f>INDEX(Prioritization!$D:$D,MATCH($B80,Prioritization!$A:$A,0))</f>
        <v>1 - Scale-up: Saturation</v>
      </c>
      <c r="B80" t="s">
        <v>209</v>
      </c>
      <c r="C80" t="s">
        <v>365</v>
      </c>
      <c r="D80" t="s">
        <v>47</v>
      </c>
      <c r="E80" t="str">
        <f t="shared" si="30"/>
        <v>Balaka District [ir8wuHHzoSs]|25-34|Male</v>
      </c>
      <c r="F80" s="14">
        <f>IF(LEFT($B80,4)="_Mil","",INDEX(Cascade!$T:$T,MATCH($E80,Cascade!$E:$E,0)))</f>
        <v>712</v>
      </c>
      <c r="G80" s="14" t="str">
        <f>IF(LEFT($B80,4)="_Mil","",INDEX(Cascade!$U:$U,MATCH($E80,Cascade!$E:$E,0)))</f>
        <v/>
      </c>
      <c r="H80" s="88">
        <f>IF(LEFT($B80,4)="_Mil","",INDEX(Cascade!$W:$W,MATCH($E80,Cascade!$E:$E,0)))</f>
        <v>1125</v>
      </c>
      <c r="I80" s="14">
        <f>IF(LEFT($B80,4)="_Mil","",INDEX(Cascade!$Z:$Z,MATCH($E80,Cascade!$E:$E,0)))</f>
        <v>991</v>
      </c>
      <c r="J80" s="90">
        <f>IF(LEFT($B80,4)="_Mil","",INDEX(Cascade!$AA:$AA,MATCH($E80,Cascade!$E:$E,0)))</f>
        <v>1361</v>
      </c>
      <c r="K80" s="14"/>
      <c r="L80" s="14"/>
      <c r="M80" s="42" t="str">
        <f>IF(LEFT($B80,4)="_Mil","",IFERROR(1/(1/ROUND(INDEX(Spectrum!$N:$N,MATCH(RIGHT($B80,13)&amp;"|"&amp;$C80&amp;"|"&amp;$D80&amp;"|"&amp;M$14&amp;"|"&amp;"CY2023Q3",Spectrum!$R:$R,0)),0)),IF(SUM($L80)=0,"",$L80)))</f>
        <v/>
      </c>
      <c r="N80" s="42" t="str">
        <f>IF(LEFT($B80,4)="_Mil","",IFERROR(1/(1/ROUND(INDEX(Spectrum!$N:$N,MATCH(RIGHT($B80,13)&amp;"|"&amp;$C80&amp;"|"&amp;$D80&amp;"|"&amp;N$14&amp;"|"&amp;"CY2023Q3",Spectrum!$R:$R,0)),0)),IF(SUM($M80)=0,"",$M80)))</f>
        <v/>
      </c>
      <c r="O80" s="90">
        <f t="shared" si="31"/>
        <v>0</v>
      </c>
      <c r="P80" s="90">
        <f t="shared" si="32"/>
        <v>0.8</v>
      </c>
      <c r="Q80" s="42">
        <f t="shared" si="33"/>
        <v>570</v>
      </c>
      <c r="R80" s="42">
        <f t="shared" si="34"/>
        <v>570</v>
      </c>
      <c r="S80" s="90" t="str">
        <f t="shared" si="35"/>
        <v/>
      </c>
      <c r="T80" s="90" t="str">
        <f t="shared" si="36"/>
        <v/>
      </c>
      <c r="U80" s="90"/>
      <c r="V80" s="90" t="str">
        <f t="shared" si="37"/>
        <v/>
      </c>
      <c r="W80" s="90"/>
      <c r="X80" s="90" t="str">
        <f t="shared" si="38"/>
        <v/>
      </c>
      <c r="Y80" s="14" t="str">
        <f t="shared" si="39"/>
        <v>ENTER IN COL S</v>
      </c>
      <c r="Z80" s="42" t="str">
        <f t="shared" si="40"/>
        <v/>
      </c>
      <c r="AA80" s="42" t="str">
        <f t="shared" si="41"/>
        <v/>
      </c>
      <c r="AB80" s="42" t="str">
        <f t="shared" si="42"/>
        <v/>
      </c>
      <c r="AC80" s="14" t="str">
        <f>IFERROR(1/(1/INDEX(Cascade!$BH:$BH,MATCH($E80,Cascade!$E:$E,0))),"")</f>
        <v/>
      </c>
      <c r="AD80" s="14" t="str">
        <f t="shared" si="43"/>
        <v/>
      </c>
      <c r="AE80" s="14" t="str">
        <f>IFERROR(1/(1/INDEX(TB!$P:$P,MATCH($E80,TB!$E:$E,0))),"")</f>
        <v/>
      </c>
      <c r="AF80" s="14" t="str">
        <f t="shared" si="44"/>
        <v/>
      </c>
    </row>
    <row r="81" spans="1:32" x14ac:dyDescent="0.2">
      <c r="A81" t="str">
        <f>INDEX(Prioritization!$D:$D,MATCH($B81,Prioritization!$A:$A,0))</f>
        <v>1 - Scale-up: Saturation</v>
      </c>
      <c r="B81" t="s">
        <v>209</v>
      </c>
      <c r="C81" t="s">
        <v>366</v>
      </c>
      <c r="D81" t="s">
        <v>47</v>
      </c>
      <c r="E81" t="str">
        <f t="shared" si="30"/>
        <v>Balaka District [ir8wuHHzoSs]|35-49|Male</v>
      </c>
      <c r="F81" s="14">
        <f>IF(LEFT($B81,4)="_Mil","",INDEX(Cascade!$T:$T,MATCH($E81,Cascade!$E:$E,0)))</f>
        <v>1960</v>
      </c>
      <c r="G81" s="14" t="str">
        <f>IF(LEFT($B81,4)="_Mil","",INDEX(Cascade!$U:$U,MATCH($E81,Cascade!$E:$E,0)))</f>
        <v/>
      </c>
      <c r="H81" s="88">
        <f>IF(LEFT($B81,4)="_Mil","",INDEX(Cascade!$W:$W,MATCH($E81,Cascade!$E:$E,0)))</f>
        <v>1724</v>
      </c>
      <c r="I81" s="14">
        <f>IF(LEFT($B81,4)="_Mil","",INDEX(Cascade!$Z:$Z,MATCH($E81,Cascade!$E:$E,0)))</f>
        <v>1985</v>
      </c>
      <c r="J81" s="90">
        <f>IF(LEFT($B81,4)="_Mil","",INDEX(Cascade!$AA:$AA,MATCH($E81,Cascade!$E:$E,0)))</f>
        <v>1800</v>
      </c>
      <c r="K81" s="14"/>
      <c r="L81" s="14"/>
      <c r="M81" s="42" t="str">
        <f>IF(LEFT($B81,4)="_Mil","",IFERROR(1/(1/ROUND(INDEX(Spectrum!$N:$N,MATCH(RIGHT($B81,13)&amp;"|"&amp;$C81&amp;"|"&amp;$D81&amp;"|"&amp;M$14&amp;"|"&amp;"CY2023Q3",Spectrum!$R:$R,0)),0)),IF(SUM($L81)=0,"",$L81)))</f>
        <v/>
      </c>
      <c r="N81" s="42" t="str">
        <f>IF(LEFT($B81,4)="_Mil","",IFERROR(1/(1/ROUND(INDEX(Spectrum!$N:$N,MATCH(RIGHT($B81,13)&amp;"|"&amp;$C81&amp;"|"&amp;$D81&amp;"|"&amp;N$14&amp;"|"&amp;"CY2023Q3",Spectrum!$R:$R,0)),0)),IF(SUM($M81)=0,"",$M81)))</f>
        <v/>
      </c>
      <c r="O81" s="90">
        <f t="shared" si="31"/>
        <v>0</v>
      </c>
      <c r="P81" s="90">
        <f t="shared" si="32"/>
        <v>0.8</v>
      </c>
      <c r="Q81" s="42">
        <f t="shared" si="33"/>
        <v>1568</v>
      </c>
      <c r="R81" s="42">
        <f t="shared" si="34"/>
        <v>1568</v>
      </c>
      <c r="S81" s="90" t="str">
        <f t="shared" si="35"/>
        <v/>
      </c>
      <c r="T81" s="90" t="str">
        <f t="shared" si="36"/>
        <v/>
      </c>
      <c r="U81" s="90"/>
      <c r="V81" s="90" t="str">
        <f t="shared" si="37"/>
        <v/>
      </c>
      <c r="W81" s="90"/>
      <c r="X81" s="90" t="str">
        <f t="shared" si="38"/>
        <v/>
      </c>
      <c r="Y81" s="14" t="str">
        <f t="shared" si="39"/>
        <v>ENTER IN COL S</v>
      </c>
      <c r="Z81" s="42" t="str">
        <f t="shared" si="40"/>
        <v/>
      </c>
      <c r="AA81" s="42" t="str">
        <f t="shared" si="41"/>
        <v/>
      </c>
      <c r="AB81" s="42" t="str">
        <f t="shared" si="42"/>
        <v/>
      </c>
      <c r="AC81" s="14" t="str">
        <f>IFERROR(1/(1/INDEX(Cascade!$BH:$BH,MATCH($E81,Cascade!$E:$E,0))),"")</f>
        <v/>
      </c>
      <c r="AD81" s="14" t="str">
        <f t="shared" si="43"/>
        <v/>
      </c>
      <c r="AE81" s="14" t="str">
        <f>IFERROR(1/(1/INDEX(TB!$P:$P,MATCH($E81,TB!$E:$E,0))),"")</f>
        <v/>
      </c>
      <c r="AF81" s="14" t="str">
        <f t="shared" si="44"/>
        <v/>
      </c>
    </row>
    <row r="82" spans="1:32" x14ac:dyDescent="0.2">
      <c r="A82" t="str">
        <f>INDEX(Prioritization!$D:$D,MATCH($B82,Prioritization!$A:$A,0))</f>
        <v>1 - Scale-up: Saturation</v>
      </c>
      <c r="B82" t="s">
        <v>209</v>
      </c>
      <c r="C82" t="s">
        <v>367</v>
      </c>
      <c r="D82" t="s">
        <v>47</v>
      </c>
      <c r="E82" t="str">
        <f t="shared" si="30"/>
        <v>Balaka District [ir8wuHHzoSs]|50+|Male</v>
      </c>
      <c r="F82" s="14">
        <f>IF(LEFT($B82,4)="_Mil","",INDEX(Cascade!$T:$T,MATCH($E82,Cascade!$E:$E,0)))</f>
        <v>517</v>
      </c>
      <c r="G82" s="14" t="str">
        <f>IF(LEFT($B82,4)="_Mil","",INDEX(Cascade!$U:$U,MATCH($E82,Cascade!$E:$E,0)))</f>
        <v/>
      </c>
      <c r="H82" s="88">
        <f>IF(LEFT($B82,4)="_Mil","",INDEX(Cascade!$W:$W,MATCH($E82,Cascade!$E:$E,0)))</f>
        <v>666</v>
      </c>
      <c r="I82" s="14">
        <f>IF(LEFT($B82,4)="_Mil","",INDEX(Cascade!$Z:$Z,MATCH($E82,Cascade!$E:$E,0)))</f>
        <v>1557</v>
      </c>
      <c r="J82" s="90">
        <f>IF(LEFT($B82,4)="_Mil","",INDEX(Cascade!$AA:$AA,MATCH($E82,Cascade!$E:$E,0)))</f>
        <v>1036</v>
      </c>
      <c r="K82" s="14"/>
      <c r="L82" s="14"/>
      <c r="M82" s="42" t="str">
        <f>IF(LEFT($B82,4)="_Mil","",IFERROR(1/(1/ROUND(INDEX(Spectrum!$N:$N,MATCH(RIGHT($B82,13)&amp;"|"&amp;$C82&amp;"|"&amp;$D82&amp;"|"&amp;M$14&amp;"|"&amp;"CY2023Q3",Spectrum!$R:$R,0)),0)),IF(SUM($L82)=0,"",$L82)))</f>
        <v/>
      </c>
      <c r="N82" s="42" t="str">
        <f>IF(LEFT($B82,4)="_Mil","",IFERROR(1/(1/ROUND(INDEX(Spectrum!$N:$N,MATCH(RIGHT($B82,13)&amp;"|"&amp;$C82&amp;"|"&amp;$D82&amp;"|"&amp;N$14&amp;"|"&amp;"CY2023Q3",Spectrum!$R:$R,0)),0)),IF(SUM($M82)=0,"",$M82)))</f>
        <v/>
      </c>
      <c r="O82" s="90">
        <f t="shared" si="31"/>
        <v>0</v>
      </c>
      <c r="P82" s="90">
        <f t="shared" si="32"/>
        <v>0.8</v>
      </c>
      <c r="Q82" s="42">
        <f t="shared" si="33"/>
        <v>414</v>
      </c>
      <c r="R82" s="42">
        <f t="shared" si="34"/>
        <v>414</v>
      </c>
      <c r="S82" s="90" t="str">
        <f t="shared" si="35"/>
        <v/>
      </c>
      <c r="T82" s="90" t="str">
        <f t="shared" si="36"/>
        <v/>
      </c>
      <c r="U82" s="90"/>
      <c r="V82" s="90" t="str">
        <f t="shared" si="37"/>
        <v/>
      </c>
      <c r="W82" s="90"/>
      <c r="X82" s="90" t="str">
        <f t="shared" si="38"/>
        <v/>
      </c>
      <c r="Y82" s="14" t="str">
        <f t="shared" si="39"/>
        <v>ENTER IN COL S</v>
      </c>
      <c r="Z82" s="42" t="str">
        <f t="shared" si="40"/>
        <v/>
      </c>
      <c r="AA82" s="42" t="str">
        <f t="shared" si="41"/>
        <v/>
      </c>
      <c r="AB82" s="42" t="str">
        <f t="shared" si="42"/>
        <v/>
      </c>
      <c r="AC82" s="14" t="str">
        <f>IFERROR(1/(1/INDEX(Cascade!$BH:$BH,MATCH($E82,Cascade!$E:$E,0))),"")</f>
        <v/>
      </c>
      <c r="AD82" s="14" t="str">
        <f t="shared" si="43"/>
        <v/>
      </c>
      <c r="AE82" s="14" t="str">
        <f>IFERROR(1/(1/INDEX(TB!$P:$P,MATCH($E82,TB!$E:$E,0))),"")</f>
        <v/>
      </c>
      <c r="AF82" s="14" t="str">
        <f t="shared" si="44"/>
        <v/>
      </c>
    </row>
    <row r="83" spans="1:32" x14ac:dyDescent="0.2">
      <c r="A83" t="str">
        <f>INDEX(Prioritization!$D:$D,MATCH($B83,Prioritization!$A:$A,0))</f>
        <v>1 - Scale-up: Saturation</v>
      </c>
      <c r="B83" t="s">
        <v>210</v>
      </c>
      <c r="C83" t="s">
        <v>364</v>
      </c>
      <c r="D83" t="s">
        <v>47</v>
      </c>
      <c r="E83" t="str">
        <f t="shared" si="30"/>
        <v>Blantyre District [mxqa3CDFmIT]|15-24|Male</v>
      </c>
      <c r="F83" s="14">
        <f>IF(LEFT($B83,4)="_Mil","",INDEX(Cascade!$T:$T,MATCH($E83,Cascade!$E:$E,0)))</f>
        <v>1726</v>
      </c>
      <c r="G83" s="14" t="str">
        <f>IF(LEFT($B83,4)="_Mil","",INDEX(Cascade!$U:$U,MATCH($E83,Cascade!$E:$E,0)))</f>
        <v/>
      </c>
      <c r="H83" s="88">
        <f>IF(LEFT($B83,4)="_Mil","",INDEX(Cascade!$W:$W,MATCH($E83,Cascade!$E:$E,0)))</f>
        <v>1282</v>
      </c>
      <c r="I83" s="14">
        <f>IF(LEFT($B83,4)="_Mil","",INDEX(Cascade!$Z:$Z,MATCH($E83,Cascade!$E:$E,0)))</f>
        <v>510</v>
      </c>
      <c r="J83" s="90">
        <f>IF(LEFT($B83,4)="_Mil","",INDEX(Cascade!$AA:$AA,MATCH($E83,Cascade!$E:$E,0)))</f>
        <v>1085</v>
      </c>
      <c r="K83" s="14"/>
      <c r="L83" s="14"/>
      <c r="M83" s="42" t="str">
        <f>IF(LEFT($B83,4)="_Mil","",IFERROR(1/(1/ROUND(INDEX(Spectrum!$N:$N,MATCH(RIGHT($B83,13)&amp;"|"&amp;$C83&amp;"|"&amp;$D83&amp;"|"&amp;M$14&amp;"|"&amp;"CY2023Q3",Spectrum!$R:$R,0)),0)),IF(SUM($L83)=0,"",$L83)))</f>
        <v/>
      </c>
      <c r="N83" s="42" t="str">
        <f>IF(LEFT($B83,4)="_Mil","",IFERROR(1/(1/ROUND(INDEX(Spectrum!$N:$N,MATCH(RIGHT($B83,13)&amp;"|"&amp;$C83&amp;"|"&amp;$D83&amp;"|"&amp;N$14&amp;"|"&amp;"CY2023Q3",Spectrum!$R:$R,0)),0)),IF(SUM($M83)=0,"",$M83)))</f>
        <v/>
      </c>
      <c r="O83" s="90">
        <f t="shared" si="31"/>
        <v>0</v>
      </c>
      <c r="P83" s="90">
        <f t="shared" si="32"/>
        <v>0.8</v>
      </c>
      <c r="Q83" s="42">
        <f t="shared" si="33"/>
        <v>1381</v>
      </c>
      <c r="R83" s="42">
        <f t="shared" si="34"/>
        <v>1381</v>
      </c>
      <c r="S83" s="90" t="str">
        <f t="shared" si="35"/>
        <v/>
      </c>
      <c r="T83" s="90" t="str">
        <f t="shared" si="36"/>
        <v/>
      </c>
      <c r="U83" s="90"/>
      <c r="V83" s="90" t="str">
        <f t="shared" si="37"/>
        <v/>
      </c>
      <c r="W83" s="90"/>
      <c r="X83" s="90" t="str">
        <f t="shared" si="38"/>
        <v/>
      </c>
      <c r="Y83" s="14" t="str">
        <f t="shared" si="39"/>
        <v>ENTER IN COL S</v>
      </c>
      <c r="Z83" s="42" t="str">
        <f t="shared" si="40"/>
        <v/>
      </c>
      <c r="AA83" s="42" t="str">
        <f t="shared" si="41"/>
        <v/>
      </c>
      <c r="AB83" s="42" t="str">
        <f t="shared" si="42"/>
        <v/>
      </c>
      <c r="AC83" s="14" t="str">
        <f>IFERROR(1/(1/INDEX(Cascade!$BH:$BH,MATCH($E83,Cascade!$E:$E,0))),"")</f>
        <v/>
      </c>
      <c r="AD83" s="14" t="str">
        <f t="shared" si="43"/>
        <v/>
      </c>
      <c r="AE83" s="14" t="str">
        <f>IFERROR(1/(1/INDEX(TB!$P:$P,MATCH($E83,TB!$E:$E,0))),"")</f>
        <v/>
      </c>
      <c r="AF83" s="14" t="str">
        <f t="shared" si="44"/>
        <v/>
      </c>
    </row>
    <row r="84" spans="1:32" x14ac:dyDescent="0.2">
      <c r="A84" t="str">
        <f>INDEX(Prioritization!$D:$D,MATCH($B84,Prioritization!$A:$A,0))</f>
        <v>1 - Scale-up: Saturation</v>
      </c>
      <c r="B84" t="s">
        <v>210</v>
      </c>
      <c r="C84" t="s">
        <v>365</v>
      </c>
      <c r="D84" t="s">
        <v>47</v>
      </c>
      <c r="E84" t="str">
        <f t="shared" si="30"/>
        <v>Blantyre District [mxqa3CDFmIT]|25-34|Male</v>
      </c>
      <c r="F84" s="14">
        <f>IF(LEFT($B84,4)="_Mil","",INDEX(Cascade!$T:$T,MATCH($E84,Cascade!$E:$E,0)))</f>
        <v>1625</v>
      </c>
      <c r="G84" s="14" t="str">
        <f>IF(LEFT($B84,4)="_Mil","",INDEX(Cascade!$U:$U,MATCH($E84,Cascade!$E:$E,0)))</f>
        <v/>
      </c>
      <c r="H84" s="88">
        <f>IF(LEFT($B84,4)="_Mil","",INDEX(Cascade!$W:$W,MATCH($E84,Cascade!$E:$E,0)))</f>
        <v>1886</v>
      </c>
      <c r="I84" s="14">
        <f>IF(LEFT($B84,4)="_Mil","",INDEX(Cascade!$Z:$Z,MATCH($E84,Cascade!$E:$E,0)))</f>
        <v>925</v>
      </c>
      <c r="J84" s="90">
        <f>IF(LEFT($B84,4)="_Mil","",INDEX(Cascade!$AA:$AA,MATCH($E84,Cascade!$E:$E,0)))</f>
        <v>1673.0000000000002</v>
      </c>
      <c r="K84" s="14"/>
      <c r="L84" s="14"/>
      <c r="M84" s="42" t="str">
        <f>IF(LEFT($B84,4)="_Mil","",IFERROR(1/(1/ROUND(INDEX(Spectrum!$N:$N,MATCH(RIGHT($B84,13)&amp;"|"&amp;$C84&amp;"|"&amp;$D84&amp;"|"&amp;M$14&amp;"|"&amp;"CY2023Q3",Spectrum!$R:$R,0)),0)),IF(SUM($L84)=0,"",$L84)))</f>
        <v/>
      </c>
      <c r="N84" s="42" t="str">
        <f>IF(LEFT($B84,4)="_Mil","",IFERROR(1/(1/ROUND(INDEX(Spectrum!$N:$N,MATCH(RIGHT($B84,13)&amp;"|"&amp;$C84&amp;"|"&amp;$D84&amp;"|"&amp;N$14&amp;"|"&amp;"CY2023Q3",Spectrum!$R:$R,0)),0)),IF(SUM($M84)=0,"",$M84)))</f>
        <v/>
      </c>
      <c r="O84" s="90">
        <f t="shared" si="31"/>
        <v>0</v>
      </c>
      <c r="P84" s="90">
        <f t="shared" si="32"/>
        <v>0.8</v>
      </c>
      <c r="Q84" s="42">
        <f t="shared" si="33"/>
        <v>1300</v>
      </c>
      <c r="R84" s="42">
        <f t="shared" si="34"/>
        <v>1300</v>
      </c>
      <c r="S84" s="90" t="str">
        <f t="shared" si="35"/>
        <v/>
      </c>
      <c r="T84" s="90" t="str">
        <f t="shared" si="36"/>
        <v/>
      </c>
      <c r="U84" s="90"/>
      <c r="V84" s="90" t="str">
        <f t="shared" si="37"/>
        <v/>
      </c>
      <c r="W84" s="90"/>
      <c r="X84" s="90" t="str">
        <f t="shared" si="38"/>
        <v/>
      </c>
      <c r="Y84" s="14" t="str">
        <f t="shared" si="39"/>
        <v>ENTER IN COL S</v>
      </c>
      <c r="Z84" s="42" t="str">
        <f t="shared" si="40"/>
        <v/>
      </c>
      <c r="AA84" s="42" t="str">
        <f t="shared" si="41"/>
        <v/>
      </c>
      <c r="AB84" s="42" t="str">
        <f t="shared" si="42"/>
        <v/>
      </c>
      <c r="AC84" s="14" t="str">
        <f>IFERROR(1/(1/INDEX(Cascade!$BH:$BH,MATCH($E84,Cascade!$E:$E,0))),"")</f>
        <v/>
      </c>
      <c r="AD84" s="14" t="str">
        <f t="shared" si="43"/>
        <v/>
      </c>
      <c r="AE84" s="14" t="str">
        <f>IFERROR(1/(1/INDEX(TB!$P:$P,MATCH($E84,TB!$E:$E,0))),"")</f>
        <v/>
      </c>
      <c r="AF84" s="14" t="str">
        <f t="shared" si="44"/>
        <v/>
      </c>
    </row>
    <row r="85" spans="1:32" x14ac:dyDescent="0.2">
      <c r="A85" t="str">
        <f>INDEX(Prioritization!$D:$D,MATCH($B85,Prioritization!$A:$A,0))</f>
        <v>1 - Scale-up: Saturation</v>
      </c>
      <c r="B85" t="s">
        <v>210</v>
      </c>
      <c r="C85" t="s">
        <v>366</v>
      </c>
      <c r="D85" t="s">
        <v>47</v>
      </c>
      <c r="E85" t="str">
        <f t="shared" si="30"/>
        <v>Blantyre District [mxqa3CDFmIT]|35-49|Male</v>
      </c>
      <c r="F85" s="14">
        <f>IF(LEFT($B85,4)="_Mil","",INDEX(Cascade!$T:$T,MATCH($E85,Cascade!$E:$E,0)))</f>
        <v>1147</v>
      </c>
      <c r="G85" s="14" t="str">
        <f>IF(LEFT($B85,4)="_Mil","",INDEX(Cascade!$U:$U,MATCH($E85,Cascade!$E:$E,0)))</f>
        <v/>
      </c>
      <c r="H85" s="88">
        <f>IF(LEFT($B85,4)="_Mil","",INDEX(Cascade!$W:$W,MATCH($E85,Cascade!$E:$E,0)))</f>
        <v>555</v>
      </c>
      <c r="I85" s="14">
        <f>IF(LEFT($B85,4)="_Mil","",INDEX(Cascade!$Z:$Z,MATCH($E85,Cascade!$E:$E,0)))</f>
        <v>708</v>
      </c>
      <c r="J85" s="90">
        <f>IF(LEFT($B85,4)="_Mil","",INDEX(Cascade!$AA:$AA,MATCH($E85,Cascade!$E:$E,0)))</f>
        <v>1340</v>
      </c>
      <c r="K85" s="14"/>
      <c r="L85" s="14"/>
      <c r="M85" s="42" t="str">
        <f>IF(LEFT($B85,4)="_Mil","",IFERROR(1/(1/ROUND(INDEX(Spectrum!$N:$N,MATCH(RIGHT($B85,13)&amp;"|"&amp;$C85&amp;"|"&amp;$D85&amp;"|"&amp;M$14&amp;"|"&amp;"CY2023Q3",Spectrum!$R:$R,0)),0)),IF(SUM($L85)=0,"",$L85)))</f>
        <v/>
      </c>
      <c r="N85" s="42" t="str">
        <f>IF(LEFT($B85,4)="_Mil","",IFERROR(1/(1/ROUND(INDEX(Spectrum!$N:$N,MATCH(RIGHT($B85,13)&amp;"|"&amp;$C85&amp;"|"&amp;$D85&amp;"|"&amp;N$14&amp;"|"&amp;"CY2023Q3",Spectrum!$R:$R,0)),0)),IF(SUM($M85)=0,"",$M85)))</f>
        <v/>
      </c>
      <c r="O85" s="90">
        <f t="shared" si="31"/>
        <v>0</v>
      </c>
      <c r="P85" s="90">
        <f t="shared" si="32"/>
        <v>0.8</v>
      </c>
      <c r="Q85" s="42">
        <f t="shared" si="33"/>
        <v>918</v>
      </c>
      <c r="R85" s="42">
        <f t="shared" si="34"/>
        <v>918</v>
      </c>
      <c r="S85" s="90" t="str">
        <f t="shared" si="35"/>
        <v/>
      </c>
      <c r="T85" s="90" t="str">
        <f t="shared" si="36"/>
        <v/>
      </c>
      <c r="U85" s="90"/>
      <c r="V85" s="90" t="str">
        <f t="shared" si="37"/>
        <v/>
      </c>
      <c r="W85" s="90"/>
      <c r="X85" s="90" t="str">
        <f t="shared" si="38"/>
        <v/>
      </c>
      <c r="Y85" s="14" t="str">
        <f t="shared" si="39"/>
        <v>ENTER IN COL S</v>
      </c>
      <c r="Z85" s="42" t="str">
        <f t="shared" si="40"/>
        <v/>
      </c>
      <c r="AA85" s="42" t="str">
        <f t="shared" si="41"/>
        <v/>
      </c>
      <c r="AB85" s="42" t="str">
        <f t="shared" si="42"/>
        <v/>
      </c>
      <c r="AC85" s="14" t="str">
        <f>IFERROR(1/(1/INDEX(Cascade!$BH:$BH,MATCH($E85,Cascade!$E:$E,0))),"")</f>
        <v/>
      </c>
      <c r="AD85" s="14" t="str">
        <f t="shared" si="43"/>
        <v/>
      </c>
      <c r="AE85" s="14" t="str">
        <f>IFERROR(1/(1/INDEX(TB!$P:$P,MATCH($E85,TB!$E:$E,0))),"")</f>
        <v/>
      </c>
      <c r="AF85" s="14" t="str">
        <f t="shared" si="44"/>
        <v/>
      </c>
    </row>
    <row r="86" spans="1:32" x14ac:dyDescent="0.2">
      <c r="A86" t="str">
        <f>INDEX(Prioritization!$D:$D,MATCH($B86,Prioritization!$A:$A,0))</f>
        <v>1 - Scale-up: Saturation</v>
      </c>
      <c r="B86" t="s">
        <v>210</v>
      </c>
      <c r="C86" t="s">
        <v>367</v>
      </c>
      <c r="D86" t="s">
        <v>47</v>
      </c>
      <c r="E86" t="str">
        <f t="shared" si="30"/>
        <v>Blantyre District [mxqa3CDFmIT]|50+|Male</v>
      </c>
      <c r="F86" s="14">
        <f>IF(LEFT($B86,4)="_Mil","",INDEX(Cascade!$T:$T,MATCH($E86,Cascade!$E:$E,0)))</f>
        <v>815</v>
      </c>
      <c r="G86" s="14" t="str">
        <f>IF(LEFT($B86,4)="_Mil","",INDEX(Cascade!$U:$U,MATCH($E86,Cascade!$E:$E,0)))</f>
        <v/>
      </c>
      <c r="H86" s="88">
        <f>IF(LEFT($B86,4)="_Mil","",INDEX(Cascade!$W:$W,MATCH($E86,Cascade!$E:$E,0)))</f>
        <v>1517</v>
      </c>
      <c r="I86" s="14">
        <f>IF(LEFT($B86,4)="_Mil","",INDEX(Cascade!$Z:$Z,MATCH($E86,Cascade!$E:$E,0)))</f>
        <v>1916</v>
      </c>
      <c r="J86" s="90">
        <f>IF(LEFT($B86,4)="_Mil","",INDEX(Cascade!$AA:$AA,MATCH($E86,Cascade!$E:$E,0)))</f>
        <v>747</v>
      </c>
      <c r="K86" s="14"/>
      <c r="L86" s="14"/>
      <c r="M86" s="42" t="str">
        <f>IF(LEFT($B86,4)="_Mil","",IFERROR(1/(1/ROUND(INDEX(Spectrum!$N:$N,MATCH(RIGHT($B86,13)&amp;"|"&amp;$C86&amp;"|"&amp;$D86&amp;"|"&amp;M$14&amp;"|"&amp;"CY2023Q3",Spectrum!$R:$R,0)),0)),IF(SUM($L86)=0,"",$L86)))</f>
        <v/>
      </c>
      <c r="N86" s="42" t="str">
        <f>IF(LEFT($B86,4)="_Mil","",IFERROR(1/(1/ROUND(INDEX(Spectrum!$N:$N,MATCH(RIGHT($B86,13)&amp;"|"&amp;$C86&amp;"|"&amp;$D86&amp;"|"&amp;N$14&amp;"|"&amp;"CY2023Q3",Spectrum!$R:$R,0)),0)),IF(SUM($M86)=0,"",$M86)))</f>
        <v/>
      </c>
      <c r="O86" s="90">
        <f t="shared" si="31"/>
        <v>0</v>
      </c>
      <c r="P86" s="90">
        <f t="shared" si="32"/>
        <v>0.8</v>
      </c>
      <c r="Q86" s="42">
        <f t="shared" si="33"/>
        <v>652</v>
      </c>
      <c r="R86" s="42">
        <f t="shared" si="34"/>
        <v>652</v>
      </c>
      <c r="S86" s="90" t="str">
        <f t="shared" si="35"/>
        <v/>
      </c>
      <c r="T86" s="90" t="str">
        <f t="shared" si="36"/>
        <v/>
      </c>
      <c r="U86" s="90"/>
      <c r="V86" s="90" t="str">
        <f t="shared" si="37"/>
        <v/>
      </c>
      <c r="W86" s="90"/>
      <c r="X86" s="90" t="str">
        <f t="shared" si="38"/>
        <v/>
      </c>
      <c r="Y86" s="14" t="str">
        <f t="shared" si="39"/>
        <v>ENTER IN COL S</v>
      </c>
      <c r="Z86" s="42" t="str">
        <f t="shared" si="40"/>
        <v/>
      </c>
      <c r="AA86" s="42" t="str">
        <f t="shared" si="41"/>
        <v/>
      </c>
      <c r="AB86" s="42" t="str">
        <f t="shared" si="42"/>
        <v/>
      </c>
      <c r="AC86" s="14" t="str">
        <f>IFERROR(1/(1/INDEX(Cascade!$BH:$BH,MATCH($E86,Cascade!$E:$E,0))),"")</f>
        <v/>
      </c>
      <c r="AD86" s="14" t="str">
        <f t="shared" si="43"/>
        <v/>
      </c>
      <c r="AE86" s="14" t="str">
        <f>IFERROR(1/(1/INDEX(TB!$P:$P,MATCH($E86,TB!$E:$E,0))),"")</f>
        <v/>
      </c>
      <c r="AF86" s="14" t="str">
        <f t="shared" si="44"/>
        <v/>
      </c>
    </row>
    <row r="87" spans="1:32" x14ac:dyDescent="0.2">
      <c r="A87" t="str">
        <f>INDEX(Prioritization!$D:$D,MATCH($B87,Prioritization!$A:$A,0))</f>
        <v>1 - Scale-up: Saturation</v>
      </c>
      <c r="B87" t="s">
        <v>211</v>
      </c>
      <c r="C87" t="s">
        <v>364</v>
      </c>
      <c r="D87" t="s">
        <v>47</v>
      </c>
      <c r="E87" t="str">
        <f t="shared" si="30"/>
        <v>Chikwawa District [U8c0so51kT6]|15-24|Male</v>
      </c>
      <c r="F87" s="14">
        <f>IF(LEFT($B87,4)="_Mil","",INDEX(Cascade!$T:$T,MATCH($E87,Cascade!$E:$E,0)))</f>
        <v>999</v>
      </c>
      <c r="G87" s="14" t="str">
        <f>IF(LEFT($B87,4)="_Mil","",INDEX(Cascade!$U:$U,MATCH($E87,Cascade!$E:$E,0)))</f>
        <v/>
      </c>
      <c r="H87" s="88">
        <f>IF(LEFT($B87,4)="_Mil","",INDEX(Cascade!$W:$W,MATCH($E87,Cascade!$E:$E,0)))</f>
        <v>1193</v>
      </c>
      <c r="I87" s="14">
        <f>IF(LEFT($B87,4)="_Mil","",INDEX(Cascade!$Z:$Z,MATCH($E87,Cascade!$E:$E,0)))</f>
        <v>601</v>
      </c>
      <c r="J87" s="90">
        <f>IF(LEFT($B87,4)="_Mil","",INDEX(Cascade!$AA:$AA,MATCH($E87,Cascade!$E:$E,0)))</f>
        <v>1268</v>
      </c>
      <c r="K87" s="14"/>
      <c r="L87" s="14"/>
      <c r="M87" s="42" t="str">
        <f>IF(LEFT($B87,4)="_Mil","",IFERROR(1/(1/ROUND(INDEX(Spectrum!$N:$N,MATCH(RIGHT($B87,13)&amp;"|"&amp;$C87&amp;"|"&amp;$D87&amp;"|"&amp;M$14&amp;"|"&amp;"CY2023Q3",Spectrum!$R:$R,0)),0)),IF(SUM($L87)=0,"",$L87)))</f>
        <v/>
      </c>
      <c r="N87" s="42" t="str">
        <f>IF(LEFT($B87,4)="_Mil","",IFERROR(1/(1/ROUND(INDEX(Spectrum!$N:$N,MATCH(RIGHT($B87,13)&amp;"|"&amp;$C87&amp;"|"&amp;$D87&amp;"|"&amp;N$14&amp;"|"&amp;"CY2023Q3",Spectrum!$R:$R,0)),0)),IF(SUM($M87)=0,"",$M87)))</f>
        <v/>
      </c>
      <c r="O87" s="90">
        <f t="shared" si="31"/>
        <v>0</v>
      </c>
      <c r="P87" s="90">
        <f t="shared" si="32"/>
        <v>0.8</v>
      </c>
      <c r="Q87" s="42">
        <f t="shared" si="33"/>
        <v>799</v>
      </c>
      <c r="R87" s="42">
        <f t="shared" si="34"/>
        <v>799</v>
      </c>
      <c r="S87" s="90" t="str">
        <f t="shared" si="35"/>
        <v/>
      </c>
      <c r="T87" s="90" t="str">
        <f t="shared" si="36"/>
        <v/>
      </c>
      <c r="U87" s="90"/>
      <c r="V87" s="90" t="str">
        <f t="shared" si="37"/>
        <v/>
      </c>
      <c r="W87" s="90"/>
      <c r="X87" s="90" t="str">
        <f t="shared" si="38"/>
        <v/>
      </c>
      <c r="Y87" s="14" t="str">
        <f t="shared" si="39"/>
        <v>ENTER IN COL S</v>
      </c>
      <c r="Z87" s="42" t="str">
        <f t="shared" si="40"/>
        <v/>
      </c>
      <c r="AA87" s="42" t="str">
        <f t="shared" si="41"/>
        <v/>
      </c>
      <c r="AB87" s="42" t="str">
        <f t="shared" si="42"/>
        <v/>
      </c>
      <c r="AC87" s="14" t="str">
        <f>IFERROR(1/(1/INDEX(Cascade!$BH:$BH,MATCH($E87,Cascade!$E:$E,0))),"")</f>
        <v/>
      </c>
      <c r="AD87" s="14" t="str">
        <f t="shared" si="43"/>
        <v/>
      </c>
      <c r="AE87" s="14" t="str">
        <f>IFERROR(1/(1/INDEX(TB!$P:$P,MATCH($E87,TB!$E:$E,0))),"")</f>
        <v/>
      </c>
      <c r="AF87" s="14" t="str">
        <f t="shared" si="44"/>
        <v/>
      </c>
    </row>
    <row r="88" spans="1:32" x14ac:dyDescent="0.2">
      <c r="A88" t="str">
        <f>INDEX(Prioritization!$D:$D,MATCH($B88,Prioritization!$A:$A,0))</f>
        <v>1 - Scale-up: Saturation</v>
      </c>
      <c r="B88" t="s">
        <v>211</v>
      </c>
      <c r="C88" t="s">
        <v>365</v>
      </c>
      <c r="D88" t="s">
        <v>47</v>
      </c>
      <c r="E88" t="str">
        <f t="shared" si="30"/>
        <v>Chikwawa District [U8c0so51kT6]|25-34|Male</v>
      </c>
      <c r="F88" s="14">
        <f>IF(LEFT($B88,4)="_Mil","",INDEX(Cascade!$T:$T,MATCH($E88,Cascade!$E:$E,0)))</f>
        <v>870</v>
      </c>
      <c r="G88" s="14" t="str">
        <f>IF(LEFT($B88,4)="_Mil","",INDEX(Cascade!$U:$U,MATCH($E88,Cascade!$E:$E,0)))</f>
        <v/>
      </c>
      <c r="H88" s="88">
        <f>IF(LEFT($B88,4)="_Mil","",INDEX(Cascade!$W:$W,MATCH($E88,Cascade!$E:$E,0)))</f>
        <v>1112</v>
      </c>
      <c r="I88" s="14">
        <f>IF(LEFT($B88,4)="_Mil","",INDEX(Cascade!$Z:$Z,MATCH($E88,Cascade!$E:$E,0)))</f>
        <v>1916</v>
      </c>
      <c r="J88" s="90">
        <f>IF(LEFT($B88,4)="_Mil","",INDEX(Cascade!$AA:$AA,MATCH($E88,Cascade!$E:$E,0)))</f>
        <v>1897</v>
      </c>
      <c r="K88" s="14"/>
      <c r="L88" s="14"/>
      <c r="M88" s="42" t="str">
        <f>IF(LEFT($B88,4)="_Mil","",IFERROR(1/(1/ROUND(INDEX(Spectrum!$N:$N,MATCH(RIGHT($B88,13)&amp;"|"&amp;$C88&amp;"|"&amp;$D88&amp;"|"&amp;M$14&amp;"|"&amp;"CY2023Q3",Spectrum!$R:$R,0)),0)),IF(SUM($L88)=0,"",$L88)))</f>
        <v/>
      </c>
      <c r="N88" s="42" t="str">
        <f>IF(LEFT($B88,4)="_Mil","",IFERROR(1/(1/ROUND(INDEX(Spectrum!$N:$N,MATCH(RIGHT($B88,13)&amp;"|"&amp;$C88&amp;"|"&amp;$D88&amp;"|"&amp;N$14&amp;"|"&amp;"CY2023Q3",Spectrum!$R:$R,0)),0)),IF(SUM($M88)=0,"",$M88)))</f>
        <v/>
      </c>
      <c r="O88" s="90">
        <f t="shared" si="31"/>
        <v>0</v>
      </c>
      <c r="P88" s="90">
        <f t="shared" si="32"/>
        <v>0.8</v>
      </c>
      <c r="Q88" s="42">
        <f t="shared" si="33"/>
        <v>696</v>
      </c>
      <c r="R88" s="42">
        <f t="shared" si="34"/>
        <v>696</v>
      </c>
      <c r="S88" s="90" t="str">
        <f t="shared" si="35"/>
        <v/>
      </c>
      <c r="T88" s="90" t="str">
        <f t="shared" si="36"/>
        <v/>
      </c>
      <c r="U88" s="90"/>
      <c r="V88" s="90" t="str">
        <f t="shared" si="37"/>
        <v/>
      </c>
      <c r="W88" s="90"/>
      <c r="X88" s="90" t="str">
        <f t="shared" si="38"/>
        <v/>
      </c>
      <c r="Y88" s="14" t="str">
        <f t="shared" si="39"/>
        <v>ENTER IN COL S</v>
      </c>
      <c r="Z88" s="42" t="str">
        <f t="shared" si="40"/>
        <v/>
      </c>
      <c r="AA88" s="42" t="str">
        <f t="shared" si="41"/>
        <v/>
      </c>
      <c r="AB88" s="42" t="str">
        <f t="shared" si="42"/>
        <v/>
      </c>
      <c r="AC88" s="14" t="str">
        <f>IFERROR(1/(1/INDEX(Cascade!$BH:$BH,MATCH($E88,Cascade!$E:$E,0))),"")</f>
        <v/>
      </c>
      <c r="AD88" s="14" t="str">
        <f t="shared" si="43"/>
        <v/>
      </c>
      <c r="AE88" s="14" t="str">
        <f>IFERROR(1/(1/INDEX(TB!$P:$P,MATCH($E88,TB!$E:$E,0))),"")</f>
        <v/>
      </c>
      <c r="AF88" s="14" t="str">
        <f t="shared" si="44"/>
        <v/>
      </c>
    </row>
    <row r="89" spans="1:32" x14ac:dyDescent="0.2">
      <c r="A89" t="str">
        <f>INDEX(Prioritization!$D:$D,MATCH($B89,Prioritization!$A:$A,0))</f>
        <v>1 - Scale-up: Saturation</v>
      </c>
      <c r="B89" t="s">
        <v>211</v>
      </c>
      <c r="C89" t="s">
        <v>366</v>
      </c>
      <c r="D89" t="s">
        <v>47</v>
      </c>
      <c r="E89" t="str">
        <f t="shared" si="30"/>
        <v>Chikwawa District [U8c0so51kT6]|35-49|Male</v>
      </c>
      <c r="F89" s="14">
        <f>IF(LEFT($B89,4)="_Mil","",INDEX(Cascade!$T:$T,MATCH($E89,Cascade!$E:$E,0)))</f>
        <v>1906</v>
      </c>
      <c r="G89" s="14" t="str">
        <f>IF(LEFT($B89,4)="_Mil","",INDEX(Cascade!$U:$U,MATCH($E89,Cascade!$E:$E,0)))</f>
        <v/>
      </c>
      <c r="H89" s="88">
        <f>IF(LEFT($B89,4)="_Mil","",INDEX(Cascade!$W:$W,MATCH($E89,Cascade!$E:$E,0)))</f>
        <v>1035</v>
      </c>
      <c r="I89" s="14">
        <f>IF(LEFT($B89,4)="_Mil","",INDEX(Cascade!$Z:$Z,MATCH($E89,Cascade!$E:$E,0)))</f>
        <v>629</v>
      </c>
      <c r="J89" s="90">
        <f>IF(LEFT($B89,4)="_Mil","",INDEX(Cascade!$AA:$AA,MATCH($E89,Cascade!$E:$E,0)))</f>
        <v>506.00000000000006</v>
      </c>
      <c r="K89" s="14"/>
      <c r="L89" s="14"/>
      <c r="M89" s="42" t="str">
        <f>IF(LEFT($B89,4)="_Mil","",IFERROR(1/(1/ROUND(INDEX(Spectrum!$N:$N,MATCH(RIGHT($B89,13)&amp;"|"&amp;$C89&amp;"|"&amp;$D89&amp;"|"&amp;M$14&amp;"|"&amp;"CY2023Q3",Spectrum!$R:$R,0)),0)),IF(SUM($L89)=0,"",$L89)))</f>
        <v/>
      </c>
      <c r="N89" s="42" t="str">
        <f>IF(LEFT($B89,4)="_Mil","",IFERROR(1/(1/ROUND(INDEX(Spectrum!$N:$N,MATCH(RIGHT($B89,13)&amp;"|"&amp;$C89&amp;"|"&amp;$D89&amp;"|"&amp;N$14&amp;"|"&amp;"CY2023Q3",Spectrum!$R:$R,0)),0)),IF(SUM($M89)=0,"",$M89)))</f>
        <v/>
      </c>
      <c r="O89" s="90">
        <f t="shared" si="31"/>
        <v>0</v>
      </c>
      <c r="P89" s="90">
        <f t="shared" si="32"/>
        <v>0.8</v>
      </c>
      <c r="Q89" s="42">
        <f t="shared" si="33"/>
        <v>1525</v>
      </c>
      <c r="R89" s="42">
        <f t="shared" si="34"/>
        <v>1525</v>
      </c>
      <c r="S89" s="90" t="str">
        <f t="shared" si="35"/>
        <v/>
      </c>
      <c r="T89" s="90" t="str">
        <f t="shared" si="36"/>
        <v/>
      </c>
      <c r="U89" s="90"/>
      <c r="V89" s="90" t="str">
        <f t="shared" si="37"/>
        <v/>
      </c>
      <c r="W89" s="90"/>
      <c r="X89" s="90" t="str">
        <f t="shared" si="38"/>
        <v/>
      </c>
      <c r="Y89" s="14" t="str">
        <f t="shared" si="39"/>
        <v>ENTER IN COL S</v>
      </c>
      <c r="Z89" s="42" t="str">
        <f t="shared" si="40"/>
        <v/>
      </c>
      <c r="AA89" s="42" t="str">
        <f t="shared" si="41"/>
        <v/>
      </c>
      <c r="AB89" s="42" t="str">
        <f t="shared" si="42"/>
        <v/>
      </c>
      <c r="AC89" s="14" t="str">
        <f>IFERROR(1/(1/INDEX(Cascade!$BH:$BH,MATCH($E89,Cascade!$E:$E,0))),"")</f>
        <v/>
      </c>
      <c r="AD89" s="14" t="str">
        <f t="shared" si="43"/>
        <v/>
      </c>
      <c r="AE89" s="14" t="str">
        <f>IFERROR(1/(1/INDEX(TB!$P:$P,MATCH($E89,TB!$E:$E,0))),"")</f>
        <v/>
      </c>
      <c r="AF89" s="14" t="str">
        <f t="shared" si="44"/>
        <v/>
      </c>
    </row>
    <row r="90" spans="1:32" x14ac:dyDescent="0.2">
      <c r="A90" t="str">
        <f>INDEX(Prioritization!$D:$D,MATCH($B90,Prioritization!$A:$A,0))</f>
        <v>1 - Scale-up: Saturation</v>
      </c>
      <c r="B90" t="s">
        <v>211</v>
      </c>
      <c r="C90" t="s">
        <v>367</v>
      </c>
      <c r="D90" t="s">
        <v>47</v>
      </c>
      <c r="E90" t="str">
        <f t="shared" si="30"/>
        <v>Chikwawa District [U8c0so51kT6]|50+|Male</v>
      </c>
      <c r="F90" s="14">
        <f>IF(LEFT($B90,4)="_Mil","",INDEX(Cascade!$T:$T,MATCH($E90,Cascade!$E:$E,0)))</f>
        <v>1031</v>
      </c>
      <c r="G90" s="14" t="str">
        <f>IF(LEFT($B90,4)="_Mil","",INDEX(Cascade!$U:$U,MATCH($E90,Cascade!$E:$E,0)))</f>
        <v/>
      </c>
      <c r="H90" s="88">
        <f>IF(LEFT($B90,4)="_Mil","",INDEX(Cascade!$W:$W,MATCH($E90,Cascade!$E:$E,0)))</f>
        <v>1776</v>
      </c>
      <c r="I90" s="14">
        <f>IF(LEFT($B90,4)="_Mil","",INDEX(Cascade!$Z:$Z,MATCH($E90,Cascade!$E:$E,0)))</f>
        <v>1023</v>
      </c>
      <c r="J90" s="90">
        <f>IF(LEFT($B90,4)="_Mil","",INDEX(Cascade!$AA:$AA,MATCH($E90,Cascade!$E:$E,0)))</f>
        <v>1963</v>
      </c>
      <c r="K90" s="14"/>
      <c r="L90" s="14"/>
      <c r="M90" s="42" t="str">
        <f>IF(LEFT($B90,4)="_Mil","",IFERROR(1/(1/ROUND(INDEX(Spectrum!$N:$N,MATCH(RIGHT($B90,13)&amp;"|"&amp;$C90&amp;"|"&amp;$D90&amp;"|"&amp;M$14&amp;"|"&amp;"CY2023Q3",Spectrum!$R:$R,0)),0)),IF(SUM($L90)=0,"",$L90)))</f>
        <v/>
      </c>
      <c r="N90" s="42" t="str">
        <f>IF(LEFT($B90,4)="_Mil","",IFERROR(1/(1/ROUND(INDEX(Spectrum!$N:$N,MATCH(RIGHT($B90,13)&amp;"|"&amp;$C90&amp;"|"&amp;$D90&amp;"|"&amp;N$14&amp;"|"&amp;"CY2023Q3",Spectrum!$R:$R,0)),0)),IF(SUM($M90)=0,"",$M90)))</f>
        <v/>
      </c>
      <c r="O90" s="90">
        <f t="shared" si="31"/>
        <v>0</v>
      </c>
      <c r="P90" s="90">
        <f t="shared" si="32"/>
        <v>0.8</v>
      </c>
      <c r="Q90" s="42">
        <f t="shared" si="33"/>
        <v>825</v>
      </c>
      <c r="R90" s="42">
        <f t="shared" si="34"/>
        <v>825</v>
      </c>
      <c r="S90" s="90" t="str">
        <f t="shared" si="35"/>
        <v/>
      </c>
      <c r="T90" s="90" t="str">
        <f t="shared" si="36"/>
        <v/>
      </c>
      <c r="U90" s="90"/>
      <c r="V90" s="90" t="str">
        <f t="shared" si="37"/>
        <v/>
      </c>
      <c r="W90" s="90"/>
      <c r="X90" s="90" t="str">
        <f t="shared" si="38"/>
        <v/>
      </c>
      <c r="Y90" s="14" t="str">
        <f t="shared" si="39"/>
        <v>ENTER IN COL S</v>
      </c>
      <c r="Z90" s="42" t="str">
        <f t="shared" si="40"/>
        <v/>
      </c>
      <c r="AA90" s="42" t="str">
        <f t="shared" si="41"/>
        <v/>
      </c>
      <c r="AB90" s="42" t="str">
        <f t="shared" si="42"/>
        <v/>
      </c>
      <c r="AC90" s="14" t="str">
        <f>IFERROR(1/(1/INDEX(Cascade!$BH:$BH,MATCH($E90,Cascade!$E:$E,0))),"")</f>
        <v/>
      </c>
      <c r="AD90" s="14" t="str">
        <f t="shared" si="43"/>
        <v/>
      </c>
      <c r="AE90" s="14" t="str">
        <f>IFERROR(1/(1/INDEX(TB!$P:$P,MATCH($E90,TB!$E:$E,0))),"")</f>
        <v/>
      </c>
      <c r="AF90" s="14" t="str">
        <f t="shared" si="44"/>
        <v/>
      </c>
    </row>
    <row r="91" spans="1:32" x14ac:dyDescent="0.2">
      <c r="A91" t="str">
        <f>INDEX(Prioritization!$D:$D,MATCH($B91,Prioritization!$A:$A,0))</f>
        <v>1 - Scale-up: Saturation</v>
      </c>
      <c r="B91" t="s">
        <v>212</v>
      </c>
      <c r="C91" t="s">
        <v>364</v>
      </c>
      <c r="D91" t="s">
        <v>47</v>
      </c>
      <c r="E91" t="str">
        <f t="shared" si="30"/>
        <v>Chiradzulu District [oiPR2CiVJbf]|15-24|Male</v>
      </c>
      <c r="F91" s="14">
        <f>IF(LEFT($B91,4)="_Mil","",INDEX(Cascade!$T:$T,MATCH($E91,Cascade!$E:$E,0)))</f>
        <v>691</v>
      </c>
      <c r="G91" s="14" t="str">
        <f>IF(LEFT($B91,4)="_Mil","",INDEX(Cascade!$U:$U,MATCH($E91,Cascade!$E:$E,0)))</f>
        <v/>
      </c>
      <c r="H91" s="88">
        <f>IF(LEFT($B91,4)="_Mil","",INDEX(Cascade!$W:$W,MATCH($E91,Cascade!$E:$E,0)))</f>
        <v>952</v>
      </c>
      <c r="I91" s="14">
        <f>IF(LEFT($B91,4)="_Mil","",INDEX(Cascade!$Z:$Z,MATCH($E91,Cascade!$E:$E,0)))</f>
        <v>525</v>
      </c>
      <c r="J91" s="90">
        <f>IF(LEFT($B91,4)="_Mil","",INDEX(Cascade!$AA:$AA,MATCH($E91,Cascade!$E:$E,0)))</f>
        <v>1765.0000000000002</v>
      </c>
      <c r="K91" s="14"/>
      <c r="L91" s="14"/>
      <c r="M91" s="42" t="str">
        <f>IF(LEFT($B91,4)="_Mil","",IFERROR(1/(1/ROUND(INDEX(Spectrum!$N:$N,MATCH(RIGHT($B91,13)&amp;"|"&amp;$C91&amp;"|"&amp;$D91&amp;"|"&amp;M$14&amp;"|"&amp;"CY2023Q3",Spectrum!$R:$R,0)),0)),IF(SUM($L91)=0,"",$L91)))</f>
        <v/>
      </c>
      <c r="N91" s="42" t="str">
        <f>IF(LEFT($B91,4)="_Mil","",IFERROR(1/(1/ROUND(INDEX(Spectrum!$N:$N,MATCH(RIGHT($B91,13)&amp;"|"&amp;$C91&amp;"|"&amp;$D91&amp;"|"&amp;N$14&amp;"|"&amp;"CY2023Q3",Spectrum!$R:$R,0)),0)),IF(SUM($M91)=0,"",$M91)))</f>
        <v/>
      </c>
      <c r="O91" s="90">
        <f t="shared" si="31"/>
        <v>0</v>
      </c>
      <c r="P91" s="90">
        <f t="shared" si="32"/>
        <v>0.8</v>
      </c>
      <c r="Q91" s="42">
        <f t="shared" si="33"/>
        <v>553</v>
      </c>
      <c r="R91" s="42">
        <f t="shared" si="34"/>
        <v>553</v>
      </c>
      <c r="S91" s="90" t="str">
        <f t="shared" si="35"/>
        <v/>
      </c>
      <c r="T91" s="90" t="str">
        <f t="shared" si="36"/>
        <v/>
      </c>
      <c r="U91" s="90"/>
      <c r="V91" s="90" t="str">
        <f t="shared" si="37"/>
        <v/>
      </c>
      <c r="W91" s="90"/>
      <c r="X91" s="90" t="str">
        <f t="shared" si="38"/>
        <v/>
      </c>
      <c r="Y91" s="14" t="str">
        <f t="shared" si="39"/>
        <v>ENTER IN COL S</v>
      </c>
      <c r="Z91" s="42" t="str">
        <f t="shared" si="40"/>
        <v/>
      </c>
      <c r="AA91" s="42" t="str">
        <f t="shared" si="41"/>
        <v/>
      </c>
      <c r="AB91" s="42" t="str">
        <f t="shared" si="42"/>
        <v/>
      </c>
      <c r="AC91" s="14" t="str">
        <f>IFERROR(1/(1/INDEX(Cascade!$BH:$BH,MATCH($E91,Cascade!$E:$E,0))),"")</f>
        <v/>
      </c>
      <c r="AD91" s="14" t="str">
        <f t="shared" si="43"/>
        <v/>
      </c>
      <c r="AE91" s="14" t="str">
        <f>IFERROR(1/(1/INDEX(TB!$P:$P,MATCH($E91,TB!$E:$E,0))),"")</f>
        <v/>
      </c>
      <c r="AF91" s="14" t="str">
        <f t="shared" si="44"/>
        <v/>
      </c>
    </row>
    <row r="92" spans="1:32" x14ac:dyDescent="0.2">
      <c r="A92" t="str">
        <f>INDEX(Prioritization!$D:$D,MATCH($B92,Prioritization!$A:$A,0))</f>
        <v>1 - Scale-up: Saturation</v>
      </c>
      <c r="B92" t="s">
        <v>212</v>
      </c>
      <c r="C92" t="s">
        <v>365</v>
      </c>
      <c r="D92" t="s">
        <v>47</v>
      </c>
      <c r="E92" t="str">
        <f t="shared" si="30"/>
        <v>Chiradzulu District [oiPR2CiVJbf]|25-34|Male</v>
      </c>
      <c r="F92" s="14">
        <f>IF(LEFT($B92,4)="_Mil","",INDEX(Cascade!$T:$T,MATCH($E92,Cascade!$E:$E,0)))</f>
        <v>788</v>
      </c>
      <c r="G92" s="14" t="str">
        <f>IF(LEFT($B92,4)="_Mil","",INDEX(Cascade!$U:$U,MATCH($E92,Cascade!$E:$E,0)))</f>
        <v/>
      </c>
      <c r="H92" s="88">
        <f>IF(LEFT($B92,4)="_Mil","",INDEX(Cascade!$W:$W,MATCH($E92,Cascade!$E:$E,0)))</f>
        <v>1638</v>
      </c>
      <c r="I92" s="14">
        <f>IF(LEFT($B92,4)="_Mil","",INDEX(Cascade!$Z:$Z,MATCH($E92,Cascade!$E:$E,0)))</f>
        <v>1655</v>
      </c>
      <c r="J92" s="90">
        <f>IF(LEFT($B92,4)="_Mil","",INDEX(Cascade!$AA:$AA,MATCH($E92,Cascade!$E:$E,0)))</f>
        <v>759</v>
      </c>
      <c r="K92" s="14"/>
      <c r="L92" s="14"/>
      <c r="M92" s="42" t="str">
        <f>IF(LEFT($B92,4)="_Mil","",IFERROR(1/(1/ROUND(INDEX(Spectrum!$N:$N,MATCH(RIGHT($B92,13)&amp;"|"&amp;$C92&amp;"|"&amp;$D92&amp;"|"&amp;M$14&amp;"|"&amp;"CY2023Q3",Spectrum!$R:$R,0)),0)),IF(SUM($L92)=0,"",$L92)))</f>
        <v/>
      </c>
      <c r="N92" s="42" t="str">
        <f>IF(LEFT($B92,4)="_Mil","",IFERROR(1/(1/ROUND(INDEX(Spectrum!$N:$N,MATCH(RIGHT($B92,13)&amp;"|"&amp;$C92&amp;"|"&amp;$D92&amp;"|"&amp;N$14&amp;"|"&amp;"CY2023Q3",Spectrum!$R:$R,0)),0)),IF(SUM($M92)=0,"",$M92)))</f>
        <v/>
      </c>
      <c r="O92" s="90">
        <f t="shared" si="31"/>
        <v>0</v>
      </c>
      <c r="P92" s="90">
        <f t="shared" si="32"/>
        <v>0.8</v>
      </c>
      <c r="Q92" s="42">
        <f t="shared" si="33"/>
        <v>630</v>
      </c>
      <c r="R92" s="42">
        <f t="shared" si="34"/>
        <v>630</v>
      </c>
      <c r="S92" s="90" t="str">
        <f t="shared" si="35"/>
        <v/>
      </c>
      <c r="T92" s="90" t="str">
        <f t="shared" si="36"/>
        <v/>
      </c>
      <c r="U92" s="90"/>
      <c r="V92" s="90" t="str">
        <f t="shared" si="37"/>
        <v/>
      </c>
      <c r="W92" s="90"/>
      <c r="X92" s="90" t="str">
        <f t="shared" si="38"/>
        <v/>
      </c>
      <c r="Y92" s="14" t="str">
        <f t="shared" si="39"/>
        <v>ENTER IN COL S</v>
      </c>
      <c r="Z92" s="42" t="str">
        <f t="shared" si="40"/>
        <v/>
      </c>
      <c r="AA92" s="42" t="str">
        <f t="shared" si="41"/>
        <v/>
      </c>
      <c r="AB92" s="42" t="str">
        <f t="shared" si="42"/>
        <v/>
      </c>
      <c r="AC92" s="14" t="str">
        <f>IFERROR(1/(1/INDEX(Cascade!$BH:$BH,MATCH($E92,Cascade!$E:$E,0))),"")</f>
        <v/>
      </c>
      <c r="AD92" s="14" t="str">
        <f t="shared" si="43"/>
        <v/>
      </c>
      <c r="AE92" s="14" t="str">
        <f>IFERROR(1/(1/INDEX(TB!$P:$P,MATCH($E92,TB!$E:$E,0))),"")</f>
        <v/>
      </c>
      <c r="AF92" s="14" t="str">
        <f t="shared" si="44"/>
        <v/>
      </c>
    </row>
    <row r="93" spans="1:32" x14ac:dyDescent="0.2">
      <c r="A93" t="str">
        <f>INDEX(Prioritization!$D:$D,MATCH($B93,Prioritization!$A:$A,0))</f>
        <v>1 - Scale-up: Saturation</v>
      </c>
      <c r="B93" t="s">
        <v>212</v>
      </c>
      <c r="C93" t="s">
        <v>366</v>
      </c>
      <c r="D93" t="s">
        <v>47</v>
      </c>
      <c r="E93" t="str">
        <f t="shared" si="30"/>
        <v>Chiradzulu District [oiPR2CiVJbf]|35-49|Male</v>
      </c>
      <c r="F93" s="14">
        <f>IF(LEFT($B93,4)="_Mil","",INDEX(Cascade!$T:$T,MATCH($E93,Cascade!$E:$E,0)))</f>
        <v>718</v>
      </c>
      <c r="G93" s="14" t="str">
        <f>IF(LEFT($B93,4)="_Mil","",INDEX(Cascade!$U:$U,MATCH($E93,Cascade!$E:$E,0)))</f>
        <v/>
      </c>
      <c r="H93" s="88">
        <f>IF(LEFT($B93,4)="_Mil","",INDEX(Cascade!$W:$W,MATCH($E93,Cascade!$E:$E,0)))</f>
        <v>679</v>
      </c>
      <c r="I93" s="14">
        <f>IF(LEFT($B93,4)="_Mil","",INDEX(Cascade!$Z:$Z,MATCH($E93,Cascade!$E:$E,0)))</f>
        <v>1602</v>
      </c>
      <c r="J93" s="90">
        <f>IF(LEFT($B93,4)="_Mil","",INDEX(Cascade!$AA:$AA,MATCH($E93,Cascade!$E:$E,0)))</f>
        <v>1258</v>
      </c>
      <c r="K93" s="14"/>
      <c r="L93" s="14"/>
      <c r="M93" s="42" t="str">
        <f>IF(LEFT($B93,4)="_Mil","",IFERROR(1/(1/ROUND(INDEX(Spectrum!$N:$N,MATCH(RIGHT($B93,13)&amp;"|"&amp;$C93&amp;"|"&amp;$D93&amp;"|"&amp;M$14&amp;"|"&amp;"CY2023Q3",Spectrum!$R:$R,0)),0)),IF(SUM($L93)=0,"",$L93)))</f>
        <v/>
      </c>
      <c r="N93" s="42" t="str">
        <f>IF(LEFT($B93,4)="_Mil","",IFERROR(1/(1/ROUND(INDEX(Spectrum!$N:$N,MATCH(RIGHT($B93,13)&amp;"|"&amp;$C93&amp;"|"&amp;$D93&amp;"|"&amp;N$14&amp;"|"&amp;"CY2023Q3",Spectrum!$R:$R,0)),0)),IF(SUM($M93)=0,"",$M93)))</f>
        <v/>
      </c>
      <c r="O93" s="90">
        <f t="shared" si="31"/>
        <v>0</v>
      </c>
      <c r="P93" s="90">
        <f t="shared" si="32"/>
        <v>0.8</v>
      </c>
      <c r="Q93" s="42">
        <f t="shared" si="33"/>
        <v>574</v>
      </c>
      <c r="R93" s="42">
        <f t="shared" si="34"/>
        <v>574</v>
      </c>
      <c r="S93" s="90" t="str">
        <f t="shared" si="35"/>
        <v/>
      </c>
      <c r="T93" s="90" t="str">
        <f t="shared" si="36"/>
        <v/>
      </c>
      <c r="U93" s="90"/>
      <c r="V93" s="90" t="str">
        <f t="shared" si="37"/>
        <v/>
      </c>
      <c r="W93" s="90"/>
      <c r="X93" s="90" t="str">
        <f t="shared" si="38"/>
        <v/>
      </c>
      <c r="Y93" s="14" t="str">
        <f t="shared" si="39"/>
        <v>ENTER IN COL S</v>
      </c>
      <c r="Z93" s="42" t="str">
        <f t="shared" si="40"/>
        <v/>
      </c>
      <c r="AA93" s="42" t="str">
        <f t="shared" si="41"/>
        <v/>
      </c>
      <c r="AB93" s="42" t="str">
        <f t="shared" si="42"/>
        <v/>
      </c>
      <c r="AC93" s="14" t="str">
        <f>IFERROR(1/(1/INDEX(Cascade!$BH:$BH,MATCH($E93,Cascade!$E:$E,0))),"")</f>
        <v/>
      </c>
      <c r="AD93" s="14" t="str">
        <f t="shared" si="43"/>
        <v/>
      </c>
      <c r="AE93" s="14" t="str">
        <f>IFERROR(1/(1/INDEX(TB!$P:$P,MATCH($E93,TB!$E:$E,0))),"")</f>
        <v/>
      </c>
      <c r="AF93" s="14" t="str">
        <f t="shared" si="44"/>
        <v/>
      </c>
    </row>
    <row r="94" spans="1:32" x14ac:dyDescent="0.2">
      <c r="A94" t="str">
        <f>INDEX(Prioritization!$D:$D,MATCH($B94,Prioritization!$A:$A,0))</f>
        <v>1 - Scale-up: Saturation</v>
      </c>
      <c r="B94" t="s">
        <v>212</v>
      </c>
      <c r="C94" t="s">
        <v>367</v>
      </c>
      <c r="D94" t="s">
        <v>47</v>
      </c>
      <c r="E94" t="str">
        <f t="shared" si="30"/>
        <v>Chiradzulu District [oiPR2CiVJbf]|50+|Male</v>
      </c>
      <c r="F94" s="14">
        <f>IF(LEFT($B94,4)="_Mil","",INDEX(Cascade!$T:$T,MATCH($E94,Cascade!$E:$E,0)))</f>
        <v>1506</v>
      </c>
      <c r="G94" s="14" t="str">
        <f>IF(LEFT($B94,4)="_Mil","",INDEX(Cascade!$U:$U,MATCH($E94,Cascade!$E:$E,0)))</f>
        <v/>
      </c>
      <c r="H94" s="88">
        <f>IF(LEFT($B94,4)="_Mil","",INDEX(Cascade!$W:$W,MATCH($E94,Cascade!$E:$E,0)))</f>
        <v>873</v>
      </c>
      <c r="I94" s="14">
        <f>IF(LEFT($B94,4)="_Mil","",INDEX(Cascade!$Z:$Z,MATCH($E94,Cascade!$E:$E,0)))</f>
        <v>1566</v>
      </c>
      <c r="J94" s="90">
        <f>IF(LEFT($B94,4)="_Mil","",INDEX(Cascade!$AA:$AA,MATCH($E94,Cascade!$E:$E,0)))</f>
        <v>1792</v>
      </c>
      <c r="K94" s="14"/>
      <c r="L94" s="14"/>
      <c r="M94" s="42" t="str">
        <f>IF(LEFT($B94,4)="_Mil","",IFERROR(1/(1/ROUND(INDEX(Spectrum!$N:$N,MATCH(RIGHT($B94,13)&amp;"|"&amp;$C94&amp;"|"&amp;$D94&amp;"|"&amp;M$14&amp;"|"&amp;"CY2023Q3",Spectrum!$R:$R,0)),0)),IF(SUM($L94)=0,"",$L94)))</f>
        <v/>
      </c>
      <c r="N94" s="42" t="str">
        <f>IF(LEFT($B94,4)="_Mil","",IFERROR(1/(1/ROUND(INDEX(Spectrum!$N:$N,MATCH(RIGHT($B94,13)&amp;"|"&amp;$C94&amp;"|"&amp;$D94&amp;"|"&amp;N$14&amp;"|"&amp;"CY2023Q3",Spectrum!$R:$R,0)),0)),IF(SUM($M94)=0,"",$M94)))</f>
        <v/>
      </c>
      <c r="O94" s="90">
        <f t="shared" si="31"/>
        <v>0</v>
      </c>
      <c r="P94" s="90">
        <f t="shared" si="32"/>
        <v>0.8</v>
      </c>
      <c r="Q94" s="42">
        <f t="shared" si="33"/>
        <v>1205</v>
      </c>
      <c r="R94" s="42">
        <f t="shared" si="34"/>
        <v>1205</v>
      </c>
      <c r="S94" s="90" t="str">
        <f t="shared" si="35"/>
        <v/>
      </c>
      <c r="T94" s="90" t="str">
        <f t="shared" si="36"/>
        <v/>
      </c>
      <c r="U94" s="90"/>
      <c r="V94" s="90" t="str">
        <f t="shared" si="37"/>
        <v/>
      </c>
      <c r="W94" s="90"/>
      <c r="X94" s="90" t="str">
        <f t="shared" si="38"/>
        <v/>
      </c>
      <c r="Y94" s="14" t="str">
        <f t="shared" si="39"/>
        <v>ENTER IN COL S</v>
      </c>
      <c r="Z94" s="42" t="str">
        <f t="shared" si="40"/>
        <v/>
      </c>
      <c r="AA94" s="42" t="str">
        <f t="shared" si="41"/>
        <v/>
      </c>
      <c r="AB94" s="42" t="str">
        <f t="shared" si="42"/>
        <v/>
      </c>
      <c r="AC94" s="14" t="str">
        <f>IFERROR(1/(1/INDEX(Cascade!$BH:$BH,MATCH($E94,Cascade!$E:$E,0))),"")</f>
        <v/>
      </c>
      <c r="AD94" s="14" t="str">
        <f t="shared" si="43"/>
        <v/>
      </c>
      <c r="AE94" s="14" t="str">
        <f>IFERROR(1/(1/INDEX(TB!$P:$P,MATCH($E94,TB!$E:$E,0))),"")</f>
        <v/>
      </c>
      <c r="AF94" s="14" t="str">
        <f t="shared" si="44"/>
        <v/>
      </c>
    </row>
    <row r="95" spans="1:32" x14ac:dyDescent="0.2">
      <c r="A95" t="str">
        <f>INDEX(Prioritization!$D:$D,MATCH($B95,Prioritization!$A:$A,0))</f>
        <v>1 - Scale-up: Saturation</v>
      </c>
      <c r="B95" t="s">
        <v>213</v>
      </c>
      <c r="C95" t="s">
        <v>364</v>
      </c>
      <c r="D95" t="s">
        <v>47</v>
      </c>
      <c r="E95" t="str">
        <f t="shared" si="30"/>
        <v>Machinga District [TYnMSwzko3z]|15-24|Male</v>
      </c>
      <c r="F95" s="14">
        <f>IF(LEFT($B95,4)="_Mil","",INDEX(Cascade!$T:$T,MATCH($E95,Cascade!$E:$E,0)))</f>
        <v>1199</v>
      </c>
      <c r="G95" s="14" t="str">
        <f>IF(LEFT($B95,4)="_Mil","",INDEX(Cascade!$U:$U,MATCH($E95,Cascade!$E:$E,0)))</f>
        <v/>
      </c>
      <c r="H95" s="88">
        <f>IF(LEFT($B95,4)="_Mil","",INDEX(Cascade!$W:$W,MATCH($E95,Cascade!$E:$E,0)))</f>
        <v>1194</v>
      </c>
      <c r="I95" s="14">
        <f>IF(LEFT($B95,4)="_Mil","",INDEX(Cascade!$Z:$Z,MATCH($E95,Cascade!$E:$E,0)))</f>
        <v>856</v>
      </c>
      <c r="J95" s="90">
        <f>IF(LEFT($B95,4)="_Mil","",INDEX(Cascade!$AA:$AA,MATCH($E95,Cascade!$E:$E,0)))</f>
        <v>1565</v>
      </c>
      <c r="K95" s="14"/>
      <c r="L95" s="14"/>
      <c r="M95" s="42" t="str">
        <f>IF(LEFT($B95,4)="_Mil","",IFERROR(1/(1/ROUND(INDEX(Spectrum!$N:$N,MATCH(RIGHT($B95,13)&amp;"|"&amp;$C95&amp;"|"&amp;$D95&amp;"|"&amp;M$14&amp;"|"&amp;"CY2023Q3",Spectrum!$R:$R,0)),0)),IF(SUM($L95)=0,"",$L95)))</f>
        <v/>
      </c>
      <c r="N95" s="42" t="str">
        <f>IF(LEFT($B95,4)="_Mil","",IFERROR(1/(1/ROUND(INDEX(Spectrum!$N:$N,MATCH(RIGHT($B95,13)&amp;"|"&amp;$C95&amp;"|"&amp;$D95&amp;"|"&amp;N$14&amp;"|"&amp;"CY2023Q3",Spectrum!$R:$R,0)),0)),IF(SUM($M95)=0,"",$M95)))</f>
        <v/>
      </c>
      <c r="O95" s="90">
        <f t="shared" si="31"/>
        <v>0</v>
      </c>
      <c r="P95" s="90">
        <f t="shared" si="32"/>
        <v>0.8</v>
      </c>
      <c r="Q95" s="42">
        <f t="shared" si="33"/>
        <v>959</v>
      </c>
      <c r="R95" s="42">
        <f t="shared" si="34"/>
        <v>959</v>
      </c>
      <c r="S95" s="90" t="str">
        <f t="shared" si="35"/>
        <v/>
      </c>
      <c r="T95" s="90" t="str">
        <f t="shared" si="36"/>
        <v/>
      </c>
      <c r="U95" s="90"/>
      <c r="V95" s="90" t="str">
        <f t="shared" si="37"/>
        <v/>
      </c>
      <c r="W95" s="90"/>
      <c r="X95" s="90" t="str">
        <f t="shared" si="38"/>
        <v/>
      </c>
      <c r="Y95" s="14" t="str">
        <f t="shared" si="39"/>
        <v>ENTER IN COL S</v>
      </c>
      <c r="Z95" s="42" t="str">
        <f t="shared" si="40"/>
        <v/>
      </c>
      <c r="AA95" s="42" t="str">
        <f t="shared" si="41"/>
        <v/>
      </c>
      <c r="AB95" s="42" t="str">
        <f t="shared" si="42"/>
        <v/>
      </c>
      <c r="AC95" s="14" t="str">
        <f>IFERROR(1/(1/INDEX(Cascade!$BH:$BH,MATCH($E95,Cascade!$E:$E,0))),"")</f>
        <v/>
      </c>
      <c r="AD95" s="14" t="str">
        <f t="shared" si="43"/>
        <v/>
      </c>
      <c r="AE95" s="14" t="str">
        <f>IFERROR(1/(1/INDEX(TB!$P:$P,MATCH($E95,TB!$E:$E,0))),"")</f>
        <v/>
      </c>
      <c r="AF95" s="14" t="str">
        <f t="shared" si="44"/>
        <v/>
      </c>
    </row>
    <row r="96" spans="1:32" x14ac:dyDescent="0.2">
      <c r="A96" t="str">
        <f>INDEX(Prioritization!$D:$D,MATCH($B96,Prioritization!$A:$A,0))</f>
        <v>1 - Scale-up: Saturation</v>
      </c>
      <c r="B96" t="s">
        <v>213</v>
      </c>
      <c r="C96" t="s">
        <v>365</v>
      </c>
      <c r="D96" t="s">
        <v>47</v>
      </c>
      <c r="E96" t="str">
        <f t="shared" si="30"/>
        <v>Machinga District [TYnMSwzko3z]|25-34|Male</v>
      </c>
      <c r="F96" s="14">
        <f>IF(LEFT($B96,4)="_Mil","",INDEX(Cascade!$T:$T,MATCH($E96,Cascade!$E:$E,0)))</f>
        <v>1565</v>
      </c>
      <c r="G96" s="14" t="str">
        <f>IF(LEFT($B96,4)="_Mil","",INDEX(Cascade!$U:$U,MATCH($E96,Cascade!$E:$E,0)))</f>
        <v/>
      </c>
      <c r="H96" s="88">
        <f>IF(LEFT($B96,4)="_Mil","",INDEX(Cascade!$W:$W,MATCH($E96,Cascade!$E:$E,0)))</f>
        <v>1382</v>
      </c>
      <c r="I96" s="14">
        <f>IF(LEFT($B96,4)="_Mil","",INDEX(Cascade!$Z:$Z,MATCH($E96,Cascade!$E:$E,0)))</f>
        <v>575</v>
      </c>
      <c r="J96" s="90">
        <f>IF(LEFT($B96,4)="_Mil","",INDEX(Cascade!$AA:$AA,MATCH($E96,Cascade!$E:$E,0)))</f>
        <v>1897</v>
      </c>
      <c r="K96" s="14"/>
      <c r="L96" s="14"/>
      <c r="M96" s="42" t="str">
        <f>IF(LEFT($B96,4)="_Mil","",IFERROR(1/(1/ROUND(INDEX(Spectrum!$N:$N,MATCH(RIGHT($B96,13)&amp;"|"&amp;$C96&amp;"|"&amp;$D96&amp;"|"&amp;M$14&amp;"|"&amp;"CY2023Q3",Spectrum!$R:$R,0)),0)),IF(SUM($L96)=0,"",$L96)))</f>
        <v/>
      </c>
      <c r="N96" s="42" t="str">
        <f>IF(LEFT($B96,4)="_Mil","",IFERROR(1/(1/ROUND(INDEX(Spectrum!$N:$N,MATCH(RIGHT($B96,13)&amp;"|"&amp;$C96&amp;"|"&amp;$D96&amp;"|"&amp;N$14&amp;"|"&amp;"CY2023Q3",Spectrum!$R:$R,0)),0)),IF(SUM($M96)=0,"",$M96)))</f>
        <v/>
      </c>
      <c r="O96" s="90">
        <f t="shared" si="31"/>
        <v>0</v>
      </c>
      <c r="P96" s="90">
        <f t="shared" si="32"/>
        <v>0.8</v>
      </c>
      <c r="Q96" s="42">
        <f t="shared" si="33"/>
        <v>1252</v>
      </c>
      <c r="R96" s="42">
        <f t="shared" si="34"/>
        <v>1252</v>
      </c>
      <c r="S96" s="90" t="str">
        <f t="shared" si="35"/>
        <v/>
      </c>
      <c r="T96" s="90" t="str">
        <f t="shared" si="36"/>
        <v/>
      </c>
      <c r="U96" s="90"/>
      <c r="V96" s="90" t="str">
        <f t="shared" si="37"/>
        <v/>
      </c>
      <c r="W96" s="90"/>
      <c r="X96" s="90" t="str">
        <f t="shared" si="38"/>
        <v/>
      </c>
      <c r="Y96" s="14" t="str">
        <f t="shared" si="39"/>
        <v>ENTER IN COL S</v>
      </c>
      <c r="Z96" s="42" t="str">
        <f t="shared" si="40"/>
        <v/>
      </c>
      <c r="AA96" s="42" t="str">
        <f t="shared" si="41"/>
        <v/>
      </c>
      <c r="AB96" s="42" t="str">
        <f t="shared" si="42"/>
        <v/>
      </c>
      <c r="AC96" s="14" t="str">
        <f>IFERROR(1/(1/INDEX(Cascade!$BH:$BH,MATCH($E96,Cascade!$E:$E,0))),"")</f>
        <v/>
      </c>
      <c r="AD96" s="14" t="str">
        <f t="shared" si="43"/>
        <v/>
      </c>
      <c r="AE96" s="14" t="str">
        <f>IFERROR(1/(1/INDEX(TB!$P:$P,MATCH($E96,TB!$E:$E,0))),"")</f>
        <v/>
      </c>
      <c r="AF96" s="14" t="str">
        <f t="shared" si="44"/>
        <v/>
      </c>
    </row>
    <row r="97" spans="1:32" x14ac:dyDescent="0.2">
      <c r="A97" t="str">
        <f>INDEX(Prioritization!$D:$D,MATCH($B97,Prioritization!$A:$A,0))</f>
        <v>1 - Scale-up: Saturation</v>
      </c>
      <c r="B97" t="s">
        <v>213</v>
      </c>
      <c r="C97" t="s">
        <v>366</v>
      </c>
      <c r="D97" t="s">
        <v>47</v>
      </c>
      <c r="E97" t="str">
        <f t="shared" si="30"/>
        <v>Machinga District [TYnMSwzko3z]|35-49|Male</v>
      </c>
      <c r="F97" s="14">
        <f>IF(LEFT($B97,4)="_Mil","",INDEX(Cascade!$T:$T,MATCH($E97,Cascade!$E:$E,0)))</f>
        <v>958</v>
      </c>
      <c r="G97" s="14" t="str">
        <f>IF(LEFT($B97,4)="_Mil","",INDEX(Cascade!$U:$U,MATCH($E97,Cascade!$E:$E,0)))</f>
        <v/>
      </c>
      <c r="H97" s="88">
        <f>IF(LEFT($B97,4)="_Mil","",INDEX(Cascade!$W:$W,MATCH($E97,Cascade!$E:$E,0)))</f>
        <v>1547</v>
      </c>
      <c r="I97" s="14">
        <f>IF(LEFT($B97,4)="_Mil","",INDEX(Cascade!$Z:$Z,MATCH($E97,Cascade!$E:$E,0)))</f>
        <v>1762</v>
      </c>
      <c r="J97" s="90">
        <f>IF(LEFT($B97,4)="_Mil","",INDEX(Cascade!$AA:$AA,MATCH($E97,Cascade!$E:$E,0)))</f>
        <v>1776</v>
      </c>
      <c r="K97" s="14"/>
      <c r="L97" s="14"/>
      <c r="M97" s="42" t="str">
        <f>IF(LEFT($B97,4)="_Mil","",IFERROR(1/(1/ROUND(INDEX(Spectrum!$N:$N,MATCH(RIGHT($B97,13)&amp;"|"&amp;$C97&amp;"|"&amp;$D97&amp;"|"&amp;M$14&amp;"|"&amp;"CY2023Q3",Spectrum!$R:$R,0)),0)),IF(SUM($L97)=0,"",$L97)))</f>
        <v/>
      </c>
      <c r="N97" s="42" t="str">
        <f>IF(LEFT($B97,4)="_Mil","",IFERROR(1/(1/ROUND(INDEX(Spectrum!$N:$N,MATCH(RIGHT($B97,13)&amp;"|"&amp;$C97&amp;"|"&amp;$D97&amp;"|"&amp;N$14&amp;"|"&amp;"CY2023Q3",Spectrum!$R:$R,0)),0)),IF(SUM($M97)=0,"",$M97)))</f>
        <v/>
      </c>
      <c r="O97" s="90">
        <f t="shared" si="31"/>
        <v>0</v>
      </c>
      <c r="P97" s="90">
        <f t="shared" si="32"/>
        <v>0.8</v>
      </c>
      <c r="Q97" s="42">
        <f t="shared" si="33"/>
        <v>766</v>
      </c>
      <c r="R97" s="42">
        <f t="shared" si="34"/>
        <v>766</v>
      </c>
      <c r="S97" s="90" t="str">
        <f t="shared" si="35"/>
        <v/>
      </c>
      <c r="T97" s="90" t="str">
        <f t="shared" si="36"/>
        <v/>
      </c>
      <c r="U97" s="90"/>
      <c r="V97" s="90" t="str">
        <f t="shared" si="37"/>
        <v/>
      </c>
      <c r="W97" s="90"/>
      <c r="X97" s="90" t="str">
        <f t="shared" si="38"/>
        <v/>
      </c>
      <c r="Y97" s="14" t="str">
        <f t="shared" si="39"/>
        <v>ENTER IN COL S</v>
      </c>
      <c r="Z97" s="42" t="str">
        <f t="shared" si="40"/>
        <v/>
      </c>
      <c r="AA97" s="42" t="str">
        <f t="shared" si="41"/>
        <v/>
      </c>
      <c r="AB97" s="42" t="str">
        <f t="shared" si="42"/>
        <v/>
      </c>
      <c r="AC97" s="14" t="str">
        <f>IFERROR(1/(1/INDEX(Cascade!$BH:$BH,MATCH($E97,Cascade!$E:$E,0))),"")</f>
        <v/>
      </c>
      <c r="AD97" s="14" t="str">
        <f t="shared" si="43"/>
        <v/>
      </c>
      <c r="AE97" s="14" t="str">
        <f>IFERROR(1/(1/INDEX(TB!$P:$P,MATCH($E97,TB!$E:$E,0))),"")</f>
        <v/>
      </c>
      <c r="AF97" s="14" t="str">
        <f t="shared" si="44"/>
        <v/>
      </c>
    </row>
    <row r="98" spans="1:32" x14ac:dyDescent="0.2">
      <c r="A98" t="str">
        <f>INDEX(Prioritization!$D:$D,MATCH($B98,Prioritization!$A:$A,0))</f>
        <v>1 - Scale-up: Saturation</v>
      </c>
      <c r="B98" t="s">
        <v>213</v>
      </c>
      <c r="C98" t="s">
        <v>367</v>
      </c>
      <c r="D98" t="s">
        <v>47</v>
      </c>
      <c r="E98" t="str">
        <f t="shared" si="30"/>
        <v>Machinga District [TYnMSwzko3z]|50+|Male</v>
      </c>
      <c r="F98" s="14">
        <f>IF(LEFT($B98,4)="_Mil","",INDEX(Cascade!$T:$T,MATCH($E98,Cascade!$E:$E,0)))</f>
        <v>1921</v>
      </c>
      <c r="G98" s="14" t="str">
        <f>IF(LEFT($B98,4)="_Mil","",INDEX(Cascade!$U:$U,MATCH($E98,Cascade!$E:$E,0)))</f>
        <v/>
      </c>
      <c r="H98" s="88">
        <f>IF(LEFT($B98,4)="_Mil","",INDEX(Cascade!$W:$W,MATCH($E98,Cascade!$E:$E,0)))</f>
        <v>769</v>
      </c>
      <c r="I98" s="14">
        <f>IF(LEFT($B98,4)="_Mil","",INDEX(Cascade!$Z:$Z,MATCH($E98,Cascade!$E:$E,0)))</f>
        <v>971</v>
      </c>
      <c r="J98" s="90">
        <f>IF(LEFT($B98,4)="_Mil","",INDEX(Cascade!$AA:$AA,MATCH($E98,Cascade!$E:$E,0)))</f>
        <v>1772.0000000000002</v>
      </c>
      <c r="K98" s="14"/>
      <c r="L98" s="14"/>
      <c r="M98" s="42" t="str">
        <f>IF(LEFT($B98,4)="_Mil","",IFERROR(1/(1/ROUND(INDEX(Spectrum!$N:$N,MATCH(RIGHT($B98,13)&amp;"|"&amp;$C98&amp;"|"&amp;$D98&amp;"|"&amp;M$14&amp;"|"&amp;"CY2023Q3",Spectrum!$R:$R,0)),0)),IF(SUM($L98)=0,"",$L98)))</f>
        <v/>
      </c>
      <c r="N98" s="42" t="str">
        <f>IF(LEFT($B98,4)="_Mil","",IFERROR(1/(1/ROUND(INDEX(Spectrum!$N:$N,MATCH(RIGHT($B98,13)&amp;"|"&amp;$C98&amp;"|"&amp;$D98&amp;"|"&amp;N$14&amp;"|"&amp;"CY2023Q3",Spectrum!$R:$R,0)),0)),IF(SUM($M98)=0,"",$M98)))</f>
        <v/>
      </c>
      <c r="O98" s="90">
        <f t="shared" si="31"/>
        <v>0</v>
      </c>
      <c r="P98" s="90">
        <f t="shared" si="32"/>
        <v>0.8</v>
      </c>
      <c r="Q98" s="42">
        <f t="shared" si="33"/>
        <v>1537</v>
      </c>
      <c r="R98" s="42">
        <f t="shared" si="34"/>
        <v>1537</v>
      </c>
      <c r="S98" s="90" t="str">
        <f t="shared" si="35"/>
        <v/>
      </c>
      <c r="T98" s="90" t="str">
        <f t="shared" si="36"/>
        <v/>
      </c>
      <c r="U98" s="90"/>
      <c r="V98" s="90" t="str">
        <f t="shared" si="37"/>
        <v/>
      </c>
      <c r="W98" s="90"/>
      <c r="X98" s="90" t="str">
        <f t="shared" si="38"/>
        <v/>
      </c>
      <c r="Y98" s="14" t="str">
        <f t="shared" si="39"/>
        <v>ENTER IN COL S</v>
      </c>
      <c r="Z98" s="42" t="str">
        <f t="shared" si="40"/>
        <v/>
      </c>
      <c r="AA98" s="42" t="str">
        <f t="shared" si="41"/>
        <v/>
      </c>
      <c r="AB98" s="42" t="str">
        <f t="shared" si="42"/>
        <v/>
      </c>
      <c r="AC98" s="14" t="str">
        <f>IFERROR(1/(1/INDEX(Cascade!$BH:$BH,MATCH($E98,Cascade!$E:$E,0))),"")</f>
        <v/>
      </c>
      <c r="AD98" s="14" t="str">
        <f t="shared" si="43"/>
        <v/>
      </c>
      <c r="AE98" s="14" t="str">
        <f>IFERROR(1/(1/INDEX(TB!$P:$P,MATCH($E98,TB!$E:$E,0))),"")</f>
        <v/>
      </c>
      <c r="AF98" s="14" t="str">
        <f t="shared" si="44"/>
        <v/>
      </c>
    </row>
    <row r="99" spans="1:32" x14ac:dyDescent="0.2">
      <c r="A99" t="str">
        <f>INDEX(Prioritization!$D:$D,MATCH($B99,Prioritization!$A:$A,0))</f>
        <v>INVALID</v>
      </c>
      <c r="B99" t="s">
        <v>214</v>
      </c>
      <c r="C99" t="s">
        <v>364</v>
      </c>
      <c r="D99" t="s">
        <v>47</v>
      </c>
      <c r="E99" t="str">
        <f t="shared" si="30"/>
        <v>Mangochi District [lLDyBx5XyUi]|15-24|Male</v>
      </c>
      <c r="F99" s="14">
        <f>IF(LEFT($B99,4)="_Mil","",INDEX(Cascade!$T:$T,MATCH($E99,Cascade!$E:$E,0)))</f>
        <v>1357</v>
      </c>
      <c r="G99" s="14" t="str">
        <f>IF(LEFT($B99,4)="_Mil","",INDEX(Cascade!$U:$U,MATCH($E99,Cascade!$E:$E,0)))</f>
        <v/>
      </c>
      <c r="H99" s="88">
        <f>IF(LEFT($B99,4)="_Mil","",INDEX(Cascade!$W:$W,MATCH($E99,Cascade!$E:$E,0)))</f>
        <v>1736</v>
      </c>
      <c r="I99" s="14">
        <f>IF(LEFT($B99,4)="_Mil","",INDEX(Cascade!$Z:$Z,MATCH($E99,Cascade!$E:$E,0)))</f>
        <v>1721</v>
      </c>
      <c r="J99" s="90">
        <f>IF(LEFT($B99,4)="_Mil","",INDEX(Cascade!$AA:$AA,MATCH($E99,Cascade!$E:$E,0)))</f>
        <v>1416</v>
      </c>
      <c r="K99" s="14"/>
      <c r="L99" s="14"/>
      <c r="M99" s="42" t="str">
        <f>IF(LEFT($B99,4)="_Mil","",IFERROR(1/(1/ROUND(INDEX(Spectrum!$N:$N,MATCH(RIGHT($B99,13)&amp;"|"&amp;$C99&amp;"|"&amp;$D99&amp;"|"&amp;M$14&amp;"|"&amp;"CY2023Q3",Spectrum!$R:$R,0)),0)),IF(SUM($L99)=0,"",$L99)))</f>
        <v/>
      </c>
      <c r="N99" s="42" t="str">
        <f>IF(LEFT($B99,4)="_Mil","",IFERROR(1/(1/ROUND(INDEX(Spectrum!$N:$N,MATCH(RIGHT($B99,13)&amp;"|"&amp;$C99&amp;"|"&amp;$D99&amp;"|"&amp;N$14&amp;"|"&amp;"CY2023Q3",Spectrum!$R:$R,0)),0)),IF(SUM($M99)=0,"",$M99)))</f>
        <v/>
      </c>
      <c r="O99" s="90">
        <f t="shared" si="31"/>
        <v>0</v>
      </c>
      <c r="P99" s="90">
        <f t="shared" si="32"/>
        <v>0.8</v>
      </c>
      <c r="Q99" s="42">
        <f t="shared" si="33"/>
        <v>1086</v>
      </c>
      <c r="R99" s="42">
        <f t="shared" si="34"/>
        <v>1086</v>
      </c>
      <c r="S99" s="90" t="str">
        <f t="shared" si="35"/>
        <v/>
      </c>
      <c r="T99" s="90" t="str">
        <f t="shared" si="36"/>
        <v/>
      </c>
      <c r="U99" s="90"/>
      <c r="V99" s="90" t="str">
        <f t="shared" si="37"/>
        <v/>
      </c>
      <c r="W99" s="90"/>
      <c r="X99" s="90" t="str">
        <f t="shared" si="38"/>
        <v/>
      </c>
      <c r="Y99" s="14" t="str">
        <f t="shared" si="39"/>
        <v>ENTER IN COL S</v>
      </c>
      <c r="Z99" s="42" t="str">
        <f t="shared" si="40"/>
        <v/>
      </c>
      <c r="AA99" s="42" t="str">
        <f t="shared" si="41"/>
        <v/>
      </c>
      <c r="AB99" s="42" t="str">
        <f t="shared" si="42"/>
        <v/>
      </c>
      <c r="AC99" s="14" t="str">
        <f>IFERROR(1/(1/INDEX(Cascade!$BH:$BH,MATCH($E99,Cascade!$E:$E,0))),"")</f>
        <v/>
      </c>
      <c r="AD99" s="14" t="str">
        <f t="shared" si="43"/>
        <v/>
      </c>
      <c r="AE99" s="14" t="str">
        <f>IFERROR(1/(1/INDEX(TB!$P:$P,MATCH($E99,TB!$E:$E,0))),"")</f>
        <v/>
      </c>
      <c r="AF99" s="14" t="str">
        <f t="shared" si="44"/>
        <v/>
      </c>
    </row>
    <row r="100" spans="1:32" x14ac:dyDescent="0.2">
      <c r="A100" t="str">
        <f>INDEX(Prioritization!$D:$D,MATCH($B100,Prioritization!$A:$A,0))</f>
        <v>INVALID</v>
      </c>
      <c r="B100" t="s">
        <v>214</v>
      </c>
      <c r="C100" t="s">
        <v>365</v>
      </c>
      <c r="D100" t="s">
        <v>47</v>
      </c>
      <c r="E100" t="str">
        <f t="shared" si="30"/>
        <v>Mangochi District [lLDyBx5XyUi]|25-34|Male</v>
      </c>
      <c r="F100" s="14">
        <f>IF(LEFT($B100,4)="_Mil","",INDEX(Cascade!$T:$T,MATCH($E100,Cascade!$E:$E,0)))</f>
        <v>1817</v>
      </c>
      <c r="G100" s="14" t="str">
        <f>IF(LEFT($B100,4)="_Mil","",INDEX(Cascade!$U:$U,MATCH($E100,Cascade!$E:$E,0)))</f>
        <v/>
      </c>
      <c r="H100" s="88">
        <f>IF(LEFT($B100,4)="_Mil","",INDEX(Cascade!$W:$W,MATCH($E100,Cascade!$E:$E,0)))</f>
        <v>1763</v>
      </c>
      <c r="I100" s="14">
        <f>IF(LEFT($B100,4)="_Mil","",INDEX(Cascade!$Z:$Z,MATCH($E100,Cascade!$E:$E,0)))</f>
        <v>988</v>
      </c>
      <c r="J100" s="90">
        <f>IF(LEFT($B100,4)="_Mil","",INDEX(Cascade!$AA:$AA,MATCH($E100,Cascade!$E:$E,0)))</f>
        <v>926</v>
      </c>
      <c r="K100" s="14"/>
      <c r="L100" s="14"/>
      <c r="M100" s="42" t="str">
        <f>IF(LEFT($B100,4)="_Mil","",IFERROR(1/(1/ROUND(INDEX(Spectrum!$N:$N,MATCH(RIGHT($B100,13)&amp;"|"&amp;$C100&amp;"|"&amp;$D100&amp;"|"&amp;M$14&amp;"|"&amp;"CY2023Q3",Spectrum!$R:$R,0)),0)),IF(SUM($L100)=0,"",$L100)))</f>
        <v/>
      </c>
      <c r="N100" s="42" t="str">
        <f>IF(LEFT($B100,4)="_Mil","",IFERROR(1/(1/ROUND(INDEX(Spectrum!$N:$N,MATCH(RIGHT($B100,13)&amp;"|"&amp;$C100&amp;"|"&amp;$D100&amp;"|"&amp;N$14&amp;"|"&amp;"CY2023Q3",Spectrum!$R:$R,0)),0)),IF(SUM($M100)=0,"",$M100)))</f>
        <v/>
      </c>
      <c r="O100" s="90">
        <f t="shared" si="31"/>
        <v>0</v>
      </c>
      <c r="P100" s="90">
        <f t="shared" si="32"/>
        <v>0.8</v>
      </c>
      <c r="Q100" s="42">
        <f t="shared" si="33"/>
        <v>1454</v>
      </c>
      <c r="R100" s="42">
        <f t="shared" si="34"/>
        <v>1454</v>
      </c>
      <c r="S100" s="90" t="str">
        <f t="shared" si="35"/>
        <v/>
      </c>
      <c r="T100" s="90" t="str">
        <f t="shared" si="36"/>
        <v/>
      </c>
      <c r="U100" s="90"/>
      <c r="V100" s="90" t="str">
        <f t="shared" si="37"/>
        <v/>
      </c>
      <c r="W100" s="90"/>
      <c r="X100" s="90" t="str">
        <f t="shared" si="38"/>
        <v/>
      </c>
      <c r="Y100" s="14" t="str">
        <f t="shared" si="39"/>
        <v>ENTER IN COL S</v>
      </c>
      <c r="Z100" s="42" t="str">
        <f t="shared" si="40"/>
        <v/>
      </c>
      <c r="AA100" s="42" t="str">
        <f t="shared" si="41"/>
        <v/>
      </c>
      <c r="AB100" s="42" t="str">
        <f t="shared" si="42"/>
        <v/>
      </c>
      <c r="AC100" s="14" t="str">
        <f>IFERROR(1/(1/INDEX(Cascade!$BH:$BH,MATCH($E100,Cascade!$E:$E,0))),"")</f>
        <v/>
      </c>
      <c r="AD100" s="14" t="str">
        <f t="shared" si="43"/>
        <v/>
      </c>
      <c r="AE100" s="14" t="str">
        <f>IFERROR(1/(1/INDEX(TB!$P:$P,MATCH($E100,TB!$E:$E,0))),"")</f>
        <v/>
      </c>
      <c r="AF100" s="14" t="str">
        <f t="shared" si="44"/>
        <v/>
      </c>
    </row>
    <row r="101" spans="1:32" x14ac:dyDescent="0.2">
      <c r="A101" t="str">
        <f>INDEX(Prioritization!$D:$D,MATCH($B101,Prioritization!$A:$A,0))</f>
        <v>INVALID</v>
      </c>
      <c r="B101" t="s">
        <v>214</v>
      </c>
      <c r="C101" t="s">
        <v>366</v>
      </c>
      <c r="D101" t="s">
        <v>47</v>
      </c>
      <c r="E101" t="str">
        <f t="shared" si="30"/>
        <v>Mangochi District [lLDyBx5XyUi]|35-49|Male</v>
      </c>
      <c r="F101" s="14">
        <f>IF(LEFT($B101,4)="_Mil","",INDEX(Cascade!$T:$T,MATCH($E101,Cascade!$E:$E,0)))</f>
        <v>1281</v>
      </c>
      <c r="G101" s="14" t="str">
        <f>IF(LEFT($B101,4)="_Mil","",INDEX(Cascade!$U:$U,MATCH($E101,Cascade!$E:$E,0)))</f>
        <v/>
      </c>
      <c r="H101" s="88">
        <f>IF(LEFT($B101,4)="_Mil","",INDEX(Cascade!$W:$W,MATCH($E101,Cascade!$E:$E,0)))</f>
        <v>1665</v>
      </c>
      <c r="I101" s="14">
        <f>IF(LEFT($B101,4)="_Mil","",INDEX(Cascade!$Z:$Z,MATCH($E101,Cascade!$E:$E,0)))</f>
        <v>1457</v>
      </c>
      <c r="J101" s="90">
        <f>IF(LEFT($B101,4)="_Mil","",INDEX(Cascade!$AA:$AA,MATCH($E101,Cascade!$E:$E,0)))</f>
        <v>1820</v>
      </c>
      <c r="K101" s="14"/>
      <c r="L101" s="14"/>
      <c r="M101" s="42" t="str">
        <f>IF(LEFT($B101,4)="_Mil","",IFERROR(1/(1/ROUND(INDEX(Spectrum!$N:$N,MATCH(RIGHT($B101,13)&amp;"|"&amp;$C101&amp;"|"&amp;$D101&amp;"|"&amp;M$14&amp;"|"&amp;"CY2023Q3",Spectrum!$R:$R,0)),0)),IF(SUM($L101)=0,"",$L101)))</f>
        <v/>
      </c>
      <c r="N101" s="42" t="str">
        <f>IF(LEFT($B101,4)="_Mil","",IFERROR(1/(1/ROUND(INDEX(Spectrum!$N:$N,MATCH(RIGHT($B101,13)&amp;"|"&amp;$C101&amp;"|"&amp;$D101&amp;"|"&amp;N$14&amp;"|"&amp;"CY2023Q3",Spectrum!$R:$R,0)),0)),IF(SUM($M101)=0,"",$M101)))</f>
        <v/>
      </c>
      <c r="O101" s="90">
        <f t="shared" si="31"/>
        <v>0</v>
      </c>
      <c r="P101" s="90">
        <f t="shared" si="32"/>
        <v>0.8</v>
      </c>
      <c r="Q101" s="42">
        <f t="shared" si="33"/>
        <v>1025</v>
      </c>
      <c r="R101" s="42">
        <f t="shared" si="34"/>
        <v>1025</v>
      </c>
      <c r="S101" s="90" t="str">
        <f t="shared" si="35"/>
        <v/>
      </c>
      <c r="T101" s="90" t="str">
        <f t="shared" si="36"/>
        <v/>
      </c>
      <c r="U101" s="90"/>
      <c r="V101" s="90" t="str">
        <f t="shared" si="37"/>
        <v/>
      </c>
      <c r="W101" s="90"/>
      <c r="X101" s="90" t="str">
        <f t="shared" si="38"/>
        <v/>
      </c>
      <c r="Y101" s="14" t="str">
        <f t="shared" si="39"/>
        <v>ENTER IN COL S</v>
      </c>
      <c r="Z101" s="42" t="str">
        <f t="shared" si="40"/>
        <v/>
      </c>
      <c r="AA101" s="42" t="str">
        <f t="shared" si="41"/>
        <v/>
      </c>
      <c r="AB101" s="42" t="str">
        <f t="shared" si="42"/>
        <v/>
      </c>
      <c r="AC101" s="14" t="str">
        <f>IFERROR(1/(1/INDEX(Cascade!$BH:$BH,MATCH($E101,Cascade!$E:$E,0))),"")</f>
        <v/>
      </c>
      <c r="AD101" s="14" t="str">
        <f t="shared" si="43"/>
        <v/>
      </c>
      <c r="AE101" s="14" t="str">
        <f>IFERROR(1/(1/INDEX(TB!$P:$P,MATCH($E101,TB!$E:$E,0))),"")</f>
        <v/>
      </c>
      <c r="AF101" s="14" t="str">
        <f t="shared" si="44"/>
        <v/>
      </c>
    </row>
    <row r="102" spans="1:32" x14ac:dyDescent="0.2">
      <c r="A102" t="str">
        <f>INDEX(Prioritization!$D:$D,MATCH($B102,Prioritization!$A:$A,0))</f>
        <v>INVALID</v>
      </c>
      <c r="B102" t="s">
        <v>214</v>
      </c>
      <c r="C102" t="s">
        <v>367</v>
      </c>
      <c r="D102" t="s">
        <v>47</v>
      </c>
      <c r="E102" t="str">
        <f t="shared" si="30"/>
        <v>Mangochi District [lLDyBx5XyUi]|50+|Male</v>
      </c>
      <c r="F102" s="14">
        <f>IF(LEFT($B102,4)="_Mil","",INDEX(Cascade!$T:$T,MATCH($E102,Cascade!$E:$E,0)))</f>
        <v>1127</v>
      </c>
      <c r="G102" s="14" t="str">
        <f>IF(LEFT($B102,4)="_Mil","",INDEX(Cascade!$U:$U,MATCH($E102,Cascade!$E:$E,0)))</f>
        <v/>
      </c>
      <c r="H102" s="88">
        <f>IF(LEFT($B102,4)="_Mil","",INDEX(Cascade!$W:$W,MATCH($E102,Cascade!$E:$E,0)))</f>
        <v>595</v>
      </c>
      <c r="I102" s="14">
        <f>IF(LEFT($B102,4)="_Mil","",INDEX(Cascade!$Z:$Z,MATCH($E102,Cascade!$E:$E,0)))</f>
        <v>1851</v>
      </c>
      <c r="J102" s="90">
        <f>IF(LEFT($B102,4)="_Mil","",INDEX(Cascade!$AA:$AA,MATCH($E102,Cascade!$E:$E,0)))</f>
        <v>1818</v>
      </c>
      <c r="K102" s="14"/>
      <c r="L102" s="14"/>
      <c r="M102" s="42" t="str">
        <f>IF(LEFT($B102,4)="_Mil","",IFERROR(1/(1/ROUND(INDEX(Spectrum!$N:$N,MATCH(RIGHT($B102,13)&amp;"|"&amp;$C102&amp;"|"&amp;$D102&amp;"|"&amp;M$14&amp;"|"&amp;"CY2023Q3",Spectrum!$R:$R,0)),0)),IF(SUM($L102)=0,"",$L102)))</f>
        <v/>
      </c>
      <c r="N102" s="42" t="str">
        <f>IF(LEFT($B102,4)="_Mil","",IFERROR(1/(1/ROUND(INDEX(Spectrum!$N:$N,MATCH(RIGHT($B102,13)&amp;"|"&amp;$C102&amp;"|"&amp;$D102&amp;"|"&amp;N$14&amp;"|"&amp;"CY2023Q3",Spectrum!$R:$R,0)),0)),IF(SUM($M102)=0,"",$M102)))</f>
        <v/>
      </c>
      <c r="O102" s="90">
        <f t="shared" si="31"/>
        <v>0</v>
      </c>
      <c r="P102" s="90">
        <f t="shared" si="32"/>
        <v>0.8</v>
      </c>
      <c r="Q102" s="42">
        <f t="shared" si="33"/>
        <v>902</v>
      </c>
      <c r="R102" s="42">
        <f t="shared" si="34"/>
        <v>902</v>
      </c>
      <c r="S102" s="90" t="str">
        <f t="shared" si="35"/>
        <v/>
      </c>
      <c r="T102" s="90" t="str">
        <f t="shared" si="36"/>
        <v/>
      </c>
      <c r="U102" s="90"/>
      <c r="V102" s="90" t="str">
        <f t="shared" si="37"/>
        <v/>
      </c>
      <c r="W102" s="90"/>
      <c r="X102" s="90" t="str">
        <f t="shared" si="38"/>
        <v/>
      </c>
      <c r="Y102" s="14" t="str">
        <f t="shared" si="39"/>
        <v>ENTER IN COL S</v>
      </c>
      <c r="Z102" s="42" t="str">
        <f t="shared" si="40"/>
        <v/>
      </c>
      <c r="AA102" s="42" t="str">
        <f t="shared" si="41"/>
        <v/>
      </c>
      <c r="AB102" s="42" t="str">
        <f t="shared" si="42"/>
        <v/>
      </c>
      <c r="AC102" s="14" t="str">
        <f>IFERROR(1/(1/INDEX(Cascade!$BH:$BH,MATCH($E102,Cascade!$E:$E,0))),"")</f>
        <v/>
      </c>
      <c r="AD102" s="14" t="str">
        <f t="shared" si="43"/>
        <v/>
      </c>
      <c r="AE102" s="14" t="str">
        <f>IFERROR(1/(1/INDEX(TB!$P:$P,MATCH($E102,TB!$E:$E,0))),"")</f>
        <v/>
      </c>
      <c r="AF102" s="14" t="str">
        <f t="shared" si="44"/>
        <v/>
      </c>
    </row>
    <row r="103" spans="1:32" x14ac:dyDescent="0.2">
      <c r="A103" t="str">
        <f>INDEX(Prioritization!$D:$D,MATCH($B103,Prioritization!$A:$A,0))</f>
        <v>INVALID</v>
      </c>
      <c r="B103" t="s">
        <v>215</v>
      </c>
      <c r="C103" t="s">
        <v>364</v>
      </c>
      <c r="D103" t="s">
        <v>47</v>
      </c>
      <c r="E103" t="str">
        <f t="shared" si="30"/>
        <v>Mulanje District [umc2n1Z4wNv]|15-24|Male</v>
      </c>
      <c r="F103" s="14">
        <f>IF(LEFT($B103,4)="_Mil","",INDEX(Cascade!$T:$T,MATCH($E103,Cascade!$E:$E,0)))</f>
        <v>1226</v>
      </c>
      <c r="G103" s="14" t="str">
        <f>IF(LEFT($B103,4)="_Mil","",INDEX(Cascade!$U:$U,MATCH($E103,Cascade!$E:$E,0)))</f>
        <v/>
      </c>
      <c r="H103" s="88">
        <f>IF(LEFT($B103,4)="_Mil","",INDEX(Cascade!$W:$W,MATCH($E103,Cascade!$E:$E,0)))</f>
        <v>1543</v>
      </c>
      <c r="I103" s="14">
        <f>IF(LEFT($B103,4)="_Mil","",INDEX(Cascade!$Z:$Z,MATCH($E103,Cascade!$E:$E,0)))</f>
        <v>1431</v>
      </c>
      <c r="J103" s="90">
        <f>IF(LEFT($B103,4)="_Mil","",INDEX(Cascade!$AA:$AA,MATCH($E103,Cascade!$E:$E,0)))</f>
        <v>1023</v>
      </c>
      <c r="K103" s="14"/>
      <c r="L103" s="14"/>
      <c r="M103" s="42" t="str">
        <f>IF(LEFT($B103,4)="_Mil","",IFERROR(1/(1/ROUND(INDEX(Spectrum!$N:$N,MATCH(RIGHT($B103,13)&amp;"|"&amp;$C103&amp;"|"&amp;$D103&amp;"|"&amp;M$14&amp;"|"&amp;"CY2023Q3",Spectrum!$R:$R,0)),0)),IF(SUM($L103)=0,"",$L103)))</f>
        <v/>
      </c>
      <c r="N103" s="42" t="str">
        <f>IF(LEFT($B103,4)="_Mil","",IFERROR(1/(1/ROUND(INDEX(Spectrum!$N:$N,MATCH(RIGHT($B103,13)&amp;"|"&amp;$C103&amp;"|"&amp;$D103&amp;"|"&amp;N$14&amp;"|"&amp;"CY2023Q3",Spectrum!$R:$R,0)),0)),IF(SUM($M103)=0,"",$M103)))</f>
        <v/>
      </c>
      <c r="O103" s="90">
        <f t="shared" si="31"/>
        <v>0</v>
      </c>
      <c r="P103" s="90">
        <f t="shared" si="32"/>
        <v>0.8</v>
      </c>
      <c r="Q103" s="42">
        <f t="shared" si="33"/>
        <v>981</v>
      </c>
      <c r="R103" s="42">
        <f t="shared" si="34"/>
        <v>981</v>
      </c>
      <c r="S103" s="90" t="str">
        <f t="shared" si="35"/>
        <v/>
      </c>
      <c r="T103" s="90" t="str">
        <f t="shared" si="36"/>
        <v/>
      </c>
      <c r="U103" s="90"/>
      <c r="V103" s="90" t="str">
        <f t="shared" si="37"/>
        <v/>
      </c>
      <c r="W103" s="90"/>
      <c r="X103" s="90" t="str">
        <f t="shared" si="38"/>
        <v/>
      </c>
      <c r="Y103" s="14" t="str">
        <f t="shared" si="39"/>
        <v>ENTER IN COL S</v>
      </c>
      <c r="Z103" s="42" t="str">
        <f t="shared" si="40"/>
        <v/>
      </c>
      <c r="AA103" s="42" t="str">
        <f t="shared" si="41"/>
        <v/>
      </c>
      <c r="AB103" s="42" t="str">
        <f t="shared" si="42"/>
        <v/>
      </c>
      <c r="AC103" s="14" t="str">
        <f>IFERROR(1/(1/INDEX(Cascade!$BH:$BH,MATCH($E103,Cascade!$E:$E,0))),"")</f>
        <v/>
      </c>
      <c r="AD103" s="14" t="str">
        <f t="shared" si="43"/>
        <v/>
      </c>
      <c r="AE103" s="14" t="str">
        <f>IFERROR(1/(1/INDEX(TB!$P:$P,MATCH($E103,TB!$E:$E,0))),"")</f>
        <v/>
      </c>
      <c r="AF103" s="14" t="str">
        <f t="shared" si="44"/>
        <v/>
      </c>
    </row>
    <row r="104" spans="1:32" x14ac:dyDescent="0.2">
      <c r="A104" t="str">
        <f>INDEX(Prioritization!$D:$D,MATCH($B104,Prioritization!$A:$A,0))</f>
        <v>INVALID</v>
      </c>
      <c r="B104" t="s">
        <v>215</v>
      </c>
      <c r="C104" t="s">
        <v>365</v>
      </c>
      <c r="D104" t="s">
        <v>47</v>
      </c>
      <c r="E104" t="str">
        <f t="shared" si="30"/>
        <v>Mulanje District [umc2n1Z4wNv]|25-34|Male</v>
      </c>
      <c r="F104" s="14">
        <f>IF(LEFT($B104,4)="_Mil","",INDEX(Cascade!$T:$T,MATCH($E104,Cascade!$E:$E,0)))</f>
        <v>1987</v>
      </c>
      <c r="G104" s="14" t="str">
        <f>IF(LEFT($B104,4)="_Mil","",INDEX(Cascade!$U:$U,MATCH($E104,Cascade!$E:$E,0)))</f>
        <v/>
      </c>
      <c r="H104" s="88">
        <f>IF(LEFT($B104,4)="_Mil","",INDEX(Cascade!$W:$W,MATCH($E104,Cascade!$E:$E,0)))</f>
        <v>688</v>
      </c>
      <c r="I104" s="14">
        <f>IF(LEFT($B104,4)="_Mil","",INDEX(Cascade!$Z:$Z,MATCH($E104,Cascade!$E:$E,0)))</f>
        <v>1583</v>
      </c>
      <c r="J104" s="90">
        <f>IF(LEFT($B104,4)="_Mil","",INDEX(Cascade!$AA:$AA,MATCH($E104,Cascade!$E:$E,0)))</f>
        <v>1972</v>
      </c>
      <c r="K104" s="14"/>
      <c r="L104" s="14"/>
      <c r="M104" s="42" t="str">
        <f>IF(LEFT($B104,4)="_Mil","",IFERROR(1/(1/ROUND(INDEX(Spectrum!$N:$N,MATCH(RIGHT($B104,13)&amp;"|"&amp;$C104&amp;"|"&amp;$D104&amp;"|"&amp;M$14&amp;"|"&amp;"CY2023Q3",Spectrum!$R:$R,0)),0)),IF(SUM($L104)=0,"",$L104)))</f>
        <v/>
      </c>
      <c r="N104" s="42" t="str">
        <f>IF(LEFT($B104,4)="_Mil","",IFERROR(1/(1/ROUND(INDEX(Spectrum!$N:$N,MATCH(RIGHT($B104,13)&amp;"|"&amp;$C104&amp;"|"&amp;$D104&amp;"|"&amp;N$14&amp;"|"&amp;"CY2023Q3",Spectrum!$R:$R,0)),0)),IF(SUM($M104)=0,"",$M104)))</f>
        <v/>
      </c>
      <c r="O104" s="90">
        <f t="shared" si="31"/>
        <v>0</v>
      </c>
      <c r="P104" s="90">
        <f t="shared" si="32"/>
        <v>0.8</v>
      </c>
      <c r="Q104" s="42">
        <f t="shared" si="33"/>
        <v>1590</v>
      </c>
      <c r="R104" s="42">
        <f t="shared" si="34"/>
        <v>1590</v>
      </c>
      <c r="S104" s="90" t="str">
        <f t="shared" si="35"/>
        <v/>
      </c>
      <c r="T104" s="90" t="str">
        <f t="shared" si="36"/>
        <v/>
      </c>
      <c r="U104" s="90"/>
      <c r="V104" s="90" t="str">
        <f t="shared" si="37"/>
        <v/>
      </c>
      <c r="W104" s="90"/>
      <c r="X104" s="90" t="str">
        <f t="shared" si="38"/>
        <v/>
      </c>
      <c r="Y104" s="14" t="str">
        <f t="shared" si="39"/>
        <v>ENTER IN COL S</v>
      </c>
      <c r="Z104" s="42" t="str">
        <f t="shared" si="40"/>
        <v/>
      </c>
      <c r="AA104" s="42" t="str">
        <f t="shared" si="41"/>
        <v/>
      </c>
      <c r="AB104" s="42" t="str">
        <f t="shared" si="42"/>
        <v/>
      </c>
      <c r="AC104" s="14" t="str">
        <f>IFERROR(1/(1/INDEX(Cascade!$BH:$BH,MATCH($E104,Cascade!$E:$E,0))),"")</f>
        <v/>
      </c>
      <c r="AD104" s="14" t="str">
        <f t="shared" si="43"/>
        <v/>
      </c>
      <c r="AE104" s="14" t="str">
        <f>IFERROR(1/(1/INDEX(TB!$P:$P,MATCH($E104,TB!$E:$E,0))),"")</f>
        <v/>
      </c>
      <c r="AF104" s="14" t="str">
        <f t="shared" si="44"/>
        <v/>
      </c>
    </row>
    <row r="105" spans="1:32" x14ac:dyDescent="0.2">
      <c r="A105" t="str">
        <f>INDEX(Prioritization!$D:$D,MATCH($B105,Prioritization!$A:$A,0))</f>
        <v>INVALID</v>
      </c>
      <c r="B105" t="s">
        <v>215</v>
      </c>
      <c r="C105" t="s">
        <v>366</v>
      </c>
      <c r="D105" t="s">
        <v>47</v>
      </c>
      <c r="E105" t="str">
        <f t="shared" si="30"/>
        <v>Mulanje District [umc2n1Z4wNv]|35-49|Male</v>
      </c>
      <c r="F105" s="14">
        <f>IF(LEFT($B105,4)="_Mil","",INDEX(Cascade!$T:$T,MATCH($E105,Cascade!$E:$E,0)))</f>
        <v>696</v>
      </c>
      <c r="G105" s="14" t="str">
        <f>IF(LEFT($B105,4)="_Mil","",INDEX(Cascade!$U:$U,MATCH($E105,Cascade!$E:$E,0)))</f>
        <v/>
      </c>
      <c r="H105" s="88">
        <f>IF(LEFT($B105,4)="_Mil","",INDEX(Cascade!$W:$W,MATCH($E105,Cascade!$E:$E,0)))</f>
        <v>1889</v>
      </c>
      <c r="I105" s="14">
        <f>IF(LEFT($B105,4)="_Mil","",INDEX(Cascade!$Z:$Z,MATCH($E105,Cascade!$E:$E,0)))</f>
        <v>1851</v>
      </c>
      <c r="J105" s="90">
        <f>IF(LEFT($B105,4)="_Mil","",INDEX(Cascade!$AA:$AA,MATCH($E105,Cascade!$E:$E,0)))</f>
        <v>849.00000000000011</v>
      </c>
      <c r="K105" s="14"/>
      <c r="L105" s="14"/>
      <c r="M105" s="42" t="str">
        <f>IF(LEFT($B105,4)="_Mil","",IFERROR(1/(1/ROUND(INDEX(Spectrum!$N:$N,MATCH(RIGHT($B105,13)&amp;"|"&amp;$C105&amp;"|"&amp;$D105&amp;"|"&amp;M$14&amp;"|"&amp;"CY2023Q3",Spectrum!$R:$R,0)),0)),IF(SUM($L105)=0,"",$L105)))</f>
        <v/>
      </c>
      <c r="N105" s="42" t="str">
        <f>IF(LEFT($B105,4)="_Mil","",IFERROR(1/(1/ROUND(INDEX(Spectrum!$N:$N,MATCH(RIGHT($B105,13)&amp;"|"&amp;$C105&amp;"|"&amp;$D105&amp;"|"&amp;N$14&amp;"|"&amp;"CY2023Q3",Spectrum!$R:$R,0)),0)),IF(SUM($M105)=0,"",$M105)))</f>
        <v/>
      </c>
      <c r="O105" s="90">
        <f t="shared" si="31"/>
        <v>0</v>
      </c>
      <c r="P105" s="90">
        <f t="shared" si="32"/>
        <v>0.8</v>
      </c>
      <c r="Q105" s="42">
        <f t="shared" si="33"/>
        <v>557</v>
      </c>
      <c r="R105" s="42">
        <f t="shared" si="34"/>
        <v>557</v>
      </c>
      <c r="S105" s="90" t="str">
        <f t="shared" si="35"/>
        <v/>
      </c>
      <c r="T105" s="90" t="str">
        <f t="shared" si="36"/>
        <v/>
      </c>
      <c r="U105" s="90"/>
      <c r="V105" s="90" t="str">
        <f t="shared" si="37"/>
        <v/>
      </c>
      <c r="W105" s="90"/>
      <c r="X105" s="90" t="str">
        <f t="shared" si="38"/>
        <v/>
      </c>
      <c r="Y105" s="14" t="str">
        <f t="shared" si="39"/>
        <v>ENTER IN COL S</v>
      </c>
      <c r="Z105" s="42" t="str">
        <f t="shared" si="40"/>
        <v/>
      </c>
      <c r="AA105" s="42" t="str">
        <f t="shared" si="41"/>
        <v/>
      </c>
      <c r="AB105" s="42" t="str">
        <f t="shared" si="42"/>
        <v/>
      </c>
      <c r="AC105" s="14" t="str">
        <f>IFERROR(1/(1/INDEX(Cascade!$BH:$BH,MATCH($E105,Cascade!$E:$E,0))),"")</f>
        <v/>
      </c>
      <c r="AD105" s="14" t="str">
        <f t="shared" si="43"/>
        <v/>
      </c>
      <c r="AE105" s="14" t="str">
        <f>IFERROR(1/(1/INDEX(TB!$P:$P,MATCH($E105,TB!$E:$E,0))),"")</f>
        <v/>
      </c>
      <c r="AF105" s="14" t="str">
        <f t="shared" si="44"/>
        <v/>
      </c>
    </row>
    <row r="106" spans="1:32" x14ac:dyDescent="0.2">
      <c r="A106" t="str">
        <f>INDEX(Prioritization!$D:$D,MATCH($B106,Prioritization!$A:$A,0))</f>
        <v>INVALID</v>
      </c>
      <c r="B106" t="s">
        <v>215</v>
      </c>
      <c r="C106" t="s">
        <v>367</v>
      </c>
      <c r="D106" t="s">
        <v>47</v>
      </c>
      <c r="E106" t="str">
        <f t="shared" si="30"/>
        <v>Mulanje District [umc2n1Z4wNv]|50+|Male</v>
      </c>
      <c r="F106" s="14">
        <f>IF(LEFT($B106,4)="_Mil","",INDEX(Cascade!$T:$T,MATCH($E106,Cascade!$E:$E,0)))</f>
        <v>1860</v>
      </c>
      <c r="G106" s="14" t="str">
        <f>IF(LEFT($B106,4)="_Mil","",INDEX(Cascade!$U:$U,MATCH($E106,Cascade!$E:$E,0)))</f>
        <v/>
      </c>
      <c r="H106" s="88">
        <f>IF(LEFT($B106,4)="_Mil","",INDEX(Cascade!$W:$W,MATCH($E106,Cascade!$E:$E,0)))</f>
        <v>1556</v>
      </c>
      <c r="I106" s="14">
        <f>IF(LEFT($B106,4)="_Mil","",INDEX(Cascade!$Z:$Z,MATCH($E106,Cascade!$E:$E,0)))</f>
        <v>1871</v>
      </c>
      <c r="J106" s="90">
        <f>IF(LEFT($B106,4)="_Mil","",INDEX(Cascade!$AA:$AA,MATCH($E106,Cascade!$E:$E,0)))</f>
        <v>996.00000000000011</v>
      </c>
      <c r="K106" s="14"/>
      <c r="L106" s="14"/>
      <c r="M106" s="42" t="str">
        <f>IF(LEFT($B106,4)="_Mil","",IFERROR(1/(1/ROUND(INDEX(Spectrum!$N:$N,MATCH(RIGHT($B106,13)&amp;"|"&amp;$C106&amp;"|"&amp;$D106&amp;"|"&amp;M$14&amp;"|"&amp;"CY2023Q3",Spectrum!$R:$R,0)),0)),IF(SUM($L106)=0,"",$L106)))</f>
        <v/>
      </c>
      <c r="N106" s="42" t="str">
        <f>IF(LEFT($B106,4)="_Mil","",IFERROR(1/(1/ROUND(INDEX(Spectrum!$N:$N,MATCH(RIGHT($B106,13)&amp;"|"&amp;$C106&amp;"|"&amp;$D106&amp;"|"&amp;N$14&amp;"|"&amp;"CY2023Q3",Spectrum!$R:$R,0)),0)),IF(SUM($M106)=0,"",$M106)))</f>
        <v/>
      </c>
      <c r="O106" s="90">
        <f t="shared" si="31"/>
        <v>0</v>
      </c>
      <c r="P106" s="90">
        <f t="shared" si="32"/>
        <v>0.8</v>
      </c>
      <c r="Q106" s="42">
        <f t="shared" si="33"/>
        <v>1488</v>
      </c>
      <c r="R106" s="42">
        <f t="shared" si="34"/>
        <v>1488</v>
      </c>
      <c r="S106" s="90" t="str">
        <f t="shared" si="35"/>
        <v/>
      </c>
      <c r="T106" s="90" t="str">
        <f t="shared" si="36"/>
        <v/>
      </c>
      <c r="U106" s="90"/>
      <c r="V106" s="90" t="str">
        <f t="shared" si="37"/>
        <v/>
      </c>
      <c r="W106" s="90"/>
      <c r="X106" s="90" t="str">
        <f t="shared" si="38"/>
        <v/>
      </c>
      <c r="Y106" s="14" t="str">
        <f t="shared" si="39"/>
        <v>ENTER IN COL S</v>
      </c>
      <c r="Z106" s="42" t="str">
        <f t="shared" si="40"/>
        <v/>
      </c>
      <c r="AA106" s="42" t="str">
        <f t="shared" si="41"/>
        <v/>
      </c>
      <c r="AB106" s="42" t="str">
        <f t="shared" si="42"/>
        <v/>
      </c>
      <c r="AC106" s="14" t="str">
        <f>IFERROR(1/(1/INDEX(Cascade!$BH:$BH,MATCH($E106,Cascade!$E:$E,0))),"")</f>
        <v/>
      </c>
      <c r="AD106" s="14" t="str">
        <f t="shared" si="43"/>
        <v/>
      </c>
      <c r="AE106" s="14" t="str">
        <f>IFERROR(1/(1/INDEX(TB!$P:$P,MATCH($E106,TB!$E:$E,0))),"")</f>
        <v/>
      </c>
      <c r="AF106" s="14" t="str">
        <f t="shared" si="44"/>
        <v/>
      </c>
    </row>
    <row r="107" spans="1:32" x14ac:dyDescent="0.2">
      <c r="A107" t="str">
        <f>INDEX(Prioritization!$D:$D,MATCH($B107,Prioritization!$A:$A,0))</f>
        <v>INVALID</v>
      </c>
      <c r="B107" t="s">
        <v>216</v>
      </c>
      <c r="C107" t="s">
        <v>364</v>
      </c>
      <c r="D107" t="s">
        <v>47</v>
      </c>
      <c r="E107" t="str">
        <f t="shared" si="30"/>
        <v>Mwanza District [wNqJp8oRIcF]|15-24|Male</v>
      </c>
      <c r="F107" s="14">
        <f>IF(LEFT($B107,4)="_Mil","",INDEX(Cascade!$T:$T,MATCH($E107,Cascade!$E:$E,0)))</f>
        <v>1538</v>
      </c>
      <c r="G107" s="14" t="str">
        <f>IF(LEFT($B107,4)="_Mil","",INDEX(Cascade!$U:$U,MATCH($E107,Cascade!$E:$E,0)))</f>
        <v/>
      </c>
      <c r="H107" s="88">
        <f>IF(LEFT($B107,4)="_Mil","",INDEX(Cascade!$W:$W,MATCH($E107,Cascade!$E:$E,0)))</f>
        <v>709</v>
      </c>
      <c r="I107" s="14">
        <f>IF(LEFT($B107,4)="_Mil","",INDEX(Cascade!$Z:$Z,MATCH($E107,Cascade!$E:$E,0)))</f>
        <v>1124</v>
      </c>
      <c r="J107" s="90">
        <f>IF(LEFT($B107,4)="_Mil","",INDEX(Cascade!$AA:$AA,MATCH($E107,Cascade!$E:$E,0)))</f>
        <v>636</v>
      </c>
      <c r="K107" s="14"/>
      <c r="L107" s="14"/>
      <c r="M107" s="42" t="str">
        <f>IF(LEFT($B107,4)="_Mil","",IFERROR(1/(1/ROUND(INDEX(Spectrum!$N:$N,MATCH(RIGHT($B107,13)&amp;"|"&amp;$C107&amp;"|"&amp;$D107&amp;"|"&amp;M$14&amp;"|"&amp;"CY2023Q3",Spectrum!$R:$R,0)),0)),IF(SUM($L107)=0,"",$L107)))</f>
        <v/>
      </c>
      <c r="N107" s="42" t="str">
        <f>IF(LEFT($B107,4)="_Mil","",IFERROR(1/(1/ROUND(INDEX(Spectrum!$N:$N,MATCH(RIGHT($B107,13)&amp;"|"&amp;$C107&amp;"|"&amp;$D107&amp;"|"&amp;N$14&amp;"|"&amp;"CY2023Q3",Spectrum!$R:$R,0)),0)),IF(SUM($M107)=0,"",$M107)))</f>
        <v/>
      </c>
      <c r="O107" s="90">
        <f t="shared" si="31"/>
        <v>0</v>
      </c>
      <c r="P107" s="90">
        <f t="shared" si="32"/>
        <v>0.8</v>
      </c>
      <c r="Q107" s="42">
        <f t="shared" si="33"/>
        <v>1230</v>
      </c>
      <c r="R107" s="42">
        <f t="shared" si="34"/>
        <v>1230</v>
      </c>
      <c r="S107" s="90" t="str">
        <f t="shared" si="35"/>
        <v/>
      </c>
      <c r="T107" s="90" t="str">
        <f t="shared" si="36"/>
        <v/>
      </c>
      <c r="U107" s="90"/>
      <c r="V107" s="90" t="str">
        <f t="shared" si="37"/>
        <v/>
      </c>
      <c r="W107" s="90"/>
      <c r="X107" s="90" t="str">
        <f t="shared" si="38"/>
        <v/>
      </c>
      <c r="Y107" s="14" t="str">
        <f t="shared" si="39"/>
        <v>ENTER IN COL S</v>
      </c>
      <c r="Z107" s="42" t="str">
        <f t="shared" si="40"/>
        <v/>
      </c>
      <c r="AA107" s="42" t="str">
        <f t="shared" si="41"/>
        <v/>
      </c>
      <c r="AB107" s="42" t="str">
        <f t="shared" si="42"/>
        <v/>
      </c>
      <c r="AC107" s="14" t="str">
        <f>IFERROR(1/(1/INDEX(Cascade!$BH:$BH,MATCH($E107,Cascade!$E:$E,0))),"")</f>
        <v/>
      </c>
      <c r="AD107" s="14" t="str">
        <f t="shared" si="43"/>
        <v/>
      </c>
      <c r="AE107" s="14" t="str">
        <f>IFERROR(1/(1/INDEX(TB!$P:$P,MATCH($E107,TB!$E:$E,0))),"")</f>
        <v/>
      </c>
      <c r="AF107" s="14" t="str">
        <f t="shared" si="44"/>
        <v/>
      </c>
    </row>
    <row r="108" spans="1:32" x14ac:dyDescent="0.2">
      <c r="A108" t="str">
        <f>INDEX(Prioritization!$D:$D,MATCH($B108,Prioritization!$A:$A,0))</f>
        <v>INVALID</v>
      </c>
      <c r="B108" t="s">
        <v>216</v>
      </c>
      <c r="C108" t="s">
        <v>365</v>
      </c>
      <c r="D108" t="s">
        <v>47</v>
      </c>
      <c r="E108" t="str">
        <f t="shared" si="30"/>
        <v>Mwanza District [wNqJp8oRIcF]|25-34|Male</v>
      </c>
      <c r="F108" s="14">
        <f>IF(LEFT($B108,4)="_Mil","",INDEX(Cascade!$T:$T,MATCH($E108,Cascade!$E:$E,0)))</f>
        <v>1510</v>
      </c>
      <c r="G108" s="14" t="str">
        <f>IF(LEFT($B108,4)="_Mil","",INDEX(Cascade!$U:$U,MATCH($E108,Cascade!$E:$E,0)))</f>
        <v/>
      </c>
      <c r="H108" s="88">
        <f>IF(LEFT($B108,4)="_Mil","",INDEX(Cascade!$W:$W,MATCH($E108,Cascade!$E:$E,0)))</f>
        <v>1486</v>
      </c>
      <c r="I108" s="14">
        <f>IF(LEFT($B108,4)="_Mil","",INDEX(Cascade!$Z:$Z,MATCH($E108,Cascade!$E:$E,0)))</f>
        <v>559</v>
      </c>
      <c r="J108" s="90">
        <f>IF(LEFT($B108,4)="_Mil","",INDEX(Cascade!$AA:$AA,MATCH($E108,Cascade!$E:$E,0)))</f>
        <v>635</v>
      </c>
      <c r="K108" s="14"/>
      <c r="L108" s="14"/>
      <c r="M108" s="42" t="str">
        <f>IF(LEFT($B108,4)="_Mil","",IFERROR(1/(1/ROUND(INDEX(Spectrum!$N:$N,MATCH(RIGHT($B108,13)&amp;"|"&amp;$C108&amp;"|"&amp;$D108&amp;"|"&amp;M$14&amp;"|"&amp;"CY2023Q3",Spectrum!$R:$R,0)),0)),IF(SUM($L108)=0,"",$L108)))</f>
        <v/>
      </c>
      <c r="N108" s="42" t="str">
        <f>IF(LEFT($B108,4)="_Mil","",IFERROR(1/(1/ROUND(INDEX(Spectrum!$N:$N,MATCH(RIGHT($B108,13)&amp;"|"&amp;$C108&amp;"|"&amp;$D108&amp;"|"&amp;N$14&amp;"|"&amp;"CY2023Q3",Spectrum!$R:$R,0)),0)),IF(SUM($M108)=0,"",$M108)))</f>
        <v/>
      </c>
      <c r="O108" s="90">
        <f t="shared" si="31"/>
        <v>0</v>
      </c>
      <c r="P108" s="90">
        <f t="shared" si="32"/>
        <v>0.8</v>
      </c>
      <c r="Q108" s="42">
        <f t="shared" si="33"/>
        <v>1208</v>
      </c>
      <c r="R108" s="42">
        <f t="shared" si="34"/>
        <v>1208</v>
      </c>
      <c r="S108" s="90" t="str">
        <f t="shared" si="35"/>
        <v/>
      </c>
      <c r="T108" s="90" t="str">
        <f t="shared" si="36"/>
        <v/>
      </c>
      <c r="U108" s="90"/>
      <c r="V108" s="90" t="str">
        <f t="shared" si="37"/>
        <v/>
      </c>
      <c r="W108" s="90"/>
      <c r="X108" s="90" t="str">
        <f t="shared" si="38"/>
        <v/>
      </c>
      <c r="Y108" s="14" t="str">
        <f t="shared" si="39"/>
        <v>ENTER IN COL S</v>
      </c>
      <c r="Z108" s="42" t="str">
        <f t="shared" si="40"/>
        <v/>
      </c>
      <c r="AA108" s="42" t="str">
        <f t="shared" si="41"/>
        <v/>
      </c>
      <c r="AB108" s="42" t="str">
        <f t="shared" si="42"/>
        <v/>
      </c>
      <c r="AC108" s="14" t="str">
        <f>IFERROR(1/(1/INDEX(Cascade!$BH:$BH,MATCH($E108,Cascade!$E:$E,0))),"")</f>
        <v/>
      </c>
      <c r="AD108" s="14" t="str">
        <f t="shared" si="43"/>
        <v/>
      </c>
      <c r="AE108" s="14" t="str">
        <f>IFERROR(1/(1/INDEX(TB!$P:$P,MATCH($E108,TB!$E:$E,0))),"")</f>
        <v/>
      </c>
      <c r="AF108" s="14" t="str">
        <f t="shared" si="44"/>
        <v/>
      </c>
    </row>
    <row r="109" spans="1:32" x14ac:dyDescent="0.2">
      <c r="A109" t="str">
        <f>INDEX(Prioritization!$D:$D,MATCH($B109,Prioritization!$A:$A,0))</f>
        <v>INVALID</v>
      </c>
      <c r="B109" t="s">
        <v>216</v>
      </c>
      <c r="C109" t="s">
        <v>366</v>
      </c>
      <c r="D109" t="s">
        <v>47</v>
      </c>
      <c r="E109" t="str">
        <f t="shared" si="30"/>
        <v>Mwanza District [wNqJp8oRIcF]|35-49|Male</v>
      </c>
      <c r="F109" s="14">
        <f>IF(LEFT($B109,4)="_Mil","",INDEX(Cascade!$T:$T,MATCH($E109,Cascade!$E:$E,0)))</f>
        <v>1641</v>
      </c>
      <c r="G109" s="14" t="str">
        <f>IF(LEFT($B109,4)="_Mil","",INDEX(Cascade!$U:$U,MATCH($E109,Cascade!$E:$E,0)))</f>
        <v/>
      </c>
      <c r="H109" s="88">
        <f>IF(LEFT($B109,4)="_Mil","",INDEX(Cascade!$W:$W,MATCH($E109,Cascade!$E:$E,0)))</f>
        <v>1592</v>
      </c>
      <c r="I109" s="14">
        <f>IF(LEFT($B109,4)="_Mil","",INDEX(Cascade!$Z:$Z,MATCH($E109,Cascade!$E:$E,0)))</f>
        <v>1322</v>
      </c>
      <c r="J109" s="90">
        <f>IF(LEFT($B109,4)="_Mil","",INDEX(Cascade!$AA:$AA,MATCH($E109,Cascade!$E:$E,0)))</f>
        <v>1010</v>
      </c>
      <c r="K109" s="14"/>
      <c r="L109" s="14"/>
      <c r="M109" s="42" t="str">
        <f>IF(LEFT($B109,4)="_Mil","",IFERROR(1/(1/ROUND(INDEX(Spectrum!$N:$N,MATCH(RIGHT($B109,13)&amp;"|"&amp;$C109&amp;"|"&amp;$D109&amp;"|"&amp;M$14&amp;"|"&amp;"CY2023Q3",Spectrum!$R:$R,0)),0)),IF(SUM($L109)=0,"",$L109)))</f>
        <v/>
      </c>
      <c r="N109" s="42" t="str">
        <f>IF(LEFT($B109,4)="_Mil","",IFERROR(1/(1/ROUND(INDEX(Spectrum!$N:$N,MATCH(RIGHT($B109,13)&amp;"|"&amp;$C109&amp;"|"&amp;$D109&amp;"|"&amp;N$14&amp;"|"&amp;"CY2023Q3",Spectrum!$R:$R,0)),0)),IF(SUM($M109)=0,"",$M109)))</f>
        <v/>
      </c>
      <c r="O109" s="90">
        <f t="shared" si="31"/>
        <v>0</v>
      </c>
      <c r="P109" s="90">
        <f t="shared" si="32"/>
        <v>0.8</v>
      </c>
      <c r="Q109" s="42">
        <f t="shared" si="33"/>
        <v>1313</v>
      </c>
      <c r="R109" s="42">
        <f t="shared" si="34"/>
        <v>1313</v>
      </c>
      <c r="S109" s="90" t="str">
        <f t="shared" si="35"/>
        <v/>
      </c>
      <c r="T109" s="90" t="str">
        <f t="shared" si="36"/>
        <v/>
      </c>
      <c r="U109" s="90"/>
      <c r="V109" s="90" t="str">
        <f t="shared" si="37"/>
        <v/>
      </c>
      <c r="W109" s="90"/>
      <c r="X109" s="90" t="str">
        <f t="shared" si="38"/>
        <v/>
      </c>
      <c r="Y109" s="14" t="str">
        <f t="shared" si="39"/>
        <v>ENTER IN COL S</v>
      </c>
      <c r="Z109" s="42" t="str">
        <f t="shared" si="40"/>
        <v/>
      </c>
      <c r="AA109" s="42" t="str">
        <f t="shared" si="41"/>
        <v/>
      </c>
      <c r="AB109" s="42" t="str">
        <f t="shared" si="42"/>
        <v/>
      </c>
      <c r="AC109" s="14" t="str">
        <f>IFERROR(1/(1/INDEX(Cascade!$BH:$BH,MATCH($E109,Cascade!$E:$E,0))),"")</f>
        <v/>
      </c>
      <c r="AD109" s="14" t="str">
        <f t="shared" si="43"/>
        <v/>
      </c>
      <c r="AE109" s="14" t="str">
        <f>IFERROR(1/(1/INDEX(TB!$P:$P,MATCH($E109,TB!$E:$E,0))),"")</f>
        <v/>
      </c>
      <c r="AF109" s="14" t="str">
        <f t="shared" si="44"/>
        <v/>
      </c>
    </row>
    <row r="110" spans="1:32" x14ac:dyDescent="0.2">
      <c r="A110" t="str">
        <f>INDEX(Prioritization!$D:$D,MATCH($B110,Prioritization!$A:$A,0))</f>
        <v>INVALID</v>
      </c>
      <c r="B110" t="s">
        <v>216</v>
      </c>
      <c r="C110" t="s">
        <v>367</v>
      </c>
      <c r="D110" t="s">
        <v>47</v>
      </c>
      <c r="E110" t="str">
        <f t="shared" si="30"/>
        <v>Mwanza District [wNqJp8oRIcF]|50+|Male</v>
      </c>
      <c r="F110" s="14">
        <f>IF(LEFT($B110,4)="_Mil","",INDEX(Cascade!$T:$T,MATCH($E110,Cascade!$E:$E,0)))</f>
        <v>1807</v>
      </c>
      <c r="G110" s="14" t="str">
        <f>IF(LEFT($B110,4)="_Mil","",INDEX(Cascade!$U:$U,MATCH($E110,Cascade!$E:$E,0)))</f>
        <v/>
      </c>
      <c r="H110" s="88">
        <f>IF(LEFT($B110,4)="_Mil","",INDEX(Cascade!$W:$W,MATCH($E110,Cascade!$E:$E,0)))</f>
        <v>1230</v>
      </c>
      <c r="I110" s="14">
        <f>IF(LEFT($B110,4)="_Mil","",INDEX(Cascade!$Z:$Z,MATCH($E110,Cascade!$E:$E,0)))</f>
        <v>1914</v>
      </c>
      <c r="J110" s="90">
        <f>IF(LEFT($B110,4)="_Mil","",INDEX(Cascade!$AA:$AA,MATCH($E110,Cascade!$E:$E,0)))</f>
        <v>1772.0000000000002</v>
      </c>
      <c r="K110" s="14"/>
      <c r="L110" s="14"/>
      <c r="M110" s="42" t="str">
        <f>IF(LEFT($B110,4)="_Mil","",IFERROR(1/(1/ROUND(INDEX(Spectrum!$N:$N,MATCH(RIGHT($B110,13)&amp;"|"&amp;$C110&amp;"|"&amp;$D110&amp;"|"&amp;M$14&amp;"|"&amp;"CY2023Q3",Spectrum!$R:$R,0)),0)),IF(SUM($L110)=0,"",$L110)))</f>
        <v/>
      </c>
      <c r="N110" s="42" t="str">
        <f>IF(LEFT($B110,4)="_Mil","",IFERROR(1/(1/ROUND(INDEX(Spectrum!$N:$N,MATCH(RIGHT($B110,13)&amp;"|"&amp;$C110&amp;"|"&amp;$D110&amp;"|"&amp;N$14&amp;"|"&amp;"CY2023Q3",Spectrum!$R:$R,0)),0)),IF(SUM($M110)=0,"",$M110)))</f>
        <v/>
      </c>
      <c r="O110" s="90">
        <f t="shared" si="31"/>
        <v>0</v>
      </c>
      <c r="P110" s="90">
        <f t="shared" si="32"/>
        <v>0.8</v>
      </c>
      <c r="Q110" s="42">
        <f t="shared" si="33"/>
        <v>1446</v>
      </c>
      <c r="R110" s="42">
        <f t="shared" si="34"/>
        <v>1446</v>
      </c>
      <c r="S110" s="90" t="str">
        <f t="shared" si="35"/>
        <v/>
      </c>
      <c r="T110" s="90" t="str">
        <f t="shared" si="36"/>
        <v/>
      </c>
      <c r="U110" s="90"/>
      <c r="V110" s="90" t="str">
        <f t="shared" si="37"/>
        <v/>
      </c>
      <c r="W110" s="90"/>
      <c r="X110" s="90" t="str">
        <f t="shared" si="38"/>
        <v/>
      </c>
      <c r="Y110" s="14" t="str">
        <f t="shared" si="39"/>
        <v>ENTER IN COL S</v>
      </c>
      <c r="Z110" s="42" t="str">
        <f t="shared" si="40"/>
        <v/>
      </c>
      <c r="AA110" s="42" t="str">
        <f t="shared" si="41"/>
        <v/>
      </c>
      <c r="AB110" s="42" t="str">
        <f t="shared" si="42"/>
        <v/>
      </c>
      <c r="AC110" s="14" t="str">
        <f>IFERROR(1/(1/INDEX(Cascade!$BH:$BH,MATCH($E110,Cascade!$E:$E,0))),"")</f>
        <v/>
      </c>
      <c r="AD110" s="14" t="str">
        <f t="shared" si="43"/>
        <v/>
      </c>
      <c r="AE110" s="14" t="str">
        <f>IFERROR(1/(1/INDEX(TB!$P:$P,MATCH($E110,TB!$E:$E,0))),"")</f>
        <v/>
      </c>
      <c r="AF110" s="14" t="str">
        <f t="shared" si="44"/>
        <v/>
      </c>
    </row>
    <row r="111" spans="1:32" x14ac:dyDescent="0.2">
      <c r="A111" t="str">
        <f>INDEX(Prioritization!$D:$D,MATCH($B111,Prioritization!$A:$A,0))</f>
        <v>INVALID</v>
      </c>
      <c r="B111" t="s">
        <v>217</v>
      </c>
      <c r="C111" t="s">
        <v>364</v>
      </c>
      <c r="D111" t="s">
        <v>47</v>
      </c>
      <c r="E111" t="str">
        <f t="shared" ref="E111:E142" si="45">B111&amp;"|"&amp;C111&amp;"|"&amp;D111</f>
        <v>Neno District [gwVYinjBAe9]|15-24|Male</v>
      </c>
      <c r="F111" s="14">
        <f>IF(LEFT($B111,4)="_Mil","",INDEX(Cascade!$T:$T,MATCH($E111,Cascade!$E:$E,0)))</f>
        <v>1900</v>
      </c>
      <c r="G111" s="14" t="str">
        <f>IF(LEFT($B111,4)="_Mil","",INDEX(Cascade!$U:$U,MATCH($E111,Cascade!$E:$E,0)))</f>
        <v/>
      </c>
      <c r="H111" s="88">
        <f>IF(LEFT($B111,4)="_Mil","",INDEX(Cascade!$W:$W,MATCH($E111,Cascade!$E:$E,0)))</f>
        <v>545</v>
      </c>
      <c r="I111" s="14">
        <f>IF(LEFT($B111,4)="_Mil","",INDEX(Cascade!$Z:$Z,MATCH($E111,Cascade!$E:$E,0)))</f>
        <v>1773</v>
      </c>
      <c r="J111" s="90">
        <f>IF(LEFT($B111,4)="_Mil","",INDEX(Cascade!$AA:$AA,MATCH($E111,Cascade!$E:$E,0)))</f>
        <v>760</v>
      </c>
      <c r="K111" s="14"/>
      <c r="L111" s="14"/>
      <c r="M111" s="42" t="str">
        <f>IF(LEFT($B111,4)="_Mil","",IFERROR(1/(1/ROUND(INDEX(Spectrum!$N:$N,MATCH(RIGHT($B111,13)&amp;"|"&amp;$C111&amp;"|"&amp;$D111&amp;"|"&amp;M$14&amp;"|"&amp;"CY2023Q3",Spectrum!$R:$R,0)),0)),IF(SUM($L111)=0,"",$L111)))</f>
        <v/>
      </c>
      <c r="N111" s="42" t="str">
        <f>IF(LEFT($B111,4)="_Mil","",IFERROR(1/(1/ROUND(INDEX(Spectrum!$N:$N,MATCH(RIGHT($B111,13)&amp;"|"&amp;$C111&amp;"|"&amp;$D111&amp;"|"&amp;N$14&amp;"|"&amp;"CY2023Q3",Spectrum!$R:$R,0)),0)),IF(SUM($M111)=0,"",$M111)))</f>
        <v/>
      </c>
      <c r="O111" s="90">
        <f t="shared" ref="O111:O130" si="46">IF(OR(LEFT($B111,4)="_Mil",SUM($F111)=0),"",SUM($N111)/$F111)</f>
        <v>0</v>
      </c>
      <c r="P111" s="90">
        <f t="shared" ref="P111:P130" si="47">IF(OR(LEFT($B111,4)="_Mil",SUM($F111)=0),"",MAX(SUM($O111),80%))</f>
        <v>0.8</v>
      </c>
      <c r="Q111" s="42">
        <f t="shared" ref="Q111:Q130" si="48">IF(OR(LEFT($B111,4)="_Mil",SUM($F111)=0),"",ROUND(SUM($F111)*$P111,0))</f>
        <v>1520</v>
      </c>
      <c r="R111" s="42">
        <f t="shared" ref="R111:R130" si="49">IF(OR(LEFT($B111,4)="_Mil",SUM($Q111)=0),"",ROUND(MAX($Q111-SUM($N111),0),0))</f>
        <v>1520</v>
      </c>
      <c r="S111" s="90" t="str">
        <f t="shared" ref="S111:S130" si="50">IF(LEFT($B111,4)="_Mil","",IF(SUM($L111)=0,"",IF(SUM($M111)=0,1,$L111/$M111)))</f>
        <v/>
      </c>
      <c r="T111" s="90" t="str">
        <f t="shared" ref="T111:T130" si="51">IF(LEFT($B111,4)="_Mil",0,"")</f>
        <v/>
      </c>
      <c r="U111" s="90"/>
      <c r="V111" s="90" t="str">
        <f t="shared" ref="V111:V130" si="52">IF($U111="","",$U111)</f>
        <v/>
      </c>
      <c r="W111" s="90"/>
      <c r="X111" s="90" t="str">
        <f t="shared" ref="X111:X130" si="53">IF($W111="","",$W111)</f>
        <v/>
      </c>
      <c r="Y111" s="14" t="str">
        <f t="shared" ref="Y111:Y130" si="54">IF(LEFT($B111,4)="_Mil",IF(SUM($L111)=0,"",ROUND($L111*(1+$T111),0)),IF(SUM($R111)=0,"",IF($S111="","ENTER IN COL S",ROUND($R111*$S111,0))))</f>
        <v>ENTER IN COL S</v>
      </c>
      <c r="Z111" s="42" t="str">
        <f t="shared" ref="Z111:Z130" si="55">IF(SUM($Y111)=0,"",IF(AND(SUM($Y111)&gt;0,$V111=""),"ENTER INDETERMINATE RATE",ROUND($Y111*$V111,0)))</f>
        <v/>
      </c>
      <c r="AA111" s="42" t="str">
        <f t="shared" ref="AA111:AA130" si="56">IF(SUM($Y111)=0,"",IF(AND(($Y111-SUM($Z111))&gt;0,$X111=""),"ENTER YIELD RATE",ROUND(($Y111-SUM($Z111))*SUM($X111),0)))</f>
        <v/>
      </c>
      <c r="AB111" s="42" t="str">
        <f t="shared" ref="AB111:AB130" si="57">IF(SUM($Y111)=0,"",$Y111-SUM($Z111)-SUM($AA111))</f>
        <v/>
      </c>
      <c r="AC111" s="14" t="str">
        <f>IFERROR(1/(1/INDEX(Cascade!$BH:$BH,MATCH($E111,Cascade!$E:$E,0))),"")</f>
        <v/>
      </c>
      <c r="AD111" s="14" t="str">
        <f t="shared" ref="AD111:AD130" si="58">IF(SUM($AA111)=0,"",$AA111)</f>
        <v/>
      </c>
      <c r="AE111" s="14" t="str">
        <f>IFERROR(1/(1/INDEX(TB!$P:$P,MATCH($E111,TB!$E:$E,0))),"")</f>
        <v/>
      </c>
      <c r="AF111" s="14" t="str">
        <f t="shared" ref="AF111:AF130" si="59">IFERROR(1/(1/(SUM($AC111)-SUM($AD111:$AE111))),"")</f>
        <v/>
      </c>
    </row>
    <row r="112" spans="1:32" x14ac:dyDescent="0.2">
      <c r="A112" t="str">
        <f>INDEX(Prioritization!$D:$D,MATCH($B112,Prioritization!$A:$A,0))</f>
        <v>INVALID</v>
      </c>
      <c r="B112" t="s">
        <v>217</v>
      </c>
      <c r="C112" t="s">
        <v>365</v>
      </c>
      <c r="D112" t="s">
        <v>47</v>
      </c>
      <c r="E112" t="str">
        <f t="shared" si="45"/>
        <v>Neno District [gwVYinjBAe9]|25-34|Male</v>
      </c>
      <c r="F112" s="14">
        <f>IF(LEFT($B112,4)="_Mil","",INDEX(Cascade!$T:$T,MATCH($E112,Cascade!$E:$E,0)))</f>
        <v>1220</v>
      </c>
      <c r="G112" s="14" t="str">
        <f>IF(LEFT($B112,4)="_Mil","",INDEX(Cascade!$U:$U,MATCH($E112,Cascade!$E:$E,0)))</f>
        <v/>
      </c>
      <c r="H112" s="88">
        <f>IF(LEFT($B112,4)="_Mil","",INDEX(Cascade!$W:$W,MATCH($E112,Cascade!$E:$E,0)))</f>
        <v>1875</v>
      </c>
      <c r="I112" s="14">
        <f>IF(LEFT($B112,4)="_Mil","",INDEX(Cascade!$Z:$Z,MATCH($E112,Cascade!$E:$E,0)))</f>
        <v>1310</v>
      </c>
      <c r="J112" s="90">
        <f>IF(LEFT($B112,4)="_Mil","",INDEX(Cascade!$AA:$AA,MATCH($E112,Cascade!$E:$E,0)))</f>
        <v>1491</v>
      </c>
      <c r="K112" s="14"/>
      <c r="L112" s="14"/>
      <c r="M112" s="42" t="str">
        <f>IF(LEFT($B112,4)="_Mil","",IFERROR(1/(1/ROUND(INDEX(Spectrum!$N:$N,MATCH(RIGHT($B112,13)&amp;"|"&amp;$C112&amp;"|"&amp;$D112&amp;"|"&amp;M$14&amp;"|"&amp;"CY2023Q3",Spectrum!$R:$R,0)),0)),IF(SUM($L112)=0,"",$L112)))</f>
        <v/>
      </c>
      <c r="N112" s="42" t="str">
        <f>IF(LEFT($B112,4)="_Mil","",IFERROR(1/(1/ROUND(INDEX(Spectrum!$N:$N,MATCH(RIGHT($B112,13)&amp;"|"&amp;$C112&amp;"|"&amp;$D112&amp;"|"&amp;N$14&amp;"|"&amp;"CY2023Q3",Spectrum!$R:$R,0)),0)),IF(SUM($M112)=0,"",$M112)))</f>
        <v/>
      </c>
      <c r="O112" s="90">
        <f t="shared" si="46"/>
        <v>0</v>
      </c>
      <c r="P112" s="90">
        <f t="shared" si="47"/>
        <v>0.8</v>
      </c>
      <c r="Q112" s="42">
        <f t="shared" si="48"/>
        <v>976</v>
      </c>
      <c r="R112" s="42">
        <f t="shared" si="49"/>
        <v>976</v>
      </c>
      <c r="S112" s="90" t="str">
        <f t="shared" si="50"/>
        <v/>
      </c>
      <c r="T112" s="90" t="str">
        <f t="shared" si="51"/>
        <v/>
      </c>
      <c r="U112" s="90"/>
      <c r="V112" s="90" t="str">
        <f t="shared" si="52"/>
        <v/>
      </c>
      <c r="W112" s="90"/>
      <c r="X112" s="90" t="str">
        <f t="shared" si="53"/>
        <v/>
      </c>
      <c r="Y112" s="14" t="str">
        <f t="shared" si="54"/>
        <v>ENTER IN COL S</v>
      </c>
      <c r="Z112" s="42" t="str">
        <f t="shared" si="55"/>
        <v/>
      </c>
      <c r="AA112" s="42" t="str">
        <f t="shared" si="56"/>
        <v/>
      </c>
      <c r="AB112" s="42" t="str">
        <f t="shared" si="57"/>
        <v/>
      </c>
      <c r="AC112" s="14" t="str">
        <f>IFERROR(1/(1/INDEX(Cascade!$BH:$BH,MATCH($E112,Cascade!$E:$E,0))),"")</f>
        <v/>
      </c>
      <c r="AD112" s="14" t="str">
        <f t="shared" si="58"/>
        <v/>
      </c>
      <c r="AE112" s="14" t="str">
        <f>IFERROR(1/(1/INDEX(TB!$P:$P,MATCH($E112,TB!$E:$E,0))),"")</f>
        <v/>
      </c>
      <c r="AF112" s="14" t="str">
        <f t="shared" si="59"/>
        <v/>
      </c>
    </row>
    <row r="113" spans="1:32" x14ac:dyDescent="0.2">
      <c r="A113" t="str">
        <f>INDEX(Prioritization!$D:$D,MATCH($B113,Prioritization!$A:$A,0))</f>
        <v>INVALID</v>
      </c>
      <c r="B113" t="s">
        <v>217</v>
      </c>
      <c r="C113" t="s">
        <v>366</v>
      </c>
      <c r="D113" t="s">
        <v>47</v>
      </c>
      <c r="E113" t="str">
        <f t="shared" si="45"/>
        <v>Neno District [gwVYinjBAe9]|35-49|Male</v>
      </c>
      <c r="F113" s="14">
        <f>IF(LEFT($B113,4)="_Mil","",INDEX(Cascade!$T:$T,MATCH($E113,Cascade!$E:$E,0)))</f>
        <v>1318</v>
      </c>
      <c r="G113" s="14" t="str">
        <f>IF(LEFT($B113,4)="_Mil","",INDEX(Cascade!$U:$U,MATCH($E113,Cascade!$E:$E,0)))</f>
        <v/>
      </c>
      <c r="H113" s="88">
        <f>IF(LEFT($B113,4)="_Mil","",INDEX(Cascade!$W:$W,MATCH($E113,Cascade!$E:$E,0)))</f>
        <v>884</v>
      </c>
      <c r="I113" s="14">
        <f>IF(LEFT($B113,4)="_Mil","",INDEX(Cascade!$Z:$Z,MATCH($E113,Cascade!$E:$E,0)))</f>
        <v>571</v>
      </c>
      <c r="J113" s="90">
        <f>IF(LEFT($B113,4)="_Mil","",INDEX(Cascade!$AA:$AA,MATCH($E113,Cascade!$E:$E,0)))</f>
        <v>1386</v>
      </c>
      <c r="K113" s="14"/>
      <c r="L113" s="14"/>
      <c r="M113" s="42" t="str">
        <f>IF(LEFT($B113,4)="_Mil","",IFERROR(1/(1/ROUND(INDEX(Spectrum!$N:$N,MATCH(RIGHT($B113,13)&amp;"|"&amp;$C113&amp;"|"&amp;$D113&amp;"|"&amp;M$14&amp;"|"&amp;"CY2023Q3",Spectrum!$R:$R,0)),0)),IF(SUM($L113)=0,"",$L113)))</f>
        <v/>
      </c>
      <c r="N113" s="42" t="str">
        <f>IF(LEFT($B113,4)="_Mil","",IFERROR(1/(1/ROUND(INDEX(Spectrum!$N:$N,MATCH(RIGHT($B113,13)&amp;"|"&amp;$C113&amp;"|"&amp;$D113&amp;"|"&amp;N$14&amp;"|"&amp;"CY2023Q3",Spectrum!$R:$R,0)),0)),IF(SUM($M113)=0,"",$M113)))</f>
        <v/>
      </c>
      <c r="O113" s="90">
        <f t="shared" si="46"/>
        <v>0</v>
      </c>
      <c r="P113" s="90">
        <f t="shared" si="47"/>
        <v>0.8</v>
      </c>
      <c r="Q113" s="42">
        <f t="shared" si="48"/>
        <v>1054</v>
      </c>
      <c r="R113" s="42">
        <f t="shared" si="49"/>
        <v>1054</v>
      </c>
      <c r="S113" s="90" t="str">
        <f t="shared" si="50"/>
        <v/>
      </c>
      <c r="T113" s="90" t="str">
        <f t="shared" si="51"/>
        <v/>
      </c>
      <c r="U113" s="90"/>
      <c r="V113" s="90" t="str">
        <f t="shared" si="52"/>
        <v/>
      </c>
      <c r="W113" s="90"/>
      <c r="X113" s="90" t="str">
        <f t="shared" si="53"/>
        <v/>
      </c>
      <c r="Y113" s="14" t="str">
        <f t="shared" si="54"/>
        <v>ENTER IN COL S</v>
      </c>
      <c r="Z113" s="42" t="str">
        <f t="shared" si="55"/>
        <v/>
      </c>
      <c r="AA113" s="42" t="str">
        <f t="shared" si="56"/>
        <v/>
      </c>
      <c r="AB113" s="42" t="str">
        <f t="shared" si="57"/>
        <v/>
      </c>
      <c r="AC113" s="14" t="str">
        <f>IFERROR(1/(1/INDEX(Cascade!$BH:$BH,MATCH($E113,Cascade!$E:$E,0))),"")</f>
        <v/>
      </c>
      <c r="AD113" s="14" t="str">
        <f t="shared" si="58"/>
        <v/>
      </c>
      <c r="AE113" s="14" t="str">
        <f>IFERROR(1/(1/INDEX(TB!$P:$P,MATCH($E113,TB!$E:$E,0))),"")</f>
        <v/>
      </c>
      <c r="AF113" s="14" t="str">
        <f t="shared" si="59"/>
        <v/>
      </c>
    </row>
    <row r="114" spans="1:32" x14ac:dyDescent="0.2">
      <c r="A114" t="str">
        <f>INDEX(Prioritization!$D:$D,MATCH($B114,Prioritization!$A:$A,0))</f>
        <v>INVALID</v>
      </c>
      <c r="B114" t="s">
        <v>217</v>
      </c>
      <c r="C114" t="s">
        <v>367</v>
      </c>
      <c r="D114" t="s">
        <v>47</v>
      </c>
      <c r="E114" t="str">
        <f t="shared" si="45"/>
        <v>Neno District [gwVYinjBAe9]|50+|Male</v>
      </c>
      <c r="F114" s="14">
        <f>IF(LEFT($B114,4)="_Mil","",INDEX(Cascade!$T:$T,MATCH($E114,Cascade!$E:$E,0)))</f>
        <v>1059</v>
      </c>
      <c r="G114" s="14" t="str">
        <f>IF(LEFT($B114,4)="_Mil","",INDEX(Cascade!$U:$U,MATCH($E114,Cascade!$E:$E,0)))</f>
        <v/>
      </c>
      <c r="H114" s="88">
        <f>IF(LEFT($B114,4)="_Mil","",INDEX(Cascade!$W:$W,MATCH($E114,Cascade!$E:$E,0)))</f>
        <v>1640</v>
      </c>
      <c r="I114" s="14">
        <f>IF(LEFT($B114,4)="_Mil","",INDEX(Cascade!$Z:$Z,MATCH($E114,Cascade!$E:$E,0)))</f>
        <v>1518</v>
      </c>
      <c r="J114" s="90">
        <f>IF(LEFT($B114,4)="_Mil","",INDEX(Cascade!$AA:$AA,MATCH($E114,Cascade!$E:$E,0)))</f>
        <v>1199</v>
      </c>
      <c r="K114" s="14"/>
      <c r="L114" s="14"/>
      <c r="M114" s="42" t="str">
        <f>IF(LEFT($B114,4)="_Mil","",IFERROR(1/(1/ROUND(INDEX(Spectrum!$N:$N,MATCH(RIGHT($B114,13)&amp;"|"&amp;$C114&amp;"|"&amp;$D114&amp;"|"&amp;M$14&amp;"|"&amp;"CY2023Q3",Spectrum!$R:$R,0)),0)),IF(SUM($L114)=0,"",$L114)))</f>
        <v/>
      </c>
      <c r="N114" s="42" t="str">
        <f>IF(LEFT($B114,4)="_Mil","",IFERROR(1/(1/ROUND(INDEX(Spectrum!$N:$N,MATCH(RIGHT($B114,13)&amp;"|"&amp;$C114&amp;"|"&amp;$D114&amp;"|"&amp;N$14&amp;"|"&amp;"CY2023Q3",Spectrum!$R:$R,0)),0)),IF(SUM($M114)=0,"",$M114)))</f>
        <v/>
      </c>
      <c r="O114" s="90">
        <f t="shared" si="46"/>
        <v>0</v>
      </c>
      <c r="P114" s="90">
        <f t="shared" si="47"/>
        <v>0.8</v>
      </c>
      <c r="Q114" s="42">
        <f t="shared" si="48"/>
        <v>847</v>
      </c>
      <c r="R114" s="42">
        <f t="shared" si="49"/>
        <v>847</v>
      </c>
      <c r="S114" s="90" t="str">
        <f t="shared" si="50"/>
        <v/>
      </c>
      <c r="T114" s="90" t="str">
        <f t="shared" si="51"/>
        <v/>
      </c>
      <c r="U114" s="90"/>
      <c r="V114" s="90" t="str">
        <f t="shared" si="52"/>
        <v/>
      </c>
      <c r="W114" s="90"/>
      <c r="X114" s="90" t="str">
        <f t="shared" si="53"/>
        <v/>
      </c>
      <c r="Y114" s="14" t="str">
        <f t="shared" si="54"/>
        <v>ENTER IN COL S</v>
      </c>
      <c r="Z114" s="42" t="str">
        <f t="shared" si="55"/>
        <v/>
      </c>
      <c r="AA114" s="42" t="str">
        <f t="shared" si="56"/>
        <v/>
      </c>
      <c r="AB114" s="42" t="str">
        <f t="shared" si="57"/>
        <v/>
      </c>
      <c r="AC114" s="14" t="str">
        <f>IFERROR(1/(1/INDEX(Cascade!$BH:$BH,MATCH($E114,Cascade!$E:$E,0))),"")</f>
        <v/>
      </c>
      <c r="AD114" s="14" t="str">
        <f t="shared" si="58"/>
        <v/>
      </c>
      <c r="AE114" s="14" t="str">
        <f>IFERROR(1/(1/INDEX(TB!$P:$P,MATCH($E114,TB!$E:$E,0))),"")</f>
        <v/>
      </c>
      <c r="AF114" s="14" t="str">
        <f t="shared" si="59"/>
        <v/>
      </c>
    </row>
    <row r="115" spans="1:32" x14ac:dyDescent="0.2">
      <c r="A115" t="str">
        <f>INDEX(Prioritization!$D:$D,MATCH($B115,Prioritization!$A:$A,0))</f>
        <v>INVALID</v>
      </c>
      <c r="B115" t="s">
        <v>218</v>
      </c>
      <c r="C115" t="s">
        <v>364</v>
      </c>
      <c r="D115" t="s">
        <v>47</v>
      </c>
      <c r="E115" t="str">
        <f t="shared" si="45"/>
        <v>Nsanje District [rpw540fmNUz]|15-24|Male</v>
      </c>
      <c r="F115" s="14">
        <f>IF(LEFT($B115,4)="_Mil","",INDEX(Cascade!$T:$T,MATCH($E115,Cascade!$E:$E,0)))</f>
        <v>603</v>
      </c>
      <c r="G115" s="14" t="str">
        <f>IF(LEFT($B115,4)="_Mil","",INDEX(Cascade!$U:$U,MATCH($E115,Cascade!$E:$E,0)))</f>
        <v/>
      </c>
      <c r="H115" s="88">
        <f>IF(LEFT($B115,4)="_Mil","",INDEX(Cascade!$W:$W,MATCH($E115,Cascade!$E:$E,0)))</f>
        <v>1620</v>
      </c>
      <c r="I115" s="14">
        <f>IF(LEFT($B115,4)="_Mil","",INDEX(Cascade!$Z:$Z,MATCH($E115,Cascade!$E:$E,0)))</f>
        <v>1494</v>
      </c>
      <c r="J115" s="90">
        <f>IF(LEFT($B115,4)="_Mil","",INDEX(Cascade!$AA:$AA,MATCH($E115,Cascade!$E:$E,0)))</f>
        <v>1525</v>
      </c>
      <c r="K115" s="14"/>
      <c r="L115" s="14"/>
      <c r="M115" s="42" t="str">
        <f>IF(LEFT($B115,4)="_Mil","",IFERROR(1/(1/ROUND(INDEX(Spectrum!$N:$N,MATCH(RIGHT($B115,13)&amp;"|"&amp;$C115&amp;"|"&amp;$D115&amp;"|"&amp;M$14&amp;"|"&amp;"CY2023Q3",Spectrum!$R:$R,0)),0)),IF(SUM($L115)=0,"",$L115)))</f>
        <v/>
      </c>
      <c r="N115" s="42" t="str">
        <f>IF(LEFT($B115,4)="_Mil","",IFERROR(1/(1/ROUND(INDEX(Spectrum!$N:$N,MATCH(RIGHT($B115,13)&amp;"|"&amp;$C115&amp;"|"&amp;$D115&amp;"|"&amp;N$14&amp;"|"&amp;"CY2023Q3",Spectrum!$R:$R,0)),0)),IF(SUM($M115)=0,"",$M115)))</f>
        <v/>
      </c>
      <c r="O115" s="90">
        <f t="shared" si="46"/>
        <v>0</v>
      </c>
      <c r="P115" s="90">
        <f t="shared" si="47"/>
        <v>0.8</v>
      </c>
      <c r="Q115" s="42">
        <f t="shared" si="48"/>
        <v>482</v>
      </c>
      <c r="R115" s="42">
        <f t="shared" si="49"/>
        <v>482</v>
      </c>
      <c r="S115" s="90" t="str">
        <f t="shared" si="50"/>
        <v/>
      </c>
      <c r="T115" s="90" t="str">
        <f t="shared" si="51"/>
        <v/>
      </c>
      <c r="U115" s="90"/>
      <c r="V115" s="90" t="str">
        <f t="shared" si="52"/>
        <v/>
      </c>
      <c r="W115" s="90"/>
      <c r="X115" s="90" t="str">
        <f t="shared" si="53"/>
        <v/>
      </c>
      <c r="Y115" s="14" t="str">
        <f t="shared" si="54"/>
        <v>ENTER IN COL S</v>
      </c>
      <c r="Z115" s="42" t="str">
        <f t="shared" si="55"/>
        <v/>
      </c>
      <c r="AA115" s="42" t="str">
        <f t="shared" si="56"/>
        <v/>
      </c>
      <c r="AB115" s="42" t="str">
        <f t="shared" si="57"/>
        <v/>
      </c>
      <c r="AC115" s="14" t="str">
        <f>IFERROR(1/(1/INDEX(Cascade!$BH:$BH,MATCH($E115,Cascade!$E:$E,0))),"")</f>
        <v/>
      </c>
      <c r="AD115" s="14" t="str">
        <f t="shared" si="58"/>
        <v/>
      </c>
      <c r="AE115" s="14" t="str">
        <f>IFERROR(1/(1/INDEX(TB!$P:$P,MATCH($E115,TB!$E:$E,0))),"")</f>
        <v/>
      </c>
      <c r="AF115" s="14" t="str">
        <f t="shared" si="59"/>
        <v/>
      </c>
    </row>
    <row r="116" spans="1:32" x14ac:dyDescent="0.2">
      <c r="A116" t="str">
        <f>INDEX(Prioritization!$D:$D,MATCH($B116,Prioritization!$A:$A,0))</f>
        <v>INVALID</v>
      </c>
      <c r="B116" t="s">
        <v>218</v>
      </c>
      <c r="C116" t="s">
        <v>365</v>
      </c>
      <c r="D116" t="s">
        <v>47</v>
      </c>
      <c r="E116" t="str">
        <f t="shared" si="45"/>
        <v>Nsanje District [rpw540fmNUz]|25-34|Male</v>
      </c>
      <c r="F116" s="14">
        <f>IF(LEFT($B116,4)="_Mil","",INDEX(Cascade!$T:$T,MATCH($E116,Cascade!$E:$E,0)))</f>
        <v>1786</v>
      </c>
      <c r="G116" s="14" t="str">
        <f>IF(LEFT($B116,4)="_Mil","",INDEX(Cascade!$U:$U,MATCH($E116,Cascade!$E:$E,0)))</f>
        <v/>
      </c>
      <c r="H116" s="88">
        <f>IF(LEFT($B116,4)="_Mil","",INDEX(Cascade!$W:$W,MATCH($E116,Cascade!$E:$E,0)))</f>
        <v>584</v>
      </c>
      <c r="I116" s="14">
        <f>IF(LEFT($B116,4)="_Mil","",INDEX(Cascade!$Z:$Z,MATCH($E116,Cascade!$E:$E,0)))</f>
        <v>1466</v>
      </c>
      <c r="J116" s="90">
        <f>IF(LEFT($B116,4)="_Mil","",INDEX(Cascade!$AA:$AA,MATCH($E116,Cascade!$E:$E,0)))</f>
        <v>1838</v>
      </c>
      <c r="K116" s="14"/>
      <c r="L116" s="14"/>
      <c r="M116" s="42" t="str">
        <f>IF(LEFT($B116,4)="_Mil","",IFERROR(1/(1/ROUND(INDEX(Spectrum!$N:$N,MATCH(RIGHT($B116,13)&amp;"|"&amp;$C116&amp;"|"&amp;$D116&amp;"|"&amp;M$14&amp;"|"&amp;"CY2023Q3",Spectrum!$R:$R,0)),0)),IF(SUM($L116)=0,"",$L116)))</f>
        <v/>
      </c>
      <c r="N116" s="42" t="str">
        <f>IF(LEFT($B116,4)="_Mil","",IFERROR(1/(1/ROUND(INDEX(Spectrum!$N:$N,MATCH(RIGHT($B116,13)&amp;"|"&amp;$C116&amp;"|"&amp;$D116&amp;"|"&amp;N$14&amp;"|"&amp;"CY2023Q3",Spectrum!$R:$R,0)),0)),IF(SUM($M116)=0,"",$M116)))</f>
        <v/>
      </c>
      <c r="O116" s="90">
        <f t="shared" si="46"/>
        <v>0</v>
      </c>
      <c r="P116" s="90">
        <f t="shared" si="47"/>
        <v>0.8</v>
      </c>
      <c r="Q116" s="42">
        <f t="shared" si="48"/>
        <v>1429</v>
      </c>
      <c r="R116" s="42">
        <f t="shared" si="49"/>
        <v>1429</v>
      </c>
      <c r="S116" s="90" t="str">
        <f t="shared" si="50"/>
        <v/>
      </c>
      <c r="T116" s="90" t="str">
        <f t="shared" si="51"/>
        <v/>
      </c>
      <c r="U116" s="90"/>
      <c r="V116" s="90" t="str">
        <f t="shared" si="52"/>
        <v/>
      </c>
      <c r="W116" s="90"/>
      <c r="X116" s="90" t="str">
        <f t="shared" si="53"/>
        <v/>
      </c>
      <c r="Y116" s="14" t="str">
        <f t="shared" si="54"/>
        <v>ENTER IN COL S</v>
      </c>
      <c r="Z116" s="42" t="str">
        <f t="shared" si="55"/>
        <v/>
      </c>
      <c r="AA116" s="42" t="str">
        <f t="shared" si="56"/>
        <v/>
      </c>
      <c r="AB116" s="42" t="str">
        <f t="shared" si="57"/>
        <v/>
      </c>
      <c r="AC116" s="14" t="str">
        <f>IFERROR(1/(1/INDEX(Cascade!$BH:$BH,MATCH($E116,Cascade!$E:$E,0))),"")</f>
        <v/>
      </c>
      <c r="AD116" s="14" t="str">
        <f t="shared" si="58"/>
        <v/>
      </c>
      <c r="AE116" s="14" t="str">
        <f>IFERROR(1/(1/INDEX(TB!$P:$P,MATCH($E116,TB!$E:$E,0))),"")</f>
        <v/>
      </c>
      <c r="AF116" s="14" t="str">
        <f t="shared" si="59"/>
        <v/>
      </c>
    </row>
    <row r="117" spans="1:32" x14ac:dyDescent="0.2">
      <c r="A117" t="str">
        <f>INDEX(Prioritization!$D:$D,MATCH($B117,Prioritization!$A:$A,0))</f>
        <v>INVALID</v>
      </c>
      <c r="B117" t="s">
        <v>218</v>
      </c>
      <c r="C117" t="s">
        <v>366</v>
      </c>
      <c r="D117" t="s">
        <v>47</v>
      </c>
      <c r="E117" t="str">
        <f t="shared" si="45"/>
        <v>Nsanje District [rpw540fmNUz]|35-49|Male</v>
      </c>
      <c r="F117" s="14">
        <f>IF(LEFT($B117,4)="_Mil","",INDEX(Cascade!$T:$T,MATCH($E117,Cascade!$E:$E,0)))</f>
        <v>1055</v>
      </c>
      <c r="G117" s="14" t="str">
        <f>IF(LEFT($B117,4)="_Mil","",INDEX(Cascade!$U:$U,MATCH($E117,Cascade!$E:$E,0)))</f>
        <v/>
      </c>
      <c r="H117" s="88">
        <f>IF(LEFT($B117,4)="_Mil","",INDEX(Cascade!$W:$W,MATCH($E117,Cascade!$E:$E,0)))</f>
        <v>527</v>
      </c>
      <c r="I117" s="14">
        <f>IF(LEFT($B117,4)="_Mil","",INDEX(Cascade!$Z:$Z,MATCH($E117,Cascade!$E:$E,0)))</f>
        <v>1269</v>
      </c>
      <c r="J117" s="90">
        <f>IF(LEFT($B117,4)="_Mil","",INDEX(Cascade!$AA:$AA,MATCH($E117,Cascade!$E:$E,0)))</f>
        <v>1346</v>
      </c>
      <c r="K117" s="14"/>
      <c r="L117" s="14"/>
      <c r="M117" s="42" t="str">
        <f>IF(LEFT($B117,4)="_Mil","",IFERROR(1/(1/ROUND(INDEX(Spectrum!$N:$N,MATCH(RIGHT($B117,13)&amp;"|"&amp;$C117&amp;"|"&amp;$D117&amp;"|"&amp;M$14&amp;"|"&amp;"CY2023Q3",Spectrum!$R:$R,0)),0)),IF(SUM($L117)=0,"",$L117)))</f>
        <v/>
      </c>
      <c r="N117" s="42" t="str">
        <f>IF(LEFT($B117,4)="_Mil","",IFERROR(1/(1/ROUND(INDEX(Spectrum!$N:$N,MATCH(RIGHT($B117,13)&amp;"|"&amp;$C117&amp;"|"&amp;$D117&amp;"|"&amp;N$14&amp;"|"&amp;"CY2023Q3",Spectrum!$R:$R,0)),0)),IF(SUM($M117)=0,"",$M117)))</f>
        <v/>
      </c>
      <c r="O117" s="90">
        <f t="shared" si="46"/>
        <v>0</v>
      </c>
      <c r="P117" s="90">
        <f t="shared" si="47"/>
        <v>0.8</v>
      </c>
      <c r="Q117" s="42">
        <f t="shared" si="48"/>
        <v>844</v>
      </c>
      <c r="R117" s="42">
        <f t="shared" si="49"/>
        <v>844</v>
      </c>
      <c r="S117" s="90" t="str">
        <f t="shared" si="50"/>
        <v/>
      </c>
      <c r="T117" s="90" t="str">
        <f t="shared" si="51"/>
        <v/>
      </c>
      <c r="U117" s="90"/>
      <c r="V117" s="90" t="str">
        <f t="shared" si="52"/>
        <v/>
      </c>
      <c r="W117" s="90"/>
      <c r="X117" s="90" t="str">
        <f t="shared" si="53"/>
        <v/>
      </c>
      <c r="Y117" s="14" t="str">
        <f t="shared" si="54"/>
        <v>ENTER IN COL S</v>
      </c>
      <c r="Z117" s="42" t="str">
        <f t="shared" si="55"/>
        <v/>
      </c>
      <c r="AA117" s="42" t="str">
        <f t="shared" si="56"/>
        <v/>
      </c>
      <c r="AB117" s="42" t="str">
        <f t="shared" si="57"/>
        <v/>
      </c>
      <c r="AC117" s="14" t="str">
        <f>IFERROR(1/(1/INDEX(Cascade!$BH:$BH,MATCH($E117,Cascade!$E:$E,0))),"")</f>
        <v/>
      </c>
      <c r="AD117" s="14" t="str">
        <f t="shared" si="58"/>
        <v/>
      </c>
      <c r="AE117" s="14" t="str">
        <f>IFERROR(1/(1/INDEX(TB!$P:$P,MATCH($E117,TB!$E:$E,0))),"")</f>
        <v/>
      </c>
      <c r="AF117" s="14" t="str">
        <f t="shared" si="59"/>
        <v/>
      </c>
    </row>
    <row r="118" spans="1:32" x14ac:dyDescent="0.2">
      <c r="A118" t="str">
        <f>INDEX(Prioritization!$D:$D,MATCH($B118,Prioritization!$A:$A,0))</f>
        <v>INVALID</v>
      </c>
      <c r="B118" t="s">
        <v>218</v>
      </c>
      <c r="C118" t="s">
        <v>367</v>
      </c>
      <c r="D118" t="s">
        <v>47</v>
      </c>
      <c r="E118" t="str">
        <f t="shared" si="45"/>
        <v>Nsanje District [rpw540fmNUz]|50+|Male</v>
      </c>
      <c r="F118" s="14">
        <f>IF(LEFT($B118,4)="_Mil","",INDEX(Cascade!$T:$T,MATCH($E118,Cascade!$E:$E,0)))</f>
        <v>983</v>
      </c>
      <c r="G118" s="14" t="str">
        <f>IF(LEFT($B118,4)="_Mil","",INDEX(Cascade!$U:$U,MATCH($E118,Cascade!$E:$E,0)))</f>
        <v/>
      </c>
      <c r="H118" s="88">
        <f>IF(LEFT($B118,4)="_Mil","",INDEX(Cascade!$W:$W,MATCH($E118,Cascade!$E:$E,0)))</f>
        <v>893</v>
      </c>
      <c r="I118" s="14">
        <f>IF(LEFT($B118,4)="_Mil","",INDEX(Cascade!$Z:$Z,MATCH($E118,Cascade!$E:$E,0)))</f>
        <v>1156</v>
      </c>
      <c r="J118" s="90">
        <f>IF(LEFT($B118,4)="_Mil","",INDEX(Cascade!$AA:$AA,MATCH($E118,Cascade!$E:$E,0)))</f>
        <v>1286</v>
      </c>
      <c r="K118" s="14"/>
      <c r="L118" s="14"/>
      <c r="M118" s="42" t="str">
        <f>IF(LEFT($B118,4)="_Mil","",IFERROR(1/(1/ROUND(INDEX(Spectrum!$N:$N,MATCH(RIGHT($B118,13)&amp;"|"&amp;$C118&amp;"|"&amp;$D118&amp;"|"&amp;M$14&amp;"|"&amp;"CY2023Q3",Spectrum!$R:$R,0)),0)),IF(SUM($L118)=0,"",$L118)))</f>
        <v/>
      </c>
      <c r="N118" s="42" t="str">
        <f>IF(LEFT($B118,4)="_Mil","",IFERROR(1/(1/ROUND(INDEX(Spectrum!$N:$N,MATCH(RIGHT($B118,13)&amp;"|"&amp;$C118&amp;"|"&amp;$D118&amp;"|"&amp;N$14&amp;"|"&amp;"CY2023Q3",Spectrum!$R:$R,0)),0)),IF(SUM($M118)=0,"",$M118)))</f>
        <v/>
      </c>
      <c r="O118" s="90">
        <f t="shared" si="46"/>
        <v>0</v>
      </c>
      <c r="P118" s="90">
        <f t="shared" si="47"/>
        <v>0.8</v>
      </c>
      <c r="Q118" s="42">
        <f t="shared" si="48"/>
        <v>786</v>
      </c>
      <c r="R118" s="42">
        <f t="shared" si="49"/>
        <v>786</v>
      </c>
      <c r="S118" s="90" t="str">
        <f t="shared" si="50"/>
        <v/>
      </c>
      <c r="T118" s="90" t="str">
        <f t="shared" si="51"/>
        <v/>
      </c>
      <c r="U118" s="90"/>
      <c r="V118" s="90" t="str">
        <f t="shared" si="52"/>
        <v/>
      </c>
      <c r="W118" s="90"/>
      <c r="X118" s="90" t="str">
        <f t="shared" si="53"/>
        <v/>
      </c>
      <c r="Y118" s="14" t="str">
        <f t="shared" si="54"/>
        <v>ENTER IN COL S</v>
      </c>
      <c r="Z118" s="42" t="str">
        <f t="shared" si="55"/>
        <v/>
      </c>
      <c r="AA118" s="42" t="str">
        <f t="shared" si="56"/>
        <v/>
      </c>
      <c r="AB118" s="42" t="str">
        <f t="shared" si="57"/>
        <v/>
      </c>
      <c r="AC118" s="14" t="str">
        <f>IFERROR(1/(1/INDEX(Cascade!$BH:$BH,MATCH($E118,Cascade!$E:$E,0))),"")</f>
        <v/>
      </c>
      <c r="AD118" s="14" t="str">
        <f t="shared" si="58"/>
        <v/>
      </c>
      <c r="AE118" s="14" t="str">
        <f>IFERROR(1/(1/INDEX(TB!$P:$P,MATCH($E118,TB!$E:$E,0))),"")</f>
        <v/>
      </c>
      <c r="AF118" s="14" t="str">
        <f t="shared" si="59"/>
        <v/>
      </c>
    </row>
    <row r="119" spans="1:32" x14ac:dyDescent="0.2">
      <c r="A119" t="str">
        <f>INDEX(Prioritization!$D:$D,MATCH($B119,Prioritization!$A:$A,0))</f>
        <v>INVALID</v>
      </c>
      <c r="B119" t="s">
        <v>219</v>
      </c>
      <c r="C119" t="s">
        <v>364</v>
      </c>
      <c r="D119" t="s">
        <v>47</v>
      </c>
      <c r="E119" t="str">
        <f t="shared" si="45"/>
        <v>Phalombe District [AZyWpGzhcaA]|15-24|Male</v>
      </c>
      <c r="F119" s="14">
        <f>IF(LEFT($B119,4)="_Mil","",INDEX(Cascade!$T:$T,MATCH($E119,Cascade!$E:$E,0)))</f>
        <v>1600</v>
      </c>
      <c r="G119" s="14" t="str">
        <f>IF(LEFT($B119,4)="_Mil","",INDEX(Cascade!$U:$U,MATCH($E119,Cascade!$E:$E,0)))</f>
        <v/>
      </c>
      <c r="H119" s="88">
        <f>IF(LEFT($B119,4)="_Mil","",INDEX(Cascade!$W:$W,MATCH($E119,Cascade!$E:$E,0)))</f>
        <v>602</v>
      </c>
      <c r="I119" s="14">
        <f>IF(LEFT($B119,4)="_Mil","",INDEX(Cascade!$Z:$Z,MATCH($E119,Cascade!$E:$E,0)))</f>
        <v>547</v>
      </c>
      <c r="J119" s="90">
        <f>IF(LEFT($B119,4)="_Mil","",INDEX(Cascade!$AA:$AA,MATCH($E119,Cascade!$E:$E,0)))</f>
        <v>1031</v>
      </c>
      <c r="K119" s="14"/>
      <c r="L119" s="14"/>
      <c r="M119" s="42" t="str">
        <f>IF(LEFT($B119,4)="_Mil","",IFERROR(1/(1/ROUND(INDEX(Spectrum!$N:$N,MATCH(RIGHT($B119,13)&amp;"|"&amp;$C119&amp;"|"&amp;$D119&amp;"|"&amp;M$14&amp;"|"&amp;"CY2023Q3",Spectrum!$R:$R,0)),0)),IF(SUM($L119)=0,"",$L119)))</f>
        <v/>
      </c>
      <c r="N119" s="42" t="str">
        <f>IF(LEFT($B119,4)="_Mil","",IFERROR(1/(1/ROUND(INDEX(Spectrum!$N:$N,MATCH(RIGHT($B119,13)&amp;"|"&amp;$C119&amp;"|"&amp;$D119&amp;"|"&amp;N$14&amp;"|"&amp;"CY2023Q3",Spectrum!$R:$R,0)),0)),IF(SUM($M119)=0,"",$M119)))</f>
        <v/>
      </c>
      <c r="O119" s="90">
        <f t="shared" si="46"/>
        <v>0</v>
      </c>
      <c r="P119" s="90">
        <f t="shared" si="47"/>
        <v>0.8</v>
      </c>
      <c r="Q119" s="42">
        <f t="shared" si="48"/>
        <v>1280</v>
      </c>
      <c r="R119" s="42">
        <f t="shared" si="49"/>
        <v>1280</v>
      </c>
      <c r="S119" s="90" t="str">
        <f t="shared" si="50"/>
        <v/>
      </c>
      <c r="T119" s="90" t="str">
        <f t="shared" si="51"/>
        <v/>
      </c>
      <c r="U119" s="90"/>
      <c r="V119" s="90" t="str">
        <f t="shared" si="52"/>
        <v/>
      </c>
      <c r="W119" s="90"/>
      <c r="X119" s="90" t="str">
        <f t="shared" si="53"/>
        <v/>
      </c>
      <c r="Y119" s="14" t="str">
        <f t="shared" si="54"/>
        <v>ENTER IN COL S</v>
      </c>
      <c r="Z119" s="42" t="str">
        <f t="shared" si="55"/>
        <v/>
      </c>
      <c r="AA119" s="42" t="str">
        <f t="shared" si="56"/>
        <v/>
      </c>
      <c r="AB119" s="42" t="str">
        <f t="shared" si="57"/>
        <v/>
      </c>
      <c r="AC119" s="14" t="str">
        <f>IFERROR(1/(1/INDEX(Cascade!$BH:$BH,MATCH($E119,Cascade!$E:$E,0))),"")</f>
        <v/>
      </c>
      <c r="AD119" s="14" t="str">
        <f t="shared" si="58"/>
        <v/>
      </c>
      <c r="AE119" s="14" t="str">
        <f>IFERROR(1/(1/INDEX(TB!$P:$P,MATCH($E119,TB!$E:$E,0))),"")</f>
        <v/>
      </c>
      <c r="AF119" s="14" t="str">
        <f t="shared" si="59"/>
        <v/>
      </c>
    </row>
    <row r="120" spans="1:32" x14ac:dyDescent="0.2">
      <c r="A120" t="str">
        <f>INDEX(Prioritization!$D:$D,MATCH($B120,Prioritization!$A:$A,0))</f>
        <v>INVALID</v>
      </c>
      <c r="B120" t="s">
        <v>219</v>
      </c>
      <c r="C120" t="s">
        <v>365</v>
      </c>
      <c r="D120" t="s">
        <v>47</v>
      </c>
      <c r="E120" t="str">
        <f t="shared" si="45"/>
        <v>Phalombe District [AZyWpGzhcaA]|25-34|Male</v>
      </c>
      <c r="F120" s="14">
        <f>IF(LEFT($B120,4)="_Mil","",INDEX(Cascade!$T:$T,MATCH($E120,Cascade!$E:$E,0)))</f>
        <v>774</v>
      </c>
      <c r="G120" s="14" t="str">
        <f>IF(LEFT($B120,4)="_Mil","",INDEX(Cascade!$U:$U,MATCH($E120,Cascade!$E:$E,0)))</f>
        <v/>
      </c>
      <c r="H120" s="88">
        <f>IF(LEFT($B120,4)="_Mil","",INDEX(Cascade!$W:$W,MATCH($E120,Cascade!$E:$E,0)))</f>
        <v>1325</v>
      </c>
      <c r="I120" s="14">
        <f>IF(LEFT($B120,4)="_Mil","",INDEX(Cascade!$Z:$Z,MATCH($E120,Cascade!$E:$E,0)))</f>
        <v>925</v>
      </c>
      <c r="J120" s="90">
        <f>IF(LEFT($B120,4)="_Mil","",INDEX(Cascade!$AA:$AA,MATCH($E120,Cascade!$E:$E,0)))</f>
        <v>1376</v>
      </c>
      <c r="K120" s="14"/>
      <c r="L120" s="14"/>
      <c r="M120" s="42" t="str">
        <f>IF(LEFT($B120,4)="_Mil","",IFERROR(1/(1/ROUND(INDEX(Spectrum!$N:$N,MATCH(RIGHT($B120,13)&amp;"|"&amp;$C120&amp;"|"&amp;$D120&amp;"|"&amp;M$14&amp;"|"&amp;"CY2023Q3",Spectrum!$R:$R,0)),0)),IF(SUM($L120)=0,"",$L120)))</f>
        <v/>
      </c>
      <c r="N120" s="42" t="str">
        <f>IF(LEFT($B120,4)="_Mil","",IFERROR(1/(1/ROUND(INDEX(Spectrum!$N:$N,MATCH(RIGHT($B120,13)&amp;"|"&amp;$C120&amp;"|"&amp;$D120&amp;"|"&amp;N$14&amp;"|"&amp;"CY2023Q3",Spectrum!$R:$R,0)),0)),IF(SUM($M120)=0,"",$M120)))</f>
        <v/>
      </c>
      <c r="O120" s="90">
        <f t="shared" si="46"/>
        <v>0</v>
      </c>
      <c r="P120" s="90">
        <f t="shared" si="47"/>
        <v>0.8</v>
      </c>
      <c r="Q120" s="42">
        <f t="shared" si="48"/>
        <v>619</v>
      </c>
      <c r="R120" s="42">
        <f t="shared" si="49"/>
        <v>619</v>
      </c>
      <c r="S120" s="90" t="str">
        <f t="shared" si="50"/>
        <v/>
      </c>
      <c r="T120" s="90" t="str">
        <f t="shared" si="51"/>
        <v/>
      </c>
      <c r="U120" s="90"/>
      <c r="V120" s="90" t="str">
        <f t="shared" si="52"/>
        <v/>
      </c>
      <c r="W120" s="90"/>
      <c r="X120" s="90" t="str">
        <f t="shared" si="53"/>
        <v/>
      </c>
      <c r="Y120" s="14" t="str">
        <f t="shared" si="54"/>
        <v>ENTER IN COL S</v>
      </c>
      <c r="Z120" s="42" t="str">
        <f t="shared" si="55"/>
        <v/>
      </c>
      <c r="AA120" s="42" t="str">
        <f t="shared" si="56"/>
        <v/>
      </c>
      <c r="AB120" s="42" t="str">
        <f t="shared" si="57"/>
        <v/>
      </c>
      <c r="AC120" s="14" t="str">
        <f>IFERROR(1/(1/INDEX(Cascade!$BH:$BH,MATCH($E120,Cascade!$E:$E,0))),"")</f>
        <v/>
      </c>
      <c r="AD120" s="14" t="str">
        <f t="shared" si="58"/>
        <v/>
      </c>
      <c r="AE120" s="14" t="str">
        <f>IFERROR(1/(1/INDEX(TB!$P:$P,MATCH($E120,TB!$E:$E,0))),"")</f>
        <v/>
      </c>
      <c r="AF120" s="14" t="str">
        <f t="shared" si="59"/>
        <v/>
      </c>
    </row>
    <row r="121" spans="1:32" x14ac:dyDescent="0.2">
      <c r="A121" t="str">
        <f>INDEX(Prioritization!$D:$D,MATCH($B121,Prioritization!$A:$A,0))</f>
        <v>INVALID</v>
      </c>
      <c r="B121" t="s">
        <v>219</v>
      </c>
      <c r="C121" t="s">
        <v>366</v>
      </c>
      <c r="D121" t="s">
        <v>47</v>
      </c>
      <c r="E121" t="str">
        <f t="shared" si="45"/>
        <v>Phalombe District [AZyWpGzhcaA]|35-49|Male</v>
      </c>
      <c r="F121" s="14">
        <f>IF(LEFT($B121,4)="_Mil","",INDEX(Cascade!$T:$T,MATCH($E121,Cascade!$E:$E,0)))</f>
        <v>1355</v>
      </c>
      <c r="G121" s="14" t="str">
        <f>IF(LEFT($B121,4)="_Mil","",INDEX(Cascade!$U:$U,MATCH($E121,Cascade!$E:$E,0)))</f>
        <v/>
      </c>
      <c r="H121" s="88">
        <f>IF(LEFT($B121,4)="_Mil","",INDEX(Cascade!$W:$W,MATCH($E121,Cascade!$E:$E,0)))</f>
        <v>1176</v>
      </c>
      <c r="I121" s="14">
        <f>IF(LEFT($B121,4)="_Mil","",INDEX(Cascade!$Z:$Z,MATCH($E121,Cascade!$E:$E,0)))</f>
        <v>1134</v>
      </c>
      <c r="J121" s="90">
        <f>IF(LEFT($B121,4)="_Mil","",INDEX(Cascade!$AA:$AA,MATCH($E121,Cascade!$E:$E,0)))</f>
        <v>1029</v>
      </c>
      <c r="K121" s="14"/>
      <c r="L121" s="14"/>
      <c r="M121" s="42" t="str">
        <f>IF(LEFT($B121,4)="_Mil","",IFERROR(1/(1/ROUND(INDEX(Spectrum!$N:$N,MATCH(RIGHT($B121,13)&amp;"|"&amp;$C121&amp;"|"&amp;$D121&amp;"|"&amp;M$14&amp;"|"&amp;"CY2023Q3",Spectrum!$R:$R,0)),0)),IF(SUM($L121)=0,"",$L121)))</f>
        <v/>
      </c>
      <c r="N121" s="42" t="str">
        <f>IF(LEFT($B121,4)="_Mil","",IFERROR(1/(1/ROUND(INDEX(Spectrum!$N:$N,MATCH(RIGHT($B121,13)&amp;"|"&amp;$C121&amp;"|"&amp;$D121&amp;"|"&amp;N$14&amp;"|"&amp;"CY2023Q3",Spectrum!$R:$R,0)),0)),IF(SUM($M121)=0,"",$M121)))</f>
        <v/>
      </c>
      <c r="O121" s="90">
        <f t="shared" si="46"/>
        <v>0</v>
      </c>
      <c r="P121" s="90">
        <f t="shared" si="47"/>
        <v>0.8</v>
      </c>
      <c r="Q121" s="42">
        <f t="shared" si="48"/>
        <v>1084</v>
      </c>
      <c r="R121" s="42">
        <f t="shared" si="49"/>
        <v>1084</v>
      </c>
      <c r="S121" s="90" t="str">
        <f t="shared" si="50"/>
        <v/>
      </c>
      <c r="T121" s="90" t="str">
        <f t="shared" si="51"/>
        <v/>
      </c>
      <c r="U121" s="90"/>
      <c r="V121" s="90" t="str">
        <f t="shared" si="52"/>
        <v/>
      </c>
      <c r="W121" s="90"/>
      <c r="X121" s="90" t="str">
        <f t="shared" si="53"/>
        <v/>
      </c>
      <c r="Y121" s="14" t="str">
        <f t="shared" si="54"/>
        <v>ENTER IN COL S</v>
      </c>
      <c r="Z121" s="42" t="str">
        <f t="shared" si="55"/>
        <v/>
      </c>
      <c r="AA121" s="42" t="str">
        <f t="shared" si="56"/>
        <v/>
      </c>
      <c r="AB121" s="42" t="str">
        <f t="shared" si="57"/>
        <v/>
      </c>
      <c r="AC121" s="14" t="str">
        <f>IFERROR(1/(1/INDEX(Cascade!$BH:$BH,MATCH($E121,Cascade!$E:$E,0))),"")</f>
        <v/>
      </c>
      <c r="AD121" s="14" t="str">
        <f t="shared" si="58"/>
        <v/>
      </c>
      <c r="AE121" s="14" t="str">
        <f>IFERROR(1/(1/INDEX(TB!$P:$P,MATCH($E121,TB!$E:$E,0))),"")</f>
        <v/>
      </c>
      <c r="AF121" s="14" t="str">
        <f t="shared" si="59"/>
        <v/>
      </c>
    </row>
    <row r="122" spans="1:32" x14ac:dyDescent="0.2">
      <c r="A122" t="str">
        <f>INDEX(Prioritization!$D:$D,MATCH($B122,Prioritization!$A:$A,0))</f>
        <v>INVALID</v>
      </c>
      <c r="B122" t="s">
        <v>219</v>
      </c>
      <c r="C122" t="s">
        <v>367</v>
      </c>
      <c r="D122" t="s">
        <v>47</v>
      </c>
      <c r="E122" t="str">
        <f t="shared" si="45"/>
        <v>Phalombe District [AZyWpGzhcaA]|50+|Male</v>
      </c>
      <c r="F122" s="14">
        <f>IF(LEFT($B122,4)="_Mil","",INDEX(Cascade!$T:$T,MATCH($E122,Cascade!$E:$E,0)))</f>
        <v>661</v>
      </c>
      <c r="G122" s="14" t="str">
        <f>IF(LEFT($B122,4)="_Mil","",INDEX(Cascade!$U:$U,MATCH($E122,Cascade!$E:$E,0)))</f>
        <v/>
      </c>
      <c r="H122" s="88">
        <f>IF(LEFT($B122,4)="_Mil","",INDEX(Cascade!$W:$W,MATCH($E122,Cascade!$E:$E,0)))</f>
        <v>1501</v>
      </c>
      <c r="I122" s="14">
        <f>IF(LEFT($B122,4)="_Mil","",INDEX(Cascade!$Z:$Z,MATCH($E122,Cascade!$E:$E,0)))</f>
        <v>1157</v>
      </c>
      <c r="J122" s="90">
        <f>IF(LEFT($B122,4)="_Mil","",INDEX(Cascade!$AA:$AA,MATCH($E122,Cascade!$E:$E,0)))</f>
        <v>1796</v>
      </c>
      <c r="K122" s="14"/>
      <c r="L122" s="14"/>
      <c r="M122" s="42" t="str">
        <f>IF(LEFT($B122,4)="_Mil","",IFERROR(1/(1/ROUND(INDEX(Spectrum!$N:$N,MATCH(RIGHT($B122,13)&amp;"|"&amp;$C122&amp;"|"&amp;$D122&amp;"|"&amp;M$14&amp;"|"&amp;"CY2023Q3",Spectrum!$R:$R,0)),0)),IF(SUM($L122)=0,"",$L122)))</f>
        <v/>
      </c>
      <c r="N122" s="42" t="str">
        <f>IF(LEFT($B122,4)="_Mil","",IFERROR(1/(1/ROUND(INDEX(Spectrum!$N:$N,MATCH(RIGHT($B122,13)&amp;"|"&amp;$C122&amp;"|"&amp;$D122&amp;"|"&amp;N$14&amp;"|"&amp;"CY2023Q3",Spectrum!$R:$R,0)),0)),IF(SUM($M122)=0,"",$M122)))</f>
        <v/>
      </c>
      <c r="O122" s="90">
        <f t="shared" si="46"/>
        <v>0</v>
      </c>
      <c r="P122" s="90">
        <f t="shared" si="47"/>
        <v>0.8</v>
      </c>
      <c r="Q122" s="42">
        <f t="shared" si="48"/>
        <v>529</v>
      </c>
      <c r="R122" s="42">
        <f t="shared" si="49"/>
        <v>529</v>
      </c>
      <c r="S122" s="90" t="str">
        <f t="shared" si="50"/>
        <v/>
      </c>
      <c r="T122" s="90" t="str">
        <f t="shared" si="51"/>
        <v/>
      </c>
      <c r="U122" s="90"/>
      <c r="V122" s="90" t="str">
        <f t="shared" si="52"/>
        <v/>
      </c>
      <c r="W122" s="90"/>
      <c r="X122" s="90" t="str">
        <f t="shared" si="53"/>
        <v/>
      </c>
      <c r="Y122" s="14" t="str">
        <f t="shared" si="54"/>
        <v>ENTER IN COL S</v>
      </c>
      <c r="Z122" s="42" t="str">
        <f t="shared" si="55"/>
        <v/>
      </c>
      <c r="AA122" s="42" t="str">
        <f t="shared" si="56"/>
        <v/>
      </c>
      <c r="AB122" s="42" t="str">
        <f t="shared" si="57"/>
        <v/>
      </c>
      <c r="AC122" s="14" t="str">
        <f>IFERROR(1/(1/INDEX(Cascade!$BH:$BH,MATCH($E122,Cascade!$E:$E,0))),"")</f>
        <v/>
      </c>
      <c r="AD122" s="14" t="str">
        <f t="shared" si="58"/>
        <v/>
      </c>
      <c r="AE122" s="14" t="str">
        <f>IFERROR(1/(1/INDEX(TB!$P:$P,MATCH($E122,TB!$E:$E,0))),"")</f>
        <v/>
      </c>
      <c r="AF122" s="14" t="str">
        <f t="shared" si="59"/>
        <v/>
      </c>
    </row>
    <row r="123" spans="1:32" x14ac:dyDescent="0.2">
      <c r="A123" t="str">
        <f>INDEX(Prioritization!$D:$D,MATCH($B123,Prioritization!$A:$A,0))</f>
        <v>1 - Scale-up: Saturation</v>
      </c>
      <c r="B123" t="s">
        <v>220</v>
      </c>
      <c r="C123" t="s">
        <v>364</v>
      </c>
      <c r="D123" t="s">
        <v>47</v>
      </c>
      <c r="E123" t="str">
        <f t="shared" si="45"/>
        <v>Thyolo District [ul0y9diGujK]|15-24|Male</v>
      </c>
      <c r="F123" s="14">
        <f>IF(LEFT($B123,4)="_Mil","",INDEX(Cascade!$T:$T,MATCH($E123,Cascade!$E:$E,0)))</f>
        <v>1129</v>
      </c>
      <c r="G123" s="14" t="str">
        <f>IF(LEFT($B123,4)="_Mil","",INDEX(Cascade!$U:$U,MATCH($E123,Cascade!$E:$E,0)))</f>
        <v/>
      </c>
      <c r="H123" s="88">
        <f>IF(LEFT($B123,4)="_Mil","",INDEX(Cascade!$W:$W,MATCH($E123,Cascade!$E:$E,0)))</f>
        <v>1846</v>
      </c>
      <c r="I123" s="14">
        <f>IF(LEFT($B123,4)="_Mil","",INDEX(Cascade!$Z:$Z,MATCH($E123,Cascade!$E:$E,0)))</f>
        <v>1387</v>
      </c>
      <c r="J123" s="90">
        <f>IF(LEFT($B123,4)="_Mil","",INDEX(Cascade!$AA:$AA,MATCH($E123,Cascade!$E:$E,0)))</f>
        <v>1208</v>
      </c>
      <c r="K123" s="14"/>
      <c r="L123" s="14"/>
      <c r="M123" s="42" t="str">
        <f>IF(LEFT($B123,4)="_Mil","",IFERROR(1/(1/ROUND(INDEX(Spectrum!$N:$N,MATCH(RIGHT($B123,13)&amp;"|"&amp;$C123&amp;"|"&amp;$D123&amp;"|"&amp;M$14&amp;"|"&amp;"CY2023Q3",Spectrum!$R:$R,0)),0)),IF(SUM($L123)=0,"",$L123)))</f>
        <v/>
      </c>
      <c r="N123" s="42" t="str">
        <f>IF(LEFT($B123,4)="_Mil","",IFERROR(1/(1/ROUND(INDEX(Spectrum!$N:$N,MATCH(RIGHT($B123,13)&amp;"|"&amp;$C123&amp;"|"&amp;$D123&amp;"|"&amp;N$14&amp;"|"&amp;"CY2023Q3",Spectrum!$R:$R,0)),0)),IF(SUM($M123)=0,"",$M123)))</f>
        <v/>
      </c>
      <c r="O123" s="90">
        <f t="shared" si="46"/>
        <v>0</v>
      </c>
      <c r="P123" s="90">
        <f t="shared" si="47"/>
        <v>0.8</v>
      </c>
      <c r="Q123" s="42">
        <f t="shared" si="48"/>
        <v>903</v>
      </c>
      <c r="R123" s="42">
        <f t="shared" si="49"/>
        <v>903</v>
      </c>
      <c r="S123" s="90" t="str">
        <f t="shared" si="50"/>
        <v/>
      </c>
      <c r="T123" s="90" t="str">
        <f t="shared" si="51"/>
        <v/>
      </c>
      <c r="U123" s="90"/>
      <c r="V123" s="90" t="str">
        <f t="shared" si="52"/>
        <v/>
      </c>
      <c r="W123" s="90"/>
      <c r="X123" s="90" t="str">
        <f t="shared" si="53"/>
        <v/>
      </c>
      <c r="Y123" s="14" t="str">
        <f t="shared" si="54"/>
        <v>ENTER IN COL S</v>
      </c>
      <c r="Z123" s="42" t="str">
        <f t="shared" si="55"/>
        <v/>
      </c>
      <c r="AA123" s="42" t="str">
        <f t="shared" si="56"/>
        <v/>
      </c>
      <c r="AB123" s="42" t="str">
        <f t="shared" si="57"/>
        <v/>
      </c>
      <c r="AC123" s="14" t="str">
        <f>IFERROR(1/(1/INDEX(Cascade!$BH:$BH,MATCH($E123,Cascade!$E:$E,0))),"")</f>
        <v/>
      </c>
      <c r="AD123" s="14" t="str">
        <f t="shared" si="58"/>
        <v/>
      </c>
      <c r="AE123" s="14" t="str">
        <f>IFERROR(1/(1/INDEX(TB!$P:$P,MATCH($E123,TB!$E:$E,0))),"")</f>
        <v/>
      </c>
      <c r="AF123" s="14" t="str">
        <f t="shared" si="59"/>
        <v/>
      </c>
    </row>
    <row r="124" spans="1:32" x14ac:dyDescent="0.2">
      <c r="A124" t="str">
        <f>INDEX(Prioritization!$D:$D,MATCH($B124,Prioritization!$A:$A,0))</f>
        <v>1 - Scale-up: Saturation</v>
      </c>
      <c r="B124" t="s">
        <v>220</v>
      </c>
      <c r="C124" t="s">
        <v>365</v>
      </c>
      <c r="D124" t="s">
        <v>47</v>
      </c>
      <c r="E124" t="str">
        <f t="shared" si="45"/>
        <v>Thyolo District [ul0y9diGujK]|25-34|Male</v>
      </c>
      <c r="F124" s="14">
        <f>IF(LEFT($B124,4)="_Mil","",INDEX(Cascade!$T:$T,MATCH($E124,Cascade!$E:$E,0)))</f>
        <v>1064</v>
      </c>
      <c r="G124" s="14" t="str">
        <f>IF(LEFT($B124,4)="_Mil","",INDEX(Cascade!$U:$U,MATCH($E124,Cascade!$E:$E,0)))</f>
        <v/>
      </c>
      <c r="H124" s="88">
        <f>IF(LEFT($B124,4)="_Mil","",INDEX(Cascade!$W:$W,MATCH($E124,Cascade!$E:$E,0)))</f>
        <v>1963</v>
      </c>
      <c r="I124" s="14">
        <f>IF(LEFT($B124,4)="_Mil","",INDEX(Cascade!$Z:$Z,MATCH($E124,Cascade!$E:$E,0)))</f>
        <v>1076</v>
      </c>
      <c r="J124" s="90">
        <f>IF(LEFT($B124,4)="_Mil","",INDEX(Cascade!$AA:$AA,MATCH($E124,Cascade!$E:$E,0)))</f>
        <v>1667.0000000000002</v>
      </c>
      <c r="K124" s="14"/>
      <c r="L124" s="14"/>
      <c r="M124" s="42" t="str">
        <f>IF(LEFT($B124,4)="_Mil","",IFERROR(1/(1/ROUND(INDEX(Spectrum!$N:$N,MATCH(RIGHT($B124,13)&amp;"|"&amp;$C124&amp;"|"&amp;$D124&amp;"|"&amp;M$14&amp;"|"&amp;"CY2023Q3",Spectrum!$R:$R,0)),0)),IF(SUM($L124)=0,"",$L124)))</f>
        <v/>
      </c>
      <c r="N124" s="42" t="str">
        <f>IF(LEFT($B124,4)="_Mil","",IFERROR(1/(1/ROUND(INDEX(Spectrum!$N:$N,MATCH(RIGHT($B124,13)&amp;"|"&amp;$C124&amp;"|"&amp;$D124&amp;"|"&amp;N$14&amp;"|"&amp;"CY2023Q3",Spectrum!$R:$R,0)),0)),IF(SUM($M124)=0,"",$M124)))</f>
        <v/>
      </c>
      <c r="O124" s="90">
        <f t="shared" si="46"/>
        <v>0</v>
      </c>
      <c r="P124" s="90">
        <f t="shared" si="47"/>
        <v>0.8</v>
      </c>
      <c r="Q124" s="42">
        <f t="shared" si="48"/>
        <v>851</v>
      </c>
      <c r="R124" s="42">
        <f t="shared" si="49"/>
        <v>851</v>
      </c>
      <c r="S124" s="90" t="str">
        <f t="shared" si="50"/>
        <v/>
      </c>
      <c r="T124" s="90" t="str">
        <f t="shared" si="51"/>
        <v/>
      </c>
      <c r="U124" s="90"/>
      <c r="V124" s="90" t="str">
        <f t="shared" si="52"/>
        <v/>
      </c>
      <c r="W124" s="90"/>
      <c r="X124" s="90" t="str">
        <f t="shared" si="53"/>
        <v/>
      </c>
      <c r="Y124" s="14" t="str">
        <f t="shared" si="54"/>
        <v>ENTER IN COL S</v>
      </c>
      <c r="Z124" s="42" t="str">
        <f t="shared" si="55"/>
        <v/>
      </c>
      <c r="AA124" s="42" t="str">
        <f t="shared" si="56"/>
        <v/>
      </c>
      <c r="AB124" s="42" t="str">
        <f t="shared" si="57"/>
        <v/>
      </c>
      <c r="AC124" s="14" t="str">
        <f>IFERROR(1/(1/INDEX(Cascade!$BH:$BH,MATCH($E124,Cascade!$E:$E,0))),"")</f>
        <v/>
      </c>
      <c r="AD124" s="14" t="str">
        <f t="shared" si="58"/>
        <v/>
      </c>
      <c r="AE124" s="14" t="str">
        <f>IFERROR(1/(1/INDEX(TB!$P:$P,MATCH($E124,TB!$E:$E,0))),"")</f>
        <v/>
      </c>
      <c r="AF124" s="14" t="str">
        <f t="shared" si="59"/>
        <v/>
      </c>
    </row>
    <row r="125" spans="1:32" x14ac:dyDescent="0.2">
      <c r="A125" t="str">
        <f>INDEX(Prioritization!$D:$D,MATCH($B125,Prioritization!$A:$A,0))</f>
        <v>1 - Scale-up: Saturation</v>
      </c>
      <c r="B125" t="s">
        <v>220</v>
      </c>
      <c r="C125" t="s">
        <v>366</v>
      </c>
      <c r="D125" t="s">
        <v>47</v>
      </c>
      <c r="E125" t="str">
        <f t="shared" si="45"/>
        <v>Thyolo District [ul0y9diGujK]|35-49|Male</v>
      </c>
      <c r="F125" s="14">
        <f>IF(LEFT($B125,4)="_Mil","",INDEX(Cascade!$T:$T,MATCH($E125,Cascade!$E:$E,0)))</f>
        <v>1367</v>
      </c>
      <c r="G125" s="14" t="str">
        <f>IF(LEFT($B125,4)="_Mil","",INDEX(Cascade!$U:$U,MATCH($E125,Cascade!$E:$E,0)))</f>
        <v/>
      </c>
      <c r="H125" s="88">
        <f>IF(LEFT($B125,4)="_Mil","",INDEX(Cascade!$W:$W,MATCH($E125,Cascade!$E:$E,0)))</f>
        <v>1812</v>
      </c>
      <c r="I125" s="14">
        <f>IF(LEFT($B125,4)="_Mil","",INDEX(Cascade!$Z:$Z,MATCH($E125,Cascade!$E:$E,0)))</f>
        <v>1525</v>
      </c>
      <c r="J125" s="90">
        <f>IF(LEFT($B125,4)="_Mil","",INDEX(Cascade!$AA:$AA,MATCH($E125,Cascade!$E:$E,0)))</f>
        <v>835</v>
      </c>
      <c r="K125" s="14"/>
      <c r="L125" s="14"/>
      <c r="M125" s="42" t="str">
        <f>IF(LEFT($B125,4)="_Mil","",IFERROR(1/(1/ROUND(INDEX(Spectrum!$N:$N,MATCH(RIGHT($B125,13)&amp;"|"&amp;$C125&amp;"|"&amp;$D125&amp;"|"&amp;M$14&amp;"|"&amp;"CY2023Q3",Spectrum!$R:$R,0)),0)),IF(SUM($L125)=0,"",$L125)))</f>
        <v/>
      </c>
      <c r="N125" s="42" t="str">
        <f>IF(LEFT($B125,4)="_Mil","",IFERROR(1/(1/ROUND(INDEX(Spectrum!$N:$N,MATCH(RIGHT($B125,13)&amp;"|"&amp;$C125&amp;"|"&amp;$D125&amp;"|"&amp;N$14&amp;"|"&amp;"CY2023Q3",Spectrum!$R:$R,0)),0)),IF(SUM($M125)=0,"",$M125)))</f>
        <v/>
      </c>
      <c r="O125" s="90">
        <f t="shared" si="46"/>
        <v>0</v>
      </c>
      <c r="P125" s="90">
        <f t="shared" si="47"/>
        <v>0.8</v>
      </c>
      <c r="Q125" s="42">
        <f t="shared" si="48"/>
        <v>1094</v>
      </c>
      <c r="R125" s="42">
        <f t="shared" si="49"/>
        <v>1094</v>
      </c>
      <c r="S125" s="90" t="str">
        <f t="shared" si="50"/>
        <v/>
      </c>
      <c r="T125" s="90" t="str">
        <f t="shared" si="51"/>
        <v/>
      </c>
      <c r="U125" s="90"/>
      <c r="V125" s="90" t="str">
        <f t="shared" si="52"/>
        <v/>
      </c>
      <c r="W125" s="90"/>
      <c r="X125" s="90" t="str">
        <f t="shared" si="53"/>
        <v/>
      </c>
      <c r="Y125" s="14" t="str">
        <f t="shared" si="54"/>
        <v>ENTER IN COL S</v>
      </c>
      <c r="Z125" s="42" t="str">
        <f t="shared" si="55"/>
        <v/>
      </c>
      <c r="AA125" s="42" t="str">
        <f t="shared" si="56"/>
        <v/>
      </c>
      <c r="AB125" s="42" t="str">
        <f t="shared" si="57"/>
        <v/>
      </c>
      <c r="AC125" s="14" t="str">
        <f>IFERROR(1/(1/INDEX(Cascade!$BH:$BH,MATCH($E125,Cascade!$E:$E,0))),"")</f>
        <v/>
      </c>
      <c r="AD125" s="14" t="str">
        <f t="shared" si="58"/>
        <v/>
      </c>
      <c r="AE125" s="14" t="str">
        <f>IFERROR(1/(1/INDEX(TB!$P:$P,MATCH($E125,TB!$E:$E,0))),"")</f>
        <v/>
      </c>
      <c r="AF125" s="14" t="str">
        <f t="shared" si="59"/>
        <v/>
      </c>
    </row>
    <row r="126" spans="1:32" x14ac:dyDescent="0.2">
      <c r="A126" t="str">
        <f>INDEX(Prioritization!$D:$D,MATCH($B126,Prioritization!$A:$A,0))</f>
        <v>1 - Scale-up: Saturation</v>
      </c>
      <c r="B126" t="s">
        <v>220</v>
      </c>
      <c r="C126" t="s">
        <v>367</v>
      </c>
      <c r="D126" t="s">
        <v>47</v>
      </c>
      <c r="E126" t="str">
        <f t="shared" si="45"/>
        <v>Thyolo District [ul0y9diGujK]|50+|Male</v>
      </c>
      <c r="F126" s="14">
        <f>IF(LEFT($B126,4)="_Mil","",INDEX(Cascade!$T:$T,MATCH($E126,Cascade!$E:$E,0)))</f>
        <v>1767</v>
      </c>
      <c r="G126" s="14" t="str">
        <f>IF(LEFT($B126,4)="_Mil","",INDEX(Cascade!$U:$U,MATCH($E126,Cascade!$E:$E,0)))</f>
        <v/>
      </c>
      <c r="H126" s="88">
        <f>IF(LEFT($B126,4)="_Mil","",INDEX(Cascade!$W:$W,MATCH($E126,Cascade!$E:$E,0)))</f>
        <v>967</v>
      </c>
      <c r="I126" s="14">
        <f>IF(LEFT($B126,4)="_Mil","",INDEX(Cascade!$Z:$Z,MATCH($E126,Cascade!$E:$E,0)))</f>
        <v>662</v>
      </c>
      <c r="J126" s="90">
        <f>IF(LEFT($B126,4)="_Mil","",INDEX(Cascade!$AA:$AA,MATCH($E126,Cascade!$E:$E,0)))</f>
        <v>1826</v>
      </c>
      <c r="K126" s="14"/>
      <c r="L126" s="14"/>
      <c r="M126" s="42" t="str">
        <f>IF(LEFT($B126,4)="_Mil","",IFERROR(1/(1/ROUND(INDEX(Spectrum!$N:$N,MATCH(RIGHT($B126,13)&amp;"|"&amp;$C126&amp;"|"&amp;$D126&amp;"|"&amp;M$14&amp;"|"&amp;"CY2023Q3",Spectrum!$R:$R,0)),0)),IF(SUM($L126)=0,"",$L126)))</f>
        <v/>
      </c>
      <c r="N126" s="42" t="str">
        <f>IF(LEFT($B126,4)="_Mil","",IFERROR(1/(1/ROUND(INDEX(Spectrum!$N:$N,MATCH(RIGHT($B126,13)&amp;"|"&amp;$C126&amp;"|"&amp;$D126&amp;"|"&amp;N$14&amp;"|"&amp;"CY2023Q3",Spectrum!$R:$R,0)),0)),IF(SUM($M126)=0,"",$M126)))</f>
        <v/>
      </c>
      <c r="O126" s="90">
        <f t="shared" si="46"/>
        <v>0</v>
      </c>
      <c r="P126" s="90">
        <f t="shared" si="47"/>
        <v>0.8</v>
      </c>
      <c r="Q126" s="42">
        <f t="shared" si="48"/>
        <v>1414</v>
      </c>
      <c r="R126" s="42">
        <f t="shared" si="49"/>
        <v>1414</v>
      </c>
      <c r="S126" s="90" t="str">
        <f t="shared" si="50"/>
        <v/>
      </c>
      <c r="T126" s="90" t="str">
        <f t="shared" si="51"/>
        <v/>
      </c>
      <c r="U126" s="90"/>
      <c r="V126" s="90" t="str">
        <f t="shared" si="52"/>
        <v/>
      </c>
      <c r="W126" s="90"/>
      <c r="X126" s="90" t="str">
        <f t="shared" si="53"/>
        <v/>
      </c>
      <c r="Y126" s="14" t="str">
        <f t="shared" si="54"/>
        <v>ENTER IN COL S</v>
      </c>
      <c r="Z126" s="42" t="str">
        <f t="shared" si="55"/>
        <v/>
      </c>
      <c r="AA126" s="42" t="str">
        <f t="shared" si="56"/>
        <v/>
      </c>
      <c r="AB126" s="42" t="str">
        <f t="shared" si="57"/>
        <v/>
      </c>
      <c r="AC126" s="14" t="str">
        <f>IFERROR(1/(1/INDEX(Cascade!$BH:$BH,MATCH($E126,Cascade!$E:$E,0))),"")</f>
        <v/>
      </c>
      <c r="AD126" s="14" t="str">
        <f t="shared" si="58"/>
        <v/>
      </c>
      <c r="AE126" s="14" t="str">
        <f>IFERROR(1/(1/INDEX(TB!$P:$P,MATCH($E126,TB!$E:$E,0))),"")</f>
        <v/>
      </c>
      <c r="AF126" s="14" t="str">
        <f t="shared" si="59"/>
        <v/>
      </c>
    </row>
    <row r="127" spans="1:32" x14ac:dyDescent="0.2">
      <c r="A127" t="str">
        <f>INDEX(Prioritization!$D:$D,MATCH($B127,Prioritization!$A:$A,0))</f>
        <v>1 - Scale-up: Saturation</v>
      </c>
      <c r="B127" t="s">
        <v>221</v>
      </c>
      <c r="C127" t="s">
        <v>364</v>
      </c>
      <c r="D127" t="s">
        <v>47</v>
      </c>
      <c r="E127" t="str">
        <f t="shared" si="45"/>
        <v>Zomba District [fyEoGEPERdI]|15-24|Male</v>
      </c>
      <c r="F127" s="14">
        <f>IF(LEFT($B127,4)="_Mil","",INDEX(Cascade!$T:$T,MATCH($E127,Cascade!$E:$E,0)))</f>
        <v>1345</v>
      </c>
      <c r="G127" s="14" t="str">
        <f>IF(LEFT($B127,4)="_Mil","",INDEX(Cascade!$U:$U,MATCH($E127,Cascade!$E:$E,0)))</f>
        <v/>
      </c>
      <c r="H127" s="88">
        <f>IF(LEFT($B127,4)="_Mil","",INDEX(Cascade!$W:$W,MATCH($E127,Cascade!$E:$E,0)))</f>
        <v>892</v>
      </c>
      <c r="I127" s="14">
        <f>IF(LEFT($B127,4)="_Mil","",INDEX(Cascade!$Z:$Z,MATCH($E127,Cascade!$E:$E,0)))</f>
        <v>505</v>
      </c>
      <c r="J127" s="90">
        <f>IF(LEFT($B127,4)="_Mil","",INDEX(Cascade!$AA:$AA,MATCH($E127,Cascade!$E:$E,0)))</f>
        <v>1449</v>
      </c>
      <c r="K127" s="14"/>
      <c r="L127" s="14"/>
      <c r="M127" s="42" t="str">
        <f>IF(LEFT($B127,4)="_Mil","",IFERROR(1/(1/ROUND(INDEX(Spectrum!$N:$N,MATCH(RIGHT($B127,13)&amp;"|"&amp;$C127&amp;"|"&amp;$D127&amp;"|"&amp;M$14&amp;"|"&amp;"CY2023Q3",Spectrum!$R:$R,0)),0)),IF(SUM($L127)=0,"",$L127)))</f>
        <v/>
      </c>
      <c r="N127" s="42" t="str">
        <f>IF(LEFT($B127,4)="_Mil","",IFERROR(1/(1/ROUND(INDEX(Spectrum!$N:$N,MATCH(RIGHT($B127,13)&amp;"|"&amp;$C127&amp;"|"&amp;$D127&amp;"|"&amp;N$14&amp;"|"&amp;"CY2023Q3",Spectrum!$R:$R,0)),0)),IF(SUM($M127)=0,"",$M127)))</f>
        <v/>
      </c>
      <c r="O127" s="90">
        <f t="shared" si="46"/>
        <v>0</v>
      </c>
      <c r="P127" s="90">
        <f t="shared" si="47"/>
        <v>0.8</v>
      </c>
      <c r="Q127" s="42">
        <f t="shared" si="48"/>
        <v>1076</v>
      </c>
      <c r="R127" s="42">
        <f t="shared" si="49"/>
        <v>1076</v>
      </c>
      <c r="S127" s="90" t="str">
        <f t="shared" si="50"/>
        <v/>
      </c>
      <c r="T127" s="90" t="str">
        <f t="shared" si="51"/>
        <v/>
      </c>
      <c r="U127" s="90"/>
      <c r="V127" s="90" t="str">
        <f t="shared" si="52"/>
        <v/>
      </c>
      <c r="W127" s="90"/>
      <c r="X127" s="90" t="str">
        <f t="shared" si="53"/>
        <v/>
      </c>
      <c r="Y127" s="14" t="str">
        <f t="shared" si="54"/>
        <v>ENTER IN COL S</v>
      </c>
      <c r="Z127" s="42" t="str">
        <f t="shared" si="55"/>
        <v/>
      </c>
      <c r="AA127" s="42" t="str">
        <f t="shared" si="56"/>
        <v/>
      </c>
      <c r="AB127" s="42" t="str">
        <f t="shared" si="57"/>
        <v/>
      </c>
      <c r="AC127" s="14" t="str">
        <f>IFERROR(1/(1/INDEX(Cascade!$BH:$BH,MATCH($E127,Cascade!$E:$E,0))),"")</f>
        <v/>
      </c>
      <c r="AD127" s="14" t="str">
        <f t="shared" si="58"/>
        <v/>
      </c>
      <c r="AE127" s="14" t="str">
        <f>IFERROR(1/(1/INDEX(TB!$P:$P,MATCH($E127,TB!$E:$E,0))),"")</f>
        <v/>
      </c>
      <c r="AF127" s="14" t="str">
        <f t="shared" si="59"/>
        <v/>
      </c>
    </row>
    <row r="128" spans="1:32" x14ac:dyDescent="0.2">
      <c r="A128" t="str">
        <f>INDEX(Prioritization!$D:$D,MATCH($B128,Prioritization!$A:$A,0))</f>
        <v>1 - Scale-up: Saturation</v>
      </c>
      <c r="B128" t="s">
        <v>221</v>
      </c>
      <c r="C128" t="s">
        <v>365</v>
      </c>
      <c r="D128" t="s">
        <v>47</v>
      </c>
      <c r="E128" t="str">
        <f t="shared" si="45"/>
        <v>Zomba District [fyEoGEPERdI]|25-34|Male</v>
      </c>
      <c r="F128" s="14">
        <f>IF(LEFT($B128,4)="_Mil","",INDEX(Cascade!$T:$T,MATCH($E128,Cascade!$E:$E,0)))</f>
        <v>927</v>
      </c>
      <c r="G128" s="14" t="str">
        <f>IF(LEFT($B128,4)="_Mil","",INDEX(Cascade!$U:$U,MATCH($E128,Cascade!$E:$E,0)))</f>
        <v/>
      </c>
      <c r="H128" s="88">
        <f>IF(LEFT($B128,4)="_Mil","",INDEX(Cascade!$W:$W,MATCH($E128,Cascade!$E:$E,0)))</f>
        <v>1505</v>
      </c>
      <c r="I128" s="14">
        <f>IF(LEFT($B128,4)="_Mil","",INDEX(Cascade!$Z:$Z,MATCH($E128,Cascade!$E:$E,0)))</f>
        <v>1554</v>
      </c>
      <c r="J128" s="90">
        <f>IF(LEFT($B128,4)="_Mil","",INDEX(Cascade!$AA:$AA,MATCH($E128,Cascade!$E:$E,0)))</f>
        <v>1332</v>
      </c>
      <c r="K128" s="14"/>
      <c r="L128" s="14"/>
      <c r="M128" s="42" t="str">
        <f>IF(LEFT($B128,4)="_Mil","",IFERROR(1/(1/ROUND(INDEX(Spectrum!$N:$N,MATCH(RIGHT($B128,13)&amp;"|"&amp;$C128&amp;"|"&amp;$D128&amp;"|"&amp;M$14&amp;"|"&amp;"CY2023Q3",Spectrum!$R:$R,0)),0)),IF(SUM($L128)=0,"",$L128)))</f>
        <v/>
      </c>
      <c r="N128" s="42" t="str">
        <f>IF(LEFT($B128,4)="_Mil","",IFERROR(1/(1/ROUND(INDEX(Spectrum!$N:$N,MATCH(RIGHT($B128,13)&amp;"|"&amp;$C128&amp;"|"&amp;$D128&amp;"|"&amp;N$14&amp;"|"&amp;"CY2023Q3",Spectrum!$R:$R,0)),0)),IF(SUM($M128)=0,"",$M128)))</f>
        <v/>
      </c>
      <c r="O128" s="90">
        <f t="shared" si="46"/>
        <v>0</v>
      </c>
      <c r="P128" s="90">
        <f t="shared" si="47"/>
        <v>0.8</v>
      </c>
      <c r="Q128" s="42">
        <f t="shared" si="48"/>
        <v>742</v>
      </c>
      <c r="R128" s="42">
        <f t="shared" si="49"/>
        <v>742</v>
      </c>
      <c r="S128" s="90" t="str">
        <f t="shared" si="50"/>
        <v/>
      </c>
      <c r="T128" s="90" t="str">
        <f t="shared" si="51"/>
        <v/>
      </c>
      <c r="U128" s="90"/>
      <c r="V128" s="90" t="str">
        <f t="shared" si="52"/>
        <v/>
      </c>
      <c r="W128" s="90"/>
      <c r="X128" s="90" t="str">
        <f t="shared" si="53"/>
        <v/>
      </c>
      <c r="Y128" s="14" t="str">
        <f t="shared" si="54"/>
        <v>ENTER IN COL S</v>
      </c>
      <c r="Z128" s="42" t="str">
        <f t="shared" si="55"/>
        <v/>
      </c>
      <c r="AA128" s="42" t="str">
        <f t="shared" si="56"/>
        <v/>
      </c>
      <c r="AB128" s="42" t="str">
        <f t="shared" si="57"/>
        <v/>
      </c>
      <c r="AC128" s="14" t="str">
        <f>IFERROR(1/(1/INDEX(Cascade!$BH:$BH,MATCH($E128,Cascade!$E:$E,0))),"")</f>
        <v/>
      </c>
      <c r="AD128" s="14" t="str">
        <f t="shared" si="58"/>
        <v/>
      </c>
      <c r="AE128" s="14" t="str">
        <f>IFERROR(1/(1/INDEX(TB!$P:$P,MATCH($E128,TB!$E:$E,0))),"")</f>
        <v/>
      </c>
      <c r="AF128" s="14" t="str">
        <f t="shared" si="59"/>
        <v/>
      </c>
    </row>
    <row r="129" spans="1:32" x14ac:dyDescent="0.2">
      <c r="A129" t="str">
        <f>INDEX(Prioritization!$D:$D,MATCH($B129,Prioritization!$A:$A,0))</f>
        <v>1 - Scale-up: Saturation</v>
      </c>
      <c r="B129" t="s">
        <v>221</v>
      </c>
      <c r="C129" t="s">
        <v>366</v>
      </c>
      <c r="D129" t="s">
        <v>47</v>
      </c>
      <c r="E129" t="str">
        <f t="shared" si="45"/>
        <v>Zomba District [fyEoGEPERdI]|35-49|Male</v>
      </c>
      <c r="F129" s="14">
        <f>IF(LEFT($B129,4)="_Mil","",INDEX(Cascade!$T:$T,MATCH($E129,Cascade!$E:$E,0)))</f>
        <v>1032</v>
      </c>
      <c r="G129" s="14" t="str">
        <f>IF(LEFT($B129,4)="_Mil","",INDEX(Cascade!$U:$U,MATCH($E129,Cascade!$E:$E,0)))</f>
        <v/>
      </c>
      <c r="H129" s="88">
        <f>IF(LEFT($B129,4)="_Mil","",INDEX(Cascade!$W:$W,MATCH($E129,Cascade!$E:$E,0)))</f>
        <v>1565</v>
      </c>
      <c r="I129" s="14">
        <f>IF(LEFT($B129,4)="_Mil","",INDEX(Cascade!$Z:$Z,MATCH($E129,Cascade!$E:$E,0)))</f>
        <v>1018</v>
      </c>
      <c r="J129" s="90">
        <f>IF(LEFT($B129,4)="_Mil","",INDEX(Cascade!$AA:$AA,MATCH($E129,Cascade!$E:$E,0)))</f>
        <v>1946</v>
      </c>
      <c r="K129" s="14"/>
      <c r="L129" s="14"/>
      <c r="M129" s="42" t="str">
        <f>IF(LEFT($B129,4)="_Mil","",IFERROR(1/(1/ROUND(INDEX(Spectrum!$N:$N,MATCH(RIGHT($B129,13)&amp;"|"&amp;$C129&amp;"|"&amp;$D129&amp;"|"&amp;M$14&amp;"|"&amp;"CY2023Q3",Spectrum!$R:$R,0)),0)),IF(SUM($L129)=0,"",$L129)))</f>
        <v/>
      </c>
      <c r="N129" s="42" t="str">
        <f>IF(LEFT($B129,4)="_Mil","",IFERROR(1/(1/ROUND(INDEX(Spectrum!$N:$N,MATCH(RIGHT($B129,13)&amp;"|"&amp;$C129&amp;"|"&amp;$D129&amp;"|"&amp;N$14&amp;"|"&amp;"CY2023Q3",Spectrum!$R:$R,0)),0)),IF(SUM($M129)=0,"",$M129)))</f>
        <v/>
      </c>
      <c r="O129" s="90">
        <f t="shared" si="46"/>
        <v>0</v>
      </c>
      <c r="P129" s="90">
        <f t="shared" si="47"/>
        <v>0.8</v>
      </c>
      <c r="Q129" s="42">
        <f t="shared" si="48"/>
        <v>826</v>
      </c>
      <c r="R129" s="42">
        <f t="shared" si="49"/>
        <v>826</v>
      </c>
      <c r="S129" s="90" t="str">
        <f t="shared" si="50"/>
        <v/>
      </c>
      <c r="T129" s="90" t="str">
        <f t="shared" si="51"/>
        <v/>
      </c>
      <c r="U129" s="90"/>
      <c r="V129" s="90" t="str">
        <f t="shared" si="52"/>
        <v/>
      </c>
      <c r="W129" s="90"/>
      <c r="X129" s="90" t="str">
        <f t="shared" si="53"/>
        <v/>
      </c>
      <c r="Y129" s="14" t="str">
        <f t="shared" si="54"/>
        <v>ENTER IN COL S</v>
      </c>
      <c r="Z129" s="42" t="str">
        <f t="shared" si="55"/>
        <v/>
      </c>
      <c r="AA129" s="42" t="str">
        <f t="shared" si="56"/>
        <v/>
      </c>
      <c r="AB129" s="42" t="str">
        <f t="shared" si="57"/>
        <v/>
      </c>
      <c r="AC129" s="14" t="str">
        <f>IFERROR(1/(1/INDEX(Cascade!$BH:$BH,MATCH($E129,Cascade!$E:$E,0))),"")</f>
        <v/>
      </c>
      <c r="AD129" s="14" t="str">
        <f t="shared" si="58"/>
        <v/>
      </c>
      <c r="AE129" s="14" t="str">
        <f>IFERROR(1/(1/INDEX(TB!$P:$P,MATCH($E129,TB!$E:$E,0))),"")</f>
        <v/>
      </c>
      <c r="AF129" s="14" t="str">
        <f t="shared" si="59"/>
        <v/>
      </c>
    </row>
    <row r="130" spans="1:32" x14ac:dyDescent="0.2">
      <c r="A130" t="str">
        <f>INDEX(Prioritization!$D:$D,MATCH($B130,Prioritization!$A:$A,0))</f>
        <v>1 - Scale-up: Saturation</v>
      </c>
      <c r="B130" t="s">
        <v>221</v>
      </c>
      <c r="C130" t="s">
        <v>367</v>
      </c>
      <c r="D130" t="s">
        <v>47</v>
      </c>
      <c r="E130" t="str">
        <f t="shared" si="45"/>
        <v>Zomba District [fyEoGEPERdI]|50+|Male</v>
      </c>
      <c r="F130" s="14">
        <f>IF(LEFT($B130,4)="_Mil","",INDEX(Cascade!$T:$T,MATCH($E130,Cascade!$E:$E,0)))</f>
        <v>677</v>
      </c>
      <c r="G130" s="14" t="str">
        <f>IF(LEFT($B130,4)="_Mil","",INDEX(Cascade!$U:$U,MATCH($E130,Cascade!$E:$E,0)))</f>
        <v/>
      </c>
      <c r="H130" s="88">
        <f>IF(LEFT($B130,4)="_Mil","",INDEX(Cascade!$W:$W,MATCH($E130,Cascade!$E:$E,0)))</f>
        <v>1933</v>
      </c>
      <c r="I130" s="14">
        <f>IF(LEFT($B130,4)="_Mil","",INDEX(Cascade!$Z:$Z,MATCH($E130,Cascade!$E:$E,0)))</f>
        <v>1689</v>
      </c>
      <c r="J130" s="90">
        <f>IF(LEFT($B130,4)="_Mil","",INDEX(Cascade!$AA:$AA,MATCH($E130,Cascade!$E:$E,0)))</f>
        <v>794</v>
      </c>
      <c r="K130" s="14"/>
      <c r="L130" s="14"/>
      <c r="M130" s="42" t="str">
        <f>IF(LEFT($B130,4)="_Mil","",IFERROR(1/(1/ROUND(INDEX(Spectrum!$N:$N,MATCH(RIGHT($B130,13)&amp;"|"&amp;$C130&amp;"|"&amp;$D130&amp;"|"&amp;M$14&amp;"|"&amp;"CY2023Q3",Spectrum!$R:$R,0)),0)),IF(SUM($L130)=0,"",$L130)))</f>
        <v/>
      </c>
      <c r="N130" s="42" t="str">
        <f>IF(LEFT($B130,4)="_Mil","",IFERROR(1/(1/ROUND(INDEX(Spectrum!$N:$N,MATCH(RIGHT($B130,13)&amp;"|"&amp;$C130&amp;"|"&amp;$D130&amp;"|"&amp;N$14&amp;"|"&amp;"CY2023Q3",Spectrum!$R:$R,0)),0)),IF(SUM($M130)=0,"",$M130)))</f>
        <v/>
      </c>
      <c r="O130" s="90">
        <f t="shared" si="46"/>
        <v>0</v>
      </c>
      <c r="P130" s="90">
        <f t="shared" si="47"/>
        <v>0.8</v>
      </c>
      <c r="Q130" s="42">
        <f t="shared" si="48"/>
        <v>542</v>
      </c>
      <c r="R130" s="42">
        <f t="shared" si="49"/>
        <v>542</v>
      </c>
      <c r="S130" s="90" t="str">
        <f t="shared" si="50"/>
        <v/>
      </c>
      <c r="T130" s="90" t="str">
        <f t="shared" si="51"/>
        <v/>
      </c>
      <c r="U130" s="90"/>
      <c r="V130" s="90" t="str">
        <f t="shared" si="52"/>
        <v/>
      </c>
      <c r="W130" s="90"/>
      <c r="X130" s="90" t="str">
        <f t="shared" si="53"/>
        <v/>
      </c>
      <c r="Y130" s="14" t="str">
        <f t="shared" si="54"/>
        <v>ENTER IN COL S</v>
      </c>
      <c r="Z130" s="42" t="str">
        <f t="shared" si="55"/>
        <v/>
      </c>
      <c r="AA130" s="42" t="str">
        <f t="shared" si="56"/>
        <v/>
      </c>
      <c r="AB130" s="42" t="str">
        <f t="shared" si="57"/>
        <v/>
      </c>
      <c r="AC130" s="14" t="str">
        <f>IFERROR(1/(1/INDEX(Cascade!$BH:$BH,MATCH($E130,Cascade!$E:$E,0))),"")</f>
        <v/>
      </c>
      <c r="AD130" s="14" t="str">
        <f t="shared" si="58"/>
        <v/>
      </c>
      <c r="AE130" s="14" t="str">
        <f>IFERROR(1/(1/INDEX(TB!$P:$P,MATCH($E130,TB!$E:$E,0))),"")</f>
        <v/>
      </c>
      <c r="AF130" s="14" t="str">
        <f t="shared" si="59"/>
        <v/>
      </c>
    </row>
  </sheetData>
  <mergeCells count="1">
    <mergeCell ref="A2:B3"/>
  </mergeCells>
  <conditionalFormatting sqref="P1:P1048576">
    <cfRule type="expression" dxfId="89" priority="2">
      <formula>AND(ISNUMBER($P1),$P1&lt;0.8)</formula>
    </cfRule>
  </conditionalFormatting>
  <conditionalFormatting sqref="X1:X1048576">
    <cfRule type="expression" dxfId="88" priority="3">
      <formula>AND(ROW($X1)&gt;14,$AA1="ENTER YIELD RATE")</formula>
    </cfRule>
    <cfRule type="expression" dxfId="87" priority="4">
      <formula>AND(ROW($X1)&gt;14,ROUND(SUM($X1),2)&gt;0.01)</formula>
    </cfRule>
  </conditionalFormatting>
  <conditionalFormatting sqref="Q1:Q1048576">
    <cfRule type="expression" dxfId="86" priority="5">
      <formula>AND(ISNUMBER($Q1),$Q1&lt;$N1)</formula>
    </cfRule>
  </conditionalFormatting>
  <conditionalFormatting sqref="M1:N1048576">
    <cfRule type="expression" dxfId="85" priority="6">
      <formula>AND(ISNUMBER($M1),ISNUMBER($N1),$N1&lt;$M1)</formula>
    </cfRule>
  </conditionalFormatting>
  <conditionalFormatting sqref="V1:V1048576">
    <cfRule type="expression" dxfId="84" priority="7">
      <formula>AND(ROW($V1)&gt;14,$Z1="ENTER INDETERMINATE RATE")</formula>
    </cfRule>
  </conditionalFormatting>
  <conditionalFormatting sqref="F1:S1048576 U1:AF1048576">
    <cfRule type="expression" dxfId="83" priority="8">
      <formula>AND(ISNUMBER(F1),F1&lt;0)</formula>
    </cfRule>
  </conditionalFormatting>
  <conditionalFormatting sqref="H1:H1048576 O1:P1048576 S1:S1048576 U1:X1048576">
    <cfRule type="expression" dxfId="82" priority="9">
      <formula>AND(ISNUMBER(H1),H1&gt;1)</formula>
    </cfRule>
  </conditionalFormatting>
  <conditionalFormatting sqref="AC1:AF1048576">
    <cfRule type="expression" dxfId="81" priority="10">
      <formula>AND(ISNUMBER($AF1),OR(ISERROR($AF1),$AF1&lt;0))</formula>
    </cfRule>
  </conditionalFormatting>
  <conditionalFormatting sqref="F1:J1048576 M1:S1048576">
    <cfRule type="expression" dxfId="80" priority="11">
      <formula>LEFT($B1,4)="_Mil"</formula>
    </cfRule>
  </conditionalFormatting>
  <conditionalFormatting sqref="T1:T1048576">
    <cfRule type="expression" dxfId="79" priority="12">
      <formula>AND(ROW($T1)&gt;14,$E1&lt;&gt;"",LEFT($B1,4)&lt;&gt;"_Mil")</formula>
    </cfRule>
  </conditionalFormatting>
  <conditionalFormatting sqref="S1:S1048576">
    <cfRule type="expression" dxfId="78" priority="13">
      <formula>AND(SUM($R1)&lt;&gt;0,$S1="",LEFT($B21,4)&lt;&gt;"_Mil")</formula>
    </cfRule>
  </conditionalFormatting>
  <hyperlinks>
    <hyperlink ref="F3" location="Cascade!T:T" display="P.C. Est. Male Population (FY23)" xr:uid="{00000000-0004-0000-0900-000000000000}"/>
    <hyperlink ref="G3" location="Cascade!U:U" display="P.C. Est. PLHIV (FY23)" xr:uid="{00000000-0004-0000-0900-000001000000}"/>
    <hyperlink ref="H3" location="Cascade!V:V" display="P.C. Est. HIV Prevalence (FY23) (%)" xr:uid="{00000000-0004-0000-0900-000002000000}"/>
    <hyperlink ref="I3" location="Cascade!Y:Y" display="P.C. Est. # on ART (FY23)" xr:uid="{00000000-0004-0000-0900-000003000000}"/>
    <hyperlink ref="J3" location="Cascade!Z:Z" display="P.C. Est. ART Coverage (ART/PLHIV) (FY23) (%)" xr:uid="{00000000-0004-0000-0900-000004000000}"/>
    <hyperlink ref="AC3" location="Cascade!BE:BE" display="Total HTS_TST_POS (FY24)" xr:uid="{00000000-0004-0000-0900-000005000000}"/>
    <hyperlink ref="AD3" location="VMMC!AA:AA" display="Total Positives from VMMC_CIRC (FY24)" xr:uid="{00000000-0004-0000-0900-000006000000}"/>
    <hyperlink ref="AE3" location="TB!P:P" display="Total Positives from TB_STAT (FY24)" xr:uid="{00000000-0004-0000-0900-000007000000}"/>
  </hyperlinks>
  <pageMargins left="0.7" right="0.7" top="0.75" bottom="0.75" header="0.511811023622047" footer="0.511811023622047"/>
  <pageSetup orientation="portrait" horizontalDpi="300" verticalDpi="30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246"/>
  <sheetViews>
    <sheetView zoomScaleNormal="100" workbookViewId="0">
      <pane xSplit="5" ySplit="14" topLeftCell="F15" activePane="bottomRight" state="frozen"/>
      <selection pane="topRight" activeCell="F1" sqref="F1"/>
      <selection pane="bottomLeft" activeCell="A15" sqref="A15"/>
      <selection pane="bottomRight" activeCell="P15" sqref="P15"/>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17" width="11.83203125" customWidth="1"/>
  </cols>
  <sheetData>
    <row r="1" spans="1:17" ht="30.75" customHeight="1" x14ac:dyDescent="0.2">
      <c r="A1" s="44" t="s">
        <v>488</v>
      </c>
      <c r="B1" s="18"/>
      <c r="C1" s="18"/>
      <c r="D1" s="18"/>
      <c r="E1" s="18"/>
      <c r="F1" s="45" t="s">
        <v>371</v>
      </c>
      <c r="G1" s="46"/>
      <c r="H1" s="46"/>
      <c r="I1" s="46"/>
      <c r="J1" s="46"/>
      <c r="K1" s="46"/>
      <c r="L1" s="46"/>
      <c r="M1" s="45" t="s">
        <v>370</v>
      </c>
      <c r="N1" s="46"/>
      <c r="O1" s="46"/>
      <c r="P1" s="45" t="s">
        <v>1040</v>
      </c>
      <c r="Q1" s="46"/>
    </row>
    <row r="2" spans="1:17" ht="18.75" customHeight="1" x14ac:dyDescent="0.25">
      <c r="A2" s="25"/>
      <c r="B2" s="22"/>
      <c r="C2" s="22"/>
      <c r="D2" s="22"/>
      <c r="E2" s="22"/>
      <c r="F2" s="52"/>
      <c r="G2" s="25"/>
      <c r="H2" s="25"/>
      <c r="I2" s="25"/>
      <c r="J2" s="25"/>
      <c r="K2" s="25"/>
      <c r="L2" s="24" t="s">
        <v>176</v>
      </c>
      <c r="M2" s="52"/>
      <c r="N2" s="25"/>
      <c r="O2" s="24" t="s">
        <v>176</v>
      </c>
      <c r="P2" s="52"/>
      <c r="Q2" s="24" t="s">
        <v>176</v>
      </c>
    </row>
    <row r="3" spans="1:17" ht="117" customHeight="1" x14ac:dyDescent="0.2">
      <c r="A3" s="61"/>
      <c r="B3" s="26"/>
      <c r="C3" s="26"/>
      <c r="D3" s="26"/>
      <c r="E3" s="26"/>
      <c r="F3" s="138" t="s">
        <v>830</v>
      </c>
      <c r="G3" s="139" t="s">
        <v>1041</v>
      </c>
      <c r="H3" s="139" t="s">
        <v>622</v>
      </c>
      <c r="I3" s="139" t="s">
        <v>623</v>
      </c>
      <c r="J3" s="71" t="s">
        <v>1042</v>
      </c>
      <c r="K3" s="71" t="s">
        <v>1043</v>
      </c>
      <c r="L3" s="28" t="s">
        <v>572</v>
      </c>
      <c r="M3" s="27" t="s">
        <v>1044</v>
      </c>
      <c r="N3" s="71" t="s">
        <v>1045</v>
      </c>
      <c r="O3" s="28" t="s">
        <v>1046</v>
      </c>
      <c r="P3" s="62" t="s">
        <v>1047</v>
      </c>
      <c r="Q3" s="28" t="s">
        <v>1048</v>
      </c>
    </row>
    <row r="4" spans="1:17" x14ac:dyDescent="0.2">
      <c r="A4" s="75"/>
      <c r="B4" s="30"/>
      <c r="C4" s="30"/>
      <c r="D4" s="30" t="s">
        <v>287</v>
      </c>
      <c r="E4" s="30"/>
      <c r="F4" s="76">
        <f>SUBTOTAL(109,F$15:INDEX(F:F,COUNTA($B:$B)+14-COUNTA($B$1:$B$14)))</f>
        <v>0</v>
      </c>
      <c r="G4" s="75">
        <f>SUBTOTAL(109,G$15:INDEX(G:G,COUNTA($B:$B)+14-COUNTA($B$1:$B$14)))</f>
        <v>0</v>
      </c>
      <c r="H4" s="75">
        <f>SUBTOTAL(109,H$15:INDEX(H:H,COUNTA($B:$B)+14-COUNTA($B$1:$B$14)))</f>
        <v>0</v>
      </c>
      <c r="I4" s="75">
        <f>SUBTOTAL(109,I$15:INDEX(I:I,COUNTA($B:$B)+14-COUNTA($B$1:$B$14)))</f>
        <v>0</v>
      </c>
      <c r="J4" s="75">
        <f>SUBTOTAL(109,J$15:INDEX(J:J,COUNTA($B:$B)+14-COUNTA($B$1:$B$14)))</f>
        <v>64</v>
      </c>
      <c r="K4" s="75">
        <f>SUBTOTAL(109,K$15:INDEX(K:K,COUNTA($B:$B)+14-COUNTA($B$1:$B$14)))</f>
        <v>150</v>
      </c>
      <c r="L4" s="84">
        <f>SUBTOTAL(109,L$15:INDEX(L:L,COUNTA($B:$B)+14-COUNTA($B$1:$B$14)))</f>
        <v>150</v>
      </c>
      <c r="M4" s="76">
        <f>SUBTOTAL(109,M$15:INDEX(M:M,COUNTA($B:$B)+14-COUNTA($B$1:$B$14)))</f>
        <v>0</v>
      </c>
      <c r="N4" s="75">
        <f>SUBTOTAL(109,N$15:INDEX(N:N,COUNTA($B:$B)+14-COUNTA($B$1:$B$14)))</f>
        <v>0</v>
      </c>
      <c r="O4" s="84">
        <f>SUBTOTAL(109,O$15:INDEX(O:O,COUNTA($B:$B)+14-COUNTA($B$1:$B$14)))</f>
        <v>0</v>
      </c>
      <c r="P4" s="76" t="str">
        <f>IF(SUM($O4)=0,"",SUM($Q4)/SUM($O4))</f>
        <v/>
      </c>
      <c r="Q4" s="84">
        <f>SUBTOTAL(109,Q$15:INDEX(Q:Q,COUNTA($B:$B)+14-COUNTA($B$1:$B$14)))</f>
        <v>0</v>
      </c>
    </row>
    <row r="5" spans="1:17" x14ac:dyDescent="0.2">
      <c r="A5" t="s">
        <v>180</v>
      </c>
      <c r="B5" s="13" t="s">
        <v>180</v>
      </c>
      <c r="C5" s="13" t="s">
        <v>180</v>
      </c>
      <c r="D5" s="13" t="s">
        <v>180</v>
      </c>
      <c r="E5" s="13" t="s">
        <v>180</v>
      </c>
      <c r="F5" s="87" t="s">
        <v>180</v>
      </c>
      <c r="G5" s="14" t="s">
        <v>180</v>
      </c>
      <c r="H5" s="14" t="s">
        <v>180</v>
      </c>
      <c r="I5" s="14" t="s">
        <v>180</v>
      </c>
      <c r="J5" s="14" t="s">
        <v>288</v>
      </c>
      <c r="K5" s="14" t="s">
        <v>288</v>
      </c>
      <c r="L5" s="9" t="s">
        <v>288</v>
      </c>
      <c r="M5" s="87" t="s">
        <v>288</v>
      </c>
      <c r="N5" s="14" t="s">
        <v>288</v>
      </c>
      <c r="O5" s="9" t="s">
        <v>288</v>
      </c>
      <c r="P5" s="87" t="s">
        <v>180</v>
      </c>
      <c r="Q5" s="9" t="s">
        <v>288</v>
      </c>
    </row>
    <row r="6" spans="1:17" x14ac:dyDescent="0.2">
      <c r="A6" t="s">
        <v>182</v>
      </c>
      <c r="B6" s="13" t="s">
        <v>182</v>
      </c>
      <c r="C6" s="13" t="s">
        <v>182</v>
      </c>
      <c r="D6" s="13" t="s">
        <v>182</v>
      </c>
      <c r="E6" s="13" t="s">
        <v>182</v>
      </c>
      <c r="F6" s="87" t="s">
        <v>185</v>
      </c>
      <c r="G6" s="14" t="s">
        <v>185</v>
      </c>
      <c r="H6" s="14" t="s">
        <v>185</v>
      </c>
      <c r="I6" s="14" t="s">
        <v>185</v>
      </c>
      <c r="J6" s="14" t="s">
        <v>183</v>
      </c>
      <c r="K6" s="14" t="s">
        <v>183</v>
      </c>
      <c r="L6" s="9" t="s">
        <v>184</v>
      </c>
      <c r="M6" s="87" t="s">
        <v>183</v>
      </c>
      <c r="N6" s="14" t="s">
        <v>183</v>
      </c>
      <c r="O6" s="9" t="s">
        <v>184</v>
      </c>
      <c r="P6" s="87" t="s">
        <v>290</v>
      </c>
      <c r="Q6" s="9" t="s">
        <v>184</v>
      </c>
    </row>
    <row r="7" spans="1:17" x14ac:dyDescent="0.2">
      <c r="A7" t="s">
        <v>186</v>
      </c>
      <c r="B7" s="13" t="s">
        <v>186</v>
      </c>
      <c r="C7" s="13" t="s">
        <v>186</v>
      </c>
      <c r="D7" s="13" t="s">
        <v>186</v>
      </c>
      <c r="E7" s="13" t="s">
        <v>186</v>
      </c>
      <c r="F7" s="87" t="s">
        <v>187</v>
      </c>
      <c r="G7" s="14" t="s">
        <v>187</v>
      </c>
      <c r="H7" s="14" t="s">
        <v>187</v>
      </c>
      <c r="I7" s="14" t="s">
        <v>187</v>
      </c>
      <c r="J7" s="14" t="s">
        <v>187</v>
      </c>
      <c r="K7" s="14" t="s">
        <v>187</v>
      </c>
      <c r="L7" s="9" t="s">
        <v>187</v>
      </c>
      <c r="M7" s="87" t="s">
        <v>187</v>
      </c>
      <c r="N7" s="14" t="s">
        <v>187</v>
      </c>
      <c r="O7" s="9" t="s">
        <v>187</v>
      </c>
      <c r="P7" s="87" t="s">
        <v>187</v>
      </c>
      <c r="Q7" s="9" t="s">
        <v>187</v>
      </c>
    </row>
    <row r="8" spans="1:17" x14ac:dyDescent="0.2">
      <c r="J8" s="128" t="s">
        <v>1049</v>
      </c>
      <c r="K8" s="96" t="s">
        <v>1050</v>
      </c>
      <c r="L8" s="99" t="s">
        <v>1050</v>
      </c>
      <c r="M8" s="127" t="s">
        <v>1051</v>
      </c>
      <c r="N8" s="96" t="s">
        <v>1052</v>
      </c>
      <c r="O8" s="99" t="s">
        <v>1052</v>
      </c>
      <c r="P8" s="114"/>
      <c r="Q8" s="99" t="s">
        <v>1053</v>
      </c>
    </row>
    <row r="9" spans="1:17" x14ac:dyDescent="0.2">
      <c r="J9" s="128" t="s">
        <v>1054</v>
      </c>
      <c r="K9" s="96" t="s">
        <v>1055</v>
      </c>
      <c r="L9" s="99" t="s">
        <v>1055</v>
      </c>
      <c r="M9" s="127" t="s">
        <v>1056</v>
      </c>
      <c r="N9" s="96" t="s">
        <v>1057</v>
      </c>
      <c r="O9" s="99" t="s">
        <v>1057</v>
      </c>
      <c r="P9" s="114"/>
      <c r="Q9" s="99" t="s">
        <v>1058</v>
      </c>
    </row>
    <row r="10" spans="1:17" x14ac:dyDescent="0.2">
      <c r="J10" s="96"/>
      <c r="K10" s="96"/>
      <c r="L10" s="99"/>
      <c r="M10" s="95"/>
      <c r="N10" s="96"/>
      <c r="O10" s="99"/>
      <c r="Q10" s="99" t="s">
        <v>430</v>
      </c>
    </row>
    <row r="11" spans="1:17" x14ac:dyDescent="0.2">
      <c r="F11" s="87" t="s">
        <v>683</v>
      </c>
      <c r="G11" s="14" t="s">
        <v>683</v>
      </c>
      <c r="H11" s="14" t="s">
        <v>1059</v>
      </c>
      <c r="I11" s="14" t="s">
        <v>1059</v>
      </c>
      <c r="J11" s="14" t="s">
        <v>683</v>
      </c>
      <c r="K11" s="14" t="s">
        <v>683</v>
      </c>
      <c r="L11" s="9" t="s">
        <v>683</v>
      </c>
      <c r="M11" s="87" t="s">
        <v>683</v>
      </c>
      <c r="N11" s="14" t="s">
        <v>683</v>
      </c>
      <c r="O11" s="9" t="s">
        <v>683</v>
      </c>
      <c r="P11" s="87" t="s">
        <v>683</v>
      </c>
      <c r="Q11" s="9" t="s">
        <v>683</v>
      </c>
    </row>
    <row r="12" spans="1:17" x14ac:dyDescent="0.2">
      <c r="F12" s="87" t="s">
        <v>316</v>
      </c>
      <c r="G12" s="14" t="s">
        <v>316</v>
      </c>
      <c r="H12" s="14" t="s">
        <v>689</v>
      </c>
      <c r="I12" s="14" t="s">
        <v>689</v>
      </c>
      <c r="J12" s="14" t="s">
        <v>316</v>
      </c>
      <c r="K12" s="14" t="s">
        <v>316</v>
      </c>
      <c r="L12" s="9" t="s">
        <v>316</v>
      </c>
      <c r="M12" s="87" t="s">
        <v>316</v>
      </c>
      <c r="N12" s="14" t="s">
        <v>316</v>
      </c>
      <c r="O12" s="9" t="s">
        <v>316</v>
      </c>
      <c r="P12" s="87" t="s">
        <v>316</v>
      </c>
      <c r="Q12" s="9" t="s">
        <v>316</v>
      </c>
    </row>
    <row r="14" spans="1:17" x14ac:dyDescent="0.2">
      <c r="A14" s="102" t="s">
        <v>175</v>
      </c>
      <c r="B14" s="36" t="s">
        <v>189</v>
      </c>
      <c r="C14" s="36" t="s">
        <v>317</v>
      </c>
      <c r="D14" s="36" t="s">
        <v>318</v>
      </c>
      <c r="E14" s="36" t="s">
        <v>19</v>
      </c>
      <c r="F14" s="103" t="s">
        <v>332</v>
      </c>
      <c r="G14" s="39" t="s">
        <v>1060</v>
      </c>
      <c r="H14" s="39" t="s">
        <v>793</v>
      </c>
      <c r="I14" s="39" t="s">
        <v>794</v>
      </c>
      <c r="J14" s="39" t="s">
        <v>1061</v>
      </c>
      <c r="K14" s="39" t="s">
        <v>1062</v>
      </c>
      <c r="L14" s="109" t="s">
        <v>743</v>
      </c>
      <c r="M14" s="103" t="s">
        <v>1063</v>
      </c>
      <c r="N14" s="39" t="s">
        <v>1064</v>
      </c>
      <c r="O14" s="109" t="s">
        <v>744</v>
      </c>
      <c r="P14" s="103" t="s">
        <v>1065</v>
      </c>
      <c r="Q14" s="109" t="s">
        <v>1066</v>
      </c>
    </row>
    <row r="15" spans="1:17" x14ac:dyDescent="0.2">
      <c r="A15" t="str">
        <f>INDEX(Prioritization!$D:$D,MATCH($B15,Prioritization!$A:$A,0))</f>
        <v>Military</v>
      </c>
      <c r="B15" t="s">
        <v>193</v>
      </c>
      <c r="C15" t="s">
        <v>364</v>
      </c>
      <c r="D15" t="s">
        <v>29</v>
      </c>
      <c r="E15" s="13" t="str">
        <f t="shared" ref="E15:E78" si="0">B15&amp;"|"&amp;C15&amp;"|"&amp;D15</f>
        <v>_Military Malawi [PQZgU9dagaH]|15-24|Female</v>
      </c>
      <c r="F15" s="87" t="str">
        <f>IF(LEFT($B15,4)="_Mil","",INDEX(Cascade!$U:$U,MATCH($E15,Cascade!$E:$E,0)))</f>
        <v/>
      </c>
      <c r="G15" s="14" t="str">
        <f>IFERROR(1/(1/INDEX(HTS!$AT:$AT,MATCH($E15,HTS!$E:$E,0))),"")</f>
        <v/>
      </c>
      <c r="H15" s="14" t="str">
        <f>IF(OR($C15="15-24",$C15="25-34"),IFERROR(1/(1/SUM(SUMIFS(AGYW!$S:$S,AGYW!$B:$B,$B15,AGYW!$C:$C,IF($C15="15-24",{"15-19","20-24"},{"25-29"}),AGYW!$D:$D,$D15))),""),"")</f>
        <v/>
      </c>
      <c r="I15" s="14" t="str">
        <f>IF(OR($C15="15-24",$C15="25-34"),IFERROR(1/(1/SUM(SUMIFS(AGYW!$T:$T,AGYW!$B:$B,$B15,AGYW!$C:$C,IF($C15="15-24",{"15-19","20-24"},{"25-29"}),AGYW!$D:$D,$D15))),""),"")</f>
        <v/>
      </c>
      <c r="J15" s="14"/>
      <c r="K15" s="14"/>
      <c r="L15" s="9" t="str">
        <f t="shared" ref="L15:L78" si="1">IF(SUM($K15)=0,"",$K15)</f>
        <v/>
      </c>
      <c r="M15" s="14"/>
      <c r="N15" s="14"/>
      <c r="O15" s="9" t="str">
        <f t="shared" ref="O15:O78" si="2">IF(SUM($N15)=0,"",$N15)</f>
        <v/>
      </c>
      <c r="P15" s="87">
        <f>2</f>
        <v>2</v>
      </c>
      <c r="Q15" s="9" t="str">
        <f t="shared" ref="Q15:Q78" si="3">IF(SUM($O15)=0,"",$O15*$P15)</f>
        <v/>
      </c>
    </row>
    <row r="16" spans="1:17" x14ac:dyDescent="0.2">
      <c r="A16" t="str">
        <f>INDEX(Prioritization!$D:$D,MATCH($B16,Prioritization!$A:$A,0))</f>
        <v>Military</v>
      </c>
      <c r="B16" t="s">
        <v>193</v>
      </c>
      <c r="C16" t="s">
        <v>364</v>
      </c>
      <c r="D16" t="s">
        <v>47</v>
      </c>
      <c r="E16" t="str">
        <f t="shared" si="0"/>
        <v>_Military Malawi [PQZgU9dagaH]|15-24|Male</v>
      </c>
      <c r="F16" s="14" t="str">
        <f>IF(LEFT($B16,4)="_Mil","",INDEX(Cascade!$U:$U,MATCH($E16,Cascade!$E:$E,0)))</f>
        <v/>
      </c>
      <c r="G16" s="14" t="str">
        <f>IFERROR(1/(1/INDEX(HTS!$AT:$AT,MATCH($E16,HTS!$E:$E,0))),"")</f>
        <v/>
      </c>
      <c r="H16" s="14" t="str">
        <f>IF(OR($C16="15-24",$C16="25-34"),IFERROR(1/(1/SUM(SUMIFS(AGYW!$S:$S,AGYW!$B:$B,$B16,AGYW!$C:$C,IF($C16="15-24",{"15-19","20-24"},{"25-29"}),AGYW!$D:$D,$D16))),""),"")</f>
        <v/>
      </c>
      <c r="I16" s="14" t="str">
        <f>IF(OR($C16="15-24",$C16="25-34"),IFERROR(1/(1/SUM(SUMIFS(AGYW!$T:$T,AGYW!$B:$B,$B16,AGYW!$C:$C,IF($C16="15-24",{"15-19","20-24"},{"25-29"}),AGYW!$D:$D,$D16))),""),"")</f>
        <v/>
      </c>
      <c r="J16" s="14"/>
      <c r="K16" s="14"/>
      <c r="L16" s="42" t="str">
        <f t="shared" si="1"/>
        <v/>
      </c>
      <c r="M16" s="14"/>
      <c r="N16" s="14"/>
      <c r="O16" s="42" t="str">
        <f t="shared" si="2"/>
        <v/>
      </c>
      <c r="P16" s="14">
        <f>2</f>
        <v>2</v>
      </c>
      <c r="Q16" s="42" t="str">
        <f t="shared" si="3"/>
        <v/>
      </c>
    </row>
    <row r="17" spans="1:17" x14ac:dyDescent="0.2">
      <c r="A17" t="str">
        <f>INDEX(Prioritization!$D:$D,MATCH($B17,Prioritization!$A:$A,0))</f>
        <v>Military</v>
      </c>
      <c r="B17" t="s">
        <v>193</v>
      </c>
      <c r="C17" t="s">
        <v>365</v>
      </c>
      <c r="D17" t="s">
        <v>29</v>
      </c>
      <c r="E17" t="str">
        <f t="shared" si="0"/>
        <v>_Military Malawi [PQZgU9dagaH]|25-34|Female</v>
      </c>
      <c r="F17" s="14" t="str">
        <f>IF(LEFT($B17,4)="_Mil","",INDEX(Cascade!$U:$U,MATCH($E17,Cascade!$E:$E,0)))</f>
        <v/>
      </c>
      <c r="G17" s="14" t="str">
        <f>IFERROR(1/(1/INDEX(HTS!$AT:$AT,MATCH($E17,HTS!$E:$E,0))),"")</f>
        <v/>
      </c>
      <c r="H17" s="14" t="str">
        <f>IF(OR($C17="15-24",$C17="25-34"),IFERROR(1/(1/SUM(SUMIFS(AGYW!$S:$S,AGYW!$B:$B,$B17,AGYW!$C:$C,IF($C17="15-24",{"15-19","20-24"},{"25-29"}),AGYW!$D:$D,$D17))),""),"")</f>
        <v/>
      </c>
      <c r="I17" s="14" t="str">
        <f>IF(OR($C17="15-24",$C17="25-34"),IFERROR(1/(1/SUM(SUMIFS(AGYW!$T:$T,AGYW!$B:$B,$B17,AGYW!$C:$C,IF($C17="15-24",{"15-19","20-24"},{"25-29"}),AGYW!$D:$D,$D17))),""),"")</f>
        <v/>
      </c>
      <c r="J17" s="14"/>
      <c r="K17" s="14"/>
      <c r="L17" s="42" t="str">
        <f t="shared" si="1"/>
        <v/>
      </c>
      <c r="M17" s="14"/>
      <c r="N17" s="14"/>
      <c r="O17" s="42" t="str">
        <f t="shared" si="2"/>
        <v/>
      </c>
      <c r="P17" s="14">
        <f>2</f>
        <v>2</v>
      </c>
      <c r="Q17" s="42" t="str">
        <f t="shared" si="3"/>
        <v/>
      </c>
    </row>
    <row r="18" spans="1:17" x14ac:dyDescent="0.2">
      <c r="A18" t="str">
        <f>INDEX(Prioritization!$D:$D,MATCH($B18,Prioritization!$A:$A,0))</f>
        <v>Military</v>
      </c>
      <c r="B18" t="s">
        <v>193</v>
      </c>
      <c r="C18" t="s">
        <v>365</v>
      </c>
      <c r="D18" t="s">
        <v>47</v>
      </c>
      <c r="E18" t="str">
        <f t="shared" si="0"/>
        <v>_Military Malawi [PQZgU9dagaH]|25-34|Male</v>
      </c>
      <c r="F18" s="14" t="str">
        <f>IF(LEFT($B18,4)="_Mil","",INDEX(Cascade!$U:$U,MATCH($E18,Cascade!$E:$E,0)))</f>
        <v/>
      </c>
      <c r="G18" s="14" t="str">
        <f>IFERROR(1/(1/INDEX(HTS!$AT:$AT,MATCH($E18,HTS!$E:$E,0))),"")</f>
        <v/>
      </c>
      <c r="H18" s="14" t="str">
        <f>IF(OR($C18="15-24",$C18="25-34"),IFERROR(1/(1/SUM(SUMIFS(AGYW!$S:$S,AGYW!$B:$B,$B18,AGYW!$C:$C,IF($C18="15-24",{"15-19","20-24"},{"25-29"}),AGYW!$D:$D,$D18))),""),"")</f>
        <v/>
      </c>
      <c r="I18" s="14" t="str">
        <f>IF(OR($C18="15-24",$C18="25-34"),IFERROR(1/(1/SUM(SUMIFS(AGYW!$T:$T,AGYW!$B:$B,$B18,AGYW!$C:$C,IF($C18="15-24",{"15-19","20-24"},{"25-29"}),AGYW!$D:$D,$D18))),""),"")</f>
        <v/>
      </c>
      <c r="J18" s="14"/>
      <c r="K18" s="14"/>
      <c r="L18" s="42" t="str">
        <f t="shared" si="1"/>
        <v/>
      </c>
      <c r="M18" s="14"/>
      <c r="N18" s="14"/>
      <c r="O18" s="42" t="str">
        <f t="shared" si="2"/>
        <v/>
      </c>
      <c r="P18" s="14">
        <f>2</f>
        <v>2</v>
      </c>
      <c r="Q18" s="42" t="str">
        <f t="shared" si="3"/>
        <v/>
      </c>
    </row>
    <row r="19" spans="1:17" x14ac:dyDescent="0.2">
      <c r="A19" t="str">
        <f>INDEX(Prioritization!$D:$D,MATCH($B19,Prioritization!$A:$A,0))</f>
        <v>Military</v>
      </c>
      <c r="B19" t="s">
        <v>193</v>
      </c>
      <c r="C19" t="s">
        <v>366</v>
      </c>
      <c r="D19" t="s">
        <v>29</v>
      </c>
      <c r="E19" t="str">
        <f t="shared" si="0"/>
        <v>_Military Malawi [PQZgU9dagaH]|35-49|Female</v>
      </c>
      <c r="F19" s="14" t="str">
        <f>IF(LEFT($B19,4)="_Mil","",INDEX(Cascade!$U:$U,MATCH($E19,Cascade!$E:$E,0)))</f>
        <v/>
      </c>
      <c r="G19" s="14" t="str">
        <f>IFERROR(1/(1/INDEX(HTS!$AT:$AT,MATCH($E19,HTS!$E:$E,0))),"")</f>
        <v/>
      </c>
      <c r="H19" s="14" t="str">
        <f>IF(OR($C19="15-24",$C19="25-34"),IFERROR(1/(1/SUM(SUMIFS(AGYW!$S:$S,AGYW!$B:$B,$B19,AGYW!$C:$C,IF($C19="15-24",{"15-19","20-24"},{"25-29"}),AGYW!$D:$D,$D19))),""),"")</f>
        <v/>
      </c>
      <c r="I19" s="14" t="str">
        <f>IF(OR($C19="15-24",$C19="25-34"),IFERROR(1/(1/SUM(SUMIFS(AGYW!$T:$T,AGYW!$B:$B,$B19,AGYW!$C:$C,IF($C19="15-24",{"15-19","20-24"},{"25-29"}),AGYW!$D:$D,$D19))),""),"")</f>
        <v/>
      </c>
      <c r="J19" s="14"/>
      <c r="K19" s="14"/>
      <c r="L19" s="42" t="str">
        <f t="shared" si="1"/>
        <v/>
      </c>
      <c r="M19" s="14"/>
      <c r="N19" s="14"/>
      <c r="O19" s="42" t="str">
        <f t="shared" si="2"/>
        <v/>
      </c>
      <c r="P19" s="14">
        <f>2</f>
        <v>2</v>
      </c>
      <c r="Q19" s="42" t="str">
        <f t="shared" si="3"/>
        <v/>
      </c>
    </row>
    <row r="20" spans="1:17" x14ac:dyDescent="0.2">
      <c r="A20" t="str">
        <f>INDEX(Prioritization!$D:$D,MATCH($B20,Prioritization!$A:$A,0))</f>
        <v>Military</v>
      </c>
      <c r="B20" t="s">
        <v>193</v>
      </c>
      <c r="C20" t="s">
        <v>366</v>
      </c>
      <c r="D20" t="s">
        <v>47</v>
      </c>
      <c r="E20" t="str">
        <f t="shared" si="0"/>
        <v>_Military Malawi [PQZgU9dagaH]|35-49|Male</v>
      </c>
      <c r="F20" s="14" t="str">
        <f>IF(LEFT($B20,4)="_Mil","",INDEX(Cascade!$U:$U,MATCH($E20,Cascade!$E:$E,0)))</f>
        <v/>
      </c>
      <c r="G20" s="14" t="str">
        <f>IFERROR(1/(1/INDEX(HTS!$AT:$AT,MATCH($E20,HTS!$E:$E,0))),"")</f>
        <v/>
      </c>
      <c r="H20" s="14" t="str">
        <f>IF(OR($C20="15-24",$C20="25-34"),IFERROR(1/(1/SUM(SUMIFS(AGYW!$S:$S,AGYW!$B:$B,$B20,AGYW!$C:$C,IF($C20="15-24",{"15-19","20-24"},{"25-29"}),AGYW!$D:$D,$D20))),""),"")</f>
        <v/>
      </c>
      <c r="I20" s="14" t="str">
        <f>IF(OR($C20="15-24",$C20="25-34"),IFERROR(1/(1/SUM(SUMIFS(AGYW!$T:$T,AGYW!$B:$B,$B20,AGYW!$C:$C,IF($C20="15-24",{"15-19","20-24"},{"25-29"}),AGYW!$D:$D,$D20))),""),"")</f>
        <v/>
      </c>
      <c r="J20" s="14"/>
      <c r="K20" s="14"/>
      <c r="L20" s="42" t="str">
        <f t="shared" si="1"/>
        <v/>
      </c>
      <c r="M20" s="14"/>
      <c r="N20" s="14"/>
      <c r="O20" s="42" t="str">
        <f t="shared" si="2"/>
        <v/>
      </c>
      <c r="P20" s="14">
        <f>2</f>
        <v>2</v>
      </c>
      <c r="Q20" s="42" t="str">
        <f t="shared" si="3"/>
        <v/>
      </c>
    </row>
    <row r="21" spans="1:17" x14ac:dyDescent="0.2">
      <c r="A21" t="str">
        <f>INDEX(Prioritization!$D:$D,MATCH($B21,Prioritization!$A:$A,0))</f>
        <v>Military</v>
      </c>
      <c r="B21" t="s">
        <v>193</v>
      </c>
      <c r="C21" t="s">
        <v>367</v>
      </c>
      <c r="D21" t="s">
        <v>29</v>
      </c>
      <c r="E21" t="str">
        <f t="shared" si="0"/>
        <v>_Military Malawi [PQZgU9dagaH]|50+|Female</v>
      </c>
      <c r="F21" s="14" t="str">
        <f>IF(LEFT($B21,4)="_Mil","",INDEX(Cascade!$U:$U,MATCH($E21,Cascade!$E:$E,0)))</f>
        <v/>
      </c>
      <c r="G21" s="14" t="str">
        <f>IFERROR(1/(1/INDEX(HTS!$AT:$AT,MATCH($E21,HTS!$E:$E,0))),"")</f>
        <v/>
      </c>
      <c r="H21" s="14" t="str">
        <f>IF(OR($C21="15-24",$C21="25-34"),IFERROR(1/(1/SUM(SUMIFS(AGYW!$S:$S,AGYW!$B:$B,$B21,AGYW!$C:$C,IF($C21="15-24",{"15-19","20-24"},{"25-29"}),AGYW!$D:$D,$D21))),""),"")</f>
        <v/>
      </c>
      <c r="I21" s="14" t="str">
        <f>IF(OR($C21="15-24",$C21="25-34"),IFERROR(1/(1/SUM(SUMIFS(AGYW!$T:$T,AGYW!$B:$B,$B21,AGYW!$C:$C,IF($C21="15-24",{"15-19","20-24"},{"25-29"}),AGYW!$D:$D,$D21))),""),"")</f>
        <v/>
      </c>
      <c r="J21" s="14"/>
      <c r="K21" s="14"/>
      <c r="L21" s="42" t="str">
        <f t="shared" si="1"/>
        <v/>
      </c>
      <c r="M21" s="14"/>
      <c r="N21" s="14"/>
      <c r="O21" s="42" t="str">
        <f t="shared" si="2"/>
        <v/>
      </c>
      <c r="P21" s="14">
        <f>2</f>
        <v>2</v>
      </c>
      <c r="Q21" s="42" t="str">
        <f t="shared" si="3"/>
        <v/>
      </c>
    </row>
    <row r="22" spans="1:17" x14ac:dyDescent="0.2">
      <c r="A22" t="str">
        <f>INDEX(Prioritization!$D:$D,MATCH($B22,Prioritization!$A:$A,0))</f>
        <v>Military</v>
      </c>
      <c r="B22" t="s">
        <v>193</v>
      </c>
      <c r="C22" t="s">
        <v>367</v>
      </c>
      <c r="D22" t="s">
        <v>47</v>
      </c>
      <c r="E22" t="str">
        <f t="shared" si="0"/>
        <v>_Military Malawi [PQZgU9dagaH]|50+|Male</v>
      </c>
      <c r="F22" s="14" t="str">
        <f>IF(LEFT($B22,4)="_Mil","",INDEX(Cascade!$U:$U,MATCH($E22,Cascade!$E:$E,0)))</f>
        <v/>
      </c>
      <c r="G22" s="14" t="str">
        <f>IFERROR(1/(1/INDEX(HTS!$AT:$AT,MATCH($E22,HTS!$E:$E,0))),"")</f>
        <v/>
      </c>
      <c r="H22" s="14" t="str">
        <f>IF(OR($C22="15-24",$C22="25-34"),IFERROR(1/(1/SUM(SUMIFS(AGYW!$S:$S,AGYW!$B:$B,$B22,AGYW!$C:$C,IF($C22="15-24",{"15-19","20-24"},{"25-29"}),AGYW!$D:$D,$D22))),""),"")</f>
        <v/>
      </c>
      <c r="I22" s="14" t="str">
        <f>IF(OR($C22="15-24",$C22="25-34"),IFERROR(1/(1/SUM(SUMIFS(AGYW!$T:$T,AGYW!$B:$B,$B22,AGYW!$C:$C,IF($C22="15-24",{"15-19","20-24"},{"25-29"}),AGYW!$D:$D,$D22))),""),"")</f>
        <v/>
      </c>
      <c r="J22" s="14"/>
      <c r="K22" s="14"/>
      <c r="L22" s="42" t="str">
        <f t="shared" si="1"/>
        <v/>
      </c>
      <c r="M22" s="14"/>
      <c r="N22" s="14"/>
      <c r="O22" s="42" t="str">
        <f t="shared" si="2"/>
        <v/>
      </c>
      <c r="P22" s="14">
        <f>2</f>
        <v>2</v>
      </c>
      <c r="Q22" s="42" t="str">
        <f t="shared" si="3"/>
        <v/>
      </c>
    </row>
    <row r="23" spans="1:17" x14ac:dyDescent="0.2">
      <c r="A23" t="str">
        <f>INDEX(Prioritization!$D:$D,MATCH($B23,Prioritization!$A:$A,0))</f>
        <v>1 - Scale-up: Saturation</v>
      </c>
      <c r="B23" t="s">
        <v>194</v>
      </c>
      <c r="C23" t="s">
        <v>364</v>
      </c>
      <c r="D23" t="s">
        <v>29</v>
      </c>
      <c r="E23" t="str">
        <f t="shared" si="0"/>
        <v>Dedza District [PekKUkKHAzY]|15-24|Female</v>
      </c>
      <c r="F23" s="14" t="str">
        <f>IF(LEFT($B23,4)="_Mil","",INDEX(Cascade!$U:$U,MATCH($E23,Cascade!$E:$E,0)))</f>
        <v/>
      </c>
      <c r="G23" s="14" t="str">
        <f>IFERROR(1/(1/INDEX(HTS!$AT:$AT,MATCH($E23,HTS!$E:$E,0))),"")</f>
        <v/>
      </c>
      <c r="H23" s="14" t="str">
        <f>IF(OR($C23="15-24",$C23="25-34"),IFERROR(1/(1/SUM(SUMIFS(AGYW!$S:$S,AGYW!$B:$B,$B23,AGYW!$C:$C,IF($C23="15-24",{"15-19","20-24"},{"25-29"}),AGYW!$D:$D,$D23))),""),"")</f>
        <v/>
      </c>
      <c r="I23" s="14" t="str">
        <f>IF(OR($C23="15-24",$C23="25-34"),IFERROR(1/(1/SUM(SUMIFS(AGYW!$T:$T,AGYW!$B:$B,$B23,AGYW!$C:$C,IF($C23="15-24",{"15-19","20-24"},{"25-29"}),AGYW!$D:$D,$D23))),""),"")</f>
        <v/>
      </c>
      <c r="J23" s="14"/>
      <c r="K23" s="14"/>
      <c r="L23" s="42" t="str">
        <f t="shared" si="1"/>
        <v/>
      </c>
      <c r="M23" s="14"/>
      <c r="N23" s="14"/>
      <c r="O23" s="42" t="str">
        <f t="shared" si="2"/>
        <v/>
      </c>
      <c r="P23" s="14">
        <f>2</f>
        <v>2</v>
      </c>
      <c r="Q23" s="42" t="str">
        <f t="shared" si="3"/>
        <v/>
      </c>
    </row>
    <row r="24" spans="1:17" x14ac:dyDescent="0.2">
      <c r="A24" t="str">
        <f>INDEX(Prioritization!$D:$D,MATCH($B24,Prioritization!$A:$A,0))</f>
        <v>1 - Scale-up: Saturation</v>
      </c>
      <c r="B24" t="s">
        <v>194</v>
      </c>
      <c r="C24" t="s">
        <v>364</v>
      </c>
      <c r="D24" t="s">
        <v>47</v>
      </c>
      <c r="E24" t="str">
        <f t="shared" si="0"/>
        <v>Dedza District [PekKUkKHAzY]|15-24|Male</v>
      </c>
      <c r="F24" s="14" t="str">
        <f>IF(LEFT($B24,4)="_Mil","",INDEX(Cascade!$U:$U,MATCH($E24,Cascade!$E:$E,0)))</f>
        <v/>
      </c>
      <c r="G24" s="14" t="str">
        <f>IFERROR(1/(1/INDEX(HTS!$AT:$AT,MATCH($E24,HTS!$E:$E,0))),"")</f>
        <v/>
      </c>
      <c r="H24" s="14" t="str">
        <f>IF(OR($C24="15-24",$C24="25-34"),IFERROR(1/(1/SUM(SUMIFS(AGYW!$S:$S,AGYW!$B:$B,$B24,AGYW!$C:$C,IF($C24="15-24",{"15-19","20-24"},{"25-29"}),AGYW!$D:$D,$D24))),""),"")</f>
        <v/>
      </c>
      <c r="I24" s="14" t="str">
        <f>IF(OR($C24="15-24",$C24="25-34"),IFERROR(1/(1/SUM(SUMIFS(AGYW!$T:$T,AGYW!$B:$B,$B24,AGYW!$C:$C,IF($C24="15-24",{"15-19","20-24"},{"25-29"}),AGYW!$D:$D,$D24))),""),"")</f>
        <v/>
      </c>
      <c r="J24" s="14"/>
      <c r="K24" s="14"/>
      <c r="L24" s="42" t="str">
        <f t="shared" si="1"/>
        <v/>
      </c>
      <c r="M24" s="14"/>
      <c r="N24" s="14"/>
      <c r="O24" s="42" t="str">
        <f t="shared" si="2"/>
        <v/>
      </c>
      <c r="P24" s="14">
        <f>2</f>
        <v>2</v>
      </c>
      <c r="Q24" s="42" t="str">
        <f t="shared" si="3"/>
        <v/>
      </c>
    </row>
    <row r="25" spans="1:17" x14ac:dyDescent="0.2">
      <c r="A25" t="str">
        <f>INDEX(Prioritization!$D:$D,MATCH($B25,Prioritization!$A:$A,0))</f>
        <v>1 - Scale-up: Saturation</v>
      </c>
      <c r="B25" t="s">
        <v>194</v>
      </c>
      <c r="C25" t="s">
        <v>365</v>
      </c>
      <c r="D25" t="s">
        <v>29</v>
      </c>
      <c r="E25" t="str">
        <f t="shared" si="0"/>
        <v>Dedza District [PekKUkKHAzY]|25-34|Female</v>
      </c>
      <c r="F25" s="14" t="str">
        <f>IF(LEFT($B25,4)="_Mil","",INDEX(Cascade!$U:$U,MATCH($E25,Cascade!$E:$E,0)))</f>
        <v/>
      </c>
      <c r="G25" s="14" t="str">
        <f>IFERROR(1/(1/INDEX(HTS!$AT:$AT,MATCH($E25,HTS!$E:$E,0))),"")</f>
        <v/>
      </c>
      <c r="H25" s="14" t="str">
        <f>IF(OR($C25="15-24",$C25="25-34"),IFERROR(1/(1/SUM(SUMIFS(AGYW!$S:$S,AGYW!$B:$B,$B25,AGYW!$C:$C,IF($C25="15-24",{"15-19","20-24"},{"25-29"}),AGYW!$D:$D,$D25))),""),"")</f>
        <v/>
      </c>
      <c r="I25" s="14" t="str">
        <f>IF(OR($C25="15-24",$C25="25-34"),IFERROR(1/(1/SUM(SUMIFS(AGYW!$T:$T,AGYW!$B:$B,$B25,AGYW!$C:$C,IF($C25="15-24",{"15-19","20-24"},{"25-29"}),AGYW!$D:$D,$D25))),""),"")</f>
        <v/>
      </c>
      <c r="J25" s="14"/>
      <c r="K25" s="14"/>
      <c r="L25" s="42" t="str">
        <f t="shared" si="1"/>
        <v/>
      </c>
      <c r="M25" s="14"/>
      <c r="N25" s="14"/>
      <c r="O25" s="42" t="str">
        <f t="shared" si="2"/>
        <v/>
      </c>
      <c r="P25" s="14">
        <f>2</f>
        <v>2</v>
      </c>
      <c r="Q25" s="42" t="str">
        <f t="shared" si="3"/>
        <v/>
      </c>
    </row>
    <row r="26" spans="1:17" x14ac:dyDescent="0.2">
      <c r="A26" t="str">
        <f>INDEX(Prioritization!$D:$D,MATCH($B26,Prioritization!$A:$A,0))</f>
        <v>1 - Scale-up: Saturation</v>
      </c>
      <c r="B26" t="s">
        <v>194</v>
      </c>
      <c r="C26" t="s">
        <v>365</v>
      </c>
      <c r="D26" t="s">
        <v>47</v>
      </c>
      <c r="E26" t="str">
        <f t="shared" si="0"/>
        <v>Dedza District [PekKUkKHAzY]|25-34|Male</v>
      </c>
      <c r="F26" s="14" t="str">
        <f>IF(LEFT($B26,4)="_Mil","",INDEX(Cascade!$U:$U,MATCH($E26,Cascade!$E:$E,0)))</f>
        <v/>
      </c>
      <c r="G26" s="14" t="str">
        <f>IFERROR(1/(1/INDEX(HTS!$AT:$AT,MATCH($E26,HTS!$E:$E,0))),"")</f>
        <v/>
      </c>
      <c r="H26" s="14" t="str">
        <f>IF(OR($C26="15-24",$C26="25-34"),IFERROR(1/(1/SUM(SUMIFS(AGYW!$S:$S,AGYW!$B:$B,$B26,AGYW!$C:$C,IF($C26="15-24",{"15-19","20-24"},{"25-29"}),AGYW!$D:$D,$D26))),""),"")</f>
        <v/>
      </c>
      <c r="I26" s="14" t="str">
        <f>IF(OR($C26="15-24",$C26="25-34"),IFERROR(1/(1/SUM(SUMIFS(AGYW!$T:$T,AGYW!$B:$B,$B26,AGYW!$C:$C,IF($C26="15-24",{"15-19","20-24"},{"25-29"}),AGYW!$D:$D,$D26))),""),"")</f>
        <v/>
      </c>
      <c r="J26" s="14"/>
      <c r="K26" s="14"/>
      <c r="L26" s="42" t="str">
        <f t="shared" si="1"/>
        <v/>
      </c>
      <c r="M26" s="14"/>
      <c r="N26" s="14"/>
      <c r="O26" s="42" t="str">
        <f t="shared" si="2"/>
        <v/>
      </c>
      <c r="P26" s="14">
        <f>2</f>
        <v>2</v>
      </c>
      <c r="Q26" s="42" t="str">
        <f t="shared" si="3"/>
        <v/>
      </c>
    </row>
    <row r="27" spans="1:17" x14ac:dyDescent="0.2">
      <c r="A27" t="str">
        <f>INDEX(Prioritization!$D:$D,MATCH($B27,Prioritization!$A:$A,0))</f>
        <v>1 - Scale-up: Saturation</v>
      </c>
      <c r="B27" t="s">
        <v>194</v>
      </c>
      <c r="C27" t="s">
        <v>366</v>
      </c>
      <c r="D27" t="s">
        <v>29</v>
      </c>
      <c r="E27" t="str">
        <f t="shared" si="0"/>
        <v>Dedza District [PekKUkKHAzY]|35-49|Female</v>
      </c>
      <c r="F27" s="14" t="str">
        <f>IF(LEFT($B27,4)="_Mil","",INDEX(Cascade!$U:$U,MATCH($E27,Cascade!$E:$E,0)))</f>
        <v/>
      </c>
      <c r="G27" s="14" t="str">
        <f>IFERROR(1/(1/INDEX(HTS!$AT:$AT,MATCH($E27,HTS!$E:$E,0))),"")</f>
        <v/>
      </c>
      <c r="H27" s="14" t="str">
        <f>IF(OR($C27="15-24",$C27="25-34"),IFERROR(1/(1/SUM(SUMIFS(AGYW!$S:$S,AGYW!$B:$B,$B27,AGYW!$C:$C,IF($C27="15-24",{"15-19","20-24"},{"25-29"}),AGYW!$D:$D,$D27))),""),"")</f>
        <v/>
      </c>
      <c r="I27" s="14" t="str">
        <f>IF(OR($C27="15-24",$C27="25-34"),IFERROR(1/(1/SUM(SUMIFS(AGYW!$T:$T,AGYW!$B:$B,$B27,AGYW!$C:$C,IF($C27="15-24",{"15-19","20-24"},{"25-29"}),AGYW!$D:$D,$D27))),""),"")</f>
        <v/>
      </c>
      <c r="J27" s="14"/>
      <c r="K27" s="14"/>
      <c r="L27" s="42" t="str">
        <f t="shared" si="1"/>
        <v/>
      </c>
      <c r="M27" s="14"/>
      <c r="N27" s="14"/>
      <c r="O27" s="42" t="str">
        <f t="shared" si="2"/>
        <v/>
      </c>
      <c r="P27" s="14">
        <f>2</f>
        <v>2</v>
      </c>
      <c r="Q27" s="42" t="str">
        <f t="shared" si="3"/>
        <v/>
      </c>
    </row>
    <row r="28" spans="1:17" x14ac:dyDescent="0.2">
      <c r="A28" t="str">
        <f>INDEX(Prioritization!$D:$D,MATCH($B28,Prioritization!$A:$A,0))</f>
        <v>1 - Scale-up: Saturation</v>
      </c>
      <c r="B28" t="s">
        <v>194</v>
      </c>
      <c r="C28" t="s">
        <v>366</v>
      </c>
      <c r="D28" t="s">
        <v>47</v>
      </c>
      <c r="E28" t="str">
        <f t="shared" si="0"/>
        <v>Dedza District [PekKUkKHAzY]|35-49|Male</v>
      </c>
      <c r="F28" s="14" t="str">
        <f>IF(LEFT($B28,4)="_Mil","",INDEX(Cascade!$U:$U,MATCH($E28,Cascade!$E:$E,0)))</f>
        <v/>
      </c>
      <c r="G28" s="14" t="str">
        <f>IFERROR(1/(1/INDEX(HTS!$AT:$AT,MATCH($E28,HTS!$E:$E,0))),"")</f>
        <v/>
      </c>
      <c r="H28" s="14" t="str">
        <f>IF(OR($C28="15-24",$C28="25-34"),IFERROR(1/(1/SUM(SUMIFS(AGYW!$S:$S,AGYW!$B:$B,$B28,AGYW!$C:$C,IF($C28="15-24",{"15-19","20-24"},{"25-29"}),AGYW!$D:$D,$D28))),""),"")</f>
        <v/>
      </c>
      <c r="I28" s="14" t="str">
        <f>IF(OR($C28="15-24",$C28="25-34"),IFERROR(1/(1/SUM(SUMIFS(AGYW!$T:$T,AGYW!$B:$B,$B28,AGYW!$C:$C,IF($C28="15-24",{"15-19","20-24"},{"25-29"}),AGYW!$D:$D,$D28))),""),"")</f>
        <v/>
      </c>
      <c r="J28" s="14"/>
      <c r="K28" s="14"/>
      <c r="L28" s="42" t="str">
        <f t="shared" si="1"/>
        <v/>
      </c>
      <c r="M28" s="14"/>
      <c r="N28" s="14"/>
      <c r="O28" s="42" t="str">
        <f t="shared" si="2"/>
        <v/>
      </c>
      <c r="P28" s="14">
        <f>2</f>
        <v>2</v>
      </c>
      <c r="Q28" s="42" t="str">
        <f t="shared" si="3"/>
        <v/>
      </c>
    </row>
    <row r="29" spans="1:17" x14ac:dyDescent="0.2">
      <c r="A29" t="str">
        <f>INDEX(Prioritization!$D:$D,MATCH($B29,Prioritization!$A:$A,0))</f>
        <v>1 - Scale-up: Saturation</v>
      </c>
      <c r="B29" t="s">
        <v>194</v>
      </c>
      <c r="C29" t="s">
        <v>367</v>
      </c>
      <c r="D29" t="s">
        <v>29</v>
      </c>
      <c r="E29" t="str">
        <f t="shared" si="0"/>
        <v>Dedza District [PekKUkKHAzY]|50+|Female</v>
      </c>
      <c r="F29" s="14" t="str">
        <f>IF(LEFT($B29,4)="_Mil","",INDEX(Cascade!$U:$U,MATCH($E29,Cascade!$E:$E,0)))</f>
        <v/>
      </c>
      <c r="G29" s="14" t="str">
        <f>IFERROR(1/(1/INDEX(HTS!$AT:$AT,MATCH($E29,HTS!$E:$E,0))),"")</f>
        <v/>
      </c>
      <c r="H29" s="14" t="str">
        <f>IF(OR($C29="15-24",$C29="25-34"),IFERROR(1/(1/SUM(SUMIFS(AGYW!$S:$S,AGYW!$B:$B,$B29,AGYW!$C:$C,IF($C29="15-24",{"15-19","20-24"},{"25-29"}),AGYW!$D:$D,$D29))),""),"")</f>
        <v/>
      </c>
      <c r="I29" s="14" t="str">
        <f>IF(OR($C29="15-24",$C29="25-34"),IFERROR(1/(1/SUM(SUMIFS(AGYW!$T:$T,AGYW!$B:$B,$B29,AGYW!$C:$C,IF($C29="15-24",{"15-19","20-24"},{"25-29"}),AGYW!$D:$D,$D29))),""),"")</f>
        <v/>
      </c>
      <c r="J29" s="14"/>
      <c r="K29" s="14"/>
      <c r="L29" s="42" t="str">
        <f t="shared" si="1"/>
        <v/>
      </c>
      <c r="M29" s="14"/>
      <c r="N29" s="14"/>
      <c r="O29" s="42" t="str">
        <f t="shared" si="2"/>
        <v/>
      </c>
      <c r="P29" s="14">
        <f>2</f>
        <v>2</v>
      </c>
      <c r="Q29" s="42" t="str">
        <f t="shared" si="3"/>
        <v/>
      </c>
    </row>
    <row r="30" spans="1:17" x14ac:dyDescent="0.2">
      <c r="A30" t="str">
        <f>INDEX(Prioritization!$D:$D,MATCH($B30,Prioritization!$A:$A,0))</f>
        <v>1 - Scale-up: Saturation</v>
      </c>
      <c r="B30" t="s">
        <v>194</v>
      </c>
      <c r="C30" t="s">
        <v>367</v>
      </c>
      <c r="D30" t="s">
        <v>47</v>
      </c>
      <c r="E30" t="str">
        <f t="shared" si="0"/>
        <v>Dedza District [PekKUkKHAzY]|50+|Male</v>
      </c>
      <c r="F30" s="14" t="str">
        <f>IF(LEFT($B30,4)="_Mil","",INDEX(Cascade!$U:$U,MATCH($E30,Cascade!$E:$E,0)))</f>
        <v/>
      </c>
      <c r="G30" s="14" t="str">
        <f>IFERROR(1/(1/INDEX(HTS!$AT:$AT,MATCH($E30,HTS!$E:$E,0))),"")</f>
        <v/>
      </c>
      <c r="H30" s="14" t="str">
        <f>IF(OR($C30="15-24",$C30="25-34"),IFERROR(1/(1/SUM(SUMIFS(AGYW!$S:$S,AGYW!$B:$B,$B30,AGYW!$C:$C,IF($C30="15-24",{"15-19","20-24"},{"25-29"}),AGYW!$D:$D,$D30))),""),"")</f>
        <v/>
      </c>
      <c r="I30" s="14" t="str">
        <f>IF(OR($C30="15-24",$C30="25-34"),IFERROR(1/(1/SUM(SUMIFS(AGYW!$T:$T,AGYW!$B:$B,$B30,AGYW!$C:$C,IF($C30="15-24",{"15-19","20-24"},{"25-29"}),AGYW!$D:$D,$D30))),""),"")</f>
        <v/>
      </c>
      <c r="J30" s="14"/>
      <c r="K30" s="14"/>
      <c r="L30" s="42" t="str">
        <f t="shared" si="1"/>
        <v/>
      </c>
      <c r="M30" s="14"/>
      <c r="N30" s="14"/>
      <c r="O30" s="42" t="str">
        <f t="shared" si="2"/>
        <v/>
      </c>
      <c r="P30" s="14">
        <f>2</f>
        <v>2</v>
      </c>
      <c r="Q30" s="42" t="str">
        <f t="shared" si="3"/>
        <v/>
      </c>
    </row>
    <row r="31" spans="1:17" x14ac:dyDescent="0.2">
      <c r="A31" t="str">
        <f>INDEX(Prioritization!$D:$D,MATCH($B31,Prioritization!$A:$A,0))</f>
        <v>1 - Scale-up: Saturation</v>
      </c>
      <c r="B31" t="s">
        <v>195</v>
      </c>
      <c r="C31" t="s">
        <v>364</v>
      </c>
      <c r="D31" t="s">
        <v>29</v>
      </c>
      <c r="E31" t="str">
        <f t="shared" si="0"/>
        <v>Dowa District [zphK9WV8JB4]|15-24|Female</v>
      </c>
      <c r="F31" s="14" t="str">
        <f>IF(LEFT($B31,4)="_Mil","",INDEX(Cascade!$U:$U,MATCH($E31,Cascade!$E:$E,0)))</f>
        <v/>
      </c>
      <c r="G31" s="14" t="str">
        <f>IFERROR(1/(1/INDEX(HTS!$AT:$AT,MATCH($E31,HTS!$E:$E,0))),"")</f>
        <v/>
      </c>
      <c r="H31" s="14" t="str">
        <f>IF(OR($C31="15-24",$C31="25-34"),IFERROR(1/(1/SUM(SUMIFS(AGYW!$S:$S,AGYW!$B:$B,$B31,AGYW!$C:$C,IF($C31="15-24",{"15-19","20-24"},{"25-29"}),AGYW!$D:$D,$D31))),""),"")</f>
        <v/>
      </c>
      <c r="I31" s="14" t="str">
        <f>IF(OR($C31="15-24",$C31="25-34"),IFERROR(1/(1/SUM(SUMIFS(AGYW!$T:$T,AGYW!$B:$B,$B31,AGYW!$C:$C,IF($C31="15-24",{"15-19","20-24"},{"25-29"}),AGYW!$D:$D,$D31))),""),"")</f>
        <v/>
      </c>
      <c r="J31" s="14"/>
      <c r="K31" s="14"/>
      <c r="L31" s="42" t="str">
        <f t="shared" si="1"/>
        <v/>
      </c>
      <c r="M31" s="14"/>
      <c r="N31" s="14"/>
      <c r="O31" s="42" t="str">
        <f t="shared" si="2"/>
        <v/>
      </c>
      <c r="P31" s="14">
        <f>2</f>
        <v>2</v>
      </c>
      <c r="Q31" s="42" t="str">
        <f t="shared" si="3"/>
        <v/>
      </c>
    </row>
    <row r="32" spans="1:17" x14ac:dyDescent="0.2">
      <c r="A32" t="str">
        <f>INDEX(Prioritization!$D:$D,MATCH($B32,Prioritization!$A:$A,0))</f>
        <v>1 - Scale-up: Saturation</v>
      </c>
      <c r="B32" t="s">
        <v>195</v>
      </c>
      <c r="C32" t="s">
        <v>364</v>
      </c>
      <c r="D32" t="s">
        <v>47</v>
      </c>
      <c r="E32" t="str">
        <f t="shared" si="0"/>
        <v>Dowa District [zphK9WV8JB4]|15-24|Male</v>
      </c>
      <c r="F32" s="14" t="str">
        <f>IF(LEFT($B32,4)="_Mil","",INDEX(Cascade!$U:$U,MATCH($E32,Cascade!$E:$E,0)))</f>
        <v/>
      </c>
      <c r="G32" s="14" t="str">
        <f>IFERROR(1/(1/INDEX(HTS!$AT:$AT,MATCH($E32,HTS!$E:$E,0))),"")</f>
        <v/>
      </c>
      <c r="H32" s="14" t="str">
        <f>IF(OR($C32="15-24",$C32="25-34"),IFERROR(1/(1/SUM(SUMIFS(AGYW!$S:$S,AGYW!$B:$B,$B32,AGYW!$C:$C,IF($C32="15-24",{"15-19","20-24"},{"25-29"}),AGYW!$D:$D,$D32))),""),"")</f>
        <v/>
      </c>
      <c r="I32" s="14" t="str">
        <f>IF(OR($C32="15-24",$C32="25-34"),IFERROR(1/(1/SUM(SUMIFS(AGYW!$T:$T,AGYW!$B:$B,$B32,AGYW!$C:$C,IF($C32="15-24",{"15-19","20-24"},{"25-29"}),AGYW!$D:$D,$D32))),""),"")</f>
        <v/>
      </c>
      <c r="J32" s="14"/>
      <c r="K32" s="14"/>
      <c r="L32" s="42" t="str">
        <f t="shared" si="1"/>
        <v/>
      </c>
      <c r="M32" s="14"/>
      <c r="N32" s="14"/>
      <c r="O32" s="42" t="str">
        <f t="shared" si="2"/>
        <v/>
      </c>
      <c r="P32" s="14">
        <f>2</f>
        <v>2</v>
      </c>
      <c r="Q32" s="42" t="str">
        <f t="shared" si="3"/>
        <v/>
      </c>
    </row>
    <row r="33" spans="1:17" x14ac:dyDescent="0.2">
      <c r="A33" t="str">
        <f>INDEX(Prioritization!$D:$D,MATCH($B33,Prioritization!$A:$A,0))</f>
        <v>1 - Scale-up: Saturation</v>
      </c>
      <c r="B33" t="s">
        <v>195</v>
      </c>
      <c r="C33" t="s">
        <v>365</v>
      </c>
      <c r="D33" t="s">
        <v>29</v>
      </c>
      <c r="E33" t="str">
        <f t="shared" si="0"/>
        <v>Dowa District [zphK9WV8JB4]|25-34|Female</v>
      </c>
      <c r="F33" s="14" t="str">
        <f>IF(LEFT($B33,4)="_Mil","",INDEX(Cascade!$U:$U,MATCH($E33,Cascade!$E:$E,0)))</f>
        <v/>
      </c>
      <c r="G33" s="14" t="str">
        <f>IFERROR(1/(1/INDEX(HTS!$AT:$AT,MATCH($E33,HTS!$E:$E,0))),"")</f>
        <v/>
      </c>
      <c r="H33" s="14" t="str">
        <f>IF(OR($C33="15-24",$C33="25-34"),IFERROR(1/(1/SUM(SUMIFS(AGYW!$S:$S,AGYW!$B:$B,$B33,AGYW!$C:$C,IF($C33="15-24",{"15-19","20-24"},{"25-29"}),AGYW!$D:$D,$D33))),""),"")</f>
        <v/>
      </c>
      <c r="I33" s="14" t="str">
        <f>IF(OR($C33="15-24",$C33="25-34"),IFERROR(1/(1/SUM(SUMIFS(AGYW!$T:$T,AGYW!$B:$B,$B33,AGYW!$C:$C,IF($C33="15-24",{"15-19","20-24"},{"25-29"}),AGYW!$D:$D,$D33))),""),"")</f>
        <v/>
      </c>
      <c r="J33" s="14"/>
      <c r="K33" s="14"/>
      <c r="L33" s="42" t="str">
        <f t="shared" si="1"/>
        <v/>
      </c>
      <c r="M33" s="14"/>
      <c r="N33" s="14"/>
      <c r="O33" s="42" t="str">
        <f t="shared" si="2"/>
        <v/>
      </c>
      <c r="P33" s="14">
        <f>2</f>
        <v>2</v>
      </c>
      <c r="Q33" s="42" t="str">
        <f t="shared" si="3"/>
        <v/>
      </c>
    </row>
    <row r="34" spans="1:17" x14ac:dyDescent="0.2">
      <c r="A34" t="str">
        <f>INDEX(Prioritization!$D:$D,MATCH($B34,Prioritization!$A:$A,0))</f>
        <v>1 - Scale-up: Saturation</v>
      </c>
      <c r="B34" t="s">
        <v>195</v>
      </c>
      <c r="C34" t="s">
        <v>365</v>
      </c>
      <c r="D34" t="s">
        <v>47</v>
      </c>
      <c r="E34" t="str">
        <f t="shared" si="0"/>
        <v>Dowa District [zphK9WV8JB4]|25-34|Male</v>
      </c>
      <c r="F34" s="14" t="str">
        <f>IF(LEFT($B34,4)="_Mil","",INDEX(Cascade!$U:$U,MATCH($E34,Cascade!$E:$E,0)))</f>
        <v/>
      </c>
      <c r="G34" s="14" t="str">
        <f>IFERROR(1/(1/INDEX(HTS!$AT:$AT,MATCH($E34,HTS!$E:$E,0))),"")</f>
        <v/>
      </c>
      <c r="H34" s="14" t="str">
        <f>IF(OR($C34="15-24",$C34="25-34"),IFERROR(1/(1/SUM(SUMIFS(AGYW!$S:$S,AGYW!$B:$B,$B34,AGYW!$C:$C,IF($C34="15-24",{"15-19","20-24"},{"25-29"}),AGYW!$D:$D,$D34))),""),"")</f>
        <v/>
      </c>
      <c r="I34" s="14" t="str">
        <f>IF(OR($C34="15-24",$C34="25-34"),IFERROR(1/(1/SUM(SUMIFS(AGYW!$T:$T,AGYW!$B:$B,$B34,AGYW!$C:$C,IF($C34="15-24",{"15-19","20-24"},{"25-29"}),AGYW!$D:$D,$D34))),""),"")</f>
        <v/>
      </c>
      <c r="J34" s="14"/>
      <c r="K34" s="14"/>
      <c r="L34" s="42" t="str">
        <f t="shared" si="1"/>
        <v/>
      </c>
      <c r="M34" s="14"/>
      <c r="N34" s="14"/>
      <c r="O34" s="42" t="str">
        <f t="shared" si="2"/>
        <v/>
      </c>
      <c r="P34" s="14">
        <f>2</f>
        <v>2</v>
      </c>
      <c r="Q34" s="42" t="str">
        <f t="shared" si="3"/>
        <v/>
      </c>
    </row>
    <row r="35" spans="1:17" x14ac:dyDescent="0.2">
      <c r="A35" t="str">
        <f>INDEX(Prioritization!$D:$D,MATCH($B35,Prioritization!$A:$A,0))</f>
        <v>1 - Scale-up: Saturation</v>
      </c>
      <c r="B35" t="s">
        <v>195</v>
      </c>
      <c r="C35" t="s">
        <v>366</v>
      </c>
      <c r="D35" t="s">
        <v>29</v>
      </c>
      <c r="E35" t="str">
        <f t="shared" si="0"/>
        <v>Dowa District [zphK9WV8JB4]|35-49|Female</v>
      </c>
      <c r="F35" s="14" t="str">
        <f>IF(LEFT($B35,4)="_Mil","",INDEX(Cascade!$U:$U,MATCH($E35,Cascade!$E:$E,0)))</f>
        <v/>
      </c>
      <c r="G35" s="14" t="str">
        <f>IFERROR(1/(1/INDEX(HTS!$AT:$AT,MATCH($E35,HTS!$E:$E,0))),"")</f>
        <v/>
      </c>
      <c r="H35" s="14" t="str">
        <f>IF(OR($C35="15-24",$C35="25-34"),IFERROR(1/(1/SUM(SUMIFS(AGYW!$S:$S,AGYW!$B:$B,$B35,AGYW!$C:$C,IF($C35="15-24",{"15-19","20-24"},{"25-29"}),AGYW!$D:$D,$D35))),""),"")</f>
        <v/>
      </c>
      <c r="I35" s="14" t="str">
        <f>IF(OR($C35="15-24",$C35="25-34"),IFERROR(1/(1/SUM(SUMIFS(AGYW!$T:$T,AGYW!$B:$B,$B35,AGYW!$C:$C,IF($C35="15-24",{"15-19","20-24"},{"25-29"}),AGYW!$D:$D,$D35))),""),"")</f>
        <v/>
      </c>
      <c r="J35" s="14"/>
      <c r="K35" s="14"/>
      <c r="L35" s="42" t="str">
        <f t="shared" si="1"/>
        <v/>
      </c>
      <c r="M35" s="14"/>
      <c r="N35" s="14"/>
      <c r="O35" s="42" t="str">
        <f t="shared" si="2"/>
        <v/>
      </c>
      <c r="P35" s="14">
        <f>2</f>
        <v>2</v>
      </c>
      <c r="Q35" s="42" t="str">
        <f t="shared" si="3"/>
        <v/>
      </c>
    </row>
    <row r="36" spans="1:17" x14ac:dyDescent="0.2">
      <c r="A36" t="str">
        <f>INDEX(Prioritization!$D:$D,MATCH($B36,Prioritization!$A:$A,0))</f>
        <v>1 - Scale-up: Saturation</v>
      </c>
      <c r="B36" t="s">
        <v>195</v>
      </c>
      <c r="C36" t="s">
        <v>366</v>
      </c>
      <c r="D36" t="s">
        <v>47</v>
      </c>
      <c r="E36" t="str">
        <f t="shared" si="0"/>
        <v>Dowa District [zphK9WV8JB4]|35-49|Male</v>
      </c>
      <c r="F36" s="14" t="str">
        <f>IF(LEFT($B36,4)="_Mil","",INDEX(Cascade!$U:$U,MATCH($E36,Cascade!$E:$E,0)))</f>
        <v/>
      </c>
      <c r="G36" s="14" t="str">
        <f>IFERROR(1/(1/INDEX(HTS!$AT:$AT,MATCH($E36,HTS!$E:$E,0))),"")</f>
        <v/>
      </c>
      <c r="H36" s="14" t="str">
        <f>IF(OR($C36="15-24",$C36="25-34"),IFERROR(1/(1/SUM(SUMIFS(AGYW!$S:$S,AGYW!$B:$B,$B36,AGYW!$C:$C,IF($C36="15-24",{"15-19","20-24"},{"25-29"}),AGYW!$D:$D,$D36))),""),"")</f>
        <v/>
      </c>
      <c r="I36" s="14" t="str">
        <f>IF(OR($C36="15-24",$C36="25-34"),IFERROR(1/(1/SUM(SUMIFS(AGYW!$T:$T,AGYW!$B:$B,$B36,AGYW!$C:$C,IF($C36="15-24",{"15-19","20-24"},{"25-29"}),AGYW!$D:$D,$D36))),""),"")</f>
        <v/>
      </c>
      <c r="J36" s="14"/>
      <c r="K36" s="14"/>
      <c r="L36" s="42" t="str">
        <f t="shared" si="1"/>
        <v/>
      </c>
      <c r="M36" s="14"/>
      <c r="N36" s="14"/>
      <c r="O36" s="42" t="str">
        <f t="shared" si="2"/>
        <v/>
      </c>
      <c r="P36" s="14">
        <f>2</f>
        <v>2</v>
      </c>
      <c r="Q36" s="42" t="str">
        <f t="shared" si="3"/>
        <v/>
      </c>
    </row>
    <row r="37" spans="1:17" x14ac:dyDescent="0.2">
      <c r="A37" t="str">
        <f>INDEX(Prioritization!$D:$D,MATCH($B37,Prioritization!$A:$A,0))</f>
        <v>1 - Scale-up: Saturation</v>
      </c>
      <c r="B37" t="s">
        <v>195</v>
      </c>
      <c r="C37" t="s">
        <v>367</v>
      </c>
      <c r="D37" t="s">
        <v>29</v>
      </c>
      <c r="E37" t="str">
        <f t="shared" si="0"/>
        <v>Dowa District [zphK9WV8JB4]|50+|Female</v>
      </c>
      <c r="F37" s="14" t="str">
        <f>IF(LEFT($B37,4)="_Mil","",INDEX(Cascade!$U:$U,MATCH($E37,Cascade!$E:$E,0)))</f>
        <v/>
      </c>
      <c r="G37" s="14" t="str">
        <f>IFERROR(1/(1/INDEX(HTS!$AT:$AT,MATCH($E37,HTS!$E:$E,0))),"")</f>
        <v/>
      </c>
      <c r="H37" s="14" t="str">
        <f>IF(OR($C37="15-24",$C37="25-34"),IFERROR(1/(1/SUM(SUMIFS(AGYW!$S:$S,AGYW!$B:$B,$B37,AGYW!$C:$C,IF($C37="15-24",{"15-19","20-24"},{"25-29"}),AGYW!$D:$D,$D37))),""),"")</f>
        <v/>
      </c>
      <c r="I37" s="14" t="str">
        <f>IF(OR($C37="15-24",$C37="25-34"),IFERROR(1/(1/SUM(SUMIFS(AGYW!$T:$T,AGYW!$B:$B,$B37,AGYW!$C:$C,IF($C37="15-24",{"15-19","20-24"},{"25-29"}),AGYW!$D:$D,$D37))),""),"")</f>
        <v/>
      </c>
      <c r="J37" s="14"/>
      <c r="K37" s="14"/>
      <c r="L37" s="42" t="str">
        <f t="shared" si="1"/>
        <v/>
      </c>
      <c r="M37" s="14"/>
      <c r="N37" s="14"/>
      <c r="O37" s="42" t="str">
        <f t="shared" si="2"/>
        <v/>
      </c>
      <c r="P37" s="14">
        <f>2</f>
        <v>2</v>
      </c>
      <c r="Q37" s="42" t="str">
        <f t="shared" si="3"/>
        <v/>
      </c>
    </row>
    <row r="38" spans="1:17" x14ac:dyDescent="0.2">
      <c r="A38" t="str">
        <f>INDEX(Prioritization!$D:$D,MATCH($B38,Prioritization!$A:$A,0))</f>
        <v>1 - Scale-up: Saturation</v>
      </c>
      <c r="B38" t="s">
        <v>195</v>
      </c>
      <c r="C38" t="s">
        <v>367</v>
      </c>
      <c r="D38" t="s">
        <v>47</v>
      </c>
      <c r="E38" t="str">
        <f t="shared" si="0"/>
        <v>Dowa District [zphK9WV8JB4]|50+|Male</v>
      </c>
      <c r="F38" s="14" t="str">
        <f>IF(LEFT($B38,4)="_Mil","",INDEX(Cascade!$U:$U,MATCH($E38,Cascade!$E:$E,0)))</f>
        <v/>
      </c>
      <c r="G38" s="14" t="str">
        <f>IFERROR(1/(1/INDEX(HTS!$AT:$AT,MATCH($E38,HTS!$E:$E,0))),"")</f>
        <v/>
      </c>
      <c r="H38" s="14" t="str">
        <f>IF(OR($C38="15-24",$C38="25-34"),IFERROR(1/(1/SUM(SUMIFS(AGYW!$S:$S,AGYW!$B:$B,$B38,AGYW!$C:$C,IF($C38="15-24",{"15-19","20-24"},{"25-29"}),AGYW!$D:$D,$D38))),""),"")</f>
        <v/>
      </c>
      <c r="I38" s="14" t="str">
        <f>IF(OR($C38="15-24",$C38="25-34"),IFERROR(1/(1/SUM(SUMIFS(AGYW!$T:$T,AGYW!$B:$B,$B38,AGYW!$C:$C,IF($C38="15-24",{"15-19","20-24"},{"25-29"}),AGYW!$D:$D,$D38))),""),"")</f>
        <v/>
      </c>
      <c r="J38" s="14"/>
      <c r="K38" s="14"/>
      <c r="L38" s="42" t="str">
        <f t="shared" si="1"/>
        <v/>
      </c>
      <c r="M38" s="14"/>
      <c r="N38" s="14"/>
      <c r="O38" s="42" t="str">
        <f t="shared" si="2"/>
        <v/>
      </c>
      <c r="P38" s="14">
        <f>2</f>
        <v>2</v>
      </c>
      <c r="Q38" s="42" t="str">
        <f t="shared" si="3"/>
        <v/>
      </c>
    </row>
    <row r="39" spans="1:17" x14ac:dyDescent="0.2">
      <c r="A39" t="str">
        <f>INDEX(Prioritization!$D:$D,MATCH($B39,Prioritization!$A:$A,0))</f>
        <v>INVALID</v>
      </c>
      <c r="B39" t="s">
        <v>196</v>
      </c>
      <c r="C39" t="s">
        <v>364</v>
      </c>
      <c r="D39" t="s">
        <v>29</v>
      </c>
      <c r="E39" t="str">
        <f t="shared" si="0"/>
        <v>Kasungu District [JQKLKuVuY61]|15-24|Female</v>
      </c>
      <c r="F39" s="14" t="str">
        <f>IF(LEFT($B39,4)="_Mil","",INDEX(Cascade!$U:$U,MATCH($E39,Cascade!$E:$E,0)))</f>
        <v/>
      </c>
      <c r="G39" s="14" t="str">
        <f>IFERROR(1/(1/INDEX(HTS!$AT:$AT,MATCH($E39,HTS!$E:$E,0))),"")</f>
        <v/>
      </c>
      <c r="H39" s="14" t="str">
        <f>IF(OR($C39="15-24",$C39="25-34"),IFERROR(1/(1/SUM(SUMIFS(AGYW!$S:$S,AGYW!$B:$B,$B39,AGYW!$C:$C,IF($C39="15-24",{"15-19","20-24"},{"25-29"}),AGYW!$D:$D,$D39))),""),"")</f>
        <v/>
      </c>
      <c r="I39" s="14" t="str">
        <f>IF(OR($C39="15-24",$C39="25-34"),IFERROR(1/(1/SUM(SUMIFS(AGYW!$T:$T,AGYW!$B:$B,$B39,AGYW!$C:$C,IF($C39="15-24",{"15-19","20-24"},{"25-29"}),AGYW!$D:$D,$D39))),""),"")</f>
        <v/>
      </c>
      <c r="J39" s="14"/>
      <c r="K39" s="14"/>
      <c r="L39" s="42" t="str">
        <f t="shared" si="1"/>
        <v/>
      </c>
      <c r="M39" s="14"/>
      <c r="N39" s="14"/>
      <c r="O39" s="42" t="str">
        <f t="shared" si="2"/>
        <v/>
      </c>
      <c r="P39" s="14">
        <f>2</f>
        <v>2</v>
      </c>
      <c r="Q39" s="42" t="str">
        <f t="shared" si="3"/>
        <v/>
      </c>
    </row>
    <row r="40" spans="1:17" x14ac:dyDescent="0.2">
      <c r="A40" t="str">
        <f>INDEX(Prioritization!$D:$D,MATCH($B40,Prioritization!$A:$A,0))</f>
        <v>INVALID</v>
      </c>
      <c r="B40" t="s">
        <v>196</v>
      </c>
      <c r="C40" t="s">
        <v>364</v>
      </c>
      <c r="D40" t="s">
        <v>47</v>
      </c>
      <c r="E40" t="str">
        <f t="shared" si="0"/>
        <v>Kasungu District [JQKLKuVuY61]|15-24|Male</v>
      </c>
      <c r="F40" s="14" t="str">
        <f>IF(LEFT($B40,4)="_Mil","",INDEX(Cascade!$U:$U,MATCH($E40,Cascade!$E:$E,0)))</f>
        <v/>
      </c>
      <c r="G40" s="14" t="str">
        <f>IFERROR(1/(1/INDEX(HTS!$AT:$AT,MATCH($E40,HTS!$E:$E,0))),"")</f>
        <v/>
      </c>
      <c r="H40" s="14" t="str">
        <f>IF(OR($C40="15-24",$C40="25-34"),IFERROR(1/(1/SUM(SUMIFS(AGYW!$S:$S,AGYW!$B:$B,$B40,AGYW!$C:$C,IF($C40="15-24",{"15-19","20-24"},{"25-29"}),AGYW!$D:$D,$D40))),""),"")</f>
        <v/>
      </c>
      <c r="I40" s="14" t="str">
        <f>IF(OR($C40="15-24",$C40="25-34"),IFERROR(1/(1/SUM(SUMIFS(AGYW!$T:$T,AGYW!$B:$B,$B40,AGYW!$C:$C,IF($C40="15-24",{"15-19","20-24"},{"25-29"}),AGYW!$D:$D,$D40))),""),"")</f>
        <v/>
      </c>
      <c r="J40" s="14"/>
      <c r="K40" s="14"/>
      <c r="L40" s="42" t="str">
        <f t="shared" si="1"/>
        <v/>
      </c>
      <c r="M40" s="14"/>
      <c r="N40" s="14"/>
      <c r="O40" s="42" t="str">
        <f t="shared" si="2"/>
        <v/>
      </c>
      <c r="P40" s="14">
        <f>2</f>
        <v>2</v>
      </c>
      <c r="Q40" s="42" t="str">
        <f t="shared" si="3"/>
        <v/>
      </c>
    </row>
    <row r="41" spans="1:17" x14ac:dyDescent="0.2">
      <c r="A41" t="str">
        <f>INDEX(Prioritization!$D:$D,MATCH($B41,Prioritization!$A:$A,0))</f>
        <v>INVALID</v>
      </c>
      <c r="B41" t="s">
        <v>196</v>
      </c>
      <c r="C41" t="s">
        <v>365</v>
      </c>
      <c r="D41" t="s">
        <v>29</v>
      </c>
      <c r="E41" t="str">
        <f t="shared" si="0"/>
        <v>Kasungu District [JQKLKuVuY61]|25-34|Female</v>
      </c>
      <c r="F41" s="14" t="str">
        <f>IF(LEFT($B41,4)="_Mil","",INDEX(Cascade!$U:$U,MATCH($E41,Cascade!$E:$E,0)))</f>
        <v/>
      </c>
      <c r="G41" s="14" t="str">
        <f>IFERROR(1/(1/INDEX(HTS!$AT:$AT,MATCH($E41,HTS!$E:$E,0))),"")</f>
        <v/>
      </c>
      <c r="H41" s="14" t="str">
        <f>IF(OR($C41="15-24",$C41="25-34"),IFERROR(1/(1/SUM(SUMIFS(AGYW!$S:$S,AGYW!$B:$B,$B41,AGYW!$C:$C,IF($C41="15-24",{"15-19","20-24"},{"25-29"}),AGYW!$D:$D,$D41))),""),"")</f>
        <v/>
      </c>
      <c r="I41" s="14" t="str">
        <f>IF(OR($C41="15-24",$C41="25-34"),IFERROR(1/(1/SUM(SUMIFS(AGYW!$T:$T,AGYW!$B:$B,$B41,AGYW!$C:$C,IF($C41="15-24",{"15-19","20-24"},{"25-29"}),AGYW!$D:$D,$D41))),""),"")</f>
        <v/>
      </c>
      <c r="J41" s="14"/>
      <c r="K41" s="14"/>
      <c r="L41" s="42" t="str">
        <f t="shared" si="1"/>
        <v/>
      </c>
      <c r="M41" s="14"/>
      <c r="N41" s="14"/>
      <c r="O41" s="42" t="str">
        <f t="shared" si="2"/>
        <v/>
      </c>
      <c r="P41" s="14">
        <f>2</f>
        <v>2</v>
      </c>
      <c r="Q41" s="42" t="str">
        <f t="shared" si="3"/>
        <v/>
      </c>
    </row>
    <row r="42" spans="1:17" x14ac:dyDescent="0.2">
      <c r="A42" t="str">
        <f>INDEX(Prioritization!$D:$D,MATCH($B42,Prioritization!$A:$A,0))</f>
        <v>INVALID</v>
      </c>
      <c r="B42" t="s">
        <v>196</v>
      </c>
      <c r="C42" t="s">
        <v>365</v>
      </c>
      <c r="D42" t="s">
        <v>47</v>
      </c>
      <c r="E42" t="str">
        <f t="shared" si="0"/>
        <v>Kasungu District [JQKLKuVuY61]|25-34|Male</v>
      </c>
      <c r="F42" s="14" t="str">
        <f>IF(LEFT($B42,4)="_Mil","",INDEX(Cascade!$U:$U,MATCH($E42,Cascade!$E:$E,0)))</f>
        <v/>
      </c>
      <c r="G42" s="14" t="str">
        <f>IFERROR(1/(1/INDEX(HTS!$AT:$AT,MATCH($E42,HTS!$E:$E,0))),"")</f>
        <v/>
      </c>
      <c r="H42" s="14" t="str">
        <f>IF(OR($C42="15-24",$C42="25-34"),IFERROR(1/(1/SUM(SUMIFS(AGYW!$S:$S,AGYW!$B:$B,$B42,AGYW!$C:$C,IF($C42="15-24",{"15-19","20-24"},{"25-29"}),AGYW!$D:$D,$D42))),""),"")</f>
        <v/>
      </c>
      <c r="I42" s="14" t="str">
        <f>IF(OR($C42="15-24",$C42="25-34"),IFERROR(1/(1/SUM(SUMIFS(AGYW!$T:$T,AGYW!$B:$B,$B42,AGYW!$C:$C,IF($C42="15-24",{"15-19","20-24"},{"25-29"}),AGYW!$D:$D,$D42))),""),"")</f>
        <v/>
      </c>
      <c r="J42" s="14"/>
      <c r="K42" s="14"/>
      <c r="L42" s="42" t="str">
        <f t="shared" si="1"/>
        <v/>
      </c>
      <c r="M42" s="14"/>
      <c r="N42" s="14"/>
      <c r="O42" s="42" t="str">
        <f t="shared" si="2"/>
        <v/>
      </c>
      <c r="P42" s="14">
        <f>2</f>
        <v>2</v>
      </c>
      <c r="Q42" s="42" t="str">
        <f t="shared" si="3"/>
        <v/>
      </c>
    </row>
    <row r="43" spans="1:17" x14ac:dyDescent="0.2">
      <c r="A43" t="str">
        <f>INDEX(Prioritization!$D:$D,MATCH($B43,Prioritization!$A:$A,0))</f>
        <v>INVALID</v>
      </c>
      <c r="B43" t="s">
        <v>196</v>
      </c>
      <c r="C43" t="s">
        <v>366</v>
      </c>
      <c r="D43" t="s">
        <v>29</v>
      </c>
      <c r="E43" t="str">
        <f t="shared" si="0"/>
        <v>Kasungu District [JQKLKuVuY61]|35-49|Female</v>
      </c>
      <c r="F43" s="14" t="str">
        <f>IF(LEFT($B43,4)="_Mil","",INDEX(Cascade!$U:$U,MATCH($E43,Cascade!$E:$E,0)))</f>
        <v/>
      </c>
      <c r="G43" s="14" t="str">
        <f>IFERROR(1/(1/INDEX(HTS!$AT:$AT,MATCH($E43,HTS!$E:$E,0))),"")</f>
        <v/>
      </c>
      <c r="H43" s="14" t="str">
        <f>IF(OR($C43="15-24",$C43="25-34"),IFERROR(1/(1/SUM(SUMIFS(AGYW!$S:$S,AGYW!$B:$B,$B43,AGYW!$C:$C,IF($C43="15-24",{"15-19","20-24"},{"25-29"}),AGYW!$D:$D,$D43))),""),"")</f>
        <v/>
      </c>
      <c r="I43" s="14" t="str">
        <f>IF(OR($C43="15-24",$C43="25-34"),IFERROR(1/(1/SUM(SUMIFS(AGYW!$T:$T,AGYW!$B:$B,$B43,AGYW!$C:$C,IF($C43="15-24",{"15-19","20-24"},{"25-29"}),AGYW!$D:$D,$D43))),""),"")</f>
        <v/>
      </c>
      <c r="J43" s="14"/>
      <c r="K43" s="14"/>
      <c r="L43" s="42" t="str">
        <f t="shared" si="1"/>
        <v/>
      </c>
      <c r="M43" s="14"/>
      <c r="N43" s="14"/>
      <c r="O43" s="42" t="str">
        <f t="shared" si="2"/>
        <v/>
      </c>
      <c r="P43" s="14">
        <f>2</f>
        <v>2</v>
      </c>
      <c r="Q43" s="42" t="str">
        <f t="shared" si="3"/>
        <v/>
      </c>
    </row>
    <row r="44" spans="1:17" x14ac:dyDescent="0.2">
      <c r="A44" t="str">
        <f>INDEX(Prioritization!$D:$D,MATCH($B44,Prioritization!$A:$A,0))</f>
        <v>INVALID</v>
      </c>
      <c r="B44" t="s">
        <v>196</v>
      </c>
      <c r="C44" t="s">
        <v>366</v>
      </c>
      <c r="D44" t="s">
        <v>47</v>
      </c>
      <c r="E44" t="str">
        <f t="shared" si="0"/>
        <v>Kasungu District [JQKLKuVuY61]|35-49|Male</v>
      </c>
      <c r="F44" s="14" t="str">
        <f>IF(LEFT($B44,4)="_Mil","",INDEX(Cascade!$U:$U,MATCH($E44,Cascade!$E:$E,0)))</f>
        <v/>
      </c>
      <c r="G44" s="14" t="str">
        <f>IFERROR(1/(1/INDEX(HTS!$AT:$AT,MATCH($E44,HTS!$E:$E,0))),"")</f>
        <v/>
      </c>
      <c r="H44" s="14" t="str">
        <f>IF(OR($C44="15-24",$C44="25-34"),IFERROR(1/(1/SUM(SUMIFS(AGYW!$S:$S,AGYW!$B:$B,$B44,AGYW!$C:$C,IF($C44="15-24",{"15-19","20-24"},{"25-29"}),AGYW!$D:$D,$D44))),""),"")</f>
        <v/>
      </c>
      <c r="I44" s="14" t="str">
        <f>IF(OR($C44="15-24",$C44="25-34"),IFERROR(1/(1/SUM(SUMIFS(AGYW!$T:$T,AGYW!$B:$B,$B44,AGYW!$C:$C,IF($C44="15-24",{"15-19","20-24"},{"25-29"}),AGYW!$D:$D,$D44))),""),"")</f>
        <v/>
      </c>
      <c r="J44" s="14"/>
      <c r="K44" s="14"/>
      <c r="L44" s="42" t="str">
        <f t="shared" si="1"/>
        <v/>
      </c>
      <c r="M44" s="14"/>
      <c r="N44" s="14"/>
      <c r="O44" s="42" t="str">
        <f t="shared" si="2"/>
        <v/>
      </c>
      <c r="P44" s="14">
        <f>2</f>
        <v>2</v>
      </c>
      <c r="Q44" s="42" t="str">
        <f t="shared" si="3"/>
        <v/>
      </c>
    </row>
    <row r="45" spans="1:17" x14ac:dyDescent="0.2">
      <c r="A45" t="str">
        <f>INDEX(Prioritization!$D:$D,MATCH($B45,Prioritization!$A:$A,0))</f>
        <v>INVALID</v>
      </c>
      <c r="B45" t="s">
        <v>196</v>
      </c>
      <c r="C45" t="s">
        <v>367</v>
      </c>
      <c r="D45" t="s">
        <v>29</v>
      </c>
      <c r="E45" t="str">
        <f t="shared" si="0"/>
        <v>Kasungu District [JQKLKuVuY61]|50+|Female</v>
      </c>
      <c r="F45" s="14" t="str">
        <f>IF(LEFT($B45,4)="_Mil","",INDEX(Cascade!$U:$U,MATCH($E45,Cascade!$E:$E,0)))</f>
        <v/>
      </c>
      <c r="G45" s="14" t="str">
        <f>IFERROR(1/(1/INDEX(HTS!$AT:$AT,MATCH($E45,HTS!$E:$E,0))),"")</f>
        <v/>
      </c>
      <c r="H45" s="14" t="str">
        <f>IF(OR($C45="15-24",$C45="25-34"),IFERROR(1/(1/SUM(SUMIFS(AGYW!$S:$S,AGYW!$B:$B,$B45,AGYW!$C:$C,IF($C45="15-24",{"15-19","20-24"},{"25-29"}),AGYW!$D:$D,$D45))),""),"")</f>
        <v/>
      </c>
      <c r="I45" s="14" t="str">
        <f>IF(OR($C45="15-24",$C45="25-34"),IFERROR(1/(1/SUM(SUMIFS(AGYW!$T:$T,AGYW!$B:$B,$B45,AGYW!$C:$C,IF($C45="15-24",{"15-19","20-24"},{"25-29"}),AGYW!$D:$D,$D45))),""),"")</f>
        <v/>
      </c>
      <c r="J45" s="14"/>
      <c r="K45" s="14"/>
      <c r="L45" s="42" t="str">
        <f t="shared" si="1"/>
        <v/>
      </c>
      <c r="M45" s="14"/>
      <c r="N45" s="14"/>
      <c r="O45" s="42" t="str">
        <f t="shared" si="2"/>
        <v/>
      </c>
      <c r="P45" s="14">
        <f>2</f>
        <v>2</v>
      </c>
      <c r="Q45" s="42" t="str">
        <f t="shared" si="3"/>
        <v/>
      </c>
    </row>
    <row r="46" spans="1:17" x14ac:dyDescent="0.2">
      <c r="A46" t="str">
        <f>INDEX(Prioritization!$D:$D,MATCH($B46,Prioritization!$A:$A,0))</f>
        <v>INVALID</v>
      </c>
      <c r="B46" t="s">
        <v>196</v>
      </c>
      <c r="C46" t="s">
        <v>367</v>
      </c>
      <c r="D46" t="s">
        <v>47</v>
      </c>
      <c r="E46" t="str">
        <f t="shared" si="0"/>
        <v>Kasungu District [JQKLKuVuY61]|50+|Male</v>
      </c>
      <c r="F46" s="14" t="str">
        <f>IF(LEFT($B46,4)="_Mil","",INDEX(Cascade!$U:$U,MATCH($E46,Cascade!$E:$E,0)))</f>
        <v/>
      </c>
      <c r="G46" s="14" t="str">
        <f>IFERROR(1/(1/INDEX(HTS!$AT:$AT,MATCH($E46,HTS!$E:$E,0))),"")</f>
        <v/>
      </c>
      <c r="H46" s="14" t="str">
        <f>IF(OR($C46="15-24",$C46="25-34"),IFERROR(1/(1/SUM(SUMIFS(AGYW!$S:$S,AGYW!$B:$B,$B46,AGYW!$C:$C,IF($C46="15-24",{"15-19","20-24"},{"25-29"}),AGYW!$D:$D,$D46))),""),"")</f>
        <v/>
      </c>
      <c r="I46" s="14" t="str">
        <f>IF(OR($C46="15-24",$C46="25-34"),IFERROR(1/(1/SUM(SUMIFS(AGYW!$T:$T,AGYW!$B:$B,$B46,AGYW!$C:$C,IF($C46="15-24",{"15-19","20-24"},{"25-29"}),AGYW!$D:$D,$D46))),""),"")</f>
        <v/>
      </c>
      <c r="J46" s="14"/>
      <c r="K46" s="14"/>
      <c r="L46" s="42" t="str">
        <f t="shared" si="1"/>
        <v/>
      </c>
      <c r="M46" s="14"/>
      <c r="N46" s="14"/>
      <c r="O46" s="42" t="str">
        <f t="shared" si="2"/>
        <v/>
      </c>
      <c r="P46" s="14">
        <f>2</f>
        <v>2</v>
      </c>
      <c r="Q46" s="42" t="str">
        <f t="shared" si="3"/>
        <v/>
      </c>
    </row>
    <row r="47" spans="1:17" x14ac:dyDescent="0.2">
      <c r="A47" t="str">
        <f>INDEX(Prioritization!$D:$D,MATCH($B47,Prioritization!$A:$A,0))</f>
        <v>1 - Scale-up: Saturation</v>
      </c>
      <c r="B47" t="s">
        <v>197</v>
      </c>
      <c r="C47" t="s">
        <v>364</v>
      </c>
      <c r="D47" t="s">
        <v>29</v>
      </c>
      <c r="E47" t="str">
        <f t="shared" si="0"/>
        <v>Lilongwe District [ScR9iFKAasW]|15-24|Female</v>
      </c>
      <c r="F47" s="14" t="str">
        <f>IF(LEFT($B47,4)="_Mil","",INDEX(Cascade!$U:$U,MATCH($E47,Cascade!$E:$E,0)))</f>
        <v/>
      </c>
      <c r="G47" s="14" t="str">
        <f>IFERROR(1/(1/INDEX(HTS!$AT:$AT,MATCH($E47,HTS!$E:$E,0))),"")</f>
        <v/>
      </c>
      <c r="H47" s="14" t="str">
        <f>IF(OR($C47="15-24",$C47="25-34"),IFERROR(1/(1/SUM(SUMIFS(AGYW!$S:$S,AGYW!$B:$B,$B47,AGYW!$C:$C,IF($C47="15-24",{"15-19","20-24"},{"25-29"}),AGYW!$D:$D,$D47))),""),"")</f>
        <v/>
      </c>
      <c r="I47" s="14" t="str">
        <f>IF(OR($C47="15-24",$C47="25-34"),IFERROR(1/(1/SUM(SUMIFS(AGYW!$T:$T,AGYW!$B:$B,$B47,AGYW!$C:$C,IF($C47="15-24",{"15-19","20-24"},{"25-29"}),AGYW!$D:$D,$D47))),""),"")</f>
        <v/>
      </c>
      <c r="J47" s="14"/>
      <c r="K47" s="14"/>
      <c r="L47" s="42" t="str">
        <f t="shared" si="1"/>
        <v/>
      </c>
      <c r="M47" s="14"/>
      <c r="N47" s="14"/>
      <c r="O47" s="42" t="str">
        <f t="shared" si="2"/>
        <v/>
      </c>
      <c r="P47" s="14">
        <f>2</f>
        <v>2</v>
      </c>
      <c r="Q47" s="42" t="str">
        <f t="shared" si="3"/>
        <v/>
      </c>
    </row>
    <row r="48" spans="1:17" x14ac:dyDescent="0.2">
      <c r="A48" t="str">
        <f>INDEX(Prioritization!$D:$D,MATCH($B48,Prioritization!$A:$A,0))</f>
        <v>1 - Scale-up: Saturation</v>
      </c>
      <c r="B48" t="s">
        <v>197</v>
      </c>
      <c r="C48" t="s">
        <v>364</v>
      </c>
      <c r="D48" t="s">
        <v>47</v>
      </c>
      <c r="E48" t="str">
        <f t="shared" si="0"/>
        <v>Lilongwe District [ScR9iFKAasW]|15-24|Male</v>
      </c>
      <c r="F48" s="14" t="str">
        <f>IF(LEFT($B48,4)="_Mil","",INDEX(Cascade!$U:$U,MATCH($E48,Cascade!$E:$E,0)))</f>
        <v/>
      </c>
      <c r="G48" s="14" t="str">
        <f>IFERROR(1/(1/INDEX(HTS!$AT:$AT,MATCH($E48,HTS!$E:$E,0))),"")</f>
        <v/>
      </c>
      <c r="H48" s="14" t="str">
        <f>IF(OR($C48="15-24",$C48="25-34"),IFERROR(1/(1/SUM(SUMIFS(AGYW!$S:$S,AGYW!$B:$B,$B48,AGYW!$C:$C,IF($C48="15-24",{"15-19","20-24"},{"25-29"}),AGYW!$D:$D,$D48))),""),"")</f>
        <v/>
      </c>
      <c r="I48" s="14" t="str">
        <f>IF(OR($C48="15-24",$C48="25-34"),IFERROR(1/(1/SUM(SUMIFS(AGYW!$T:$T,AGYW!$B:$B,$B48,AGYW!$C:$C,IF($C48="15-24",{"15-19","20-24"},{"25-29"}),AGYW!$D:$D,$D48))),""),"")</f>
        <v/>
      </c>
      <c r="J48" s="14"/>
      <c r="K48" s="14"/>
      <c r="L48" s="42" t="str">
        <f t="shared" si="1"/>
        <v/>
      </c>
      <c r="M48" s="14"/>
      <c r="N48" s="14"/>
      <c r="O48" s="42" t="str">
        <f t="shared" si="2"/>
        <v/>
      </c>
      <c r="P48" s="14">
        <f>2</f>
        <v>2</v>
      </c>
      <c r="Q48" s="42" t="str">
        <f t="shared" si="3"/>
        <v/>
      </c>
    </row>
    <row r="49" spans="1:17" x14ac:dyDescent="0.2">
      <c r="A49" t="str">
        <f>INDEX(Prioritization!$D:$D,MATCH($B49,Prioritization!$A:$A,0))</f>
        <v>1 - Scale-up: Saturation</v>
      </c>
      <c r="B49" t="s">
        <v>197</v>
      </c>
      <c r="C49" t="s">
        <v>365</v>
      </c>
      <c r="D49" t="s">
        <v>29</v>
      </c>
      <c r="E49" t="str">
        <f t="shared" si="0"/>
        <v>Lilongwe District [ScR9iFKAasW]|25-34|Female</v>
      </c>
      <c r="F49" s="14" t="str">
        <f>IF(LEFT($B49,4)="_Mil","",INDEX(Cascade!$U:$U,MATCH($E49,Cascade!$E:$E,0)))</f>
        <v/>
      </c>
      <c r="G49" s="14" t="str">
        <f>IFERROR(1/(1/INDEX(HTS!$AT:$AT,MATCH($E49,HTS!$E:$E,0))),"")</f>
        <v/>
      </c>
      <c r="H49" s="14" t="str">
        <f>IF(OR($C49="15-24",$C49="25-34"),IFERROR(1/(1/SUM(SUMIFS(AGYW!$S:$S,AGYW!$B:$B,$B49,AGYW!$C:$C,IF($C49="15-24",{"15-19","20-24"},{"25-29"}),AGYW!$D:$D,$D49))),""),"")</f>
        <v/>
      </c>
      <c r="I49" s="14" t="str">
        <f>IF(OR($C49="15-24",$C49="25-34"),IFERROR(1/(1/SUM(SUMIFS(AGYW!$T:$T,AGYW!$B:$B,$B49,AGYW!$C:$C,IF($C49="15-24",{"15-19","20-24"},{"25-29"}),AGYW!$D:$D,$D49))),""),"")</f>
        <v/>
      </c>
      <c r="J49" s="14"/>
      <c r="K49" s="14"/>
      <c r="L49" s="42" t="str">
        <f t="shared" si="1"/>
        <v/>
      </c>
      <c r="M49" s="14"/>
      <c r="N49" s="14"/>
      <c r="O49" s="42" t="str">
        <f t="shared" si="2"/>
        <v/>
      </c>
      <c r="P49" s="14">
        <f>2</f>
        <v>2</v>
      </c>
      <c r="Q49" s="42" t="str">
        <f t="shared" si="3"/>
        <v/>
      </c>
    </row>
    <row r="50" spans="1:17" x14ac:dyDescent="0.2">
      <c r="A50" t="str">
        <f>INDEX(Prioritization!$D:$D,MATCH($B50,Prioritization!$A:$A,0))</f>
        <v>1 - Scale-up: Saturation</v>
      </c>
      <c r="B50" t="s">
        <v>197</v>
      </c>
      <c r="C50" t="s">
        <v>365</v>
      </c>
      <c r="D50" t="s">
        <v>47</v>
      </c>
      <c r="E50" t="str">
        <f t="shared" si="0"/>
        <v>Lilongwe District [ScR9iFKAasW]|25-34|Male</v>
      </c>
      <c r="F50" s="14" t="str">
        <f>IF(LEFT($B50,4)="_Mil","",INDEX(Cascade!$U:$U,MATCH($E50,Cascade!$E:$E,0)))</f>
        <v/>
      </c>
      <c r="G50" s="14" t="str">
        <f>IFERROR(1/(1/INDEX(HTS!$AT:$AT,MATCH($E50,HTS!$E:$E,0))),"")</f>
        <v/>
      </c>
      <c r="H50" s="14" t="str">
        <f>IF(OR($C50="15-24",$C50="25-34"),IFERROR(1/(1/SUM(SUMIFS(AGYW!$S:$S,AGYW!$B:$B,$B50,AGYW!$C:$C,IF($C50="15-24",{"15-19","20-24"},{"25-29"}),AGYW!$D:$D,$D50))),""),"")</f>
        <v/>
      </c>
      <c r="I50" s="14" t="str">
        <f>IF(OR($C50="15-24",$C50="25-34"),IFERROR(1/(1/SUM(SUMIFS(AGYW!$T:$T,AGYW!$B:$B,$B50,AGYW!$C:$C,IF($C50="15-24",{"15-19","20-24"},{"25-29"}),AGYW!$D:$D,$D50))),""),"")</f>
        <v/>
      </c>
      <c r="J50" s="14"/>
      <c r="K50" s="14"/>
      <c r="L50" s="42" t="str">
        <f t="shared" si="1"/>
        <v/>
      </c>
      <c r="M50" s="14"/>
      <c r="N50" s="14"/>
      <c r="O50" s="42" t="str">
        <f t="shared" si="2"/>
        <v/>
      </c>
      <c r="P50" s="14">
        <f>2</f>
        <v>2</v>
      </c>
      <c r="Q50" s="42" t="str">
        <f t="shared" si="3"/>
        <v/>
      </c>
    </row>
    <row r="51" spans="1:17" x14ac:dyDescent="0.2">
      <c r="A51" t="str">
        <f>INDEX(Prioritization!$D:$D,MATCH($B51,Prioritization!$A:$A,0))</f>
        <v>1 - Scale-up: Saturation</v>
      </c>
      <c r="B51" t="s">
        <v>197</v>
      </c>
      <c r="C51" t="s">
        <v>366</v>
      </c>
      <c r="D51" t="s">
        <v>29</v>
      </c>
      <c r="E51" t="str">
        <f t="shared" si="0"/>
        <v>Lilongwe District [ScR9iFKAasW]|35-49|Female</v>
      </c>
      <c r="F51" s="14" t="str">
        <f>IF(LEFT($B51,4)="_Mil","",INDEX(Cascade!$U:$U,MATCH($E51,Cascade!$E:$E,0)))</f>
        <v/>
      </c>
      <c r="G51" s="14" t="str">
        <f>IFERROR(1/(1/INDEX(HTS!$AT:$AT,MATCH($E51,HTS!$E:$E,0))),"")</f>
        <v/>
      </c>
      <c r="H51" s="14" t="str">
        <f>IF(OR($C51="15-24",$C51="25-34"),IFERROR(1/(1/SUM(SUMIFS(AGYW!$S:$S,AGYW!$B:$B,$B51,AGYW!$C:$C,IF($C51="15-24",{"15-19","20-24"},{"25-29"}),AGYW!$D:$D,$D51))),""),"")</f>
        <v/>
      </c>
      <c r="I51" s="14" t="str">
        <f>IF(OR($C51="15-24",$C51="25-34"),IFERROR(1/(1/SUM(SUMIFS(AGYW!$T:$T,AGYW!$B:$B,$B51,AGYW!$C:$C,IF($C51="15-24",{"15-19","20-24"},{"25-29"}),AGYW!$D:$D,$D51))),""),"")</f>
        <v/>
      </c>
      <c r="J51" s="14"/>
      <c r="K51" s="14"/>
      <c r="L51" s="42" t="str">
        <f t="shared" si="1"/>
        <v/>
      </c>
      <c r="M51" s="14"/>
      <c r="N51" s="14"/>
      <c r="O51" s="42" t="str">
        <f t="shared" si="2"/>
        <v/>
      </c>
      <c r="P51" s="14">
        <f>2</f>
        <v>2</v>
      </c>
      <c r="Q51" s="42" t="str">
        <f t="shared" si="3"/>
        <v/>
      </c>
    </row>
    <row r="52" spans="1:17" x14ac:dyDescent="0.2">
      <c r="A52" t="str">
        <f>INDEX(Prioritization!$D:$D,MATCH($B52,Prioritization!$A:$A,0))</f>
        <v>1 - Scale-up: Saturation</v>
      </c>
      <c r="B52" t="s">
        <v>197</v>
      </c>
      <c r="C52" t="s">
        <v>366</v>
      </c>
      <c r="D52" t="s">
        <v>47</v>
      </c>
      <c r="E52" t="str">
        <f t="shared" si="0"/>
        <v>Lilongwe District [ScR9iFKAasW]|35-49|Male</v>
      </c>
      <c r="F52" s="14" t="str">
        <f>IF(LEFT($B52,4)="_Mil","",INDEX(Cascade!$U:$U,MATCH($E52,Cascade!$E:$E,0)))</f>
        <v/>
      </c>
      <c r="G52" s="14" t="str">
        <f>IFERROR(1/(1/INDEX(HTS!$AT:$AT,MATCH($E52,HTS!$E:$E,0))),"")</f>
        <v/>
      </c>
      <c r="H52" s="14" t="str">
        <f>IF(OR($C52="15-24",$C52="25-34"),IFERROR(1/(1/SUM(SUMIFS(AGYW!$S:$S,AGYW!$B:$B,$B52,AGYW!$C:$C,IF($C52="15-24",{"15-19","20-24"},{"25-29"}),AGYW!$D:$D,$D52))),""),"")</f>
        <v/>
      </c>
      <c r="I52" s="14" t="str">
        <f>IF(OR($C52="15-24",$C52="25-34"),IFERROR(1/(1/SUM(SUMIFS(AGYW!$T:$T,AGYW!$B:$B,$B52,AGYW!$C:$C,IF($C52="15-24",{"15-19","20-24"},{"25-29"}),AGYW!$D:$D,$D52))),""),"")</f>
        <v/>
      </c>
      <c r="J52" s="14"/>
      <c r="K52" s="14"/>
      <c r="L52" s="42" t="str">
        <f t="shared" si="1"/>
        <v/>
      </c>
      <c r="M52" s="14"/>
      <c r="N52" s="14"/>
      <c r="O52" s="42" t="str">
        <f t="shared" si="2"/>
        <v/>
      </c>
      <c r="P52" s="14">
        <f>2</f>
        <v>2</v>
      </c>
      <c r="Q52" s="42" t="str">
        <f t="shared" si="3"/>
        <v/>
      </c>
    </row>
    <row r="53" spans="1:17" x14ac:dyDescent="0.2">
      <c r="A53" t="str">
        <f>INDEX(Prioritization!$D:$D,MATCH($B53,Prioritization!$A:$A,0))</f>
        <v>1 - Scale-up: Saturation</v>
      </c>
      <c r="B53" t="s">
        <v>197</v>
      </c>
      <c r="C53" t="s">
        <v>367</v>
      </c>
      <c r="D53" t="s">
        <v>29</v>
      </c>
      <c r="E53" t="str">
        <f t="shared" si="0"/>
        <v>Lilongwe District [ScR9iFKAasW]|50+|Female</v>
      </c>
      <c r="F53" s="14" t="str">
        <f>IF(LEFT($B53,4)="_Mil","",INDEX(Cascade!$U:$U,MATCH($E53,Cascade!$E:$E,0)))</f>
        <v/>
      </c>
      <c r="G53" s="14" t="str">
        <f>IFERROR(1/(1/INDEX(HTS!$AT:$AT,MATCH($E53,HTS!$E:$E,0))),"")</f>
        <v/>
      </c>
      <c r="H53" s="14" t="str">
        <f>IF(OR($C53="15-24",$C53="25-34"),IFERROR(1/(1/SUM(SUMIFS(AGYW!$S:$S,AGYW!$B:$B,$B53,AGYW!$C:$C,IF($C53="15-24",{"15-19","20-24"},{"25-29"}),AGYW!$D:$D,$D53))),""),"")</f>
        <v/>
      </c>
      <c r="I53" s="14" t="str">
        <f>IF(OR($C53="15-24",$C53="25-34"),IFERROR(1/(1/SUM(SUMIFS(AGYW!$T:$T,AGYW!$B:$B,$B53,AGYW!$C:$C,IF($C53="15-24",{"15-19","20-24"},{"25-29"}),AGYW!$D:$D,$D53))),""),"")</f>
        <v/>
      </c>
      <c r="J53" s="14">
        <v>5</v>
      </c>
      <c r="K53" s="14">
        <v>7</v>
      </c>
      <c r="L53" s="42">
        <f t="shared" si="1"/>
        <v>7</v>
      </c>
      <c r="M53" s="14"/>
      <c r="N53" s="14"/>
      <c r="O53" s="42" t="str">
        <f t="shared" si="2"/>
        <v/>
      </c>
      <c r="P53" s="14">
        <f>2</f>
        <v>2</v>
      </c>
      <c r="Q53" s="42" t="str">
        <f t="shared" si="3"/>
        <v/>
      </c>
    </row>
    <row r="54" spans="1:17" x14ac:dyDescent="0.2">
      <c r="A54" t="str">
        <f>INDEX(Prioritization!$D:$D,MATCH($B54,Prioritization!$A:$A,0))</f>
        <v>1 - Scale-up: Saturation</v>
      </c>
      <c r="B54" t="s">
        <v>197</v>
      </c>
      <c r="C54" t="s">
        <v>367</v>
      </c>
      <c r="D54" t="s">
        <v>47</v>
      </c>
      <c r="E54" t="str">
        <f t="shared" si="0"/>
        <v>Lilongwe District [ScR9iFKAasW]|50+|Male</v>
      </c>
      <c r="F54" s="14" t="str">
        <f>IF(LEFT($B54,4)="_Mil","",INDEX(Cascade!$U:$U,MATCH($E54,Cascade!$E:$E,0)))</f>
        <v/>
      </c>
      <c r="G54" s="14" t="str">
        <f>IFERROR(1/(1/INDEX(HTS!$AT:$AT,MATCH($E54,HTS!$E:$E,0))),"")</f>
        <v/>
      </c>
      <c r="H54" s="14" t="str">
        <f>IF(OR($C54="15-24",$C54="25-34"),IFERROR(1/(1/SUM(SUMIFS(AGYW!$S:$S,AGYW!$B:$B,$B54,AGYW!$C:$C,IF($C54="15-24",{"15-19","20-24"},{"25-29"}),AGYW!$D:$D,$D54))),""),"")</f>
        <v/>
      </c>
      <c r="I54" s="14" t="str">
        <f>IF(OR($C54="15-24",$C54="25-34"),IFERROR(1/(1/SUM(SUMIFS(AGYW!$T:$T,AGYW!$B:$B,$B54,AGYW!$C:$C,IF($C54="15-24",{"15-19","20-24"},{"25-29"}),AGYW!$D:$D,$D54))),""),"")</f>
        <v/>
      </c>
      <c r="J54" s="14">
        <v>9</v>
      </c>
      <c r="K54" s="14">
        <v>68</v>
      </c>
      <c r="L54" s="42">
        <f t="shared" si="1"/>
        <v>68</v>
      </c>
      <c r="M54" s="14"/>
      <c r="N54" s="14"/>
      <c r="O54" s="42" t="str">
        <f t="shared" si="2"/>
        <v/>
      </c>
      <c r="P54" s="14">
        <f>2</f>
        <v>2</v>
      </c>
      <c r="Q54" s="42" t="str">
        <f t="shared" si="3"/>
        <v/>
      </c>
    </row>
    <row r="55" spans="1:17" x14ac:dyDescent="0.2">
      <c r="A55" t="str">
        <f>INDEX(Prioritization!$D:$D,MATCH($B55,Prioritization!$A:$A,0))</f>
        <v>1 - Scale-up: Saturation</v>
      </c>
      <c r="B55" t="s">
        <v>198</v>
      </c>
      <c r="C55" t="s">
        <v>364</v>
      </c>
      <c r="D55" t="s">
        <v>29</v>
      </c>
      <c r="E55" t="str">
        <f t="shared" si="0"/>
        <v>Mchinji District [kxuuIFpOXyO]|15-24|Female</v>
      </c>
      <c r="F55" s="14" t="str">
        <f>IF(LEFT($B55,4)="_Mil","",INDEX(Cascade!$U:$U,MATCH($E55,Cascade!$E:$E,0)))</f>
        <v/>
      </c>
      <c r="G55" s="14" t="str">
        <f>IFERROR(1/(1/INDEX(HTS!$AT:$AT,MATCH($E55,HTS!$E:$E,0))),"")</f>
        <v/>
      </c>
      <c r="H55" s="14" t="str">
        <f>IF(OR($C55="15-24",$C55="25-34"),IFERROR(1/(1/SUM(SUMIFS(AGYW!$S:$S,AGYW!$B:$B,$B55,AGYW!$C:$C,IF($C55="15-24",{"15-19","20-24"},{"25-29"}),AGYW!$D:$D,$D55))),""),"")</f>
        <v/>
      </c>
      <c r="I55" s="14" t="str">
        <f>IF(OR($C55="15-24",$C55="25-34"),IFERROR(1/(1/SUM(SUMIFS(AGYW!$T:$T,AGYW!$B:$B,$B55,AGYW!$C:$C,IF($C55="15-24",{"15-19","20-24"},{"25-29"}),AGYW!$D:$D,$D55))),""),"")</f>
        <v/>
      </c>
      <c r="J55" s="14"/>
      <c r="K55" s="14"/>
      <c r="L55" s="42" t="str">
        <f t="shared" si="1"/>
        <v/>
      </c>
      <c r="M55" s="14"/>
      <c r="N55" s="14"/>
      <c r="O55" s="42" t="str">
        <f t="shared" si="2"/>
        <v/>
      </c>
      <c r="P55" s="14">
        <f>2</f>
        <v>2</v>
      </c>
      <c r="Q55" s="42" t="str">
        <f t="shared" si="3"/>
        <v/>
      </c>
    </row>
    <row r="56" spans="1:17" x14ac:dyDescent="0.2">
      <c r="A56" t="str">
        <f>INDEX(Prioritization!$D:$D,MATCH($B56,Prioritization!$A:$A,0))</f>
        <v>1 - Scale-up: Saturation</v>
      </c>
      <c r="B56" t="s">
        <v>198</v>
      </c>
      <c r="C56" t="s">
        <v>364</v>
      </c>
      <c r="D56" t="s">
        <v>47</v>
      </c>
      <c r="E56" t="str">
        <f t="shared" si="0"/>
        <v>Mchinji District [kxuuIFpOXyO]|15-24|Male</v>
      </c>
      <c r="F56" s="14" t="str">
        <f>IF(LEFT($B56,4)="_Mil","",INDEX(Cascade!$U:$U,MATCH($E56,Cascade!$E:$E,0)))</f>
        <v/>
      </c>
      <c r="G56" s="14" t="str">
        <f>IFERROR(1/(1/INDEX(HTS!$AT:$AT,MATCH($E56,HTS!$E:$E,0))),"")</f>
        <v/>
      </c>
      <c r="H56" s="14" t="str">
        <f>IF(OR($C56="15-24",$C56="25-34"),IFERROR(1/(1/SUM(SUMIFS(AGYW!$S:$S,AGYW!$B:$B,$B56,AGYW!$C:$C,IF($C56="15-24",{"15-19","20-24"},{"25-29"}),AGYW!$D:$D,$D56))),""),"")</f>
        <v/>
      </c>
      <c r="I56" s="14" t="str">
        <f>IF(OR($C56="15-24",$C56="25-34"),IFERROR(1/(1/SUM(SUMIFS(AGYW!$T:$T,AGYW!$B:$B,$B56,AGYW!$C:$C,IF($C56="15-24",{"15-19","20-24"},{"25-29"}),AGYW!$D:$D,$D56))),""),"")</f>
        <v/>
      </c>
      <c r="J56" s="14"/>
      <c r="K56" s="14"/>
      <c r="L56" s="42" t="str">
        <f t="shared" si="1"/>
        <v/>
      </c>
      <c r="M56" s="14"/>
      <c r="N56" s="14"/>
      <c r="O56" s="42" t="str">
        <f t="shared" si="2"/>
        <v/>
      </c>
      <c r="P56" s="14">
        <f>2</f>
        <v>2</v>
      </c>
      <c r="Q56" s="42" t="str">
        <f t="shared" si="3"/>
        <v/>
      </c>
    </row>
    <row r="57" spans="1:17" x14ac:dyDescent="0.2">
      <c r="A57" t="str">
        <f>INDEX(Prioritization!$D:$D,MATCH($B57,Prioritization!$A:$A,0))</f>
        <v>1 - Scale-up: Saturation</v>
      </c>
      <c r="B57" t="s">
        <v>198</v>
      </c>
      <c r="C57" t="s">
        <v>365</v>
      </c>
      <c r="D57" t="s">
        <v>29</v>
      </c>
      <c r="E57" t="str">
        <f t="shared" si="0"/>
        <v>Mchinji District [kxuuIFpOXyO]|25-34|Female</v>
      </c>
      <c r="F57" s="14" t="str">
        <f>IF(LEFT($B57,4)="_Mil","",INDEX(Cascade!$U:$U,MATCH($E57,Cascade!$E:$E,0)))</f>
        <v/>
      </c>
      <c r="G57" s="14" t="str">
        <f>IFERROR(1/(1/INDEX(HTS!$AT:$AT,MATCH($E57,HTS!$E:$E,0))),"")</f>
        <v/>
      </c>
      <c r="H57" s="14" t="str">
        <f>IF(OR($C57="15-24",$C57="25-34"),IFERROR(1/(1/SUM(SUMIFS(AGYW!$S:$S,AGYW!$B:$B,$B57,AGYW!$C:$C,IF($C57="15-24",{"15-19","20-24"},{"25-29"}),AGYW!$D:$D,$D57))),""),"")</f>
        <v/>
      </c>
      <c r="I57" s="14" t="str">
        <f>IF(OR($C57="15-24",$C57="25-34"),IFERROR(1/(1/SUM(SUMIFS(AGYW!$T:$T,AGYW!$B:$B,$B57,AGYW!$C:$C,IF($C57="15-24",{"15-19","20-24"},{"25-29"}),AGYW!$D:$D,$D57))),""),"")</f>
        <v/>
      </c>
      <c r="J57" s="14"/>
      <c r="K57" s="14"/>
      <c r="L57" s="42" t="str">
        <f t="shared" si="1"/>
        <v/>
      </c>
      <c r="M57" s="14"/>
      <c r="N57" s="14"/>
      <c r="O57" s="42" t="str">
        <f t="shared" si="2"/>
        <v/>
      </c>
      <c r="P57" s="14">
        <f>2</f>
        <v>2</v>
      </c>
      <c r="Q57" s="42" t="str">
        <f t="shared" si="3"/>
        <v/>
      </c>
    </row>
    <row r="58" spans="1:17" x14ac:dyDescent="0.2">
      <c r="A58" t="str">
        <f>INDEX(Prioritization!$D:$D,MATCH($B58,Prioritization!$A:$A,0))</f>
        <v>1 - Scale-up: Saturation</v>
      </c>
      <c r="B58" t="s">
        <v>198</v>
      </c>
      <c r="C58" t="s">
        <v>365</v>
      </c>
      <c r="D58" t="s">
        <v>47</v>
      </c>
      <c r="E58" t="str">
        <f t="shared" si="0"/>
        <v>Mchinji District [kxuuIFpOXyO]|25-34|Male</v>
      </c>
      <c r="F58" s="14" t="str">
        <f>IF(LEFT($B58,4)="_Mil","",INDEX(Cascade!$U:$U,MATCH($E58,Cascade!$E:$E,0)))</f>
        <v/>
      </c>
      <c r="G58" s="14" t="str">
        <f>IFERROR(1/(1/INDEX(HTS!$AT:$AT,MATCH($E58,HTS!$E:$E,0))),"")</f>
        <v/>
      </c>
      <c r="H58" s="14" t="str">
        <f>IF(OR($C58="15-24",$C58="25-34"),IFERROR(1/(1/SUM(SUMIFS(AGYW!$S:$S,AGYW!$B:$B,$B58,AGYW!$C:$C,IF($C58="15-24",{"15-19","20-24"},{"25-29"}),AGYW!$D:$D,$D58))),""),"")</f>
        <v/>
      </c>
      <c r="I58" s="14" t="str">
        <f>IF(OR($C58="15-24",$C58="25-34"),IFERROR(1/(1/SUM(SUMIFS(AGYW!$T:$T,AGYW!$B:$B,$B58,AGYW!$C:$C,IF($C58="15-24",{"15-19","20-24"},{"25-29"}),AGYW!$D:$D,$D58))),""),"")</f>
        <v/>
      </c>
      <c r="J58" s="14"/>
      <c r="K58" s="14"/>
      <c r="L58" s="42" t="str">
        <f t="shared" si="1"/>
        <v/>
      </c>
      <c r="M58" s="14"/>
      <c r="N58" s="14"/>
      <c r="O58" s="42" t="str">
        <f t="shared" si="2"/>
        <v/>
      </c>
      <c r="P58" s="14">
        <f>2</f>
        <v>2</v>
      </c>
      <c r="Q58" s="42" t="str">
        <f t="shared" si="3"/>
        <v/>
      </c>
    </row>
    <row r="59" spans="1:17" x14ac:dyDescent="0.2">
      <c r="A59" t="str">
        <f>INDEX(Prioritization!$D:$D,MATCH($B59,Prioritization!$A:$A,0))</f>
        <v>1 - Scale-up: Saturation</v>
      </c>
      <c r="B59" t="s">
        <v>198</v>
      </c>
      <c r="C59" t="s">
        <v>366</v>
      </c>
      <c r="D59" t="s">
        <v>29</v>
      </c>
      <c r="E59" t="str">
        <f t="shared" si="0"/>
        <v>Mchinji District [kxuuIFpOXyO]|35-49|Female</v>
      </c>
      <c r="F59" s="14" t="str">
        <f>IF(LEFT($B59,4)="_Mil","",INDEX(Cascade!$U:$U,MATCH($E59,Cascade!$E:$E,0)))</f>
        <v/>
      </c>
      <c r="G59" s="14" t="str">
        <f>IFERROR(1/(1/INDEX(HTS!$AT:$AT,MATCH($E59,HTS!$E:$E,0))),"")</f>
        <v/>
      </c>
      <c r="H59" s="14" t="str">
        <f>IF(OR($C59="15-24",$C59="25-34"),IFERROR(1/(1/SUM(SUMIFS(AGYW!$S:$S,AGYW!$B:$B,$B59,AGYW!$C:$C,IF($C59="15-24",{"15-19","20-24"},{"25-29"}),AGYW!$D:$D,$D59))),""),"")</f>
        <v/>
      </c>
      <c r="I59" s="14" t="str">
        <f>IF(OR($C59="15-24",$C59="25-34"),IFERROR(1/(1/SUM(SUMIFS(AGYW!$T:$T,AGYW!$B:$B,$B59,AGYW!$C:$C,IF($C59="15-24",{"15-19","20-24"},{"25-29"}),AGYW!$D:$D,$D59))),""),"")</f>
        <v/>
      </c>
      <c r="J59" s="14"/>
      <c r="K59" s="14"/>
      <c r="L59" s="42" t="str">
        <f t="shared" si="1"/>
        <v/>
      </c>
      <c r="M59" s="14"/>
      <c r="N59" s="14"/>
      <c r="O59" s="42" t="str">
        <f t="shared" si="2"/>
        <v/>
      </c>
      <c r="P59" s="14">
        <f>2</f>
        <v>2</v>
      </c>
      <c r="Q59" s="42" t="str">
        <f t="shared" si="3"/>
        <v/>
      </c>
    </row>
    <row r="60" spans="1:17" x14ac:dyDescent="0.2">
      <c r="A60" t="str">
        <f>INDEX(Prioritization!$D:$D,MATCH($B60,Prioritization!$A:$A,0))</f>
        <v>1 - Scale-up: Saturation</v>
      </c>
      <c r="B60" t="s">
        <v>198</v>
      </c>
      <c r="C60" t="s">
        <v>366</v>
      </c>
      <c r="D60" t="s">
        <v>47</v>
      </c>
      <c r="E60" t="str">
        <f t="shared" si="0"/>
        <v>Mchinji District [kxuuIFpOXyO]|35-49|Male</v>
      </c>
      <c r="F60" s="14" t="str">
        <f>IF(LEFT($B60,4)="_Mil","",INDEX(Cascade!$U:$U,MATCH($E60,Cascade!$E:$E,0)))</f>
        <v/>
      </c>
      <c r="G60" s="14" t="str">
        <f>IFERROR(1/(1/INDEX(HTS!$AT:$AT,MATCH($E60,HTS!$E:$E,0))),"")</f>
        <v/>
      </c>
      <c r="H60" s="14" t="str">
        <f>IF(OR($C60="15-24",$C60="25-34"),IFERROR(1/(1/SUM(SUMIFS(AGYW!$S:$S,AGYW!$B:$B,$B60,AGYW!$C:$C,IF($C60="15-24",{"15-19","20-24"},{"25-29"}),AGYW!$D:$D,$D60))),""),"")</f>
        <v/>
      </c>
      <c r="I60" s="14" t="str">
        <f>IF(OR($C60="15-24",$C60="25-34"),IFERROR(1/(1/SUM(SUMIFS(AGYW!$T:$T,AGYW!$B:$B,$B60,AGYW!$C:$C,IF($C60="15-24",{"15-19","20-24"},{"25-29"}),AGYW!$D:$D,$D60))),""),"")</f>
        <v/>
      </c>
      <c r="J60" s="14"/>
      <c r="K60" s="14"/>
      <c r="L60" s="42" t="str">
        <f t="shared" si="1"/>
        <v/>
      </c>
      <c r="M60" s="14"/>
      <c r="N60" s="14"/>
      <c r="O60" s="42" t="str">
        <f t="shared" si="2"/>
        <v/>
      </c>
      <c r="P60" s="14">
        <f>2</f>
        <v>2</v>
      </c>
      <c r="Q60" s="42" t="str">
        <f t="shared" si="3"/>
        <v/>
      </c>
    </row>
    <row r="61" spans="1:17" x14ac:dyDescent="0.2">
      <c r="A61" t="str">
        <f>INDEX(Prioritization!$D:$D,MATCH($B61,Prioritization!$A:$A,0))</f>
        <v>1 - Scale-up: Saturation</v>
      </c>
      <c r="B61" t="s">
        <v>198</v>
      </c>
      <c r="C61" t="s">
        <v>367</v>
      </c>
      <c r="D61" t="s">
        <v>29</v>
      </c>
      <c r="E61" t="str">
        <f t="shared" si="0"/>
        <v>Mchinji District [kxuuIFpOXyO]|50+|Female</v>
      </c>
      <c r="F61" s="14" t="str">
        <f>IF(LEFT($B61,4)="_Mil","",INDEX(Cascade!$U:$U,MATCH($E61,Cascade!$E:$E,0)))</f>
        <v/>
      </c>
      <c r="G61" s="14" t="str">
        <f>IFERROR(1/(1/INDEX(HTS!$AT:$AT,MATCH($E61,HTS!$E:$E,0))),"")</f>
        <v/>
      </c>
      <c r="H61" s="14" t="str">
        <f>IF(OR($C61="15-24",$C61="25-34"),IFERROR(1/(1/SUM(SUMIFS(AGYW!$S:$S,AGYW!$B:$B,$B61,AGYW!$C:$C,IF($C61="15-24",{"15-19","20-24"},{"25-29"}),AGYW!$D:$D,$D61))),""),"")</f>
        <v/>
      </c>
      <c r="I61" s="14" t="str">
        <f>IF(OR($C61="15-24",$C61="25-34"),IFERROR(1/(1/SUM(SUMIFS(AGYW!$T:$T,AGYW!$B:$B,$B61,AGYW!$C:$C,IF($C61="15-24",{"15-19","20-24"},{"25-29"}),AGYW!$D:$D,$D61))),""),"")</f>
        <v/>
      </c>
      <c r="J61" s="14"/>
      <c r="K61" s="14"/>
      <c r="L61" s="42" t="str">
        <f t="shared" si="1"/>
        <v/>
      </c>
      <c r="M61" s="14"/>
      <c r="N61" s="14"/>
      <c r="O61" s="42" t="str">
        <f t="shared" si="2"/>
        <v/>
      </c>
      <c r="P61" s="14">
        <f>2</f>
        <v>2</v>
      </c>
      <c r="Q61" s="42" t="str">
        <f t="shared" si="3"/>
        <v/>
      </c>
    </row>
    <row r="62" spans="1:17" x14ac:dyDescent="0.2">
      <c r="A62" t="str">
        <f>INDEX(Prioritization!$D:$D,MATCH($B62,Prioritization!$A:$A,0))</f>
        <v>1 - Scale-up: Saturation</v>
      </c>
      <c r="B62" t="s">
        <v>198</v>
      </c>
      <c r="C62" t="s">
        <v>367</v>
      </c>
      <c r="D62" t="s">
        <v>47</v>
      </c>
      <c r="E62" t="str">
        <f t="shared" si="0"/>
        <v>Mchinji District [kxuuIFpOXyO]|50+|Male</v>
      </c>
      <c r="F62" s="14" t="str">
        <f>IF(LEFT($B62,4)="_Mil","",INDEX(Cascade!$U:$U,MATCH($E62,Cascade!$E:$E,0)))</f>
        <v/>
      </c>
      <c r="G62" s="14" t="str">
        <f>IFERROR(1/(1/INDEX(HTS!$AT:$AT,MATCH($E62,HTS!$E:$E,0))),"")</f>
        <v/>
      </c>
      <c r="H62" s="14" t="str">
        <f>IF(OR($C62="15-24",$C62="25-34"),IFERROR(1/(1/SUM(SUMIFS(AGYW!$S:$S,AGYW!$B:$B,$B62,AGYW!$C:$C,IF($C62="15-24",{"15-19","20-24"},{"25-29"}),AGYW!$D:$D,$D62))),""),"")</f>
        <v/>
      </c>
      <c r="I62" s="14" t="str">
        <f>IF(OR($C62="15-24",$C62="25-34"),IFERROR(1/(1/SUM(SUMIFS(AGYW!$T:$T,AGYW!$B:$B,$B62,AGYW!$C:$C,IF($C62="15-24",{"15-19","20-24"},{"25-29"}),AGYW!$D:$D,$D62))),""),"")</f>
        <v/>
      </c>
      <c r="J62" s="14"/>
      <c r="K62" s="14"/>
      <c r="L62" s="42" t="str">
        <f t="shared" si="1"/>
        <v/>
      </c>
      <c r="M62" s="14"/>
      <c r="N62" s="14"/>
      <c r="O62" s="42" t="str">
        <f t="shared" si="2"/>
        <v/>
      </c>
      <c r="P62" s="14">
        <f>2</f>
        <v>2</v>
      </c>
      <c r="Q62" s="42" t="str">
        <f t="shared" si="3"/>
        <v/>
      </c>
    </row>
    <row r="63" spans="1:17" x14ac:dyDescent="0.2">
      <c r="A63" t="str">
        <f>INDEX(Prioritization!$D:$D,MATCH($B63,Prioritization!$A:$A,0))</f>
        <v>1 - Scale-up: Saturation</v>
      </c>
      <c r="B63" t="s">
        <v>199</v>
      </c>
      <c r="C63" t="s">
        <v>364</v>
      </c>
      <c r="D63" t="s">
        <v>29</v>
      </c>
      <c r="E63" t="str">
        <f t="shared" si="0"/>
        <v>Nkhotakota District [YCKiBAp8QAg]|15-24|Female</v>
      </c>
      <c r="F63" s="14" t="str">
        <f>IF(LEFT($B63,4)="_Mil","",INDEX(Cascade!$U:$U,MATCH($E63,Cascade!$E:$E,0)))</f>
        <v/>
      </c>
      <c r="G63" s="14" t="str">
        <f>IFERROR(1/(1/INDEX(HTS!$AT:$AT,MATCH($E63,HTS!$E:$E,0))),"")</f>
        <v/>
      </c>
      <c r="H63" s="14" t="str">
        <f>IF(OR($C63="15-24",$C63="25-34"),IFERROR(1/(1/SUM(SUMIFS(AGYW!$S:$S,AGYW!$B:$B,$B63,AGYW!$C:$C,IF($C63="15-24",{"15-19","20-24"},{"25-29"}),AGYW!$D:$D,$D63))),""),"")</f>
        <v/>
      </c>
      <c r="I63" s="14" t="str">
        <f>IF(OR($C63="15-24",$C63="25-34"),IFERROR(1/(1/SUM(SUMIFS(AGYW!$T:$T,AGYW!$B:$B,$B63,AGYW!$C:$C,IF($C63="15-24",{"15-19","20-24"},{"25-29"}),AGYW!$D:$D,$D63))),""),"")</f>
        <v/>
      </c>
      <c r="J63" s="14"/>
      <c r="K63" s="14"/>
      <c r="L63" s="42" t="str">
        <f t="shared" si="1"/>
        <v/>
      </c>
      <c r="M63" s="14"/>
      <c r="N63" s="14"/>
      <c r="O63" s="42" t="str">
        <f t="shared" si="2"/>
        <v/>
      </c>
      <c r="P63" s="14">
        <f>2</f>
        <v>2</v>
      </c>
      <c r="Q63" s="42" t="str">
        <f t="shared" si="3"/>
        <v/>
      </c>
    </row>
    <row r="64" spans="1:17" x14ac:dyDescent="0.2">
      <c r="A64" t="str">
        <f>INDEX(Prioritization!$D:$D,MATCH($B64,Prioritization!$A:$A,0))</f>
        <v>1 - Scale-up: Saturation</v>
      </c>
      <c r="B64" t="s">
        <v>199</v>
      </c>
      <c r="C64" t="s">
        <v>364</v>
      </c>
      <c r="D64" t="s">
        <v>47</v>
      </c>
      <c r="E64" t="str">
        <f t="shared" si="0"/>
        <v>Nkhotakota District [YCKiBAp8QAg]|15-24|Male</v>
      </c>
      <c r="F64" s="14" t="str">
        <f>IF(LEFT($B64,4)="_Mil","",INDEX(Cascade!$U:$U,MATCH($E64,Cascade!$E:$E,0)))</f>
        <v/>
      </c>
      <c r="G64" s="14" t="str">
        <f>IFERROR(1/(1/INDEX(HTS!$AT:$AT,MATCH($E64,HTS!$E:$E,0))),"")</f>
        <v/>
      </c>
      <c r="H64" s="14" t="str">
        <f>IF(OR($C64="15-24",$C64="25-34"),IFERROR(1/(1/SUM(SUMIFS(AGYW!$S:$S,AGYW!$B:$B,$B64,AGYW!$C:$C,IF($C64="15-24",{"15-19","20-24"},{"25-29"}),AGYW!$D:$D,$D64))),""),"")</f>
        <v/>
      </c>
      <c r="I64" s="14" t="str">
        <f>IF(OR($C64="15-24",$C64="25-34"),IFERROR(1/(1/SUM(SUMIFS(AGYW!$T:$T,AGYW!$B:$B,$B64,AGYW!$C:$C,IF($C64="15-24",{"15-19","20-24"},{"25-29"}),AGYW!$D:$D,$D64))),""),"")</f>
        <v/>
      </c>
      <c r="J64" s="14"/>
      <c r="K64" s="14"/>
      <c r="L64" s="42" t="str">
        <f t="shared" si="1"/>
        <v/>
      </c>
      <c r="M64" s="14"/>
      <c r="N64" s="14"/>
      <c r="O64" s="42" t="str">
        <f t="shared" si="2"/>
        <v/>
      </c>
      <c r="P64" s="14">
        <f>2</f>
        <v>2</v>
      </c>
      <c r="Q64" s="42" t="str">
        <f t="shared" si="3"/>
        <v/>
      </c>
    </row>
    <row r="65" spans="1:17" x14ac:dyDescent="0.2">
      <c r="A65" t="str">
        <f>INDEX(Prioritization!$D:$D,MATCH($B65,Prioritization!$A:$A,0))</f>
        <v>1 - Scale-up: Saturation</v>
      </c>
      <c r="B65" t="s">
        <v>199</v>
      </c>
      <c r="C65" t="s">
        <v>365</v>
      </c>
      <c r="D65" t="s">
        <v>29</v>
      </c>
      <c r="E65" t="str">
        <f t="shared" si="0"/>
        <v>Nkhotakota District [YCKiBAp8QAg]|25-34|Female</v>
      </c>
      <c r="F65" s="14" t="str">
        <f>IF(LEFT($B65,4)="_Mil","",INDEX(Cascade!$U:$U,MATCH($E65,Cascade!$E:$E,0)))</f>
        <v/>
      </c>
      <c r="G65" s="14" t="str">
        <f>IFERROR(1/(1/INDEX(HTS!$AT:$AT,MATCH($E65,HTS!$E:$E,0))),"")</f>
        <v/>
      </c>
      <c r="H65" s="14" t="str">
        <f>IF(OR($C65="15-24",$C65="25-34"),IFERROR(1/(1/SUM(SUMIFS(AGYW!$S:$S,AGYW!$B:$B,$B65,AGYW!$C:$C,IF($C65="15-24",{"15-19","20-24"},{"25-29"}),AGYW!$D:$D,$D65))),""),"")</f>
        <v/>
      </c>
      <c r="I65" s="14" t="str">
        <f>IF(OR($C65="15-24",$C65="25-34"),IFERROR(1/(1/SUM(SUMIFS(AGYW!$T:$T,AGYW!$B:$B,$B65,AGYW!$C:$C,IF($C65="15-24",{"15-19","20-24"},{"25-29"}),AGYW!$D:$D,$D65))),""),"")</f>
        <v/>
      </c>
      <c r="J65" s="14"/>
      <c r="K65" s="14"/>
      <c r="L65" s="42" t="str">
        <f t="shared" si="1"/>
        <v/>
      </c>
      <c r="M65" s="14"/>
      <c r="N65" s="14"/>
      <c r="O65" s="42" t="str">
        <f t="shared" si="2"/>
        <v/>
      </c>
      <c r="P65" s="14">
        <f>2</f>
        <v>2</v>
      </c>
      <c r="Q65" s="42" t="str">
        <f t="shared" si="3"/>
        <v/>
      </c>
    </row>
    <row r="66" spans="1:17" x14ac:dyDescent="0.2">
      <c r="A66" t="str">
        <f>INDEX(Prioritization!$D:$D,MATCH($B66,Prioritization!$A:$A,0))</f>
        <v>1 - Scale-up: Saturation</v>
      </c>
      <c r="B66" t="s">
        <v>199</v>
      </c>
      <c r="C66" t="s">
        <v>365</v>
      </c>
      <c r="D66" t="s">
        <v>47</v>
      </c>
      <c r="E66" t="str">
        <f t="shared" si="0"/>
        <v>Nkhotakota District [YCKiBAp8QAg]|25-34|Male</v>
      </c>
      <c r="F66" s="14" t="str">
        <f>IF(LEFT($B66,4)="_Mil","",INDEX(Cascade!$U:$U,MATCH($E66,Cascade!$E:$E,0)))</f>
        <v/>
      </c>
      <c r="G66" s="14" t="str">
        <f>IFERROR(1/(1/INDEX(HTS!$AT:$AT,MATCH($E66,HTS!$E:$E,0))),"")</f>
        <v/>
      </c>
      <c r="H66" s="14" t="str">
        <f>IF(OR($C66="15-24",$C66="25-34"),IFERROR(1/(1/SUM(SUMIFS(AGYW!$S:$S,AGYW!$B:$B,$B66,AGYW!$C:$C,IF($C66="15-24",{"15-19","20-24"},{"25-29"}),AGYW!$D:$D,$D66))),""),"")</f>
        <v/>
      </c>
      <c r="I66" s="14" t="str">
        <f>IF(OR($C66="15-24",$C66="25-34"),IFERROR(1/(1/SUM(SUMIFS(AGYW!$T:$T,AGYW!$B:$B,$B66,AGYW!$C:$C,IF($C66="15-24",{"15-19","20-24"},{"25-29"}),AGYW!$D:$D,$D66))),""),"")</f>
        <v/>
      </c>
      <c r="J66" s="14"/>
      <c r="K66" s="14"/>
      <c r="L66" s="42" t="str">
        <f t="shared" si="1"/>
        <v/>
      </c>
      <c r="M66" s="14"/>
      <c r="N66" s="14"/>
      <c r="O66" s="42" t="str">
        <f t="shared" si="2"/>
        <v/>
      </c>
      <c r="P66" s="14">
        <f>2</f>
        <v>2</v>
      </c>
      <c r="Q66" s="42" t="str">
        <f t="shared" si="3"/>
        <v/>
      </c>
    </row>
    <row r="67" spans="1:17" x14ac:dyDescent="0.2">
      <c r="A67" t="str">
        <f>INDEX(Prioritization!$D:$D,MATCH($B67,Prioritization!$A:$A,0))</f>
        <v>1 - Scale-up: Saturation</v>
      </c>
      <c r="B67" t="s">
        <v>199</v>
      </c>
      <c r="C67" t="s">
        <v>366</v>
      </c>
      <c r="D67" t="s">
        <v>29</v>
      </c>
      <c r="E67" t="str">
        <f t="shared" si="0"/>
        <v>Nkhotakota District [YCKiBAp8QAg]|35-49|Female</v>
      </c>
      <c r="F67" s="14" t="str">
        <f>IF(LEFT($B67,4)="_Mil","",INDEX(Cascade!$U:$U,MATCH($E67,Cascade!$E:$E,0)))</f>
        <v/>
      </c>
      <c r="G67" s="14" t="str">
        <f>IFERROR(1/(1/INDEX(HTS!$AT:$AT,MATCH($E67,HTS!$E:$E,0))),"")</f>
        <v/>
      </c>
      <c r="H67" s="14" t="str">
        <f>IF(OR($C67="15-24",$C67="25-34"),IFERROR(1/(1/SUM(SUMIFS(AGYW!$S:$S,AGYW!$B:$B,$B67,AGYW!$C:$C,IF($C67="15-24",{"15-19","20-24"},{"25-29"}),AGYW!$D:$D,$D67))),""),"")</f>
        <v/>
      </c>
      <c r="I67" s="14" t="str">
        <f>IF(OR($C67="15-24",$C67="25-34"),IFERROR(1/(1/SUM(SUMIFS(AGYW!$T:$T,AGYW!$B:$B,$B67,AGYW!$C:$C,IF($C67="15-24",{"15-19","20-24"},{"25-29"}),AGYW!$D:$D,$D67))),""),"")</f>
        <v/>
      </c>
      <c r="J67" s="14"/>
      <c r="K67" s="14"/>
      <c r="L67" s="42" t="str">
        <f t="shared" si="1"/>
        <v/>
      </c>
      <c r="M67" s="14"/>
      <c r="N67" s="14"/>
      <c r="O67" s="42" t="str">
        <f t="shared" si="2"/>
        <v/>
      </c>
      <c r="P67" s="14">
        <f>2</f>
        <v>2</v>
      </c>
      <c r="Q67" s="42" t="str">
        <f t="shared" si="3"/>
        <v/>
      </c>
    </row>
    <row r="68" spans="1:17" x14ac:dyDescent="0.2">
      <c r="A68" t="str">
        <f>INDEX(Prioritization!$D:$D,MATCH($B68,Prioritization!$A:$A,0))</f>
        <v>1 - Scale-up: Saturation</v>
      </c>
      <c r="B68" t="s">
        <v>199</v>
      </c>
      <c r="C68" t="s">
        <v>366</v>
      </c>
      <c r="D68" t="s">
        <v>47</v>
      </c>
      <c r="E68" t="str">
        <f t="shared" si="0"/>
        <v>Nkhotakota District [YCKiBAp8QAg]|35-49|Male</v>
      </c>
      <c r="F68" s="14" t="str">
        <f>IF(LEFT($B68,4)="_Mil","",INDEX(Cascade!$U:$U,MATCH($E68,Cascade!$E:$E,0)))</f>
        <v/>
      </c>
      <c r="G68" s="14" t="str">
        <f>IFERROR(1/(1/INDEX(HTS!$AT:$AT,MATCH($E68,HTS!$E:$E,0))),"")</f>
        <v/>
      </c>
      <c r="H68" s="14" t="str">
        <f>IF(OR($C68="15-24",$C68="25-34"),IFERROR(1/(1/SUM(SUMIFS(AGYW!$S:$S,AGYW!$B:$B,$B68,AGYW!$C:$C,IF($C68="15-24",{"15-19","20-24"},{"25-29"}),AGYW!$D:$D,$D68))),""),"")</f>
        <v/>
      </c>
      <c r="I68" s="14" t="str">
        <f>IF(OR($C68="15-24",$C68="25-34"),IFERROR(1/(1/SUM(SUMIFS(AGYW!$T:$T,AGYW!$B:$B,$B68,AGYW!$C:$C,IF($C68="15-24",{"15-19","20-24"},{"25-29"}),AGYW!$D:$D,$D68))),""),"")</f>
        <v/>
      </c>
      <c r="J68" s="14"/>
      <c r="K68" s="14"/>
      <c r="L68" s="42" t="str">
        <f t="shared" si="1"/>
        <v/>
      </c>
      <c r="M68" s="14"/>
      <c r="N68" s="14"/>
      <c r="O68" s="42" t="str">
        <f t="shared" si="2"/>
        <v/>
      </c>
      <c r="P68" s="14">
        <f>2</f>
        <v>2</v>
      </c>
      <c r="Q68" s="42" t="str">
        <f t="shared" si="3"/>
        <v/>
      </c>
    </row>
    <row r="69" spans="1:17" x14ac:dyDescent="0.2">
      <c r="A69" t="str">
        <f>INDEX(Prioritization!$D:$D,MATCH($B69,Prioritization!$A:$A,0))</f>
        <v>1 - Scale-up: Saturation</v>
      </c>
      <c r="B69" t="s">
        <v>199</v>
      </c>
      <c r="C69" t="s">
        <v>367</v>
      </c>
      <c r="D69" t="s">
        <v>29</v>
      </c>
      <c r="E69" t="str">
        <f t="shared" si="0"/>
        <v>Nkhotakota District [YCKiBAp8QAg]|50+|Female</v>
      </c>
      <c r="F69" s="14" t="str">
        <f>IF(LEFT($B69,4)="_Mil","",INDEX(Cascade!$U:$U,MATCH($E69,Cascade!$E:$E,0)))</f>
        <v/>
      </c>
      <c r="G69" s="14" t="str">
        <f>IFERROR(1/(1/INDEX(HTS!$AT:$AT,MATCH($E69,HTS!$E:$E,0))),"")</f>
        <v/>
      </c>
      <c r="H69" s="14" t="str">
        <f>IF(OR($C69="15-24",$C69="25-34"),IFERROR(1/(1/SUM(SUMIFS(AGYW!$S:$S,AGYW!$B:$B,$B69,AGYW!$C:$C,IF($C69="15-24",{"15-19","20-24"},{"25-29"}),AGYW!$D:$D,$D69))),""),"")</f>
        <v/>
      </c>
      <c r="I69" s="14" t="str">
        <f>IF(OR($C69="15-24",$C69="25-34"),IFERROR(1/(1/SUM(SUMIFS(AGYW!$T:$T,AGYW!$B:$B,$B69,AGYW!$C:$C,IF($C69="15-24",{"15-19","20-24"},{"25-29"}),AGYW!$D:$D,$D69))),""),"")</f>
        <v/>
      </c>
      <c r="J69" s="14"/>
      <c r="K69" s="14"/>
      <c r="L69" s="42" t="str">
        <f t="shared" si="1"/>
        <v/>
      </c>
      <c r="M69" s="14"/>
      <c r="N69" s="14"/>
      <c r="O69" s="42" t="str">
        <f t="shared" si="2"/>
        <v/>
      </c>
      <c r="P69" s="14">
        <f>2</f>
        <v>2</v>
      </c>
      <c r="Q69" s="42" t="str">
        <f t="shared" si="3"/>
        <v/>
      </c>
    </row>
    <row r="70" spans="1:17" x14ac:dyDescent="0.2">
      <c r="A70" t="str">
        <f>INDEX(Prioritization!$D:$D,MATCH($B70,Prioritization!$A:$A,0))</f>
        <v>1 - Scale-up: Saturation</v>
      </c>
      <c r="B70" t="s">
        <v>199</v>
      </c>
      <c r="C70" t="s">
        <v>367</v>
      </c>
      <c r="D70" t="s">
        <v>47</v>
      </c>
      <c r="E70" t="str">
        <f t="shared" si="0"/>
        <v>Nkhotakota District [YCKiBAp8QAg]|50+|Male</v>
      </c>
      <c r="F70" s="14" t="str">
        <f>IF(LEFT($B70,4)="_Mil","",INDEX(Cascade!$U:$U,MATCH($E70,Cascade!$E:$E,0)))</f>
        <v/>
      </c>
      <c r="G70" s="14" t="str">
        <f>IFERROR(1/(1/INDEX(HTS!$AT:$AT,MATCH($E70,HTS!$E:$E,0))),"")</f>
        <v/>
      </c>
      <c r="H70" s="14" t="str">
        <f>IF(OR($C70="15-24",$C70="25-34"),IFERROR(1/(1/SUM(SUMIFS(AGYW!$S:$S,AGYW!$B:$B,$B70,AGYW!$C:$C,IF($C70="15-24",{"15-19","20-24"},{"25-29"}),AGYW!$D:$D,$D70))),""),"")</f>
        <v/>
      </c>
      <c r="I70" s="14" t="str">
        <f>IF(OR($C70="15-24",$C70="25-34"),IFERROR(1/(1/SUM(SUMIFS(AGYW!$T:$T,AGYW!$B:$B,$B70,AGYW!$C:$C,IF($C70="15-24",{"15-19","20-24"},{"25-29"}),AGYW!$D:$D,$D70))),""),"")</f>
        <v/>
      </c>
      <c r="J70" s="14"/>
      <c r="K70" s="14"/>
      <c r="L70" s="42" t="str">
        <f t="shared" si="1"/>
        <v/>
      </c>
      <c r="M70" s="14"/>
      <c r="N70" s="14"/>
      <c r="O70" s="42" t="str">
        <f t="shared" si="2"/>
        <v/>
      </c>
      <c r="P70" s="14">
        <f>2</f>
        <v>2</v>
      </c>
      <c r="Q70" s="42" t="str">
        <f t="shared" si="3"/>
        <v/>
      </c>
    </row>
    <row r="71" spans="1:17" x14ac:dyDescent="0.2">
      <c r="A71" t="str">
        <f>INDEX(Prioritization!$D:$D,MATCH($B71,Prioritization!$A:$A,0))</f>
        <v>INVALID</v>
      </c>
      <c r="B71" t="s">
        <v>200</v>
      </c>
      <c r="C71" t="s">
        <v>364</v>
      </c>
      <c r="D71" t="s">
        <v>29</v>
      </c>
      <c r="E71" t="str">
        <f t="shared" si="0"/>
        <v>Ntcheu District [am530wpaGvr]|15-24|Female</v>
      </c>
      <c r="F71" s="14" t="str">
        <f>IF(LEFT($B71,4)="_Mil","",INDEX(Cascade!$U:$U,MATCH($E71,Cascade!$E:$E,0)))</f>
        <v/>
      </c>
      <c r="G71" s="14" t="str">
        <f>IFERROR(1/(1/INDEX(HTS!$AT:$AT,MATCH($E71,HTS!$E:$E,0))),"")</f>
        <v/>
      </c>
      <c r="H71" s="14" t="str">
        <f>IF(OR($C71="15-24",$C71="25-34"),IFERROR(1/(1/SUM(SUMIFS(AGYW!$S:$S,AGYW!$B:$B,$B71,AGYW!$C:$C,IF($C71="15-24",{"15-19","20-24"},{"25-29"}),AGYW!$D:$D,$D71))),""),"")</f>
        <v/>
      </c>
      <c r="I71" s="14" t="str">
        <f>IF(OR($C71="15-24",$C71="25-34"),IFERROR(1/(1/SUM(SUMIFS(AGYW!$T:$T,AGYW!$B:$B,$B71,AGYW!$C:$C,IF($C71="15-24",{"15-19","20-24"},{"25-29"}),AGYW!$D:$D,$D71))),""),"")</f>
        <v/>
      </c>
      <c r="J71" s="14"/>
      <c r="K71" s="14"/>
      <c r="L71" s="42" t="str">
        <f t="shared" si="1"/>
        <v/>
      </c>
      <c r="M71" s="14"/>
      <c r="N71" s="14"/>
      <c r="O71" s="42" t="str">
        <f t="shared" si="2"/>
        <v/>
      </c>
      <c r="P71" s="14">
        <f>2</f>
        <v>2</v>
      </c>
      <c r="Q71" s="42" t="str">
        <f t="shared" si="3"/>
        <v/>
      </c>
    </row>
    <row r="72" spans="1:17" x14ac:dyDescent="0.2">
      <c r="A72" t="str">
        <f>INDEX(Prioritization!$D:$D,MATCH($B72,Prioritization!$A:$A,0))</f>
        <v>INVALID</v>
      </c>
      <c r="B72" t="s">
        <v>200</v>
      </c>
      <c r="C72" t="s">
        <v>364</v>
      </c>
      <c r="D72" t="s">
        <v>47</v>
      </c>
      <c r="E72" t="str">
        <f t="shared" si="0"/>
        <v>Ntcheu District [am530wpaGvr]|15-24|Male</v>
      </c>
      <c r="F72" s="14" t="str">
        <f>IF(LEFT($B72,4)="_Mil","",INDEX(Cascade!$U:$U,MATCH($E72,Cascade!$E:$E,0)))</f>
        <v/>
      </c>
      <c r="G72" s="14" t="str">
        <f>IFERROR(1/(1/INDEX(HTS!$AT:$AT,MATCH($E72,HTS!$E:$E,0))),"")</f>
        <v/>
      </c>
      <c r="H72" s="14" t="str">
        <f>IF(OR($C72="15-24",$C72="25-34"),IFERROR(1/(1/SUM(SUMIFS(AGYW!$S:$S,AGYW!$B:$B,$B72,AGYW!$C:$C,IF($C72="15-24",{"15-19","20-24"},{"25-29"}),AGYW!$D:$D,$D72))),""),"")</f>
        <v/>
      </c>
      <c r="I72" s="14" t="str">
        <f>IF(OR($C72="15-24",$C72="25-34"),IFERROR(1/(1/SUM(SUMIFS(AGYW!$T:$T,AGYW!$B:$B,$B72,AGYW!$C:$C,IF($C72="15-24",{"15-19","20-24"},{"25-29"}),AGYW!$D:$D,$D72))),""),"")</f>
        <v/>
      </c>
      <c r="J72" s="14"/>
      <c r="K72" s="14"/>
      <c r="L72" s="42" t="str">
        <f t="shared" si="1"/>
        <v/>
      </c>
      <c r="M72" s="14"/>
      <c r="N72" s="14"/>
      <c r="O72" s="42" t="str">
        <f t="shared" si="2"/>
        <v/>
      </c>
      <c r="P72" s="14">
        <f>2</f>
        <v>2</v>
      </c>
      <c r="Q72" s="42" t="str">
        <f t="shared" si="3"/>
        <v/>
      </c>
    </row>
    <row r="73" spans="1:17" x14ac:dyDescent="0.2">
      <c r="A73" t="str">
        <f>INDEX(Prioritization!$D:$D,MATCH($B73,Prioritization!$A:$A,0))</f>
        <v>INVALID</v>
      </c>
      <c r="B73" t="s">
        <v>200</v>
      </c>
      <c r="C73" t="s">
        <v>365</v>
      </c>
      <c r="D73" t="s">
        <v>29</v>
      </c>
      <c r="E73" t="str">
        <f t="shared" si="0"/>
        <v>Ntcheu District [am530wpaGvr]|25-34|Female</v>
      </c>
      <c r="F73" s="14" t="str">
        <f>IF(LEFT($B73,4)="_Mil","",INDEX(Cascade!$U:$U,MATCH($E73,Cascade!$E:$E,0)))</f>
        <v/>
      </c>
      <c r="G73" s="14" t="str">
        <f>IFERROR(1/(1/INDEX(HTS!$AT:$AT,MATCH($E73,HTS!$E:$E,0))),"")</f>
        <v/>
      </c>
      <c r="H73" s="14" t="str">
        <f>IF(OR($C73="15-24",$C73="25-34"),IFERROR(1/(1/SUM(SUMIFS(AGYW!$S:$S,AGYW!$B:$B,$B73,AGYW!$C:$C,IF($C73="15-24",{"15-19","20-24"},{"25-29"}),AGYW!$D:$D,$D73))),""),"")</f>
        <v/>
      </c>
      <c r="I73" s="14" t="str">
        <f>IF(OR($C73="15-24",$C73="25-34"),IFERROR(1/(1/SUM(SUMIFS(AGYW!$T:$T,AGYW!$B:$B,$B73,AGYW!$C:$C,IF($C73="15-24",{"15-19","20-24"},{"25-29"}),AGYW!$D:$D,$D73))),""),"")</f>
        <v/>
      </c>
      <c r="J73" s="14"/>
      <c r="K73" s="14"/>
      <c r="L73" s="42" t="str">
        <f t="shared" si="1"/>
        <v/>
      </c>
      <c r="M73" s="14"/>
      <c r="N73" s="14"/>
      <c r="O73" s="42" t="str">
        <f t="shared" si="2"/>
        <v/>
      </c>
      <c r="P73" s="14">
        <f>2</f>
        <v>2</v>
      </c>
      <c r="Q73" s="42" t="str">
        <f t="shared" si="3"/>
        <v/>
      </c>
    </row>
    <row r="74" spans="1:17" x14ac:dyDescent="0.2">
      <c r="A74" t="str">
        <f>INDEX(Prioritization!$D:$D,MATCH($B74,Prioritization!$A:$A,0))</f>
        <v>INVALID</v>
      </c>
      <c r="B74" t="s">
        <v>200</v>
      </c>
      <c r="C74" t="s">
        <v>365</v>
      </c>
      <c r="D74" t="s">
        <v>47</v>
      </c>
      <c r="E74" t="str">
        <f t="shared" si="0"/>
        <v>Ntcheu District [am530wpaGvr]|25-34|Male</v>
      </c>
      <c r="F74" s="14" t="str">
        <f>IF(LEFT($B74,4)="_Mil","",INDEX(Cascade!$U:$U,MATCH($E74,Cascade!$E:$E,0)))</f>
        <v/>
      </c>
      <c r="G74" s="14" t="str">
        <f>IFERROR(1/(1/INDEX(HTS!$AT:$AT,MATCH($E74,HTS!$E:$E,0))),"")</f>
        <v/>
      </c>
      <c r="H74" s="14" t="str">
        <f>IF(OR($C74="15-24",$C74="25-34"),IFERROR(1/(1/SUM(SUMIFS(AGYW!$S:$S,AGYW!$B:$B,$B74,AGYW!$C:$C,IF($C74="15-24",{"15-19","20-24"},{"25-29"}),AGYW!$D:$D,$D74))),""),"")</f>
        <v/>
      </c>
      <c r="I74" s="14" t="str">
        <f>IF(OR($C74="15-24",$C74="25-34"),IFERROR(1/(1/SUM(SUMIFS(AGYW!$T:$T,AGYW!$B:$B,$B74,AGYW!$C:$C,IF($C74="15-24",{"15-19","20-24"},{"25-29"}),AGYW!$D:$D,$D74))),""),"")</f>
        <v/>
      </c>
      <c r="J74" s="14"/>
      <c r="K74" s="14"/>
      <c r="L74" s="42" t="str">
        <f t="shared" si="1"/>
        <v/>
      </c>
      <c r="M74" s="14"/>
      <c r="N74" s="14"/>
      <c r="O74" s="42" t="str">
        <f t="shared" si="2"/>
        <v/>
      </c>
      <c r="P74" s="14">
        <f>2</f>
        <v>2</v>
      </c>
      <c r="Q74" s="42" t="str">
        <f t="shared" si="3"/>
        <v/>
      </c>
    </row>
    <row r="75" spans="1:17" x14ac:dyDescent="0.2">
      <c r="A75" t="str">
        <f>INDEX(Prioritization!$D:$D,MATCH($B75,Prioritization!$A:$A,0))</f>
        <v>INVALID</v>
      </c>
      <c r="B75" t="s">
        <v>200</v>
      </c>
      <c r="C75" t="s">
        <v>366</v>
      </c>
      <c r="D75" t="s">
        <v>29</v>
      </c>
      <c r="E75" t="str">
        <f t="shared" si="0"/>
        <v>Ntcheu District [am530wpaGvr]|35-49|Female</v>
      </c>
      <c r="F75" s="14" t="str">
        <f>IF(LEFT($B75,4)="_Mil","",INDEX(Cascade!$U:$U,MATCH($E75,Cascade!$E:$E,0)))</f>
        <v/>
      </c>
      <c r="G75" s="14" t="str">
        <f>IFERROR(1/(1/INDEX(HTS!$AT:$AT,MATCH($E75,HTS!$E:$E,0))),"")</f>
        <v/>
      </c>
      <c r="H75" s="14" t="str">
        <f>IF(OR($C75="15-24",$C75="25-34"),IFERROR(1/(1/SUM(SUMIFS(AGYW!$S:$S,AGYW!$B:$B,$B75,AGYW!$C:$C,IF($C75="15-24",{"15-19","20-24"},{"25-29"}),AGYW!$D:$D,$D75))),""),"")</f>
        <v/>
      </c>
      <c r="I75" s="14" t="str">
        <f>IF(OR($C75="15-24",$C75="25-34"),IFERROR(1/(1/SUM(SUMIFS(AGYW!$T:$T,AGYW!$B:$B,$B75,AGYW!$C:$C,IF($C75="15-24",{"15-19","20-24"},{"25-29"}),AGYW!$D:$D,$D75))),""),"")</f>
        <v/>
      </c>
      <c r="J75" s="14"/>
      <c r="K75" s="14"/>
      <c r="L75" s="42" t="str">
        <f t="shared" si="1"/>
        <v/>
      </c>
      <c r="M75" s="14"/>
      <c r="N75" s="14"/>
      <c r="O75" s="42" t="str">
        <f t="shared" si="2"/>
        <v/>
      </c>
      <c r="P75" s="14">
        <f>2</f>
        <v>2</v>
      </c>
      <c r="Q75" s="42" t="str">
        <f t="shared" si="3"/>
        <v/>
      </c>
    </row>
    <row r="76" spans="1:17" x14ac:dyDescent="0.2">
      <c r="A76" t="str">
        <f>INDEX(Prioritization!$D:$D,MATCH($B76,Prioritization!$A:$A,0))</f>
        <v>INVALID</v>
      </c>
      <c r="B76" t="s">
        <v>200</v>
      </c>
      <c r="C76" t="s">
        <v>366</v>
      </c>
      <c r="D76" t="s">
        <v>47</v>
      </c>
      <c r="E76" t="str">
        <f t="shared" si="0"/>
        <v>Ntcheu District [am530wpaGvr]|35-49|Male</v>
      </c>
      <c r="F76" s="14" t="str">
        <f>IF(LEFT($B76,4)="_Mil","",INDEX(Cascade!$U:$U,MATCH($E76,Cascade!$E:$E,0)))</f>
        <v/>
      </c>
      <c r="G76" s="14" t="str">
        <f>IFERROR(1/(1/INDEX(HTS!$AT:$AT,MATCH($E76,HTS!$E:$E,0))),"")</f>
        <v/>
      </c>
      <c r="H76" s="14" t="str">
        <f>IF(OR($C76="15-24",$C76="25-34"),IFERROR(1/(1/SUM(SUMIFS(AGYW!$S:$S,AGYW!$B:$B,$B76,AGYW!$C:$C,IF($C76="15-24",{"15-19","20-24"},{"25-29"}),AGYW!$D:$D,$D76))),""),"")</f>
        <v/>
      </c>
      <c r="I76" s="14" t="str">
        <f>IF(OR($C76="15-24",$C76="25-34"),IFERROR(1/(1/SUM(SUMIFS(AGYW!$T:$T,AGYW!$B:$B,$B76,AGYW!$C:$C,IF($C76="15-24",{"15-19","20-24"},{"25-29"}),AGYW!$D:$D,$D76))),""),"")</f>
        <v/>
      </c>
      <c r="J76" s="14"/>
      <c r="K76" s="14"/>
      <c r="L76" s="42" t="str">
        <f t="shared" si="1"/>
        <v/>
      </c>
      <c r="M76" s="14"/>
      <c r="N76" s="14"/>
      <c r="O76" s="42" t="str">
        <f t="shared" si="2"/>
        <v/>
      </c>
      <c r="P76" s="14">
        <f>2</f>
        <v>2</v>
      </c>
      <c r="Q76" s="42" t="str">
        <f t="shared" si="3"/>
        <v/>
      </c>
    </row>
    <row r="77" spans="1:17" x14ac:dyDescent="0.2">
      <c r="A77" t="str">
        <f>INDEX(Prioritization!$D:$D,MATCH($B77,Prioritization!$A:$A,0))</f>
        <v>INVALID</v>
      </c>
      <c r="B77" t="s">
        <v>200</v>
      </c>
      <c r="C77" t="s">
        <v>367</v>
      </c>
      <c r="D77" t="s">
        <v>29</v>
      </c>
      <c r="E77" t="str">
        <f t="shared" si="0"/>
        <v>Ntcheu District [am530wpaGvr]|50+|Female</v>
      </c>
      <c r="F77" s="14" t="str">
        <f>IF(LEFT($B77,4)="_Mil","",INDEX(Cascade!$U:$U,MATCH($E77,Cascade!$E:$E,0)))</f>
        <v/>
      </c>
      <c r="G77" s="14" t="str">
        <f>IFERROR(1/(1/INDEX(HTS!$AT:$AT,MATCH($E77,HTS!$E:$E,0))),"")</f>
        <v/>
      </c>
      <c r="H77" s="14" t="str">
        <f>IF(OR($C77="15-24",$C77="25-34"),IFERROR(1/(1/SUM(SUMIFS(AGYW!$S:$S,AGYW!$B:$B,$B77,AGYW!$C:$C,IF($C77="15-24",{"15-19","20-24"},{"25-29"}),AGYW!$D:$D,$D77))),""),"")</f>
        <v/>
      </c>
      <c r="I77" s="14" t="str">
        <f>IF(OR($C77="15-24",$C77="25-34"),IFERROR(1/(1/SUM(SUMIFS(AGYW!$T:$T,AGYW!$B:$B,$B77,AGYW!$C:$C,IF($C77="15-24",{"15-19","20-24"},{"25-29"}),AGYW!$D:$D,$D77))),""),"")</f>
        <v/>
      </c>
      <c r="J77" s="14"/>
      <c r="K77" s="14"/>
      <c r="L77" s="42" t="str">
        <f t="shared" si="1"/>
        <v/>
      </c>
      <c r="M77" s="14"/>
      <c r="N77" s="14"/>
      <c r="O77" s="42" t="str">
        <f t="shared" si="2"/>
        <v/>
      </c>
      <c r="P77" s="14">
        <f>2</f>
        <v>2</v>
      </c>
      <c r="Q77" s="42" t="str">
        <f t="shared" si="3"/>
        <v/>
      </c>
    </row>
    <row r="78" spans="1:17" x14ac:dyDescent="0.2">
      <c r="A78" t="str">
        <f>INDEX(Prioritization!$D:$D,MATCH($B78,Prioritization!$A:$A,0))</f>
        <v>INVALID</v>
      </c>
      <c r="B78" t="s">
        <v>200</v>
      </c>
      <c r="C78" t="s">
        <v>367</v>
      </c>
      <c r="D78" t="s">
        <v>47</v>
      </c>
      <c r="E78" t="str">
        <f t="shared" si="0"/>
        <v>Ntcheu District [am530wpaGvr]|50+|Male</v>
      </c>
      <c r="F78" s="14" t="str">
        <f>IF(LEFT($B78,4)="_Mil","",INDEX(Cascade!$U:$U,MATCH($E78,Cascade!$E:$E,0)))</f>
        <v/>
      </c>
      <c r="G78" s="14" t="str">
        <f>IFERROR(1/(1/INDEX(HTS!$AT:$AT,MATCH($E78,HTS!$E:$E,0))),"")</f>
        <v/>
      </c>
      <c r="H78" s="14" t="str">
        <f>IF(OR($C78="15-24",$C78="25-34"),IFERROR(1/(1/SUM(SUMIFS(AGYW!$S:$S,AGYW!$B:$B,$B78,AGYW!$C:$C,IF($C78="15-24",{"15-19","20-24"},{"25-29"}),AGYW!$D:$D,$D78))),""),"")</f>
        <v/>
      </c>
      <c r="I78" s="14" t="str">
        <f>IF(OR($C78="15-24",$C78="25-34"),IFERROR(1/(1/SUM(SUMIFS(AGYW!$T:$T,AGYW!$B:$B,$B78,AGYW!$C:$C,IF($C78="15-24",{"15-19","20-24"},{"25-29"}),AGYW!$D:$D,$D78))),""),"")</f>
        <v/>
      </c>
      <c r="J78" s="14"/>
      <c r="K78" s="14"/>
      <c r="L78" s="42" t="str">
        <f t="shared" si="1"/>
        <v/>
      </c>
      <c r="M78" s="14"/>
      <c r="N78" s="14"/>
      <c r="O78" s="42" t="str">
        <f t="shared" si="2"/>
        <v/>
      </c>
      <c r="P78" s="14">
        <f>2</f>
        <v>2</v>
      </c>
      <c r="Q78" s="42" t="str">
        <f t="shared" si="3"/>
        <v/>
      </c>
    </row>
    <row r="79" spans="1:17" x14ac:dyDescent="0.2">
      <c r="A79" t="str">
        <f>INDEX(Prioritization!$D:$D,MATCH($B79,Prioritization!$A:$A,0))</f>
        <v>INVALID</v>
      </c>
      <c r="B79" t="s">
        <v>201</v>
      </c>
      <c r="C79" t="s">
        <v>364</v>
      </c>
      <c r="D79" t="s">
        <v>29</v>
      </c>
      <c r="E79" t="str">
        <f t="shared" ref="E79:E142" si="4">B79&amp;"|"&amp;C79&amp;"|"&amp;D79</f>
        <v>Ntchisi District [fiRkU6gEjLz]|15-24|Female</v>
      </c>
      <c r="F79" s="14" t="str">
        <f>IF(LEFT($B79,4)="_Mil","",INDEX(Cascade!$U:$U,MATCH($E79,Cascade!$E:$E,0)))</f>
        <v/>
      </c>
      <c r="G79" s="14" t="str">
        <f>IFERROR(1/(1/INDEX(HTS!$AT:$AT,MATCH($E79,HTS!$E:$E,0))),"")</f>
        <v/>
      </c>
      <c r="H79" s="14" t="str">
        <f>IF(OR($C79="15-24",$C79="25-34"),IFERROR(1/(1/SUM(SUMIFS(AGYW!$S:$S,AGYW!$B:$B,$B79,AGYW!$C:$C,IF($C79="15-24",{"15-19","20-24"},{"25-29"}),AGYW!$D:$D,$D79))),""),"")</f>
        <v/>
      </c>
      <c r="I79" s="14" t="str">
        <f>IF(OR($C79="15-24",$C79="25-34"),IFERROR(1/(1/SUM(SUMIFS(AGYW!$T:$T,AGYW!$B:$B,$B79,AGYW!$C:$C,IF($C79="15-24",{"15-19","20-24"},{"25-29"}),AGYW!$D:$D,$D79))),""),"")</f>
        <v/>
      </c>
      <c r="J79" s="14"/>
      <c r="K79" s="14"/>
      <c r="L79" s="42" t="str">
        <f t="shared" ref="L79:L142" si="5">IF(SUM($K79)=0,"",$K79)</f>
        <v/>
      </c>
      <c r="M79" s="14"/>
      <c r="N79" s="14"/>
      <c r="O79" s="42" t="str">
        <f t="shared" ref="O79:O142" si="6">IF(SUM($N79)=0,"",$N79)</f>
        <v/>
      </c>
      <c r="P79" s="14">
        <f>2</f>
        <v>2</v>
      </c>
      <c r="Q79" s="42" t="str">
        <f t="shared" ref="Q79:Q142" si="7">IF(SUM($O79)=0,"",$O79*$P79)</f>
        <v/>
      </c>
    </row>
    <row r="80" spans="1:17" x14ac:dyDescent="0.2">
      <c r="A80" t="str">
        <f>INDEX(Prioritization!$D:$D,MATCH($B80,Prioritization!$A:$A,0))</f>
        <v>INVALID</v>
      </c>
      <c r="B80" t="s">
        <v>201</v>
      </c>
      <c r="C80" t="s">
        <v>364</v>
      </c>
      <c r="D80" t="s">
        <v>47</v>
      </c>
      <c r="E80" t="str">
        <f t="shared" si="4"/>
        <v>Ntchisi District [fiRkU6gEjLz]|15-24|Male</v>
      </c>
      <c r="F80" s="14" t="str">
        <f>IF(LEFT($B80,4)="_Mil","",INDEX(Cascade!$U:$U,MATCH($E80,Cascade!$E:$E,0)))</f>
        <v/>
      </c>
      <c r="G80" s="14" t="str">
        <f>IFERROR(1/(1/INDEX(HTS!$AT:$AT,MATCH($E80,HTS!$E:$E,0))),"")</f>
        <v/>
      </c>
      <c r="H80" s="14" t="str">
        <f>IF(OR($C80="15-24",$C80="25-34"),IFERROR(1/(1/SUM(SUMIFS(AGYW!$S:$S,AGYW!$B:$B,$B80,AGYW!$C:$C,IF($C80="15-24",{"15-19","20-24"},{"25-29"}),AGYW!$D:$D,$D80))),""),"")</f>
        <v/>
      </c>
      <c r="I80" s="14" t="str">
        <f>IF(OR($C80="15-24",$C80="25-34"),IFERROR(1/(1/SUM(SUMIFS(AGYW!$T:$T,AGYW!$B:$B,$B80,AGYW!$C:$C,IF($C80="15-24",{"15-19","20-24"},{"25-29"}),AGYW!$D:$D,$D80))),""),"")</f>
        <v/>
      </c>
      <c r="J80" s="14"/>
      <c r="K80" s="14"/>
      <c r="L80" s="42" t="str">
        <f t="shared" si="5"/>
        <v/>
      </c>
      <c r="M80" s="14"/>
      <c r="N80" s="14"/>
      <c r="O80" s="42" t="str">
        <f t="shared" si="6"/>
        <v/>
      </c>
      <c r="P80" s="14">
        <f>2</f>
        <v>2</v>
      </c>
      <c r="Q80" s="42" t="str">
        <f t="shared" si="7"/>
        <v/>
      </c>
    </row>
    <row r="81" spans="1:17" x14ac:dyDescent="0.2">
      <c r="A81" t="str">
        <f>INDEX(Prioritization!$D:$D,MATCH($B81,Prioritization!$A:$A,0))</f>
        <v>INVALID</v>
      </c>
      <c r="B81" t="s">
        <v>201</v>
      </c>
      <c r="C81" t="s">
        <v>365</v>
      </c>
      <c r="D81" t="s">
        <v>29</v>
      </c>
      <c r="E81" t="str">
        <f t="shared" si="4"/>
        <v>Ntchisi District [fiRkU6gEjLz]|25-34|Female</v>
      </c>
      <c r="F81" s="14" t="str">
        <f>IF(LEFT($B81,4)="_Mil","",INDEX(Cascade!$U:$U,MATCH($E81,Cascade!$E:$E,0)))</f>
        <v/>
      </c>
      <c r="G81" s="14" t="str">
        <f>IFERROR(1/(1/INDEX(HTS!$AT:$AT,MATCH($E81,HTS!$E:$E,0))),"")</f>
        <v/>
      </c>
      <c r="H81" s="14" t="str">
        <f>IF(OR($C81="15-24",$C81="25-34"),IFERROR(1/(1/SUM(SUMIFS(AGYW!$S:$S,AGYW!$B:$B,$B81,AGYW!$C:$C,IF($C81="15-24",{"15-19","20-24"},{"25-29"}),AGYW!$D:$D,$D81))),""),"")</f>
        <v/>
      </c>
      <c r="I81" s="14" t="str">
        <f>IF(OR($C81="15-24",$C81="25-34"),IFERROR(1/(1/SUM(SUMIFS(AGYW!$T:$T,AGYW!$B:$B,$B81,AGYW!$C:$C,IF($C81="15-24",{"15-19","20-24"},{"25-29"}),AGYW!$D:$D,$D81))),""),"")</f>
        <v/>
      </c>
      <c r="J81" s="14"/>
      <c r="K81" s="14"/>
      <c r="L81" s="42" t="str">
        <f t="shared" si="5"/>
        <v/>
      </c>
      <c r="M81" s="14"/>
      <c r="N81" s="14"/>
      <c r="O81" s="42" t="str">
        <f t="shared" si="6"/>
        <v/>
      </c>
      <c r="P81" s="14">
        <f>2</f>
        <v>2</v>
      </c>
      <c r="Q81" s="42" t="str">
        <f t="shared" si="7"/>
        <v/>
      </c>
    </row>
    <row r="82" spans="1:17" x14ac:dyDescent="0.2">
      <c r="A82" t="str">
        <f>INDEX(Prioritization!$D:$D,MATCH($B82,Prioritization!$A:$A,0))</f>
        <v>INVALID</v>
      </c>
      <c r="B82" t="s">
        <v>201</v>
      </c>
      <c r="C82" t="s">
        <v>365</v>
      </c>
      <c r="D82" t="s">
        <v>47</v>
      </c>
      <c r="E82" t="str">
        <f t="shared" si="4"/>
        <v>Ntchisi District [fiRkU6gEjLz]|25-34|Male</v>
      </c>
      <c r="F82" s="14" t="str">
        <f>IF(LEFT($B82,4)="_Mil","",INDEX(Cascade!$U:$U,MATCH($E82,Cascade!$E:$E,0)))</f>
        <v/>
      </c>
      <c r="G82" s="14" t="str">
        <f>IFERROR(1/(1/INDEX(HTS!$AT:$AT,MATCH($E82,HTS!$E:$E,0))),"")</f>
        <v/>
      </c>
      <c r="H82" s="14" t="str">
        <f>IF(OR($C82="15-24",$C82="25-34"),IFERROR(1/(1/SUM(SUMIFS(AGYW!$S:$S,AGYW!$B:$B,$B82,AGYW!$C:$C,IF($C82="15-24",{"15-19","20-24"},{"25-29"}),AGYW!$D:$D,$D82))),""),"")</f>
        <v/>
      </c>
      <c r="I82" s="14" t="str">
        <f>IF(OR($C82="15-24",$C82="25-34"),IFERROR(1/(1/SUM(SUMIFS(AGYW!$T:$T,AGYW!$B:$B,$B82,AGYW!$C:$C,IF($C82="15-24",{"15-19","20-24"},{"25-29"}),AGYW!$D:$D,$D82))),""),"")</f>
        <v/>
      </c>
      <c r="J82" s="14"/>
      <c r="K82" s="14"/>
      <c r="L82" s="42" t="str">
        <f t="shared" si="5"/>
        <v/>
      </c>
      <c r="M82" s="14"/>
      <c r="N82" s="14"/>
      <c r="O82" s="42" t="str">
        <f t="shared" si="6"/>
        <v/>
      </c>
      <c r="P82" s="14">
        <f>2</f>
        <v>2</v>
      </c>
      <c r="Q82" s="42" t="str">
        <f t="shared" si="7"/>
        <v/>
      </c>
    </row>
    <row r="83" spans="1:17" x14ac:dyDescent="0.2">
      <c r="A83" t="str">
        <f>INDEX(Prioritization!$D:$D,MATCH($B83,Prioritization!$A:$A,0))</f>
        <v>INVALID</v>
      </c>
      <c r="B83" t="s">
        <v>201</v>
      </c>
      <c r="C83" t="s">
        <v>366</v>
      </c>
      <c r="D83" t="s">
        <v>29</v>
      </c>
      <c r="E83" t="str">
        <f t="shared" si="4"/>
        <v>Ntchisi District [fiRkU6gEjLz]|35-49|Female</v>
      </c>
      <c r="F83" s="14" t="str">
        <f>IF(LEFT($B83,4)="_Mil","",INDEX(Cascade!$U:$U,MATCH($E83,Cascade!$E:$E,0)))</f>
        <v/>
      </c>
      <c r="G83" s="14" t="str">
        <f>IFERROR(1/(1/INDEX(HTS!$AT:$AT,MATCH($E83,HTS!$E:$E,0))),"")</f>
        <v/>
      </c>
      <c r="H83" s="14" t="str">
        <f>IF(OR($C83="15-24",$C83="25-34"),IFERROR(1/(1/SUM(SUMIFS(AGYW!$S:$S,AGYW!$B:$B,$B83,AGYW!$C:$C,IF($C83="15-24",{"15-19","20-24"},{"25-29"}),AGYW!$D:$D,$D83))),""),"")</f>
        <v/>
      </c>
      <c r="I83" s="14" t="str">
        <f>IF(OR($C83="15-24",$C83="25-34"),IFERROR(1/(1/SUM(SUMIFS(AGYW!$T:$T,AGYW!$B:$B,$B83,AGYW!$C:$C,IF($C83="15-24",{"15-19","20-24"},{"25-29"}),AGYW!$D:$D,$D83))),""),"")</f>
        <v/>
      </c>
      <c r="J83" s="14"/>
      <c r="K83" s="14"/>
      <c r="L83" s="42" t="str">
        <f t="shared" si="5"/>
        <v/>
      </c>
      <c r="M83" s="14"/>
      <c r="N83" s="14"/>
      <c r="O83" s="42" t="str">
        <f t="shared" si="6"/>
        <v/>
      </c>
      <c r="P83" s="14">
        <f>2</f>
        <v>2</v>
      </c>
      <c r="Q83" s="42" t="str">
        <f t="shared" si="7"/>
        <v/>
      </c>
    </row>
    <row r="84" spans="1:17" x14ac:dyDescent="0.2">
      <c r="A84" t="str">
        <f>INDEX(Prioritization!$D:$D,MATCH($B84,Prioritization!$A:$A,0))</f>
        <v>INVALID</v>
      </c>
      <c r="B84" t="s">
        <v>201</v>
      </c>
      <c r="C84" t="s">
        <v>366</v>
      </c>
      <c r="D84" t="s">
        <v>47</v>
      </c>
      <c r="E84" t="str">
        <f t="shared" si="4"/>
        <v>Ntchisi District [fiRkU6gEjLz]|35-49|Male</v>
      </c>
      <c r="F84" s="14" t="str">
        <f>IF(LEFT($B84,4)="_Mil","",INDEX(Cascade!$U:$U,MATCH($E84,Cascade!$E:$E,0)))</f>
        <v/>
      </c>
      <c r="G84" s="14" t="str">
        <f>IFERROR(1/(1/INDEX(HTS!$AT:$AT,MATCH($E84,HTS!$E:$E,0))),"")</f>
        <v/>
      </c>
      <c r="H84" s="14" t="str">
        <f>IF(OR($C84="15-24",$C84="25-34"),IFERROR(1/(1/SUM(SUMIFS(AGYW!$S:$S,AGYW!$B:$B,$B84,AGYW!$C:$C,IF($C84="15-24",{"15-19","20-24"},{"25-29"}),AGYW!$D:$D,$D84))),""),"")</f>
        <v/>
      </c>
      <c r="I84" s="14" t="str">
        <f>IF(OR($C84="15-24",$C84="25-34"),IFERROR(1/(1/SUM(SUMIFS(AGYW!$T:$T,AGYW!$B:$B,$B84,AGYW!$C:$C,IF($C84="15-24",{"15-19","20-24"},{"25-29"}),AGYW!$D:$D,$D84))),""),"")</f>
        <v/>
      </c>
      <c r="J84" s="14"/>
      <c r="K84" s="14"/>
      <c r="L84" s="42" t="str">
        <f t="shared" si="5"/>
        <v/>
      </c>
      <c r="M84" s="14"/>
      <c r="N84" s="14"/>
      <c r="O84" s="42" t="str">
        <f t="shared" si="6"/>
        <v/>
      </c>
      <c r="P84" s="14">
        <f>2</f>
        <v>2</v>
      </c>
      <c r="Q84" s="42" t="str">
        <f t="shared" si="7"/>
        <v/>
      </c>
    </row>
    <row r="85" spans="1:17" x14ac:dyDescent="0.2">
      <c r="A85" t="str">
        <f>INDEX(Prioritization!$D:$D,MATCH($B85,Prioritization!$A:$A,0))</f>
        <v>INVALID</v>
      </c>
      <c r="B85" t="s">
        <v>201</v>
      </c>
      <c r="C85" t="s">
        <v>367</v>
      </c>
      <c r="D85" t="s">
        <v>29</v>
      </c>
      <c r="E85" t="str">
        <f t="shared" si="4"/>
        <v>Ntchisi District [fiRkU6gEjLz]|50+|Female</v>
      </c>
      <c r="F85" s="14" t="str">
        <f>IF(LEFT($B85,4)="_Mil","",INDEX(Cascade!$U:$U,MATCH($E85,Cascade!$E:$E,0)))</f>
        <v/>
      </c>
      <c r="G85" s="14" t="str">
        <f>IFERROR(1/(1/INDEX(HTS!$AT:$AT,MATCH($E85,HTS!$E:$E,0))),"")</f>
        <v/>
      </c>
      <c r="H85" s="14" t="str">
        <f>IF(OR($C85="15-24",$C85="25-34"),IFERROR(1/(1/SUM(SUMIFS(AGYW!$S:$S,AGYW!$B:$B,$B85,AGYW!$C:$C,IF($C85="15-24",{"15-19","20-24"},{"25-29"}),AGYW!$D:$D,$D85))),""),"")</f>
        <v/>
      </c>
      <c r="I85" s="14" t="str">
        <f>IF(OR($C85="15-24",$C85="25-34"),IFERROR(1/(1/SUM(SUMIFS(AGYW!$T:$T,AGYW!$B:$B,$B85,AGYW!$C:$C,IF($C85="15-24",{"15-19","20-24"},{"25-29"}),AGYW!$D:$D,$D85))),""),"")</f>
        <v/>
      </c>
      <c r="J85" s="14"/>
      <c r="K85" s="14"/>
      <c r="L85" s="42" t="str">
        <f t="shared" si="5"/>
        <v/>
      </c>
      <c r="M85" s="14"/>
      <c r="N85" s="14"/>
      <c r="O85" s="42" t="str">
        <f t="shared" si="6"/>
        <v/>
      </c>
      <c r="P85" s="14">
        <f>2</f>
        <v>2</v>
      </c>
      <c r="Q85" s="42" t="str">
        <f t="shared" si="7"/>
        <v/>
      </c>
    </row>
    <row r="86" spans="1:17" x14ac:dyDescent="0.2">
      <c r="A86" t="str">
        <f>INDEX(Prioritization!$D:$D,MATCH($B86,Prioritization!$A:$A,0))</f>
        <v>INVALID</v>
      </c>
      <c r="B86" t="s">
        <v>201</v>
      </c>
      <c r="C86" t="s">
        <v>367</v>
      </c>
      <c r="D86" t="s">
        <v>47</v>
      </c>
      <c r="E86" t="str">
        <f t="shared" si="4"/>
        <v>Ntchisi District [fiRkU6gEjLz]|50+|Male</v>
      </c>
      <c r="F86" s="14" t="str">
        <f>IF(LEFT($B86,4)="_Mil","",INDEX(Cascade!$U:$U,MATCH($E86,Cascade!$E:$E,0)))</f>
        <v/>
      </c>
      <c r="G86" s="14" t="str">
        <f>IFERROR(1/(1/INDEX(HTS!$AT:$AT,MATCH($E86,HTS!$E:$E,0))),"")</f>
        <v/>
      </c>
      <c r="H86" s="14" t="str">
        <f>IF(OR($C86="15-24",$C86="25-34"),IFERROR(1/(1/SUM(SUMIFS(AGYW!$S:$S,AGYW!$B:$B,$B86,AGYW!$C:$C,IF($C86="15-24",{"15-19","20-24"},{"25-29"}),AGYW!$D:$D,$D86))),""),"")</f>
        <v/>
      </c>
      <c r="I86" s="14" t="str">
        <f>IF(OR($C86="15-24",$C86="25-34"),IFERROR(1/(1/SUM(SUMIFS(AGYW!$T:$T,AGYW!$B:$B,$B86,AGYW!$C:$C,IF($C86="15-24",{"15-19","20-24"},{"25-29"}),AGYW!$D:$D,$D86))),""),"")</f>
        <v/>
      </c>
      <c r="J86" s="14"/>
      <c r="K86" s="14"/>
      <c r="L86" s="42" t="str">
        <f t="shared" si="5"/>
        <v/>
      </c>
      <c r="M86" s="14"/>
      <c r="N86" s="14"/>
      <c r="O86" s="42" t="str">
        <f t="shared" si="6"/>
        <v/>
      </c>
      <c r="P86" s="14">
        <f>2</f>
        <v>2</v>
      </c>
      <c r="Q86" s="42" t="str">
        <f t="shared" si="7"/>
        <v/>
      </c>
    </row>
    <row r="87" spans="1:17" x14ac:dyDescent="0.2">
      <c r="A87" t="str">
        <f>INDEX(Prioritization!$D:$D,MATCH($B87,Prioritization!$A:$A,0))</f>
        <v>INVALID</v>
      </c>
      <c r="B87" t="s">
        <v>202</v>
      </c>
      <c r="C87" t="s">
        <v>364</v>
      </c>
      <c r="D87" t="s">
        <v>29</v>
      </c>
      <c r="E87" t="str">
        <f t="shared" si="4"/>
        <v>Salima District [msW2zpIN7up]|15-24|Female</v>
      </c>
      <c r="F87" s="14" t="str">
        <f>IF(LEFT($B87,4)="_Mil","",INDEX(Cascade!$U:$U,MATCH($E87,Cascade!$E:$E,0)))</f>
        <v/>
      </c>
      <c r="G87" s="14" t="str">
        <f>IFERROR(1/(1/INDEX(HTS!$AT:$AT,MATCH($E87,HTS!$E:$E,0))),"")</f>
        <v/>
      </c>
      <c r="H87" s="14" t="str">
        <f>IF(OR($C87="15-24",$C87="25-34"),IFERROR(1/(1/SUM(SUMIFS(AGYW!$S:$S,AGYW!$B:$B,$B87,AGYW!$C:$C,IF($C87="15-24",{"15-19","20-24"},{"25-29"}),AGYW!$D:$D,$D87))),""),"")</f>
        <v/>
      </c>
      <c r="I87" s="14" t="str">
        <f>IF(OR($C87="15-24",$C87="25-34"),IFERROR(1/(1/SUM(SUMIFS(AGYW!$T:$T,AGYW!$B:$B,$B87,AGYW!$C:$C,IF($C87="15-24",{"15-19","20-24"},{"25-29"}),AGYW!$D:$D,$D87))),""),"")</f>
        <v/>
      </c>
      <c r="J87" s="14"/>
      <c r="K87" s="14"/>
      <c r="L87" s="42" t="str">
        <f t="shared" si="5"/>
        <v/>
      </c>
      <c r="M87" s="14"/>
      <c r="N87" s="14"/>
      <c r="O87" s="42" t="str">
        <f t="shared" si="6"/>
        <v/>
      </c>
      <c r="P87" s="14">
        <f>2</f>
        <v>2</v>
      </c>
      <c r="Q87" s="42" t="str">
        <f t="shared" si="7"/>
        <v/>
      </c>
    </row>
    <row r="88" spans="1:17" x14ac:dyDescent="0.2">
      <c r="A88" t="str">
        <f>INDEX(Prioritization!$D:$D,MATCH($B88,Prioritization!$A:$A,0))</f>
        <v>INVALID</v>
      </c>
      <c r="B88" t="s">
        <v>202</v>
      </c>
      <c r="C88" t="s">
        <v>364</v>
      </c>
      <c r="D88" t="s">
        <v>47</v>
      </c>
      <c r="E88" t="str">
        <f t="shared" si="4"/>
        <v>Salima District [msW2zpIN7up]|15-24|Male</v>
      </c>
      <c r="F88" s="14" t="str">
        <f>IF(LEFT($B88,4)="_Mil","",INDEX(Cascade!$U:$U,MATCH($E88,Cascade!$E:$E,0)))</f>
        <v/>
      </c>
      <c r="G88" s="14" t="str">
        <f>IFERROR(1/(1/INDEX(HTS!$AT:$AT,MATCH($E88,HTS!$E:$E,0))),"")</f>
        <v/>
      </c>
      <c r="H88" s="14" t="str">
        <f>IF(OR($C88="15-24",$C88="25-34"),IFERROR(1/(1/SUM(SUMIFS(AGYW!$S:$S,AGYW!$B:$B,$B88,AGYW!$C:$C,IF($C88="15-24",{"15-19","20-24"},{"25-29"}),AGYW!$D:$D,$D88))),""),"")</f>
        <v/>
      </c>
      <c r="I88" s="14" t="str">
        <f>IF(OR($C88="15-24",$C88="25-34"),IFERROR(1/(1/SUM(SUMIFS(AGYW!$T:$T,AGYW!$B:$B,$B88,AGYW!$C:$C,IF($C88="15-24",{"15-19","20-24"},{"25-29"}),AGYW!$D:$D,$D88))),""),"")</f>
        <v/>
      </c>
      <c r="J88" s="14"/>
      <c r="K88" s="14"/>
      <c r="L88" s="42" t="str">
        <f t="shared" si="5"/>
        <v/>
      </c>
      <c r="M88" s="14"/>
      <c r="N88" s="14"/>
      <c r="O88" s="42" t="str">
        <f t="shared" si="6"/>
        <v/>
      </c>
      <c r="P88" s="14">
        <f>2</f>
        <v>2</v>
      </c>
      <c r="Q88" s="42" t="str">
        <f t="shared" si="7"/>
        <v/>
      </c>
    </row>
    <row r="89" spans="1:17" x14ac:dyDescent="0.2">
      <c r="A89" t="str">
        <f>INDEX(Prioritization!$D:$D,MATCH($B89,Prioritization!$A:$A,0))</f>
        <v>INVALID</v>
      </c>
      <c r="B89" t="s">
        <v>202</v>
      </c>
      <c r="C89" t="s">
        <v>365</v>
      </c>
      <c r="D89" t="s">
        <v>29</v>
      </c>
      <c r="E89" t="str">
        <f t="shared" si="4"/>
        <v>Salima District [msW2zpIN7up]|25-34|Female</v>
      </c>
      <c r="F89" s="14" t="str">
        <f>IF(LEFT($B89,4)="_Mil","",INDEX(Cascade!$U:$U,MATCH($E89,Cascade!$E:$E,0)))</f>
        <v/>
      </c>
      <c r="G89" s="14" t="str">
        <f>IFERROR(1/(1/INDEX(HTS!$AT:$AT,MATCH($E89,HTS!$E:$E,0))),"")</f>
        <v/>
      </c>
      <c r="H89" s="14" t="str">
        <f>IF(OR($C89="15-24",$C89="25-34"),IFERROR(1/(1/SUM(SUMIFS(AGYW!$S:$S,AGYW!$B:$B,$B89,AGYW!$C:$C,IF($C89="15-24",{"15-19","20-24"},{"25-29"}),AGYW!$D:$D,$D89))),""),"")</f>
        <v/>
      </c>
      <c r="I89" s="14" t="str">
        <f>IF(OR($C89="15-24",$C89="25-34"),IFERROR(1/(1/SUM(SUMIFS(AGYW!$T:$T,AGYW!$B:$B,$B89,AGYW!$C:$C,IF($C89="15-24",{"15-19","20-24"},{"25-29"}),AGYW!$D:$D,$D89))),""),"")</f>
        <v/>
      </c>
      <c r="J89" s="14"/>
      <c r="K89" s="14"/>
      <c r="L89" s="42" t="str">
        <f t="shared" si="5"/>
        <v/>
      </c>
      <c r="M89" s="14"/>
      <c r="N89" s="14"/>
      <c r="O89" s="42" t="str">
        <f t="shared" si="6"/>
        <v/>
      </c>
      <c r="P89" s="14">
        <f>2</f>
        <v>2</v>
      </c>
      <c r="Q89" s="42" t="str">
        <f t="shared" si="7"/>
        <v/>
      </c>
    </row>
    <row r="90" spans="1:17" x14ac:dyDescent="0.2">
      <c r="A90" t="str">
        <f>INDEX(Prioritization!$D:$D,MATCH($B90,Prioritization!$A:$A,0))</f>
        <v>INVALID</v>
      </c>
      <c r="B90" t="s">
        <v>202</v>
      </c>
      <c r="C90" t="s">
        <v>365</v>
      </c>
      <c r="D90" t="s">
        <v>47</v>
      </c>
      <c r="E90" t="str">
        <f t="shared" si="4"/>
        <v>Salima District [msW2zpIN7up]|25-34|Male</v>
      </c>
      <c r="F90" s="14" t="str">
        <f>IF(LEFT($B90,4)="_Mil","",INDEX(Cascade!$U:$U,MATCH($E90,Cascade!$E:$E,0)))</f>
        <v/>
      </c>
      <c r="G90" s="14" t="str">
        <f>IFERROR(1/(1/INDEX(HTS!$AT:$AT,MATCH($E90,HTS!$E:$E,0))),"")</f>
        <v/>
      </c>
      <c r="H90" s="14" t="str">
        <f>IF(OR($C90="15-24",$C90="25-34"),IFERROR(1/(1/SUM(SUMIFS(AGYW!$S:$S,AGYW!$B:$B,$B90,AGYW!$C:$C,IF($C90="15-24",{"15-19","20-24"},{"25-29"}),AGYW!$D:$D,$D90))),""),"")</f>
        <v/>
      </c>
      <c r="I90" s="14" t="str">
        <f>IF(OR($C90="15-24",$C90="25-34"),IFERROR(1/(1/SUM(SUMIFS(AGYW!$T:$T,AGYW!$B:$B,$B90,AGYW!$C:$C,IF($C90="15-24",{"15-19","20-24"},{"25-29"}),AGYW!$D:$D,$D90))),""),"")</f>
        <v/>
      </c>
      <c r="J90" s="14"/>
      <c r="K90" s="14"/>
      <c r="L90" s="42" t="str">
        <f t="shared" si="5"/>
        <v/>
      </c>
      <c r="M90" s="14"/>
      <c r="N90" s="14"/>
      <c r="O90" s="42" t="str">
        <f t="shared" si="6"/>
        <v/>
      </c>
      <c r="P90" s="14">
        <f>2</f>
        <v>2</v>
      </c>
      <c r="Q90" s="42" t="str">
        <f t="shared" si="7"/>
        <v/>
      </c>
    </row>
    <row r="91" spans="1:17" x14ac:dyDescent="0.2">
      <c r="A91" t="str">
        <f>INDEX(Prioritization!$D:$D,MATCH($B91,Prioritization!$A:$A,0))</f>
        <v>INVALID</v>
      </c>
      <c r="B91" t="s">
        <v>202</v>
      </c>
      <c r="C91" t="s">
        <v>366</v>
      </c>
      <c r="D91" t="s">
        <v>29</v>
      </c>
      <c r="E91" t="str">
        <f t="shared" si="4"/>
        <v>Salima District [msW2zpIN7up]|35-49|Female</v>
      </c>
      <c r="F91" s="14" t="str">
        <f>IF(LEFT($B91,4)="_Mil","",INDEX(Cascade!$U:$U,MATCH($E91,Cascade!$E:$E,0)))</f>
        <v/>
      </c>
      <c r="G91" s="14" t="str">
        <f>IFERROR(1/(1/INDEX(HTS!$AT:$AT,MATCH($E91,HTS!$E:$E,0))),"")</f>
        <v/>
      </c>
      <c r="H91" s="14" t="str">
        <f>IF(OR($C91="15-24",$C91="25-34"),IFERROR(1/(1/SUM(SUMIFS(AGYW!$S:$S,AGYW!$B:$B,$B91,AGYW!$C:$C,IF($C91="15-24",{"15-19","20-24"},{"25-29"}),AGYW!$D:$D,$D91))),""),"")</f>
        <v/>
      </c>
      <c r="I91" s="14" t="str">
        <f>IF(OR($C91="15-24",$C91="25-34"),IFERROR(1/(1/SUM(SUMIFS(AGYW!$T:$T,AGYW!$B:$B,$B91,AGYW!$C:$C,IF($C91="15-24",{"15-19","20-24"},{"25-29"}),AGYW!$D:$D,$D91))),""),"")</f>
        <v/>
      </c>
      <c r="J91" s="14"/>
      <c r="K91" s="14"/>
      <c r="L91" s="42" t="str">
        <f t="shared" si="5"/>
        <v/>
      </c>
      <c r="M91" s="14"/>
      <c r="N91" s="14"/>
      <c r="O91" s="42" t="str">
        <f t="shared" si="6"/>
        <v/>
      </c>
      <c r="P91" s="14">
        <f>2</f>
        <v>2</v>
      </c>
      <c r="Q91" s="42" t="str">
        <f t="shared" si="7"/>
        <v/>
      </c>
    </row>
    <row r="92" spans="1:17" x14ac:dyDescent="0.2">
      <c r="A92" t="str">
        <f>INDEX(Prioritization!$D:$D,MATCH($B92,Prioritization!$A:$A,0))</f>
        <v>INVALID</v>
      </c>
      <c r="B92" t="s">
        <v>202</v>
      </c>
      <c r="C92" t="s">
        <v>366</v>
      </c>
      <c r="D92" t="s">
        <v>47</v>
      </c>
      <c r="E92" t="str">
        <f t="shared" si="4"/>
        <v>Salima District [msW2zpIN7up]|35-49|Male</v>
      </c>
      <c r="F92" s="14" t="str">
        <f>IF(LEFT($B92,4)="_Mil","",INDEX(Cascade!$U:$U,MATCH($E92,Cascade!$E:$E,0)))</f>
        <v/>
      </c>
      <c r="G92" s="14" t="str">
        <f>IFERROR(1/(1/INDEX(HTS!$AT:$AT,MATCH($E92,HTS!$E:$E,0))),"")</f>
        <v/>
      </c>
      <c r="H92" s="14" t="str">
        <f>IF(OR($C92="15-24",$C92="25-34"),IFERROR(1/(1/SUM(SUMIFS(AGYW!$S:$S,AGYW!$B:$B,$B92,AGYW!$C:$C,IF($C92="15-24",{"15-19","20-24"},{"25-29"}),AGYW!$D:$D,$D92))),""),"")</f>
        <v/>
      </c>
      <c r="I92" s="14" t="str">
        <f>IF(OR($C92="15-24",$C92="25-34"),IFERROR(1/(1/SUM(SUMIFS(AGYW!$T:$T,AGYW!$B:$B,$B92,AGYW!$C:$C,IF($C92="15-24",{"15-19","20-24"},{"25-29"}),AGYW!$D:$D,$D92))),""),"")</f>
        <v/>
      </c>
      <c r="J92" s="14"/>
      <c r="K92" s="14"/>
      <c r="L92" s="42" t="str">
        <f t="shared" si="5"/>
        <v/>
      </c>
      <c r="M92" s="14"/>
      <c r="N92" s="14"/>
      <c r="O92" s="42" t="str">
        <f t="shared" si="6"/>
        <v/>
      </c>
      <c r="P92" s="14">
        <f>2</f>
        <v>2</v>
      </c>
      <c r="Q92" s="42" t="str">
        <f t="shared" si="7"/>
        <v/>
      </c>
    </row>
    <row r="93" spans="1:17" x14ac:dyDescent="0.2">
      <c r="A93" t="str">
        <f>INDEX(Prioritization!$D:$D,MATCH($B93,Prioritization!$A:$A,0))</f>
        <v>INVALID</v>
      </c>
      <c r="B93" t="s">
        <v>202</v>
      </c>
      <c r="C93" t="s">
        <v>367</v>
      </c>
      <c r="D93" t="s">
        <v>29</v>
      </c>
      <c r="E93" t="str">
        <f t="shared" si="4"/>
        <v>Salima District [msW2zpIN7up]|50+|Female</v>
      </c>
      <c r="F93" s="14" t="str">
        <f>IF(LEFT($B93,4)="_Mil","",INDEX(Cascade!$U:$U,MATCH($E93,Cascade!$E:$E,0)))</f>
        <v/>
      </c>
      <c r="G93" s="14" t="str">
        <f>IFERROR(1/(1/INDEX(HTS!$AT:$AT,MATCH($E93,HTS!$E:$E,0))),"")</f>
        <v/>
      </c>
      <c r="H93" s="14" t="str">
        <f>IF(OR($C93="15-24",$C93="25-34"),IFERROR(1/(1/SUM(SUMIFS(AGYW!$S:$S,AGYW!$B:$B,$B93,AGYW!$C:$C,IF($C93="15-24",{"15-19","20-24"},{"25-29"}),AGYW!$D:$D,$D93))),""),"")</f>
        <v/>
      </c>
      <c r="I93" s="14" t="str">
        <f>IF(OR($C93="15-24",$C93="25-34"),IFERROR(1/(1/SUM(SUMIFS(AGYW!$T:$T,AGYW!$B:$B,$B93,AGYW!$C:$C,IF($C93="15-24",{"15-19","20-24"},{"25-29"}),AGYW!$D:$D,$D93))),""),"")</f>
        <v/>
      </c>
      <c r="J93" s="14"/>
      <c r="K93" s="14"/>
      <c r="L93" s="42" t="str">
        <f t="shared" si="5"/>
        <v/>
      </c>
      <c r="M93" s="14"/>
      <c r="N93" s="14"/>
      <c r="O93" s="42" t="str">
        <f t="shared" si="6"/>
        <v/>
      </c>
      <c r="P93" s="14">
        <f>2</f>
        <v>2</v>
      </c>
      <c r="Q93" s="42" t="str">
        <f t="shared" si="7"/>
        <v/>
      </c>
    </row>
    <row r="94" spans="1:17" x14ac:dyDescent="0.2">
      <c r="A94" t="str">
        <f>INDEX(Prioritization!$D:$D,MATCH($B94,Prioritization!$A:$A,0))</f>
        <v>INVALID</v>
      </c>
      <c r="B94" t="s">
        <v>202</v>
      </c>
      <c r="C94" t="s">
        <v>367</v>
      </c>
      <c r="D94" t="s">
        <v>47</v>
      </c>
      <c r="E94" t="str">
        <f t="shared" si="4"/>
        <v>Salima District [msW2zpIN7up]|50+|Male</v>
      </c>
      <c r="F94" s="14" t="str">
        <f>IF(LEFT($B94,4)="_Mil","",INDEX(Cascade!$U:$U,MATCH($E94,Cascade!$E:$E,0)))</f>
        <v/>
      </c>
      <c r="G94" s="14" t="str">
        <f>IFERROR(1/(1/INDEX(HTS!$AT:$AT,MATCH($E94,HTS!$E:$E,0))),"")</f>
        <v/>
      </c>
      <c r="H94" s="14" t="str">
        <f>IF(OR($C94="15-24",$C94="25-34"),IFERROR(1/(1/SUM(SUMIFS(AGYW!$S:$S,AGYW!$B:$B,$B94,AGYW!$C:$C,IF($C94="15-24",{"15-19","20-24"},{"25-29"}),AGYW!$D:$D,$D94))),""),"")</f>
        <v/>
      </c>
      <c r="I94" s="14" t="str">
        <f>IF(OR($C94="15-24",$C94="25-34"),IFERROR(1/(1/SUM(SUMIFS(AGYW!$T:$T,AGYW!$B:$B,$B94,AGYW!$C:$C,IF($C94="15-24",{"15-19","20-24"},{"25-29"}),AGYW!$D:$D,$D94))),""),"")</f>
        <v/>
      </c>
      <c r="J94" s="14"/>
      <c r="K94" s="14"/>
      <c r="L94" s="42" t="str">
        <f t="shared" si="5"/>
        <v/>
      </c>
      <c r="M94" s="14"/>
      <c r="N94" s="14"/>
      <c r="O94" s="42" t="str">
        <f t="shared" si="6"/>
        <v/>
      </c>
      <c r="P94" s="14">
        <f>2</f>
        <v>2</v>
      </c>
      <c r="Q94" s="42" t="str">
        <f t="shared" si="7"/>
        <v/>
      </c>
    </row>
    <row r="95" spans="1:17" x14ac:dyDescent="0.2">
      <c r="A95" t="str">
        <f>INDEX(Prioritization!$D:$D,MATCH($B95,Prioritization!$A:$A,0))</f>
        <v>1 - Scale-up: Saturation</v>
      </c>
      <c r="B95" t="s">
        <v>203</v>
      </c>
      <c r="C95" t="s">
        <v>364</v>
      </c>
      <c r="D95" t="s">
        <v>29</v>
      </c>
      <c r="E95" t="str">
        <f t="shared" si="4"/>
        <v>Chitipa District [GkIwZrXy1h2]|15-24|Female</v>
      </c>
      <c r="F95" s="14" t="str">
        <f>IF(LEFT($B95,4)="_Mil","",INDEX(Cascade!$U:$U,MATCH($E95,Cascade!$E:$E,0)))</f>
        <v/>
      </c>
      <c r="G95" s="14" t="str">
        <f>IFERROR(1/(1/INDEX(HTS!$AT:$AT,MATCH($E95,HTS!$E:$E,0))),"")</f>
        <v/>
      </c>
      <c r="H95" s="14" t="str">
        <f>IF(OR($C95="15-24",$C95="25-34"),IFERROR(1/(1/SUM(SUMIFS(AGYW!$S:$S,AGYW!$B:$B,$B95,AGYW!$C:$C,IF($C95="15-24",{"15-19","20-24"},{"25-29"}),AGYW!$D:$D,$D95))),""),"")</f>
        <v/>
      </c>
      <c r="I95" s="14" t="str">
        <f>IF(OR($C95="15-24",$C95="25-34"),IFERROR(1/(1/SUM(SUMIFS(AGYW!$T:$T,AGYW!$B:$B,$B95,AGYW!$C:$C,IF($C95="15-24",{"15-19","20-24"},{"25-29"}),AGYW!$D:$D,$D95))),""),"")</f>
        <v/>
      </c>
      <c r="J95" s="14"/>
      <c r="K95" s="14"/>
      <c r="L95" s="42" t="str">
        <f t="shared" si="5"/>
        <v/>
      </c>
      <c r="M95" s="14"/>
      <c r="N95" s="14"/>
      <c r="O95" s="42" t="str">
        <f t="shared" si="6"/>
        <v/>
      </c>
      <c r="P95" s="14">
        <f>2</f>
        <v>2</v>
      </c>
      <c r="Q95" s="42" t="str">
        <f t="shared" si="7"/>
        <v/>
      </c>
    </row>
    <row r="96" spans="1:17" x14ac:dyDescent="0.2">
      <c r="A96" t="str">
        <f>INDEX(Prioritization!$D:$D,MATCH($B96,Prioritization!$A:$A,0))</f>
        <v>1 - Scale-up: Saturation</v>
      </c>
      <c r="B96" t="s">
        <v>203</v>
      </c>
      <c r="C96" t="s">
        <v>364</v>
      </c>
      <c r="D96" t="s">
        <v>47</v>
      </c>
      <c r="E96" t="str">
        <f t="shared" si="4"/>
        <v>Chitipa District [GkIwZrXy1h2]|15-24|Male</v>
      </c>
      <c r="F96" s="14" t="str">
        <f>IF(LEFT($B96,4)="_Mil","",INDEX(Cascade!$U:$U,MATCH($E96,Cascade!$E:$E,0)))</f>
        <v/>
      </c>
      <c r="G96" s="14" t="str">
        <f>IFERROR(1/(1/INDEX(HTS!$AT:$AT,MATCH($E96,HTS!$E:$E,0))),"")</f>
        <v/>
      </c>
      <c r="H96" s="14" t="str">
        <f>IF(OR($C96="15-24",$C96="25-34"),IFERROR(1/(1/SUM(SUMIFS(AGYW!$S:$S,AGYW!$B:$B,$B96,AGYW!$C:$C,IF($C96="15-24",{"15-19","20-24"},{"25-29"}),AGYW!$D:$D,$D96))),""),"")</f>
        <v/>
      </c>
      <c r="I96" s="14" t="str">
        <f>IF(OR($C96="15-24",$C96="25-34"),IFERROR(1/(1/SUM(SUMIFS(AGYW!$T:$T,AGYW!$B:$B,$B96,AGYW!$C:$C,IF($C96="15-24",{"15-19","20-24"},{"25-29"}),AGYW!$D:$D,$D96))),""),"")</f>
        <v/>
      </c>
      <c r="J96" s="14"/>
      <c r="K96" s="14"/>
      <c r="L96" s="42" t="str">
        <f t="shared" si="5"/>
        <v/>
      </c>
      <c r="M96" s="14"/>
      <c r="N96" s="14"/>
      <c r="O96" s="42" t="str">
        <f t="shared" si="6"/>
        <v/>
      </c>
      <c r="P96" s="14">
        <f>2</f>
        <v>2</v>
      </c>
      <c r="Q96" s="42" t="str">
        <f t="shared" si="7"/>
        <v/>
      </c>
    </row>
    <row r="97" spans="1:17" x14ac:dyDescent="0.2">
      <c r="A97" t="str">
        <f>INDEX(Prioritization!$D:$D,MATCH($B97,Prioritization!$A:$A,0))</f>
        <v>1 - Scale-up: Saturation</v>
      </c>
      <c r="B97" t="s">
        <v>203</v>
      </c>
      <c r="C97" t="s">
        <v>365</v>
      </c>
      <c r="D97" t="s">
        <v>29</v>
      </c>
      <c r="E97" t="str">
        <f t="shared" si="4"/>
        <v>Chitipa District [GkIwZrXy1h2]|25-34|Female</v>
      </c>
      <c r="F97" s="14" t="str">
        <f>IF(LEFT($B97,4)="_Mil","",INDEX(Cascade!$U:$U,MATCH($E97,Cascade!$E:$E,0)))</f>
        <v/>
      </c>
      <c r="G97" s="14" t="str">
        <f>IFERROR(1/(1/INDEX(HTS!$AT:$AT,MATCH($E97,HTS!$E:$E,0))),"")</f>
        <v/>
      </c>
      <c r="H97" s="14" t="str">
        <f>IF(OR($C97="15-24",$C97="25-34"),IFERROR(1/(1/SUM(SUMIFS(AGYW!$S:$S,AGYW!$B:$B,$B97,AGYW!$C:$C,IF($C97="15-24",{"15-19","20-24"},{"25-29"}),AGYW!$D:$D,$D97))),""),"")</f>
        <v/>
      </c>
      <c r="I97" s="14" t="str">
        <f>IF(OR($C97="15-24",$C97="25-34"),IFERROR(1/(1/SUM(SUMIFS(AGYW!$T:$T,AGYW!$B:$B,$B97,AGYW!$C:$C,IF($C97="15-24",{"15-19","20-24"},{"25-29"}),AGYW!$D:$D,$D97))),""),"")</f>
        <v/>
      </c>
      <c r="J97" s="14"/>
      <c r="K97" s="14"/>
      <c r="L97" s="42" t="str">
        <f t="shared" si="5"/>
        <v/>
      </c>
      <c r="M97" s="14"/>
      <c r="N97" s="14"/>
      <c r="O97" s="42" t="str">
        <f t="shared" si="6"/>
        <v/>
      </c>
      <c r="P97" s="14">
        <f>2</f>
        <v>2</v>
      </c>
      <c r="Q97" s="42" t="str">
        <f t="shared" si="7"/>
        <v/>
      </c>
    </row>
    <row r="98" spans="1:17" x14ac:dyDescent="0.2">
      <c r="A98" t="str">
        <f>INDEX(Prioritization!$D:$D,MATCH($B98,Prioritization!$A:$A,0))</f>
        <v>1 - Scale-up: Saturation</v>
      </c>
      <c r="B98" t="s">
        <v>203</v>
      </c>
      <c r="C98" t="s">
        <v>365</v>
      </c>
      <c r="D98" t="s">
        <v>47</v>
      </c>
      <c r="E98" t="str">
        <f t="shared" si="4"/>
        <v>Chitipa District [GkIwZrXy1h2]|25-34|Male</v>
      </c>
      <c r="F98" s="14" t="str">
        <f>IF(LEFT($B98,4)="_Mil","",INDEX(Cascade!$U:$U,MATCH($E98,Cascade!$E:$E,0)))</f>
        <v/>
      </c>
      <c r="G98" s="14" t="str">
        <f>IFERROR(1/(1/INDEX(HTS!$AT:$AT,MATCH($E98,HTS!$E:$E,0))),"")</f>
        <v/>
      </c>
      <c r="H98" s="14" t="str">
        <f>IF(OR($C98="15-24",$C98="25-34"),IFERROR(1/(1/SUM(SUMIFS(AGYW!$S:$S,AGYW!$B:$B,$B98,AGYW!$C:$C,IF($C98="15-24",{"15-19","20-24"},{"25-29"}),AGYW!$D:$D,$D98))),""),"")</f>
        <v/>
      </c>
      <c r="I98" s="14" t="str">
        <f>IF(OR($C98="15-24",$C98="25-34"),IFERROR(1/(1/SUM(SUMIFS(AGYW!$T:$T,AGYW!$B:$B,$B98,AGYW!$C:$C,IF($C98="15-24",{"15-19","20-24"},{"25-29"}),AGYW!$D:$D,$D98))),""),"")</f>
        <v/>
      </c>
      <c r="J98" s="14"/>
      <c r="K98" s="14"/>
      <c r="L98" s="42" t="str">
        <f t="shared" si="5"/>
        <v/>
      </c>
      <c r="M98" s="14"/>
      <c r="N98" s="14"/>
      <c r="O98" s="42" t="str">
        <f t="shared" si="6"/>
        <v/>
      </c>
      <c r="P98" s="14">
        <f>2</f>
        <v>2</v>
      </c>
      <c r="Q98" s="42" t="str">
        <f t="shared" si="7"/>
        <v/>
      </c>
    </row>
    <row r="99" spans="1:17" x14ac:dyDescent="0.2">
      <c r="A99" t="str">
        <f>INDEX(Prioritization!$D:$D,MATCH($B99,Prioritization!$A:$A,0))</f>
        <v>1 - Scale-up: Saturation</v>
      </c>
      <c r="B99" t="s">
        <v>203</v>
      </c>
      <c r="C99" t="s">
        <v>366</v>
      </c>
      <c r="D99" t="s">
        <v>29</v>
      </c>
      <c r="E99" t="str">
        <f t="shared" si="4"/>
        <v>Chitipa District [GkIwZrXy1h2]|35-49|Female</v>
      </c>
      <c r="F99" s="14" t="str">
        <f>IF(LEFT($B99,4)="_Mil","",INDEX(Cascade!$U:$U,MATCH($E99,Cascade!$E:$E,0)))</f>
        <v/>
      </c>
      <c r="G99" s="14" t="str">
        <f>IFERROR(1/(1/INDEX(HTS!$AT:$AT,MATCH($E99,HTS!$E:$E,0))),"")</f>
        <v/>
      </c>
      <c r="H99" s="14" t="str">
        <f>IF(OR($C99="15-24",$C99="25-34"),IFERROR(1/(1/SUM(SUMIFS(AGYW!$S:$S,AGYW!$B:$B,$B99,AGYW!$C:$C,IF($C99="15-24",{"15-19","20-24"},{"25-29"}),AGYW!$D:$D,$D99))),""),"")</f>
        <v/>
      </c>
      <c r="I99" s="14" t="str">
        <f>IF(OR($C99="15-24",$C99="25-34"),IFERROR(1/(1/SUM(SUMIFS(AGYW!$T:$T,AGYW!$B:$B,$B99,AGYW!$C:$C,IF($C99="15-24",{"15-19","20-24"},{"25-29"}),AGYW!$D:$D,$D99))),""),"")</f>
        <v/>
      </c>
      <c r="J99" s="14"/>
      <c r="K99" s="14"/>
      <c r="L99" s="42" t="str">
        <f t="shared" si="5"/>
        <v/>
      </c>
      <c r="M99" s="14"/>
      <c r="N99" s="14"/>
      <c r="O99" s="42" t="str">
        <f t="shared" si="6"/>
        <v/>
      </c>
      <c r="P99" s="14">
        <f>2</f>
        <v>2</v>
      </c>
      <c r="Q99" s="42" t="str">
        <f t="shared" si="7"/>
        <v/>
      </c>
    </row>
    <row r="100" spans="1:17" x14ac:dyDescent="0.2">
      <c r="A100" t="str">
        <f>INDEX(Prioritization!$D:$D,MATCH($B100,Prioritization!$A:$A,0))</f>
        <v>1 - Scale-up: Saturation</v>
      </c>
      <c r="B100" t="s">
        <v>203</v>
      </c>
      <c r="C100" t="s">
        <v>366</v>
      </c>
      <c r="D100" t="s">
        <v>47</v>
      </c>
      <c r="E100" t="str">
        <f t="shared" si="4"/>
        <v>Chitipa District [GkIwZrXy1h2]|35-49|Male</v>
      </c>
      <c r="F100" s="14" t="str">
        <f>IF(LEFT($B100,4)="_Mil","",INDEX(Cascade!$U:$U,MATCH($E100,Cascade!$E:$E,0)))</f>
        <v/>
      </c>
      <c r="G100" s="14" t="str">
        <f>IFERROR(1/(1/INDEX(HTS!$AT:$AT,MATCH($E100,HTS!$E:$E,0))),"")</f>
        <v/>
      </c>
      <c r="H100" s="14" t="str">
        <f>IF(OR($C100="15-24",$C100="25-34"),IFERROR(1/(1/SUM(SUMIFS(AGYW!$S:$S,AGYW!$B:$B,$B100,AGYW!$C:$C,IF($C100="15-24",{"15-19","20-24"},{"25-29"}),AGYW!$D:$D,$D100))),""),"")</f>
        <v/>
      </c>
      <c r="I100" s="14" t="str">
        <f>IF(OR($C100="15-24",$C100="25-34"),IFERROR(1/(1/SUM(SUMIFS(AGYW!$T:$T,AGYW!$B:$B,$B100,AGYW!$C:$C,IF($C100="15-24",{"15-19","20-24"},{"25-29"}),AGYW!$D:$D,$D100))),""),"")</f>
        <v/>
      </c>
      <c r="J100" s="14"/>
      <c r="K100" s="14"/>
      <c r="L100" s="42" t="str">
        <f t="shared" si="5"/>
        <v/>
      </c>
      <c r="M100" s="14"/>
      <c r="N100" s="14"/>
      <c r="O100" s="42" t="str">
        <f t="shared" si="6"/>
        <v/>
      </c>
      <c r="P100" s="14">
        <f>2</f>
        <v>2</v>
      </c>
      <c r="Q100" s="42" t="str">
        <f t="shared" si="7"/>
        <v/>
      </c>
    </row>
    <row r="101" spans="1:17" x14ac:dyDescent="0.2">
      <c r="A101" t="str">
        <f>INDEX(Prioritization!$D:$D,MATCH($B101,Prioritization!$A:$A,0))</f>
        <v>1 - Scale-up: Saturation</v>
      </c>
      <c r="B101" t="s">
        <v>203</v>
      </c>
      <c r="C101" t="s">
        <v>367</v>
      </c>
      <c r="D101" t="s">
        <v>29</v>
      </c>
      <c r="E101" t="str">
        <f t="shared" si="4"/>
        <v>Chitipa District [GkIwZrXy1h2]|50+|Female</v>
      </c>
      <c r="F101" s="14" t="str">
        <f>IF(LEFT($B101,4)="_Mil","",INDEX(Cascade!$U:$U,MATCH($E101,Cascade!$E:$E,0)))</f>
        <v/>
      </c>
      <c r="G101" s="14" t="str">
        <f>IFERROR(1/(1/INDEX(HTS!$AT:$AT,MATCH($E101,HTS!$E:$E,0))),"")</f>
        <v/>
      </c>
      <c r="H101" s="14" t="str">
        <f>IF(OR($C101="15-24",$C101="25-34"),IFERROR(1/(1/SUM(SUMIFS(AGYW!$S:$S,AGYW!$B:$B,$B101,AGYW!$C:$C,IF($C101="15-24",{"15-19","20-24"},{"25-29"}),AGYW!$D:$D,$D101))),""),"")</f>
        <v/>
      </c>
      <c r="I101" s="14" t="str">
        <f>IF(OR($C101="15-24",$C101="25-34"),IFERROR(1/(1/SUM(SUMIFS(AGYW!$T:$T,AGYW!$B:$B,$B101,AGYW!$C:$C,IF($C101="15-24",{"15-19","20-24"},{"25-29"}),AGYW!$D:$D,$D101))),""),"")</f>
        <v/>
      </c>
      <c r="J101" s="14"/>
      <c r="K101" s="14"/>
      <c r="L101" s="42" t="str">
        <f t="shared" si="5"/>
        <v/>
      </c>
      <c r="M101" s="14"/>
      <c r="N101" s="14"/>
      <c r="O101" s="42" t="str">
        <f t="shared" si="6"/>
        <v/>
      </c>
      <c r="P101" s="14">
        <f>2</f>
        <v>2</v>
      </c>
      <c r="Q101" s="42" t="str">
        <f t="shared" si="7"/>
        <v/>
      </c>
    </row>
    <row r="102" spans="1:17" x14ac:dyDescent="0.2">
      <c r="A102" t="str">
        <f>INDEX(Prioritization!$D:$D,MATCH($B102,Prioritization!$A:$A,0))</f>
        <v>1 - Scale-up: Saturation</v>
      </c>
      <c r="B102" t="s">
        <v>203</v>
      </c>
      <c r="C102" t="s">
        <v>367</v>
      </c>
      <c r="D102" t="s">
        <v>47</v>
      </c>
      <c r="E102" t="str">
        <f t="shared" si="4"/>
        <v>Chitipa District [GkIwZrXy1h2]|50+|Male</v>
      </c>
      <c r="F102" s="14" t="str">
        <f>IF(LEFT($B102,4)="_Mil","",INDEX(Cascade!$U:$U,MATCH($E102,Cascade!$E:$E,0)))</f>
        <v/>
      </c>
      <c r="G102" s="14" t="str">
        <f>IFERROR(1/(1/INDEX(HTS!$AT:$AT,MATCH($E102,HTS!$E:$E,0))),"")</f>
        <v/>
      </c>
      <c r="H102" s="14" t="str">
        <f>IF(OR($C102="15-24",$C102="25-34"),IFERROR(1/(1/SUM(SUMIFS(AGYW!$S:$S,AGYW!$B:$B,$B102,AGYW!$C:$C,IF($C102="15-24",{"15-19","20-24"},{"25-29"}),AGYW!$D:$D,$D102))),""),"")</f>
        <v/>
      </c>
      <c r="I102" s="14" t="str">
        <f>IF(OR($C102="15-24",$C102="25-34"),IFERROR(1/(1/SUM(SUMIFS(AGYW!$T:$T,AGYW!$B:$B,$B102,AGYW!$C:$C,IF($C102="15-24",{"15-19","20-24"},{"25-29"}),AGYW!$D:$D,$D102))),""),"")</f>
        <v/>
      </c>
      <c r="J102" s="14"/>
      <c r="K102" s="14"/>
      <c r="L102" s="42" t="str">
        <f t="shared" si="5"/>
        <v/>
      </c>
      <c r="M102" s="14"/>
      <c r="N102" s="14"/>
      <c r="O102" s="42" t="str">
        <f t="shared" si="6"/>
        <v/>
      </c>
      <c r="P102" s="14">
        <f>2</f>
        <v>2</v>
      </c>
      <c r="Q102" s="42" t="str">
        <f t="shared" si="7"/>
        <v/>
      </c>
    </row>
    <row r="103" spans="1:17" x14ac:dyDescent="0.2">
      <c r="A103" t="str">
        <f>INDEX(Prioritization!$D:$D,MATCH($B103,Prioritization!$A:$A,0))</f>
        <v>INVALID</v>
      </c>
      <c r="B103" t="s">
        <v>204</v>
      </c>
      <c r="C103" t="s">
        <v>364</v>
      </c>
      <c r="D103" t="s">
        <v>29</v>
      </c>
      <c r="E103" t="str">
        <f t="shared" si="4"/>
        <v>Karonga District [cPtvxaZqXIH]|15-24|Female</v>
      </c>
      <c r="F103" s="14" t="str">
        <f>IF(LEFT($B103,4)="_Mil","",INDEX(Cascade!$U:$U,MATCH($E103,Cascade!$E:$E,0)))</f>
        <v/>
      </c>
      <c r="G103" s="14" t="str">
        <f>IFERROR(1/(1/INDEX(HTS!$AT:$AT,MATCH($E103,HTS!$E:$E,0))),"")</f>
        <v/>
      </c>
      <c r="H103" s="14" t="str">
        <f>IF(OR($C103="15-24",$C103="25-34"),IFERROR(1/(1/SUM(SUMIFS(AGYW!$S:$S,AGYW!$B:$B,$B103,AGYW!$C:$C,IF($C103="15-24",{"15-19","20-24"},{"25-29"}),AGYW!$D:$D,$D103))),""),"")</f>
        <v/>
      </c>
      <c r="I103" s="14" t="str">
        <f>IF(OR($C103="15-24",$C103="25-34"),IFERROR(1/(1/SUM(SUMIFS(AGYW!$T:$T,AGYW!$B:$B,$B103,AGYW!$C:$C,IF($C103="15-24",{"15-19","20-24"},{"25-29"}),AGYW!$D:$D,$D103))),""),"")</f>
        <v/>
      </c>
      <c r="J103" s="14"/>
      <c r="K103" s="14"/>
      <c r="L103" s="42" t="str">
        <f t="shared" si="5"/>
        <v/>
      </c>
      <c r="M103" s="14"/>
      <c r="N103" s="14"/>
      <c r="O103" s="42" t="str">
        <f t="shared" si="6"/>
        <v/>
      </c>
      <c r="P103" s="14">
        <f>2</f>
        <v>2</v>
      </c>
      <c r="Q103" s="42" t="str">
        <f t="shared" si="7"/>
        <v/>
      </c>
    </row>
    <row r="104" spans="1:17" x14ac:dyDescent="0.2">
      <c r="A104" t="str">
        <f>INDEX(Prioritization!$D:$D,MATCH($B104,Prioritization!$A:$A,0))</f>
        <v>INVALID</v>
      </c>
      <c r="B104" t="s">
        <v>204</v>
      </c>
      <c r="C104" t="s">
        <v>364</v>
      </c>
      <c r="D104" t="s">
        <v>47</v>
      </c>
      <c r="E104" t="str">
        <f t="shared" si="4"/>
        <v>Karonga District [cPtvxaZqXIH]|15-24|Male</v>
      </c>
      <c r="F104" s="14" t="str">
        <f>IF(LEFT($B104,4)="_Mil","",INDEX(Cascade!$U:$U,MATCH($E104,Cascade!$E:$E,0)))</f>
        <v/>
      </c>
      <c r="G104" s="14" t="str">
        <f>IFERROR(1/(1/INDEX(HTS!$AT:$AT,MATCH($E104,HTS!$E:$E,0))),"")</f>
        <v/>
      </c>
      <c r="H104" s="14" t="str">
        <f>IF(OR($C104="15-24",$C104="25-34"),IFERROR(1/(1/SUM(SUMIFS(AGYW!$S:$S,AGYW!$B:$B,$B104,AGYW!$C:$C,IF($C104="15-24",{"15-19","20-24"},{"25-29"}),AGYW!$D:$D,$D104))),""),"")</f>
        <v/>
      </c>
      <c r="I104" s="14" t="str">
        <f>IF(OR($C104="15-24",$C104="25-34"),IFERROR(1/(1/SUM(SUMIFS(AGYW!$T:$T,AGYW!$B:$B,$B104,AGYW!$C:$C,IF($C104="15-24",{"15-19","20-24"},{"25-29"}),AGYW!$D:$D,$D104))),""),"")</f>
        <v/>
      </c>
      <c r="J104" s="14"/>
      <c r="K104" s="14"/>
      <c r="L104" s="42" t="str">
        <f t="shared" si="5"/>
        <v/>
      </c>
      <c r="M104" s="14"/>
      <c r="N104" s="14"/>
      <c r="O104" s="42" t="str">
        <f t="shared" si="6"/>
        <v/>
      </c>
      <c r="P104" s="14">
        <f>2</f>
        <v>2</v>
      </c>
      <c r="Q104" s="42" t="str">
        <f t="shared" si="7"/>
        <v/>
      </c>
    </row>
    <row r="105" spans="1:17" x14ac:dyDescent="0.2">
      <c r="A105" t="str">
        <f>INDEX(Prioritization!$D:$D,MATCH($B105,Prioritization!$A:$A,0))</f>
        <v>INVALID</v>
      </c>
      <c r="B105" t="s">
        <v>204</v>
      </c>
      <c r="C105" t="s">
        <v>365</v>
      </c>
      <c r="D105" t="s">
        <v>29</v>
      </c>
      <c r="E105" t="str">
        <f t="shared" si="4"/>
        <v>Karonga District [cPtvxaZqXIH]|25-34|Female</v>
      </c>
      <c r="F105" s="14" t="str">
        <f>IF(LEFT($B105,4)="_Mil","",INDEX(Cascade!$U:$U,MATCH($E105,Cascade!$E:$E,0)))</f>
        <v/>
      </c>
      <c r="G105" s="14" t="str">
        <f>IFERROR(1/(1/INDEX(HTS!$AT:$AT,MATCH($E105,HTS!$E:$E,0))),"")</f>
        <v/>
      </c>
      <c r="H105" s="14" t="str">
        <f>IF(OR($C105="15-24",$C105="25-34"),IFERROR(1/(1/SUM(SUMIFS(AGYW!$S:$S,AGYW!$B:$B,$B105,AGYW!$C:$C,IF($C105="15-24",{"15-19","20-24"},{"25-29"}),AGYW!$D:$D,$D105))),""),"")</f>
        <v/>
      </c>
      <c r="I105" s="14" t="str">
        <f>IF(OR($C105="15-24",$C105="25-34"),IFERROR(1/(1/SUM(SUMIFS(AGYW!$T:$T,AGYW!$B:$B,$B105,AGYW!$C:$C,IF($C105="15-24",{"15-19","20-24"},{"25-29"}),AGYW!$D:$D,$D105))),""),"")</f>
        <v/>
      </c>
      <c r="J105" s="14"/>
      <c r="K105" s="14"/>
      <c r="L105" s="42" t="str">
        <f t="shared" si="5"/>
        <v/>
      </c>
      <c r="M105" s="14"/>
      <c r="N105" s="14"/>
      <c r="O105" s="42" t="str">
        <f t="shared" si="6"/>
        <v/>
      </c>
      <c r="P105" s="14">
        <f>2</f>
        <v>2</v>
      </c>
      <c r="Q105" s="42" t="str">
        <f t="shared" si="7"/>
        <v/>
      </c>
    </row>
    <row r="106" spans="1:17" x14ac:dyDescent="0.2">
      <c r="A106" t="str">
        <f>INDEX(Prioritization!$D:$D,MATCH($B106,Prioritization!$A:$A,0))</f>
        <v>INVALID</v>
      </c>
      <c r="B106" t="s">
        <v>204</v>
      </c>
      <c r="C106" t="s">
        <v>365</v>
      </c>
      <c r="D106" t="s">
        <v>47</v>
      </c>
      <c r="E106" t="str">
        <f t="shared" si="4"/>
        <v>Karonga District [cPtvxaZqXIH]|25-34|Male</v>
      </c>
      <c r="F106" s="14" t="str">
        <f>IF(LEFT($B106,4)="_Mil","",INDEX(Cascade!$U:$U,MATCH($E106,Cascade!$E:$E,0)))</f>
        <v/>
      </c>
      <c r="G106" s="14" t="str">
        <f>IFERROR(1/(1/INDEX(HTS!$AT:$AT,MATCH($E106,HTS!$E:$E,0))),"")</f>
        <v/>
      </c>
      <c r="H106" s="14" t="str">
        <f>IF(OR($C106="15-24",$C106="25-34"),IFERROR(1/(1/SUM(SUMIFS(AGYW!$S:$S,AGYW!$B:$B,$B106,AGYW!$C:$C,IF($C106="15-24",{"15-19","20-24"},{"25-29"}),AGYW!$D:$D,$D106))),""),"")</f>
        <v/>
      </c>
      <c r="I106" s="14" t="str">
        <f>IF(OR($C106="15-24",$C106="25-34"),IFERROR(1/(1/SUM(SUMIFS(AGYW!$T:$T,AGYW!$B:$B,$B106,AGYW!$C:$C,IF($C106="15-24",{"15-19","20-24"},{"25-29"}),AGYW!$D:$D,$D106))),""),"")</f>
        <v/>
      </c>
      <c r="J106" s="14"/>
      <c r="K106" s="14"/>
      <c r="L106" s="42" t="str">
        <f t="shared" si="5"/>
        <v/>
      </c>
      <c r="M106" s="14"/>
      <c r="N106" s="14"/>
      <c r="O106" s="42" t="str">
        <f t="shared" si="6"/>
        <v/>
      </c>
      <c r="P106" s="14">
        <f>2</f>
        <v>2</v>
      </c>
      <c r="Q106" s="42" t="str">
        <f t="shared" si="7"/>
        <v/>
      </c>
    </row>
    <row r="107" spans="1:17" x14ac:dyDescent="0.2">
      <c r="A107" t="str">
        <f>INDEX(Prioritization!$D:$D,MATCH($B107,Prioritization!$A:$A,0))</f>
        <v>INVALID</v>
      </c>
      <c r="B107" t="s">
        <v>204</v>
      </c>
      <c r="C107" t="s">
        <v>366</v>
      </c>
      <c r="D107" t="s">
        <v>29</v>
      </c>
      <c r="E107" t="str">
        <f t="shared" si="4"/>
        <v>Karonga District [cPtvxaZqXIH]|35-49|Female</v>
      </c>
      <c r="F107" s="14" t="str">
        <f>IF(LEFT($B107,4)="_Mil","",INDEX(Cascade!$U:$U,MATCH($E107,Cascade!$E:$E,0)))</f>
        <v/>
      </c>
      <c r="G107" s="14" t="str">
        <f>IFERROR(1/(1/INDEX(HTS!$AT:$AT,MATCH($E107,HTS!$E:$E,0))),"")</f>
        <v/>
      </c>
      <c r="H107" s="14" t="str">
        <f>IF(OR($C107="15-24",$C107="25-34"),IFERROR(1/(1/SUM(SUMIFS(AGYW!$S:$S,AGYW!$B:$B,$B107,AGYW!$C:$C,IF($C107="15-24",{"15-19","20-24"},{"25-29"}),AGYW!$D:$D,$D107))),""),"")</f>
        <v/>
      </c>
      <c r="I107" s="14" t="str">
        <f>IF(OR($C107="15-24",$C107="25-34"),IFERROR(1/(1/SUM(SUMIFS(AGYW!$T:$T,AGYW!$B:$B,$B107,AGYW!$C:$C,IF($C107="15-24",{"15-19","20-24"},{"25-29"}),AGYW!$D:$D,$D107))),""),"")</f>
        <v/>
      </c>
      <c r="J107" s="14"/>
      <c r="K107" s="14"/>
      <c r="L107" s="42" t="str">
        <f t="shared" si="5"/>
        <v/>
      </c>
      <c r="M107" s="14"/>
      <c r="N107" s="14"/>
      <c r="O107" s="42" t="str">
        <f t="shared" si="6"/>
        <v/>
      </c>
      <c r="P107" s="14">
        <f>2</f>
        <v>2</v>
      </c>
      <c r="Q107" s="42" t="str">
        <f t="shared" si="7"/>
        <v/>
      </c>
    </row>
    <row r="108" spans="1:17" x14ac:dyDescent="0.2">
      <c r="A108" t="str">
        <f>INDEX(Prioritization!$D:$D,MATCH($B108,Prioritization!$A:$A,0))</f>
        <v>INVALID</v>
      </c>
      <c r="B108" t="s">
        <v>204</v>
      </c>
      <c r="C108" t="s">
        <v>366</v>
      </c>
      <c r="D108" t="s">
        <v>47</v>
      </c>
      <c r="E108" t="str">
        <f t="shared" si="4"/>
        <v>Karonga District [cPtvxaZqXIH]|35-49|Male</v>
      </c>
      <c r="F108" s="14" t="str">
        <f>IF(LEFT($B108,4)="_Mil","",INDEX(Cascade!$U:$U,MATCH($E108,Cascade!$E:$E,0)))</f>
        <v/>
      </c>
      <c r="G108" s="14" t="str">
        <f>IFERROR(1/(1/INDEX(HTS!$AT:$AT,MATCH($E108,HTS!$E:$E,0))),"")</f>
        <v/>
      </c>
      <c r="H108" s="14" t="str">
        <f>IF(OR($C108="15-24",$C108="25-34"),IFERROR(1/(1/SUM(SUMIFS(AGYW!$S:$S,AGYW!$B:$B,$B108,AGYW!$C:$C,IF($C108="15-24",{"15-19","20-24"},{"25-29"}),AGYW!$D:$D,$D108))),""),"")</f>
        <v/>
      </c>
      <c r="I108" s="14" t="str">
        <f>IF(OR($C108="15-24",$C108="25-34"),IFERROR(1/(1/SUM(SUMIFS(AGYW!$T:$T,AGYW!$B:$B,$B108,AGYW!$C:$C,IF($C108="15-24",{"15-19","20-24"},{"25-29"}),AGYW!$D:$D,$D108))),""),"")</f>
        <v/>
      </c>
      <c r="J108" s="14"/>
      <c r="K108" s="14"/>
      <c r="L108" s="42" t="str">
        <f t="shared" si="5"/>
        <v/>
      </c>
      <c r="M108" s="14"/>
      <c r="N108" s="14"/>
      <c r="O108" s="42" t="str">
        <f t="shared" si="6"/>
        <v/>
      </c>
      <c r="P108" s="14">
        <f>2</f>
        <v>2</v>
      </c>
      <c r="Q108" s="42" t="str">
        <f t="shared" si="7"/>
        <v/>
      </c>
    </row>
    <row r="109" spans="1:17" x14ac:dyDescent="0.2">
      <c r="A109" t="str">
        <f>INDEX(Prioritization!$D:$D,MATCH($B109,Prioritization!$A:$A,0))</f>
        <v>INVALID</v>
      </c>
      <c r="B109" t="s">
        <v>204</v>
      </c>
      <c r="C109" t="s">
        <v>367</v>
      </c>
      <c r="D109" t="s">
        <v>29</v>
      </c>
      <c r="E109" t="str">
        <f t="shared" si="4"/>
        <v>Karonga District [cPtvxaZqXIH]|50+|Female</v>
      </c>
      <c r="F109" s="14" t="str">
        <f>IF(LEFT($B109,4)="_Mil","",INDEX(Cascade!$U:$U,MATCH($E109,Cascade!$E:$E,0)))</f>
        <v/>
      </c>
      <c r="G109" s="14" t="str">
        <f>IFERROR(1/(1/INDEX(HTS!$AT:$AT,MATCH($E109,HTS!$E:$E,0))),"")</f>
        <v/>
      </c>
      <c r="H109" s="14" t="str">
        <f>IF(OR($C109="15-24",$C109="25-34"),IFERROR(1/(1/SUM(SUMIFS(AGYW!$S:$S,AGYW!$B:$B,$B109,AGYW!$C:$C,IF($C109="15-24",{"15-19","20-24"},{"25-29"}),AGYW!$D:$D,$D109))),""),"")</f>
        <v/>
      </c>
      <c r="I109" s="14" t="str">
        <f>IF(OR($C109="15-24",$C109="25-34"),IFERROR(1/(1/SUM(SUMIFS(AGYW!$T:$T,AGYW!$B:$B,$B109,AGYW!$C:$C,IF($C109="15-24",{"15-19","20-24"},{"25-29"}),AGYW!$D:$D,$D109))),""),"")</f>
        <v/>
      </c>
      <c r="J109" s="14"/>
      <c r="K109" s="14"/>
      <c r="L109" s="42" t="str">
        <f t="shared" si="5"/>
        <v/>
      </c>
      <c r="M109" s="14"/>
      <c r="N109" s="14"/>
      <c r="O109" s="42" t="str">
        <f t="shared" si="6"/>
        <v/>
      </c>
      <c r="P109" s="14">
        <f>2</f>
        <v>2</v>
      </c>
      <c r="Q109" s="42" t="str">
        <f t="shared" si="7"/>
        <v/>
      </c>
    </row>
    <row r="110" spans="1:17" x14ac:dyDescent="0.2">
      <c r="A110" t="str">
        <f>INDEX(Prioritization!$D:$D,MATCH($B110,Prioritization!$A:$A,0))</f>
        <v>INVALID</v>
      </c>
      <c r="B110" t="s">
        <v>204</v>
      </c>
      <c r="C110" t="s">
        <v>367</v>
      </c>
      <c r="D110" t="s">
        <v>47</v>
      </c>
      <c r="E110" t="str">
        <f t="shared" si="4"/>
        <v>Karonga District [cPtvxaZqXIH]|50+|Male</v>
      </c>
      <c r="F110" s="14" t="str">
        <f>IF(LEFT($B110,4)="_Mil","",INDEX(Cascade!$U:$U,MATCH($E110,Cascade!$E:$E,0)))</f>
        <v/>
      </c>
      <c r="G110" s="14" t="str">
        <f>IFERROR(1/(1/INDEX(HTS!$AT:$AT,MATCH($E110,HTS!$E:$E,0))),"")</f>
        <v/>
      </c>
      <c r="H110" s="14" t="str">
        <f>IF(OR($C110="15-24",$C110="25-34"),IFERROR(1/(1/SUM(SUMIFS(AGYW!$S:$S,AGYW!$B:$B,$B110,AGYW!$C:$C,IF($C110="15-24",{"15-19","20-24"},{"25-29"}),AGYW!$D:$D,$D110))),""),"")</f>
        <v/>
      </c>
      <c r="I110" s="14" t="str">
        <f>IF(OR($C110="15-24",$C110="25-34"),IFERROR(1/(1/SUM(SUMIFS(AGYW!$T:$T,AGYW!$B:$B,$B110,AGYW!$C:$C,IF($C110="15-24",{"15-19","20-24"},{"25-29"}),AGYW!$D:$D,$D110))),""),"")</f>
        <v/>
      </c>
      <c r="J110" s="14"/>
      <c r="K110" s="14"/>
      <c r="L110" s="42" t="str">
        <f t="shared" si="5"/>
        <v/>
      </c>
      <c r="M110" s="14"/>
      <c r="N110" s="14"/>
      <c r="O110" s="42" t="str">
        <f t="shared" si="6"/>
        <v/>
      </c>
      <c r="P110" s="14">
        <f>2</f>
        <v>2</v>
      </c>
      <c r="Q110" s="42" t="str">
        <f t="shared" si="7"/>
        <v/>
      </c>
    </row>
    <row r="111" spans="1:17" x14ac:dyDescent="0.2">
      <c r="A111" t="str">
        <f>INDEX(Prioritization!$D:$D,MATCH($B111,Prioritization!$A:$A,0))</f>
        <v>INVALID</v>
      </c>
      <c r="B111" t="s">
        <v>205</v>
      </c>
      <c r="C111" t="s">
        <v>364</v>
      </c>
      <c r="D111" t="s">
        <v>29</v>
      </c>
      <c r="E111" t="str">
        <f t="shared" si="4"/>
        <v>Likoma District [ZCjuwgaMB9u]|15-24|Female</v>
      </c>
      <c r="F111" s="14" t="str">
        <f>IF(LEFT($B111,4)="_Mil","",INDEX(Cascade!$U:$U,MATCH($E111,Cascade!$E:$E,0)))</f>
        <v/>
      </c>
      <c r="G111" s="14" t="str">
        <f>IFERROR(1/(1/INDEX(HTS!$AT:$AT,MATCH($E111,HTS!$E:$E,0))),"")</f>
        <v/>
      </c>
      <c r="H111" s="14" t="str">
        <f>IF(OR($C111="15-24",$C111="25-34"),IFERROR(1/(1/SUM(SUMIFS(AGYW!$S:$S,AGYW!$B:$B,$B111,AGYW!$C:$C,IF($C111="15-24",{"15-19","20-24"},{"25-29"}),AGYW!$D:$D,$D111))),""),"")</f>
        <v/>
      </c>
      <c r="I111" s="14" t="str">
        <f>IF(OR($C111="15-24",$C111="25-34"),IFERROR(1/(1/SUM(SUMIFS(AGYW!$T:$T,AGYW!$B:$B,$B111,AGYW!$C:$C,IF($C111="15-24",{"15-19","20-24"},{"25-29"}),AGYW!$D:$D,$D111))),""),"")</f>
        <v/>
      </c>
      <c r="J111" s="14"/>
      <c r="K111" s="14"/>
      <c r="L111" s="42" t="str">
        <f t="shared" si="5"/>
        <v/>
      </c>
      <c r="M111" s="14"/>
      <c r="N111" s="14"/>
      <c r="O111" s="42" t="str">
        <f t="shared" si="6"/>
        <v/>
      </c>
      <c r="P111" s="14">
        <f>2</f>
        <v>2</v>
      </c>
      <c r="Q111" s="42" t="str">
        <f t="shared" si="7"/>
        <v/>
      </c>
    </row>
    <row r="112" spans="1:17" x14ac:dyDescent="0.2">
      <c r="A112" t="str">
        <f>INDEX(Prioritization!$D:$D,MATCH($B112,Prioritization!$A:$A,0))</f>
        <v>INVALID</v>
      </c>
      <c r="B112" t="s">
        <v>205</v>
      </c>
      <c r="C112" t="s">
        <v>364</v>
      </c>
      <c r="D112" t="s">
        <v>47</v>
      </c>
      <c r="E112" t="str">
        <f t="shared" si="4"/>
        <v>Likoma District [ZCjuwgaMB9u]|15-24|Male</v>
      </c>
      <c r="F112" s="14" t="str">
        <f>IF(LEFT($B112,4)="_Mil","",INDEX(Cascade!$U:$U,MATCH($E112,Cascade!$E:$E,0)))</f>
        <v/>
      </c>
      <c r="G112" s="14" t="str">
        <f>IFERROR(1/(1/INDEX(HTS!$AT:$AT,MATCH($E112,HTS!$E:$E,0))),"")</f>
        <v/>
      </c>
      <c r="H112" s="14" t="str">
        <f>IF(OR($C112="15-24",$C112="25-34"),IFERROR(1/(1/SUM(SUMIFS(AGYW!$S:$S,AGYW!$B:$B,$B112,AGYW!$C:$C,IF($C112="15-24",{"15-19","20-24"},{"25-29"}),AGYW!$D:$D,$D112))),""),"")</f>
        <v/>
      </c>
      <c r="I112" s="14" t="str">
        <f>IF(OR($C112="15-24",$C112="25-34"),IFERROR(1/(1/SUM(SUMIFS(AGYW!$T:$T,AGYW!$B:$B,$B112,AGYW!$C:$C,IF($C112="15-24",{"15-19","20-24"},{"25-29"}),AGYW!$D:$D,$D112))),""),"")</f>
        <v/>
      </c>
      <c r="J112" s="14"/>
      <c r="K112" s="14"/>
      <c r="L112" s="42" t="str">
        <f t="shared" si="5"/>
        <v/>
      </c>
      <c r="M112" s="14"/>
      <c r="N112" s="14"/>
      <c r="O112" s="42" t="str">
        <f t="shared" si="6"/>
        <v/>
      </c>
      <c r="P112" s="14">
        <f>2</f>
        <v>2</v>
      </c>
      <c r="Q112" s="42" t="str">
        <f t="shared" si="7"/>
        <v/>
      </c>
    </row>
    <row r="113" spans="1:17" x14ac:dyDescent="0.2">
      <c r="A113" t="str">
        <f>INDEX(Prioritization!$D:$D,MATCH($B113,Prioritization!$A:$A,0))</f>
        <v>INVALID</v>
      </c>
      <c r="B113" t="s">
        <v>205</v>
      </c>
      <c r="C113" t="s">
        <v>365</v>
      </c>
      <c r="D113" t="s">
        <v>29</v>
      </c>
      <c r="E113" t="str">
        <f t="shared" si="4"/>
        <v>Likoma District [ZCjuwgaMB9u]|25-34|Female</v>
      </c>
      <c r="F113" s="14" t="str">
        <f>IF(LEFT($B113,4)="_Mil","",INDEX(Cascade!$U:$U,MATCH($E113,Cascade!$E:$E,0)))</f>
        <v/>
      </c>
      <c r="G113" s="14" t="str">
        <f>IFERROR(1/(1/INDEX(HTS!$AT:$AT,MATCH($E113,HTS!$E:$E,0))),"")</f>
        <v/>
      </c>
      <c r="H113" s="14" t="str">
        <f>IF(OR($C113="15-24",$C113="25-34"),IFERROR(1/(1/SUM(SUMIFS(AGYW!$S:$S,AGYW!$B:$B,$B113,AGYW!$C:$C,IF($C113="15-24",{"15-19","20-24"},{"25-29"}),AGYW!$D:$D,$D113))),""),"")</f>
        <v/>
      </c>
      <c r="I113" s="14" t="str">
        <f>IF(OR($C113="15-24",$C113="25-34"),IFERROR(1/(1/SUM(SUMIFS(AGYW!$T:$T,AGYW!$B:$B,$B113,AGYW!$C:$C,IF($C113="15-24",{"15-19","20-24"},{"25-29"}),AGYW!$D:$D,$D113))),""),"")</f>
        <v/>
      </c>
      <c r="J113" s="14"/>
      <c r="K113" s="14"/>
      <c r="L113" s="42" t="str">
        <f t="shared" si="5"/>
        <v/>
      </c>
      <c r="M113" s="14"/>
      <c r="N113" s="14"/>
      <c r="O113" s="42" t="str">
        <f t="shared" si="6"/>
        <v/>
      </c>
      <c r="P113" s="14">
        <f>2</f>
        <v>2</v>
      </c>
      <c r="Q113" s="42" t="str">
        <f t="shared" si="7"/>
        <v/>
      </c>
    </row>
    <row r="114" spans="1:17" x14ac:dyDescent="0.2">
      <c r="A114" t="str">
        <f>INDEX(Prioritization!$D:$D,MATCH($B114,Prioritization!$A:$A,0))</f>
        <v>INVALID</v>
      </c>
      <c r="B114" t="s">
        <v>205</v>
      </c>
      <c r="C114" t="s">
        <v>365</v>
      </c>
      <c r="D114" t="s">
        <v>47</v>
      </c>
      <c r="E114" t="str">
        <f t="shared" si="4"/>
        <v>Likoma District [ZCjuwgaMB9u]|25-34|Male</v>
      </c>
      <c r="F114" s="14" t="str">
        <f>IF(LEFT($B114,4)="_Mil","",INDEX(Cascade!$U:$U,MATCH($E114,Cascade!$E:$E,0)))</f>
        <v/>
      </c>
      <c r="G114" s="14" t="str">
        <f>IFERROR(1/(1/INDEX(HTS!$AT:$AT,MATCH($E114,HTS!$E:$E,0))),"")</f>
        <v/>
      </c>
      <c r="H114" s="14" t="str">
        <f>IF(OR($C114="15-24",$C114="25-34"),IFERROR(1/(1/SUM(SUMIFS(AGYW!$S:$S,AGYW!$B:$B,$B114,AGYW!$C:$C,IF($C114="15-24",{"15-19","20-24"},{"25-29"}),AGYW!$D:$D,$D114))),""),"")</f>
        <v/>
      </c>
      <c r="I114" s="14" t="str">
        <f>IF(OR($C114="15-24",$C114="25-34"),IFERROR(1/(1/SUM(SUMIFS(AGYW!$T:$T,AGYW!$B:$B,$B114,AGYW!$C:$C,IF($C114="15-24",{"15-19","20-24"},{"25-29"}),AGYW!$D:$D,$D114))),""),"")</f>
        <v/>
      </c>
      <c r="J114" s="14"/>
      <c r="K114" s="14"/>
      <c r="L114" s="42" t="str">
        <f t="shared" si="5"/>
        <v/>
      </c>
      <c r="M114" s="14"/>
      <c r="N114" s="14"/>
      <c r="O114" s="42" t="str">
        <f t="shared" si="6"/>
        <v/>
      </c>
      <c r="P114" s="14">
        <f>2</f>
        <v>2</v>
      </c>
      <c r="Q114" s="42" t="str">
        <f t="shared" si="7"/>
        <v/>
      </c>
    </row>
    <row r="115" spans="1:17" x14ac:dyDescent="0.2">
      <c r="A115" t="str">
        <f>INDEX(Prioritization!$D:$D,MATCH($B115,Prioritization!$A:$A,0))</f>
        <v>INVALID</v>
      </c>
      <c r="B115" t="s">
        <v>205</v>
      </c>
      <c r="C115" t="s">
        <v>366</v>
      </c>
      <c r="D115" t="s">
        <v>29</v>
      </c>
      <c r="E115" t="str">
        <f t="shared" si="4"/>
        <v>Likoma District [ZCjuwgaMB9u]|35-49|Female</v>
      </c>
      <c r="F115" s="14" t="str">
        <f>IF(LEFT($B115,4)="_Mil","",INDEX(Cascade!$U:$U,MATCH($E115,Cascade!$E:$E,0)))</f>
        <v/>
      </c>
      <c r="G115" s="14" t="str">
        <f>IFERROR(1/(1/INDEX(HTS!$AT:$AT,MATCH($E115,HTS!$E:$E,0))),"")</f>
        <v/>
      </c>
      <c r="H115" s="14" t="str">
        <f>IF(OR($C115="15-24",$C115="25-34"),IFERROR(1/(1/SUM(SUMIFS(AGYW!$S:$S,AGYW!$B:$B,$B115,AGYW!$C:$C,IF($C115="15-24",{"15-19","20-24"},{"25-29"}),AGYW!$D:$D,$D115))),""),"")</f>
        <v/>
      </c>
      <c r="I115" s="14" t="str">
        <f>IF(OR($C115="15-24",$C115="25-34"),IFERROR(1/(1/SUM(SUMIFS(AGYW!$T:$T,AGYW!$B:$B,$B115,AGYW!$C:$C,IF($C115="15-24",{"15-19","20-24"},{"25-29"}),AGYW!$D:$D,$D115))),""),"")</f>
        <v/>
      </c>
      <c r="J115" s="14"/>
      <c r="K115" s="14"/>
      <c r="L115" s="42" t="str">
        <f t="shared" si="5"/>
        <v/>
      </c>
      <c r="M115" s="14"/>
      <c r="N115" s="14"/>
      <c r="O115" s="42" t="str">
        <f t="shared" si="6"/>
        <v/>
      </c>
      <c r="P115" s="14">
        <f>2</f>
        <v>2</v>
      </c>
      <c r="Q115" s="42" t="str">
        <f t="shared" si="7"/>
        <v/>
      </c>
    </row>
    <row r="116" spans="1:17" x14ac:dyDescent="0.2">
      <c r="A116" t="str">
        <f>INDEX(Prioritization!$D:$D,MATCH($B116,Prioritization!$A:$A,0))</f>
        <v>INVALID</v>
      </c>
      <c r="B116" t="s">
        <v>205</v>
      </c>
      <c r="C116" t="s">
        <v>366</v>
      </c>
      <c r="D116" t="s">
        <v>47</v>
      </c>
      <c r="E116" t="str">
        <f t="shared" si="4"/>
        <v>Likoma District [ZCjuwgaMB9u]|35-49|Male</v>
      </c>
      <c r="F116" s="14" t="str">
        <f>IF(LEFT($B116,4)="_Mil","",INDEX(Cascade!$U:$U,MATCH($E116,Cascade!$E:$E,0)))</f>
        <v/>
      </c>
      <c r="G116" s="14" t="str">
        <f>IFERROR(1/(1/INDEX(HTS!$AT:$AT,MATCH($E116,HTS!$E:$E,0))),"")</f>
        <v/>
      </c>
      <c r="H116" s="14" t="str">
        <f>IF(OR($C116="15-24",$C116="25-34"),IFERROR(1/(1/SUM(SUMIFS(AGYW!$S:$S,AGYW!$B:$B,$B116,AGYW!$C:$C,IF($C116="15-24",{"15-19","20-24"},{"25-29"}),AGYW!$D:$D,$D116))),""),"")</f>
        <v/>
      </c>
      <c r="I116" s="14" t="str">
        <f>IF(OR($C116="15-24",$C116="25-34"),IFERROR(1/(1/SUM(SUMIFS(AGYW!$T:$T,AGYW!$B:$B,$B116,AGYW!$C:$C,IF($C116="15-24",{"15-19","20-24"},{"25-29"}),AGYW!$D:$D,$D116))),""),"")</f>
        <v/>
      </c>
      <c r="J116" s="14"/>
      <c r="K116" s="14"/>
      <c r="L116" s="42" t="str">
        <f t="shared" si="5"/>
        <v/>
      </c>
      <c r="M116" s="14"/>
      <c r="N116" s="14"/>
      <c r="O116" s="42" t="str">
        <f t="shared" si="6"/>
        <v/>
      </c>
      <c r="P116" s="14">
        <f>2</f>
        <v>2</v>
      </c>
      <c r="Q116" s="42" t="str">
        <f t="shared" si="7"/>
        <v/>
      </c>
    </row>
    <row r="117" spans="1:17" x14ac:dyDescent="0.2">
      <c r="A117" t="str">
        <f>INDEX(Prioritization!$D:$D,MATCH($B117,Prioritization!$A:$A,0))</f>
        <v>INVALID</v>
      </c>
      <c r="B117" t="s">
        <v>205</v>
      </c>
      <c r="C117" t="s">
        <v>367</v>
      </c>
      <c r="D117" t="s">
        <v>29</v>
      </c>
      <c r="E117" t="str">
        <f t="shared" si="4"/>
        <v>Likoma District [ZCjuwgaMB9u]|50+|Female</v>
      </c>
      <c r="F117" s="14" t="str">
        <f>IF(LEFT($B117,4)="_Mil","",INDEX(Cascade!$U:$U,MATCH($E117,Cascade!$E:$E,0)))</f>
        <v/>
      </c>
      <c r="G117" s="14" t="str">
        <f>IFERROR(1/(1/INDEX(HTS!$AT:$AT,MATCH($E117,HTS!$E:$E,0))),"")</f>
        <v/>
      </c>
      <c r="H117" s="14" t="str">
        <f>IF(OR($C117="15-24",$C117="25-34"),IFERROR(1/(1/SUM(SUMIFS(AGYW!$S:$S,AGYW!$B:$B,$B117,AGYW!$C:$C,IF($C117="15-24",{"15-19","20-24"},{"25-29"}),AGYW!$D:$D,$D117))),""),"")</f>
        <v/>
      </c>
      <c r="I117" s="14" t="str">
        <f>IF(OR($C117="15-24",$C117="25-34"),IFERROR(1/(1/SUM(SUMIFS(AGYW!$T:$T,AGYW!$B:$B,$B117,AGYW!$C:$C,IF($C117="15-24",{"15-19","20-24"},{"25-29"}),AGYW!$D:$D,$D117))),""),"")</f>
        <v/>
      </c>
      <c r="J117" s="14"/>
      <c r="K117" s="14"/>
      <c r="L117" s="42" t="str">
        <f t="shared" si="5"/>
        <v/>
      </c>
      <c r="M117" s="14"/>
      <c r="N117" s="14"/>
      <c r="O117" s="42" t="str">
        <f t="shared" si="6"/>
        <v/>
      </c>
      <c r="P117" s="14">
        <f>2</f>
        <v>2</v>
      </c>
      <c r="Q117" s="42" t="str">
        <f t="shared" si="7"/>
        <v/>
      </c>
    </row>
    <row r="118" spans="1:17" x14ac:dyDescent="0.2">
      <c r="A118" t="str">
        <f>INDEX(Prioritization!$D:$D,MATCH($B118,Prioritization!$A:$A,0))</f>
        <v>INVALID</v>
      </c>
      <c r="B118" t="s">
        <v>205</v>
      </c>
      <c r="C118" t="s">
        <v>367</v>
      </c>
      <c r="D118" t="s">
        <v>47</v>
      </c>
      <c r="E118" t="str">
        <f t="shared" si="4"/>
        <v>Likoma District [ZCjuwgaMB9u]|50+|Male</v>
      </c>
      <c r="F118" s="14" t="str">
        <f>IF(LEFT($B118,4)="_Mil","",INDEX(Cascade!$U:$U,MATCH($E118,Cascade!$E:$E,0)))</f>
        <v/>
      </c>
      <c r="G118" s="14" t="str">
        <f>IFERROR(1/(1/INDEX(HTS!$AT:$AT,MATCH($E118,HTS!$E:$E,0))),"")</f>
        <v/>
      </c>
      <c r="H118" s="14" t="str">
        <f>IF(OR($C118="15-24",$C118="25-34"),IFERROR(1/(1/SUM(SUMIFS(AGYW!$S:$S,AGYW!$B:$B,$B118,AGYW!$C:$C,IF($C118="15-24",{"15-19","20-24"},{"25-29"}),AGYW!$D:$D,$D118))),""),"")</f>
        <v/>
      </c>
      <c r="I118" s="14" t="str">
        <f>IF(OR($C118="15-24",$C118="25-34"),IFERROR(1/(1/SUM(SUMIFS(AGYW!$T:$T,AGYW!$B:$B,$B118,AGYW!$C:$C,IF($C118="15-24",{"15-19","20-24"},{"25-29"}),AGYW!$D:$D,$D118))),""),"")</f>
        <v/>
      </c>
      <c r="J118" s="14"/>
      <c r="K118" s="14"/>
      <c r="L118" s="42" t="str">
        <f t="shared" si="5"/>
        <v/>
      </c>
      <c r="M118" s="14"/>
      <c r="N118" s="14"/>
      <c r="O118" s="42" t="str">
        <f t="shared" si="6"/>
        <v/>
      </c>
      <c r="P118" s="14">
        <f>2</f>
        <v>2</v>
      </c>
      <c r="Q118" s="42" t="str">
        <f t="shared" si="7"/>
        <v/>
      </c>
    </row>
    <row r="119" spans="1:17" x14ac:dyDescent="0.2">
      <c r="A119" t="str">
        <f>INDEX(Prioritization!$D:$D,MATCH($B119,Prioritization!$A:$A,0))</f>
        <v>1 - Scale-up: Saturation</v>
      </c>
      <c r="B119" t="s">
        <v>206</v>
      </c>
      <c r="C119" t="s">
        <v>364</v>
      </c>
      <c r="D119" t="s">
        <v>29</v>
      </c>
      <c r="E119" t="str">
        <f t="shared" si="4"/>
        <v>Mzimba District [vA4NcHxfMBq]|15-24|Female</v>
      </c>
      <c r="F119" s="14" t="str">
        <f>IF(LEFT($B119,4)="_Mil","",INDEX(Cascade!$U:$U,MATCH($E119,Cascade!$E:$E,0)))</f>
        <v/>
      </c>
      <c r="G119" s="14" t="str">
        <f>IFERROR(1/(1/INDEX(HTS!$AT:$AT,MATCH($E119,HTS!$E:$E,0))),"")</f>
        <v/>
      </c>
      <c r="H119" s="14" t="str">
        <f>IF(OR($C119="15-24",$C119="25-34"),IFERROR(1/(1/SUM(SUMIFS(AGYW!$S:$S,AGYW!$B:$B,$B119,AGYW!$C:$C,IF($C119="15-24",{"15-19","20-24"},{"25-29"}),AGYW!$D:$D,$D119))),""),"")</f>
        <v/>
      </c>
      <c r="I119" s="14" t="str">
        <f>IF(OR($C119="15-24",$C119="25-34"),IFERROR(1/(1/SUM(SUMIFS(AGYW!$T:$T,AGYW!$B:$B,$B119,AGYW!$C:$C,IF($C119="15-24",{"15-19","20-24"},{"25-29"}),AGYW!$D:$D,$D119))),""),"")</f>
        <v/>
      </c>
      <c r="J119" s="14"/>
      <c r="K119" s="14"/>
      <c r="L119" s="42" t="str">
        <f t="shared" si="5"/>
        <v/>
      </c>
      <c r="M119" s="14"/>
      <c r="N119" s="14"/>
      <c r="O119" s="42" t="str">
        <f t="shared" si="6"/>
        <v/>
      </c>
      <c r="P119" s="14">
        <f>2</f>
        <v>2</v>
      </c>
      <c r="Q119" s="42" t="str">
        <f t="shared" si="7"/>
        <v/>
      </c>
    </row>
    <row r="120" spans="1:17" x14ac:dyDescent="0.2">
      <c r="A120" t="str">
        <f>INDEX(Prioritization!$D:$D,MATCH($B120,Prioritization!$A:$A,0))</f>
        <v>1 - Scale-up: Saturation</v>
      </c>
      <c r="B120" t="s">
        <v>206</v>
      </c>
      <c r="C120" t="s">
        <v>364</v>
      </c>
      <c r="D120" t="s">
        <v>47</v>
      </c>
      <c r="E120" t="str">
        <f t="shared" si="4"/>
        <v>Mzimba District [vA4NcHxfMBq]|15-24|Male</v>
      </c>
      <c r="F120" s="14" t="str">
        <f>IF(LEFT($B120,4)="_Mil","",INDEX(Cascade!$U:$U,MATCH($E120,Cascade!$E:$E,0)))</f>
        <v/>
      </c>
      <c r="G120" s="14" t="str">
        <f>IFERROR(1/(1/INDEX(HTS!$AT:$AT,MATCH($E120,HTS!$E:$E,0))),"")</f>
        <v/>
      </c>
      <c r="H120" s="14" t="str">
        <f>IF(OR($C120="15-24",$C120="25-34"),IFERROR(1/(1/SUM(SUMIFS(AGYW!$S:$S,AGYW!$B:$B,$B120,AGYW!$C:$C,IF($C120="15-24",{"15-19","20-24"},{"25-29"}),AGYW!$D:$D,$D120))),""),"")</f>
        <v/>
      </c>
      <c r="I120" s="14" t="str">
        <f>IF(OR($C120="15-24",$C120="25-34"),IFERROR(1/(1/SUM(SUMIFS(AGYW!$T:$T,AGYW!$B:$B,$B120,AGYW!$C:$C,IF($C120="15-24",{"15-19","20-24"},{"25-29"}),AGYW!$D:$D,$D120))),""),"")</f>
        <v/>
      </c>
      <c r="J120" s="14"/>
      <c r="K120" s="14"/>
      <c r="L120" s="42" t="str">
        <f t="shared" si="5"/>
        <v/>
      </c>
      <c r="M120" s="14"/>
      <c r="N120" s="14"/>
      <c r="O120" s="42" t="str">
        <f t="shared" si="6"/>
        <v/>
      </c>
      <c r="P120" s="14">
        <f>2</f>
        <v>2</v>
      </c>
      <c r="Q120" s="42" t="str">
        <f t="shared" si="7"/>
        <v/>
      </c>
    </row>
    <row r="121" spans="1:17" x14ac:dyDescent="0.2">
      <c r="A121" t="str">
        <f>INDEX(Prioritization!$D:$D,MATCH($B121,Prioritization!$A:$A,0))</f>
        <v>1 - Scale-up: Saturation</v>
      </c>
      <c r="B121" t="s">
        <v>206</v>
      </c>
      <c r="C121" t="s">
        <v>365</v>
      </c>
      <c r="D121" t="s">
        <v>29</v>
      </c>
      <c r="E121" t="str">
        <f t="shared" si="4"/>
        <v>Mzimba District [vA4NcHxfMBq]|25-34|Female</v>
      </c>
      <c r="F121" s="14" t="str">
        <f>IF(LEFT($B121,4)="_Mil","",INDEX(Cascade!$U:$U,MATCH($E121,Cascade!$E:$E,0)))</f>
        <v/>
      </c>
      <c r="G121" s="14" t="str">
        <f>IFERROR(1/(1/INDEX(HTS!$AT:$AT,MATCH($E121,HTS!$E:$E,0))),"")</f>
        <v/>
      </c>
      <c r="H121" s="14" t="str">
        <f>IF(OR($C121="15-24",$C121="25-34"),IFERROR(1/(1/SUM(SUMIFS(AGYW!$S:$S,AGYW!$B:$B,$B121,AGYW!$C:$C,IF($C121="15-24",{"15-19","20-24"},{"25-29"}),AGYW!$D:$D,$D121))),""),"")</f>
        <v/>
      </c>
      <c r="I121" s="14" t="str">
        <f>IF(OR($C121="15-24",$C121="25-34"),IFERROR(1/(1/SUM(SUMIFS(AGYW!$T:$T,AGYW!$B:$B,$B121,AGYW!$C:$C,IF($C121="15-24",{"15-19","20-24"},{"25-29"}),AGYW!$D:$D,$D121))),""),"")</f>
        <v/>
      </c>
      <c r="J121" s="14"/>
      <c r="K121" s="14"/>
      <c r="L121" s="42" t="str">
        <f t="shared" si="5"/>
        <v/>
      </c>
      <c r="M121" s="14"/>
      <c r="N121" s="14"/>
      <c r="O121" s="42" t="str">
        <f t="shared" si="6"/>
        <v/>
      </c>
      <c r="P121" s="14">
        <f>2</f>
        <v>2</v>
      </c>
      <c r="Q121" s="42" t="str">
        <f t="shared" si="7"/>
        <v/>
      </c>
    </row>
    <row r="122" spans="1:17" x14ac:dyDescent="0.2">
      <c r="A122" t="str">
        <f>INDEX(Prioritization!$D:$D,MATCH($B122,Prioritization!$A:$A,0))</f>
        <v>1 - Scale-up: Saturation</v>
      </c>
      <c r="B122" t="s">
        <v>206</v>
      </c>
      <c r="C122" t="s">
        <v>365</v>
      </c>
      <c r="D122" t="s">
        <v>47</v>
      </c>
      <c r="E122" t="str">
        <f t="shared" si="4"/>
        <v>Mzimba District [vA4NcHxfMBq]|25-34|Male</v>
      </c>
      <c r="F122" s="14" t="str">
        <f>IF(LEFT($B122,4)="_Mil","",INDEX(Cascade!$U:$U,MATCH($E122,Cascade!$E:$E,0)))</f>
        <v/>
      </c>
      <c r="G122" s="14" t="str">
        <f>IFERROR(1/(1/INDEX(HTS!$AT:$AT,MATCH($E122,HTS!$E:$E,0))),"")</f>
        <v/>
      </c>
      <c r="H122" s="14" t="str">
        <f>IF(OR($C122="15-24",$C122="25-34"),IFERROR(1/(1/SUM(SUMIFS(AGYW!$S:$S,AGYW!$B:$B,$B122,AGYW!$C:$C,IF($C122="15-24",{"15-19","20-24"},{"25-29"}),AGYW!$D:$D,$D122))),""),"")</f>
        <v/>
      </c>
      <c r="I122" s="14" t="str">
        <f>IF(OR($C122="15-24",$C122="25-34"),IFERROR(1/(1/SUM(SUMIFS(AGYW!$T:$T,AGYW!$B:$B,$B122,AGYW!$C:$C,IF($C122="15-24",{"15-19","20-24"},{"25-29"}),AGYW!$D:$D,$D122))),""),"")</f>
        <v/>
      </c>
      <c r="J122" s="14"/>
      <c r="K122" s="14"/>
      <c r="L122" s="42" t="str">
        <f t="shared" si="5"/>
        <v/>
      </c>
      <c r="M122" s="14"/>
      <c r="N122" s="14"/>
      <c r="O122" s="42" t="str">
        <f t="shared" si="6"/>
        <v/>
      </c>
      <c r="P122" s="14">
        <f>2</f>
        <v>2</v>
      </c>
      <c r="Q122" s="42" t="str">
        <f t="shared" si="7"/>
        <v/>
      </c>
    </row>
    <row r="123" spans="1:17" x14ac:dyDescent="0.2">
      <c r="A123" t="str">
        <f>INDEX(Prioritization!$D:$D,MATCH($B123,Prioritization!$A:$A,0))</f>
        <v>1 - Scale-up: Saturation</v>
      </c>
      <c r="B123" t="s">
        <v>206</v>
      </c>
      <c r="C123" t="s">
        <v>366</v>
      </c>
      <c r="D123" t="s">
        <v>29</v>
      </c>
      <c r="E123" t="str">
        <f t="shared" si="4"/>
        <v>Mzimba District [vA4NcHxfMBq]|35-49|Female</v>
      </c>
      <c r="F123" s="14" t="str">
        <f>IF(LEFT($B123,4)="_Mil","",INDEX(Cascade!$U:$U,MATCH($E123,Cascade!$E:$E,0)))</f>
        <v/>
      </c>
      <c r="G123" s="14" t="str">
        <f>IFERROR(1/(1/INDEX(HTS!$AT:$AT,MATCH($E123,HTS!$E:$E,0))),"")</f>
        <v/>
      </c>
      <c r="H123" s="14" t="str">
        <f>IF(OR($C123="15-24",$C123="25-34"),IFERROR(1/(1/SUM(SUMIFS(AGYW!$S:$S,AGYW!$B:$B,$B123,AGYW!$C:$C,IF($C123="15-24",{"15-19","20-24"},{"25-29"}),AGYW!$D:$D,$D123))),""),"")</f>
        <v/>
      </c>
      <c r="I123" s="14" t="str">
        <f>IF(OR($C123="15-24",$C123="25-34"),IFERROR(1/(1/SUM(SUMIFS(AGYW!$T:$T,AGYW!$B:$B,$B123,AGYW!$C:$C,IF($C123="15-24",{"15-19","20-24"},{"25-29"}),AGYW!$D:$D,$D123))),""),"")</f>
        <v/>
      </c>
      <c r="J123" s="14"/>
      <c r="K123" s="14"/>
      <c r="L123" s="42" t="str">
        <f t="shared" si="5"/>
        <v/>
      </c>
      <c r="M123" s="14"/>
      <c r="N123" s="14"/>
      <c r="O123" s="42" t="str">
        <f t="shared" si="6"/>
        <v/>
      </c>
      <c r="P123" s="14">
        <f>2</f>
        <v>2</v>
      </c>
      <c r="Q123" s="42" t="str">
        <f t="shared" si="7"/>
        <v/>
      </c>
    </row>
    <row r="124" spans="1:17" x14ac:dyDescent="0.2">
      <c r="A124" t="str">
        <f>INDEX(Prioritization!$D:$D,MATCH($B124,Prioritization!$A:$A,0))</f>
        <v>1 - Scale-up: Saturation</v>
      </c>
      <c r="B124" t="s">
        <v>206</v>
      </c>
      <c r="C124" t="s">
        <v>366</v>
      </c>
      <c r="D124" t="s">
        <v>47</v>
      </c>
      <c r="E124" t="str">
        <f t="shared" si="4"/>
        <v>Mzimba District [vA4NcHxfMBq]|35-49|Male</v>
      </c>
      <c r="F124" s="14" t="str">
        <f>IF(LEFT($B124,4)="_Mil","",INDEX(Cascade!$U:$U,MATCH($E124,Cascade!$E:$E,0)))</f>
        <v/>
      </c>
      <c r="G124" s="14" t="str">
        <f>IFERROR(1/(1/INDEX(HTS!$AT:$AT,MATCH($E124,HTS!$E:$E,0))),"")</f>
        <v/>
      </c>
      <c r="H124" s="14" t="str">
        <f>IF(OR($C124="15-24",$C124="25-34"),IFERROR(1/(1/SUM(SUMIFS(AGYW!$S:$S,AGYW!$B:$B,$B124,AGYW!$C:$C,IF($C124="15-24",{"15-19","20-24"},{"25-29"}),AGYW!$D:$D,$D124))),""),"")</f>
        <v/>
      </c>
      <c r="I124" s="14" t="str">
        <f>IF(OR($C124="15-24",$C124="25-34"),IFERROR(1/(1/SUM(SUMIFS(AGYW!$T:$T,AGYW!$B:$B,$B124,AGYW!$C:$C,IF($C124="15-24",{"15-19","20-24"},{"25-29"}),AGYW!$D:$D,$D124))),""),"")</f>
        <v/>
      </c>
      <c r="J124" s="14"/>
      <c r="K124" s="14"/>
      <c r="L124" s="42" t="str">
        <f t="shared" si="5"/>
        <v/>
      </c>
      <c r="M124" s="14"/>
      <c r="N124" s="14"/>
      <c r="O124" s="42" t="str">
        <f t="shared" si="6"/>
        <v/>
      </c>
      <c r="P124" s="14">
        <f>2</f>
        <v>2</v>
      </c>
      <c r="Q124" s="42" t="str">
        <f t="shared" si="7"/>
        <v/>
      </c>
    </row>
    <row r="125" spans="1:17" x14ac:dyDescent="0.2">
      <c r="A125" t="str">
        <f>INDEX(Prioritization!$D:$D,MATCH($B125,Prioritization!$A:$A,0))</f>
        <v>1 - Scale-up: Saturation</v>
      </c>
      <c r="B125" t="s">
        <v>206</v>
      </c>
      <c r="C125" t="s">
        <v>367</v>
      </c>
      <c r="D125" t="s">
        <v>29</v>
      </c>
      <c r="E125" t="str">
        <f t="shared" si="4"/>
        <v>Mzimba District [vA4NcHxfMBq]|50+|Female</v>
      </c>
      <c r="F125" s="14" t="str">
        <f>IF(LEFT($B125,4)="_Mil","",INDEX(Cascade!$U:$U,MATCH($E125,Cascade!$E:$E,0)))</f>
        <v/>
      </c>
      <c r="G125" s="14" t="str">
        <f>IFERROR(1/(1/INDEX(HTS!$AT:$AT,MATCH($E125,HTS!$E:$E,0))),"")</f>
        <v/>
      </c>
      <c r="H125" s="14" t="str">
        <f>IF(OR($C125="15-24",$C125="25-34"),IFERROR(1/(1/SUM(SUMIFS(AGYW!$S:$S,AGYW!$B:$B,$B125,AGYW!$C:$C,IF($C125="15-24",{"15-19","20-24"},{"25-29"}),AGYW!$D:$D,$D125))),""),"")</f>
        <v/>
      </c>
      <c r="I125" s="14" t="str">
        <f>IF(OR($C125="15-24",$C125="25-34"),IFERROR(1/(1/SUM(SUMIFS(AGYW!$T:$T,AGYW!$B:$B,$B125,AGYW!$C:$C,IF($C125="15-24",{"15-19","20-24"},{"25-29"}),AGYW!$D:$D,$D125))),""),"")</f>
        <v/>
      </c>
      <c r="J125" s="14">
        <v>0</v>
      </c>
      <c r="K125" s="14">
        <v>7</v>
      </c>
      <c r="L125" s="42">
        <f t="shared" si="5"/>
        <v>7</v>
      </c>
      <c r="M125" s="14"/>
      <c r="N125" s="14"/>
      <c r="O125" s="42" t="str">
        <f t="shared" si="6"/>
        <v/>
      </c>
      <c r="P125" s="14">
        <f>2</f>
        <v>2</v>
      </c>
      <c r="Q125" s="42" t="str">
        <f t="shared" si="7"/>
        <v/>
      </c>
    </row>
    <row r="126" spans="1:17" x14ac:dyDescent="0.2">
      <c r="A126" t="str">
        <f>INDEX(Prioritization!$D:$D,MATCH($B126,Prioritization!$A:$A,0))</f>
        <v>1 - Scale-up: Saturation</v>
      </c>
      <c r="B126" t="s">
        <v>206</v>
      </c>
      <c r="C126" t="s">
        <v>367</v>
      </c>
      <c r="D126" t="s">
        <v>47</v>
      </c>
      <c r="E126" t="str">
        <f t="shared" si="4"/>
        <v>Mzimba District [vA4NcHxfMBq]|50+|Male</v>
      </c>
      <c r="F126" s="14" t="str">
        <f>IF(LEFT($B126,4)="_Mil","",INDEX(Cascade!$U:$U,MATCH($E126,Cascade!$E:$E,0)))</f>
        <v/>
      </c>
      <c r="G126" s="14" t="str">
        <f>IFERROR(1/(1/INDEX(HTS!$AT:$AT,MATCH($E126,HTS!$E:$E,0))),"")</f>
        <v/>
      </c>
      <c r="H126" s="14" t="str">
        <f>IF(OR($C126="15-24",$C126="25-34"),IFERROR(1/(1/SUM(SUMIFS(AGYW!$S:$S,AGYW!$B:$B,$B126,AGYW!$C:$C,IF($C126="15-24",{"15-19","20-24"},{"25-29"}),AGYW!$D:$D,$D126))),""),"")</f>
        <v/>
      </c>
      <c r="I126" s="14" t="str">
        <f>IF(OR($C126="15-24",$C126="25-34"),IFERROR(1/(1/SUM(SUMIFS(AGYW!$T:$T,AGYW!$B:$B,$B126,AGYW!$C:$C,IF($C126="15-24",{"15-19","20-24"},{"25-29"}),AGYW!$D:$D,$D126))),""),"")</f>
        <v/>
      </c>
      <c r="J126" s="14">
        <v>0</v>
      </c>
      <c r="K126" s="14">
        <v>7</v>
      </c>
      <c r="L126" s="42">
        <f t="shared" si="5"/>
        <v>7</v>
      </c>
      <c r="M126" s="14"/>
      <c r="N126" s="14"/>
      <c r="O126" s="42" t="str">
        <f t="shared" si="6"/>
        <v/>
      </c>
      <c r="P126" s="14">
        <f>2</f>
        <v>2</v>
      </c>
      <c r="Q126" s="42" t="str">
        <f t="shared" si="7"/>
        <v/>
      </c>
    </row>
    <row r="127" spans="1:17" x14ac:dyDescent="0.2">
      <c r="A127" t="str">
        <f>INDEX(Prioritization!$D:$D,MATCH($B127,Prioritization!$A:$A,0))</f>
        <v>INVALID</v>
      </c>
      <c r="B127" t="s">
        <v>207</v>
      </c>
      <c r="C127" t="s">
        <v>364</v>
      </c>
      <c r="D127" t="s">
        <v>29</v>
      </c>
      <c r="E127" t="str">
        <f t="shared" si="4"/>
        <v>Nkhata Bay District [E7zpfyBt7Tw]|15-24|Female</v>
      </c>
      <c r="F127" s="14" t="str">
        <f>IF(LEFT($B127,4)="_Mil","",INDEX(Cascade!$U:$U,MATCH($E127,Cascade!$E:$E,0)))</f>
        <v/>
      </c>
      <c r="G127" s="14" t="str">
        <f>IFERROR(1/(1/INDEX(HTS!$AT:$AT,MATCH($E127,HTS!$E:$E,0))),"")</f>
        <v/>
      </c>
      <c r="H127" s="14" t="str">
        <f>IF(OR($C127="15-24",$C127="25-34"),IFERROR(1/(1/SUM(SUMIFS(AGYW!$S:$S,AGYW!$B:$B,$B127,AGYW!$C:$C,IF($C127="15-24",{"15-19","20-24"},{"25-29"}),AGYW!$D:$D,$D127))),""),"")</f>
        <v/>
      </c>
      <c r="I127" s="14" t="str">
        <f>IF(OR($C127="15-24",$C127="25-34"),IFERROR(1/(1/SUM(SUMIFS(AGYW!$T:$T,AGYW!$B:$B,$B127,AGYW!$C:$C,IF($C127="15-24",{"15-19","20-24"},{"25-29"}),AGYW!$D:$D,$D127))),""),"")</f>
        <v/>
      </c>
      <c r="J127" s="14"/>
      <c r="K127" s="14"/>
      <c r="L127" s="42" t="str">
        <f t="shared" si="5"/>
        <v/>
      </c>
      <c r="M127" s="14"/>
      <c r="N127" s="14"/>
      <c r="O127" s="42" t="str">
        <f t="shared" si="6"/>
        <v/>
      </c>
      <c r="P127" s="14">
        <f>2</f>
        <v>2</v>
      </c>
      <c r="Q127" s="42" t="str">
        <f t="shared" si="7"/>
        <v/>
      </c>
    </row>
    <row r="128" spans="1:17" x14ac:dyDescent="0.2">
      <c r="A128" t="str">
        <f>INDEX(Prioritization!$D:$D,MATCH($B128,Prioritization!$A:$A,0))</f>
        <v>INVALID</v>
      </c>
      <c r="B128" t="s">
        <v>207</v>
      </c>
      <c r="C128" t="s">
        <v>364</v>
      </c>
      <c r="D128" t="s">
        <v>47</v>
      </c>
      <c r="E128" t="str">
        <f t="shared" si="4"/>
        <v>Nkhata Bay District [E7zpfyBt7Tw]|15-24|Male</v>
      </c>
      <c r="F128" s="14" t="str">
        <f>IF(LEFT($B128,4)="_Mil","",INDEX(Cascade!$U:$U,MATCH($E128,Cascade!$E:$E,0)))</f>
        <v/>
      </c>
      <c r="G128" s="14" t="str">
        <f>IFERROR(1/(1/INDEX(HTS!$AT:$AT,MATCH($E128,HTS!$E:$E,0))),"")</f>
        <v/>
      </c>
      <c r="H128" s="14" t="str">
        <f>IF(OR($C128="15-24",$C128="25-34"),IFERROR(1/(1/SUM(SUMIFS(AGYW!$S:$S,AGYW!$B:$B,$B128,AGYW!$C:$C,IF($C128="15-24",{"15-19","20-24"},{"25-29"}),AGYW!$D:$D,$D128))),""),"")</f>
        <v/>
      </c>
      <c r="I128" s="14" t="str">
        <f>IF(OR($C128="15-24",$C128="25-34"),IFERROR(1/(1/SUM(SUMIFS(AGYW!$T:$T,AGYW!$B:$B,$B128,AGYW!$C:$C,IF($C128="15-24",{"15-19","20-24"},{"25-29"}),AGYW!$D:$D,$D128))),""),"")</f>
        <v/>
      </c>
      <c r="J128" s="14"/>
      <c r="K128" s="14"/>
      <c r="L128" s="42" t="str">
        <f t="shared" si="5"/>
        <v/>
      </c>
      <c r="M128" s="14"/>
      <c r="N128" s="14"/>
      <c r="O128" s="42" t="str">
        <f t="shared" si="6"/>
        <v/>
      </c>
      <c r="P128" s="14">
        <f>2</f>
        <v>2</v>
      </c>
      <c r="Q128" s="42" t="str">
        <f t="shared" si="7"/>
        <v/>
      </c>
    </row>
    <row r="129" spans="1:17" x14ac:dyDescent="0.2">
      <c r="A129" t="str">
        <f>INDEX(Prioritization!$D:$D,MATCH($B129,Prioritization!$A:$A,0))</f>
        <v>INVALID</v>
      </c>
      <c r="B129" t="s">
        <v>207</v>
      </c>
      <c r="C129" t="s">
        <v>365</v>
      </c>
      <c r="D129" t="s">
        <v>29</v>
      </c>
      <c r="E129" t="str">
        <f t="shared" si="4"/>
        <v>Nkhata Bay District [E7zpfyBt7Tw]|25-34|Female</v>
      </c>
      <c r="F129" s="14" t="str">
        <f>IF(LEFT($B129,4)="_Mil","",INDEX(Cascade!$U:$U,MATCH($E129,Cascade!$E:$E,0)))</f>
        <v/>
      </c>
      <c r="G129" s="14" t="str">
        <f>IFERROR(1/(1/INDEX(HTS!$AT:$AT,MATCH($E129,HTS!$E:$E,0))),"")</f>
        <v/>
      </c>
      <c r="H129" s="14" t="str">
        <f>IF(OR($C129="15-24",$C129="25-34"),IFERROR(1/(1/SUM(SUMIFS(AGYW!$S:$S,AGYW!$B:$B,$B129,AGYW!$C:$C,IF($C129="15-24",{"15-19","20-24"},{"25-29"}),AGYW!$D:$D,$D129))),""),"")</f>
        <v/>
      </c>
      <c r="I129" s="14" t="str">
        <f>IF(OR($C129="15-24",$C129="25-34"),IFERROR(1/(1/SUM(SUMIFS(AGYW!$T:$T,AGYW!$B:$B,$B129,AGYW!$C:$C,IF($C129="15-24",{"15-19","20-24"},{"25-29"}),AGYW!$D:$D,$D129))),""),"")</f>
        <v/>
      </c>
      <c r="J129" s="14"/>
      <c r="K129" s="14"/>
      <c r="L129" s="42" t="str">
        <f t="shared" si="5"/>
        <v/>
      </c>
      <c r="M129" s="14"/>
      <c r="N129" s="14"/>
      <c r="O129" s="42" t="str">
        <f t="shared" si="6"/>
        <v/>
      </c>
      <c r="P129" s="14">
        <f>2</f>
        <v>2</v>
      </c>
      <c r="Q129" s="42" t="str">
        <f t="shared" si="7"/>
        <v/>
      </c>
    </row>
    <row r="130" spans="1:17" x14ac:dyDescent="0.2">
      <c r="A130" t="str">
        <f>INDEX(Prioritization!$D:$D,MATCH($B130,Prioritization!$A:$A,0))</f>
        <v>INVALID</v>
      </c>
      <c r="B130" t="s">
        <v>207</v>
      </c>
      <c r="C130" t="s">
        <v>365</v>
      </c>
      <c r="D130" t="s">
        <v>47</v>
      </c>
      <c r="E130" t="str">
        <f t="shared" si="4"/>
        <v>Nkhata Bay District [E7zpfyBt7Tw]|25-34|Male</v>
      </c>
      <c r="F130" s="14" t="str">
        <f>IF(LEFT($B130,4)="_Mil","",INDEX(Cascade!$U:$U,MATCH($E130,Cascade!$E:$E,0)))</f>
        <v/>
      </c>
      <c r="G130" s="14" t="str">
        <f>IFERROR(1/(1/INDEX(HTS!$AT:$AT,MATCH($E130,HTS!$E:$E,0))),"")</f>
        <v/>
      </c>
      <c r="H130" s="14" t="str">
        <f>IF(OR($C130="15-24",$C130="25-34"),IFERROR(1/(1/SUM(SUMIFS(AGYW!$S:$S,AGYW!$B:$B,$B130,AGYW!$C:$C,IF($C130="15-24",{"15-19","20-24"},{"25-29"}),AGYW!$D:$D,$D130))),""),"")</f>
        <v/>
      </c>
      <c r="I130" s="14" t="str">
        <f>IF(OR($C130="15-24",$C130="25-34"),IFERROR(1/(1/SUM(SUMIFS(AGYW!$T:$T,AGYW!$B:$B,$B130,AGYW!$C:$C,IF($C130="15-24",{"15-19","20-24"},{"25-29"}),AGYW!$D:$D,$D130))),""),"")</f>
        <v/>
      </c>
      <c r="J130" s="14"/>
      <c r="K130" s="14"/>
      <c r="L130" s="42" t="str">
        <f t="shared" si="5"/>
        <v/>
      </c>
      <c r="M130" s="14"/>
      <c r="N130" s="14"/>
      <c r="O130" s="42" t="str">
        <f t="shared" si="6"/>
        <v/>
      </c>
      <c r="P130" s="14">
        <f>2</f>
        <v>2</v>
      </c>
      <c r="Q130" s="42" t="str">
        <f t="shared" si="7"/>
        <v/>
      </c>
    </row>
    <row r="131" spans="1:17" x14ac:dyDescent="0.2">
      <c r="A131" t="str">
        <f>INDEX(Prioritization!$D:$D,MATCH($B131,Prioritization!$A:$A,0))</f>
        <v>INVALID</v>
      </c>
      <c r="B131" t="s">
        <v>207</v>
      </c>
      <c r="C131" t="s">
        <v>366</v>
      </c>
      <c r="D131" t="s">
        <v>29</v>
      </c>
      <c r="E131" t="str">
        <f t="shared" si="4"/>
        <v>Nkhata Bay District [E7zpfyBt7Tw]|35-49|Female</v>
      </c>
      <c r="F131" s="14" t="str">
        <f>IF(LEFT($B131,4)="_Mil","",INDEX(Cascade!$U:$U,MATCH($E131,Cascade!$E:$E,0)))</f>
        <v/>
      </c>
      <c r="G131" s="14" t="str">
        <f>IFERROR(1/(1/INDEX(HTS!$AT:$AT,MATCH($E131,HTS!$E:$E,0))),"")</f>
        <v/>
      </c>
      <c r="H131" s="14" t="str">
        <f>IF(OR($C131="15-24",$C131="25-34"),IFERROR(1/(1/SUM(SUMIFS(AGYW!$S:$S,AGYW!$B:$B,$B131,AGYW!$C:$C,IF($C131="15-24",{"15-19","20-24"},{"25-29"}),AGYW!$D:$D,$D131))),""),"")</f>
        <v/>
      </c>
      <c r="I131" s="14" t="str">
        <f>IF(OR($C131="15-24",$C131="25-34"),IFERROR(1/(1/SUM(SUMIFS(AGYW!$T:$T,AGYW!$B:$B,$B131,AGYW!$C:$C,IF($C131="15-24",{"15-19","20-24"},{"25-29"}),AGYW!$D:$D,$D131))),""),"")</f>
        <v/>
      </c>
      <c r="J131" s="14"/>
      <c r="K131" s="14"/>
      <c r="L131" s="42" t="str">
        <f t="shared" si="5"/>
        <v/>
      </c>
      <c r="M131" s="14"/>
      <c r="N131" s="14"/>
      <c r="O131" s="42" t="str">
        <f t="shared" si="6"/>
        <v/>
      </c>
      <c r="P131" s="14">
        <f>2</f>
        <v>2</v>
      </c>
      <c r="Q131" s="42" t="str">
        <f t="shared" si="7"/>
        <v/>
      </c>
    </row>
    <row r="132" spans="1:17" x14ac:dyDescent="0.2">
      <c r="A132" t="str">
        <f>INDEX(Prioritization!$D:$D,MATCH($B132,Prioritization!$A:$A,0))</f>
        <v>INVALID</v>
      </c>
      <c r="B132" t="s">
        <v>207</v>
      </c>
      <c r="C132" t="s">
        <v>366</v>
      </c>
      <c r="D132" t="s">
        <v>47</v>
      </c>
      <c r="E132" t="str">
        <f t="shared" si="4"/>
        <v>Nkhata Bay District [E7zpfyBt7Tw]|35-49|Male</v>
      </c>
      <c r="F132" s="14" t="str">
        <f>IF(LEFT($B132,4)="_Mil","",INDEX(Cascade!$U:$U,MATCH($E132,Cascade!$E:$E,0)))</f>
        <v/>
      </c>
      <c r="G132" s="14" t="str">
        <f>IFERROR(1/(1/INDEX(HTS!$AT:$AT,MATCH($E132,HTS!$E:$E,0))),"")</f>
        <v/>
      </c>
      <c r="H132" s="14" t="str">
        <f>IF(OR($C132="15-24",$C132="25-34"),IFERROR(1/(1/SUM(SUMIFS(AGYW!$S:$S,AGYW!$B:$B,$B132,AGYW!$C:$C,IF($C132="15-24",{"15-19","20-24"},{"25-29"}),AGYW!$D:$D,$D132))),""),"")</f>
        <v/>
      </c>
      <c r="I132" s="14" t="str">
        <f>IF(OR($C132="15-24",$C132="25-34"),IFERROR(1/(1/SUM(SUMIFS(AGYW!$T:$T,AGYW!$B:$B,$B132,AGYW!$C:$C,IF($C132="15-24",{"15-19","20-24"},{"25-29"}),AGYW!$D:$D,$D132))),""),"")</f>
        <v/>
      </c>
      <c r="J132" s="14"/>
      <c r="K132" s="14"/>
      <c r="L132" s="42" t="str">
        <f t="shared" si="5"/>
        <v/>
      </c>
      <c r="M132" s="14"/>
      <c r="N132" s="14"/>
      <c r="O132" s="42" t="str">
        <f t="shared" si="6"/>
        <v/>
      </c>
      <c r="P132" s="14">
        <f>2</f>
        <v>2</v>
      </c>
      <c r="Q132" s="42" t="str">
        <f t="shared" si="7"/>
        <v/>
      </c>
    </row>
    <row r="133" spans="1:17" x14ac:dyDescent="0.2">
      <c r="A133" t="str">
        <f>INDEX(Prioritization!$D:$D,MATCH($B133,Prioritization!$A:$A,0))</f>
        <v>INVALID</v>
      </c>
      <c r="B133" t="s">
        <v>207</v>
      </c>
      <c r="C133" t="s">
        <v>367</v>
      </c>
      <c r="D133" t="s">
        <v>29</v>
      </c>
      <c r="E133" t="str">
        <f t="shared" si="4"/>
        <v>Nkhata Bay District [E7zpfyBt7Tw]|50+|Female</v>
      </c>
      <c r="F133" s="14" t="str">
        <f>IF(LEFT($B133,4)="_Mil","",INDEX(Cascade!$U:$U,MATCH($E133,Cascade!$E:$E,0)))</f>
        <v/>
      </c>
      <c r="G133" s="14" t="str">
        <f>IFERROR(1/(1/INDEX(HTS!$AT:$AT,MATCH($E133,HTS!$E:$E,0))),"")</f>
        <v/>
      </c>
      <c r="H133" s="14" t="str">
        <f>IF(OR($C133="15-24",$C133="25-34"),IFERROR(1/(1/SUM(SUMIFS(AGYW!$S:$S,AGYW!$B:$B,$B133,AGYW!$C:$C,IF($C133="15-24",{"15-19","20-24"},{"25-29"}),AGYW!$D:$D,$D133))),""),"")</f>
        <v/>
      </c>
      <c r="I133" s="14" t="str">
        <f>IF(OR($C133="15-24",$C133="25-34"),IFERROR(1/(1/SUM(SUMIFS(AGYW!$T:$T,AGYW!$B:$B,$B133,AGYW!$C:$C,IF($C133="15-24",{"15-19","20-24"},{"25-29"}),AGYW!$D:$D,$D133))),""),"")</f>
        <v/>
      </c>
      <c r="J133" s="14"/>
      <c r="K133" s="14"/>
      <c r="L133" s="42" t="str">
        <f t="shared" si="5"/>
        <v/>
      </c>
      <c r="M133" s="14"/>
      <c r="N133" s="14"/>
      <c r="O133" s="42" t="str">
        <f t="shared" si="6"/>
        <v/>
      </c>
      <c r="P133" s="14">
        <f>2</f>
        <v>2</v>
      </c>
      <c r="Q133" s="42" t="str">
        <f t="shared" si="7"/>
        <v/>
      </c>
    </row>
    <row r="134" spans="1:17" x14ac:dyDescent="0.2">
      <c r="A134" t="str">
        <f>INDEX(Prioritization!$D:$D,MATCH($B134,Prioritization!$A:$A,0))</f>
        <v>INVALID</v>
      </c>
      <c r="B134" t="s">
        <v>207</v>
      </c>
      <c r="C134" t="s">
        <v>367</v>
      </c>
      <c r="D134" t="s">
        <v>47</v>
      </c>
      <c r="E134" t="str">
        <f t="shared" si="4"/>
        <v>Nkhata Bay District [E7zpfyBt7Tw]|50+|Male</v>
      </c>
      <c r="F134" s="14" t="str">
        <f>IF(LEFT($B134,4)="_Mil","",INDEX(Cascade!$U:$U,MATCH($E134,Cascade!$E:$E,0)))</f>
        <v/>
      </c>
      <c r="G134" s="14" t="str">
        <f>IFERROR(1/(1/INDEX(HTS!$AT:$AT,MATCH($E134,HTS!$E:$E,0))),"")</f>
        <v/>
      </c>
      <c r="H134" s="14" t="str">
        <f>IF(OR($C134="15-24",$C134="25-34"),IFERROR(1/(1/SUM(SUMIFS(AGYW!$S:$S,AGYW!$B:$B,$B134,AGYW!$C:$C,IF($C134="15-24",{"15-19","20-24"},{"25-29"}),AGYW!$D:$D,$D134))),""),"")</f>
        <v/>
      </c>
      <c r="I134" s="14" t="str">
        <f>IF(OR($C134="15-24",$C134="25-34"),IFERROR(1/(1/SUM(SUMIFS(AGYW!$T:$T,AGYW!$B:$B,$B134,AGYW!$C:$C,IF($C134="15-24",{"15-19","20-24"},{"25-29"}),AGYW!$D:$D,$D134))),""),"")</f>
        <v/>
      </c>
      <c r="J134" s="14"/>
      <c r="K134" s="14"/>
      <c r="L134" s="42" t="str">
        <f t="shared" si="5"/>
        <v/>
      </c>
      <c r="M134" s="14"/>
      <c r="N134" s="14"/>
      <c r="O134" s="42" t="str">
        <f t="shared" si="6"/>
        <v/>
      </c>
      <c r="P134" s="14">
        <f>2</f>
        <v>2</v>
      </c>
      <c r="Q134" s="42" t="str">
        <f t="shared" si="7"/>
        <v/>
      </c>
    </row>
    <row r="135" spans="1:17" x14ac:dyDescent="0.2">
      <c r="A135" t="str">
        <f>INDEX(Prioritization!$D:$D,MATCH($B135,Prioritization!$A:$A,0))</f>
        <v>INVALID</v>
      </c>
      <c r="B135" t="s">
        <v>208</v>
      </c>
      <c r="C135" t="s">
        <v>364</v>
      </c>
      <c r="D135" t="s">
        <v>29</v>
      </c>
      <c r="E135" t="str">
        <f t="shared" si="4"/>
        <v>Rumphi District [lPTyjLi4w3d]|15-24|Female</v>
      </c>
      <c r="F135" s="14" t="str">
        <f>IF(LEFT($B135,4)="_Mil","",INDEX(Cascade!$U:$U,MATCH($E135,Cascade!$E:$E,0)))</f>
        <v/>
      </c>
      <c r="G135" s="14" t="str">
        <f>IFERROR(1/(1/INDEX(HTS!$AT:$AT,MATCH($E135,HTS!$E:$E,0))),"")</f>
        <v/>
      </c>
      <c r="H135" s="14" t="str">
        <f>IF(OR($C135="15-24",$C135="25-34"),IFERROR(1/(1/SUM(SUMIFS(AGYW!$S:$S,AGYW!$B:$B,$B135,AGYW!$C:$C,IF($C135="15-24",{"15-19","20-24"},{"25-29"}),AGYW!$D:$D,$D135))),""),"")</f>
        <v/>
      </c>
      <c r="I135" s="14" t="str">
        <f>IF(OR($C135="15-24",$C135="25-34"),IFERROR(1/(1/SUM(SUMIFS(AGYW!$T:$T,AGYW!$B:$B,$B135,AGYW!$C:$C,IF($C135="15-24",{"15-19","20-24"},{"25-29"}),AGYW!$D:$D,$D135))),""),"")</f>
        <v/>
      </c>
      <c r="J135" s="14"/>
      <c r="K135" s="14"/>
      <c r="L135" s="42" t="str">
        <f t="shared" si="5"/>
        <v/>
      </c>
      <c r="M135" s="14"/>
      <c r="N135" s="14"/>
      <c r="O135" s="42" t="str">
        <f t="shared" si="6"/>
        <v/>
      </c>
      <c r="P135" s="14">
        <f>2</f>
        <v>2</v>
      </c>
      <c r="Q135" s="42" t="str">
        <f t="shared" si="7"/>
        <v/>
      </c>
    </row>
    <row r="136" spans="1:17" x14ac:dyDescent="0.2">
      <c r="A136" t="str">
        <f>INDEX(Prioritization!$D:$D,MATCH($B136,Prioritization!$A:$A,0))</f>
        <v>INVALID</v>
      </c>
      <c r="B136" t="s">
        <v>208</v>
      </c>
      <c r="C136" t="s">
        <v>364</v>
      </c>
      <c r="D136" t="s">
        <v>47</v>
      </c>
      <c r="E136" t="str">
        <f t="shared" si="4"/>
        <v>Rumphi District [lPTyjLi4w3d]|15-24|Male</v>
      </c>
      <c r="F136" s="14" t="str">
        <f>IF(LEFT($B136,4)="_Mil","",INDEX(Cascade!$U:$U,MATCH($E136,Cascade!$E:$E,0)))</f>
        <v/>
      </c>
      <c r="G136" s="14" t="str">
        <f>IFERROR(1/(1/INDEX(HTS!$AT:$AT,MATCH($E136,HTS!$E:$E,0))),"")</f>
        <v/>
      </c>
      <c r="H136" s="14" t="str">
        <f>IF(OR($C136="15-24",$C136="25-34"),IFERROR(1/(1/SUM(SUMIFS(AGYW!$S:$S,AGYW!$B:$B,$B136,AGYW!$C:$C,IF($C136="15-24",{"15-19","20-24"},{"25-29"}),AGYW!$D:$D,$D136))),""),"")</f>
        <v/>
      </c>
      <c r="I136" s="14" t="str">
        <f>IF(OR($C136="15-24",$C136="25-34"),IFERROR(1/(1/SUM(SUMIFS(AGYW!$T:$T,AGYW!$B:$B,$B136,AGYW!$C:$C,IF($C136="15-24",{"15-19","20-24"},{"25-29"}),AGYW!$D:$D,$D136))),""),"")</f>
        <v/>
      </c>
      <c r="J136" s="14"/>
      <c r="K136" s="14"/>
      <c r="L136" s="42" t="str">
        <f t="shared" si="5"/>
        <v/>
      </c>
      <c r="M136" s="14"/>
      <c r="N136" s="14"/>
      <c r="O136" s="42" t="str">
        <f t="shared" si="6"/>
        <v/>
      </c>
      <c r="P136" s="14">
        <f>2</f>
        <v>2</v>
      </c>
      <c r="Q136" s="42" t="str">
        <f t="shared" si="7"/>
        <v/>
      </c>
    </row>
    <row r="137" spans="1:17" x14ac:dyDescent="0.2">
      <c r="A137" t="str">
        <f>INDEX(Prioritization!$D:$D,MATCH($B137,Prioritization!$A:$A,0))</f>
        <v>INVALID</v>
      </c>
      <c r="B137" t="s">
        <v>208</v>
      </c>
      <c r="C137" t="s">
        <v>365</v>
      </c>
      <c r="D137" t="s">
        <v>29</v>
      </c>
      <c r="E137" t="str">
        <f t="shared" si="4"/>
        <v>Rumphi District [lPTyjLi4w3d]|25-34|Female</v>
      </c>
      <c r="F137" s="14" t="str">
        <f>IF(LEFT($B137,4)="_Mil","",INDEX(Cascade!$U:$U,MATCH($E137,Cascade!$E:$E,0)))</f>
        <v/>
      </c>
      <c r="G137" s="14" t="str">
        <f>IFERROR(1/(1/INDEX(HTS!$AT:$AT,MATCH($E137,HTS!$E:$E,0))),"")</f>
        <v/>
      </c>
      <c r="H137" s="14" t="str">
        <f>IF(OR($C137="15-24",$C137="25-34"),IFERROR(1/(1/SUM(SUMIFS(AGYW!$S:$S,AGYW!$B:$B,$B137,AGYW!$C:$C,IF($C137="15-24",{"15-19","20-24"},{"25-29"}),AGYW!$D:$D,$D137))),""),"")</f>
        <v/>
      </c>
      <c r="I137" s="14" t="str">
        <f>IF(OR($C137="15-24",$C137="25-34"),IFERROR(1/(1/SUM(SUMIFS(AGYW!$T:$T,AGYW!$B:$B,$B137,AGYW!$C:$C,IF($C137="15-24",{"15-19","20-24"},{"25-29"}),AGYW!$D:$D,$D137))),""),"")</f>
        <v/>
      </c>
      <c r="J137" s="14"/>
      <c r="K137" s="14"/>
      <c r="L137" s="42" t="str">
        <f t="shared" si="5"/>
        <v/>
      </c>
      <c r="M137" s="14"/>
      <c r="N137" s="14"/>
      <c r="O137" s="42" t="str">
        <f t="shared" si="6"/>
        <v/>
      </c>
      <c r="P137" s="14">
        <f>2</f>
        <v>2</v>
      </c>
      <c r="Q137" s="42" t="str">
        <f t="shared" si="7"/>
        <v/>
      </c>
    </row>
    <row r="138" spans="1:17" x14ac:dyDescent="0.2">
      <c r="A138" t="str">
        <f>INDEX(Prioritization!$D:$D,MATCH($B138,Prioritization!$A:$A,0))</f>
        <v>INVALID</v>
      </c>
      <c r="B138" t="s">
        <v>208</v>
      </c>
      <c r="C138" t="s">
        <v>365</v>
      </c>
      <c r="D138" t="s">
        <v>47</v>
      </c>
      <c r="E138" t="str">
        <f t="shared" si="4"/>
        <v>Rumphi District [lPTyjLi4w3d]|25-34|Male</v>
      </c>
      <c r="F138" s="14" t="str">
        <f>IF(LEFT($B138,4)="_Mil","",INDEX(Cascade!$U:$U,MATCH($E138,Cascade!$E:$E,0)))</f>
        <v/>
      </c>
      <c r="G138" s="14" t="str">
        <f>IFERROR(1/(1/INDEX(HTS!$AT:$AT,MATCH($E138,HTS!$E:$E,0))),"")</f>
        <v/>
      </c>
      <c r="H138" s="14" t="str">
        <f>IF(OR($C138="15-24",$C138="25-34"),IFERROR(1/(1/SUM(SUMIFS(AGYW!$S:$S,AGYW!$B:$B,$B138,AGYW!$C:$C,IF($C138="15-24",{"15-19","20-24"},{"25-29"}),AGYW!$D:$D,$D138))),""),"")</f>
        <v/>
      </c>
      <c r="I138" s="14" t="str">
        <f>IF(OR($C138="15-24",$C138="25-34"),IFERROR(1/(1/SUM(SUMIFS(AGYW!$T:$T,AGYW!$B:$B,$B138,AGYW!$C:$C,IF($C138="15-24",{"15-19","20-24"},{"25-29"}),AGYW!$D:$D,$D138))),""),"")</f>
        <v/>
      </c>
      <c r="J138" s="14"/>
      <c r="K138" s="14"/>
      <c r="L138" s="42" t="str">
        <f t="shared" si="5"/>
        <v/>
      </c>
      <c r="M138" s="14"/>
      <c r="N138" s="14"/>
      <c r="O138" s="42" t="str">
        <f t="shared" si="6"/>
        <v/>
      </c>
      <c r="P138" s="14">
        <f>2</f>
        <v>2</v>
      </c>
      <c r="Q138" s="42" t="str">
        <f t="shared" si="7"/>
        <v/>
      </c>
    </row>
    <row r="139" spans="1:17" x14ac:dyDescent="0.2">
      <c r="A139" t="str">
        <f>INDEX(Prioritization!$D:$D,MATCH($B139,Prioritization!$A:$A,0))</f>
        <v>INVALID</v>
      </c>
      <c r="B139" t="s">
        <v>208</v>
      </c>
      <c r="C139" t="s">
        <v>366</v>
      </c>
      <c r="D139" t="s">
        <v>29</v>
      </c>
      <c r="E139" t="str">
        <f t="shared" si="4"/>
        <v>Rumphi District [lPTyjLi4w3d]|35-49|Female</v>
      </c>
      <c r="F139" s="14" t="str">
        <f>IF(LEFT($B139,4)="_Mil","",INDEX(Cascade!$U:$U,MATCH($E139,Cascade!$E:$E,0)))</f>
        <v/>
      </c>
      <c r="G139" s="14" t="str">
        <f>IFERROR(1/(1/INDEX(HTS!$AT:$AT,MATCH($E139,HTS!$E:$E,0))),"")</f>
        <v/>
      </c>
      <c r="H139" s="14" t="str">
        <f>IF(OR($C139="15-24",$C139="25-34"),IFERROR(1/(1/SUM(SUMIFS(AGYW!$S:$S,AGYW!$B:$B,$B139,AGYW!$C:$C,IF($C139="15-24",{"15-19","20-24"},{"25-29"}),AGYW!$D:$D,$D139))),""),"")</f>
        <v/>
      </c>
      <c r="I139" s="14" t="str">
        <f>IF(OR($C139="15-24",$C139="25-34"),IFERROR(1/(1/SUM(SUMIFS(AGYW!$T:$T,AGYW!$B:$B,$B139,AGYW!$C:$C,IF($C139="15-24",{"15-19","20-24"},{"25-29"}),AGYW!$D:$D,$D139))),""),"")</f>
        <v/>
      </c>
      <c r="J139" s="14"/>
      <c r="K139" s="14"/>
      <c r="L139" s="42" t="str">
        <f t="shared" si="5"/>
        <v/>
      </c>
      <c r="M139" s="14"/>
      <c r="N139" s="14"/>
      <c r="O139" s="42" t="str">
        <f t="shared" si="6"/>
        <v/>
      </c>
      <c r="P139" s="14">
        <f>2</f>
        <v>2</v>
      </c>
      <c r="Q139" s="42" t="str">
        <f t="shared" si="7"/>
        <v/>
      </c>
    </row>
    <row r="140" spans="1:17" x14ac:dyDescent="0.2">
      <c r="A140" t="str">
        <f>INDEX(Prioritization!$D:$D,MATCH($B140,Prioritization!$A:$A,0))</f>
        <v>INVALID</v>
      </c>
      <c r="B140" t="s">
        <v>208</v>
      </c>
      <c r="C140" t="s">
        <v>366</v>
      </c>
      <c r="D140" t="s">
        <v>47</v>
      </c>
      <c r="E140" t="str">
        <f t="shared" si="4"/>
        <v>Rumphi District [lPTyjLi4w3d]|35-49|Male</v>
      </c>
      <c r="F140" s="14" t="str">
        <f>IF(LEFT($B140,4)="_Mil","",INDEX(Cascade!$U:$U,MATCH($E140,Cascade!$E:$E,0)))</f>
        <v/>
      </c>
      <c r="G140" s="14" t="str">
        <f>IFERROR(1/(1/INDEX(HTS!$AT:$AT,MATCH($E140,HTS!$E:$E,0))),"")</f>
        <v/>
      </c>
      <c r="H140" s="14" t="str">
        <f>IF(OR($C140="15-24",$C140="25-34"),IFERROR(1/(1/SUM(SUMIFS(AGYW!$S:$S,AGYW!$B:$B,$B140,AGYW!$C:$C,IF($C140="15-24",{"15-19","20-24"},{"25-29"}),AGYW!$D:$D,$D140))),""),"")</f>
        <v/>
      </c>
      <c r="I140" s="14" t="str">
        <f>IF(OR($C140="15-24",$C140="25-34"),IFERROR(1/(1/SUM(SUMIFS(AGYW!$T:$T,AGYW!$B:$B,$B140,AGYW!$C:$C,IF($C140="15-24",{"15-19","20-24"},{"25-29"}),AGYW!$D:$D,$D140))),""),"")</f>
        <v/>
      </c>
      <c r="J140" s="14"/>
      <c r="K140" s="14"/>
      <c r="L140" s="42" t="str">
        <f t="shared" si="5"/>
        <v/>
      </c>
      <c r="M140" s="14"/>
      <c r="N140" s="14"/>
      <c r="O140" s="42" t="str">
        <f t="shared" si="6"/>
        <v/>
      </c>
      <c r="P140" s="14">
        <f>2</f>
        <v>2</v>
      </c>
      <c r="Q140" s="42" t="str">
        <f t="shared" si="7"/>
        <v/>
      </c>
    </row>
    <row r="141" spans="1:17" x14ac:dyDescent="0.2">
      <c r="A141" t="str">
        <f>INDEX(Prioritization!$D:$D,MATCH($B141,Prioritization!$A:$A,0))</f>
        <v>INVALID</v>
      </c>
      <c r="B141" t="s">
        <v>208</v>
      </c>
      <c r="C141" t="s">
        <v>367</v>
      </c>
      <c r="D141" t="s">
        <v>29</v>
      </c>
      <c r="E141" t="str">
        <f t="shared" si="4"/>
        <v>Rumphi District [lPTyjLi4w3d]|50+|Female</v>
      </c>
      <c r="F141" s="14" t="str">
        <f>IF(LEFT($B141,4)="_Mil","",INDEX(Cascade!$U:$U,MATCH($E141,Cascade!$E:$E,0)))</f>
        <v/>
      </c>
      <c r="G141" s="14" t="str">
        <f>IFERROR(1/(1/INDEX(HTS!$AT:$AT,MATCH($E141,HTS!$E:$E,0))),"")</f>
        <v/>
      </c>
      <c r="H141" s="14" t="str">
        <f>IF(OR($C141="15-24",$C141="25-34"),IFERROR(1/(1/SUM(SUMIFS(AGYW!$S:$S,AGYW!$B:$B,$B141,AGYW!$C:$C,IF($C141="15-24",{"15-19","20-24"},{"25-29"}),AGYW!$D:$D,$D141))),""),"")</f>
        <v/>
      </c>
      <c r="I141" s="14" t="str">
        <f>IF(OR($C141="15-24",$C141="25-34"),IFERROR(1/(1/SUM(SUMIFS(AGYW!$T:$T,AGYW!$B:$B,$B141,AGYW!$C:$C,IF($C141="15-24",{"15-19","20-24"},{"25-29"}),AGYW!$D:$D,$D141))),""),"")</f>
        <v/>
      </c>
      <c r="J141" s="14"/>
      <c r="K141" s="14"/>
      <c r="L141" s="42" t="str">
        <f t="shared" si="5"/>
        <v/>
      </c>
      <c r="M141" s="14"/>
      <c r="N141" s="14"/>
      <c r="O141" s="42" t="str">
        <f t="shared" si="6"/>
        <v/>
      </c>
      <c r="P141" s="14">
        <f>2</f>
        <v>2</v>
      </c>
      <c r="Q141" s="42" t="str">
        <f t="shared" si="7"/>
        <v/>
      </c>
    </row>
    <row r="142" spans="1:17" x14ac:dyDescent="0.2">
      <c r="A142" t="str">
        <f>INDEX(Prioritization!$D:$D,MATCH($B142,Prioritization!$A:$A,0))</f>
        <v>INVALID</v>
      </c>
      <c r="B142" t="s">
        <v>208</v>
      </c>
      <c r="C142" t="s">
        <v>367</v>
      </c>
      <c r="D142" t="s">
        <v>47</v>
      </c>
      <c r="E142" t="str">
        <f t="shared" si="4"/>
        <v>Rumphi District [lPTyjLi4w3d]|50+|Male</v>
      </c>
      <c r="F142" s="14" t="str">
        <f>IF(LEFT($B142,4)="_Mil","",INDEX(Cascade!$U:$U,MATCH($E142,Cascade!$E:$E,0)))</f>
        <v/>
      </c>
      <c r="G142" s="14" t="str">
        <f>IFERROR(1/(1/INDEX(HTS!$AT:$AT,MATCH($E142,HTS!$E:$E,0))),"")</f>
        <v/>
      </c>
      <c r="H142" s="14" t="str">
        <f>IF(OR($C142="15-24",$C142="25-34"),IFERROR(1/(1/SUM(SUMIFS(AGYW!$S:$S,AGYW!$B:$B,$B142,AGYW!$C:$C,IF($C142="15-24",{"15-19","20-24"},{"25-29"}),AGYW!$D:$D,$D142))),""),"")</f>
        <v/>
      </c>
      <c r="I142" s="14" t="str">
        <f>IF(OR($C142="15-24",$C142="25-34"),IFERROR(1/(1/SUM(SUMIFS(AGYW!$T:$T,AGYW!$B:$B,$B142,AGYW!$C:$C,IF($C142="15-24",{"15-19","20-24"},{"25-29"}),AGYW!$D:$D,$D142))),""),"")</f>
        <v/>
      </c>
      <c r="J142" s="14"/>
      <c r="K142" s="14"/>
      <c r="L142" s="42" t="str">
        <f t="shared" si="5"/>
        <v/>
      </c>
      <c r="M142" s="14"/>
      <c r="N142" s="14"/>
      <c r="O142" s="42" t="str">
        <f t="shared" si="6"/>
        <v/>
      </c>
      <c r="P142" s="14">
        <f>2</f>
        <v>2</v>
      </c>
      <c r="Q142" s="42" t="str">
        <f t="shared" si="7"/>
        <v/>
      </c>
    </row>
    <row r="143" spans="1:17" x14ac:dyDescent="0.2">
      <c r="A143" t="str">
        <f>INDEX(Prioritization!$D:$D,MATCH($B143,Prioritization!$A:$A,0))</f>
        <v>1 - Scale-up: Saturation</v>
      </c>
      <c r="B143" t="s">
        <v>209</v>
      </c>
      <c r="C143" t="s">
        <v>364</v>
      </c>
      <c r="D143" t="s">
        <v>29</v>
      </c>
      <c r="E143" t="str">
        <f t="shared" ref="E143:E206" si="8">B143&amp;"|"&amp;C143&amp;"|"&amp;D143</f>
        <v>Balaka District [ir8wuHHzoSs]|15-24|Female</v>
      </c>
      <c r="F143" s="14" t="str">
        <f>IF(LEFT($B143,4)="_Mil","",INDEX(Cascade!$U:$U,MATCH($E143,Cascade!$E:$E,0)))</f>
        <v/>
      </c>
      <c r="G143" s="14" t="str">
        <f>IFERROR(1/(1/INDEX(HTS!$AT:$AT,MATCH($E143,HTS!$E:$E,0))),"")</f>
        <v/>
      </c>
      <c r="H143" s="14" t="str">
        <f>IF(OR($C143="15-24",$C143="25-34"),IFERROR(1/(1/SUM(SUMIFS(AGYW!$S:$S,AGYW!$B:$B,$B143,AGYW!$C:$C,IF($C143="15-24",{"15-19","20-24"},{"25-29"}),AGYW!$D:$D,$D143))),""),"")</f>
        <v/>
      </c>
      <c r="I143" s="14" t="str">
        <f>IF(OR($C143="15-24",$C143="25-34"),IFERROR(1/(1/SUM(SUMIFS(AGYW!$T:$T,AGYW!$B:$B,$B143,AGYW!$C:$C,IF($C143="15-24",{"15-19","20-24"},{"25-29"}),AGYW!$D:$D,$D143))),""),"")</f>
        <v/>
      </c>
      <c r="J143" s="14"/>
      <c r="K143" s="14"/>
      <c r="L143" s="42" t="str">
        <f t="shared" ref="L143:L206" si="9">IF(SUM($K143)=0,"",$K143)</f>
        <v/>
      </c>
      <c r="M143" s="14"/>
      <c r="N143" s="14"/>
      <c r="O143" s="42" t="str">
        <f t="shared" ref="O143:O206" si="10">IF(SUM($N143)=0,"",$N143)</f>
        <v/>
      </c>
      <c r="P143" s="14">
        <f>2</f>
        <v>2</v>
      </c>
      <c r="Q143" s="42" t="str">
        <f t="shared" ref="Q143:Q206" si="11">IF(SUM($O143)=0,"",$O143*$P143)</f>
        <v/>
      </c>
    </row>
    <row r="144" spans="1:17" x14ac:dyDescent="0.2">
      <c r="A144" t="str">
        <f>INDEX(Prioritization!$D:$D,MATCH($B144,Prioritization!$A:$A,0))</f>
        <v>1 - Scale-up: Saturation</v>
      </c>
      <c r="B144" t="s">
        <v>209</v>
      </c>
      <c r="C144" t="s">
        <v>364</v>
      </c>
      <c r="D144" t="s">
        <v>47</v>
      </c>
      <c r="E144" t="str">
        <f t="shared" si="8"/>
        <v>Balaka District [ir8wuHHzoSs]|15-24|Male</v>
      </c>
      <c r="F144" s="14" t="str">
        <f>IF(LEFT($B144,4)="_Mil","",INDEX(Cascade!$U:$U,MATCH($E144,Cascade!$E:$E,0)))</f>
        <v/>
      </c>
      <c r="G144" s="14" t="str">
        <f>IFERROR(1/(1/INDEX(HTS!$AT:$AT,MATCH($E144,HTS!$E:$E,0))),"")</f>
        <v/>
      </c>
      <c r="H144" s="14" t="str">
        <f>IF(OR($C144="15-24",$C144="25-34"),IFERROR(1/(1/SUM(SUMIFS(AGYW!$S:$S,AGYW!$B:$B,$B144,AGYW!$C:$C,IF($C144="15-24",{"15-19","20-24"},{"25-29"}),AGYW!$D:$D,$D144))),""),"")</f>
        <v/>
      </c>
      <c r="I144" s="14" t="str">
        <f>IF(OR($C144="15-24",$C144="25-34"),IFERROR(1/(1/SUM(SUMIFS(AGYW!$T:$T,AGYW!$B:$B,$B144,AGYW!$C:$C,IF($C144="15-24",{"15-19","20-24"},{"25-29"}),AGYW!$D:$D,$D144))),""),"")</f>
        <v/>
      </c>
      <c r="J144" s="14"/>
      <c r="K144" s="14"/>
      <c r="L144" s="42" t="str">
        <f t="shared" si="9"/>
        <v/>
      </c>
      <c r="M144" s="14"/>
      <c r="N144" s="14"/>
      <c r="O144" s="42" t="str">
        <f t="shared" si="10"/>
        <v/>
      </c>
      <c r="P144" s="14">
        <f>2</f>
        <v>2</v>
      </c>
      <c r="Q144" s="42" t="str">
        <f t="shared" si="11"/>
        <v/>
      </c>
    </row>
    <row r="145" spans="1:17" x14ac:dyDescent="0.2">
      <c r="A145" t="str">
        <f>INDEX(Prioritization!$D:$D,MATCH($B145,Prioritization!$A:$A,0))</f>
        <v>1 - Scale-up: Saturation</v>
      </c>
      <c r="B145" t="s">
        <v>209</v>
      </c>
      <c r="C145" t="s">
        <v>365</v>
      </c>
      <c r="D145" t="s">
        <v>29</v>
      </c>
      <c r="E145" t="str">
        <f t="shared" si="8"/>
        <v>Balaka District [ir8wuHHzoSs]|25-34|Female</v>
      </c>
      <c r="F145" s="14" t="str">
        <f>IF(LEFT($B145,4)="_Mil","",INDEX(Cascade!$U:$U,MATCH($E145,Cascade!$E:$E,0)))</f>
        <v/>
      </c>
      <c r="G145" s="14" t="str">
        <f>IFERROR(1/(1/INDEX(HTS!$AT:$AT,MATCH($E145,HTS!$E:$E,0))),"")</f>
        <v/>
      </c>
      <c r="H145" s="14" t="str">
        <f>IF(OR($C145="15-24",$C145="25-34"),IFERROR(1/(1/SUM(SUMIFS(AGYW!$S:$S,AGYW!$B:$B,$B145,AGYW!$C:$C,IF($C145="15-24",{"15-19","20-24"},{"25-29"}),AGYW!$D:$D,$D145))),""),"")</f>
        <v/>
      </c>
      <c r="I145" s="14" t="str">
        <f>IF(OR($C145="15-24",$C145="25-34"),IFERROR(1/(1/SUM(SUMIFS(AGYW!$T:$T,AGYW!$B:$B,$B145,AGYW!$C:$C,IF($C145="15-24",{"15-19","20-24"},{"25-29"}),AGYW!$D:$D,$D145))),""),"")</f>
        <v/>
      </c>
      <c r="J145" s="14"/>
      <c r="K145" s="14"/>
      <c r="L145" s="42" t="str">
        <f t="shared" si="9"/>
        <v/>
      </c>
      <c r="M145" s="14"/>
      <c r="N145" s="14"/>
      <c r="O145" s="42" t="str">
        <f t="shared" si="10"/>
        <v/>
      </c>
      <c r="P145" s="14">
        <f>2</f>
        <v>2</v>
      </c>
      <c r="Q145" s="42" t="str">
        <f t="shared" si="11"/>
        <v/>
      </c>
    </row>
    <row r="146" spans="1:17" x14ac:dyDescent="0.2">
      <c r="A146" t="str">
        <f>INDEX(Prioritization!$D:$D,MATCH($B146,Prioritization!$A:$A,0))</f>
        <v>1 - Scale-up: Saturation</v>
      </c>
      <c r="B146" t="s">
        <v>209</v>
      </c>
      <c r="C146" t="s">
        <v>365</v>
      </c>
      <c r="D146" t="s">
        <v>47</v>
      </c>
      <c r="E146" t="str">
        <f t="shared" si="8"/>
        <v>Balaka District [ir8wuHHzoSs]|25-34|Male</v>
      </c>
      <c r="F146" s="14" t="str">
        <f>IF(LEFT($B146,4)="_Mil","",INDEX(Cascade!$U:$U,MATCH($E146,Cascade!$E:$E,0)))</f>
        <v/>
      </c>
      <c r="G146" s="14" t="str">
        <f>IFERROR(1/(1/INDEX(HTS!$AT:$AT,MATCH($E146,HTS!$E:$E,0))),"")</f>
        <v/>
      </c>
      <c r="H146" s="14" t="str">
        <f>IF(OR($C146="15-24",$C146="25-34"),IFERROR(1/(1/SUM(SUMIFS(AGYW!$S:$S,AGYW!$B:$B,$B146,AGYW!$C:$C,IF($C146="15-24",{"15-19","20-24"},{"25-29"}),AGYW!$D:$D,$D146))),""),"")</f>
        <v/>
      </c>
      <c r="I146" s="14" t="str">
        <f>IF(OR($C146="15-24",$C146="25-34"),IFERROR(1/(1/SUM(SUMIFS(AGYW!$T:$T,AGYW!$B:$B,$B146,AGYW!$C:$C,IF($C146="15-24",{"15-19","20-24"},{"25-29"}),AGYW!$D:$D,$D146))),""),"")</f>
        <v/>
      </c>
      <c r="J146" s="14"/>
      <c r="K146" s="14"/>
      <c r="L146" s="42" t="str">
        <f t="shared" si="9"/>
        <v/>
      </c>
      <c r="M146" s="14"/>
      <c r="N146" s="14"/>
      <c r="O146" s="42" t="str">
        <f t="shared" si="10"/>
        <v/>
      </c>
      <c r="P146" s="14">
        <f>2</f>
        <v>2</v>
      </c>
      <c r="Q146" s="42" t="str">
        <f t="shared" si="11"/>
        <v/>
      </c>
    </row>
    <row r="147" spans="1:17" x14ac:dyDescent="0.2">
      <c r="A147" t="str">
        <f>INDEX(Prioritization!$D:$D,MATCH($B147,Prioritization!$A:$A,0))</f>
        <v>1 - Scale-up: Saturation</v>
      </c>
      <c r="B147" t="s">
        <v>209</v>
      </c>
      <c r="C147" t="s">
        <v>366</v>
      </c>
      <c r="D147" t="s">
        <v>29</v>
      </c>
      <c r="E147" t="str">
        <f t="shared" si="8"/>
        <v>Balaka District [ir8wuHHzoSs]|35-49|Female</v>
      </c>
      <c r="F147" s="14" t="str">
        <f>IF(LEFT($B147,4)="_Mil","",INDEX(Cascade!$U:$U,MATCH($E147,Cascade!$E:$E,0)))</f>
        <v/>
      </c>
      <c r="G147" s="14" t="str">
        <f>IFERROR(1/(1/INDEX(HTS!$AT:$AT,MATCH($E147,HTS!$E:$E,0))),"")</f>
        <v/>
      </c>
      <c r="H147" s="14" t="str">
        <f>IF(OR($C147="15-24",$C147="25-34"),IFERROR(1/(1/SUM(SUMIFS(AGYW!$S:$S,AGYW!$B:$B,$B147,AGYW!$C:$C,IF($C147="15-24",{"15-19","20-24"},{"25-29"}),AGYW!$D:$D,$D147))),""),"")</f>
        <v/>
      </c>
      <c r="I147" s="14" t="str">
        <f>IF(OR($C147="15-24",$C147="25-34"),IFERROR(1/(1/SUM(SUMIFS(AGYW!$T:$T,AGYW!$B:$B,$B147,AGYW!$C:$C,IF($C147="15-24",{"15-19","20-24"},{"25-29"}),AGYW!$D:$D,$D147))),""),"")</f>
        <v/>
      </c>
      <c r="J147" s="14"/>
      <c r="K147" s="14"/>
      <c r="L147" s="42" t="str">
        <f t="shared" si="9"/>
        <v/>
      </c>
      <c r="M147" s="14"/>
      <c r="N147" s="14"/>
      <c r="O147" s="42" t="str">
        <f t="shared" si="10"/>
        <v/>
      </c>
      <c r="P147" s="14">
        <f>2</f>
        <v>2</v>
      </c>
      <c r="Q147" s="42" t="str">
        <f t="shared" si="11"/>
        <v/>
      </c>
    </row>
    <row r="148" spans="1:17" x14ac:dyDescent="0.2">
      <c r="A148" t="str">
        <f>INDEX(Prioritization!$D:$D,MATCH($B148,Prioritization!$A:$A,0))</f>
        <v>1 - Scale-up: Saturation</v>
      </c>
      <c r="B148" t="s">
        <v>209</v>
      </c>
      <c r="C148" t="s">
        <v>366</v>
      </c>
      <c r="D148" t="s">
        <v>47</v>
      </c>
      <c r="E148" t="str">
        <f t="shared" si="8"/>
        <v>Balaka District [ir8wuHHzoSs]|35-49|Male</v>
      </c>
      <c r="F148" s="14" t="str">
        <f>IF(LEFT($B148,4)="_Mil","",INDEX(Cascade!$U:$U,MATCH($E148,Cascade!$E:$E,0)))</f>
        <v/>
      </c>
      <c r="G148" s="14" t="str">
        <f>IFERROR(1/(1/INDEX(HTS!$AT:$AT,MATCH($E148,HTS!$E:$E,0))),"")</f>
        <v/>
      </c>
      <c r="H148" s="14" t="str">
        <f>IF(OR($C148="15-24",$C148="25-34"),IFERROR(1/(1/SUM(SUMIFS(AGYW!$S:$S,AGYW!$B:$B,$B148,AGYW!$C:$C,IF($C148="15-24",{"15-19","20-24"},{"25-29"}),AGYW!$D:$D,$D148))),""),"")</f>
        <v/>
      </c>
      <c r="I148" s="14" t="str">
        <f>IF(OR($C148="15-24",$C148="25-34"),IFERROR(1/(1/SUM(SUMIFS(AGYW!$T:$T,AGYW!$B:$B,$B148,AGYW!$C:$C,IF($C148="15-24",{"15-19","20-24"},{"25-29"}),AGYW!$D:$D,$D148))),""),"")</f>
        <v/>
      </c>
      <c r="J148" s="14"/>
      <c r="K148" s="14"/>
      <c r="L148" s="42" t="str">
        <f t="shared" si="9"/>
        <v/>
      </c>
      <c r="M148" s="14"/>
      <c r="N148" s="14"/>
      <c r="O148" s="42" t="str">
        <f t="shared" si="10"/>
        <v/>
      </c>
      <c r="P148" s="14">
        <f>2</f>
        <v>2</v>
      </c>
      <c r="Q148" s="42" t="str">
        <f t="shared" si="11"/>
        <v/>
      </c>
    </row>
    <row r="149" spans="1:17" x14ac:dyDescent="0.2">
      <c r="A149" t="str">
        <f>INDEX(Prioritization!$D:$D,MATCH($B149,Prioritization!$A:$A,0))</f>
        <v>1 - Scale-up: Saturation</v>
      </c>
      <c r="B149" t="s">
        <v>209</v>
      </c>
      <c r="C149" t="s">
        <v>367</v>
      </c>
      <c r="D149" t="s">
        <v>29</v>
      </c>
      <c r="E149" t="str">
        <f t="shared" si="8"/>
        <v>Balaka District [ir8wuHHzoSs]|50+|Female</v>
      </c>
      <c r="F149" s="14" t="str">
        <f>IF(LEFT($B149,4)="_Mil","",INDEX(Cascade!$U:$U,MATCH($E149,Cascade!$E:$E,0)))</f>
        <v/>
      </c>
      <c r="G149" s="14" t="str">
        <f>IFERROR(1/(1/INDEX(HTS!$AT:$AT,MATCH($E149,HTS!$E:$E,0))),"")</f>
        <v/>
      </c>
      <c r="H149" s="14" t="str">
        <f>IF(OR($C149="15-24",$C149="25-34"),IFERROR(1/(1/SUM(SUMIFS(AGYW!$S:$S,AGYW!$B:$B,$B149,AGYW!$C:$C,IF($C149="15-24",{"15-19","20-24"},{"25-29"}),AGYW!$D:$D,$D149))),""),"")</f>
        <v/>
      </c>
      <c r="I149" s="14" t="str">
        <f>IF(OR($C149="15-24",$C149="25-34"),IFERROR(1/(1/SUM(SUMIFS(AGYW!$T:$T,AGYW!$B:$B,$B149,AGYW!$C:$C,IF($C149="15-24",{"15-19","20-24"},{"25-29"}),AGYW!$D:$D,$D149))),""),"")</f>
        <v/>
      </c>
      <c r="J149" s="14"/>
      <c r="K149" s="14">
        <v>0</v>
      </c>
      <c r="L149" s="42" t="str">
        <f t="shared" si="9"/>
        <v/>
      </c>
      <c r="M149" s="14"/>
      <c r="N149" s="14"/>
      <c r="O149" s="42" t="str">
        <f t="shared" si="10"/>
        <v/>
      </c>
      <c r="P149" s="14">
        <f>2</f>
        <v>2</v>
      </c>
      <c r="Q149" s="42" t="str">
        <f t="shared" si="11"/>
        <v/>
      </c>
    </row>
    <row r="150" spans="1:17" x14ac:dyDescent="0.2">
      <c r="A150" t="str">
        <f>INDEX(Prioritization!$D:$D,MATCH($B150,Prioritization!$A:$A,0))</f>
        <v>1 - Scale-up: Saturation</v>
      </c>
      <c r="B150" t="s">
        <v>209</v>
      </c>
      <c r="C150" t="s">
        <v>367</v>
      </c>
      <c r="D150" t="s">
        <v>47</v>
      </c>
      <c r="E150" t="str">
        <f t="shared" si="8"/>
        <v>Balaka District [ir8wuHHzoSs]|50+|Male</v>
      </c>
      <c r="F150" s="14" t="str">
        <f>IF(LEFT($B150,4)="_Mil","",INDEX(Cascade!$U:$U,MATCH($E150,Cascade!$E:$E,0)))</f>
        <v/>
      </c>
      <c r="G150" s="14" t="str">
        <f>IFERROR(1/(1/INDEX(HTS!$AT:$AT,MATCH($E150,HTS!$E:$E,0))),"")</f>
        <v/>
      </c>
      <c r="H150" s="14" t="str">
        <f>IF(OR($C150="15-24",$C150="25-34"),IFERROR(1/(1/SUM(SUMIFS(AGYW!$S:$S,AGYW!$B:$B,$B150,AGYW!$C:$C,IF($C150="15-24",{"15-19","20-24"},{"25-29"}),AGYW!$D:$D,$D150))),""),"")</f>
        <v/>
      </c>
      <c r="I150" s="14" t="str">
        <f>IF(OR($C150="15-24",$C150="25-34"),IFERROR(1/(1/SUM(SUMIFS(AGYW!$T:$T,AGYW!$B:$B,$B150,AGYW!$C:$C,IF($C150="15-24",{"15-19","20-24"},{"25-29"}),AGYW!$D:$D,$D150))),""),"")</f>
        <v/>
      </c>
      <c r="J150" s="14"/>
      <c r="K150" s="14">
        <v>10</v>
      </c>
      <c r="L150" s="42">
        <f t="shared" si="9"/>
        <v>10</v>
      </c>
      <c r="M150" s="14"/>
      <c r="N150" s="14"/>
      <c r="O150" s="42" t="str">
        <f t="shared" si="10"/>
        <v/>
      </c>
      <c r="P150" s="14">
        <f>2</f>
        <v>2</v>
      </c>
      <c r="Q150" s="42" t="str">
        <f t="shared" si="11"/>
        <v/>
      </c>
    </row>
    <row r="151" spans="1:17" x14ac:dyDescent="0.2">
      <c r="A151" t="str">
        <f>INDEX(Prioritization!$D:$D,MATCH($B151,Prioritization!$A:$A,0))</f>
        <v>1 - Scale-up: Saturation</v>
      </c>
      <c r="B151" t="s">
        <v>210</v>
      </c>
      <c r="C151" t="s">
        <v>364</v>
      </c>
      <c r="D151" t="s">
        <v>29</v>
      </c>
      <c r="E151" t="str">
        <f t="shared" si="8"/>
        <v>Blantyre District [mxqa3CDFmIT]|15-24|Female</v>
      </c>
      <c r="F151" s="14" t="str">
        <f>IF(LEFT($B151,4)="_Mil","",INDEX(Cascade!$U:$U,MATCH($E151,Cascade!$E:$E,0)))</f>
        <v/>
      </c>
      <c r="G151" s="14" t="str">
        <f>IFERROR(1/(1/INDEX(HTS!$AT:$AT,MATCH($E151,HTS!$E:$E,0))),"")</f>
        <v/>
      </c>
      <c r="H151" s="14" t="str">
        <f>IF(OR($C151="15-24",$C151="25-34"),IFERROR(1/(1/SUM(SUMIFS(AGYW!$S:$S,AGYW!$B:$B,$B151,AGYW!$C:$C,IF($C151="15-24",{"15-19","20-24"},{"25-29"}),AGYW!$D:$D,$D151))),""),"")</f>
        <v/>
      </c>
      <c r="I151" s="14" t="str">
        <f>IF(OR($C151="15-24",$C151="25-34"),IFERROR(1/(1/SUM(SUMIFS(AGYW!$T:$T,AGYW!$B:$B,$B151,AGYW!$C:$C,IF($C151="15-24",{"15-19","20-24"},{"25-29"}),AGYW!$D:$D,$D151))),""),"")</f>
        <v/>
      </c>
      <c r="J151" s="14"/>
      <c r="K151" s="14"/>
      <c r="L151" s="42" t="str">
        <f t="shared" si="9"/>
        <v/>
      </c>
      <c r="M151" s="14"/>
      <c r="N151" s="14"/>
      <c r="O151" s="42" t="str">
        <f t="shared" si="10"/>
        <v/>
      </c>
      <c r="P151" s="14">
        <f>2</f>
        <v>2</v>
      </c>
      <c r="Q151" s="42" t="str">
        <f t="shared" si="11"/>
        <v/>
      </c>
    </row>
    <row r="152" spans="1:17" x14ac:dyDescent="0.2">
      <c r="A152" t="str">
        <f>INDEX(Prioritization!$D:$D,MATCH($B152,Prioritization!$A:$A,0))</f>
        <v>1 - Scale-up: Saturation</v>
      </c>
      <c r="B152" t="s">
        <v>210</v>
      </c>
      <c r="C152" t="s">
        <v>364</v>
      </c>
      <c r="D152" t="s">
        <v>47</v>
      </c>
      <c r="E152" t="str">
        <f t="shared" si="8"/>
        <v>Blantyre District [mxqa3CDFmIT]|15-24|Male</v>
      </c>
      <c r="F152" s="14" t="str">
        <f>IF(LEFT($B152,4)="_Mil","",INDEX(Cascade!$U:$U,MATCH($E152,Cascade!$E:$E,0)))</f>
        <v/>
      </c>
      <c r="G152" s="14" t="str">
        <f>IFERROR(1/(1/INDEX(HTS!$AT:$AT,MATCH($E152,HTS!$E:$E,0))),"")</f>
        <v/>
      </c>
      <c r="H152" s="14" t="str">
        <f>IF(OR($C152="15-24",$C152="25-34"),IFERROR(1/(1/SUM(SUMIFS(AGYW!$S:$S,AGYW!$B:$B,$B152,AGYW!$C:$C,IF($C152="15-24",{"15-19","20-24"},{"25-29"}),AGYW!$D:$D,$D152))),""),"")</f>
        <v/>
      </c>
      <c r="I152" s="14" t="str">
        <f>IF(OR($C152="15-24",$C152="25-34"),IFERROR(1/(1/SUM(SUMIFS(AGYW!$T:$T,AGYW!$B:$B,$B152,AGYW!$C:$C,IF($C152="15-24",{"15-19","20-24"},{"25-29"}),AGYW!$D:$D,$D152))),""),"")</f>
        <v/>
      </c>
      <c r="J152" s="14"/>
      <c r="K152" s="14"/>
      <c r="L152" s="42" t="str">
        <f t="shared" si="9"/>
        <v/>
      </c>
      <c r="M152" s="14"/>
      <c r="N152" s="14"/>
      <c r="O152" s="42" t="str">
        <f t="shared" si="10"/>
        <v/>
      </c>
      <c r="P152" s="14">
        <f>2</f>
        <v>2</v>
      </c>
      <c r="Q152" s="42" t="str">
        <f t="shared" si="11"/>
        <v/>
      </c>
    </row>
    <row r="153" spans="1:17" x14ac:dyDescent="0.2">
      <c r="A153" t="str">
        <f>INDEX(Prioritization!$D:$D,MATCH($B153,Prioritization!$A:$A,0))</f>
        <v>1 - Scale-up: Saturation</v>
      </c>
      <c r="B153" t="s">
        <v>210</v>
      </c>
      <c r="C153" t="s">
        <v>365</v>
      </c>
      <c r="D153" t="s">
        <v>29</v>
      </c>
      <c r="E153" t="str">
        <f t="shared" si="8"/>
        <v>Blantyre District [mxqa3CDFmIT]|25-34|Female</v>
      </c>
      <c r="F153" s="14" t="str">
        <f>IF(LEFT($B153,4)="_Mil","",INDEX(Cascade!$U:$U,MATCH($E153,Cascade!$E:$E,0)))</f>
        <v/>
      </c>
      <c r="G153" s="14" t="str">
        <f>IFERROR(1/(1/INDEX(HTS!$AT:$AT,MATCH($E153,HTS!$E:$E,0))),"")</f>
        <v/>
      </c>
      <c r="H153" s="14" t="str">
        <f>IF(OR($C153="15-24",$C153="25-34"),IFERROR(1/(1/SUM(SUMIFS(AGYW!$S:$S,AGYW!$B:$B,$B153,AGYW!$C:$C,IF($C153="15-24",{"15-19","20-24"},{"25-29"}),AGYW!$D:$D,$D153))),""),"")</f>
        <v/>
      </c>
      <c r="I153" s="14" t="str">
        <f>IF(OR($C153="15-24",$C153="25-34"),IFERROR(1/(1/SUM(SUMIFS(AGYW!$T:$T,AGYW!$B:$B,$B153,AGYW!$C:$C,IF($C153="15-24",{"15-19","20-24"},{"25-29"}),AGYW!$D:$D,$D153))),""),"")</f>
        <v/>
      </c>
      <c r="J153" s="14"/>
      <c r="K153" s="14"/>
      <c r="L153" s="42" t="str">
        <f t="shared" si="9"/>
        <v/>
      </c>
      <c r="M153" s="14"/>
      <c r="N153" s="14"/>
      <c r="O153" s="42" t="str">
        <f t="shared" si="10"/>
        <v/>
      </c>
      <c r="P153" s="14">
        <f>2</f>
        <v>2</v>
      </c>
      <c r="Q153" s="42" t="str">
        <f t="shared" si="11"/>
        <v/>
      </c>
    </row>
    <row r="154" spans="1:17" x14ac:dyDescent="0.2">
      <c r="A154" t="str">
        <f>INDEX(Prioritization!$D:$D,MATCH($B154,Prioritization!$A:$A,0))</f>
        <v>1 - Scale-up: Saturation</v>
      </c>
      <c r="B154" t="s">
        <v>210</v>
      </c>
      <c r="C154" t="s">
        <v>365</v>
      </c>
      <c r="D154" t="s">
        <v>47</v>
      </c>
      <c r="E154" t="str">
        <f t="shared" si="8"/>
        <v>Blantyre District [mxqa3CDFmIT]|25-34|Male</v>
      </c>
      <c r="F154" s="14" t="str">
        <f>IF(LEFT($B154,4)="_Mil","",INDEX(Cascade!$U:$U,MATCH($E154,Cascade!$E:$E,0)))</f>
        <v/>
      </c>
      <c r="G154" s="14" t="str">
        <f>IFERROR(1/(1/INDEX(HTS!$AT:$AT,MATCH($E154,HTS!$E:$E,0))),"")</f>
        <v/>
      </c>
      <c r="H154" s="14" t="str">
        <f>IF(OR($C154="15-24",$C154="25-34"),IFERROR(1/(1/SUM(SUMIFS(AGYW!$S:$S,AGYW!$B:$B,$B154,AGYW!$C:$C,IF($C154="15-24",{"15-19","20-24"},{"25-29"}),AGYW!$D:$D,$D154))),""),"")</f>
        <v/>
      </c>
      <c r="I154" s="14" t="str">
        <f>IF(OR($C154="15-24",$C154="25-34"),IFERROR(1/(1/SUM(SUMIFS(AGYW!$T:$T,AGYW!$B:$B,$B154,AGYW!$C:$C,IF($C154="15-24",{"15-19","20-24"},{"25-29"}),AGYW!$D:$D,$D154))),""),"")</f>
        <v/>
      </c>
      <c r="J154" s="14"/>
      <c r="K154" s="14"/>
      <c r="L154" s="42" t="str">
        <f t="shared" si="9"/>
        <v/>
      </c>
      <c r="M154" s="14"/>
      <c r="N154" s="14"/>
      <c r="O154" s="42" t="str">
        <f t="shared" si="10"/>
        <v/>
      </c>
      <c r="P154" s="14">
        <f>2</f>
        <v>2</v>
      </c>
      <c r="Q154" s="42" t="str">
        <f t="shared" si="11"/>
        <v/>
      </c>
    </row>
    <row r="155" spans="1:17" x14ac:dyDescent="0.2">
      <c r="A155" t="str">
        <f>INDEX(Prioritization!$D:$D,MATCH($B155,Prioritization!$A:$A,0))</f>
        <v>1 - Scale-up: Saturation</v>
      </c>
      <c r="B155" t="s">
        <v>210</v>
      </c>
      <c r="C155" t="s">
        <v>366</v>
      </c>
      <c r="D155" t="s">
        <v>29</v>
      </c>
      <c r="E155" t="str">
        <f t="shared" si="8"/>
        <v>Blantyre District [mxqa3CDFmIT]|35-49|Female</v>
      </c>
      <c r="F155" s="14" t="str">
        <f>IF(LEFT($B155,4)="_Mil","",INDEX(Cascade!$U:$U,MATCH($E155,Cascade!$E:$E,0)))</f>
        <v/>
      </c>
      <c r="G155" s="14" t="str">
        <f>IFERROR(1/(1/INDEX(HTS!$AT:$AT,MATCH($E155,HTS!$E:$E,0))),"")</f>
        <v/>
      </c>
      <c r="H155" s="14" t="str">
        <f>IF(OR($C155="15-24",$C155="25-34"),IFERROR(1/(1/SUM(SUMIFS(AGYW!$S:$S,AGYW!$B:$B,$B155,AGYW!$C:$C,IF($C155="15-24",{"15-19","20-24"},{"25-29"}),AGYW!$D:$D,$D155))),""),"")</f>
        <v/>
      </c>
      <c r="I155" s="14" t="str">
        <f>IF(OR($C155="15-24",$C155="25-34"),IFERROR(1/(1/SUM(SUMIFS(AGYW!$T:$T,AGYW!$B:$B,$B155,AGYW!$C:$C,IF($C155="15-24",{"15-19","20-24"},{"25-29"}),AGYW!$D:$D,$D155))),""),"")</f>
        <v/>
      </c>
      <c r="J155" s="14"/>
      <c r="K155" s="14"/>
      <c r="L155" s="42" t="str">
        <f t="shared" si="9"/>
        <v/>
      </c>
      <c r="M155" s="14"/>
      <c r="N155" s="14"/>
      <c r="O155" s="42" t="str">
        <f t="shared" si="10"/>
        <v/>
      </c>
      <c r="P155" s="14">
        <f>2</f>
        <v>2</v>
      </c>
      <c r="Q155" s="42" t="str">
        <f t="shared" si="11"/>
        <v/>
      </c>
    </row>
    <row r="156" spans="1:17" x14ac:dyDescent="0.2">
      <c r="A156" t="str">
        <f>INDEX(Prioritization!$D:$D,MATCH($B156,Prioritization!$A:$A,0))</f>
        <v>1 - Scale-up: Saturation</v>
      </c>
      <c r="B156" t="s">
        <v>210</v>
      </c>
      <c r="C156" t="s">
        <v>366</v>
      </c>
      <c r="D156" t="s">
        <v>47</v>
      </c>
      <c r="E156" t="str">
        <f t="shared" si="8"/>
        <v>Blantyre District [mxqa3CDFmIT]|35-49|Male</v>
      </c>
      <c r="F156" s="14" t="str">
        <f>IF(LEFT($B156,4)="_Mil","",INDEX(Cascade!$U:$U,MATCH($E156,Cascade!$E:$E,0)))</f>
        <v/>
      </c>
      <c r="G156" s="14" t="str">
        <f>IFERROR(1/(1/INDEX(HTS!$AT:$AT,MATCH($E156,HTS!$E:$E,0))),"")</f>
        <v/>
      </c>
      <c r="H156" s="14" t="str">
        <f>IF(OR($C156="15-24",$C156="25-34"),IFERROR(1/(1/SUM(SUMIFS(AGYW!$S:$S,AGYW!$B:$B,$B156,AGYW!$C:$C,IF($C156="15-24",{"15-19","20-24"},{"25-29"}),AGYW!$D:$D,$D156))),""),"")</f>
        <v/>
      </c>
      <c r="I156" s="14" t="str">
        <f>IF(OR($C156="15-24",$C156="25-34"),IFERROR(1/(1/SUM(SUMIFS(AGYW!$T:$T,AGYW!$B:$B,$B156,AGYW!$C:$C,IF($C156="15-24",{"15-19","20-24"},{"25-29"}),AGYW!$D:$D,$D156))),""),"")</f>
        <v/>
      </c>
      <c r="J156" s="14"/>
      <c r="K156" s="14"/>
      <c r="L156" s="42" t="str">
        <f t="shared" si="9"/>
        <v/>
      </c>
      <c r="M156" s="14"/>
      <c r="N156" s="14"/>
      <c r="O156" s="42" t="str">
        <f t="shared" si="10"/>
        <v/>
      </c>
      <c r="P156" s="14">
        <f>2</f>
        <v>2</v>
      </c>
      <c r="Q156" s="42" t="str">
        <f t="shared" si="11"/>
        <v/>
      </c>
    </row>
    <row r="157" spans="1:17" x14ac:dyDescent="0.2">
      <c r="A157" t="str">
        <f>INDEX(Prioritization!$D:$D,MATCH($B157,Prioritization!$A:$A,0))</f>
        <v>1 - Scale-up: Saturation</v>
      </c>
      <c r="B157" t="s">
        <v>210</v>
      </c>
      <c r="C157" t="s">
        <v>367</v>
      </c>
      <c r="D157" t="s">
        <v>29</v>
      </c>
      <c r="E157" t="str">
        <f t="shared" si="8"/>
        <v>Blantyre District [mxqa3CDFmIT]|50+|Female</v>
      </c>
      <c r="F157" s="14" t="str">
        <f>IF(LEFT($B157,4)="_Mil","",INDEX(Cascade!$U:$U,MATCH($E157,Cascade!$E:$E,0)))</f>
        <v/>
      </c>
      <c r="G157" s="14" t="str">
        <f>IFERROR(1/(1/INDEX(HTS!$AT:$AT,MATCH($E157,HTS!$E:$E,0))),"")</f>
        <v/>
      </c>
      <c r="H157" s="14" t="str">
        <f>IF(OR($C157="15-24",$C157="25-34"),IFERROR(1/(1/SUM(SUMIFS(AGYW!$S:$S,AGYW!$B:$B,$B157,AGYW!$C:$C,IF($C157="15-24",{"15-19","20-24"},{"25-29"}),AGYW!$D:$D,$D157))),""),"")</f>
        <v/>
      </c>
      <c r="I157" s="14" t="str">
        <f>IF(OR($C157="15-24",$C157="25-34"),IFERROR(1/(1/SUM(SUMIFS(AGYW!$T:$T,AGYW!$B:$B,$B157,AGYW!$C:$C,IF($C157="15-24",{"15-19","20-24"},{"25-29"}),AGYW!$D:$D,$D157))),""),"")</f>
        <v/>
      </c>
      <c r="J157" s="14">
        <v>4</v>
      </c>
      <c r="K157" s="14">
        <v>1</v>
      </c>
      <c r="L157" s="42">
        <f t="shared" si="9"/>
        <v>1</v>
      </c>
      <c r="M157" s="14"/>
      <c r="N157" s="14"/>
      <c r="O157" s="42" t="str">
        <f t="shared" si="10"/>
        <v/>
      </c>
      <c r="P157" s="14">
        <f>2</f>
        <v>2</v>
      </c>
      <c r="Q157" s="42" t="str">
        <f t="shared" si="11"/>
        <v/>
      </c>
    </row>
    <row r="158" spans="1:17" x14ac:dyDescent="0.2">
      <c r="A158" t="str">
        <f>INDEX(Prioritization!$D:$D,MATCH($B158,Prioritization!$A:$A,0))</f>
        <v>1 - Scale-up: Saturation</v>
      </c>
      <c r="B158" t="s">
        <v>210</v>
      </c>
      <c r="C158" t="s">
        <v>367</v>
      </c>
      <c r="D158" t="s">
        <v>47</v>
      </c>
      <c r="E158" t="str">
        <f t="shared" si="8"/>
        <v>Blantyre District [mxqa3CDFmIT]|50+|Male</v>
      </c>
      <c r="F158" s="14" t="str">
        <f>IF(LEFT($B158,4)="_Mil","",INDEX(Cascade!$U:$U,MATCH($E158,Cascade!$E:$E,0)))</f>
        <v/>
      </c>
      <c r="G158" s="14" t="str">
        <f>IFERROR(1/(1/INDEX(HTS!$AT:$AT,MATCH($E158,HTS!$E:$E,0))),"")</f>
        <v/>
      </c>
      <c r="H158" s="14" t="str">
        <f>IF(OR($C158="15-24",$C158="25-34"),IFERROR(1/(1/SUM(SUMIFS(AGYW!$S:$S,AGYW!$B:$B,$B158,AGYW!$C:$C,IF($C158="15-24",{"15-19","20-24"},{"25-29"}),AGYW!$D:$D,$D158))),""),"")</f>
        <v/>
      </c>
      <c r="I158" s="14" t="str">
        <f>IF(OR($C158="15-24",$C158="25-34"),IFERROR(1/(1/SUM(SUMIFS(AGYW!$T:$T,AGYW!$B:$B,$B158,AGYW!$C:$C,IF($C158="15-24",{"15-19","20-24"},{"25-29"}),AGYW!$D:$D,$D158))),""),"")</f>
        <v/>
      </c>
      <c r="J158" s="14">
        <v>5</v>
      </c>
      <c r="K158" s="14">
        <v>9</v>
      </c>
      <c r="L158" s="42">
        <f t="shared" si="9"/>
        <v>9</v>
      </c>
      <c r="M158" s="14"/>
      <c r="N158" s="14"/>
      <c r="O158" s="42" t="str">
        <f t="shared" si="10"/>
        <v/>
      </c>
      <c r="P158" s="14">
        <f>2</f>
        <v>2</v>
      </c>
      <c r="Q158" s="42" t="str">
        <f t="shared" si="11"/>
        <v/>
      </c>
    </row>
    <row r="159" spans="1:17" x14ac:dyDescent="0.2">
      <c r="A159" t="str">
        <f>INDEX(Prioritization!$D:$D,MATCH($B159,Prioritization!$A:$A,0))</f>
        <v>1 - Scale-up: Saturation</v>
      </c>
      <c r="B159" t="s">
        <v>211</v>
      </c>
      <c r="C159" t="s">
        <v>364</v>
      </c>
      <c r="D159" t="s">
        <v>29</v>
      </c>
      <c r="E159" t="str">
        <f t="shared" si="8"/>
        <v>Chikwawa District [U8c0so51kT6]|15-24|Female</v>
      </c>
      <c r="F159" s="14" t="str">
        <f>IF(LEFT($B159,4)="_Mil","",INDEX(Cascade!$U:$U,MATCH($E159,Cascade!$E:$E,0)))</f>
        <v/>
      </c>
      <c r="G159" s="14" t="str">
        <f>IFERROR(1/(1/INDEX(HTS!$AT:$AT,MATCH($E159,HTS!$E:$E,0))),"")</f>
        <v/>
      </c>
      <c r="H159" s="14" t="str">
        <f>IF(OR($C159="15-24",$C159="25-34"),IFERROR(1/(1/SUM(SUMIFS(AGYW!$S:$S,AGYW!$B:$B,$B159,AGYW!$C:$C,IF($C159="15-24",{"15-19","20-24"},{"25-29"}),AGYW!$D:$D,$D159))),""),"")</f>
        <v/>
      </c>
      <c r="I159" s="14" t="str">
        <f>IF(OR($C159="15-24",$C159="25-34"),IFERROR(1/(1/SUM(SUMIFS(AGYW!$T:$T,AGYW!$B:$B,$B159,AGYW!$C:$C,IF($C159="15-24",{"15-19","20-24"},{"25-29"}),AGYW!$D:$D,$D159))),""),"")</f>
        <v/>
      </c>
      <c r="J159" s="14"/>
      <c r="K159" s="14"/>
      <c r="L159" s="42" t="str">
        <f t="shared" si="9"/>
        <v/>
      </c>
      <c r="M159" s="14"/>
      <c r="N159" s="14"/>
      <c r="O159" s="42" t="str">
        <f t="shared" si="10"/>
        <v/>
      </c>
      <c r="P159" s="14">
        <f>2</f>
        <v>2</v>
      </c>
      <c r="Q159" s="42" t="str">
        <f t="shared" si="11"/>
        <v/>
      </c>
    </row>
    <row r="160" spans="1:17" x14ac:dyDescent="0.2">
      <c r="A160" t="str">
        <f>INDEX(Prioritization!$D:$D,MATCH($B160,Prioritization!$A:$A,0))</f>
        <v>1 - Scale-up: Saturation</v>
      </c>
      <c r="B160" t="s">
        <v>211</v>
      </c>
      <c r="C160" t="s">
        <v>364</v>
      </c>
      <c r="D160" t="s">
        <v>47</v>
      </c>
      <c r="E160" t="str">
        <f t="shared" si="8"/>
        <v>Chikwawa District [U8c0so51kT6]|15-24|Male</v>
      </c>
      <c r="F160" s="14" t="str">
        <f>IF(LEFT($B160,4)="_Mil","",INDEX(Cascade!$U:$U,MATCH($E160,Cascade!$E:$E,0)))</f>
        <v/>
      </c>
      <c r="G160" s="14" t="str">
        <f>IFERROR(1/(1/INDEX(HTS!$AT:$AT,MATCH($E160,HTS!$E:$E,0))),"")</f>
        <v/>
      </c>
      <c r="H160" s="14" t="str">
        <f>IF(OR($C160="15-24",$C160="25-34"),IFERROR(1/(1/SUM(SUMIFS(AGYW!$S:$S,AGYW!$B:$B,$B160,AGYW!$C:$C,IF($C160="15-24",{"15-19","20-24"},{"25-29"}),AGYW!$D:$D,$D160))),""),"")</f>
        <v/>
      </c>
      <c r="I160" s="14" t="str">
        <f>IF(OR($C160="15-24",$C160="25-34"),IFERROR(1/(1/SUM(SUMIFS(AGYW!$T:$T,AGYW!$B:$B,$B160,AGYW!$C:$C,IF($C160="15-24",{"15-19","20-24"},{"25-29"}),AGYW!$D:$D,$D160))),""),"")</f>
        <v/>
      </c>
      <c r="J160" s="14"/>
      <c r="K160" s="14"/>
      <c r="L160" s="42" t="str">
        <f t="shared" si="9"/>
        <v/>
      </c>
      <c r="M160" s="14"/>
      <c r="N160" s="14"/>
      <c r="O160" s="42" t="str">
        <f t="shared" si="10"/>
        <v/>
      </c>
      <c r="P160" s="14">
        <f>2</f>
        <v>2</v>
      </c>
      <c r="Q160" s="42" t="str">
        <f t="shared" si="11"/>
        <v/>
      </c>
    </row>
    <row r="161" spans="1:17" x14ac:dyDescent="0.2">
      <c r="A161" t="str">
        <f>INDEX(Prioritization!$D:$D,MATCH($B161,Prioritization!$A:$A,0))</f>
        <v>1 - Scale-up: Saturation</v>
      </c>
      <c r="B161" t="s">
        <v>211</v>
      </c>
      <c r="C161" t="s">
        <v>365</v>
      </c>
      <c r="D161" t="s">
        <v>29</v>
      </c>
      <c r="E161" t="str">
        <f t="shared" si="8"/>
        <v>Chikwawa District [U8c0so51kT6]|25-34|Female</v>
      </c>
      <c r="F161" s="14" t="str">
        <f>IF(LEFT($B161,4)="_Mil","",INDEX(Cascade!$U:$U,MATCH($E161,Cascade!$E:$E,0)))</f>
        <v/>
      </c>
      <c r="G161" s="14" t="str">
        <f>IFERROR(1/(1/INDEX(HTS!$AT:$AT,MATCH($E161,HTS!$E:$E,0))),"")</f>
        <v/>
      </c>
      <c r="H161" s="14" t="str">
        <f>IF(OR($C161="15-24",$C161="25-34"),IFERROR(1/(1/SUM(SUMIFS(AGYW!$S:$S,AGYW!$B:$B,$B161,AGYW!$C:$C,IF($C161="15-24",{"15-19","20-24"},{"25-29"}),AGYW!$D:$D,$D161))),""),"")</f>
        <v/>
      </c>
      <c r="I161" s="14" t="str">
        <f>IF(OR($C161="15-24",$C161="25-34"),IFERROR(1/(1/SUM(SUMIFS(AGYW!$T:$T,AGYW!$B:$B,$B161,AGYW!$C:$C,IF($C161="15-24",{"15-19","20-24"},{"25-29"}),AGYW!$D:$D,$D161))),""),"")</f>
        <v/>
      </c>
      <c r="J161" s="14"/>
      <c r="K161" s="14"/>
      <c r="L161" s="42" t="str">
        <f t="shared" si="9"/>
        <v/>
      </c>
      <c r="M161" s="14"/>
      <c r="N161" s="14"/>
      <c r="O161" s="42" t="str">
        <f t="shared" si="10"/>
        <v/>
      </c>
      <c r="P161" s="14">
        <f>2</f>
        <v>2</v>
      </c>
      <c r="Q161" s="42" t="str">
        <f t="shared" si="11"/>
        <v/>
      </c>
    </row>
    <row r="162" spans="1:17" x14ac:dyDescent="0.2">
      <c r="A162" t="str">
        <f>INDEX(Prioritization!$D:$D,MATCH($B162,Prioritization!$A:$A,0))</f>
        <v>1 - Scale-up: Saturation</v>
      </c>
      <c r="B162" t="s">
        <v>211</v>
      </c>
      <c r="C162" t="s">
        <v>365</v>
      </c>
      <c r="D162" t="s">
        <v>47</v>
      </c>
      <c r="E162" t="str">
        <f t="shared" si="8"/>
        <v>Chikwawa District [U8c0so51kT6]|25-34|Male</v>
      </c>
      <c r="F162" s="14" t="str">
        <f>IF(LEFT($B162,4)="_Mil","",INDEX(Cascade!$U:$U,MATCH($E162,Cascade!$E:$E,0)))</f>
        <v/>
      </c>
      <c r="G162" s="14" t="str">
        <f>IFERROR(1/(1/INDEX(HTS!$AT:$AT,MATCH($E162,HTS!$E:$E,0))),"")</f>
        <v/>
      </c>
      <c r="H162" s="14" t="str">
        <f>IF(OR($C162="15-24",$C162="25-34"),IFERROR(1/(1/SUM(SUMIFS(AGYW!$S:$S,AGYW!$B:$B,$B162,AGYW!$C:$C,IF($C162="15-24",{"15-19","20-24"},{"25-29"}),AGYW!$D:$D,$D162))),""),"")</f>
        <v/>
      </c>
      <c r="I162" s="14" t="str">
        <f>IF(OR($C162="15-24",$C162="25-34"),IFERROR(1/(1/SUM(SUMIFS(AGYW!$T:$T,AGYW!$B:$B,$B162,AGYW!$C:$C,IF($C162="15-24",{"15-19","20-24"},{"25-29"}),AGYW!$D:$D,$D162))),""),"")</f>
        <v/>
      </c>
      <c r="J162" s="14"/>
      <c r="K162" s="14"/>
      <c r="L162" s="42" t="str">
        <f t="shared" si="9"/>
        <v/>
      </c>
      <c r="M162" s="14"/>
      <c r="N162" s="14"/>
      <c r="O162" s="42" t="str">
        <f t="shared" si="10"/>
        <v/>
      </c>
      <c r="P162" s="14">
        <f>2</f>
        <v>2</v>
      </c>
      <c r="Q162" s="42" t="str">
        <f t="shared" si="11"/>
        <v/>
      </c>
    </row>
    <row r="163" spans="1:17" x14ac:dyDescent="0.2">
      <c r="A163" t="str">
        <f>INDEX(Prioritization!$D:$D,MATCH($B163,Prioritization!$A:$A,0))</f>
        <v>1 - Scale-up: Saturation</v>
      </c>
      <c r="B163" t="s">
        <v>211</v>
      </c>
      <c r="C163" t="s">
        <v>366</v>
      </c>
      <c r="D163" t="s">
        <v>29</v>
      </c>
      <c r="E163" t="str">
        <f t="shared" si="8"/>
        <v>Chikwawa District [U8c0so51kT6]|35-49|Female</v>
      </c>
      <c r="F163" s="14" t="str">
        <f>IF(LEFT($B163,4)="_Mil","",INDEX(Cascade!$U:$U,MATCH($E163,Cascade!$E:$E,0)))</f>
        <v/>
      </c>
      <c r="G163" s="14" t="str">
        <f>IFERROR(1/(1/INDEX(HTS!$AT:$AT,MATCH($E163,HTS!$E:$E,0))),"")</f>
        <v/>
      </c>
      <c r="H163" s="14" t="str">
        <f>IF(OR($C163="15-24",$C163="25-34"),IFERROR(1/(1/SUM(SUMIFS(AGYW!$S:$S,AGYW!$B:$B,$B163,AGYW!$C:$C,IF($C163="15-24",{"15-19","20-24"},{"25-29"}),AGYW!$D:$D,$D163))),""),"")</f>
        <v/>
      </c>
      <c r="I163" s="14" t="str">
        <f>IF(OR($C163="15-24",$C163="25-34"),IFERROR(1/(1/SUM(SUMIFS(AGYW!$T:$T,AGYW!$B:$B,$B163,AGYW!$C:$C,IF($C163="15-24",{"15-19","20-24"},{"25-29"}),AGYW!$D:$D,$D163))),""),"")</f>
        <v/>
      </c>
      <c r="J163" s="14"/>
      <c r="K163" s="14"/>
      <c r="L163" s="42" t="str">
        <f t="shared" si="9"/>
        <v/>
      </c>
      <c r="M163" s="14"/>
      <c r="N163" s="14"/>
      <c r="O163" s="42" t="str">
        <f t="shared" si="10"/>
        <v/>
      </c>
      <c r="P163" s="14">
        <f>2</f>
        <v>2</v>
      </c>
      <c r="Q163" s="42" t="str">
        <f t="shared" si="11"/>
        <v/>
      </c>
    </row>
    <row r="164" spans="1:17" x14ac:dyDescent="0.2">
      <c r="A164" t="str">
        <f>INDEX(Prioritization!$D:$D,MATCH($B164,Prioritization!$A:$A,0))</f>
        <v>1 - Scale-up: Saturation</v>
      </c>
      <c r="B164" t="s">
        <v>211</v>
      </c>
      <c r="C164" t="s">
        <v>366</v>
      </c>
      <c r="D164" t="s">
        <v>47</v>
      </c>
      <c r="E164" t="str">
        <f t="shared" si="8"/>
        <v>Chikwawa District [U8c0so51kT6]|35-49|Male</v>
      </c>
      <c r="F164" s="14" t="str">
        <f>IF(LEFT($B164,4)="_Mil","",INDEX(Cascade!$U:$U,MATCH($E164,Cascade!$E:$E,0)))</f>
        <v/>
      </c>
      <c r="G164" s="14" t="str">
        <f>IFERROR(1/(1/INDEX(HTS!$AT:$AT,MATCH($E164,HTS!$E:$E,0))),"")</f>
        <v/>
      </c>
      <c r="H164" s="14" t="str">
        <f>IF(OR($C164="15-24",$C164="25-34"),IFERROR(1/(1/SUM(SUMIFS(AGYW!$S:$S,AGYW!$B:$B,$B164,AGYW!$C:$C,IF($C164="15-24",{"15-19","20-24"},{"25-29"}),AGYW!$D:$D,$D164))),""),"")</f>
        <v/>
      </c>
      <c r="I164" s="14" t="str">
        <f>IF(OR($C164="15-24",$C164="25-34"),IFERROR(1/(1/SUM(SUMIFS(AGYW!$T:$T,AGYW!$B:$B,$B164,AGYW!$C:$C,IF($C164="15-24",{"15-19","20-24"},{"25-29"}),AGYW!$D:$D,$D164))),""),"")</f>
        <v/>
      </c>
      <c r="J164" s="14"/>
      <c r="K164" s="14"/>
      <c r="L164" s="42" t="str">
        <f t="shared" si="9"/>
        <v/>
      </c>
      <c r="M164" s="14"/>
      <c r="N164" s="14"/>
      <c r="O164" s="42" t="str">
        <f t="shared" si="10"/>
        <v/>
      </c>
      <c r="P164" s="14">
        <f>2</f>
        <v>2</v>
      </c>
      <c r="Q164" s="42" t="str">
        <f t="shared" si="11"/>
        <v/>
      </c>
    </row>
    <row r="165" spans="1:17" x14ac:dyDescent="0.2">
      <c r="A165" t="str">
        <f>INDEX(Prioritization!$D:$D,MATCH($B165,Prioritization!$A:$A,0))</f>
        <v>1 - Scale-up: Saturation</v>
      </c>
      <c r="B165" t="s">
        <v>211</v>
      </c>
      <c r="C165" t="s">
        <v>367</v>
      </c>
      <c r="D165" t="s">
        <v>29</v>
      </c>
      <c r="E165" t="str">
        <f t="shared" si="8"/>
        <v>Chikwawa District [U8c0so51kT6]|50+|Female</v>
      </c>
      <c r="F165" s="14" t="str">
        <f>IF(LEFT($B165,4)="_Mil","",INDEX(Cascade!$U:$U,MATCH($E165,Cascade!$E:$E,0)))</f>
        <v/>
      </c>
      <c r="G165" s="14" t="str">
        <f>IFERROR(1/(1/INDEX(HTS!$AT:$AT,MATCH($E165,HTS!$E:$E,0))),"")</f>
        <v/>
      </c>
      <c r="H165" s="14" t="str">
        <f>IF(OR($C165="15-24",$C165="25-34"),IFERROR(1/(1/SUM(SUMIFS(AGYW!$S:$S,AGYW!$B:$B,$B165,AGYW!$C:$C,IF($C165="15-24",{"15-19","20-24"},{"25-29"}),AGYW!$D:$D,$D165))),""),"")</f>
        <v/>
      </c>
      <c r="I165" s="14" t="str">
        <f>IF(OR($C165="15-24",$C165="25-34"),IFERROR(1/(1/SUM(SUMIFS(AGYW!$T:$T,AGYW!$B:$B,$B165,AGYW!$C:$C,IF($C165="15-24",{"15-19","20-24"},{"25-29"}),AGYW!$D:$D,$D165))),""),"")</f>
        <v/>
      </c>
      <c r="J165" s="14">
        <v>0</v>
      </c>
      <c r="K165" s="14">
        <v>9</v>
      </c>
      <c r="L165" s="42">
        <f t="shared" si="9"/>
        <v>9</v>
      </c>
      <c r="M165" s="14"/>
      <c r="N165" s="14"/>
      <c r="O165" s="42" t="str">
        <f t="shared" si="10"/>
        <v/>
      </c>
      <c r="P165" s="14">
        <f>2</f>
        <v>2</v>
      </c>
      <c r="Q165" s="42" t="str">
        <f t="shared" si="11"/>
        <v/>
      </c>
    </row>
    <row r="166" spans="1:17" x14ac:dyDescent="0.2">
      <c r="A166" t="str">
        <f>INDEX(Prioritization!$D:$D,MATCH($B166,Prioritization!$A:$A,0))</f>
        <v>1 - Scale-up: Saturation</v>
      </c>
      <c r="B166" t="s">
        <v>211</v>
      </c>
      <c r="C166" t="s">
        <v>367</v>
      </c>
      <c r="D166" t="s">
        <v>47</v>
      </c>
      <c r="E166" t="str">
        <f t="shared" si="8"/>
        <v>Chikwawa District [U8c0so51kT6]|50+|Male</v>
      </c>
      <c r="F166" s="14" t="str">
        <f>IF(LEFT($B166,4)="_Mil","",INDEX(Cascade!$U:$U,MATCH($E166,Cascade!$E:$E,0)))</f>
        <v/>
      </c>
      <c r="G166" s="14" t="str">
        <f>IFERROR(1/(1/INDEX(HTS!$AT:$AT,MATCH($E166,HTS!$E:$E,0))),"")</f>
        <v/>
      </c>
      <c r="H166" s="14" t="str">
        <f>IF(OR($C166="15-24",$C166="25-34"),IFERROR(1/(1/SUM(SUMIFS(AGYW!$S:$S,AGYW!$B:$B,$B166,AGYW!$C:$C,IF($C166="15-24",{"15-19","20-24"},{"25-29"}),AGYW!$D:$D,$D166))),""),"")</f>
        <v/>
      </c>
      <c r="I166" s="14" t="str">
        <f>IF(OR($C166="15-24",$C166="25-34"),IFERROR(1/(1/SUM(SUMIFS(AGYW!$T:$T,AGYW!$B:$B,$B166,AGYW!$C:$C,IF($C166="15-24",{"15-19","20-24"},{"25-29"}),AGYW!$D:$D,$D166))),""),"")</f>
        <v/>
      </c>
      <c r="J166" s="14">
        <v>1</v>
      </c>
      <c r="K166" s="14">
        <v>3</v>
      </c>
      <c r="L166" s="42">
        <f t="shared" si="9"/>
        <v>3</v>
      </c>
      <c r="M166" s="14"/>
      <c r="N166" s="14"/>
      <c r="O166" s="42" t="str">
        <f t="shared" si="10"/>
        <v/>
      </c>
      <c r="P166" s="14">
        <f>2</f>
        <v>2</v>
      </c>
      <c r="Q166" s="42" t="str">
        <f t="shared" si="11"/>
        <v/>
      </c>
    </row>
    <row r="167" spans="1:17" x14ac:dyDescent="0.2">
      <c r="A167" t="str">
        <f>INDEX(Prioritization!$D:$D,MATCH($B167,Prioritization!$A:$A,0))</f>
        <v>1 - Scale-up: Saturation</v>
      </c>
      <c r="B167" t="s">
        <v>212</v>
      </c>
      <c r="C167" t="s">
        <v>364</v>
      </c>
      <c r="D167" t="s">
        <v>29</v>
      </c>
      <c r="E167" t="str">
        <f t="shared" si="8"/>
        <v>Chiradzulu District [oiPR2CiVJbf]|15-24|Female</v>
      </c>
      <c r="F167" s="14" t="str">
        <f>IF(LEFT($B167,4)="_Mil","",INDEX(Cascade!$U:$U,MATCH($E167,Cascade!$E:$E,0)))</f>
        <v/>
      </c>
      <c r="G167" s="14" t="str">
        <f>IFERROR(1/(1/INDEX(HTS!$AT:$AT,MATCH($E167,HTS!$E:$E,0))),"")</f>
        <v/>
      </c>
      <c r="H167" s="14" t="str">
        <f>IF(OR($C167="15-24",$C167="25-34"),IFERROR(1/(1/SUM(SUMIFS(AGYW!$S:$S,AGYW!$B:$B,$B167,AGYW!$C:$C,IF($C167="15-24",{"15-19","20-24"},{"25-29"}),AGYW!$D:$D,$D167))),""),"")</f>
        <v/>
      </c>
      <c r="I167" s="14" t="str">
        <f>IF(OR($C167="15-24",$C167="25-34"),IFERROR(1/(1/SUM(SUMIFS(AGYW!$T:$T,AGYW!$B:$B,$B167,AGYW!$C:$C,IF($C167="15-24",{"15-19","20-24"},{"25-29"}),AGYW!$D:$D,$D167))),""),"")</f>
        <v/>
      </c>
      <c r="J167" s="14"/>
      <c r="K167" s="14"/>
      <c r="L167" s="42" t="str">
        <f t="shared" si="9"/>
        <v/>
      </c>
      <c r="M167" s="14"/>
      <c r="N167" s="14"/>
      <c r="O167" s="42" t="str">
        <f t="shared" si="10"/>
        <v/>
      </c>
      <c r="P167" s="14">
        <f>2</f>
        <v>2</v>
      </c>
      <c r="Q167" s="42" t="str">
        <f t="shared" si="11"/>
        <v/>
      </c>
    </row>
    <row r="168" spans="1:17" x14ac:dyDescent="0.2">
      <c r="A168" t="str">
        <f>INDEX(Prioritization!$D:$D,MATCH($B168,Prioritization!$A:$A,0))</f>
        <v>1 - Scale-up: Saturation</v>
      </c>
      <c r="B168" t="s">
        <v>212</v>
      </c>
      <c r="C168" t="s">
        <v>364</v>
      </c>
      <c r="D168" t="s">
        <v>47</v>
      </c>
      <c r="E168" t="str">
        <f t="shared" si="8"/>
        <v>Chiradzulu District [oiPR2CiVJbf]|15-24|Male</v>
      </c>
      <c r="F168" s="14" t="str">
        <f>IF(LEFT($B168,4)="_Mil","",INDEX(Cascade!$U:$U,MATCH($E168,Cascade!$E:$E,0)))</f>
        <v/>
      </c>
      <c r="G168" s="14" t="str">
        <f>IFERROR(1/(1/INDEX(HTS!$AT:$AT,MATCH($E168,HTS!$E:$E,0))),"")</f>
        <v/>
      </c>
      <c r="H168" s="14" t="str">
        <f>IF(OR($C168="15-24",$C168="25-34"),IFERROR(1/(1/SUM(SUMIFS(AGYW!$S:$S,AGYW!$B:$B,$B168,AGYW!$C:$C,IF($C168="15-24",{"15-19","20-24"},{"25-29"}),AGYW!$D:$D,$D168))),""),"")</f>
        <v/>
      </c>
      <c r="I168" s="14" t="str">
        <f>IF(OR($C168="15-24",$C168="25-34"),IFERROR(1/(1/SUM(SUMIFS(AGYW!$T:$T,AGYW!$B:$B,$B168,AGYW!$C:$C,IF($C168="15-24",{"15-19","20-24"},{"25-29"}),AGYW!$D:$D,$D168))),""),"")</f>
        <v/>
      </c>
      <c r="J168" s="14"/>
      <c r="K168" s="14"/>
      <c r="L168" s="42" t="str">
        <f t="shared" si="9"/>
        <v/>
      </c>
      <c r="M168" s="14"/>
      <c r="N168" s="14"/>
      <c r="O168" s="42" t="str">
        <f t="shared" si="10"/>
        <v/>
      </c>
      <c r="P168" s="14">
        <f>2</f>
        <v>2</v>
      </c>
      <c r="Q168" s="42" t="str">
        <f t="shared" si="11"/>
        <v/>
      </c>
    </row>
    <row r="169" spans="1:17" x14ac:dyDescent="0.2">
      <c r="A169" t="str">
        <f>INDEX(Prioritization!$D:$D,MATCH($B169,Prioritization!$A:$A,0))</f>
        <v>1 - Scale-up: Saturation</v>
      </c>
      <c r="B169" t="s">
        <v>212</v>
      </c>
      <c r="C169" t="s">
        <v>365</v>
      </c>
      <c r="D169" t="s">
        <v>29</v>
      </c>
      <c r="E169" t="str">
        <f t="shared" si="8"/>
        <v>Chiradzulu District [oiPR2CiVJbf]|25-34|Female</v>
      </c>
      <c r="F169" s="14" t="str">
        <f>IF(LEFT($B169,4)="_Mil","",INDEX(Cascade!$U:$U,MATCH($E169,Cascade!$E:$E,0)))</f>
        <v/>
      </c>
      <c r="G169" s="14" t="str">
        <f>IFERROR(1/(1/INDEX(HTS!$AT:$AT,MATCH($E169,HTS!$E:$E,0))),"")</f>
        <v/>
      </c>
      <c r="H169" s="14" t="str">
        <f>IF(OR($C169="15-24",$C169="25-34"),IFERROR(1/(1/SUM(SUMIFS(AGYW!$S:$S,AGYW!$B:$B,$B169,AGYW!$C:$C,IF($C169="15-24",{"15-19","20-24"},{"25-29"}),AGYW!$D:$D,$D169))),""),"")</f>
        <v/>
      </c>
      <c r="I169" s="14" t="str">
        <f>IF(OR($C169="15-24",$C169="25-34"),IFERROR(1/(1/SUM(SUMIFS(AGYW!$T:$T,AGYW!$B:$B,$B169,AGYW!$C:$C,IF($C169="15-24",{"15-19","20-24"},{"25-29"}),AGYW!$D:$D,$D169))),""),"")</f>
        <v/>
      </c>
      <c r="J169" s="14"/>
      <c r="K169" s="14"/>
      <c r="L169" s="42" t="str">
        <f t="shared" si="9"/>
        <v/>
      </c>
      <c r="M169" s="14"/>
      <c r="N169" s="14"/>
      <c r="O169" s="42" t="str">
        <f t="shared" si="10"/>
        <v/>
      </c>
      <c r="P169" s="14">
        <f>2</f>
        <v>2</v>
      </c>
      <c r="Q169" s="42" t="str">
        <f t="shared" si="11"/>
        <v/>
      </c>
    </row>
    <row r="170" spans="1:17" x14ac:dyDescent="0.2">
      <c r="A170" t="str">
        <f>INDEX(Prioritization!$D:$D,MATCH($B170,Prioritization!$A:$A,0))</f>
        <v>1 - Scale-up: Saturation</v>
      </c>
      <c r="B170" t="s">
        <v>212</v>
      </c>
      <c r="C170" t="s">
        <v>365</v>
      </c>
      <c r="D170" t="s">
        <v>47</v>
      </c>
      <c r="E170" t="str">
        <f t="shared" si="8"/>
        <v>Chiradzulu District [oiPR2CiVJbf]|25-34|Male</v>
      </c>
      <c r="F170" s="14" t="str">
        <f>IF(LEFT($B170,4)="_Mil","",INDEX(Cascade!$U:$U,MATCH($E170,Cascade!$E:$E,0)))</f>
        <v/>
      </c>
      <c r="G170" s="14" t="str">
        <f>IFERROR(1/(1/INDEX(HTS!$AT:$AT,MATCH($E170,HTS!$E:$E,0))),"")</f>
        <v/>
      </c>
      <c r="H170" s="14" t="str">
        <f>IF(OR($C170="15-24",$C170="25-34"),IFERROR(1/(1/SUM(SUMIFS(AGYW!$S:$S,AGYW!$B:$B,$B170,AGYW!$C:$C,IF($C170="15-24",{"15-19","20-24"},{"25-29"}),AGYW!$D:$D,$D170))),""),"")</f>
        <v/>
      </c>
      <c r="I170" s="14" t="str">
        <f>IF(OR($C170="15-24",$C170="25-34"),IFERROR(1/(1/SUM(SUMIFS(AGYW!$T:$T,AGYW!$B:$B,$B170,AGYW!$C:$C,IF($C170="15-24",{"15-19","20-24"},{"25-29"}),AGYW!$D:$D,$D170))),""),"")</f>
        <v/>
      </c>
      <c r="J170" s="14"/>
      <c r="K170" s="14"/>
      <c r="L170" s="42" t="str">
        <f t="shared" si="9"/>
        <v/>
      </c>
      <c r="M170" s="14"/>
      <c r="N170" s="14"/>
      <c r="O170" s="42" t="str">
        <f t="shared" si="10"/>
        <v/>
      </c>
      <c r="P170" s="14">
        <f>2</f>
        <v>2</v>
      </c>
      <c r="Q170" s="42" t="str">
        <f t="shared" si="11"/>
        <v/>
      </c>
    </row>
    <row r="171" spans="1:17" x14ac:dyDescent="0.2">
      <c r="A171" t="str">
        <f>INDEX(Prioritization!$D:$D,MATCH($B171,Prioritization!$A:$A,0))</f>
        <v>1 - Scale-up: Saturation</v>
      </c>
      <c r="B171" t="s">
        <v>212</v>
      </c>
      <c r="C171" t="s">
        <v>366</v>
      </c>
      <c r="D171" t="s">
        <v>29</v>
      </c>
      <c r="E171" t="str">
        <f t="shared" si="8"/>
        <v>Chiradzulu District [oiPR2CiVJbf]|35-49|Female</v>
      </c>
      <c r="F171" s="14" t="str">
        <f>IF(LEFT($B171,4)="_Mil","",INDEX(Cascade!$U:$U,MATCH($E171,Cascade!$E:$E,0)))</f>
        <v/>
      </c>
      <c r="G171" s="14" t="str">
        <f>IFERROR(1/(1/INDEX(HTS!$AT:$AT,MATCH($E171,HTS!$E:$E,0))),"")</f>
        <v/>
      </c>
      <c r="H171" s="14" t="str">
        <f>IF(OR($C171="15-24",$C171="25-34"),IFERROR(1/(1/SUM(SUMIFS(AGYW!$S:$S,AGYW!$B:$B,$B171,AGYW!$C:$C,IF($C171="15-24",{"15-19","20-24"},{"25-29"}),AGYW!$D:$D,$D171))),""),"")</f>
        <v/>
      </c>
      <c r="I171" s="14" t="str">
        <f>IF(OR($C171="15-24",$C171="25-34"),IFERROR(1/(1/SUM(SUMIFS(AGYW!$T:$T,AGYW!$B:$B,$B171,AGYW!$C:$C,IF($C171="15-24",{"15-19","20-24"},{"25-29"}),AGYW!$D:$D,$D171))),""),"")</f>
        <v/>
      </c>
      <c r="J171" s="14"/>
      <c r="K171" s="14"/>
      <c r="L171" s="42" t="str">
        <f t="shared" si="9"/>
        <v/>
      </c>
      <c r="M171" s="14"/>
      <c r="N171" s="14"/>
      <c r="O171" s="42" t="str">
        <f t="shared" si="10"/>
        <v/>
      </c>
      <c r="P171" s="14">
        <f>2</f>
        <v>2</v>
      </c>
      <c r="Q171" s="42" t="str">
        <f t="shared" si="11"/>
        <v/>
      </c>
    </row>
    <row r="172" spans="1:17" x14ac:dyDescent="0.2">
      <c r="A172" t="str">
        <f>INDEX(Prioritization!$D:$D,MATCH($B172,Prioritization!$A:$A,0))</f>
        <v>1 - Scale-up: Saturation</v>
      </c>
      <c r="B172" t="s">
        <v>212</v>
      </c>
      <c r="C172" t="s">
        <v>366</v>
      </c>
      <c r="D172" t="s">
        <v>47</v>
      </c>
      <c r="E172" t="str">
        <f t="shared" si="8"/>
        <v>Chiradzulu District [oiPR2CiVJbf]|35-49|Male</v>
      </c>
      <c r="F172" s="14" t="str">
        <f>IF(LEFT($B172,4)="_Mil","",INDEX(Cascade!$U:$U,MATCH($E172,Cascade!$E:$E,0)))</f>
        <v/>
      </c>
      <c r="G172" s="14" t="str">
        <f>IFERROR(1/(1/INDEX(HTS!$AT:$AT,MATCH($E172,HTS!$E:$E,0))),"")</f>
        <v/>
      </c>
      <c r="H172" s="14" t="str">
        <f>IF(OR($C172="15-24",$C172="25-34"),IFERROR(1/(1/SUM(SUMIFS(AGYW!$S:$S,AGYW!$B:$B,$B172,AGYW!$C:$C,IF($C172="15-24",{"15-19","20-24"},{"25-29"}),AGYW!$D:$D,$D172))),""),"")</f>
        <v/>
      </c>
      <c r="I172" s="14" t="str">
        <f>IF(OR($C172="15-24",$C172="25-34"),IFERROR(1/(1/SUM(SUMIFS(AGYW!$T:$T,AGYW!$B:$B,$B172,AGYW!$C:$C,IF($C172="15-24",{"15-19","20-24"},{"25-29"}),AGYW!$D:$D,$D172))),""),"")</f>
        <v/>
      </c>
      <c r="J172" s="14"/>
      <c r="K172" s="14"/>
      <c r="L172" s="42" t="str">
        <f t="shared" si="9"/>
        <v/>
      </c>
      <c r="M172" s="14"/>
      <c r="N172" s="14"/>
      <c r="O172" s="42" t="str">
        <f t="shared" si="10"/>
        <v/>
      </c>
      <c r="P172" s="14">
        <f>2</f>
        <v>2</v>
      </c>
      <c r="Q172" s="42" t="str">
        <f t="shared" si="11"/>
        <v/>
      </c>
    </row>
    <row r="173" spans="1:17" x14ac:dyDescent="0.2">
      <c r="A173" t="str">
        <f>INDEX(Prioritization!$D:$D,MATCH($B173,Prioritization!$A:$A,0))</f>
        <v>1 - Scale-up: Saturation</v>
      </c>
      <c r="B173" t="s">
        <v>212</v>
      </c>
      <c r="C173" t="s">
        <v>367</v>
      </c>
      <c r="D173" t="s">
        <v>29</v>
      </c>
      <c r="E173" t="str">
        <f t="shared" si="8"/>
        <v>Chiradzulu District [oiPR2CiVJbf]|50+|Female</v>
      </c>
      <c r="F173" s="14" t="str">
        <f>IF(LEFT($B173,4)="_Mil","",INDEX(Cascade!$U:$U,MATCH($E173,Cascade!$E:$E,0)))</f>
        <v/>
      </c>
      <c r="G173" s="14" t="str">
        <f>IFERROR(1/(1/INDEX(HTS!$AT:$AT,MATCH($E173,HTS!$E:$E,0))),"")</f>
        <v/>
      </c>
      <c r="H173" s="14" t="str">
        <f>IF(OR($C173="15-24",$C173="25-34"),IFERROR(1/(1/SUM(SUMIFS(AGYW!$S:$S,AGYW!$B:$B,$B173,AGYW!$C:$C,IF($C173="15-24",{"15-19","20-24"},{"25-29"}),AGYW!$D:$D,$D173))),""),"")</f>
        <v/>
      </c>
      <c r="I173" s="14" t="str">
        <f>IF(OR($C173="15-24",$C173="25-34"),IFERROR(1/(1/SUM(SUMIFS(AGYW!$T:$T,AGYW!$B:$B,$B173,AGYW!$C:$C,IF($C173="15-24",{"15-19","20-24"},{"25-29"}),AGYW!$D:$D,$D173))),""),"")</f>
        <v/>
      </c>
      <c r="J173" s="14"/>
      <c r="K173" s="14">
        <v>0</v>
      </c>
      <c r="L173" s="42" t="str">
        <f t="shared" si="9"/>
        <v/>
      </c>
      <c r="M173" s="14"/>
      <c r="N173" s="14"/>
      <c r="O173" s="42" t="str">
        <f t="shared" si="10"/>
        <v/>
      </c>
      <c r="P173" s="14">
        <f>2</f>
        <v>2</v>
      </c>
      <c r="Q173" s="42" t="str">
        <f t="shared" si="11"/>
        <v/>
      </c>
    </row>
    <row r="174" spans="1:17" x14ac:dyDescent="0.2">
      <c r="A174" t="str">
        <f>INDEX(Prioritization!$D:$D,MATCH($B174,Prioritization!$A:$A,0))</f>
        <v>1 - Scale-up: Saturation</v>
      </c>
      <c r="B174" t="s">
        <v>212</v>
      </c>
      <c r="C174" t="s">
        <v>367</v>
      </c>
      <c r="D174" t="s">
        <v>47</v>
      </c>
      <c r="E174" t="str">
        <f t="shared" si="8"/>
        <v>Chiradzulu District [oiPR2CiVJbf]|50+|Male</v>
      </c>
      <c r="F174" s="14" t="str">
        <f>IF(LEFT($B174,4)="_Mil","",INDEX(Cascade!$U:$U,MATCH($E174,Cascade!$E:$E,0)))</f>
        <v/>
      </c>
      <c r="G174" s="14" t="str">
        <f>IFERROR(1/(1/INDEX(HTS!$AT:$AT,MATCH($E174,HTS!$E:$E,0))),"")</f>
        <v/>
      </c>
      <c r="H174" s="14" t="str">
        <f>IF(OR($C174="15-24",$C174="25-34"),IFERROR(1/(1/SUM(SUMIFS(AGYW!$S:$S,AGYW!$B:$B,$B174,AGYW!$C:$C,IF($C174="15-24",{"15-19","20-24"},{"25-29"}),AGYW!$D:$D,$D174))),""),"")</f>
        <v/>
      </c>
      <c r="I174" s="14" t="str">
        <f>IF(OR($C174="15-24",$C174="25-34"),IFERROR(1/(1/SUM(SUMIFS(AGYW!$T:$T,AGYW!$B:$B,$B174,AGYW!$C:$C,IF($C174="15-24",{"15-19","20-24"},{"25-29"}),AGYW!$D:$D,$D174))),""),"")</f>
        <v/>
      </c>
      <c r="J174" s="14">
        <v>1</v>
      </c>
      <c r="K174" s="14">
        <v>6</v>
      </c>
      <c r="L174" s="42">
        <f t="shared" si="9"/>
        <v>6</v>
      </c>
      <c r="M174" s="14"/>
      <c r="N174" s="14"/>
      <c r="O174" s="42" t="str">
        <f t="shared" si="10"/>
        <v/>
      </c>
      <c r="P174" s="14">
        <f>2</f>
        <v>2</v>
      </c>
      <c r="Q174" s="42" t="str">
        <f t="shared" si="11"/>
        <v/>
      </c>
    </row>
    <row r="175" spans="1:17" x14ac:dyDescent="0.2">
      <c r="A175" t="str">
        <f>INDEX(Prioritization!$D:$D,MATCH($B175,Prioritization!$A:$A,0))</f>
        <v>1 - Scale-up: Saturation</v>
      </c>
      <c r="B175" t="s">
        <v>213</v>
      </c>
      <c r="C175" t="s">
        <v>364</v>
      </c>
      <c r="D175" t="s">
        <v>29</v>
      </c>
      <c r="E175" t="str">
        <f t="shared" si="8"/>
        <v>Machinga District [TYnMSwzko3z]|15-24|Female</v>
      </c>
      <c r="F175" s="14" t="str">
        <f>IF(LEFT($B175,4)="_Mil","",INDEX(Cascade!$U:$U,MATCH($E175,Cascade!$E:$E,0)))</f>
        <v/>
      </c>
      <c r="G175" s="14" t="str">
        <f>IFERROR(1/(1/INDEX(HTS!$AT:$AT,MATCH($E175,HTS!$E:$E,0))),"")</f>
        <v/>
      </c>
      <c r="H175" s="14" t="str">
        <f>IF(OR($C175="15-24",$C175="25-34"),IFERROR(1/(1/SUM(SUMIFS(AGYW!$S:$S,AGYW!$B:$B,$B175,AGYW!$C:$C,IF($C175="15-24",{"15-19","20-24"},{"25-29"}),AGYW!$D:$D,$D175))),""),"")</f>
        <v/>
      </c>
      <c r="I175" s="14" t="str">
        <f>IF(OR($C175="15-24",$C175="25-34"),IFERROR(1/(1/SUM(SUMIFS(AGYW!$T:$T,AGYW!$B:$B,$B175,AGYW!$C:$C,IF($C175="15-24",{"15-19","20-24"},{"25-29"}),AGYW!$D:$D,$D175))),""),"")</f>
        <v/>
      </c>
      <c r="J175" s="14"/>
      <c r="K175" s="14"/>
      <c r="L175" s="42" t="str">
        <f t="shared" si="9"/>
        <v/>
      </c>
      <c r="M175" s="14"/>
      <c r="N175" s="14"/>
      <c r="O175" s="42" t="str">
        <f t="shared" si="10"/>
        <v/>
      </c>
      <c r="P175" s="14">
        <f>2</f>
        <v>2</v>
      </c>
      <c r="Q175" s="42" t="str">
        <f t="shared" si="11"/>
        <v/>
      </c>
    </row>
    <row r="176" spans="1:17" x14ac:dyDescent="0.2">
      <c r="A176" t="str">
        <f>INDEX(Prioritization!$D:$D,MATCH($B176,Prioritization!$A:$A,0))</f>
        <v>1 - Scale-up: Saturation</v>
      </c>
      <c r="B176" t="s">
        <v>213</v>
      </c>
      <c r="C176" t="s">
        <v>364</v>
      </c>
      <c r="D176" t="s">
        <v>47</v>
      </c>
      <c r="E176" t="str">
        <f t="shared" si="8"/>
        <v>Machinga District [TYnMSwzko3z]|15-24|Male</v>
      </c>
      <c r="F176" s="14" t="str">
        <f>IF(LEFT($B176,4)="_Mil","",INDEX(Cascade!$U:$U,MATCH($E176,Cascade!$E:$E,0)))</f>
        <v/>
      </c>
      <c r="G176" s="14" t="str">
        <f>IFERROR(1/(1/INDEX(HTS!$AT:$AT,MATCH($E176,HTS!$E:$E,0))),"")</f>
        <v/>
      </c>
      <c r="H176" s="14" t="str">
        <f>IF(OR($C176="15-24",$C176="25-34"),IFERROR(1/(1/SUM(SUMIFS(AGYW!$S:$S,AGYW!$B:$B,$B176,AGYW!$C:$C,IF($C176="15-24",{"15-19","20-24"},{"25-29"}),AGYW!$D:$D,$D176))),""),"")</f>
        <v/>
      </c>
      <c r="I176" s="14" t="str">
        <f>IF(OR($C176="15-24",$C176="25-34"),IFERROR(1/(1/SUM(SUMIFS(AGYW!$T:$T,AGYW!$B:$B,$B176,AGYW!$C:$C,IF($C176="15-24",{"15-19","20-24"},{"25-29"}),AGYW!$D:$D,$D176))),""),"")</f>
        <v/>
      </c>
      <c r="J176" s="14"/>
      <c r="K176" s="14"/>
      <c r="L176" s="42" t="str">
        <f t="shared" si="9"/>
        <v/>
      </c>
      <c r="M176" s="14"/>
      <c r="N176" s="14"/>
      <c r="O176" s="42" t="str">
        <f t="shared" si="10"/>
        <v/>
      </c>
      <c r="P176" s="14">
        <f>2</f>
        <v>2</v>
      </c>
      <c r="Q176" s="42" t="str">
        <f t="shared" si="11"/>
        <v/>
      </c>
    </row>
    <row r="177" spans="1:17" x14ac:dyDescent="0.2">
      <c r="A177" t="str">
        <f>INDEX(Prioritization!$D:$D,MATCH($B177,Prioritization!$A:$A,0))</f>
        <v>1 - Scale-up: Saturation</v>
      </c>
      <c r="B177" t="s">
        <v>213</v>
      </c>
      <c r="C177" t="s">
        <v>365</v>
      </c>
      <c r="D177" t="s">
        <v>29</v>
      </c>
      <c r="E177" t="str">
        <f t="shared" si="8"/>
        <v>Machinga District [TYnMSwzko3z]|25-34|Female</v>
      </c>
      <c r="F177" s="14" t="str">
        <f>IF(LEFT($B177,4)="_Mil","",INDEX(Cascade!$U:$U,MATCH($E177,Cascade!$E:$E,0)))</f>
        <v/>
      </c>
      <c r="G177" s="14" t="str">
        <f>IFERROR(1/(1/INDEX(HTS!$AT:$AT,MATCH($E177,HTS!$E:$E,0))),"")</f>
        <v/>
      </c>
      <c r="H177" s="14" t="str">
        <f>IF(OR($C177="15-24",$C177="25-34"),IFERROR(1/(1/SUM(SUMIFS(AGYW!$S:$S,AGYW!$B:$B,$B177,AGYW!$C:$C,IF($C177="15-24",{"15-19","20-24"},{"25-29"}),AGYW!$D:$D,$D177))),""),"")</f>
        <v/>
      </c>
      <c r="I177" s="14" t="str">
        <f>IF(OR($C177="15-24",$C177="25-34"),IFERROR(1/(1/SUM(SUMIFS(AGYW!$T:$T,AGYW!$B:$B,$B177,AGYW!$C:$C,IF($C177="15-24",{"15-19","20-24"},{"25-29"}),AGYW!$D:$D,$D177))),""),"")</f>
        <v/>
      </c>
      <c r="J177" s="14"/>
      <c r="K177" s="14"/>
      <c r="L177" s="42" t="str">
        <f t="shared" si="9"/>
        <v/>
      </c>
      <c r="M177" s="14"/>
      <c r="N177" s="14"/>
      <c r="O177" s="42" t="str">
        <f t="shared" si="10"/>
        <v/>
      </c>
      <c r="P177" s="14">
        <f>2</f>
        <v>2</v>
      </c>
      <c r="Q177" s="42" t="str">
        <f t="shared" si="11"/>
        <v/>
      </c>
    </row>
    <row r="178" spans="1:17" x14ac:dyDescent="0.2">
      <c r="A178" t="str">
        <f>INDEX(Prioritization!$D:$D,MATCH($B178,Prioritization!$A:$A,0))</f>
        <v>1 - Scale-up: Saturation</v>
      </c>
      <c r="B178" t="s">
        <v>213</v>
      </c>
      <c r="C178" t="s">
        <v>365</v>
      </c>
      <c r="D178" t="s">
        <v>47</v>
      </c>
      <c r="E178" t="str">
        <f t="shared" si="8"/>
        <v>Machinga District [TYnMSwzko3z]|25-34|Male</v>
      </c>
      <c r="F178" s="14" t="str">
        <f>IF(LEFT($B178,4)="_Mil","",INDEX(Cascade!$U:$U,MATCH($E178,Cascade!$E:$E,0)))</f>
        <v/>
      </c>
      <c r="G178" s="14" t="str">
        <f>IFERROR(1/(1/INDEX(HTS!$AT:$AT,MATCH($E178,HTS!$E:$E,0))),"")</f>
        <v/>
      </c>
      <c r="H178" s="14" t="str">
        <f>IF(OR($C178="15-24",$C178="25-34"),IFERROR(1/(1/SUM(SUMIFS(AGYW!$S:$S,AGYW!$B:$B,$B178,AGYW!$C:$C,IF($C178="15-24",{"15-19","20-24"},{"25-29"}),AGYW!$D:$D,$D178))),""),"")</f>
        <v/>
      </c>
      <c r="I178" s="14" t="str">
        <f>IF(OR($C178="15-24",$C178="25-34"),IFERROR(1/(1/SUM(SUMIFS(AGYW!$T:$T,AGYW!$B:$B,$B178,AGYW!$C:$C,IF($C178="15-24",{"15-19","20-24"},{"25-29"}),AGYW!$D:$D,$D178))),""),"")</f>
        <v/>
      </c>
      <c r="J178" s="14"/>
      <c r="K178" s="14"/>
      <c r="L178" s="42" t="str">
        <f t="shared" si="9"/>
        <v/>
      </c>
      <c r="M178" s="14"/>
      <c r="N178" s="14"/>
      <c r="O178" s="42" t="str">
        <f t="shared" si="10"/>
        <v/>
      </c>
      <c r="P178" s="14">
        <f>2</f>
        <v>2</v>
      </c>
      <c r="Q178" s="42" t="str">
        <f t="shared" si="11"/>
        <v/>
      </c>
    </row>
    <row r="179" spans="1:17" x14ac:dyDescent="0.2">
      <c r="A179" t="str">
        <f>INDEX(Prioritization!$D:$D,MATCH($B179,Prioritization!$A:$A,0))</f>
        <v>1 - Scale-up: Saturation</v>
      </c>
      <c r="B179" t="s">
        <v>213</v>
      </c>
      <c r="C179" t="s">
        <v>366</v>
      </c>
      <c r="D179" t="s">
        <v>29</v>
      </c>
      <c r="E179" t="str">
        <f t="shared" si="8"/>
        <v>Machinga District [TYnMSwzko3z]|35-49|Female</v>
      </c>
      <c r="F179" s="14" t="str">
        <f>IF(LEFT($B179,4)="_Mil","",INDEX(Cascade!$U:$U,MATCH($E179,Cascade!$E:$E,0)))</f>
        <v/>
      </c>
      <c r="G179" s="14" t="str">
        <f>IFERROR(1/(1/INDEX(HTS!$AT:$AT,MATCH($E179,HTS!$E:$E,0))),"")</f>
        <v/>
      </c>
      <c r="H179" s="14" t="str">
        <f>IF(OR($C179="15-24",$C179="25-34"),IFERROR(1/(1/SUM(SUMIFS(AGYW!$S:$S,AGYW!$B:$B,$B179,AGYW!$C:$C,IF($C179="15-24",{"15-19","20-24"},{"25-29"}),AGYW!$D:$D,$D179))),""),"")</f>
        <v/>
      </c>
      <c r="I179" s="14" t="str">
        <f>IF(OR($C179="15-24",$C179="25-34"),IFERROR(1/(1/SUM(SUMIFS(AGYW!$T:$T,AGYW!$B:$B,$B179,AGYW!$C:$C,IF($C179="15-24",{"15-19","20-24"},{"25-29"}),AGYW!$D:$D,$D179))),""),"")</f>
        <v/>
      </c>
      <c r="J179" s="14"/>
      <c r="K179" s="14"/>
      <c r="L179" s="42" t="str">
        <f t="shared" si="9"/>
        <v/>
      </c>
      <c r="M179" s="14"/>
      <c r="N179" s="14"/>
      <c r="O179" s="42" t="str">
        <f t="shared" si="10"/>
        <v/>
      </c>
      <c r="P179" s="14">
        <f>2</f>
        <v>2</v>
      </c>
      <c r="Q179" s="42" t="str">
        <f t="shared" si="11"/>
        <v/>
      </c>
    </row>
    <row r="180" spans="1:17" x14ac:dyDescent="0.2">
      <c r="A180" t="str">
        <f>INDEX(Prioritization!$D:$D,MATCH($B180,Prioritization!$A:$A,0))</f>
        <v>1 - Scale-up: Saturation</v>
      </c>
      <c r="B180" t="s">
        <v>213</v>
      </c>
      <c r="C180" t="s">
        <v>366</v>
      </c>
      <c r="D180" t="s">
        <v>47</v>
      </c>
      <c r="E180" t="str">
        <f t="shared" si="8"/>
        <v>Machinga District [TYnMSwzko3z]|35-49|Male</v>
      </c>
      <c r="F180" s="14" t="str">
        <f>IF(LEFT($B180,4)="_Mil","",INDEX(Cascade!$U:$U,MATCH($E180,Cascade!$E:$E,0)))</f>
        <v/>
      </c>
      <c r="G180" s="14" t="str">
        <f>IFERROR(1/(1/INDEX(HTS!$AT:$AT,MATCH($E180,HTS!$E:$E,0))),"")</f>
        <v/>
      </c>
      <c r="H180" s="14" t="str">
        <f>IF(OR($C180="15-24",$C180="25-34"),IFERROR(1/(1/SUM(SUMIFS(AGYW!$S:$S,AGYW!$B:$B,$B180,AGYW!$C:$C,IF($C180="15-24",{"15-19","20-24"},{"25-29"}),AGYW!$D:$D,$D180))),""),"")</f>
        <v/>
      </c>
      <c r="I180" s="14" t="str">
        <f>IF(OR($C180="15-24",$C180="25-34"),IFERROR(1/(1/SUM(SUMIFS(AGYW!$T:$T,AGYW!$B:$B,$B180,AGYW!$C:$C,IF($C180="15-24",{"15-19","20-24"},{"25-29"}),AGYW!$D:$D,$D180))),""),"")</f>
        <v/>
      </c>
      <c r="J180" s="14"/>
      <c r="K180" s="14"/>
      <c r="L180" s="42" t="str">
        <f t="shared" si="9"/>
        <v/>
      </c>
      <c r="M180" s="14"/>
      <c r="N180" s="14"/>
      <c r="O180" s="42" t="str">
        <f t="shared" si="10"/>
        <v/>
      </c>
      <c r="P180" s="14">
        <f>2</f>
        <v>2</v>
      </c>
      <c r="Q180" s="42" t="str">
        <f t="shared" si="11"/>
        <v/>
      </c>
    </row>
    <row r="181" spans="1:17" x14ac:dyDescent="0.2">
      <c r="A181" t="str">
        <f>INDEX(Prioritization!$D:$D,MATCH($B181,Prioritization!$A:$A,0))</f>
        <v>1 - Scale-up: Saturation</v>
      </c>
      <c r="B181" t="s">
        <v>213</v>
      </c>
      <c r="C181" t="s">
        <v>367</v>
      </c>
      <c r="D181" t="s">
        <v>29</v>
      </c>
      <c r="E181" t="str">
        <f t="shared" si="8"/>
        <v>Machinga District [TYnMSwzko3z]|50+|Female</v>
      </c>
      <c r="F181" s="14" t="str">
        <f>IF(LEFT($B181,4)="_Mil","",INDEX(Cascade!$U:$U,MATCH($E181,Cascade!$E:$E,0)))</f>
        <v/>
      </c>
      <c r="G181" s="14" t="str">
        <f>IFERROR(1/(1/INDEX(HTS!$AT:$AT,MATCH($E181,HTS!$E:$E,0))),"")</f>
        <v/>
      </c>
      <c r="H181" s="14" t="str">
        <f>IF(OR($C181="15-24",$C181="25-34"),IFERROR(1/(1/SUM(SUMIFS(AGYW!$S:$S,AGYW!$B:$B,$B181,AGYW!$C:$C,IF($C181="15-24",{"15-19","20-24"},{"25-29"}),AGYW!$D:$D,$D181))),""),"")</f>
        <v/>
      </c>
      <c r="I181" s="14" t="str">
        <f>IF(OR($C181="15-24",$C181="25-34"),IFERROR(1/(1/SUM(SUMIFS(AGYW!$T:$T,AGYW!$B:$B,$B181,AGYW!$C:$C,IF($C181="15-24",{"15-19","20-24"},{"25-29"}),AGYW!$D:$D,$D181))),""),"")</f>
        <v/>
      </c>
      <c r="J181" s="14">
        <v>4</v>
      </c>
      <c r="K181" s="14">
        <v>1</v>
      </c>
      <c r="L181" s="42">
        <f t="shared" si="9"/>
        <v>1</v>
      </c>
      <c r="M181" s="14"/>
      <c r="N181" s="14"/>
      <c r="O181" s="42" t="str">
        <f t="shared" si="10"/>
        <v/>
      </c>
      <c r="P181" s="14">
        <f>2</f>
        <v>2</v>
      </c>
      <c r="Q181" s="42" t="str">
        <f t="shared" si="11"/>
        <v/>
      </c>
    </row>
    <row r="182" spans="1:17" x14ac:dyDescent="0.2">
      <c r="A182" t="str">
        <f>INDEX(Prioritization!$D:$D,MATCH($B182,Prioritization!$A:$A,0))</f>
        <v>1 - Scale-up: Saturation</v>
      </c>
      <c r="B182" t="s">
        <v>213</v>
      </c>
      <c r="C182" t="s">
        <v>367</v>
      </c>
      <c r="D182" t="s">
        <v>47</v>
      </c>
      <c r="E182" t="str">
        <f t="shared" si="8"/>
        <v>Machinga District [TYnMSwzko3z]|50+|Male</v>
      </c>
      <c r="F182" s="14" t="str">
        <f>IF(LEFT($B182,4)="_Mil","",INDEX(Cascade!$U:$U,MATCH($E182,Cascade!$E:$E,0)))</f>
        <v/>
      </c>
      <c r="G182" s="14" t="str">
        <f>IFERROR(1/(1/INDEX(HTS!$AT:$AT,MATCH($E182,HTS!$E:$E,0))),"")</f>
        <v/>
      </c>
      <c r="H182" s="14" t="str">
        <f>IF(OR($C182="15-24",$C182="25-34"),IFERROR(1/(1/SUM(SUMIFS(AGYW!$S:$S,AGYW!$B:$B,$B182,AGYW!$C:$C,IF($C182="15-24",{"15-19","20-24"},{"25-29"}),AGYW!$D:$D,$D182))),""),"")</f>
        <v/>
      </c>
      <c r="I182" s="14" t="str">
        <f>IF(OR($C182="15-24",$C182="25-34"),IFERROR(1/(1/SUM(SUMIFS(AGYW!$T:$T,AGYW!$B:$B,$B182,AGYW!$C:$C,IF($C182="15-24",{"15-19","20-24"},{"25-29"}),AGYW!$D:$D,$D182))),""),"")</f>
        <v/>
      </c>
      <c r="J182" s="14">
        <v>1</v>
      </c>
      <c r="K182" s="14">
        <v>4</v>
      </c>
      <c r="L182" s="42">
        <f t="shared" si="9"/>
        <v>4</v>
      </c>
      <c r="M182" s="14"/>
      <c r="N182" s="14"/>
      <c r="O182" s="42" t="str">
        <f t="shared" si="10"/>
        <v/>
      </c>
      <c r="P182" s="14">
        <f>2</f>
        <v>2</v>
      </c>
      <c r="Q182" s="42" t="str">
        <f t="shared" si="11"/>
        <v/>
      </c>
    </row>
    <row r="183" spans="1:17" x14ac:dyDescent="0.2">
      <c r="A183" t="str">
        <f>INDEX(Prioritization!$D:$D,MATCH($B183,Prioritization!$A:$A,0))</f>
        <v>INVALID</v>
      </c>
      <c r="B183" t="s">
        <v>214</v>
      </c>
      <c r="C183" t="s">
        <v>364</v>
      </c>
      <c r="D183" t="s">
        <v>29</v>
      </c>
      <c r="E183" t="str">
        <f t="shared" si="8"/>
        <v>Mangochi District [lLDyBx5XyUi]|15-24|Female</v>
      </c>
      <c r="F183" s="14" t="str">
        <f>IF(LEFT($B183,4)="_Mil","",INDEX(Cascade!$U:$U,MATCH($E183,Cascade!$E:$E,0)))</f>
        <v/>
      </c>
      <c r="G183" s="14" t="str">
        <f>IFERROR(1/(1/INDEX(HTS!$AT:$AT,MATCH($E183,HTS!$E:$E,0))),"")</f>
        <v/>
      </c>
      <c r="H183" s="14" t="str">
        <f>IF(OR($C183="15-24",$C183="25-34"),IFERROR(1/(1/SUM(SUMIFS(AGYW!$S:$S,AGYW!$B:$B,$B183,AGYW!$C:$C,IF($C183="15-24",{"15-19","20-24"},{"25-29"}),AGYW!$D:$D,$D183))),""),"")</f>
        <v/>
      </c>
      <c r="I183" s="14" t="str">
        <f>IF(OR($C183="15-24",$C183="25-34"),IFERROR(1/(1/SUM(SUMIFS(AGYW!$T:$T,AGYW!$B:$B,$B183,AGYW!$C:$C,IF($C183="15-24",{"15-19","20-24"},{"25-29"}),AGYW!$D:$D,$D183))),""),"")</f>
        <v/>
      </c>
      <c r="J183" s="14"/>
      <c r="K183" s="14"/>
      <c r="L183" s="42" t="str">
        <f t="shared" si="9"/>
        <v/>
      </c>
      <c r="M183" s="14"/>
      <c r="N183" s="14"/>
      <c r="O183" s="42" t="str">
        <f t="shared" si="10"/>
        <v/>
      </c>
      <c r="P183" s="14">
        <f>2</f>
        <v>2</v>
      </c>
      <c r="Q183" s="42" t="str">
        <f t="shared" si="11"/>
        <v/>
      </c>
    </row>
    <row r="184" spans="1:17" x14ac:dyDescent="0.2">
      <c r="A184" t="str">
        <f>INDEX(Prioritization!$D:$D,MATCH($B184,Prioritization!$A:$A,0))</f>
        <v>INVALID</v>
      </c>
      <c r="B184" t="s">
        <v>214</v>
      </c>
      <c r="C184" t="s">
        <v>364</v>
      </c>
      <c r="D184" t="s">
        <v>47</v>
      </c>
      <c r="E184" t="str">
        <f t="shared" si="8"/>
        <v>Mangochi District [lLDyBx5XyUi]|15-24|Male</v>
      </c>
      <c r="F184" s="14" t="str">
        <f>IF(LEFT($B184,4)="_Mil","",INDEX(Cascade!$U:$U,MATCH($E184,Cascade!$E:$E,0)))</f>
        <v/>
      </c>
      <c r="G184" s="14" t="str">
        <f>IFERROR(1/(1/INDEX(HTS!$AT:$AT,MATCH($E184,HTS!$E:$E,0))),"")</f>
        <v/>
      </c>
      <c r="H184" s="14" t="str">
        <f>IF(OR($C184="15-24",$C184="25-34"),IFERROR(1/(1/SUM(SUMIFS(AGYW!$S:$S,AGYW!$B:$B,$B184,AGYW!$C:$C,IF($C184="15-24",{"15-19","20-24"},{"25-29"}),AGYW!$D:$D,$D184))),""),"")</f>
        <v/>
      </c>
      <c r="I184" s="14" t="str">
        <f>IF(OR($C184="15-24",$C184="25-34"),IFERROR(1/(1/SUM(SUMIFS(AGYW!$T:$T,AGYW!$B:$B,$B184,AGYW!$C:$C,IF($C184="15-24",{"15-19","20-24"},{"25-29"}),AGYW!$D:$D,$D184))),""),"")</f>
        <v/>
      </c>
      <c r="J184" s="14"/>
      <c r="K184" s="14"/>
      <c r="L184" s="42" t="str">
        <f t="shared" si="9"/>
        <v/>
      </c>
      <c r="M184" s="14"/>
      <c r="N184" s="14"/>
      <c r="O184" s="42" t="str">
        <f t="shared" si="10"/>
        <v/>
      </c>
      <c r="P184" s="14">
        <f>2</f>
        <v>2</v>
      </c>
      <c r="Q184" s="42" t="str">
        <f t="shared" si="11"/>
        <v/>
      </c>
    </row>
    <row r="185" spans="1:17" x14ac:dyDescent="0.2">
      <c r="A185" t="str">
        <f>INDEX(Prioritization!$D:$D,MATCH($B185,Prioritization!$A:$A,0))</f>
        <v>INVALID</v>
      </c>
      <c r="B185" t="s">
        <v>214</v>
      </c>
      <c r="C185" t="s">
        <v>365</v>
      </c>
      <c r="D185" t="s">
        <v>29</v>
      </c>
      <c r="E185" t="str">
        <f t="shared" si="8"/>
        <v>Mangochi District [lLDyBx5XyUi]|25-34|Female</v>
      </c>
      <c r="F185" s="14" t="str">
        <f>IF(LEFT($B185,4)="_Mil","",INDEX(Cascade!$U:$U,MATCH($E185,Cascade!$E:$E,0)))</f>
        <v/>
      </c>
      <c r="G185" s="14" t="str">
        <f>IFERROR(1/(1/INDEX(HTS!$AT:$AT,MATCH($E185,HTS!$E:$E,0))),"")</f>
        <v/>
      </c>
      <c r="H185" s="14" t="str">
        <f>IF(OR($C185="15-24",$C185="25-34"),IFERROR(1/(1/SUM(SUMIFS(AGYW!$S:$S,AGYW!$B:$B,$B185,AGYW!$C:$C,IF($C185="15-24",{"15-19","20-24"},{"25-29"}),AGYW!$D:$D,$D185))),""),"")</f>
        <v/>
      </c>
      <c r="I185" s="14" t="str">
        <f>IF(OR($C185="15-24",$C185="25-34"),IFERROR(1/(1/SUM(SUMIFS(AGYW!$T:$T,AGYW!$B:$B,$B185,AGYW!$C:$C,IF($C185="15-24",{"15-19","20-24"},{"25-29"}),AGYW!$D:$D,$D185))),""),"")</f>
        <v/>
      </c>
      <c r="J185" s="14"/>
      <c r="K185" s="14"/>
      <c r="L185" s="42" t="str">
        <f t="shared" si="9"/>
        <v/>
      </c>
      <c r="M185" s="14"/>
      <c r="N185" s="14"/>
      <c r="O185" s="42" t="str">
        <f t="shared" si="10"/>
        <v/>
      </c>
      <c r="P185" s="14">
        <f>2</f>
        <v>2</v>
      </c>
      <c r="Q185" s="42" t="str">
        <f t="shared" si="11"/>
        <v/>
      </c>
    </row>
    <row r="186" spans="1:17" x14ac:dyDescent="0.2">
      <c r="A186" t="str">
        <f>INDEX(Prioritization!$D:$D,MATCH($B186,Prioritization!$A:$A,0))</f>
        <v>INVALID</v>
      </c>
      <c r="B186" t="s">
        <v>214</v>
      </c>
      <c r="C186" t="s">
        <v>365</v>
      </c>
      <c r="D186" t="s">
        <v>47</v>
      </c>
      <c r="E186" t="str">
        <f t="shared" si="8"/>
        <v>Mangochi District [lLDyBx5XyUi]|25-34|Male</v>
      </c>
      <c r="F186" s="14" t="str">
        <f>IF(LEFT($B186,4)="_Mil","",INDEX(Cascade!$U:$U,MATCH($E186,Cascade!$E:$E,0)))</f>
        <v/>
      </c>
      <c r="G186" s="14" t="str">
        <f>IFERROR(1/(1/INDEX(HTS!$AT:$AT,MATCH($E186,HTS!$E:$E,0))),"")</f>
        <v/>
      </c>
      <c r="H186" s="14" t="str">
        <f>IF(OR($C186="15-24",$C186="25-34"),IFERROR(1/(1/SUM(SUMIFS(AGYW!$S:$S,AGYW!$B:$B,$B186,AGYW!$C:$C,IF($C186="15-24",{"15-19","20-24"},{"25-29"}),AGYW!$D:$D,$D186))),""),"")</f>
        <v/>
      </c>
      <c r="I186" s="14" t="str">
        <f>IF(OR($C186="15-24",$C186="25-34"),IFERROR(1/(1/SUM(SUMIFS(AGYW!$T:$T,AGYW!$B:$B,$B186,AGYW!$C:$C,IF($C186="15-24",{"15-19","20-24"},{"25-29"}),AGYW!$D:$D,$D186))),""),"")</f>
        <v/>
      </c>
      <c r="J186" s="14"/>
      <c r="K186" s="14"/>
      <c r="L186" s="42" t="str">
        <f t="shared" si="9"/>
        <v/>
      </c>
      <c r="M186" s="14"/>
      <c r="N186" s="14"/>
      <c r="O186" s="42" t="str">
        <f t="shared" si="10"/>
        <v/>
      </c>
      <c r="P186" s="14">
        <f>2</f>
        <v>2</v>
      </c>
      <c r="Q186" s="42" t="str">
        <f t="shared" si="11"/>
        <v/>
      </c>
    </row>
    <row r="187" spans="1:17" x14ac:dyDescent="0.2">
      <c r="A187" t="str">
        <f>INDEX(Prioritization!$D:$D,MATCH($B187,Prioritization!$A:$A,0))</f>
        <v>INVALID</v>
      </c>
      <c r="B187" t="s">
        <v>214</v>
      </c>
      <c r="C187" t="s">
        <v>366</v>
      </c>
      <c r="D187" t="s">
        <v>29</v>
      </c>
      <c r="E187" t="str">
        <f t="shared" si="8"/>
        <v>Mangochi District [lLDyBx5XyUi]|35-49|Female</v>
      </c>
      <c r="F187" s="14" t="str">
        <f>IF(LEFT($B187,4)="_Mil","",INDEX(Cascade!$U:$U,MATCH($E187,Cascade!$E:$E,0)))</f>
        <v/>
      </c>
      <c r="G187" s="14" t="str">
        <f>IFERROR(1/(1/INDEX(HTS!$AT:$AT,MATCH($E187,HTS!$E:$E,0))),"")</f>
        <v/>
      </c>
      <c r="H187" s="14" t="str">
        <f>IF(OR($C187="15-24",$C187="25-34"),IFERROR(1/(1/SUM(SUMIFS(AGYW!$S:$S,AGYW!$B:$B,$B187,AGYW!$C:$C,IF($C187="15-24",{"15-19","20-24"},{"25-29"}),AGYW!$D:$D,$D187))),""),"")</f>
        <v/>
      </c>
      <c r="I187" s="14" t="str">
        <f>IF(OR($C187="15-24",$C187="25-34"),IFERROR(1/(1/SUM(SUMIFS(AGYW!$T:$T,AGYW!$B:$B,$B187,AGYW!$C:$C,IF($C187="15-24",{"15-19","20-24"},{"25-29"}),AGYW!$D:$D,$D187))),""),"")</f>
        <v/>
      </c>
      <c r="J187" s="14"/>
      <c r="K187" s="14"/>
      <c r="L187" s="42" t="str">
        <f t="shared" si="9"/>
        <v/>
      </c>
      <c r="M187" s="14"/>
      <c r="N187" s="14"/>
      <c r="O187" s="42" t="str">
        <f t="shared" si="10"/>
        <v/>
      </c>
      <c r="P187" s="14">
        <f>2</f>
        <v>2</v>
      </c>
      <c r="Q187" s="42" t="str">
        <f t="shared" si="11"/>
        <v/>
      </c>
    </row>
    <row r="188" spans="1:17" x14ac:dyDescent="0.2">
      <c r="A188" t="str">
        <f>INDEX(Prioritization!$D:$D,MATCH($B188,Prioritization!$A:$A,0))</f>
        <v>INVALID</v>
      </c>
      <c r="B188" t="s">
        <v>214</v>
      </c>
      <c r="C188" t="s">
        <v>366</v>
      </c>
      <c r="D188" t="s">
        <v>47</v>
      </c>
      <c r="E188" t="str">
        <f t="shared" si="8"/>
        <v>Mangochi District [lLDyBx5XyUi]|35-49|Male</v>
      </c>
      <c r="F188" s="14" t="str">
        <f>IF(LEFT($B188,4)="_Mil","",INDEX(Cascade!$U:$U,MATCH($E188,Cascade!$E:$E,0)))</f>
        <v/>
      </c>
      <c r="G188" s="14" t="str">
        <f>IFERROR(1/(1/INDEX(HTS!$AT:$AT,MATCH($E188,HTS!$E:$E,0))),"")</f>
        <v/>
      </c>
      <c r="H188" s="14" t="str">
        <f>IF(OR($C188="15-24",$C188="25-34"),IFERROR(1/(1/SUM(SUMIFS(AGYW!$S:$S,AGYW!$B:$B,$B188,AGYW!$C:$C,IF($C188="15-24",{"15-19","20-24"},{"25-29"}),AGYW!$D:$D,$D188))),""),"")</f>
        <v/>
      </c>
      <c r="I188" s="14" t="str">
        <f>IF(OR($C188="15-24",$C188="25-34"),IFERROR(1/(1/SUM(SUMIFS(AGYW!$T:$T,AGYW!$B:$B,$B188,AGYW!$C:$C,IF($C188="15-24",{"15-19","20-24"},{"25-29"}),AGYW!$D:$D,$D188))),""),"")</f>
        <v/>
      </c>
      <c r="J188" s="14"/>
      <c r="K188" s="14"/>
      <c r="L188" s="42" t="str">
        <f t="shared" si="9"/>
        <v/>
      </c>
      <c r="M188" s="14"/>
      <c r="N188" s="14"/>
      <c r="O188" s="42" t="str">
        <f t="shared" si="10"/>
        <v/>
      </c>
      <c r="P188" s="14">
        <f>2</f>
        <v>2</v>
      </c>
      <c r="Q188" s="42" t="str">
        <f t="shared" si="11"/>
        <v/>
      </c>
    </row>
    <row r="189" spans="1:17" x14ac:dyDescent="0.2">
      <c r="A189" t="str">
        <f>INDEX(Prioritization!$D:$D,MATCH($B189,Prioritization!$A:$A,0))</f>
        <v>INVALID</v>
      </c>
      <c r="B189" t="s">
        <v>214</v>
      </c>
      <c r="C189" t="s">
        <v>367</v>
      </c>
      <c r="D189" t="s">
        <v>29</v>
      </c>
      <c r="E189" t="str">
        <f t="shared" si="8"/>
        <v>Mangochi District [lLDyBx5XyUi]|50+|Female</v>
      </c>
      <c r="F189" s="14" t="str">
        <f>IF(LEFT($B189,4)="_Mil","",INDEX(Cascade!$U:$U,MATCH($E189,Cascade!$E:$E,0)))</f>
        <v/>
      </c>
      <c r="G189" s="14" t="str">
        <f>IFERROR(1/(1/INDEX(HTS!$AT:$AT,MATCH($E189,HTS!$E:$E,0))),"")</f>
        <v/>
      </c>
      <c r="H189" s="14" t="str">
        <f>IF(OR($C189="15-24",$C189="25-34"),IFERROR(1/(1/SUM(SUMIFS(AGYW!$S:$S,AGYW!$B:$B,$B189,AGYW!$C:$C,IF($C189="15-24",{"15-19","20-24"},{"25-29"}),AGYW!$D:$D,$D189))),""),"")</f>
        <v/>
      </c>
      <c r="I189" s="14" t="str">
        <f>IF(OR($C189="15-24",$C189="25-34"),IFERROR(1/(1/SUM(SUMIFS(AGYW!$T:$T,AGYW!$B:$B,$B189,AGYW!$C:$C,IF($C189="15-24",{"15-19","20-24"},{"25-29"}),AGYW!$D:$D,$D189))),""),"")</f>
        <v/>
      </c>
      <c r="J189" s="14">
        <v>1</v>
      </c>
      <c r="K189" s="14">
        <v>4</v>
      </c>
      <c r="L189" s="42">
        <f t="shared" si="9"/>
        <v>4</v>
      </c>
      <c r="M189" s="14"/>
      <c r="N189" s="14"/>
      <c r="O189" s="42" t="str">
        <f t="shared" si="10"/>
        <v/>
      </c>
      <c r="P189" s="14">
        <f>2</f>
        <v>2</v>
      </c>
      <c r="Q189" s="42" t="str">
        <f t="shared" si="11"/>
        <v/>
      </c>
    </row>
    <row r="190" spans="1:17" x14ac:dyDescent="0.2">
      <c r="A190" t="str">
        <f>INDEX(Prioritization!$D:$D,MATCH($B190,Prioritization!$A:$A,0))</f>
        <v>INVALID</v>
      </c>
      <c r="B190" t="s">
        <v>214</v>
      </c>
      <c r="C190" t="s">
        <v>367</v>
      </c>
      <c r="D190" t="s">
        <v>47</v>
      </c>
      <c r="E190" t="str">
        <f t="shared" si="8"/>
        <v>Mangochi District [lLDyBx5XyUi]|50+|Male</v>
      </c>
      <c r="F190" s="14" t="str">
        <f>IF(LEFT($B190,4)="_Mil","",INDEX(Cascade!$U:$U,MATCH($E190,Cascade!$E:$E,0)))</f>
        <v/>
      </c>
      <c r="G190" s="14" t="str">
        <f>IFERROR(1/(1/INDEX(HTS!$AT:$AT,MATCH($E190,HTS!$E:$E,0))),"")</f>
        <v/>
      </c>
      <c r="H190" s="14" t="str">
        <f>IF(OR($C190="15-24",$C190="25-34"),IFERROR(1/(1/SUM(SUMIFS(AGYW!$S:$S,AGYW!$B:$B,$B190,AGYW!$C:$C,IF($C190="15-24",{"15-19","20-24"},{"25-29"}),AGYW!$D:$D,$D190))),""),"")</f>
        <v/>
      </c>
      <c r="I190" s="14" t="str">
        <f>IF(OR($C190="15-24",$C190="25-34"),IFERROR(1/(1/SUM(SUMIFS(AGYW!$T:$T,AGYW!$B:$B,$B190,AGYW!$C:$C,IF($C190="15-24",{"15-19","20-24"},{"25-29"}),AGYW!$D:$D,$D190))),""),"")</f>
        <v/>
      </c>
      <c r="J190" s="14">
        <v>0</v>
      </c>
      <c r="K190" s="14">
        <v>4</v>
      </c>
      <c r="L190" s="42">
        <f t="shared" si="9"/>
        <v>4</v>
      </c>
      <c r="M190" s="14"/>
      <c r="N190" s="14"/>
      <c r="O190" s="42" t="str">
        <f t="shared" si="10"/>
        <v/>
      </c>
      <c r="P190" s="14">
        <f>2</f>
        <v>2</v>
      </c>
      <c r="Q190" s="42" t="str">
        <f t="shared" si="11"/>
        <v/>
      </c>
    </row>
    <row r="191" spans="1:17" x14ac:dyDescent="0.2">
      <c r="A191" t="str">
        <f>INDEX(Prioritization!$D:$D,MATCH($B191,Prioritization!$A:$A,0))</f>
        <v>INVALID</v>
      </c>
      <c r="B191" t="s">
        <v>215</v>
      </c>
      <c r="C191" t="s">
        <v>364</v>
      </c>
      <c r="D191" t="s">
        <v>29</v>
      </c>
      <c r="E191" t="str">
        <f t="shared" si="8"/>
        <v>Mulanje District [umc2n1Z4wNv]|15-24|Female</v>
      </c>
      <c r="F191" s="14" t="str">
        <f>IF(LEFT($B191,4)="_Mil","",INDEX(Cascade!$U:$U,MATCH($E191,Cascade!$E:$E,0)))</f>
        <v/>
      </c>
      <c r="G191" s="14" t="str">
        <f>IFERROR(1/(1/INDEX(HTS!$AT:$AT,MATCH($E191,HTS!$E:$E,0))),"")</f>
        <v/>
      </c>
      <c r="H191" s="14" t="str">
        <f>IF(OR($C191="15-24",$C191="25-34"),IFERROR(1/(1/SUM(SUMIFS(AGYW!$S:$S,AGYW!$B:$B,$B191,AGYW!$C:$C,IF($C191="15-24",{"15-19","20-24"},{"25-29"}),AGYW!$D:$D,$D191))),""),"")</f>
        <v/>
      </c>
      <c r="I191" s="14" t="str">
        <f>IF(OR($C191="15-24",$C191="25-34"),IFERROR(1/(1/SUM(SUMIFS(AGYW!$T:$T,AGYW!$B:$B,$B191,AGYW!$C:$C,IF($C191="15-24",{"15-19","20-24"},{"25-29"}),AGYW!$D:$D,$D191))),""),"")</f>
        <v/>
      </c>
      <c r="J191" s="14"/>
      <c r="K191" s="14"/>
      <c r="L191" s="42" t="str">
        <f t="shared" si="9"/>
        <v/>
      </c>
      <c r="M191" s="14"/>
      <c r="N191" s="14"/>
      <c r="O191" s="42" t="str">
        <f t="shared" si="10"/>
        <v/>
      </c>
      <c r="P191" s="14">
        <f>2</f>
        <v>2</v>
      </c>
      <c r="Q191" s="42" t="str">
        <f t="shared" si="11"/>
        <v/>
      </c>
    </row>
    <row r="192" spans="1:17" x14ac:dyDescent="0.2">
      <c r="A192" t="str">
        <f>INDEX(Prioritization!$D:$D,MATCH($B192,Prioritization!$A:$A,0))</f>
        <v>INVALID</v>
      </c>
      <c r="B192" t="s">
        <v>215</v>
      </c>
      <c r="C192" t="s">
        <v>364</v>
      </c>
      <c r="D192" t="s">
        <v>47</v>
      </c>
      <c r="E192" t="str">
        <f t="shared" si="8"/>
        <v>Mulanje District [umc2n1Z4wNv]|15-24|Male</v>
      </c>
      <c r="F192" s="14" t="str">
        <f>IF(LEFT($B192,4)="_Mil","",INDEX(Cascade!$U:$U,MATCH($E192,Cascade!$E:$E,0)))</f>
        <v/>
      </c>
      <c r="G192" s="14" t="str">
        <f>IFERROR(1/(1/INDEX(HTS!$AT:$AT,MATCH($E192,HTS!$E:$E,0))),"")</f>
        <v/>
      </c>
      <c r="H192" s="14" t="str">
        <f>IF(OR($C192="15-24",$C192="25-34"),IFERROR(1/(1/SUM(SUMIFS(AGYW!$S:$S,AGYW!$B:$B,$B192,AGYW!$C:$C,IF($C192="15-24",{"15-19","20-24"},{"25-29"}),AGYW!$D:$D,$D192))),""),"")</f>
        <v/>
      </c>
      <c r="I192" s="14" t="str">
        <f>IF(OR($C192="15-24",$C192="25-34"),IFERROR(1/(1/SUM(SUMIFS(AGYW!$T:$T,AGYW!$B:$B,$B192,AGYW!$C:$C,IF($C192="15-24",{"15-19","20-24"},{"25-29"}),AGYW!$D:$D,$D192))),""),"")</f>
        <v/>
      </c>
      <c r="J192" s="14"/>
      <c r="K192" s="14"/>
      <c r="L192" s="42" t="str">
        <f t="shared" si="9"/>
        <v/>
      </c>
      <c r="M192" s="14"/>
      <c r="N192" s="14"/>
      <c r="O192" s="42" t="str">
        <f t="shared" si="10"/>
        <v/>
      </c>
      <c r="P192" s="14">
        <f>2</f>
        <v>2</v>
      </c>
      <c r="Q192" s="42" t="str">
        <f t="shared" si="11"/>
        <v/>
      </c>
    </row>
    <row r="193" spans="1:17" x14ac:dyDescent="0.2">
      <c r="A193" t="str">
        <f>INDEX(Prioritization!$D:$D,MATCH($B193,Prioritization!$A:$A,0))</f>
        <v>INVALID</v>
      </c>
      <c r="B193" t="s">
        <v>215</v>
      </c>
      <c r="C193" t="s">
        <v>365</v>
      </c>
      <c r="D193" t="s">
        <v>29</v>
      </c>
      <c r="E193" t="str">
        <f t="shared" si="8"/>
        <v>Mulanje District [umc2n1Z4wNv]|25-34|Female</v>
      </c>
      <c r="F193" s="14" t="str">
        <f>IF(LEFT($B193,4)="_Mil","",INDEX(Cascade!$U:$U,MATCH($E193,Cascade!$E:$E,0)))</f>
        <v/>
      </c>
      <c r="G193" s="14" t="str">
        <f>IFERROR(1/(1/INDEX(HTS!$AT:$AT,MATCH($E193,HTS!$E:$E,0))),"")</f>
        <v/>
      </c>
      <c r="H193" s="14" t="str">
        <f>IF(OR($C193="15-24",$C193="25-34"),IFERROR(1/(1/SUM(SUMIFS(AGYW!$S:$S,AGYW!$B:$B,$B193,AGYW!$C:$C,IF($C193="15-24",{"15-19","20-24"},{"25-29"}),AGYW!$D:$D,$D193))),""),"")</f>
        <v/>
      </c>
      <c r="I193" s="14" t="str">
        <f>IF(OR($C193="15-24",$C193="25-34"),IFERROR(1/(1/SUM(SUMIFS(AGYW!$T:$T,AGYW!$B:$B,$B193,AGYW!$C:$C,IF($C193="15-24",{"15-19","20-24"},{"25-29"}),AGYW!$D:$D,$D193))),""),"")</f>
        <v/>
      </c>
      <c r="J193" s="14"/>
      <c r="K193" s="14"/>
      <c r="L193" s="42" t="str">
        <f t="shared" si="9"/>
        <v/>
      </c>
      <c r="M193" s="14"/>
      <c r="N193" s="14"/>
      <c r="O193" s="42" t="str">
        <f t="shared" si="10"/>
        <v/>
      </c>
      <c r="P193" s="14">
        <f>2</f>
        <v>2</v>
      </c>
      <c r="Q193" s="42" t="str">
        <f t="shared" si="11"/>
        <v/>
      </c>
    </row>
    <row r="194" spans="1:17" x14ac:dyDescent="0.2">
      <c r="A194" t="str">
        <f>INDEX(Prioritization!$D:$D,MATCH($B194,Prioritization!$A:$A,0))</f>
        <v>INVALID</v>
      </c>
      <c r="B194" t="s">
        <v>215</v>
      </c>
      <c r="C194" t="s">
        <v>365</v>
      </c>
      <c r="D194" t="s">
        <v>47</v>
      </c>
      <c r="E194" t="str">
        <f t="shared" si="8"/>
        <v>Mulanje District [umc2n1Z4wNv]|25-34|Male</v>
      </c>
      <c r="F194" s="14" t="str">
        <f>IF(LEFT($B194,4)="_Mil","",INDEX(Cascade!$U:$U,MATCH($E194,Cascade!$E:$E,0)))</f>
        <v/>
      </c>
      <c r="G194" s="14" t="str">
        <f>IFERROR(1/(1/INDEX(HTS!$AT:$AT,MATCH($E194,HTS!$E:$E,0))),"")</f>
        <v/>
      </c>
      <c r="H194" s="14" t="str">
        <f>IF(OR($C194="15-24",$C194="25-34"),IFERROR(1/(1/SUM(SUMIFS(AGYW!$S:$S,AGYW!$B:$B,$B194,AGYW!$C:$C,IF($C194="15-24",{"15-19","20-24"},{"25-29"}),AGYW!$D:$D,$D194))),""),"")</f>
        <v/>
      </c>
      <c r="I194" s="14" t="str">
        <f>IF(OR($C194="15-24",$C194="25-34"),IFERROR(1/(1/SUM(SUMIFS(AGYW!$T:$T,AGYW!$B:$B,$B194,AGYW!$C:$C,IF($C194="15-24",{"15-19","20-24"},{"25-29"}),AGYW!$D:$D,$D194))),""),"")</f>
        <v/>
      </c>
      <c r="J194" s="14"/>
      <c r="K194" s="14"/>
      <c r="L194" s="42" t="str">
        <f t="shared" si="9"/>
        <v/>
      </c>
      <c r="M194" s="14"/>
      <c r="N194" s="14"/>
      <c r="O194" s="42" t="str">
        <f t="shared" si="10"/>
        <v/>
      </c>
      <c r="P194" s="14">
        <f>2</f>
        <v>2</v>
      </c>
      <c r="Q194" s="42" t="str">
        <f t="shared" si="11"/>
        <v/>
      </c>
    </row>
    <row r="195" spans="1:17" x14ac:dyDescent="0.2">
      <c r="A195" t="str">
        <f>INDEX(Prioritization!$D:$D,MATCH($B195,Prioritization!$A:$A,0))</f>
        <v>INVALID</v>
      </c>
      <c r="B195" t="s">
        <v>215</v>
      </c>
      <c r="C195" t="s">
        <v>366</v>
      </c>
      <c r="D195" t="s">
        <v>29</v>
      </c>
      <c r="E195" t="str">
        <f t="shared" si="8"/>
        <v>Mulanje District [umc2n1Z4wNv]|35-49|Female</v>
      </c>
      <c r="F195" s="14" t="str">
        <f>IF(LEFT($B195,4)="_Mil","",INDEX(Cascade!$U:$U,MATCH($E195,Cascade!$E:$E,0)))</f>
        <v/>
      </c>
      <c r="G195" s="14" t="str">
        <f>IFERROR(1/(1/INDEX(HTS!$AT:$AT,MATCH($E195,HTS!$E:$E,0))),"")</f>
        <v/>
      </c>
      <c r="H195" s="14" t="str">
        <f>IF(OR($C195="15-24",$C195="25-34"),IFERROR(1/(1/SUM(SUMIFS(AGYW!$S:$S,AGYW!$B:$B,$B195,AGYW!$C:$C,IF($C195="15-24",{"15-19","20-24"},{"25-29"}),AGYW!$D:$D,$D195))),""),"")</f>
        <v/>
      </c>
      <c r="I195" s="14" t="str">
        <f>IF(OR($C195="15-24",$C195="25-34"),IFERROR(1/(1/SUM(SUMIFS(AGYW!$T:$T,AGYW!$B:$B,$B195,AGYW!$C:$C,IF($C195="15-24",{"15-19","20-24"},{"25-29"}),AGYW!$D:$D,$D195))),""),"")</f>
        <v/>
      </c>
      <c r="J195" s="14"/>
      <c r="K195" s="14"/>
      <c r="L195" s="42" t="str">
        <f t="shared" si="9"/>
        <v/>
      </c>
      <c r="M195" s="14"/>
      <c r="N195" s="14"/>
      <c r="O195" s="42" t="str">
        <f t="shared" si="10"/>
        <v/>
      </c>
      <c r="P195" s="14">
        <f>2</f>
        <v>2</v>
      </c>
      <c r="Q195" s="42" t="str">
        <f t="shared" si="11"/>
        <v/>
      </c>
    </row>
    <row r="196" spans="1:17" x14ac:dyDescent="0.2">
      <c r="A196" t="str">
        <f>INDEX(Prioritization!$D:$D,MATCH($B196,Prioritization!$A:$A,0))</f>
        <v>INVALID</v>
      </c>
      <c r="B196" t="s">
        <v>215</v>
      </c>
      <c r="C196" t="s">
        <v>366</v>
      </c>
      <c r="D196" t="s">
        <v>47</v>
      </c>
      <c r="E196" t="str">
        <f t="shared" si="8"/>
        <v>Mulanje District [umc2n1Z4wNv]|35-49|Male</v>
      </c>
      <c r="F196" s="14" t="str">
        <f>IF(LEFT($B196,4)="_Mil","",INDEX(Cascade!$U:$U,MATCH($E196,Cascade!$E:$E,0)))</f>
        <v/>
      </c>
      <c r="G196" s="14" t="str">
        <f>IFERROR(1/(1/INDEX(HTS!$AT:$AT,MATCH($E196,HTS!$E:$E,0))),"")</f>
        <v/>
      </c>
      <c r="H196" s="14" t="str">
        <f>IF(OR($C196="15-24",$C196="25-34"),IFERROR(1/(1/SUM(SUMIFS(AGYW!$S:$S,AGYW!$B:$B,$B196,AGYW!$C:$C,IF($C196="15-24",{"15-19","20-24"},{"25-29"}),AGYW!$D:$D,$D196))),""),"")</f>
        <v/>
      </c>
      <c r="I196" s="14" t="str">
        <f>IF(OR($C196="15-24",$C196="25-34"),IFERROR(1/(1/SUM(SUMIFS(AGYW!$T:$T,AGYW!$B:$B,$B196,AGYW!$C:$C,IF($C196="15-24",{"15-19","20-24"},{"25-29"}),AGYW!$D:$D,$D196))),""),"")</f>
        <v/>
      </c>
      <c r="J196" s="14"/>
      <c r="K196" s="14"/>
      <c r="L196" s="42" t="str">
        <f t="shared" si="9"/>
        <v/>
      </c>
      <c r="M196" s="14"/>
      <c r="N196" s="14"/>
      <c r="O196" s="42" t="str">
        <f t="shared" si="10"/>
        <v/>
      </c>
      <c r="P196" s="14">
        <f>2</f>
        <v>2</v>
      </c>
      <c r="Q196" s="42" t="str">
        <f t="shared" si="11"/>
        <v/>
      </c>
    </row>
    <row r="197" spans="1:17" x14ac:dyDescent="0.2">
      <c r="A197" t="str">
        <f>INDEX(Prioritization!$D:$D,MATCH($B197,Prioritization!$A:$A,0))</f>
        <v>INVALID</v>
      </c>
      <c r="B197" t="s">
        <v>215</v>
      </c>
      <c r="C197" t="s">
        <v>367</v>
      </c>
      <c r="D197" t="s">
        <v>29</v>
      </c>
      <c r="E197" t="str">
        <f t="shared" si="8"/>
        <v>Mulanje District [umc2n1Z4wNv]|50+|Female</v>
      </c>
      <c r="F197" s="14" t="str">
        <f>IF(LEFT($B197,4)="_Mil","",INDEX(Cascade!$U:$U,MATCH($E197,Cascade!$E:$E,0)))</f>
        <v/>
      </c>
      <c r="G197" s="14" t="str">
        <f>IFERROR(1/(1/INDEX(HTS!$AT:$AT,MATCH($E197,HTS!$E:$E,0))),"")</f>
        <v/>
      </c>
      <c r="H197" s="14" t="str">
        <f>IF(OR($C197="15-24",$C197="25-34"),IFERROR(1/(1/SUM(SUMIFS(AGYW!$S:$S,AGYW!$B:$B,$B197,AGYW!$C:$C,IF($C197="15-24",{"15-19","20-24"},{"25-29"}),AGYW!$D:$D,$D197))),""),"")</f>
        <v/>
      </c>
      <c r="I197" s="14" t="str">
        <f>IF(OR($C197="15-24",$C197="25-34"),IFERROR(1/(1/SUM(SUMIFS(AGYW!$T:$T,AGYW!$B:$B,$B197,AGYW!$C:$C,IF($C197="15-24",{"15-19","20-24"},{"25-29"}),AGYW!$D:$D,$D197))),""),"")</f>
        <v/>
      </c>
      <c r="J197" s="14">
        <v>1</v>
      </c>
      <c r="K197" s="14"/>
      <c r="L197" s="42" t="str">
        <f t="shared" si="9"/>
        <v/>
      </c>
      <c r="M197" s="14"/>
      <c r="N197" s="14"/>
      <c r="O197" s="42" t="str">
        <f t="shared" si="10"/>
        <v/>
      </c>
      <c r="P197" s="14">
        <f>2</f>
        <v>2</v>
      </c>
      <c r="Q197" s="42" t="str">
        <f t="shared" si="11"/>
        <v/>
      </c>
    </row>
    <row r="198" spans="1:17" x14ac:dyDescent="0.2">
      <c r="A198" t="str">
        <f>INDEX(Prioritization!$D:$D,MATCH($B198,Prioritization!$A:$A,0))</f>
        <v>INVALID</v>
      </c>
      <c r="B198" t="s">
        <v>215</v>
      </c>
      <c r="C198" t="s">
        <v>367</v>
      </c>
      <c r="D198" t="s">
        <v>47</v>
      </c>
      <c r="E198" t="str">
        <f t="shared" si="8"/>
        <v>Mulanje District [umc2n1Z4wNv]|50+|Male</v>
      </c>
      <c r="F198" s="14" t="str">
        <f>IF(LEFT($B198,4)="_Mil","",INDEX(Cascade!$U:$U,MATCH($E198,Cascade!$E:$E,0)))</f>
        <v/>
      </c>
      <c r="G198" s="14" t="str">
        <f>IFERROR(1/(1/INDEX(HTS!$AT:$AT,MATCH($E198,HTS!$E:$E,0))),"")</f>
        <v/>
      </c>
      <c r="H198" s="14" t="str">
        <f>IF(OR($C198="15-24",$C198="25-34"),IFERROR(1/(1/SUM(SUMIFS(AGYW!$S:$S,AGYW!$B:$B,$B198,AGYW!$C:$C,IF($C198="15-24",{"15-19","20-24"},{"25-29"}),AGYW!$D:$D,$D198))),""),"")</f>
        <v/>
      </c>
      <c r="I198" s="14" t="str">
        <f>IF(OR($C198="15-24",$C198="25-34"),IFERROR(1/(1/SUM(SUMIFS(AGYW!$T:$T,AGYW!$B:$B,$B198,AGYW!$C:$C,IF($C198="15-24",{"15-19","20-24"},{"25-29"}),AGYW!$D:$D,$D198))),""),"")</f>
        <v/>
      </c>
      <c r="J198" s="14"/>
      <c r="K198" s="14"/>
      <c r="L198" s="42" t="str">
        <f t="shared" si="9"/>
        <v/>
      </c>
      <c r="M198" s="14"/>
      <c r="N198" s="14"/>
      <c r="O198" s="42" t="str">
        <f t="shared" si="10"/>
        <v/>
      </c>
      <c r="P198" s="14">
        <f>2</f>
        <v>2</v>
      </c>
      <c r="Q198" s="42" t="str">
        <f t="shared" si="11"/>
        <v/>
      </c>
    </row>
    <row r="199" spans="1:17" x14ac:dyDescent="0.2">
      <c r="A199" t="str">
        <f>INDEX(Prioritization!$D:$D,MATCH($B199,Prioritization!$A:$A,0))</f>
        <v>INVALID</v>
      </c>
      <c r="B199" t="s">
        <v>216</v>
      </c>
      <c r="C199" t="s">
        <v>364</v>
      </c>
      <c r="D199" t="s">
        <v>29</v>
      </c>
      <c r="E199" t="str">
        <f t="shared" si="8"/>
        <v>Mwanza District [wNqJp8oRIcF]|15-24|Female</v>
      </c>
      <c r="F199" s="14" t="str">
        <f>IF(LEFT($B199,4)="_Mil","",INDEX(Cascade!$U:$U,MATCH($E199,Cascade!$E:$E,0)))</f>
        <v/>
      </c>
      <c r="G199" s="14" t="str">
        <f>IFERROR(1/(1/INDEX(HTS!$AT:$AT,MATCH($E199,HTS!$E:$E,0))),"")</f>
        <v/>
      </c>
      <c r="H199" s="14" t="str">
        <f>IF(OR($C199="15-24",$C199="25-34"),IFERROR(1/(1/SUM(SUMIFS(AGYW!$S:$S,AGYW!$B:$B,$B199,AGYW!$C:$C,IF($C199="15-24",{"15-19","20-24"},{"25-29"}),AGYW!$D:$D,$D199))),""),"")</f>
        <v/>
      </c>
      <c r="I199" s="14" t="str">
        <f>IF(OR($C199="15-24",$C199="25-34"),IFERROR(1/(1/SUM(SUMIFS(AGYW!$T:$T,AGYW!$B:$B,$B199,AGYW!$C:$C,IF($C199="15-24",{"15-19","20-24"},{"25-29"}),AGYW!$D:$D,$D199))),""),"")</f>
        <v/>
      </c>
      <c r="J199" s="14"/>
      <c r="K199" s="14"/>
      <c r="L199" s="42" t="str">
        <f t="shared" si="9"/>
        <v/>
      </c>
      <c r="M199" s="14"/>
      <c r="N199" s="14"/>
      <c r="O199" s="42" t="str">
        <f t="shared" si="10"/>
        <v/>
      </c>
      <c r="P199" s="14">
        <f>2</f>
        <v>2</v>
      </c>
      <c r="Q199" s="42" t="str">
        <f t="shared" si="11"/>
        <v/>
      </c>
    </row>
    <row r="200" spans="1:17" x14ac:dyDescent="0.2">
      <c r="A200" t="str">
        <f>INDEX(Prioritization!$D:$D,MATCH($B200,Prioritization!$A:$A,0))</f>
        <v>INVALID</v>
      </c>
      <c r="B200" t="s">
        <v>216</v>
      </c>
      <c r="C200" t="s">
        <v>364</v>
      </c>
      <c r="D200" t="s">
        <v>47</v>
      </c>
      <c r="E200" t="str">
        <f t="shared" si="8"/>
        <v>Mwanza District [wNqJp8oRIcF]|15-24|Male</v>
      </c>
      <c r="F200" s="14" t="str">
        <f>IF(LEFT($B200,4)="_Mil","",INDEX(Cascade!$U:$U,MATCH($E200,Cascade!$E:$E,0)))</f>
        <v/>
      </c>
      <c r="G200" s="14" t="str">
        <f>IFERROR(1/(1/INDEX(HTS!$AT:$AT,MATCH($E200,HTS!$E:$E,0))),"")</f>
        <v/>
      </c>
      <c r="H200" s="14" t="str">
        <f>IF(OR($C200="15-24",$C200="25-34"),IFERROR(1/(1/SUM(SUMIFS(AGYW!$S:$S,AGYW!$B:$B,$B200,AGYW!$C:$C,IF($C200="15-24",{"15-19","20-24"},{"25-29"}),AGYW!$D:$D,$D200))),""),"")</f>
        <v/>
      </c>
      <c r="I200" s="14" t="str">
        <f>IF(OR($C200="15-24",$C200="25-34"),IFERROR(1/(1/SUM(SUMIFS(AGYW!$T:$T,AGYW!$B:$B,$B200,AGYW!$C:$C,IF($C200="15-24",{"15-19","20-24"},{"25-29"}),AGYW!$D:$D,$D200))),""),"")</f>
        <v/>
      </c>
      <c r="J200" s="14"/>
      <c r="K200" s="14"/>
      <c r="L200" s="42" t="str">
        <f t="shared" si="9"/>
        <v/>
      </c>
      <c r="M200" s="14"/>
      <c r="N200" s="14"/>
      <c r="O200" s="42" t="str">
        <f t="shared" si="10"/>
        <v/>
      </c>
      <c r="P200" s="14">
        <f>2</f>
        <v>2</v>
      </c>
      <c r="Q200" s="42" t="str">
        <f t="shared" si="11"/>
        <v/>
      </c>
    </row>
    <row r="201" spans="1:17" x14ac:dyDescent="0.2">
      <c r="A201" t="str">
        <f>INDEX(Prioritization!$D:$D,MATCH($B201,Prioritization!$A:$A,0))</f>
        <v>INVALID</v>
      </c>
      <c r="B201" t="s">
        <v>216</v>
      </c>
      <c r="C201" t="s">
        <v>365</v>
      </c>
      <c r="D201" t="s">
        <v>29</v>
      </c>
      <c r="E201" t="str">
        <f t="shared" si="8"/>
        <v>Mwanza District [wNqJp8oRIcF]|25-34|Female</v>
      </c>
      <c r="F201" s="14" t="str">
        <f>IF(LEFT($B201,4)="_Mil","",INDEX(Cascade!$U:$U,MATCH($E201,Cascade!$E:$E,0)))</f>
        <v/>
      </c>
      <c r="G201" s="14" t="str">
        <f>IFERROR(1/(1/INDEX(HTS!$AT:$AT,MATCH($E201,HTS!$E:$E,0))),"")</f>
        <v/>
      </c>
      <c r="H201" s="14" t="str">
        <f>IF(OR($C201="15-24",$C201="25-34"),IFERROR(1/(1/SUM(SUMIFS(AGYW!$S:$S,AGYW!$B:$B,$B201,AGYW!$C:$C,IF($C201="15-24",{"15-19","20-24"},{"25-29"}),AGYW!$D:$D,$D201))),""),"")</f>
        <v/>
      </c>
      <c r="I201" s="14" t="str">
        <f>IF(OR($C201="15-24",$C201="25-34"),IFERROR(1/(1/SUM(SUMIFS(AGYW!$T:$T,AGYW!$B:$B,$B201,AGYW!$C:$C,IF($C201="15-24",{"15-19","20-24"},{"25-29"}),AGYW!$D:$D,$D201))),""),"")</f>
        <v/>
      </c>
      <c r="J201" s="14"/>
      <c r="K201" s="14"/>
      <c r="L201" s="42" t="str">
        <f t="shared" si="9"/>
        <v/>
      </c>
      <c r="M201" s="14"/>
      <c r="N201" s="14"/>
      <c r="O201" s="42" t="str">
        <f t="shared" si="10"/>
        <v/>
      </c>
      <c r="P201" s="14">
        <f>2</f>
        <v>2</v>
      </c>
      <c r="Q201" s="42" t="str">
        <f t="shared" si="11"/>
        <v/>
      </c>
    </row>
    <row r="202" spans="1:17" x14ac:dyDescent="0.2">
      <c r="A202" t="str">
        <f>INDEX(Prioritization!$D:$D,MATCH($B202,Prioritization!$A:$A,0))</f>
        <v>INVALID</v>
      </c>
      <c r="B202" t="s">
        <v>216</v>
      </c>
      <c r="C202" t="s">
        <v>365</v>
      </c>
      <c r="D202" t="s">
        <v>47</v>
      </c>
      <c r="E202" t="str">
        <f t="shared" si="8"/>
        <v>Mwanza District [wNqJp8oRIcF]|25-34|Male</v>
      </c>
      <c r="F202" s="14" t="str">
        <f>IF(LEFT($B202,4)="_Mil","",INDEX(Cascade!$U:$U,MATCH($E202,Cascade!$E:$E,0)))</f>
        <v/>
      </c>
      <c r="G202" s="14" t="str">
        <f>IFERROR(1/(1/INDEX(HTS!$AT:$AT,MATCH($E202,HTS!$E:$E,0))),"")</f>
        <v/>
      </c>
      <c r="H202" s="14" t="str">
        <f>IF(OR($C202="15-24",$C202="25-34"),IFERROR(1/(1/SUM(SUMIFS(AGYW!$S:$S,AGYW!$B:$B,$B202,AGYW!$C:$C,IF($C202="15-24",{"15-19","20-24"},{"25-29"}),AGYW!$D:$D,$D202))),""),"")</f>
        <v/>
      </c>
      <c r="I202" s="14" t="str">
        <f>IF(OR($C202="15-24",$C202="25-34"),IFERROR(1/(1/SUM(SUMIFS(AGYW!$T:$T,AGYW!$B:$B,$B202,AGYW!$C:$C,IF($C202="15-24",{"15-19","20-24"},{"25-29"}),AGYW!$D:$D,$D202))),""),"")</f>
        <v/>
      </c>
      <c r="J202" s="14"/>
      <c r="K202" s="14"/>
      <c r="L202" s="42" t="str">
        <f t="shared" si="9"/>
        <v/>
      </c>
      <c r="M202" s="14"/>
      <c r="N202" s="14"/>
      <c r="O202" s="42" t="str">
        <f t="shared" si="10"/>
        <v/>
      </c>
      <c r="P202" s="14">
        <f>2</f>
        <v>2</v>
      </c>
      <c r="Q202" s="42" t="str">
        <f t="shared" si="11"/>
        <v/>
      </c>
    </row>
    <row r="203" spans="1:17" x14ac:dyDescent="0.2">
      <c r="A203" t="str">
        <f>INDEX(Prioritization!$D:$D,MATCH($B203,Prioritization!$A:$A,0))</f>
        <v>INVALID</v>
      </c>
      <c r="B203" t="s">
        <v>216</v>
      </c>
      <c r="C203" t="s">
        <v>366</v>
      </c>
      <c r="D203" t="s">
        <v>29</v>
      </c>
      <c r="E203" t="str">
        <f t="shared" si="8"/>
        <v>Mwanza District [wNqJp8oRIcF]|35-49|Female</v>
      </c>
      <c r="F203" s="14" t="str">
        <f>IF(LEFT($B203,4)="_Mil","",INDEX(Cascade!$U:$U,MATCH($E203,Cascade!$E:$E,0)))</f>
        <v/>
      </c>
      <c r="G203" s="14" t="str">
        <f>IFERROR(1/(1/INDEX(HTS!$AT:$AT,MATCH($E203,HTS!$E:$E,0))),"")</f>
        <v/>
      </c>
      <c r="H203" s="14" t="str">
        <f>IF(OR($C203="15-24",$C203="25-34"),IFERROR(1/(1/SUM(SUMIFS(AGYW!$S:$S,AGYW!$B:$B,$B203,AGYW!$C:$C,IF($C203="15-24",{"15-19","20-24"},{"25-29"}),AGYW!$D:$D,$D203))),""),"")</f>
        <v/>
      </c>
      <c r="I203" s="14" t="str">
        <f>IF(OR($C203="15-24",$C203="25-34"),IFERROR(1/(1/SUM(SUMIFS(AGYW!$T:$T,AGYW!$B:$B,$B203,AGYW!$C:$C,IF($C203="15-24",{"15-19","20-24"},{"25-29"}),AGYW!$D:$D,$D203))),""),"")</f>
        <v/>
      </c>
      <c r="J203" s="14"/>
      <c r="K203" s="14"/>
      <c r="L203" s="42" t="str">
        <f t="shared" si="9"/>
        <v/>
      </c>
      <c r="M203" s="14"/>
      <c r="N203" s="14"/>
      <c r="O203" s="42" t="str">
        <f t="shared" si="10"/>
        <v/>
      </c>
      <c r="P203" s="14">
        <f>2</f>
        <v>2</v>
      </c>
      <c r="Q203" s="42" t="str">
        <f t="shared" si="11"/>
        <v/>
      </c>
    </row>
    <row r="204" spans="1:17" x14ac:dyDescent="0.2">
      <c r="A204" t="str">
        <f>INDEX(Prioritization!$D:$D,MATCH($B204,Prioritization!$A:$A,0))</f>
        <v>INVALID</v>
      </c>
      <c r="B204" t="s">
        <v>216</v>
      </c>
      <c r="C204" t="s">
        <v>366</v>
      </c>
      <c r="D204" t="s">
        <v>47</v>
      </c>
      <c r="E204" t="str">
        <f t="shared" si="8"/>
        <v>Mwanza District [wNqJp8oRIcF]|35-49|Male</v>
      </c>
      <c r="F204" s="14" t="str">
        <f>IF(LEFT($B204,4)="_Mil","",INDEX(Cascade!$U:$U,MATCH($E204,Cascade!$E:$E,0)))</f>
        <v/>
      </c>
      <c r="G204" s="14" t="str">
        <f>IFERROR(1/(1/INDEX(HTS!$AT:$AT,MATCH($E204,HTS!$E:$E,0))),"")</f>
        <v/>
      </c>
      <c r="H204" s="14" t="str">
        <f>IF(OR($C204="15-24",$C204="25-34"),IFERROR(1/(1/SUM(SUMIFS(AGYW!$S:$S,AGYW!$B:$B,$B204,AGYW!$C:$C,IF($C204="15-24",{"15-19","20-24"},{"25-29"}),AGYW!$D:$D,$D204))),""),"")</f>
        <v/>
      </c>
      <c r="I204" s="14" t="str">
        <f>IF(OR($C204="15-24",$C204="25-34"),IFERROR(1/(1/SUM(SUMIFS(AGYW!$T:$T,AGYW!$B:$B,$B204,AGYW!$C:$C,IF($C204="15-24",{"15-19","20-24"},{"25-29"}),AGYW!$D:$D,$D204))),""),"")</f>
        <v/>
      </c>
      <c r="J204" s="14"/>
      <c r="K204" s="14"/>
      <c r="L204" s="42" t="str">
        <f t="shared" si="9"/>
        <v/>
      </c>
      <c r="M204" s="14"/>
      <c r="N204" s="14"/>
      <c r="O204" s="42" t="str">
        <f t="shared" si="10"/>
        <v/>
      </c>
      <c r="P204" s="14">
        <f>2</f>
        <v>2</v>
      </c>
      <c r="Q204" s="42" t="str">
        <f t="shared" si="11"/>
        <v/>
      </c>
    </row>
    <row r="205" spans="1:17" x14ac:dyDescent="0.2">
      <c r="A205" t="str">
        <f>INDEX(Prioritization!$D:$D,MATCH($B205,Prioritization!$A:$A,0))</f>
        <v>INVALID</v>
      </c>
      <c r="B205" t="s">
        <v>216</v>
      </c>
      <c r="C205" t="s">
        <v>367</v>
      </c>
      <c r="D205" t="s">
        <v>29</v>
      </c>
      <c r="E205" t="str">
        <f t="shared" si="8"/>
        <v>Mwanza District [wNqJp8oRIcF]|50+|Female</v>
      </c>
      <c r="F205" s="14" t="str">
        <f>IF(LEFT($B205,4)="_Mil","",INDEX(Cascade!$U:$U,MATCH($E205,Cascade!$E:$E,0)))</f>
        <v/>
      </c>
      <c r="G205" s="14" t="str">
        <f>IFERROR(1/(1/INDEX(HTS!$AT:$AT,MATCH($E205,HTS!$E:$E,0))),"")</f>
        <v/>
      </c>
      <c r="H205" s="14" t="str">
        <f>IF(OR($C205="15-24",$C205="25-34"),IFERROR(1/(1/SUM(SUMIFS(AGYW!$S:$S,AGYW!$B:$B,$B205,AGYW!$C:$C,IF($C205="15-24",{"15-19","20-24"},{"25-29"}),AGYW!$D:$D,$D205))),""),"")</f>
        <v/>
      </c>
      <c r="I205" s="14" t="str">
        <f>IF(OR($C205="15-24",$C205="25-34"),IFERROR(1/(1/SUM(SUMIFS(AGYW!$T:$T,AGYW!$B:$B,$B205,AGYW!$C:$C,IF($C205="15-24",{"15-19","20-24"},{"25-29"}),AGYW!$D:$D,$D205))),""),"")</f>
        <v/>
      </c>
      <c r="J205" s="14">
        <v>1</v>
      </c>
      <c r="K205" s="14">
        <v>1</v>
      </c>
      <c r="L205" s="42">
        <f t="shared" si="9"/>
        <v>1</v>
      </c>
      <c r="M205" s="14"/>
      <c r="N205" s="14"/>
      <c r="O205" s="42" t="str">
        <f t="shared" si="10"/>
        <v/>
      </c>
      <c r="P205" s="14">
        <f>2</f>
        <v>2</v>
      </c>
      <c r="Q205" s="42" t="str">
        <f t="shared" si="11"/>
        <v/>
      </c>
    </row>
    <row r="206" spans="1:17" x14ac:dyDescent="0.2">
      <c r="A206" t="str">
        <f>INDEX(Prioritization!$D:$D,MATCH($B206,Prioritization!$A:$A,0))</f>
        <v>INVALID</v>
      </c>
      <c r="B206" t="s">
        <v>216</v>
      </c>
      <c r="C206" t="s">
        <v>367</v>
      </c>
      <c r="D206" t="s">
        <v>47</v>
      </c>
      <c r="E206" t="str">
        <f t="shared" si="8"/>
        <v>Mwanza District [wNqJp8oRIcF]|50+|Male</v>
      </c>
      <c r="F206" s="14" t="str">
        <f>IF(LEFT($B206,4)="_Mil","",INDEX(Cascade!$U:$U,MATCH($E206,Cascade!$E:$E,0)))</f>
        <v/>
      </c>
      <c r="G206" s="14" t="str">
        <f>IFERROR(1/(1/INDEX(HTS!$AT:$AT,MATCH($E206,HTS!$E:$E,0))),"")</f>
        <v/>
      </c>
      <c r="H206" s="14" t="str">
        <f>IF(OR($C206="15-24",$C206="25-34"),IFERROR(1/(1/SUM(SUMIFS(AGYW!$S:$S,AGYW!$B:$B,$B206,AGYW!$C:$C,IF($C206="15-24",{"15-19","20-24"},{"25-29"}),AGYW!$D:$D,$D206))),""),"")</f>
        <v/>
      </c>
      <c r="I206" s="14" t="str">
        <f>IF(OR($C206="15-24",$C206="25-34"),IFERROR(1/(1/SUM(SUMIFS(AGYW!$T:$T,AGYW!$B:$B,$B206,AGYW!$C:$C,IF($C206="15-24",{"15-19","20-24"},{"25-29"}),AGYW!$D:$D,$D206))),""),"")</f>
        <v/>
      </c>
      <c r="J206" s="14">
        <v>1</v>
      </c>
      <c r="K206" s="14">
        <v>1</v>
      </c>
      <c r="L206" s="42">
        <f t="shared" si="9"/>
        <v>1</v>
      </c>
      <c r="M206" s="14"/>
      <c r="N206" s="14"/>
      <c r="O206" s="42" t="str">
        <f t="shared" si="10"/>
        <v/>
      </c>
      <c r="P206" s="14">
        <f>2</f>
        <v>2</v>
      </c>
      <c r="Q206" s="42" t="str">
        <f t="shared" si="11"/>
        <v/>
      </c>
    </row>
    <row r="207" spans="1:17" x14ac:dyDescent="0.2">
      <c r="A207" t="str">
        <f>INDEX(Prioritization!$D:$D,MATCH($B207,Prioritization!$A:$A,0))</f>
        <v>INVALID</v>
      </c>
      <c r="B207" t="s">
        <v>217</v>
      </c>
      <c r="C207" t="s">
        <v>364</v>
      </c>
      <c r="D207" t="s">
        <v>29</v>
      </c>
      <c r="E207" t="str">
        <f t="shared" ref="E207:E270" si="12">B207&amp;"|"&amp;C207&amp;"|"&amp;D207</f>
        <v>Neno District [gwVYinjBAe9]|15-24|Female</v>
      </c>
      <c r="F207" s="14" t="str">
        <f>IF(LEFT($B207,4)="_Mil","",INDEX(Cascade!$U:$U,MATCH($E207,Cascade!$E:$E,0)))</f>
        <v/>
      </c>
      <c r="G207" s="14" t="str">
        <f>IFERROR(1/(1/INDEX(HTS!$AT:$AT,MATCH($E207,HTS!$E:$E,0))),"")</f>
        <v/>
      </c>
      <c r="H207" s="14" t="str">
        <f>IF(OR($C207="15-24",$C207="25-34"),IFERROR(1/(1/SUM(SUMIFS(AGYW!$S:$S,AGYW!$B:$B,$B207,AGYW!$C:$C,IF($C207="15-24",{"15-19","20-24"},{"25-29"}),AGYW!$D:$D,$D207))),""),"")</f>
        <v/>
      </c>
      <c r="I207" s="14" t="str">
        <f>IF(OR($C207="15-24",$C207="25-34"),IFERROR(1/(1/SUM(SUMIFS(AGYW!$T:$T,AGYW!$B:$B,$B207,AGYW!$C:$C,IF($C207="15-24",{"15-19","20-24"},{"25-29"}),AGYW!$D:$D,$D207))),""),"")</f>
        <v/>
      </c>
      <c r="J207" s="14"/>
      <c r="K207" s="14"/>
      <c r="L207" s="42" t="str">
        <f t="shared" ref="L207:L246" si="13">IF(SUM($K207)=0,"",$K207)</f>
        <v/>
      </c>
      <c r="M207" s="14"/>
      <c r="N207" s="14"/>
      <c r="O207" s="42" t="str">
        <f t="shared" ref="O207:O246" si="14">IF(SUM($N207)=0,"",$N207)</f>
        <v/>
      </c>
      <c r="P207" s="14">
        <f>2</f>
        <v>2</v>
      </c>
      <c r="Q207" s="42" t="str">
        <f t="shared" ref="Q207:Q246" si="15">IF(SUM($O207)=0,"",$O207*$P207)</f>
        <v/>
      </c>
    </row>
    <row r="208" spans="1:17" x14ac:dyDescent="0.2">
      <c r="A208" t="str">
        <f>INDEX(Prioritization!$D:$D,MATCH($B208,Prioritization!$A:$A,0))</f>
        <v>INVALID</v>
      </c>
      <c r="B208" t="s">
        <v>217</v>
      </c>
      <c r="C208" t="s">
        <v>364</v>
      </c>
      <c r="D208" t="s">
        <v>47</v>
      </c>
      <c r="E208" t="str">
        <f t="shared" si="12"/>
        <v>Neno District [gwVYinjBAe9]|15-24|Male</v>
      </c>
      <c r="F208" s="14" t="str">
        <f>IF(LEFT($B208,4)="_Mil","",INDEX(Cascade!$U:$U,MATCH($E208,Cascade!$E:$E,0)))</f>
        <v/>
      </c>
      <c r="G208" s="14" t="str">
        <f>IFERROR(1/(1/INDEX(HTS!$AT:$AT,MATCH($E208,HTS!$E:$E,0))),"")</f>
        <v/>
      </c>
      <c r="H208" s="14" t="str">
        <f>IF(OR($C208="15-24",$C208="25-34"),IFERROR(1/(1/SUM(SUMIFS(AGYW!$S:$S,AGYW!$B:$B,$B208,AGYW!$C:$C,IF($C208="15-24",{"15-19","20-24"},{"25-29"}),AGYW!$D:$D,$D208))),""),"")</f>
        <v/>
      </c>
      <c r="I208" s="14" t="str">
        <f>IF(OR($C208="15-24",$C208="25-34"),IFERROR(1/(1/SUM(SUMIFS(AGYW!$T:$T,AGYW!$B:$B,$B208,AGYW!$C:$C,IF($C208="15-24",{"15-19","20-24"},{"25-29"}),AGYW!$D:$D,$D208))),""),"")</f>
        <v/>
      </c>
      <c r="J208" s="14"/>
      <c r="K208" s="14"/>
      <c r="L208" s="42" t="str">
        <f t="shared" si="13"/>
        <v/>
      </c>
      <c r="M208" s="14"/>
      <c r="N208" s="14"/>
      <c r="O208" s="42" t="str">
        <f t="shared" si="14"/>
        <v/>
      </c>
      <c r="P208" s="14">
        <f>2</f>
        <v>2</v>
      </c>
      <c r="Q208" s="42" t="str">
        <f t="shared" si="15"/>
        <v/>
      </c>
    </row>
    <row r="209" spans="1:17" x14ac:dyDescent="0.2">
      <c r="A209" t="str">
        <f>INDEX(Prioritization!$D:$D,MATCH($B209,Prioritization!$A:$A,0))</f>
        <v>INVALID</v>
      </c>
      <c r="B209" t="s">
        <v>217</v>
      </c>
      <c r="C209" t="s">
        <v>365</v>
      </c>
      <c r="D209" t="s">
        <v>29</v>
      </c>
      <c r="E209" t="str">
        <f t="shared" si="12"/>
        <v>Neno District [gwVYinjBAe9]|25-34|Female</v>
      </c>
      <c r="F209" s="14" t="str">
        <f>IF(LEFT($B209,4)="_Mil","",INDEX(Cascade!$U:$U,MATCH($E209,Cascade!$E:$E,0)))</f>
        <v/>
      </c>
      <c r="G209" s="14" t="str">
        <f>IFERROR(1/(1/INDEX(HTS!$AT:$AT,MATCH($E209,HTS!$E:$E,0))),"")</f>
        <v/>
      </c>
      <c r="H209" s="14" t="str">
        <f>IF(OR($C209="15-24",$C209="25-34"),IFERROR(1/(1/SUM(SUMIFS(AGYW!$S:$S,AGYW!$B:$B,$B209,AGYW!$C:$C,IF($C209="15-24",{"15-19","20-24"},{"25-29"}),AGYW!$D:$D,$D209))),""),"")</f>
        <v/>
      </c>
      <c r="I209" s="14" t="str">
        <f>IF(OR($C209="15-24",$C209="25-34"),IFERROR(1/(1/SUM(SUMIFS(AGYW!$T:$T,AGYW!$B:$B,$B209,AGYW!$C:$C,IF($C209="15-24",{"15-19","20-24"},{"25-29"}),AGYW!$D:$D,$D209))),""),"")</f>
        <v/>
      </c>
      <c r="J209" s="14"/>
      <c r="K209" s="14"/>
      <c r="L209" s="42" t="str">
        <f t="shared" si="13"/>
        <v/>
      </c>
      <c r="M209" s="14"/>
      <c r="N209" s="14"/>
      <c r="O209" s="42" t="str">
        <f t="shared" si="14"/>
        <v/>
      </c>
      <c r="P209" s="14">
        <f>2</f>
        <v>2</v>
      </c>
      <c r="Q209" s="42" t="str">
        <f t="shared" si="15"/>
        <v/>
      </c>
    </row>
    <row r="210" spans="1:17" x14ac:dyDescent="0.2">
      <c r="A210" t="str">
        <f>INDEX(Prioritization!$D:$D,MATCH($B210,Prioritization!$A:$A,0))</f>
        <v>INVALID</v>
      </c>
      <c r="B210" t="s">
        <v>217</v>
      </c>
      <c r="C210" t="s">
        <v>365</v>
      </c>
      <c r="D210" t="s">
        <v>47</v>
      </c>
      <c r="E210" t="str">
        <f t="shared" si="12"/>
        <v>Neno District [gwVYinjBAe9]|25-34|Male</v>
      </c>
      <c r="F210" s="14" t="str">
        <f>IF(LEFT($B210,4)="_Mil","",INDEX(Cascade!$U:$U,MATCH($E210,Cascade!$E:$E,0)))</f>
        <v/>
      </c>
      <c r="G210" s="14" t="str">
        <f>IFERROR(1/(1/INDEX(HTS!$AT:$AT,MATCH($E210,HTS!$E:$E,0))),"")</f>
        <v/>
      </c>
      <c r="H210" s="14" t="str">
        <f>IF(OR($C210="15-24",$C210="25-34"),IFERROR(1/(1/SUM(SUMIFS(AGYW!$S:$S,AGYW!$B:$B,$B210,AGYW!$C:$C,IF($C210="15-24",{"15-19","20-24"},{"25-29"}),AGYW!$D:$D,$D210))),""),"")</f>
        <v/>
      </c>
      <c r="I210" s="14" t="str">
        <f>IF(OR($C210="15-24",$C210="25-34"),IFERROR(1/(1/SUM(SUMIFS(AGYW!$T:$T,AGYW!$B:$B,$B210,AGYW!$C:$C,IF($C210="15-24",{"15-19","20-24"},{"25-29"}),AGYW!$D:$D,$D210))),""),"")</f>
        <v/>
      </c>
      <c r="J210" s="14"/>
      <c r="K210" s="14"/>
      <c r="L210" s="42" t="str">
        <f t="shared" si="13"/>
        <v/>
      </c>
      <c r="M210" s="14"/>
      <c r="N210" s="14"/>
      <c r="O210" s="42" t="str">
        <f t="shared" si="14"/>
        <v/>
      </c>
      <c r="P210" s="14">
        <f>2</f>
        <v>2</v>
      </c>
      <c r="Q210" s="42" t="str">
        <f t="shared" si="15"/>
        <v/>
      </c>
    </row>
    <row r="211" spans="1:17" x14ac:dyDescent="0.2">
      <c r="A211" t="str">
        <f>INDEX(Prioritization!$D:$D,MATCH($B211,Prioritization!$A:$A,0))</f>
        <v>INVALID</v>
      </c>
      <c r="B211" t="s">
        <v>217</v>
      </c>
      <c r="C211" t="s">
        <v>366</v>
      </c>
      <c r="D211" t="s">
        <v>29</v>
      </c>
      <c r="E211" t="str">
        <f t="shared" si="12"/>
        <v>Neno District [gwVYinjBAe9]|35-49|Female</v>
      </c>
      <c r="F211" s="14" t="str">
        <f>IF(LEFT($B211,4)="_Mil","",INDEX(Cascade!$U:$U,MATCH($E211,Cascade!$E:$E,0)))</f>
        <v/>
      </c>
      <c r="G211" s="14" t="str">
        <f>IFERROR(1/(1/INDEX(HTS!$AT:$AT,MATCH($E211,HTS!$E:$E,0))),"")</f>
        <v/>
      </c>
      <c r="H211" s="14" t="str">
        <f>IF(OR($C211="15-24",$C211="25-34"),IFERROR(1/(1/SUM(SUMIFS(AGYW!$S:$S,AGYW!$B:$B,$B211,AGYW!$C:$C,IF($C211="15-24",{"15-19","20-24"},{"25-29"}),AGYW!$D:$D,$D211))),""),"")</f>
        <v/>
      </c>
      <c r="I211" s="14" t="str">
        <f>IF(OR($C211="15-24",$C211="25-34"),IFERROR(1/(1/SUM(SUMIFS(AGYW!$T:$T,AGYW!$B:$B,$B211,AGYW!$C:$C,IF($C211="15-24",{"15-19","20-24"},{"25-29"}),AGYW!$D:$D,$D211))),""),"")</f>
        <v/>
      </c>
      <c r="J211" s="14"/>
      <c r="K211" s="14"/>
      <c r="L211" s="42" t="str">
        <f t="shared" si="13"/>
        <v/>
      </c>
      <c r="M211" s="14"/>
      <c r="N211" s="14"/>
      <c r="O211" s="42" t="str">
        <f t="shared" si="14"/>
        <v/>
      </c>
      <c r="P211" s="14">
        <f>2</f>
        <v>2</v>
      </c>
      <c r="Q211" s="42" t="str">
        <f t="shared" si="15"/>
        <v/>
      </c>
    </row>
    <row r="212" spans="1:17" x14ac:dyDescent="0.2">
      <c r="A212" t="str">
        <f>INDEX(Prioritization!$D:$D,MATCH($B212,Prioritization!$A:$A,0))</f>
        <v>INVALID</v>
      </c>
      <c r="B212" t="s">
        <v>217</v>
      </c>
      <c r="C212" t="s">
        <v>366</v>
      </c>
      <c r="D212" t="s">
        <v>47</v>
      </c>
      <c r="E212" t="str">
        <f t="shared" si="12"/>
        <v>Neno District [gwVYinjBAe9]|35-49|Male</v>
      </c>
      <c r="F212" s="14" t="str">
        <f>IF(LEFT($B212,4)="_Mil","",INDEX(Cascade!$U:$U,MATCH($E212,Cascade!$E:$E,0)))</f>
        <v/>
      </c>
      <c r="G212" s="14" t="str">
        <f>IFERROR(1/(1/INDEX(HTS!$AT:$AT,MATCH($E212,HTS!$E:$E,0))),"")</f>
        <v/>
      </c>
      <c r="H212" s="14" t="str">
        <f>IF(OR($C212="15-24",$C212="25-34"),IFERROR(1/(1/SUM(SUMIFS(AGYW!$S:$S,AGYW!$B:$B,$B212,AGYW!$C:$C,IF($C212="15-24",{"15-19","20-24"},{"25-29"}),AGYW!$D:$D,$D212))),""),"")</f>
        <v/>
      </c>
      <c r="I212" s="14" t="str">
        <f>IF(OR($C212="15-24",$C212="25-34"),IFERROR(1/(1/SUM(SUMIFS(AGYW!$T:$T,AGYW!$B:$B,$B212,AGYW!$C:$C,IF($C212="15-24",{"15-19","20-24"},{"25-29"}),AGYW!$D:$D,$D212))),""),"")</f>
        <v/>
      </c>
      <c r="J212" s="14"/>
      <c r="K212" s="14"/>
      <c r="L212" s="42" t="str">
        <f t="shared" si="13"/>
        <v/>
      </c>
      <c r="M212" s="14"/>
      <c r="N212" s="14"/>
      <c r="O212" s="42" t="str">
        <f t="shared" si="14"/>
        <v/>
      </c>
      <c r="P212" s="14">
        <f>2</f>
        <v>2</v>
      </c>
      <c r="Q212" s="42" t="str">
        <f t="shared" si="15"/>
        <v/>
      </c>
    </row>
    <row r="213" spans="1:17" x14ac:dyDescent="0.2">
      <c r="A213" t="str">
        <f>INDEX(Prioritization!$D:$D,MATCH($B213,Prioritization!$A:$A,0))</f>
        <v>INVALID</v>
      </c>
      <c r="B213" t="s">
        <v>217</v>
      </c>
      <c r="C213" t="s">
        <v>367</v>
      </c>
      <c r="D213" t="s">
        <v>29</v>
      </c>
      <c r="E213" t="str">
        <f t="shared" si="12"/>
        <v>Neno District [gwVYinjBAe9]|50+|Female</v>
      </c>
      <c r="F213" s="14" t="str">
        <f>IF(LEFT($B213,4)="_Mil","",INDEX(Cascade!$U:$U,MATCH($E213,Cascade!$E:$E,0)))</f>
        <v/>
      </c>
      <c r="G213" s="14" t="str">
        <f>IFERROR(1/(1/INDEX(HTS!$AT:$AT,MATCH($E213,HTS!$E:$E,0))),"")</f>
        <v/>
      </c>
      <c r="H213" s="14" t="str">
        <f>IF(OR($C213="15-24",$C213="25-34"),IFERROR(1/(1/SUM(SUMIFS(AGYW!$S:$S,AGYW!$B:$B,$B213,AGYW!$C:$C,IF($C213="15-24",{"15-19","20-24"},{"25-29"}),AGYW!$D:$D,$D213))),""),"")</f>
        <v/>
      </c>
      <c r="I213" s="14" t="str">
        <f>IF(OR($C213="15-24",$C213="25-34"),IFERROR(1/(1/SUM(SUMIFS(AGYW!$T:$T,AGYW!$B:$B,$B213,AGYW!$C:$C,IF($C213="15-24",{"15-19","20-24"},{"25-29"}),AGYW!$D:$D,$D213))),""),"")</f>
        <v/>
      </c>
      <c r="J213" s="14"/>
      <c r="K213" s="14"/>
      <c r="L213" s="42" t="str">
        <f t="shared" si="13"/>
        <v/>
      </c>
      <c r="M213" s="14"/>
      <c r="N213" s="14"/>
      <c r="O213" s="42" t="str">
        <f t="shared" si="14"/>
        <v/>
      </c>
      <c r="P213" s="14">
        <f>2</f>
        <v>2</v>
      </c>
      <c r="Q213" s="42" t="str">
        <f t="shared" si="15"/>
        <v/>
      </c>
    </row>
    <row r="214" spans="1:17" x14ac:dyDescent="0.2">
      <c r="A214" t="str">
        <f>INDEX(Prioritization!$D:$D,MATCH($B214,Prioritization!$A:$A,0))</f>
        <v>INVALID</v>
      </c>
      <c r="B214" t="s">
        <v>217</v>
      </c>
      <c r="C214" t="s">
        <v>367</v>
      </c>
      <c r="D214" t="s">
        <v>47</v>
      </c>
      <c r="E214" t="str">
        <f t="shared" si="12"/>
        <v>Neno District [gwVYinjBAe9]|50+|Male</v>
      </c>
      <c r="F214" s="14" t="str">
        <f>IF(LEFT($B214,4)="_Mil","",INDEX(Cascade!$U:$U,MATCH($E214,Cascade!$E:$E,0)))</f>
        <v/>
      </c>
      <c r="G214" s="14" t="str">
        <f>IFERROR(1/(1/INDEX(HTS!$AT:$AT,MATCH($E214,HTS!$E:$E,0))),"")</f>
        <v/>
      </c>
      <c r="H214" s="14" t="str">
        <f>IF(OR($C214="15-24",$C214="25-34"),IFERROR(1/(1/SUM(SUMIFS(AGYW!$S:$S,AGYW!$B:$B,$B214,AGYW!$C:$C,IF($C214="15-24",{"15-19","20-24"},{"25-29"}),AGYW!$D:$D,$D214))),""),"")</f>
        <v/>
      </c>
      <c r="I214" s="14" t="str">
        <f>IF(OR($C214="15-24",$C214="25-34"),IFERROR(1/(1/SUM(SUMIFS(AGYW!$T:$T,AGYW!$B:$B,$B214,AGYW!$C:$C,IF($C214="15-24",{"15-19","20-24"},{"25-29"}),AGYW!$D:$D,$D214))),""),"")</f>
        <v/>
      </c>
      <c r="J214" s="14"/>
      <c r="K214" s="14"/>
      <c r="L214" s="42" t="str">
        <f t="shared" si="13"/>
        <v/>
      </c>
      <c r="M214" s="14"/>
      <c r="N214" s="14"/>
      <c r="O214" s="42" t="str">
        <f t="shared" si="14"/>
        <v/>
      </c>
      <c r="P214" s="14">
        <f>2</f>
        <v>2</v>
      </c>
      <c r="Q214" s="42" t="str">
        <f t="shared" si="15"/>
        <v/>
      </c>
    </row>
    <row r="215" spans="1:17" x14ac:dyDescent="0.2">
      <c r="A215" t="str">
        <f>INDEX(Prioritization!$D:$D,MATCH($B215,Prioritization!$A:$A,0))</f>
        <v>INVALID</v>
      </c>
      <c r="B215" t="s">
        <v>218</v>
      </c>
      <c r="C215" t="s">
        <v>364</v>
      </c>
      <c r="D215" t="s">
        <v>29</v>
      </c>
      <c r="E215" t="str">
        <f t="shared" si="12"/>
        <v>Nsanje District [rpw540fmNUz]|15-24|Female</v>
      </c>
      <c r="F215" s="14" t="str">
        <f>IF(LEFT($B215,4)="_Mil","",INDEX(Cascade!$U:$U,MATCH($E215,Cascade!$E:$E,0)))</f>
        <v/>
      </c>
      <c r="G215" s="14" t="str">
        <f>IFERROR(1/(1/INDEX(HTS!$AT:$AT,MATCH($E215,HTS!$E:$E,0))),"")</f>
        <v/>
      </c>
      <c r="H215" s="14" t="str">
        <f>IF(OR($C215="15-24",$C215="25-34"),IFERROR(1/(1/SUM(SUMIFS(AGYW!$S:$S,AGYW!$B:$B,$B215,AGYW!$C:$C,IF($C215="15-24",{"15-19","20-24"},{"25-29"}),AGYW!$D:$D,$D215))),""),"")</f>
        <v/>
      </c>
      <c r="I215" s="14" t="str">
        <f>IF(OR($C215="15-24",$C215="25-34"),IFERROR(1/(1/SUM(SUMIFS(AGYW!$T:$T,AGYW!$B:$B,$B215,AGYW!$C:$C,IF($C215="15-24",{"15-19","20-24"},{"25-29"}),AGYW!$D:$D,$D215))),""),"")</f>
        <v/>
      </c>
      <c r="J215" s="14"/>
      <c r="K215" s="14"/>
      <c r="L215" s="42" t="str">
        <f t="shared" si="13"/>
        <v/>
      </c>
      <c r="M215" s="14"/>
      <c r="N215" s="14"/>
      <c r="O215" s="42" t="str">
        <f t="shared" si="14"/>
        <v/>
      </c>
      <c r="P215" s="14">
        <f>2</f>
        <v>2</v>
      </c>
      <c r="Q215" s="42" t="str">
        <f t="shared" si="15"/>
        <v/>
      </c>
    </row>
    <row r="216" spans="1:17" x14ac:dyDescent="0.2">
      <c r="A216" t="str">
        <f>INDEX(Prioritization!$D:$D,MATCH($B216,Prioritization!$A:$A,0))</f>
        <v>INVALID</v>
      </c>
      <c r="B216" t="s">
        <v>218</v>
      </c>
      <c r="C216" t="s">
        <v>364</v>
      </c>
      <c r="D216" t="s">
        <v>47</v>
      </c>
      <c r="E216" t="str">
        <f t="shared" si="12"/>
        <v>Nsanje District [rpw540fmNUz]|15-24|Male</v>
      </c>
      <c r="F216" s="14" t="str">
        <f>IF(LEFT($B216,4)="_Mil","",INDEX(Cascade!$U:$U,MATCH($E216,Cascade!$E:$E,0)))</f>
        <v/>
      </c>
      <c r="G216" s="14" t="str">
        <f>IFERROR(1/(1/INDEX(HTS!$AT:$AT,MATCH($E216,HTS!$E:$E,0))),"")</f>
        <v/>
      </c>
      <c r="H216" s="14" t="str">
        <f>IF(OR($C216="15-24",$C216="25-34"),IFERROR(1/(1/SUM(SUMIFS(AGYW!$S:$S,AGYW!$B:$B,$B216,AGYW!$C:$C,IF($C216="15-24",{"15-19","20-24"},{"25-29"}),AGYW!$D:$D,$D216))),""),"")</f>
        <v/>
      </c>
      <c r="I216" s="14" t="str">
        <f>IF(OR($C216="15-24",$C216="25-34"),IFERROR(1/(1/SUM(SUMIFS(AGYW!$T:$T,AGYW!$B:$B,$B216,AGYW!$C:$C,IF($C216="15-24",{"15-19","20-24"},{"25-29"}),AGYW!$D:$D,$D216))),""),"")</f>
        <v/>
      </c>
      <c r="J216" s="14"/>
      <c r="K216" s="14"/>
      <c r="L216" s="42" t="str">
        <f t="shared" si="13"/>
        <v/>
      </c>
      <c r="M216" s="14"/>
      <c r="N216" s="14"/>
      <c r="O216" s="42" t="str">
        <f t="shared" si="14"/>
        <v/>
      </c>
      <c r="P216" s="14">
        <f>2</f>
        <v>2</v>
      </c>
      <c r="Q216" s="42" t="str">
        <f t="shared" si="15"/>
        <v/>
      </c>
    </row>
    <row r="217" spans="1:17" x14ac:dyDescent="0.2">
      <c r="A217" t="str">
        <f>INDEX(Prioritization!$D:$D,MATCH($B217,Prioritization!$A:$A,0))</f>
        <v>INVALID</v>
      </c>
      <c r="B217" t="s">
        <v>218</v>
      </c>
      <c r="C217" t="s">
        <v>365</v>
      </c>
      <c r="D217" t="s">
        <v>29</v>
      </c>
      <c r="E217" t="str">
        <f t="shared" si="12"/>
        <v>Nsanje District [rpw540fmNUz]|25-34|Female</v>
      </c>
      <c r="F217" s="14" t="str">
        <f>IF(LEFT($B217,4)="_Mil","",INDEX(Cascade!$U:$U,MATCH($E217,Cascade!$E:$E,0)))</f>
        <v/>
      </c>
      <c r="G217" s="14" t="str">
        <f>IFERROR(1/(1/INDEX(HTS!$AT:$AT,MATCH($E217,HTS!$E:$E,0))),"")</f>
        <v/>
      </c>
      <c r="H217" s="14" t="str">
        <f>IF(OR($C217="15-24",$C217="25-34"),IFERROR(1/(1/SUM(SUMIFS(AGYW!$S:$S,AGYW!$B:$B,$B217,AGYW!$C:$C,IF($C217="15-24",{"15-19","20-24"},{"25-29"}),AGYW!$D:$D,$D217))),""),"")</f>
        <v/>
      </c>
      <c r="I217" s="14" t="str">
        <f>IF(OR($C217="15-24",$C217="25-34"),IFERROR(1/(1/SUM(SUMIFS(AGYW!$T:$T,AGYW!$B:$B,$B217,AGYW!$C:$C,IF($C217="15-24",{"15-19","20-24"},{"25-29"}),AGYW!$D:$D,$D217))),""),"")</f>
        <v/>
      </c>
      <c r="J217" s="14"/>
      <c r="K217" s="14"/>
      <c r="L217" s="42" t="str">
        <f t="shared" si="13"/>
        <v/>
      </c>
      <c r="M217" s="14"/>
      <c r="N217" s="14"/>
      <c r="O217" s="42" t="str">
        <f t="shared" si="14"/>
        <v/>
      </c>
      <c r="P217" s="14">
        <f>2</f>
        <v>2</v>
      </c>
      <c r="Q217" s="42" t="str">
        <f t="shared" si="15"/>
        <v/>
      </c>
    </row>
    <row r="218" spans="1:17" x14ac:dyDescent="0.2">
      <c r="A218" t="str">
        <f>INDEX(Prioritization!$D:$D,MATCH($B218,Prioritization!$A:$A,0))</f>
        <v>INVALID</v>
      </c>
      <c r="B218" t="s">
        <v>218</v>
      </c>
      <c r="C218" t="s">
        <v>365</v>
      </c>
      <c r="D218" t="s">
        <v>47</v>
      </c>
      <c r="E218" t="str">
        <f t="shared" si="12"/>
        <v>Nsanje District [rpw540fmNUz]|25-34|Male</v>
      </c>
      <c r="F218" s="14" t="str">
        <f>IF(LEFT($B218,4)="_Mil","",INDEX(Cascade!$U:$U,MATCH($E218,Cascade!$E:$E,0)))</f>
        <v/>
      </c>
      <c r="G218" s="14" t="str">
        <f>IFERROR(1/(1/INDEX(HTS!$AT:$AT,MATCH($E218,HTS!$E:$E,0))),"")</f>
        <v/>
      </c>
      <c r="H218" s="14" t="str">
        <f>IF(OR($C218="15-24",$C218="25-34"),IFERROR(1/(1/SUM(SUMIFS(AGYW!$S:$S,AGYW!$B:$B,$B218,AGYW!$C:$C,IF($C218="15-24",{"15-19","20-24"},{"25-29"}),AGYW!$D:$D,$D218))),""),"")</f>
        <v/>
      </c>
      <c r="I218" s="14" t="str">
        <f>IF(OR($C218="15-24",$C218="25-34"),IFERROR(1/(1/SUM(SUMIFS(AGYW!$T:$T,AGYW!$B:$B,$B218,AGYW!$C:$C,IF($C218="15-24",{"15-19","20-24"},{"25-29"}),AGYW!$D:$D,$D218))),""),"")</f>
        <v/>
      </c>
      <c r="J218" s="14"/>
      <c r="K218" s="14"/>
      <c r="L218" s="42" t="str">
        <f t="shared" si="13"/>
        <v/>
      </c>
      <c r="M218" s="14"/>
      <c r="N218" s="14"/>
      <c r="O218" s="42" t="str">
        <f t="shared" si="14"/>
        <v/>
      </c>
      <c r="P218" s="14">
        <f>2</f>
        <v>2</v>
      </c>
      <c r="Q218" s="42" t="str">
        <f t="shared" si="15"/>
        <v/>
      </c>
    </row>
    <row r="219" spans="1:17" x14ac:dyDescent="0.2">
      <c r="A219" t="str">
        <f>INDEX(Prioritization!$D:$D,MATCH($B219,Prioritization!$A:$A,0))</f>
        <v>INVALID</v>
      </c>
      <c r="B219" t="s">
        <v>218</v>
      </c>
      <c r="C219" t="s">
        <v>366</v>
      </c>
      <c r="D219" t="s">
        <v>29</v>
      </c>
      <c r="E219" t="str">
        <f t="shared" si="12"/>
        <v>Nsanje District [rpw540fmNUz]|35-49|Female</v>
      </c>
      <c r="F219" s="14" t="str">
        <f>IF(LEFT($B219,4)="_Mil","",INDEX(Cascade!$U:$U,MATCH($E219,Cascade!$E:$E,0)))</f>
        <v/>
      </c>
      <c r="G219" s="14" t="str">
        <f>IFERROR(1/(1/INDEX(HTS!$AT:$AT,MATCH($E219,HTS!$E:$E,0))),"")</f>
        <v/>
      </c>
      <c r="H219" s="14" t="str">
        <f>IF(OR($C219="15-24",$C219="25-34"),IFERROR(1/(1/SUM(SUMIFS(AGYW!$S:$S,AGYW!$B:$B,$B219,AGYW!$C:$C,IF($C219="15-24",{"15-19","20-24"},{"25-29"}),AGYW!$D:$D,$D219))),""),"")</f>
        <v/>
      </c>
      <c r="I219" s="14" t="str">
        <f>IF(OR($C219="15-24",$C219="25-34"),IFERROR(1/(1/SUM(SUMIFS(AGYW!$T:$T,AGYW!$B:$B,$B219,AGYW!$C:$C,IF($C219="15-24",{"15-19","20-24"},{"25-29"}),AGYW!$D:$D,$D219))),""),"")</f>
        <v/>
      </c>
      <c r="J219" s="14"/>
      <c r="K219" s="14"/>
      <c r="L219" s="42" t="str">
        <f t="shared" si="13"/>
        <v/>
      </c>
      <c r="M219" s="14"/>
      <c r="N219" s="14"/>
      <c r="O219" s="42" t="str">
        <f t="shared" si="14"/>
        <v/>
      </c>
      <c r="P219" s="14">
        <f>2</f>
        <v>2</v>
      </c>
      <c r="Q219" s="42" t="str">
        <f t="shared" si="15"/>
        <v/>
      </c>
    </row>
    <row r="220" spans="1:17" x14ac:dyDescent="0.2">
      <c r="A220" t="str">
        <f>INDEX(Prioritization!$D:$D,MATCH($B220,Prioritization!$A:$A,0))</f>
        <v>INVALID</v>
      </c>
      <c r="B220" t="s">
        <v>218</v>
      </c>
      <c r="C220" t="s">
        <v>366</v>
      </c>
      <c r="D220" t="s">
        <v>47</v>
      </c>
      <c r="E220" t="str">
        <f t="shared" si="12"/>
        <v>Nsanje District [rpw540fmNUz]|35-49|Male</v>
      </c>
      <c r="F220" s="14" t="str">
        <f>IF(LEFT($B220,4)="_Mil","",INDEX(Cascade!$U:$U,MATCH($E220,Cascade!$E:$E,0)))</f>
        <v/>
      </c>
      <c r="G220" s="14" t="str">
        <f>IFERROR(1/(1/INDEX(HTS!$AT:$AT,MATCH($E220,HTS!$E:$E,0))),"")</f>
        <v/>
      </c>
      <c r="H220" s="14" t="str">
        <f>IF(OR($C220="15-24",$C220="25-34"),IFERROR(1/(1/SUM(SUMIFS(AGYW!$S:$S,AGYW!$B:$B,$B220,AGYW!$C:$C,IF($C220="15-24",{"15-19","20-24"},{"25-29"}),AGYW!$D:$D,$D220))),""),"")</f>
        <v/>
      </c>
      <c r="I220" s="14" t="str">
        <f>IF(OR($C220="15-24",$C220="25-34"),IFERROR(1/(1/SUM(SUMIFS(AGYW!$T:$T,AGYW!$B:$B,$B220,AGYW!$C:$C,IF($C220="15-24",{"15-19","20-24"},{"25-29"}),AGYW!$D:$D,$D220))),""),"")</f>
        <v/>
      </c>
      <c r="J220" s="14"/>
      <c r="K220" s="14"/>
      <c r="L220" s="42" t="str">
        <f t="shared" si="13"/>
        <v/>
      </c>
      <c r="M220" s="14"/>
      <c r="N220" s="14"/>
      <c r="O220" s="42" t="str">
        <f t="shared" si="14"/>
        <v/>
      </c>
      <c r="P220" s="14">
        <f>2</f>
        <v>2</v>
      </c>
      <c r="Q220" s="42" t="str">
        <f t="shared" si="15"/>
        <v/>
      </c>
    </row>
    <row r="221" spans="1:17" x14ac:dyDescent="0.2">
      <c r="A221" t="str">
        <f>INDEX(Prioritization!$D:$D,MATCH($B221,Prioritization!$A:$A,0))</f>
        <v>INVALID</v>
      </c>
      <c r="B221" t="s">
        <v>218</v>
      </c>
      <c r="C221" t="s">
        <v>367</v>
      </c>
      <c r="D221" t="s">
        <v>29</v>
      </c>
      <c r="E221" t="str">
        <f t="shared" si="12"/>
        <v>Nsanje District [rpw540fmNUz]|50+|Female</v>
      </c>
      <c r="F221" s="14" t="str">
        <f>IF(LEFT($B221,4)="_Mil","",INDEX(Cascade!$U:$U,MATCH($E221,Cascade!$E:$E,0)))</f>
        <v/>
      </c>
      <c r="G221" s="14" t="str">
        <f>IFERROR(1/(1/INDEX(HTS!$AT:$AT,MATCH($E221,HTS!$E:$E,0))),"")</f>
        <v/>
      </c>
      <c r="H221" s="14" t="str">
        <f>IF(OR($C221="15-24",$C221="25-34"),IFERROR(1/(1/SUM(SUMIFS(AGYW!$S:$S,AGYW!$B:$B,$B221,AGYW!$C:$C,IF($C221="15-24",{"15-19","20-24"},{"25-29"}),AGYW!$D:$D,$D221))),""),"")</f>
        <v/>
      </c>
      <c r="I221" s="14" t="str">
        <f>IF(OR($C221="15-24",$C221="25-34"),IFERROR(1/(1/SUM(SUMIFS(AGYW!$T:$T,AGYW!$B:$B,$B221,AGYW!$C:$C,IF($C221="15-24",{"15-19","20-24"},{"25-29"}),AGYW!$D:$D,$D221))),""),"")</f>
        <v/>
      </c>
      <c r="J221" s="14"/>
      <c r="K221" s="14"/>
      <c r="L221" s="42" t="str">
        <f t="shared" si="13"/>
        <v/>
      </c>
      <c r="M221" s="14"/>
      <c r="N221" s="14"/>
      <c r="O221" s="42" t="str">
        <f t="shared" si="14"/>
        <v/>
      </c>
      <c r="P221" s="14">
        <f>2</f>
        <v>2</v>
      </c>
      <c r="Q221" s="42" t="str">
        <f t="shared" si="15"/>
        <v/>
      </c>
    </row>
    <row r="222" spans="1:17" x14ac:dyDescent="0.2">
      <c r="A222" t="str">
        <f>INDEX(Prioritization!$D:$D,MATCH($B222,Prioritization!$A:$A,0))</f>
        <v>INVALID</v>
      </c>
      <c r="B222" t="s">
        <v>218</v>
      </c>
      <c r="C222" t="s">
        <v>367</v>
      </c>
      <c r="D222" t="s">
        <v>47</v>
      </c>
      <c r="E222" t="str">
        <f t="shared" si="12"/>
        <v>Nsanje District [rpw540fmNUz]|50+|Male</v>
      </c>
      <c r="F222" s="14" t="str">
        <f>IF(LEFT($B222,4)="_Mil","",INDEX(Cascade!$U:$U,MATCH($E222,Cascade!$E:$E,0)))</f>
        <v/>
      </c>
      <c r="G222" s="14" t="str">
        <f>IFERROR(1/(1/INDEX(HTS!$AT:$AT,MATCH($E222,HTS!$E:$E,0))),"")</f>
        <v/>
      </c>
      <c r="H222" s="14" t="str">
        <f>IF(OR($C222="15-24",$C222="25-34"),IFERROR(1/(1/SUM(SUMIFS(AGYW!$S:$S,AGYW!$B:$B,$B222,AGYW!$C:$C,IF($C222="15-24",{"15-19","20-24"},{"25-29"}),AGYW!$D:$D,$D222))),""),"")</f>
        <v/>
      </c>
      <c r="I222" s="14" t="str">
        <f>IF(OR($C222="15-24",$C222="25-34"),IFERROR(1/(1/SUM(SUMIFS(AGYW!$T:$T,AGYW!$B:$B,$B222,AGYW!$C:$C,IF($C222="15-24",{"15-19","20-24"},{"25-29"}),AGYW!$D:$D,$D222))),""),"")</f>
        <v/>
      </c>
      <c r="J222" s="14"/>
      <c r="K222" s="14"/>
      <c r="L222" s="42" t="str">
        <f t="shared" si="13"/>
        <v/>
      </c>
      <c r="M222" s="14"/>
      <c r="N222" s="14"/>
      <c r="O222" s="42" t="str">
        <f t="shared" si="14"/>
        <v/>
      </c>
      <c r="P222" s="14">
        <f>2</f>
        <v>2</v>
      </c>
      <c r="Q222" s="42" t="str">
        <f t="shared" si="15"/>
        <v/>
      </c>
    </row>
    <row r="223" spans="1:17" x14ac:dyDescent="0.2">
      <c r="A223" t="str">
        <f>INDEX(Prioritization!$D:$D,MATCH($B223,Prioritization!$A:$A,0))</f>
        <v>INVALID</v>
      </c>
      <c r="B223" t="s">
        <v>219</v>
      </c>
      <c r="C223" t="s">
        <v>364</v>
      </c>
      <c r="D223" t="s">
        <v>29</v>
      </c>
      <c r="E223" t="str">
        <f t="shared" si="12"/>
        <v>Phalombe District [AZyWpGzhcaA]|15-24|Female</v>
      </c>
      <c r="F223" s="14" t="str">
        <f>IF(LEFT($B223,4)="_Mil","",INDEX(Cascade!$U:$U,MATCH($E223,Cascade!$E:$E,0)))</f>
        <v/>
      </c>
      <c r="G223" s="14" t="str">
        <f>IFERROR(1/(1/INDEX(HTS!$AT:$AT,MATCH($E223,HTS!$E:$E,0))),"")</f>
        <v/>
      </c>
      <c r="H223" s="14" t="str">
        <f>IF(OR($C223="15-24",$C223="25-34"),IFERROR(1/(1/SUM(SUMIFS(AGYW!$S:$S,AGYW!$B:$B,$B223,AGYW!$C:$C,IF($C223="15-24",{"15-19","20-24"},{"25-29"}),AGYW!$D:$D,$D223))),""),"")</f>
        <v/>
      </c>
      <c r="I223" s="14" t="str">
        <f>IF(OR($C223="15-24",$C223="25-34"),IFERROR(1/(1/SUM(SUMIFS(AGYW!$T:$T,AGYW!$B:$B,$B223,AGYW!$C:$C,IF($C223="15-24",{"15-19","20-24"},{"25-29"}),AGYW!$D:$D,$D223))),""),"")</f>
        <v/>
      </c>
      <c r="J223" s="14"/>
      <c r="K223" s="14"/>
      <c r="L223" s="42" t="str">
        <f t="shared" si="13"/>
        <v/>
      </c>
      <c r="M223" s="14"/>
      <c r="N223" s="14"/>
      <c r="O223" s="42" t="str">
        <f t="shared" si="14"/>
        <v/>
      </c>
      <c r="P223" s="14">
        <f>2</f>
        <v>2</v>
      </c>
      <c r="Q223" s="42" t="str">
        <f t="shared" si="15"/>
        <v/>
      </c>
    </row>
    <row r="224" spans="1:17" x14ac:dyDescent="0.2">
      <c r="A224" t="str">
        <f>INDEX(Prioritization!$D:$D,MATCH($B224,Prioritization!$A:$A,0))</f>
        <v>INVALID</v>
      </c>
      <c r="B224" t="s">
        <v>219</v>
      </c>
      <c r="C224" t="s">
        <v>364</v>
      </c>
      <c r="D224" t="s">
        <v>47</v>
      </c>
      <c r="E224" t="str">
        <f t="shared" si="12"/>
        <v>Phalombe District [AZyWpGzhcaA]|15-24|Male</v>
      </c>
      <c r="F224" s="14" t="str">
        <f>IF(LEFT($B224,4)="_Mil","",INDEX(Cascade!$U:$U,MATCH($E224,Cascade!$E:$E,0)))</f>
        <v/>
      </c>
      <c r="G224" s="14" t="str">
        <f>IFERROR(1/(1/INDEX(HTS!$AT:$AT,MATCH($E224,HTS!$E:$E,0))),"")</f>
        <v/>
      </c>
      <c r="H224" s="14" t="str">
        <f>IF(OR($C224="15-24",$C224="25-34"),IFERROR(1/(1/SUM(SUMIFS(AGYW!$S:$S,AGYW!$B:$B,$B224,AGYW!$C:$C,IF($C224="15-24",{"15-19","20-24"},{"25-29"}),AGYW!$D:$D,$D224))),""),"")</f>
        <v/>
      </c>
      <c r="I224" s="14" t="str">
        <f>IF(OR($C224="15-24",$C224="25-34"),IFERROR(1/(1/SUM(SUMIFS(AGYW!$T:$T,AGYW!$B:$B,$B224,AGYW!$C:$C,IF($C224="15-24",{"15-19","20-24"},{"25-29"}),AGYW!$D:$D,$D224))),""),"")</f>
        <v/>
      </c>
      <c r="J224" s="14"/>
      <c r="K224" s="14"/>
      <c r="L224" s="42" t="str">
        <f t="shared" si="13"/>
        <v/>
      </c>
      <c r="M224" s="14"/>
      <c r="N224" s="14"/>
      <c r="O224" s="42" t="str">
        <f t="shared" si="14"/>
        <v/>
      </c>
      <c r="P224" s="14">
        <f>2</f>
        <v>2</v>
      </c>
      <c r="Q224" s="42" t="str">
        <f t="shared" si="15"/>
        <v/>
      </c>
    </row>
    <row r="225" spans="1:17" x14ac:dyDescent="0.2">
      <c r="A225" t="str">
        <f>INDEX(Prioritization!$D:$D,MATCH($B225,Prioritization!$A:$A,0))</f>
        <v>INVALID</v>
      </c>
      <c r="B225" t="s">
        <v>219</v>
      </c>
      <c r="C225" t="s">
        <v>365</v>
      </c>
      <c r="D225" t="s">
        <v>29</v>
      </c>
      <c r="E225" t="str">
        <f t="shared" si="12"/>
        <v>Phalombe District [AZyWpGzhcaA]|25-34|Female</v>
      </c>
      <c r="F225" s="14" t="str">
        <f>IF(LEFT($B225,4)="_Mil","",INDEX(Cascade!$U:$U,MATCH($E225,Cascade!$E:$E,0)))</f>
        <v/>
      </c>
      <c r="G225" s="14" t="str">
        <f>IFERROR(1/(1/INDEX(HTS!$AT:$AT,MATCH($E225,HTS!$E:$E,0))),"")</f>
        <v/>
      </c>
      <c r="H225" s="14" t="str">
        <f>IF(OR($C225="15-24",$C225="25-34"),IFERROR(1/(1/SUM(SUMIFS(AGYW!$S:$S,AGYW!$B:$B,$B225,AGYW!$C:$C,IF($C225="15-24",{"15-19","20-24"},{"25-29"}),AGYW!$D:$D,$D225))),""),"")</f>
        <v/>
      </c>
      <c r="I225" s="14" t="str">
        <f>IF(OR($C225="15-24",$C225="25-34"),IFERROR(1/(1/SUM(SUMIFS(AGYW!$T:$T,AGYW!$B:$B,$B225,AGYW!$C:$C,IF($C225="15-24",{"15-19","20-24"},{"25-29"}),AGYW!$D:$D,$D225))),""),"")</f>
        <v/>
      </c>
      <c r="J225" s="14"/>
      <c r="K225" s="14"/>
      <c r="L225" s="42" t="str">
        <f t="shared" si="13"/>
        <v/>
      </c>
      <c r="M225" s="14"/>
      <c r="N225" s="14"/>
      <c r="O225" s="42" t="str">
        <f t="shared" si="14"/>
        <v/>
      </c>
      <c r="P225" s="14">
        <f>2</f>
        <v>2</v>
      </c>
      <c r="Q225" s="42" t="str">
        <f t="shared" si="15"/>
        <v/>
      </c>
    </row>
    <row r="226" spans="1:17" x14ac:dyDescent="0.2">
      <c r="A226" t="str">
        <f>INDEX(Prioritization!$D:$D,MATCH($B226,Prioritization!$A:$A,0))</f>
        <v>INVALID</v>
      </c>
      <c r="B226" t="s">
        <v>219</v>
      </c>
      <c r="C226" t="s">
        <v>365</v>
      </c>
      <c r="D226" t="s">
        <v>47</v>
      </c>
      <c r="E226" t="str">
        <f t="shared" si="12"/>
        <v>Phalombe District [AZyWpGzhcaA]|25-34|Male</v>
      </c>
      <c r="F226" s="14" t="str">
        <f>IF(LEFT($B226,4)="_Mil","",INDEX(Cascade!$U:$U,MATCH($E226,Cascade!$E:$E,0)))</f>
        <v/>
      </c>
      <c r="G226" s="14" t="str">
        <f>IFERROR(1/(1/INDEX(HTS!$AT:$AT,MATCH($E226,HTS!$E:$E,0))),"")</f>
        <v/>
      </c>
      <c r="H226" s="14" t="str">
        <f>IF(OR($C226="15-24",$C226="25-34"),IFERROR(1/(1/SUM(SUMIFS(AGYW!$S:$S,AGYW!$B:$B,$B226,AGYW!$C:$C,IF($C226="15-24",{"15-19","20-24"},{"25-29"}),AGYW!$D:$D,$D226))),""),"")</f>
        <v/>
      </c>
      <c r="I226" s="14" t="str">
        <f>IF(OR($C226="15-24",$C226="25-34"),IFERROR(1/(1/SUM(SUMIFS(AGYW!$T:$T,AGYW!$B:$B,$B226,AGYW!$C:$C,IF($C226="15-24",{"15-19","20-24"},{"25-29"}),AGYW!$D:$D,$D226))),""),"")</f>
        <v/>
      </c>
      <c r="J226" s="14"/>
      <c r="K226" s="14"/>
      <c r="L226" s="42" t="str">
        <f t="shared" si="13"/>
        <v/>
      </c>
      <c r="M226" s="14"/>
      <c r="N226" s="14"/>
      <c r="O226" s="42" t="str">
        <f t="shared" si="14"/>
        <v/>
      </c>
      <c r="P226" s="14">
        <f>2</f>
        <v>2</v>
      </c>
      <c r="Q226" s="42" t="str">
        <f t="shared" si="15"/>
        <v/>
      </c>
    </row>
    <row r="227" spans="1:17" x14ac:dyDescent="0.2">
      <c r="A227" t="str">
        <f>INDEX(Prioritization!$D:$D,MATCH($B227,Prioritization!$A:$A,0))</f>
        <v>INVALID</v>
      </c>
      <c r="B227" t="s">
        <v>219</v>
      </c>
      <c r="C227" t="s">
        <v>366</v>
      </c>
      <c r="D227" t="s">
        <v>29</v>
      </c>
      <c r="E227" t="str">
        <f t="shared" si="12"/>
        <v>Phalombe District [AZyWpGzhcaA]|35-49|Female</v>
      </c>
      <c r="F227" s="14" t="str">
        <f>IF(LEFT($B227,4)="_Mil","",INDEX(Cascade!$U:$U,MATCH($E227,Cascade!$E:$E,0)))</f>
        <v/>
      </c>
      <c r="G227" s="14" t="str">
        <f>IFERROR(1/(1/INDEX(HTS!$AT:$AT,MATCH($E227,HTS!$E:$E,0))),"")</f>
        <v/>
      </c>
      <c r="H227" s="14" t="str">
        <f>IF(OR($C227="15-24",$C227="25-34"),IFERROR(1/(1/SUM(SUMIFS(AGYW!$S:$S,AGYW!$B:$B,$B227,AGYW!$C:$C,IF($C227="15-24",{"15-19","20-24"},{"25-29"}),AGYW!$D:$D,$D227))),""),"")</f>
        <v/>
      </c>
      <c r="I227" s="14" t="str">
        <f>IF(OR($C227="15-24",$C227="25-34"),IFERROR(1/(1/SUM(SUMIFS(AGYW!$T:$T,AGYW!$B:$B,$B227,AGYW!$C:$C,IF($C227="15-24",{"15-19","20-24"},{"25-29"}),AGYW!$D:$D,$D227))),""),"")</f>
        <v/>
      </c>
      <c r="J227" s="14"/>
      <c r="K227" s="14"/>
      <c r="L227" s="42" t="str">
        <f t="shared" si="13"/>
        <v/>
      </c>
      <c r="M227" s="14"/>
      <c r="N227" s="14"/>
      <c r="O227" s="42" t="str">
        <f t="shared" si="14"/>
        <v/>
      </c>
      <c r="P227" s="14">
        <f>2</f>
        <v>2</v>
      </c>
      <c r="Q227" s="42" t="str">
        <f t="shared" si="15"/>
        <v/>
      </c>
    </row>
    <row r="228" spans="1:17" x14ac:dyDescent="0.2">
      <c r="A228" t="str">
        <f>INDEX(Prioritization!$D:$D,MATCH($B228,Prioritization!$A:$A,0))</f>
        <v>INVALID</v>
      </c>
      <c r="B228" t="s">
        <v>219</v>
      </c>
      <c r="C228" t="s">
        <v>366</v>
      </c>
      <c r="D228" t="s">
        <v>47</v>
      </c>
      <c r="E228" t="str">
        <f t="shared" si="12"/>
        <v>Phalombe District [AZyWpGzhcaA]|35-49|Male</v>
      </c>
      <c r="F228" s="14" t="str">
        <f>IF(LEFT($B228,4)="_Mil","",INDEX(Cascade!$U:$U,MATCH($E228,Cascade!$E:$E,0)))</f>
        <v/>
      </c>
      <c r="G228" s="14" t="str">
        <f>IFERROR(1/(1/INDEX(HTS!$AT:$AT,MATCH($E228,HTS!$E:$E,0))),"")</f>
        <v/>
      </c>
      <c r="H228" s="14" t="str">
        <f>IF(OR($C228="15-24",$C228="25-34"),IFERROR(1/(1/SUM(SUMIFS(AGYW!$S:$S,AGYW!$B:$B,$B228,AGYW!$C:$C,IF($C228="15-24",{"15-19","20-24"},{"25-29"}),AGYW!$D:$D,$D228))),""),"")</f>
        <v/>
      </c>
      <c r="I228" s="14" t="str">
        <f>IF(OR($C228="15-24",$C228="25-34"),IFERROR(1/(1/SUM(SUMIFS(AGYW!$T:$T,AGYW!$B:$B,$B228,AGYW!$C:$C,IF($C228="15-24",{"15-19","20-24"},{"25-29"}),AGYW!$D:$D,$D228))),""),"")</f>
        <v/>
      </c>
      <c r="J228" s="14"/>
      <c r="K228" s="14"/>
      <c r="L228" s="42" t="str">
        <f t="shared" si="13"/>
        <v/>
      </c>
      <c r="M228" s="14"/>
      <c r="N228" s="14"/>
      <c r="O228" s="42" t="str">
        <f t="shared" si="14"/>
        <v/>
      </c>
      <c r="P228" s="14">
        <f>2</f>
        <v>2</v>
      </c>
      <c r="Q228" s="42" t="str">
        <f t="shared" si="15"/>
        <v/>
      </c>
    </row>
    <row r="229" spans="1:17" x14ac:dyDescent="0.2">
      <c r="A229" t="str">
        <f>INDEX(Prioritization!$D:$D,MATCH($B229,Prioritization!$A:$A,0))</f>
        <v>INVALID</v>
      </c>
      <c r="B229" t="s">
        <v>219</v>
      </c>
      <c r="C229" t="s">
        <v>367</v>
      </c>
      <c r="D229" t="s">
        <v>29</v>
      </c>
      <c r="E229" t="str">
        <f t="shared" si="12"/>
        <v>Phalombe District [AZyWpGzhcaA]|50+|Female</v>
      </c>
      <c r="F229" s="14" t="str">
        <f>IF(LEFT($B229,4)="_Mil","",INDEX(Cascade!$U:$U,MATCH($E229,Cascade!$E:$E,0)))</f>
        <v/>
      </c>
      <c r="G229" s="14" t="str">
        <f>IFERROR(1/(1/INDEX(HTS!$AT:$AT,MATCH($E229,HTS!$E:$E,0))),"")</f>
        <v/>
      </c>
      <c r="H229" s="14" t="str">
        <f>IF(OR($C229="15-24",$C229="25-34"),IFERROR(1/(1/SUM(SUMIFS(AGYW!$S:$S,AGYW!$B:$B,$B229,AGYW!$C:$C,IF($C229="15-24",{"15-19","20-24"},{"25-29"}),AGYW!$D:$D,$D229))),""),"")</f>
        <v/>
      </c>
      <c r="I229" s="14" t="str">
        <f>IF(OR($C229="15-24",$C229="25-34"),IFERROR(1/(1/SUM(SUMIFS(AGYW!$T:$T,AGYW!$B:$B,$B229,AGYW!$C:$C,IF($C229="15-24",{"15-19","20-24"},{"25-29"}),AGYW!$D:$D,$D229))),""),"")</f>
        <v/>
      </c>
      <c r="J229" s="14">
        <v>1</v>
      </c>
      <c r="K229" s="14">
        <v>1</v>
      </c>
      <c r="L229" s="42">
        <f t="shared" si="13"/>
        <v>1</v>
      </c>
      <c r="M229" s="14"/>
      <c r="N229" s="14"/>
      <c r="O229" s="42" t="str">
        <f t="shared" si="14"/>
        <v/>
      </c>
      <c r="P229" s="14">
        <f>2</f>
        <v>2</v>
      </c>
      <c r="Q229" s="42" t="str">
        <f t="shared" si="15"/>
        <v/>
      </c>
    </row>
    <row r="230" spans="1:17" x14ac:dyDescent="0.2">
      <c r="A230" t="str">
        <f>INDEX(Prioritization!$D:$D,MATCH($B230,Prioritization!$A:$A,0))</f>
        <v>INVALID</v>
      </c>
      <c r="B230" t="s">
        <v>219</v>
      </c>
      <c r="C230" t="s">
        <v>367</v>
      </c>
      <c r="D230" t="s">
        <v>47</v>
      </c>
      <c r="E230" t="str">
        <f t="shared" si="12"/>
        <v>Phalombe District [AZyWpGzhcaA]|50+|Male</v>
      </c>
      <c r="F230" s="14" t="str">
        <f>IF(LEFT($B230,4)="_Mil","",INDEX(Cascade!$U:$U,MATCH($E230,Cascade!$E:$E,0)))</f>
        <v/>
      </c>
      <c r="G230" s="14" t="str">
        <f>IFERROR(1/(1/INDEX(HTS!$AT:$AT,MATCH($E230,HTS!$E:$E,0))),"")</f>
        <v/>
      </c>
      <c r="H230" s="14" t="str">
        <f>IF(OR($C230="15-24",$C230="25-34"),IFERROR(1/(1/SUM(SUMIFS(AGYW!$S:$S,AGYW!$B:$B,$B230,AGYW!$C:$C,IF($C230="15-24",{"15-19","20-24"},{"25-29"}),AGYW!$D:$D,$D230))),""),"")</f>
        <v/>
      </c>
      <c r="I230" s="14" t="str">
        <f>IF(OR($C230="15-24",$C230="25-34"),IFERROR(1/(1/SUM(SUMIFS(AGYW!$T:$T,AGYW!$B:$B,$B230,AGYW!$C:$C,IF($C230="15-24",{"15-19","20-24"},{"25-29"}),AGYW!$D:$D,$D230))),""),"")</f>
        <v/>
      </c>
      <c r="J230" s="14"/>
      <c r="K230" s="14">
        <v>0</v>
      </c>
      <c r="L230" s="42" t="str">
        <f t="shared" si="13"/>
        <v/>
      </c>
      <c r="M230" s="14"/>
      <c r="N230" s="14"/>
      <c r="O230" s="42" t="str">
        <f t="shared" si="14"/>
        <v/>
      </c>
      <c r="P230" s="14">
        <f>2</f>
        <v>2</v>
      </c>
      <c r="Q230" s="42" t="str">
        <f t="shared" si="15"/>
        <v/>
      </c>
    </row>
    <row r="231" spans="1:17" x14ac:dyDescent="0.2">
      <c r="A231" t="str">
        <f>INDEX(Prioritization!$D:$D,MATCH($B231,Prioritization!$A:$A,0))</f>
        <v>1 - Scale-up: Saturation</v>
      </c>
      <c r="B231" t="s">
        <v>220</v>
      </c>
      <c r="C231" t="s">
        <v>364</v>
      </c>
      <c r="D231" t="s">
        <v>29</v>
      </c>
      <c r="E231" t="str">
        <f t="shared" si="12"/>
        <v>Thyolo District [ul0y9diGujK]|15-24|Female</v>
      </c>
      <c r="F231" s="14" t="str">
        <f>IF(LEFT($B231,4)="_Mil","",INDEX(Cascade!$U:$U,MATCH($E231,Cascade!$E:$E,0)))</f>
        <v/>
      </c>
      <c r="G231" s="14" t="str">
        <f>IFERROR(1/(1/INDEX(HTS!$AT:$AT,MATCH($E231,HTS!$E:$E,0))),"")</f>
        <v/>
      </c>
      <c r="H231" s="14" t="str">
        <f>IF(OR($C231="15-24",$C231="25-34"),IFERROR(1/(1/SUM(SUMIFS(AGYW!$S:$S,AGYW!$B:$B,$B231,AGYW!$C:$C,IF($C231="15-24",{"15-19","20-24"},{"25-29"}),AGYW!$D:$D,$D231))),""),"")</f>
        <v/>
      </c>
      <c r="I231" s="14" t="str">
        <f>IF(OR($C231="15-24",$C231="25-34"),IFERROR(1/(1/SUM(SUMIFS(AGYW!$T:$T,AGYW!$B:$B,$B231,AGYW!$C:$C,IF($C231="15-24",{"15-19","20-24"},{"25-29"}),AGYW!$D:$D,$D231))),""),"")</f>
        <v/>
      </c>
      <c r="J231" s="14"/>
      <c r="K231" s="14"/>
      <c r="L231" s="42" t="str">
        <f t="shared" si="13"/>
        <v/>
      </c>
      <c r="M231" s="14"/>
      <c r="N231" s="14"/>
      <c r="O231" s="42" t="str">
        <f t="shared" si="14"/>
        <v/>
      </c>
      <c r="P231" s="14">
        <f>2</f>
        <v>2</v>
      </c>
      <c r="Q231" s="42" t="str">
        <f t="shared" si="15"/>
        <v/>
      </c>
    </row>
    <row r="232" spans="1:17" x14ac:dyDescent="0.2">
      <c r="A232" t="str">
        <f>INDEX(Prioritization!$D:$D,MATCH($B232,Prioritization!$A:$A,0))</f>
        <v>1 - Scale-up: Saturation</v>
      </c>
      <c r="B232" t="s">
        <v>220</v>
      </c>
      <c r="C232" t="s">
        <v>364</v>
      </c>
      <c r="D232" t="s">
        <v>47</v>
      </c>
      <c r="E232" t="str">
        <f t="shared" si="12"/>
        <v>Thyolo District [ul0y9diGujK]|15-24|Male</v>
      </c>
      <c r="F232" s="14" t="str">
        <f>IF(LEFT($B232,4)="_Mil","",INDEX(Cascade!$U:$U,MATCH($E232,Cascade!$E:$E,0)))</f>
        <v/>
      </c>
      <c r="G232" s="14" t="str">
        <f>IFERROR(1/(1/INDEX(HTS!$AT:$AT,MATCH($E232,HTS!$E:$E,0))),"")</f>
        <v/>
      </c>
      <c r="H232" s="14" t="str">
        <f>IF(OR($C232="15-24",$C232="25-34"),IFERROR(1/(1/SUM(SUMIFS(AGYW!$S:$S,AGYW!$B:$B,$B232,AGYW!$C:$C,IF($C232="15-24",{"15-19","20-24"},{"25-29"}),AGYW!$D:$D,$D232))),""),"")</f>
        <v/>
      </c>
      <c r="I232" s="14" t="str">
        <f>IF(OR($C232="15-24",$C232="25-34"),IFERROR(1/(1/SUM(SUMIFS(AGYW!$T:$T,AGYW!$B:$B,$B232,AGYW!$C:$C,IF($C232="15-24",{"15-19","20-24"},{"25-29"}),AGYW!$D:$D,$D232))),""),"")</f>
        <v/>
      </c>
      <c r="J232" s="14"/>
      <c r="K232" s="14"/>
      <c r="L232" s="42" t="str">
        <f t="shared" si="13"/>
        <v/>
      </c>
      <c r="M232" s="14"/>
      <c r="N232" s="14"/>
      <c r="O232" s="42" t="str">
        <f t="shared" si="14"/>
        <v/>
      </c>
      <c r="P232" s="14">
        <f>2</f>
        <v>2</v>
      </c>
      <c r="Q232" s="42" t="str">
        <f t="shared" si="15"/>
        <v/>
      </c>
    </row>
    <row r="233" spans="1:17" x14ac:dyDescent="0.2">
      <c r="A233" t="str">
        <f>INDEX(Prioritization!$D:$D,MATCH($B233,Prioritization!$A:$A,0))</f>
        <v>1 - Scale-up: Saturation</v>
      </c>
      <c r="B233" t="s">
        <v>220</v>
      </c>
      <c r="C233" t="s">
        <v>365</v>
      </c>
      <c r="D233" t="s">
        <v>29</v>
      </c>
      <c r="E233" t="str">
        <f t="shared" si="12"/>
        <v>Thyolo District [ul0y9diGujK]|25-34|Female</v>
      </c>
      <c r="F233" s="14" t="str">
        <f>IF(LEFT($B233,4)="_Mil","",INDEX(Cascade!$U:$U,MATCH($E233,Cascade!$E:$E,0)))</f>
        <v/>
      </c>
      <c r="G233" s="14" t="str">
        <f>IFERROR(1/(1/INDEX(HTS!$AT:$AT,MATCH($E233,HTS!$E:$E,0))),"")</f>
        <v/>
      </c>
      <c r="H233" s="14" t="str">
        <f>IF(OR($C233="15-24",$C233="25-34"),IFERROR(1/(1/SUM(SUMIFS(AGYW!$S:$S,AGYW!$B:$B,$B233,AGYW!$C:$C,IF($C233="15-24",{"15-19","20-24"},{"25-29"}),AGYW!$D:$D,$D233))),""),"")</f>
        <v/>
      </c>
      <c r="I233" s="14" t="str">
        <f>IF(OR($C233="15-24",$C233="25-34"),IFERROR(1/(1/SUM(SUMIFS(AGYW!$T:$T,AGYW!$B:$B,$B233,AGYW!$C:$C,IF($C233="15-24",{"15-19","20-24"},{"25-29"}),AGYW!$D:$D,$D233))),""),"")</f>
        <v/>
      </c>
      <c r="J233" s="14"/>
      <c r="K233" s="14"/>
      <c r="L233" s="42" t="str">
        <f t="shared" si="13"/>
        <v/>
      </c>
      <c r="M233" s="14"/>
      <c r="N233" s="14"/>
      <c r="O233" s="42" t="str">
        <f t="shared" si="14"/>
        <v/>
      </c>
      <c r="P233" s="14">
        <f>2</f>
        <v>2</v>
      </c>
      <c r="Q233" s="42" t="str">
        <f t="shared" si="15"/>
        <v/>
      </c>
    </row>
    <row r="234" spans="1:17" x14ac:dyDescent="0.2">
      <c r="A234" t="str">
        <f>INDEX(Prioritization!$D:$D,MATCH($B234,Prioritization!$A:$A,0))</f>
        <v>1 - Scale-up: Saturation</v>
      </c>
      <c r="B234" t="s">
        <v>220</v>
      </c>
      <c r="C234" t="s">
        <v>365</v>
      </c>
      <c r="D234" t="s">
        <v>47</v>
      </c>
      <c r="E234" t="str">
        <f t="shared" si="12"/>
        <v>Thyolo District [ul0y9diGujK]|25-34|Male</v>
      </c>
      <c r="F234" s="14" t="str">
        <f>IF(LEFT($B234,4)="_Mil","",INDEX(Cascade!$U:$U,MATCH($E234,Cascade!$E:$E,0)))</f>
        <v/>
      </c>
      <c r="G234" s="14" t="str">
        <f>IFERROR(1/(1/INDEX(HTS!$AT:$AT,MATCH($E234,HTS!$E:$E,0))),"")</f>
        <v/>
      </c>
      <c r="H234" s="14" t="str">
        <f>IF(OR($C234="15-24",$C234="25-34"),IFERROR(1/(1/SUM(SUMIFS(AGYW!$S:$S,AGYW!$B:$B,$B234,AGYW!$C:$C,IF($C234="15-24",{"15-19","20-24"},{"25-29"}),AGYW!$D:$D,$D234))),""),"")</f>
        <v/>
      </c>
      <c r="I234" s="14" t="str">
        <f>IF(OR($C234="15-24",$C234="25-34"),IFERROR(1/(1/SUM(SUMIFS(AGYW!$T:$T,AGYW!$B:$B,$B234,AGYW!$C:$C,IF($C234="15-24",{"15-19","20-24"},{"25-29"}),AGYW!$D:$D,$D234))),""),"")</f>
        <v/>
      </c>
      <c r="J234" s="14"/>
      <c r="K234" s="14"/>
      <c r="L234" s="42" t="str">
        <f t="shared" si="13"/>
        <v/>
      </c>
      <c r="M234" s="14"/>
      <c r="N234" s="14"/>
      <c r="O234" s="42" t="str">
        <f t="shared" si="14"/>
        <v/>
      </c>
      <c r="P234" s="14">
        <f>2</f>
        <v>2</v>
      </c>
      <c r="Q234" s="42" t="str">
        <f t="shared" si="15"/>
        <v/>
      </c>
    </row>
    <row r="235" spans="1:17" x14ac:dyDescent="0.2">
      <c r="A235" t="str">
        <f>INDEX(Prioritization!$D:$D,MATCH($B235,Prioritization!$A:$A,0))</f>
        <v>1 - Scale-up: Saturation</v>
      </c>
      <c r="B235" t="s">
        <v>220</v>
      </c>
      <c r="C235" t="s">
        <v>366</v>
      </c>
      <c r="D235" t="s">
        <v>29</v>
      </c>
      <c r="E235" t="str">
        <f t="shared" si="12"/>
        <v>Thyolo District [ul0y9diGujK]|35-49|Female</v>
      </c>
      <c r="F235" s="14" t="str">
        <f>IF(LEFT($B235,4)="_Mil","",INDEX(Cascade!$U:$U,MATCH($E235,Cascade!$E:$E,0)))</f>
        <v/>
      </c>
      <c r="G235" s="14" t="str">
        <f>IFERROR(1/(1/INDEX(HTS!$AT:$AT,MATCH($E235,HTS!$E:$E,0))),"")</f>
        <v/>
      </c>
      <c r="H235" s="14" t="str">
        <f>IF(OR($C235="15-24",$C235="25-34"),IFERROR(1/(1/SUM(SUMIFS(AGYW!$S:$S,AGYW!$B:$B,$B235,AGYW!$C:$C,IF($C235="15-24",{"15-19","20-24"},{"25-29"}),AGYW!$D:$D,$D235))),""),"")</f>
        <v/>
      </c>
      <c r="I235" s="14" t="str">
        <f>IF(OR($C235="15-24",$C235="25-34"),IFERROR(1/(1/SUM(SUMIFS(AGYW!$T:$T,AGYW!$B:$B,$B235,AGYW!$C:$C,IF($C235="15-24",{"15-19","20-24"},{"25-29"}),AGYW!$D:$D,$D235))),""),"")</f>
        <v/>
      </c>
      <c r="J235" s="14"/>
      <c r="K235" s="14"/>
      <c r="L235" s="42" t="str">
        <f t="shared" si="13"/>
        <v/>
      </c>
      <c r="M235" s="14"/>
      <c r="N235" s="14"/>
      <c r="O235" s="42" t="str">
        <f t="shared" si="14"/>
        <v/>
      </c>
      <c r="P235" s="14">
        <f>2</f>
        <v>2</v>
      </c>
      <c r="Q235" s="42" t="str">
        <f t="shared" si="15"/>
        <v/>
      </c>
    </row>
    <row r="236" spans="1:17" x14ac:dyDescent="0.2">
      <c r="A236" t="str">
        <f>INDEX(Prioritization!$D:$D,MATCH($B236,Prioritization!$A:$A,0))</f>
        <v>1 - Scale-up: Saturation</v>
      </c>
      <c r="B236" t="s">
        <v>220</v>
      </c>
      <c r="C236" t="s">
        <v>366</v>
      </c>
      <c r="D236" t="s">
        <v>47</v>
      </c>
      <c r="E236" t="str">
        <f t="shared" si="12"/>
        <v>Thyolo District [ul0y9diGujK]|35-49|Male</v>
      </c>
      <c r="F236" s="14" t="str">
        <f>IF(LEFT($B236,4)="_Mil","",INDEX(Cascade!$U:$U,MATCH($E236,Cascade!$E:$E,0)))</f>
        <v/>
      </c>
      <c r="G236" s="14" t="str">
        <f>IFERROR(1/(1/INDEX(HTS!$AT:$AT,MATCH($E236,HTS!$E:$E,0))),"")</f>
        <v/>
      </c>
      <c r="H236" s="14" t="str">
        <f>IF(OR($C236="15-24",$C236="25-34"),IFERROR(1/(1/SUM(SUMIFS(AGYW!$S:$S,AGYW!$B:$B,$B236,AGYW!$C:$C,IF($C236="15-24",{"15-19","20-24"},{"25-29"}),AGYW!$D:$D,$D236))),""),"")</f>
        <v/>
      </c>
      <c r="I236" s="14" t="str">
        <f>IF(OR($C236="15-24",$C236="25-34"),IFERROR(1/(1/SUM(SUMIFS(AGYW!$T:$T,AGYW!$B:$B,$B236,AGYW!$C:$C,IF($C236="15-24",{"15-19","20-24"},{"25-29"}),AGYW!$D:$D,$D236))),""),"")</f>
        <v/>
      </c>
      <c r="J236" s="14"/>
      <c r="K236" s="14"/>
      <c r="L236" s="42" t="str">
        <f t="shared" si="13"/>
        <v/>
      </c>
      <c r="M236" s="14"/>
      <c r="N236" s="14"/>
      <c r="O236" s="42" t="str">
        <f t="shared" si="14"/>
        <v/>
      </c>
      <c r="P236" s="14">
        <f>2</f>
        <v>2</v>
      </c>
      <c r="Q236" s="42" t="str">
        <f t="shared" si="15"/>
        <v/>
      </c>
    </row>
    <row r="237" spans="1:17" x14ac:dyDescent="0.2">
      <c r="A237" t="str">
        <f>INDEX(Prioritization!$D:$D,MATCH($B237,Prioritization!$A:$A,0))</f>
        <v>1 - Scale-up: Saturation</v>
      </c>
      <c r="B237" t="s">
        <v>220</v>
      </c>
      <c r="C237" t="s">
        <v>367</v>
      </c>
      <c r="D237" t="s">
        <v>29</v>
      </c>
      <c r="E237" t="str">
        <f t="shared" si="12"/>
        <v>Thyolo District [ul0y9diGujK]|50+|Female</v>
      </c>
      <c r="F237" s="14" t="str">
        <f>IF(LEFT($B237,4)="_Mil","",INDEX(Cascade!$U:$U,MATCH($E237,Cascade!$E:$E,0)))</f>
        <v/>
      </c>
      <c r="G237" s="14" t="str">
        <f>IFERROR(1/(1/INDEX(HTS!$AT:$AT,MATCH($E237,HTS!$E:$E,0))),"")</f>
        <v/>
      </c>
      <c r="H237" s="14" t="str">
        <f>IF(OR($C237="15-24",$C237="25-34"),IFERROR(1/(1/SUM(SUMIFS(AGYW!$S:$S,AGYW!$B:$B,$B237,AGYW!$C:$C,IF($C237="15-24",{"15-19","20-24"},{"25-29"}),AGYW!$D:$D,$D237))),""),"")</f>
        <v/>
      </c>
      <c r="I237" s="14" t="str">
        <f>IF(OR($C237="15-24",$C237="25-34"),IFERROR(1/(1/SUM(SUMIFS(AGYW!$T:$T,AGYW!$B:$B,$B237,AGYW!$C:$C,IF($C237="15-24",{"15-19","20-24"},{"25-29"}),AGYW!$D:$D,$D237))),""),"")</f>
        <v/>
      </c>
      <c r="J237" s="14">
        <v>7</v>
      </c>
      <c r="K237" s="14"/>
      <c r="L237" s="42" t="str">
        <f t="shared" si="13"/>
        <v/>
      </c>
      <c r="M237" s="14"/>
      <c r="N237" s="14"/>
      <c r="O237" s="42" t="str">
        <f t="shared" si="14"/>
        <v/>
      </c>
      <c r="P237" s="14">
        <f>2</f>
        <v>2</v>
      </c>
      <c r="Q237" s="42" t="str">
        <f t="shared" si="15"/>
        <v/>
      </c>
    </row>
    <row r="238" spans="1:17" x14ac:dyDescent="0.2">
      <c r="A238" t="str">
        <f>INDEX(Prioritization!$D:$D,MATCH($B238,Prioritization!$A:$A,0))</f>
        <v>1 - Scale-up: Saturation</v>
      </c>
      <c r="B238" t="s">
        <v>220</v>
      </c>
      <c r="C238" t="s">
        <v>367</v>
      </c>
      <c r="D238" t="s">
        <v>47</v>
      </c>
      <c r="E238" t="str">
        <f t="shared" si="12"/>
        <v>Thyolo District [ul0y9diGujK]|50+|Male</v>
      </c>
      <c r="F238" s="14" t="str">
        <f>IF(LEFT($B238,4)="_Mil","",INDEX(Cascade!$U:$U,MATCH($E238,Cascade!$E:$E,0)))</f>
        <v/>
      </c>
      <c r="G238" s="14" t="str">
        <f>IFERROR(1/(1/INDEX(HTS!$AT:$AT,MATCH($E238,HTS!$E:$E,0))),"")</f>
        <v/>
      </c>
      <c r="H238" s="14" t="str">
        <f>IF(OR($C238="15-24",$C238="25-34"),IFERROR(1/(1/SUM(SUMIFS(AGYW!$S:$S,AGYW!$B:$B,$B238,AGYW!$C:$C,IF($C238="15-24",{"15-19","20-24"},{"25-29"}),AGYW!$D:$D,$D238))),""),"")</f>
        <v/>
      </c>
      <c r="I238" s="14" t="str">
        <f>IF(OR($C238="15-24",$C238="25-34"),IFERROR(1/(1/SUM(SUMIFS(AGYW!$T:$T,AGYW!$B:$B,$B238,AGYW!$C:$C,IF($C238="15-24",{"15-19","20-24"},{"25-29"}),AGYW!$D:$D,$D238))),""),"")</f>
        <v/>
      </c>
      <c r="J238" s="14">
        <v>8</v>
      </c>
      <c r="K238" s="14"/>
      <c r="L238" s="42" t="str">
        <f t="shared" si="13"/>
        <v/>
      </c>
      <c r="M238" s="14"/>
      <c r="N238" s="14"/>
      <c r="O238" s="42" t="str">
        <f t="shared" si="14"/>
        <v/>
      </c>
      <c r="P238" s="14">
        <f>2</f>
        <v>2</v>
      </c>
      <c r="Q238" s="42" t="str">
        <f t="shared" si="15"/>
        <v/>
      </c>
    </row>
    <row r="239" spans="1:17" x14ac:dyDescent="0.2">
      <c r="A239" t="str">
        <f>INDEX(Prioritization!$D:$D,MATCH($B239,Prioritization!$A:$A,0))</f>
        <v>1 - Scale-up: Saturation</v>
      </c>
      <c r="B239" t="s">
        <v>221</v>
      </c>
      <c r="C239" t="s">
        <v>364</v>
      </c>
      <c r="D239" t="s">
        <v>29</v>
      </c>
      <c r="E239" t="str">
        <f t="shared" si="12"/>
        <v>Zomba District [fyEoGEPERdI]|15-24|Female</v>
      </c>
      <c r="F239" s="14" t="str">
        <f>IF(LEFT($B239,4)="_Mil","",INDEX(Cascade!$U:$U,MATCH($E239,Cascade!$E:$E,0)))</f>
        <v/>
      </c>
      <c r="G239" s="14" t="str">
        <f>IFERROR(1/(1/INDEX(HTS!$AT:$AT,MATCH($E239,HTS!$E:$E,0))),"")</f>
        <v/>
      </c>
      <c r="H239" s="14" t="str">
        <f>IF(OR($C239="15-24",$C239="25-34"),IFERROR(1/(1/SUM(SUMIFS(AGYW!$S:$S,AGYW!$B:$B,$B239,AGYW!$C:$C,IF($C239="15-24",{"15-19","20-24"},{"25-29"}),AGYW!$D:$D,$D239))),""),"")</f>
        <v/>
      </c>
      <c r="I239" s="14" t="str">
        <f>IF(OR($C239="15-24",$C239="25-34"),IFERROR(1/(1/SUM(SUMIFS(AGYW!$T:$T,AGYW!$B:$B,$B239,AGYW!$C:$C,IF($C239="15-24",{"15-19","20-24"},{"25-29"}),AGYW!$D:$D,$D239))),""),"")</f>
        <v/>
      </c>
      <c r="J239" s="14"/>
      <c r="K239" s="14"/>
      <c r="L239" s="42" t="str">
        <f t="shared" si="13"/>
        <v/>
      </c>
      <c r="M239" s="14"/>
      <c r="N239" s="14"/>
      <c r="O239" s="42" t="str">
        <f t="shared" si="14"/>
        <v/>
      </c>
      <c r="P239" s="14">
        <f>2</f>
        <v>2</v>
      </c>
      <c r="Q239" s="42" t="str">
        <f t="shared" si="15"/>
        <v/>
      </c>
    </row>
    <row r="240" spans="1:17" x14ac:dyDescent="0.2">
      <c r="A240" t="str">
        <f>INDEX(Prioritization!$D:$D,MATCH($B240,Prioritization!$A:$A,0))</f>
        <v>1 - Scale-up: Saturation</v>
      </c>
      <c r="B240" t="s">
        <v>221</v>
      </c>
      <c r="C240" t="s">
        <v>364</v>
      </c>
      <c r="D240" t="s">
        <v>47</v>
      </c>
      <c r="E240" t="str">
        <f t="shared" si="12"/>
        <v>Zomba District [fyEoGEPERdI]|15-24|Male</v>
      </c>
      <c r="F240" s="14" t="str">
        <f>IF(LEFT($B240,4)="_Mil","",INDEX(Cascade!$U:$U,MATCH($E240,Cascade!$E:$E,0)))</f>
        <v/>
      </c>
      <c r="G240" s="14" t="str">
        <f>IFERROR(1/(1/INDEX(HTS!$AT:$AT,MATCH($E240,HTS!$E:$E,0))),"")</f>
        <v/>
      </c>
      <c r="H240" s="14" t="str">
        <f>IF(OR($C240="15-24",$C240="25-34"),IFERROR(1/(1/SUM(SUMIFS(AGYW!$S:$S,AGYW!$B:$B,$B240,AGYW!$C:$C,IF($C240="15-24",{"15-19","20-24"},{"25-29"}),AGYW!$D:$D,$D240))),""),"")</f>
        <v/>
      </c>
      <c r="I240" s="14" t="str">
        <f>IF(OR($C240="15-24",$C240="25-34"),IFERROR(1/(1/SUM(SUMIFS(AGYW!$T:$T,AGYW!$B:$B,$B240,AGYW!$C:$C,IF($C240="15-24",{"15-19","20-24"},{"25-29"}),AGYW!$D:$D,$D240))),""),"")</f>
        <v/>
      </c>
      <c r="J240" s="14"/>
      <c r="K240" s="14"/>
      <c r="L240" s="42" t="str">
        <f t="shared" si="13"/>
        <v/>
      </c>
      <c r="M240" s="14"/>
      <c r="N240" s="14"/>
      <c r="O240" s="42" t="str">
        <f t="shared" si="14"/>
        <v/>
      </c>
      <c r="P240" s="14">
        <f>2</f>
        <v>2</v>
      </c>
      <c r="Q240" s="42" t="str">
        <f t="shared" si="15"/>
        <v/>
      </c>
    </row>
    <row r="241" spans="1:17" x14ac:dyDescent="0.2">
      <c r="A241" t="str">
        <f>INDEX(Prioritization!$D:$D,MATCH($B241,Prioritization!$A:$A,0))</f>
        <v>1 - Scale-up: Saturation</v>
      </c>
      <c r="B241" t="s">
        <v>221</v>
      </c>
      <c r="C241" t="s">
        <v>365</v>
      </c>
      <c r="D241" t="s">
        <v>29</v>
      </c>
      <c r="E241" t="str">
        <f t="shared" si="12"/>
        <v>Zomba District [fyEoGEPERdI]|25-34|Female</v>
      </c>
      <c r="F241" s="14" t="str">
        <f>IF(LEFT($B241,4)="_Mil","",INDEX(Cascade!$U:$U,MATCH($E241,Cascade!$E:$E,0)))</f>
        <v/>
      </c>
      <c r="G241" s="14" t="str">
        <f>IFERROR(1/(1/INDEX(HTS!$AT:$AT,MATCH($E241,HTS!$E:$E,0))),"")</f>
        <v/>
      </c>
      <c r="H241" s="14" t="str">
        <f>IF(OR($C241="15-24",$C241="25-34"),IFERROR(1/(1/SUM(SUMIFS(AGYW!$S:$S,AGYW!$B:$B,$B241,AGYW!$C:$C,IF($C241="15-24",{"15-19","20-24"},{"25-29"}),AGYW!$D:$D,$D241))),""),"")</f>
        <v/>
      </c>
      <c r="I241" s="14" t="str">
        <f>IF(OR($C241="15-24",$C241="25-34"),IFERROR(1/(1/SUM(SUMIFS(AGYW!$T:$T,AGYW!$B:$B,$B241,AGYW!$C:$C,IF($C241="15-24",{"15-19","20-24"},{"25-29"}),AGYW!$D:$D,$D241))),""),"")</f>
        <v/>
      </c>
      <c r="J241" s="14"/>
      <c r="K241" s="14"/>
      <c r="L241" s="42" t="str">
        <f t="shared" si="13"/>
        <v/>
      </c>
      <c r="M241" s="14"/>
      <c r="N241" s="14"/>
      <c r="O241" s="42" t="str">
        <f t="shared" si="14"/>
        <v/>
      </c>
      <c r="P241" s="14">
        <f>2</f>
        <v>2</v>
      </c>
      <c r="Q241" s="42" t="str">
        <f t="shared" si="15"/>
        <v/>
      </c>
    </row>
    <row r="242" spans="1:17" x14ac:dyDescent="0.2">
      <c r="A242" t="str">
        <f>INDEX(Prioritization!$D:$D,MATCH($B242,Prioritization!$A:$A,0))</f>
        <v>1 - Scale-up: Saturation</v>
      </c>
      <c r="B242" t="s">
        <v>221</v>
      </c>
      <c r="C242" t="s">
        <v>365</v>
      </c>
      <c r="D242" t="s">
        <v>47</v>
      </c>
      <c r="E242" t="str">
        <f t="shared" si="12"/>
        <v>Zomba District [fyEoGEPERdI]|25-34|Male</v>
      </c>
      <c r="F242" s="14" t="str">
        <f>IF(LEFT($B242,4)="_Mil","",INDEX(Cascade!$U:$U,MATCH($E242,Cascade!$E:$E,0)))</f>
        <v/>
      </c>
      <c r="G242" s="14" t="str">
        <f>IFERROR(1/(1/INDEX(HTS!$AT:$AT,MATCH($E242,HTS!$E:$E,0))),"")</f>
        <v/>
      </c>
      <c r="H242" s="14" t="str">
        <f>IF(OR($C242="15-24",$C242="25-34"),IFERROR(1/(1/SUM(SUMIFS(AGYW!$S:$S,AGYW!$B:$B,$B242,AGYW!$C:$C,IF($C242="15-24",{"15-19","20-24"},{"25-29"}),AGYW!$D:$D,$D242))),""),"")</f>
        <v/>
      </c>
      <c r="I242" s="14" t="str">
        <f>IF(OR($C242="15-24",$C242="25-34"),IFERROR(1/(1/SUM(SUMIFS(AGYW!$T:$T,AGYW!$B:$B,$B242,AGYW!$C:$C,IF($C242="15-24",{"15-19","20-24"},{"25-29"}),AGYW!$D:$D,$D242))),""),"")</f>
        <v/>
      </c>
      <c r="J242" s="14"/>
      <c r="K242" s="14"/>
      <c r="L242" s="42" t="str">
        <f t="shared" si="13"/>
        <v/>
      </c>
      <c r="M242" s="14"/>
      <c r="N242" s="14"/>
      <c r="O242" s="42" t="str">
        <f t="shared" si="14"/>
        <v/>
      </c>
      <c r="P242" s="14">
        <f>2</f>
        <v>2</v>
      </c>
      <c r="Q242" s="42" t="str">
        <f t="shared" si="15"/>
        <v/>
      </c>
    </row>
    <row r="243" spans="1:17" x14ac:dyDescent="0.2">
      <c r="A243" t="str">
        <f>INDEX(Prioritization!$D:$D,MATCH($B243,Prioritization!$A:$A,0))</f>
        <v>1 - Scale-up: Saturation</v>
      </c>
      <c r="B243" t="s">
        <v>221</v>
      </c>
      <c r="C243" t="s">
        <v>366</v>
      </c>
      <c r="D243" t="s">
        <v>29</v>
      </c>
      <c r="E243" t="str">
        <f t="shared" si="12"/>
        <v>Zomba District [fyEoGEPERdI]|35-49|Female</v>
      </c>
      <c r="F243" s="14" t="str">
        <f>IF(LEFT($B243,4)="_Mil","",INDEX(Cascade!$U:$U,MATCH($E243,Cascade!$E:$E,0)))</f>
        <v/>
      </c>
      <c r="G243" s="14" t="str">
        <f>IFERROR(1/(1/INDEX(HTS!$AT:$AT,MATCH($E243,HTS!$E:$E,0))),"")</f>
        <v/>
      </c>
      <c r="H243" s="14" t="str">
        <f>IF(OR($C243="15-24",$C243="25-34"),IFERROR(1/(1/SUM(SUMIFS(AGYW!$S:$S,AGYW!$B:$B,$B243,AGYW!$C:$C,IF($C243="15-24",{"15-19","20-24"},{"25-29"}),AGYW!$D:$D,$D243))),""),"")</f>
        <v/>
      </c>
      <c r="I243" s="14" t="str">
        <f>IF(OR($C243="15-24",$C243="25-34"),IFERROR(1/(1/SUM(SUMIFS(AGYW!$T:$T,AGYW!$B:$B,$B243,AGYW!$C:$C,IF($C243="15-24",{"15-19","20-24"},{"25-29"}),AGYW!$D:$D,$D243))),""),"")</f>
        <v/>
      </c>
      <c r="J243" s="14"/>
      <c r="K243" s="14"/>
      <c r="L243" s="42" t="str">
        <f t="shared" si="13"/>
        <v/>
      </c>
      <c r="M243" s="14"/>
      <c r="N243" s="14"/>
      <c r="O243" s="42" t="str">
        <f t="shared" si="14"/>
        <v/>
      </c>
      <c r="P243" s="14">
        <f>2</f>
        <v>2</v>
      </c>
      <c r="Q243" s="42" t="str">
        <f t="shared" si="15"/>
        <v/>
      </c>
    </row>
    <row r="244" spans="1:17" x14ac:dyDescent="0.2">
      <c r="A244" t="str">
        <f>INDEX(Prioritization!$D:$D,MATCH($B244,Prioritization!$A:$A,0))</f>
        <v>1 - Scale-up: Saturation</v>
      </c>
      <c r="B244" t="s">
        <v>221</v>
      </c>
      <c r="C244" t="s">
        <v>366</v>
      </c>
      <c r="D244" t="s">
        <v>47</v>
      </c>
      <c r="E244" t="str">
        <f t="shared" si="12"/>
        <v>Zomba District [fyEoGEPERdI]|35-49|Male</v>
      </c>
      <c r="F244" s="14" t="str">
        <f>IF(LEFT($B244,4)="_Mil","",INDEX(Cascade!$U:$U,MATCH($E244,Cascade!$E:$E,0)))</f>
        <v/>
      </c>
      <c r="G244" s="14" t="str">
        <f>IFERROR(1/(1/INDEX(HTS!$AT:$AT,MATCH($E244,HTS!$E:$E,0))),"")</f>
        <v/>
      </c>
      <c r="H244" s="14" t="str">
        <f>IF(OR($C244="15-24",$C244="25-34"),IFERROR(1/(1/SUM(SUMIFS(AGYW!$S:$S,AGYW!$B:$B,$B244,AGYW!$C:$C,IF($C244="15-24",{"15-19","20-24"},{"25-29"}),AGYW!$D:$D,$D244))),""),"")</f>
        <v/>
      </c>
      <c r="I244" s="14" t="str">
        <f>IF(OR($C244="15-24",$C244="25-34"),IFERROR(1/(1/SUM(SUMIFS(AGYW!$T:$T,AGYW!$B:$B,$B244,AGYW!$C:$C,IF($C244="15-24",{"15-19","20-24"},{"25-29"}),AGYW!$D:$D,$D244))),""),"")</f>
        <v/>
      </c>
      <c r="J244" s="14"/>
      <c r="K244" s="14"/>
      <c r="L244" s="42" t="str">
        <f t="shared" si="13"/>
        <v/>
      </c>
      <c r="M244" s="14"/>
      <c r="N244" s="14"/>
      <c r="O244" s="42" t="str">
        <f t="shared" si="14"/>
        <v/>
      </c>
      <c r="P244" s="14">
        <f>2</f>
        <v>2</v>
      </c>
      <c r="Q244" s="42" t="str">
        <f t="shared" si="15"/>
        <v/>
      </c>
    </row>
    <row r="245" spans="1:17" x14ac:dyDescent="0.2">
      <c r="A245" t="str">
        <f>INDEX(Prioritization!$D:$D,MATCH($B245,Prioritization!$A:$A,0))</f>
        <v>1 - Scale-up: Saturation</v>
      </c>
      <c r="B245" t="s">
        <v>221</v>
      </c>
      <c r="C245" t="s">
        <v>367</v>
      </c>
      <c r="D245" t="s">
        <v>29</v>
      </c>
      <c r="E245" t="str">
        <f t="shared" si="12"/>
        <v>Zomba District [fyEoGEPERdI]|50+|Female</v>
      </c>
      <c r="F245" s="14" t="str">
        <f>IF(LEFT($B245,4)="_Mil","",INDEX(Cascade!$U:$U,MATCH($E245,Cascade!$E:$E,0)))</f>
        <v/>
      </c>
      <c r="G245" s="14" t="str">
        <f>IFERROR(1/(1/INDEX(HTS!$AT:$AT,MATCH($E245,HTS!$E:$E,0))),"")</f>
        <v/>
      </c>
      <c r="H245" s="14" t="str">
        <f>IF(OR($C245="15-24",$C245="25-34"),IFERROR(1/(1/SUM(SUMIFS(AGYW!$S:$S,AGYW!$B:$B,$B245,AGYW!$C:$C,IF($C245="15-24",{"15-19","20-24"},{"25-29"}),AGYW!$D:$D,$D245))),""),"")</f>
        <v/>
      </c>
      <c r="I245" s="14" t="str">
        <f>IF(OR($C245="15-24",$C245="25-34"),IFERROR(1/(1/SUM(SUMIFS(AGYW!$T:$T,AGYW!$B:$B,$B245,AGYW!$C:$C,IF($C245="15-24",{"15-19","20-24"},{"25-29"}),AGYW!$D:$D,$D245))),""),"")</f>
        <v/>
      </c>
      <c r="J245" s="14">
        <v>9</v>
      </c>
      <c r="K245" s="14">
        <v>3</v>
      </c>
      <c r="L245" s="42">
        <f t="shared" si="13"/>
        <v>3</v>
      </c>
      <c r="M245" s="14"/>
      <c r="N245" s="14"/>
      <c r="O245" s="42" t="str">
        <f t="shared" si="14"/>
        <v/>
      </c>
      <c r="P245" s="14">
        <f>2</f>
        <v>2</v>
      </c>
      <c r="Q245" s="42" t="str">
        <f t="shared" si="15"/>
        <v/>
      </c>
    </row>
    <row r="246" spans="1:17" x14ac:dyDescent="0.2">
      <c r="A246" t="str">
        <f>INDEX(Prioritization!$D:$D,MATCH($B246,Prioritization!$A:$A,0))</f>
        <v>1 - Scale-up: Saturation</v>
      </c>
      <c r="B246" t="s">
        <v>221</v>
      </c>
      <c r="C246" t="s">
        <v>367</v>
      </c>
      <c r="D246" t="s">
        <v>47</v>
      </c>
      <c r="E246" t="str">
        <f t="shared" si="12"/>
        <v>Zomba District [fyEoGEPERdI]|50+|Male</v>
      </c>
      <c r="F246" s="14" t="str">
        <f>IF(LEFT($B246,4)="_Mil","",INDEX(Cascade!$U:$U,MATCH($E246,Cascade!$E:$E,0)))</f>
        <v/>
      </c>
      <c r="G246" s="14" t="str">
        <f>IFERROR(1/(1/INDEX(HTS!$AT:$AT,MATCH($E246,HTS!$E:$E,0))),"")</f>
        <v/>
      </c>
      <c r="H246" s="14" t="str">
        <f>IF(OR($C246="15-24",$C246="25-34"),IFERROR(1/(1/SUM(SUMIFS(AGYW!$S:$S,AGYW!$B:$B,$B246,AGYW!$C:$C,IF($C246="15-24",{"15-19","20-24"},{"25-29"}),AGYW!$D:$D,$D246))),""),"")</f>
        <v/>
      </c>
      <c r="I246" s="14" t="str">
        <f>IF(OR($C246="15-24",$C246="25-34"),IFERROR(1/(1/SUM(SUMIFS(AGYW!$T:$T,AGYW!$B:$B,$B246,AGYW!$C:$C,IF($C246="15-24",{"15-19","20-24"},{"25-29"}),AGYW!$D:$D,$D246))),""),"")</f>
        <v/>
      </c>
      <c r="J246" s="14">
        <v>5</v>
      </c>
      <c r="K246" s="14">
        <v>4</v>
      </c>
      <c r="L246" s="42">
        <f t="shared" si="13"/>
        <v>4</v>
      </c>
      <c r="M246" s="14"/>
      <c r="N246" s="14"/>
      <c r="O246" s="42" t="str">
        <f t="shared" si="14"/>
        <v/>
      </c>
      <c r="P246" s="14">
        <f>2</f>
        <v>2</v>
      </c>
      <c r="Q246" s="42" t="str">
        <f t="shared" si="15"/>
        <v/>
      </c>
    </row>
  </sheetData>
  <conditionalFormatting sqref="H1:I1048576">
    <cfRule type="expression" dxfId="77" priority="2">
      <formula>AND(ROW(H1)&gt;14,$E1&lt;&gt;"",$D1&lt;&gt;"Female")</formula>
    </cfRule>
    <cfRule type="expression" dxfId="76" priority="3">
      <formula>AND(ROW(H1)&gt;14,$E1&lt;&gt;"",NOT(OR($C1="15-24",$C1="25-34")))</formula>
    </cfRule>
  </conditionalFormatting>
  <conditionalFormatting sqref="F1:F1048576">
    <cfRule type="expression" dxfId="75" priority="4">
      <formula>AND(ROW(F1)&gt;14,LEFT(B1,4)="_Mil")</formula>
    </cfRule>
  </conditionalFormatting>
  <conditionalFormatting sqref="F1:Q1048576">
    <cfRule type="expression" dxfId="74" priority="5">
      <formula>AND(ISNUMBER(F1),F1&lt;0)</formula>
    </cfRule>
  </conditionalFormatting>
  <hyperlinks>
    <hyperlink ref="F3" location="Cascade!U:U" display="P.C. Est. PLHIV (FY23)" xr:uid="{00000000-0004-0000-0A00-000000000000}"/>
    <hyperlink ref="G3" location="HTS!AT:AT" display="HTS_TST_NEG_x000a_(FY24)" xr:uid="{00000000-0004-0000-0A00-000001000000}"/>
    <hyperlink ref="H3" location="AGYW!P:P" display="AGYW_PREV (D) (FY24)" xr:uid="{00000000-0004-0000-0A00-000002000000}"/>
    <hyperlink ref="I3" location="AGYW!Q:Q" display="AGYW_PREV (N) (FY24)" xr:uid="{00000000-0004-0000-0A00-000003000000}"/>
  </hyperlinks>
  <pageMargins left="0.7" right="0.7" top="0.75" bottom="0.75" header="0.511811023622047" footer="0.511811023622047"/>
  <pageSetup paperSize="9"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62"/>
  <sheetViews>
    <sheetView zoomScaleNormal="100" workbookViewId="0">
      <pane xSplit="5" ySplit="14" topLeftCell="F15" activePane="bottomRight" state="frozen"/>
      <selection pane="topRight" activeCell="F1" sqref="F1"/>
      <selection pane="bottomLeft" activeCell="A15" sqref="A15"/>
      <selection pane="bottomRight" activeCell="V15" sqref="V15"/>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53" width="11.83203125" customWidth="1"/>
  </cols>
  <sheetData>
    <row r="1" spans="1:53" ht="30.75" customHeight="1" x14ac:dyDescent="0.2">
      <c r="A1" s="44" t="s">
        <v>1067</v>
      </c>
      <c r="B1" s="18"/>
      <c r="C1" s="18"/>
      <c r="D1" s="18"/>
      <c r="E1" s="18"/>
      <c r="F1" s="51" t="s">
        <v>1068</v>
      </c>
      <c r="G1" s="46"/>
      <c r="H1" s="46"/>
      <c r="I1" s="46"/>
      <c r="J1" s="46"/>
      <c r="K1" s="46"/>
      <c r="L1" s="46"/>
      <c r="M1" s="51" t="s">
        <v>1069</v>
      </c>
      <c r="N1" s="50"/>
      <c r="O1" s="50"/>
      <c r="P1" s="50"/>
      <c r="Q1" s="50"/>
      <c r="R1" s="50"/>
      <c r="S1" s="50"/>
      <c r="T1" s="50"/>
      <c r="U1" s="50"/>
      <c r="V1" s="50"/>
      <c r="W1" s="51" t="s">
        <v>1070</v>
      </c>
      <c r="X1" s="46"/>
      <c r="Y1" s="46"/>
      <c r="Z1" s="51" t="s">
        <v>1071</v>
      </c>
      <c r="AA1" s="46"/>
      <c r="AB1" s="46"/>
      <c r="AC1" s="51" t="s">
        <v>1072</v>
      </c>
      <c r="AD1" s="46"/>
      <c r="AE1" s="46"/>
      <c r="AF1" s="51" t="s">
        <v>1073</v>
      </c>
      <c r="AG1" s="46"/>
      <c r="AH1" s="46"/>
      <c r="AI1" s="51" t="s">
        <v>1074</v>
      </c>
      <c r="AJ1" s="46"/>
      <c r="AK1" s="46"/>
      <c r="AL1" s="45" t="s">
        <v>1075</v>
      </c>
      <c r="AM1" s="46"/>
      <c r="AN1" s="46"/>
      <c r="AO1" s="46"/>
      <c r="AP1" s="46"/>
      <c r="AQ1" s="46"/>
      <c r="AR1" s="46"/>
      <c r="AS1" s="46"/>
      <c r="AT1" s="46"/>
      <c r="AU1" s="46"/>
      <c r="AV1" s="48"/>
      <c r="AW1" s="45" t="s">
        <v>1076</v>
      </c>
      <c r="AX1" s="50"/>
      <c r="AY1" s="46"/>
      <c r="AZ1" s="51" t="s">
        <v>374</v>
      </c>
      <c r="BA1" s="46"/>
    </row>
    <row r="2" spans="1:53" ht="18.75" customHeight="1" x14ac:dyDescent="0.25">
      <c r="A2" s="1" t="s">
        <v>1077</v>
      </c>
      <c r="B2" s="1"/>
      <c r="C2" s="22"/>
      <c r="D2" s="22"/>
      <c r="E2" s="22"/>
      <c r="F2" s="56"/>
      <c r="G2" s="25"/>
      <c r="H2" s="25"/>
      <c r="I2" s="25"/>
      <c r="J2" s="25"/>
      <c r="K2" s="25"/>
      <c r="L2" s="25"/>
      <c r="M2" s="56"/>
      <c r="N2" s="54"/>
      <c r="O2" s="54"/>
      <c r="P2" s="54"/>
      <c r="Q2" s="54"/>
      <c r="R2" s="54"/>
      <c r="S2" s="54"/>
      <c r="T2" s="54"/>
      <c r="U2" s="54"/>
      <c r="V2" s="54"/>
      <c r="W2" s="56"/>
      <c r="X2" s="24" t="s">
        <v>176</v>
      </c>
      <c r="Y2" s="24" t="s">
        <v>176</v>
      </c>
      <c r="Z2" s="56"/>
      <c r="AA2" s="24" t="s">
        <v>176</v>
      </c>
      <c r="AB2" s="24" t="s">
        <v>176</v>
      </c>
      <c r="AC2" s="56"/>
      <c r="AD2" s="24" t="s">
        <v>176</v>
      </c>
      <c r="AE2" s="24" t="s">
        <v>176</v>
      </c>
      <c r="AF2" s="56"/>
      <c r="AG2" s="24" t="s">
        <v>176</v>
      </c>
      <c r="AH2" s="24" t="s">
        <v>176</v>
      </c>
      <c r="AI2" s="56"/>
      <c r="AJ2" s="24" t="s">
        <v>176</v>
      </c>
      <c r="AK2" s="24" t="s">
        <v>176</v>
      </c>
      <c r="AL2" s="52"/>
      <c r="AM2" s="134"/>
      <c r="AN2" s="25"/>
      <c r="AO2" s="25"/>
      <c r="AP2" s="25"/>
      <c r="AQ2" s="25"/>
      <c r="AR2" s="25"/>
      <c r="AS2" s="25"/>
      <c r="AT2" s="134"/>
      <c r="AU2" s="134"/>
      <c r="AV2" s="54"/>
      <c r="AW2" s="52"/>
      <c r="AX2" s="54"/>
      <c r="AY2" s="24" t="s">
        <v>176</v>
      </c>
      <c r="AZ2" s="56"/>
      <c r="BA2" s="24" t="s">
        <v>176</v>
      </c>
    </row>
    <row r="3" spans="1:53" ht="117" customHeight="1" x14ac:dyDescent="0.2">
      <c r="A3" s="1"/>
      <c r="B3" s="1"/>
      <c r="C3" s="26"/>
      <c r="D3" s="26"/>
      <c r="E3" s="26"/>
      <c r="F3" s="168" t="s">
        <v>832</v>
      </c>
      <c r="G3" s="139" t="s">
        <v>863</v>
      </c>
      <c r="H3" s="139" t="s">
        <v>1078</v>
      </c>
      <c r="I3" s="139" t="s">
        <v>1079</v>
      </c>
      <c r="J3" s="139" t="s">
        <v>1080</v>
      </c>
      <c r="K3" s="139" t="s">
        <v>1081</v>
      </c>
      <c r="L3" s="71" t="s">
        <v>1082</v>
      </c>
      <c r="M3" s="168" t="s">
        <v>524</v>
      </c>
      <c r="N3" s="140" t="s">
        <v>525</v>
      </c>
      <c r="O3" s="140" t="s">
        <v>526</v>
      </c>
      <c r="P3" s="140" t="s">
        <v>527</v>
      </c>
      <c r="Q3" s="169" t="s">
        <v>1083</v>
      </c>
      <c r="R3" s="169" t="s">
        <v>1084</v>
      </c>
      <c r="S3" s="169" t="s">
        <v>1085</v>
      </c>
      <c r="T3" s="169" t="s">
        <v>1086</v>
      </c>
      <c r="U3" s="169" t="s">
        <v>1087</v>
      </c>
      <c r="V3" s="162" t="s">
        <v>533</v>
      </c>
      <c r="W3" s="170" t="s">
        <v>1088</v>
      </c>
      <c r="X3" s="167" t="s">
        <v>1089</v>
      </c>
      <c r="Y3" s="28" t="s">
        <v>1090</v>
      </c>
      <c r="Z3" s="170" t="s">
        <v>1088</v>
      </c>
      <c r="AA3" s="167" t="s">
        <v>1089</v>
      </c>
      <c r="AB3" s="28" t="s">
        <v>1090</v>
      </c>
      <c r="AC3" s="170" t="s">
        <v>1088</v>
      </c>
      <c r="AD3" s="167" t="s">
        <v>1089</v>
      </c>
      <c r="AE3" s="28" t="s">
        <v>1090</v>
      </c>
      <c r="AF3" s="170" t="s">
        <v>1088</v>
      </c>
      <c r="AG3" s="167" t="s">
        <v>1089</v>
      </c>
      <c r="AH3" s="28" t="s">
        <v>1090</v>
      </c>
      <c r="AI3" s="170" t="s">
        <v>1088</v>
      </c>
      <c r="AJ3" s="167" t="s">
        <v>1089</v>
      </c>
      <c r="AK3" s="28" t="s">
        <v>1090</v>
      </c>
      <c r="AL3" s="138" t="s">
        <v>1091</v>
      </c>
      <c r="AM3" s="74" t="s">
        <v>1092</v>
      </c>
      <c r="AN3" s="71" t="s">
        <v>1093</v>
      </c>
      <c r="AO3" s="139" t="s">
        <v>1094</v>
      </c>
      <c r="AP3" s="139" t="s">
        <v>1095</v>
      </c>
      <c r="AQ3" s="139" t="s">
        <v>1096</v>
      </c>
      <c r="AR3" s="139" t="s">
        <v>1097</v>
      </c>
      <c r="AS3" s="139" t="s">
        <v>1098</v>
      </c>
      <c r="AT3" s="74" t="s">
        <v>1099</v>
      </c>
      <c r="AU3" s="74" t="s">
        <v>1100</v>
      </c>
      <c r="AV3" s="162" t="s">
        <v>1101</v>
      </c>
      <c r="AW3" s="27" t="s">
        <v>1102</v>
      </c>
      <c r="AX3" s="160" t="s">
        <v>1103</v>
      </c>
      <c r="AY3" s="28" t="s">
        <v>538</v>
      </c>
      <c r="AZ3" s="170" t="s">
        <v>401</v>
      </c>
      <c r="BA3" s="74" t="s">
        <v>1104</v>
      </c>
    </row>
    <row r="4" spans="1:53" x14ac:dyDescent="0.2">
      <c r="A4" s="75"/>
      <c r="B4" s="30"/>
      <c r="C4" s="30"/>
      <c r="D4" s="30" t="s">
        <v>287</v>
      </c>
      <c r="E4" s="30"/>
      <c r="F4" s="85"/>
      <c r="G4" s="75">
        <f>SUBTOTAL(109,G$15:INDEX(G:G,COUNTA($B:$B)+14-COUNTA($B$1:$B$14)))</f>
        <v>-6404</v>
      </c>
      <c r="H4" s="75">
        <f>SUBTOTAL(109,H$15:INDEX(H:H,COUNTA($B:$B)+14-COUNTA($B$1:$B$14)))</f>
        <v>15</v>
      </c>
      <c r="I4" s="75">
        <f>SUBTOTAL(109,I$15:INDEX(I:I,COUNTA($B:$B)+14-COUNTA($B$1:$B$14)))</f>
        <v>15</v>
      </c>
      <c r="J4" s="75">
        <f>SUBTOTAL(109,J$15:INDEX(J:J,COUNTA($B:$B)+14-COUNTA($B$1:$B$14)))</f>
        <v>0</v>
      </c>
      <c r="K4" s="75">
        <f>SUBTOTAL(109,K$15:INDEX(K:K,COUNTA($B:$B)+14-COUNTA($B$1:$B$14)))</f>
        <v>0</v>
      </c>
      <c r="L4" s="75">
        <f>SUBTOTAL(109,L$15:INDEX(L:L,COUNTA($B:$B)+14-COUNTA($B$1:$B$14)))</f>
        <v>-6434</v>
      </c>
      <c r="M4" s="85">
        <f>IF(OR(SUM($G$4)=0,SUM($H$4)=0),"",SUM($H$4)/SUM($G$4))</f>
        <v>-2.3422860712054966E-3</v>
      </c>
      <c r="N4" s="86">
        <f>IF(OR(SUM($G$4)=0,SUM($I$4)=0),"",SUM($I$4)/SUM($G$4))</f>
        <v>-2.3422860712054966E-3</v>
      </c>
      <c r="O4" s="86" t="str">
        <f>IF(OR(SUM($G$4)=0,SUM($J$4)=0),"",SUM($J$4)/SUM($G$4))</f>
        <v/>
      </c>
      <c r="P4" s="86" t="str">
        <f>IF(OR(SUM($G$4)=0,SUM($K$4)=0),"",SUM($K$4)/SUM($G$4))</f>
        <v/>
      </c>
      <c r="Q4" s="86">
        <f>IF(OR(SUM($G$4)=0,SUM($X$4)=0),"",SUM($X$4)/SUM($G$4))</f>
        <v>0.45690193628981884</v>
      </c>
      <c r="R4" s="86" t="str">
        <f>IF(OR(SUM($G$4)=0,SUM($AA$4)=0),"",SUM($AA$4)/SUM($G$4))</f>
        <v/>
      </c>
      <c r="S4" s="86" t="str">
        <f>IF(OR(SUM($G$4)=0,SUM($AD$4)=0),"",SUM($AD$4)/SUM($G$4))</f>
        <v/>
      </c>
      <c r="T4" s="86" t="str">
        <f>IF(OR(SUM($G$4)=0,SUM($AG$4)=0),"",SUM($AG$4)/SUM($G$4))</f>
        <v/>
      </c>
      <c r="U4" s="86">
        <f>IF(OR(SUM($G$4)=0,SUM($AJ$4)=0),"",SUM($AJ$4)/SUM($G$4))</f>
        <v>0.54231730168644598</v>
      </c>
      <c r="V4" s="86">
        <f>SUM($M4:$U4)</f>
        <v>0.99453466583385386</v>
      </c>
      <c r="W4" s="85">
        <f>IF(SUM(X4:Y4)=0,"",X4/(SUM(X4:Y4)))</f>
        <v>1</v>
      </c>
      <c r="X4" s="84">
        <f>SUBTOTAL(109,X$15:INDEX(X:X,COUNTA($B:$B)+14-COUNTA($B$1:$B$14)))</f>
        <v>-2926</v>
      </c>
      <c r="Y4" s="84">
        <f>SUBTOTAL(109,Y$15:INDEX(Y:Y,COUNTA($B:$B)+14-COUNTA($B$1:$B$14)))</f>
        <v>0</v>
      </c>
      <c r="Z4" s="85" t="str">
        <f>IF(SUM(AA4:AB4)=0,"",AA4/(SUM(AA4:AB4)))</f>
        <v/>
      </c>
      <c r="AA4" s="84">
        <f>SUBTOTAL(109,AA$15:INDEX(AA:AA,COUNTA($B:$B)+14-COUNTA($B$1:$B$14)))</f>
        <v>0</v>
      </c>
      <c r="AB4" s="84">
        <f>SUBTOTAL(109,AB$15:INDEX(AB:AB,COUNTA($B:$B)+14-COUNTA($B$1:$B$14)))</f>
        <v>0</v>
      </c>
      <c r="AC4" s="85" t="str">
        <f>IF(SUM(AD4:AE4)=0,"",AD4/(SUM(AD4:AE4)))</f>
        <v/>
      </c>
      <c r="AD4" s="84">
        <f>SUBTOTAL(109,AD$15:INDEX(AD:AD,COUNTA($B:$B)+14-COUNTA($B$1:$B$14)))</f>
        <v>0</v>
      </c>
      <c r="AE4" s="84">
        <f>SUBTOTAL(109,AE$15:INDEX(AE:AE,COUNTA($B:$B)+14-COUNTA($B$1:$B$14)))</f>
        <v>0</v>
      </c>
      <c r="AF4" s="85" t="str">
        <f>IF(SUM(AG4:AH4)=0,"",AG4/(SUM(AG4:AH4)))</f>
        <v/>
      </c>
      <c r="AG4" s="84">
        <f>SUBTOTAL(109,AG$15:INDEX(AG:AG,COUNTA($B:$B)+14-COUNTA($B$1:$B$14)))</f>
        <v>0</v>
      </c>
      <c r="AH4" s="84">
        <f>SUBTOTAL(109,AH$15:INDEX(AH:AH,COUNTA($B:$B)+14-COUNTA($B$1:$B$14)))</f>
        <v>0</v>
      </c>
      <c r="AI4" s="85">
        <f>IF(SUM(AJ4:AK4)=0,"",AJ4/(SUM(AJ4:AK4)))</f>
        <v>0.38618925831202044</v>
      </c>
      <c r="AJ4" s="84">
        <f>SUBTOTAL(109,AJ$15:INDEX(AJ:AJ,COUNTA($B:$B)+14-COUNTA($B$1:$B$14)))</f>
        <v>-3473</v>
      </c>
      <c r="AK4" s="84">
        <f>SUBTOTAL(109,AK$15:INDEX(AK:AK,COUNTA($B:$B)+14-COUNTA($B$1:$B$14)))</f>
        <v>-5520</v>
      </c>
      <c r="AL4" s="76">
        <f>SUBTOTAL(109,AL$15:INDEX(AL:AL,COUNTA($B:$B)+14-COUNTA($B$1:$B$14)))</f>
        <v>-6404</v>
      </c>
      <c r="AM4" s="84">
        <f>SUBTOTAL(109,AM$15:INDEX(AM:AM,COUNTA($B:$B)+14-COUNTA($B$1:$B$14)))</f>
        <v>-6369</v>
      </c>
      <c r="AN4" s="75" t="e">
        <f>SUBTOTAL(109,AN$15:INDEX(AN:AN,COUNTA($B:$B)+14-COUNTA($B$1:$B$14)))</f>
        <v>#VALUE!</v>
      </c>
      <c r="AO4" s="75">
        <f>SUBTOTAL(109,AO$15:INDEX(AO:AO,COUNTA($B:$B)+14-COUNTA($B$1:$B$14)))</f>
        <v>189</v>
      </c>
      <c r="AP4" s="75">
        <f>SUBTOTAL(109,AP$15:INDEX(AP:AP,COUNTA($B:$B)+14-COUNTA($B$1:$B$14)))</f>
        <v>174</v>
      </c>
      <c r="AQ4" s="75">
        <f>SUBTOTAL(109,AQ$15:INDEX(AQ:AQ,COUNTA($B:$B)+14-COUNTA($B$1:$B$14)))</f>
        <v>78</v>
      </c>
      <c r="AR4" s="75">
        <f>SUBTOTAL(109,AR$15:INDEX(AR:AR,COUNTA($B:$B)+14-COUNTA($B$1:$B$14)))</f>
        <v>0</v>
      </c>
      <c r="AS4" s="75">
        <f>SUBTOTAL(109,AS$15:INDEX(AS:AS,COUNTA($B:$B)+14-COUNTA($B$1:$B$14)))</f>
        <v>0</v>
      </c>
      <c r="AT4" s="84">
        <f>SUBTOTAL(109,AT$15:INDEX(AT:AT,COUNTA($B:$B)+14-COUNTA($B$1:$B$14)))</f>
        <v>-5079</v>
      </c>
      <c r="AU4" s="84">
        <f>SUBTOTAL(109,AU$15:INDEX(AU:AU,COUNTA($B:$B)+14-COUNTA($B$1:$B$14)))</f>
        <v>-11448</v>
      </c>
      <c r="AV4" s="86">
        <f>IF($AU$4=0,"",$AM$4/$AU$4)</f>
        <v>0.55634171907756813</v>
      </c>
      <c r="AW4" s="76">
        <f>SUBTOTAL(109,AW$15:INDEX(AW:AW,COUNTA($B:$B)+14-COUNTA($B$1:$B$14)))</f>
        <v>17592</v>
      </c>
      <c r="AX4" s="86">
        <f>IF($AW$4=0,"",$AY$4/$AW$4-1)</f>
        <v>0</v>
      </c>
      <c r="AY4" s="84">
        <f>SUBTOTAL(109,AY$15:INDEX(AY:AY,COUNTA($B:$B)+14-COUNTA($B$1:$B$14)))</f>
        <v>17592</v>
      </c>
      <c r="AZ4" s="85">
        <f>IF($AM$4=0,"",$BA$4/$AM$4)</f>
        <v>0</v>
      </c>
      <c r="BA4" s="84">
        <f>SUBTOTAL(109,BA$15:INDEX(BA:BA,COUNTA($B:$B)+14-COUNTA($B$1:$B$14)))</f>
        <v>0</v>
      </c>
    </row>
    <row r="5" spans="1:53" x14ac:dyDescent="0.2">
      <c r="A5" t="s">
        <v>180</v>
      </c>
      <c r="B5" s="13" t="s">
        <v>180</v>
      </c>
      <c r="C5" s="13" t="s">
        <v>180</v>
      </c>
      <c r="D5" s="13" t="s">
        <v>180</v>
      </c>
      <c r="E5" s="13" t="s">
        <v>180</v>
      </c>
      <c r="F5" s="94" t="s">
        <v>180</v>
      </c>
      <c r="G5" s="14" t="s">
        <v>180</v>
      </c>
      <c r="H5" s="14" t="s">
        <v>180</v>
      </c>
      <c r="I5" s="14" t="s">
        <v>180</v>
      </c>
      <c r="J5" s="14" t="s">
        <v>180</v>
      </c>
      <c r="K5" s="14" t="s">
        <v>180</v>
      </c>
      <c r="L5" s="14" t="s">
        <v>180</v>
      </c>
      <c r="M5" s="94" t="s">
        <v>180</v>
      </c>
      <c r="N5" s="90" t="s">
        <v>180</v>
      </c>
      <c r="O5" s="90" t="s">
        <v>180</v>
      </c>
      <c r="P5" s="90" t="s">
        <v>180</v>
      </c>
      <c r="Q5" s="90" t="s">
        <v>180</v>
      </c>
      <c r="R5" s="90" t="s">
        <v>180</v>
      </c>
      <c r="S5" s="90" t="s">
        <v>180</v>
      </c>
      <c r="T5" s="90" t="s">
        <v>180</v>
      </c>
      <c r="U5" s="90" t="s">
        <v>180</v>
      </c>
      <c r="V5" s="90" t="s">
        <v>180</v>
      </c>
      <c r="W5" s="94" t="s">
        <v>180</v>
      </c>
      <c r="X5" s="9" t="s">
        <v>288</v>
      </c>
      <c r="Y5" s="9" t="s">
        <v>288</v>
      </c>
      <c r="Z5" s="94" t="s">
        <v>180</v>
      </c>
      <c r="AA5" s="9" t="s">
        <v>288</v>
      </c>
      <c r="AB5" s="9" t="s">
        <v>288</v>
      </c>
      <c r="AC5" s="94" t="s">
        <v>180</v>
      </c>
      <c r="AD5" s="9" t="s">
        <v>288</v>
      </c>
      <c r="AE5" s="9" t="s">
        <v>288</v>
      </c>
      <c r="AF5" s="94" t="s">
        <v>180</v>
      </c>
      <c r="AG5" s="9" t="s">
        <v>288</v>
      </c>
      <c r="AH5" s="9" t="s">
        <v>288</v>
      </c>
      <c r="AI5" s="94" t="s">
        <v>180</v>
      </c>
      <c r="AJ5" s="9" t="s">
        <v>288</v>
      </c>
      <c r="AK5" s="9" t="s">
        <v>288</v>
      </c>
      <c r="AL5" s="87" t="s">
        <v>180</v>
      </c>
      <c r="AM5" s="9" t="s">
        <v>180</v>
      </c>
      <c r="AN5" s="14" t="s">
        <v>180</v>
      </c>
      <c r="AO5" s="14" t="s">
        <v>180</v>
      </c>
      <c r="AP5" s="14" t="s">
        <v>180</v>
      </c>
      <c r="AQ5" s="14" t="s">
        <v>180</v>
      </c>
      <c r="AR5" s="14" t="s">
        <v>180</v>
      </c>
      <c r="AS5" s="14" t="s">
        <v>180</v>
      </c>
      <c r="AT5" s="9" t="s">
        <v>180</v>
      </c>
      <c r="AU5" s="9" t="s">
        <v>180</v>
      </c>
      <c r="AV5" s="90" t="s">
        <v>180</v>
      </c>
      <c r="AW5" s="87" t="s">
        <v>288</v>
      </c>
      <c r="AX5" s="90" t="s">
        <v>180</v>
      </c>
      <c r="AY5" s="9" t="s">
        <v>288</v>
      </c>
      <c r="AZ5" s="94" t="s">
        <v>180</v>
      </c>
      <c r="BA5" s="9" t="s">
        <v>288</v>
      </c>
    </row>
    <row r="6" spans="1:53" x14ac:dyDescent="0.2">
      <c r="A6" t="s">
        <v>182</v>
      </c>
      <c r="B6" s="13" t="s">
        <v>182</v>
      </c>
      <c r="C6" s="13" t="s">
        <v>182</v>
      </c>
      <c r="D6" s="13" t="s">
        <v>182</v>
      </c>
      <c r="E6" s="13" t="s">
        <v>182</v>
      </c>
      <c r="F6" s="94" t="s">
        <v>185</v>
      </c>
      <c r="G6" s="14" t="s">
        <v>185</v>
      </c>
      <c r="H6" s="14" t="s">
        <v>185</v>
      </c>
      <c r="I6" s="14" t="s">
        <v>185</v>
      </c>
      <c r="J6" s="14" t="s">
        <v>185</v>
      </c>
      <c r="K6" s="14" t="s">
        <v>185</v>
      </c>
      <c r="L6" s="14" t="s">
        <v>185</v>
      </c>
      <c r="M6" s="94" t="s">
        <v>185</v>
      </c>
      <c r="N6" s="90" t="s">
        <v>185</v>
      </c>
      <c r="O6" s="90" t="s">
        <v>185</v>
      </c>
      <c r="P6" s="90" t="s">
        <v>185</v>
      </c>
      <c r="Q6" s="90" t="s">
        <v>291</v>
      </c>
      <c r="R6" s="90" t="s">
        <v>291</v>
      </c>
      <c r="S6" s="90" t="s">
        <v>291</v>
      </c>
      <c r="T6" s="90" t="s">
        <v>291</v>
      </c>
      <c r="U6" s="90" t="s">
        <v>291</v>
      </c>
      <c r="V6" s="90" t="s">
        <v>185</v>
      </c>
      <c r="W6" s="94" t="s">
        <v>291</v>
      </c>
      <c r="X6" s="9" t="s">
        <v>184</v>
      </c>
      <c r="Y6" s="9" t="s">
        <v>184</v>
      </c>
      <c r="Z6" s="94" t="s">
        <v>291</v>
      </c>
      <c r="AA6" s="9" t="s">
        <v>184</v>
      </c>
      <c r="AB6" s="9" t="s">
        <v>184</v>
      </c>
      <c r="AC6" s="94" t="s">
        <v>291</v>
      </c>
      <c r="AD6" s="9" t="s">
        <v>184</v>
      </c>
      <c r="AE6" s="9" t="s">
        <v>184</v>
      </c>
      <c r="AF6" s="94" t="s">
        <v>291</v>
      </c>
      <c r="AG6" s="9" t="s">
        <v>184</v>
      </c>
      <c r="AH6" s="9" t="s">
        <v>184</v>
      </c>
      <c r="AI6" s="94" t="s">
        <v>291</v>
      </c>
      <c r="AJ6" s="9" t="s">
        <v>184</v>
      </c>
      <c r="AK6" s="9" t="s">
        <v>184</v>
      </c>
      <c r="AL6" s="87" t="s">
        <v>185</v>
      </c>
      <c r="AM6" s="9" t="s">
        <v>185</v>
      </c>
      <c r="AN6" s="14" t="s">
        <v>185</v>
      </c>
      <c r="AO6" s="14" t="s">
        <v>185</v>
      </c>
      <c r="AP6" s="14" t="s">
        <v>185</v>
      </c>
      <c r="AQ6" s="14" t="s">
        <v>185</v>
      </c>
      <c r="AR6" s="14" t="s">
        <v>185</v>
      </c>
      <c r="AS6" s="14" t="s">
        <v>185</v>
      </c>
      <c r="AT6" s="9" t="s">
        <v>185</v>
      </c>
      <c r="AU6" s="9" t="s">
        <v>185</v>
      </c>
      <c r="AV6" s="90" t="s">
        <v>185</v>
      </c>
      <c r="AW6" s="87" t="s">
        <v>183</v>
      </c>
      <c r="AX6" s="90" t="s">
        <v>290</v>
      </c>
      <c r="AY6" s="9" t="s">
        <v>184</v>
      </c>
      <c r="AZ6" s="94" t="s">
        <v>290</v>
      </c>
      <c r="BA6" s="9" t="s">
        <v>184</v>
      </c>
    </row>
    <row r="7" spans="1:53" x14ac:dyDescent="0.2">
      <c r="A7" t="s">
        <v>186</v>
      </c>
      <c r="B7" s="13" t="s">
        <v>186</v>
      </c>
      <c r="C7" s="13" t="s">
        <v>186</v>
      </c>
      <c r="D7" s="13" t="s">
        <v>186</v>
      </c>
      <c r="E7" s="13" t="s">
        <v>186</v>
      </c>
      <c r="F7" s="94" t="s">
        <v>293</v>
      </c>
      <c r="G7" s="14" t="s">
        <v>187</v>
      </c>
      <c r="H7" s="14" t="s">
        <v>187</v>
      </c>
      <c r="I7" s="14" t="s">
        <v>187</v>
      </c>
      <c r="J7" s="14" t="s">
        <v>187</v>
      </c>
      <c r="K7" s="14" t="s">
        <v>187</v>
      </c>
      <c r="L7" s="14" t="s">
        <v>187</v>
      </c>
      <c r="M7" s="94" t="s">
        <v>293</v>
      </c>
      <c r="N7" s="90" t="s">
        <v>293</v>
      </c>
      <c r="O7" s="90" t="s">
        <v>293</v>
      </c>
      <c r="P7" s="90" t="s">
        <v>293</v>
      </c>
      <c r="Q7" s="90" t="s">
        <v>293</v>
      </c>
      <c r="R7" s="90" t="s">
        <v>293</v>
      </c>
      <c r="S7" s="90" t="s">
        <v>293</v>
      </c>
      <c r="T7" s="90" t="s">
        <v>293</v>
      </c>
      <c r="U7" s="90" t="s">
        <v>293</v>
      </c>
      <c r="V7" s="90" t="s">
        <v>293</v>
      </c>
      <c r="W7" s="94" t="s">
        <v>293</v>
      </c>
      <c r="X7" s="9" t="s">
        <v>187</v>
      </c>
      <c r="Y7" s="9" t="s">
        <v>187</v>
      </c>
      <c r="Z7" s="94" t="s">
        <v>293</v>
      </c>
      <c r="AA7" s="9" t="s">
        <v>187</v>
      </c>
      <c r="AB7" s="9" t="s">
        <v>187</v>
      </c>
      <c r="AC7" s="94" t="s">
        <v>293</v>
      </c>
      <c r="AD7" s="9" t="s">
        <v>187</v>
      </c>
      <c r="AE7" s="9" t="s">
        <v>187</v>
      </c>
      <c r="AF7" s="94" t="s">
        <v>293</v>
      </c>
      <c r="AG7" s="9" t="s">
        <v>187</v>
      </c>
      <c r="AH7" s="9" t="s">
        <v>187</v>
      </c>
      <c r="AI7" s="94" t="s">
        <v>293</v>
      </c>
      <c r="AJ7" s="9" t="s">
        <v>187</v>
      </c>
      <c r="AK7" s="9" t="s">
        <v>187</v>
      </c>
      <c r="AL7" s="87" t="s">
        <v>187</v>
      </c>
      <c r="AM7" s="9" t="s">
        <v>187</v>
      </c>
      <c r="AN7" s="14" t="s">
        <v>187</v>
      </c>
      <c r="AO7" s="14" t="s">
        <v>187</v>
      </c>
      <c r="AP7" s="14" t="s">
        <v>187</v>
      </c>
      <c r="AQ7" s="14" t="s">
        <v>187</v>
      </c>
      <c r="AR7" s="14" t="s">
        <v>187</v>
      </c>
      <c r="AS7" s="14" t="s">
        <v>187</v>
      </c>
      <c r="AT7" s="9" t="s">
        <v>187</v>
      </c>
      <c r="AU7" s="9" t="s">
        <v>187</v>
      </c>
      <c r="AV7" s="90" t="s">
        <v>293</v>
      </c>
      <c r="AW7" s="87" t="s">
        <v>187</v>
      </c>
      <c r="AX7" s="90" t="s">
        <v>293</v>
      </c>
      <c r="AY7" s="9" t="s">
        <v>187</v>
      </c>
      <c r="AZ7" s="94" t="s">
        <v>293</v>
      </c>
      <c r="BA7" s="9" t="s">
        <v>187</v>
      </c>
    </row>
    <row r="8" spans="1:53" x14ac:dyDescent="0.2">
      <c r="B8" s="13"/>
      <c r="C8" s="13"/>
      <c r="D8" s="13"/>
      <c r="E8" s="13"/>
      <c r="F8" s="94"/>
      <c r="M8" s="94"/>
      <c r="N8" s="90"/>
      <c r="O8" s="90"/>
      <c r="P8" s="90"/>
      <c r="Q8" s="90"/>
      <c r="R8" s="90"/>
      <c r="S8" s="90"/>
      <c r="T8" s="90"/>
      <c r="U8" s="90"/>
      <c r="V8" s="90"/>
      <c r="W8" s="94"/>
      <c r="X8" s="99" t="s">
        <v>644</v>
      </c>
      <c r="Y8" s="99" t="s">
        <v>644</v>
      </c>
      <c r="Z8" s="94"/>
      <c r="AA8" s="99" t="s">
        <v>645</v>
      </c>
      <c r="AB8" s="99" t="s">
        <v>645</v>
      </c>
      <c r="AC8" s="94"/>
      <c r="AD8" s="99" t="s">
        <v>646</v>
      </c>
      <c r="AE8" s="99" t="s">
        <v>646</v>
      </c>
      <c r="AF8" s="94"/>
      <c r="AG8" s="99" t="s">
        <v>647</v>
      </c>
      <c r="AH8" s="99" t="s">
        <v>647</v>
      </c>
      <c r="AI8" s="94"/>
      <c r="AJ8" s="99" t="s">
        <v>648</v>
      </c>
      <c r="AK8" s="99" t="s">
        <v>648</v>
      </c>
      <c r="AV8" s="90"/>
      <c r="AW8" s="127" t="s">
        <v>1105</v>
      </c>
      <c r="AX8" s="90"/>
      <c r="AY8" s="99" t="s">
        <v>1105</v>
      </c>
      <c r="AZ8" s="94"/>
      <c r="BA8" s="99" t="s">
        <v>1106</v>
      </c>
    </row>
    <row r="9" spans="1:53" x14ac:dyDescent="0.2">
      <c r="B9" s="13"/>
      <c r="C9" s="13"/>
      <c r="D9" s="13"/>
      <c r="E9" s="13"/>
      <c r="F9" s="94"/>
      <c r="M9" s="94"/>
      <c r="N9" s="90"/>
      <c r="O9" s="90"/>
      <c r="P9" s="90"/>
      <c r="Q9" s="90"/>
      <c r="R9" s="90"/>
      <c r="S9" s="90"/>
      <c r="T9" s="90"/>
      <c r="U9" s="90"/>
      <c r="V9" s="90"/>
      <c r="W9" s="94"/>
      <c r="X9" s="99" t="s">
        <v>1107</v>
      </c>
      <c r="Y9" s="99" t="s">
        <v>1107</v>
      </c>
      <c r="Z9" s="94"/>
      <c r="AA9" s="99" t="s">
        <v>1108</v>
      </c>
      <c r="AB9" s="99" t="s">
        <v>1108</v>
      </c>
      <c r="AC9" s="94"/>
      <c r="AD9" s="99" t="s">
        <v>1109</v>
      </c>
      <c r="AE9" s="99" t="s">
        <v>1109</v>
      </c>
      <c r="AF9" s="94"/>
      <c r="AG9" s="99" t="s">
        <v>1110</v>
      </c>
      <c r="AH9" s="99" t="s">
        <v>1110</v>
      </c>
      <c r="AI9" s="94"/>
      <c r="AJ9" s="99" t="s">
        <v>1111</v>
      </c>
      <c r="AK9" s="99" t="s">
        <v>1111</v>
      </c>
      <c r="AV9" s="90"/>
      <c r="AW9" s="127" t="s">
        <v>1112</v>
      </c>
      <c r="AX9" s="90"/>
      <c r="AY9" s="99" t="s">
        <v>1112</v>
      </c>
      <c r="AZ9" s="94"/>
      <c r="BA9" s="99" t="s">
        <v>1113</v>
      </c>
    </row>
    <row r="10" spans="1:53" x14ac:dyDescent="0.2">
      <c r="B10" s="13"/>
      <c r="C10" s="13"/>
      <c r="D10" s="13"/>
      <c r="E10" s="13"/>
      <c r="F10" s="94"/>
      <c r="M10" s="94"/>
      <c r="N10" s="90"/>
      <c r="O10" s="90"/>
      <c r="P10" s="90"/>
      <c r="Q10" s="90"/>
      <c r="R10" s="90"/>
      <c r="S10" s="90"/>
      <c r="T10" s="90"/>
      <c r="U10" s="90"/>
      <c r="V10" s="90"/>
      <c r="W10" s="94"/>
      <c r="X10" s="99" t="s">
        <v>671</v>
      </c>
      <c r="Y10" s="99" t="s">
        <v>878</v>
      </c>
      <c r="Z10" s="94"/>
      <c r="AA10" s="99" t="s">
        <v>311</v>
      </c>
      <c r="AB10" s="99" t="s">
        <v>430</v>
      </c>
      <c r="AC10" s="94"/>
      <c r="AD10" s="99" t="s">
        <v>311</v>
      </c>
      <c r="AE10" s="99" t="s">
        <v>430</v>
      </c>
      <c r="AF10" s="94"/>
      <c r="AG10" s="99" t="s">
        <v>311</v>
      </c>
      <c r="AH10" s="99" t="s">
        <v>430</v>
      </c>
      <c r="AI10" s="94"/>
      <c r="AJ10" s="99" t="s">
        <v>311</v>
      </c>
      <c r="AK10" s="99" t="s">
        <v>430</v>
      </c>
      <c r="AV10" s="90"/>
      <c r="AW10" s="95"/>
      <c r="AX10" s="90"/>
      <c r="AY10" s="99"/>
      <c r="AZ10" s="94"/>
      <c r="BA10" s="99" t="s">
        <v>311</v>
      </c>
    </row>
    <row r="11" spans="1:53" x14ac:dyDescent="0.2">
      <c r="B11" s="13"/>
      <c r="C11" s="13"/>
      <c r="D11" s="13"/>
      <c r="E11" s="13"/>
      <c r="F11" s="94" t="s">
        <v>313</v>
      </c>
      <c r="G11" s="14" t="s">
        <v>313</v>
      </c>
      <c r="H11" s="14" t="s">
        <v>682</v>
      </c>
      <c r="I11" s="14" t="s">
        <v>682</v>
      </c>
      <c r="J11" s="14" t="s">
        <v>313</v>
      </c>
      <c r="K11" s="14" t="s">
        <v>683</v>
      </c>
      <c r="L11" s="14" t="s">
        <v>313</v>
      </c>
      <c r="M11" s="94" t="s">
        <v>682</v>
      </c>
      <c r="N11" s="90" t="s">
        <v>682</v>
      </c>
      <c r="O11" s="90" t="s">
        <v>313</v>
      </c>
      <c r="P11" s="90" t="s">
        <v>683</v>
      </c>
      <c r="Q11" s="90" t="s">
        <v>313</v>
      </c>
      <c r="R11" s="90" t="s">
        <v>313</v>
      </c>
      <c r="S11" s="90" t="s">
        <v>313</v>
      </c>
      <c r="T11" s="90" t="s">
        <v>313</v>
      </c>
      <c r="U11" s="90" t="s">
        <v>313</v>
      </c>
      <c r="V11" s="90" t="s">
        <v>313</v>
      </c>
      <c r="W11" s="94" t="s">
        <v>313</v>
      </c>
      <c r="X11" s="9" t="s">
        <v>313</v>
      </c>
      <c r="Y11" s="9" t="s">
        <v>313</v>
      </c>
      <c r="Z11" s="94" t="s">
        <v>313</v>
      </c>
      <c r="AA11" s="9" t="s">
        <v>313</v>
      </c>
      <c r="AB11" s="9" t="s">
        <v>313</v>
      </c>
      <c r="AC11" s="94" t="s">
        <v>313</v>
      </c>
      <c r="AD11" s="9" t="s">
        <v>313</v>
      </c>
      <c r="AE11" s="9" t="s">
        <v>313</v>
      </c>
      <c r="AF11" s="94" t="s">
        <v>313</v>
      </c>
      <c r="AG11" s="9" t="s">
        <v>313</v>
      </c>
      <c r="AH11" s="9" t="s">
        <v>313</v>
      </c>
      <c r="AI11" s="94" t="s">
        <v>313</v>
      </c>
      <c r="AJ11" s="9" t="s">
        <v>313</v>
      </c>
      <c r="AK11" s="9" t="s">
        <v>313</v>
      </c>
      <c r="AL11" s="87" t="s">
        <v>313</v>
      </c>
      <c r="AM11" s="9" t="s">
        <v>313</v>
      </c>
      <c r="AN11" s="14" t="s">
        <v>313</v>
      </c>
      <c r="AO11" s="14" t="s">
        <v>682</v>
      </c>
      <c r="AP11" s="14" t="s">
        <v>682</v>
      </c>
      <c r="AQ11" s="14" t="s">
        <v>313</v>
      </c>
      <c r="AR11" s="14" t="s">
        <v>683</v>
      </c>
      <c r="AS11" s="14" t="s">
        <v>683</v>
      </c>
      <c r="AT11" s="9" t="s">
        <v>313</v>
      </c>
      <c r="AU11" s="9" t="s">
        <v>313</v>
      </c>
      <c r="AV11" s="90" t="s">
        <v>313</v>
      </c>
      <c r="AW11" s="87" t="s">
        <v>682</v>
      </c>
      <c r="AX11" s="90" t="s">
        <v>682</v>
      </c>
      <c r="AY11" s="9" t="s">
        <v>682</v>
      </c>
      <c r="AZ11" s="94" t="s">
        <v>683</v>
      </c>
      <c r="BA11" s="9" t="s">
        <v>683</v>
      </c>
    </row>
    <row r="12" spans="1:53" x14ac:dyDescent="0.2">
      <c r="B12" s="13"/>
      <c r="C12" s="13"/>
      <c r="D12" s="13"/>
      <c r="E12" s="13"/>
      <c r="F12" s="94" t="s">
        <v>316</v>
      </c>
      <c r="G12" s="14" t="s">
        <v>316</v>
      </c>
      <c r="H12" s="14" t="s">
        <v>689</v>
      </c>
      <c r="I12" s="14" t="s">
        <v>689</v>
      </c>
      <c r="J12" s="14" t="s">
        <v>316</v>
      </c>
      <c r="K12" s="14" t="s">
        <v>690</v>
      </c>
      <c r="L12" s="14" t="s">
        <v>316</v>
      </c>
      <c r="M12" s="94" t="s">
        <v>689</v>
      </c>
      <c r="N12" s="90" t="s">
        <v>689</v>
      </c>
      <c r="O12" s="90" t="s">
        <v>316</v>
      </c>
      <c r="P12" s="90" t="s">
        <v>690</v>
      </c>
      <c r="Q12" s="90" t="s">
        <v>316</v>
      </c>
      <c r="R12" s="90" t="s">
        <v>316</v>
      </c>
      <c r="S12" s="90" t="s">
        <v>316</v>
      </c>
      <c r="T12" s="90" t="s">
        <v>316</v>
      </c>
      <c r="U12" s="90" t="s">
        <v>316</v>
      </c>
      <c r="V12" s="90" t="s">
        <v>316</v>
      </c>
      <c r="W12" s="94" t="s">
        <v>316</v>
      </c>
      <c r="X12" s="9" t="s">
        <v>316</v>
      </c>
      <c r="Y12" s="9" t="s">
        <v>316</v>
      </c>
      <c r="Z12" s="94" t="s">
        <v>316</v>
      </c>
      <c r="AA12" s="9" t="s">
        <v>316</v>
      </c>
      <c r="AB12" s="9" t="s">
        <v>316</v>
      </c>
      <c r="AC12" s="94" t="s">
        <v>316</v>
      </c>
      <c r="AD12" s="9" t="s">
        <v>316</v>
      </c>
      <c r="AE12" s="9" t="s">
        <v>316</v>
      </c>
      <c r="AF12" s="94" t="s">
        <v>316</v>
      </c>
      <c r="AG12" s="9" t="s">
        <v>316</v>
      </c>
      <c r="AH12" s="9" t="s">
        <v>316</v>
      </c>
      <c r="AI12" s="94" t="s">
        <v>316</v>
      </c>
      <c r="AJ12" s="9" t="s">
        <v>316</v>
      </c>
      <c r="AK12" s="9" t="s">
        <v>316</v>
      </c>
      <c r="AL12" s="87" t="s">
        <v>316</v>
      </c>
      <c r="AM12" s="9" t="s">
        <v>316</v>
      </c>
      <c r="AN12" s="14" t="s">
        <v>316</v>
      </c>
      <c r="AO12" s="14" t="s">
        <v>689</v>
      </c>
      <c r="AP12" s="14" t="s">
        <v>689</v>
      </c>
      <c r="AQ12" s="14" t="s">
        <v>316</v>
      </c>
      <c r="AR12" s="14" t="s">
        <v>690</v>
      </c>
      <c r="AS12" s="14" t="s">
        <v>316</v>
      </c>
      <c r="AT12" s="9" t="s">
        <v>316</v>
      </c>
      <c r="AU12" s="9" t="s">
        <v>316</v>
      </c>
      <c r="AV12" s="90" t="s">
        <v>316</v>
      </c>
      <c r="AW12" s="87" t="s">
        <v>316</v>
      </c>
      <c r="AX12" s="90" t="s">
        <v>316</v>
      </c>
      <c r="AY12" s="9" t="s">
        <v>316</v>
      </c>
      <c r="AZ12" s="94" t="s">
        <v>316</v>
      </c>
      <c r="BA12" s="9" t="s">
        <v>316</v>
      </c>
    </row>
    <row r="13" spans="1:53" x14ac:dyDescent="0.2">
      <c r="B13" s="13"/>
      <c r="C13" s="13"/>
      <c r="D13" s="13"/>
      <c r="E13" s="13"/>
      <c r="F13" s="94"/>
      <c r="M13" s="94"/>
      <c r="N13" s="90"/>
      <c r="O13" s="90"/>
      <c r="P13" s="90"/>
      <c r="Q13" s="90"/>
      <c r="R13" s="90"/>
      <c r="S13" s="90"/>
      <c r="T13" s="90"/>
      <c r="U13" s="90"/>
      <c r="V13" s="90"/>
      <c r="W13" s="94"/>
      <c r="Z13" s="94"/>
      <c r="AC13" s="94"/>
      <c r="AF13" s="94"/>
      <c r="AI13" s="94"/>
      <c r="AV13" s="90"/>
      <c r="AX13" s="90"/>
      <c r="BA13" s="9"/>
    </row>
    <row r="14" spans="1:53" x14ac:dyDescent="0.2">
      <c r="A14" s="102" t="s">
        <v>175</v>
      </c>
      <c r="B14" s="36" t="s">
        <v>189</v>
      </c>
      <c r="C14" s="36" t="s">
        <v>317</v>
      </c>
      <c r="D14" s="36" t="s">
        <v>318</v>
      </c>
      <c r="E14" s="36" t="s">
        <v>19</v>
      </c>
      <c r="F14" s="107" t="s">
        <v>144</v>
      </c>
      <c r="G14" s="39" t="s">
        <v>911</v>
      </c>
      <c r="H14" s="39" t="s">
        <v>891</v>
      </c>
      <c r="I14" s="39" t="s">
        <v>907</v>
      </c>
      <c r="J14" s="39" t="s">
        <v>988</v>
      </c>
      <c r="K14" s="39" t="s">
        <v>1038</v>
      </c>
      <c r="L14" s="39" t="s">
        <v>1114</v>
      </c>
      <c r="M14" s="107" t="s">
        <v>1115</v>
      </c>
      <c r="N14" s="105" t="s">
        <v>1116</v>
      </c>
      <c r="O14" s="105" t="s">
        <v>1117</v>
      </c>
      <c r="P14" s="105" t="s">
        <v>1118</v>
      </c>
      <c r="Q14" s="105" t="s">
        <v>1119</v>
      </c>
      <c r="R14" s="105" t="s">
        <v>1120</v>
      </c>
      <c r="S14" s="105" t="s">
        <v>1121</v>
      </c>
      <c r="T14" s="105" t="s">
        <v>1122</v>
      </c>
      <c r="U14" s="105" t="s">
        <v>1123</v>
      </c>
      <c r="V14" s="105" t="s">
        <v>1124</v>
      </c>
      <c r="W14" s="107" t="s">
        <v>1125</v>
      </c>
      <c r="X14" s="109" t="s">
        <v>1126</v>
      </c>
      <c r="Y14" s="109" t="s">
        <v>1127</v>
      </c>
      <c r="Z14" s="107" t="s">
        <v>1128</v>
      </c>
      <c r="AA14" s="109" t="s">
        <v>1129</v>
      </c>
      <c r="AB14" s="109" t="s">
        <v>1130</v>
      </c>
      <c r="AC14" s="107" t="s">
        <v>1131</v>
      </c>
      <c r="AD14" s="109" t="s">
        <v>1132</v>
      </c>
      <c r="AE14" s="109" t="s">
        <v>1133</v>
      </c>
      <c r="AF14" s="107" t="s">
        <v>1134</v>
      </c>
      <c r="AG14" s="109" t="s">
        <v>1135</v>
      </c>
      <c r="AH14" s="109" t="s">
        <v>1136</v>
      </c>
      <c r="AI14" s="107" t="s">
        <v>1137</v>
      </c>
      <c r="AJ14" s="109" t="s">
        <v>1138</v>
      </c>
      <c r="AK14" s="109" t="s">
        <v>1139</v>
      </c>
      <c r="AL14" s="103" t="s">
        <v>1140</v>
      </c>
      <c r="AM14" s="109" t="s">
        <v>1141</v>
      </c>
      <c r="AN14" s="39" t="s">
        <v>1142</v>
      </c>
      <c r="AO14" s="39" t="s">
        <v>892</v>
      </c>
      <c r="AP14" s="39" t="s">
        <v>908</v>
      </c>
      <c r="AQ14" s="39" t="s">
        <v>989</v>
      </c>
      <c r="AR14" s="39" t="s">
        <v>1039</v>
      </c>
      <c r="AS14" s="39" t="s">
        <v>1143</v>
      </c>
      <c r="AT14" s="109" t="s">
        <v>1144</v>
      </c>
      <c r="AU14" s="109" t="s">
        <v>1145</v>
      </c>
      <c r="AV14" s="105" t="s">
        <v>1146</v>
      </c>
      <c r="AW14" s="103" t="s">
        <v>1147</v>
      </c>
      <c r="AX14" s="105" t="s">
        <v>1148</v>
      </c>
      <c r="AY14" s="109" t="s">
        <v>734</v>
      </c>
      <c r="AZ14" s="107" t="s">
        <v>731</v>
      </c>
      <c r="BA14" s="109" t="s">
        <v>730</v>
      </c>
    </row>
    <row r="15" spans="1:53" x14ac:dyDescent="0.2">
      <c r="A15" t="str">
        <f>INDEX(Prioritization!$D:$D,MATCH($B15,Prioritization!$A:$A,0))</f>
        <v>Military</v>
      </c>
      <c r="B15" s="13" t="s">
        <v>193</v>
      </c>
      <c r="C15" s="13" t="s">
        <v>362</v>
      </c>
      <c r="D15" s="13" t="s">
        <v>29</v>
      </c>
      <c r="E15" t="str">
        <f t="shared" ref="E15:E78" si="0">$B15&amp;"|"&amp;$C15&amp;"|"&amp;$D15</f>
        <v>_Military Malawi [PQZgU9dagaH]|01-09|Female</v>
      </c>
      <c r="F15" s="94" t="str">
        <f>IF(LEFT($B15,4)="_Mil","",INDEX(Cascade!$AA:$AA,MATCH($E15,Cascade!$E:$E,0)))</f>
        <v/>
      </c>
      <c r="G15" s="14">
        <f>INDEX(Cascade!$BH:$BH,MATCH($E15,Cascade!$E:$E,0))</f>
        <v>0</v>
      </c>
      <c r="H15" s="14" t="str">
        <f>IF(OR($C15="01-09",$D15="Male"),"",INDEX(PMTCT!$AC:$AC,MATCH($E15,PMTCT!$E:$E,0)))</f>
        <v/>
      </c>
      <c r="I15" s="14" t="str">
        <f>IF(OR($C15="01-09",$D15="Male"),"",INDEX(PMTCT!$AS:$AS,MATCH($E15,PMTCT!$E:$E,0)))</f>
        <v/>
      </c>
      <c r="J15" s="14" t="str">
        <f>INDEX(TB!$P:$P,MATCH($E15,TB!$E:$E,0))</f>
        <v/>
      </c>
      <c r="K15" s="14" t="str">
        <f>IF(OR($C15="01-09",$C15="10-14",$D15="Female"),"",INDEX(VMMC!$AA:$AA,MATCH($E15,VMMC!$E:$E,0)))</f>
        <v/>
      </c>
      <c r="L15" s="14">
        <f t="shared" ref="L15:L78" si="1">SUM($G15)-SUM($H15:$K15)</f>
        <v>0</v>
      </c>
      <c r="M15" s="94" t="str">
        <f t="shared" ref="M15:M78" si="2">IF(OR($C15="01-09",$D15="Male",AND(SUM($G15)=0,SUM($H15)=0)),"",SUM($H15)/SUM($G15))</f>
        <v/>
      </c>
      <c r="N15" s="90" t="str">
        <f t="shared" ref="N15:N78" si="3">IF(OR($C15="01-09",$D15="Male",AND(SUM($G15)=0,SUM($I15)=0)),"",SUM($I15)/SUM($G15))</f>
        <v/>
      </c>
      <c r="O15" s="90" t="str">
        <f t="shared" ref="O15:O78" si="4">IF(AND(SUM($G15)=0,SUM($J15)=0),"",SUM($J15)/SUM($G15))</f>
        <v/>
      </c>
      <c r="P15" s="90" t="str">
        <f t="shared" ref="P15:P78" si="5">IF(OR($C15="01-09",$C15="10-14",$D15="Female",AND(SUM($G15)=0,SUM($K15)=0)),"",SUM($K15)/SUM($G15))</f>
        <v/>
      </c>
      <c r="Q15" s="90"/>
      <c r="R15" s="90"/>
      <c r="S15" s="90"/>
      <c r="T15" s="90"/>
      <c r="U15" s="90"/>
      <c r="V15" s="90" t="str">
        <f t="shared" ref="V15:V78" si="6">IF(SUM($G15)=0,"",SUM($M15:$U15))</f>
        <v/>
      </c>
      <c r="W15" s="94"/>
      <c r="X15" s="9" t="str">
        <f t="shared" ref="X15:X78" si="7">IF(OR(SUM($G15)=0,SUM($Q15)=0),"",ROUND(SUM($G15)*SUM($Q15),0))</f>
        <v/>
      </c>
      <c r="Y15" s="9" t="str">
        <f t="shared" ref="Y15:Y78" si="8">IF(SUM($X15)=0,"",IF(SUM($W15)=0,"ENTER YIELD",ROUND($X15/$W15,0)-$X15))</f>
        <v/>
      </c>
      <c r="Z15" s="94"/>
      <c r="AA15" s="9" t="str">
        <f t="shared" ref="AA15:AA78" si="9">IF(OR(SUM($G15)=0,SUM($R15)=0),"",ROUND(SUM($G15)*SUM($R15),0))</f>
        <v/>
      </c>
      <c r="AB15" s="9" t="str">
        <f t="shared" ref="AB15:AB78" si="10">IF(SUM($AA15)=0,"",IF(SUM($Z15)=0,"ENTER YIELD",ROUND($AA15/$Z15,0)-$AA15))</f>
        <v/>
      </c>
      <c r="AC15" s="94"/>
      <c r="AD15" s="9" t="str">
        <f t="shared" ref="AD15:AD78" si="11">IF(OR(SUM($G15)=0,SUM($S15)=0),"",ROUND(SUM($G15)*SUM($S15),0))</f>
        <v/>
      </c>
      <c r="AE15" s="9" t="str">
        <f t="shared" ref="AE15:AE78" si="12">IF(SUM($AD15)=0,"",IF(SUM($AC15)=0,"ENTER YIELD",ROUND($AD15/$AC15,0)-$AD15))</f>
        <v/>
      </c>
      <c r="AF15" s="94"/>
      <c r="AG15" s="9" t="str">
        <f t="shared" ref="AG15:AG78" si="13">IF(OR(SUM($G15)=0,SUM($T15)=0),"",ROUND(SUM($G15)*SUM($T15),0))</f>
        <v/>
      </c>
      <c r="AH15" s="9" t="str">
        <f t="shared" ref="AH15:AH78" si="14">IF(SUM($AG15)=0,"",IF(SUM($AF15)=0,"ENTER YIELD",ROUND($AG15/$AF15,0)-$AG15))</f>
        <v/>
      </c>
      <c r="AI15" s="94"/>
      <c r="AJ15" s="9" t="str">
        <f t="shared" ref="AJ15:AJ78" si="15">IF(OR(SUM($G15)=0,SUM($U15)=0),"",ROUND(SUM($G15)*SUM($U15),0))</f>
        <v/>
      </c>
      <c r="AK15" s="9" t="str">
        <f t="shared" ref="AK15:AK78" si="16">IF(SUM($AJ15)=0,"",IF(SUM($AI15)=0,"ENTER YIELD",ROUND($AJ15/$AI15,0)-$AJ15))</f>
        <v/>
      </c>
      <c r="AL15" s="87" t="str">
        <f t="shared" ref="AL15:AL78" si="17">IF(SUM($G15)=0,"",$G15)</f>
        <v/>
      </c>
      <c r="AM15" s="9" t="str">
        <f t="shared" ref="AM15:AM78" si="18">IFERROR(1/(1/SUM($H15:$K15,$X15,$AA15,$AD15,$AG15,$AJ15)),"")</f>
        <v/>
      </c>
      <c r="AN15" s="14" t="str">
        <f t="shared" ref="AN15:AN78" si="19">IF(AND(SUM($AM15)=0,SUM($AL15)=0),"",$AM15-$AL15)</f>
        <v/>
      </c>
      <c r="AO15" s="14" t="str">
        <f>IF(OR($C15="01-09",$D15="Male"),"",INDEX(PMTCT!$AD:$AD,MATCH($E15,PMTCT!$E:$E,0)))</f>
        <v/>
      </c>
      <c r="AP15" s="14" t="str">
        <f>IF(OR($C15="01-09",$D15="Male"),"",INDEX(PMTCT!$AT:$AT,MATCH($E15,PMTCT!$E:$E,0)))</f>
        <v/>
      </c>
      <c r="AQ15" s="14" t="str">
        <f>INDEX(TB!$Q:$Q,MATCH($E15,TB!$E:$E,0))</f>
        <v/>
      </c>
      <c r="AR15" s="14" t="str">
        <f>IF(OR($C15="01-09",$C15="10-14",$D15="Female"),"",INDEX(VMMC!$AB:$AB,MATCH($E15,VMMC!$E:$E,0)))</f>
        <v/>
      </c>
      <c r="AS15" s="14" t="str">
        <f>IF(OR($C15="01-09",$C15="10-14"),"",INDEX(PrEP!$Q:$Q,MATCH($E15,PrEP!$E:$E,0)))</f>
        <v/>
      </c>
      <c r="AT15" s="9" t="str">
        <f t="shared" ref="AT15:AT78" si="20">IFERROR(1/(1/SUM($Y15,$AB15,$AE15,$AH15,$AK15,$AO15:$AS15)),"")</f>
        <v/>
      </c>
      <c r="AU15" s="9" t="str">
        <f t="shared" ref="AU15:AU78" si="21">IFERROR(1/(1/SUM($AT15,$AM15)),"")</f>
        <v/>
      </c>
      <c r="AV15" s="90" t="str">
        <f t="shared" ref="AV15:AV78" si="22">IF(AND(SUM($AM15)=0,SUM($AU15)=0),"",$AM15/$AU15)</f>
        <v/>
      </c>
      <c r="AW15" s="14"/>
      <c r="AX15" s="90" t="str">
        <f t="shared" ref="AX15:AX78" si="23">IF(OR($C15="01-09",SUM($AW15)=0),"",0%)</f>
        <v/>
      </c>
      <c r="AY15" s="9" t="str">
        <f t="shared" ref="AY15:AY78" si="24">IF(OR($C15="01-09",SUM($AW15)=0),"",ROUND($AW15*(1+$AX15),0))</f>
        <v/>
      </c>
      <c r="AZ15" s="94" t="str">
        <f t="shared" ref="AZ15:AZ78" si="25">IF(OR($C15="01-09",$C15="10-14"),"",100%)</f>
        <v/>
      </c>
      <c r="BA15" s="9" t="str">
        <f t="shared" ref="BA15:BA78" si="26">IF(OR(SUM($AM15)=0,$C15="01-09",$C15="10-14"),"",$AM15*$AZ15)</f>
        <v/>
      </c>
    </row>
    <row r="16" spans="1:53" x14ac:dyDescent="0.2">
      <c r="A16" t="str">
        <f>INDEX(Prioritization!$D:$D,MATCH($B16,Prioritization!$A:$A,0))</f>
        <v>Military</v>
      </c>
      <c r="B16" t="s">
        <v>193</v>
      </c>
      <c r="C16" t="s">
        <v>362</v>
      </c>
      <c r="D16" t="s">
        <v>47</v>
      </c>
      <c r="E16" t="str">
        <f t="shared" si="0"/>
        <v>_Military Malawi [PQZgU9dagaH]|01-09|Male</v>
      </c>
      <c r="F16" s="90" t="str">
        <f>IF(LEFT($B16,4)="_Mil","",INDEX(Cascade!$AA:$AA,MATCH($E16,Cascade!$E:$E,0)))</f>
        <v/>
      </c>
      <c r="G16" s="14">
        <f>INDEX(Cascade!$BH:$BH,MATCH($E16,Cascade!$E:$E,0))</f>
        <v>0</v>
      </c>
      <c r="H16" s="14" t="str">
        <f>IF(OR($C16="01-09",$D16="Male"),"",INDEX(PMTCT!$AC:$AC,MATCH($E16,PMTCT!$E:$E,0)))</f>
        <v/>
      </c>
      <c r="I16" s="14" t="str">
        <f>IF(OR($C16="01-09",$D16="Male"),"",INDEX(PMTCT!$AS:$AS,MATCH($E16,PMTCT!$E:$E,0)))</f>
        <v/>
      </c>
      <c r="J16" s="14" t="str">
        <f>INDEX(TB!$P:$P,MATCH($E16,TB!$E:$E,0))</f>
        <v/>
      </c>
      <c r="K16" s="14" t="str">
        <f>IF(OR($C16="01-09",$C16="10-14",$D16="Female"),"",INDEX(VMMC!$AA:$AA,MATCH($E16,VMMC!$E:$E,0)))</f>
        <v/>
      </c>
      <c r="L16" s="14">
        <f t="shared" si="1"/>
        <v>0</v>
      </c>
      <c r="M16" s="90" t="str">
        <f t="shared" si="2"/>
        <v/>
      </c>
      <c r="N16" s="90" t="str">
        <f t="shared" si="3"/>
        <v/>
      </c>
      <c r="O16" s="90" t="str">
        <f t="shared" si="4"/>
        <v/>
      </c>
      <c r="P16" s="90" t="str">
        <f t="shared" si="5"/>
        <v/>
      </c>
      <c r="Q16" s="90"/>
      <c r="R16" s="90"/>
      <c r="S16" s="90"/>
      <c r="T16" s="90"/>
      <c r="U16" s="90"/>
      <c r="V16" s="90" t="str">
        <f t="shared" si="6"/>
        <v/>
      </c>
      <c r="W16" s="90"/>
      <c r="X16" s="42" t="str">
        <f t="shared" si="7"/>
        <v/>
      </c>
      <c r="Y16" s="42" t="str">
        <f t="shared" si="8"/>
        <v/>
      </c>
      <c r="Z16" s="90"/>
      <c r="AA16" s="42" t="str">
        <f t="shared" si="9"/>
        <v/>
      </c>
      <c r="AB16" s="42" t="str">
        <f t="shared" si="10"/>
        <v/>
      </c>
      <c r="AC16" s="90"/>
      <c r="AD16" s="42" t="str">
        <f t="shared" si="11"/>
        <v/>
      </c>
      <c r="AE16" s="42" t="str">
        <f t="shared" si="12"/>
        <v/>
      </c>
      <c r="AF16" s="90"/>
      <c r="AG16" s="42" t="str">
        <f t="shared" si="13"/>
        <v/>
      </c>
      <c r="AH16" s="42" t="str">
        <f t="shared" si="14"/>
        <v/>
      </c>
      <c r="AI16" s="90"/>
      <c r="AJ16" s="42" t="str">
        <f t="shared" si="15"/>
        <v/>
      </c>
      <c r="AK16" s="42" t="str">
        <f t="shared" si="16"/>
        <v/>
      </c>
      <c r="AL16" s="14" t="str">
        <f t="shared" si="17"/>
        <v/>
      </c>
      <c r="AM16" s="14" t="str">
        <f t="shared" si="18"/>
        <v/>
      </c>
      <c r="AN16" s="14" t="str">
        <f t="shared" si="19"/>
        <v/>
      </c>
      <c r="AO16" s="14" t="str">
        <f>IF(OR($C16="01-09",$D16="Male"),"",INDEX(PMTCT!$AD:$AD,MATCH($E16,PMTCT!$E:$E,0)))</f>
        <v/>
      </c>
      <c r="AP16" s="14" t="str">
        <f>IF(OR($C16="01-09",$D16="Male"),"",INDEX(PMTCT!$AT:$AT,MATCH($E16,PMTCT!$E:$E,0)))</f>
        <v/>
      </c>
      <c r="AQ16" s="14" t="str">
        <f>INDEX(TB!$Q:$Q,MATCH($E16,TB!$E:$E,0))</f>
        <v/>
      </c>
      <c r="AR16" s="14" t="str">
        <f>IF(OR($C16="01-09",$C16="10-14",$D16="Female"),"",INDEX(VMMC!$AB:$AB,MATCH($E16,VMMC!$E:$E,0)))</f>
        <v/>
      </c>
      <c r="AS16" s="14" t="str">
        <f>IF(OR($C16="01-09",$C16="10-14"),"",INDEX(PrEP!$Q:$Q,MATCH($E16,PrEP!$E:$E,0)))</f>
        <v/>
      </c>
      <c r="AT16" s="14" t="str">
        <f t="shared" si="20"/>
        <v/>
      </c>
      <c r="AU16" s="14" t="str">
        <f t="shared" si="21"/>
        <v/>
      </c>
      <c r="AV16" s="90" t="str">
        <f t="shared" si="22"/>
        <v/>
      </c>
      <c r="AW16" s="14"/>
      <c r="AX16" s="90" t="str">
        <f t="shared" si="23"/>
        <v/>
      </c>
      <c r="AY16" s="42" t="str">
        <f t="shared" si="24"/>
        <v/>
      </c>
      <c r="AZ16" s="90" t="str">
        <f t="shared" si="25"/>
        <v/>
      </c>
      <c r="BA16" s="42" t="str">
        <f t="shared" si="26"/>
        <v/>
      </c>
    </row>
    <row r="17" spans="1:53" x14ac:dyDescent="0.2">
      <c r="A17" t="str">
        <f>INDEX(Prioritization!$D:$D,MATCH($B17,Prioritization!$A:$A,0))</f>
        <v>Military</v>
      </c>
      <c r="B17" t="s">
        <v>193</v>
      </c>
      <c r="C17" t="s">
        <v>363</v>
      </c>
      <c r="D17" t="s">
        <v>29</v>
      </c>
      <c r="E17" t="str">
        <f t="shared" si="0"/>
        <v>_Military Malawi [PQZgU9dagaH]|10-14|Female</v>
      </c>
      <c r="F17" s="90" t="str">
        <f>IF(LEFT($B17,4)="_Mil","",INDEX(Cascade!$AA:$AA,MATCH($E17,Cascade!$E:$E,0)))</f>
        <v/>
      </c>
      <c r="G17" s="14">
        <f>INDEX(Cascade!$BH:$BH,MATCH($E17,Cascade!$E:$E,0))</f>
        <v>-47</v>
      </c>
      <c r="H17" s="14" t="str">
        <f>IF(OR($C17="01-09",$D17="Male"),"",INDEX(PMTCT!$AC:$AC,MATCH($E17,PMTCT!$E:$E,0)))</f>
        <v>ENTER YIELD RATE</v>
      </c>
      <c r="I17" s="14" t="str">
        <f>IF(OR($C17="01-09",$D17="Male"),"",INDEX(PMTCT!$AS:$AS,MATCH($E17,PMTCT!$E:$E,0)))</f>
        <v>ENTER YIELD RATE</v>
      </c>
      <c r="J17" s="14" t="str">
        <f>INDEX(TB!$P:$P,MATCH($E17,TB!$E:$E,0))</f>
        <v/>
      </c>
      <c r="K17" s="14" t="str">
        <f>IF(OR($C17="01-09",$C17="10-14",$D17="Female"),"",INDEX(VMMC!$AA:$AA,MATCH($E17,VMMC!$E:$E,0)))</f>
        <v/>
      </c>
      <c r="L17" s="14">
        <f t="shared" si="1"/>
        <v>-47</v>
      </c>
      <c r="M17" s="90">
        <f t="shared" si="2"/>
        <v>0</v>
      </c>
      <c r="N17" s="90">
        <f t="shared" si="3"/>
        <v>0</v>
      </c>
      <c r="O17" s="90">
        <f t="shared" si="4"/>
        <v>0</v>
      </c>
      <c r="P17" s="90" t="str">
        <f t="shared" si="5"/>
        <v/>
      </c>
      <c r="Q17" s="90">
        <v>0.73170862742699705</v>
      </c>
      <c r="R17" s="90"/>
      <c r="S17" s="90"/>
      <c r="T17" s="90"/>
      <c r="U17" s="90">
        <v>0.36964241834357398</v>
      </c>
      <c r="V17" s="90">
        <f t="shared" si="6"/>
        <v>1.1013510457705711</v>
      </c>
      <c r="W17" s="90"/>
      <c r="X17" s="42">
        <f t="shared" si="7"/>
        <v>-34</v>
      </c>
      <c r="Y17" s="42" t="str">
        <f t="shared" si="8"/>
        <v>ENTER YIELD</v>
      </c>
      <c r="Z17" s="90"/>
      <c r="AA17" s="42" t="str">
        <f t="shared" si="9"/>
        <v/>
      </c>
      <c r="AB17" s="42" t="str">
        <f t="shared" si="10"/>
        <v/>
      </c>
      <c r="AC17" s="90"/>
      <c r="AD17" s="42" t="str">
        <f t="shared" si="11"/>
        <v/>
      </c>
      <c r="AE17" s="42" t="str">
        <f t="shared" si="12"/>
        <v/>
      </c>
      <c r="AF17" s="90"/>
      <c r="AG17" s="42" t="str">
        <f t="shared" si="13"/>
        <v/>
      </c>
      <c r="AH17" s="42" t="str">
        <f t="shared" si="14"/>
        <v/>
      </c>
      <c r="AI17" s="90">
        <v>0.73925344157032702</v>
      </c>
      <c r="AJ17" s="42">
        <f t="shared" si="15"/>
        <v>-17</v>
      </c>
      <c r="AK17" s="42">
        <f t="shared" si="16"/>
        <v>-6</v>
      </c>
      <c r="AL17" s="14">
        <f t="shared" si="17"/>
        <v>-47</v>
      </c>
      <c r="AM17" s="14">
        <f t="shared" si="18"/>
        <v>-51</v>
      </c>
      <c r="AN17" s="14">
        <f t="shared" si="19"/>
        <v>-4</v>
      </c>
      <c r="AO17" s="14">
        <f>IF(OR($C17="01-09",$D17="Male"),"",INDEX(PMTCT!$AD:$AD,MATCH($E17,PMTCT!$E:$E,0)))</f>
        <v>6</v>
      </c>
      <c r="AP17" s="14">
        <f>IF(OR($C17="01-09",$D17="Male"),"",INDEX(PMTCT!$AT:$AT,MATCH($E17,PMTCT!$E:$E,0)))</f>
        <v>6</v>
      </c>
      <c r="AQ17" s="14" t="str">
        <f>INDEX(TB!$Q:$Q,MATCH($E17,TB!$E:$E,0))</f>
        <v/>
      </c>
      <c r="AR17" s="14" t="str">
        <f>IF(OR($C17="01-09",$C17="10-14",$D17="Female"),"",INDEX(VMMC!$AB:$AB,MATCH($E17,VMMC!$E:$E,0)))</f>
        <v/>
      </c>
      <c r="AS17" s="14" t="str">
        <f>IF(OR($C17="01-09",$C17="10-14"),"",INDEX(PrEP!$Q:$Q,MATCH($E17,PrEP!$E:$E,0)))</f>
        <v/>
      </c>
      <c r="AT17" s="14">
        <f t="shared" si="20"/>
        <v>6</v>
      </c>
      <c r="AU17" s="14">
        <f t="shared" si="21"/>
        <v>-45</v>
      </c>
      <c r="AV17" s="90">
        <f t="shared" si="22"/>
        <v>1.1333333333333333</v>
      </c>
      <c r="AW17" s="14"/>
      <c r="AX17" s="90" t="str">
        <f t="shared" si="23"/>
        <v/>
      </c>
      <c r="AY17" s="42" t="str">
        <f t="shared" si="24"/>
        <v/>
      </c>
      <c r="AZ17" s="90" t="str">
        <f t="shared" si="25"/>
        <v/>
      </c>
      <c r="BA17" s="42" t="str">
        <f t="shared" si="26"/>
        <v/>
      </c>
    </row>
    <row r="18" spans="1:53" x14ac:dyDescent="0.2">
      <c r="A18" t="str">
        <f>INDEX(Prioritization!$D:$D,MATCH($B18,Prioritization!$A:$A,0))</f>
        <v>Military</v>
      </c>
      <c r="B18" t="s">
        <v>193</v>
      </c>
      <c r="C18" t="s">
        <v>363</v>
      </c>
      <c r="D18" t="s">
        <v>47</v>
      </c>
      <c r="E18" t="str">
        <f t="shared" si="0"/>
        <v>_Military Malawi [PQZgU9dagaH]|10-14|Male</v>
      </c>
      <c r="F18" s="90" t="str">
        <f>IF(LEFT($B18,4)="_Mil","",INDEX(Cascade!$AA:$AA,MATCH($E18,Cascade!$E:$E,0)))</f>
        <v/>
      </c>
      <c r="G18" s="14">
        <f>INDEX(Cascade!$BH:$BH,MATCH($E18,Cascade!$E:$E,0))</f>
        <v>-80</v>
      </c>
      <c r="H18" s="14" t="str">
        <f>IF(OR($C18="01-09",$D18="Male"),"",INDEX(PMTCT!$AC:$AC,MATCH($E18,PMTCT!$E:$E,0)))</f>
        <v/>
      </c>
      <c r="I18" s="14" t="str">
        <f>IF(OR($C18="01-09",$D18="Male"),"",INDEX(PMTCT!$AS:$AS,MATCH($E18,PMTCT!$E:$E,0)))</f>
        <v/>
      </c>
      <c r="J18" s="14" t="str">
        <f>INDEX(TB!$P:$P,MATCH($E18,TB!$E:$E,0))</f>
        <v/>
      </c>
      <c r="K18" s="14" t="str">
        <f>IF(OR($C18="01-09",$C18="10-14",$D18="Female"),"",INDEX(VMMC!$AA:$AA,MATCH($E18,VMMC!$E:$E,0)))</f>
        <v/>
      </c>
      <c r="L18" s="14">
        <f t="shared" si="1"/>
        <v>-80</v>
      </c>
      <c r="M18" s="90" t="str">
        <f t="shared" si="2"/>
        <v/>
      </c>
      <c r="N18" s="90" t="str">
        <f t="shared" si="3"/>
        <v/>
      </c>
      <c r="O18" s="90">
        <f t="shared" si="4"/>
        <v>0</v>
      </c>
      <c r="P18" s="90" t="str">
        <f t="shared" si="5"/>
        <v/>
      </c>
      <c r="Q18" s="90">
        <v>0.61917488463223003</v>
      </c>
      <c r="R18" s="90"/>
      <c r="S18" s="90"/>
      <c r="T18" s="90"/>
      <c r="U18" s="90">
        <v>0.54370358260348395</v>
      </c>
      <c r="V18" s="90">
        <f t="shared" si="6"/>
        <v>1.162878467235714</v>
      </c>
      <c r="W18" s="90"/>
      <c r="X18" s="42">
        <f t="shared" si="7"/>
        <v>-50</v>
      </c>
      <c r="Y18" s="42" t="str">
        <f t="shared" si="8"/>
        <v>ENTER YIELD</v>
      </c>
      <c r="Z18" s="90"/>
      <c r="AA18" s="42" t="str">
        <f t="shared" si="9"/>
        <v/>
      </c>
      <c r="AB18" s="42" t="str">
        <f t="shared" si="10"/>
        <v/>
      </c>
      <c r="AC18" s="90"/>
      <c r="AD18" s="42" t="str">
        <f t="shared" si="11"/>
        <v/>
      </c>
      <c r="AE18" s="42" t="str">
        <f t="shared" si="12"/>
        <v/>
      </c>
      <c r="AF18" s="90"/>
      <c r="AG18" s="42" t="str">
        <f t="shared" si="13"/>
        <v/>
      </c>
      <c r="AH18" s="42" t="str">
        <f t="shared" si="14"/>
        <v/>
      </c>
      <c r="AI18" s="90">
        <v>0.99418710311874703</v>
      </c>
      <c r="AJ18" s="42">
        <f t="shared" si="15"/>
        <v>-43</v>
      </c>
      <c r="AK18" s="42">
        <f t="shared" si="16"/>
        <v>0</v>
      </c>
      <c r="AL18" s="14">
        <f t="shared" si="17"/>
        <v>-80</v>
      </c>
      <c r="AM18" s="14">
        <f t="shared" si="18"/>
        <v>-92.999999999999986</v>
      </c>
      <c r="AN18" s="14">
        <f t="shared" si="19"/>
        <v>-12.999999999999986</v>
      </c>
      <c r="AO18" s="14" t="str">
        <f>IF(OR($C18="01-09",$D18="Male"),"",INDEX(PMTCT!$AD:$AD,MATCH($E18,PMTCT!$E:$E,0)))</f>
        <v/>
      </c>
      <c r="AP18" s="14" t="str">
        <f>IF(OR($C18="01-09",$D18="Male"),"",INDEX(PMTCT!$AT:$AT,MATCH($E18,PMTCT!$E:$E,0)))</f>
        <v/>
      </c>
      <c r="AQ18" s="14" t="str">
        <f>INDEX(TB!$Q:$Q,MATCH($E18,TB!$E:$E,0))</f>
        <v/>
      </c>
      <c r="AR18" s="14" t="str">
        <f>IF(OR($C18="01-09",$C18="10-14",$D18="Female"),"",INDEX(VMMC!$AB:$AB,MATCH($E18,VMMC!$E:$E,0)))</f>
        <v/>
      </c>
      <c r="AS18" s="14" t="str">
        <f>IF(OR($C18="01-09",$C18="10-14"),"",INDEX(PrEP!$Q:$Q,MATCH($E18,PrEP!$E:$E,0)))</f>
        <v/>
      </c>
      <c r="AT18" s="14" t="str">
        <f t="shared" si="20"/>
        <v/>
      </c>
      <c r="AU18" s="14">
        <f t="shared" si="21"/>
        <v>-92.999999999999986</v>
      </c>
      <c r="AV18" s="90">
        <f t="shared" si="22"/>
        <v>1</v>
      </c>
      <c r="AW18" s="14"/>
      <c r="AX18" s="90" t="str">
        <f t="shared" si="23"/>
        <v/>
      </c>
      <c r="AY18" s="42" t="str">
        <f t="shared" si="24"/>
        <v/>
      </c>
      <c r="AZ18" s="90" t="str">
        <f t="shared" si="25"/>
        <v/>
      </c>
      <c r="BA18" s="42" t="str">
        <f t="shared" si="26"/>
        <v/>
      </c>
    </row>
    <row r="19" spans="1:53" x14ac:dyDescent="0.2">
      <c r="A19" t="str">
        <f>INDEX(Prioritization!$D:$D,MATCH($B19,Prioritization!$A:$A,0))</f>
        <v>Military</v>
      </c>
      <c r="B19" t="s">
        <v>193</v>
      </c>
      <c r="C19" t="s">
        <v>364</v>
      </c>
      <c r="D19" t="s">
        <v>29</v>
      </c>
      <c r="E19" t="str">
        <f t="shared" si="0"/>
        <v>_Military Malawi [PQZgU9dagaH]|15-24|Female</v>
      </c>
      <c r="F19" s="90" t="str">
        <f>IF(LEFT($B19,4)="_Mil","",INDEX(Cascade!$AA:$AA,MATCH($E19,Cascade!$E:$E,0)))</f>
        <v/>
      </c>
      <c r="G19" s="14">
        <f>INDEX(Cascade!$BH:$BH,MATCH($E19,Cascade!$E:$E,0))</f>
        <v>0</v>
      </c>
      <c r="H19" s="14" t="str">
        <f>IF(OR($C19="01-09",$D19="Male"),"",INDEX(PMTCT!$AC:$AC,MATCH($E19,PMTCT!$E:$E,0)))</f>
        <v/>
      </c>
      <c r="I19" s="14" t="str">
        <f>IF(OR($C19="01-09",$D19="Male"),"",INDEX(PMTCT!$AS:$AS,MATCH($E19,PMTCT!$E:$E,0)))</f>
        <v/>
      </c>
      <c r="J19" s="14" t="str">
        <f>INDEX(TB!$P:$P,MATCH($E19,TB!$E:$E,0))</f>
        <v/>
      </c>
      <c r="K19" s="14" t="str">
        <f>IF(OR($C19="01-09",$C19="10-14",$D19="Female"),"",INDEX(VMMC!$AA:$AA,MATCH($E19,VMMC!$E:$E,0)))</f>
        <v/>
      </c>
      <c r="L19" s="14">
        <f t="shared" si="1"/>
        <v>0</v>
      </c>
      <c r="M19" s="90" t="str">
        <f t="shared" si="2"/>
        <v/>
      </c>
      <c r="N19" s="90" t="str">
        <f t="shared" si="3"/>
        <v/>
      </c>
      <c r="O19" s="90" t="str">
        <f t="shared" si="4"/>
        <v/>
      </c>
      <c r="P19" s="90" t="str">
        <f t="shared" si="5"/>
        <v/>
      </c>
      <c r="Q19" s="90"/>
      <c r="R19" s="90"/>
      <c r="S19" s="90"/>
      <c r="T19" s="90"/>
      <c r="U19" s="90"/>
      <c r="V19" s="90" t="str">
        <f t="shared" si="6"/>
        <v/>
      </c>
      <c r="W19" s="90"/>
      <c r="X19" s="42" t="str">
        <f t="shared" si="7"/>
        <v/>
      </c>
      <c r="Y19" s="42" t="str">
        <f t="shared" si="8"/>
        <v/>
      </c>
      <c r="Z19" s="90"/>
      <c r="AA19" s="42" t="str">
        <f t="shared" si="9"/>
        <v/>
      </c>
      <c r="AB19" s="42" t="str">
        <f t="shared" si="10"/>
        <v/>
      </c>
      <c r="AC19" s="90"/>
      <c r="AD19" s="42" t="str">
        <f t="shared" si="11"/>
        <v/>
      </c>
      <c r="AE19" s="42" t="str">
        <f t="shared" si="12"/>
        <v/>
      </c>
      <c r="AF19" s="90"/>
      <c r="AG19" s="42" t="str">
        <f t="shared" si="13"/>
        <v/>
      </c>
      <c r="AH19" s="42" t="str">
        <f t="shared" si="14"/>
        <v/>
      </c>
      <c r="AI19" s="90"/>
      <c r="AJ19" s="42" t="str">
        <f t="shared" si="15"/>
        <v/>
      </c>
      <c r="AK19" s="42" t="str">
        <f t="shared" si="16"/>
        <v/>
      </c>
      <c r="AL19" s="14" t="str">
        <f t="shared" si="17"/>
        <v/>
      </c>
      <c r="AM19" s="14" t="str">
        <f t="shared" si="18"/>
        <v/>
      </c>
      <c r="AN19" s="14" t="str">
        <f t="shared" si="19"/>
        <v/>
      </c>
      <c r="AO19" s="14" t="str">
        <f>IF(OR($C19="01-09",$D19="Male"),"",INDEX(PMTCT!$AD:$AD,MATCH($E19,PMTCT!$E:$E,0)))</f>
        <v/>
      </c>
      <c r="AP19" s="14" t="str">
        <f>IF(OR($C19="01-09",$D19="Male"),"",INDEX(PMTCT!$AT:$AT,MATCH($E19,PMTCT!$E:$E,0)))</f>
        <v/>
      </c>
      <c r="AQ19" s="14" t="str">
        <f>INDEX(TB!$Q:$Q,MATCH($E19,TB!$E:$E,0))</f>
        <v/>
      </c>
      <c r="AR19" s="14" t="str">
        <f>IF(OR($C19="01-09",$C19="10-14",$D19="Female"),"",INDEX(VMMC!$AB:$AB,MATCH($E19,VMMC!$E:$E,0)))</f>
        <v/>
      </c>
      <c r="AS19" s="14" t="str">
        <f>IF(OR($C19="01-09",$C19="10-14"),"",INDEX(PrEP!$Q:$Q,MATCH($E19,PrEP!$E:$E,0)))</f>
        <v/>
      </c>
      <c r="AT19" s="14" t="str">
        <f t="shared" si="20"/>
        <v/>
      </c>
      <c r="AU19" s="14" t="str">
        <f t="shared" si="21"/>
        <v/>
      </c>
      <c r="AV19" s="90" t="str">
        <f t="shared" si="22"/>
        <v/>
      </c>
      <c r="AW19" s="14"/>
      <c r="AX19" s="90" t="str">
        <f t="shared" si="23"/>
        <v/>
      </c>
      <c r="AY19" s="42" t="str">
        <f t="shared" si="24"/>
        <v/>
      </c>
      <c r="AZ19" s="90">
        <f t="shared" si="25"/>
        <v>1</v>
      </c>
      <c r="BA19" s="42" t="str">
        <f t="shared" si="26"/>
        <v/>
      </c>
    </row>
    <row r="20" spans="1:53" x14ac:dyDescent="0.2">
      <c r="A20" t="str">
        <f>INDEX(Prioritization!$D:$D,MATCH($B20,Prioritization!$A:$A,0))</f>
        <v>Military</v>
      </c>
      <c r="B20" t="s">
        <v>193</v>
      </c>
      <c r="C20" t="s">
        <v>364</v>
      </c>
      <c r="D20" t="s">
        <v>47</v>
      </c>
      <c r="E20" t="str">
        <f t="shared" si="0"/>
        <v>_Military Malawi [PQZgU9dagaH]|15-24|Male</v>
      </c>
      <c r="F20" s="90" t="str">
        <f>IF(LEFT($B20,4)="_Mil","",INDEX(Cascade!$AA:$AA,MATCH($E20,Cascade!$E:$E,0)))</f>
        <v/>
      </c>
      <c r="G20" s="14">
        <f>INDEX(Cascade!$BH:$BH,MATCH($E20,Cascade!$E:$E,0))</f>
        <v>0</v>
      </c>
      <c r="H20" s="14" t="str">
        <f>IF(OR($C20="01-09",$D20="Male"),"",INDEX(PMTCT!$AC:$AC,MATCH($E20,PMTCT!$E:$E,0)))</f>
        <v/>
      </c>
      <c r="I20" s="14" t="str">
        <f>IF(OR($C20="01-09",$D20="Male"),"",INDEX(PMTCT!$AS:$AS,MATCH($E20,PMTCT!$E:$E,0)))</f>
        <v/>
      </c>
      <c r="J20" s="14" t="str">
        <f>INDEX(TB!$P:$P,MATCH($E20,TB!$E:$E,0))</f>
        <v/>
      </c>
      <c r="K20" s="14" t="str">
        <f>IF(OR($C20="01-09",$C20="10-14",$D20="Female"),"",INDEX(VMMC!$AA:$AA,MATCH($E20,VMMC!$E:$E,0)))</f>
        <v/>
      </c>
      <c r="L20" s="14">
        <f t="shared" si="1"/>
        <v>0</v>
      </c>
      <c r="M20" s="90" t="str">
        <f t="shared" si="2"/>
        <v/>
      </c>
      <c r="N20" s="90" t="str">
        <f t="shared" si="3"/>
        <v/>
      </c>
      <c r="O20" s="90" t="str">
        <f t="shared" si="4"/>
        <v/>
      </c>
      <c r="P20" s="90" t="str">
        <f t="shared" si="5"/>
        <v/>
      </c>
      <c r="Q20" s="90"/>
      <c r="R20" s="90"/>
      <c r="S20" s="90"/>
      <c r="T20" s="90"/>
      <c r="U20" s="90"/>
      <c r="V20" s="90" t="str">
        <f t="shared" si="6"/>
        <v/>
      </c>
      <c r="W20" s="90"/>
      <c r="X20" s="42" t="str">
        <f t="shared" si="7"/>
        <v/>
      </c>
      <c r="Y20" s="42" t="str">
        <f t="shared" si="8"/>
        <v/>
      </c>
      <c r="Z20" s="90"/>
      <c r="AA20" s="42" t="str">
        <f t="shared" si="9"/>
        <v/>
      </c>
      <c r="AB20" s="42" t="str">
        <f t="shared" si="10"/>
        <v/>
      </c>
      <c r="AC20" s="90"/>
      <c r="AD20" s="42" t="str">
        <f t="shared" si="11"/>
        <v/>
      </c>
      <c r="AE20" s="42" t="str">
        <f t="shared" si="12"/>
        <v/>
      </c>
      <c r="AF20" s="90"/>
      <c r="AG20" s="42" t="str">
        <f t="shared" si="13"/>
        <v/>
      </c>
      <c r="AH20" s="42" t="str">
        <f t="shared" si="14"/>
        <v/>
      </c>
      <c r="AI20" s="90"/>
      <c r="AJ20" s="42" t="str">
        <f t="shared" si="15"/>
        <v/>
      </c>
      <c r="AK20" s="42" t="str">
        <f t="shared" si="16"/>
        <v/>
      </c>
      <c r="AL20" s="14" t="str">
        <f t="shared" si="17"/>
        <v/>
      </c>
      <c r="AM20" s="14" t="str">
        <f t="shared" si="18"/>
        <v/>
      </c>
      <c r="AN20" s="14" t="str">
        <f t="shared" si="19"/>
        <v/>
      </c>
      <c r="AO20" s="14" t="str">
        <f>IF(OR($C20="01-09",$D20="Male"),"",INDEX(PMTCT!$AD:$AD,MATCH($E20,PMTCT!$E:$E,0)))</f>
        <v/>
      </c>
      <c r="AP20" s="14" t="str">
        <f>IF(OR($C20="01-09",$D20="Male"),"",INDEX(PMTCT!$AT:$AT,MATCH($E20,PMTCT!$E:$E,0)))</f>
        <v/>
      </c>
      <c r="AQ20" s="14" t="str">
        <f>INDEX(TB!$Q:$Q,MATCH($E20,TB!$E:$E,0))</f>
        <v/>
      </c>
      <c r="AR20" s="14" t="str">
        <f>IF(OR($C20="01-09",$C20="10-14",$D20="Female"),"",INDEX(VMMC!$AB:$AB,MATCH($E20,VMMC!$E:$E,0)))</f>
        <v/>
      </c>
      <c r="AS20" s="14" t="str">
        <f>IF(OR($C20="01-09",$C20="10-14"),"",INDEX(PrEP!$Q:$Q,MATCH($E20,PrEP!$E:$E,0)))</f>
        <v/>
      </c>
      <c r="AT20" s="14" t="str">
        <f t="shared" si="20"/>
        <v/>
      </c>
      <c r="AU20" s="14" t="str">
        <f t="shared" si="21"/>
        <v/>
      </c>
      <c r="AV20" s="90" t="str">
        <f t="shared" si="22"/>
        <v/>
      </c>
      <c r="AW20" s="14"/>
      <c r="AX20" s="90" t="str">
        <f t="shared" si="23"/>
        <v/>
      </c>
      <c r="AY20" s="42" t="str">
        <f t="shared" si="24"/>
        <v/>
      </c>
      <c r="AZ20" s="90">
        <f t="shared" si="25"/>
        <v>1</v>
      </c>
      <c r="BA20" s="42" t="str">
        <f t="shared" si="26"/>
        <v/>
      </c>
    </row>
    <row r="21" spans="1:53" x14ac:dyDescent="0.2">
      <c r="A21" t="str">
        <f>INDEX(Prioritization!$D:$D,MATCH($B21,Prioritization!$A:$A,0))</f>
        <v>Military</v>
      </c>
      <c r="B21" t="s">
        <v>193</v>
      </c>
      <c r="C21" t="s">
        <v>365</v>
      </c>
      <c r="D21" t="s">
        <v>29</v>
      </c>
      <c r="E21" t="str">
        <f t="shared" si="0"/>
        <v>_Military Malawi [PQZgU9dagaH]|25-34|Female</v>
      </c>
      <c r="F21" s="90" t="str">
        <f>IF(LEFT($B21,4)="_Mil","",INDEX(Cascade!$AA:$AA,MATCH($E21,Cascade!$E:$E,0)))</f>
        <v/>
      </c>
      <c r="G21" s="14">
        <f>INDEX(Cascade!$BH:$BH,MATCH($E21,Cascade!$E:$E,0))</f>
        <v>0</v>
      </c>
      <c r="H21" s="14" t="str">
        <f>IF(OR($C21="01-09",$D21="Male"),"",INDEX(PMTCT!$AC:$AC,MATCH($E21,PMTCT!$E:$E,0)))</f>
        <v/>
      </c>
      <c r="I21" s="14" t="str">
        <f>IF(OR($C21="01-09",$D21="Male"),"",INDEX(PMTCT!$AS:$AS,MATCH($E21,PMTCT!$E:$E,0)))</f>
        <v/>
      </c>
      <c r="J21" s="14" t="str">
        <f>INDEX(TB!$P:$P,MATCH($E21,TB!$E:$E,0))</f>
        <v/>
      </c>
      <c r="K21" s="14" t="str">
        <f>IF(OR($C21="01-09",$C21="10-14",$D21="Female"),"",INDEX(VMMC!$AA:$AA,MATCH($E21,VMMC!$E:$E,0)))</f>
        <v/>
      </c>
      <c r="L21" s="14">
        <f t="shared" si="1"/>
        <v>0</v>
      </c>
      <c r="M21" s="90" t="str">
        <f t="shared" si="2"/>
        <v/>
      </c>
      <c r="N21" s="90" t="str">
        <f t="shared" si="3"/>
        <v/>
      </c>
      <c r="O21" s="90" t="str">
        <f t="shared" si="4"/>
        <v/>
      </c>
      <c r="P21" s="90" t="str">
        <f t="shared" si="5"/>
        <v/>
      </c>
      <c r="Q21" s="90"/>
      <c r="R21" s="90"/>
      <c r="S21" s="90"/>
      <c r="T21" s="90"/>
      <c r="U21" s="90"/>
      <c r="V21" s="90" t="str">
        <f t="shared" si="6"/>
        <v/>
      </c>
      <c r="W21" s="90"/>
      <c r="X21" s="42" t="str">
        <f t="shared" si="7"/>
        <v/>
      </c>
      <c r="Y21" s="42" t="str">
        <f t="shared" si="8"/>
        <v/>
      </c>
      <c r="Z21" s="90"/>
      <c r="AA21" s="42" t="str">
        <f t="shared" si="9"/>
        <v/>
      </c>
      <c r="AB21" s="42" t="str">
        <f t="shared" si="10"/>
        <v/>
      </c>
      <c r="AC21" s="90"/>
      <c r="AD21" s="42" t="str">
        <f t="shared" si="11"/>
        <v/>
      </c>
      <c r="AE21" s="42" t="str">
        <f t="shared" si="12"/>
        <v/>
      </c>
      <c r="AF21" s="90"/>
      <c r="AG21" s="42" t="str">
        <f t="shared" si="13"/>
        <v/>
      </c>
      <c r="AH21" s="42" t="str">
        <f t="shared" si="14"/>
        <v/>
      </c>
      <c r="AI21" s="90"/>
      <c r="AJ21" s="42" t="str">
        <f t="shared" si="15"/>
        <v/>
      </c>
      <c r="AK21" s="42" t="str">
        <f t="shared" si="16"/>
        <v/>
      </c>
      <c r="AL21" s="14" t="str">
        <f t="shared" si="17"/>
        <v/>
      </c>
      <c r="AM21" s="14" t="str">
        <f t="shared" si="18"/>
        <v/>
      </c>
      <c r="AN21" s="14" t="str">
        <f t="shared" si="19"/>
        <v/>
      </c>
      <c r="AO21" s="14" t="str">
        <f>IF(OR($C21="01-09",$D21="Male"),"",INDEX(PMTCT!$AD:$AD,MATCH($E21,PMTCT!$E:$E,0)))</f>
        <v/>
      </c>
      <c r="AP21" s="14" t="str">
        <f>IF(OR($C21="01-09",$D21="Male"),"",INDEX(PMTCT!$AT:$AT,MATCH($E21,PMTCT!$E:$E,0)))</f>
        <v/>
      </c>
      <c r="AQ21" s="14" t="str">
        <f>INDEX(TB!$Q:$Q,MATCH($E21,TB!$E:$E,0))</f>
        <v/>
      </c>
      <c r="AR21" s="14" t="str">
        <f>IF(OR($C21="01-09",$C21="10-14",$D21="Female"),"",INDEX(VMMC!$AB:$AB,MATCH($E21,VMMC!$E:$E,0)))</f>
        <v/>
      </c>
      <c r="AS21" s="14" t="str">
        <f>IF(OR($C21="01-09",$C21="10-14"),"",INDEX(PrEP!$Q:$Q,MATCH($E21,PrEP!$E:$E,0)))</f>
        <v/>
      </c>
      <c r="AT21" s="14" t="str">
        <f t="shared" si="20"/>
        <v/>
      </c>
      <c r="AU21" s="14" t="str">
        <f t="shared" si="21"/>
        <v/>
      </c>
      <c r="AV21" s="90" t="str">
        <f t="shared" si="22"/>
        <v/>
      </c>
      <c r="AW21" s="14"/>
      <c r="AX21" s="90" t="str">
        <f t="shared" si="23"/>
        <v/>
      </c>
      <c r="AY21" s="42" t="str">
        <f t="shared" si="24"/>
        <v/>
      </c>
      <c r="AZ21" s="90">
        <f t="shared" si="25"/>
        <v>1</v>
      </c>
      <c r="BA21" s="42" t="str">
        <f t="shared" si="26"/>
        <v/>
      </c>
    </row>
    <row r="22" spans="1:53" x14ac:dyDescent="0.2">
      <c r="A22" t="str">
        <f>INDEX(Prioritization!$D:$D,MATCH($B22,Prioritization!$A:$A,0))</f>
        <v>Military</v>
      </c>
      <c r="B22" t="s">
        <v>193</v>
      </c>
      <c r="C22" t="s">
        <v>365</v>
      </c>
      <c r="D22" t="s">
        <v>47</v>
      </c>
      <c r="E22" t="str">
        <f t="shared" si="0"/>
        <v>_Military Malawi [PQZgU9dagaH]|25-34|Male</v>
      </c>
      <c r="F22" s="90" t="str">
        <f>IF(LEFT($B22,4)="_Mil","",INDEX(Cascade!$AA:$AA,MATCH($E22,Cascade!$E:$E,0)))</f>
        <v/>
      </c>
      <c r="G22" s="14">
        <f>INDEX(Cascade!$BH:$BH,MATCH($E22,Cascade!$E:$E,0))</f>
        <v>0</v>
      </c>
      <c r="H22" s="14" t="str">
        <f>IF(OR($C22="01-09",$D22="Male"),"",INDEX(PMTCT!$AC:$AC,MATCH($E22,PMTCT!$E:$E,0)))</f>
        <v/>
      </c>
      <c r="I22" s="14" t="str">
        <f>IF(OR($C22="01-09",$D22="Male"),"",INDEX(PMTCT!$AS:$AS,MATCH($E22,PMTCT!$E:$E,0)))</f>
        <v/>
      </c>
      <c r="J22" s="14" t="str">
        <f>INDEX(TB!$P:$P,MATCH($E22,TB!$E:$E,0))</f>
        <v/>
      </c>
      <c r="K22" s="14" t="str">
        <f>IF(OR($C22="01-09",$C22="10-14",$D22="Female"),"",INDEX(VMMC!$AA:$AA,MATCH($E22,VMMC!$E:$E,0)))</f>
        <v/>
      </c>
      <c r="L22" s="14">
        <f t="shared" si="1"/>
        <v>0</v>
      </c>
      <c r="M22" s="90" t="str">
        <f t="shared" si="2"/>
        <v/>
      </c>
      <c r="N22" s="90" t="str">
        <f t="shared" si="3"/>
        <v/>
      </c>
      <c r="O22" s="90" t="str">
        <f t="shared" si="4"/>
        <v/>
      </c>
      <c r="P22" s="90" t="str">
        <f t="shared" si="5"/>
        <v/>
      </c>
      <c r="Q22" s="90"/>
      <c r="R22" s="90"/>
      <c r="S22" s="90"/>
      <c r="T22" s="90"/>
      <c r="U22" s="90"/>
      <c r="V22" s="90" t="str">
        <f t="shared" si="6"/>
        <v/>
      </c>
      <c r="W22" s="90"/>
      <c r="X22" s="42" t="str">
        <f t="shared" si="7"/>
        <v/>
      </c>
      <c r="Y22" s="42" t="str">
        <f t="shared" si="8"/>
        <v/>
      </c>
      <c r="Z22" s="90"/>
      <c r="AA22" s="42" t="str">
        <f t="shared" si="9"/>
        <v/>
      </c>
      <c r="AB22" s="42" t="str">
        <f t="shared" si="10"/>
        <v/>
      </c>
      <c r="AC22" s="90"/>
      <c r="AD22" s="42" t="str">
        <f t="shared" si="11"/>
        <v/>
      </c>
      <c r="AE22" s="42" t="str">
        <f t="shared" si="12"/>
        <v/>
      </c>
      <c r="AF22" s="90"/>
      <c r="AG22" s="42" t="str">
        <f t="shared" si="13"/>
        <v/>
      </c>
      <c r="AH22" s="42" t="str">
        <f t="shared" si="14"/>
        <v/>
      </c>
      <c r="AI22" s="90"/>
      <c r="AJ22" s="42" t="str">
        <f t="shared" si="15"/>
        <v/>
      </c>
      <c r="AK22" s="42" t="str">
        <f t="shared" si="16"/>
        <v/>
      </c>
      <c r="AL22" s="14" t="str">
        <f t="shared" si="17"/>
        <v/>
      </c>
      <c r="AM22" s="14" t="str">
        <f t="shared" si="18"/>
        <v/>
      </c>
      <c r="AN22" s="14" t="str">
        <f t="shared" si="19"/>
        <v/>
      </c>
      <c r="AO22" s="14" t="str">
        <f>IF(OR($C22="01-09",$D22="Male"),"",INDEX(PMTCT!$AD:$AD,MATCH($E22,PMTCT!$E:$E,0)))</f>
        <v/>
      </c>
      <c r="AP22" s="14" t="str">
        <f>IF(OR($C22="01-09",$D22="Male"),"",INDEX(PMTCT!$AT:$AT,MATCH($E22,PMTCT!$E:$E,0)))</f>
        <v/>
      </c>
      <c r="AQ22" s="14" t="str">
        <f>INDEX(TB!$Q:$Q,MATCH($E22,TB!$E:$E,0))</f>
        <v/>
      </c>
      <c r="AR22" s="14" t="str">
        <f>IF(OR($C22="01-09",$C22="10-14",$D22="Female"),"",INDEX(VMMC!$AB:$AB,MATCH($E22,VMMC!$E:$E,0)))</f>
        <v/>
      </c>
      <c r="AS22" s="14" t="str">
        <f>IF(OR($C22="01-09",$C22="10-14"),"",INDEX(PrEP!$Q:$Q,MATCH($E22,PrEP!$E:$E,0)))</f>
        <v/>
      </c>
      <c r="AT22" s="14" t="str">
        <f t="shared" si="20"/>
        <v/>
      </c>
      <c r="AU22" s="14" t="str">
        <f t="shared" si="21"/>
        <v/>
      </c>
      <c r="AV22" s="90" t="str">
        <f t="shared" si="22"/>
        <v/>
      </c>
      <c r="AW22" s="14"/>
      <c r="AX22" s="90" t="str">
        <f t="shared" si="23"/>
        <v/>
      </c>
      <c r="AY22" s="42" t="str">
        <f t="shared" si="24"/>
        <v/>
      </c>
      <c r="AZ22" s="90">
        <f t="shared" si="25"/>
        <v>1</v>
      </c>
      <c r="BA22" s="42" t="str">
        <f t="shared" si="26"/>
        <v/>
      </c>
    </row>
    <row r="23" spans="1:53" x14ac:dyDescent="0.2">
      <c r="A23" t="str">
        <f>INDEX(Prioritization!$D:$D,MATCH($B23,Prioritization!$A:$A,0))</f>
        <v>Military</v>
      </c>
      <c r="B23" t="s">
        <v>193</v>
      </c>
      <c r="C23" t="s">
        <v>366</v>
      </c>
      <c r="D23" t="s">
        <v>29</v>
      </c>
      <c r="E23" t="str">
        <f t="shared" si="0"/>
        <v>_Military Malawi [PQZgU9dagaH]|35-49|Female</v>
      </c>
      <c r="F23" s="90" t="str">
        <f>IF(LEFT($B23,4)="_Mil","",INDEX(Cascade!$AA:$AA,MATCH($E23,Cascade!$E:$E,0)))</f>
        <v/>
      </c>
      <c r="G23" s="14">
        <f>INDEX(Cascade!$BH:$BH,MATCH($E23,Cascade!$E:$E,0))</f>
        <v>0</v>
      </c>
      <c r="H23" s="14" t="str">
        <f>IF(OR($C23="01-09",$D23="Male"),"",INDEX(PMTCT!$AC:$AC,MATCH($E23,PMTCT!$E:$E,0)))</f>
        <v/>
      </c>
      <c r="I23" s="14" t="str">
        <f>IF(OR($C23="01-09",$D23="Male"),"",INDEX(PMTCT!$AS:$AS,MATCH($E23,PMTCT!$E:$E,0)))</f>
        <v/>
      </c>
      <c r="J23" s="14" t="str">
        <f>INDEX(TB!$P:$P,MATCH($E23,TB!$E:$E,0))</f>
        <v/>
      </c>
      <c r="K23" s="14" t="str">
        <f>IF(OR($C23="01-09",$C23="10-14",$D23="Female"),"",INDEX(VMMC!$AA:$AA,MATCH($E23,VMMC!$E:$E,0)))</f>
        <v/>
      </c>
      <c r="L23" s="14">
        <f t="shared" si="1"/>
        <v>0</v>
      </c>
      <c r="M23" s="90" t="str">
        <f t="shared" si="2"/>
        <v/>
      </c>
      <c r="N23" s="90" t="str">
        <f t="shared" si="3"/>
        <v/>
      </c>
      <c r="O23" s="90" t="str">
        <f t="shared" si="4"/>
        <v/>
      </c>
      <c r="P23" s="90" t="str">
        <f t="shared" si="5"/>
        <v/>
      </c>
      <c r="Q23" s="90"/>
      <c r="R23" s="90"/>
      <c r="S23" s="90"/>
      <c r="T23" s="90"/>
      <c r="U23" s="90"/>
      <c r="V23" s="90" t="str">
        <f t="shared" si="6"/>
        <v/>
      </c>
      <c r="W23" s="90"/>
      <c r="X23" s="42" t="str">
        <f t="shared" si="7"/>
        <v/>
      </c>
      <c r="Y23" s="42" t="str">
        <f t="shared" si="8"/>
        <v/>
      </c>
      <c r="Z23" s="90"/>
      <c r="AA23" s="42" t="str">
        <f t="shared" si="9"/>
        <v/>
      </c>
      <c r="AB23" s="42" t="str">
        <f t="shared" si="10"/>
        <v/>
      </c>
      <c r="AC23" s="90"/>
      <c r="AD23" s="42" t="str">
        <f t="shared" si="11"/>
        <v/>
      </c>
      <c r="AE23" s="42" t="str">
        <f t="shared" si="12"/>
        <v/>
      </c>
      <c r="AF23" s="90"/>
      <c r="AG23" s="42" t="str">
        <f t="shared" si="13"/>
        <v/>
      </c>
      <c r="AH23" s="42" t="str">
        <f t="shared" si="14"/>
        <v/>
      </c>
      <c r="AI23" s="90"/>
      <c r="AJ23" s="42" t="str">
        <f t="shared" si="15"/>
        <v/>
      </c>
      <c r="AK23" s="42" t="str">
        <f t="shared" si="16"/>
        <v/>
      </c>
      <c r="AL23" s="14" t="str">
        <f t="shared" si="17"/>
        <v/>
      </c>
      <c r="AM23" s="14" t="str">
        <f t="shared" si="18"/>
        <v/>
      </c>
      <c r="AN23" s="14" t="str">
        <f t="shared" si="19"/>
        <v/>
      </c>
      <c r="AO23" s="14" t="str">
        <f>IF(OR($C23="01-09",$D23="Male"),"",INDEX(PMTCT!$AD:$AD,MATCH($E23,PMTCT!$E:$E,0)))</f>
        <v/>
      </c>
      <c r="AP23" s="14" t="str">
        <f>IF(OR($C23="01-09",$D23="Male"),"",INDEX(PMTCT!$AT:$AT,MATCH($E23,PMTCT!$E:$E,0)))</f>
        <v/>
      </c>
      <c r="AQ23" s="14" t="str">
        <f>INDEX(TB!$Q:$Q,MATCH($E23,TB!$E:$E,0))</f>
        <v/>
      </c>
      <c r="AR23" s="14" t="str">
        <f>IF(OR($C23="01-09",$C23="10-14",$D23="Female"),"",INDEX(VMMC!$AB:$AB,MATCH($E23,VMMC!$E:$E,0)))</f>
        <v/>
      </c>
      <c r="AS23" s="14" t="str">
        <f>IF(OR($C23="01-09",$C23="10-14"),"",INDEX(PrEP!$Q:$Q,MATCH($E23,PrEP!$E:$E,0)))</f>
        <v/>
      </c>
      <c r="AT23" s="14" t="str">
        <f t="shared" si="20"/>
        <v/>
      </c>
      <c r="AU23" s="14" t="str">
        <f t="shared" si="21"/>
        <v/>
      </c>
      <c r="AV23" s="90" t="str">
        <f t="shared" si="22"/>
        <v/>
      </c>
      <c r="AW23" s="14"/>
      <c r="AX23" s="90" t="str">
        <f t="shared" si="23"/>
        <v/>
      </c>
      <c r="AY23" s="42" t="str">
        <f t="shared" si="24"/>
        <v/>
      </c>
      <c r="AZ23" s="90">
        <f t="shared" si="25"/>
        <v>1</v>
      </c>
      <c r="BA23" s="42" t="str">
        <f t="shared" si="26"/>
        <v/>
      </c>
    </row>
    <row r="24" spans="1:53" x14ac:dyDescent="0.2">
      <c r="A24" t="str">
        <f>INDEX(Prioritization!$D:$D,MATCH($B24,Prioritization!$A:$A,0))</f>
        <v>Military</v>
      </c>
      <c r="B24" t="s">
        <v>193</v>
      </c>
      <c r="C24" t="s">
        <v>366</v>
      </c>
      <c r="D24" t="s">
        <v>47</v>
      </c>
      <c r="E24" t="str">
        <f t="shared" si="0"/>
        <v>_Military Malawi [PQZgU9dagaH]|35-49|Male</v>
      </c>
      <c r="F24" s="90" t="str">
        <f>IF(LEFT($B24,4)="_Mil","",INDEX(Cascade!$AA:$AA,MATCH($E24,Cascade!$E:$E,0)))</f>
        <v/>
      </c>
      <c r="G24" s="14">
        <f>INDEX(Cascade!$BH:$BH,MATCH($E24,Cascade!$E:$E,0))</f>
        <v>0</v>
      </c>
      <c r="H24" s="14" t="str">
        <f>IF(OR($C24="01-09",$D24="Male"),"",INDEX(PMTCT!$AC:$AC,MATCH($E24,PMTCT!$E:$E,0)))</f>
        <v/>
      </c>
      <c r="I24" s="14" t="str">
        <f>IF(OR($C24="01-09",$D24="Male"),"",INDEX(PMTCT!$AS:$AS,MATCH($E24,PMTCT!$E:$E,0)))</f>
        <v/>
      </c>
      <c r="J24" s="14" t="str">
        <f>INDEX(TB!$P:$P,MATCH($E24,TB!$E:$E,0))</f>
        <v/>
      </c>
      <c r="K24" s="14" t="str">
        <f>IF(OR($C24="01-09",$C24="10-14",$D24="Female"),"",INDEX(VMMC!$AA:$AA,MATCH($E24,VMMC!$E:$E,0)))</f>
        <v/>
      </c>
      <c r="L24" s="14">
        <f t="shared" si="1"/>
        <v>0</v>
      </c>
      <c r="M24" s="90" t="str">
        <f t="shared" si="2"/>
        <v/>
      </c>
      <c r="N24" s="90" t="str">
        <f t="shared" si="3"/>
        <v/>
      </c>
      <c r="O24" s="90" t="str">
        <f t="shared" si="4"/>
        <v/>
      </c>
      <c r="P24" s="90" t="str">
        <f t="shared" si="5"/>
        <v/>
      </c>
      <c r="Q24" s="90"/>
      <c r="R24" s="90"/>
      <c r="S24" s="90"/>
      <c r="T24" s="90"/>
      <c r="U24" s="90"/>
      <c r="V24" s="90" t="str">
        <f t="shared" si="6"/>
        <v/>
      </c>
      <c r="W24" s="90"/>
      <c r="X24" s="42" t="str">
        <f t="shared" si="7"/>
        <v/>
      </c>
      <c r="Y24" s="42" t="str">
        <f t="shared" si="8"/>
        <v/>
      </c>
      <c r="Z24" s="90"/>
      <c r="AA24" s="42" t="str">
        <f t="shared" si="9"/>
        <v/>
      </c>
      <c r="AB24" s="42" t="str">
        <f t="shared" si="10"/>
        <v/>
      </c>
      <c r="AC24" s="90"/>
      <c r="AD24" s="42" t="str">
        <f t="shared" si="11"/>
        <v/>
      </c>
      <c r="AE24" s="42" t="str">
        <f t="shared" si="12"/>
        <v/>
      </c>
      <c r="AF24" s="90"/>
      <c r="AG24" s="42" t="str">
        <f t="shared" si="13"/>
        <v/>
      </c>
      <c r="AH24" s="42" t="str">
        <f t="shared" si="14"/>
        <v/>
      </c>
      <c r="AI24" s="90"/>
      <c r="AJ24" s="42" t="str">
        <f t="shared" si="15"/>
        <v/>
      </c>
      <c r="AK24" s="42" t="str">
        <f t="shared" si="16"/>
        <v/>
      </c>
      <c r="AL24" s="14" t="str">
        <f t="shared" si="17"/>
        <v/>
      </c>
      <c r="AM24" s="14" t="str">
        <f t="shared" si="18"/>
        <v/>
      </c>
      <c r="AN24" s="14" t="str">
        <f t="shared" si="19"/>
        <v/>
      </c>
      <c r="AO24" s="14" t="str">
        <f>IF(OR($C24="01-09",$D24="Male"),"",INDEX(PMTCT!$AD:$AD,MATCH($E24,PMTCT!$E:$E,0)))</f>
        <v/>
      </c>
      <c r="AP24" s="14" t="str">
        <f>IF(OR($C24="01-09",$D24="Male"),"",INDEX(PMTCT!$AT:$AT,MATCH($E24,PMTCT!$E:$E,0)))</f>
        <v/>
      </c>
      <c r="AQ24" s="14" t="str">
        <f>INDEX(TB!$Q:$Q,MATCH($E24,TB!$E:$E,0))</f>
        <v/>
      </c>
      <c r="AR24" s="14" t="str">
        <f>IF(OR($C24="01-09",$C24="10-14",$D24="Female"),"",INDEX(VMMC!$AB:$AB,MATCH($E24,VMMC!$E:$E,0)))</f>
        <v/>
      </c>
      <c r="AS24" s="14" t="str">
        <f>IF(OR($C24="01-09",$C24="10-14"),"",INDEX(PrEP!$Q:$Q,MATCH($E24,PrEP!$E:$E,0)))</f>
        <v/>
      </c>
      <c r="AT24" s="14" t="str">
        <f t="shared" si="20"/>
        <v/>
      </c>
      <c r="AU24" s="14" t="str">
        <f t="shared" si="21"/>
        <v/>
      </c>
      <c r="AV24" s="90" t="str">
        <f t="shared" si="22"/>
        <v/>
      </c>
      <c r="AW24" s="14"/>
      <c r="AX24" s="90" t="str">
        <f t="shared" si="23"/>
        <v/>
      </c>
      <c r="AY24" s="42" t="str">
        <f t="shared" si="24"/>
        <v/>
      </c>
      <c r="AZ24" s="90">
        <f t="shared" si="25"/>
        <v>1</v>
      </c>
      <c r="BA24" s="42" t="str">
        <f t="shared" si="26"/>
        <v/>
      </c>
    </row>
    <row r="25" spans="1:53" x14ac:dyDescent="0.2">
      <c r="A25" t="str">
        <f>INDEX(Prioritization!$D:$D,MATCH($B25,Prioritization!$A:$A,0))</f>
        <v>Military</v>
      </c>
      <c r="B25" t="s">
        <v>193</v>
      </c>
      <c r="C25" t="s">
        <v>367</v>
      </c>
      <c r="D25" t="s">
        <v>29</v>
      </c>
      <c r="E25" t="str">
        <f t="shared" si="0"/>
        <v>_Military Malawi [PQZgU9dagaH]|50+|Female</v>
      </c>
      <c r="F25" s="90" t="str">
        <f>IF(LEFT($B25,4)="_Mil","",INDEX(Cascade!$AA:$AA,MATCH($E25,Cascade!$E:$E,0)))</f>
        <v/>
      </c>
      <c r="G25" s="14">
        <f>INDEX(Cascade!$BH:$BH,MATCH($E25,Cascade!$E:$E,0))</f>
        <v>0</v>
      </c>
      <c r="H25" s="14" t="str">
        <f>IF(OR($C25="01-09",$D25="Male"),"",INDEX(PMTCT!$AC:$AC,MATCH($E25,PMTCT!$E:$E,0)))</f>
        <v/>
      </c>
      <c r="I25" s="14" t="str">
        <f>IF(OR($C25="01-09",$D25="Male"),"",INDEX(PMTCT!$AS:$AS,MATCH($E25,PMTCT!$E:$E,0)))</f>
        <v/>
      </c>
      <c r="J25" s="14" t="str">
        <f>INDEX(TB!$P:$P,MATCH($E25,TB!$E:$E,0))</f>
        <v/>
      </c>
      <c r="K25" s="14" t="str">
        <f>IF(OR($C25="01-09",$C25="10-14",$D25="Female"),"",INDEX(VMMC!$AA:$AA,MATCH($E25,VMMC!$E:$E,0)))</f>
        <v/>
      </c>
      <c r="L25" s="14">
        <f t="shared" si="1"/>
        <v>0</v>
      </c>
      <c r="M25" s="90" t="str">
        <f t="shared" si="2"/>
        <v/>
      </c>
      <c r="N25" s="90" t="str">
        <f t="shared" si="3"/>
        <v/>
      </c>
      <c r="O25" s="90" t="str">
        <f t="shared" si="4"/>
        <v/>
      </c>
      <c r="P25" s="90" t="str">
        <f t="shared" si="5"/>
        <v/>
      </c>
      <c r="Q25" s="90"/>
      <c r="R25" s="90"/>
      <c r="S25" s="90"/>
      <c r="T25" s="90">
        <v>0.508464402751997</v>
      </c>
      <c r="U25" s="90">
        <v>0.84701784024946403</v>
      </c>
      <c r="V25" s="90" t="str">
        <f t="shared" si="6"/>
        <v/>
      </c>
      <c r="W25" s="90"/>
      <c r="X25" s="42" t="str">
        <f t="shared" si="7"/>
        <v/>
      </c>
      <c r="Y25" s="42" t="str">
        <f t="shared" si="8"/>
        <v/>
      </c>
      <c r="Z25" s="90"/>
      <c r="AA25" s="42" t="str">
        <f t="shared" si="9"/>
        <v/>
      </c>
      <c r="AB25" s="42" t="str">
        <f t="shared" si="10"/>
        <v/>
      </c>
      <c r="AC25" s="90"/>
      <c r="AD25" s="42" t="str">
        <f t="shared" si="11"/>
        <v/>
      </c>
      <c r="AE25" s="42" t="str">
        <f t="shared" si="12"/>
        <v/>
      </c>
      <c r="AF25" s="90"/>
      <c r="AG25" s="42" t="str">
        <f t="shared" si="13"/>
        <v/>
      </c>
      <c r="AH25" s="42" t="str">
        <f t="shared" si="14"/>
        <v/>
      </c>
      <c r="AI25" s="90">
        <v>0.69716669339686599</v>
      </c>
      <c r="AJ25" s="42" t="str">
        <f t="shared" si="15"/>
        <v/>
      </c>
      <c r="AK25" s="42" t="str">
        <f t="shared" si="16"/>
        <v/>
      </c>
      <c r="AL25" s="14" t="str">
        <f t="shared" si="17"/>
        <v/>
      </c>
      <c r="AM25" s="14" t="str">
        <f t="shared" si="18"/>
        <v/>
      </c>
      <c r="AN25" s="14" t="str">
        <f t="shared" si="19"/>
        <v/>
      </c>
      <c r="AO25" s="14" t="str">
        <f>IF(OR($C25="01-09",$D25="Male"),"",INDEX(PMTCT!$AD:$AD,MATCH($E25,PMTCT!$E:$E,0)))</f>
        <v/>
      </c>
      <c r="AP25" s="14" t="str">
        <f>IF(OR($C25="01-09",$D25="Male"),"",INDEX(PMTCT!$AT:$AT,MATCH($E25,PMTCT!$E:$E,0)))</f>
        <v/>
      </c>
      <c r="AQ25" s="14" t="str">
        <f>INDEX(TB!$Q:$Q,MATCH($E25,TB!$E:$E,0))</f>
        <v/>
      </c>
      <c r="AR25" s="14" t="str">
        <f>IF(OR($C25="01-09",$C25="10-14",$D25="Female"),"",INDEX(VMMC!$AB:$AB,MATCH($E25,VMMC!$E:$E,0)))</f>
        <v/>
      </c>
      <c r="AS25" s="14" t="str">
        <f>IF(OR($C25="01-09",$C25="10-14"),"",INDEX(PrEP!$Q:$Q,MATCH($E25,PrEP!$E:$E,0)))</f>
        <v/>
      </c>
      <c r="AT25" s="14" t="str">
        <f t="shared" si="20"/>
        <v/>
      </c>
      <c r="AU25" s="14" t="str">
        <f t="shared" si="21"/>
        <v/>
      </c>
      <c r="AV25" s="90" t="str">
        <f t="shared" si="22"/>
        <v/>
      </c>
      <c r="AW25" s="14">
        <v>79</v>
      </c>
      <c r="AX25" s="90">
        <f t="shared" si="23"/>
        <v>0</v>
      </c>
      <c r="AY25" s="42">
        <f t="shared" si="24"/>
        <v>79</v>
      </c>
      <c r="AZ25" s="90">
        <f t="shared" si="25"/>
        <v>1</v>
      </c>
      <c r="BA25" s="42" t="str">
        <f t="shared" si="26"/>
        <v/>
      </c>
    </row>
    <row r="26" spans="1:53" x14ac:dyDescent="0.2">
      <c r="A26" t="str">
        <f>INDEX(Prioritization!$D:$D,MATCH($B26,Prioritization!$A:$A,0))</f>
        <v>Military</v>
      </c>
      <c r="B26" t="s">
        <v>193</v>
      </c>
      <c r="C26" t="s">
        <v>367</v>
      </c>
      <c r="D26" t="s">
        <v>47</v>
      </c>
      <c r="E26" t="str">
        <f t="shared" si="0"/>
        <v>_Military Malawi [PQZgU9dagaH]|50+|Male</v>
      </c>
      <c r="F26" s="90" t="str">
        <f>IF(LEFT($B26,4)="_Mil","",INDEX(Cascade!$AA:$AA,MATCH($E26,Cascade!$E:$E,0)))</f>
        <v/>
      </c>
      <c r="G26" s="14">
        <f>INDEX(Cascade!$BH:$BH,MATCH($E26,Cascade!$E:$E,0))</f>
        <v>0</v>
      </c>
      <c r="H26" s="14" t="str">
        <f>IF(OR($C26="01-09",$D26="Male"),"",INDEX(PMTCT!$AC:$AC,MATCH($E26,PMTCT!$E:$E,0)))</f>
        <v/>
      </c>
      <c r="I26" s="14" t="str">
        <f>IF(OR($C26="01-09",$D26="Male"),"",INDEX(PMTCT!$AS:$AS,MATCH($E26,PMTCT!$E:$E,0)))</f>
        <v/>
      </c>
      <c r="J26" s="14" t="str">
        <f>INDEX(TB!$P:$P,MATCH($E26,TB!$E:$E,0))</f>
        <v/>
      </c>
      <c r="K26" s="14" t="str">
        <f>IF(OR($C26="01-09",$C26="10-14",$D26="Female"),"",INDEX(VMMC!$AA:$AA,MATCH($E26,VMMC!$E:$E,0)))</f>
        <v/>
      </c>
      <c r="L26" s="14">
        <f t="shared" si="1"/>
        <v>0</v>
      </c>
      <c r="M26" s="90" t="str">
        <f t="shared" si="2"/>
        <v/>
      </c>
      <c r="N26" s="90" t="str">
        <f t="shared" si="3"/>
        <v/>
      </c>
      <c r="O26" s="90" t="str">
        <f t="shared" si="4"/>
        <v/>
      </c>
      <c r="P26" s="90" t="str">
        <f t="shared" si="5"/>
        <v/>
      </c>
      <c r="Q26" s="90"/>
      <c r="R26" s="90"/>
      <c r="S26" s="90"/>
      <c r="T26" s="90">
        <v>0.20064553548581901</v>
      </c>
      <c r="U26" s="90">
        <v>0.18489344092085999</v>
      </c>
      <c r="V26" s="90" t="str">
        <f t="shared" si="6"/>
        <v/>
      </c>
      <c r="W26" s="90"/>
      <c r="X26" s="42" t="str">
        <f t="shared" si="7"/>
        <v/>
      </c>
      <c r="Y26" s="42" t="str">
        <f t="shared" si="8"/>
        <v/>
      </c>
      <c r="Z26" s="90"/>
      <c r="AA26" s="42" t="str">
        <f t="shared" si="9"/>
        <v/>
      </c>
      <c r="AB26" s="42" t="str">
        <f t="shared" si="10"/>
        <v/>
      </c>
      <c r="AC26" s="90"/>
      <c r="AD26" s="42" t="str">
        <f t="shared" si="11"/>
        <v/>
      </c>
      <c r="AE26" s="42" t="str">
        <f t="shared" si="12"/>
        <v/>
      </c>
      <c r="AF26" s="90"/>
      <c r="AG26" s="42" t="str">
        <f t="shared" si="13"/>
        <v/>
      </c>
      <c r="AH26" s="42" t="str">
        <f t="shared" si="14"/>
        <v/>
      </c>
      <c r="AI26" s="90">
        <v>0.83986976183950901</v>
      </c>
      <c r="AJ26" s="42" t="str">
        <f t="shared" si="15"/>
        <v/>
      </c>
      <c r="AK26" s="42" t="str">
        <f t="shared" si="16"/>
        <v/>
      </c>
      <c r="AL26" s="14" t="str">
        <f t="shared" si="17"/>
        <v/>
      </c>
      <c r="AM26" s="14" t="str">
        <f t="shared" si="18"/>
        <v/>
      </c>
      <c r="AN26" s="14" t="str">
        <f t="shared" si="19"/>
        <v/>
      </c>
      <c r="AO26" s="14" t="str">
        <f>IF(OR($C26="01-09",$D26="Male"),"",INDEX(PMTCT!$AD:$AD,MATCH($E26,PMTCT!$E:$E,0)))</f>
        <v/>
      </c>
      <c r="AP26" s="14" t="str">
        <f>IF(OR($C26="01-09",$D26="Male"),"",INDEX(PMTCT!$AT:$AT,MATCH($E26,PMTCT!$E:$E,0)))</f>
        <v/>
      </c>
      <c r="AQ26" s="14" t="str">
        <f>INDEX(TB!$Q:$Q,MATCH($E26,TB!$E:$E,0))</f>
        <v/>
      </c>
      <c r="AR26" s="14" t="str">
        <f>IF(OR($C26="01-09",$C26="10-14",$D26="Female"),"",INDEX(VMMC!$AB:$AB,MATCH($E26,VMMC!$E:$E,0)))</f>
        <v/>
      </c>
      <c r="AS26" s="14" t="str">
        <f>IF(OR($C26="01-09",$C26="10-14"),"",INDEX(PrEP!$Q:$Q,MATCH($E26,PrEP!$E:$E,0)))</f>
        <v/>
      </c>
      <c r="AT26" s="14" t="str">
        <f t="shared" si="20"/>
        <v/>
      </c>
      <c r="AU26" s="14" t="str">
        <f t="shared" si="21"/>
        <v/>
      </c>
      <c r="AV26" s="90" t="str">
        <f t="shared" si="22"/>
        <v/>
      </c>
      <c r="AW26" s="14">
        <v>13</v>
      </c>
      <c r="AX26" s="90">
        <f t="shared" si="23"/>
        <v>0</v>
      </c>
      <c r="AY26" s="42">
        <f t="shared" si="24"/>
        <v>13</v>
      </c>
      <c r="AZ26" s="90">
        <f t="shared" si="25"/>
        <v>1</v>
      </c>
      <c r="BA26" s="42" t="str">
        <f t="shared" si="26"/>
        <v/>
      </c>
    </row>
    <row r="27" spans="1:53" x14ac:dyDescent="0.2">
      <c r="A27" t="str">
        <f>INDEX(Prioritization!$D:$D,MATCH($B27,Prioritization!$A:$A,0))</f>
        <v>1 - Scale-up: Saturation</v>
      </c>
      <c r="B27" t="s">
        <v>194</v>
      </c>
      <c r="C27" t="s">
        <v>362</v>
      </c>
      <c r="D27" t="s">
        <v>29</v>
      </c>
      <c r="E27" t="str">
        <f t="shared" si="0"/>
        <v>Dedza District [PekKUkKHAzY]|01-09|Female</v>
      </c>
      <c r="F27" s="90">
        <f>IF(LEFT($B27,4)="_Mil","",INDEX(Cascade!$AA:$AA,MATCH($E27,Cascade!$E:$E,0)))</f>
        <v>1993.0000000000002</v>
      </c>
      <c r="G27" s="14">
        <f>INDEX(Cascade!$BH:$BH,MATCH($E27,Cascade!$E:$E,0))</f>
        <v>0</v>
      </c>
      <c r="H27" s="14" t="str">
        <f>IF(OR($C27="01-09",$D27="Male"),"",INDEX(PMTCT!$AC:$AC,MATCH($E27,PMTCT!$E:$E,0)))</f>
        <v/>
      </c>
      <c r="I27" s="14" t="str">
        <f>IF(OR($C27="01-09",$D27="Male"),"",INDEX(PMTCT!$AS:$AS,MATCH($E27,PMTCT!$E:$E,0)))</f>
        <v/>
      </c>
      <c r="J27" s="14" t="str">
        <f>INDEX(TB!$P:$P,MATCH($E27,TB!$E:$E,0))</f>
        <v/>
      </c>
      <c r="K27" s="14" t="str">
        <f>IF(OR($C27="01-09",$C27="10-14",$D27="Female"),"",INDEX(VMMC!$AA:$AA,MATCH($E27,VMMC!$E:$E,0)))</f>
        <v/>
      </c>
      <c r="L27" s="14">
        <f t="shared" si="1"/>
        <v>0</v>
      </c>
      <c r="M27" s="90" t="str">
        <f t="shared" si="2"/>
        <v/>
      </c>
      <c r="N27" s="90" t="str">
        <f t="shared" si="3"/>
        <v/>
      </c>
      <c r="O27" s="90" t="str">
        <f t="shared" si="4"/>
        <v/>
      </c>
      <c r="P27" s="90" t="str">
        <f t="shared" si="5"/>
        <v/>
      </c>
      <c r="Q27" s="90"/>
      <c r="R27" s="90"/>
      <c r="S27" s="90"/>
      <c r="T27" s="90"/>
      <c r="U27" s="90"/>
      <c r="V27" s="90" t="str">
        <f t="shared" si="6"/>
        <v/>
      </c>
      <c r="W27" s="90"/>
      <c r="X27" s="42" t="str">
        <f t="shared" si="7"/>
        <v/>
      </c>
      <c r="Y27" s="42" t="str">
        <f t="shared" si="8"/>
        <v/>
      </c>
      <c r="Z27" s="90"/>
      <c r="AA27" s="42" t="str">
        <f t="shared" si="9"/>
        <v/>
      </c>
      <c r="AB27" s="42" t="str">
        <f t="shared" si="10"/>
        <v/>
      </c>
      <c r="AC27" s="90"/>
      <c r="AD27" s="42" t="str">
        <f t="shared" si="11"/>
        <v/>
      </c>
      <c r="AE27" s="42" t="str">
        <f t="shared" si="12"/>
        <v/>
      </c>
      <c r="AF27" s="90"/>
      <c r="AG27" s="42" t="str">
        <f t="shared" si="13"/>
        <v/>
      </c>
      <c r="AH27" s="42" t="str">
        <f t="shared" si="14"/>
        <v/>
      </c>
      <c r="AI27" s="90"/>
      <c r="AJ27" s="42" t="str">
        <f t="shared" si="15"/>
        <v/>
      </c>
      <c r="AK27" s="42" t="str">
        <f t="shared" si="16"/>
        <v/>
      </c>
      <c r="AL27" s="14" t="str">
        <f t="shared" si="17"/>
        <v/>
      </c>
      <c r="AM27" s="14" t="str">
        <f t="shared" si="18"/>
        <v/>
      </c>
      <c r="AN27" s="14" t="str">
        <f t="shared" si="19"/>
        <v/>
      </c>
      <c r="AO27" s="14" t="str">
        <f>IF(OR($C27="01-09",$D27="Male"),"",INDEX(PMTCT!$AD:$AD,MATCH($E27,PMTCT!$E:$E,0)))</f>
        <v/>
      </c>
      <c r="AP27" s="14" t="str">
        <f>IF(OR($C27="01-09",$D27="Male"),"",INDEX(PMTCT!$AT:$AT,MATCH($E27,PMTCT!$E:$E,0)))</f>
        <v/>
      </c>
      <c r="AQ27" s="14" t="str">
        <f>INDEX(TB!$Q:$Q,MATCH($E27,TB!$E:$E,0))</f>
        <v/>
      </c>
      <c r="AR27" s="14" t="str">
        <f>IF(OR($C27="01-09",$C27="10-14",$D27="Female"),"",INDEX(VMMC!$AB:$AB,MATCH($E27,VMMC!$E:$E,0)))</f>
        <v/>
      </c>
      <c r="AS27" s="14" t="str">
        <f>IF(OR($C27="01-09",$C27="10-14"),"",INDEX(PrEP!$Q:$Q,MATCH($E27,PrEP!$E:$E,0)))</f>
        <v/>
      </c>
      <c r="AT27" s="14" t="str">
        <f t="shared" si="20"/>
        <v/>
      </c>
      <c r="AU27" s="14" t="str">
        <f t="shared" si="21"/>
        <v/>
      </c>
      <c r="AV27" s="90" t="str">
        <f t="shared" si="22"/>
        <v/>
      </c>
      <c r="AW27" s="14"/>
      <c r="AX27" s="90" t="str">
        <f t="shared" si="23"/>
        <v/>
      </c>
      <c r="AY27" s="42" t="str">
        <f t="shared" si="24"/>
        <v/>
      </c>
      <c r="AZ27" s="90" t="str">
        <f t="shared" si="25"/>
        <v/>
      </c>
      <c r="BA27" s="42" t="str">
        <f t="shared" si="26"/>
        <v/>
      </c>
    </row>
    <row r="28" spans="1:53" x14ac:dyDescent="0.2">
      <c r="A28" t="str">
        <f>INDEX(Prioritization!$D:$D,MATCH($B28,Prioritization!$A:$A,0))</f>
        <v>1 - Scale-up: Saturation</v>
      </c>
      <c r="B28" t="s">
        <v>194</v>
      </c>
      <c r="C28" t="s">
        <v>362</v>
      </c>
      <c r="D28" t="s">
        <v>47</v>
      </c>
      <c r="E28" t="str">
        <f t="shared" si="0"/>
        <v>Dedza District [PekKUkKHAzY]|01-09|Male</v>
      </c>
      <c r="F28" s="90">
        <f>IF(LEFT($B28,4)="_Mil","",INDEX(Cascade!$AA:$AA,MATCH($E28,Cascade!$E:$E,0)))</f>
        <v>1004</v>
      </c>
      <c r="G28" s="14">
        <f>INDEX(Cascade!$BH:$BH,MATCH($E28,Cascade!$E:$E,0))</f>
        <v>0</v>
      </c>
      <c r="H28" s="14" t="str">
        <f>IF(OR($C28="01-09",$D28="Male"),"",INDEX(PMTCT!$AC:$AC,MATCH($E28,PMTCT!$E:$E,0)))</f>
        <v/>
      </c>
      <c r="I28" s="14" t="str">
        <f>IF(OR($C28="01-09",$D28="Male"),"",INDEX(PMTCT!$AS:$AS,MATCH($E28,PMTCT!$E:$E,0)))</f>
        <v/>
      </c>
      <c r="J28" s="14" t="str">
        <f>INDEX(TB!$P:$P,MATCH($E28,TB!$E:$E,0))</f>
        <v/>
      </c>
      <c r="K28" s="14" t="str">
        <f>IF(OR($C28="01-09",$C28="10-14",$D28="Female"),"",INDEX(VMMC!$AA:$AA,MATCH($E28,VMMC!$E:$E,0)))</f>
        <v/>
      </c>
      <c r="L28" s="14">
        <f t="shared" si="1"/>
        <v>0</v>
      </c>
      <c r="M28" s="90" t="str">
        <f t="shared" si="2"/>
        <v/>
      </c>
      <c r="N28" s="90" t="str">
        <f t="shared" si="3"/>
        <v/>
      </c>
      <c r="O28" s="90" t="str">
        <f t="shared" si="4"/>
        <v/>
      </c>
      <c r="P28" s="90" t="str">
        <f t="shared" si="5"/>
        <v/>
      </c>
      <c r="Q28" s="90"/>
      <c r="R28" s="90"/>
      <c r="S28" s="90"/>
      <c r="T28" s="90"/>
      <c r="U28" s="90"/>
      <c r="V28" s="90" t="str">
        <f t="shared" si="6"/>
        <v/>
      </c>
      <c r="W28" s="90"/>
      <c r="X28" s="42" t="str">
        <f t="shared" si="7"/>
        <v/>
      </c>
      <c r="Y28" s="42" t="str">
        <f t="shared" si="8"/>
        <v/>
      </c>
      <c r="Z28" s="90"/>
      <c r="AA28" s="42" t="str">
        <f t="shared" si="9"/>
        <v/>
      </c>
      <c r="AB28" s="42" t="str">
        <f t="shared" si="10"/>
        <v/>
      </c>
      <c r="AC28" s="90"/>
      <c r="AD28" s="42" t="str">
        <f t="shared" si="11"/>
        <v/>
      </c>
      <c r="AE28" s="42" t="str">
        <f t="shared" si="12"/>
        <v/>
      </c>
      <c r="AF28" s="90"/>
      <c r="AG28" s="42" t="str">
        <f t="shared" si="13"/>
        <v/>
      </c>
      <c r="AH28" s="42" t="str">
        <f t="shared" si="14"/>
        <v/>
      </c>
      <c r="AI28" s="90"/>
      <c r="AJ28" s="42" t="str">
        <f t="shared" si="15"/>
        <v/>
      </c>
      <c r="AK28" s="42" t="str">
        <f t="shared" si="16"/>
        <v/>
      </c>
      <c r="AL28" s="14" t="str">
        <f t="shared" si="17"/>
        <v/>
      </c>
      <c r="AM28" s="14" t="str">
        <f t="shared" si="18"/>
        <v/>
      </c>
      <c r="AN28" s="14" t="str">
        <f t="shared" si="19"/>
        <v/>
      </c>
      <c r="AO28" s="14" t="str">
        <f>IF(OR($C28="01-09",$D28="Male"),"",INDEX(PMTCT!$AD:$AD,MATCH($E28,PMTCT!$E:$E,0)))</f>
        <v/>
      </c>
      <c r="AP28" s="14" t="str">
        <f>IF(OR($C28="01-09",$D28="Male"),"",INDEX(PMTCT!$AT:$AT,MATCH($E28,PMTCT!$E:$E,0)))</f>
        <v/>
      </c>
      <c r="AQ28" s="14" t="str">
        <f>INDEX(TB!$Q:$Q,MATCH($E28,TB!$E:$E,0))</f>
        <v/>
      </c>
      <c r="AR28" s="14" t="str">
        <f>IF(OR($C28="01-09",$C28="10-14",$D28="Female"),"",INDEX(VMMC!$AB:$AB,MATCH($E28,VMMC!$E:$E,0)))</f>
        <v/>
      </c>
      <c r="AS28" s="14" t="str">
        <f>IF(OR($C28="01-09",$C28="10-14"),"",INDEX(PrEP!$Q:$Q,MATCH($E28,PrEP!$E:$E,0)))</f>
        <v/>
      </c>
      <c r="AT28" s="14" t="str">
        <f t="shared" si="20"/>
        <v/>
      </c>
      <c r="AU28" s="14" t="str">
        <f t="shared" si="21"/>
        <v/>
      </c>
      <c r="AV28" s="90" t="str">
        <f t="shared" si="22"/>
        <v/>
      </c>
      <c r="AW28" s="14"/>
      <c r="AX28" s="90" t="str">
        <f t="shared" si="23"/>
        <v/>
      </c>
      <c r="AY28" s="42" t="str">
        <f t="shared" si="24"/>
        <v/>
      </c>
      <c r="AZ28" s="90" t="str">
        <f t="shared" si="25"/>
        <v/>
      </c>
      <c r="BA28" s="42" t="str">
        <f t="shared" si="26"/>
        <v/>
      </c>
    </row>
    <row r="29" spans="1:53" x14ac:dyDescent="0.2">
      <c r="A29" t="str">
        <f>INDEX(Prioritization!$D:$D,MATCH($B29,Prioritization!$A:$A,0))</f>
        <v>1 - Scale-up: Saturation</v>
      </c>
      <c r="B29" t="s">
        <v>194</v>
      </c>
      <c r="C29" t="s">
        <v>363</v>
      </c>
      <c r="D29" t="s">
        <v>29</v>
      </c>
      <c r="E29" t="str">
        <f t="shared" si="0"/>
        <v>Dedza District [PekKUkKHAzY]|10-14|Female</v>
      </c>
      <c r="F29" s="90">
        <f>IF(LEFT($B29,4)="_Mil","",INDEX(Cascade!$AA:$AA,MATCH($E29,Cascade!$E:$E,0)))</f>
        <v>1044</v>
      </c>
      <c r="G29" s="14">
        <f>INDEX(Cascade!$BH:$BH,MATCH($E29,Cascade!$E:$E,0))</f>
        <v>-76</v>
      </c>
      <c r="H29" s="14" t="str">
        <f>IF(OR($C29="01-09",$D29="Male"),"",INDEX(PMTCT!$AC:$AC,MATCH($E29,PMTCT!$E:$E,0)))</f>
        <v>ENTER YIELD RATE</v>
      </c>
      <c r="I29" s="14" t="str">
        <f>IF(OR($C29="01-09",$D29="Male"),"",INDEX(PMTCT!$AS:$AS,MATCH($E29,PMTCT!$E:$E,0)))</f>
        <v>ENTER YIELD RATE</v>
      </c>
      <c r="J29" s="14" t="str">
        <f>INDEX(TB!$P:$P,MATCH($E29,TB!$E:$E,0))</f>
        <v/>
      </c>
      <c r="K29" s="14" t="str">
        <f>IF(OR($C29="01-09",$C29="10-14",$D29="Female"),"",INDEX(VMMC!$AA:$AA,MATCH($E29,VMMC!$E:$E,0)))</f>
        <v/>
      </c>
      <c r="L29" s="14">
        <f t="shared" si="1"/>
        <v>-76</v>
      </c>
      <c r="M29" s="90">
        <f t="shared" si="2"/>
        <v>0</v>
      </c>
      <c r="N29" s="90">
        <f t="shared" si="3"/>
        <v>0</v>
      </c>
      <c r="O29" s="90">
        <f t="shared" si="4"/>
        <v>0</v>
      </c>
      <c r="P29" s="90" t="str">
        <f t="shared" si="5"/>
        <v/>
      </c>
      <c r="Q29" s="90">
        <v>0.90743992780335203</v>
      </c>
      <c r="R29" s="90"/>
      <c r="S29" s="90"/>
      <c r="T29" s="90"/>
      <c r="U29" s="90">
        <v>0.640300273895264</v>
      </c>
      <c r="V29" s="90">
        <f t="shared" si="6"/>
        <v>1.5477402016986161</v>
      </c>
      <c r="W29" s="90"/>
      <c r="X29" s="42">
        <f t="shared" si="7"/>
        <v>-69</v>
      </c>
      <c r="Y29" s="42" t="str">
        <f t="shared" si="8"/>
        <v>ENTER YIELD</v>
      </c>
      <c r="Z29" s="90"/>
      <c r="AA29" s="42" t="str">
        <f t="shared" si="9"/>
        <v/>
      </c>
      <c r="AB29" s="42" t="str">
        <f t="shared" si="10"/>
        <v/>
      </c>
      <c r="AC29" s="90"/>
      <c r="AD29" s="42" t="str">
        <f t="shared" si="11"/>
        <v/>
      </c>
      <c r="AE29" s="42" t="str">
        <f t="shared" si="12"/>
        <v/>
      </c>
      <c r="AF29" s="90"/>
      <c r="AG29" s="42" t="str">
        <f t="shared" si="13"/>
        <v/>
      </c>
      <c r="AH29" s="42" t="str">
        <f t="shared" si="14"/>
        <v/>
      </c>
      <c r="AI29" s="90"/>
      <c r="AJ29" s="42">
        <f t="shared" si="15"/>
        <v>-49</v>
      </c>
      <c r="AK29" s="42" t="str">
        <f t="shared" si="16"/>
        <v>ENTER YIELD</v>
      </c>
      <c r="AL29" s="14">
        <f t="shared" si="17"/>
        <v>-76</v>
      </c>
      <c r="AM29" s="14">
        <f t="shared" si="18"/>
        <v>-118</v>
      </c>
      <c r="AN29" s="14">
        <f t="shared" si="19"/>
        <v>-42</v>
      </c>
      <c r="AO29" s="14">
        <f>IF(OR($C29="01-09",$D29="Male"),"",INDEX(PMTCT!$AD:$AD,MATCH($E29,PMTCT!$E:$E,0)))</f>
        <v>3</v>
      </c>
      <c r="AP29" s="14">
        <f>IF(OR($C29="01-09",$D29="Male"),"",INDEX(PMTCT!$AT:$AT,MATCH($E29,PMTCT!$E:$E,0)))</f>
        <v>3</v>
      </c>
      <c r="AQ29" s="14" t="str">
        <f>INDEX(TB!$Q:$Q,MATCH($E29,TB!$E:$E,0))</f>
        <v/>
      </c>
      <c r="AR29" s="14" t="str">
        <f>IF(OR($C29="01-09",$C29="10-14",$D29="Female"),"",INDEX(VMMC!$AB:$AB,MATCH($E29,VMMC!$E:$E,0)))</f>
        <v/>
      </c>
      <c r="AS29" s="14" t="str">
        <f>IF(OR($C29="01-09",$C29="10-14"),"",INDEX(PrEP!$Q:$Q,MATCH($E29,PrEP!$E:$E,0)))</f>
        <v/>
      </c>
      <c r="AT29" s="14">
        <f t="shared" si="20"/>
        <v>6</v>
      </c>
      <c r="AU29" s="14">
        <f t="shared" si="21"/>
        <v>-112</v>
      </c>
      <c r="AV29" s="90">
        <f t="shared" si="22"/>
        <v>1.0535714285714286</v>
      </c>
      <c r="AW29" s="14"/>
      <c r="AX29" s="90" t="str">
        <f t="shared" si="23"/>
        <v/>
      </c>
      <c r="AY29" s="42" t="str">
        <f t="shared" si="24"/>
        <v/>
      </c>
      <c r="AZ29" s="90" t="str">
        <f t="shared" si="25"/>
        <v/>
      </c>
      <c r="BA29" s="42" t="str">
        <f t="shared" si="26"/>
        <v/>
      </c>
    </row>
    <row r="30" spans="1:53" x14ac:dyDescent="0.2">
      <c r="A30" t="str">
        <f>INDEX(Prioritization!$D:$D,MATCH($B30,Prioritization!$A:$A,0))</f>
        <v>1 - Scale-up: Saturation</v>
      </c>
      <c r="B30" t="s">
        <v>194</v>
      </c>
      <c r="C30" t="s">
        <v>363</v>
      </c>
      <c r="D30" t="s">
        <v>47</v>
      </c>
      <c r="E30" t="str">
        <f t="shared" si="0"/>
        <v>Dedza District [PekKUkKHAzY]|10-14|Male</v>
      </c>
      <c r="F30" s="90">
        <f>IF(LEFT($B30,4)="_Mil","",INDEX(Cascade!$AA:$AA,MATCH($E30,Cascade!$E:$E,0)))</f>
        <v>1312</v>
      </c>
      <c r="G30" s="14">
        <f>INDEX(Cascade!$BH:$BH,MATCH($E30,Cascade!$E:$E,0))</f>
        <v>-91</v>
      </c>
      <c r="H30" s="14" t="str">
        <f>IF(OR($C30="01-09",$D30="Male"),"",INDEX(PMTCT!$AC:$AC,MATCH($E30,PMTCT!$E:$E,0)))</f>
        <v/>
      </c>
      <c r="I30" s="14" t="str">
        <f>IF(OR($C30="01-09",$D30="Male"),"",INDEX(PMTCT!$AS:$AS,MATCH($E30,PMTCT!$E:$E,0)))</f>
        <v/>
      </c>
      <c r="J30" s="14" t="str">
        <f>INDEX(TB!$P:$P,MATCH($E30,TB!$E:$E,0))</f>
        <v>ENTER YIELD RATE</v>
      </c>
      <c r="K30" s="14" t="str">
        <f>IF(OR($C30="01-09",$C30="10-14",$D30="Female"),"",INDEX(VMMC!$AA:$AA,MATCH($E30,VMMC!$E:$E,0)))</f>
        <v/>
      </c>
      <c r="L30" s="14">
        <f t="shared" si="1"/>
        <v>-91</v>
      </c>
      <c r="M30" s="90" t="str">
        <f t="shared" si="2"/>
        <v/>
      </c>
      <c r="N30" s="90" t="str">
        <f t="shared" si="3"/>
        <v/>
      </c>
      <c r="O30" s="90">
        <f t="shared" si="4"/>
        <v>0</v>
      </c>
      <c r="P30" s="90" t="str">
        <f t="shared" si="5"/>
        <v/>
      </c>
      <c r="Q30" s="90">
        <v>0.38340212218463399</v>
      </c>
      <c r="R30" s="90"/>
      <c r="S30" s="90"/>
      <c r="T30" s="90"/>
      <c r="U30" s="90">
        <v>0.33504455117508802</v>
      </c>
      <c r="V30" s="90">
        <f t="shared" si="6"/>
        <v>0.71844667335972201</v>
      </c>
      <c r="W30" s="90"/>
      <c r="X30" s="42">
        <f t="shared" si="7"/>
        <v>-35</v>
      </c>
      <c r="Y30" s="42" t="str">
        <f t="shared" si="8"/>
        <v>ENTER YIELD</v>
      </c>
      <c r="Z30" s="90"/>
      <c r="AA30" s="42" t="str">
        <f t="shared" si="9"/>
        <v/>
      </c>
      <c r="AB30" s="42" t="str">
        <f t="shared" si="10"/>
        <v/>
      </c>
      <c r="AC30" s="90"/>
      <c r="AD30" s="42" t="str">
        <f t="shared" si="11"/>
        <v/>
      </c>
      <c r="AE30" s="42" t="str">
        <f t="shared" si="12"/>
        <v/>
      </c>
      <c r="AF30" s="90"/>
      <c r="AG30" s="42" t="str">
        <f t="shared" si="13"/>
        <v/>
      </c>
      <c r="AH30" s="42" t="str">
        <f t="shared" si="14"/>
        <v/>
      </c>
      <c r="AI30" s="90"/>
      <c r="AJ30" s="42">
        <f t="shared" si="15"/>
        <v>-30</v>
      </c>
      <c r="AK30" s="42" t="str">
        <f t="shared" si="16"/>
        <v>ENTER YIELD</v>
      </c>
      <c r="AL30" s="14">
        <f t="shared" si="17"/>
        <v>-91</v>
      </c>
      <c r="AM30" s="14">
        <f t="shared" si="18"/>
        <v>-65</v>
      </c>
      <c r="AN30" s="14">
        <f t="shared" si="19"/>
        <v>26</v>
      </c>
      <c r="AO30" s="14" t="str">
        <f>IF(OR($C30="01-09",$D30="Male"),"",INDEX(PMTCT!$AD:$AD,MATCH($E30,PMTCT!$E:$E,0)))</f>
        <v/>
      </c>
      <c r="AP30" s="14" t="str">
        <f>IF(OR($C30="01-09",$D30="Male"),"",INDEX(PMTCT!$AT:$AT,MATCH($E30,PMTCT!$E:$E,0)))</f>
        <v/>
      </c>
      <c r="AQ30" s="14">
        <f>INDEX(TB!$Q:$Q,MATCH($E30,TB!$E:$E,0))</f>
        <v>1</v>
      </c>
      <c r="AR30" s="14" t="str">
        <f>IF(OR($C30="01-09",$C30="10-14",$D30="Female"),"",INDEX(VMMC!$AB:$AB,MATCH($E30,VMMC!$E:$E,0)))</f>
        <v/>
      </c>
      <c r="AS30" s="14" t="str">
        <f>IF(OR($C30="01-09",$C30="10-14"),"",INDEX(PrEP!$Q:$Q,MATCH($E30,PrEP!$E:$E,0)))</f>
        <v/>
      </c>
      <c r="AT30" s="14">
        <f t="shared" si="20"/>
        <v>1</v>
      </c>
      <c r="AU30" s="14">
        <f t="shared" si="21"/>
        <v>-64</v>
      </c>
      <c r="AV30" s="90">
        <f t="shared" si="22"/>
        <v>1.015625</v>
      </c>
      <c r="AW30" s="14"/>
      <c r="AX30" s="90" t="str">
        <f t="shared" si="23"/>
        <v/>
      </c>
      <c r="AY30" s="42" t="str">
        <f t="shared" si="24"/>
        <v/>
      </c>
      <c r="AZ30" s="90" t="str">
        <f t="shared" si="25"/>
        <v/>
      </c>
      <c r="BA30" s="42" t="str">
        <f t="shared" si="26"/>
        <v/>
      </c>
    </row>
    <row r="31" spans="1:53" x14ac:dyDescent="0.2">
      <c r="A31" t="str">
        <f>INDEX(Prioritization!$D:$D,MATCH($B31,Prioritization!$A:$A,0))</f>
        <v>1 - Scale-up: Saturation</v>
      </c>
      <c r="B31" t="s">
        <v>194</v>
      </c>
      <c r="C31" t="s">
        <v>364</v>
      </c>
      <c r="D31" t="s">
        <v>29</v>
      </c>
      <c r="E31" t="str">
        <f t="shared" si="0"/>
        <v>Dedza District [PekKUkKHAzY]|15-24|Female</v>
      </c>
      <c r="F31" s="90">
        <f>IF(LEFT($B31,4)="_Mil","",INDEX(Cascade!$AA:$AA,MATCH($E31,Cascade!$E:$E,0)))</f>
        <v>1089</v>
      </c>
      <c r="G31" s="14">
        <f>INDEX(Cascade!$BH:$BH,MATCH($E31,Cascade!$E:$E,0))</f>
        <v>0</v>
      </c>
      <c r="H31" s="14" t="str">
        <f>IF(OR($C31="01-09",$D31="Male"),"",INDEX(PMTCT!$AC:$AC,MATCH($E31,PMTCT!$E:$E,0)))</f>
        <v/>
      </c>
      <c r="I31" s="14" t="str">
        <f>IF(OR($C31="01-09",$D31="Male"),"",INDEX(PMTCT!$AS:$AS,MATCH($E31,PMTCT!$E:$E,0)))</f>
        <v/>
      </c>
      <c r="J31" s="14" t="str">
        <f>INDEX(TB!$P:$P,MATCH($E31,TB!$E:$E,0))</f>
        <v/>
      </c>
      <c r="K31" s="14" t="str">
        <f>IF(OR($C31="01-09",$C31="10-14",$D31="Female"),"",INDEX(VMMC!$AA:$AA,MATCH($E31,VMMC!$E:$E,0)))</f>
        <v/>
      </c>
      <c r="L31" s="14">
        <f t="shared" si="1"/>
        <v>0</v>
      </c>
      <c r="M31" s="90" t="str">
        <f t="shared" si="2"/>
        <v/>
      </c>
      <c r="N31" s="90" t="str">
        <f t="shared" si="3"/>
        <v/>
      </c>
      <c r="O31" s="90" t="str">
        <f t="shared" si="4"/>
        <v/>
      </c>
      <c r="P31" s="90" t="str">
        <f t="shared" si="5"/>
        <v/>
      </c>
      <c r="Q31" s="90"/>
      <c r="R31" s="90"/>
      <c r="S31" s="90"/>
      <c r="T31" s="90"/>
      <c r="U31" s="90"/>
      <c r="V31" s="90" t="str">
        <f t="shared" si="6"/>
        <v/>
      </c>
      <c r="W31" s="90"/>
      <c r="X31" s="42" t="str">
        <f t="shared" si="7"/>
        <v/>
      </c>
      <c r="Y31" s="42" t="str">
        <f t="shared" si="8"/>
        <v/>
      </c>
      <c r="Z31" s="90"/>
      <c r="AA31" s="42" t="str">
        <f t="shared" si="9"/>
        <v/>
      </c>
      <c r="AB31" s="42" t="str">
        <f t="shared" si="10"/>
        <v/>
      </c>
      <c r="AC31" s="90"/>
      <c r="AD31" s="42" t="str">
        <f t="shared" si="11"/>
        <v/>
      </c>
      <c r="AE31" s="42" t="str">
        <f t="shared" si="12"/>
        <v/>
      </c>
      <c r="AF31" s="90"/>
      <c r="AG31" s="42" t="str">
        <f t="shared" si="13"/>
        <v/>
      </c>
      <c r="AH31" s="42" t="str">
        <f t="shared" si="14"/>
        <v/>
      </c>
      <c r="AI31" s="90"/>
      <c r="AJ31" s="42" t="str">
        <f t="shared" si="15"/>
        <v/>
      </c>
      <c r="AK31" s="42" t="str">
        <f t="shared" si="16"/>
        <v/>
      </c>
      <c r="AL31" s="14" t="str">
        <f t="shared" si="17"/>
        <v/>
      </c>
      <c r="AM31" s="14" t="str">
        <f t="shared" si="18"/>
        <v/>
      </c>
      <c r="AN31" s="14" t="str">
        <f t="shared" si="19"/>
        <v/>
      </c>
      <c r="AO31" s="14" t="str">
        <f>IF(OR($C31="01-09",$D31="Male"),"",INDEX(PMTCT!$AD:$AD,MATCH($E31,PMTCT!$E:$E,0)))</f>
        <v/>
      </c>
      <c r="AP31" s="14" t="str">
        <f>IF(OR($C31="01-09",$D31="Male"),"",INDEX(PMTCT!$AT:$AT,MATCH($E31,PMTCT!$E:$E,0)))</f>
        <v/>
      </c>
      <c r="AQ31" s="14" t="str">
        <f>INDEX(TB!$Q:$Q,MATCH($E31,TB!$E:$E,0))</f>
        <v/>
      </c>
      <c r="AR31" s="14" t="str">
        <f>IF(OR($C31="01-09",$C31="10-14",$D31="Female"),"",INDEX(VMMC!$AB:$AB,MATCH($E31,VMMC!$E:$E,0)))</f>
        <v/>
      </c>
      <c r="AS31" s="14" t="str">
        <f>IF(OR($C31="01-09",$C31="10-14"),"",INDEX(PrEP!$Q:$Q,MATCH($E31,PrEP!$E:$E,0)))</f>
        <v/>
      </c>
      <c r="AT31" s="14" t="str">
        <f t="shared" si="20"/>
        <v/>
      </c>
      <c r="AU31" s="14" t="str">
        <f t="shared" si="21"/>
        <v/>
      </c>
      <c r="AV31" s="90" t="str">
        <f t="shared" si="22"/>
        <v/>
      </c>
      <c r="AW31" s="14"/>
      <c r="AX31" s="90" t="str">
        <f t="shared" si="23"/>
        <v/>
      </c>
      <c r="AY31" s="42" t="str">
        <f t="shared" si="24"/>
        <v/>
      </c>
      <c r="AZ31" s="90">
        <f t="shared" si="25"/>
        <v>1</v>
      </c>
      <c r="BA31" s="42" t="str">
        <f t="shared" si="26"/>
        <v/>
      </c>
    </row>
    <row r="32" spans="1:53" x14ac:dyDescent="0.2">
      <c r="A32" t="str">
        <f>INDEX(Prioritization!$D:$D,MATCH($B32,Prioritization!$A:$A,0))</f>
        <v>1 - Scale-up: Saturation</v>
      </c>
      <c r="B32" t="s">
        <v>194</v>
      </c>
      <c r="C32" t="s">
        <v>364</v>
      </c>
      <c r="D32" t="s">
        <v>47</v>
      </c>
      <c r="E32" t="str">
        <f t="shared" si="0"/>
        <v>Dedza District [PekKUkKHAzY]|15-24|Male</v>
      </c>
      <c r="F32" s="90">
        <f>IF(LEFT($B32,4)="_Mil","",INDEX(Cascade!$AA:$AA,MATCH($E32,Cascade!$E:$E,0)))</f>
        <v>911</v>
      </c>
      <c r="G32" s="14">
        <f>INDEX(Cascade!$BH:$BH,MATCH($E32,Cascade!$E:$E,0))</f>
        <v>0</v>
      </c>
      <c r="H32" s="14" t="str">
        <f>IF(OR($C32="01-09",$D32="Male"),"",INDEX(PMTCT!$AC:$AC,MATCH($E32,PMTCT!$E:$E,0)))</f>
        <v/>
      </c>
      <c r="I32" s="14" t="str">
        <f>IF(OR($C32="01-09",$D32="Male"),"",INDEX(PMTCT!$AS:$AS,MATCH($E32,PMTCT!$E:$E,0)))</f>
        <v/>
      </c>
      <c r="J32" s="14" t="str">
        <f>INDEX(TB!$P:$P,MATCH($E32,TB!$E:$E,0))</f>
        <v/>
      </c>
      <c r="K32" s="14" t="str">
        <f>IF(OR($C32="01-09",$C32="10-14",$D32="Female"),"",INDEX(VMMC!$AA:$AA,MATCH($E32,VMMC!$E:$E,0)))</f>
        <v/>
      </c>
      <c r="L32" s="14">
        <f t="shared" si="1"/>
        <v>0</v>
      </c>
      <c r="M32" s="90" t="str">
        <f t="shared" si="2"/>
        <v/>
      </c>
      <c r="N32" s="90" t="str">
        <f t="shared" si="3"/>
        <v/>
      </c>
      <c r="O32" s="90" t="str">
        <f t="shared" si="4"/>
        <v/>
      </c>
      <c r="P32" s="90" t="str">
        <f t="shared" si="5"/>
        <v/>
      </c>
      <c r="Q32" s="90"/>
      <c r="R32" s="90"/>
      <c r="S32" s="90"/>
      <c r="T32" s="90"/>
      <c r="U32" s="90"/>
      <c r="V32" s="90" t="str">
        <f t="shared" si="6"/>
        <v/>
      </c>
      <c r="W32" s="90"/>
      <c r="X32" s="42" t="str">
        <f t="shared" si="7"/>
        <v/>
      </c>
      <c r="Y32" s="42" t="str">
        <f t="shared" si="8"/>
        <v/>
      </c>
      <c r="Z32" s="90"/>
      <c r="AA32" s="42" t="str">
        <f t="shared" si="9"/>
        <v/>
      </c>
      <c r="AB32" s="42" t="str">
        <f t="shared" si="10"/>
        <v/>
      </c>
      <c r="AC32" s="90"/>
      <c r="AD32" s="42" t="str">
        <f t="shared" si="11"/>
        <v/>
      </c>
      <c r="AE32" s="42" t="str">
        <f t="shared" si="12"/>
        <v/>
      </c>
      <c r="AF32" s="90"/>
      <c r="AG32" s="42" t="str">
        <f t="shared" si="13"/>
        <v/>
      </c>
      <c r="AH32" s="42" t="str">
        <f t="shared" si="14"/>
        <v/>
      </c>
      <c r="AI32" s="90"/>
      <c r="AJ32" s="42" t="str">
        <f t="shared" si="15"/>
        <v/>
      </c>
      <c r="AK32" s="42" t="str">
        <f t="shared" si="16"/>
        <v/>
      </c>
      <c r="AL32" s="14" t="str">
        <f t="shared" si="17"/>
        <v/>
      </c>
      <c r="AM32" s="14" t="str">
        <f t="shared" si="18"/>
        <v/>
      </c>
      <c r="AN32" s="14" t="str">
        <f t="shared" si="19"/>
        <v/>
      </c>
      <c r="AO32" s="14" t="str">
        <f>IF(OR($C32="01-09",$D32="Male"),"",INDEX(PMTCT!$AD:$AD,MATCH($E32,PMTCT!$E:$E,0)))</f>
        <v/>
      </c>
      <c r="AP32" s="14" t="str">
        <f>IF(OR($C32="01-09",$D32="Male"),"",INDEX(PMTCT!$AT:$AT,MATCH($E32,PMTCT!$E:$E,0)))</f>
        <v/>
      </c>
      <c r="AQ32" s="14" t="str">
        <f>INDEX(TB!$Q:$Q,MATCH($E32,TB!$E:$E,0))</f>
        <v/>
      </c>
      <c r="AR32" s="14" t="str">
        <f>IF(OR($C32="01-09",$C32="10-14",$D32="Female"),"",INDEX(VMMC!$AB:$AB,MATCH($E32,VMMC!$E:$E,0)))</f>
        <v/>
      </c>
      <c r="AS32" s="14" t="str">
        <f>IF(OR($C32="01-09",$C32="10-14"),"",INDEX(PrEP!$Q:$Q,MATCH($E32,PrEP!$E:$E,0)))</f>
        <v/>
      </c>
      <c r="AT32" s="14" t="str">
        <f t="shared" si="20"/>
        <v/>
      </c>
      <c r="AU32" s="14" t="str">
        <f t="shared" si="21"/>
        <v/>
      </c>
      <c r="AV32" s="90" t="str">
        <f t="shared" si="22"/>
        <v/>
      </c>
      <c r="AW32" s="14"/>
      <c r="AX32" s="90" t="str">
        <f t="shared" si="23"/>
        <v/>
      </c>
      <c r="AY32" s="42" t="str">
        <f t="shared" si="24"/>
        <v/>
      </c>
      <c r="AZ32" s="90">
        <f t="shared" si="25"/>
        <v>1</v>
      </c>
      <c r="BA32" s="42" t="str">
        <f t="shared" si="26"/>
        <v/>
      </c>
    </row>
    <row r="33" spans="1:53" x14ac:dyDescent="0.2">
      <c r="A33" t="str">
        <f>INDEX(Prioritization!$D:$D,MATCH($B33,Prioritization!$A:$A,0))</f>
        <v>1 - Scale-up: Saturation</v>
      </c>
      <c r="B33" t="s">
        <v>194</v>
      </c>
      <c r="C33" t="s">
        <v>365</v>
      </c>
      <c r="D33" t="s">
        <v>29</v>
      </c>
      <c r="E33" t="str">
        <f t="shared" si="0"/>
        <v>Dedza District [PekKUkKHAzY]|25-34|Female</v>
      </c>
      <c r="F33" s="90">
        <f>IF(LEFT($B33,4)="_Mil","",INDEX(Cascade!$AA:$AA,MATCH($E33,Cascade!$E:$E,0)))</f>
        <v>835</v>
      </c>
      <c r="G33" s="14">
        <f>INDEX(Cascade!$BH:$BH,MATCH($E33,Cascade!$E:$E,0))</f>
        <v>0</v>
      </c>
      <c r="H33" s="14" t="str">
        <f>IF(OR($C33="01-09",$D33="Male"),"",INDEX(PMTCT!$AC:$AC,MATCH($E33,PMTCT!$E:$E,0)))</f>
        <v/>
      </c>
      <c r="I33" s="14" t="str">
        <f>IF(OR($C33="01-09",$D33="Male"),"",INDEX(PMTCT!$AS:$AS,MATCH($E33,PMTCT!$E:$E,0)))</f>
        <v/>
      </c>
      <c r="J33" s="14" t="str">
        <f>INDEX(TB!$P:$P,MATCH($E33,TB!$E:$E,0))</f>
        <v/>
      </c>
      <c r="K33" s="14" t="str">
        <f>IF(OR($C33="01-09",$C33="10-14",$D33="Female"),"",INDEX(VMMC!$AA:$AA,MATCH($E33,VMMC!$E:$E,0)))</f>
        <v/>
      </c>
      <c r="L33" s="14">
        <f t="shared" si="1"/>
        <v>0</v>
      </c>
      <c r="M33" s="90" t="str">
        <f t="shared" si="2"/>
        <v/>
      </c>
      <c r="N33" s="90" t="str">
        <f t="shared" si="3"/>
        <v/>
      </c>
      <c r="O33" s="90" t="str">
        <f t="shared" si="4"/>
        <v/>
      </c>
      <c r="P33" s="90" t="str">
        <f t="shared" si="5"/>
        <v/>
      </c>
      <c r="Q33" s="90"/>
      <c r="R33" s="90"/>
      <c r="S33" s="90"/>
      <c r="T33" s="90"/>
      <c r="U33" s="90"/>
      <c r="V33" s="90" t="str">
        <f t="shared" si="6"/>
        <v/>
      </c>
      <c r="W33" s="90"/>
      <c r="X33" s="42" t="str">
        <f t="shared" si="7"/>
        <v/>
      </c>
      <c r="Y33" s="42" t="str">
        <f t="shared" si="8"/>
        <v/>
      </c>
      <c r="Z33" s="90"/>
      <c r="AA33" s="42" t="str">
        <f t="shared" si="9"/>
        <v/>
      </c>
      <c r="AB33" s="42" t="str">
        <f t="shared" si="10"/>
        <v/>
      </c>
      <c r="AC33" s="90"/>
      <c r="AD33" s="42" t="str">
        <f t="shared" si="11"/>
        <v/>
      </c>
      <c r="AE33" s="42" t="str">
        <f t="shared" si="12"/>
        <v/>
      </c>
      <c r="AF33" s="90"/>
      <c r="AG33" s="42" t="str">
        <f t="shared" si="13"/>
        <v/>
      </c>
      <c r="AH33" s="42" t="str">
        <f t="shared" si="14"/>
        <v/>
      </c>
      <c r="AI33" s="90"/>
      <c r="AJ33" s="42" t="str">
        <f t="shared" si="15"/>
        <v/>
      </c>
      <c r="AK33" s="42" t="str">
        <f t="shared" si="16"/>
        <v/>
      </c>
      <c r="AL33" s="14" t="str">
        <f t="shared" si="17"/>
        <v/>
      </c>
      <c r="AM33" s="14" t="str">
        <f t="shared" si="18"/>
        <v/>
      </c>
      <c r="AN33" s="14" t="str">
        <f t="shared" si="19"/>
        <v/>
      </c>
      <c r="AO33" s="14" t="str">
        <f>IF(OR($C33="01-09",$D33="Male"),"",INDEX(PMTCT!$AD:$AD,MATCH($E33,PMTCT!$E:$E,0)))</f>
        <v/>
      </c>
      <c r="AP33" s="14" t="str">
        <f>IF(OR($C33="01-09",$D33="Male"),"",INDEX(PMTCT!$AT:$AT,MATCH($E33,PMTCT!$E:$E,0)))</f>
        <v/>
      </c>
      <c r="AQ33" s="14" t="str">
        <f>INDEX(TB!$Q:$Q,MATCH($E33,TB!$E:$E,0))</f>
        <v/>
      </c>
      <c r="AR33" s="14" t="str">
        <f>IF(OR($C33="01-09",$C33="10-14",$D33="Female"),"",INDEX(VMMC!$AB:$AB,MATCH($E33,VMMC!$E:$E,0)))</f>
        <v/>
      </c>
      <c r="AS33" s="14" t="str">
        <f>IF(OR($C33="01-09",$C33="10-14"),"",INDEX(PrEP!$Q:$Q,MATCH($E33,PrEP!$E:$E,0)))</f>
        <v/>
      </c>
      <c r="AT33" s="14" t="str">
        <f t="shared" si="20"/>
        <v/>
      </c>
      <c r="AU33" s="14" t="str">
        <f t="shared" si="21"/>
        <v/>
      </c>
      <c r="AV33" s="90" t="str">
        <f t="shared" si="22"/>
        <v/>
      </c>
      <c r="AW33" s="14"/>
      <c r="AX33" s="90" t="str">
        <f t="shared" si="23"/>
        <v/>
      </c>
      <c r="AY33" s="42" t="str">
        <f t="shared" si="24"/>
        <v/>
      </c>
      <c r="AZ33" s="90">
        <f t="shared" si="25"/>
        <v>1</v>
      </c>
      <c r="BA33" s="42" t="str">
        <f t="shared" si="26"/>
        <v/>
      </c>
    </row>
    <row r="34" spans="1:53" x14ac:dyDescent="0.2">
      <c r="A34" t="str">
        <f>INDEX(Prioritization!$D:$D,MATCH($B34,Prioritization!$A:$A,0))</f>
        <v>1 - Scale-up: Saturation</v>
      </c>
      <c r="B34" t="s">
        <v>194</v>
      </c>
      <c r="C34" t="s">
        <v>365</v>
      </c>
      <c r="D34" t="s">
        <v>47</v>
      </c>
      <c r="E34" t="str">
        <f t="shared" si="0"/>
        <v>Dedza District [PekKUkKHAzY]|25-34|Male</v>
      </c>
      <c r="F34" s="90">
        <f>IF(LEFT($B34,4)="_Mil","",INDEX(Cascade!$AA:$AA,MATCH($E34,Cascade!$E:$E,0)))</f>
        <v>707</v>
      </c>
      <c r="G34" s="14">
        <f>INDEX(Cascade!$BH:$BH,MATCH($E34,Cascade!$E:$E,0))</f>
        <v>0</v>
      </c>
      <c r="H34" s="14" t="str">
        <f>IF(OR($C34="01-09",$D34="Male"),"",INDEX(PMTCT!$AC:$AC,MATCH($E34,PMTCT!$E:$E,0)))</f>
        <v/>
      </c>
      <c r="I34" s="14" t="str">
        <f>IF(OR($C34="01-09",$D34="Male"),"",INDEX(PMTCT!$AS:$AS,MATCH($E34,PMTCT!$E:$E,0)))</f>
        <v/>
      </c>
      <c r="J34" s="14" t="str">
        <f>INDEX(TB!$P:$P,MATCH($E34,TB!$E:$E,0))</f>
        <v/>
      </c>
      <c r="K34" s="14" t="str">
        <f>IF(OR($C34="01-09",$C34="10-14",$D34="Female"),"",INDEX(VMMC!$AA:$AA,MATCH($E34,VMMC!$E:$E,0)))</f>
        <v/>
      </c>
      <c r="L34" s="14">
        <f t="shared" si="1"/>
        <v>0</v>
      </c>
      <c r="M34" s="90" t="str">
        <f t="shared" si="2"/>
        <v/>
      </c>
      <c r="N34" s="90" t="str">
        <f t="shared" si="3"/>
        <v/>
      </c>
      <c r="O34" s="90" t="str">
        <f t="shared" si="4"/>
        <v/>
      </c>
      <c r="P34" s="90" t="str">
        <f t="shared" si="5"/>
        <v/>
      </c>
      <c r="Q34" s="90"/>
      <c r="R34" s="90"/>
      <c r="S34" s="90"/>
      <c r="T34" s="90"/>
      <c r="U34" s="90"/>
      <c r="V34" s="90" t="str">
        <f t="shared" si="6"/>
        <v/>
      </c>
      <c r="W34" s="90"/>
      <c r="X34" s="42" t="str">
        <f t="shared" si="7"/>
        <v/>
      </c>
      <c r="Y34" s="42" t="str">
        <f t="shared" si="8"/>
        <v/>
      </c>
      <c r="Z34" s="90"/>
      <c r="AA34" s="42" t="str">
        <f t="shared" si="9"/>
        <v/>
      </c>
      <c r="AB34" s="42" t="str">
        <f t="shared" si="10"/>
        <v/>
      </c>
      <c r="AC34" s="90"/>
      <c r="AD34" s="42" t="str">
        <f t="shared" si="11"/>
        <v/>
      </c>
      <c r="AE34" s="42" t="str">
        <f t="shared" si="12"/>
        <v/>
      </c>
      <c r="AF34" s="90"/>
      <c r="AG34" s="42" t="str">
        <f t="shared" si="13"/>
        <v/>
      </c>
      <c r="AH34" s="42" t="str">
        <f t="shared" si="14"/>
        <v/>
      </c>
      <c r="AI34" s="90"/>
      <c r="AJ34" s="42" t="str">
        <f t="shared" si="15"/>
        <v/>
      </c>
      <c r="AK34" s="42" t="str">
        <f t="shared" si="16"/>
        <v/>
      </c>
      <c r="AL34" s="14" t="str">
        <f t="shared" si="17"/>
        <v/>
      </c>
      <c r="AM34" s="14" t="str">
        <f t="shared" si="18"/>
        <v/>
      </c>
      <c r="AN34" s="14" t="str">
        <f t="shared" si="19"/>
        <v/>
      </c>
      <c r="AO34" s="14" t="str">
        <f>IF(OR($C34="01-09",$D34="Male"),"",INDEX(PMTCT!$AD:$AD,MATCH($E34,PMTCT!$E:$E,0)))</f>
        <v/>
      </c>
      <c r="AP34" s="14" t="str">
        <f>IF(OR($C34="01-09",$D34="Male"),"",INDEX(PMTCT!$AT:$AT,MATCH($E34,PMTCT!$E:$E,0)))</f>
        <v/>
      </c>
      <c r="AQ34" s="14" t="str">
        <f>INDEX(TB!$Q:$Q,MATCH($E34,TB!$E:$E,0))</f>
        <v/>
      </c>
      <c r="AR34" s="14" t="str">
        <f>IF(OR($C34="01-09",$C34="10-14",$D34="Female"),"",INDEX(VMMC!$AB:$AB,MATCH($E34,VMMC!$E:$E,0)))</f>
        <v/>
      </c>
      <c r="AS34" s="14" t="str">
        <f>IF(OR($C34="01-09",$C34="10-14"),"",INDEX(PrEP!$Q:$Q,MATCH($E34,PrEP!$E:$E,0)))</f>
        <v/>
      </c>
      <c r="AT34" s="14" t="str">
        <f t="shared" si="20"/>
        <v/>
      </c>
      <c r="AU34" s="14" t="str">
        <f t="shared" si="21"/>
        <v/>
      </c>
      <c r="AV34" s="90" t="str">
        <f t="shared" si="22"/>
        <v/>
      </c>
      <c r="AW34" s="14"/>
      <c r="AX34" s="90" t="str">
        <f t="shared" si="23"/>
        <v/>
      </c>
      <c r="AY34" s="42" t="str">
        <f t="shared" si="24"/>
        <v/>
      </c>
      <c r="AZ34" s="90">
        <f t="shared" si="25"/>
        <v>1</v>
      </c>
      <c r="BA34" s="42" t="str">
        <f t="shared" si="26"/>
        <v/>
      </c>
    </row>
    <row r="35" spans="1:53" x14ac:dyDescent="0.2">
      <c r="A35" t="str">
        <f>INDEX(Prioritization!$D:$D,MATCH($B35,Prioritization!$A:$A,0))</f>
        <v>1 - Scale-up: Saturation</v>
      </c>
      <c r="B35" t="s">
        <v>194</v>
      </c>
      <c r="C35" t="s">
        <v>366</v>
      </c>
      <c r="D35" t="s">
        <v>29</v>
      </c>
      <c r="E35" t="str">
        <f t="shared" si="0"/>
        <v>Dedza District [PekKUkKHAzY]|35-49|Female</v>
      </c>
      <c r="F35" s="90">
        <f>IF(LEFT($B35,4)="_Mil","",INDEX(Cascade!$AA:$AA,MATCH($E35,Cascade!$E:$E,0)))</f>
        <v>1942</v>
      </c>
      <c r="G35" s="14">
        <f>INDEX(Cascade!$BH:$BH,MATCH($E35,Cascade!$E:$E,0))</f>
        <v>0</v>
      </c>
      <c r="H35" s="14" t="str">
        <f>IF(OR($C35="01-09",$D35="Male"),"",INDEX(PMTCT!$AC:$AC,MATCH($E35,PMTCT!$E:$E,0)))</f>
        <v/>
      </c>
      <c r="I35" s="14" t="str">
        <f>IF(OR($C35="01-09",$D35="Male"),"",INDEX(PMTCT!$AS:$AS,MATCH($E35,PMTCT!$E:$E,0)))</f>
        <v/>
      </c>
      <c r="J35" s="14" t="str">
        <f>INDEX(TB!$P:$P,MATCH($E35,TB!$E:$E,0))</f>
        <v/>
      </c>
      <c r="K35" s="14" t="str">
        <f>IF(OR($C35="01-09",$C35="10-14",$D35="Female"),"",INDEX(VMMC!$AA:$AA,MATCH($E35,VMMC!$E:$E,0)))</f>
        <v/>
      </c>
      <c r="L35" s="14">
        <f t="shared" si="1"/>
        <v>0</v>
      </c>
      <c r="M35" s="90" t="str">
        <f t="shared" si="2"/>
        <v/>
      </c>
      <c r="N35" s="90" t="str">
        <f t="shared" si="3"/>
        <v/>
      </c>
      <c r="O35" s="90" t="str">
        <f t="shared" si="4"/>
        <v/>
      </c>
      <c r="P35" s="90" t="str">
        <f t="shared" si="5"/>
        <v/>
      </c>
      <c r="Q35" s="90"/>
      <c r="R35" s="90"/>
      <c r="S35" s="90"/>
      <c r="T35" s="90"/>
      <c r="U35" s="90"/>
      <c r="V35" s="90" t="str">
        <f t="shared" si="6"/>
        <v/>
      </c>
      <c r="W35" s="90"/>
      <c r="X35" s="42" t="str">
        <f t="shared" si="7"/>
        <v/>
      </c>
      <c r="Y35" s="42" t="str">
        <f t="shared" si="8"/>
        <v/>
      </c>
      <c r="Z35" s="90"/>
      <c r="AA35" s="42" t="str">
        <f t="shared" si="9"/>
        <v/>
      </c>
      <c r="AB35" s="42" t="str">
        <f t="shared" si="10"/>
        <v/>
      </c>
      <c r="AC35" s="90"/>
      <c r="AD35" s="42" t="str">
        <f t="shared" si="11"/>
        <v/>
      </c>
      <c r="AE35" s="42" t="str">
        <f t="shared" si="12"/>
        <v/>
      </c>
      <c r="AF35" s="90"/>
      <c r="AG35" s="42" t="str">
        <f t="shared" si="13"/>
        <v/>
      </c>
      <c r="AH35" s="42" t="str">
        <f t="shared" si="14"/>
        <v/>
      </c>
      <c r="AI35" s="90"/>
      <c r="AJ35" s="42" t="str">
        <f t="shared" si="15"/>
        <v/>
      </c>
      <c r="AK35" s="42" t="str">
        <f t="shared" si="16"/>
        <v/>
      </c>
      <c r="AL35" s="14" t="str">
        <f t="shared" si="17"/>
        <v/>
      </c>
      <c r="AM35" s="14" t="str">
        <f t="shared" si="18"/>
        <v/>
      </c>
      <c r="AN35" s="14" t="str">
        <f t="shared" si="19"/>
        <v/>
      </c>
      <c r="AO35" s="14" t="str">
        <f>IF(OR($C35="01-09",$D35="Male"),"",INDEX(PMTCT!$AD:$AD,MATCH($E35,PMTCT!$E:$E,0)))</f>
        <v/>
      </c>
      <c r="AP35" s="14" t="str">
        <f>IF(OR($C35="01-09",$D35="Male"),"",INDEX(PMTCT!$AT:$AT,MATCH($E35,PMTCT!$E:$E,0)))</f>
        <v/>
      </c>
      <c r="AQ35" s="14" t="str">
        <f>INDEX(TB!$Q:$Q,MATCH($E35,TB!$E:$E,0))</f>
        <v/>
      </c>
      <c r="AR35" s="14" t="str">
        <f>IF(OR($C35="01-09",$C35="10-14",$D35="Female"),"",INDEX(VMMC!$AB:$AB,MATCH($E35,VMMC!$E:$E,0)))</f>
        <v/>
      </c>
      <c r="AS35" s="14" t="str">
        <f>IF(OR($C35="01-09",$C35="10-14"),"",INDEX(PrEP!$Q:$Q,MATCH($E35,PrEP!$E:$E,0)))</f>
        <v/>
      </c>
      <c r="AT35" s="14" t="str">
        <f t="shared" si="20"/>
        <v/>
      </c>
      <c r="AU35" s="14" t="str">
        <f t="shared" si="21"/>
        <v/>
      </c>
      <c r="AV35" s="90" t="str">
        <f t="shared" si="22"/>
        <v/>
      </c>
      <c r="AW35" s="14"/>
      <c r="AX35" s="90" t="str">
        <f t="shared" si="23"/>
        <v/>
      </c>
      <c r="AY35" s="42" t="str">
        <f t="shared" si="24"/>
        <v/>
      </c>
      <c r="AZ35" s="90">
        <f t="shared" si="25"/>
        <v>1</v>
      </c>
      <c r="BA35" s="42" t="str">
        <f t="shared" si="26"/>
        <v/>
      </c>
    </row>
    <row r="36" spans="1:53" x14ac:dyDescent="0.2">
      <c r="A36" t="str">
        <f>INDEX(Prioritization!$D:$D,MATCH($B36,Prioritization!$A:$A,0))</f>
        <v>1 - Scale-up: Saturation</v>
      </c>
      <c r="B36" t="s">
        <v>194</v>
      </c>
      <c r="C36" t="s">
        <v>366</v>
      </c>
      <c r="D36" t="s">
        <v>47</v>
      </c>
      <c r="E36" t="str">
        <f t="shared" si="0"/>
        <v>Dedza District [PekKUkKHAzY]|35-49|Male</v>
      </c>
      <c r="F36" s="90">
        <f>IF(LEFT($B36,4)="_Mil","",INDEX(Cascade!$AA:$AA,MATCH($E36,Cascade!$E:$E,0)))</f>
        <v>1114</v>
      </c>
      <c r="G36" s="14">
        <f>INDEX(Cascade!$BH:$BH,MATCH($E36,Cascade!$E:$E,0))</f>
        <v>0</v>
      </c>
      <c r="H36" s="14" t="str">
        <f>IF(OR($C36="01-09",$D36="Male"),"",INDEX(PMTCT!$AC:$AC,MATCH($E36,PMTCT!$E:$E,0)))</f>
        <v/>
      </c>
      <c r="I36" s="14" t="str">
        <f>IF(OR($C36="01-09",$D36="Male"),"",INDEX(PMTCT!$AS:$AS,MATCH($E36,PMTCT!$E:$E,0)))</f>
        <v/>
      </c>
      <c r="J36" s="14" t="str">
        <f>INDEX(TB!$P:$P,MATCH($E36,TB!$E:$E,0))</f>
        <v/>
      </c>
      <c r="K36" s="14" t="str">
        <f>IF(OR($C36="01-09",$C36="10-14",$D36="Female"),"",INDEX(VMMC!$AA:$AA,MATCH($E36,VMMC!$E:$E,0)))</f>
        <v/>
      </c>
      <c r="L36" s="14">
        <f t="shared" si="1"/>
        <v>0</v>
      </c>
      <c r="M36" s="90" t="str">
        <f t="shared" si="2"/>
        <v/>
      </c>
      <c r="N36" s="90" t="str">
        <f t="shared" si="3"/>
        <v/>
      </c>
      <c r="O36" s="90" t="str">
        <f t="shared" si="4"/>
        <v/>
      </c>
      <c r="P36" s="90" t="str">
        <f t="shared" si="5"/>
        <v/>
      </c>
      <c r="Q36" s="90"/>
      <c r="R36" s="90"/>
      <c r="S36" s="90"/>
      <c r="T36" s="90"/>
      <c r="U36" s="90"/>
      <c r="V36" s="90" t="str">
        <f t="shared" si="6"/>
        <v/>
      </c>
      <c r="W36" s="90"/>
      <c r="X36" s="42" t="str">
        <f t="shared" si="7"/>
        <v/>
      </c>
      <c r="Y36" s="42" t="str">
        <f t="shared" si="8"/>
        <v/>
      </c>
      <c r="Z36" s="90"/>
      <c r="AA36" s="42" t="str">
        <f t="shared" si="9"/>
        <v/>
      </c>
      <c r="AB36" s="42" t="str">
        <f t="shared" si="10"/>
        <v/>
      </c>
      <c r="AC36" s="90"/>
      <c r="AD36" s="42" t="str">
        <f t="shared" si="11"/>
        <v/>
      </c>
      <c r="AE36" s="42" t="str">
        <f t="shared" si="12"/>
        <v/>
      </c>
      <c r="AF36" s="90"/>
      <c r="AG36" s="42" t="str">
        <f t="shared" si="13"/>
        <v/>
      </c>
      <c r="AH36" s="42" t="str">
        <f t="shared" si="14"/>
        <v/>
      </c>
      <c r="AI36" s="90"/>
      <c r="AJ36" s="42" t="str">
        <f t="shared" si="15"/>
        <v/>
      </c>
      <c r="AK36" s="42" t="str">
        <f t="shared" si="16"/>
        <v/>
      </c>
      <c r="AL36" s="14" t="str">
        <f t="shared" si="17"/>
        <v/>
      </c>
      <c r="AM36" s="14" t="str">
        <f t="shared" si="18"/>
        <v/>
      </c>
      <c r="AN36" s="14" t="str">
        <f t="shared" si="19"/>
        <v/>
      </c>
      <c r="AO36" s="14" t="str">
        <f>IF(OR($C36="01-09",$D36="Male"),"",INDEX(PMTCT!$AD:$AD,MATCH($E36,PMTCT!$E:$E,0)))</f>
        <v/>
      </c>
      <c r="AP36" s="14" t="str">
        <f>IF(OR($C36="01-09",$D36="Male"),"",INDEX(PMTCT!$AT:$AT,MATCH($E36,PMTCT!$E:$E,0)))</f>
        <v/>
      </c>
      <c r="AQ36" s="14" t="str">
        <f>INDEX(TB!$Q:$Q,MATCH($E36,TB!$E:$E,0))</f>
        <v/>
      </c>
      <c r="AR36" s="14" t="str">
        <f>IF(OR($C36="01-09",$C36="10-14",$D36="Female"),"",INDEX(VMMC!$AB:$AB,MATCH($E36,VMMC!$E:$E,0)))</f>
        <v/>
      </c>
      <c r="AS36" s="14" t="str">
        <f>IF(OR($C36="01-09",$C36="10-14"),"",INDEX(PrEP!$Q:$Q,MATCH($E36,PrEP!$E:$E,0)))</f>
        <v/>
      </c>
      <c r="AT36" s="14" t="str">
        <f t="shared" si="20"/>
        <v/>
      </c>
      <c r="AU36" s="14" t="str">
        <f t="shared" si="21"/>
        <v/>
      </c>
      <c r="AV36" s="90" t="str">
        <f t="shared" si="22"/>
        <v/>
      </c>
      <c r="AW36" s="14"/>
      <c r="AX36" s="90" t="str">
        <f t="shared" si="23"/>
        <v/>
      </c>
      <c r="AY36" s="42" t="str">
        <f t="shared" si="24"/>
        <v/>
      </c>
      <c r="AZ36" s="90">
        <f t="shared" si="25"/>
        <v>1</v>
      </c>
      <c r="BA36" s="42" t="str">
        <f t="shared" si="26"/>
        <v/>
      </c>
    </row>
    <row r="37" spans="1:53" x14ac:dyDescent="0.2">
      <c r="A37" t="str">
        <f>INDEX(Prioritization!$D:$D,MATCH($B37,Prioritization!$A:$A,0))</f>
        <v>1 - Scale-up: Saturation</v>
      </c>
      <c r="B37" t="s">
        <v>194</v>
      </c>
      <c r="C37" t="s">
        <v>367</v>
      </c>
      <c r="D37" t="s">
        <v>29</v>
      </c>
      <c r="E37" t="str">
        <f t="shared" si="0"/>
        <v>Dedza District [PekKUkKHAzY]|50+|Female</v>
      </c>
      <c r="F37" s="90">
        <f>IF(LEFT($B37,4)="_Mil","",INDEX(Cascade!$AA:$AA,MATCH($E37,Cascade!$E:$E,0)))</f>
        <v>873</v>
      </c>
      <c r="G37" s="14">
        <f>INDEX(Cascade!$BH:$BH,MATCH($E37,Cascade!$E:$E,0))</f>
        <v>0</v>
      </c>
      <c r="H37" s="14" t="str">
        <f>IF(OR($C37="01-09",$D37="Male"),"",INDEX(PMTCT!$AC:$AC,MATCH($E37,PMTCT!$E:$E,0)))</f>
        <v/>
      </c>
      <c r="I37" s="14" t="str">
        <f>IF(OR($C37="01-09",$D37="Male"),"",INDEX(PMTCT!$AS:$AS,MATCH($E37,PMTCT!$E:$E,0)))</f>
        <v/>
      </c>
      <c r="J37" s="14" t="str">
        <f>INDEX(TB!$P:$P,MATCH($E37,TB!$E:$E,0))</f>
        <v/>
      </c>
      <c r="K37" s="14" t="str">
        <f>IF(OR($C37="01-09",$C37="10-14",$D37="Female"),"",INDEX(VMMC!$AA:$AA,MATCH($E37,VMMC!$E:$E,0)))</f>
        <v/>
      </c>
      <c r="L37" s="14">
        <f t="shared" si="1"/>
        <v>0</v>
      </c>
      <c r="M37" s="90" t="str">
        <f t="shared" si="2"/>
        <v/>
      </c>
      <c r="N37" s="90" t="str">
        <f t="shared" si="3"/>
        <v/>
      </c>
      <c r="O37" s="90" t="str">
        <f t="shared" si="4"/>
        <v/>
      </c>
      <c r="P37" s="90" t="str">
        <f t="shared" si="5"/>
        <v/>
      </c>
      <c r="Q37" s="90"/>
      <c r="R37" s="90"/>
      <c r="S37" s="90"/>
      <c r="T37" s="90"/>
      <c r="U37" s="90">
        <v>0.86119780363514997</v>
      </c>
      <c r="V37" s="90" t="str">
        <f t="shared" si="6"/>
        <v/>
      </c>
      <c r="W37" s="90"/>
      <c r="X37" s="42" t="str">
        <f t="shared" si="7"/>
        <v/>
      </c>
      <c r="Y37" s="42" t="str">
        <f t="shared" si="8"/>
        <v/>
      </c>
      <c r="Z37" s="90"/>
      <c r="AA37" s="42" t="str">
        <f t="shared" si="9"/>
        <v/>
      </c>
      <c r="AB37" s="42" t="str">
        <f t="shared" si="10"/>
        <v/>
      </c>
      <c r="AC37" s="90"/>
      <c r="AD37" s="42" t="str">
        <f t="shared" si="11"/>
        <v/>
      </c>
      <c r="AE37" s="42" t="str">
        <f t="shared" si="12"/>
        <v/>
      </c>
      <c r="AF37" s="90"/>
      <c r="AG37" s="42" t="str">
        <f t="shared" si="13"/>
        <v/>
      </c>
      <c r="AH37" s="42" t="str">
        <f t="shared" si="14"/>
        <v/>
      </c>
      <c r="AI37" s="90"/>
      <c r="AJ37" s="42" t="str">
        <f t="shared" si="15"/>
        <v/>
      </c>
      <c r="AK37" s="42" t="str">
        <f t="shared" si="16"/>
        <v/>
      </c>
      <c r="AL37" s="14" t="str">
        <f t="shared" si="17"/>
        <v/>
      </c>
      <c r="AM37" s="14" t="str">
        <f t="shared" si="18"/>
        <v/>
      </c>
      <c r="AN37" s="14" t="str">
        <f t="shared" si="19"/>
        <v/>
      </c>
      <c r="AO37" s="14" t="str">
        <f>IF(OR($C37="01-09",$D37="Male"),"",INDEX(PMTCT!$AD:$AD,MATCH($E37,PMTCT!$E:$E,0)))</f>
        <v/>
      </c>
      <c r="AP37" s="14" t="str">
        <f>IF(OR($C37="01-09",$D37="Male"),"",INDEX(PMTCT!$AT:$AT,MATCH($E37,PMTCT!$E:$E,0)))</f>
        <v/>
      </c>
      <c r="AQ37" s="14" t="str">
        <f>INDEX(TB!$Q:$Q,MATCH($E37,TB!$E:$E,0))</f>
        <v/>
      </c>
      <c r="AR37" s="14" t="str">
        <f>IF(OR($C37="01-09",$C37="10-14",$D37="Female"),"",INDEX(VMMC!$AB:$AB,MATCH($E37,VMMC!$E:$E,0)))</f>
        <v/>
      </c>
      <c r="AS37" s="14" t="str">
        <f>IF(OR($C37="01-09",$C37="10-14"),"",INDEX(PrEP!$Q:$Q,MATCH($E37,PrEP!$E:$E,0)))</f>
        <v/>
      </c>
      <c r="AT37" s="14" t="str">
        <f t="shared" si="20"/>
        <v/>
      </c>
      <c r="AU37" s="14" t="str">
        <f t="shared" si="21"/>
        <v/>
      </c>
      <c r="AV37" s="90" t="str">
        <f t="shared" si="22"/>
        <v/>
      </c>
      <c r="AW37" s="14">
        <v>7</v>
      </c>
      <c r="AX37" s="90">
        <f t="shared" si="23"/>
        <v>0</v>
      </c>
      <c r="AY37" s="42">
        <f t="shared" si="24"/>
        <v>7</v>
      </c>
      <c r="AZ37" s="90">
        <f t="shared" si="25"/>
        <v>1</v>
      </c>
      <c r="BA37" s="42" t="str">
        <f t="shared" si="26"/>
        <v/>
      </c>
    </row>
    <row r="38" spans="1:53" x14ac:dyDescent="0.2">
      <c r="A38" t="str">
        <f>INDEX(Prioritization!$D:$D,MATCH($B38,Prioritization!$A:$A,0))</f>
        <v>1 - Scale-up: Saturation</v>
      </c>
      <c r="B38" t="s">
        <v>194</v>
      </c>
      <c r="C38" t="s">
        <v>367</v>
      </c>
      <c r="D38" t="s">
        <v>47</v>
      </c>
      <c r="E38" t="str">
        <f t="shared" si="0"/>
        <v>Dedza District [PekKUkKHAzY]|50+|Male</v>
      </c>
      <c r="F38" s="90">
        <f>IF(LEFT($B38,4)="_Mil","",INDEX(Cascade!$AA:$AA,MATCH($E38,Cascade!$E:$E,0)))</f>
        <v>1973.9999999999998</v>
      </c>
      <c r="G38" s="14">
        <f>INDEX(Cascade!$BH:$BH,MATCH($E38,Cascade!$E:$E,0))</f>
        <v>0</v>
      </c>
      <c r="H38" s="14" t="str">
        <f>IF(OR($C38="01-09",$D38="Male"),"",INDEX(PMTCT!$AC:$AC,MATCH($E38,PMTCT!$E:$E,0)))</f>
        <v/>
      </c>
      <c r="I38" s="14" t="str">
        <f>IF(OR($C38="01-09",$D38="Male"),"",INDEX(PMTCT!$AS:$AS,MATCH($E38,PMTCT!$E:$E,0)))</f>
        <v/>
      </c>
      <c r="J38" s="14" t="str">
        <f>INDEX(TB!$P:$P,MATCH($E38,TB!$E:$E,0))</f>
        <v/>
      </c>
      <c r="K38" s="14" t="str">
        <f>IF(OR($C38="01-09",$C38="10-14",$D38="Female"),"",INDEX(VMMC!$AA:$AA,MATCH($E38,VMMC!$E:$E,0)))</f>
        <v/>
      </c>
      <c r="L38" s="14">
        <f t="shared" si="1"/>
        <v>0</v>
      </c>
      <c r="M38" s="90" t="str">
        <f t="shared" si="2"/>
        <v/>
      </c>
      <c r="N38" s="90" t="str">
        <f t="shared" si="3"/>
        <v/>
      </c>
      <c r="O38" s="90" t="str">
        <f t="shared" si="4"/>
        <v/>
      </c>
      <c r="P38" s="90" t="str">
        <f t="shared" si="5"/>
        <v/>
      </c>
      <c r="Q38" s="90"/>
      <c r="R38" s="90"/>
      <c r="S38" s="90"/>
      <c r="T38" s="90"/>
      <c r="U38" s="90">
        <v>0.68926283693872403</v>
      </c>
      <c r="V38" s="90" t="str">
        <f t="shared" si="6"/>
        <v/>
      </c>
      <c r="W38" s="90"/>
      <c r="X38" s="42" t="str">
        <f t="shared" si="7"/>
        <v/>
      </c>
      <c r="Y38" s="42" t="str">
        <f t="shared" si="8"/>
        <v/>
      </c>
      <c r="Z38" s="90"/>
      <c r="AA38" s="42" t="str">
        <f t="shared" si="9"/>
        <v/>
      </c>
      <c r="AB38" s="42" t="str">
        <f t="shared" si="10"/>
        <v/>
      </c>
      <c r="AC38" s="90"/>
      <c r="AD38" s="42" t="str">
        <f t="shared" si="11"/>
        <v/>
      </c>
      <c r="AE38" s="42" t="str">
        <f t="shared" si="12"/>
        <v/>
      </c>
      <c r="AF38" s="90"/>
      <c r="AG38" s="42" t="str">
        <f t="shared" si="13"/>
        <v/>
      </c>
      <c r="AH38" s="42" t="str">
        <f t="shared" si="14"/>
        <v/>
      </c>
      <c r="AI38" s="90"/>
      <c r="AJ38" s="42" t="str">
        <f t="shared" si="15"/>
        <v/>
      </c>
      <c r="AK38" s="42" t="str">
        <f t="shared" si="16"/>
        <v/>
      </c>
      <c r="AL38" s="14" t="str">
        <f t="shared" si="17"/>
        <v/>
      </c>
      <c r="AM38" s="14" t="str">
        <f t="shared" si="18"/>
        <v/>
      </c>
      <c r="AN38" s="14" t="str">
        <f t="shared" si="19"/>
        <v/>
      </c>
      <c r="AO38" s="14" t="str">
        <f>IF(OR($C38="01-09",$D38="Male"),"",INDEX(PMTCT!$AD:$AD,MATCH($E38,PMTCT!$E:$E,0)))</f>
        <v/>
      </c>
      <c r="AP38" s="14" t="str">
        <f>IF(OR($C38="01-09",$D38="Male"),"",INDEX(PMTCT!$AT:$AT,MATCH($E38,PMTCT!$E:$E,0)))</f>
        <v/>
      </c>
      <c r="AQ38" s="14" t="str">
        <f>INDEX(TB!$Q:$Q,MATCH($E38,TB!$E:$E,0))</f>
        <v/>
      </c>
      <c r="AR38" s="14" t="str">
        <f>IF(OR($C38="01-09",$C38="10-14",$D38="Female"),"",INDEX(VMMC!$AB:$AB,MATCH($E38,VMMC!$E:$E,0)))</f>
        <v/>
      </c>
      <c r="AS38" s="14" t="str">
        <f>IF(OR($C38="01-09",$C38="10-14"),"",INDEX(PrEP!$Q:$Q,MATCH($E38,PrEP!$E:$E,0)))</f>
        <v/>
      </c>
      <c r="AT38" s="14" t="str">
        <f t="shared" si="20"/>
        <v/>
      </c>
      <c r="AU38" s="14" t="str">
        <f t="shared" si="21"/>
        <v/>
      </c>
      <c r="AV38" s="90" t="str">
        <f t="shared" si="22"/>
        <v/>
      </c>
      <c r="AW38" s="14">
        <v>5</v>
      </c>
      <c r="AX38" s="90">
        <f t="shared" si="23"/>
        <v>0</v>
      </c>
      <c r="AY38" s="42">
        <f t="shared" si="24"/>
        <v>5</v>
      </c>
      <c r="AZ38" s="90">
        <f t="shared" si="25"/>
        <v>1</v>
      </c>
      <c r="BA38" s="42" t="str">
        <f t="shared" si="26"/>
        <v/>
      </c>
    </row>
    <row r="39" spans="1:53" x14ac:dyDescent="0.2">
      <c r="A39" t="str">
        <f>INDEX(Prioritization!$D:$D,MATCH($B39,Prioritization!$A:$A,0))</f>
        <v>1 - Scale-up: Saturation</v>
      </c>
      <c r="B39" t="s">
        <v>195</v>
      </c>
      <c r="C39" t="s">
        <v>362</v>
      </c>
      <c r="D39" t="s">
        <v>29</v>
      </c>
      <c r="E39" t="str">
        <f t="shared" si="0"/>
        <v>Dowa District [zphK9WV8JB4]|01-09|Female</v>
      </c>
      <c r="F39" s="90">
        <f>IF(LEFT($B39,4)="_Mil","",INDEX(Cascade!$AA:$AA,MATCH($E39,Cascade!$E:$E,0)))</f>
        <v>1089</v>
      </c>
      <c r="G39" s="14">
        <f>INDEX(Cascade!$BH:$BH,MATCH($E39,Cascade!$E:$E,0))</f>
        <v>0</v>
      </c>
      <c r="H39" s="14" t="str">
        <f>IF(OR($C39="01-09",$D39="Male"),"",INDEX(PMTCT!$AC:$AC,MATCH($E39,PMTCT!$E:$E,0)))</f>
        <v/>
      </c>
      <c r="I39" s="14" t="str">
        <f>IF(OR($C39="01-09",$D39="Male"),"",INDEX(PMTCT!$AS:$AS,MATCH($E39,PMTCT!$E:$E,0)))</f>
        <v/>
      </c>
      <c r="J39" s="14" t="str">
        <f>INDEX(TB!$P:$P,MATCH($E39,TB!$E:$E,0))</f>
        <v/>
      </c>
      <c r="K39" s="14" t="str">
        <f>IF(OR($C39="01-09",$C39="10-14",$D39="Female"),"",INDEX(VMMC!$AA:$AA,MATCH($E39,VMMC!$E:$E,0)))</f>
        <v/>
      </c>
      <c r="L39" s="14">
        <f t="shared" si="1"/>
        <v>0</v>
      </c>
      <c r="M39" s="90" t="str">
        <f t="shared" si="2"/>
        <v/>
      </c>
      <c r="N39" s="90" t="str">
        <f t="shared" si="3"/>
        <v/>
      </c>
      <c r="O39" s="90" t="str">
        <f t="shared" si="4"/>
        <v/>
      </c>
      <c r="P39" s="90" t="str">
        <f t="shared" si="5"/>
        <v/>
      </c>
      <c r="Q39" s="90"/>
      <c r="R39" s="90"/>
      <c r="S39" s="90"/>
      <c r="T39" s="90"/>
      <c r="U39" s="90"/>
      <c r="V39" s="90" t="str">
        <f t="shared" si="6"/>
        <v/>
      </c>
      <c r="W39" s="90"/>
      <c r="X39" s="42" t="str">
        <f t="shared" si="7"/>
        <v/>
      </c>
      <c r="Y39" s="42" t="str">
        <f t="shared" si="8"/>
        <v/>
      </c>
      <c r="Z39" s="90"/>
      <c r="AA39" s="42" t="str">
        <f t="shared" si="9"/>
        <v/>
      </c>
      <c r="AB39" s="42" t="str">
        <f t="shared" si="10"/>
        <v/>
      </c>
      <c r="AC39" s="90"/>
      <c r="AD39" s="42" t="str">
        <f t="shared" si="11"/>
        <v/>
      </c>
      <c r="AE39" s="42" t="str">
        <f t="shared" si="12"/>
        <v/>
      </c>
      <c r="AF39" s="90"/>
      <c r="AG39" s="42" t="str">
        <f t="shared" si="13"/>
        <v/>
      </c>
      <c r="AH39" s="42" t="str">
        <f t="shared" si="14"/>
        <v/>
      </c>
      <c r="AI39" s="90"/>
      <c r="AJ39" s="42" t="str">
        <f t="shared" si="15"/>
        <v/>
      </c>
      <c r="AK39" s="42" t="str">
        <f t="shared" si="16"/>
        <v/>
      </c>
      <c r="AL39" s="14" t="str">
        <f t="shared" si="17"/>
        <v/>
      </c>
      <c r="AM39" s="14" t="str">
        <f t="shared" si="18"/>
        <v/>
      </c>
      <c r="AN39" s="14" t="str">
        <f t="shared" si="19"/>
        <v/>
      </c>
      <c r="AO39" s="14" t="str">
        <f>IF(OR($C39="01-09",$D39="Male"),"",INDEX(PMTCT!$AD:$AD,MATCH($E39,PMTCT!$E:$E,0)))</f>
        <v/>
      </c>
      <c r="AP39" s="14" t="str">
        <f>IF(OR($C39="01-09",$D39="Male"),"",INDEX(PMTCT!$AT:$AT,MATCH($E39,PMTCT!$E:$E,0)))</f>
        <v/>
      </c>
      <c r="AQ39" s="14" t="str">
        <f>INDEX(TB!$Q:$Q,MATCH($E39,TB!$E:$E,0))</f>
        <v/>
      </c>
      <c r="AR39" s="14" t="str">
        <f>IF(OR($C39="01-09",$C39="10-14",$D39="Female"),"",INDEX(VMMC!$AB:$AB,MATCH($E39,VMMC!$E:$E,0)))</f>
        <v/>
      </c>
      <c r="AS39" s="14" t="str">
        <f>IF(OR($C39="01-09",$C39="10-14"),"",INDEX(PrEP!$Q:$Q,MATCH($E39,PrEP!$E:$E,0)))</f>
        <v/>
      </c>
      <c r="AT39" s="14" t="str">
        <f t="shared" si="20"/>
        <v/>
      </c>
      <c r="AU39" s="14" t="str">
        <f t="shared" si="21"/>
        <v/>
      </c>
      <c r="AV39" s="90" t="str">
        <f t="shared" si="22"/>
        <v/>
      </c>
      <c r="AW39" s="14"/>
      <c r="AX39" s="90" t="str">
        <f t="shared" si="23"/>
        <v/>
      </c>
      <c r="AY39" s="42" t="str">
        <f t="shared" si="24"/>
        <v/>
      </c>
      <c r="AZ39" s="90" t="str">
        <f t="shared" si="25"/>
        <v/>
      </c>
      <c r="BA39" s="42" t="str">
        <f t="shared" si="26"/>
        <v/>
      </c>
    </row>
    <row r="40" spans="1:53" x14ac:dyDescent="0.2">
      <c r="A40" t="str">
        <f>INDEX(Prioritization!$D:$D,MATCH($B40,Prioritization!$A:$A,0))</f>
        <v>1 - Scale-up: Saturation</v>
      </c>
      <c r="B40" t="s">
        <v>195</v>
      </c>
      <c r="C40" t="s">
        <v>362</v>
      </c>
      <c r="D40" t="s">
        <v>47</v>
      </c>
      <c r="E40" t="str">
        <f t="shared" si="0"/>
        <v>Dowa District [zphK9WV8JB4]|01-09|Male</v>
      </c>
      <c r="F40" s="90">
        <f>IF(LEFT($B40,4)="_Mil","",INDEX(Cascade!$AA:$AA,MATCH($E40,Cascade!$E:$E,0)))</f>
        <v>960.99999999999989</v>
      </c>
      <c r="G40" s="14">
        <f>INDEX(Cascade!$BH:$BH,MATCH($E40,Cascade!$E:$E,0))</f>
        <v>0</v>
      </c>
      <c r="H40" s="14" t="str">
        <f>IF(OR($C40="01-09",$D40="Male"),"",INDEX(PMTCT!$AC:$AC,MATCH($E40,PMTCT!$E:$E,0)))</f>
        <v/>
      </c>
      <c r="I40" s="14" t="str">
        <f>IF(OR($C40="01-09",$D40="Male"),"",INDEX(PMTCT!$AS:$AS,MATCH($E40,PMTCT!$E:$E,0)))</f>
        <v/>
      </c>
      <c r="J40" s="14" t="str">
        <f>INDEX(TB!$P:$P,MATCH($E40,TB!$E:$E,0))</f>
        <v/>
      </c>
      <c r="K40" s="14" t="str">
        <f>IF(OR($C40="01-09",$C40="10-14",$D40="Female"),"",INDEX(VMMC!$AA:$AA,MATCH($E40,VMMC!$E:$E,0)))</f>
        <v/>
      </c>
      <c r="L40" s="14">
        <f t="shared" si="1"/>
        <v>0</v>
      </c>
      <c r="M40" s="90" t="str">
        <f t="shared" si="2"/>
        <v/>
      </c>
      <c r="N40" s="90" t="str">
        <f t="shared" si="3"/>
        <v/>
      </c>
      <c r="O40" s="90" t="str">
        <f t="shared" si="4"/>
        <v/>
      </c>
      <c r="P40" s="90" t="str">
        <f t="shared" si="5"/>
        <v/>
      </c>
      <c r="Q40" s="90"/>
      <c r="R40" s="90"/>
      <c r="S40" s="90"/>
      <c r="T40" s="90"/>
      <c r="U40" s="90"/>
      <c r="V40" s="90" t="str">
        <f t="shared" si="6"/>
        <v/>
      </c>
      <c r="W40" s="90"/>
      <c r="X40" s="42" t="str">
        <f t="shared" si="7"/>
        <v/>
      </c>
      <c r="Y40" s="42" t="str">
        <f t="shared" si="8"/>
        <v/>
      </c>
      <c r="Z40" s="90"/>
      <c r="AA40" s="42" t="str">
        <f t="shared" si="9"/>
        <v/>
      </c>
      <c r="AB40" s="42" t="str">
        <f t="shared" si="10"/>
        <v/>
      </c>
      <c r="AC40" s="90"/>
      <c r="AD40" s="42" t="str">
        <f t="shared" si="11"/>
        <v/>
      </c>
      <c r="AE40" s="42" t="str">
        <f t="shared" si="12"/>
        <v/>
      </c>
      <c r="AF40" s="90"/>
      <c r="AG40" s="42" t="str">
        <f t="shared" si="13"/>
        <v/>
      </c>
      <c r="AH40" s="42" t="str">
        <f t="shared" si="14"/>
        <v/>
      </c>
      <c r="AI40" s="90"/>
      <c r="AJ40" s="42" t="str">
        <f t="shared" si="15"/>
        <v/>
      </c>
      <c r="AK40" s="42" t="str">
        <f t="shared" si="16"/>
        <v/>
      </c>
      <c r="AL40" s="14" t="str">
        <f t="shared" si="17"/>
        <v/>
      </c>
      <c r="AM40" s="14" t="str">
        <f t="shared" si="18"/>
        <v/>
      </c>
      <c r="AN40" s="14" t="str">
        <f t="shared" si="19"/>
        <v/>
      </c>
      <c r="AO40" s="14" t="str">
        <f>IF(OR($C40="01-09",$D40="Male"),"",INDEX(PMTCT!$AD:$AD,MATCH($E40,PMTCT!$E:$E,0)))</f>
        <v/>
      </c>
      <c r="AP40" s="14" t="str">
        <f>IF(OR($C40="01-09",$D40="Male"),"",INDEX(PMTCT!$AT:$AT,MATCH($E40,PMTCT!$E:$E,0)))</f>
        <v/>
      </c>
      <c r="AQ40" s="14" t="str">
        <f>INDEX(TB!$Q:$Q,MATCH($E40,TB!$E:$E,0))</f>
        <v/>
      </c>
      <c r="AR40" s="14" t="str">
        <f>IF(OR($C40="01-09",$C40="10-14",$D40="Female"),"",INDEX(VMMC!$AB:$AB,MATCH($E40,VMMC!$E:$E,0)))</f>
        <v/>
      </c>
      <c r="AS40" s="14" t="str">
        <f>IF(OR($C40="01-09",$C40="10-14"),"",INDEX(PrEP!$Q:$Q,MATCH($E40,PrEP!$E:$E,0)))</f>
        <v/>
      </c>
      <c r="AT40" s="14" t="str">
        <f t="shared" si="20"/>
        <v/>
      </c>
      <c r="AU40" s="14" t="str">
        <f t="shared" si="21"/>
        <v/>
      </c>
      <c r="AV40" s="90" t="str">
        <f t="shared" si="22"/>
        <v/>
      </c>
      <c r="AW40" s="14"/>
      <c r="AX40" s="90" t="str">
        <f t="shared" si="23"/>
        <v/>
      </c>
      <c r="AY40" s="42" t="str">
        <f t="shared" si="24"/>
        <v/>
      </c>
      <c r="AZ40" s="90" t="str">
        <f t="shared" si="25"/>
        <v/>
      </c>
      <c r="BA40" s="42" t="str">
        <f t="shared" si="26"/>
        <v/>
      </c>
    </row>
    <row r="41" spans="1:53" x14ac:dyDescent="0.2">
      <c r="A41" t="str">
        <f>INDEX(Prioritization!$D:$D,MATCH($B41,Prioritization!$A:$A,0))</f>
        <v>1 - Scale-up: Saturation</v>
      </c>
      <c r="B41" t="s">
        <v>195</v>
      </c>
      <c r="C41" t="s">
        <v>363</v>
      </c>
      <c r="D41" t="s">
        <v>29</v>
      </c>
      <c r="E41" t="str">
        <f t="shared" si="0"/>
        <v>Dowa District [zphK9WV8JB4]|10-14|Female</v>
      </c>
      <c r="F41" s="90">
        <f>IF(LEFT($B41,4)="_Mil","",INDEX(Cascade!$AA:$AA,MATCH($E41,Cascade!$E:$E,0)))</f>
        <v>1756</v>
      </c>
      <c r="G41" s="14">
        <f>INDEX(Cascade!$BH:$BH,MATCH($E41,Cascade!$E:$E,0))</f>
        <v>-85</v>
      </c>
      <c r="H41" s="14" t="str">
        <f>IF(OR($C41="01-09",$D41="Male"),"",INDEX(PMTCT!$AC:$AC,MATCH($E41,PMTCT!$E:$E,0)))</f>
        <v>ENTER YIELD RATE</v>
      </c>
      <c r="I41" s="14" t="str">
        <f>IF(OR($C41="01-09",$D41="Male"),"",INDEX(PMTCT!$AS:$AS,MATCH($E41,PMTCT!$E:$E,0)))</f>
        <v>ENTER YIELD RATE</v>
      </c>
      <c r="J41" s="14" t="str">
        <f>INDEX(TB!$P:$P,MATCH($E41,TB!$E:$E,0))</f>
        <v>ENTER YIELD RATE</v>
      </c>
      <c r="K41" s="14" t="str">
        <f>IF(OR($C41="01-09",$C41="10-14",$D41="Female"),"",INDEX(VMMC!$AA:$AA,MATCH($E41,VMMC!$E:$E,0)))</f>
        <v/>
      </c>
      <c r="L41" s="14">
        <f t="shared" si="1"/>
        <v>-85</v>
      </c>
      <c r="M41" s="90">
        <f t="shared" si="2"/>
        <v>0</v>
      </c>
      <c r="N41" s="90">
        <f t="shared" si="3"/>
        <v>0</v>
      </c>
      <c r="O41" s="90">
        <f t="shared" si="4"/>
        <v>0</v>
      </c>
      <c r="P41" s="90" t="str">
        <f t="shared" si="5"/>
        <v/>
      </c>
      <c r="Q41" s="90">
        <v>0.246561964740977</v>
      </c>
      <c r="R41" s="90"/>
      <c r="S41" s="90"/>
      <c r="T41" s="90"/>
      <c r="U41" s="90">
        <v>0.85757495928555705</v>
      </c>
      <c r="V41" s="90">
        <f t="shared" si="6"/>
        <v>1.104136924026534</v>
      </c>
      <c r="W41" s="90"/>
      <c r="X41" s="42">
        <f t="shared" si="7"/>
        <v>-21</v>
      </c>
      <c r="Y41" s="42" t="str">
        <f t="shared" si="8"/>
        <v>ENTER YIELD</v>
      </c>
      <c r="Z41" s="90"/>
      <c r="AA41" s="42" t="str">
        <f t="shared" si="9"/>
        <v/>
      </c>
      <c r="AB41" s="42" t="str">
        <f t="shared" si="10"/>
        <v/>
      </c>
      <c r="AC41" s="90"/>
      <c r="AD41" s="42" t="str">
        <f t="shared" si="11"/>
        <v/>
      </c>
      <c r="AE41" s="42" t="str">
        <f t="shared" si="12"/>
        <v/>
      </c>
      <c r="AF41" s="90"/>
      <c r="AG41" s="42" t="str">
        <f t="shared" si="13"/>
        <v/>
      </c>
      <c r="AH41" s="42" t="str">
        <f t="shared" si="14"/>
        <v/>
      </c>
      <c r="AI41" s="90"/>
      <c r="AJ41" s="42">
        <f t="shared" si="15"/>
        <v>-73</v>
      </c>
      <c r="AK41" s="42" t="str">
        <f t="shared" si="16"/>
        <v>ENTER YIELD</v>
      </c>
      <c r="AL41" s="14">
        <f t="shared" si="17"/>
        <v>-85</v>
      </c>
      <c r="AM41" s="14">
        <f t="shared" si="18"/>
        <v>-94</v>
      </c>
      <c r="AN41" s="14">
        <f t="shared" si="19"/>
        <v>-9</v>
      </c>
      <c r="AO41" s="14">
        <f>IF(OR($C41="01-09",$D41="Male"),"",INDEX(PMTCT!$AD:$AD,MATCH($E41,PMTCT!$E:$E,0)))</f>
        <v>7</v>
      </c>
      <c r="AP41" s="14">
        <f>IF(OR($C41="01-09",$D41="Male"),"",INDEX(PMTCT!$AT:$AT,MATCH($E41,PMTCT!$E:$E,0)))</f>
        <v>7</v>
      </c>
      <c r="AQ41" s="14">
        <f>INDEX(TB!$Q:$Q,MATCH($E41,TB!$E:$E,0))</f>
        <v>1</v>
      </c>
      <c r="AR41" s="14" t="str">
        <f>IF(OR($C41="01-09",$C41="10-14",$D41="Female"),"",INDEX(VMMC!$AB:$AB,MATCH($E41,VMMC!$E:$E,0)))</f>
        <v/>
      </c>
      <c r="AS41" s="14" t="str">
        <f>IF(OR($C41="01-09",$C41="10-14"),"",INDEX(PrEP!$Q:$Q,MATCH($E41,PrEP!$E:$E,0)))</f>
        <v/>
      </c>
      <c r="AT41" s="14">
        <f t="shared" si="20"/>
        <v>15</v>
      </c>
      <c r="AU41" s="14">
        <f t="shared" si="21"/>
        <v>-79</v>
      </c>
      <c r="AV41" s="90">
        <f t="shared" si="22"/>
        <v>1.1898734177215189</v>
      </c>
      <c r="AW41" s="14"/>
      <c r="AX41" s="90" t="str">
        <f t="shared" si="23"/>
        <v/>
      </c>
      <c r="AY41" s="42" t="str">
        <f t="shared" si="24"/>
        <v/>
      </c>
      <c r="AZ41" s="90" t="str">
        <f t="shared" si="25"/>
        <v/>
      </c>
      <c r="BA41" s="42" t="str">
        <f t="shared" si="26"/>
        <v/>
      </c>
    </row>
    <row r="42" spans="1:53" x14ac:dyDescent="0.2">
      <c r="A42" t="str">
        <f>INDEX(Prioritization!$D:$D,MATCH($B42,Prioritization!$A:$A,0))</f>
        <v>1 - Scale-up: Saturation</v>
      </c>
      <c r="B42" t="s">
        <v>195</v>
      </c>
      <c r="C42" t="s">
        <v>363</v>
      </c>
      <c r="D42" t="s">
        <v>47</v>
      </c>
      <c r="E42" t="str">
        <f t="shared" si="0"/>
        <v>Dowa District [zphK9WV8JB4]|10-14|Male</v>
      </c>
      <c r="F42" s="90">
        <f>IF(LEFT($B42,4)="_Mil","",INDEX(Cascade!$AA:$AA,MATCH($E42,Cascade!$E:$E,0)))</f>
        <v>617</v>
      </c>
      <c r="G42" s="14">
        <f>INDEX(Cascade!$BH:$BH,MATCH($E42,Cascade!$E:$E,0))</f>
        <v>-74</v>
      </c>
      <c r="H42" s="14" t="str">
        <f>IF(OR($C42="01-09",$D42="Male"),"",INDEX(PMTCT!$AC:$AC,MATCH($E42,PMTCT!$E:$E,0)))</f>
        <v/>
      </c>
      <c r="I42" s="14" t="str">
        <f>IF(OR($C42="01-09",$D42="Male"),"",INDEX(PMTCT!$AS:$AS,MATCH($E42,PMTCT!$E:$E,0)))</f>
        <v/>
      </c>
      <c r="J42" s="14" t="str">
        <f>INDEX(TB!$P:$P,MATCH($E42,TB!$E:$E,0))</f>
        <v/>
      </c>
      <c r="K42" s="14" t="str">
        <f>IF(OR($C42="01-09",$C42="10-14",$D42="Female"),"",INDEX(VMMC!$AA:$AA,MATCH($E42,VMMC!$E:$E,0)))</f>
        <v/>
      </c>
      <c r="L42" s="14">
        <f t="shared" si="1"/>
        <v>-74</v>
      </c>
      <c r="M42" s="90" t="str">
        <f t="shared" si="2"/>
        <v/>
      </c>
      <c r="N42" s="90" t="str">
        <f t="shared" si="3"/>
        <v/>
      </c>
      <c r="O42" s="90">
        <f t="shared" si="4"/>
        <v>0</v>
      </c>
      <c r="P42" s="90" t="str">
        <f t="shared" si="5"/>
        <v/>
      </c>
      <c r="Q42" s="90">
        <v>0.73417498543858495</v>
      </c>
      <c r="R42" s="90"/>
      <c r="S42" s="90"/>
      <c r="T42" s="90"/>
      <c r="U42" s="90">
        <v>0.85739222844131302</v>
      </c>
      <c r="V42" s="90">
        <f t="shared" si="6"/>
        <v>1.591567213879898</v>
      </c>
      <c r="W42" s="90"/>
      <c r="X42" s="42">
        <f t="shared" si="7"/>
        <v>-54</v>
      </c>
      <c r="Y42" s="42" t="str">
        <f t="shared" si="8"/>
        <v>ENTER YIELD</v>
      </c>
      <c r="Z42" s="90"/>
      <c r="AA42" s="42" t="str">
        <f t="shared" si="9"/>
        <v/>
      </c>
      <c r="AB42" s="42" t="str">
        <f t="shared" si="10"/>
        <v/>
      </c>
      <c r="AC42" s="90"/>
      <c r="AD42" s="42" t="str">
        <f t="shared" si="11"/>
        <v/>
      </c>
      <c r="AE42" s="42" t="str">
        <f t="shared" si="12"/>
        <v/>
      </c>
      <c r="AF42" s="90"/>
      <c r="AG42" s="42" t="str">
        <f t="shared" si="13"/>
        <v/>
      </c>
      <c r="AH42" s="42" t="str">
        <f t="shared" si="14"/>
        <v/>
      </c>
      <c r="AI42" s="90"/>
      <c r="AJ42" s="42">
        <f t="shared" si="15"/>
        <v>-63</v>
      </c>
      <c r="AK42" s="42" t="str">
        <f t="shared" si="16"/>
        <v>ENTER YIELD</v>
      </c>
      <c r="AL42" s="14">
        <f t="shared" si="17"/>
        <v>-74</v>
      </c>
      <c r="AM42" s="14">
        <f t="shared" si="18"/>
        <v>-116.99999999999999</v>
      </c>
      <c r="AN42" s="14">
        <f t="shared" si="19"/>
        <v>-42.999999999999986</v>
      </c>
      <c r="AO42" s="14" t="str">
        <f>IF(OR($C42="01-09",$D42="Male"),"",INDEX(PMTCT!$AD:$AD,MATCH($E42,PMTCT!$E:$E,0)))</f>
        <v/>
      </c>
      <c r="AP42" s="14" t="str">
        <f>IF(OR($C42="01-09",$D42="Male"),"",INDEX(PMTCT!$AT:$AT,MATCH($E42,PMTCT!$E:$E,0)))</f>
        <v/>
      </c>
      <c r="AQ42" s="14" t="str">
        <f>INDEX(TB!$Q:$Q,MATCH($E42,TB!$E:$E,0))</f>
        <v/>
      </c>
      <c r="AR42" s="14" t="str">
        <f>IF(OR($C42="01-09",$C42="10-14",$D42="Female"),"",INDEX(VMMC!$AB:$AB,MATCH($E42,VMMC!$E:$E,0)))</f>
        <v/>
      </c>
      <c r="AS42" s="14" t="str">
        <f>IF(OR($C42="01-09",$C42="10-14"),"",INDEX(PrEP!$Q:$Q,MATCH($E42,PrEP!$E:$E,0)))</f>
        <v/>
      </c>
      <c r="AT42" s="14" t="str">
        <f t="shared" si="20"/>
        <v/>
      </c>
      <c r="AU42" s="14">
        <f t="shared" si="21"/>
        <v>-116.99999999999999</v>
      </c>
      <c r="AV42" s="90">
        <f t="shared" si="22"/>
        <v>1</v>
      </c>
      <c r="AW42" s="14"/>
      <c r="AX42" s="90" t="str">
        <f t="shared" si="23"/>
        <v/>
      </c>
      <c r="AY42" s="42" t="str">
        <f t="shared" si="24"/>
        <v/>
      </c>
      <c r="AZ42" s="90" t="str">
        <f t="shared" si="25"/>
        <v/>
      </c>
      <c r="BA42" s="42" t="str">
        <f t="shared" si="26"/>
        <v/>
      </c>
    </row>
    <row r="43" spans="1:53" x14ac:dyDescent="0.2">
      <c r="A43" t="str">
        <f>INDEX(Prioritization!$D:$D,MATCH($B43,Prioritization!$A:$A,0))</f>
        <v>1 - Scale-up: Saturation</v>
      </c>
      <c r="B43" t="s">
        <v>195</v>
      </c>
      <c r="C43" t="s">
        <v>364</v>
      </c>
      <c r="D43" t="s">
        <v>29</v>
      </c>
      <c r="E43" t="str">
        <f t="shared" si="0"/>
        <v>Dowa District [zphK9WV8JB4]|15-24|Female</v>
      </c>
      <c r="F43" s="90">
        <f>IF(LEFT($B43,4)="_Mil","",INDEX(Cascade!$AA:$AA,MATCH($E43,Cascade!$E:$E,0)))</f>
        <v>1568.0000000000002</v>
      </c>
      <c r="G43" s="14">
        <f>INDEX(Cascade!$BH:$BH,MATCH($E43,Cascade!$E:$E,0))</f>
        <v>0</v>
      </c>
      <c r="H43" s="14" t="str">
        <f>IF(OR($C43="01-09",$D43="Male"),"",INDEX(PMTCT!$AC:$AC,MATCH($E43,PMTCT!$E:$E,0)))</f>
        <v/>
      </c>
      <c r="I43" s="14" t="str">
        <f>IF(OR($C43="01-09",$D43="Male"),"",INDEX(PMTCT!$AS:$AS,MATCH($E43,PMTCT!$E:$E,0)))</f>
        <v/>
      </c>
      <c r="J43" s="14" t="str">
        <f>INDEX(TB!$P:$P,MATCH($E43,TB!$E:$E,0))</f>
        <v/>
      </c>
      <c r="K43" s="14" t="str">
        <f>IF(OR($C43="01-09",$C43="10-14",$D43="Female"),"",INDEX(VMMC!$AA:$AA,MATCH($E43,VMMC!$E:$E,0)))</f>
        <v/>
      </c>
      <c r="L43" s="14">
        <f t="shared" si="1"/>
        <v>0</v>
      </c>
      <c r="M43" s="90" t="str">
        <f t="shared" si="2"/>
        <v/>
      </c>
      <c r="N43" s="90" t="str">
        <f t="shared" si="3"/>
        <v/>
      </c>
      <c r="O43" s="90" t="str">
        <f t="shared" si="4"/>
        <v/>
      </c>
      <c r="P43" s="90" t="str">
        <f t="shared" si="5"/>
        <v/>
      </c>
      <c r="Q43" s="90"/>
      <c r="R43" s="90"/>
      <c r="S43" s="90"/>
      <c r="T43" s="90"/>
      <c r="U43" s="90"/>
      <c r="V43" s="90" t="str">
        <f t="shared" si="6"/>
        <v/>
      </c>
      <c r="W43" s="90"/>
      <c r="X43" s="42" t="str">
        <f t="shared" si="7"/>
        <v/>
      </c>
      <c r="Y43" s="42" t="str">
        <f t="shared" si="8"/>
        <v/>
      </c>
      <c r="Z43" s="90"/>
      <c r="AA43" s="42" t="str">
        <f t="shared" si="9"/>
        <v/>
      </c>
      <c r="AB43" s="42" t="str">
        <f t="shared" si="10"/>
        <v/>
      </c>
      <c r="AC43" s="90"/>
      <c r="AD43" s="42" t="str">
        <f t="shared" si="11"/>
        <v/>
      </c>
      <c r="AE43" s="42" t="str">
        <f t="shared" si="12"/>
        <v/>
      </c>
      <c r="AF43" s="90"/>
      <c r="AG43" s="42" t="str">
        <f t="shared" si="13"/>
        <v/>
      </c>
      <c r="AH43" s="42" t="str">
        <f t="shared" si="14"/>
        <v/>
      </c>
      <c r="AI43" s="90"/>
      <c r="AJ43" s="42" t="str">
        <f t="shared" si="15"/>
        <v/>
      </c>
      <c r="AK43" s="42" t="str">
        <f t="shared" si="16"/>
        <v/>
      </c>
      <c r="AL43" s="14" t="str">
        <f t="shared" si="17"/>
        <v/>
      </c>
      <c r="AM43" s="14" t="str">
        <f t="shared" si="18"/>
        <v/>
      </c>
      <c r="AN43" s="14" t="str">
        <f t="shared" si="19"/>
        <v/>
      </c>
      <c r="AO43" s="14" t="str">
        <f>IF(OR($C43="01-09",$D43="Male"),"",INDEX(PMTCT!$AD:$AD,MATCH($E43,PMTCT!$E:$E,0)))</f>
        <v/>
      </c>
      <c r="AP43" s="14" t="str">
        <f>IF(OR($C43="01-09",$D43="Male"),"",INDEX(PMTCT!$AT:$AT,MATCH($E43,PMTCT!$E:$E,0)))</f>
        <v/>
      </c>
      <c r="AQ43" s="14" t="str">
        <f>INDEX(TB!$Q:$Q,MATCH($E43,TB!$E:$E,0))</f>
        <v/>
      </c>
      <c r="AR43" s="14" t="str">
        <f>IF(OR($C43="01-09",$C43="10-14",$D43="Female"),"",INDEX(VMMC!$AB:$AB,MATCH($E43,VMMC!$E:$E,0)))</f>
        <v/>
      </c>
      <c r="AS43" s="14" t="str">
        <f>IF(OR($C43="01-09",$C43="10-14"),"",INDEX(PrEP!$Q:$Q,MATCH($E43,PrEP!$E:$E,0)))</f>
        <v/>
      </c>
      <c r="AT43" s="14" t="str">
        <f t="shared" si="20"/>
        <v/>
      </c>
      <c r="AU43" s="14" t="str">
        <f t="shared" si="21"/>
        <v/>
      </c>
      <c r="AV43" s="90" t="str">
        <f t="shared" si="22"/>
        <v/>
      </c>
      <c r="AW43" s="14"/>
      <c r="AX43" s="90" t="str">
        <f t="shared" si="23"/>
        <v/>
      </c>
      <c r="AY43" s="42" t="str">
        <f t="shared" si="24"/>
        <v/>
      </c>
      <c r="AZ43" s="90">
        <f t="shared" si="25"/>
        <v>1</v>
      </c>
      <c r="BA43" s="42" t="str">
        <f t="shared" si="26"/>
        <v/>
      </c>
    </row>
    <row r="44" spans="1:53" x14ac:dyDescent="0.2">
      <c r="A44" t="str">
        <f>INDEX(Prioritization!$D:$D,MATCH($B44,Prioritization!$A:$A,0))</f>
        <v>1 - Scale-up: Saturation</v>
      </c>
      <c r="B44" t="s">
        <v>195</v>
      </c>
      <c r="C44" t="s">
        <v>364</v>
      </c>
      <c r="D44" t="s">
        <v>47</v>
      </c>
      <c r="E44" t="str">
        <f t="shared" si="0"/>
        <v>Dowa District [zphK9WV8JB4]|15-24|Male</v>
      </c>
      <c r="F44" s="90">
        <f>IF(LEFT($B44,4)="_Mil","",INDEX(Cascade!$AA:$AA,MATCH($E44,Cascade!$E:$E,0)))</f>
        <v>1202</v>
      </c>
      <c r="G44" s="14">
        <f>INDEX(Cascade!$BH:$BH,MATCH($E44,Cascade!$E:$E,0))</f>
        <v>0</v>
      </c>
      <c r="H44" s="14" t="str">
        <f>IF(OR($C44="01-09",$D44="Male"),"",INDEX(PMTCT!$AC:$AC,MATCH($E44,PMTCT!$E:$E,0)))</f>
        <v/>
      </c>
      <c r="I44" s="14" t="str">
        <f>IF(OR($C44="01-09",$D44="Male"),"",INDEX(PMTCT!$AS:$AS,MATCH($E44,PMTCT!$E:$E,0)))</f>
        <v/>
      </c>
      <c r="J44" s="14" t="str">
        <f>INDEX(TB!$P:$P,MATCH($E44,TB!$E:$E,0))</f>
        <v/>
      </c>
      <c r="K44" s="14" t="str">
        <f>IF(OR($C44="01-09",$C44="10-14",$D44="Female"),"",INDEX(VMMC!$AA:$AA,MATCH($E44,VMMC!$E:$E,0)))</f>
        <v/>
      </c>
      <c r="L44" s="14">
        <f t="shared" si="1"/>
        <v>0</v>
      </c>
      <c r="M44" s="90" t="str">
        <f t="shared" si="2"/>
        <v/>
      </c>
      <c r="N44" s="90" t="str">
        <f t="shared" si="3"/>
        <v/>
      </c>
      <c r="O44" s="90" t="str">
        <f t="shared" si="4"/>
        <v/>
      </c>
      <c r="P44" s="90" t="str">
        <f t="shared" si="5"/>
        <v/>
      </c>
      <c r="Q44" s="90"/>
      <c r="R44" s="90"/>
      <c r="S44" s="90"/>
      <c r="T44" s="90"/>
      <c r="U44" s="90"/>
      <c r="V44" s="90" t="str">
        <f t="shared" si="6"/>
        <v/>
      </c>
      <c r="W44" s="90"/>
      <c r="X44" s="42" t="str">
        <f t="shared" si="7"/>
        <v/>
      </c>
      <c r="Y44" s="42" t="str">
        <f t="shared" si="8"/>
        <v/>
      </c>
      <c r="Z44" s="90"/>
      <c r="AA44" s="42" t="str">
        <f t="shared" si="9"/>
        <v/>
      </c>
      <c r="AB44" s="42" t="str">
        <f t="shared" si="10"/>
        <v/>
      </c>
      <c r="AC44" s="90"/>
      <c r="AD44" s="42" t="str">
        <f t="shared" si="11"/>
        <v/>
      </c>
      <c r="AE44" s="42" t="str">
        <f t="shared" si="12"/>
        <v/>
      </c>
      <c r="AF44" s="90"/>
      <c r="AG44" s="42" t="str">
        <f t="shared" si="13"/>
        <v/>
      </c>
      <c r="AH44" s="42" t="str">
        <f t="shared" si="14"/>
        <v/>
      </c>
      <c r="AI44" s="90"/>
      <c r="AJ44" s="42" t="str">
        <f t="shared" si="15"/>
        <v/>
      </c>
      <c r="AK44" s="42" t="str">
        <f t="shared" si="16"/>
        <v/>
      </c>
      <c r="AL44" s="14" t="str">
        <f t="shared" si="17"/>
        <v/>
      </c>
      <c r="AM44" s="14" t="str">
        <f t="shared" si="18"/>
        <v/>
      </c>
      <c r="AN44" s="14" t="str">
        <f t="shared" si="19"/>
        <v/>
      </c>
      <c r="AO44" s="14" t="str">
        <f>IF(OR($C44="01-09",$D44="Male"),"",INDEX(PMTCT!$AD:$AD,MATCH($E44,PMTCT!$E:$E,0)))</f>
        <v/>
      </c>
      <c r="AP44" s="14" t="str">
        <f>IF(OR($C44="01-09",$D44="Male"),"",INDEX(PMTCT!$AT:$AT,MATCH($E44,PMTCT!$E:$E,0)))</f>
        <v/>
      </c>
      <c r="AQ44" s="14" t="str">
        <f>INDEX(TB!$Q:$Q,MATCH($E44,TB!$E:$E,0))</f>
        <v/>
      </c>
      <c r="AR44" s="14" t="str">
        <f>IF(OR($C44="01-09",$C44="10-14",$D44="Female"),"",INDEX(VMMC!$AB:$AB,MATCH($E44,VMMC!$E:$E,0)))</f>
        <v/>
      </c>
      <c r="AS44" s="14" t="str">
        <f>IF(OR($C44="01-09",$C44="10-14"),"",INDEX(PrEP!$Q:$Q,MATCH($E44,PrEP!$E:$E,0)))</f>
        <v/>
      </c>
      <c r="AT44" s="14" t="str">
        <f t="shared" si="20"/>
        <v/>
      </c>
      <c r="AU44" s="14" t="str">
        <f t="shared" si="21"/>
        <v/>
      </c>
      <c r="AV44" s="90" t="str">
        <f t="shared" si="22"/>
        <v/>
      </c>
      <c r="AW44" s="14"/>
      <c r="AX44" s="90" t="str">
        <f t="shared" si="23"/>
        <v/>
      </c>
      <c r="AY44" s="42" t="str">
        <f t="shared" si="24"/>
        <v/>
      </c>
      <c r="AZ44" s="90">
        <f t="shared" si="25"/>
        <v>1</v>
      </c>
      <c r="BA44" s="42" t="str">
        <f t="shared" si="26"/>
        <v/>
      </c>
    </row>
    <row r="45" spans="1:53" x14ac:dyDescent="0.2">
      <c r="A45" t="str">
        <f>INDEX(Prioritization!$D:$D,MATCH($B45,Prioritization!$A:$A,0))</f>
        <v>1 - Scale-up: Saturation</v>
      </c>
      <c r="B45" t="s">
        <v>195</v>
      </c>
      <c r="C45" t="s">
        <v>365</v>
      </c>
      <c r="D45" t="s">
        <v>29</v>
      </c>
      <c r="E45" t="str">
        <f t="shared" si="0"/>
        <v>Dowa District [zphK9WV8JB4]|25-34|Female</v>
      </c>
      <c r="F45" s="90">
        <f>IF(LEFT($B45,4)="_Mil","",INDEX(Cascade!$AA:$AA,MATCH($E45,Cascade!$E:$E,0)))</f>
        <v>1569</v>
      </c>
      <c r="G45" s="14">
        <f>INDEX(Cascade!$BH:$BH,MATCH($E45,Cascade!$E:$E,0))</f>
        <v>0</v>
      </c>
      <c r="H45" s="14" t="str">
        <f>IF(OR($C45="01-09",$D45="Male"),"",INDEX(PMTCT!$AC:$AC,MATCH($E45,PMTCT!$E:$E,0)))</f>
        <v/>
      </c>
      <c r="I45" s="14" t="str">
        <f>IF(OR($C45="01-09",$D45="Male"),"",INDEX(PMTCT!$AS:$AS,MATCH($E45,PMTCT!$E:$E,0)))</f>
        <v/>
      </c>
      <c r="J45" s="14" t="str">
        <f>INDEX(TB!$P:$P,MATCH($E45,TB!$E:$E,0))</f>
        <v/>
      </c>
      <c r="K45" s="14" t="str">
        <f>IF(OR($C45="01-09",$C45="10-14",$D45="Female"),"",INDEX(VMMC!$AA:$AA,MATCH($E45,VMMC!$E:$E,0)))</f>
        <v/>
      </c>
      <c r="L45" s="14">
        <f t="shared" si="1"/>
        <v>0</v>
      </c>
      <c r="M45" s="90" t="str">
        <f t="shared" si="2"/>
        <v/>
      </c>
      <c r="N45" s="90" t="str">
        <f t="shared" si="3"/>
        <v/>
      </c>
      <c r="O45" s="90" t="str">
        <f t="shared" si="4"/>
        <v/>
      </c>
      <c r="P45" s="90" t="str">
        <f t="shared" si="5"/>
        <v/>
      </c>
      <c r="Q45" s="90"/>
      <c r="R45" s="90"/>
      <c r="S45" s="90"/>
      <c r="T45" s="90"/>
      <c r="U45" s="90"/>
      <c r="V45" s="90" t="str">
        <f t="shared" si="6"/>
        <v/>
      </c>
      <c r="W45" s="90"/>
      <c r="X45" s="42" t="str">
        <f t="shared" si="7"/>
        <v/>
      </c>
      <c r="Y45" s="42" t="str">
        <f t="shared" si="8"/>
        <v/>
      </c>
      <c r="Z45" s="90"/>
      <c r="AA45" s="42" t="str">
        <f t="shared" si="9"/>
        <v/>
      </c>
      <c r="AB45" s="42" t="str">
        <f t="shared" si="10"/>
        <v/>
      </c>
      <c r="AC45" s="90"/>
      <c r="AD45" s="42" t="str">
        <f t="shared" si="11"/>
        <v/>
      </c>
      <c r="AE45" s="42" t="str">
        <f t="shared" si="12"/>
        <v/>
      </c>
      <c r="AF45" s="90"/>
      <c r="AG45" s="42" t="str">
        <f t="shared" si="13"/>
        <v/>
      </c>
      <c r="AH45" s="42" t="str">
        <f t="shared" si="14"/>
        <v/>
      </c>
      <c r="AI45" s="90"/>
      <c r="AJ45" s="42" t="str">
        <f t="shared" si="15"/>
        <v/>
      </c>
      <c r="AK45" s="42" t="str">
        <f t="shared" si="16"/>
        <v/>
      </c>
      <c r="AL45" s="14" t="str">
        <f t="shared" si="17"/>
        <v/>
      </c>
      <c r="AM45" s="14" t="str">
        <f t="shared" si="18"/>
        <v/>
      </c>
      <c r="AN45" s="14" t="str">
        <f t="shared" si="19"/>
        <v/>
      </c>
      <c r="AO45" s="14" t="str">
        <f>IF(OR($C45="01-09",$D45="Male"),"",INDEX(PMTCT!$AD:$AD,MATCH($E45,PMTCT!$E:$E,0)))</f>
        <v/>
      </c>
      <c r="AP45" s="14" t="str">
        <f>IF(OR($C45="01-09",$D45="Male"),"",INDEX(PMTCT!$AT:$AT,MATCH($E45,PMTCT!$E:$E,0)))</f>
        <v/>
      </c>
      <c r="AQ45" s="14" t="str">
        <f>INDEX(TB!$Q:$Q,MATCH($E45,TB!$E:$E,0))</f>
        <v/>
      </c>
      <c r="AR45" s="14" t="str">
        <f>IF(OR($C45="01-09",$C45="10-14",$D45="Female"),"",INDEX(VMMC!$AB:$AB,MATCH($E45,VMMC!$E:$E,0)))</f>
        <v/>
      </c>
      <c r="AS45" s="14" t="str">
        <f>IF(OR($C45="01-09",$C45="10-14"),"",INDEX(PrEP!$Q:$Q,MATCH($E45,PrEP!$E:$E,0)))</f>
        <v/>
      </c>
      <c r="AT45" s="14" t="str">
        <f t="shared" si="20"/>
        <v/>
      </c>
      <c r="AU45" s="14" t="str">
        <f t="shared" si="21"/>
        <v/>
      </c>
      <c r="AV45" s="90" t="str">
        <f t="shared" si="22"/>
        <v/>
      </c>
      <c r="AW45" s="14"/>
      <c r="AX45" s="90" t="str">
        <f t="shared" si="23"/>
        <v/>
      </c>
      <c r="AY45" s="42" t="str">
        <f t="shared" si="24"/>
        <v/>
      </c>
      <c r="AZ45" s="90">
        <f t="shared" si="25"/>
        <v>1</v>
      </c>
      <c r="BA45" s="42" t="str">
        <f t="shared" si="26"/>
        <v/>
      </c>
    </row>
    <row r="46" spans="1:53" x14ac:dyDescent="0.2">
      <c r="A46" t="str">
        <f>INDEX(Prioritization!$D:$D,MATCH($B46,Prioritization!$A:$A,0))</f>
        <v>1 - Scale-up: Saturation</v>
      </c>
      <c r="B46" t="s">
        <v>195</v>
      </c>
      <c r="C46" t="s">
        <v>365</v>
      </c>
      <c r="D46" t="s">
        <v>47</v>
      </c>
      <c r="E46" t="str">
        <f t="shared" si="0"/>
        <v>Dowa District [zphK9WV8JB4]|25-34|Male</v>
      </c>
      <c r="F46" s="90">
        <f>IF(LEFT($B46,4)="_Mil","",INDEX(Cascade!$AA:$AA,MATCH($E46,Cascade!$E:$E,0)))</f>
        <v>1826</v>
      </c>
      <c r="G46" s="14">
        <f>INDEX(Cascade!$BH:$BH,MATCH($E46,Cascade!$E:$E,0))</f>
        <v>0</v>
      </c>
      <c r="H46" s="14" t="str">
        <f>IF(OR($C46="01-09",$D46="Male"),"",INDEX(PMTCT!$AC:$AC,MATCH($E46,PMTCT!$E:$E,0)))</f>
        <v/>
      </c>
      <c r="I46" s="14" t="str">
        <f>IF(OR($C46="01-09",$D46="Male"),"",INDEX(PMTCT!$AS:$AS,MATCH($E46,PMTCT!$E:$E,0)))</f>
        <v/>
      </c>
      <c r="J46" s="14" t="str">
        <f>INDEX(TB!$P:$P,MATCH($E46,TB!$E:$E,0))</f>
        <v/>
      </c>
      <c r="K46" s="14" t="str">
        <f>IF(OR($C46="01-09",$C46="10-14",$D46="Female"),"",INDEX(VMMC!$AA:$AA,MATCH($E46,VMMC!$E:$E,0)))</f>
        <v/>
      </c>
      <c r="L46" s="14">
        <f t="shared" si="1"/>
        <v>0</v>
      </c>
      <c r="M46" s="90" t="str">
        <f t="shared" si="2"/>
        <v/>
      </c>
      <c r="N46" s="90" t="str">
        <f t="shared" si="3"/>
        <v/>
      </c>
      <c r="O46" s="90" t="str">
        <f t="shared" si="4"/>
        <v/>
      </c>
      <c r="P46" s="90" t="str">
        <f t="shared" si="5"/>
        <v/>
      </c>
      <c r="Q46" s="90"/>
      <c r="R46" s="90"/>
      <c r="S46" s="90"/>
      <c r="T46" s="90"/>
      <c r="U46" s="90"/>
      <c r="V46" s="90" t="str">
        <f t="shared" si="6"/>
        <v/>
      </c>
      <c r="W46" s="90"/>
      <c r="X46" s="42" t="str">
        <f t="shared" si="7"/>
        <v/>
      </c>
      <c r="Y46" s="42" t="str">
        <f t="shared" si="8"/>
        <v/>
      </c>
      <c r="Z46" s="90"/>
      <c r="AA46" s="42" t="str">
        <f t="shared" si="9"/>
        <v/>
      </c>
      <c r="AB46" s="42" t="str">
        <f t="shared" si="10"/>
        <v/>
      </c>
      <c r="AC46" s="90"/>
      <c r="AD46" s="42" t="str">
        <f t="shared" si="11"/>
        <v/>
      </c>
      <c r="AE46" s="42" t="str">
        <f t="shared" si="12"/>
        <v/>
      </c>
      <c r="AF46" s="90"/>
      <c r="AG46" s="42" t="str">
        <f t="shared" si="13"/>
        <v/>
      </c>
      <c r="AH46" s="42" t="str">
        <f t="shared" si="14"/>
        <v/>
      </c>
      <c r="AI46" s="90"/>
      <c r="AJ46" s="42" t="str">
        <f t="shared" si="15"/>
        <v/>
      </c>
      <c r="AK46" s="42" t="str">
        <f t="shared" si="16"/>
        <v/>
      </c>
      <c r="AL46" s="14" t="str">
        <f t="shared" si="17"/>
        <v/>
      </c>
      <c r="AM46" s="14" t="str">
        <f t="shared" si="18"/>
        <v/>
      </c>
      <c r="AN46" s="14" t="str">
        <f t="shared" si="19"/>
        <v/>
      </c>
      <c r="AO46" s="14" t="str">
        <f>IF(OR($C46="01-09",$D46="Male"),"",INDEX(PMTCT!$AD:$AD,MATCH($E46,PMTCT!$E:$E,0)))</f>
        <v/>
      </c>
      <c r="AP46" s="14" t="str">
        <f>IF(OR($C46="01-09",$D46="Male"),"",INDEX(PMTCT!$AT:$AT,MATCH($E46,PMTCT!$E:$E,0)))</f>
        <v/>
      </c>
      <c r="AQ46" s="14" t="str">
        <f>INDEX(TB!$Q:$Q,MATCH($E46,TB!$E:$E,0))</f>
        <v/>
      </c>
      <c r="AR46" s="14" t="str">
        <f>IF(OR($C46="01-09",$C46="10-14",$D46="Female"),"",INDEX(VMMC!$AB:$AB,MATCH($E46,VMMC!$E:$E,0)))</f>
        <v/>
      </c>
      <c r="AS46" s="14" t="str">
        <f>IF(OR($C46="01-09",$C46="10-14"),"",INDEX(PrEP!$Q:$Q,MATCH($E46,PrEP!$E:$E,0)))</f>
        <v/>
      </c>
      <c r="AT46" s="14" t="str">
        <f t="shared" si="20"/>
        <v/>
      </c>
      <c r="AU46" s="14" t="str">
        <f t="shared" si="21"/>
        <v/>
      </c>
      <c r="AV46" s="90" t="str">
        <f t="shared" si="22"/>
        <v/>
      </c>
      <c r="AW46" s="14"/>
      <c r="AX46" s="90" t="str">
        <f t="shared" si="23"/>
        <v/>
      </c>
      <c r="AY46" s="42" t="str">
        <f t="shared" si="24"/>
        <v/>
      </c>
      <c r="AZ46" s="90">
        <f t="shared" si="25"/>
        <v>1</v>
      </c>
      <c r="BA46" s="42" t="str">
        <f t="shared" si="26"/>
        <v/>
      </c>
    </row>
    <row r="47" spans="1:53" x14ac:dyDescent="0.2">
      <c r="A47" t="str">
        <f>INDEX(Prioritization!$D:$D,MATCH($B47,Prioritization!$A:$A,0))</f>
        <v>1 - Scale-up: Saturation</v>
      </c>
      <c r="B47" t="s">
        <v>195</v>
      </c>
      <c r="C47" t="s">
        <v>366</v>
      </c>
      <c r="D47" t="s">
        <v>29</v>
      </c>
      <c r="E47" t="str">
        <f t="shared" si="0"/>
        <v>Dowa District [zphK9WV8JB4]|35-49|Female</v>
      </c>
      <c r="F47" s="90">
        <f>IF(LEFT($B47,4)="_Mil","",INDEX(Cascade!$AA:$AA,MATCH($E47,Cascade!$E:$E,0)))</f>
        <v>606</v>
      </c>
      <c r="G47" s="14">
        <f>INDEX(Cascade!$BH:$BH,MATCH($E47,Cascade!$E:$E,0))</f>
        <v>0</v>
      </c>
      <c r="H47" s="14" t="str">
        <f>IF(OR($C47="01-09",$D47="Male"),"",INDEX(PMTCT!$AC:$AC,MATCH($E47,PMTCT!$E:$E,0)))</f>
        <v/>
      </c>
      <c r="I47" s="14" t="str">
        <f>IF(OR($C47="01-09",$D47="Male"),"",INDEX(PMTCT!$AS:$AS,MATCH($E47,PMTCT!$E:$E,0)))</f>
        <v/>
      </c>
      <c r="J47" s="14" t="str">
        <f>INDEX(TB!$P:$P,MATCH($E47,TB!$E:$E,0))</f>
        <v/>
      </c>
      <c r="K47" s="14" t="str">
        <f>IF(OR($C47="01-09",$C47="10-14",$D47="Female"),"",INDEX(VMMC!$AA:$AA,MATCH($E47,VMMC!$E:$E,0)))</f>
        <v/>
      </c>
      <c r="L47" s="14">
        <f t="shared" si="1"/>
        <v>0</v>
      </c>
      <c r="M47" s="90" t="str">
        <f t="shared" si="2"/>
        <v/>
      </c>
      <c r="N47" s="90" t="str">
        <f t="shared" si="3"/>
        <v/>
      </c>
      <c r="O47" s="90" t="str">
        <f t="shared" si="4"/>
        <v/>
      </c>
      <c r="P47" s="90" t="str">
        <f t="shared" si="5"/>
        <v/>
      </c>
      <c r="Q47" s="90"/>
      <c r="R47" s="90"/>
      <c r="S47" s="90"/>
      <c r="T47" s="90"/>
      <c r="U47" s="90"/>
      <c r="V47" s="90" t="str">
        <f t="shared" si="6"/>
        <v/>
      </c>
      <c r="W47" s="90"/>
      <c r="X47" s="42" t="str">
        <f t="shared" si="7"/>
        <v/>
      </c>
      <c r="Y47" s="42" t="str">
        <f t="shared" si="8"/>
        <v/>
      </c>
      <c r="Z47" s="90"/>
      <c r="AA47" s="42" t="str">
        <f t="shared" si="9"/>
        <v/>
      </c>
      <c r="AB47" s="42" t="str">
        <f t="shared" si="10"/>
        <v/>
      </c>
      <c r="AC47" s="90"/>
      <c r="AD47" s="42" t="str">
        <f t="shared" si="11"/>
        <v/>
      </c>
      <c r="AE47" s="42" t="str">
        <f t="shared" si="12"/>
        <v/>
      </c>
      <c r="AF47" s="90"/>
      <c r="AG47" s="42" t="str">
        <f t="shared" si="13"/>
        <v/>
      </c>
      <c r="AH47" s="42" t="str">
        <f t="shared" si="14"/>
        <v/>
      </c>
      <c r="AI47" s="90"/>
      <c r="AJ47" s="42" t="str">
        <f t="shared" si="15"/>
        <v/>
      </c>
      <c r="AK47" s="42" t="str">
        <f t="shared" si="16"/>
        <v/>
      </c>
      <c r="AL47" s="14" t="str">
        <f t="shared" si="17"/>
        <v/>
      </c>
      <c r="AM47" s="14" t="str">
        <f t="shared" si="18"/>
        <v/>
      </c>
      <c r="AN47" s="14" t="str">
        <f t="shared" si="19"/>
        <v/>
      </c>
      <c r="AO47" s="14" t="str">
        <f>IF(OR($C47="01-09",$D47="Male"),"",INDEX(PMTCT!$AD:$AD,MATCH($E47,PMTCT!$E:$E,0)))</f>
        <v/>
      </c>
      <c r="AP47" s="14" t="str">
        <f>IF(OR($C47="01-09",$D47="Male"),"",INDEX(PMTCT!$AT:$AT,MATCH($E47,PMTCT!$E:$E,0)))</f>
        <v/>
      </c>
      <c r="AQ47" s="14" t="str">
        <f>INDEX(TB!$Q:$Q,MATCH($E47,TB!$E:$E,0))</f>
        <v/>
      </c>
      <c r="AR47" s="14" t="str">
        <f>IF(OR($C47="01-09",$C47="10-14",$D47="Female"),"",INDEX(VMMC!$AB:$AB,MATCH($E47,VMMC!$E:$E,0)))</f>
        <v/>
      </c>
      <c r="AS47" s="14" t="str">
        <f>IF(OR($C47="01-09",$C47="10-14"),"",INDEX(PrEP!$Q:$Q,MATCH($E47,PrEP!$E:$E,0)))</f>
        <v/>
      </c>
      <c r="AT47" s="14" t="str">
        <f t="shared" si="20"/>
        <v/>
      </c>
      <c r="AU47" s="14" t="str">
        <f t="shared" si="21"/>
        <v/>
      </c>
      <c r="AV47" s="90" t="str">
        <f t="shared" si="22"/>
        <v/>
      </c>
      <c r="AW47" s="14"/>
      <c r="AX47" s="90" t="str">
        <f t="shared" si="23"/>
        <v/>
      </c>
      <c r="AY47" s="42" t="str">
        <f t="shared" si="24"/>
        <v/>
      </c>
      <c r="AZ47" s="90">
        <f t="shared" si="25"/>
        <v>1</v>
      </c>
      <c r="BA47" s="42" t="str">
        <f t="shared" si="26"/>
        <v/>
      </c>
    </row>
    <row r="48" spans="1:53" x14ac:dyDescent="0.2">
      <c r="A48" t="str">
        <f>INDEX(Prioritization!$D:$D,MATCH($B48,Prioritization!$A:$A,0))</f>
        <v>1 - Scale-up: Saturation</v>
      </c>
      <c r="B48" t="s">
        <v>195</v>
      </c>
      <c r="C48" t="s">
        <v>366</v>
      </c>
      <c r="D48" t="s">
        <v>47</v>
      </c>
      <c r="E48" t="str">
        <f t="shared" si="0"/>
        <v>Dowa District [zphK9WV8JB4]|35-49|Male</v>
      </c>
      <c r="F48" s="90">
        <f>IF(LEFT($B48,4)="_Mil","",INDEX(Cascade!$AA:$AA,MATCH($E48,Cascade!$E:$E,0)))</f>
        <v>1724</v>
      </c>
      <c r="G48" s="14">
        <f>INDEX(Cascade!$BH:$BH,MATCH($E48,Cascade!$E:$E,0))</f>
        <v>0</v>
      </c>
      <c r="H48" s="14" t="str">
        <f>IF(OR($C48="01-09",$D48="Male"),"",INDEX(PMTCT!$AC:$AC,MATCH($E48,PMTCT!$E:$E,0)))</f>
        <v/>
      </c>
      <c r="I48" s="14" t="str">
        <f>IF(OR($C48="01-09",$D48="Male"),"",INDEX(PMTCT!$AS:$AS,MATCH($E48,PMTCT!$E:$E,0)))</f>
        <v/>
      </c>
      <c r="J48" s="14" t="str">
        <f>INDEX(TB!$P:$P,MATCH($E48,TB!$E:$E,0))</f>
        <v/>
      </c>
      <c r="K48" s="14" t="str">
        <f>IF(OR($C48="01-09",$C48="10-14",$D48="Female"),"",INDEX(VMMC!$AA:$AA,MATCH($E48,VMMC!$E:$E,0)))</f>
        <v/>
      </c>
      <c r="L48" s="14">
        <f t="shared" si="1"/>
        <v>0</v>
      </c>
      <c r="M48" s="90" t="str">
        <f t="shared" si="2"/>
        <v/>
      </c>
      <c r="N48" s="90" t="str">
        <f t="shared" si="3"/>
        <v/>
      </c>
      <c r="O48" s="90" t="str">
        <f t="shared" si="4"/>
        <v/>
      </c>
      <c r="P48" s="90" t="str">
        <f t="shared" si="5"/>
        <v/>
      </c>
      <c r="Q48" s="90"/>
      <c r="R48" s="90"/>
      <c r="S48" s="90"/>
      <c r="T48" s="90"/>
      <c r="U48" s="90"/>
      <c r="V48" s="90" t="str">
        <f t="shared" si="6"/>
        <v/>
      </c>
      <c r="W48" s="90"/>
      <c r="X48" s="42" t="str">
        <f t="shared" si="7"/>
        <v/>
      </c>
      <c r="Y48" s="42" t="str">
        <f t="shared" si="8"/>
        <v/>
      </c>
      <c r="Z48" s="90"/>
      <c r="AA48" s="42" t="str">
        <f t="shared" si="9"/>
        <v/>
      </c>
      <c r="AB48" s="42" t="str">
        <f t="shared" si="10"/>
        <v/>
      </c>
      <c r="AC48" s="90"/>
      <c r="AD48" s="42" t="str">
        <f t="shared" si="11"/>
        <v/>
      </c>
      <c r="AE48" s="42" t="str">
        <f t="shared" si="12"/>
        <v/>
      </c>
      <c r="AF48" s="90"/>
      <c r="AG48" s="42" t="str">
        <f t="shared" si="13"/>
        <v/>
      </c>
      <c r="AH48" s="42" t="str">
        <f t="shared" si="14"/>
        <v/>
      </c>
      <c r="AI48" s="90"/>
      <c r="AJ48" s="42" t="str">
        <f t="shared" si="15"/>
        <v/>
      </c>
      <c r="AK48" s="42" t="str">
        <f t="shared" si="16"/>
        <v/>
      </c>
      <c r="AL48" s="14" t="str">
        <f t="shared" si="17"/>
        <v/>
      </c>
      <c r="AM48" s="14" t="str">
        <f t="shared" si="18"/>
        <v/>
      </c>
      <c r="AN48" s="14" t="str">
        <f t="shared" si="19"/>
        <v/>
      </c>
      <c r="AO48" s="14" t="str">
        <f>IF(OR($C48="01-09",$D48="Male"),"",INDEX(PMTCT!$AD:$AD,MATCH($E48,PMTCT!$E:$E,0)))</f>
        <v/>
      </c>
      <c r="AP48" s="14" t="str">
        <f>IF(OR($C48="01-09",$D48="Male"),"",INDEX(PMTCT!$AT:$AT,MATCH($E48,PMTCT!$E:$E,0)))</f>
        <v/>
      </c>
      <c r="AQ48" s="14" t="str">
        <f>INDEX(TB!$Q:$Q,MATCH($E48,TB!$E:$E,0))</f>
        <v/>
      </c>
      <c r="AR48" s="14" t="str">
        <f>IF(OR($C48="01-09",$C48="10-14",$D48="Female"),"",INDEX(VMMC!$AB:$AB,MATCH($E48,VMMC!$E:$E,0)))</f>
        <v/>
      </c>
      <c r="AS48" s="14" t="str">
        <f>IF(OR($C48="01-09",$C48="10-14"),"",INDEX(PrEP!$Q:$Q,MATCH($E48,PrEP!$E:$E,0)))</f>
        <v/>
      </c>
      <c r="AT48" s="14" t="str">
        <f t="shared" si="20"/>
        <v/>
      </c>
      <c r="AU48" s="14" t="str">
        <f t="shared" si="21"/>
        <v/>
      </c>
      <c r="AV48" s="90" t="str">
        <f t="shared" si="22"/>
        <v/>
      </c>
      <c r="AW48" s="14"/>
      <c r="AX48" s="90" t="str">
        <f t="shared" si="23"/>
        <v/>
      </c>
      <c r="AY48" s="42" t="str">
        <f t="shared" si="24"/>
        <v/>
      </c>
      <c r="AZ48" s="90">
        <f t="shared" si="25"/>
        <v>1</v>
      </c>
      <c r="BA48" s="42" t="str">
        <f t="shared" si="26"/>
        <v/>
      </c>
    </row>
    <row r="49" spans="1:53" x14ac:dyDescent="0.2">
      <c r="A49" t="str">
        <f>INDEX(Prioritization!$D:$D,MATCH($B49,Prioritization!$A:$A,0))</f>
        <v>1 - Scale-up: Saturation</v>
      </c>
      <c r="B49" t="s">
        <v>195</v>
      </c>
      <c r="C49" t="s">
        <v>367</v>
      </c>
      <c r="D49" t="s">
        <v>29</v>
      </c>
      <c r="E49" t="str">
        <f t="shared" si="0"/>
        <v>Dowa District [zphK9WV8JB4]|50+|Female</v>
      </c>
      <c r="F49" s="90">
        <f>IF(LEFT($B49,4)="_Mil","",INDEX(Cascade!$AA:$AA,MATCH($E49,Cascade!$E:$E,0)))</f>
        <v>838</v>
      </c>
      <c r="G49" s="14">
        <f>INDEX(Cascade!$BH:$BH,MATCH($E49,Cascade!$E:$E,0))</f>
        <v>0</v>
      </c>
      <c r="H49" s="14" t="str">
        <f>IF(OR($C49="01-09",$D49="Male"),"",INDEX(PMTCT!$AC:$AC,MATCH($E49,PMTCT!$E:$E,0)))</f>
        <v/>
      </c>
      <c r="I49" s="14" t="str">
        <f>IF(OR($C49="01-09",$D49="Male"),"",INDEX(PMTCT!$AS:$AS,MATCH($E49,PMTCT!$E:$E,0)))</f>
        <v/>
      </c>
      <c r="J49" s="14" t="str">
        <f>INDEX(TB!$P:$P,MATCH($E49,TB!$E:$E,0))</f>
        <v/>
      </c>
      <c r="K49" s="14" t="str">
        <f>IF(OR($C49="01-09",$C49="10-14",$D49="Female"),"",INDEX(VMMC!$AA:$AA,MATCH($E49,VMMC!$E:$E,0)))</f>
        <v/>
      </c>
      <c r="L49" s="14">
        <f t="shared" si="1"/>
        <v>0</v>
      </c>
      <c r="M49" s="90" t="str">
        <f t="shared" si="2"/>
        <v/>
      </c>
      <c r="N49" s="90" t="str">
        <f t="shared" si="3"/>
        <v/>
      </c>
      <c r="O49" s="90" t="str">
        <f t="shared" si="4"/>
        <v/>
      </c>
      <c r="P49" s="90" t="str">
        <f t="shared" si="5"/>
        <v/>
      </c>
      <c r="Q49" s="90"/>
      <c r="R49" s="90"/>
      <c r="S49" s="90"/>
      <c r="T49" s="90"/>
      <c r="U49" s="90">
        <v>0.94090176629833899</v>
      </c>
      <c r="V49" s="90" t="str">
        <f t="shared" si="6"/>
        <v/>
      </c>
      <c r="W49" s="90"/>
      <c r="X49" s="42" t="str">
        <f t="shared" si="7"/>
        <v/>
      </c>
      <c r="Y49" s="42" t="str">
        <f t="shared" si="8"/>
        <v/>
      </c>
      <c r="Z49" s="90"/>
      <c r="AA49" s="42" t="str">
        <f t="shared" si="9"/>
        <v/>
      </c>
      <c r="AB49" s="42" t="str">
        <f t="shared" si="10"/>
        <v/>
      </c>
      <c r="AC49" s="90"/>
      <c r="AD49" s="42" t="str">
        <f t="shared" si="11"/>
        <v/>
      </c>
      <c r="AE49" s="42" t="str">
        <f t="shared" si="12"/>
        <v/>
      </c>
      <c r="AF49" s="90"/>
      <c r="AG49" s="42" t="str">
        <f t="shared" si="13"/>
        <v/>
      </c>
      <c r="AH49" s="42" t="str">
        <f t="shared" si="14"/>
        <v/>
      </c>
      <c r="AI49" s="90"/>
      <c r="AJ49" s="42" t="str">
        <f t="shared" si="15"/>
        <v/>
      </c>
      <c r="AK49" s="42" t="str">
        <f t="shared" si="16"/>
        <v/>
      </c>
      <c r="AL49" s="14" t="str">
        <f t="shared" si="17"/>
        <v/>
      </c>
      <c r="AM49" s="14" t="str">
        <f t="shared" si="18"/>
        <v/>
      </c>
      <c r="AN49" s="14" t="str">
        <f t="shared" si="19"/>
        <v/>
      </c>
      <c r="AO49" s="14" t="str">
        <f>IF(OR($C49="01-09",$D49="Male"),"",INDEX(PMTCT!$AD:$AD,MATCH($E49,PMTCT!$E:$E,0)))</f>
        <v/>
      </c>
      <c r="AP49" s="14" t="str">
        <f>IF(OR($C49="01-09",$D49="Male"),"",INDEX(PMTCT!$AT:$AT,MATCH($E49,PMTCT!$E:$E,0)))</f>
        <v/>
      </c>
      <c r="AQ49" s="14" t="str">
        <f>INDEX(TB!$Q:$Q,MATCH($E49,TB!$E:$E,0))</f>
        <v/>
      </c>
      <c r="AR49" s="14" t="str">
        <f>IF(OR($C49="01-09",$C49="10-14",$D49="Female"),"",INDEX(VMMC!$AB:$AB,MATCH($E49,VMMC!$E:$E,0)))</f>
        <v/>
      </c>
      <c r="AS49" s="14" t="str">
        <f>IF(OR($C49="01-09",$C49="10-14"),"",INDEX(PrEP!$Q:$Q,MATCH($E49,PrEP!$E:$E,0)))</f>
        <v/>
      </c>
      <c r="AT49" s="14" t="str">
        <f t="shared" si="20"/>
        <v/>
      </c>
      <c r="AU49" s="14" t="str">
        <f t="shared" si="21"/>
        <v/>
      </c>
      <c r="AV49" s="90" t="str">
        <f t="shared" si="22"/>
        <v/>
      </c>
      <c r="AW49" s="14">
        <v>2</v>
      </c>
      <c r="AX49" s="90">
        <f t="shared" si="23"/>
        <v>0</v>
      </c>
      <c r="AY49" s="42">
        <f t="shared" si="24"/>
        <v>2</v>
      </c>
      <c r="AZ49" s="90">
        <f t="shared" si="25"/>
        <v>1</v>
      </c>
      <c r="BA49" s="42" t="str">
        <f t="shared" si="26"/>
        <v/>
      </c>
    </row>
    <row r="50" spans="1:53" x14ac:dyDescent="0.2">
      <c r="A50" t="str">
        <f>INDEX(Prioritization!$D:$D,MATCH($B50,Prioritization!$A:$A,0))</f>
        <v>1 - Scale-up: Saturation</v>
      </c>
      <c r="B50" t="s">
        <v>195</v>
      </c>
      <c r="C50" t="s">
        <v>367</v>
      </c>
      <c r="D50" t="s">
        <v>47</v>
      </c>
      <c r="E50" t="str">
        <f t="shared" si="0"/>
        <v>Dowa District [zphK9WV8JB4]|50+|Male</v>
      </c>
      <c r="F50" s="90">
        <f>IF(LEFT($B50,4)="_Mil","",INDEX(Cascade!$AA:$AA,MATCH($E50,Cascade!$E:$E,0)))</f>
        <v>1591</v>
      </c>
      <c r="G50" s="14">
        <f>INDEX(Cascade!$BH:$BH,MATCH($E50,Cascade!$E:$E,0))</f>
        <v>0</v>
      </c>
      <c r="H50" s="14" t="str">
        <f>IF(OR($C50="01-09",$D50="Male"),"",INDEX(PMTCT!$AC:$AC,MATCH($E50,PMTCT!$E:$E,0)))</f>
        <v/>
      </c>
      <c r="I50" s="14" t="str">
        <f>IF(OR($C50="01-09",$D50="Male"),"",INDEX(PMTCT!$AS:$AS,MATCH($E50,PMTCT!$E:$E,0)))</f>
        <v/>
      </c>
      <c r="J50" s="14" t="str">
        <f>INDEX(TB!$P:$P,MATCH($E50,TB!$E:$E,0))</f>
        <v/>
      </c>
      <c r="K50" s="14" t="str">
        <f>IF(OR($C50="01-09",$C50="10-14",$D50="Female"),"",INDEX(VMMC!$AA:$AA,MATCH($E50,VMMC!$E:$E,0)))</f>
        <v/>
      </c>
      <c r="L50" s="14">
        <f t="shared" si="1"/>
        <v>0</v>
      </c>
      <c r="M50" s="90" t="str">
        <f t="shared" si="2"/>
        <v/>
      </c>
      <c r="N50" s="90" t="str">
        <f t="shared" si="3"/>
        <v/>
      </c>
      <c r="O50" s="90" t="str">
        <f t="shared" si="4"/>
        <v/>
      </c>
      <c r="P50" s="90" t="str">
        <f t="shared" si="5"/>
        <v/>
      </c>
      <c r="Q50" s="90"/>
      <c r="R50" s="90"/>
      <c r="S50" s="90"/>
      <c r="T50" s="90"/>
      <c r="U50" s="90">
        <v>0.94709829892963204</v>
      </c>
      <c r="V50" s="90" t="str">
        <f t="shared" si="6"/>
        <v/>
      </c>
      <c r="W50" s="90"/>
      <c r="X50" s="42" t="str">
        <f t="shared" si="7"/>
        <v/>
      </c>
      <c r="Y50" s="42" t="str">
        <f t="shared" si="8"/>
        <v/>
      </c>
      <c r="Z50" s="90"/>
      <c r="AA50" s="42" t="str">
        <f t="shared" si="9"/>
        <v/>
      </c>
      <c r="AB50" s="42" t="str">
        <f t="shared" si="10"/>
        <v/>
      </c>
      <c r="AC50" s="90"/>
      <c r="AD50" s="42" t="str">
        <f t="shared" si="11"/>
        <v/>
      </c>
      <c r="AE50" s="42" t="str">
        <f t="shared" si="12"/>
        <v/>
      </c>
      <c r="AF50" s="90"/>
      <c r="AG50" s="42" t="str">
        <f t="shared" si="13"/>
        <v/>
      </c>
      <c r="AH50" s="42" t="str">
        <f t="shared" si="14"/>
        <v/>
      </c>
      <c r="AI50" s="90"/>
      <c r="AJ50" s="42" t="str">
        <f t="shared" si="15"/>
        <v/>
      </c>
      <c r="AK50" s="42" t="str">
        <f t="shared" si="16"/>
        <v/>
      </c>
      <c r="AL50" s="14" t="str">
        <f t="shared" si="17"/>
        <v/>
      </c>
      <c r="AM50" s="14" t="str">
        <f t="shared" si="18"/>
        <v/>
      </c>
      <c r="AN50" s="14" t="str">
        <f t="shared" si="19"/>
        <v/>
      </c>
      <c r="AO50" s="14" t="str">
        <f>IF(OR($C50="01-09",$D50="Male"),"",INDEX(PMTCT!$AD:$AD,MATCH($E50,PMTCT!$E:$E,0)))</f>
        <v/>
      </c>
      <c r="AP50" s="14" t="str">
        <f>IF(OR($C50="01-09",$D50="Male"),"",INDEX(PMTCT!$AT:$AT,MATCH($E50,PMTCT!$E:$E,0)))</f>
        <v/>
      </c>
      <c r="AQ50" s="14" t="str">
        <f>INDEX(TB!$Q:$Q,MATCH($E50,TB!$E:$E,0))</f>
        <v/>
      </c>
      <c r="AR50" s="14" t="str">
        <f>IF(OR($C50="01-09",$C50="10-14",$D50="Female"),"",INDEX(VMMC!$AB:$AB,MATCH($E50,VMMC!$E:$E,0)))</f>
        <v/>
      </c>
      <c r="AS50" s="14" t="str">
        <f>IF(OR($C50="01-09",$C50="10-14"),"",INDEX(PrEP!$Q:$Q,MATCH($E50,PrEP!$E:$E,0)))</f>
        <v/>
      </c>
      <c r="AT50" s="14" t="str">
        <f t="shared" si="20"/>
        <v/>
      </c>
      <c r="AU50" s="14" t="str">
        <f t="shared" si="21"/>
        <v/>
      </c>
      <c r="AV50" s="90" t="str">
        <f t="shared" si="22"/>
        <v/>
      </c>
      <c r="AW50" s="14">
        <v>9</v>
      </c>
      <c r="AX50" s="90">
        <f t="shared" si="23"/>
        <v>0</v>
      </c>
      <c r="AY50" s="42">
        <f t="shared" si="24"/>
        <v>9</v>
      </c>
      <c r="AZ50" s="90">
        <f t="shared" si="25"/>
        <v>1</v>
      </c>
      <c r="BA50" s="42" t="str">
        <f t="shared" si="26"/>
        <v/>
      </c>
    </row>
    <row r="51" spans="1:53" x14ac:dyDescent="0.2">
      <c r="A51" t="str">
        <f>INDEX(Prioritization!$D:$D,MATCH($B51,Prioritization!$A:$A,0))</f>
        <v>INVALID</v>
      </c>
      <c r="B51" t="s">
        <v>196</v>
      </c>
      <c r="C51" t="s">
        <v>362</v>
      </c>
      <c r="D51" t="s">
        <v>29</v>
      </c>
      <c r="E51" t="str">
        <f t="shared" si="0"/>
        <v>Kasungu District [JQKLKuVuY61]|01-09|Female</v>
      </c>
      <c r="F51" s="90">
        <f>IF(LEFT($B51,4)="_Mil","",INDEX(Cascade!$AA:$AA,MATCH($E51,Cascade!$E:$E,0)))</f>
        <v>1209</v>
      </c>
      <c r="G51" s="14">
        <f>INDEX(Cascade!$BH:$BH,MATCH($E51,Cascade!$E:$E,0))</f>
        <v>0</v>
      </c>
      <c r="H51" s="14" t="str">
        <f>IF(OR($C51="01-09",$D51="Male"),"",INDEX(PMTCT!$AC:$AC,MATCH($E51,PMTCT!$E:$E,0)))</f>
        <v/>
      </c>
      <c r="I51" s="14" t="str">
        <f>IF(OR($C51="01-09",$D51="Male"),"",INDEX(PMTCT!$AS:$AS,MATCH($E51,PMTCT!$E:$E,0)))</f>
        <v/>
      </c>
      <c r="J51" s="14" t="str">
        <f>INDEX(TB!$P:$P,MATCH($E51,TB!$E:$E,0))</f>
        <v/>
      </c>
      <c r="K51" s="14" t="str">
        <f>IF(OR($C51="01-09",$C51="10-14",$D51="Female"),"",INDEX(VMMC!$AA:$AA,MATCH($E51,VMMC!$E:$E,0)))</f>
        <v/>
      </c>
      <c r="L51" s="14">
        <f t="shared" si="1"/>
        <v>0</v>
      </c>
      <c r="M51" s="90" t="str">
        <f t="shared" si="2"/>
        <v/>
      </c>
      <c r="N51" s="90" t="str">
        <f t="shared" si="3"/>
        <v/>
      </c>
      <c r="O51" s="90" t="str">
        <f t="shared" si="4"/>
        <v/>
      </c>
      <c r="P51" s="90" t="str">
        <f t="shared" si="5"/>
        <v/>
      </c>
      <c r="Q51" s="90"/>
      <c r="R51" s="90"/>
      <c r="S51" s="90"/>
      <c r="T51" s="90"/>
      <c r="U51" s="90"/>
      <c r="V51" s="90" t="str">
        <f t="shared" si="6"/>
        <v/>
      </c>
      <c r="W51" s="90"/>
      <c r="X51" s="42" t="str">
        <f t="shared" si="7"/>
        <v/>
      </c>
      <c r="Y51" s="42" t="str">
        <f t="shared" si="8"/>
        <v/>
      </c>
      <c r="Z51" s="90"/>
      <c r="AA51" s="42" t="str">
        <f t="shared" si="9"/>
        <v/>
      </c>
      <c r="AB51" s="42" t="str">
        <f t="shared" si="10"/>
        <v/>
      </c>
      <c r="AC51" s="90"/>
      <c r="AD51" s="42" t="str">
        <f t="shared" si="11"/>
        <v/>
      </c>
      <c r="AE51" s="42" t="str">
        <f t="shared" si="12"/>
        <v/>
      </c>
      <c r="AF51" s="90"/>
      <c r="AG51" s="42" t="str">
        <f t="shared" si="13"/>
        <v/>
      </c>
      <c r="AH51" s="42" t="str">
        <f t="shared" si="14"/>
        <v/>
      </c>
      <c r="AI51" s="90"/>
      <c r="AJ51" s="42" t="str">
        <f t="shared" si="15"/>
        <v/>
      </c>
      <c r="AK51" s="42" t="str">
        <f t="shared" si="16"/>
        <v/>
      </c>
      <c r="AL51" s="14" t="str">
        <f t="shared" si="17"/>
        <v/>
      </c>
      <c r="AM51" s="14" t="str">
        <f t="shared" si="18"/>
        <v/>
      </c>
      <c r="AN51" s="14" t="str">
        <f t="shared" si="19"/>
        <v/>
      </c>
      <c r="AO51" s="14" t="str">
        <f>IF(OR($C51="01-09",$D51="Male"),"",INDEX(PMTCT!$AD:$AD,MATCH($E51,PMTCT!$E:$E,0)))</f>
        <v/>
      </c>
      <c r="AP51" s="14" t="str">
        <f>IF(OR($C51="01-09",$D51="Male"),"",INDEX(PMTCT!$AT:$AT,MATCH($E51,PMTCT!$E:$E,0)))</f>
        <v/>
      </c>
      <c r="AQ51" s="14" t="str">
        <f>INDEX(TB!$Q:$Q,MATCH($E51,TB!$E:$E,0))</f>
        <v/>
      </c>
      <c r="AR51" s="14" t="str">
        <f>IF(OR($C51="01-09",$C51="10-14",$D51="Female"),"",INDEX(VMMC!$AB:$AB,MATCH($E51,VMMC!$E:$E,0)))</f>
        <v/>
      </c>
      <c r="AS51" s="14" t="str">
        <f>IF(OR($C51="01-09",$C51="10-14"),"",INDEX(PrEP!$Q:$Q,MATCH($E51,PrEP!$E:$E,0)))</f>
        <v/>
      </c>
      <c r="AT51" s="14" t="str">
        <f t="shared" si="20"/>
        <v/>
      </c>
      <c r="AU51" s="14" t="str">
        <f t="shared" si="21"/>
        <v/>
      </c>
      <c r="AV51" s="90" t="str">
        <f t="shared" si="22"/>
        <v/>
      </c>
      <c r="AW51" s="14"/>
      <c r="AX51" s="90" t="str">
        <f t="shared" si="23"/>
        <v/>
      </c>
      <c r="AY51" s="42" t="str">
        <f t="shared" si="24"/>
        <v/>
      </c>
      <c r="AZ51" s="90" t="str">
        <f t="shared" si="25"/>
        <v/>
      </c>
      <c r="BA51" s="42" t="str">
        <f t="shared" si="26"/>
        <v/>
      </c>
    </row>
    <row r="52" spans="1:53" x14ac:dyDescent="0.2">
      <c r="A52" t="str">
        <f>INDEX(Prioritization!$D:$D,MATCH($B52,Prioritization!$A:$A,0))</f>
        <v>INVALID</v>
      </c>
      <c r="B52" t="s">
        <v>196</v>
      </c>
      <c r="C52" t="s">
        <v>362</v>
      </c>
      <c r="D52" t="s">
        <v>47</v>
      </c>
      <c r="E52" t="str">
        <f t="shared" si="0"/>
        <v>Kasungu District [JQKLKuVuY61]|01-09|Male</v>
      </c>
      <c r="F52" s="90">
        <f>IF(LEFT($B52,4)="_Mil","",INDEX(Cascade!$AA:$AA,MATCH($E52,Cascade!$E:$E,0)))</f>
        <v>1599</v>
      </c>
      <c r="G52" s="14">
        <f>INDEX(Cascade!$BH:$BH,MATCH($E52,Cascade!$E:$E,0))</f>
        <v>0</v>
      </c>
      <c r="H52" s="14" t="str">
        <f>IF(OR($C52="01-09",$D52="Male"),"",INDEX(PMTCT!$AC:$AC,MATCH($E52,PMTCT!$E:$E,0)))</f>
        <v/>
      </c>
      <c r="I52" s="14" t="str">
        <f>IF(OR($C52="01-09",$D52="Male"),"",INDEX(PMTCT!$AS:$AS,MATCH($E52,PMTCT!$E:$E,0)))</f>
        <v/>
      </c>
      <c r="J52" s="14" t="str">
        <f>INDEX(TB!$P:$P,MATCH($E52,TB!$E:$E,0))</f>
        <v/>
      </c>
      <c r="K52" s="14" t="str">
        <f>IF(OR($C52="01-09",$C52="10-14",$D52="Female"),"",INDEX(VMMC!$AA:$AA,MATCH($E52,VMMC!$E:$E,0)))</f>
        <v/>
      </c>
      <c r="L52" s="14">
        <f t="shared" si="1"/>
        <v>0</v>
      </c>
      <c r="M52" s="90" t="str">
        <f t="shared" si="2"/>
        <v/>
      </c>
      <c r="N52" s="90" t="str">
        <f t="shared" si="3"/>
        <v/>
      </c>
      <c r="O52" s="90" t="str">
        <f t="shared" si="4"/>
        <v/>
      </c>
      <c r="P52" s="90" t="str">
        <f t="shared" si="5"/>
        <v/>
      </c>
      <c r="Q52" s="90"/>
      <c r="R52" s="90"/>
      <c r="S52" s="90"/>
      <c r="T52" s="90"/>
      <c r="U52" s="90"/>
      <c r="V52" s="90" t="str">
        <f t="shared" si="6"/>
        <v/>
      </c>
      <c r="W52" s="90"/>
      <c r="X52" s="42" t="str">
        <f t="shared" si="7"/>
        <v/>
      </c>
      <c r="Y52" s="42" t="str">
        <f t="shared" si="8"/>
        <v/>
      </c>
      <c r="Z52" s="90"/>
      <c r="AA52" s="42" t="str">
        <f t="shared" si="9"/>
        <v/>
      </c>
      <c r="AB52" s="42" t="str">
        <f t="shared" si="10"/>
        <v/>
      </c>
      <c r="AC52" s="90"/>
      <c r="AD52" s="42" t="str">
        <f t="shared" si="11"/>
        <v/>
      </c>
      <c r="AE52" s="42" t="str">
        <f t="shared" si="12"/>
        <v/>
      </c>
      <c r="AF52" s="90"/>
      <c r="AG52" s="42" t="str">
        <f t="shared" si="13"/>
        <v/>
      </c>
      <c r="AH52" s="42" t="str">
        <f t="shared" si="14"/>
        <v/>
      </c>
      <c r="AI52" s="90"/>
      <c r="AJ52" s="42" t="str">
        <f t="shared" si="15"/>
        <v/>
      </c>
      <c r="AK52" s="42" t="str">
        <f t="shared" si="16"/>
        <v/>
      </c>
      <c r="AL52" s="14" t="str">
        <f t="shared" si="17"/>
        <v/>
      </c>
      <c r="AM52" s="14" t="str">
        <f t="shared" si="18"/>
        <v/>
      </c>
      <c r="AN52" s="14" t="str">
        <f t="shared" si="19"/>
        <v/>
      </c>
      <c r="AO52" s="14" t="str">
        <f>IF(OR($C52="01-09",$D52="Male"),"",INDEX(PMTCT!$AD:$AD,MATCH($E52,PMTCT!$E:$E,0)))</f>
        <v/>
      </c>
      <c r="AP52" s="14" t="str">
        <f>IF(OR($C52="01-09",$D52="Male"),"",INDEX(PMTCT!$AT:$AT,MATCH($E52,PMTCT!$E:$E,0)))</f>
        <v/>
      </c>
      <c r="AQ52" s="14" t="str">
        <f>INDEX(TB!$Q:$Q,MATCH($E52,TB!$E:$E,0))</f>
        <v/>
      </c>
      <c r="AR52" s="14" t="str">
        <f>IF(OR($C52="01-09",$C52="10-14",$D52="Female"),"",INDEX(VMMC!$AB:$AB,MATCH($E52,VMMC!$E:$E,0)))</f>
        <v/>
      </c>
      <c r="AS52" s="14" t="str">
        <f>IF(OR($C52="01-09",$C52="10-14"),"",INDEX(PrEP!$Q:$Q,MATCH($E52,PrEP!$E:$E,0)))</f>
        <v/>
      </c>
      <c r="AT52" s="14" t="str">
        <f t="shared" si="20"/>
        <v/>
      </c>
      <c r="AU52" s="14" t="str">
        <f t="shared" si="21"/>
        <v/>
      </c>
      <c r="AV52" s="90" t="str">
        <f t="shared" si="22"/>
        <v/>
      </c>
      <c r="AW52" s="14"/>
      <c r="AX52" s="90" t="str">
        <f t="shared" si="23"/>
        <v/>
      </c>
      <c r="AY52" s="42" t="str">
        <f t="shared" si="24"/>
        <v/>
      </c>
      <c r="AZ52" s="90" t="str">
        <f t="shared" si="25"/>
        <v/>
      </c>
      <c r="BA52" s="42" t="str">
        <f t="shared" si="26"/>
        <v/>
      </c>
    </row>
    <row r="53" spans="1:53" x14ac:dyDescent="0.2">
      <c r="A53" t="str">
        <f>INDEX(Prioritization!$D:$D,MATCH($B53,Prioritization!$A:$A,0))</f>
        <v>INVALID</v>
      </c>
      <c r="B53" t="s">
        <v>196</v>
      </c>
      <c r="C53" t="s">
        <v>363</v>
      </c>
      <c r="D53" t="s">
        <v>29</v>
      </c>
      <c r="E53" t="str">
        <f t="shared" si="0"/>
        <v>Kasungu District [JQKLKuVuY61]|10-14|Female</v>
      </c>
      <c r="F53" s="90">
        <f>IF(LEFT($B53,4)="_Mil","",INDEX(Cascade!$AA:$AA,MATCH($E53,Cascade!$E:$E,0)))</f>
        <v>1612</v>
      </c>
      <c r="G53" s="14">
        <f>INDEX(Cascade!$BH:$BH,MATCH($E53,Cascade!$E:$E,0))</f>
        <v>-93</v>
      </c>
      <c r="H53" s="14" t="str">
        <f>IF(OR($C53="01-09",$D53="Male"),"",INDEX(PMTCT!$AC:$AC,MATCH($E53,PMTCT!$E:$E,0)))</f>
        <v>ENTER YIELD RATE</v>
      </c>
      <c r="I53" s="14" t="str">
        <f>IF(OR($C53="01-09",$D53="Male"),"",INDEX(PMTCT!$AS:$AS,MATCH($E53,PMTCT!$E:$E,0)))</f>
        <v>ENTER YIELD RATE</v>
      </c>
      <c r="J53" s="14" t="str">
        <f>INDEX(TB!$P:$P,MATCH($E53,TB!$E:$E,0))</f>
        <v>ENTER YIELD RATE</v>
      </c>
      <c r="K53" s="14" t="str">
        <f>IF(OR($C53="01-09",$C53="10-14",$D53="Female"),"",INDEX(VMMC!$AA:$AA,MATCH($E53,VMMC!$E:$E,0)))</f>
        <v/>
      </c>
      <c r="L53" s="14">
        <f t="shared" si="1"/>
        <v>-93</v>
      </c>
      <c r="M53" s="90">
        <f t="shared" si="2"/>
        <v>0</v>
      </c>
      <c r="N53" s="90">
        <f t="shared" si="3"/>
        <v>0</v>
      </c>
      <c r="O53" s="90">
        <f t="shared" si="4"/>
        <v>0</v>
      </c>
      <c r="P53" s="90" t="str">
        <f t="shared" si="5"/>
        <v/>
      </c>
      <c r="Q53" s="90">
        <v>0.59896026854403295</v>
      </c>
      <c r="R53" s="90"/>
      <c r="S53" s="90"/>
      <c r="T53" s="90"/>
      <c r="U53" s="90">
        <v>0.28385769738815703</v>
      </c>
      <c r="V53" s="90">
        <f t="shared" si="6"/>
        <v>0.88281796593218997</v>
      </c>
      <c r="W53" s="90"/>
      <c r="X53" s="42">
        <f t="shared" si="7"/>
        <v>-56</v>
      </c>
      <c r="Y53" s="42" t="str">
        <f t="shared" si="8"/>
        <v>ENTER YIELD</v>
      </c>
      <c r="Z53" s="90"/>
      <c r="AA53" s="42" t="str">
        <f t="shared" si="9"/>
        <v/>
      </c>
      <c r="AB53" s="42" t="str">
        <f t="shared" si="10"/>
        <v/>
      </c>
      <c r="AC53" s="90"/>
      <c r="AD53" s="42" t="str">
        <f t="shared" si="11"/>
        <v/>
      </c>
      <c r="AE53" s="42" t="str">
        <f t="shared" si="12"/>
        <v/>
      </c>
      <c r="AF53" s="90"/>
      <c r="AG53" s="42" t="str">
        <f t="shared" si="13"/>
        <v/>
      </c>
      <c r="AH53" s="42" t="str">
        <f t="shared" si="14"/>
        <v/>
      </c>
      <c r="AI53" s="90"/>
      <c r="AJ53" s="42">
        <f t="shared" si="15"/>
        <v>-26</v>
      </c>
      <c r="AK53" s="42" t="str">
        <f t="shared" si="16"/>
        <v>ENTER YIELD</v>
      </c>
      <c r="AL53" s="14">
        <f t="shared" si="17"/>
        <v>-93</v>
      </c>
      <c r="AM53" s="14">
        <f t="shared" si="18"/>
        <v>-82</v>
      </c>
      <c r="AN53" s="14">
        <f t="shared" si="19"/>
        <v>11</v>
      </c>
      <c r="AO53" s="14">
        <f>IF(OR($C53="01-09",$D53="Male"),"",INDEX(PMTCT!$AD:$AD,MATCH($E53,PMTCT!$E:$E,0)))</f>
        <v>8</v>
      </c>
      <c r="AP53" s="14">
        <f>IF(OR($C53="01-09",$D53="Male"),"",INDEX(PMTCT!$AT:$AT,MATCH($E53,PMTCT!$E:$E,0)))</f>
        <v>8</v>
      </c>
      <c r="AQ53" s="14">
        <f>INDEX(TB!$Q:$Q,MATCH($E53,TB!$E:$E,0))</f>
        <v>1</v>
      </c>
      <c r="AR53" s="14" t="str">
        <f>IF(OR($C53="01-09",$C53="10-14",$D53="Female"),"",INDEX(VMMC!$AB:$AB,MATCH($E53,VMMC!$E:$E,0)))</f>
        <v/>
      </c>
      <c r="AS53" s="14" t="str">
        <f>IF(OR($C53="01-09",$C53="10-14"),"",INDEX(PrEP!$Q:$Q,MATCH($E53,PrEP!$E:$E,0)))</f>
        <v/>
      </c>
      <c r="AT53" s="14">
        <f t="shared" si="20"/>
        <v>17</v>
      </c>
      <c r="AU53" s="14">
        <f t="shared" si="21"/>
        <v>-65</v>
      </c>
      <c r="AV53" s="90">
        <f t="shared" si="22"/>
        <v>1.2615384615384615</v>
      </c>
      <c r="AW53" s="14"/>
      <c r="AX53" s="90" t="str">
        <f t="shared" si="23"/>
        <v/>
      </c>
      <c r="AY53" s="42" t="str">
        <f t="shared" si="24"/>
        <v/>
      </c>
      <c r="AZ53" s="90" t="str">
        <f t="shared" si="25"/>
        <v/>
      </c>
      <c r="BA53" s="42" t="str">
        <f t="shared" si="26"/>
        <v/>
      </c>
    </row>
    <row r="54" spans="1:53" x14ac:dyDescent="0.2">
      <c r="A54" t="str">
        <f>INDEX(Prioritization!$D:$D,MATCH($B54,Prioritization!$A:$A,0))</f>
        <v>INVALID</v>
      </c>
      <c r="B54" t="s">
        <v>196</v>
      </c>
      <c r="C54" t="s">
        <v>363</v>
      </c>
      <c r="D54" t="s">
        <v>47</v>
      </c>
      <c r="E54" t="str">
        <f t="shared" si="0"/>
        <v>Kasungu District [JQKLKuVuY61]|10-14|Male</v>
      </c>
      <c r="F54" s="90">
        <f>IF(LEFT($B54,4)="_Mil","",INDEX(Cascade!$AA:$AA,MATCH($E54,Cascade!$E:$E,0)))</f>
        <v>1885.0000000000002</v>
      </c>
      <c r="G54" s="14">
        <f>INDEX(Cascade!$BH:$BH,MATCH($E54,Cascade!$E:$E,0))</f>
        <v>-99</v>
      </c>
      <c r="H54" s="14" t="str">
        <f>IF(OR($C54="01-09",$D54="Male"),"",INDEX(PMTCT!$AC:$AC,MATCH($E54,PMTCT!$E:$E,0)))</f>
        <v/>
      </c>
      <c r="I54" s="14" t="str">
        <f>IF(OR($C54="01-09",$D54="Male"),"",INDEX(PMTCT!$AS:$AS,MATCH($E54,PMTCT!$E:$E,0)))</f>
        <v/>
      </c>
      <c r="J54" s="14" t="str">
        <f>INDEX(TB!$P:$P,MATCH($E54,TB!$E:$E,0))</f>
        <v/>
      </c>
      <c r="K54" s="14" t="str">
        <f>IF(OR($C54="01-09",$C54="10-14",$D54="Female"),"",INDEX(VMMC!$AA:$AA,MATCH($E54,VMMC!$E:$E,0)))</f>
        <v/>
      </c>
      <c r="L54" s="14">
        <f t="shared" si="1"/>
        <v>-99</v>
      </c>
      <c r="M54" s="90" t="str">
        <f t="shared" si="2"/>
        <v/>
      </c>
      <c r="N54" s="90" t="str">
        <f t="shared" si="3"/>
        <v/>
      </c>
      <c r="O54" s="90">
        <f t="shared" si="4"/>
        <v>0</v>
      </c>
      <c r="P54" s="90" t="str">
        <f t="shared" si="5"/>
        <v/>
      </c>
      <c r="Q54" s="90">
        <v>0.65089212683960795</v>
      </c>
      <c r="R54" s="90"/>
      <c r="S54" s="90"/>
      <c r="T54" s="90"/>
      <c r="U54" s="90">
        <v>0.60920403222553399</v>
      </c>
      <c r="V54" s="90">
        <f t="shared" si="6"/>
        <v>1.2600961590651418</v>
      </c>
      <c r="W54" s="90"/>
      <c r="X54" s="42">
        <f t="shared" si="7"/>
        <v>-64</v>
      </c>
      <c r="Y54" s="42" t="str">
        <f t="shared" si="8"/>
        <v>ENTER YIELD</v>
      </c>
      <c r="Z54" s="90"/>
      <c r="AA54" s="42" t="str">
        <f t="shared" si="9"/>
        <v/>
      </c>
      <c r="AB54" s="42" t="str">
        <f t="shared" si="10"/>
        <v/>
      </c>
      <c r="AC54" s="90"/>
      <c r="AD54" s="42" t="str">
        <f t="shared" si="11"/>
        <v/>
      </c>
      <c r="AE54" s="42" t="str">
        <f t="shared" si="12"/>
        <v/>
      </c>
      <c r="AF54" s="90"/>
      <c r="AG54" s="42" t="str">
        <f t="shared" si="13"/>
        <v/>
      </c>
      <c r="AH54" s="42" t="str">
        <f t="shared" si="14"/>
        <v/>
      </c>
      <c r="AI54" s="90"/>
      <c r="AJ54" s="42">
        <f t="shared" si="15"/>
        <v>-60</v>
      </c>
      <c r="AK54" s="42" t="str">
        <f t="shared" si="16"/>
        <v>ENTER YIELD</v>
      </c>
      <c r="AL54" s="14">
        <f t="shared" si="17"/>
        <v>-99</v>
      </c>
      <c r="AM54" s="14">
        <f t="shared" si="18"/>
        <v>-124</v>
      </c>
      <c r="AN54" s="14">
        <f t="shared" si="19"/>
        <v>-25</v>
      </c>
      <c r="AO54" s="14" t="str">
        <f>IF(OR($C54="01-09",$D54="Male"),"",INDEX(PMTCT!$AD:$AD,MATCH($E54,PMTCT!$E:$E,0)))</f>
        <v/>
      </c>
      <c r="AP54" s="14" t="str">
        <f>IF(OR($C54="01-09",$D54="Male"),"",INDEX(PMTCT!$AT:$AT,MATCH($E54,PMTCT!$E:$E,0)))</f>
        <v/>
      </c>
      <c r="AQ54" s="14" t="str">
        <f>INDEX(TB!$Q:$Q,MATCH($E54,TB!$E:$E,0))</f>
        <v/>
      </c>
      <c r="AR54" s="14" t="str">
        <f>IF(OR($C54="01-09",$C54="10-14",$D54="Female"),"",INDEX(VMMC!$AB:$AB,MATCH($E54,VMMC!$E:$E,0)))</f>
        <v/>
      </c>
      <c r="AS54" s="14" t="str">
        <f>IF(OR($C54="01-09",$C54="10-14"),"",INDEX(PrEP!$Q:$Q,MATCH($E54,PrEP!$E:$E,0)))</f>
        <v/>
      </c>
      <c r="AT54" s="14" t="str">
        <f t="shared" si="20"/>
        <v/>
      </c>
      <c r="AU54" s="14">
        <f t="shared" si="21"/>
        <v>-124</v>
      </c>
      <c r="AV54" s="90">
        <f t="shared" si="22"/>
        <v>1</v>
      </c>
      <c r="AW54" s="14"/>
      <c r="AX54" s="90" t="str">
        <f t="shared" si="23"/>
        <v/>
      </c>
      <c r="AY54" s="42" t="str">
        <f t="shared" si="24"/>
        <v/>
      </c>
      <c r="AZ54" s="90" t="str">
        <f t="shared" si="25"/>
        <v/>
      </c>
      <c r="BA54" s="42" t="str">
        <f t="shared" si="26"/>
        <v/>
      </c>
    </row>
    <row r="55" spans="1:53" x14ac:dyDescent="0.2">
      <c r="A55" t="str">
        <f>INDEX(Prioritization!$D:$D,MATCH($B55,Prioritization!$A:$A,0))</f>
        <v>INVALID</v>
      </c>
      <c r="B55" t="s">
        <v>196</v>
      </c>
      <c r="C55" t="s">
        <v>364</v>
      </c>
      <c r="D55" t="s">
        <v>29</v>
      </c>
      <c r="E55" t="str">
        <f t="shared" si="0"/>
        <v>Kasungu District [JQKLKuVuY61]|15-24|Female</v>
      </c>
      <c r="F55" s="90">
        <f>IF(LEFT($B55,4)="_Mil","",INDEX(Cascade!$AA:$AA,MATCH($E55,Cascade!$E:$E,0)))</f>
        <v>1973</v>
      </c>
      <c r="G55" s="14">
        <f>INDEX(Cascade!$BH:$BH,MATCH($E55,Cascade!$E:$E,0))</f>
        <v>0</v>
      </c>
      <c r="H55" s="14" t="str">
        <f>IF(OR($C55="01-09",$D55="Male"),"",INDEX(PMTCT!$AC:$AC,MATCH($E55,PMTCT!$E:$E,0)))</f>
        <v/>
      </c>
      <c r="I55" s="14" t="str">
        <f>IF(OR($C55="01-09",$D55="Male"),"",INDEX(PMTCT!$AS:$AS,MATCH($E55,PMTCT!$E:$E,0)))</f>
        <v/>
      </c>
      <c r="J55" s="14" t="str">
        <f>INDEX(TB!$P:$P,MATCH($E55,TB!$E:$E,0))</f>
        <v/>
      </c>
      <c r="K55" s="14" t="str">
        <f>IF(OR($C55="01-09",$C55="10-14",$D55="Female"),"",INDEX(VMMC!$AA:$AA,MATCH($E55,VMMC!$E:$E,0)))</f>
        <v/>
      </c>
      <c r="L55" s="14">
        <f t="shared" si="1"/>
        <v>0</v>
      </c>
      <c r="M55" s="90" t="str">
        <f t="shared" si="2"/>
        <v/>
      </c>
      <c r="N55" s="90" t="str">
        <f t="shared" si="3"/>
        <v/>
      </c>
      <c r="O55" s="90" t="str">
        <f t="shared" si="4"/>
        <v/>
      </c>
      <c r="P55" s="90" t="str">
        <f t="shared" si="5"/>
        <v/>
      </c>
      <c r="Q55" s="90"/>
      <c r="R55" s="90"/>
      <c r="S55" s="90"/>
      <c r="T55" s="90"/>
      <c r="U55" s="90"/>
      <c r="V55" s="90" t="str">
        <f t="shared" si="6"/>
        <v/>
      </c>
      <c r="W55" s="90"/>
      <c r="X55" s="42" t="str">
        <f t="shared" si="7"/>
        <v/>
      </c>
      <c r="Y55" s="42" t="str">
        <f t="shared" si="8"/>
        <v/>
      </c>
      <c r="Z55" s="90"/>
      <c r="AA55" s="42" t="str">
        <f t="shared" si="9"/>
        <v/>
      </c>
      <c r="AB55" s="42" t="str">
        <f t="shared" si="10"/>
        <v/>
      </c>
      <c r="AC55" s="90"/>
      <c r="AD55" s="42" t="str">
        <f t="shared" si="11"/>
        <v/>
      </c>
      <c r="AE55" s="42" t="str">
        <f t="shared" si="12"/>
        <v/>
      </c>
      <c r="AF55" s="90"/>
      <c r="AG55" s="42" t="str">
        <f t="shared" si="13"/>
        <v/>
      </c>
      <c r="AH55" s="42" t="str">
        <f t="shared" si="14"/>
        <v/>
      </c>
      <c r="AI55" s="90"/>
      <c r="AJ55" s="42" t="str">
        <f t="shared" si="15"/>
        <v/>
      </c>
      <c r="AK55" s="42" t="str">
        <f t="shared" si="16"/>
        <v/>
      </c>
      <c r="AL55" s="14" t="str">
        <f t="shared" si="17"/>
        <v/>
      </c>
      <c r="AM55" s="14" t="str">
        <f t="shared" si="18"/>
        <v/>
      </c>
      <c r="AN55" s="14" t="str">
        <f t="shared" si="19"/>
        <v/>
      </c>
      <c r="AO55" s="14" t="str">
        <f>IF(OR($C55="01-09",$D55="Male"),"",INDEX(PMTCT!$AD:$AD,MATCH($E55,PMTCT!$E:$E,0)))</f>
        <v/>
      </c>
      <c r="AP55" s="14" t="str">
        <f>IF(OR($C55="01-09",$D55="Male"),"",INDEX(PMTCT!$AT:$AT,MATCH($E55,PMTCT!$E:$E,0)))</f>
        <v/>
      </c>
      <c r="AQ55" s="14" t="str">
        <f>INDEX(TB!$Q:$Q,MATCH($E55,TB!$E:$E,0))</f>
        <v/>
      </c>
      <c r="AR55" s="14" t="str">
        <f>IF(OR($C55="01-09",$C55="10-14",$D55="Female"),"",INDEX(VMMC!$AB:$AB,MATCH($E55,VMMC!$E:$E,0)))</f>
        <v/>
      </c>
      <c r="AS55" s="14" t="str">
        <f>IF(OR($C55="01-09",$C55="10-14"),"",INDEX(PrEP!$Q:$Q,MATCH($E55,PrEP!$E:$E,0)))</f>
        <v/>
      </c>
      <c r="AT55" s="14" t="str">
        <f t="shared" si="20"/>
        <v/>
      </c>
      <c r="AU55" s="14" t="str">
        <f t="shared" si="21"/>
        <v/>
      </c>
      <c r="AV55" s="90" t="str">
        <f t="shared" si="22"/>
        <v/>
      </c>
      <c r="AW55" s="14"/>
      <c r="AX55" s="90" t="str">
        <f t="shared" si="23"/>
        <v/>
      </c>
      <c r="AY55" s="42" t="str">
        <f t="shared" si="24"/>
        <v/>
      </c>
      <c r="AZ55" s="90">
        <f t="shared" si="25"/>
        <v>1</v>
      </c>
      <c r="BA55" s="42" t="str">
        <f t="shared" si="26"/>
        <v/>
      </c>
    </row>
    <row r="56" spans="1:53" x14ac:dyDescent="0.2">
      <c r="A56" t="str">
        <f>INDEX(Prioritization!$D:$D,MATCH($B56,Prioritization!$A:$A,0))</f>
        <v>INVALID</v>
      </c>
      <c r="B56" t="s">
        <v>196</v>
      </c>
      <c r="C56" t="s">
        <v>364</v>
      </c>
      <c r="D56" t="s">
        <v>47</v>
      </c>
      <c r="E56" t="str">
        <f t="shared" si="0"/>
        <v>Kasungu District [JQKLKuVuY61]|15-24|Male</v>
      </c>
      <c r="F56" s="90">
        <f>IF(LEFT($B56,4)="_Mil","",INDEX(Cascade!$AA:$AA,MATCH($E56,Cascade!$E:$E,0)))</f>
        <v>1382</v>
      </c>
      <c r="G56" s="14">
        <f>INDEX(Cascade!$BH:$BH,MATCH($E56,Cascade!$E:$E,0))</f>
        <v>0</v>
      </c>
      <c r="H56" s="14" t="str">
        <f>IF(OR($C56="01-09",$D56="Male"),"",INDEX(PMTCT!$AC:$AC,MATCH($E56,PMTCT!$E:$E,0)))</f>
        <v/>
      </c>
      <c r="I56" s="14" t="str">
        <f>IF(OR($C56="01-09",$D56="Male"),"",INDEX(PMTCT!$AS:$AS,MATCH($E56,PMTCT!$E:$E,0)))</f>
        <v/>
      </c>
      <c r="J56" s="14" t="str">
        <f>INDEX(TB!$P:$P,MATCH($E56,TB!$E:$E,0))</f>
        <v/>
      </c>
      <c r="K56" s="14" t="str">
        <f>IF(OR($C56="01-09",$C56="10-14",$D56="Female"),"",INDEX(VMMC!$AA:$AA,MATCH($E56,VMMC!$E:$E,0)))</f>
        <v/>
      </c>
      <c r="L56" s="14">
        <f t="shared" si="1"/>
        <v>0</v>
      </c>
      <c r="M56" s="90" t="str">
        <f t="shared" si="2"/>
        <v/>
      </c>
      <c r="N56" s="90" t="str">
        <f t="shared" si="3"/>
        <v/>
      </c>
      <c r="O56" s="90" t="str">
        <f t="shared" si="4"/>
        <v/>
      </c>
      <c r="P56" s="90" t="str">
        <f t="shared" si="5"/>
        <v/>
      </c>
      <c r="Q56" s="90"/>
      <c r="R56" s="90"/>
      <c r="S56" s="90"/>
      <c r="T56" s="90"/>
      <c r="U56" s="90"/>
      <c r="V56" s="90" t="str">
        <f t="shared" si="6"/>
        <v/>
      </c>
      <c r="W56" s="90"/>
      <c r="X56" s="42" t="str">
        <f t="shared" si="7"/>
        <v/>
      </c>
      <c r="Y56" s="42" t="str">
        <f t="shared" si="8"/>
        <v/>
      </c>
      <c r="Z56" s="90"/>
      <c r="AA56" s="42" t="str">
        <f t="shared" si="9"/>
        <v/>
      </c>
      <c r="AB56" s="42" t="str">
        <f t="shared" si="10"/>
        <v/>
      </c>
      <c r="AC56" s="90"/>
      <c r="AD56" s="42" t="str">
        <f t="shared" si="11"/>
        <v/>
      </c>
      <c r="AE56" s="42" t="str">
        <f t="shared" si="12"/>
        <v/>
      </c>
      <c r="AF56" s="90"/>
      <c r="AG56" s="42" t="str">
        <f t="shared" si="13"/>
        <v/>
      </c>
      <c r="AH56" s="42" t="str">
        <f t="shared" si="14"/>
        <v/>
      </c>
      <c r="AI56" s="90"/>
      <c r="AJ56" s="42" t="str">
        <f t="shared" si="15"/>
        <v/>
      </c>
      <c r="AK56" s="42" t="str">
        <f t="shared" si="16"/>
        <v/>
      </c>
      <c r="AL56" s="14" t="str">
        <f t="shared" si="17"/>
        <v/>
      </c>
      <c r="AM56" s="14" t="str">
        <f t="shared" si="18"/>
        <v/>
      </c>
      <c r="AN56" s="14" t="str">
        <f t="shared" si="19"/>
        <v/>
      </c>
      <c r="AO56" s="14" t="str">
        <f>IF(OR($C56="01-09",$D56="Male"),"",INDEX(PMTCT!$AD:$AD,MATCH($E56,PMTCT!$E:$E,0)))</f>
        <v/>
      </c>
      <c r="AP56" s="14" t="str">
        <f>IF(OR($C56="01-09",$D56="Male"),"",INDEX(PMTCT!$AT:$AT,MATCH($E56,PMTCT!$E:$E,0)))</f>
        <v/>
      </c>
      <c r="AQ56" s="14" t="str">
        <f>INDEX(TB!$Q:$Q,MATCH($E56,TB!$E:$E,0))</f>
        <v/>
      </c>
      <c r="AR56" s="14" t="str">
        <f>IF(OR($C56="01-09",$C56="10-14",$D56="Female"),"",INDEX(VMMC!$AB:$AB,MATCH($E56,VMMC!$E:$E,0)))</f>
        <v/>
      </c>
      <c r="AS56" s="14" t="str">
        <f>IF(OR($C56="01-09",$C56="10-14"),"",INDEX(PrEP!$Q:$Q,MATCH($E56,PrEP!$E:$E,0)))</f>
        <v/>
      </c>
      <c r="AT56" s="14" t="str">
        <f t="shared" si="20"/>
        <v/>
      </c>
      <c r="AU56" s="14" t="str">
        <f t="shared" si="21"/>
        <v/>
      </c>
      <c r="AV56" s="90" t="str">
        <f t="shared" si="22"/>
        <v/>
      </c>
      <c r="AW56" s="14"/>
      <c r="AX56" s="90" t="str">
        <f t="shared" si="23"/>
        <v/>
      </c>
      <c r="AY56" s="42" t="str">
        <f t="shared" si="24"/>
        <v/>
      </c>
      <c r="AZ56" s="90">
        <f t="shared" si="25"/>
        <v>1</v>
      </c>
      <c r="BA56" s="42" t="str">
        <f t="shared" si="26"/>
        <v/>
      </c>
    </row>
    <row r="57" spans="1:53" x14ac:dyDescent="0.2">
      <c r="A57" t="str">
        <f>INDEX(Prioritization!$D:$D,MATCH($B57,Prioritization!$A:$A,0))</f>
        <v>INVALID</v>
      </c>
      <c r="B57" t="s">
        <v>196</v>
      </c>
      <c r="C57" t="s">
        <v>365</v>
      </c>
      <c r="D57" t="s">
        <v>29</v>
      </c>
      <c r="E57" t="str">
        <f t="shared" si="0"/>
        <v>Kasungu District [JQKLKuVuY61]|25-34|Female</v>
      </c>
      <c r="F57" s="90">
        <f>IF(LEFT($B57,4)="_Mil","",INDEX(Cascade!$AA:$AA,MATCH($E57,Cascade!$E:$E,0)))</f>
        <v>1159</v>
      </c>
      <c r="G57" s="14">
        <f>INDEX(Cascade!$BH:$BH,MATCH($E57,Cascade!$E:$E,0))</f>
        <v>0</v>
      </c>
      <c r="H57" s="14" t="str">
        <f>IF(OR($C57="01-09",$D57="Male"),"",INDEX(PMTCT!$AC:$AC,MATCH($E57,PMTCT!$E:$E,0)))</f>
        <v/>
      </c>
      <c r="I57" s="14" t="str">
        <f>IF(OR($C57="01-09",$D57="Male"),"",INDEX(PMTCT!$AS:$AS,MATCH($E57,PMTCT!$E:$E,0)))</f>
        <v/>
      </c>
      <c r="J57" s="14" t="str">
        <f>INDEX(TB!$P:$P,MATCH($E57,TB!$E:$E,0))</f>
        <v/>
      </c>
      <c r="K57" s="14" t="str">
        <f>IF(OR($C57="01-09",$C57="10-14",$D57="Female"),"",INDEX(VMMC!$AA:$AA,MATCH($E57,VMMC!$E:$E,0)))</f>
        <v/>
      </c>
      <c r="L57" s="14">
        <f t="shared" si="1"/>
        <v>0</v>
      </c>
      <c r="M57" s="90" t="str">
        <f t="shared" si="2"/>
        <v/>
      </c>
      <c r="N57" s="90" t="str">
        <f t="shared" si="3"/>
        <v/>
      </c>
      <c r="O57" s="90" t="str">
        <f t="shared" si="4"/>
        <v/>
      </c>
      <c r="P57" s="90" t="str">
        <f t="shared" si="5"/>
        <v/>
      </c>
      <c r="Q57" s="90"/>
      <c r="R57" s="90"/>
      <c r="S57" s="90"/>
      <c r="T57" s="90"/>
      <c r="U57" s="90"/>
      <c r="V57" s="90" t="str">
        <f t="shared" si="6"/>
        <v/>
      </c>
      <c r="W57" s="90"/>
      <c r="X57" s="42" t="str">
        <f t="shared" si="7"/>
        <v/>
      </c>
      <c r="Y57" s="42" t="str">
        <f t="shared" si="8"/>
        <v/>
      </c>
      <c r="Z57" s="90"/>
      <c r="AA57" s="42" t="str">
        <f t="shared" si="9"/>
        <v/>
      </c>
      <c r="AB57" s="42" t="str">
        <f t="shared" si="10"/>
        <v/>
      </c>
      <c r="AC57" s="90"/>
      <c r="AD57" s="42" t="str">
        <f t="shared" si="11"/>
        <v/>
      </c>
      <c r="AE57" s="42" t="str">
        <f t="shared" si="12"/>
        <v/>
      </c>
      <c r="AF57" s="90"/>
      <c r="AG57" s="42" t="str">
        <f t="shared" si="13"/>
        <v/>
      </c>
      <c r="AH57" s="42" t="str">
        <f t="shared" si="14"/>
        <v/>
      </c>
      <c r="AI57" s="90"/>
      <c r="AJ57" s="42" t="str">
        <f t="shared" si="15"/>
        <v/>
      </c>
      <c r="AK57" s="42" t="str">
        <f t="shared" si="16"/>
        <v/>
      </c>
      <c r="AL57" s="14" t="str">
        <f t="shared" si="17"/>
        <v/>
      </c>
      <c r="AM57" s="14" t="str">
        <f t="shared" si="18"/>
        <v/>
      </c>
      <c r="AN57" s="14" t="str">
        <f t="shared" si="19"/>
        <v/>
      </c>
      <c r="AO57" s="14" t="str">
        <f>IF(OR($C57="01-09",$D57="Male"),"",INDEX(PMTCT!$AD:$AD,MATCH($E57,PMTCT!$E:$E,0)))</f>
        <v/>
      </c>
      <c r="AP57" s="14" t="str">
        <f>IF(OR($C57="01-09",$D57="Male"),"",INDEX(PMTCT!$AT:$AT,MATCH($E57,PMTCT!$E:$E,0)))</f>
        <v/>
      </c>
      <c r="AQ57" s="14" t="str">
        <f>INDEX(TB!$Q:$Q,MATCH($E57,TB!$E:$E,0))</f>
        <v/>
      </c>
      <c r="AR57" s="14" t="str">
        <f>IF(OR($C57="01-09",$C57="10-14",$D57="Female"),"",INDEX(VMMC!$AB:$AB,MATCH($E57,VMMC!$E:$E,0)))</f>
        <v/>
      </c>
      <c r="AS57" s="14" t="str">
        <f>IF(OR($C57="01-09",$C57="10-14"),"",INDEX(PrEP!$Q:$Q,MATCH($E57,PrEP!$E:$E,0)))</f>
        <v/>
      </c>
      <c r="AT57" s="14" t="str">
        <f t="shared" si="20"/>
        <v/>
      </c>
      <c r="AU57" s="14" t="str">
        <f t="shared" si="21"/>
        <v/>
      </c>
      <c r="AV57" s="90" t="str">
        <f t="shared" si="22"/>
        <v/>
      </c>
      <c r="AW57" s="14"/>
      <c r="AX57" s="90" t="str">
        <f t="shared" si="23"/>
        <v/>
      </c>
      <c r="AY57" s="42" t="str">
        <f t="shared" si="24"/>
        <v/>
      </c>
      <c r="AZ57" s="90">
        <f t="shared" si="25"/>
        <v>1</v>
      </c>
      <c r="BA57" s="42" t="str">
        <f t="shared" si="26"/>
        <v/>
      </c>
    </row>
    <row r="58" spans="1:53" x14ac:dyDescent="0.2">
      <c r="A58" t="str">
        <f>INDEX(Prioritization!$D:$D,MATCH($B58,Prioritization!$A:$A,0))</f>
        <v>INVALID</v>
      </c>
      <c r="B58" t="s">
        <v>196</v>
      </c>
      <c r="C58" t="s">
        <v>365</v>
      </c>
      <c r="D58" t="s">
        <v>47</v>
      </c>
      <c r="E58" t="str">
        <f t="shared" si="0"/>
        <v>Kasungu District [JQKLKuVuY61]|25-34|Male</v>
      </c>
      <c r="F58" s="90">
        <f>IF(LEFT($B58,4)="_Mil","",INDEX(Cascade!$AA:$AA,MATCH($E58,Cascade!$E:$E,0)))</f>
        <v>1340</v>
      </c>
      <c r="G58" s="14">
        <f>INDEX(Cascade!$BH:$BH,MATCH($E58,Cascade!$E:$E,0))</f>
        <v>0</v>
      </c>
      <c r="H58" s="14" t="str">
        <f>IF(OR($C58="01-09",$D58="Male"),"",INDEX(PMTCT!$AC:$AC,MATCH($E58,PMTCT!$E:$E,0)))</f>
        <v/>
      </c>
      <c r="I58" s="14" t="str">
        <f>IF(OR($C58="01-09",$D58="Male"),"",INDEX(PMTCT!$AS:$AS,MATCH($E58,PMTCT!$E:$E,0)))</f>
        <v/>
      </c>
      <c r="J58" s="14" t="str">
        <f>INDEX(TB!$P:$P,MATCH($E58,TB!$E:$E,0))</f>
        <v/>
      </c>
      <c r="K58" s="14" t="str">
        <f>IF(OR($C58="01-09",$C58="10-14",$D58="Female"),"",INDEX(VMMC!$AA:$AA,MATCH($E58,VMMC!$E:$E,0)))</f>
        <v/>
      </c>
      <c r="L58" s="14">
        <f t="shared" si="1"/>
        <v>0</v>
      </c>
      <c r="M58" s="90" t="str">
        <f t="shared" si="2"/>
        <v/>
      </c>
      <c r="N58" s="90" t="str">
        <f t="shared" si="3"/>
        <v/>
      </c>
      <c r="O58" s="90" t="str">
        <f t="shared" si="4"/>
        <v/>
      </c>
      <c r="P58" s="90" t="str">
        <f t="shared" si="5"/>
        <v/>
      </c>
      <c r="Q58" s="90"/>
      <c r="R58" s="90"/>
      <c r="S58" s="90"/>
      <c r="T58" s="90"/>
      <c r="U58" s="90"/>
      <c r="V58" s="90" t="str">
        <f t="shared" si="6"/>
        <v/>
      </c>
      <c r="W58" s="90"/>
      <c r="X58" s="42" t="str">
        <f t="shared" si="7"/>
        <v/>
      </c>
      <c r="Y58" s="42" t="str">
        <f t="shared" si="8"/>
        <v/>
      </c>
      <c r="Z58" s="90"/>
      <c r="AA58" s="42" t="str">
        <f t="shared" si="9"/>
        <v/>
      </c>
      <c r="AB58" s="42" t="str">
        <f t="shared" si="10"/>
        <v/>
      </c>
      <c r="AC58" s="90"/>
      <c r="AD58" s="42" t="str">
        <f t="shared" si="11"/>
        <v/>
      </c>
      <c r="AE58" s="42" t="str">
        <f t="shared" si="12"/>
        <v/>
      </c>
      <c r="AF58" s="90"/>
      <c r="AG58" s="42" t="str">
        <f t="shared" si="13"/>
        <v/>
      </c>
      <c r="AH58" s="42" t="str">
        <f t="shared" si="14"/>
        <v/>
      </c>
      <c r="AI58" s="90"/>
      <c r="AJ58" s="42" t="str">
        <f t="shared" si="15"/>
        <v/>
      </c>
      <c r="AK58" s="42" t="str">
        <f t="shared" si="16"/>
        <v/>
      </c>
      <c r="AL58" s="14" t="str">
        <f t="shared" si="17"/>
        <v/>
      </c>
      <c r="AM58" s="14" t="str">
        <f t="shared" si="18"/>
        <v/>
      </c>
      <c r="AN58" s="14" t="str">
        <f t="shared" si="19"/>
        <v/>
      </c>
      <c r="AO58" s="14" t="str">
        <f>IF(OR($C58="01-09",$D58="Male"),"",INDEX(PMTCT!$AD:$AD,MATCH($E58,PMTCT!$E:$E,0)))</f>
        <v/>
      </c>
      <c r="AP58" s="14" t="str">
        <f>IF(OR($C58="01-09",$D58="Male"),"",INDEX(PMTCT!$AT:$AT,MATCH($E58,PMTCT!$E:$E,0)))</f>
        <v/>
      </c>
      <c r="AQ58" s="14" t="str">
        <f>INDEX(TB!$Q:$Q,MATCH($E58,TB!$E:$E,0))</f>
        <v/>
      </c>
      <c r="AR58" s="14" t="str">
        <f>IF(OR($C58="01-09",$C58="10-14",$D58="Female"),"",INDEX(VMMC!$AB:$AB,MATCH($E58,VMMC!$E:$E,0)))</f>
        <v/>
      </c>
      <c r="AS58" s="14" t="str">
        <f>IF(OR($C58="01-09",$C58="10-14"),"",INDEX(PrEP!$Q:$Q,MATCH($E58,PrEP!$E:$E,0)))</f>
        <v/>
      </c>
      <c r="AT58" s="14" t="str">
        <f t="shared" si="20"/>
        <v/>
      </c>
      <c r="AU58" s="14" t="str">
        <f t="shared" si="21"/>
        <v/>
      </c>
      <c r="AV58" s="90" t="str">
        <f t="shared" si="22"/>
        <v/>
      </c>
      <c r="AW58" s="14"/>
      <c r="AX58" s="90" t="str">
        <f t="shared" si="23"/>
        <v/>
      </c>
      <c r="AY58" s="42" t="str">
        <f t="shared" si="24"/>
        <v/>
      </c>
      <c r="AZ58" s="90">
        <f t="shared" si="25"/>
        <v>1</v>
      </c>
      <c r="BA58" s="42" t="str">
        <f t="shared" si="26"/>
        <v/>
      </c>
    </row>
    <row r="59" spans="1:53" x14ac:dyDescent="0.2">
      <c r="A59" t="str">
        <f>INDEX(Prioritization!$D:$D,MATCH($B59,Prioritization!$A:$A,0))</f>
        <v>INVALID</v>
      </c>
      <c r="B59" t="s">
        <v>196</v>
      </c>
      <c r="C59" t="s">
        <v>366</v>
      </c>
      <c r="D59" t="s">
        <v>29</v>
      </c>
      <c r="E59" t="str">
        <f t="shared" si="0"/>
        <v>Kasungu District [JQKLKuVuY61]|35-49|Female</v>
      </c>
      <c r="F59" s="90">
        <f>IF(LEFT($B59,4)="_Mil","",INDEX(Cascade!$AA:$AA,MATCH($E59,Cascade!$E:$E,0)))</f>
        <v>1063</v>
      </c>
      <c r="G59" s="14">
        <f>INDEX(Cascade!$BH:$BH,MATCH($E59,Cascade!$E:$E,0))</f>
        <v>0</v>
      </c>
      <c r="H59" s="14" t="str">
        <f>IF(OR($C59="01-09",$D59="Male"),"",INDEX(PMTCT!$AC:$AC,MATCH($E59,PMTCT!$E:$E,0)))</f>
        <v/>
      </c>
      <c r="I59" s="14" t="str">
        <f>IF(OR($C59="01-09",$D59="Male"),"",INDEX(PMTCT!$AS:$AS,MATCH($E59,PMTCT!$E:$E,0)))</f>
        <v/>
      </c>
      <c r="J59" s="14" t="str">
        <f>INDEX(TB!$P:$P,MATCH($E59,TB!$E:$E,0))</f>
        <v/>
      </c>
      <c r="K59" s="14" t="str">
        <f>IF(OR($C59="01-09",$C59="10-14",$D59="Female"),"",INDEX(VMMC!$AA:$AA,MATCH($E59,VMMC!$E:$E,0)))</f>
        <v/>
      </c>
      <c r="L59" s="14">
        <f t="shared" si="1"/>
        <v>0</v>
      </c>
      <c r="M59" s="90" t="str">
        <f t="shared" si="2"/>
        <v/>
      </c>
      <c r="N59" s="90" t="str">
        <f t="shared" si="3"/>
        <v/>
      </c>
      <c r="O59" s="90" t="str">
        <f t="shared" si="4"/>
        <v/>
      </c>
      <c r="P59" s="90" t="str">
        <f t="shared" si="5"/>
        <v/>
      </c>
      <c r="Q59" s="90"/>
      <c r="R59" s="90"/>
      <c r="S59" s="90"/>
      <c r="T59" s="90"/>
      <c r="U59" s="90"/>
      <c r="V59" s="90" t="str">
        <f t="shared" si="6"/>
        <v/>
      </c>
      <c r="W59" s="90"/>
      <c r="X59" s="42" t="str">
        <f t="shared" si="7"/>
        <v/>
      </c>
      <c r="Y59" s="42" t="str">
        <f t="shared" si="8"/>
        <v/>
      </c>
      <c r="Z59" s="90"/>
      <c r="AA59" s="42" t="str">
        <f t="shared" si="9"/>
        <v/>
      </c>
      <c r="AB59" s="42" t="str">
        <f t="shared" si="10"/>
        <v/>
      </c>
      <c r="AC59" s="90"/>
      <c r="AD59" s="42" t="str">
        <f t="shared" si="11"/>
        <v/>
      </c>
      <c r="AE59" s="42" t="str">
        <f t="shared" si="12"/>
        <v/>
      </c>
      <c r="AF59" s="90"/>
      <c r="AG59" s="42" t="str">
        <f t="shared" si="13"/>
        <v/>
      </c>
      <c r="AH59" s="42" t="str">
        <f t="shared" si="14"/>
        <v/>
      </c>
      <c r="AI59" s="90"/>
      <c r="AJ59" s="42" t="str">
        <f t="shared" si="15"/>
        <v/>
      </c>
      <c r="AK59" s="42" t="str">
        <f t="shared" si="16"/>
        <v/>
      </c>
      <c r="AL59" s="14" t="str">
        <f t="shared" si="17"/>
        <v/>
      </c>
      <c r="AM59" s="14" t="str">
        <f t="shared" si="18"/>
        <v/>
      </c>
      <c r="AN59" s="14" t="str">
        <f t="shared" si="19"/>
        <v/>
      </c>
      <c r="AO59" s="14" t="str">
        <f>IF(OR($C59="01-09",$D59="Male"),"",INDEX(PMTCT!$AD:$AD,MATCH($E59,PMTCT!$E:$E,0)))</f>
        <v/>
      </c>
      <c r="AP59" s="14" t="str">
        <f>IF(OR($C59="01-09",$D59="Male"),"",INDEX(PMTCT!$AT:$AT,MATCH($E59,PMTCT!$E:$E,0)))</f>
        <v/>
      </c>
      <c r="AQ59" s="14" t="str">
        <f>INDEX(TB!$Q:$Q,MATCH($E59,TB!$E:$E,0))</f>
        <v/>
      </c>
      <c r="AR59" s="14" t="str">
        <f>IF(OR($C59="01-09",$C59="10-14",$D59="Female"),"",INDEX(VMMC!$AB:$AB,MATCH($E59,VMMC!$E:$E,0)))</f>
        <v/>
      </c>
      <c r="AS59" s="14" t="str">
        <f>IF(OR($C59="01-09",$C59="10-14"),"",INDEX(PrEP!$Q:$Q,MATCH($E59,PrEP!$E:$E,0)))</f>
        <v/>
      </c>
      <c r="AT59" s="14" t="str">
        <f t="shared" si="20"/>
        <v/>
      </c>
      <c r="AU59" s="14" t="str">
        <f t="shared" si="21"/>
        <v/>
      </c>
      <c r="AV59" s="90" t="str">
        <f t="shared" si="22"/>
        <v/>
      </c>
      <c r="AW59" s="14"/>
      <c r="AX59" s="90" t="str">
        <f t="shared" si="23"/>
        <v/>
      </c>
      <c r="AY59" s="42" t="str">
        <f t="shared" si="24"/>
        <v/>
      </c>
      <c r="AZ59" s="90">
        <f t="shared" si="25"/>
        <v>1</v>
      </c>
      <c r="BA59" s="42" t="str">
        <f t="shared" si="26"/>
        <v/>
      </c>
    </row>
    <row r="60" spans="1:53" x14ac:dyDescent="0.2">
      <c r="A60" t="str">
        <f>INDEX(Prioritization!$D:$D,MATCH($B60,Prioritization!$A:$A,0))</f>
        <v>INVALID</v>
      </c>
      <c r="B60" t="s">
        <v>196</v>
      </c>
      <c r="C60" t="s">
        <v>366</v>
      </c>
      <c r="D60" t="s">
        <v>47</v>
      </c>
      <c r="E60" t="str">
        <f t="shared" si="0"/>
        <v>Kasungu District [JQKLKuVuY61]|35-49|Male</v>
      </c>
      <c r="F60" s="90">
        <f>IF(LEFT($B60,4)="_Mil","",INDEX(Cascade!$AA:$AA,MATCH($E60,Cascade!$E:$E,0)))</f>
        <v>1735</v>
      </c>
      <c r="G60" s="14">
        <f>INDEX(Cascade!$BH:$BH,MATCH($E60,Cascade!$E:$E,0))</f>
        <v>0</v>
      </c>
      <c r="H60" s="14" t="str">
        <f>IF(OR($C60="01-09",$D60="Male"),"",INDEX(PMTCT!$AC:$AC,MATCH($E60,PMTCT!$E:$E,0)))</f>
        <v/>
      </c>
      <c r="I60" s="14" t="str">
        <f>IF(OR($C60="01-09",$D60="Male"),"",INDEX(PMTCT!$AS:$AS,MATCH($E60,PMTCT!$E:$E,0)))</f>
        <v/>
      </c>
      <c r="J60" s="14" t="str">
        <f>INDEX(TB!$P:$P,MATCH($E60,TB!$E:$E,0))</f>
        <v/>
      </c>
      <c r="K60" s="14" t="str">
        <f>IF(OR($C60="01-09",$C60="10-14",$D60="Female"),"",INDEX(VMMC!$AA:$AA,MATCH($E60,VMMC!$E:$E,0)))</f>
        <v/>
      </c>
      <c r="L60" s="14">
        <f t="shared" si="1"/>
        <v>0</v>
      </c>
      <c r="M60" s="90" t="str">
        <f t="shared" si="2"/>
        <v/>
      </c>
      <c r="N60" s="90" t="str">
        <f t="shared" si="3"/>
        <v/>
      </c>
      <c r="O60" s="90" t="str">
        <f t="shared" si="4"/>
        <v/>
      </c>
      <c r="P60" s="90" t="str">
        <f t="shared" si="5"/>
        <v/>
      </c>
      <c r="Q60" s="90"/>
      <c r="R60" s="90"/>
      <c r="S60" s="90"/>
      <c r="T60" s="90"/>
      <c r="U60" s="90"/>
      <c r="V60" s="90" t="str">
        <f t="shared" si="6"/>
        <v/>
      </c>
      <c r="W60" s="90"/>
      <c r="X60" s="42" t="str">
        <f t="shared" si="7"/>
        <v/>
      </c>
      <c r="Y60" s="42" t="str">
        <f t="shared" si="8"/>
        <v/>
      </c>
      <c r="Z60" s="90"/>
      <c r="AA60" s="42" t="str">
        <f t="shared" si="9"/>
        <v/>
      </c>
      <c r="AB60" s="42" t="str">
        <f t="shared" si="10"/>
        <v/>
      </c>
      <c r="AC60" s="90"/>
      <c r="AD60" s="42" t="str">
        <f t="shared" si="11"/>
        <v/>
      </c>
      <c r="AE60" s="42" t="str">
        <f t="shared" si="12"/>
        <v/>
      </c>
      <c r="AF60" s="90"/>
      <c r="AG60" s="42" t="str">
        <f t="shared" si="13"/>
        <v/>
      </c>
      <c r="AH60" s="42" t="str">
        <f t="shared" si="14"/>
        <v/>
      </c>
      <c r="AI60" s="90"/>
      <c r="AJ60" s="42" t="str">
        <f t="shared" si="15"/>
        <v/>
      </c>
      <c r="AK60" s="42" t="str">
        <f t="shared" si="16"/>
        <v/>
      </c>
      <c r="AL60" s="14" t="str">
        <f t="shared" si="17"/>
        <v/>
      </c>
      <c r="AM60" s="14" t="str">
        <f t="shared" si="18"/>
        <v/>
      </c>
      <c r="AN60" s="14" t="str">
        <f t="shared" si="19"/>
        <v/>
      </c>
      <c r="AO60" s="14" t="str">
        <f>IF(OR($C60="01-09",$D60="Male"),"",INDEX(PMTCT!$AD:$AD,MATCH($E60,PMTCT!$E:$E,0)))</f>
        <v/>
      </c>
      <c r="AP60" s="14" t="str">
        <f>IF(OR($C60="01-09",$D60="Male"),"",INDEX(PMTCT!$AT:$AT,MATCH($E60,PMTCT!$E:$E,0)))</f>
        <v/>
      </c>
      <c r="AQ60" s="14" t="str">
        <f>INDEX(TB!$Q:$Q,MATCH($E60,TB!$E:$E,0))</f>
        <v/>
      </c>
      <c r="AR60" s="14" t="str">
        <f>IF(OR($C60="01-09",$C60="10-14",$D60="Female"),"",INDEX(VMMC!$AB:$AB,MATCH($E60,VMMC!$E:$E,0)))</f>
        <v/>
      </c>
      <c r="AS60" s="14" t="str">
        <f>IF(OR($C60="01-09",$C60="10-14"),"",INDEX(PrEP!$Q:$Q,MATCH($E60,PrEP!$E:$E,0)))</f>
        <v/>
      </c>
      <c r="AT60" s="14" t="str">
        <f t="shared" si="20"/>
        <v/>
      </c>
      <c r="AU60" s="14" t="str">
        <f t="shared" si="21"/>
        <v/>
      </c>
      <c r="AV60" s="90" t="str">
        <f t="shared" si="22"/>
        <v/>
      </c>
      <c r="AW60" s="14"/>
      <c r="AX60" s="90" t="str">
        <f t="shared" si="23"/>
        <v/>
      </c>
      <c r="AY60" s="42" t="str">
        <f t="shared" si="24"/>
        <v/>
      </c>
      <c r="AZ60" s="90">
        <f t="shared" si="25"/>
        <v>1</v>
      </c>
      <c r="BA60" s="42" t="str">
        <f t="shared" si="26"/>
        <v/>
      </c>
    </row>
    <row r="61" spans="1:53" x14ac:dyDescent="0.2">
      <c r="A61" t="str">
        <f>INDEX(Prioritization!$D:$D,MATCH($B61,Prioritization!$A:$A,0))</f>
        <v>INVALID</v>
      </c>
      <c r="B61" t="s">
        <v>196</v>
      </c>
      <c r="C61" t="s">
        <v>367</v>
      </c>
      <c r="D61" t="s">
        <v>29</v>
      </c>
      <c r="E61" t="str">
        <f t="shared" si="0"/>
        <v>Kasungu District [JQKLKuVuY61]|50+|Female</v>
      </c>
      <c r="F61" s="90">
        <f>IF(LEFT($B61,4)="_Mil","",INDEX(Cascade!$AA:$AA,MATCH($E61,Cascade!$E:$E,0)))</f>
        <v>1446</v>
      </c>
      <c r="G61" s="14">
        <f>INDEX(Cascade!$BH:$BH,MATCH($E61,Cascade!$E:$E,0))</f>
        <v>0</v>
      </c>
      <c r="H61" s="14" t="str">
        <f>IF(OR($C61="01-09",$D61="Male"),"",INDEX(PMTCT!$AC:$AC,MATCH($E61,PMTCT!$E:$E,0)))</f>
        <v/>
      </c>
      <c r="I61" s="14" t="str">
        <f>IF(OR($C61="01-09",$D61="Male"),"",INDEX(PMTCT!$AS:$AS,MATCH($E61,PMTCT!$E:$E,0)))</f>
        <v/>
      </c>
      <c r="J61" s="14" t="str">
        <f>INDEX(TB!$P:$P,MATCH($E61,TB!$E:$E,0))</f>
        <v/>
      </c>
      <c r="K61" s="14" t="str">
        <f>IF(OR($C61="01-09",$C61="10-14",$D61="Female"),"",INDEX(VMMC!$AA:$AA,MATCH($E61,VMMC!$E:$E,0)))</f>
        <v/>
      </c>
      <c r="L61" s="14">
        <f t="shared" si="1"/>
        <v>0</v>
      </c>
      <c r="M61" s="90" t="str">
        <f t="shared" si="2"/>
        <v/>
      </c>
      <c r="N61" s="90" t="str">
        <f t="shared" si="3"/>
        <v/>
      </c>
      <c r="O61" s="90" t="str">
        <f t="shared" si="4"/>
        <v/>
      </c>
      <c r="P61" s="90" t="str">
        <f t="shared" si="5"/>
        <v/>
      </c>
      <c r="Q61" s="90"/>
      <c r="R61" s="90"/>
      <c r="S61" s="90"/>
      <c r="T61" s="90"/>
      <c r="U61" s="90">
        <v>0.72243742505088404</v>
      </c>
      <c r="V61" s="90" t="str">
        <f t="shared" si="6"/>
        <v/>
      </c>
      <c r="W61" s="90"/>
      <c r="X61" s="42" t="str">
        <f t="shared" si="7"/>
        <v/>
      </c>
      <c r="Y61" s="42" t="str">
        <f t="shared" si="8"/>
        <v/>
      </c>
      <c r="Z61" s="90"/>
      <c r="AA61" s="42" t="str">
        <f t="shared" si="9"/>
        <v/>
      </c>
      <c r="AB61" s="42" t="str">
        <f t="shared" si="10"/>
        <v/>
      </c>
      <c r="AC61" s="90"/>
      <c r="AD61" s="42" t="str">
        <f t="shared" si="11"/>
        <v/>
      </c>
      <c r="AE61" s="42" t="str">
        <f t="shared" si="12"/>
        <v/>
      </c>
      <c r="AF61" s="90"/>
      <c r="AG61" s="42" t="str">
        <f t="shared" si="13"/>
        <v/>
      </c>
      <c r="AH61" s="42" t="str">
        <f t="shared" si="14"/>
        <v/>
      </c>
      <c r="AI61" s="90"/>
      <c r="AJ61" s="42" t="str">
        <f t="shared" si="15"/>
        <v/>
      </c>
      <c r="AK61" s="42" t="str">
        <f t="shared" si="16"/>
        <v/>
      </c>
      <c r="AL61" s="14" t="str">
        <f t="shared" si="17"/>
        <v/>
      </c>
      <c r="AM61" s="14" t="str">
        <f t="shared" si="18"/>
        <v/>
      </c>
      <c r="AN61" s="14" t="str">
        <f t="shared" si="19"/>
        <v/>
      </c>
      <c r="AO61" s="14" t="str">
        <f>IF(OR($C61="01-09",$D61="Male"),"",INDEX(PMTCT!$AD:$AD,MATCH($E61,PMTCT!$E:$E,0)))</f>
        <v/>
      </c>
      <c r="AP61" s="14" t="str">
        <f>IF(OR($C61="01-09",$D61="Male"),"",INDEX(PMTCT!$AT:$AT,MATCH($E61,PMTCT!$E:$E,0)))</f>
        <v/>
      </c>
      <c r="AQ61" s="14" t="str">
        <f>INDEX(TB!$Q:$Q,MATCH($E61,TB!$E:$E,0))</f>
        <v/>
      </c>
      <c r="AR61" s="14" t="str">
        <f>IF(OR($C61="01-09",$C61="10-14",$D61="Female"),"",INDEX(VMMC!$AB:$AB,MATCH($E61,VMMC!$E:$E,0)))</f>
        <v/>
      </c>
      <c r="AS61" s="14" t="str">
        <f>IF(OR($C61="01-09",$C61="10-14"),"",INDEX(PrEP!$Q:$Q,MATCH($E61,PrEP!$E:$E,0)))</f>
        <v/>
      </c>
      <c r="AT61" s="14" t="str">
        <f t="shared" si="20"/>
        <v/>
      </c>
      <c r="AU61" s="14" t="str">
        <f t="shared" si="21"/>
        <v/>
      </c>
      <c r="AV61" s="90" t="str">
        <f t="shared" si="22"/>
        <v/>
      </c>
      <c r="AW61" s="14">
        <v>9</v>
      </c>
      <c r="AX61" s="90">
        <f t="shared" si="23"/>
        <v>0</v>
      </c>
      <c r="AY61" s="42">
        <f t="shared" si="24"/>
        <v>9</v>
      </c>
      <c r="AZ61" s="90">
        <f t="shared" si="25"/>
        <v>1</v>
      </c>
      <c r="BA61" s="42" t="str">
        <f t="shared" si="26"/>
        <v/>
      </c>
    </row>
    <row r="62" spans="1:53" x14ac:dyDescent="0.2">
      <c r="A62" t="str">
        <f>INDEX(Prioritization!$D:$D,MATCH($B62,Prioritization!$A:$A,0))</f>
        <v>INVALID</v>
      </c>
      <c r="B62" t="s">
        <v>196</v>
      </c>
      <c r="C62" t="s">
        <v>367</v>
      </c>
      <c r="D62" t="s">
        <v>47</v>
      </c>
      <c r="E62" t="str">
        <f t="shared" si="0"/>
        <v>Kasungu District [JQKLKuVuY61]|50+|Male</v>
      </c>
      <c r="F62" s="90">
        <f>IF(LEFT($B62,4)="_Mil","",INDEX(Cascade!$AA:$AA,MATCH($E62,Cascade!$E:$E,0)))</f>
        <v>501.00000000000006</v>
      </c>
      <c r="G62" s="14">
        <f>INDEX(Cascade!$BH:$BH,MATCH($E62,Cascade!$E:$E,0))</f>
        <v>0</v>
      </c>
      <c r="H62" s="14" t="str">
        <f>IF(OR($C62="01-09",$D62="Male"),"",INDEX(PMTCT!$AC:$AC,MATCH($E62,PMTCT!$E:$E,0)))</f>
        <v/>
      </c>
      <c r="I62" s="14" t="str">
        <f>IF(OR($C62="01-09",$D62="Male"),"",INDEX(PMTCT!$AS:$AS,MATCH($E62,PMTCT!$E:$E,0)))</f>
        <v/>
      </c>
      <c r="J62" s="14" t="str">
        <f>INDEX(TB!$P:$P,MATCH($E62,TB!$E:$E,0))</f>
        <v/>
      </c>
      <c r="K62" s="14" t="str">
        <f>IF(OR($C62="01-09",$C62="10-14",$D62="Female"),"",INDEX(VMMC!$AA:$AA,MATCH($E62,VMMC!$E:$E,0)))</f>
        <v/>
      </c>
      <c r="L62" s="14">
        <f t="shared" si="1"/>
        <v>0</v>
      </c>
      <c r="M62" s="90" t="str">
        <f t="shared" si="2"/>
        <v/>
      </c>
      <c r="N62" s="90" t="str">
        <f t="shared" si="3"/>
        <v/>
      </c>
      <c r="O62" s="90" t="str">
        <f t="shared" si="4"/>
        <v/>
      </c>
      <c r="P62" s="90" t="str">
        <f t="shared" si="5"/>
        <v/>
      </c>
      <c r="Q62" s="90"/>
      <c r="R62" s="90"/>
      <c r="S62" s="90"/>
      <c r="T62" s="90"/>
      <c r="U62" s="90">
        <v>0.39891774370334998</v>
      </c>
      <c r="V62" s="90" t="str">
        <f t="shared" si="6"/>
        <v/>
      </c>
      <c r="W62" s="90"/>
      <c r="X62" s="42" t="str">
        <f t="shared" si="7"/>
        <v/>
      </c>
      <c r="Y62" s="42" t="str">
        <f t="shared" si="8"/>
        <v/>
      </c>
      <c r="Z62" s="90"/>
      <c r="AA62" s="42" t="str">
        <f t="shared" si="9"/>
        <v/>
      </c>
      <c r="AB62" s="42" t="str">
        <f t="shared" si="10"/>
        <v/>
      </c>
      <c r="AC62" s="90"/>
      <c r="AD62" s="42" t="str">
        <f t="shared" si="11"/>
        <v/>
      </c>
      <c r="AE62" s="42" t="str">
        <f t="shared" si="12"/>
        <v/>
      </c>
      <c r="AF62" s="90"/>
      <c r="AG62" s="42" t="str">
        <f t="shared" si="13"/>
        <v/>
      </c>
      <c r="AH62" s="42" t="str">
        <f t="shared" si="14"/>
        <v/>
      </c>
      <c r="AI62" s="90"/>
      <c r="AJ62" s="42" t="str">
        <f t="shared" si="15"/>
        <v/>
      </c>
      <c r="AK62" s="42" t="str">
        <f t="shared" si="16"/>
        <v/>
      </c>
      <c r="AL62" s="14" t="str">
        <f t="shared" si="17"/>
        <v/>
      </c>
      <c r="AM62" s="14" t="str">
        <f t="shared" si="18"/>
        <v/>
      </c>
      <c r="AN62" s="14" t="str">
        <f t="shared" si="19"/>
        <v/>
      </c>
      <c r="AO62" s="14" t="str">
        <f>IF(OR($C62="01-09",$D62="Male"),"",INDEX(PMTCT!$AD:$AD,MATCH($E62,PMTCT!$E:$E,0)))</f>
        <v/>
      </c>
      <c r="AP62" s="14" t="str">
        <f>IF(OR($C62="01-09",$D62="Male"),"",INDEX(PMTCT!$AT:$AT,MATCH($E62,PMTCT!$E:$E,0)))</f>
        <v/>
      </c>
      <c r="AQ62" s="14" t="str">
        <f>INDEX(TB!$Q:$Q,MATCH($E62,TB!$E:$E,0))</f>
        <v/>
      </c>
      <c r="AR62" s="14" t="str">
        <f>IF(OR($C62="01-09",$C62="10-14",$D62="Female"),"",INDEX(VMMC!$AB:$AB,MATCH($E62,VMMC!$E:$E,0)))</f>
        <v/>
      </c>
      <c r="AS62" s="14" t="str">
        <f>IF(OR($C62="01-09",$C62="10-14"),"",INDEX(PrEP!$Q:$Q,MATCH($E62,PrEP!$E:$E,0)))</f>
        <v/>
      </c>
      <c r="AT62" s="14" t="str">
        <f t="shared" si="20"/>
        <v/>
      </c>
      <c r="AU62" s="14" t="str">
        <f t="shared" si="21"/>
        <v/>
      </c>
      <c r="AV62" s="90" t="str">
        <f t="shared" si="22"/>
        <v/>
      </c>
      <c r="AW62" s="14">
        <v>2</v>
      </c>
      <c r="AX62" s="90">
        <f t="shared" si="23"/>
        <v>0</v>
      </c>
      <c r="AY62" s="42">
        <f t="shared" si="24"/>
        <v>2</v>
      </c>
      <c r="AZ62" s="90">
        <f t="shared" si="25"/>
        <v>1</v>
      </c>
      <c r="BA62" s="42" t="str">
        <f t="shared" si="26"/>
        <v/>
      </c>
    </row>
    <row r="63" spans="1:53" x14ac:dyDescent="0.2">
      <c r="A63" t="str">
        <f>INDEX(Prioritization!$D:$D,MATCH($B63,Prioritization!$A:$A,0))</f>
        <v>1 - Scale-up: Saturation</v>
      </c>
      <c r="B63" t="s">
        <v>197</v>
      </c>
      <c r="C63" t="s">
        <v>362</v>
      </c>
      <c r="D63" t="s">
        <v>29</v>
      </c>
      <c r="E63" t="str">
        <f t="shared" si="0"/>
        <v>Lilongwe District [ScR9iFKAasW]|01-09|Female</v>
      </c>
      <c r="F63" s="90">
        <f>IF(LEFT($B63,4)="_Mil","",INDEX(Cascade!$AA:$AA,MATCH($E63,Cascade!$E:$E,0)))</f>
        <v>997</v>
      </c>
      <c r="G63" s="14">
        <f>INDEX(Cascade!$BH:$BH,MATCH($E63,Cascade!$E:$E,0))</f>
        <v>0</v>
      </c>
      <c r="H63" s="14" t="str">
        <f>IF(OR($C63="01-09",$D63="Male"),"",INDEX(PMTCT!$AC:$AC,MATCH($E63,PMTCT!$E:$E,0)))</f>
        <v/>
      </c>
      <c r="I63" s="14" t="str">
        <f>IF(OR($C63="01-09",$D63="Male"),"",INDEX(PMTCT!$AS:$AS,MATCH($E63,PMTCT!$E:$E,0)))</f>
        <v/>
      </c>
      <c r="J63" s="14" t="str">
        <f>INDEX(TB!$P:$P,MATCH($E63,TB!$E:$E,0))</f>
        <v/>
      </c>
      <c r="K63" s="14" t="str">
        <f>IF(OR($C63="01-09",$C63="10-14",$D63="Female"),"",INDEX(VMMC!$AA:$AA,MATCH($E63,VMMC!$E:$E,0)))</f>
        <v/>
      </c>
      <c r="L63" s="14">
        <f t="shared" si="1"/>
        <v>0</v>
      </c>
      <c r="M63" s="90" t="str">
        <f t="shared" si="2"/>
        <v/>
      </c>
      <c r="N63" s="90" t="str">
        <f t="shared" si="3"/>
        <v/>
      </c>
      <c r="O63" s="90" t="str">
        <f t="shared" si="4"/>
        <v/>
      </c>
      <c r="P63" s="90" t="str">
        <f t="shared" si="5"/>
        <v/>
      </c>
      <c r="Q63" s="90"/>
      <c r="R63" s="90"/>
      <c r="S63" s="90"/>
      <c r="T63" s="90"/>
      <c r="U63" s="90"/>
      <c r="V63" s="90" t="str">
        <f t="shared" si="6"/>
        <v/>
      </c>
      <c r="W63" s="90"/>
      <c r="X63" s="42" t="str">
        <f t="shared" si="7"/>
        <v/>
      </c>
      <c r="Y63" s="42" t="str">
        <f t="shared" si="8"/>
        <v/>
      </c>
      <c r="Z63" s="90"/>
      <c r="AA63" s="42" t="str">
        <f t="shared" si="9"/>
        <v/>
      </c>
      <c r="AB63" s="42" t="str">
        <f t="shared" si="10"/>
        <v/>
      </c>
      <c r="AC63" s="90"/>
      <c r="AD63" s="42" t="str">
        <f t="shared" si="11"/>
        <v/>
      </c>
      <c r="AE63" s="42" t="str">
        <f t="shared" si="12"/>
        <v/>
      </c>
      <c r="AF63" s="90"/>
      <c r="AG63" s="42" t="str">
        <f t="shared" si="13"/>
        <v/>
      </c>
      <c r="AH63" s="42" t="str">
        <f t="shared" si="14"/>
        <v/>
      </c>
      <c r="AI63" s="90"/>
      <c r="AJ63" s="42" t="str">
        <f t="shared" si="15"/>
        <v/>
      </c>
      <c r="AK63" s="42" t="str">
        <f t="shared" si="16"/>
        <v/>
      </c>
      <c r="AL63" s="14" t="str">
        <f t="shared" si="17"/>
        <v/>
      </c>
      <c r="AM63" s="14" t="str">
        <f t="shared" si="18"/>
        <v/>
      </c>
      <c r="AN63" s="14" t="str">
        <f t="shared" si="19"/>
        <v/>
      </c>
      <c r="AO63" s="14" t="str">
        <f>IF(OR($C63="01-09",$D63="Male"),"",INDEX(PMTCT!$AD:$AD,MATCH($E63,PMTCT!$E:$E,0)))</f>
        <v/>
      </c>
      <c r="AP63" s="14" t="str">
        <f>IF(OR($C63="01-09",$D63="Male"),"",INDEX(PMTCT!$AT:$AT,MATCH($E63,PMTCT!$E:$E,0)))</f>
        <v/>
      </c>
      <c r="AQ63" s="14" t="str">
        <f>INDEX(TB!$Q:$Q,MATCH($E63,TB!$E:$E,0))</f>
        <v/>
      </c>
      <c r="AR63" s="14" t="str">
        <f>IF(OR($C63="01-09",$C63="10-14",$D63="Female"),"",INDEX(VMMC!$AB:$AB,MATCH($E63,VMMC!$E:$E,0)))</f>
        <v/>
      </c>
      <c r="AS63" s="14" t="str">
        <f>IF(OR($C63="01-09",$C63="10-14"),"",INDEX(PrEP!$Q:$Q,MATCH($E63,PrEP!$E:$E,0)))</f>
        <v/>
      </c>
      <c r="AT63" s="14" t="str">
        <f t="shared" si="20"/>
        <v/>
      </c>
      <c r="AU63" s="14" t="str">
        <f t="shared" si="21"/>
        <v/>
      </c>
      <c r="AV63" s="90" t="str">
        <f t="shared" si="22"/>
        <v/>
      </c>
      <c r="AW63" s="14"/>
      <c r="AX63" s="90" t="str">
        <f t="shared" si="23"/>
        <v/>
      </c>
      <c r="AY63" s="42" t="str">
        <f t="shared" si="24"/>
        <v/>
      </c>
      <c r="AZ63" s="90" t="str">
        <f t="shared" si="25"/>
        <v/>
      </c>
      <c r="BA63" s="42" t="str">
        <f t="shared" si="26"/>
        <v/>
      </c>
    </row>
    <row r="64" spans="1:53" x14ac:dyDescent="0.2">
      <c r="A64" t="str">
        <f>INDEX(Prioritization!$D:$D,MATCH($B64,Prioritization!$A:$A,0))</f>
        <v>1 - Scale-up: Saturation</v>
      </c>
      <c r="B64" t="s">
        <v>197</v>
      </c>
      <c r="C64" t="s">
        <v>362</v>
      </c>
      <c r="D64" t="s">
        <v>47</v>
      </c>
      <c r="E64" t="str">
        <f t="shared" si="0"/>
        <v>Lilongwe District [ScR9iFKAasW]|01-09|Male</v>
      </c>
      <c r="F64" s="90">
        <f>IF(LEFT($B64,4)="_Mil","",INDEX(Cascade!$AA:$AA,MATCH($E64,Cascade!$E:$E,0)))</f>
        <v>1709</v>
      </c>
      <c r="G64" s="14">
        <f>INDEX(Cascade!$BH:$BH,MATCH($E64,Cascade!$E:$E,0))</f>
        <v>0</v>
      </c>
      <c r="H64" s="14" t="str">
        <f>IF(OR($C64="01-09",$D64="Male"),"",INDEX(PMTCT!$AC:$AC,MATCH($E64,PMTCT!$E:$E,0)))</f>
        <v/>
      </c>
      <c r="I64" s="14" t="str">
        <f>IF(OR($C64="01-09",$D64="Male"),"",INDEX(PMTCT!$AS:$AS,MATCH($E64,PMTCT!$E:$E,0)))</f>
        <v/>
      </c>
      <c r="J64" s="14" t="str">
        <f>INDEX(TB!$P:$P,MATCH($E64,TB!$E:$E,0))</f>
        <v/>
      </c>
      <c r="K64" s="14" t="str">
        <f>IF(OR($C64="01-09",$C64="10-14",$D64="Female"),"",INDEX(VMMC!$AA:$AA,MATCH($E64,VMMC!$E:$E,0)))</f>
        <v/>
      </c>
      <c r="L64" s="14">
        <f t="shared" si="1"/>
        <v>0</v>
      </c>
      <c r="M64" s="90" t="str">
        <f t="shared" si="2"/>
        <v/>
      </c>
      <c r="N64" s="90" t="str">
        <f t="shared" si="3"/>
        <v/>
      </c>
      <c r="O64" s="90" t="str">
        <f t="shared" si="4"/>
        <v/>
      </c>
      <c r="P64" s="90" t="str">
        <f t="shared" si="5"/>
        <v/>
      </c>
      <c r="Q64" s="90"/>
      <c r="R64" s="90"/>
      <c r="S64" s="90"/>
      <c r="T64" s="90"/>
      <c r="U64" s="90"/>
      <c r="V64" s="90" t="str">
        <f t="shared" si="6"/>
        <v/>
      </c>
      <c r="W64" s="90"/>
      <c r="X64" s="42" t="str">
        <f t="shared" si="7"/>
        <v/>
      </c>
      <c r="Y64" s="42" t="str">
        <f t="shared" si="8"/>
        <v/>
      </c>
      <c r="Z64" s="90"/>
      <c r="AA64" s="42" t="str">
        <f t="shared" si="9"/>
        <v/>
      </c>
      <c r="AB64" s="42" t="str">
        <f t="shared" si="10"/>
        <v/>
      </c>
      <c r="AC64" s="90"/>
      <c r="AD64" s="42" t="str">
        <f t="shared" si="11"/>
        <v/>
      </c>
      <c r="AE64" s="42" t="str">
        <f t="shared" si="12"/>
        <v/>
      </c>
      <c r="AF64" s="90"/>
      <c r="AG64" s="42" t="str">
        <f t="shared" si="13"/>
        <v/>
      </c>
      <c r="AH64" s="42" t="str">
        <f t="shared" si="14"/>
        <v/>
      </c>
      <c r="AI64" s="90"/>
      <c r="AJ64" s="42" t="str">
        <f t="shared" si="15"/>
        <v/>
      </c>
      <c r="AK64" s="42" t="str">
        <f t="shared" si="16"/>
        <v/>
      </c>
      <c r="AL64" s="14" t="str">
        <f t="shared" si="17"/>
        <v/>
      </c>
      <c r="AM64" s="14" t="str">
        <f t="shared" si="18"/>
        <v/>
      </c>
      <c r="AN64" s="14" t="str">
        <f t="shared" si="19"/>
        <v/>
      </c>
      <c r="AO64" s="14" t="str">
        <f>IF(OR($C64="01-09",$D64="Male"),"",INDEX(PMTCT!$AD:$AD,MATCH($E64,PMTCT!$E:$E,0)))</f>
        <v/>
      </c>
      <c r="AP64" s="14" t="str">
        <f>IF(OR($C64="01-09",$D64="Male"),"",INDEX(PMTCT!$AT:$AT,MATCH($E64,PMTCT!$E:$E,0)))</f>
        <v/>
      </c>
      <c r="AQ64" s="14" t="str">
        <f>INDEX(TB!$Q:$Q,MATCH($E64,TB!$E:$E,0))</f>
        <v/>
      </c>
      <c r="AR64" s="14" t="str">
        <f>IF(OR($C64="01-09",$C64="10-14",$D64="Female"),"",INDEX(VMMC!$AB:$AB,MATCH($E64,VMMC!$E:$E,0)))</f>
        <v/>
      </c>
      <c r="AS64" s="14" t="str">
        <f>IF(OR($C64="01-09",$C64="10-14"),"",INDEX(PrEP!$Q:$Q,MATCH($E64,PrEP!$E:$E,0)))</f>
        <v/>
      </c>
      <c r="AT64" s="14" t="str">
        <f t="shared" si="20"/>
        <v/>
      </c>
      <c r="AU64" s="14" t="str">
        <f t="shared" si="21"/>
        <v/>
      </c>
      <c r="AV64" s="90" t="str">
        <f t="shared" si="22"/>
        <v/>
      </c>
      <c r="AW64" s="14"/>
      <c r="AX64" s="90" t="str">
        <f t="shared" si="23"/>
        <v/>
      </c>
      <c r="AY64" s="42" t="str">
        <f t="shared" si="24"/>
        <v/>
      </c>
      <c r="AZ64" s="90" t="str">
        <f t="shared" si="25"/>
        <v/>
      </c>
      <c r="BA64" s="42" t="str">
        <f t="shared" si="26"/>
        <v/>
      </c>
    </row>
    <row r="65" spans="1:53" x14ac:dyDescent="0.2">
      <c r="A65" t="str">
        <f>INDEX(Prioritization!$D:$D,MATCH($B65,Prioritization!$A:$A,0))</f>
        <v>1 - Scale-up: Saturation</v>
      </c>
      <c r="B65" t="s">
        <v>197</v>
      </c>
      <c r="C65" t="s">
        <v>363</v>
      </c>
      <c r="D65" t="s">
        <v>29</v>
      </c>
      <c r="E65" t="str">
        <f t="shared" si="0"/>
        <v>Lilongwe District [ScR9iFKAasW]|10-14|Female</v>
      </c>
      <c r="F65" s="90">
        <f>IF(LEFT($B65,4)="_Mil","",INDEX(Cascade!$AA:$AA,MATCH($E65,Cascade!$E:$E,0)))</f>
        <v>1545</v>
      </c>
      <c r="G65" s="14">
        <f>INDEX(Cascade!$BH:$BH,MATCH($E65,Cascade!$E:$E,0))</f>
        <v>-431</v>
      </c>
      <c r="H65" s="14" t="str">
        <f>IF(OR($C65="01-09",$D65="Male"),"",INDEX(PMTCT!$AC:$AC,MATCH($E65,PMTCT!$E:$E,0)))</f>
        <v>ENTER YIELD RATE</v>
      </c>
      <c r="I65" s="14">
        <f>IF(OR($C65="01-09",$D65="Male"),"",INDEX(PMTCT!$AS:$AS,MATCH($E65,PMTCT!$E:$E,0)))</f>
        <v>14</v>
      </c>
      <c r="J65" s="14" t="str">
        <f>INDEX(TB!$P:$P,MATCH($E65,TB!$E:$E,0))</f>
        <v>ENTER YIELD RATE</v>
      </c>
      <c r="K65" s="14" t="str">
        <f>IF(OR($C65="01-09",$C65="10-14",$D65="Female"),"",INDEX(VMMC!$AA:$AA,MATCH($E65,VMMC!$E:$E,0)))</f>
        <v/>
      </c>
      <c r="L65" s="14">
        <f t="shared" si="1"/>
        <v>-445</v>
      </c>
      <c r="M65" s="90">
        <f t="shared" si="2"/>
        <v>0</v>
      </c>
      <c r="N65" s="90">
        <f t="shared" si="3"/>
        <v>-3.248259860788863E-2</v>
      </c>
      <c r="O65" s="90">
        <f t="shared" si="4"/>
        <v>0</v>
      </c>
      <c r="P65" s="90" t="str">
        <f t="shared" si="5"/>
        <v/>
      </c>
      <c r="Q65" s="90">
        <v>0.50763368606567405</v>
      </c>
      <c r="R65" s="90"/>
      <c r="S65" s="90"/>
      <c r="T65" s="90"/>
      <c r="U65" s="90">
        <v>0.99360136152245104</v>
      </c>
      <c r="V65" s="90">
        <f t="shared" si="6"/>
        <v>1.4687524489802364</v>
      </c>
      <c r="W65" s="90"/>
      <c r="X65" s="42">
        <f t="shared" si="7"/>
        <v>-219</v>
      </c>
      <c r="Y65" s="42" t="str">
        <f t="shared" si="8"/>
        <v>ENTER YIELD</v>
      </c>
      <c r="Z65" s="90"/>
      <c r="AA65" s="42" t="str">
        <f t="shared" si="9"/>
        <v/>
      </c>
      <c r="AB65" s="42" t="str">
        <f t="shared" si="10"/>
        <v/>
      </c>
      <c r="AC65" s="90"/>
      <c r="AD65" s="42" t="str">
        <f t="shared" si="11"/>
        <v/>
      </c>
      <c r="AE65" s="42" t="str">
        <f t="shared" si="12"/>
        <v/>
      </c>
      <c r="AF65" s="90"/>
      <c r="AG65" s="42" t="str">
        <f t="shared" si="13"/>
        <v/>
      </c>
      <c r="AH65" s="42" t="str">
        <f t="shared" si="14"/>
        <v/>
      </c>
      <c r="AI65" s="90">
        <v>0.497707082424313</v>
      </c>
      <c r="AJ65" s="42">
        <f t="shared" si="15"/>
        <v>-428</v>
      </c>
      <c r="AK65" s="42">
        <f t="shared" si="16"/>
        <v>-432</v>
      </c>
      <c r="AL65" s="14">
        <f t="shared" si="17"/>
        <v>-431</v>
      </c>
      <c r="AM65" s="14">
        <f t="shared" si="18"/>
        <v>-633</v>
      </c>
      <c r="AN65" s="14">
        <f t="shared" si="19"/>
        <v>-202</v>
      </c>
      <c r="AO65" s="14">
        <f>IF(OR($C65="01-09",$D65="Male"),"",INDEX(PMTCT!$AD:$AD,MATCH($E65,PMTCT!$E:$E,0)))</f>
        <v>19</v>
      </c>
      <c r="AP65" s="14">
        <f>IF(OR($C65="01-09",$D65="Male"),"",INDEX(PMTCT!$AT:$AT,MATCH($E65,PMTCT!$E:$E,0)))</f>
        <v>5</v>
      </c>
      <c r="AQ65" s="14">
        <f>INDEX(TB!$Q:$Q,MATCH($E65,TB!$E:$E,0))</f>
        <v>8</v>
      </c>
      <c r="AR65" s="14" t="str">
        <f>IF(OR($C65="01-09",$C65="10-14",$D65="Female"),"",INDEX(VMMC!$AB:$AB,MATCH($E65,VMMC!$E:$E,0)))</f>
        <v/>
      </c>
      <c r="AS65" s="14" t="str">
        <f>IF(OR($C65="01-09",$C65="10-14"),"",INDEX(PrEP!$Q:$Q,MATCH($E65,PrEP!$E:$E,0)))</f>
        <v/>
      </c>
      <c r="AT65" s="14">
        <f t="shared" si="20"/>
        <v>-400</v>
      </c>
      <c r="AU65" s="14">
        <f t="shared" si="21"/>
        <v>-1033</v>
      </c>
      <c r="AV65" s="90">
        <f t="shared" si="22"/>
        <v>0.61277831558567275</v>
      </c>
      <c r="AW65" s="14"/>
      <c r="AX65" s="90" t="str">
        <f t="shared" si="23"/>
        <v/>
      </c>
      <c r="AY65" s="42" t="str">
        <f t="shared" si="24"/>
        <v/>
      </c>
      <c r="AZ65" s="90" t="str">
        <f t="shared" si="25"/>
        <v/>
      </c>
      <c r="BA65" s="42" t="str">
        <f t="shared" si="26"/>
        <v/>
      </c>
    </row>
    <row r="66" spans="1:53" x14ac:dyDescent="0.2">
      <c r="A66" t="str">
        <f>INDEX(Prioritization!$D:$D,MATCH($B66,Prioritization!$A:$A,0))</f>
        <v>1 - Scale-up: Saturation</v>
      </c>
      <c r="B66" t="s">
        <v>197</v>
      </c>
      <c r="C66" t="s">
        <v>363</v>
      </c>
      <c r="D66" t="s">
        <v>47</v>
      </c>
      <c r="E66" t="str">
        <f t="shared" si="0"/>
        <v>Lilongwe District [ScR9iFKAasW]|10-14|Male</v>
      </c>
      <c r="F66" s="90">
        <f>IF(LEFT($B66,4)="_Mil","",INDEX(Cascade!$AA:$AA,MATCH($E66,Cascade!$E:$E,0)))</f>
        <v>1220</v>
      </c>
      <c r="G66" s="14">
        <f>INDEX(Cascade!$BH:$BH,MATCH($E66,Cascade!$E:$E,0))</f>
        <v>-777</v>
      </c>
      <c r="H66" s="14" t="str">
        <f>IF(OR($C66="01-09",$D66="Male"),"",INDEX(PMTCT!$AC:$AC,MATCH($E66,PMTCT!$E:$E,0)))</f>
        <v/>
      </c>
      <c r="I66" s="14" t="str">
        <f>IF(OR($C66="01-09",$D66="Male"),"",INDEX(PMTCT!$AS:$AS,MATCH($E66,PMTCT!$E:$E,0)))</f>
        <v/>
      </c>
      <c r="J66" s="14" t="str">
        <f>INDEX(TB!$P:$P,MATCH($E66,TB!$E:$E,0))</f>
        <v>ENTER YIELD RATE</v>
      </c>
      <c r="K66" s="14" t="str">
        <f>IF(OR($C66="01-09",$C66="10-14",$D66="Female"),"",INDEX(VMMC!$AA:$AA,MATCH($E66,VMMC!$E:$E,0)))</f>
        <v/>
      </c>
      <c r="L66" s="14">
        <f t="shared" si="1"/>
        <v>-777</v>
      </c>
      <c r="M66" s="90" t="str">
        <f t="shared" si="2"/>
        <v/>
      </c>
      <c r="N66" s="90" t="str">
        <f t="shared" si="3"/>
        <v/>
      </c>
      <c r="O66" s="90">
        <f t="shared" si="4"/>
        <v>0</v>
      </c>
      <c r="P66" s="90" t="str">
        <f t="shared" si="5"/>
        <v/>
      </c>
      <c r="Q66" s="90">
        <v>0.15653834445402001</v>
      </c>
      <c r="R66" s="90"/>
      <c r="S66" s="90"/>
      <c r="T66" s="90"/>
      <c r="U66" s="90">
        <v>0.82161112222820498</v>
      </c>
      <c r="V66" s="90">
        <f t="shared" si="6"/>
        <v>0.97814946668222502</v>
      </c>
      <c r="W66" s="90"/>
      <c r="X66" s="42">
        <f t="shared" si="7"/>
        <v>-122</v>
      </c>
      <c r="Y66" s="42" t="str">
        <f t="shared" si="8"/>
        <v>ENTER YIELD</v>
      </c>
      <c r="Z66" s="90"/>
      <c r="AA66" s="42" t="str">
        <f t="shared" si="9"/>
        <v/>
      </c>
      <c r="AB66" s="42" t="str">
        <f t="shared" si="10"/>
        <v/>
      </c>
      <c r="AC66" s="90"/>
      <c r="AD66" s="42" t="str">
        <f t="shared" si="11"/>
        <v/>
      </c>
      <c r="AE66" s="42" t="str">
        <f t="shared" si="12"/>
        <v/>
      </c>
      <c r="AF66" s="90"/>
      <c r="AG66" s="42" t="str">
        <f t="shared" si="13"/>
        <v/>
      </c>
      <c r="AH66" s="42" t="str">
        <f t="shared" si="14"/>
        <v/>
      </c>
      <c r="AI66" s="90">
        <v>0.398270906182006</v>
      </c>
      <c r="AJ66" s="42">
        <f t="shared" si="15"/>
        <v>-638</v>
      </c>
      <c r="AK66" s="42">
        <f t="shared" si="16"/>
        <v>-964</v>
      </c>
      <c r="AL66" s="14">
        <f t="shared" si="17"/>
        <v>-777</v>
      </c>
      <c r="AM66" s="14">
        <f t="shared" si="18"/>
        <v>-760</v>
      </c>
      <c r="AN66" s="14">
        <f t="shared" si="19"/>
        <v>17</v>
      </c>
      <c r="AO66" s="14" t="str">
        <f>IF(OR($C66="01-09",$D66="Male"),"",INDEX(PMTCT!$AD:$AD,MATCH($E66,PMTCT!$E:$E,0)))</f>
        <v/>
      </c>
      <c r="AP66" s="14" t="str">
        <f>IF(OR($C66="01-09",$D66="Male"),"",INDEX(PMTCT!$AT:$AT,MATCH($E66,PMTCT!$E:$E,0)))</f>
        <v/>
      </c>
      <c r="AQ66" s="14">
        <f>INDEX(TB!$Q:$Q,MATCH($E66,TB!$E:$E,0))</f>
        <v>3</v>
      </c>
      <c r="AR66" s="14" t="str">
        <f>IF(OR($C66="01-09",$C66="10-14",$D66="Female"),"",INDEX(VMMC!$AB:$AB,MATCH($E66,VMMC!$E:$E,0)))</f>
        <v/>
      </c>
      <c r="AS66" s="14" t="str">
        <f>IF(OR($C66="01-09",$C66="10-14"),"",INDEX(PrEP!$Q:$Q,MATCH($E66,PrEP!$E:$E,0)))</f>
        <v/>
      </c>
      <c r="AT66" s="14">
        <f t="shared" si="20"/>
        <v>-960.99999999999989</v>
      </c>
      <c r="AU66" s="14">
        <f t="shared" si="21"/>
        <v>-1721</v>
      </c>
      <c r="AV66" s="90">
        <f t="shared" si="22"/>
        <v>0.44160371876815807</v>
      </c>
      <c r="AW66" s="14"/>
      <c r="AX66" s="90" t="str">
        <f t="shared" si="23"/>
        <v/>
      </c>
      <c r="AY66" s="42" t="str">
        <f t="shared" si="24"/>
        <v/>
      </c>
      <c r="AZ66" s="90" t="str">
        <f t="shared" si="25"/>
        <v/>
      </c>
      <c r="BA66" s="42" t="str">
        <f t="shared" si="26"/>
        <v/>
      </c>
    </row>
    <row r="67" spans="1:53" x14ac:dyDescent="0.2">
      <c r="A67" t="str">
        <f>INDEX(Prioritization!$D:$D,MATCH($B67,Prioritization!$A:$A,0))</f>
        <v>1 - Scale-up: Saturation</v>
      </c>
      <c r="B67" t="s">
        <v>197</v>
      </c>
      <c r="C67" t="s">
        <v>364</v>
      </c>
      <c r="D67" t="s">
        <v>29</v>
      </c>
      <c r="E67" t="str">
        <f t="shared" si="0"/>
        <v>Lilongwe District [ScR9iFKAasW]|15-24|Female</v>
      </c>
      <c r="F67" s="90">
        <f>IF(LEFT($B67,4)="_Mil","",INDEX(Cascade!$AA:$AA,MATCH($E67,Cascade!$E:$E,0)))</f>
        <v>1520</v>
      </c>
      <c r="G67" s="14">
        <f>INDEX(Cascade!$BH:$BH,MATCH($E67,Cascade!$E:$E,0))</f>
        <v>0</v>
      </c>
      <c r="H67" s="14" t="str">
        <f>IF(OR($C67="01-09",$D67="Male"),"",INDEX(PMTCT!$AC:$AC,MATCH($E67,PMTCT!$E:$E,0)))</f>
        <v/>
      </c>
      <c r="I67" s="14" t="str">
        <f>IF(OR($C67="01-09",$D67="Male"),"",INDEX(PMTCT!$AS:$AS,MATCH($E67,PMTCT!$E:$E,0)))</f>
        <v/>
      </c>
      <c r="J67" s="14" t="str">
        <f>INDEX(TB!$P:$P,MATCH($E67,TB!$E:$E,0))</f>
        <v/>
      </c>
      <c r="K67" s="14" t="str">
        <f>IF(OR($C67="01-09",$C67="10-14",$D67="Female"),"",INDEX(VMMC!$AA:$AA,MATCH($E67,VMMC!$E:$E,0)))</f>
        <v/>
      </c>
      <c r="L67" s="14">
        <f t="shared" si="1"/>
        <v>0</v>
      </c>
      <c r="M67" s="90" t="str">
        <f t="shared" si="2"/>
        <v/>
      </c>
      <c r="N67" s="90" t="str">
        <f t="shared" si="3"/>
        <v/>
      </c>
      <c r="O67" s="90" t="str">
        <f t="shared" si="4"/>
        <v/>
      </c>
      <c r="P67" s="90" t="str">
        <f t="shared" si="5"/>
        <v/>
      </c>
      <c r="Q67" s="90"/>
      <c r="R67" s="90"/>
      <c r="S67" s="90"/>
      <c r="T67" s="90"/>
      <c r="U67" s="90"/>
      <c r="V67" s="90" t="str">
        <f t="shared" si="6"/>
        <v/>
      </c>
      <c r="W67" s="90"/>
      <c r="X67" s="42" t="str">
        <f t="shared" si="7"/>
        <v/>
      </c>
      <c r="Y67" s="42" t="str">
        <f t="shared" si="8"/>
        <v/>
      </c>
      <c r="Z67" s="90"/>
      <c r="AA67" s="42" t="str">
        <f t="shared" si="9"/>
        <v/>
      </c>
      <c r="AB67" s="42" t="str">
        <f t="shared" si="10"/>
        <v/>
      </c>
      <c r="AC67" s="90"/>
      <c r="AD67" s="42" t="str">
        <f t="shared" si="11"/>
        <v/>
      </c>
      <c r="AE67" s="42" t="str">
        <f t="shared" si="12"/>
        <v/>
      </c>
      <c r="AF67" s="90"/>
      <c r="AG67" s="42" t="str">
        <f t="shared" si="13"/>
        <v/>
      </c>
      <c r="AH67" s="42" t="str">
        <f t="shared" si="14"/>
        <v/>
      </c>
      <c r="AI67" s="90"/>
      <c r="AJ67" s="42" t="str">
        <f t="shared" si="15"/>
        <v/>
      </c>
      <c r="AK67" s="42" t="str">
        <f t="shared" si="16"/>
        <v/>
      </c>
      <c r="AL67" s="14" t="str">
        <f t="shared" si="17"/>
        <v/>
      </c>
      <c r="AM67" s="14" t="str">
        <f t="shared" si="18"/>
        <v/>
      </c>
      <c r="AN67" s="14" t="str">
        <f t="shared" si="19"/>
        <v/>
      </c>
      <c r="AO67" s="14" t="str">
        <f>IF(OR($C67="01-09",$D67="Male"),"",INDEX(PMTCT!$AD:$AD,MATCH($E67,PMTCT!$E:$E,0)))</f>
        <v/>
      </c>
      <c r="AP67" s="14" t="str">
        <f>IF(OR($C67="01-09",$D67="Male"),"",INDEX(PMTCT!$AT:$AT,MATCH($E67,PMTCT!$E:$E,0)))</f>
        <v/>
      </c>
      <c r="AQ67" s="14" t="str">
        <f>INDEX(TB!$Q:$Q,MATCH($E67,TB!$E:$E,0))</f>
        <v/>
      </c>
      <c r="AR67" s="14" t="str">
        <f>IF(OR($C67="01-09",$C67="10-14",$D67="Female"),"",INDEX(VMMC!$AB:$AB,MATCH($E67,VMMC!$E:$E,0)))</f>
        <v/>
      </c>
      <c r="AS67" s="14" t="str">
        <f>IF(OR($C67="01-09",$C67="10-14"),"",INDEX(PrEP!$Q:$Q,MATCH($E67,PrEP!$E:$E,0)))</f>
        <v/>
      </c>
      <c r="AT67" s="14" t="str">
        <f t="shared" si="20"/>
        <v/>
      </c>
      <c r="AU67" s="14" t="str">
        <f t="shared" si="21"/>
        <v/>
      </c>
      <c r="AV67" s="90" t="str">
        <f t="shared" si="22"/>
        <v/>
      </c>
      <c r="AW67" s="14"/>
      <c r="AX67" s="90" t="str">
        <f t="shared" si="23"/>
        <v/>
      </c>
      <c r="AY67" s="42" t="str">
        <f t="shared" si="24"/>
        <v/>
      </c>
      <c r="AZ67" s="90">
        <f t="shared" si="25"/>
        <v>1</v>
      </c>
      <c r="BA67" s="42" t="str">
        <f t="shared" si="26"/>
        <v/>
      </c>
    </row>
    <row r="68" spans="1:53" x14ac:dyDescent="0.2">
      <c r="A68" t="str">
        <f>INDEX(Prioritization!$D:$D,MATCH($B68,Prioritization!$A:$A,0))</f>
        <v>1 - Scale-up: Saturation</v>
      </c>
      <c r="B68" t="s">
        <v>197</v>
      </c>
      <c r="C68" t="s">
        <v>364</v>
      </c>
      <c r="D68" t="s">
        <v>47</v>
      </c>
      <c r="E68" t="str">
        <f t="shared" si="0"/>
        <v>Lilongwe District [ScR9iFKAasW]|15-24|Male</v>
      </c>
      <c r="F68" s="90">
        <f>IF(LEFT($B68,4)="_Mil","",INDEX(Cascade!$AA:$AA,MATCH($E68,Cascade!$E:$E,0)))</f>
        <v>590</v>
      </c>
      <c r="G68" s="14">
        <f>INDEX(Cascade!$BH:$BH,MATCH($E68,Cascade!$E:$E,0))</f>
        <v>0</v>
      </c>
      <c r="H68" s="14" t="str">
        <f>IF(OR($C68="01-09",$D68="Male"),"",INDEX(PMTCT!$AC:$AC,MATCH($E68,PMTCT!$E:$E,0)))</f>
        <v/>
      </c>
      <c r="I68" s="14" t="str">
        <f>IF(OR($C68="01-09",$D68="Male"),"",INDEX(PMTCT!$AS:$AS,MATCH($E68,PMTCT!$E:$E,0)))</f>
        <v/>
      </c>
      <c r="J68" s="14" t="str">
        <f>INDEX(TB!$P:$P,MATCH($E68,TB!$E:$E,0))</f>
        <v/>
      </c>
      <c r="K68" s="14" t="str">
        <f>IF(OR($C68="01-09",$C68="10-14",$D68="Female"),"",INDEX(VMMC!$AA:$AA,MATCH($E68,VMMC!$E:$E,0)))</f>
        <v/>
      </c>
      <c r="L68" s="14">
        <f t="shared" si="1"/>
        <v>0</v>
      </c>
      <c r="M68" s="90" t="str">
        <f t="shared" si="2"/>
        <v/>
      </c>
      <c r="N68" s="90" t="str">
        <f t="shared" si="3"/>
        <v/>
      </c>
      <c r="O68" s="90" t="str">
        <f t="shared" si="4"/>
        <v/>
      </c>
      <c r="P68" s="90" t="str">
        <f t="shared" si="5"/>
        <v/>
      </c>
      <c r="Q68" s="90"/>
      <c r="R68" s="90"/>
      <c r="S68" s="90"/>
      <c r="T68" s="90"/>
      <c r="U68" s="90"/>
      <c r="V68" s="90" t="str">
        <f t="shared" si="6"/>
        <v/>
      </c>
      <c r="W68" s="90"/>
      <c r="X68" s="42" t="str">
        <f t="shared" si="7"/>
        <v/>
      </c>
      <c r="Y68" s="42" t="str">
        <f t="shared" si="8"/>
        <v/>
      </c>
      <c r="Z68" s="90"/>
      <c r="AA68" s="42" t="str">
        <f t="shared" si="9"/>
        <v/>
      </c>
      <c r="AB68" s="42" t="str">
        <f t="shared" si="10"/>
        <v/>
      </c>
      <c r="AC68" s="90"/>
      <c r="AD68" s="42" t="str">
        <f t="shared" si="11"/>
        <v/>
      </c>
      <c r="AE68" s="42" t="str">
        <f t="shared" si="12"/>
        <v/>
      </c>
      <c r="AF68" s="90"/>
      <c r="AG68" s="42" t="str">
        <f t="shared" si="13"/>
        <v/>
      </c>
      <c r="AH68" s="42" t="str">
        <f t="shared" si="14"/>
        <v/>
      </c>
      <c r="AI68" s="90"/>
      <c r="AJ68" s="42" t="str">
        <f t="shared" si="15"/>
        <v/>
      </c>
      <c r="AK68" s="42" t="str">
        <f t="shared" si="16"/>
        <v/>
      </c>
      <c r="AL68" s="14" t="str">
        <f t="shared" si="17"/>
        <v/>
      </c>
      <c r="AM68" s="14" t="str">
        <f t="shared" si="18"/>
        <v/>
      </c>
      <c r="AN68" s="14" t="str">
        <f t="shared" si="19"/>
        <v/>
      </c>
      <c r="AO68" s="14" t="str">
        <f>IF(OR($C68="01-09",$D68="Male"),"",INDEX(PMTCT!$AD:$AD,MATCH($E68,PMTCT!$E:$E,0)))</f>
        <v/>
      </c>
      <c r="AP68" s="14" t="str">
        <f>IF(OR($C68="01-09",$D68="Male"),"",INDEX(PMTCT!$AT:$AT,MATCH($E68,PMTCT!$E:$E,0)))</f>
        <v/>
      </c>
      <c r="AQ68" s="14" t="str">
        <f>INDEX(TB!$Q:$Q,MATCH($E68,TB!$E:$E,0))</f>
        <v/>
      </c>
      <c r="AR68" s="14" t="str">
        <f>IF(OR($C68="01-09",$C68="10-14",$D68="Female"),"",INDEX(VMMC!$AB:$AB,MATCH($E68,VMMC!$E:$E,0)))</f>
        <v/>
      </c>
      <c r="AS68" s="14" t="str">
        <f>IF(OR($C68="01-09",$C68="10-14"),"",INDEX(PrEP!$Q:$Q,MATCH($E68,PrEP!$E:$E,0)))</f>
        <v/>
      </c>
      <c r="AT68" s="14" t="str">
        <f t="shared" si="20"/>
        <v/>
      </c>
      <c r="AU68" s="14" t="str">
        <f t="shared" si="21"/>
        <v/>
      </c>
      <c r="AV68" s="90" t="str">
        <f t="shared" si="22"/>
        <v/>
      </c>
      <c r="AW68" s="14"/>
      <c r="AX68" s="90" t="str">
        <f t="shared" si="23"/>
        <v/>
      </c>
      <c r="AY68" s="42" t="str">
        <f t="shared" si="24"/>
        <v/>
      </c>
      <c r="AZ68" s="90">
        <f t="shared" si="25"/>
        <v>1</v>
      </c>
      <c r="BA68" s="42" t="str">
        <f t="shared" si="26"/>
        <v/>
      </c>
    </row>
    <row r="69" spans="1:53" x14ac:dyDescent="0.2">
      <c r="A69" t="str">
        <f>INDEX(Prioritization!$D:$D,MATCH($B69,Prioritization!$A:$A,0))</f>
        <v>1 - Scale-up: Saturation</v>
      </c>
      <c r="B69" t="s">
        <v>197</v>
      </c>
      <c r="C69" t="s">
        <v>365</v>
      </c>
      <c r="D69" t="s">
        <v>29</v>
      </c>
      <c r="E69" t="str">
        <f t="shared" si="0"/>
        <v>Lilongwe District [ScR9iFKAasW]|25-34|Female</v>
      </c>
      <c r="F69" s="90">
        <f>IF(LEFT($B69,4)="_Mil","",INDEX(Cascade!$AA:$AA,MATCH($E69,Cascade!$E:$E,0)))</f>
        <v>1656</v>
      </c>
      <c r="G69" s="14">
        <f>INDEX(Cascade!$BH:$BH,MATCH($E69,Cascade!$E:$E,0))</f>
        <v>0</v>
      </c>
      <c r="H69" s="14" t="str">
        <f>IF(OR($C69="01-09",$D69="Male"),"",INDEX(PMTCT!$AC:$AC,MATCH($E69,PMTCT!$E:$E,0)))</f>
        <v/>
      </c>
      <c r="I69" s="14" t="str">
        <f>IF(OR($C69="01-09",$D69="Male"),"",INDEX(PMTCT!$AS:$AS,MATCH($E69,PMTCT!$E:$E,0)))</f>
        <v/>
      </c>
      <c r="J69" s="14" t="str">
        <f>INDEX(TB!$P:$P,MATCH($E69,TB!$E:$E,0))</f>
        <v/>
      </c>
      <c r="K69" s="14" t="str">
        <f>IF(OR($C69="01-09",$C69="10-14",$D69="Female"),"",INDEX(VMMC!$AA:$AA,MATCH($E69,VMMC!$E:$E,0)))</f>
        <v/>
      </c>
      <c r="L69" s="14">
        <f t="shared" si="1"/>
        <v>0</v>
      </c>
      <c r="M69" s="90" t="str">
        <f t="shared" si="2"/>
        <v/>
      </c>
      <c r="N69" s="90" t="str">
        <f t="shared" si="3"/>
        <v/>
      </c>
      <c r="O69" s="90" t="str">
        <f t="shared" si="4"/>
        <v/>
      </c>
      <c r="P69" s="90" t="str">
        <f t="shared" si="5"/>
        <v/>
      </c>
      <c r="Q69" s="90"/>
      <c r="R69" s="90"/>
      <c r="S69" s="90"/>
      <c r="T69" s="90"/>
      <c r="U69" s="90"/>
      <c r="V69" s="90" t="str">
        <f t="shared" si="6"/>
        <v/>
      </c>
      <c r="W69" s="90"/>
      <c r="X69" s="42" t="str">
        <f t="shared" si="7"/>
        <v/>
      </c>
      <c r="Y69" s="42" t="str">
        <f t="shared" si="8"/>
        <v/>
      </c>
      <c r="Z69" s="90"/>
      <c r="AA69" s="42" t="str">
        <f t="shared" si="9"/>
        <v/>
      </c>
      <c r="AB69" s="42" t="str">
        <f t="shared" si="10"/>
        <v/>
      </c>
      <c r="AC69" s="90"/>
      <c r="AD69" s="42" t="str">
        <f t="shared" si="11"/>
        <v/>
      </c>
      <c r="AE69" s="42" t="str">
        <f t="shared" si="12"/>
        <v/>
      </c>
      <c r="AF69" s="90"/>
      <c r="AG69" s="42" t="str">
        <f t="shared" si="13"/>
        <v/>
      </c>
      <c r="AH69" s="42" t="str">
        <f t="shared" si="14"/>
        <v/>
      </c>
      <c r="AI69" s="90"/>
      <c r="AJ69" s="42" t="str">
        <f t="shared" si="15"/>
        <v/>
      </c>
      <c r="AK69" s="42" t="str">
        <f t="shared" si="16"/>
        <v/>
      </c>
      <c r="AL69" s="14" t="str">
        <f t="shared" si="17"/>
        <v/>
      </c>
      <c r="AM69" s="14" t="str">
        <f t="shared" si="18"/>
        <v/>
      </c>
      <c r="AN69" s="14" t="str">
        <f t="shared" si="19"/>
        <v/>
      </c>
      <c r="AO69" s="14" t="str">
        <f>IF(OR($C69="01-09",$D69="Male"),"",INDEX(PMTCT!$AD:$AD,MATCH($E69,PMTCT!$E:$E,0)))</f>
        <v/>
      </c>
      <c r="AP69" s="14" t="str">
        <f>IF(OR($C69="01-09",$D69="Male"),"",INDEX(PMTCT!$AT:$AT,MATCH($E69,PMTCT!$E:$E,0)))</f>
        <v/>
      </c>
      <c r="AQ69" s="14" t="str">
        <f>INDEX(TB!$Q:$Q,MATCH($E69,TB!$E:$E,0))</f>
        <v/>
      </c>
      <c r="AR69" s="14" t="str">
        <f>IF(OR($C69="01-09",$C69="10-14",$D69="Female"),"",INDEX(VMMC!$AB:$AB,MATCH($E69,VMMC!$E:$E,0)))</f>
        <v/>
      </c>
      <c r="AS69" s="14" t="str">
        <f>IF(OR($C69="01-09",$C69="10-14"),"",INDEX(PrEP!$Q:$Q,MATCH($E69,PrEP!$E:$E,0)))</f>
        <v/>
      </c>
      <c r="AT69" s="14" t="str">
        <f t="shared" si="20"/>
        <v/>
      </c>
      <c r="AU69" s="14" t="str">
        <f t="shared" si="21"/>
        <v/>
      </c>
      <c r="AV69" s="90" t="str">
        <f t="shared" si="22"/>
        <v/>
      </c>
      <c r="AW69" s="14"/>
      <c r="AX69" s="90" t="str">
        <f t="shared" si="23"/>
        <v/>
      </c>
      <c r="AY69" s="42" t="str">
        <f t="shared" si="24"/>
        <v/>
      </c>
      <c r="AZ69" s="90">
        <f t="shared" si="25"/>
        <v>1</v>
      </c>
      <c r="BA69" s="42" t="str">
        <f t="shared" si="26"/>
        <v/>
      </c>
    </row>
    <row r="70" spans="1:53" x14ac:dyDescent="0.2">
      <c r="A70" t="str">
        <f>INDEX(Prioritization!$D:$D,MATCH($B70,Prioritization!$A:$A,0))</f>
        <v>1 - Scale-up: Saturation</v>
      </c>
      <c r="B70" t="s">
        <v>197</v>
      </c>
      <c r="C70" t="s">
        <v>365</v>
      </c>
      <c r="D70" t="s">
        <v>47</v>
      </c>
      <c r="E70" t="str">
        <f t="shared" si="0"/>
        <v>Lilongwe District [ScR9iFKAasW]|25-34|Male</v>
      </c>
      <c r="F70" s="90">
        <f>IF(LEFT($B70,4)="_Mil","",INDEX(Cascade!$AA:$AA,MATCH($E70,Cascade!$E:$E,0)))</f>
        <v>1520</v>
      </c>
      <c r="G70" s="14">
        <f>INDEX(Cascade!$BH:$BH,MATCH($E70,Cascade!$E:$E,0))</f>
        <v>0</v>
      </c>
      <c r="H70" s="14" t="str">
        <f>IF(OR($C70="01-09",$D70="Male"),"",INDEX(PMTCT!$AC:$AC,MATCH($E70,PMTCT!$E:$E,0)))</f>
        <v/>
      </c>
      <c r="I70" s="14" t="str">
        <f>IF(OR($C70="01-09",$D70="Male"),"",INDEX(PMTCT!$AS:$AS,MATCH($E70,PMTCT!$E:$E,0)))</f>
        <v/>
      </c>
      <c r="J70" s="14" t="str">
        <f>INDEX(TB!$P:$P,MATCH($E70,TB!$E:$E,0))</f>
        <v/>
      </c>
      <c r="K70" s="14" t="str">
        <f>IF(OR($C70="01-09",$C70="10-14",$D70="Female"),"",INDEX(VMMC!$AA:$AA,MATCH($E70,VMMC!$E:$E,0)))</f>
        <v/>
      </c>
      <c r="L70" s="14">
        <f t="shared" si="1"/>
        <v>0</v>
      </c>
      <c r="M70" s="90" t="str">
        <f t="shared" si="2"/>
        <v/>
      </c>
      <c r="N70" s="90" t="str">
        <f t="shared" si="3"/>
        <v/>
      </c>
      <c r="O70" s="90" t="str">
        <f t="shared" si="4"/>
        <v/>
      </c>
      <c r="P70" s="90" t="str">
        <f t="shared" si="5"/>
        <v/>
      </c>
      <c r="Q70" s="90"/>
      <c r="R70" s="90"/>
      <c r="S70" s="90"/>
      <c r="T70" s="90"/>
      <c r="U70" s="90"/>
      <c r="V70" s="90" t="str">
        <f t="shared" si="6"/>
        <v/>
      </c>
      <c r="W70" s="90"/>
      <c r="X70" s="42" t="str">
        <f t="shared" si="7"/>
        <v/>
      </c>
      <c r="Y70" s="42" t="str">
        <f t="shared" si="8"/>
        <v/>
      </c>
      <c r="Z70" s="90"/>
      <c r="AA70" s="42" t="str">
        <f t="shared" si="9"/>
        <v/>
      </c>
      <c r="AB70" s="42" t="str">
        <f t="shared" si="10"/>
        <v/>
      </c>
      <c r="AC70" s="90"/>
      <c r="AD70" s="42" t="str">
        <f t="shared" si="11"/>
        <v/>
      </c>
      <c r="AE70" s="42" t="str">
        <f t="shared" si="12"/>
        <v/>
      </c>
      <c r="AF70" s="90"/>
      <c r="AG70" s="42" t="str">
        <f t="shared" si="13"/>
        <v/>
      </c>
      <c r="AH70" s="42" t="str">
        <f t="shared" si="14"/>
        <v/>
      </c>
      <c r="AI70" s="90"/>
      <c r="AJ70" s="42" t="str">
        <f t="shared" si="15"/>
        <v/>
      </c>
      <c r="AK70" s="42" t="str">
        <f t="shared" si="16"/>
        <v/>
      </c>
      <c r="AL70" s="14" t="str">
        <f t="shared" si="17"/>
        <v/>
      </c>
      <c r="AM70" s="14" t="str">
        <f t="shared" si="18"/>
        <v/>
      </c>
      <c r="AN70" s="14" t="str">
        <f t="shared" si="19"/>
        <v/>
      </c>
      <c r="AO70" s="14" t="str">
        <f>IF(OR($C70="01-09",$D70="Male"),"",INDEX(PMTCT!$AD:$AD,MATCH($E70,PMTCT!$E:$E,0)))</f>
        <v/>
      </c>
      <c r="AP70" s="14" t="str">
        <f>IF(OR($C70="01-09",$D70="Male"),"",INDEX(PMTCT!$AT:$AT,MATCH($E70,PMTCT!$E:$E,0)))</f>
        <v/>
      </c>
      <c r="AQ70" s="14" t="str">
        <f>INDEX(TB!$Q:$Q,MATCH($E70,TB!$E:$E,0))</f>
        <v/>
      </c>
      <c r="AR70" s="14" t="str">
        <f>IF(OR($C70="01-09",$C70="10-14",$D70="Female"),"",INDEX(VMMC!$AB:$AB,MATCH($E70,VMMC!$E:$E,0)))</f>
        <v/>
      </c>
      <c r="AS70" s="14" t="str">
        <f>IF(OR($C70="01-09",$C70="10-14"),"",INDEX(PrEP!$Q:$Q,MATCH($E70,PrEP!$E:$E,0)))</f>
        <v/>
      </c>
      <c r="AT70" s="14" t="str">
        <f t="shared" si="20"/>
        <v/>
      </c>
      <c r="AU70" s="14" t="str">
        <f t="shared" si="21"/>
        <v/>
      </c>
      <c r="AV70" s="90" t="str">
        <f t="shared" si="22"/>
        <v/>
      </c>
      <c r="AW70" s="14"/>
      <c r="AX70" s="90" t="str">
        <f t="shared" si="23"/>
        <v/>
      </c>
      <c r="AY70" s="42" t="str">
        <f t="shared" si="24"/>
        <v/>
      </c>
      <c r="AZ70" s="90">
        <f t="shared" si="25"/>
        <v>1</v>
      </c>
      <c r="BA70" s="42" t="str">
        <f t="shared" si="26"/>
        <v/>
      </c>
    </row>
    <row r="71" spans="1:53" x14ac:dyDescent="0.2">
      <c r="A71" t="str">
        <f>INDEX(Prioritization!$D:$D,MATCH($B71,Prioritization!$A:$A,0))</f>
        <v>1 - Scale-up: Saturation</v>
      </c>
      <c r="B71" t="s">
        <v>197</v>
      </c>
      <c r="C71" t="s">
        <v>366</v>
      </c>
      <c r="D71" t="s">
        <v>29</v>
      </c>
      <c r="E71" t="str">
        <f t="shared" si="0"/>
        <v>Lilongwe District [ScR9iFKAasW]|35-49|Female</v>
      </c>
      <c r="F71" s="90">
        <f>IF(LEFT($B71,4)="_Mil","",INDEX(Cascade!$AA:$AA,MATCH($E71,Cascade!$E:$E,0)))</f>
        <v>1181</v>
      </c>
      <c r="G71" s="14">
        <f>INDEX(Cascade!$BH:$BH,MATCH($E71,Cascade!$E:$E,0))</f>
        <v>0</v>
      </c>
      <c r="H71" s="14" t="str">
        <f>IF(OR($C71="01-09",$D71="Male"),"",INDEX(PMTCT!$AC:$AC,MATCH($E71,PMTCT!$E:$E,0)))</f>
        <v/>
      </c>
      <c r="I71" s="14" t="str">
        <f>IF(OR($C71="01-09",$D71="Male"),"",INDEX(PMTCT!$AS:$AS,MATCH($E71,PMTCT!$E:$E,0)))</f>
        <v/>
      </c>
      <c r="J71" s="14" t="str">
        <f>INDEX(TB!$P:$P,MATCH($E71,TB!$E:$E,0))</f>
        <v/>
      </c>
      <c r="K71" s="14" t="str">
        <f>IF(OR($C71="01-09",$C71="10-14",$D71="Female"),"",INDEX(VMMC!$AA:$AA,MATCH($E71,VMMC!$E:$E,0)))</f>
        <v/>
      </c>
      <c r="L71" s="14">
        <f t="shared" si="1"/>
        <v>0</v>
      </c>
      <c r="M71" s="90" t="str">
        <f t="shared" si="2"/>
        <v/>
      </c>
      <c r="N71" s="90" t="str">
        <f t="shared" si="3"/>
        <v/>
      </c>
      <c r="O71" s="90" t="str">
        <f t="shared" si="4"/>
        <v/>
      </c>
      <c r="P71" s="90" t="str">
        <f t="shared" si="5"/>
        <v/>
      </c>
      <c r="Q71" s="90"/>
      <c r="R71" s="90"/>
      <c r="S71" s="90"/>
      <c r="T71" s="90"/>
      <c r="U71" s="90"/>
      <c r="V71" s="90" t="str">
        <f t="shared" si="6"/>
        <v/>
      </c>
      <c r="W71" s="90"/>
      <c r="X71" s="42" t="str">
        <f t="shared" si="7"/>
        <v/>
      </c>
      <c r="Y71" s="42" t="str">
        <f t="shared" si="8"/>
        <v/>
      </c>
      <c r="Z71" s="90"/>
      <c r="AA71" s="42" t="str">
        <f t="shared" si="9"/>
        <v/>
      </c>
      <c r="AB71" s="42" t="str">
        <f t="shared" si="10"/>
        <v/>
      </c>
      <c r="AC71" s="90"/>
      <c r="AD71" s="42" t="str">
        <f t="shared" si="11"/>
        <v/>
      </c>
      <c r="AE71" s="42" t="str">
        <f t="shared" si="12"/>
        <v/>
      </c>
      <c r="AF71" s="90"/>
      <c r="AG71" s="42" t="str">
        <f t="shared" si="13"/>
        <v/>
      </c>
      <c r="AH71" s="42" t="str">
        <f t="shared" si="14"/>
        <v/>
      </c>
      <c r="AI71" s="90"/>
      <c r="AJ71" s="42" t="str">
        <f t="shared" si="15"/>
        <v/>
      </c>
      <c r="AK71" s="42" t="str">
        <f t="shared" si="16"/>
        <v/>
      </c>
      <c r="AL71" s="14" t="str">
        <f t="shared" si="17"/>
        <v/>
      </c>
      <c r="AM71" s="14" t="str">
        <f t="shared" si="18"/>
        <v/>
      </c>
      <c r="AN71" s="14" t="str">
        <f t="shared" si="19"/>
        <v/>
      </c>
      <c r="AO71" s="14" t="str">
        <f>IF(OR($C71="01-09",$D71="Male"),"",INDEX(PMTCT!$AD:$AD,MATCH($E71,PMTCT!$E:$E,0)))</f>
        <v/>
      </c>
      <c r="AP71" s="14" t="str">
        <f>IF(OR($C71="01-09",$D71="Male"),"",INDEX(PMTCT!$AT:$AT,MATCH($E71,PMTCT!$E:$E,0)))</f>
        <v/>
      </c>
      <c r="AQ71" s="14" t="str">
        <f>INDEX(TB!$Q:$Q,MATCH($E71,TB!$E:$E,0))</f>
        <v/>
      </c>
      <c r="AR71" s="14" t="str">
        <f>IF(OR($C71="01-09",$C71="10-14",$D71="Female"),"",INDEX(VMMC!$AB:$AB,MATCH($E71,VMMC!$E:$E,0)))</f>
        <v/>
      </c>
      <c r="AS71" s="14" t="str">
        <f>IF(OR($C71="01-09",$C71="10-14"),"",INDEX(PrEP!$Q:$Q,MATCH($E71,PrEP!$E:$E,0)))</f>
        <v/>
      </c>
      <c r="AT71" s="14" t="str">
        <f t="shared" si="20"/>
        <v/>
      </c>
      <c r="AU71" s="14" t="str">
        <f t="shared" si="21"/>
        <v/>
      </c>
      <c r="AV71" s="90" t="str">
        <f t="shared" si="22"/>
        <v/>
      </c>
      <c r="AW71" s="14"/>
      <c r="AX71" s="90" t="str">
        <f t="shared" si="23"/>
        <v/>
      </c>
      <c r="AY71" s="42" t="str">
        <f t="shared" si="24"/>
        <v/>
      </c>
      <c r="AZ71" s="90">
        <f t="shared" si="25"/>
        <v>1</v>
      </c>
      <c r="BA71" s="42" t="str">
        <f t="shared" si="26"/>
        <v/>
      </c>
    </row>
    <row r="72" spans="1:53" x14ac:dyDescent="0.2">
      <c r="A72" t="str">
        <f>INDEX(Prioritization!$D:$D,MATCH($B72,Prioritization!$A:$A,0))</f>
        <v>1 - Scale-up: Saturation</v>
      </c>
      <c r="B72" t="s">
        <v>197</v>
      </c>
      <c r="C72" t="s">
        <v>366</v>
      </c>
      <c r="D72" t="s">
        <v>47</v>
      </c>
      <c r="E72" t="str">
        <f t="shared" si="0"/>
        <v>Lilongwe District [ScR9iFKAasW]|35-49|Male</v>
      </c>
      <c r="F72" s="90">
        <f>IF(LEFT($B72,4)="_Mil","",INDEX(Cascade!$AA:$AA,MATCH($E72,Cascade!$E:$E,0)))</f>
        <v>1735</v>
      </c>
      <c r="G72" s="14">
        <f>INDEX(Cascade!$BH:$BH,MATCH($E72,Cascade!$E:$E,0))</f>
        <v>0</v>
      </c>
      <c r="H72" s="14" t="str">
        <f>IF(OR($C72="01-09",$D72="Male"),"",INDEX(PMTCT!$AC:$AC,MATCH($E72,PMTCT!$E:$E,0)))</f>
        <v/>
      </c>
      <c r="I72" s="14" t="str">
        <f>IF(OR($C72="01-09",$D72="Male"),"",INDEX(PMTCT!$AS:$AS,MATCH($E72,PMTCT!$E:$E,0)))</f>
        <v/>
      </c>
      <c r="J72" s="14" t="str">
        <f>INDEX(TB!$P:$P,MATCH($E72,TB!$E:$E,0))</f>
        <v/>
      </c>
      <c r="K72" s="14" t="str">
        <f>IF(OR($C72="01-09",$C72="10-14",$D72="Female"),"",INDEX(VMMC!$AA:$AA,MATCH($E72,VMMC!$E:$E,0)))</f>
        <v/>
      </c>
      <c r="L72" s="14">
        <f t="shared" si="1"/>
        <v>0</v>
      </c>
      <c r="M72" s="90" t="str">
        <f t="shared" si="2"/>
        <v/>
      </c>
      <c r="N72" s="90" t="str">
        <f t="shared" si="3"/>
        <v/>
      </c>
      <c r="O72" s="90" t="str">
        <f t="shared" si="4"/>
        <v/>
      </c>
      <c r="P72" s="90" t="str">
        <f t="shared" si="5"/>
        <v/>
      </c>
      <c r="Q72" s="90"/>
      <c r="R72" s="90"/>
      <c r="S72" s="90"/>
      <c r="T72" s="90"/>
      <c r="U72" s="90"/>
      <c r="V72" s="90" t="str">
        <f t="shared" si="6"/>
        <v/>
      </c>
      <c r="W72" s="90"/>
      <c r="X72" s="42" t="str">
        <f t="shared" si="7"/>
        <v/>
      </c>
      <c r="Y72" s="42" t="str">
        <f t="shared" si="8"/>
        <v/>
      </c>
      <c r="Z72" s="90"/>
      <c r="AA72" s="42" t="str">
        <f t="shared" si="9"/>
        <v/>
      </c>
      <c r="AB72" s="42" t="str">
        <f t="shared" si="10"/>
        <v/>
      </c>
      <c r="AC72" s="90"/>
      <c r="AD72" s="42" t="str">
        <f t="shared" si="11"/>
        <v/>
      </c>
      <c r="AE72" s="42" t="str">
        <f t="shared" si="12"/>
        <v/>
      </c>
      <c r="AF72" s="90"/>
      <c r="AG72" s="42" t="str">
        <f t="shared" si="13"/>
        <v/>
      </c>
      <c r="AH72" s="42" t="str">
        <f t="shared" si="14"/>
        <v/>
      </c>
      <c r="AI72" s="90"/>
      <c r="AJ72" s="42" t="str">
        <f t="shared" si="15"/>
        <v/>
      </c>
      <c r="AK72" s="42" t="str">
        <f t="shared" si="16"/>
        <v/>
      </c>
      <c r="AL72" s="14" t="str">
        <f t="shared" si="17"/>
        <v/>
      </c>
      <c r="AM72" s="14" t="str">
        <f t="shared" si="18"/>
        <v/>
      </c>
      <c r="AN72" s="14" t="str">
        <f t="shared" si="19"/>
        <v/>
      </c>
      <c r="AO72" s="14" t="str">
        <f>IF(OR($C72="01-09",$D72="Male"),"",INDEX(PMTCT!$AD:$AD,MATCH($E72,PMTCT!$E:$E,0)))</f>
        <v/>
      </c>
      <c r="AP72" s="14" t="str">
        <f>IF(OR($C72="01-09",$D72="Male"),"",INDEX(PMTCT!$AT:$AT,MATCH($E72,PMTCT!$E:$E,0)))</f>
        <v/>
      </c>
      <c r="AQ72" s="14" t="str">
        <f>INDEX(TB!$Q:$Q,MATCH($E72,TB!$E:$E,0))</f>
        <v/>
      </c>
      <c r="AR72" s="14" t="str">
        <f>IF(OR($C72="01-09",$C72="10-14",$D72="Female"),"",INDEX(VMMC!$AB:$AB,MATCH($E72,VMMC!$E:$E,0)))</f>
        <v/>
      </c>
      <c r="AS72" s="14" t="str">
        <f>IF(OR($C72="01-09",$C72="10-14"),"",INDEX(PrEP!$Q:$Q,MATCH($E72,PrEP!$E:$E,0)))</f>
        <v/>
      </c>
      <c r="AT72" s="14" t="str">
        <f t="shared" si="20"/>
        <v/>
      </c>
      <c r="AU72" s="14" t="str">
        <f t="shared" si="21"/>
        <v/>
      </c>
      <c r="AV72" s="90" t="str">
        <f t="shared" si="22"/>
        <v/>
      </c>
      <c r="AW72" s="14"/>
      <c r="AX72" s="90" t="str">
        <f t="shared" si="23"/>
        <v/>
      </c>
      <c r="AY72" s="42" t="str">
        <f t="shared" si="24"/>
        <v/>
      </c>
      <c r="AZ72" s="90">
        <f t="shared" si="25"/>
        <v>1</v>
      </c>
      <c r="BA72" s="42" t="str">
        <f t="shared" si="26"/>
        <v/>
      </c>
    </row>
    <row r="73" spans="1:53" x14ac:dyDescent="0.2">
      <c r="A73" t="str">
        <f>INDEX(Prioritization!$D:$D,MATCH($B73,Prioritization!$A:$A,0))</f>
        <v>1 - Scale-up: Saturation</v>
      </c>
      <c r="B73" t="s">
        <v>197</v>
      </c>
      <c r="C73" t="s">
        <v>367</v>
      </c>
      <c r="D73" t="s">
        <v>29</v>
      </c>
      <c r="E73" t="str">
        <f t="shared" si="0"/>
        <v>Lilongwe District [ScR9iFKAasW]|50+|Female</v>
      </c>
      <c r="F73" s="90">
        <f>IF(LEFT($B73,4)="_Mil","",INDEX(Cascade!$AA:$AA,MATCH($E73,Cascade!$E:$E,0)))</f>
        <v>1925</v>
      </c>
      <c r="G73" s="14">
        <f>INDEX(Cascade!$BH:$BH,MATCH($E73,Cascade!$E:$E,0))</f>
        <v>0</v>
      </c>
      <c r="H73" s="14" t="str">
        <f>IF(OR($C73="01-09",$D73="Male"),"",INDEX(PMTCT!$AC:$AC,MATCH($E73,PMTCT!$E:$E,0)))</f>
        <v/>
      </c>
      <c r="I73" s="14" t="str">
        <f>IF(OR($C73="01-09",$D73="Male"),"",INDEX(PMTCT!$AS:$AS,MATCH($E73,PMTCT!$E:$E,0)))</f>
        <v/>
      </c>
      <c r="J73" s="14" t="str">
        <f>INDEX(TB!$P:$P,MATCH($E73,TB!$E:$E,0))</f>
        <v/>
      </c>
      <c r="K73" s="14" t="str">
        <f>IF(OR($C73="01-09",$C73="10-14",$D73="Female"),"",INDEX(VMMC!$AA:$AA,MATCH($E73,VMMC!$E:$E,0)))</f>
        <v/>
      </c>
      <c r="L73" s="14">
        <f t="shared" si="1"/>
        <v>0</v>
      </c>
      <c r="M73" s="90" t="str">
        <f t="shared" si="2"/>
        <v/>
      </c>
      <c r="N73" s="90" t="str">
        <f t="shared" si="3"/>
        <v/>
      </c>
      <c r="O73" s="90" t="str">
        <f t="shared" si="4"/>
        <v/>
      </c>
      <c r="P73" s="90" t="str">
        <f t="shared" si="5"/>
        <v/>
      </c>
      <c r="Q73" s="90"/>
      <c r="R73" s="90"/>
      <c r="S73" s="90"/>
      <c r="T73" s="90"/>
      <c r="U73" s="90">
        <v>0.66840738360770002</v>
      </c>
      <c r="V73" s="90" t="str">
        <f t="shared" si="6"/>
        <v/>
      </c>
      <c r="W73" s="90"/>
      <c r="X73" s="42" t="str">
        <f t="shared" si="7"/>
        <v/>
      </c>
      <c r="Y73" s="42" t="str">
        <f t="shared" si="8"/>
        <v/>
      </c>
      <c r="Z73" s="90"/>
      <c r="AA73" s="42" t="str">
        <f t="shared" si="9"/>
        <v/>
      </c>
      <c r="AB73" s="42" t="str">
        <f t="shared" si="10"/>
        <v/>
      </c>
      <c r="AC73" s="90"/>
      <c r="AD73" s="42" t="str">
        <f t="shared" si="11"/>
        <v/>
      </c>
      <c r="AE73" s="42" t="str">
        <f t="shared" si="12"/>
        <v/>
      </c>
      <c r="AF73" s="90"/>
      <c r="AG73" s="42" t="str">
        <f t="shared" si="13"/>
        <v/>
      </c>
      <c r="AH73" s="42" t="str">
        <f t="shared" si="14"/>
        <v/>
      </c>
      <c r="AI73" s="90">
        <v>0.56755373696796596</v>
      </c>
      <c r="AJ73" s="42" t="str">
        <f t="shared" si="15"/>
        <v/>
      </c>
      <c r="AK73" s="42" t="str">
        <f t="shared" si="16"/>
        <v/>
      </c>
      <c r="AL73" s="14" t="str">
        <f t="shared" si="17"/>
        <v/>
      </c>
      <c r="AM73" s="14" t="str">
        <f t="shared" si="18"/>
        <v/>
      </c>
      <c r="AN73" s="14" t="str">
        <f t="shared" si="19"/>
        <v/>
      </c>
      <c r="AO73" s="14" t="str">
        <f>IF(OR($C73="01-09",$D73="Male"),"",INDEX(PMTCT!$AD:$AD,MATCH($E73,PMTCT!$E:$E,0)))</f>
        <v/>
      </c>
      <c r="AP73" s="14" t="str">
        <f>IF(OR($C73="01-09",$D73="Male"),"",INDEX(PMTCT!$AT:$AT,MATCH($E73,PMTCT!$E:$E,0)))</f>
        <v/>
      </c>
      <c r="AQ73" s="14" t="str">
        <f>INDEX(TB!$Q:$Q,MATCH($E73,TB!$E:$E,0))</f>
        <v/>
      </c>
      <c r="AR73" s="14" t="str">
        <f>IF(OR($C73="01-09",$C73="10-14",$D73="Female"),"",INDEX(VMMC!$AB:$AB,MATCH($E73,VMMC!$E:$E,0)))</f>
        <v/>
      </c>
      <c r="AS73" s="14" t="str">
        <f>IF(OR($C73="01-09",$C73="10-14"),"",INDEX(PrEP!$Q:$Q,MATCH($E73,PrEP!$E:$E,0)))</f>
        <v/>
      </c>
      <c r="AT73" s="14" t="str">
        <f t="shared" si="20"/>
        <v/>
      </c>
      <c r="AU73" s="14" t="str">
        <f t="shared" si="21"/>
        <v/>
      </c>
      <c r="AV73" s="90" t="str">
        <f t="shared" si="22"/>
        <v/>
      </c>
      <c r="AW73" s="14">
        <v>41</v>
      </c>
      <c r="AX73" s="90">
        <f t="shared" si="23"/>
        <v>0</v>
      </c>
      <c r="AY73" s="42">
        <f t="shared" si="24"/>
        <v>41</v>
      </c>
      <c r="AZ73" s="90">
        <f t="shared" si="25"/>
        <v>1</v>
      </c>
      <c r="BA73" s="42" t="str">
        <f t="shared" si="26"/>
        <v/>
      </c>
    </row>
    <row r="74" spans="1:53" x14ac:dyDescent="0.2">
      <c r="A74" t="str">
        <f>INDEX(Prioritization!$D:$D,MATCH($B74,Prioritization!$A:$A,0))</f>
        <v>1 - Scale-up: Saturation</v>
      </c>
      <c r="B74" t="s">
        <v>197</v>
      </c>
      <c r="C74" t="s">
        <v>367</v>
      </c>
      <c r="D74" t="s">
        <v>47</v>
      </c>
      <c r="E74" t="str">
        <f t="shared" si="0"/>
        <v>Lilongwe District [ScR9iFKAasW]|50+|Male</v>
      </c>
      <c r="F74" s="90">
        <f>IF(LEFT($B74,4)="_Mil","",INDEX(Cascade!$AA:$AA,MATCH($E74,Cascade!$E:$E,0)))</f>
        <v>1820</v>
      </c>
      <c r="G74" s="14">
        <f>INDEX(Cascade!$BH:$BH,MATCH($E74,Cascade!$E:$E,0))</f>
        <v>0</v>
      </c>
      <c r="H74" s="14" t="str">
        <f>IF(OR($C74="01-09",$D74="Male"),"",INDEX(PMTCT!$AC:$AC,MATCH($E74,PMTCT!$E:$E,0)))</f>
        <v/>
      </c>
      <c r="I74" s="14" t="str">
        <f>IF(OR($C74="01-09",$D74="Male"),"",INDEX(PMTCT!$AS:$AS,MATCH($E74,PMTCT!$E:$E,0)))</f>
        <v/>
      </c>
      <c r="J74" s="14" t="str">
        <f>INDEX(TB!$P:$P,MATCH($E74,TB!$E:$E,0))</f>
        <v/>
      </c>
      <c r="K74" s="14" t="str">
        <f>IF(OR($C74="01-09",$C74="10-14",$D74="Female"),"",INDEX(VMMC!$AA:$AA,MATCH($E74,VMMC!$E:$E,0)))</f>
        <v/>
      </c>
      <c r="L74" s="14">
        <f t="shared" si="1"/>
        <v>0</v>
      </c>
      <c r="M74" s="90" t="str">
        <f t="shared" si="2"/>
        <v/>
      </c>
      <c r="N74" s="90" t="str">
        <f t="shared" si="3"/>
        <v/>
      </c>
      <c r="O74" s="90" t="str">
        <f t="shared" si="4"/>
        <v/>
      </c>
      <c r="P74" s="90" t="str">
        <f t="shared" si="5"/>
        <v/>
      </c>
      <c r="Q74" s="90"/>
      <c r="R74" s="90"/>
      <c r="S74" s="90"/>
      <c r="T74" s="90"/>
      <c r="U74" s="90">
        <v>0.82141620549373295</v>
      </c>
      <c r="V74" s="90" t="str">
        <f t="shared" si="6"/>
        <v/>
      </c>
      <c r="W74" s="90"/>
      <c r="X74" s="42" t="str">
        <f t="shared" si="7"/>
        <v/>
      </c>
      <c r="Y74" s="42" t="str">
        <f t="shared" si="8"/>
        <v/>
      </c>
      <c r="Z74" s="90"/>
      <c r="AA74" s="42" t="str">
        <f t="shared" si="9"/>
        <v/>
      </c>
      <c r="AB74" s="42" t="str">
        <f t="shared" si="10"/>
        <v/>
      </c>
      <c r="AC74" s="90"/>
      <c r="AD74" s="42" t="str">
        <f t="shared" si="11"/>
        <v/>
      </c>
      <c r="AE74" s="42" t="str">
        <f t="shared" si="12"/>
        <v/>
      </c>
      <c r="AF74" s="90"/>
      <c r="AG74" s="42" t="str">
        <f t="shared" si="13"/>
        <v/>
      </c>
      <c r="AH74" s="42" t="str">
        <f t="shared" si="14"/>
        <v/>
      </c>
      <c r="AI74" s="90">
        <v>0.92034257482737303</v>
      </c>
      <c r="AJ74" s="42" t="str">
        <f t="shared" si="15"/>
        <v/>
      </c>
      <c r="AK74" s="42" t="str">
        <f t="shared" si="16"/>
        <v/>
      </c>
      <c r="AL74" s="14" t="str">
        <f t="shared" si="17"/>
        <v/>
      </c>
      <c r="AM74" s="14" t="str">
        <f t="shared" si="18"/>
        <v/>
      </c>
      <c r="AN74" s="14" t="str">
        <f t="shared" si="19"/>
        <v/>
      </c>
      <c r="AO74" s="14" t="str">
        <f>IF(OR($C74="01-09",$D74="Male"),"",INDEX(PMTCT!$AD:$AD,MATCH($E74,PMTCT!$E:$E,0)))</f>
        <v/>
      </c>
      <c r="AP74" s="14" t="str">
        <f>IF(OR($C74="01-09",$D74="Male"),"",INDEX(PMTCT!$AT:$AT,MATCH($E74,PMTCT!$E:$E,0)))</f>
        <v/>
      </c>
      <c r="AQ74" s="14" t="str">
        <f>INDEX(TB!$Q:$Q,MATCH($E74,TB!$E:$E,0))</f>
        <v/>
      </c>
      <c r="AR74" s="14" t="str">
        <f>IF(OR($C74="01-09",$C74="10-14",$D74="Female"),"",INDEX(VMMC!$AB:$AB,MATCH($E74,VMMC!$E:$E,0)))</f>
        <v/>
      </c>
      <c r="AS74" s="14" t="str">
        <f>IF(OR($C74="01-09",$C74="10-14"),"",INDEX(PrEP!$Q:$Q,MATCH($E74,PrEP!$E:$E,0)))</f>
        <v/>
      </c>
      <c r="AT74" s="14" t="str">
        <f t="shared" si="20"/>
        <v/>
      </c>
      <c r="AU74" s="14" t="str">
        <f t="shared" si="21"/>
        <v/>
      </c>
      <c r="AV74" s="90" t="str">
        <f t="shared" si="22"/>
        <v/>
      </c>
      <c r="AW74" s="14">
        <v>942</v>
      </c>
      <c r="AX74" s="90">
        <f t="shared" si="23"/>
        <v>0</v>
      </c>
      <c r="AY74" s="42">
        <f t="shared" si="24"/>
        <v>942</v>
      </c>
      <c r="AZ74" s="90">
        <f t="shared" si="25"/>
        <v>1</v>
      </c>
      <c r="BA74" s="42" t="str">
        <f t="shared" si="26"/>
        <v/>
      </c>
    </row>
    <row r="75" spans="1:53" x14ac:dyDescent="0.2">
      <c r="A75" t="str">
        <f>INDEX(Prioritization!$D:$D,MATCH($B75,Prioritization!$A:$A,0))</f>
        <v>1 - Scale-up: Saturation</v>
      </c>
      <c r="B75" t="s">
        <v>198</v>
      </c>
      <c r="C75" t="s">
        <v>362</v>
      </c>
      <c r="D75" t="s">
        <v>29</v>
      </c>
      <c r="E75" t="str">
        <f t="shared" si="0"/>
        <v>Mchinji District [kxuuIFpOXyO]|01-09|Female</v>
      </c>
      <c r="F75" s="90">
        <f>IF(LEFT($B75,4)="_Mil","",INDEX(Cascade!$AA:$AA,MATCH($E75,Cascade!$E:$E,0)))</f>
        <v>1421</v>
      </c>
      <c r="G75" s="14">
        <f>INDEX(Cascade!$BH:$BH,MATCH($E75,Cascade!$E:$E,0))</f>
        <v>0</v>
      </c>
      <c r="H75" s="14" t="str">
        <f>IF(OR($C75="01-09",$D75="Male"),"",INDEX(PMTCT!$AC:$AC,MATCH($E75,PMTCT!$E:$E,0)))</f>
        <v/>
      </c>
      <c r="I75" s="14" t="str">
        <f>IF(OR($C75="01-09",$D75="Male"),"",INDEX(PMTCT!$AS:$AS,MATCH($E75,PMTCT!$E:$E,0)))</f>
        <v/>
      </c>
      <c r="J75" s="14" t="str">
        <f>INDEX(TB!$P:$P,MATCH($E75,TB!$E:$E,0))</f>
        <v/>
      </c>
      <c r="K75" s="14" t="str">
        <f>IF(OR($C75="01-09",$C75="10-14",$D75="Female"),"",INDEX(VMMC!$AA:$AA,MATCH($E75,VMMC!$E:$E,0)))</f>
        <v/>
      </c>
      <c r="L75" s="14">
        <f t="shared" si="1"/>
        <v>0</v>
      </c>
      <c r="M75" s="90" t="str">
        <f t="shared" si="2"/>
        <v/>
      </c>
      <c r="N75" s="90" t="str">
        <f t="shared" si="3"/>
        <v/>
      </c>
      <c r="O75" s="90" t="str">
        <f t="shared" si="4"/>
        <v/>
      </c>
      <c r="P75" s="90" t="str">
        <f t="shared" si="5"/>
        <v/>
      </c>
      <c r="Q75" s="90"/>
      <c r="R75" s="90"/>
      <c r="S75" s="90"/>
      <c r="T75" s="90"/>
      <c r="U75" s="90"/>
      <c r="V75" s="90" t="str">
        <f t="shared" si="6"/>
        <v/>
      </c>
      <c r="W75" s="90"/>
      <c r="X75" s="42" t="str">
        <f t="shared" si="7"/>
        <v/>
      </c>
      <c r="Y75" s="42" t="str">
        <f t="shared" si="8"/>
        <v/>
      </c>
      <c r="Z75" s="90"/>
      <c r="AA75" s="42" t="str">
        <f t="shared" si="9"/>
        <v/>
      </c>
      <c r="AB75" s="42" t="str">
        <f t="shared" si="10"/>
        <v/>
      </c>
      <c r="AC75" s="90"/>
      <c r="AD75" s="42" t="str">
        <f t="shared" si="11"/>
        <v/>
      </c>
      <c r="AE75" s="42" t="str">
        <f t="shared" si="12"/>
        <v/>
      </c>
      <c r="AF75" s="90"/>
      <c r="AG75" s="42" t="str">
        <f t="shared" si="13"/>
        <v/>
      </c>
      <c r="AH75" s="42" t="str">
        <f t="shared" si="14"/>
        <v/>
      </c>
      <c r="AI75" s="90"/>
      <c r="AJ75" s="42" t="str">
        <f t="shared" si="15"/>
        <v/>
      </c>
      <c r="AK75" s="42" t="str">
        <f t="shared" si="16"/>
        <v/>
      </c>
      <c r="AL75" s="14" t="str">
        <f t="shared" si="17"/>
        <v/>
      </c>
      <c r="AM75" s="14" t="str">
        <f t="shared" si="18"/>
        <v/>
      </c>
      <c r="AN75" s="14" t="str">
        <f t="shared" si="19"/>
        <v/>
      </c>
      <c r="AO75" s="14" t="str">
        <f>IF(OR($C75="01-09",$D75="Male"),"",INDEX(PMTCT!$AD:$AD,MATCH($E75,PMTCT!$E:$E,0)))</f>
        <v/>
      </c>
      <c r="AP75" s="14" t="str">
        <f>IF(OR($C75="01-09",$D75="Male"),"",INDEX(PMTCT!$AT:$AT,MATCH($E75,PMTCT!$E:$E,0)))</f>
        <v/>
      </c>
      <c r="AQ75" s="14" t="str">
        <f>INDEX(TB!$Q:$Q,MATCH($E75,TB!$E:$E,0))</f>
        <v/>
      </c>
      <c r="AR75" s="14" t="str">
        <f>IF(OR($C75="01-09",$C75="10-14",$D75="Female"),"",INDEX(VMMC!$AB:$AB,MATCH($E75,VMMC!$E:$E,0)))</f>
        <v/>
      </c>
      <c r="AS75" s="14" t="str">
        <f>IF(OR($C75="01-09",$C75="10-14"),"",INDEX(PrEP!$Q:$Q,MATCH($E75,PrEP!$E:$E,0)))</f>
        <v/>
      </c>
      <c r="AT75" s="14" t="str">
        <f t="shared" si="20"/>
        <v/>
      </c>
      <c r="AU75" s="14" t="str">
        <f t="shared" si="21"/>
        <v/>
      </c>
      <c r="AV75" s="90" t="str">
        <f t="shared" si="22"/>
        <v/>
      </c>
      <c r="AW75" s="14"/>
      <c r="AX75" s="90" t="str">
        <f t="shared" si="23"/>
        <v/>
      </c>
      <c r="AY75" s="42" t="str">
        <f t="shared" si="24"/>
        <v/>
      </c>
      <c r="AZ75" s="90" t="str">
        <f t="shared" si="25"/>
        <v/>
      </c>
      <c r="BA75" s="42" t="str">
        <f t="shared" si="26"/>
        <v/>
      </c>
    </row>
    <row r="76" spans="1:53" x14ac:dyDescent="0.2">
      <c r="A76" t="str">
        <f>INDEX(Prioritization!$D:$D,MATCH($B76,Prioritization!$A:$A,0))</f>
        <v>1 - Scale-up: Saturation</v>
      </c>
      <c r="B76" t="s">
        <v>198</v>
      </c>
      <c r="C76" t="s">
        <v>362</v>
      </c>
      <c r="D76" t="s">
        <v>47</v>
      </c>
      <c r="E76" t="str">
        <f t="shared" si="0"/>
        <v>Mchinji District [kxuuIFpOXyO]|01-09|Male</v>
      </c>
      <c r="F76" s="90">
        <f>IF(LEFT($B76,4)="_Mil","",INDEX(Cascade!$AA:$AA,MATCH($E76,Cascade!$E:$E,0)))</f>
        <v>1003.0000000000001</v>
      </c>
      <c r="G76" s="14">
        <f>INDEX(Cascade!$BH:$BH,MATCH($E76,Cascade!$E:$E,0))</f>
        <v>0</v>
      </c>
      <c r="H76" s="14" t="str">
        <f>IF(OR($C76="01-09",$D76="Male"),"",INDEX(PMTCT!$AC:$AC,MATCH($E76,PMTCT!$E:$E,0)))</f>
        <v/>
      </c>
      <c r="I76" s="14" t="str">
        <f>IF(OR($C76="01-09",$D76="Male"),"",INDEX(PMTCT!$AS:$AS,MATCH($E76,PMTCT!$E:$E,0)))</f>
        <v/>
      </c>
      <c r="J76" s="14" t="str">
        <f>INDEX(TB!$P:$P,MATCH($E76,TB!$E:$E,0))</f>
        <v/>
      </c>
      <c r="K76" s="14" t="str">
        <f>IF(OR($C76="01-09",$C76="10-14",$D76="Female"),"",INDEX(VMMC!$AA:$AA,MATCH($E76,VMMC!$E:$E,0)))</f>
        <v/>
      </c>
      <c r="L76" s="14">
        <f t="shared" si="1"/>
        <v>0</v>
      </c>
      <c r="M76" s="90" t="str">
        <f t="shared" si="2"/>
        <v/>
      </c>
      <c r="N76" s="90" t="str">
        <f t="shared" si="3"/>
        <v/>
      </c>
      <c r="O76" s="90" t="str">
        <f t="shared" si="4"/>
        <v/>
      </c>
      <c r="P76" s="90" t="str">
        <f t="shared" si="5"/>
        <v/>
      </c>
      <c r="Q76" s="90"/>
      <c r="R76" s="90"/>
      <c r="S76" s="90"/>
      <c r="T76" s="90"/>
      <c r="U76" s="90"/>
      <c r="V76" s="90" t="str">
        <f t="shared" si="6"/>
        <v/>
      </c>
      <c r="W76" s="90"/>
      <c r="X76" s="42" t="str">
        <f t="shared" si="7"/>
        <v/>
      </c>
      <c r="Y76" s="42" t="str">
        <f t="shared" si="8"/>
        <v/>
      </c>
      <c r="Z76" s="90"/>
      <c r="AA76" s="42" t="str">
        <f t="shared" si="9"/>
        <v/>
      </c>
      <c r="AB76" s="42" t="str">
        <f t="shared" si="10"/>
        <v/>
      </c>
      <c r="AC76" s="90"/>
      <c r="AD76" s="42" t="str">
        <f t="shared" si="11"/>
        <v/>
      </c>
      <c r="AE76" s="42" t="str">
        <f t="shared" si="12"/>
        <v/>
      </c>
      <c r="AF76" s="90"/>
      <c r="AG76" s="42" t="str">
        <f t="shared" si="13"/>
        <v/>
      </c>
      <c r="AH76" s="42" t="str">
        <f t="shared" si="14"/>
        <v/>
      </c>
      <c r="AI76" s="90"/>
      <c r="AJ76" s="42" t="str">
        <f t="shared" si="15"/>
        <v/>
      </c>
      <c r="AK76" s="42" t="str">
        <f t="shared" si="16"/>
        <v/>
      </c>
      <c r="AL76" s="14" t="str">
        <f t="shared" si="17"/>
        <v/>
      </c>
      <c r="AM76" s="14" t="str">
        <f t="shared" si="18"/>
        <v/>
      </c>
      <c r="AN76" s="14" t="str">
        <f t="shared" si="19"/>
        <v/>
      </c>
      <c r="AO76" s="14" t="str">
        <f>IF(OR($C76="01-09",$D76="Male"),"",INDEX(PMTCT!$AD:$AD,MATCH($E76,PMTCT!$E:$E,0)))</f>
        <v/>
      </c>
      <c r="AP76" s="14" t="str">
        <f>IF(OR($C76="01-09",$D76="Male"),"",INDEX(PMTCT!$AT:$AT,MATCH($E76,PMTCT!$E:$E,0)))</f>
        <v/>
      </c>
      <c r="AQ76" s="14" t="str">
        <f>INDEX(TB!$Q:$Q,MATCH($E76,TB!$E:$E,0))</f>
        <v/>
      </c>
      <c r="AR76" s="14" t="str">
        <f>IF(OR($C76="01-09",$C76="10-14",$D76="Female"),"",INDEX(VMMC!$AB:$AB,MATCH($E76,VMMC!$E:$E,0)))</f>
        <v/>
      </c>
      <c r="AS76" s="14" t="str">
        <f>IF(OR($C76="01-09",$C76="10-14"),"",INDEX(PrEP!$Q:$Q,MATCH($E76,PrEP!$E:$E,0)))</f>
        <v/>
      </c>
      <c r="AT76" s="14" t="str">
        <f t="shared" si="20"/>
        <v/>
      </c>
      <c r="AU76" s="14" t="str">
        <f t="shared" si="21"/>
        <v/>
      </c>
      <c r="AV76" s="90" t="str">
        <f t="shared" si="22"/>
        <v/>
      </c>
      <c r="AW76" s="14"/>
      <c r="AX76" s="90" t="str">
        <f t="shared" si="23"/>
        <v/>
      </c>
      <c r="AY76" s="42" t="str">
        <f t="shared" si="24"/>
        <v/>
      </c>
      <c r="AZ76" s="90" t="str">
        <f t="shared" si="25"/>
        <v/>
      </c>
      <c r="BA76" s="42" t="str">
        <f t="shared" si="26"/>
        <v/>
      </c>
    </row>
    <row r="77" spans="1:53" x14ac:dyDescent="0.2">
      <c r="A77" t="str">
        <f>INDEX(Prioritization!$D:$D,MATCH($B77,Prioritization!$A:$A,0))</f>
        <v>1 - Scale-up: Saturation</v>
      </c>
      <c r="B77" t="s">
        <v>198</v>
      </c>
      <c r="C77" t="s">
        <v>363</v>
      </c>
      <c r="D77" t="s">
        <v>29</v>
      </c>
      <c r="E77" t="str">
        <f t="shared" si="0"/>
        <v>Mchinji District [kxuuIFpOXyO]|10-14|Female</v>
      </c>
      <c r="F77" s="90">
        <f>IF(LEFT($B77,4)="_Mil","",INDEX(Cascade!$AA:$AA,MATCH($E77,Cascade!$E:$E,0)))</f>
        <v>911</v>
      </c>
      <c r="G77" s="14">
        <f>INDEX(Cascade!$BH:$BH,MATCH($E77,Cascade!$E:$E,0))</f>
        <v>-75</v>
      </c>
      <c r="H77" s="14" t="str">
        <f>IF(OR($C77="01-09",$D77="Male"),"",INDEX(PMTCT!$AC:$AC,MATCH($E77,PMTCT!$E:$E,0)))</f>
        <v>ENTER YIELD RATE</v>
      </c>
      <c r="I77" s="14" t="str">
        <f>IF(OR($C77="01-09",$D77="Male"),"",INDEX(PMTCT!$AS:$AS,MATCH($E77,PMTCT!$E:$E,0)))</f>
        <v>ENTER YIELD RATE</v>
      </c>
      <c r="J77" s="14" t="str">
        <f>INDEX(TB!$P:$P,MATCH($E77,TB!$E:$E,0))</f>
        <v>ENTER YIELD RATE</v>
      </c>
      <c r="K77" s="14" t="str">
        <f>IF(OR($C77="01-09",$C77="10-14",$D77="Female"),"",INDEX(VMMC!$AA:$AA,MATCH($E77,VMMC!$E:$E,0)))</f>
        <v/>
      </c>
      <c r="L77" s="14">
        <f t="shared" si="1"/>
        <v>-75</v>
      </c>
      <c r="M77" s="90">
        <f t="shared" si="2"/>
        <v>0</v>
      </c>
      <c r="N77" s="90">
        <f t="shared" si="3"/>
        <v>0</v>
      </c>
      <c r="O77" s="90">
        <f t="shared" si="4"/>
        <v>0</v>
      </c>
      <c r="P77" s="90" t="str">
        <f t="shared" si="5"/>
        <v/>
      </c>
      <c r="Q77" s="90">
        <v>0.62038373271934699</v>
      </c>
      <c r="R77" s="90"/>
      <c r="S77" s="90"/>
      <c r="T77" s="90"/>
      <c r="U77" s="90">
        <v>0.46250813012011299</v>
      </c>
      <c r="V77" s="90">
        <f t="shared" si="6"/>
        <v>1.0828918628394599</v>
      </c>
      <c r="W77" s="90"/>
      <c r="X77" s="42">
        <f t="shared" si="7"/>
        <v>-47</v>
      </c>
      <c r="Y77" s="42" t="str">
        <f t="shared" si="8"/>
        <v>ENTER YIELD</v>
      </c>
      <c r="Z77" s="90"/>
      <c r="AA77" s="42" t="str">
        <f t="shared" si="9"/>
        <v/>
      </c>
      <c r="AB77" s="42" t="str">
        <f t="shared" si="10"/>
        <v/>
      </c>
      <c r="AC77" s="90"/>
      <c r="AD77" s="42" t="str">
        <f t="shared" si="11"/>
        <v/>
      </c>
      <c r="AE77" s="42" t="str">
        <f t="shared" si="12"/>
        <v/>
      </c>
      <c r="AF77" s="90"/>
      <c r="AG77" s="42" t="str">
        <f t="shared" si="13"/>
        <v/>
      </c>
      <c r="AH77" s="42" t="str">
        <f t="shared" si="14"/>
        <v/>
      </c>
      <c r="AI77" s="90"/>
      <c r="AJ77" s="42">
        <f t="shared" si="15"/>
        <v>-35</v>
      </c>
      <c r="AK77" s="42" t="str">
        <f t="shared" si="16"/>
        <v>ENTER YIELD</v>
      </c>
      <c r="AL77" s="14">
        <f t="shared" si="17"/>
        <v>-75</v>
      </c>
      <c r="AM77" s="14">
        <f t="shared" si="18"/>
        <v>-82</v>
      </c>
      <c r="AN77" s="14">
        <f t="shared" si="19"/>
        <v>-7</v>
      </c>
      <c r="AO77" s="14">
        <f>IF(OR($C77="01-09",$D77="Male"),"",INDEX(PMTCT!$AD:$AD,MATCH($E77,PMTCT!$E:$E,0)))</f>
        <v>7</v>
      </c>
      <c r="AP77" s="14">
        <f>IF(OR($C77="01-09",$D77="Male"),"",INDEX(PMTCT!$AT:$AT,MATCH($E77,PMTCT!$E:$E,0)))</f>
        <v>7</v>
      </c>
      <c r="AQ77" s="14">
        <f>INDEX(TB!$Q:$Q,MATCH($E77,TB!$E:$E,0))</f>
        <v>1</v>
      </c>
      <c r="AR77" s="14" t="str">
        <f>IF(OR($C77="01-09",$C77="10-14",$D77="Female"),"",INDEX(VMMC!$AB:$AB,MATCH($E77,VMMC!$E:$E,0)))</f>
        <v/>
      </c>
      <c r="AS77" s="14" t="str">
        <f>IF(OR($C77="01-09",$C77="10-14"),"",INDEX(PrEP!$Q:$Q,MATCH($E77,PrEP!$E:$E,0)))</f>
        <v/>
      </c>
      <c r="AT77" s="14">
        <f t="shared" si="20"/>
        <v>15</v>
      </c>
      <c r="AU77" s="14">
        <f t="shared" si="21"/>
        <v>-67</v>
      </c>
      <c r="AV77" s="90">
        <f t="shared" si="22"/>
        <v>1.2238805970149254</v>
      </c>
      <c r="AW77" s="14"/>
      <c r="AX77" s="90" t="str">
        <f t="shared" si="23"/>
        <v/>
      </c>
      <c r="AY77" s="42" t="str">
        <f t="shared" si="24"/>
        <v/>
      </c>
      <c r="AZ77" s="90" t="str">
        <f t="shared" si="25"/>
        <v/>
      </c>
      <c r="BA77" s="42" t="str">
        <f t="shared" si="26"/>
        <v/>
      </c>
    </row>
    <row r="78" spans="1:53" x14ac:dyDescent="0.2">
      <c r="A78" t="str">
        <f>INDEX(Prioritization!$D:$D,MATCH($B78,Prioritization!$A:$A,0))</f>
        <v>1 - Scale-up: Saturation</v>
      </c>
      <c r="B78" t="s">
        <v>198</v>
      </c>
      <c r="C78" t="s">
        <v>363</v>
      </c>
      <c r="D78" t="s">
        <v>47</v>
      </c>
      <c r="E78" t="str">
        <f t="shared" si="0"/>
        <v>Mchinji District [kxuuIFpOXyO]|10-14|Male</v>
      </c>
      <c r="F78" s="90">
        <f>IF(LEFT($B78,4)="_Mil","",INDEX(Cascade!$AA:$AA,MATCH($E78,Cascade!$E:$E,0)))</f>
        <v>1496</v>
      </c>
      <c r="G78" s="14">
        <f>INDEX(Cascade!$BH:$BH,MATCH($E78,Cascade!$E:$E,0))</f>
        <v>-94</v>
      </c>
      <c r="H78" s="14" t="str">
        <f>IF(OR($C78="01-09",$D78="Male"),"",INDEX(PMTCT!$AC:$AC,MATCH($E78,PMTCT!$E:$E,0)))</f>
        <v/>
      </c>
      <c r="I78" s="14" t="str">
        <f>IF(OR($C78="01-09",$D78="Male"),"",INDEX(PMTCT!$AS:$AS,MATCH($E78,PMTCT!$E:$E,0)))</f>
        <v/>
      </c>
      <c r="J78" s="14" t="str">
        <f>INDEX(TB!$P:$P,MATCH($E78,TB!$E:$E,0))</f>
        <v>ENTER YIELD RATE</v>
      </c>
      <c r="K78" s="14" t="str">
        <f>IF(OR($C78="01-09",$C78="10-14",$D78="Female"),"",INDEX(VMMC!$AA:$AA,MATCH($E78,VMMC!$E:$E,0)))</f>
        <v/>
      </c>
      <c r="L78" s="14">
        <f t="shared" si="1"/>
        <v>-94</v>
      </c>
      <c r="M78" s="90" t="str">
        <f t="shared" si="2"/>
        <v/>
      </c>
      <c r="N78" s="90" t="str">
        <f t="shared" si="3"/>
        <v/>
      </c>
      <c r="O78" s="90">
        <f t="shared" si="4"/>
        <v>0</v>
      </c>
      <c r="P78" s="90" t="str">
        <f t="shared" si="5"/>
        <v/>
      </c>
      <c r="Q78" s="90">
        <v>0.199435440590605</v>
      </c>
      <c r="R78" s="90"/>
      <c r="S78" s="90"/>
      <c r="T78" s="90"/>
      <c r="U78" s="90">
        <v>0.97491802461445298</v>
      </c>
      <c r="V78" s="90">
        <f t="shared" si="6"/>
        <v>1.174353465205058</v>
      </c>
      <c r="W78" s="90"/>
      <c r="X78" s="42">
        <f t="shared" si="7"/>
        <v>-19</v>
      </c>
      <c r="Y78" s="42" t="str">
        <f t="shared" si="8"/>
        <v>ENTER YIELD</v>
      </c>
      <c r="Z78" s="90"/>
      <c r="AA78" s="42" t="str">
        <f t="shared" si="9"/>
        <v/>
      </c>
      <c r="AB78" s="42" t="str">
        <f t="shared" si="10"/>
        <v/>
      </c>
      <c r="AC78" s="90"/>
      <c r="AD78" s="42" t="str">
        <f t="shared" si="11"/>
        <v/>
      </c>
      <c r="AE78" s="42" t="str">
        <f t="shared" si="12"/>
        <v/>
      </c>
      <c r="AF78" s="90"/>
      <c r="AG78" s="42" t="str">
        <f t="shared" si="13"/>
        <v/>
      </c>
      <c r="AH78" s="42" t="str">
        <f t="shared" si="14"/>
        <v/>
      </c>
      <c r="AI78" s="90"/>
      <c r="AJ78" s="42">
        <f t="shared" si="15"/>
        <v>-92</v>
      </c>
      <c r="AK78" s="42" t="str">
        <f t="shared" si="16"/>
        <v>ENTER YIELD</v>
      </c>
      <c r="AL78" s="14">
        <f t="shared" si="17"/>
        <v>-94</v>
      </c>
      <c r="AM78" s="14">
        <f t="shared" si="18"/>
        <v>-111</v>
      </c>
      <c r="AN78" s="14">
        <f t="shared" si="19"/>
        <v>-17</v>
      </c>
      <c r="AO78" s="14" t="str">
        <f>IF(OR($C78="01-09",$D78="Male"),"",INDEX(PMTCT!$AD:$AD,MATCH($E78,PMTCT!$E:$E,0)))</f>
        <v/>
      </c>
      <c r="AP78" s="14" t="str">
        <f>IF(OR($C78="01-09",$D78="Male"),"",INDEX(PMTCT!$AT:$AT,MATCH($E78,PMTCT!$E:$E,0)))</f>
        <v/>
      </c>
      <c r="AQ78" s="14">
        <f>INDEX(TB!$Q:$Q,MATCH($E78,TB!$E:$E,0))</f>
        <v>1</v>
      </c>
      <c r="AR78" s="14" t="str">
        <f>IF(OR($C78="01-09",$C78="10-14",$D78="Female"),"",INDEX(VMMC!$AB:$AB,MATCH($E78,VMMC!$E:$E,0)))</f>
        <v/>
      </c>
      <c r="AS78" s="14" t="str">
        <f>IF(OR($C78="01-09",$C78="10-14"),"",INDEX(PrEP!$Q:$Q,MATCH($E78,PrEP!$E:$E,0)))</f>
        <v/>
      </c>
      <c r="AT78" s="14">
        <f t="shared" si="20"/>
        <v>1</v>
      </c>
      <c r="AU78" s="14">
        <f t="shared" si="21"/>
        <v>-110</v>
      </c>
      <c r="AV78" s="90">
        <f t="shared" si="22"/>
        <v>1.009090909090909</v>
      </c>
      <c r="AW78" s="14"/>
      <c r="AX78" s="90" t="str">
        <f t="shared" si="23"/>
        <v/>
      </c>
      <c r="AY78" s="42" t="str">
        <f t="shared" si="24"/>
        <v/>
      </c>
      <c r="AZ78" s="90" t="str">
        <f t="shared" si="25"/>
        <v/>
      </c>
      <c r="BA78" s="42" t="str">
        <f t="shared" si="26"/>
        <v/>
      </c>
    </row>
    <row r="79" spans="1:53" x14ac:dyDescent="0.2">
      <c r="A79" t="str">
        <f>INDEX(Prioritization!$D:$D,MATCH($B79,Prioritization!$A:$A,0))</f>
        <v>1 - Scale-up: Saturation</v>
      </c>
      <c r="B79" t="s">
        <v>198</v>
      </c>
      <c r="C79" t="s">
        <v>364</v>
      </c>
      <c r="D79" t="s">
        <v>29</v>
      </c>
      <c r="E79" t="str">
        <f t="shared" ref="E79:E142" si="27">$B79&amp;"|"&amp;$C79&amp;"|"&amp;$D79</f>
        <v>Mchinji District [kxuuIFpOXyO]|15-24|Female</v>
      </c>
      <c r="F79" s="90">
        <f>IF(LEFT($B79,4)="_Mil","",INDEX(Cascade!$AA:$AA,MATCH($E79,Cascade!$E:$E,0)))</f>
        <v>1889</v>
      </c>
      <c r="G79" s="14">
        <f>INDEX(Cascade!$BH:$BH,MATCH($E79,Cascade!$E:$E,0))</f>
        <v>0</v>
      </c>
      <c r="H79" s="14" t="str">
        <f>IF(OR($C79="01-09",$D79="Male"),"",INDEX(PMTCT!$AC:$AC,MATCH($E79,PMTCT!$E:$E,0)))</f>
        <v/>
      </c>
      <c r="I79" s="14" t="str">
        <f>IF(OR($C79="01-09",$D79="Male"),"",INDEX(PMTCT!$AS:$AS,MATCH($E79,PMTCT!$E:$E,0)))</f>
        <v/>
      </c>
      <c r="J79" s="14" t="str">
        <f>INDEX(TB!$P:$P,MATCH($E79,TB!$E:$E,0))</f>
        <v/>
      </c>
      <c r="K79" s="14" t="str">
        <f>IF(OR($C79="01-09",$C79="10-14",$D79="Female"),"",INDEX(VMMC!$AA:$AA,MATCH($E79,VMMC!$E:$E,0)))</f>
        <v/>
      </c>
      <c r="L79" s="14">
        <f t="shared" ref="L79:L142" si="28">SUM($G79)-SUM($H79:$K79)</f>
        <v>0</v>
      </c>
      <c r="M79" s="90" t="str">
        <f t="shared" ref="M79:M142" si="29">IF(OR($C79="01-09",$D79="Male",AND(SUM($G79)=0,SUM($H79)=0)),"",SUM($H79)/SUM($G79))</f>
        <v/>
      </c>
      <c r="N79" s="90" t="str">
        <f t="shared" ref="N79:N142" si="30">IF(OR($C79="01-09",$D79="Male",AND(SUM($G79)=0,SUM($I79)=0)),"",SUM($I79)/SUM($G79))</f>
        <v/>
      </c>
      <c r="O79" s="90" t="str">
        <f t="shared" ref="O79:O142" si="31">IF(AND(SUM($G79)=0,SUM($J79)=0),"",SUM($J79)/SUM($G79))</f>
        <v/>
      </c>
      <c r="P79" s="90" t="str">
        <f t="shared" ref="P79:P142" si="32">IF(OR($C79="01-09",$C79="10-14",$D79="Female",AND(SUM($G79)=0,SUM($K79)=0)),"",SUM($K79)/SUM($G79))</f>
        <v/>
      </c>
      <c r="Q79" s="90"/>
      <c r="R79" s="90"/>
      <c r="S79" s="90"/>
      <c r="T79" s="90"/>
      <c r="U79" s="90"/>
      <c r="V79" s="90" t="str">
        <f t="shared" ref="V79:V142" si="33">IF(SUM($G79)=0,"",SUM($M79:$U79))</f>
        <v/>
      </c>
      <c r="W79" s="90"/>
      <c r="X79" s="42" t="str">
        <f t="shared" ref="X79:X142" si="34">IF(OR(SUM($G79)=0,SUM($Q79)=0),"",ROUND(SUM($G79)*SUM($Q79),0))</f>
        <v/>
      </c>
      <c r="Y79" s="42" t="str">
        <f t="shared" ref="Y79:Y142" si="35">IF(SUM($X79)=0,"",IF(SUM($W79)=0,"ENTER YIELD",ROUND($X79/$W79,0)-$X79))</f>
        <v/>
      </c>
      <c r="Z79" s="90"/>
      <c r="AA79" s="42" t="str">
        <f t="shared" ref="AA79:AA142" si="36">IF(OR(SUM($G79)=0,SUM($R79)=0),"",ROUND(SUM($G79)*SUM($R79),0))</f>
        <v/>
      </c>
      <c r="AB79" s="42" t="str">
        <f t="shared" ref="AB79:AB142" si="37">IF(SUM($AA79)=0,"",IF(SUM($Z79)=0,"ENTER YIELD",ROUND($AA79/$Z79,0)-$AA79))</f>
        <v/>
      </c>
      <c r="AC79" s="90"/>
      <c r="AD79" s="42" t="str">
        <f t="shared" ref="AD79:AD142" si="38">IF(OR(SUM($G79)=0,SUM($S79)=0),"",ROUND(SUM($G79)*SUM($S79),0))</f>
        <v/>
      </c>
      <c r="AE79" s="42" t="str">
        <f t="shared" ref="AE79:AE142" si="39">IF(SUM($AD79)=0,"",IF(SUM($AC79)=0,"ENTER YIELD",ROUND($AD79/$AC79,0)-$AD79))</f>
        <v/>
      </c>
      <c r="AF79" s="90"/>
      <c r="AG79" s="42" t="str">
        <f t="shared" ref="AG79:AG142" si="40">IF(OR(SUM($G79)=0,SUM($T79)=0),"",ROUND(SUM($G79)*SUM($T79),0))</f>
        <v/>
      </c>
      <c r="AH79" s="42" t="str">
        <f t="shared" ref="AH79:AH142" si="41">IF(SUM($AG79)=0,"",IF(SUM($AF79)=0,"ENTER YIELD",ROUND($AG79/$AF79,0)-$AG79))</f>
        <v/>
      </c>
      <c r="AI79" s="90"/>
      <c r="AJ79" s="42" t="str">
        <f t="shared" ref="AJ79:AJ142" si="42">IF(OR(SUM($G79)=0,SUM($U79)=0),"",ROUND(SUM($G79)*SUM($U79),0))</f>
        <v/>
      </c>
      <c r="AK79" s="42" t="str">
        <f t="shared" ref="AK79:AK142" si="43">IF(SUM($AJ79)=0,"",IF(SUM($AI79)=0,"ENTER YIELD",ROUND($AJ79/$AI79,0)-$AJ79))</f>
        <v/>
      </c>
      <c r="AL79" s="14" t="str">
        <f t="shared" ref="AL79:AL142" si="44">IF(SUM($G79)=0,"",$G79)</f>
        <v/>
      </c>
      <c r="AM79" s="14" t="str">
        <f t="shared" ref="AM79:AM142" si="45">IFERROR(1/(1/SUM($H79:$K79,$X79,$AA79,$AD79,$AG79,$AJ79)),"")</f>
        <v/>
      </c>
      <c r="AN79" s="14" t="str">
        <f t="shared" ref="AN79:AN142" si="46">IF(AND(SUM($AM79)=0,SUM($AL79)=0),"",$AM79-$AL79)</f>
        <v/>
      </c>
      <c r="AO79" s="14" t="str">
        <f>IF(OR($C79="01-09",$D79="Male"),"",INDEX(PMTCT!$AD:$AD,MATCH($E79,PMTCT!$E:$E,0)))</f>
        <v/>
      </c>
      <c r="AP79" s="14" t="str">
        <f>IF(OR($C79="01-09",$D79="Male"),"",INDEX(PMTCT!$AT:$AT,MATCH($E79,PMTCT!$E:$E,0)))</f>
        <v/>
      </c>
      <c r="AQ79" s="14" t="str">
        <f>INDEX(TB!$Q:$Q,MATCH($E79,TB!$E:$E,0))</f>
        <v/>
      </c>
      <c r="AR79" s="14" t="str">
        <f>IF(OR($C79="01-09",$C79="10-14",$D79="Female"),"",INDEX(VMMC!$AB:$AB,MATCH($E79,VMMC!$E:$E,0)))</f>
        <v/>
      </c>
      <c r="AS79" s="14" t="str">
        <f>IF(OR($C79="01-09",$C79="10-14"),"",INDEX(PrEP!$Q:$Q,MATCH($E79,PrEP!$E:$E,0)))</f>
        <v/>
      </c>
      <c r="AT79" s="14" t="str">
        <f t="shared" ref="AT79:AT142" si="47">IFERROR(1/(1/SUM($Y79,$AB79,$AE79,$AH79,$AK79,$AO79:$AS79)),"")</f>
        <v/>
      </c>
      <c r="AU79" s="14" t="str">
        <f t="shared" ref="AU79:AU142" si="48">IFERROR(1/(1/SUM($AT79,$AM79)),"")</f>
        <v/>
      </c>
      <c r="AV79" s="90" t="str">
        <f t="shared" ref="AV79:AV142" si="49">IF(AND(SUM($AM79)=0,SUM($AU79)=0),"",$AM79/$AU79)</f>
        <v/>
      </c>
      <c r="AW79" s="14"/>
      <c r="AX79" s="90" t="str">
        <f t="shared" ref="AX79:AX142" si="50">IF(OR($C79="01-09",SUM($AW79)=0),"",0%)</f>
        <v/>
      </c>
      <c r="AY79" s="42" t="str">
        <f t="shared" ref="AY79:AY142" si="51">IF(OR($C79="01-09",SUM($AW79)=0),"",ROUND($AW79*(1+$AX79),0))</f>
        <v/>
      </c>
      <c r="AZ79" s="90">
        <f t="shared" ref="AZ79:AZ142" si="52">IF(OR($C79="01-09",$C79="10-14"),"",100%)</f>
        <v>1</v>
      </c>
      <c r="BA79" s="42" t="str">
        <f t="shared" ref="BA79:BA142" si="53">IF(OR(SUM($AM79)=0,$C79="01-09",$C79="10-14"),"",$AM79*$AZ79)</f>
        <v/>
      </c>
    </row>
    <row r="80" spans="1:53" x14ac:dyDescent="0.2">
      <c r="A80" t="str">
        <f>INDEX(Prioritization!$D:$D,MATCH($B80,Prioritization!$A:$A,0))</f>
        <v>1 - Scale-up: Saturation</v>
      </c>
      <c r="B80" t="s">
        <v>198</v>
      </c>
      <c r="C80" t="s">
        <v>364</v>
      </c>
      <c r="D80" t="s">
        <v>47</v>
      </c>
      <c r="E80" t="str">
        <f t="shared" si="27"/>
        <v>Mchinji District [kxuuIFpOXyO]|15-24|Male</v>
      </c>
      <c r="F80" s="90">
        <f>IF(LEFT($B80,4)="_Mil","",INDEX(Cascade!$AA:$AA,MATCH($E80,Cascade!$E:$E,0)))</f>
        <v>742</v>
      </c>
      <c r="G80" s="14">
        <f>INDEX(Cascade!$BH:$BH,MATCH($E80,Cascade!$E:$E,0))</f>
        <v>0</v>
      </c>
      <c r="H80" s="14" t="str">
        <f>IF(OR($C80="01-09",$D80="Male"),"",INDEX(PMTCT!$AC:$AC,MATCH($E80,PMTCT!$E:$E,0)))</f>
        <v/>
      </c>
      <c r="I80" s="14" t="str">
        <f>IF(OR($C80="01-09",$D80="Male"),"",INDEX(PMTCT!$AS:$AS,MATCH($E80,PMTCT!$E:$E,0)))</f>
        <v/>
      </c>
      <c r="J80" s="14" t="str">
        <f>INDEX(TB!$P:$P,MATCH($E80,TB!$E:$E,0))</f>
        <v/>
      </c>
      <c r="K80" s="14" t="str">
        <f>IF(OR($C80="01-09",$C80="10-14",$D80="Female"),"",INDEX(VMMC!$AA:$AA,MATCH($E80,VMMC!$E:$E,0)))</f>
        <v/>
      </c>
      <c r="L80" s="14">
        <f t="shared" si="28"/>
        <v>0</v>
      </c>
      <c r="M80" s="90" t="str">
        <f t="shared" si="29"/>
        <v/>
      </c>
      <c r="N80" s="90" t="str">
        <f t="shared" si="30"/>
        <v/>
      </c>
      <c r="O80" s="90" t="str">
        <f t="shared" si="31"/>
        <v/>
      </c>
      <c r="P80" s="90" t="str">
        <f t="shared" si="32"/>
        <v/>
      </c>
      <c r="Q80" s="90"/>
      <c r="R80" s="90"/>
      <c r="S80" s="90"/>
      <c r="T80" s="90"/>
      <c r="U80" s="90"/>
      <c r="V80" s="90" t="str">
        <f t="shared" si="33"/>
        <v/>
      </c>
      <c r="W80" s="90"/>
      <c r="X80" s="42" t="str">
        <f t="shared" si="34"/>
        <v/>
      </c>
      <c r="Y80" s="42" t="str">
        <f t="shared" si="35"/>
        <v/>
      </c>
      <c r="Z80" s="90"/>
      <c r="AA80" s="42" t="str">
        <f t="shared" si="36"/>
        <v/>
      </c>
      <c r="AB80" s="42" t="str">
        <f t="shared" si="37"/>
        <v/>
      </c>
      <c r="AC80" s="90"/>
      <c r="AD80" s="42" t="str">
        <f t="shared" si="38"/>
        <v/>
      </c>
      <c r="AE80" s="42" t="str">
        <f t="shared" si="39"/>
        <v/>
      </c>
      <c r="AF80" s="90"/>
      <c r="AG80" s="42" t="str">
        <f t="shared" si="40"/>
        <v/>
      </c>
      <c r="AH80" s="42" t="str">
        <f t="shared" si="41"/>
        <v/>
      </c>
      <c r="AI80" s="90"/>
      <c r="AJ80" s="42" t="str">
        <f t="shared" si="42"/>
        <v/>
      </c>
      <c r="AK80" s="42" t="str">
        <f t="shared" si="43"/>
        <v/>
      </c>
      <c r="AL80" s="14" t="str">
        <f t="shared" si="44"/>
        <v/>
      </c>
      <c r="AM80" s="14" t="str">
        <f t="shared" si="45"/>
        <v/>
      </c>
      <c r="AN80" s="14" t="str">
        <f t="shared" si="46"/>
        <v/>
      </c>
      <c r="AO80" s="14" t="str">
        <f>IF(OR($C80="01-09",$D80="Male"),"",INDEX(PMTCT!$AD:$AD,MATCH($E80,PMTCT!$E:$E,0)))</f>
        <v/>
      </c>
      <c r="AP80" s="14" t="str">
        <f>IF(OR($C80="01-09",$D80="Male"),"",INDEX(PMTCT!$AT:$AT,MATCH($E80,PMTCT!$E:$E,0)))</f>
        <v/>
      </c>
      <c r="AQ80" s="14" t="str">
        <f>INDEX(TB!$Q:$Q,MATCH($E80,TB!$E:$E,0))</f>
        <v/>
      </c>
      <c r="AR80" s="14" t="str">
        <f>IF(OR($C80="01-09",$C80="10-14",$D80="Female"),"",INDEX(VMMC!$AB:$AB,MATCH($E80,VMMC!$E:$E,0)))</f>
        <v/>
      </c>
      <c r="AS80" s="14" t="str">
        <f>IF(OR($C80="01-09",$C80="10-14"),"",INDEX(PrEP!$Q:$Q,MATCH($E80,PrEP!$E:$E,0)))</f>
        <v/>
      </c>
      <c r="AT80" s="14" t="str">
        <f t="shared" si="47"/>
        <v/>
      </c>
      <c r="AU80" s="14" t="str">
        <f t="shared" si="48"/>
        <v/>
      </c>
      <c r="AV80" s="90" t="str">
        <f t="shared" si="49"/>
        <v/>
      </c>
      <c r="AW80" s="14"/>
      <c r="AX80" s="90" t="str">
        <f t="shared" si="50"/>
        <v/>
      </c>
      <c r="AY80" s="42" t="str">
        <f t="shared" si="51"/>
        <v/>
      </c>
      <c r="AZ80" s="90">
        <f t="shared" si="52"/>
        <v>1</v>
      </c>
      <c r="BA80" s="42" t="str">
        <f t="shared" si="53"/>
        <v/>
      </c>
    </row>
    <row r="81" spans="1:53" x14ac:dyDescent="0.2">
      <c r="A81" t="str">
        <f>INDEX(Prioritization!$D:$D,MATCH($B81,Prioritization!$A:$A,0))</f>
        <v>1 - Scale-up: Saturation</v>
      </c>
      <c r="B81" t="s">
        <v>198</v>
      </c>
      <c r="C81" t="s">
        <v>365</v>
      </c>
      <c r="D81" t="s">
        <v>29</v>
      </c>
      <c r="E81" t="str">
        <f t="shared" si="27"/>
        <v>Mchinji District [kxuuIFpOXyO]|25-34|Female</v>
      </c>
      <c r="F81" s="90">
        <f>IF(LEFT($B81,4)="_Mil","",INDEX(Cascade!$AA:$AA,MATCH($E81,Cascade!$E:$E,0)))</f>
        <v>1744</v>
      </c>
      <c r="G81" s="14">
        <f>INDEX(Cascade!$BH:$BH,MATCH($E81,Cascade!$E:$E,0))</f>
        <v>0</v>
      </c>
      <c r="H81" s="14" t="str">
        <f>IF(OR($C81="01-09",$D81="Male"),"",INDEX(PMTCT!$AC:$AC,MATCH($E81,PMTCT!$E:$E,0)))</f>
        <v/>
      </c>
      <c r="I81" s="14" t="str">
        <f>IF(OR($C81="01-09",$D81="Male"),"",INDEX(PMTCT!$AS:$AS,MATCH($E81,PMTCT!$E:$E,0)))</f>
        <v/>
      </c>
      <c r="J81" s="14" t="str">
        <f>INDEX(TB!$P:$P,MATCH($E81,TB!$E:$E,0))</f>
        <v/>
      </c>
      <c r="K81" s="14" t="str">
        <f>IF(OR($C81="01-09",$C81="10-14",$D81="Female"),"",INDEX(VMMC!$AA:$AA,MATCH($E81,VMMC!$E:$E,0)))</f>
        <v/>
      </c>
      <c r="L81" s="14">
        <f t="shared" si="28"/>
        <v>0</v>
      </c>
      <c r="M81" s="90" t="str">
        <f t="shared" si="29"/>
        <v/>
      </c>
      <c r="N81" s="90" t="str">
        <f t="shared" si="30"/>
        <v/>
      </c>
      <c r="O81" s="90" t="str">
        <f t="shared" si="31"/>
        <v/>
      </c>
      <c r="P81" s="90" t="str">
        <f t="shared" si="32"/>
        <v/>
      </c>
      <c r="Q81" s="90"/>
      <c r="R81" s="90"/>
      <c r="S81" s="90"/>
      <c r="T81" s="90"/>
      <c r="U81" s="90"/>
      <c r="V81" s="90" t="str">
        <f t="shared" si="33"/>
        <v/>
      </c>
      <c r="W81" s="90"/>
      <c r="X81" s="42" t="str">
        <f t="shared" si="34"/>
        <v/>
      </c>
      <c r="Y81" s="42" t="str">
        <f t="shared" si="35"/>
        <v/>
      </c>
      <c r="Z81" s="90"/>
      <c r="AA81" s="42" t="str">
        <f t="shared" si="36"/>
        <v/>
      </c>
      <c r="AB81" s="42" t="str">
        <f t="shared" si="37"/>
        <v/>
      </c>
      <c r="AC81" s="90"/>
      <c r="AD81" s="42" t="str">
        <f t="shared" si="38"/>
        <v/>
      </c>
      <c r="AE81" s="42" t="str">
        <f t="shared" si="39"/>
        <v/>
      </c>
      <c r="AF81" s="90"/>
      <c r="AG81" s="42" t="str">
        <f t="shared" si="40"/>
        <v/>
      </c>
      <c r="AH81" s="42" t="str">
        <f t="shared" si="41"/>
        <v/>
      </c>
      <c r="AI81" s="90"/>
      <c r="AJ81" s="42" t="str">
        <f t="shared" si="42"/>
        <v/>
      </c>
      <c r="AK81" s="42" t="str">
        <f t="shared" si="43"/>
        <v/>
      </c>
      <c r="AL81" s="14" t="str">
        <f t="shared" si="44"/>
        <v/>
      </c>
      <c r="AM81" s="14" t="str">
        <f t="shared" si="45"/>
        <v/>
      </c>
      <c r="AN81" s="14" t="str">
        <f t="shared" si="46"/>
        <v/>
      </c>
      <c r="AO81" s="14" t="str">
        <f>IF(OR($C81="01-09",$D81="Male"),"",INDEX(PMTCT!$AD:$AD,MATCH($E81,PMTCT!$E:$E,0)))</f>
        <v/>
      </c>
      <c r="AP81" s="14" t="str">
        <f>IF(OR($C81="01-09",$D81="Male"),"",INDEX(PMTCT!$AT:$AT,MATCH($E81,PMTCT!$E:$E,0)))</f>
        <v/>
      </c>
      <c r="AQ81" s="14" t="str">
        <f>INDEX(TB!$Q:$Q,MATCH($E81,TB!$E:$E,0))</f>
        <v/>
      </c>
      <c r="AR81" s="14" t="str">
        <f>IF(OR($C81="01-09",$C81="10-14",$D81="Female"),"",INDEX(VMMC!$AB:$AB,MATCH($E81,VMMC!$E:$E,0)))</f>
        <v/>
      </c>
      <c r="AS81" s="14" t="str">
        <f>IF(OR($C81="01-09",$C81="10-14"),"",INDEX(PrEP!$Q:$Q,MATCH($E81,PrEP!$E:$E,0)))</f>
        <v/>
      </c>
      <c r="AT81" s="14" t="str">
        <f t="shared" si="47"/>
        <v/>
      </c>
      <c r="AU81" s="14" t="str">
        <f t="shared" si="48"/>
        <v/>
      </c>
      <c r="AV81" s="90" t="str">
        <f t="shared" si="49"/>
        <v/>
      </c>
      <c r="AW81" s="14"/>
      <c r="AX81" s="90" t="str">
        <f t="shared" si="50"/>
        <v/>
      </c>
      <c r="AY81" s="42" t="str">
        <f t="shared" si="51"/>
        <v/>
      </c>
      <c r="AZ81" s="90">
        <f t="shared" si="52"/>
        <v>1</v>
      </c>
      <c r="BA81" s="42" t="str">
        <f t="shared" si="53"/>
        <v/>
      </c>
    </row>
    <row r="82" spans="1:53" x14ac:dyDescent="0.2">
      <c r="A82" t="str">
        <f>INDEX(Prioritization!$D:$D,MATCH($B82,Prioritization!$A:$A,0))</f>
        <v>1 - Scale-up: Saturation</v>
      </c>
      <c r="B82" t="s">
        <v>198</v>
      </c>
      <c r="C82" t="s">
        <v>365</v>
      </c>
      <c r="D82" t="s">
        <v>47</v>
      </c>
      <c r="E82" t="str">
        <f t="shared" si="27"/>
        <v>Mchinji District [kxuuIFpOXyO]|25-34|Male</v>
      </c>
      <c r="F82" s="90">
        <f>IF(LEFT($B82,4)="_Mil","",INDEX(Cascade!$AA:$AA,MATCH($E82,Cascade!$E:$E,0)))</f>
        <v>539</v>
      </c>
      <c r="G82" s="14">
        <f>INDEX(Cascade!$BH:$BH,MATCH($E82,Cascade!$E:$E,0))</f>
        <v>0</v>
      </c>
      <c r="H82" s="14" t="str">
        <f>IF(OR($C82="01-09",$D82="Male"),"",INDEX(PMTCT!$AC:$AC,MATCH($E82,PMTCT!$E:$E,0)))</f>
        <v/>
      </c>
      <c r="I82" s="14" t="str">
        <f>IF(OR($C82="01-09",$D82="Male"),"",INDEX(PMTCT!$AS:$AS,MATCH($E82,PMTCT!$E:$E,0)))</f>
        <v/>
      </c>
      <c r="J82" s="14" t="str">
        <f>INDEX(TB!$P:$P,MATCH($E82,TB!$E:$E,0))</f>
        <v/>
      </c>
      <c r="K82" s="14" t="str">
        <f>IF(OR($C82="01-09",$C82="10-14",$D82="Female"),"",INDEX(VMMC!$AA:$AA,MATCH($E82,VMMC!$E:$E,0)))</f>
        <v/>
      </c>
      <c r="L82" s="14">
        <f t="shared" si="28"/>
        <v>0</v>
      </c>
      <c r="M82" s="90" t="str">
        <f t="shared" si="29"/>
        <v/>
      </c>
      <c r="N82" s="90" t="str">
        <f t="shared" si="30"/>
        <v/>
      </c>
      <c r="O82" s="90" t="str">
        <f t="shared" si="31"/>
        <v/>
      </c>
      <c r="P82" s="90" t="str">
        <f t="shared" si="32"/>
        <v/>
      </c>
      <c r="Q82" s="90"/>
      <c r="R82" s="90"/>
      <c r="S82" s="90"/>
      <c r="T82" s="90"/>
      <c r="U82" s="90"/>
      <c r="V82" s="90" t="str">
        <f t="shared" si="33"/>
        <v/>
      </c>
      <c r="W82" s="90"/>
      <c r="X82" s="42" t="str">
        <f t="shared" si="34"/>
        <v/>
      </c>
      <c r="Y82" s="42" t="str">
        <f t="shared" si="35"/>
        <v/>
      </c>
      <c r="Z82" s="90"/>
      <c r="AA82" s="42" t="str">
        <f t="shared" si="36"/>
        <v/>
      </c>
      <c r="AB82" s="42" t="str">
        <f t="shared" si="37"/>
        <v/>
      </c>
      <c r="AC82" s="90"/>
      <c r="AD82" s="42" t="str">
        <f t="shared" si="38"/>
        <v/>
      </c>
      <c r="AE82" s="42" t="str">
        <f t="shared" si="39"/>
        <v/>
      </c>
      <c r="AF82" s="90"/>
      <c r="AG82" s="42" t="str">
        <f t="shared" si="40"/>
        <v/>
      </c>
      <c r="AH82" s="42" t="str">
        <f t="shared" si="41"/>
        <v/>
      </c>
      <c r="AI82" s="90"/>
      <c r="AJ82" s="42" t="str">
        <f t="shared" si="42"/>
        <v/>
      </c>
      <c r="AK82" s="42" t="str">
        <f t="shared" si="43"/>
        <v/>
      </c>
      <c r="AL82" s="14" t="str">
        <f t="shared" si="44"/>
        <v/>
      </c>
      <c r="AM82" s="14" t="str">
        <f t="shared" si="45"/>
        <v/>
      </c>
      <c r="AN82" s="14" t="str">
        <f t="shared" si="46"/>
        <v/>
      </c>
      <c r="AO82" s="14" t="str">
        <f>IF(OR($C82="01-09",$D82="Male"),"",INDEX(PMTCT!$AD:$AD,MATCH($E82,PMTCT!$E:$E,0)))</f>
        <v/>
      </c>
      <c r="AP82" s="14" t="str">
        <f>IF(OR($C82="01-09",$D82="Male"),"",INDEX(PMTCT!$AT:$AT,MATCH($E82,PMTCT!$E:$E,0)))</f>
        <v/>
      </c>
      <c r="AQ82" s="14" t="str">
        <f>INDEX(TB!$Q:$Q,MATCH($E82,TB!$E:$E,0))</f>
        <v/>
      </c>
      <c r="AR82" s="14" t="str">
        <f>IF(OR($C82="01-09",$C82="10-14",$D82="Female"),"",INDEX(VMMC!$AB:$AB,MATCH($E82,VMMC!$E:$E,0)))</f>
        <v/>
      </c>
      <c r="AS82" s="14" t="str">
        <f>IF(OR($C82="01-09",$C82="10-14"),"",INDEX(PrEP!$Q:$Q,MATCH($E82,PrEP!$E:$E,0)))</f>
        <v/>
      </c>
      <c r="AT82" s="14" t="str">
        <f t="shared" si="47"/>
        <v/>
      </c>
      <c r="AU82" s="14" t="str">
        <f t="shared" si="48"/>
        <v/>
      </c>
      <c r="AV82" s="90" t="str">
        <f t="shared" si="49"/>
        <v/>
      </c>
      <c r="AW82" s="14"/>
      <c r="AX82" s="90" t="str">
        <f t="shared" si="50"/>
        <v/>
      </c>
      <c r="AY82" s="42" t="str">
        <f t="shared" si="51"/>
        <v/>
      </c>
      <c r="AZ82" s="90">
        <f t="shared" si="52"/>
        <v>1</v>
      </c>
      <c r="BA82" s="42" t="str">
        <f t="shared" si="53"/>
        <v/>
      </c>
    </row>
    <row r="83" spans="1:53" x14ac:dyDescent="0.2">
      <c r="A83" t="str">
        <f>INDEX(Prioritization!$D:$D,MATCH($B83,Prioritization!$A:$A,0))</f>
        <v>1 - Scale-up: Saturation</v>
      </c>
      <c r="B83" t="s">
        <v>198</v>
      </c>
      <c r="C83" t="s">
        <v>366</v>
      </c>
      <c r="D83" t="s">
        <v>29</v>
      </c>
      <c r="E83" t="str">
        <f t="shared" si="27"/>
        <v>Mchinji District [kxuuIFpOXyO]|35-49|Female</v>
      </c>
      <c r="F83" s="90">
        <f>IF(LEFT($B83,4)="_Mil","",INDEX(Cascade!$AA:$AA,MATCH($E83,Cascade!$E:$E,0)))</f>
        <v>647</v>
      </c>
      <c r="G83" s="14">
        <f>INDEX(Cascade!$BH:$BH,MATCH($E83,Cascade!$E:$E,0))</f>
        <v>0</v>
      </c>
      <c r="H83" s="14" t="str">
        <f>IF(OR($C83="01-09",$D83="Male"),"",INDEX(PMTCT!$AC:$AC,MATCH($E83,PMTCT!$E:$E,0)))</f>
        <v/>
      </c>
      <c r="I83" s="14" t="str">
        <f>IF(OR($C83="01-09",$D83="Male"),"",INDEX(PMTCT!$AS:$AS,MATCH($E83,PMTCT!$E:$E,0)))</f>
        <v/>
      </c>
      <c r="J83" s="14" t="str">
        <f>INDEX(TB!$P:$P,MATCH($E83,TB!$E:$E,0))</f>
        <v/>
      </c>
      <c r="K83" s="14" t="str">
        <f>IF(OR($C83="01-09",$C83="10-14",$D83="Female"),"",INDEX(VMMC!$AA:$AA,MATCH($E83,VMMC!$E:$E,0)))</f>
        <v/>
      </c>
      <c r="L83" s="14">
        <f t="shared" si="28"/>
        <v>0</v>
      </c>
      <c r="M83" s="90" t="str">
        <f t="shared" si="29"/>
        <v/>
      </c>
      <c r="N83" s="90" t="str">
        <f t="shared" si="30"/>
        <v/>
      </c>
      <c r="O83" s="90" t="str">
        <f t="shared" si="31"/>
        <v/>
      </c>
      <c r="P83" s="90" t="str">
        <f t="shared" si="32"/>
        <v/>
      </c>
      <c r="Q83" s="90"/>
      <c r="R83" s="90"/>
      <c r="S83" s="90"/>
      <c r="T83" s="90"/>
      <c r="U83" s="90"/>
      <c r="V83" s="90" t="str">
        <f t="shared" si="33"/>
        <v/>
      </c>
      <c r="W83" s="90"/>
      <c r="X83" s="42" t="str">
        <f t="shared" si="34"/>
        <v/>
      </c>
      <c r="Y83" s="42" t="str">
        <f t="shared" si="35"/>
        <v/>
      </c>
      <c r="Z83" s="90"/>
      <c r="AA83" s="42" t="str">
        <f t="shared" si="36"/>
        <v/>
      </c>
      <c r="AB83" s="42" t="str">
        <f t="shared" si="37"/>
        <v/>
      </c>
      <c r="AC83" s="90"/>
      <c r="AD83" s="42" t="str">
        <f t="shared" si="38"/>
        <v/>
      </c>
      <c r="AE83" s="42" t="str">
        <f t="shared" si="39"/>
        <v/>
      </c>
      <c r="AF83" s="90"/>
      <c r="AG83" s="42" t="str">
        <f t="shared" si="40"/>
        <v/>
      </c>
      <c r="AH83" s="42" t="str">
        <f t="shared" si="41"/>
        <v/>
      </c>
      <c r="AI83" s="90"/>
      <c r="AJ83" s="42" t="str">
        <f t="shared" si="42"/>
        <v/>
      </c>
      <c r="AK83" s="42" t="str">
        <f t="shared" si="43"/>
        <v/>
      </c>
      <c r="AL83" s="14" t="str">
        <f t="shared" si="44"/>
        <v/>
      </c>
      <c r="AM83" s="14" t="str">
        <f t="shared" si="45"/>
        <v/>
      </c>
      <c r="AN83" s="14" t="str">
        <f t="shared" si="46"/>
        <v/>
      </c>
      <c r="AO83" s="14" t="str">
        <f>IF(OR($C83="01-09",$D83="Male"),"",INDEX(PMTCT!$AD:$AD,MATCH($E83,PMTCT!$E:$E,0)))</f>
        <v/>
      </c>
      <c r="AP83" s="14" t="str">
        <f>IF(OR($C83="01-09",$D83="Male"),"",INDEX(PMTCT!$AT:$AT,MATCH($E83,PMTCT!$E:$E,0)))</f>
        <v/>
      </c>
      <c r="AQ83" s="14" t="str">
        <f>INDEX(TB!$Q:$Q,MATCH($E83,TB!$E:$E,0))</f>
        <v/>
      </c>
      <c r="AR83" s="14" t="str">
        <f>IF(OR($C83="01-09",$C83="10-14",$D83="Female"),"",INDEX(VMMC!$AB:$AB,MATCH($E83,VMMC!$E:$E,0)))</f>
        <v/>
      </c>
      <c r="AS83" s="14" t="str">
        <f>IF(OR($C83="01-09",$C83="10-14"),"",INDEX(PrEP!$Q:$Q,MATCH($E83,PrEP!$E:$E,0)))</f>
        <v/>
      </c>
      <c r="AT83" s="14" t="str">
        <f t="shared" si="47"/>
        <v/>
      </c>
      <c r="AU83" s="14" t="str">
        <f t="shared" si="48"/>
        <v/>
      </c>
      <c r="AV83" s="90" t="str">
        <f t="shared" si="49"/>
        <v/>
      </c>
      <c r="AW83" s="14"/>
      <c r="AX83" s="90" t="str">
        <f t="shared" si="50"/>
        <v/>
      </c>
      <c r="AY83" s="42" t="str">
        <f t="shared" si="51"/>
        <v/>
      </c>
      <c r="AZ83" s="90">
        <f t="shared" si="52"/>
        <v>1</v>
      </c>
      <c r="BA83" s="42" t="str">
        <f t="shared" si="53"/>
        <v/>
      </c>
    </row>
    <row r="84" spans="1:53" x14ac:dyDescent="0.2">
      <c r="A84" t="str">
        <f>INDEX(Prioritization!$D:$D,MATCH($B84,Prioritization!$A:$A,0))</f>
        <v>1 - Scale-up: Saturation</v>
      </c>
      <c r="B84" t="s">
        <v>198</v>
      </c>
      <c r="C84" t="s">
        <v>366</v>
      </c>
      <c r="D84" t="s">
        <v>47</v>
      </c>
      <c r="E84" t="str">
        <f t="shared" si="27"/>
        <v>Mchinji District [kxuuIFpOXyO]|35-49|Male</v>
      </c>
      <c r="F84" s="90">
        <f>IF(LEFT($B84,4)="_Mil","",INDEX(Cascade!$AA:$AA,MATCH($E84,Cascade!$E:$E,0)))</f>
        <v>1493</v>
      </c>
      <c r="G84" s="14">
        <f>INDEX(Cascade!$BH:$BH,MATCH($E84,Cascade!$E:$E,0))</f>
        <v>0</v>
      </c>
      <c r="H84" s="14" t="str">
        <f>IF(OR($C84="01-09",$D84="Male"),"",INDEX(PMTCT!$AC:$AC,MATCH($E84,PMTCT!$E:$E,0)))</f>
        <v/>
      </c>
      <c r="I84" s="14" t="str">
        <f>IF(OR($C84="01-09",$D84="Male"),"",INDEX(PMTCT!$AS:$AS,MATCH($E84,PMTCT!$E:$E,0)))</f>
        <v/>
      </c>
      <c r="J84" s="14" t="str">
        <f>INDEX(TB!$P:$P,MATCH($E84,TB!$E:$E,0))</f>
        <v/>
      </c>
      <c r="K84" s="14" t="str">
        <f>IF(OR($C84="01-09",$C84="10-14",$D84="Female"),"",INDEX(VMMC!$AA:$AA,MATCH($E84,VMMC!$E:$E,0)))</f>
        <v/>
      </c>
      <c r="L84" s="14">
        <f t="shared" si="28"/>
        <v>0</v>
      </c>
      <c r="M84" s="90" t="str">
        <f t="shared" si="29"/>
        <v/>
      </c>
      <c r="N84" s="90" t="str">
        <f t="shared" si="30"/>
        <v/>
      </c>
      <c r="O84" s="90" t="str">
        <f t="shared" si="31"/>
        <v/>
      </c>
      <c r="P84" s="90" t="str">
        <f t="shared" si="32"/>
        <v/>
      </c>
      <c r="Q84" s="90"/>
      <c r="R84" s="90"/>
      <c r="S84" s="90"/>
      <c r="T84" s="90"/>
      <c r="U84" s="90"/>
      <c r="V84" s="90" t="str">
        <f t="shared" si="33"/>
        <v/>
      </c>
      <c r="W84" s="90"/>
      <c r="X84" s="42" t="str">
        <f t="shared" si="34"/>
        <v/>
      </c>
      <c r="Y84" s="42" t="str">
        <f t="shared" si="35"/>
        <v/>
      </c>
      <c r="Z84" s="90"/>
      <c r="AA84" s="42" t="str">
        <f t="shared" si="36"/>
        <v/>
      </c>
      <c r="AB84" s="42" t="str">
        <f t="shared" si="37"/>
        <v/>
      </c>
      <c r="AC84" s="90"/>
      <c r="AD84" s="42" t="str">
        <f t="shared" si="38"/>
        <v/>
      </c>
      <c r="AE84" s="42" t="str">
        <f t="shared" si="39"/>
        <v/>
      </c>
      <c r="AF84" s="90"/>
      <c r="AG84" s="42" t="str">
        <f t="shared" si="40"/>
        <v/>
      </c>
      <c r="AH84" s="42" t="str">
        <f t="shared" si="41"/>
        <v/>
      </c>
      <c r="AI84" s="90"/>
      <c r="AJ84" s="42" t="str">
        <f t="shared" si="42"/>
        <v/>
      </c>
      <c r="AK84" s="42" t="str">
        <f t="shared" si="43"/>
        <v/>
      </c>
      <c r="AL84" s="14" t="str">
        <f t="shared" si="44"/>
        <v/>
      </c>
      <c r="AM84" s="14" t="str">
        <f t="shared" si="45"/>
        <v/>
      </c>
      <c r="AN84" s="14" t="str">
        <f t="shared" si="46"/>
        <v/>
      </c>
      <c r="AO84" s="14" t="str">
        <f>IF(OR($C84="01-09",$D84="Male"),"",INDEX(PMTCT!$AD:$AD,MATCH($E84,PMTCT!$E:$E,0)))</f>
        <v/>
      </c>
      <c r="AP84" s="14" t="str">
        <f>IF(OR($C84="01-09",$D84="Male"),"",INDEX(PMTCT!$AT:$AT,MATCH($E84,PMTCT!$E:$E,0)))</f>
        <v/>
      </c>
      <c r="AQ84" s="14" t="str">
        <f>INDEX(TB!$Q:$Q,MATCH($E84,TB!$E:$E,0))</f>
        <v/>
      </c>
      <c r="AR84" s="14" t="str">
        <f>IF(OR($C84="01-09",$C84="10-14",$D84="Female"),"",INDEX(VMMC!$AB:$AB,MATCH($E84,VMMC!$E:$E,0)))</f>
        <v/>
      </c>
      <c r="AS84" s="14" t="str">
        <f>IF(OR($C84="01-09",$C84="10-14"),"",INDEX(PrEP!$Q:$Q,MATCH($E84,PrEP!$E:$E,0)))</f>
        <v/>
      </c>
      <c r="AT84" s="14" t="str">
        <f t="shared" si="47"/>
        <v/>
      </c>
      <c r="AU84" s="14" t="str">
        <f t="shared" si="48"/>
        <v/>
      </c>
      <c r="AV84" s="90" t="str">
        <f t="shared" si="49"/>
        <v/>
      </c>
      <c r="AW84" s="14"/>
      <c r="AX84" s="90" t="str">
        <f t="shared" si="50"/>
        <v/>
      </c>
      <c r="AY84" s="42" t="str">
        <f t="shared" si="51"/>
        <v/>
      </c>
      <c r="AZ84" s="90">
        <f t="shared" si="52"/>
        <v>1</v>
      </c>
      <c r="BA84" s="42" t="str">
        <f t="shared" si="53"/>
        <v/>
      </c>
    </row>
    <row r="85" spans="1:53" x14ac:dyDescent="0.2">
      <c r="A85" t="str">
        <f>INDEX(Prioritization!$D:$D,MATCH($B85,Prioritization!$A:$A,0))</f>
        <v>1 - Scale-up: Saturation</v>
      </c>
      <c r="B85" t="s">
        <v>198</v>
      </c>
      <c r="C85" t="s">
        <v>367</v>
      </c>
      <c r="D85" t="s">
        <v>29</v>
      </c>
      <c r="E85" t="str">
        <f t="shared" si="27"/>
        <v>Mchinji District [kxuuIFpOXyO]|50+|Female</v>
      </c>
      <c r="F85" s="90">
        <f>IF(LEFT($B85,4)="_Mil","",INDEX(Cascade!$AA:$AA,MATCH($E85,Cascade!$E:$E,0)))</f>
        <v>1492</v>
      </c>
      <c r="G85" s="14">
        <f>INDEX(Cascade!$BH:$BH,MATCH($E85,Cascade!$E:$E,0))</f>
        <v>0</v>
      </c>
      <c r="H85" s="14" t="str">
        <f>IF(OR($C85="01-09",$D85="Male"),"",INDEX(PMTCT!$AC:$AC,MATCH($E85,PMTCT!$E:$E,0)))</f>
        <v/>
      </c>
      <c r="I85" s="14" t="str">
        <f>IF(OR($C85="01-09",$D85="Male"),"",INDEX(PMTCT!$AS:$AS,MATCH($E85,PMTCT!$E:$E,0)))</f>
        <v/>
      </c>
      <c r="J85" s="14" t="str">
        <f>INDEX(TB!$P:$P,MATCH($E85,TB!$E:$E,0))</f>
        <v/>
      </c>
      <c r="K85" s="14" t="str">
        <f>IF(OR($C85="01-09",$C85="10-14",$D85="Female"),"",INDEX(VMMC!$AA:$AA,MATCH($E85,VMMC!$E:$E,0)))</f>
        <v/>
      </c>
      <c r="L85" s="14">
        <f t="shared" si="28"/>
        <v>0</v>
      </c>
      <c r="M85" s="90" t="str">
        <f t="shared" si="29"/>
        <v/>
      </c>
      <c r="N85" s="90" t="str">
        <f t="shared" si="30"/>
        <v/>
      </c>
      <c r="O85" s="90" t="str">
        <f t="shared" si="31"/>
        <v/>
      </c>
      <c r="P85" s="90" t="str">
        <f t="shared" si="32"/>
        <v/>
      </c>
      <c r="Q85" s="90"/>
      <c r="R85" s="90"/>
      <c r="S85" s="90"/>
      <c r="T85" s="90"/>
      <c r="U85" s="90">
        <v>0.36895688134245602</v>
      </c>
      <c r="V85" s="90" t="str">
        <f t="shared" si="33"/>
        <v/>
      </c>
      <c r="W85" s="90"/>
      <c r="X85" s="42" t="str">
        <f t="shared" si="34"/>
        <v/>
      </c>
      <c r="Y85" s="42" t="str">
        <f t="shared" si="35"/>
        <v/>
      </c>
      <c r="Z85" s="90"/>
      <c r="AA85" s="42" t="str">
        <f t="shared" si="36"/>
        <v/>
      </c>
      <c r="AB85" s="42" t="str">
        <f t="shared" si="37"/>
        <v/>
      </c>
      <c r="AC85" s="90"/>
      <c r="AD85" s="42" t="str">
        <f t="shared" si="38"/>
        <v/>
      </c>
      <c r="AE85" s="42" t="str">
        <f t="shared" si="39"/>
        <v/>
      </c>
      <c r="AF85" s="90"/>
      <c r="AG85" s="42" t="str">
        <f t="shared" si="40"/>
        <v/>
      </c>
      <c r="AH85" s="42" t="str">
        <f t="shared" si="41"/>
        <v/>
      </c>
      <c r="AI85" s="90"/>
      <c r="AJ85" s="42" t="str">
        <f t="shared" si="42"/>
        <v/>
      </c>
      <c r="AK85" s="42" t="str">
        <f t="shared" si="43"/>
        <v/>
      </c>
      <c r="AL85" s="14" t="str">
        <f t="shared" si="44"/>
        <v/>
      </c>
      <c r="AM85" s="14" t="str">
        <f t="shared" si="45"/>
        <v/>
      </c>
      <c r="AN85" s="14" t="str">
        <f t="shared" si="46"/>
        <v/>
      </c>
      <c r="AO85" s="14" t="str">
        <f>IF(OR($C85="01-09",$D85="Male"),"",INDEX(PMTCT!$AD:$AD,MATCH($E85,PMTCT!$E:$E,0)))</f>
        <v/>
      </c>
      <c r="AP85" s="14" t="str">
        <f>IF(OR($C85="01-09",$D85="Male"),"",INDEX(PMTCT!$AT:$AT,MATCH($E85,PMTCT!$E:$E,0)))</f>
        <v/>
      </c>
      <c r="AQ85" s="14" t="str">
        <f>INDEX(TB!$Q:$Q,MATCH($E85,TB!$E:$E,0))</f>
        <v/>
      </c>
      <c r="AR85" s="14" t="str">
        <f>IF(OR($C85="01-09",$C85="10-14",$D85="Female"),"",INDEX(VMMC!$AB:$AB,MATCH($E85,VMMC!$E:$E,0)))</f>
        <v/>
      </c>
      <c r="AS85" s="14" t="str">
        <f>IF(OR($C85="01-09",$C85="10-14"),"",INDEX(PrEP!$Q:$Q,MATCH($E85,PrEP!$E:$E,0)))</f>
        <v/>
      </c>
      <c r="AT85" s="14" t="str">
        <f t="shared" si="47"/>
        <v/>
      </c>
      <c r="AU85" s="14" t="str">
        <f t="shared" si="48"/>
        <v/>
      </c>
      <c r="AV85" s="90" t="str">
        <f t="shared" si="49"/>
        <v/>
      </c>
      <c r="AW85" s="14">
        <v>4</v>
      </c>
      <c r="AX85" s="90">
        <f t="shared" si="50"/>
        <v>0</v>
      </c>
      <c r="AY85" s="42">
        <f t="shared" si="51"/>
        <v>4</v>
      </c>
      <c r="AZ85" s="90">
        <f t="shared" si="52"/>
        <v>1</v>
      </c>
      <c r="BA85" s="42" t="str">
        <f t="shared" si="53"/>
        <v/>
      </c>
    </row>
    <row r="86" spans="1:53" x14ac:dyDescent="0.2">
      <c r="A86" t="str">
        <f>INDEX(Prioritization!$D:$D,MATCH($B86,Prioritization!$A:$A,0))</f>
        <v>1 - Scale-up: Saturation</v>
      </c>
      <c r="B86" t="s">
        <v>198</v>
      </c>
      <c r="C86" t="s">
        <v>367</v>
      </c>
      <c r="D86" t="s">
        <v>47</v>
      </c>
      <c r="E86" t="str">
        <f t="shared" si="27"/>
        <v>Mchinji District [kxuuIFpOXyO]|50+|Male</v>
      </c>
      <c r="F86" s="90">
        <f>IF(LEFT($B86,4)="_Mil","",INDEX(Cascade!$AA:$AA,MATCH($E86,Cascade!$E:$E,0)))</f>
        <v>1145</v>
      </c>
      <c r="G86" s="14">
        <f>INDEX(Cascade!$BH:$BH,MATCH($E86,Cascade!$E:$E,0))</f>
        <v>0</v>
      </c>
      <c r="H86" s="14" t="str">
        <f>IF(OR($C86="01-09",$D86="Male"),"",INDEX(PMTCT!$AC:$AC,MATCH($E86,PMTCT!$E:$E,0)))</f>
        <v/>
      </c>
      <c r="I86" s="14" t="str">
        <f>IF(OR($C86="01-09",$D86="Male"),"",INDEX(PMTCT!$AS:$AS,MATCH($E86,PMTCT!$E:$E,0)))</f>
        <v/>
      </c>
      <c r="J86" s="14" t="str">
        <f>INDEX(TB!$P:$P,MATCH($E86,TB!$E:$E,0))</f>
        <v/>
      </c>
      <c r="K86" s="14" t="str">
        <f>IF(OR($C86="01-09",$C86="10-14",$D86="Female"),"",INDEX(VMMC!$AA:$AA,MATCH($E86,VMMC!$E:$E,0)))</f>
        <v/>
      </c>
      <c r="L86" s="14">
        <f t="shared" si="28"/>
        <v>0</v>
      </c>
      <c r="M86" s="90" t="str">
        <f t="shared" si="29"/>
        <v/>
      </c>
      <c r="N86" s="90" t="str">
        <f t="shared" si="30"/>
        <v/>
      </c>
      <c r="O86" s="90" t="str">
        <f t="shared" si="31"/>
        <v/>
      </c>
      <c r="P86" s="90" t="str">
        <f t="shared" si="32"/>
        <v/>
      </c>
      <c r="Q86" s="90"/>
      <c r="R86" s="90"/>
      <c r="S86" s="90"/>
      <c r="T86" s="90"/>
      <c r="U86" s="90">
        <v>0.42701681819744403</v>
      </c>
      <c r="V86" s="90" t="str">
        <f t="shared" si="33"/>
        <v/>
      </c>
      <c r="W86" s="90"/>
      <c r="X86" s="42" t="str">
        <f t="shared" si="34"/>
        <v/>
      </c>
      <c r="Y86" s="42" t="str">
        <f t="shared" si="35"/>
        <v/>
      </c>
      <c r="Z86" s="90"/>
      <c r="AA86" s="42" t="str">
        <f t="shared" si="36"/>
        <v/>
      </c>
      <c r="AB86" s="42" t="str">
        <f t="shared" si="37"/>
        <v/>
      </c>
      <c r="AC86" s="90"/>
      <c r="AD86" s="42" t="str">
        <f t="shared" si="38"/>
        <v/>
      </c>
      <c r="AE86" s="42" t="str">
        <f t="shared" si="39"/>
        <v/>
      </c>
      <c r="AF86" s="90"/>
      <c r="AG86" s="42" t="str">
        <f t="shared" si="40"/>
        <v/>
      </c>
      <c r="AH86" s="42" t="str">
        <f t="shared" si="41"/>
        <v/>
      </c>
      <c r="AI86" s="90"/>
      <c r="AJ86" s="42" t="str">
        <f t="shared" si="42"/>
        <v/>
      </c>
      <c r="AK86" s="42" t="str">
        <f t="shared" si="43"/>
        <v/>
      </c>
      <c r="AL86" s="14" t="str">
        <f t="shared" si="44"/>
        <v/>
      </c>
      <c r="AM86" s="14" t="str">
        <f t="shared" si="45"/>
        <v/>
      </c>
      <c r="AN86" s="14" t="str">
        <f t="shared" si="46"/>
        <v/>
      </c>
      <c r="AO86" s="14" t="str">
        <f>IF(OR($C86="01-09",$D86="Male"),"",INDEX(PMTCT!$AD:$AD,MATCH($E86,PMTCT!$E:$E,0)))</f>
        <v/>
      </c>
      <c r="AP86" s="14" t="str">
        <f>IF(OR($C86="01-09",$D86="Male"),"",INDEX(PMTCT!$AT:$AT,MATCH($E86,PMTCT!$E:$E,0)))</f>
        <v/>
      </c>
      <c r="AQ86" s="14" t="str">
        <f>INDEX(TB!$Q:$Q,MATCH($E86,TB!$E:$E,0))</f>
        <v/>
      </c>
      <c r="AR86" s="14" t="str">
        <f>IF(OR($C86="01-09",$C86="10-14",$D86="Female"),"",INDEX(VMMC!$AB:$AB,MATCH($E86,VMMC!$E:$E,0)))</f>
        <v/>
      </c>
      <c r="AS86" s="14" t="str">
        <f>IF(OR($C86="01-09",$C86="10-14"),"",INDEX(PrEP!$Q:$Q,MATCH($E86,PrEP!$E:$E,0)))</f>
        <v/>
      </c>
      <c r="AT86" s="14" t="str">
        <f t="shared" si="47"/>
        <v/>
      </c>
      <c r="AU86" s="14" t="str">
        <f t="shared" si="48"/>
        <v/>
      </c>
      <c r="AV86" s="90" t="str">
        <f t="shared" si="49"/>
        <v/>
      </c>
      <c r="AW86" s="14">
        <v>8</v>
      </c>
      <c r="AX86" s="90">
        <f t="shared" si="50"/>
        <v>0</v>
      </c>
      <c r="AY86" s="42">
        <f t="shared" si="51"/>
        <v>8</v>
      </c>
      <c r="AZ86" s="90">
        <f t="shared" si="52"/>
        <v>1</v>
      </c>
      <c r="BA86" s="42" t="str">
        <f t="shared" si="53"/>
        <v/>
      </c>
    </row>
    <row r="87" spans="1:53" x14ac:dyDescent="0.2">
      <c r="A87" t="str">
        <f>INDEX(Prioritization!$D:$D,MATCH($B87,Prioritization!$A:$A,0))</f>
        <v>1 - Scale-up: Saturation</v>
      </c>
      <c r="B87" t="s">
        <v>199</v>
      </c>
      <c r="C87" t="s">
        <v>362</v>
      </c>
      <c r="D87" t="s">
        <v>29</v>
      </c>
      <c r="E87" t="str">
        <f t="shared" si="27"/>
        <v>Nkhotakota District [YCKiBAp8QAg]|01-09|Female</v>
      </c>
      <c r="F87" s="90">
        <f>IF(LEFT($B87,4)="_Mil","",INDEX(Cascade!$AA:$AA,MATCH($E87,Cascade!$E:$E,0)))</f>
        <v>1192</v>
      </c>
      <c r="G87" s="14">
        <f>INDEX(Cascade!$BH:$BH,MATCH($E87,Cascade!$E:$E,0))</f>
        <v>0</v>
      </c>
      <c r="H87" s="14" t="str">
        <f>IF(OR($C87="01-09",$D87="Male"),"",INDEX(PMTCT!$AC:$AC,MATCH($E87,PMTCT!$E:$E,0)))</f>
        <v/>
      </c>
      <c r="I87" s="14" t="str">
        <f>IF(OR($C87="01-09",$D87="Male"),"",INDEX(PMTCT!$AS:$AS,MATCH($E87,PMTCT!$E:$E,0)))</f>
        <v/>
      </c>
      <c r="J87" s="14" t="str">
        <f>INDEX(TB!$P:$P,MATCH($E87,TB!$E:$E,0))</f>
        <v/>
      </c>
      <c r="K87" s="14" t="str">
        <f>IF(OR($C87="01-09",$C87="10-14",$D87="Female"),"",INDEX(VMMC!$AA:$AA,MATCH($E87,VMMC!$E:$E,0)))</f>
        <v/>
      </c>
      <c r="L87" s="14">
        <f t="shared" si="28"/>
        <v>0</v>
      </c>
      <c r="M87" s="90" t="str">
        <f t="shared" si="29"/>
        <v/>
      </c>
      <c r="N87" s="90" t="str">
        <f t="shared" si="30"/>
        <v/>
      </c>
      <c r="O87" s="90" t="str">
        <f t="shared" si="31"/>
        <v/>
      </c>
      <c r="P87" s="90" t="str">
        <f t="shared" si="32"/>
        <v/>
      </c>
      <c r="Q87" s="90"/>
      <c r="R87" s="90"/>
      <c r="S87" s="90"/>
      <c r="T87" s="90"/>
      <c r="U87" s="90"/>
      <c r="V87" s="90" t="str">
        <f t="shared" si="33"/>
        <v/>
      </c>
      <c r="W87" s="90"/>
      <c r="X87" s="42" t="str">
        <f t="shared" si="34"/>
        <v/>
      </c>
      <c r="Y87" s="42" t="str">
        <f t="shared" si="35"/>
        <v/>
      </c>
      <c r="Z87" s="90"/>
      <c r="AA87" s="42" t="str">
        <f t="shared" si="36"/>
        <v/>
      </c>
      <c r="AB87" s="42" t="str">
        <f t="shared" si="37"/>
        <v/>
      </c>
      <c r="AC87" s="90"/>
      <c r="AD87" s="42" t="str">
        <f t="shared" si="38"/>
        <v/>
      </c>
      <c r="AE87" s="42" t="str">
        <f t="shared" si="39"/>
        <v/>
      </c>
      <c r="AF87" s="90"/>
      <c r="AG87" s="42" t="str">
        <f t="shared" si="40"/>
        <v/>
      </c>
      <c r="AH87" s="42" t="str">
        <f t="shared" si="41"/>
        <v/>
      </c>
      <c r="AI87" s="90"/>
      <c r="AJ87" s="42" t="str">
        <f t="shared" si="42"/>
        <v/>
      </c>
      <c r="AK87" s="42" t="str">
        <f t="shared" si="43"/>
        <v/>
      </c>
      <c r="AL87" s="14" t="str">
        <f t="shared" si="44"/>
        <v/>
      </c>
      <c r="AM87" s="14" t="str">
        <f t="shared" si="45"/>
        <v/>
      </c>
      <c r="AN87" s="14" t="str">
        <f t="shared" si="46"/>
        <v/>
      </c>
      <c r="AO87" s="14" t="str">
        <f>IF(OR($C87="01-09",$D87="Male"),"",INDEX(PMTCT!$AD:$AD,MATCH($E87,PMTCT!$E:$E,0)))</f>
        <v/>
      </c>
      <c r="AP87" s="14" t="str">
        <f>IF(OR($C87="01-09",$D87="Male"),"",INDEX(PMTCT!$AT:$AT,MATCH($E87,PMTCT!$E:$E,0)))</f>
        <v/>
      </c>
      <c r="AQ87" s="14" t="str">
        <f>INDEX(TB!$Q:$Q,MATCH($E87,TB!$E:$E,0))</f>
        <v/>
      </c>
      <c r="AR87" s="14" t="str">
        <f>IF(OR($C87="01-09",$C87="10-14",$D87="Female"),"",INDEX(VMMC!$AB:$AB,MATCH($E87,VMMC!$E:$E,0)))</f>
        <v/>
      </c>
      <c r="AS87" s="14" t="str">
        <f>IF(OR($C87="01-09",$C87="10-14"),"",INDEX(PrEP!$Q:$Q,MATCH($E87,PrEP!$E:$E,0)))</f>
        <v/>
      </c>
      <c r="AT87" s="14" t="str">
        <f t="shared" si="47"/>
        <v/>
      </c>
      <c r="AU87" s="14" t="str">
        <f t="shared" si="48"/>
        <v/>
      </c>
      <c r="AV87" s="90" t="str">
        <f t="shared" si="49"/>
        <v/>
      </c>
      <c r="AW87" s="14"/>
      <c r="AX87" s="90" t="str">
        <f t="shared" si="50"/>
        <v/>
      </c>
      <c r="AY87" s="42" t="str">
        <f t="shared" si="51"/>
        <v/>
      </c>
      <c r="AZ87" s="90" t="str">
        <f t="shared" si="52"/>
        <v/>
      </c>
      <c r="BA87" s="42" t="str">
        <f t="shared" si="53"/>
        <v/>
      </c>
    </row>
    <row r="88" spans="1:53" x14ac:dyDescent="0.2">
      <c r="A88" t="str">
        <f>INDEX(Prioritization!$D:$D,MATCH($B88,Prioritization!$A:$A,0))</f>
        <v>1 - Scale-up: Saturation</v>
      </c>
      <c r="B88" t="s">
        <v>199</v>
      </c>
      <c r="C88" t="s">
        <v>362</v>
      </c>
      <c r="D88" t="s">
        <v>47</v>
      </c>
      <c r="E88" t="str">
        <f t="shared" si="27"/>
        <v>Nkhotakota District [YCKiBAp8QAg]|01-09|Male</v>
      </c>
      <c r="F88" s="90">
        <f>IF(LEFT($B88,4)="_Mil","",INDEX(Cascade!$AA:$AA,MATCH($E88,Cascade!$E:$E,0)))</f>
        <v>1659</v>
      </c>
      <c r="G88" s="14">
        <f>INDEX(Cascade!$BH:$BH,MATCH($E88,Cascade!$E:$E,0))</f>
        <v>0</v>
      </c>
      <c r="H88" s="14" t="str">
        <f>IF(OR($C88="01-09",$D88="Male"),"",INDEX(PMTCT!$AC:$AC,MATCH($E88,PMTCT!$E:$E,0)))</f>
        <v/>
      </c>
      <c r="I88" s="14" t="str">
        <f>IF(OR($C88="01-09",$D88="Male"),"",INDEX(PMTCT!$AS:$AS,MATCH($E88,PMTCT!$E:$E,0)))</f>
        <v/>
      </c>
      <c r="J88" s="14" t="str">
        <f>INDEX(TB!$P:$P,MATCH($E88,TB!$E:$E,0))</f>
        <v/>
      </c>
      <c r="K88" s="14" t="str">
        <f>IF(OR($C88="01-09",$C88="10-14",$D88="Female"),"",INDEX(VMMC!$AA:$AA,MATCH($E88,VMMC!$E:$E,0)))</f>
        <v/>
      </c>
      <c r="L88" s="14">
        <f t="shared" si="28"/>
        <v>0</v>
      </c>
      <c r="M88" s="90" t="str">
        <f t="shared" si="29"/>
        <v/>
      </c>
      <c r="N88" s="90" t="str">
        <f t="shared" si="30"/>
        <v/>
      </c>
      <c r="O88" s="90" t="str">
        <f t="shared" si="31"/>
        <v/>
      </c>
      <c r="P88" s="90" t="str">
        <f t="shared" si="32"/>
        <v/>
      </c>
      <c r="Q88" s="90"/>
      <c r="R88" s="90"/>
      <c r="S88" s="90"/>
      <c r="T88" s="90"/>
      <c r="U88" s="90"/>
      <c r="V88" s="90" t="str">
        <f t="shared" si="33"/>
        <v/>
      </c>
      <c r="W88" s="90"/>
      <c r="X88" s="42" t="str">
        <f t="shared" si="34"/>
        <v/>
      </c>
      <c r="Y88" s="42" t="str">
        <f t="shared" si="35"/>
        <v/>
      </c>
      <c r="Z88" s="90"/>
      <c r="AA88" s="42" t="str">
        <f t="shared" si="36"/>
        <v/>
      </c>
      <c r="AB88" s="42" t="str">
        <f t="shared" si="37"/>
        <v/>
      </c>
      <c r="AC88" s="90"/>
      <c r="AD88" s="42" t="str">
        <f t="shared" si="38"/>
        <v/>
      </c>
      <c r="AE88" s="42" t="str">
        <f t="shared" si="39"/>
        <v/>
      </c>
      <c r="AF88" s="90"/>
      <c r="AG88" s="42" t="str">
        <f t="shared" si="40"/>
        <v/>
      </c>
      <c r="AH88" s="42" t="str">
        <f t="shared" si="41"/>
        <v/>
      </c>
      <c r="AI88" s="90"/>
      <c r="AJ88" s="42" t="str">
        <f t="shared" si="42"/>
        <v/>
      </c>
      <c r="AK88" s="42" t="str">
        <f t="shared" si="43"/>
        <v/>
      </c>
      <c r="AL88" s="14" t="str">
        <f t="shared" si="44"/>
        <v/>
      </c>
      <c r="AM88" s="14" t="str">
        <f t="shared" si="45"/>
        <v/>
      </c>
      <c r="AN88" s="14" t="str">
        <f t="shared" si="46"/>
        <v/>
      </c>
      <c r="AO88" s="14" t="str">
        <f>IF(OR($C88="01-09",$D88="Male"),"",INDEX(PMTCT!$AD:$AD,MATCH($E88,PMTCT!$E:$E,0)))</f>
        <v/>
      </c>
      <c r="AP88" s="14" t="str">
        <f>IF(OR($C88="01-09",$D88="Male"),"",INDEX(PMTCT!$AT:$AT,MATCH($E88,PMTCT!$E:$E,0)))</f>
        <v/>
      </c>
      <c r="AQ88" s="14" t="str">
        <f>INDEX(TB!$Q:$Q,MATCH($E88,TB!$E:$E,0))</f>
        <v/>
      </c>
      <c r="AR88" s="14" t="str">
        <f>IF(OR($C88="01-09",$C88="10-14",$D88="Female"),"",INDEX(VMMC!$AB:$AB,MATCH($E88,VMMC!$E:$E,0)))</f>
        <v/>
      </c>
      <c r="AS88" s="14" t="str">
        <f>IF(OR($C88="01-09",$C88="10-14"),"",INDEX(PrEP!$Q:$Q,MATCH($E88,PrEP!$E:$E,0)))</f>
        <v/>
      </c>
      <c r="AT88" s="14" t="str">
        <f t="shared" si="47"/>
        <v/>
      </c>
      <c r="AU88" s="14" t="str">
        <f t="shared" si="48"/>
        <v/>
      </c>
      <c r="AV88" s="90" t="str">
        <f t="shared" si="49"/>
        <v/>
      </c>
      <c r="AW88" s="14"/>
      <c r="AX88" s="90" t="str">
        <f t="shared" si="50"/>
        <v/>
      </c>
      <c r="AY88" s="42" t="str">
        <f t="shared" si="51"/>
        <v/>
      </c>
      <c r="AZ88" s="90" t="str">
        <f t="shared" si="52"/>
        <v/>
      </c>
      <c r="BA88" s="42" t="str">
        <f t="shared" si="53"/>
        <v/>
      </c>
    </row>
    <row r="89" spans="1:53" x14ac:dyDescent="0.2">
      <c r="A89" t="str">
        <f>INDEX(Prioritization!$D:$D,MATCH($B89,Prioritization!$A:$A,0))</f>
        <v>1 - Scale-up: Saturation</v>
      </c>
      <c r="B89" t="s">
        <v>199</v>
      </c>
      <c r="C89" t="s">
        <v>363</v>
      </c>
      <c r="D89" t="s">
        <v>29</v>
      </c>
      <c r="E89" t="str">
        <f t="shared" si="27"/>
        <v>Nkhotakota District [YCKiBAp8QAg]|10-14|Female</v>
      </c>
      <c r="F89" s="90">
        <f>IF(LEFT($B89,4)="_Mil","",INDEX(Cascade!$AA:$AA,MATCH($E89,Cascade!$E:$E,0)))</f>
        <v>1913</v>
      </c>
      <c r="G89" s="14">
        <f>INDEX(Cascade!$BH:$BH,MATCH($E89,Cascade!$E:$E,0))</f>
        <v>-86</v>
      </c>
      <c r="H89" s="14" t="str">
        <f>IF(OR($C89="01-09",$D89="Male"),"",INDEX(PMTCT!$AC:$AC,MATCH($E89,PMTCT!$E:$E,0)))</f>
        <v>ENTER YIELD RATE</v>
      </c>
      <c r="I89" s="14" t="str">
        <f>IF(OR($C89="01-09",$D89="Male"),"",INDEX(PMTCT!$AS:$AS,MATCH($E89,PMTCT!$E:$E,0)))</f>
        <v>ENTER YIELD RATE</v>
      </c>
      <c r="J89" s="14" t="str">
        <f>INDEX(TB!$P:$P,MATCH($E89,TB!$E:$E,0))</f>
        <v>ENTER YIELD RATE</v>
      </c>
      <c r="K89" s="14" t="str">
        <f>IF(OR($C89="01-09",$C89="10-14",$D89="Female"),"",INDEX(VMMC!$AA:$AA,MATCH($E89,VMMC!$E:$E,0)))</f>
        <v/>
      </c>
      <c r="L89" s="14">
        <f t="shared" si="28"/>
        <v>-86</v>
      </c>
      <c r="M89" s="90">
        <f t="shared" si="29"/>
        <v>0</v>
      </c>
      <c r="N89" s="90">
        <f t="shared" si="30"/>
        <v>0</v>
      </c>
      <c r="O89" s="90">
        <f t="shared" si="31"/>
        <v>0</v>
      </c>
      <c r="P89" s="90" t="str">
        <f t="shared" si="32"/>
        <v/>
      </c>
      <c r="Q89" s="90">
        <v>0.87240156182088002</v>
      </c>
      <c r="R89" s="90"/>
      <c r="S89" s="90"/>
      <c r="T89" s="90"/>
      <c r="U89" s="90">
        <v>0.192938309861347</v>
      </c>
      <c r="V89" s="90">
        <f t="shared" si="33"/>
        <v>1.0653398716822271</v>
      </c>
      <c r="W89" s="90"/>
      <c r="X89" s="42">
        <f t="shared" si="34"/>
        <v>-75</v>
      </c>
      <c r="Y89" s="42" t="str">
        <f t="shared" si="35"/>
        <v>ENTER YIELD</v>
      </c>
      <c r="Z89" s="90"/>
      <c r="AA89" s="42" t="str">
        <f t="shared" si="36"/>
        <v/>
      </c>
      <c r="AB89" s="42" t="str">
        <f t="shared" si="37"/>
        <v/>
      </c>
      <c r="AC89" s="90"/>
      <c r="AD89" s="42" t="str">
        <f t="shared" si="38"/>
        <v/>
      </c>
      <c r="AE89" s="42" t="str">
        <f t="shared" si="39"/>
        <v/>
      </c>
      <c r="AF89" s="90"/>
      <c r="AG89" s="42" t="str">
        <f t="shared" si="40"/>
        <v/>
      </c>
      <c r="AH89" s="42" t="str">
        <f t="shared" si="41"/>
        <v/>
      </c>
      <c r="AI89" s="90"/>
      <c r="AJ89" s="42">
        <f t="shared" si="42"/>
        <v>-17</v>
      </c>
      <c r="AK89" s="42" t="str">
        <f t="shared" si="43"/>
        <v>ENTER YIELD</v>
      </c>
      <c r="AL89" s="14">
        <f t="shared" si="44"/>
        <v>-86</v>
      </c>
      <c r="AM89" s="14">
        <f t="shared" si="45"/>
        <v>-92</v>
      </c>
      <c r="AN89" s="14">
        <f t="shared" si="46"/>
        <v>-6</v>
      </c>
      <c r="AO89" s="14">
        <f>IF(OR($C89="01-09",$D89="Male"),"",INDEX(PMTCT!$AD:$AD,MATCH($E89,PMTCT!$E:$E,0)))</f>
        <v>2</v>
      </c>
      <c r="AP89" s="14">
        <f>IF(OR($C89="01-09",$D89="Male"),"",INDEX(PMTCT!$AT:$AT,MATCH($E89,PMTCT!$E:$E,0)))</f>
        <v>2</v>
      </c>
      <c r="AQ89" s="14">
        <f>INDEX(TB!$Q:$Q,MATCH($E89,TB!$E:$E,0))</f>
        <v>1</v>
      </c>
      <c r="AR89" s="14" t="str">
        <f>IF(OR($C89="01-09",$C89="10-14",$D89="Female"),"",INDEX(VMMC!$AB:$AB,MATCH($E89,VMMC!$E:$E,0)))</f>
        <v/>
      </c>
      <c r="AS89" s="14" t="str">
        <f>IF(OR($C89="01-09",$C89="10-14"),"",INDEX(PrEP!$Q:$Q,MATCH($E89,PrEP!$E:$E,0)))</f>
        <v/>
      </c>
      <c r="AT89" s="14">
        <f t="shared" si="47"/>
        <v>5</v>
      </c>
      <c r="AU89" s="14">
        <f t="shared" si="48"/>
        <v>-87</v>
      </c>
      <c r="AV89" s="90">
        <f t="shared" si="49"/>
        <v>1.0574712643678161</v>
      </c>
      <c r="AW89" s="14"/>
      <c r="AX89" s="90" t="str">
        <f t="shared" si="50"/>
        <v/>
      </c>
      <c r="AY89" s="42" t="str">
        <f t="shared" si="51"/>
        <v/>
      </c>
      <c r="AZ89" s="90" t="str">
        <f t="shared" si="52"/>
        <v/>
      </c>
      <c r="BA89" s="42" t="str">
        <f t="shared" si="53"/>
        <v/>
      </c>
    </row>
    <row r="90" spans="1:53" x14ac:dyDescent="0.2">
      <c r="A90" t="str">
        <f>INDEX(Prioritization!$D:$D,MATCH($B90,Prioritization!$A:$A,0))</f>
        <v>1 - Scale-up: Saturation</v>
      </c>
      <c r="B90" t="s">
        <v>199</v>
      </c>
      <c r="C90" t="s">
        <v>363</v>
      </c>
      <c r="D90" t="s">
        <v>47</v>
      </c>
      <c r="E90" t="str">
        <f t="shared" si="27"/>
        <v>Nkhotakota District [YCKiBAp8QAg]|10-14|Male</v>
      </c>
      <c r="F90" s="90">
        <f>IF(LEFT($B90,4)="_Mil","",INDEX(Cascade!$AA:$AA,MATCH($E90,Cascade!$E:$E,0)))</f>
        <v>854</v>
      </c>
      <c r="G90" s="14">
        <f>INDEX(Cascade!$BH:$BH,MATCH($E90,Cascade!$E:$E,0))</f>
        <v>-86</v>
      </c>
      <c r="H90" s="14" t="str">
        <f>IF(OR($C90="01-09",$D90="Male"),"",INDEX(PMTCT!$AC:$AC,MATCH($E90,PMTCT!$E:$E,0)))</f>
        <v/>
      </c>
      <c r="I90" s="14" t="str">
        <f>IF(OR($C90="01-09",$D90="Male"),"",INDEX(PMTCT!$AS:$AS,MATCH($E90,PMTCT!$E:$E,0)))</f>
        <v/>
      </c>
      <c r="J90" s="14" t="str">
        <f>INDEX(TB!$P:$P,MATCH($E90,TB!$E:$E,0))</f>
        <v/>
      </c>
      <c r="K90" s="14" t="str">
        <f>IF(OR($C90="01-09",$C90="10-14",$D90="Female"),"",INDEX(VMMC!$AA:$AA,MATCH($E90,VMMC!$E:$E,0)))</f>
        <v/>
      </c>
      <c r="L90" s="14">
        <f t="shared" si="28"/>
        <v>-86</v>
      </c>
      <c r="M90" s="90" t="str">
        <f t="shared" si="29"/>
        <v/>
      </c>
      <c r="N90" s="90" t="str">
        <f t="shared" si="30"/>
        <v/>
      </c>
      <c r="O90" s="90">
        <f t="shared" si="31"/>
        <v>0</v>
      </c>
      <c r="P90" s="90" t="str">
        <f t="shared" si="32"/>
        <v/>
      </c>
      <c r="Q90" s="90">
        <v>0.13502391520887599</v>
      </c>
      <c r="R90" s="90"/>
      <c r="S90" s="90"/>
      <c r="T90" s="90"/>
      <c r="U90" s="90">
        <v>0.840542414458469</v>
      </c>
      <c r="V90" s="90">
        <f t="shared" si="33"/>
        <v>0.97556632966734502</v>
      </c>
      <c r="W90" s="90"/>
      <c r="X90" s="42">
        <f t="shared" si="34"/>
        <v>-12</v>
      </c>
      <c r="Y90" s="42" t="str">
        <f t="shared" si="35"/>
        <v>ENTER YIELD</v>
      </c>
      <c r="Z90" s="90"/>
      <c r="AA90" s="42" t="str">
        <f t="shared" si="36"/>
        <v/>
      </c>
      <c r="AB90" s="42" t="str">
        <f t="shared" si="37"/>
        <v/>
      </c>
      <c r="AC90" s="90"/>
      <c r="AD90" s="42" t="str">
        <f t="shared" si="38"/>
        <v/>
      </c>
      <c r="AE90" s="42" t="str">
        <f t="shared" si="39"/>
        <v/>
      </c>
      <c r="AF90" s="90"/>
      <c r="AG90" s="42" t="str">
        <f t="shared" si="40"/>
        <v/>
      </c>
      <c r="AH90" s="42" t="str">
        <f t="shared" si="41"/>
        <v/>
      </c>
      <c r="AI90" s="90"/>
      <c r="AJ90" s="42">
        <f t="shared" si="42"/>
        <v>-72</v>
      </c>
      <c r="AK90" s="42" t="str">
        <f t="shared" si="43"/>
        <v>ENTER YIELD</v>
      </c>
      <c r="AL90" s="14">
        <f t="shared" si="44"/>
        <v>-86</v>
      </c>
      <c r="AM90" s="14">
        <f t="shared" si="45"/>
        <v>-84</v>
      </c>
      <c r="AN90" s="14">
        <f t="shared" si="46"/>
        <v>2</v>
      </c>
      <c r="AO90" s="14" t="str">
        <f>IF(OR($C90="01-09",$D90="Male"),"",INDEX(PMTCT!$AD:$AD,MATCH($E90,PMTCT!$E:$E,0)))</f>
        <v/>
      </c>
      <c r="AP90" s="14" t="str">
        <f>IF(OR($C90="01-09",$D90="Male"),"",INDEX(PMTCT!$AT:$AT,MATCH($E90,PMTCT!$E:$E,0)))</f>
        <v/>
      </c>
      <c r="AQ90" s="14" t="str">
        <f>INDEX(TB!$Q:$Q,MATCH($E90,TB!$E:$E,0))</f>
        <v/>
      </c>
      <c r="AR90" s="14" t="str">
        <f>IF(OR($C90="01-09",$C90="10-14",$D90="Female"),"",INDEX(VMMC!$AB:$AB,MATCH($E90,VMMC!$E:$E,0)))</f>
        <v/>
      </c>
      <c r="AS90" s="14" t="str">
        <f>IF(OR($C90="01-09",$C90="10-14"),"",INDEX(PrEP!$Q:$Q,MATCH($E90,PrEP!$E:$E,0)))</f>
        <v/>
      </c>
      <c r="AT90" s="14" t="str">
        <f t="shared" si="47"/>
        <v/>
      </c>
      <c r="AU90" s="14">
        <f t="shared" si="48"/>
        <v>-84</v>
      </c>
      <c r="AV90" s="90">
        <f t="shared" si="49"/>
        <v>1</v>
      </c>
      <c r="AW90" s="14"/>
      <c r="AX90" s="90" t="str">
        <f t="shared" si="50"/>
        <v/>
      </c>
      <c r="AY90" s="42" t="str">
        <f t="shared" si="51"/>
        <v/>
      </c>
      <c r="AZ90" s="90" t="str">
        <f t="shared" si="52"/>
        <v/>
      </c>
      <c r="BA90" s="42" t="str">
        <f t="shared" si="53"/>
        <v/>
      </c>
    </row>
    <row r="91" spans="1:53" x14ac:dyDescent="0.2">
      <c r="A91" t="str">
        <f>INDEX(Prioritization!$D:$D,MATCH($B91,Prioritization!$A:$A,0))</f>
        <v>1 - Scale-up: Saturation</v>
      </c>
      <c r="B91" t="s">
        <v>199</v>
      </c>
      <c r="C91" t="s">
        <v>364</v>
      </c>
      <c r="D91" t="s">
        <v>29</v>
      </c>
      <c r="E91" t="str">
        <f t="shared" si="27"/>
        <v>Nkhotakota District [YCKiBAp8QAg]|15-24|Female</v>
      </c>
      <c r="F91" s="90">
        <f>IF(LEFT($B91,4)="_Mil","",INDEX(Cascade!$AA:$AA,MATCH($E91,Cascade!$E:$E,0)))</f>
        <v>607</v>
      </c>
      <c r="G91" s="14">
        <f>INDEX(Cascade!$BH:$BH,MATCH($E91,Cascade!$E:$E,0))</f>
        <v>0</v>
      </c>
      <c r="H91" s="14" t="str">
        <f>IF(OR($C91="01-09",$D91="Male"),"",INDEX(PMTCT!$AC:$AC,MATCH($E91,PMTCT!$E:$E,0)))</f>
        <v/>
      </c>
      <c r="I91" s="14" t="str">
        <f>IF(OR($C91="01-09",$D91="Male"),"",INDEX(PMTCT!$AS:$AS,MATCH($E91,PMTCT!$E:$E,0)))</f>
        <v/>
      </c>
      <c r="J91" s="14" t="str">
        <f>INDEX(TB!$P:$P,MATCH($E91,TB!$E:$E,0))</f>
        <v/>
      </c>
      <c r="K91" s="14" t="str">
        <f>IF(OR($C91="01-09",$C91="10-14",$D91="Female"),"",INDEX(VMMC!$AA:$AA,MATCH($E91,VMMC!$E:$E,0)))</f>
        <v/>
      </c>
      <c r="L91" s="14">
        <f t="shared" si="28"/>
        <v>0</v>
      </c>
      <c r="M91" s="90" t="str">
        <f t="shared" si="29"/>
        <v/>
      </c>
      <c r="N91" s="90" t="str">
        <f t="shared" si="30"/>
        <v/>
      </c>
      <c r="O91" s="90" t="str">
        <f t="shared" si="31"/>
        <v/>
      </c>
      <c r="P91" s="90" t="str">
        <f t="shared" si="32"/>
        <v/>
      </c>
      <c r="Q91" s="90"/>
      <c r="R91" s="90"/>
      <c r="S91" s="90"/>
      <c r="T91" s="90"/>
      <c r="U91" s="90"/>
      <c r="V91" s="90" t="str">
        <f t="shared" si="33"/>
        <v/>
      </c>
      <c r="W91" s="90"/>
      <c r="X91" s="42" t="str">
        <f t="shared" si="34"/>
        <v/>
      </c>
      <c r="Y91" s="42" t="str">
        <f t="shared" si="35"/>
        <v/>
      </c>
      <c r="Z91" s="90"/>
      <c r="AA91" s="42" t="str">
        <f t="shared" si="36"/>
        <v/>
      </c>
      <c r="AB91" s="42" t="str">
        <f t="shared" si="37"/>
        <v/>
      </c>
      <c r="AC91" s="90"/>
      <c r="AD91" s="42" t="str">
        <f t="shared" si="38"/>
        <v/>
      </c>
      <c r="AE91" s="42" t="str">
        <f t="shared" si="39"/>
        <v/>
      </c>
      <c r="AF91" s="90"/>
      <c r="AG91" s="42" t="str">
        <f t="shared" si="40"/>
        <v/>
      </c>
      <c r="AH91" s="42" t="str">
        <f t="shared" si="41"/>
        <v/>
      </c>
      <c r="AI91" s="90"/>
      <c r="AJ91" s="42" t="str">
        <f t="shared" si="42"/>
        <v/>
      </c>
      <c r="AK91" s="42" t="str">
        <f t="shared" si="43"/>
        <v/>
      </c>
      <c r="AL91" s="14" t="str">
        <f t="shared" si="44"/>
        <v/>
      </c>
      <c r="AM91" s="14" t="str">
        <f t="shared" si="45"/>
        <v/>
      </c>
      <c r="AN91" s="14" t="str">
        <f t="shared" si="46"/>
        <v/>
      </c>
      <c r="AO91" s="14" t="str">
        <f>IF(OR($C91="01-09",$D91="Male"),"",INDEX(PMTCT!$AD:$AD,MATCH($E91,PMTCT!$E:$E,0)))</f>
        <v/>
      </c>
      <c r="AP91" s="14" t="str">
        <f>IF(OR($C91="01-09",$D91="Male"),"",INDEX(PMTCT!$AT:$AT,MATCH($E91,PMTCT!$E:$E,0)))</f>
        <v/>
      </c>
      <c r="AQ91" s="14" t="str">
        <f>INDEX(TB!$Q:$Q,MATCH($E91,TB!$E:$E,0))</f>
        <v/>
      </c>
      <c r="AR91" s="14" t="str">
        <f>IF(OR($C91="01-09",$C91="10-14",$D91="Female"),"",INDEX(VMMC!$AB:$AB,MATCH($E91,VMMC!$E:$E,0)))</f>
        <v/>
      </c>
      <c r="AS91" s="14" t="str">
        <f>IF(OR($C91="01-09",$C91="10-14"),"",INDEX(PrEP!$Q:$Q,MATCH($E91,PrEP!$E:$E,0)))</f>
        <v/>
      </c>
      <c r="AT91" s="14" t="str">
        <f t="shared" si="47"/>
        <v/>
      </c>
      <c r="AU91" s="14" t="str">
        <f t="shared" si="48"/>
        <v/>
      </c>
      <c r="AV91" s="90" t="str">
        <f t="shared" si="49"/>
        <v/>
      </c>
      <c r="AW91" s="14"/>
      <c r="AX91" s="90" t="str">
        <f t="shared" si="50"/>
        <v/>
      </c>
      <c r="AY91" s="42" t="str">
        <f t="shared" si="51"/>
        <v/>
      </c>
      <c r="AZ91" s="90">
        <f t="shared" si="52"/>
        <v>1</v>
      </c>
      <c r="BA91" s="42" t="str">
        <f t="shared" si="53"/>
        <v/>
      </c>
    </row>
    <row r="92" spans="1:53" x14ac:dyDescent="0.2">
      <c r="A92" t="str">
        <f>INDEX(Prioritization!$D:$D,MATCH($B92,Prioritization!$A:$A,0))</f>
        <v>1 - Scale-up: Saturation</v>
      </c>
      <c r="B92" t="s">
        <v>199</v>
      </c>
      <c r="C92" t="s">
        <v>364</v>
      </c>
      <c r="D92" t="s">
        <v>47</v>
      </c>
      <c r="E92" t="str">
        <f t="shared" si="27"/>
        <v>Nkhotakota District [YCKiBAp8QAg]|15-24|Male</v>
      </c>
      <c r="F92" s="90">
        <f>IF(LEFT($B92,4)="_Mil","",INDEX(Cascade!$AA:$AA,MATCH($E92,Cascade!$E:$E,0)))</f>
        <v>1020</v>
      </c>
      <c r="G92" s="14">
        <f>INDEX(Cascade!$BH:$BH,MATCH($E92,Cascade!$E:$E,0))</f>
        <v>0</v>
      </c>
      <c r="H92" s="14" t="str">
        <f>IF(OR($C92="01-09",$D92="Male"),"",INDEX(PMTCT!$AC:$AC,MATCH($E92,PMTCT!$E:$E,0)))</f>
        <v/>
      </c>
      <c r="I92" s="14" t="str">
        <f>IF(OR($C92="01-09",$D92="Male"),"",INDEX(PMTCT!$AS:$AS,MATCH($E92,PMTCT!$E:$E,0)))</f>
        <v/>
      </c>
      <c r="J92" s="14" t="str">
        <f>INDEX(TB!$P:$P,MATCH($E92,TB!$E:$E,0))</f>
        <v/>
      </c>
      <c r="K92" s="14" t="str">
        <f>IF(OR($C92="01-09",$C92="10-14",$D92="Female"),"",INDEX(VMMC!$AA:$AA,MATCH($E92,VMMC!$E:$E,0)))</f>
        <v/>
      </c>
      <c r="L92" s="14">
        <f t="shared" si="28"/>
        <v>0</v>
      </c>
      <c r="M92" s="90" t="str">
        <f t="shared" si="29"/>
        <v/>
      </c>
      <c r="N92" s="90" t="str">
        <f t="shared" si="30"/>
        <v/>
      </c>
      <c r="O92" s="90" t="str">
        <f t="shared" si="31"/>
        <v/>
      </c>
      <c r="P92" s="90" t="str">
        <f t="shared" si="32"/>
        <v/>
      </c>
      <c r="Q92" s="90"/>
      <c r="R92" s="90"/>
      <c r="S92" s="90"/>
      <c r="T92" s="90"/>
      <c r="U92" s="90"/>
      <c r="V92" s="90" t="str">
        <f t="shared" si="33"/>
        <v/>
      </c>
      <c r="W92" s="90"/>
      <c r="X92" s="42" t="str">
        <f t="shared" si="34"/>
        <v/>
      </c>
      <c r="Y92" s="42" t="str">
        <f t="shared" si="35"/>
        <v/>
      </c>
      <c r="Z92" s="90"/>
      <c r="AA92" s="42" t="str">
        <f t="shared" si="36"/>
        <v/>
      </c>
      <c r="AB92" s="42" t="str">
        <f t="shared" si="37"/>
        <v/>
      </c>
      <c r="AC92" s="90"/>
      <c r="AD92" s="42" t="str">
        <f t="shared" si="38"/>
        <v/>
      </c>
      <c r="AE92" s="42" t="str">
        <f t="shared" si="39"/>
        <v/>
      </c>
      <c r="AF92" s="90"/>
      <c r="AG92" s="42" t="str">
        <f t="shared" si="40"/>
        <v/>
      </c>
      <c r="AH92" s="42" t="str">
        <f t="shared" si="41"/>
        <v/>
      </c>
      <c r="AI92" s="90"/>
      <c r="AJ92" s="42" t="str">
        <f t="shared" si="42"/>
        <v/>
      </c>
      <c r="AK92" s="42" t="str">
        <f t="shared" si="43"/>
        <v/>
      </c>
      <c r="AL92" s="14" t="str">
        <f t="shared" si="44"/>
        <v/>
      </c>
      <c r="AM92" s="14" t="str">
        <f t="shared" si="45"/>
        <v/>
      </c>
      <c r="AN92" s="14" t="str">
        <f t="shared" si="46"/>
        <v/>
      </c>
      <c r="AO92" s="14" t="str">
        <f>IF(OR($C92="01-09",$D92="Male"),"",INDEX(PMTCT!$AD:$AD,MATCH($E92,PMTCT!$E:$E,0)))</f>
        <v/>
      </c>
      <c r="AP92" s="14" t="str">
        <f>IF(OR($C92="01-09",$D92="Male"),"",INDEX(PMTCT!$AT:$AT,MATCH($E92,PMTCT!$E:$E,0)))</f>
        <v/>
      </c>
      <c r="AQ92" s="14" t="str">
        <f>INDEX(TB!$Q:$Q,MATCH($E92,TB!$E:$E,0))</f>
        <v/>
      </c>
      <c r="AR92" s="14" t="str">
        <f>IF(OR($C92="01-09",$C92="10-14",$D92="Female"),"",INDEX(VMMC!$AB:$AB,MATCH($E92,VMMC!$E:$E,0)))</f>
        <v/>
      </c>
      <c r="AS92" s="14" t="str">
        <f>IF(OR($C92="01-09",$C92="10-14"),"",INDEX(PrEP!$Q:$Q,MATCH($E92,PrEP!$E:$E,0)))</f>
        <v/>
      </c>
      <c r="AT92" s="14" t="str">
        <f t="shared" si="47"/>
        <v/>
      </c>
      <c r="AU92" s="14" t="str">
        <f t="shared" si="48"/>
        <v/>
      </c>
      <c r="AV92" s="90" t="str">
        <f t="shared" si="49"/>
        <v/>
      </c>
      <c r="AW92" s="14"/>
      <c r="AX92" s="90" t="str">
        <f t="shared" si="50"/>
        <v/>
      </c>
      <c r="AY92" s="42" t="str">
        <f t="shared" si="51"/>
        <v/>
      </c>
      <c r="AZ92" s="90">
        <f t="shared" si="52"/>
        <v>1</v>
      </c>
      <c r="BA92" s="42" t="str">
        <f t="shared" si="53"/>
        <v/>
      </c>
    </row>
    <row r="93" spans="1:53" x14ac:dyDescent="0.2">
      <c r="A93" t="str">
        <f>INDEX(Prioritization!$D:$D,MATCH($B93,Prioritization!$A:$A,0))</f>
        <v>1 - Scale-up: Saturation</v>
      </c>
      <c r="B93" t="s">
        <v>199</v>
      </c>
      <c r="C93" t="s">
        <v>365</v>
      </c>
      <c r="D93" t="s">
        <v>29</v>
      </c>
      <c r="E93" t="str">
        <f t="shared" si="27"/>
        <v>Nkhotakota District [YCKiBAp8QAg]|25-34|Female</v>
      </c>
      <c r="F93" s="90">
        <f>IF(LEFT($B93,4)="_Mil","",INDEX(Cascade!$AA:$AA,MATCH($E93,Cascade!$E:$E,0)))</f>
        <v>990</v>
      </c>
      <c r="G93" s="14">
        <f>INDEX(Cascade!$BH:$BH,MATCH($E93,Cascade!$E:$E,0))</f>
        <v>0</v>
      </c>
      <c r="H93" s="14" t="str">
        <f>IF(OR($C93="01-09",$D93="Male"),"",INDEX(PMTCT!$AC:$AC,MATCH($E93,PMTCT!$E:$E,0)))</f>
        <v/>
      </c>
      <c r="I93" s="14" t="str">
        <f>IF(OR($C93="01-09",$D93="Male"),"",INDEX(PMTCT!$AS:$AS,MATCH($E93,PMTCT!$E:$E,0)))</f>
        <v/>
      </c>
      <c r="J93" s="14" t="str">
        <f>INDEX(TB!$P:$P,MATCH($E93,TB!$E:$E,0))</f>
        <v/>
      </c>
      <c r="K93" s="14" t="str">
        <f>IF(OR($C93="01-09",$C93="10-14",$D93="Female"),"",INDEX(VMMC!$AA:$AA,MATCH($E93,VMMC!$E:$E,0)))</f>
        <v/>
      </c>
      <c r="L93" s="14">
        <f t="shared" si="28"/>
        <v>0</v>
      </c>
      <c r="M93" s="90" t="str">
        <f t="shared" si="29"/>
        <v/>
      </c>
      <c r="N93" s="90" t="str">
        <f t="shared" si="30"/>
        <v/>
      </c>
      <c r="O93" s="90" t="str">
        <f t="shared" si="31"/>
        <v/>
      </c>
      <c r="P93" s="90" t="str">
        <f t="shared" si="32"/>
        <v/>
      </c>
      <c r="Q93" s="90"/>
      <c r="R93" s="90"/>
      <c r="S93" s="90"/>
      <c r="T93" s="90"/>
      <c r="U93" s="90"/>
      <c r="V93" s="90" t="str">
        <f t="shared" si="33"/>
        <v/>
      </c>
      <c r="W93" s="90"/>
      <c r="X93" s="42" t="str">
        <f t="shared" si="34"/>
        <v/>
      </c>
      <c r="Y93" s="42" t="str">
        <f t="shared" si="35"/>
        <v/>
      </c>
      <c r="Z93" s="90"/>
      <c r="AA93" s="42" t="str">
        <f t="shared" si="36"/>
        <v/>
      </c>
      <c r="AB93" s="42" t="str">
        <f t="shared" si="37"/>
        <v/>
      </c>
      <c r="AC93" s="90"/>
      <c r="AD93" s="42" t="str">
        <f t="shared" si="38"/>
        <v/>
      </c>
      <c r="AE93" s="42" t="str">
        <f t="shared" si="39"/>
        <v/>
      </c>
      <c r="AF93" s="90"/>
      <c r="AG93" s="42" t="str">
        <f t="shared" si="40"/>
        <v/>
      </c>
      <c r="AH93" s="42" t="str">
        <f t="shared" si="41"/>
        <v/>
      </c>
      <c r="AI93" s="90"/>
      <c r="AJ93" s="42" t="str">
        <f t="shared" si="42"/>
        <v/>
      </c>
      <c r="AK93" s="42" t="str">
        <f t="shared" si="43"/>
        <v/>
      </c>
      <c r="AL93" s="14" t="str">
        <f t="shared" si="44"/>
        <v/>
      </c>
      <c r="AM93" s="14" t="str">
        <f t="shared" si="45"/>
        <v/>
      </c>
      <c r="AN93" s="14" t="str">
        <f t="shared" si="46"/>
        <v/>
      </c>
      <c r="AO93" s="14" t="str">
        <f>IF(OR($C93="01-09",$D93="Male"),"",INDEX(PMTCT!$AD:$AD,MATCH($E93,PMTCT!$E:$E,0)))</f>
        <v/>
      </c>
      <c r="AP93" s="14" t="str">
        <f>IF(OR($C93="01-09",$D93="Male"),"",INDEX(PMTCT!$AT:$AT,MATCH($E93,PMTCT!$E:$E,0)))</f>
        <v/>
      </c>
      <c r="AQ93" s="14" t="str">
        <f>INDEX(TB!$Q:$Q,MATCH($E93,TB!$E:$E,0))</f>
        <v/>
      </c>
      <c r="AR93" s="14" t="str">
        <f>IF(OR($C93="01-09",$C93="10-14",$D93="Female"),"",INDEX(VMMC!$AB:$AB,MATCH($E93,VMMC!$E:$E,0)))</f>
        <v/>
      </c>
      <c r="AS93" s="14" t="str">
        <f>IF(OR($C93="01-09",$C93="10-14"),"",INDEX(PrEP!$Q:$Q,MATCH($E93,PrEP!$E:$E,0)))</f>
        <v/>
      </c>
      <c r="AT93" s="14" t="str">
        <f t="shared" si="47"/>
        <v/>
      </c>
      <c r="AU93" s="14" t="str">
        <f t="shared" si="48"/>
        <v/>
      </c>
      <c r="AV93" s="90" t="str">
        <f t="shared" si="49"/>
        <v/>
      </c>
      <c r="AW93" s="14"/>
      <c r="AX93" s="90" t="str">
        <f t="shared" si="50"/>
        <v/>
      </c>
      <c r="AY93" s="42" t="str">
        <f t="shared" si="51"/>
        <v/>
      </c>
      <c r="AZ93" s="90">
        <f t="shared" si="52"/>
        <v>1</v>
      </c>
      <c r="BA93" s="42" t="str">
        <f t="shared" si="53"/>
        <v/>
      </c>
    </row>
    <row r="94" spans="1:53" x14ac:dyDescent="0.2">
      <c r="A94" t="str">
        <f>INDEX(Prioritization!$D:$D,MATCH($B94,Prioritization!$A:$A,0))</f>
        <v>1 - Scale-up: Saturation</v>
      </c>
      <c r="B94" t="s">
        <v>199</v>
      </c>
      <c r="C94" t="s">
        <v>365</v>
      </c>
      <c r="D94" t="s">
        <v>47</v>
      </c>
      <c r="E94" t="str">
        <f t="shared" si="27"/>
        <v>Nkhotakota District [YCKiBAp8QAg]|25-34|Male</v>
      </c>
      <c r="F94" s="90">
        <f>IF(LEFT($B94,4)="_Mil","",INDEX(Cascade!$AA:$AA,MATCH($E94,Cascade!$E:$E,0)))</f>
        <v>1603</v>
      </c>
      <c r="G94" s="14">
        <f>INDEX(Cascade!$BH:$BH,MATCH($E94,Cascade!$E:$E,0))</f>
        <v>0</v>
      </c>
      <c r="H94" s="14" t="str">
        <f>IF(OR($C94="01-09",$D94="Male"),"",INDEX(PMTCT!$AC:$AC,MATCH($E94,PMTCT!$E:$E,0)))</f>
        <v/>
      </c>
      <c r="I94" s="14" t="str">
        <f>IF(OR($C94="01-09",$D94="Male"),"",INDEX(PMTCT!$AS:$AS,MATCH($E94,PMTCT!$E:$E,0)))</f>
        <v/>
      </c>
      <c r="J94" s="14" t="str">
        <f>INDEX(TB!$P:$P,MATCH($E94,TB!$E:$E,0))</f>
        <v/>
      </c>
      <c r="K94" s="14" t="str">
        <f>IF(OR($C94="01-09",$C94="10-14",$D94="Female"),"",INDEX(VMMC!$AA:$AA,MATCH($E94,VMMC!$E:$E,0)))</f>
        <v/>
      </c>
      <c r="L94" s="14">
        <f t="shared" si="28"/>
        <v>0</v>
      </c>
      <c r="M94" s="90" t="str">
        <f t="shared" si="29"/>
        <v/>
      </c>
      <c r="N94" s="90" t="str">
        <f t="shared" si="30"/>
        <v/>
      </c>
      <c r="O94" s="90" t="str">
        <f t="shared" si="31"/>
        <v/>
      </c>
      <c r="P94" s="90" t="str">
        <f t="shared" si="32"/>
        <v/>
      </c>
      <c r="Q94" s="90"/>
      <c r="R94" s="90"/>
      <c r="S94" s="90"/>
      <c r="T94" s="90"/>
      <c r="U94" s="90"/>
      <c r="V94" s="90" t="str">
        <f t="shared" si="33"/>
        <v/>
      </c>
      <c r="W94" s="90"/>
      <c r="X94" s="42" t="str">
        <f t="shared" si="34"/>
        <v/>
      </c>
      <c r="Y94" s="42" t="str">
        <f t="shared" si="35"/>
        <v/>
      </c>
      <c r="Z94" s="90"/>
      <c r="AA94" s="42" t="str">
        <f t="shared" si="36"/>
        <v/>
      </c>
      <c r="AB94" s="42" t="str">
        <f t="shared" si="37"/>
        <v/>
      </c>
      <c r="AC94" s="90"/>
      <c r="AD94" s="42" t="str">
        <f t="shared" si="38"/>
        <v/>
      </c>
      <c r="AE94" s="42" t="str">
        <f t="shared" si="39"/>
        <v/>
      </c>
      <c r="AF94" s="90"/>
      <c r="AG94" s="42" t="str">
        <f t="shared" si="40"/>
        <v/>
      </c>
      <c r="AH94" s="42" t="str">
        <f t="shared" si="41"/>
        <v/>
      </c>
      <c r="AI94" s="90"/>
      <c r="AJ94" s="42" t="str">
        <f t="shared" si="42"/>
        <v/>
      </c>
      <c r="AK94" s="42" t="str">
        <f t="shared" si="43"/>
        <v/>
      </c>
      <c r="AL94" s="14" t="str">
        <f t="shared" si="44"/>
        <v/>
      </c>
      <c r="AM94" s="14" t="str">
        <f t="shared" si="45"/>
        <v/>
      </c>
      <c r="AN94" s="14" t="str">
        <f t="shared" si="46"/>
        <v/>
      </c>
      <c r="AO94" s="14" t="str">
        <f>IF(OR($C94="01-09",$D94="Male"),"",INDEX(PMTCT!$AD:$AD,MATCH($E94,PMTCT!$E:$E,0)))</f>
        <v/>
      </c>
      <c r="AP94" s="14" t="str">
        <f>IF(OR($C94="01-09",$D94="Male"),"",INDEX(PMTCT!$AT:$AT,MATCH($E94,PMTCT!$E:$E,0)))</f>
        <v/>
      </c>
      <c r="AQ94" s="14" t="str">
        <f>INDEX(TB!$Q:$Q,MATCH($E94,TB!$E:$E,0))</f>
        <v/>
      </c>
      <c r="AR94" s="14" t="str">
        <f>IF(OR($C94="01-09",$C94="10-14",$D94="Female"),"",INDEX(VMMC!$AB:$AB,MATCH($E94,VMMC!$E:$E,0)))</f>
        <v/>
      </c>
      <c r="AS94" s="14" t="str">
        <f>IF(OR($C94="01-09",$C94="10-14"),"",INDEX(PrEP!$Q:$Q,MATCH($E94,PrEP!$E:$E,0)))</f>
        <v/>
      </c>
      <c r="AT94" s="14" t="str">
        <f t="shared" si="47"/>
        <v/>
      </c>
      <c r="AU94" s="14" t="str">
        <f t="shared" si="48"/>
        <v/>
      </c>
      <c r="AV94" s="90" t="str">
        <f t="shared" si="49"/>
        <v/>
      </c>
      <c r="AW94" s="14"/>
      <c r="AX94" s="90" t="str">
        <f t="shared" si="50"/>
        <v/>
      </c>
      <c r="AY94" s="42" t="str">
        <f t="shared" si="51"/>
        <v/>
      </c>
      <c r="AZ94" s="90">
        <f t="shared" si="52"/>
        <v>1</v>
      </c>
      <c r="BA94" s="42" t="str">
        <f t="shared" si="53"/>
        <v/>
      </c>
    </row>
    <row r="95" spans="1:53" x14ac:dyDescent="0.2">
      <c r="A95" t="str">
        <f>INDEX(Prioritization!$D:$D,MATCH($B95,Prioritization!$A:$A,0))</f>
        <v>1 - Scale-up: Saturation</v>
      </c>
      <c r="B95" t="s">
        <v>199</v>
      </c>
      <c r="C95" t="s">
        <v>366</v>
      </c>
      <c r="D95" t="s">
        <v>29</v>
      </c>
      <c r="E95" t="str">
        <f t="shared" si="27"/>
        <v>Nkhotakota District [YCKiBAp8QAg]|35-49|Female</v>
      </c>
      <c r="F95" s="90">
        <f>IF(LEFT($B95,4)="_Mil","",INDEX(Cascade!$AA:$AA,MATCH($E95,Cascade!$E:$E,0)))</f>
        <v>667</v>
      </c>
      <c r="G95" s="14">
        <f>INDEX(Cascade!$BH:$BH,MATCH($E95,Cascade!$E:$E,0))</f>
        <v>0</v>
      </c>
      <c r="H95" s="14" t="str">
        <f>IF(OR($C95="01-09",$D95="Male"),"",INDEX(PMTCT!$AC:$AC,MATCH($E95,PMTCT!$E:$E,0)))</f>
        <v/>
      </c>
      <c r="I95" s="14" t="str">
        <f>IF(OR($C95="01-09",$D95="Male"),"",INDEX(PMTCT!$AS:$AS,MATCH($E95,PMTCT!$E:$E,0)))</f>
        <v/>
      </c>
      <c r="J95" s="14" t="str">
        <f>INDEX(TB!$P:$P,MATCH($E95,TB!$E:$E,0))</f>
        <v/>
      </c>
      <c r="K95" s="14" t="str">
        <f>IF(OR($C95="01-09",$C95="10-14",$D95="Female"),"",INDEX(VMMC!$AA:$AA,MATCH($E95,VMMC!$E:$E,0)))</f>
        <v/>
      </c>
      <c r="L95" s="14">
        <f t="shared" si="28"/>
        <v>0</v>
      </c>
      <c r="M95" s="90" t="str">
        <f t="shared" si="29"/>
        <v/>
      </c>
      <c r="N95" s="90" t="str">
        <f t="shared" si="30"/>
        <v/>
      </c>
      <c r="O95" s="90" t="str">
        <f t="shared" si="31"/>
        <v/>
      </c>
      <c r="P95" s="90" t="str">
        <f t="shared" si="32"/>
        <v/>
      </c>
      <c r="Q95" s="90"/>
      <c r="R95" s="90"/>
      <c r="S95" s="90"/>
      <c r="T95" s="90"/>
      <c r="U95" s="90"/>
      <c r="V95" s="90" t="str">
        <f t="shared" si="33"/>
        <v/>
      </c>
      <c r="W95" s="90"/>
      <c r="X95" s="42" t="str">
        <f t="shared" si="34"/>
        <v/>
      </c>
      <c r="Y95" s="42" t="str">
        <f t="shared" si="35"/>
        <v/>
      </c>
      <c r="Z95" s="90"/>
      <c r="AA95" s="42" t="str">
        <f t="shared" si="36"/>
        <v/>
      </c>
      <c r="AB95" s="42" t="str">
        <f t="shared" si="37"/>
        <v/>
      </c>
      <c r="AC95" s="90"/>
      <c r="AD95" s="42" t="str">
        <f t="shared" si="38"/>
        <v/>
      </c>
      <c r="AE95" s="42" t="str">
        <f t="shared" si="39"/>
        <v/>
      </c>
      <c r="AF95" s="90"/>
      <c r="AG95" s="42" t="str">
        <f t="shared" si="40"/>
        <v/>
      </c>
      <c r="AH95" s="42" t="str">
        <f t="shared" si="41"/>
        <v/>
      </c>
      <c r="AI95" s="90"/>
      <c r="AJ95" s="42" t="str">
        <f t="shared" si="42"/>
        <v/>
      </c>
      <c r="AK95" s="42" t="str">
        <f t="shared" si="43"/>
        <v/>
      </c>
      <c r="AL95" s="14" t="str">
        <f t="shared" si="44"/>
        <v/>
      </c>
      <c r="AM95" s="14" t="str">
        <f t="shared" si="45"/>
        <v/>
      </c>
      <c r="AN95" s="14" t="str">
        <f t="shared" si="46"/>
        <v/>
      </c>
      <c r="AO95" s="14" t="str">
        <f>IF(OR($C95="01-09",$D95="Male"),"",INDEX(PMTCT!$AD:$AD,MATCH($E95,PMTCT!$E:$E,0)))</f>
        <v/>
      </c>
      <c r="AP95" s="14" t="str">
        <f>IF(OR($C95="01-09",$D95="Male"),"",INDEX(PMTCT!$AT:$AT,MATCH($E95,PMTCT!$E:$E,0)))</f>
        <v/>
      </c>
      <c r="AQ95" s="14" t="str">
        <f>INDEX(TB!$Q:$Q,MATCH($E95,TB!$E:$E,0))</f>
        <v/>
      </c>
      <c r="AR95" s="14" t="str">
        <f>IF(OR($C95="01-09",$C95="10-14",$D95="Female"),"",INDEX(VMMC!$AB:$AB,MATCH($E95,VMMC!$E:$E,0)))</f>
        <v/>
      </c>
      <c r="AS95" s="14" t="str">
        <f>IF(OR($C95="01-09",$C95="10-14"),"",INDEX(PrEP!$Q:$Q,MATCH($E95,PrEP!$E:$E,0)))</f>
        <v/>
      </c>
      <c r="AT95" s="14" t="str">
        <f t="shared" si="47"/>
        <v/>
      </c>
      <c r="AU95" s="14" t="str">
        <f t="shared" si="48"/>
        <v/>
      </c>
      <c r="AV95" s="90" t="str">
        <f t="shared" si="49"/>
        <v/>
      </c>
      <c r="AW95" s="14"/>
      <c r="AX95" s="90" t="str">
        <f t="shared" si="50"/>
        <v/>
      </c>
      <c r="AY95" s="42" t="str">
        <f t="shared" si="51"/>
        <v/>
      </c>
      <c r="AZ95" s="90">
        <f t="shared" si="52"/>
        <v>1</v>
      </c>
      <c r="BA95" s="42" t="str">
        <f t="shared" si="53"/>
        <v/>
      </c>
    </row>
    <row r="96" spans="1:53" x14ac:dyDescent="0.2">
      <c r="A96" t="str">
        <f>INDEX(Prioritization!$D:$D,MATCH($B96,Prioritization!$A:$A,0))</f>
        <v>1 - Scale-up: Saturation</v>
      </c>
      <c r="B96" t="s">
        <v>199</v>
      </c>
      <c r="C96" t="s">
        <v>366</v>
      </c>
      <c r="D96" t="s">
        <v>47</v>
      </c>
      <c r="E96" t="str">
        <f t="shared" si="27"/>
        <v>Nkhotakota District [YCKiBAp8QAg]|35-49|Male</v>
      </c>
      <c r="F96" s="90">
        <f>IF(LEFT($B96,4)="_Mil","",INDEX(Cascade!$AA:$AA,MATCH($E96,Cascade!$E:$E,0)))</f>
        <v>1398</v>
      </c>
      <c r="G96" s="14">
        <f>INDEX(Cascade!$BH:$BH,MATCH($E96,Cascade!$E:$E,0))</f>
        <v>0</v>
      </c>
      <c r="H96" s="14" t="str">
        <f>IF(OR($C96="01-09",$D96="Male"),"",INDEX(PMTCT!$AC:$AC,MATCH($E96,PMTCT!$E:$E,0)))</f>
        <v/>
      </c>
      <c r="I96" s="14" t="str">
        <f>IF(OR($C96="01-09",$D96="Male"),"",INDEX(PMTCT!$AS:$AS,MATCH($E96,PMTCT!$E:$E,0)))</f>
        <v/>
      </c>
      <c r="J96" s="14" t="str">
        <f>INDEX(TB!$P:$P,MATCH($E96,TB!$E:$E,0))</f>
        <v/>
      </c>
      <c r="K96" s="14" t="str">
        <f>IF(OR($C96="01-09",$C96="10-14",$D96="Female"),"",INDEX(VMMC!$AA:$AA,MATCH($E96,VMMC!$E:$E,0)))</f>
        <v/>
      </c>
      <c r="L96" s="14">
        <f t="shared" si="28"/>
        <v>0</v>
      </c>
      <c r="M96" s="90" t="str">
        <f t="shared" si="29"/>
        <v/>
      </c>
      <c r="N96" s="90" t="str">
        <f t="shared" si="30"/>
        <v/>
      </c>
      <c r="O96" s="90" t="str">
        <f t="shared" si="31"/>
        <v/>
      </c>
      <c r="P96" s="90" t="str">
        <f t="shared" si="32"/>
        <v/>
      </c>
      <c r="Q96" s="90"/>
      <c r="R96" s="90"/>
      <c r="S96" s="90"/>
      <c r="T96" s="90"/>
      <c r="U96" s="90"/>
      <c r="V96" s="90" t="str">
        <f t="shared" si="33"/>
        <v/>
      </c>
      <c r="W96" s="90"/>
      <c r="X96" s="42" t="str">
        <f t="shared" si="34"/>
        <v/>
      </c>
      <c r="Y96" s="42" t="str">
        <f t="shared" si="35"/>
        <v/>
      </c>
      <c r="Z96" s="90"/>
      <c r="AA96" s="42" t="str">
        <f t="shared" si="36"/>
        <v/>
      </c>
      <c r="AB96" s="42" t="str">
        <f t="shared" si="37"/>
        <v/>
      </c>
      <c r="AC96" s="90"/>
      <c r="AD96" s="42" t="str">
        <f t="shared" si="38"/>
        <v/>
      </c>
      <c r="AE96" s="42" t="str">
        <f t="shared" si="39"/>
        <v/>
      </c>
      <c r="AF96" s="90"/>
      <c r="AG96" s="42" t="str">
        <f t="shared" si="40"/>
        <v/>
      </c>
      <c r="AH96" s="42" t="str">
        <f t="shared" si="41"/>
        <v/>
      </c>
      <c r="AI96" s="90"/>
      <c r="AJ96" s="42" t="str">
        <f t="shared" si="42"/>
        <v/>
      </c>
      <c r="AK96" s="42" t="str">
        <f t="shared" si="43"/>
        <v/>
      </c>
      <c r="AL96" s="14" t="str">
        <f t="shared" si="44"/>
        <v/>
      </c>
      <c r="AM96" s="14" t="str">
        <f t="shared" si="45"/>
        <v/>
      </c>
      <c r="AN96" s="14" t="str">
        <f t="shared" si="46"/>
        <v/>
      </c>
      <c r="AO96" s="14" t="str">
        <f>IF(OR($C96="01-09",$D96="Male"),"",INDEX(PMTCT!$AD:$AD,MATCH($E96,PMTCT!$E:$E,0)))</f>
        <v/>
      </c>
      <c r="AP96" s="14" t="str">
        <f>IF(OR($C96="01-09",$D96="Male"),"",INDEX(PMTCT!$AT:$AT,MATCH($E96,PMTCT!$E:$E,0)))</f>
        <v/>
      </c>
      <c r="AQ96" s="14" t="str">
        <f>INDEX(TB!$Q:$Q,MATCH($E96,TB!$E:$E,0))</f>
        <v/>
      </c>
      <c r="AR96" s="14" t="str">
        <f>IF(OR($C96="01-09",$C96="10-14",$D96="Female"),"",INDEX(VMMC!$AB:$AB,MATCH($E96,VMMC!$E:$E,0)))</f>
        <v/>
      </c>
      <c r="AS96" s="14" t="str">
        <f>IF(OR($C96="01-09",$C96="10-14"),"",INDEX(PrEP!$Q:$Q,MATCH($E96,PrEP!$E:$E,0)))</f>
        <v/>
      </c>
      <c r="AT96" s="14" t="str">
        <f t="shared" si="47"/>
        <v/>
      </c>
      <c r="AU96" s="14" t="str">
        <f t="shared" si="48"/>
        <v/>
      </c>
      <c r="AV96" s="90" t="str">
        <f t="shared" si="49"/>
        <v/>
      </c>
      <c r="AW96" s="14"/>
      <c r="AX96" s="90" t="str">
        <f t="shared" si="50"/>
        <v/>
      </c>
      <c r="AY96" s="42" t="str">
        <f t="shared" si="51"/>
        <v/>
      </c>
      <c r="AZ96" s="90">
        <f t="shared" si="52"/>
        <v>1</v>
      </c>
      <c r="BA96" s="42" t="str">
        <f t="shared" si="53"/>
        <v/>
      </c>
    </row>
    <row r="97" spans="1:53" x14ac:dyDescent="0.2">
      <c r="A97" t="str">
        <f>INDEX(Prioritization!$D:$D,MATCH($B97,Prioritization!$A:$A,0))</f>
        <v>1 - Scale-up: Saturation</v>
      </c>
      <c r="B97" t="s">
        <v>199</v>
      </c>
      <c r="C97" t="s">
        <v>367</v>
      </c>
      <c r="D97" t="s">
        <v>29</v>
      </c>
      <c r="E97" t="str">
        <f t="shared" si="27"/>
        <v>Nkhotakota District [YCKiBAp8QAg]|50+|Female</v>
      </c>
      <c r="F97" s="90">
        <f>IF(LEFT($B97,4)="_Mil","",INDEX(Cascade!$AA:$AA,MATCH($E97,Cascade!$E:$E,0)))</f>
        <v>842</v>
      </c>
      <c r="G97" s="14">
        <f>INDEX(Cascade!$BH:$BH,MATCH($E97,Cascade!$E:$E,0))</f>
        <v>0</v>
      </c>
      <c r="H97" s="14" t="str">
        <f>IF(OR($C97="01-09",$D97="Male"),"",INDEX(PMTCT!$AC:$AC,MATCH($E97,PMTCT!$E:$E,0)))</f>
        <v/>
      </c>
      <c r="I97" s="14" t="str">
        <f>IF(OR($C97="01-09",$D97="Male"),"",INDEX(PMTCT!$AS:$AS,MATCH($E97,PMTCT!$E:$E,0)))</f>
        <v/>
      </c>
      <c r="J97" s="14" t="str">
        <f>INDEX(TB!$P:$P,MATCH($E97,TB!$E:$E,0))</f>
        <v/>
      </c>
      <c r="K97" s="14" t="str">
        <f>IF(OR($C97="01-09",$C97="10-14",$D97="Female"),"",INDEX(VMMC!$AA:$AA,MATCH($E97,VMMC!$E:$E,0)))</f>
        <v/>
      </c>
      <c r="L97" s="14">
        <f t="shared" si="28"/>
        <v>0</v>
      </c>
      <c r="M97" s="90" t="str">
        <f t="shared" si="29"/>
        <v/>
      </c>
      <c r="N97" s="90" t="str">
        <f t="shared" si="30"/>
        <v/>
      </c>
      <c r="O97" s="90" t="str">
        <f t="shared" si="31"/>
        <v/>
      </c>
      <c r="P97" s="90" t="str">
        <f t="shared" si="32"/>
        <v/>
      </c>
      <c r="Q97" s="90"/>
      <c r="R97" s="90"/>
      <c r="S97" s="90"/>
      <c r="T97" s="90"/>
      <c r="U97" s="90">
        <v>0.283808838808909</v>
      </c>
      <c r="V97" s="90" t="str">
        <f t="shared" si="33"/>
        <v/>
      </c>
      <c r="W97" s="90"/>
      <c r="X97" s="42" t="str">
        <f t="shared" si="34"/>
        <v/>
      </c>
      <c r="Y97" s="42" t="str">
        <f t="shared" si="35"/>
        <v/>
      </c>
      <c r="Z97" s="90"/>
      <c r="AA97" s="42" t="str">
        <f t="shared" si="36"/>
        <v/>
      </c>
      <c r="AB97" s="42" t="str">
        <f t="shared" si="37"/>
        <v/>
      </c>
      <c r="AC97" s="90"/>
      <c r="AD97" s="42" t="str">
        <f t="shared" si="38"/>
        <v/>
      </c>
      <c r="AE97" s="42" t="str">
        <f t="shared" si="39"/>
        <v/>
      </c>
      <c r="AF97" s="90"/>
      <c r="AG97" s="42" t="str">
        <f t="shared" si="40"/>
        <v/>
      </c>
      <c r="AH97" s="42" t="str">
        <f t="shared" si="41"/>
        <v/>
      </c>
      <c r="AI97" s="90"/>
      <c r="AJ97" s="42" t="str">
        <f t="shared" si="42"/>
        <v/>
      </c>
      <c r="AK97" s="42" t="str">
        <f t="shared" si="43"/>
        <v/>
      </c>
      <c r="AL97" s="14" t="str">
        <f t="shared" si="44"/>
        <v/>
      </c>
      <c r="AM97" s="14" t="str">
        <f t="shared" si="45"/>
        <v/>
      </c>
      <c r="AN97" s="14" t="str">
        <f t="shared" si="46"/>
        <v/>
      </c>
      <c r="AO97" s="14" t="str">
        <f>IF(OR($C97="01-09",$D97="Male"),"",INDEX(PMTCT!$AD:$AD,MATCH($E97,PMTCT!$E:$E,0)))</f>
        <v/>
      </c>
      <c r="AP97" s="14" t="str">
        <f>IF(OR($C97="01-09",$D97="Male"),"",INDEX(PMTCT!$AT:$AT,MATCH($E97,PMTCT!$E:$E,0)))</f>
        <v/>
      </c>
      <c r="AQ97" s="14" t="str">
        <f>INDEX(TB!$Q:$Q,MATCH($E97,TB!$E:$E,0))</f>
        <v/>
      </c>
      <c r="AR97" s="14" t="str">
        <f>IF(OR($C97="01-09",$C97="10-14",$D97="Female"),"",INDEX(VMMC!$AB:$AB,MATCH($E97,VMMC!$E:$E,0)))</f>
        <v/>
      </c>
      <c r="AS97" s="14" t="str">
        <f>IF(OR($C97="01-09",$C97="10-14"),"",INDEX(PrEP!$Q:$Q,MATCH($E97,PrEP!$E:$E,0)))</f>
        <v/>
      </c>
      <c r="AT97" s="14" t="str">
        <f t="shared" si="47"/>
        <v/>
      </c>
      <c r="AU97" s="14" t="str">
        <f t="shared" si="48"/>
        <v/>
      </c>
      <c r="AV97" s="90" t="str">
        <f t="shared" si="49"/>
        <v/>
      </c>
      <c r="AW97" s="14">
        <v>6</v>
      </c>
      <c r="AX97" s="90">
        <f t="shared" si="50"/>
        <v>0</v>
      </c>
      <c r="AY97" s="42">
        <f t="shared" si="51"/>
        <v>6</v>
      </c>
      <c r="AZ97" s="90">
        <f t="shared" si="52"/>
        <v>1</v>
      </c>
      <c r="BA97" s="42" t="str">
        <f t="shared" si="53"/>
        <v/>
      </c>
    </row>
    <row r="98" spans="1:53" x14ac:dyDescent="0.2">
      <c r="A98" t="str">
        <f>INDEX(Prioritization!$D:$D,MATCH($B98,Prioritization!$A:$A,0))</f>
        <v>1 - Scale-up: Saturation</v>
      </c>
      <c r="B98" t="s">
        <v>199</v>
      </c>
      <c r="C98" t="s">
        <v>367</v>
      </c>
      <c r="D98" t="s">
        <v>47</v>
      </c>
      <c r="E98" t="str">
        <f t="shared" si="27"/>
        <v>Nkhotakota District [YCKiBAp8QAg]|50+|Male</v>
      </c>
      <c r="F98" s="90">
        <f>IF(LEFT($B98,4)="_Mil","",INDEX(Cascade!$AA:$AA,MATCH($E98,Cascade!$E:$E,0)))</f>
        <v>1711</v>
      </c>
      <c r="G98" s="14">
        <f>INDEX(Cascade!$BH:$BH,MATCH($E98,Cascade!$E:$E,0))</f>
        <v>0</v>
      </c>
      <c r="H98" s="14" t="str">
        <f>IF(OR($C98="01-09",$D98="Male"),"",INDEX(PMTCT!$AC:$AC,MATCH($E98,PMTCT!$E:$E,0)))</f>
        <v/>
      </c>
      <c r="I98" s="14" t="str">
        <f>IF(OR($C98="01-09",$D98="Male"),"",INDEX(PMTCT!$AS:$AS,MATCH($E98,PMTCT!$E:$E,0)))</f>
        <v/>
      </c>
      <c r="J98" s="14" t="str">
        <f>INDEX(TB!$P:$P,MATCH($E98,TB!$E:$E,0))</f>
        <v/>
      </c>
      <c r="K98" s="14" t="str">
        <f>IF(OR($C98="01-09",$C98="10-14",$D98="Female"),"",INDEX(VMMC!$AA:$AA,MATCH($E98,VMMC!$E:$E,0)))</f>
        <v/>
      </c>
      <c r="L98" s="14">
        <f t="shared" si="28"/>
        <v>0</v>
      </c>
      <c r="M98" s="90" t="str">
        <f t="shared" si="29"/>
        <v/>
      </c>
      <c r="N98" s="90" t="str">
        <f t="shared" si="30"/>
        <v/>
      </c>
      <c r="O98" s="90" t="str">
        <f t="shared" si="31"/>
        <v/>
      </c>
      <c r="P98" s="90" t="str">
        <f t="shared" si="32"/>
        <v/>
      </c>
      <c r="Q98" s="90"/>
      <c r="R98" s="90"/>
      <c r="S98" s="90"/>
      <c r="T98" s="90"/>
      <c r="U98" s="90">
        <v>0.94711130112409603</v>
      </c>
      <c r="V98" s="90" t="str">
        <f t="shared" si="33"/>
        <v/>
      </c>
      <c r="W98" s="90"/>
      <c r="X98" s="42" t="str">
        <f t="shared" si="34"/>
        <v/>
      </c>
      <c r="Y98" s="42" t="str">
        <f t="shared" si="35"/>
        <v/>
      </c>
      <c r="Z98" s="90"/>
      <c r="AA98" s="42" t="str">
        <f t="shared" si="36"/>
        <v/>
      </c>
      <c r="AB98" s="42" t="str">
        <f t="shared" si="37"/>
        <v/>
      </c>
      <c r="AC98" s="90"/>
      <c r="AD98" s="42" t="str">
        <f t="shared" si="38"/>
        <v/>
      </c>
      <c r="AE98" s="42" t="str">
        <f t="shared" si="39"/>
        <v/>
      </c>
      <c r="AF98" s="90"/>
      <c r="AG98" s="42" t="str">
        <f t="shared" si="40"/>
        <v/>
      </c>
      <c r="AH98" s="42" t="str">
        <f t="shared" si="41"/>
        <v/>
      </c>
      <c r="AI98" s="90"/>
      <c r="AJ98" s="42" t="str">
        <f t="shared" si="42"/>
        <v/>
      </c>
      <c r="AK98" s="42" t="str">
        <f t="shared" si="43"/>
        <v/>
      </c>
      <c r="AL98" s="14" t="str">
        <f t="shared" si="44"/>
        <v/>
      </c>
      <c r="AM98" s="14" t="str">
        <f t="shared" si="45"/>
        <v/>
      </c>
      <c r="AN98" s="14" t="str">
        <f t="shared" si="46"/>
        <v/>
      </c>
      <c r="AO98" s="14" t="str">
        <f>IF(OR($C98="01-09",$D98="Male"),"",INDEX(PMTCT!$AD:$AD,MATCH($E98,PMTCT!$E:$E,0)))</f>
        <v/>
      </c>
      <c r="AP98" s="14" t="str">
        <f>IF(OR($C98="01-09",$D98="Male"),"",INDEX(PMTCT!$AT:$AT,MATCH($E98,PMTCT!$E:$E,0)))</f>
        <v/>
      </c>
      <c r="AQ98" s="14" t="str">
        <f>INDEX(TB!$Q:$Q,MATCH($E98,TB!$E:$E,0))</f>
        <v/>
      </c>
      <c r="AR98" s="14" t="str">
        <f>IF(OR($C98="01-09",$C98="10-14",$D98="Female"),"",INDEX(VMMC!$AB:$AB,MATCH($E98,VMMC!$E:$E,0)))</f>
        <v/>
      </c>
      <c r="AS98" s="14" t="str">
        <f>IF(OR($C98="01-09",$C98="10-14"),"",INDEX(PrEP!$Q:$Q,MATCH($E98,PrEP!$E:$E,0)))</f>
        <v/>
      </c>
      <c r="AT98" s="14" t="str">
        <f t="shared" si="47"/>
        <v/>
      </c>
      <c r="AU98" s="14" t="str">
        <f t="shared" si="48"/>
        <v/>
      </c>
      <c r="AV98" s="90" t="str">
        <f t="shared" si="49"/>
        <v/>
      </c>
      <c r="AW98" s="14">
        <v>2</v>
      </c>
      <c r="AX98" s="90">
        <f t="shared" si="50"/>
        <v>0</v>
      </c>
      <c r="AY98" s="42">
        <f t="shared" si="51"/>
        <v>2</v>
      </c>
      <c r="AZ98" s="90">
        <f t="shared" si="52"/>
        <v>1</v>
      </c>
      <c r="BA98" s="42" t="str">
        <f t="shared" si="53"/>
        <v/>
      </c>
    </row>
    <row r="99" spans="1:53" x14ac:dyDescent="0.2">
      <c r="A99" t="str">
        <f>INDEX(Prioritization!$D:$D,MATCH($B99,Prioritization!$A:$A,0))</f>
        <v>INVALID</v>
      </c>
      <c r="B99" t="s">
        <v>200</v>
      </c>
      <c r="C99" t="s">
        <v>362</v>
      </c>
      <c r="D99" t="s">
        <v>29</v>
      </c>
      <c r="E99" t="str">
        <f t="shared" si="27"/>
        <v>Ntcheu District [am530wpaGvr]|01-09|Female</v>
      </c>
      <c r="F99" s="90">
        <f>IF(LEFT($B99,4)="_Mil","",INDEX(Cascade!$AA:$AA,MATCH($E99,Cascade!$E:$E,0)))</f>
        <v>527</v>
      </c>
      <c r="G99" s="14">
        <f>INDEX(Cascade!$BH:$BH,MATCH($E99,Cascade!$E:$E,0))</f>
        <v>0</v>
      </c>
      <c r="H99" s="14" t="str">
        <f>IF(OR($C99="01-09",$D99="Male"),"",INDEX(PMTCT!$AC:$AC,MATCH($E99,PMTCT!$E:$E,0)))</f>
        <v/>
      </c>
      <c r="I99" s="14" t="str">
        <f>IF(OR($C99="01-09",$D99="Male"),"",INDEX(PMTCT!$AS:$AS,MATCH($E99,PMTCT!$E:$E,0)))</f>
        <v/>
      </c>
      <c r="J99" s="14" t="str">
        <f>INDEX(TB!$P:$P,MATCH($E99,TB!$E:$E,0))</f>
        <v/>
      </c>
      <c r="K99" s="14" t="str">
        <f>IF(OR($C99="01-09",$C99="10-14",$D99="Female"),"",INDEX(VMMC!$AA:$AA,MATCH($E99,VMMC!$E:$E,0)))</f>
        <v/>
      </c>
      <c r="L99" s="14">
        <f t="shared" si="28"/>
        <v>0</v>
      </c>
      <c r="M99" s="90" t="str">
        <f t="shared" si="29"/>
        <v/>
      </c>
      <c r="N99" s="90" t="str">
        <f t="shared" si="30"/>
        <v/>
      </c>
      <c r="O99" s="90" t="str">
        <f t="shared" si="31"/>
        <v/>
      </c>
      <c r="P99" s="90" t="str">
        <f t="shared" si="32"/>
        <v/>
      </c>
      <c r="Q99" s="90"/>
      <c r="R99" s="90"/>
      <c r="S99" s="90"/>
      <c r="T99" s="90"/>
      <c r="U99" s="90"/>
      <c r="V99" s="90" t="str">
        <f t="shared" si="33"/>
        <v/>
      </c>
      <c r="W99" s="90"/>
      <c r="X99" s="42" t="str">
        <f t="shared" si="34"/>
        <v/>
      </c>
      <c r="Y99" s="42" t="str">
        <f t="shared" si="35"/>
        <v/>
      </c>
      <c r="Z99" s="90"/>
      <c r="AA99" s="42" t="str">
        <f t="shared" si="36"/>
        <v/>
      </c>
      <c r="AB99" s="42" t="str">
        <f t="shared" si="37"/>
        <v/>
      </c>
      <c r="AC99" s="90"/>
      <c r="AD99" s="42" t="str">
        <f t="shared" si="38"/>
        <v/>
      </c>
      <c r="AE99" s="42" t="str">
        <f t="shared" si="39"/>
        <v/>
      </c>
      <c r="AF99" s="90"/>
      <c r="AG99" s="42" t="str">
        <f t="shared" si="40"/>
        <v/>
      </c>
      <c r="AH99" s="42" t="str">
        <f t="shared" si="41"/>
        <v/>
      </c>
      <c r="AI99" s="90"/>
      <c r="AJ99" s="42" t="str">
        <f t="shared" si="42"/>
        <v/>
      </c>
      <c r="AK99" s="42" t="str">
        <f t="shared" si="43"/>
        <v/>
      </c>
      <c r="AL99" s="14" t="str">
        <f t="shared" si="44"/>
        <v/>
      </c>
      <c r="AM99" s="14" t="str">
        <f t="shared" si="45"/>
        <v/>
      </c>
      <c r="AN99" s="14" t="str">
        <f t="shared" si="46"/>
        <v/>
      </c>
      <c r="AO99" s="14" t="str">
        <f>IF(OR($C99="01-09",$D99="Male"),"",INDEX(PMTCT!$AD:$AD,MATCH($E99,PMTCT!$E:$E,0)))</f>
        <v/>
      </c>
      <c r="AP99" s="14" t="str">
        <f>IF(OR($C99="01-09",$D99="Male"),"",INDEX(PMTCT!$AT:$AT,MATCH($E99,PMTCT!$E:$E,0)))</f>
        <v/>
      </c>
      <c r="AQ99" s="14" t="str">
        <f>INDEX(TB!$Q:$Q,MATCH($E99,TB!$E:$E,0))</f>
        <v/>
      </c>
      <c r="AR99" s="14" t="str">
        <f>IF(OR($C99="01-09",$C99="10-14",$D99="Female"),"",INDEX(VMMC!$AB:$AB,MATCH($E99,VMMC!$E:$E,0)))</f>
        <v/>
      </c>
      <c r="AS99" s="14" t="str">
        <f>IF(OR($C99="01-09",$C99="10-14"),"",INDEX(PrEP!$Q:$Q,MATCH($E99,PrEP!$E:$E,0)))</f>
        <v/>
      </c>
      <c r="AT99" s="14" t="str">
        <f t="shared" si="47"/>
        <v/>
      </c>
      <c r="AU99" s="14" t="str">
        <f t="shared" si="48"/>
        <v/>
      </c>
      <c r="AV99" s="90" t="str">
        <f t="shared" si="49"/>
        <v/>
      </c>
      <c r="AW99" s="14"/>
      <c r="AX99" s="90" t="str">
        <f t="shared" si="50"/>
        <v/>
      </c>
      <c r="AY99" s="42" t="str">
        <f t="shared" si="51"/>
        <v/>
      </c>
      <c r="AZ99" s="90" t="str">
        <f t="shared" si="52"/>
        <v/>
      </c>
      <c r="BA99" s="42" t="str">
        <f t="shared" si="53"/>
        <v/>
      </c>
    </row>
    <row r="100" spans="1:53" x14ac:dyDescent="0.2">
      <c r="A100" t="str">
        <f>INDEX(Prioritization!$D:$D,MATCH($B100,Prioritization!$A:$A,0))</f>
        <v>INVALID</v>
      </c>
      <c r="B100" t="s">
        <v>200</v>
      </c>
      <c r="C100" t="s">
        <v>362</v>
      </c>
      <c r="D100" t="s">
        <v>47</v>
      </c>
      <c r="E100" t="str">
        <f t="shared" si="27"/>
        <v>Ntcheu District [am530wpaGvr]|01-09|Male</v>
      </c>
      <c r="F100" s="90">
        <f>IF(LEFT($B100,4)="_Mil","",INDEX(Cascade!$AA:$AA,MATCH($E100,Cascade!$E:$E,0)))</f>
        <v>1346</v>
      </c>
      <c r="G100" s="14">
        <f>INDEX(Cascade!$BH:$BH,MATCH($E100,Cascade!$E:$E,0))</f>
        <v>0</v>
      </c>
      <c r="H100" s="14" t="str">
        <f>IF(OR($C100="01-09",$D100="Male"),"",INDEX(PMTCT!$AC:$AC,MATCH($E100,PMTCT!$E:$E,0)))</f>
        <v/>
      </c>
      <c r="I100" s="14" t="str">
        <f>IF(OR($C100="01-09",$D100="Male"),"",INDEX(PMTCT!$AS:$AS,MATCH($E100,PMTCT!$E:$E,0)))</f>
        <v/>
      </c>
      <c r="J100" s="14" t="str">
        <f>INDEX(TB!$P:$P,MATCH($E100,TB!$E:$E,0))</f>
        <v/>
      </c>
      <c r="K100" s="14" t="str">
        <f>IF(OR($C100="01-09",$C100="10-14",$D100="Female"),"",INDEX(VMMC!$AA:$AA,MATCH($E100,VMMC!$E:$E,0)))</f>
        <v/>
      </c>
      <c r="L100" s="14">
        <f t="shared" si="28"/>
        <v>0</v>
      </c>
      <c r="M100" s="90" t="str">
        <f t="shared" si="29"/>
        <v/>
      </c>
      <c r="N100" s="90" t="str">
        <f t="shared" si="30"/>
        <v/>
      </c>
      <c r="O100" s="90" t="str">
        <f t="shared" si="31"/>
        <v/>
      </c>
      <c r="P100" s="90" t="str">
        <f t="shared" si="32"/>
        <v/>
      </c>
      <c r="Q100" s="90"/>
      <c r="R100" s="90"/>
      <c r="S100" s="90"/>
      <c r="T100" s="90"/>
      <c r="U100" s="90"/>
      <c r="V100" s="90" t="str">
        <f t="shared" si="33"/>
        <v/>
      </c>
      <c r="W100" s="90"/>
      <c r="X100" s="42" t="str">
        <f t="shared" si="34"/>
        <v/>
      </c>
      <c r="Y100" s="42" t="str">
        <f t="shared" si="35"/>
        <v/>
      </c>
      <c r="Z100" s="90"/>
      <c r="AA100" s="42" t="str">
        <f t="shared" si="36"/>
        <v/>
      </c>
      <c r="AB100" s="42" t="str">
        <f t="shared" si="37"/>
        <v/>
      </c>
      <c r="AC100" s="90"/>
      <c r="AD100" s="42" t="str">
        <f t="shared" si="38"/>
        <v/>
      </c>
      <c r="AE100" s="42" t="str">
        <f t="shared" si="39"/>
        <v/>
      </c>
      <c r="AF100" s="90"/>
      <c r="AG100" s="42" t="str">
        <f t="shared" si="40"/>
        <v/>
      </c>
      <c r="AH100" s="42" t="str">
        <f t="shared" si="41"/>
        <v/>
      </c>
      <c r="AI100" s="90"/>
      <c r="AJ100" s="42" t="str">
        <f t="shared" si="42"/>
        <v/>
      </c>
      <c r="AK100" s="42" t="str">
        <f t="shared" si="43"/>
        <v/>
      </c>
      <c r="AL100" s="14" t="str">
        <f t="shared" si="44"/>
        <v/>
      </c>
      <c r="AM100" s="14" t="str">
        <f t="shared" si="45"/>
        <v/>
      </c>
      <c r="AN100" s="14" t="str">
        <f t="shared" si="46"/>
        <v/>
      </c>
      <c r="AO100" s="14" t="str">
        <f>IF(OR($C100="01-09",$D100="Male"),"",INDEX(PMTCT!$AD:$AD,MATCH($E100,PMTCT!$E:$E,0)))</f>
        <v/>
      </c>
      <c r="AP100" s="14" t="str">
        <f>IF(OR($C100="01-09",$D100="Male"),"",INDEX(PMTCT!$AT:$AT,MATCH($E100,PMTCT!$E:$E,0)))</f>
        <v/>
      </c>
      <c r="AQ100" s="14" t="str">
        <f>INDEX(TB!$Q:$Q,MATCH($E100,TB!$E:$E,0))</f>
        <v/>
      </c>
      <c r="AR100" s="14" t="str">
        <f>IF(OR($C100="01-09",$C100="10-14",$D100="Female"),"",INDEX(VMMC!$AB:$AB,MATCH($E100,VMMC!$E:$E,0)))</f>
        <v/>
      </c>
      <c r="AS100" s="14" t="str">
        <f>IF(OR($C100="01-09",$C100="10-14"),"",INDEX(PrEP!$Q:$Q,MATCH($E100,PrEP!$E:$E,0)))</f>
        <v/>
      </c>
      <c r="AT100" s="14" t="str">
        <f t="shared" si="47"/>
        <v/>
      </c>
      <c r="AU100" s="14" t="str">
        <f t="shared" si="48"/>
        <v/>
      </c>
      <c r="AV100" s="90" t="str">
        <f t="shared" si="49"/>
        <v/>
      </c>
      <c r="AW100" s="14"/>
      <c r="AX100" s="90" t="str">
        <f t="shared" si="50"/>
        <v/>
      </c>
      <c r="AY100" s="42" t="str">
        <f t="shared" si="51"/>
        <v/>
      </c>
      <c r="AZ100" s="90" t="str">
        <f t="shared" si="52"/>
        <v/>
      </c>
      <c r="BA100" s="42" t="str">
        <f t="shared" si="53"/>
        <v/>
      </c>
    </row>
    <row r="101" spans="1:53" x14ac:dyDescent="0.2">
      <c r="A101" t="str">
        <f>INDEX(Prioritization!$D:$D,MATCH($B101,Prioritization!$A:$A,0))</f>
        <v>INVALID</v>
      </c>
      <c r="B101" t="s">
        <v>200</v>
      </c>
      <c r="C101" t="s">
        <v>363</v>
      </c>
      <c r="D101" t="s">
        <v>29</v>
      </c>
      <c r="E101" t="str">
        <f t="shared" si="27"/>
        <v>Ntcheu District [am530wpaGvr]|10-14|Female</v>
      </c>
      <c r="F101" s="90">
        <f>IF(LEFT($B101,4)="_Mil","",INDEX(Cascade!$AA:$AA,MATCH($E101,Cascade!$E:$E,0)))</f>
        <v>1730</v>
      </c>
      <c r="G101" s="14">
        <f>INDEX(Cascade!$BH:$BH,MATCH($E101,Cascade!$E:$E,0))</f>
        <v>-84</v>
      </c>
      <c r="H101" s="14" t="str">
        <f>IF(OR($C101="01-09",$D101="Male"),"",INDEX(PMTCT!$AC:$AC,MATCH($E101,PMTCT!$E:$E,0)))</f>
        <v>ENTER YIELD RATE</v>
      </c>
      <c r="I101" s="14" t="str">
        <f>IF(OR($C101="01-09",$D101="Male"),"",INDEX(PMTCT!$AS:$AS,MATCH($E101,PMTCT!$E:$E,0)))</f>
        <v>ENTER YIELD RATE</v>
      </c>
      <c r="J101" s="14" t="str">
        <f>INDEX(TB!$P:$P,MATCH($E101,TB!$E:$E,0))</f>
        <v>ENTER YIELD RATE</v>
      </c>
      <c r="K101" s="14" t="str">
        <f>IF(OR($C101="01-09",$C101="10-14",$D101="Female"),"",INDEX(VMMC!$AA:$AA,MATCH($E101,VMMC!$E:$E,0)))</f>
        <v/>
      </c>
      <c r="L101" s="14">
        <f t="shared" si="28"/>
        <v>-84</v>
      </c>
      <c r="M101" s="90">
        <f t="shared" si="29"/>
        <v>0</v>
      </c>
      <c r="N101" s="90">
        <f t="shared" si="30"/>
        <v>0</v>
      </c>
      <c r="O101" s="90">
        <f t="shared" si="31"/>
        <v>0</v>
      </c>
      <c r="P101" s="90" t="str">
        <f t="shared" si="32"/>
        <v/>
      </c>
      <c r="Q101" s="90">
        <v>0.41655903588980397</v>
      </c>
      <c r="R101" s="90"/>
      <c r="S101" s="90"/>
      <c r="T101" s="90"/>
      <c r="U101" s="90">
        <v>0.79674935224466004</v>
      </c>
      <c r="V101" s="90">
        <f t="shared" si="33"/>
        <v>1.213308388134464</v>
      </c>
      <c r="W101" s="90"/>
      <c r="X101" s="42">
        <f t="shared" si="34"/>
        <v>-35</v>
      </c>
      <c r="Y101" s="42" t="str">
        <f t="shared" si="35"/>
        <v>ENTER YIELD</v>
      </c>
      <c r="Z101" s="90"/>
      <c r="AA101" s="42" t="str">
        <f t="shared" si="36"/>
        <v/>
      </c>
      <c r="AB101" s="42" t="str">
        <f t="shared" si="37"/>
        <v/>
      </c>
      <c r="AC101" s="90"/>
      <c r="AD101" s="42" t="str">
        <f t="shared" si="38"/>
        <v/>
      </c>
      <c r="AE101" s="42" t="str">
        <f t="shared" si="39"/>
        <v/>
      </c>
      <c r="AF101" s="90"/>
      <c r="AG101" s="42" t="str">
        <f t="shared" si="40"/>
        <v/>
      </c>
      <c r="AH101" s="42" t="str">
        <f t="shared" si="41"/>
        <v/>
      </c>
      <c r="AI101" s="90"/>
      <c r="AJ101" s="42">
        <f t="shared" si="42"/>
        <v>-67</v>
      </c>
      <c r="AK101" s="42" t="str">
        <f t="shared" si="43"/>
        <v>ENTER YIELD</v>
      </c>
      <c r="AL101" s="14">
        <f t="shared" si="44"/>
        <v>-84</v>
      </c>
      <c r="AM101" s="14">
        <f t="shared" si="45"/>
        <v>-102</v>
      </c>
      <c r="AN101" s="14">
        <f t="shared" si="46"/>
        <v>-18</v>
      </c>
      <c r="AO101" s="14">
        <f>IF(OR($C101="01-09",$D101="Male"),"",INDEX(PMTCT!$AD:$AD,MATCH($E101,PMTCT!$E:$E,0)))</f>
        <v>7</v>
      </c>
      <c r="AP101" s="14">
        <f>IF(OR($C101="01-09",$D101="Male"),"",INDEX(PMTCT!$AT:$AT,MATCH($E101,PMTCT!$E:$E,0)))</f>
        <v>7</v>
      </c>
      <c r="AQ101" s="14">
        <f>INDEX(TB!$Q:$Q,MATCH($E101,TB!$E:$E,0))</f>
        <v>1</v>
      </c>
      <c r="AR101" s="14" t="str">
        <f>IF(OR($C101="01-09",$C101="10-14",$D101="Female"),"",INDEX(VMMC!$AB:$AB,MATCH($E101,VMMC!$E:$E,0)))</f>
        <v/>
      </c>
      <c r="AS101" s="14" t="str">
        <f>IF(OR($C101="01-09",$C101="10-14"),"",INDEX(PrEP!$Q:$Q,MATCH($E101,PrEP!$E:$E,0)))</f>
        <v/>
      </c>
      <c r="AT101" s="14">
        <f t="shared" si="47"/>
        <v>15</v>
      </c>
      <c r="AU101" s="14">
        <f t="shared" si="48"/>
        <v>-87</v>
      </c>
      <c r="AV101" s="90">
        <f t="shared" si="49"/>
        <v>1.1724137931034482</v>
      </c>
      <c r="AW101" s="14"/>
      <c r="AX101" s="90" t="str">
        <f t="shared" si="50"/>
        <v/>
      </c>
      <c r="AY101" s="42" t="str">
        <f t="shared" si="51"/>
        <v/>
      </c>
      <c r="AZ101" s="90" t="str">
        <f t="shared" si="52"/>
        <v/>
      </c>
      <c r="BA101" s="42" t="str">
        <f t="shared" si="53"/>
        <v/>
      </c>
    </row>
    <row r="102" spans="1:53" x14ac:dyDescent="0.2">
      <c r="A102" t="str">
        <f>INDEX(Prioritization!$D:$D,MATCH($B102,Prioritization!$A:$A,0))</f>
        <v>INVALID</v>
      </c>
      <c r="B102" t="s">
        <v>200</v>
      </c>
      <c r="C102" t="s">
        <v>363</v>
      </c>
      <c r="D102" t="s">
        <v>47</v>
      </c>
      <c r="E102" t="str">
        <f t="shared" si="27"/>
        <v>Ntcheu District [am530wpaGvr]|10-14|Male</v>
      </c>
      <c r="F102" s="90">
        <f>IF(LEFT($B102,4)="_Mil","",INDEX(Cascade!$AA:$AA,MATCH($E102,Cascade!$E:$E,0)))</f>
        <v>1385</v>
      </c>
      <c r="G102" s="14">
        <f>INDEX(Cascade!$BH:$BH,MATCH($E102,Cascade!$E:$E,0))</f>
        <v>-44</v>
      </c>
      <c r="H102" s="14" t="str">
        <f>IF(OR($C102="01-09",$D102="Male"),"",INDEX(PMTCT!$AC:$AC,MATCH($E102,PMTCT!$E:$E,0)))</f>
        <v/>
      </c>
      <c r="I102" s="14" t="str">
        <f>IF(OR($C102="01-09",$D102="Male"),"",INDEX(PMTCT!$AS:$AS,MATCH($E102,PMTCT!$E:$E,0)))</f>
        <v/>
      </c>
      <c r="J102" s="14" t="str">
        <f>INDEX(TB!$P:$P,MATCH($E102,TB!$E:$E,0))</f>
        <v>ENTER YIELD RATE</v>
      </c>
      <c r="K102" s="14" t="str">
        <f>IF(OR($C102="01-09",$C102="10-14",$D102="Female"),"",INDEX(VMMC!$AA:$AA,MATCH($E102,VMMC!$E:$E,0)))</f>
        <v/>
      </c>
      <c r="L102" s="14">
        <f t="shared" si="28"/>
        <v>-44</v>
      </c>
      <c r="M102" s="90" t="str">
        <f t="shared" si="29"/>
        <v/>
      </c>
      <c r="N102" s="90" t="str">
        <f t="shared" si="30"/>
        <v/>
      </c>
      <c r="O102" s="90">
        <f t="shared" si="31"/>
        <v>0</v>
      </c>
      <c r="P102" s="90" t="str">
        <f t="shared" si="32"/>
        <v/>
      </c>
      <c r="Q102" s="90">
        <v>0.60378521610982705</v>
      </c>
      <c r="R102" s="90"/>
      <c r="S102" s="90"/>
      <c r="T102" s="90"/>
      <c r="U102" s="90">
        <v>0.36923637287691202</v>
      </c>
      <c r="V102" s="90">
        <f t="shared" si="33"/>
        <v>0.97302158898673907</v>
      </c>
      <c r="W102" s="90"/>
      <c r="X102" s="42">
        <f t="shared" si="34"/>
        <v>-27</v>
      </c>
      <c r="Y102" s="42" t="str">
        <f t="shared" si="35"/>
        <v>ENTER YIELD</v>
      </c>
      <c r="Z102" s="90"/>
      <c r="AA102" s="42" t="str">
        <f t="shared" si="36"/>
        <v/>
      </c>
      <c r="AB102" s="42" t="str">
        <f t="shared" si="37"/>
        <v/>
      </c>
      <c r="AC102" s="90"/>
      <c r="AD102" s="42" t="str">
        <f t="shared" si="38"/>
        <v/>
      </c>
      <c r="AE102" s="42" t="str">
        <f t="shared" si="39"/>
        <v/>
      </c>
      <c r="AF102" s="90"/>
      <c r="AG102" s="42" t="str">
        <f t="shared" si="40"/>
        <v/>
      </c>
      <c r="AH102" s="42" t="str">
        <f t="shared" si="41"/>
        <v/>
      </c>
      <c r="AI102" s="90"/>
      <c r="AJ102" s="42">
        <f t="shared" si="42"/>
        <v>-16</v>
      </c>
      <c r="AK102" s="42" t="str">
        <f t="shared" si="43"/>
        <v>ENTER YIELD</v>
      </c>
      <c r="AL102" s="14">
        <f t="shared" si="44"/>
        <v>-44</v>
      </c>
      <c r="AM102" s="14">
        <f t="shared" si="45"/>
        <v>-43</v>
      </c>
      <c r="AN102" s="14">
        <f t="shared" si="46"/>
        <v>1</v>
      </c>
      <c r="AO102" s="14" t="str">
        <f>IF(OR($C102="01-09",$D102="Male"),"",INDEX(PMTCT!$AD:$AD,MATCH($E102,PMTCT!$E:$E,0)))</f>
        <v/>
      </c>
      <c r="AP102" s="14" t="str">
        <f>IF(OR($C102="01-09",$D102="Male"),"",INDEX(PMTCT!$AT:$AT,MATCH($E102,PMTCT!$E:$E,0)))</f>
        <v/>
      </c>
      <c r="AQ102" s="14">
        <f>INDEX(TB!$Q:$Q,MATCH($E102,TB!$E:$E,0))</f>
        <v>1</v>
      </c>
      <c r="AR102" s="14" t="str">
        <f>IF(OR($C102="01-09",$C102="10-14",$D102="Female"),"",INDEX(VMMC!$AB:$AB,MATCH($E102,VMMC!$E:$E,0)))</f>
        <v/>
      </c>
      <c r="AS102" s="14" t="str">
        <f>IF(OR($C102="01-09",$C102="10-14"),"",INDEX(PrEP!$Q:$Q,MATCH($E102,PrEP!$E:$E,0)))</f>
        <v/>
      </c>
      <c r="AT102" s="14">
        <f t="shared" si="47"/>
        <v>1</v>
      </c>
      <c r="AU102" s="14">
        <f t="shared" si="48"/>
        <v>-42</v>
      </c>
      <c r="AV102" s="90">
        <f t="shared" si="49"/>
        <v>1.0238095238095237</v>
      </c>
      <c r="AW102" s="14"/>
      <c r="AX102" s="90" t="str">
        <f t="shared" si="50"/>
        <v/>
      </c>
      <c r="AY102" s="42" t="str">
        <f t="shared" si="51"/>
        <v/>
      </c>
      <c r="AZ102" s="90" t="str">
        <f t="shared" si="52"/>
        <v/>
      </c>
      <c r="BA102" s="42" t="str">
        <f t="shared" si="53"/>
        <v/>
      </c>
    </row>
    <row r="103" spans="1:53" x14ac:dyDescent="0.2">
      <c r="A103" t="str">
        <f>INDEX(Prioritization!$D:$D,MATCH($B103,Prioritization!$A:$A,0))</f>
        <v>INVALID</v>
      </c>
      <c r="B103" t="s">
        <v>200</v>
      </c>
      <c r="C103" t="s">
        <v>364</v>
      </c>
      <c r="D103" t="s">
        <v>29</v>
      </c>
      <c r="E103" t="str">
        <f t="shared" si="27"/>
        <v>Ntcheu District [am530wpaGvr]|15-24|Female</v>
      </c>
      <c r="F103" s="90">
        <f>IF(LEFT($B103,4)="_Mil","",INDEX(Cascade!$AA:$AA,MATCH($E103,Cascade!$E:$E,0)))</f>
        <v>1897</v>
      </c>
      <c r="G103" s="14">
        <f>INDEX(Cascade!$BH:$BH,MATCH($E103,Cascade!$E:$E,0))</f>
        <v>0</v>
      </c>
      <c r="H103" s="14" t="str">
        <f>IF(OR($C103="01-09",$D103="Male"),"",INDEX(PMTCT!$AC:$AC,MATCH($E103,PMTCT!$E:$E,0)))</f>
        <v/>
      </c>
      <c r="I103" s="14" t="str">
        <f>IF(OR($C103="01-09",$D103="Male"),"",INDEX(PMTCT!$AS:$AS,MATCH($E103,PMTCT!$E:$E,0)))</f>
        <v/>
      </c>
      <c r="J103" s="14" t="str">
        <f>INDEX(TB!$P:$P,MATCH($E103,TB!$E:$E,0))</f>
        <v/>
      </c>
      <c r="K103" s="14" t="str">
        <f>IF(OR($C103="01-09",$C103="10-14",$D103="Female"),"",INDEX(VMMC!$AA:$AA,MATCH($E103,VMMC!$E:$E,0)))</f>
        <v/>
      </c>
      <c r="L103" s="14">
        <f t="shared" si="28"/>
        <v>0</v>
      </c>
      <c r="M103" s="90" t="str">
        <f t="shared" si="29"/>
        <v/>
      </c>
      <c r="N103" s="90" t="str">
        <f t="shared" si="30"/>
        <v/>
      </c>
      <c r="O103" s="90" t="str">
        <f t="shared" si="31"/>
        <v/>
      </c>
      <c r="P103" s="90" t="str">
        <f t="shared" si="32"/>
        <v/>
      </c>
      <c r="Q103" s="90"/>
      <c r="R103" s="90"/>
      <c r="S103" s="90"/>
      <c r="T103" s="90"/>
      <c r="U103" s="90"/>
      <c r="V103" s="90" t="str">
        <f t="shared" si="33"/>
        <v/>
      </c>
      <c r="W103" s="90"/>
      <c r="X103" s="42" t="str">
        <f t="shared" si="34"/>
        <v/>
      </c>
      <c r="Y103" s="42" t="str">
        <f t="shared" si="35"/>
        <v/>
      </c>
      <c r="Z103" s="90"/>
      <c r="AA103" s="42" t="str">
        <f t="shared" si="36"/>
        <v/>
      </c>
      <c r="AB103" s="42" t="str">
        <f t="shared" si="37"/>
        <v/>
      </c>
      <c r="AC103" s="90"/>
      <c r="AD103" s="42" t="str">
        <f t="shared" si="38"/>
        <v/>
      </c>
      <c r="AE103" s="42" t="str">
        <f t="shared" si="39"/>
        <v/>
      </c>
      <c r="AF103" s="90"/>
      <c r="AG103" s="42" t="str">
        <f t="shared" si="40"/>
        <v/>
      </c>
      <c r="AH103" s="42" t="str">
        <f t="shared" si="41"/>
        <v/>
      </c>
      <c r="AI103" s="90"/>
      <c r="AJ103" s="42" t="str">
        <f t="shared" si="42"/>
        <v/>
      </c>
      <c r="AK103" s="42" t="str">
        <f t="shared" si="43"/>
        <v/>
      </c>
      <c r="AL103" s="14" t="str">
        <f t="shared" si="44"/>
        <v/>
      </c>
      <c r="AM103" s="14" t="str">
        <f t="shared" si="45"/>
        <v/>
      </c>
      <c r="AN103" s="14" t="str">
        <f t="shared" si="46"/>
        <v/>
      </c>
      <c r="AO103" s="14" t="str">
        <f>IF(OR($C103="01-09",$D103="Male"),"",INDEX(PMTCT!$AD:$AD,MATCH($E103,PMTCT!$E:$E,0)))</f>
        <v/>
      </c>
      <c r="AP103" s="14" t="str">
        <f>IF(OR($C103="01-09",$D103="Male"),"",INDEX(PMTCT!$AT:$AT,MATCH($E103,PMTCT!$E:$E,0)))</f>
        <v/>
      </c>
      <c r="AQ103" s="14" t="str">
        <f>INDEX(TB!$Q:$Q,MATCH($E103,TB!$E:$E,0))</f>
        <v/>
      </c>
      <c r="AR103" s="14" t="str">
        <f>IF(OR($C103="01-09",$C103="10-14",$D103="Female"),"",INDEX(VMMC!$AB:$AB,MATCH($E103,VMMC!$E:$E,0)))</f>
        <v/>
      </c>
      <c r="AS103" s="14" t="str">
        <f>IF(OR($C103="01-09",$C103="10-14"),"",INDEX(PrEP!$Q:$Q,MATCH($E103,PrEP!$E:$E,0)))</f>
        <v/>
      </c>
      <c r="AT103" s="14" t="str">
        <f t="shared" si="47"/>
        <v/>
      </c>
      <c r="AU103" s="14" t="str">
        <f t="shared" si="48"/>
        <v/>
      </c>
      <c r="AV103" s="90" t="str">
        <f t="shared" si="49"/>
        <v/>
      </c>
      <c r="AW103" s="14"/>
      <c r="AX103" s="90" t="str">
        <f t="shared" si="50"/>
        <v/>
      </c>
      <c r="AY103" s="42" t="str">
        <f t="shared" si="51"/>
        <v/>
      </c>
      <c r="AZ103" s="90">
        <f t="shared" si="52"/>
        <v>1</v>
      </c>
      <c r="BA103" s="42" t="str">
        <f t="shared" si="53"/>
        <v/>
      </c>
    </row>
    <row r="104" spans="1:53" x14ac:dyDescent="0.2">
      <c r="A104" t="str">
        <f>INDEX(Prioritization!$D:$D,MATCH($B104,Prioritization!$A:$A,0))</f>
        <v>INVALID</v>
      </c>
      <c r="B104" t="s">
        <v>200</v>
      </c>
      <c r="C104" t="s">
        <v>364</v>
      </c>
      <c r="D104" t="s">
        <v>47</v>
      </c>
      <c r="E104" t="str">
        <f t="shared" si="27"/>
        <v>Ntcheu District [am530wpaGvr]|15-24|Male</v>
      </c>
      <c r="F104" s="90">
        <f>IF(LEFT($B104,4)="_Mil","",INDEX(Cascade!$AA:$AA,MATCH($E104,Cascade!$E:$E,0)))</f>
        <v>1256</v>
      </c>
      <c r="G104" s="14">
        <f>INDEX(Cascade!$BH:$BH,MATCH($E104,Cascade!$E:$E,0))</f>
        <v>0</v>
      </c>
      <c r="H104" s="14" t="str">
        <f>IF(OR($C104="01-09",$D104="Male"),"",INDEX(PMTCT!$AC:$AC,MATCH($E104,PMTCT!$E:$E,0)))</f>
        <v/>
      </c>
      <c r="I104" s="14" t="str">
        <f>IF(OR($C104="01-09",$D104="Male"),"",INDEX(PMTCT!$AS:$AS,MATCH($E104,PMTCT!$E:$E,0)))</f>
        <v/>
      </c>
      <c r="J104" s="14" t="str">
        <f>INDEX(TB!$P:$P,MATCH($E104,TB!$E:$E,0))</f>
        <v/>
      </c>
      <c r="K104" s="14" t="str">
        <f>IF(OR($C104="01-09",$C104="10-14",$D104="Female"),"",INDEX(VMMC!$AA:$AA,MATCH($E104,VMMC!$E:$E,0)))</f>
        <v/>
      </c>
      <c r="L104" s="14">
        <f t="shared" si="28"/>
        <v>0</v>
      </c>
      <c r="M104" s="90" t="str">
        <f t="shared" si="29"/>
        <v/>
      </c>
      <c r="N104" s="90" t="str">
        <f t="shared" si="30"/>
        <v/>
      </c>
      <c r="O104" s="90" t="str">
        <f t="shared" si="31"/>
        <v/>
      </c>
      <c r="P104" s="90" t="str">
        <f t="shared" si="32"/>
        <v/>
      </c>
      <c r="Q104" s="90"/>
      <c r="R104" s="90"/>
      <c r="S104" s="90"/>
      <c r="T104" s="90"/>
      <c r="U104" s="90"/>
      <c r="V104" s="90" t="str">
        <f t="shared" si="33"/>
        <v/>
      </c>
      <c r="W104" s="90"/>
      <c r="X104" s="42" t="str">
        <f t="shared" si="34"/>
        <v/>
      </c>
      <c r="Y104" s="42" t="str">
        <f t="shared" si="35"/>
        <v/>
      </c>
      <c r="Z104" s="90"/>
      <c r="AA104" s="42" t="str">
        <f t="shared" si="36"/>
        <v/>
      </c>
      <c r="AB104" s="42" t="str">
        <f t="shared" si="37"/>
        <v/>
      </c>
      <c r="AC104" s="90"/>
      <c r="AD104" s="42" t="str">
        <f t="shared" si="38"/>
        <v/>
      </c>
      <c r="AE104" s="42" t="str">
        <f t="shared" si="39"/>
        <v/>
      </c>
      <c r="AF104" s="90"/>
      <c r="AG104" s="42" t="str">
        <f t="shared" si="40"/>
        <v/>
      </c>
      <c r="AH104" s="42" t="str">
        <f t="shared" si="41"/>
        <v/>
      </c>
      <c r="AI104" s="90"/>
      <c r="AJ104" s="42" t="str">
        <f t="shared" si="42"/>
        <v/>
      </c>
      <c r="AK104" s="42" t="str">
        <f t="shared" si="43"/>
        <v/>
      </c>
      <c r="AL104" s="14" t="str">
        <f t="shared" si="44"/>
        <v/>
      </c>
      <c r="AM104" s="14" t="str">
        <f t="shared" si="45"/>
        <v/>
      </c>
      <c r="AN104" s="14" t="str">
        <f t="shared" si="46"/>
        <v/>
      </c>
      <c r="AO104" s="14" t="str">
        <f>IF(OR($C104="01-09",$D104="Male"),"",INDEX(PMTCT!$AD:$AD,MATCH($E104,PMTCT!$E:$E,0)))</f>
        <v/>
      </c>
      <c r="AP104" s="14" t="str">
        <f>IF(OR($C104="01-09",$D104="Male"),"",INDEX(PMTCT!$AT:$AT,MATCH($E104,PMTCT!$E:$E,0)))</f>
        <v/>
      </c>
      <c r="AQ104" s="14" t="str">
        <f>INDEX(TB!$Q:$Q,MATCH($E104,TB!$E:$E,0))</f>
        <v/>
      </c>
      <c r="AR104" s="14" t="str">
        <f>IF(OR($C104="01-09",$C104="10-14",$D104="Female"),"",INDEX(VMMC!$AB:$AB,MATCH($E104,VMMC!$E:$E,0)))</f>
        <v/>
      </c>
      <c r="AS104" s="14" t="str">
        <f>IF(OR($C104="01-09",$C104="10-14"),"",INDEX(PrEP!$Q:$Q,MATCH($E104,PrEP!$E:$E,0)))</f>
        <v/>
      </c>
      <c r="AT104" s="14" t="str">
        <f t="shared" si="47"/>
        <v/>
      </c>
      <c r="AU104" s="14" t="str">
        <f t="shared" si="48"/>
        <v/>
      </c>
      <c r="AV104" s="90" t="str">
        <f t="shared" si="49"/>
        <v/>
      </c>
      <c r="AW104" s="14"/>
      <c r="AX104" s="90" t="str">
        <f t="shared" si="50"/>
        <v/>
      </c>
      <c r="AY104" s="42" t="str">
        <f t="shared" si="51"/>
        <v/>
      </c>
      <c r="AZ104" s="90">
        <f t="shared" si="52"/>
        <v>1</v>
      </c>
      <c r="BA104" s="42" t="str">
        <f t="shared" si="53"/>
        <v/>
      </c>
    </row>
    <row r="105" spans="1:53" x14ac:dyDescent="0.2">
      <c r="A105" t="str">
        <f>INDEX(Prioritization!$D:$D,MATCH($B105,Prioritization!$A:$A,0))</f>
        <v>INVALID</v>
      </c>
      <c r="B105" t="s">
        <v>200</v>
      </c>
      <c r="C105" t="s">
        <v>365</v>
      </c>
      <c r="D105" t="s">
        <v>29</v>
      </c>
      <c r="E105" t="str">
        <f t="shared" si="27"/>
        <v>Ntcheu District [am530wpaGvr]|25-34|Female</v>
      </c>
      <c r="F105" s="90">
        <f>IF(LEFT($B105,4)="_Mil","",INDEX(Cascade!$AA:$AA,MATCH($E105,Cascade!$E:$E,0)))</f>
        <v>1115</v>
      </c>
      <c r="G105" s="14">
        <f>INDEX(Cascade!$BH:$BH,MATCH($E105,Cascade!$E:$E,0))</f>
        <v>0</v>
      </c>
      <c r="H105" s="14" t="str">
        <f>IF(OR($C105="01-09",$D105="Male"),"",INDEX(PMTCT!$AC:$AC,MATCH($E105,PMTCT!$E:$E,0)))</f>
        <v/>
      </c>
      <c r="I105" s="14" t="str">
        <f>IF(OR($C105="01-09",$D105="Male"),"",INDEX(PMTCT!$AS:$AS,MATCH($E105,PMTCT!$E:$E,0)))</f>
        <v/>
      </c>
      <c r="J105" s="14" t="str">
        <f>INDEX(TB!$P:$P,MATCH($E105,TB!$E:$E,0))</f>
        <v/>
      </c>
      <c r="K105" s="14" t="str">
        <f>IF(OR($C105="01-09",$C105="10-14",$D105="Female"),"",INDEX(VMMC!$AA:$AA,MATCH($E105,VMMC!$E:$E,0)))</f>
        <v/>
      </c>
      <c r="L105" s="14">
        <f t="shared" si="28"/>
        <v>0</v>
      </c>
      <c r="M105" s="90" t="str">
        <f t="shared" si="29"/>
        <v/>
      </c>
      <c r="N105" s="90" t="str">
        <f t="shared" si="30"/>
        <v/>
      </c>
      <c r="O105" s="90" t="str">
        <f t="shared" si="31"/>
        <v/>
      </c>
      <c r="P105" s="90" t="str">
        <f t="shared" si="32"/>
        <v/>
      </c>
      <c r="Q105" s="90"/>
      <c r="R105" s="90"/>
      <c r="S105" s="90"/>
      <c r="T105" s="90"/>
      <c r="U105" s="90"/>
      <c r="V105" s="90" t="str">
        <f t="shared" si="33"/>
        <v/>
      </c>
      <c r="W105" s="90"/>
      <c r="X105" s="42" t="str">
        <f t="shared" si="34"/>
        <v/>
      </c>
      <c r="Y105" s="42" t="str">
        <f t="shared" si="35"/>
        <v/>
      </c>
      <c r="Z105" s="90"/>
      <c r="AA105" s="42" t="str">
        <f t="shared" si="36"/>
        <v/>
      </c>
      <c r="AB105" s="42" t="str">
        <f t="shared" si="37"/>
        <v/>
      </c>
      <c r="AC105" s="90"/>
      <c r="AD105" s="42" t="str">
        <f t="shared" si="38"/>
        <v/>
      </c>
      <c r="AE105" s="42" t="str">
        <f t="shared" si="39"/>
        <v/>
      </c>
      <c r="AF105" s="90"/>
      <c r="AG105" s="42" t="str">
        <f t="shared" si="40"/>
        <v/>
      </c>
      <c r="AH105" s="42" t="str">
        <f t="shared" si="41"/>
        <v/>
      </c>
      <c r="AI105" s="90"/>
      <c r="AJ105" s="42" t="str">
        <f t="shared" si="42"/>
        <v/>
      </c>
      <c r="AK105" s="42" t="str">
        <f t="shared" si="43"/>
        <v/>
      </c>
      <c r="AL105" s="14" t="str">
        <f t="shared" si="44"/>
        <v/>
      </c>
      <c r="AM105" s="14" t="str">
        <f t="shared" si="45"/>
        <v/>
      </c>
      <c r="AN105" s="14" t="str">
        <f t="shared" si="46"/>
        <v/>
      </c>
      <c r="AO105" s="14" t="str">
        <f>IF(OR($C105="01-09",$D105="Male"),"",INDEX(PMTCT!$AD:$AD,MATCH($E105,PMTCT!$E:$E,0)))</f>
        <v/>
      </c>
      <c r="AP105" s="14" t="str">
        <f>IF(OR($C105="01-09",$D105="Male"),"",INDEX(PMTCT!$AT:$AT,MATCH($E105,PMTCT!$E:$E,0)))</f>
        <v/>
      </c>
      <c r="AQ105" s="14" t="str">
        <f>INDEX(TB!$Q:$Q,MATCH($E105,TB!$E:$E,0))</f>
        <v/>
      </c>
      <c r="AR105" s="14" t="str">
        <f>IF(OR($C105="01-09",$C105="10-14",$D105="Female"),"",INDEX(VMMC!$AB:$AB,MATCH($E105,VMMC!$E:$E,0)))</f>
        <v/>
      </c>
      <c r="AS105" s="14" t="str">
        <f>IF(OR($C105="01-09",$C105="10-14"),"",INDEX(PrEP!$Q:$Q,MATCH($E105,PrEP!$E:$E,0)))</f>
        <v/>
      </c>
      <c r="AT105" s="14" t="str">
        <f t="shared" si="47"/>
        <v/>
      </c>
      <c r="AU105" s="14" t="str">
        <f t="shared" si="48"/>
        <v/>
      </c>
      <c r="AV105" s="90" t="str">
        <f t="shared" si="49"/>
        <v/>
      </c>
      <c r="AW105" s="14"/>
      <c r="AX105" s="90" t="str">
        <f t="shared" si="50"/>
        <v/>
      </c>
      <c r="AY105" s="42" t="str">
        <f t="shared" si="51"/>
        <v/>
      </c>
      <c r="AZ105" s="90">
        <f t="shared" si="52"/>
        <v>1</v>
      </c>
      <c r="BA105" s="42" t="str">
        <f t="shared" si="53"/>
        <v/>
      </c>
    </row>
    <row r="106" spans="1:53" x14ac:dyDescent="0.2">
      <c r="A106" t="str">
        <f>INDEX(Prioritization!$D:$D,MATCH($B106,Prioritization!$A:$A,0))</f>
        <v>INVALID</v>
      </c>
      <c r="B106" t="s">
        <v>200</v>
      </c>
      <c r="C106" t="s">
        <v>365</v>
      </c>
      <c r="D106" t="s">
        <v>47</v>
      </c>
      <c r="E106" t="str">
        <f t="shared" si="27"/>
        <v>Ntcheu District [am530wpaGvr]|25-34|Male</v>
      </c>
      <c r="F106" s="90">
        <f>IF(LEFT($B106,4)="_Mil","",INDEX(Cascade!$AA:$AA,MATCH($E106,Cascade!$E:$E,0)))</f>
        <v>506.00000000000006</v>
      </c>
      <c r="G106" s="14">
        <f>INDEX(Cascade!$BH:$BH,MATCH($E106,Cascade!$E:$E,0))</f>
        <v>0</v>
      </c>
      <c r="H106" s="14" t="str">
        <f>IF(OR($C106="01-09",$D106="Male"),"",INDEX(PMTCT!$AC:$AC,MATCH($E106,PMTCT!$E:$E,0)))</f>
        <v/>
      </c>
      <c r="I106" s="14" t="str">
        <f>IF(OR($C106="01-09",$D106="Male"),"",INDEX(PMTCT!$AS:$AS,MATCH($E106,PMTCT!$E:$E,0)))</f>
        <v/>
      </c>
      <c r="J106" s="14" t="str">
        <f>INDEX(TB!$P:$P,MATCH($E106,TB!$E:$E,0))</f>
        <v/>
      </c>
      <c r="K106" s="14" t="str">
        <f>IF(OR($C106="01-09",$C106="10-14",$D106="Female"),"",INDEX(VMMC!$AA:$AA,MATCH($E106,VMMC!$E:$E,0)))</f>
        <v/>
      </c>
      <c r="L106" s="14">
        <f t="shared" si="28"/>
        <v>0</v>
      </c>
      <c r="M106" s="90" t="str">
        <f t="shared" si="29"/>
        <v/>
      </c>
      <c r="N106" s="90" t="str">
        <f t="shared" si="30"/>
        <v/>
      </c>
      <c r="O106" s="90" t="str">
        <f t="shared" si="31"/>
        <v/>
      </c>
      <c r="P106" s="90" t="str">
        <f t="shared" si="32"/>
        <v/>
      </c>
      <c r="Q106" s="90"/>
      <c r="R106" s="90"/>
      <c r="S106" s="90"/>
      <c r="T106" s="90"/>
      <c r="U106" s="90"/>
      <c r="V106" s="90" t="str">
        <f t="shared" si="33"/>
        <v/>
      </c>
      <c r="W106" s="90"/>
      <c r="X106" s="42" t="str">
        <f t="shared" si="34"/>
        <v/>
      </c>
      <c r="Y106" s="42" t="str">
        <f t="shared" si="35"/>
        <v/>
      </c>
      <c r="Z106" s="90"/>
      <c r="AA106" s="42" t="str">
        <f t="shared" si="36"/>
        <v/>
      </c>
      <c r="AB106" s="42" t="str">
        <f t="shared" si="37"/>
        <v/>
      </c>
      <c r="AC106" s="90"/>
      <c r="AD106" s="42" t="str">
        <f t="shared" si="38"/>
        <v/>
      </c>
      <c r="AE106" s="42" t="str">
        <f t="shared" si="39"/>
        <v/>
      </c>
      <c r="AF106" s="90"/>
      <c r="AG106" s="42" t="str">
        <f t="shared" si="40"/>
        <v/>
      </c>
      <c r="AH106" s="42" t="str">
        <f t="shared" si="41"/>
        <v/>
      </c>
      <c r="AI106" s="90"/>
      <c r="AJ106" s="42" t="str">
        <f t="shared" si="42"/>
        <v/>
      </c>
      <c r="AK106" s="42" t="str">
        <f t="shared" si="43"/>
        <v/>
      </c>
      <c r="AL106" s="14" t="str">
        <f t="shared" si="44"/>
        <v/>
      </c>
      <c r="AM106" s="14" t="str">
        <f t="shared" si="45"/>
        <v/>
      </c>
      <c r="AN106" s="14" t="str">
        <f t="shared" si="46"/>
        <v/>
      </c>
      <c r="AO106" s="14" t="str">
        <f>IF(OR($C106="01-09",$D106="Male"),"",INDEX(PMTCT!$AD:$AD,MATCH($E106,PMTCT!$E:$E,0)))</f>
        <v/>
      </c>
      <c r="AP106" s="14" t="str">
        <f>IF(OR($C106="01-09",$D106="Male"),"",INDEX(PMTCT!$AT:$AT,MATCH($E106,PMTCT!$E:$E,0)))</f>
        <v/>
      </c>
      <c r="AQ106" s="14" t="str">
        <f>INDEX(TB!$Q:$Q,MATCH($E106,TB!$E:$E,0))</f>
        <v/>
      </c>
      <c r="AR106" s="14" t="str">
        <f>IF(OR($C106="01-09",$C106="10-14",$D106="Female"),"",INDEX(VMMC!$AB:$AB,MATCH($E106,VMMC!$E:$E,0)))</f>
        <v/>
      </c>
      <c r="AS106" s="14" t="str">
        <f>IF(OR($C106="01-09",$C106="10-14"),"",INDEX(PrEP!$Q:$Q,MATCH($E106,PrEP!$E:$E,0)))</f>
        <v/>
      </c>
      <c r="AT106" s="14" t="str">
        <f t="shared" si="47"/>
        <v/>
      </c>
      <c r="AU106" s="14" t="str">
        <f t="shared" si="48"/>
        <v/>
      </c>
      <c r="AV106" s="90" t="str">
        <f t="shared" si="49"/>
        <v/>
      </c>
      <c r="AW106" s="14"/>
      <c r="AX106" s="90" t="str">
        <f t="shared" si="50"/>
        <v/>
      </c>
      <c r="AY106" s="42" t="str">
        <f t="shared" si="51"/>
        <v/>
      </c>
      <c r="AZ106" s="90">
        <f t="shared" si="52"/>
        <v>1</v>
      </c>
      <c r="BA106" s="42" t="str">
        <f t="shared" si="53"/>
        <v/>
      </c>
    </row>
    <row r="107" spans="1:53" x14ac:dyDescent="0.2">
      <c r="A107" t="str">
        <f>INDEX(Prioritization!$D:$D,MATCH($B107,Prioritization!$A:$A,0))</f>
        <v>INVALID</v>
      </c>
      <c r="B107" t="s">
        <v>200</v>
      </c>
      <c r="C107" t="s">
        <v>366</v>
      </c>
      <c r="D107" t="s">
        <v>29</v>
      </c>
      <c r="E107" t="str">
        <f t="shared" si="27"/>
        <v>Ntcheu District [am530wpaGvr]|35-49|Female</v>
      </c>
      <c r="F107" s="90">
        <f>IF(LEFT($B107,4)="_Mil","",INDEX(Cascade!$AA:$AA,MATCH($E107,Cascade!$E:$E,0)))</f>
        <v>1338</v>
      </c>
      <c r="G107" s="14">
        <f>INDEX(Cascade!$BH:$BH,MATCH($E107,Cascade!$E:$E,0))</f>
        <v>0</v>
      </c>
      <c r="H107" s="14" t="str">
        <f>IF(OR($C107="01-09",$D107="Male"),"",INDEX(PMTCT!$AC:$AC,MATCH($E107,PMTCT!$E:$E,0)))</f>
        <v/>
      </c>
      <c r="I107" s="14" t="str">
        <f>IF(OR($C107="01-09",$D107="Male"),"",INDEX(PMTCT!$AS:$AS,MATCH($E107,PMTCT!$E:$E,0)))</f>
        <v/>
      </c>
      <c r="J107" s="14" t="str">
        <f>INDEX(TB!$P:$P,MATCH($E107,TB!$E:$E,0))</f>
        <v/>
      </c>
      <c r="K107" s="14" t="str">
        <f>IF(OR($C107="01-09",$C107="10-14",$D107="Female"),"",INDEX(VMMC!$AA:$AA,MATCH($E107,VMMC!$E:$E,0)))</f>
        <v/>
      </c>
      <c r="L107" s="14">
        <f t="shared" si="28"/>
        <v>0</v>
      </c>
      <c r="M107" s="90" t="str">
        <f t="shared" si="29"/>
        <v/>
      </c>
      <c r="N107" s="90" t="str">
        <f t="shared" si="30"/>
        <v/>
      </c>
      <c r="O107" s="90" t="str">
        <f t="shared" si="31"/>
        <v/>
      </c>
      <c r="P107" s="90" t="str">
        <f t="shared" si="32"/>
        <v/>
      </c>
      <c r="Q107" s="90"/>
      <c r="R107" s="90"/>
      <c r="S107" s="90"/>
      <c r="T107" s="90"/>
      <c r="U107" s="90"/>
      <c r="V107" s="90" t="str">
        <f t="shared" si="33"/>
        <v/>
      </c>
      <c r="W107" s="90"/>
      <c r="X107" s="42" t="str">
        <f t="shared" si="34"/>
        <v/>
      </c>
      <c r="Y107" s="42" t="str">
        <f t="shared" si="35"/>
        <v/>
      </c>
      <c r="Z107" s="90"/>
      <c r="AA107" s="42" t="str">
        <f t="shared" si="36"/>
        <v/>
      </c>
      <c r="AB107" s="42" t="str">
        <f t="shared" si="37"/>
        <v/>
      </c>
      <c r="AC107" s="90"/>
      <c r="AD107" s="42" t="str">
        <f t="shared" si="38"/>
        <v/>
      </c>
      <c r="AE107" s="42" t="str">
        <f t="shared" si="39"/>
        <v/>
      </c>
      <c r="AF107" s="90"/>
      <c r="AG107" s="42" t="str">
        <f t="shared" si="40"/>
        <v/>
      </c>
      <c r="AH107" s="42" t="str">
        <f t="shared" si="41"/>
        <v/>
      </c>
      <c r="AI107" s="90"/>
      <c r="AJ107" s="42" t="str">
        <f t="shared" si="42"/>
        <v/>
      </c>
      <c r="AK107" s="42" t="str">
        <f t="shared" si="43"/>
        <v/>
      </c>
      <c r="AL107" s="14" t="str">
        <f t="shared" si="44"/>
        <v/>
      </c>
      <c r="AM107" s="14" t="str">
        <f t="shared" si="45"/>
        <v/>
      </c>
      <c r="AN107" s="14" t="str">
        <f t="shared" si="46"/>
        <v/>
      </c>
      <c r="AO107" s="14" t="str">
        <f>IF(OR($C107="01-09",$D107="Male"),"",INDEX(PMTCT!$AD:$AD,MATCH($E107,PMTCT!$E:$E,0)))</f>
        <v/>
      </c>
      <c r="AP107" s="14" t="str">
        <f>IF(OR($C107="01-09",$D107="Male"),"",INDEX(PMTCT!$AT:$AT,MATCH($E107,PMTCT!$E:$E,0)))</f>
        <v/>
      </c>
      <c r="AQ107" s="14" t="str">
        <f>INDEX(TB!$Q:$Q,MATCH($E107,TB!$E:$E,0))</f>
        <v/>
      </c>
      <c r="AR107" s="14" t="str">
        <f>IF(OR($C107="01-09",$C107="10-14",$D107="Female"),"",INDEX(VMMC!$AB:$AB,MATCH($E107,VMMC!$E:$E,0)))</f>
        <v/>
      </c>
      <c r="AS107" s="14" t="str">
        <f>IF(OR($C107="01-09",$C107="10-14"),"",INDEX(PrEP!$Q:$Q,MATCH($E107,PrEP!$E:$E,0)))</f>
        <v/>
      </c>
      <c r="AT107" s="14" t="str">
        <f t="shared" si="47"/>
        <v/>
      </c>
      <c r="AU107" s="14" t="str">
        <f t="shared" si="48"/>
        <v/>
      </c>
      <c r="AV107" s="90" t="str">
        <f t="shared" si="49"/>
        <v/>
      </c>
      <c r="AW107" s="14"/>
      <c r="AX107" s="90" t="str">
        <f t="shared" si="50"/>
        <v/>
      </c>
      <c r="AY107" s="42" t="str">
        <f t="shared" si="51"/>
        <v/>
      </c>
      <c r="AZ107" s="90">
        <f t="shared" si="52"/>
        <v>1</v>
      </c>
      <c r="BA107" s="42" t="str">
        <f t="shared" si="53"/>
        <v/>
      </c>
    </row>
    <row r="108" spans="1:53" x14ac:dyDescent="0.2">
      <c r="A108" t="str">
        <f>INDEX(Prioritization!$D:$D,MATCH($B108,Prioritization!$A:$A,0))</f>
        <v>INVALID</v>
      </c>
      <c r="B108" t="s">
        <v>200</v>
      </c>
      <c r="C108" t="s">
        <v>366</v>
      </c>
      <c r="D108" t="s">
        <v>47</v>
      </c>
      <c r="E108" t="str">
        <f t="shared" si="27"/>
        <v>Ntcheu District [am530wpaGvr]|35-49|Male</v>
      </c>
      <c r="F108" s="90">
        <f>IF(LEFT($B108,4)="_Mil","",INDEX(Cascade!$AA:$AA,MATCH($E108,Cascade!$E:$E,0)))</f>
        <v>697</v>
      </c>
      <c r="G108" s="14">
        <f>INDEX(Cascade!$BH:$BH,MATCH($E108,Cascade!$E:$E,0))</f>
        <v>0</v>
      </c>
      <c r="H108" s="14" t="str">
        <f>IF(OR($C108="01-09",$D108="Male"),"",INDEX(PMTCT!$AC:$AC,MATCH($E108,PMTCT!$E:$E,0)))</f>
        <v/>
      </c>
      <c r="I108" s="14" t="str">
        <f>IF(OR($C108="01-09",$D108="Male"),"",INDEX(PMTCT!$AS:$AS,MATCH($E108,PMTCT!$E:$E,0)))</f>
        <v/>
      </c>
      <c r="J108" s="14" t="str">
        <f>INDEX(TB!$P:$P,MATCH($E108,TB!$E:$E,0))</f>
        <v/>
      </c>
      <c r="K108" s="14" t="str">
        <f>IF(OR($C108="01-09",$C108="10-14",$D108="Female"),"",INDEX(VMMC!$AA:$AA,MATCH($E108,VMMC!$E:$E,0)))</f>
        <v/>
      </c>
      <c r="L108" s="14">
        <f t="shared" si="28"/>
        <v>0</v>
      </c>
      <c r="M108" s="90" t="str">
        <f t="shared" si="29"/>
        <v/>
      </c>
      <c r="N108" s="90" t="str">
        <f t="shared" si="30"/>
        <v/>
      </c>
      <c r="O108" s="90" t="str">
        <f t="shared" si="31"/>
        <v/>
      </c>
      <c r="P108" s="90" t="str">
        <f t="shared" si="32"/>
        <v/>
      </c>
      <c r="Q108" s="90"/>
      <c r="R108" s="90"/>
      <c r="S108" s="90"/>
      <c r="T108" s="90"/>
      <c r="U108" s="90"/>
      <c r="V108" s="90" t="str">
        <f t="shared" si="33"/>
        <v/>
      </c>
      <c r="W108" s="90"/>
      <c r="X108" s="42" t="str">
        <f t="shared" si="34"/>
        <v/>
      </c>
      <c r="Y108" s="42" t="str">
        <f t="shared" si="35"/>
        <v/>
      </c>
      <c r="Z108" s="90"/>
      <c r="AA108" s="42" t="str">
        <f t="shared" si="36"/>
        <v/>
      </c>
      <c r="AB108" s="42" t="str">
        <f t="shared" si="37"/>
        <v/>
      </c>
      <c r="AC108" s="90"/>
      <c r="AD108" s="42" t="str">
        <f t="shared" si="38"/>
        <v/>
      </c>
      <c r="AE108" s="42" t="str">
        <f t="shared" si="39"/>
        <v/>
      </c>
      <c r="AF108" s="90"/>
      <c r="AG108" s="42" t="str">
        <f t="shared" si="40"/>
        <v/>
      </c>
      <c r="AH108" s="42" t="str">
        <f t="shared" si="41"/>
        <v/>
      </c>
      <c r="AI108" s="90"/>
      <c r="AJ108" s="42" t="str">
        <f t="shared" si="42"/>
        <v/>
      </c>
      <c r="AK108" s="42" t="str">
        <f t="shared" si="43"/>
        <v/>
      </c>
      <c r="AL108" s="14" t="str">
        <f t="shared" si="44"/>
        <v/>
      </c>
      <c r="AM108" s="14" t="str">
        <f t="shared" si="45"/>
        <v/>
      </c>
      <c r="AN108" s="14" t="str">
        <f t="shared" si="46"/>
        <v/>
      </c>
      <c r="AO108" s="14" t="str">
        <f>IF(OR($C108="01-09",$D108="Male"),"",INDEX(PMTCT!$AD:$AD,MATCH($E108,PMTCT!$E:$E,0)))</f>
        <v/>
      </c>
      <c r="AP108" s="14" t="str">
        <f>IF(OR($C108="01-09",$D108="Male"),"",INDEX(PMTCT!$AT:$AT,MATCH($E108,PMTCT!$E:$E,0)))</f>
        <v/>
      </c>
      <c r="AQ108" s="14" t="str">
        <f>INDEX(TB!$Q:$Q,MATCH($E108,TB!$E:$E,0))</f>
        <v/>
      </c>
      <c r="AR108" s="14" t="str">
        <f>IF(OR($C108="01-09",$C108="10-14",$D108="Female"),"",INDEX(VMMC!$AB:$AB,MATCH($E108,VMMC!$E:$E,0)))</f>
        <v/>
      </c>
      <c r="AS108" s="14" t="str">
        <f>IF(OR($C108="01-09",$C108="10-14"),"",INDEX(PrEP!$Q:$Q,MATCH($E108,PrEP!$E:$E,0)))</f>
        <v/>
      </c>
      <c r="AT108" s="14" t="str">
        <f t="shared" si="47"/>
        <v/>
      </c>
      <c r="AU108" s="14" t="str">
        <f t="shared" si="48"/>
        <v/>
      </c>
      <c r="AV108" s="90" t="str">
        <f t="shared" si="49"/>
        <v/>
      </c>
      <c r="AW108" s="14"/>
      <c r="AX108" s="90" t="str">
        <f t="shared" si="50"/>
        <v/>
      </c>
      <c r="AY108" s="42" t="str">
        <f t="shared" si="51"/>
        <v/>
      </c>
      <c r="AZ108" s="90">
        <f t="shared" si="52"/>
        <v>1</v>
      </c>
      <c r="BA108" s="42" t="str">
        <f t="shared" si="53"/>
        <v/>
      </c>
    </row>
    <row r="109" spans="1:53" x14ac:dyDescent="0.2">
      <c r="A109" t="str">
        <f>INDEX(Prioritization!$D:$D,MATCH($B109,Prioritization!$A:$A,0))</f>
        <v>INVALID</v>
      </c>
      <c r="B109" t="s">
        <v>200</v>
      </c>
      <c r="C109" t="s">
        <v>367</v>
      </c>
      <c r="D109" t="s">
        <v>29</v>
      </c>
      <c r="E109" t="str">
        <f t="shared" si="27"/>
        <v>Ntcheu District [am530wpaGvr]|50+|Female</v>
      </c>
      <c r="F109" s="90">
        <f>IF(LEFT($B109,4)="_Mil","",INDEX(Cascade!$AA:$AA,MATCH($E109,Cascade!$E:$E,0)))</f>
        <v>1518</v>
      </c>
      <c r="G109" s="14">
        <f>INDEX(Cascade!$BH:$BH,MATCH($E109,Cascade!$E:$E,0))</f>
        <v>0</v>
      </c>
      <c r="H109" s="14" t="str">
        <f>IF(OR($C109="01-09",$D109="Male"),"",INDEX(PMTCT!$AC:$AC,MATCH($E109,PMTCT!$E:$E,0)))</f>
        <v/>
      </c>
      <c r="I109" s="14" t="str">
        <f>IF(OR($C109="01-09",$D109="Male"),"",INDEX(PMTCT!$AS:$AS,MATCH($E109,PMTCT!$E:$E,0)))</f>
        <v/>
      </c>
      <c r="J109" s="14" t="str">
        <f>INDEX(TB!$P:$P,MATCH($E109,TB!$E:$E,0))</f>
        <v/>
      </c>
      <c r="K109" s="14" t="str">
        <f>IF(OR($C109="01-09",$C109="10-14",$D109="Female"),"",INDEX(VMMC!$AA:$AA,MATCH($E109,VMMC!$E:$E,0)))</f>
        <v/>
      </c>
      <c r="L109" s="14">
        <f t="shared" si="28"/>
        <v>0</v>
      </c>
      <c r="M109" s="90" t="str">
        <f t="shared" si="29"/>
        <v/>
      </c>
      <c r="N109" s="90" t="str">
        <f t="shared" si="30"/>
        <v/>
      </c>
      <c r="O109" s="90" t="str">
        <f t="shared" si="31"/>
        <v/>
      </c>
      <c r="P109" s="90" t="str">
        <f t="shared" si="32"/>
        <v/>
      </c>
      <c r="Q109" s="90"/>
      <c r="R109" s="90"/>
      <c r="S109" s="90"/>
      <c r="T109" s="90"/>
      <c r="U109" s="90">
        <v>0.62329593533649996</v>
      </c>
      <c r="V109" s="90" t="str">
        <f t="shared" si="33"/>
        <v/>
      </c>
      <c r="W109" s="90"/>
      <c r="X109" s="42" t="str">
        <f t="shared" si="34"/>
        <v/>
      </c>
      <c r="Y109" s="42" t="str">
        <f t="shared" si="35"/>
        <v/>
      </c>
      <c r="Z109" s="90"/>
      <c r="AA109" s="42" t="str">
        <f t="shared" si="36"/>
        <v/>
      </c>
      <c r="AB109" s="42" t="str">
        <f t="shared" si="37"/>
        <v/>
      </c>
      <c r="AC109" s="90"/>
      <c r="AD109" s="42" t="str">
        <f t="shared" si="38"/>
        <v/>
      </c>
      <c r="AE109" s="42" t="str">
        <f t="shared" si="39"/>
        <v/>
      </c>
      <c r="AF109" s="90"/>
      <c r="AG109" s="42" t="str">
        <f t="shared" si="40"/>
        <v/>
      </c>
      <c r="AH109" s="42" t="str">
        <f t="shared" si="41"/>
        <v/>
      </c>
      <c r="AI109" s="90"/>
      <c r="AJ109" s="42" t="str">
        <f t="shared" si="42"/>
        <v/>
      </c>
      <c r="AK109" s="42" t="str">
        <f t="shared" si="43"/>
        <v/>
      </c>
      <c r="AL109" s="14" t="str">
        <f t="shared" si="44"/>
        <v/>
      </c>
      <c r="AM109" s="14" t="str">
        <f t="shared" si="45"/>
        <v/>
      </c>
      <c r="AN109" s="14" t="str">
        <f t="shared" si="46"/>
        <v/>
      </c>
      <c r="AO109" s="14" t="str">
        <f>IF(OR($C109="01-09",$D109="Male"),"",INDEX(PMTCT!$AD:$AD,MATCH($E109,PMTCT!$E:$E,0)))</f>
        <v/>
      </c>
      <c r="AP109" s="14" t="str">
        <f>IF(OR($C109="01-09",$D109="Male"),"",INDEX(PMTCT!$AT:$AT,MATCH($E109,PMTCT!$E:$E,0)))</f>
        <v/>
      </c>
      <c r="AQ109" s="14" t="str">
        <f>INDEX(TB!$Q:$Q,MATCH($E109,TB!$E:$E,0))</f>
        <v/>
      </c>
      <c r="AR109" s="14" t="str">
        <f>IF(OR($C109="01-09",$C109="10-14",$D109="Female"),"",INDEX(VMMC!$AB:$AB,MATCH($E109,VMMC!$E:$E,0)))</f>
        <v/>
      </c>
      <c r="AS109" s="14" t="str">
        <f>IF(OR($C109="01-09",$C109="10-14"),"",INDEX(PrEP!$Q:$Q,MATCH($E109,PrEP!$E:$E,0)))</f>
        <v/>
      </c>
      <c r="AT109" s="14" t="str">
        <f t="shared" si="47"/>
        <v/>
      </c>
      <c r="AU109" s="14" t="str">
        <f t="shared" si="48"/>
        <v/>
      </c>
      <c r="AV109" s="90" t="str">
        <f t="shared" si="49"/>
        <v/>
      </c>
      <c r="AW109" s="14">
        <v>6</v>
      </c>
      <c r="AX109" s="90">
        <f t="shared" si="50"/>
        <v>0</v>
      </c>
      <c r="AY109" s="42">
        <f t="shared" si="51"/>
        <v>6</v>
      </c>
      <c r="AZ109" s="90">
        <f t="shared" si="52"/>
        <v>1</v>
      </c>
      <c r="BA109" s="42" t="str">
        <f t="shared" si="53"/>
        <v/>
      </c>
    </row>
    <row r="110" spans="1:53" x14ac:dyDescent="0.2">
      <c r="A110" t="str">
        <f>INDEX(Prioritization!$D:$D,MATCH($B110,Prioritization!$A:$A,0))</f>
        <v>INVALID</v>
      </c>
      <c r="B110" t="s">
        <v>200</v>
      </c>
      <c r="C110" t="s">
        <v>367</v>
      </c>
      <c r="D110" t="s">
        <v>47</v>
      </c>
      <c r="E110" t="str">
        <f t="shared" si="27"/>
        <v>Ntcheu District [am530wpaGvr]|50+|Male</v>
      </c>
      <c r="F110" s="90">
        <f>IF(LEFT($B110,4)="_Mil","",INDEX(Cascade!$AA:$AA,MATCH($E110,Cascade!$E:$E,0)))</f>
        <v>1977</v>
      </c>
      <c r="G110" s="14">
        <f>INDEX(Cascade!$BH:$BH,MATCH($E110,Cascade!$E:$E,0))</f>
        <v>0</v>
      </c>
      <c r="H110" s="14" t="str">
        <f>IF(OR($C110="01-09",$D110="Male"),"",INDEX(PMTCT!$AC:$AC,MATCH($E110,PMTCT!$E:$E,0)))</f>
        <v/>
      </c>
      <c r="I110" s="14" t="str">
        <f>IF(OR($C110="01-09",$D110="Male"),"",INDEX(PMTCT!$AS:$AS,MATCH($E110,PMTCT!$E:$E,0)))</f>
        <v/>
      </c>
      <c r="J110" s="14" t="str">
        <f>INDEX(TB!$P:$P,MATCH($E110,TB!$E:$E,0))</f>
        <v/>
      </c>
      <c r="K110" s="14" t="str">
        <f>IF(OR($C110="01-09",$C110="10-14",$D110="Female"),"",INDEX(VMMC!$AA:$AA,MATCH($E110,VMMC!$E:$E,0)))</f>
        <v/>
      </c>
      <c r="L110" s="14">
        <f t="shared" si="28"/>
        <v>0</v>
      </c>
      <c r="M110" s="90" t="str">
        <f t="shared" si="29"/>
        <v/>
      </c>
      <c r="N110" s="90" t="str">
        <f t="shared" si="30"/>
        <v/>
      </c>
      <c r="O110" s="90" t="str">
        <f t="shared" si="31"/>
        <v/>
      </c>
      <c r="P110" s="90" t="str">
        <f t="shared" si="32"/>
        <v/>
      </c>
      <c r="Q110" s="90"/>
      <c r="R110" s="90"/>
      <c r="S110" s="90"/>
      <c r="T110" s="90"/>
      <c r="U110" s="90">
        <v>0.375813293969259</v>
      </c>
      <c r="V110" s="90" t="str">
        <f t="shared" si="33"/>
        <v/>
      </c>
      <c r="W110" s="90"/>
      <c r="X110" s="42" t="str">
        <f t="shared" si="34"/>
        <v/>
      </c>
      <c r="Y110" s="42" t="str">
        <f t="shared" si="35"/>
        <v/>
      </c>
      <c r="Z110" s="90"/>
      <c r="AA110" s="42" t="str">
        <f t="shared" si="36"/>
        <v/>
      </c>
      <c r="AB110" s="42" t="str">
        <f t="shared" si="37"/>
        <v/>
      </c>
      <c r="AC110" s="90"/>
      <c r="AD110" s="42" t="str">
        <f t="shared" si="38"/>
        <v/>
      </c>
      <c r="AE110" s="42" t="str">
        <f t="shared" si="39"/>
        <v/>
      </c>
      <c r="AF110" s="90"/>
      <c r="AG110" s="42" t="str">
        <f t="shared" si="40"/>
        <v/>
      </c>
      <c r="AH110" s="42" t="str">
        <f t="shared" si="41"/>
        <v/>
      </c>
      <c r="AI110" s="90"/>
      <c r="AJ110" s="42" t="str">
        <f t="shared" si="42"/>
        <v/>
      </c>
      <c r="AK110" s="42" t="str">
        <f t="shared" si="43"/>
        <v/>
      </c>
      <c r="AL110" s="14" t="str">
        <f t="shared" si="44"/>
        <v/>
      </c>
      <c r="AM110" s="14" t="str">
        <f t="shared" si="45"/>
        <v/>
      </c>
      <c r="AN110" s="14" t="str">
        <f t="shared" si="46"/>
        <v/>
      </c>
      <c r="AO110" s="14" t="str">
        <f>IF(OR($C110="01-09",$D110="Male"),"",INDEX(PMTCT!$AD:$AD,MATCH($E110,PMTCT!$E:$E,0)))</f>
        <v/>
      </c>
      <c r="AP110" s="14" t="str">
        <f>IF(OR($C110="01-09",$D110="Male"),"",INDEX(PMTCT!$AT:$AT,MATCH($E110,PMTCT!$E:$E,0)))</f>
        <v/>
      </c>
      <c r="AQ110" s="14" t="str">
        <f>INDEX(TB!$Q:$Q,MATCH($E110,TB!$E:$E,0))</f>
        <v/>
      </c>
      <c r="AR110" s="14" t="str">
        <f>IF(OR($C110="01-09",$C110="10-14",$D110="Female"),"",INDEX(VMMC!$AB:$AB,MATCH($E110,VMMC!$E:$E,0)))</f>
        <v/>
      </c>
      <c r="AS110" s="14" t="str">
        <f>IF(OR($C110="01-09",$C110="10-14"),"",INDEX(PrEP!$Q:$Q,MATCH($E110,PrEP!$E:$E,0)))</f>
        <v/>
      </c>
      <c r="AT110" s="14" t="str">
        <f t="shared" si="47"/>
        <v/>
      </c>
      <c r="AU110" s="14" t="str">
        <f t="shared" si="48"/>
        <v/>
      </c>
      <c r="AV110" s="90" t="str">
        <f t="shared" si="49"/>
        <v/>
      </c>
      <c r="AW110" s="14">
        <v>9</v>
      </c>
      <c r="AX110" s="90">
        <f t="shared" si="50"/>
        <v>0</v>
      </c>
      <c r="AY110" s="42">
        <f t="shared" si="51"/>
        <v>9</v>
      </c>
      <c r="AZ110" s="90">
        <f t="shared" si="52"/>
        <v>1</v>
      </c>
      <c r="BA110" s="42" t="str">
        <f t="shared" si="53"/>
        <v/>
      </c>
    </row>
    <row r="111" spans="1:53" x14ac:dyDescent="0.2">
      <c r="A111" t="str">
        <f>INDEX(Prioritization!$D:$D,MATCH($B111,Prioritization!$A:$A,0))</f>
        <v>INVALID</v>
      </c>
      <c r="B111" t="s">
        <v>201</v>
      </c>
      <c r="C111" t="s">
        <v>362</v>
      </c>
      <c r="D111" t="s">
        <v>29</v>
      </c>
      <c r="E111" t="str">
        <f t="shared" si="27"/>
        <v>Ntchisi District [fiRkU6gEjLz]|01-09|Female</v>
      </c>
      <c r="F111" s="90">
        <f>IF(LEFT($B111,4)="_Mil","",INDEX(Cascade!$AA:$AA,MATCH($E111,Cascade!$E:$E,0)))</f>
        <v>1045</v>
      </c>
      <c r="G111" s="14">
        <f>INDEX(Cascade!$BH:$BH,MATCH($E111,Cascade!$E:$E,0))</f>
        <v>0</v>
      </c>
      <c r="H111" s="14" t="str">
        <f>IF(OR($C111="01-09",$D111="Male"),"",INDEX(PMTCT!$AC:$AC,MATCH($E111,PMTCT!$E:$E,0)))</f>
        <v/>
      </c>
      <c r="I111" s="14" t="str">
        <f>IF(OR($C111="01-09",$D111="Male"),"",INDEX(PMTCT!$AS:$AS,MATCH($E111,PMTCT!$E:$E,0)))</f>
        <v/>
      </c>
      <c r="J111" s="14" t="str">
        <f>INDEX(TB!$P:$P,MATCH($E111,TB!$E:$E,0))</f>
        <v/>
      </c>
      <c r="K111" s="14" t="str">
        <f>IF(OR($C111="01-09",$C111="10-14",$D111="Female"),"",INDEX(VMMC!$AA:$AA,MATCH($E111,VMMC!$E:$E,0)))</f>
        <v/>
      </c>
      <c r="L111" s="14">
        <f t="shared" si="28"/>
        <v>0</v>
      </c>
      <c r="M111" s="90" t="str">
        <f t="shared" si="29"/>
        <v/>
      </c>
      <c r="N111" s="90" t="str">
        <f t="shared" si="30"/>
        <v/>
      </c>
      <c r="O111" s="90" t="str">
        <f t="shared" si="31"/>
        <v/>
      </c>
      <c r="P111" s="90" t="str">
        <f t="shared" si="32"/>
        <v/>
      </c>
      <c r="Q111" s="90"/>
      <c r="R111" s="90"/>
      <c r="S111" s="90"/>
      <c r="T111" s="90"/>
      <c r="U111" s="90"/>
      <c r="V111" s="90" t="str">
        <f t="shared" si="33"/>
        <v/>
      </c>
      <c r="W111" s="90"/>
      <c r="X111" s="42" t="str">
        <f t="shared" si="34"/>
        <v/>
      </c>
      <c r="Y111" s="42" t="str">
        <f t="shared" si="35"/>
        <v/>
      </c>
      <c r="Z111" s="90"/>
      <c r="AA111" s="42" t="str">
        <f t="shared" si="36"/>
        <v/>
      </c>
      <c r="AB111" s="42" t="str">
        <f t="shared" si="37"/>
        <v/>
      </c>
      <c r="AC111" s="90"/>
      <c r="AD111" s="42" t="str">
        <f t="shared" si="38"/>
        <v/>
      </c>
      <c r="AE111" s="42" t="str">
        <f t="shared" si="39"/>
        <v/>
      </c>
      <c r="AF111" s="90"/>
      <c r="AG111" s="42" t="str">
        <f t="shared" si="40"/>
        <v/>
      </c>
      <c r="AH111" s="42" t="str">
        <f t="shared" si="41"/>
        <v/>
      </c>
      <c r="AI111" s="90"/>
      <c r="AJ111" s="42" t="str">
        <f t="shared" si="42"/>
        <v/>
      </c>
      <c r="AK111" s="42" t="str">
        <f t="shared" si="43"/>
        <v/>
      </c>
      <c r="AL111" s="14" t="str">
        <f t="shared" si="44"/>
        <v/>
      </c>
      <c r="AM111" s="14" t="str">
        <f t="shared" si="45"/>
        <v/>
      </c>
      <c r="AN111" s="14" t="str">
        <f t="shared" si="46"/>
        <v/>
      </c>
      <c r="AO111" s="14" t="str">
        <f>IF(OR($C111="01-09",$D111="Male"),"",INDEX(PMTCT!$AD:$AD,MATCH($E111,PMTCT!$E:$E,0)))</f>
        <v/>
      </c>
      <c r="AP111" s="14" t="str">
        <f>IF(OR($C111="01-09",$D111="Male"),"",INDEX(PMTCT!$AT:$AT,MATCH($E111,PMTCT!$E:$E,0)))</f>
        <v/>
      </c>
      <c r="AQ111" s="14" t="str">
        <f>INDEX(TB!$Q:$Q,MATCH($E111,TB!$E:$E,0))</f>
        <v/>
      </c>
      <c r="AR111" s="14" t="str">
        <f>IF(OR($C111="01-09",$C111="10-14",$D111="Female"),"",INDEX(VMMC!$AB:$AB,MATCH($E111,VMMC!$E:$E,0)))</f>
        <v/>
      </c>
      <c r="AS111" s="14" t="str">
        <f>IF(OR($C111="01-09",$C111="10-14"),"",INDEX(PrEP!$Q:$Q,MATCH($E111,PrEP!$E:$E,0)))</f>
        <v/>
      </c>
      <c r="AT111" s="14" t="str">
        <f t="shared" si="47"/>
        <v/>
      </c>
      <c r="AU111" s="14" t="str">
        <f t="shared" si="48"/>
        <v/>
      </c>
      <c r="AV111" s="90" t="str">
        <f t="shared" si="49"/>
        <v/>
      </c>
      <c r="AW111" s="14"/>
      <c r="AX111" s="90" t="str">
        <f t="shared" si="50"/>
        <v/>
      </c>
      <c r="AY111" s="42" t="str">
        <f t="shared" si="51"/>
        <v/>
      </c>
      <c r="AZ111" s="90" t="str">
        <f t="shared" si="52"/>
        <v/>
      </c>
      <c r="BA111" s="42" t="str">
        <f t="shared" si="53"/>
        <v/>
      </c>
    </row>
    <row r="112" spans="1:53" x14ac:dyDescent="0.2">
      <c r="A112" t="str">
        <f>INDEX(Prioritization!$D:$D,MATCH($B112,Prioritization!$A:$A,0))</f>
        <v>INVALID</v>
      </c>
      <c r="B112" t="s">
        <v>201</v>
      </c>
      <c r="C112" t="s">
        <v>362</v>
      </c>
      <c r="D112" t="s">
        <v>47</v>
      </c>
      <c r="E112" t="str">
        <f t="shared" si="27"/>
        <v>Ntchisi District [fiRkU6gEjLz]|01-09|Male</v>
      </c>
      <c r="F112" s="90">
        <f>IF(LEFT($B112,4)="_Mil","",INDEX(Cascade!$AA:$AA,MATCH($E112,Cascade!$E:$E,0)))</f>
        <v>1936</v>
      </c>
      <c r="G112" s="14">
        <f>INDEX(Cascade!$BH:$BH,MATCH($E112,Cascade!$E:$E,0))</f>
        <v>0</v>
      </c>
      <c r="H112" s="14" t="str">
        <f>IF(OR($C112="01-09",$D112="Male"),"",INDEX(PMTCT!$AC:$AC,MATCH($E112,PMTCT!$E:$E,0)))</f>
        <v/>
      </c>
      <c r="I112" s="14" t="str">
        <f>IF(OR($C112="01-09",$D112="Male"),"",INDEX(PMTCT!$AS:$AS,MATCH($E112,PMTCT!$E:$E,0)))</f>
        <v/>
      </c>
      <c r="J112" s="14" t="str">
        <f>INDEX(TB!$P:$P,MATCH($E112,TB!$E:$E,0))</f>
        <v/>
      </c>
      <c r="K112" s="14" t="str">
        <f>IF(OR($C112="01-09",$C112="10-14",$D112="Female"),"",INDEX(VMMC!$AA:$AA,MATCH($E112,VMMC!$E:$E,0)))</f>
        <v/>
      </c>
      <c r="L112" s="14">
        <f t="shared" si="28"/>
        <v>0</v>
      </c>
      <c r="M112" s="90" t="str">
        <f t="shared" si="29"/>
        <v/>
      </c>
      <c r="N112" s="90" t="str">
        <f t="shared" si="30"/>
        <v/>
      </c>
      <c r="O112" s="90" t="str">
        <f t="shared" si="31"/>
        <v/>
      </c>
      <c r="P112" s="90" t="str">
        <f t="shared" si="32"/>
        <v/>
      </c>
      <c r="Q112" s="90"/>
      <c r="R112" s="90"/>
      <c r="S112" s="90"/>
      <c r="T112" s="90"/>
      <c r="U112" s="90"/>
      <c r="V112" s="90" t="str">
        <f t="shared" si="33"/>
        <v/>
      </c>
      <c r="W112" s="90"/>
      <c r="X112" s="42" t="str">
        <f t="shared" si="34"/>
        <v/>
      </c>
      <c r="Y112" s="42" t="str">
        <f t="shared" si="35"/>
        <v/>
      </c>
      <c r="Z112" s="90"/>
      <c r="AA112" s="42" t="str">
        <f t="shared" si="36"/>
        <v/>
      </c>
      <c r="AB112" s="42" t="str">
        <f t="shared" si="37"/>
        <v/>
      </c>
      <c r="AC112" s="90"/>
      <c r="AD112" s="42" t="str">
        <f t="shared" si="38"/>
        <v/>
      </c>
      <c r="AE112" s="42" t="str">
        <f t="shared" si="39"/>
        <v/>
      </c>
      <c r="AF112" s="90"/>
      <c r="AG112" s="42" t="str">
        <f t="shared" si="40"/>
        <v/>
      </c>
      <c r="AH112" s="42" t="str">
        <f t="shared" si="41"/>
        <v/>
      </c>
      <c r="AI112" s="90"/>
      <c r="AJ112" s="42" t="str">
        <f t="shared" si="42"/>
        <v/>
      </c>
      <c r="AK112" s="42" t="str">
        <f t="shared" si="43"/>
        <v/>
      </c>
      <c r="AL112" s="14" t="str">
        <f t="shared" si="44"/>
        <v/>
      </c>
      <c r="AM112" s="14" t="str">
        <f t="shared" si="45"/>
        <v/>
      </c>
      <c r="AN112" s="14" t="str">
        <f t="shared" si="46"/>
        <v/>
      </c>
      <c r="AO112" s="14" t="str">
        <f>IF(OR($C112="01-09",$D112="Male"),"",INDEX(PMTCT!$AD:$AD,MATCH($E112,PMTCT!$E:$E,0)))</f>
        <v/>
      </c>
      <c r="AP112" s="14" t="str">
        <f>IF(OR($C112="01-09",$D112="Male"),"",INDEX(PMTCT!$AT:$AT,MATCH($E112,PMTCT!$E:$E,0)))</f>
        <v/>
      </c>
      <c r="AQ112" s="14" t="str">
        <f>INDEX(TB!$Q:$Q,MATCH($E112,TB!$E:$E,0))</f>
        <v/>
      </c>
      <c r="AR112" s="14" t="str">
        <f>IF(OR($C112="01-09",$C112="10-14",$D112="Female"),"",INDEX(VMMC!$AB:$AB,MATCH($E112,VMMC!$E:$E,0)))</f>
        <v/>
      </c>
      <c r="AS112" s="14" t="str">
        <f>IF(OR($C112="01-09",$C112="10-14"),"",INDEX(PrEP!$Q:$Q,MATCH($E112,PrEP!$E:$E,0)))</f>
        <v/>
      </c>
      <c r="AT112" s="14" t="str">
        <f t="shared" si="47"/>
        <v/>
      </c>
      <c r="AU112" s="14" t="str">
        <f t="shared" si="48"/>
        <v/>
      </c>
      <c r="AV112" s="90" t="str">
        <f t="shared" si="49"/>
        <v/>
      </c>
      <c r="AW112" s="14"/>
      <c r="AX112" s="90" t="str">
        <f t="shared" si="50"/>
        <v/>
      </c>
      <c r="AY112" s="42" t="str">
        <f t="shared" si="51"/>
        <v/>
      </c>
      <c r="AZ112" s="90" t="str">
        <f t="shared" si="52"/>
        <v/>
      </c>
      <c r="BA112" s="42" t="str">
        <f t="shared" si="53"/>
        <v/>
      </c>
    </row>
    <row r="113" spans="1:53" x14ac:dyDescent="0.2">
      <c r="A113" t="str">
        <f>INDEX(Prioritization!$D:$D,MATCH($B113,Prioritization!$A:$A,0))</f>
        <v>INVALID</v>
      </c>
      <c r="B113" t="s">
        <v>201</v>
      </c>
      <c r="C113" t="s">
        <v>363</v>
      </c>
      <c r="D113" t="s">
        <v>29</v>
      </c>
      <c r="E113" t="str">
        <f t="shared" si="27"/>
        <v>Ntchisi District [fiRkU6gEjLz]|10-14|Female</v>
      </c>
      <c r="F113" s="90">
        <f>IF(LEFT($B113,4)="_Mil","",INDEX(Cascade!$AA:$AA,MATCH($E113,Cascade!$E:$E,0)))</f>
        <v>1332</v>
      </c>
      <c r="G113" s="14">
        <f>INDEX(Cascade!$BH:$BH,MATCH($E113,Cascade!$E:$E,0))</f>
        <v>-7</v>
      </c>
      <c r="H113" s="14" t="str">
        <f>IF(OR($C113="01-09",$D113="Male"),"",INDEX(PMTCT!$AC:$AC,MATCH($E113,PMTCT!$E:$E,0)))</f>
        <v>ENTER YIELD RATE</v>
      </c>
      <c r="I113" s="14" t="str">
        <f>IF(OR($C113="01-09",$D113="Male"),"",INDEX(PMTCT!$AS:$AS,MATCH($E113,PMTCT!$E:$E,0)))</f>
        <v>ENTER YIELD RATE</v>
      </c>
      <c r="J113" s="14" t="str">
        <f>INDEX(TB!$P:$P,MATCH($E113,TB!$E:$E,0))</f>
        <v/>
      </c>
      <c r="K113" s="14" t="str">
        <f>IF(OR($C113="01-09",$C113="10-14",$D113="Female"),"",INDEX(VMMC!$AA:$AA,MATCH($E113,VMMC!$E:$E,0)))</f>
        <v/>
      </c>
      <c r="L113" s="14">
        <f t="shared" si="28"/>
        <v>-7</v>
      </c>
      <c r="M113" s="90">
        <f t="shared" si="29"/>
        <v>0</v>
      </c>
      <c r="N113" s="90">
        <f t="shared" si="30"/>
        <v>0</v>
      </c>
      <c r="O113" s="90">
        <f t="shared" si="31"/>
        <v>0</v>
      </c>
      <c r="P113" s="90" t="str">
        <f t="shared" si="32"/>
        <v/>
      </c>
      <c r="Q113" s="90">
        <v>7.6353465905413004E-2</v>
      </c>
      <c r="R113" s="90"/>
      <c r="S113" s="90"/>
      <c r="T113" s="90"/>
      <c r="U113" s="90">
        <v>0.99283881904557303</v>
      </c>
      <c r="V113" s="90">
        <f t="shared" si="33"/>
        <v>1.0691922849509861</v>
      </c>
      <c r="W113" s="90"/>
      <c r="X113" s="42">
        <f t="shared" si="34"/>
        <v>-1</v>
      </c>
      <c r="Y113" s="42" t="str">
        <f t="shared" si="35"/>
        <v>ENTER YIELD</v>
      </c>
      <c r="Z113" s="90"/>
      <c r="AA113" s="42" t="str">
        <f t="shared" si="36"/>
        <v/>
      </c>
      <c r="AB113" s="42" t="str">
        <f t="shared" si="37"/>
        <v/>
      </c>
      <c r="AC113" s="90"/>
      <c r="AD113" s="42" t="str">
        <f t="shared" si="38"/>
        <v/>
      </c>
      <c r="AE113" s="42" t="str">
        <f t="shared" si="39"/>
        <v/>
      </c>
      <c r="AF113" s="90"/>
      <c r="AG113" s="42" t="str">
        <f t="shared" si="40"/>
        <v/>
      </c>
      <c r="AH113" s="42" t="str">
        <f t="shared" si="41"/>
        <v/>
      </c>
      <c r="AI113" s="90"/>
      <c r="AJ113" s="42">
        <f t="shared" si="42"/>
        <v>-7</v>
      </c>
      <c r="AK113" s="42" t="str">
        <f t="shared" si="43"/>
        <v>ENTER YIELD</v>
      </c>
      <c r="AL113" s="14">
        <f t="shared" si="44"/>
        <v>-7</v>
      </c>
      <c r="AM113" s="14">
        <f t="shared" si="45"/>
        <v>-8</v>
      </c>
      <c r="AN113" s="14">
        <f t="shared" si="46"/>
        <v>-1</v>
      </c>
      <c r="AO113" s="14">
        <f>IF(OR($C113="01-09",$D113="Male"),"",INDEX(PMTCT!$AD:$AD,MATCH($E113,PMTCT!$E:$E,0)))</f>
        <v>5</v>
      </c>
      <c r="AP113" s="14">
        <f>IF(OR($C113="01-09",$D113="Male"),"",INDEX(PMTCT!$AT:$AT,MATCH($E113,PMTCT!$E:$E,0)))</f>
        <v>5</v>
      </c>
      <c r="AQ113" s="14" t="str">
        <f>INDEX(TB!$Q:$Q,MATCH($E113,TB!$E:$E,0))</f>
        <v/>
      </c>
      <c r="AR113" s="14" t="str">
        <f>IF(OR($C113="01-09",$C113="10-14",$D113="Female"),"",INDEX(VMMC!$AB:$AB,MATCH($E113,VMMC!$E:$E,0)))</f>
        <v/>
      </c>
      <c r="AS113" s="14" t="str">
        <f>IF(OR($C113="01-09",$C113="10-14"),"",INDEX(PrEP!$Q:$Q,MATCH($E113,PrEP!$E:$E,0)))</f>
        <v/>
      </c>
      <c r="AT113" s="14">
        <f t="shared" si="47"/>
        <v>10</v>
      </c>
      <c r="AU113" s="14">
        <f t="shared" si="48"/>
        <v>2</v>
      </c>
      <c r="AV113" s="90">
        <f t="shared" si="49"/>
        <v>-4</v>
      </c>
      <c r="AW113" s="14"/>
      <c r="AX113" s="90" t="str">
        <f t="shared" si="50"/>
        <v/>
      </c>
      <c r="AY113" s="42" t="str">
        <f t="shared" si="51"/>
        <v/>
      </c>
      <c r="AZ113" s="90" t="str">
        <f t="shared" si="52"/>
        <v/>
      </c>
      <c r="BA113" s="42" t="str">
        <f t="shared" si="53"/>
        <v/>
      </c>
    </row>
    <row r="114" spans="1:53" x14ac:dyDescent="0.2">
      <c r="A114" t="str">
        <f>INDEX(Prioritization!$D:$D,MATCH($B114,Prioritization!$A:$A,0))</f>
        <v>INVALID</v>
      </c>
      <c r="B114" t="s">
        <v>201</v>
      </c>
      <c r="C114" t="s">
        <v>363</v>
      </c>
      <c r="D114" t="s">
        <v>47</v>
      </c>
      <c r="E114" t="str">
        <f t="shared" si="27"/>
        <v>Ntchisi District [fiRkU6gEjLz]|10-14|Male</v>
      </c>
      <c r="F114" s="90">
        <f>IF(LEFT($B114,4)="_Mil","",INDEX(Cascade!$AA:$AA,MATCH($E114,Cascade!$E:$E,0)))</f>
        <v>1561</v>
      </c>
      <c r="G114" s="14">
        <f>INDEX(Cascade!$BH:$BH,MATCH($E114,Cascade!$E:$E,0))</f>
        <v>-11</v>
      </c>
      <c r="H114" s="14" t="str">
        <f>IF(OR($C114="01-09",$D114="Male"),"",INDEX(PMTCT!$AC:$AC,MATCH($E114,PMTCT!$E:$E,0)))</f>
        <v/>
      </c>
      <c r="I114" s="14" t="str">
        <f>IF(OR($C114="01-09",$D114="Male"),"",INDEX(PMTCT!$AS:$AS,MATCH($E114,PMTCT!$E:$E,0)))</f>
        <v/>
      </c>
      <c r="J114" s="14" t="str">
        <f>INDEX(TB!$P:$P,MATCH($E114,TB!$E:$E,0))</f>
        <v>ENTER YIELD RATE</v>
      </c>
      <c r="K114" s="14" t="str">
        <f>IF(OR($C114="01-09",$C114="10-14",$D114="Female"),"",INDEX(VMMC!$AA:$AA,MATCH($E114,VMMC!$E:$E,0)))</f>
        <v/>
      </c>
      <c r="L114" s="14">
        <f t="shared" si="28"/>
        <v>-11</v>
      </c>
      <c r="M114" s="90" t="str">
        <f t="shared" si="29"/>
        <v/>
      </c>
      <c r="N114" s="90" t="str">
        <f t="shared" si="30"/>
        <v/>
      </c>
      <c r="O114" s="90">
        <f t="shared" si="31"/>
        <v>0</v>
      </c>
      <c r="P114" s="90" t="str">
        <f t="shared" si="32"/>
        <v/>
      </c>
      <c r="Q114" s="90">
        <v>0.26132912863977298</v>
      </c>
      <c r="R114" s="90"/>
      <c r="S114" s="90"/>
      <c r="T114" s="90"/>
      <c r="U114" s="90"/>
      <c r="V114" s="90">
        <f t="shared" si="33"/>
        <v>0.26132912863977298</v>
      </c>
      <c r="W114" s="90"/>
      <c r="X114" s="42">
        <f t="shared" si="34"/>
        <v>-3</v>
      </c>
      <c r="Y114" s="42" t="str">
        <f t="shared" si="35"/>
        <v>ENTER YIELD</v>
      </c>
      <c r="Z114" s="90"/>
      <c r="AA114" s="42" t="str">
        <f t="shared" si="36"/>
        <v/>
      </c>
      <c r="AB114" s="42" t="str">
        <f t="shared" si="37"/>
        <v/>
      </c>
      <c r="AC114" s="90"/>
      <c r="AD114" s="42" t="str">
        <f t="shared" si="38"/>
        <v/>
      </c>
      <c r="AE114" s="42" t="str">
        <f t="shared" si="39"/>
        <v/>
      </c>
      <c r="AF114" s="90"/>
      <c r="AG114" s="42" t="str">
        <f t="shared" si="40"/>
        <v/>
      </c>
      <c r="AH114" s="42" t="str">
        <f t="shared" si="41"/>
        <v/>
      </c>
      <c r="AI114" s="90"/>
      <c r="AJ114" s="42" t="str">
        <f t="shared" si="42"/>
        <v/>
      </c>
      <c r="AK114" s="42" t="str">
        <f t="shared" si="43"/>
        <v/>
      </c>
      <c r="AL114" s="14">
        <f t="shared" si="44"/>
        <v>-11</v>
      </c>
      <c r="AM114" s="14">
        <f t="shared" si="45"/>
        <v>-3</v>
      </c>
      <c r="AN114" s="14">
        <f t="shared" si="46"/>
        <v>8</v>
      </c>
      <c r="AO114" s="14" t="str">
        <f>IF(OR($C114="01-09",$D114="Male"),"",INDEX(PMTCT!$AD:$AD,MATCH($E114,PMTCT!$E:$E,0)))</f>
        <v/>
      </c>
      <c r="AP114" s="14" t="str">
        <f>IF(OR($C114="01-09",$D114="Male"),"",INDEX(PMTCT!$AT:$AT,MATCH($E114,PMTCT!$E:$E,0)))</f>
        <v/>
      </c>
      <c r="AQ114" s="14">
        <f>INDEX(TB!$Q:$Q,MATCH($E114,TB!$E:$E,0))</f>
        <v>1</v>
      </c>
      <c r="AR114" s="14" t="str">
        <f>IF(OR($C114="01-09",$C114="10-14",$D114="Female"),"",INDEX(VMMC!$AB:$AB,MATCH($E114,VMMC!$E:$E,0)))</f>
        <v/>
      </c>
      <c r="AS114" s="14" t="str">
        <f>IF(OR($C114="01-09",$C114="10-14"),"",INDEX(PrEP!$Q:$Q,MATCH($E114,PrEP!$E:$E,0)))</f>
        <v/>
      </c>
      <c r="AT114" s="14">
        <f t="shared" si="47"/>
        <v>1</v>
      </c>
      <c r="AU114" s="14">
        <f t="shared" si="48"/>
        <v>-2</v>
      </c>
      <c r="AV114" s="90">
        <f t="shared" si="49"/>
        <v>1.5</v>
      </c>
      <c r="AW114" s="14"/>
      <c r="AX114" s="90" t="str">
        <f t="shared" si="50"/>
        <v/>
      </c>
      <c r="AY114" s="42" t="str">
        <f t="shared" si="51"/>
        <v/>
      </c>
      <c r="AZ114" s="90" t="str">
        <f t="shared" si="52"/>
        <v/>
      </c>
      <c r="BA114" s="42" t="str">
        <f t="shared" si="53"/>
        <v/>
      </c>
    </row>
    <row r="115" spans="1:53" x14ac:dyDescent="0.2">
      <c r="A115" t="str">
        <f>INDEX(Prioritization!$D:$D,MATCH($B115,Prioritization!$A:$A,0))</f>
        <v>INVALID</v>
      </c>
      <c r="B115" t="s">
        <v>201</v>
      </c>
      <c r="C115" t="s">
        <v>364</v>
      </c>
      <c r="D115" t="s">
        <v>29</v>
      </c>
      <c r="E115" t="str">
        <f t="shared" si="27"/>
        <v>Ntchisi District [fiRkU6gEjLz]|15-24|Female</v>
      </c>
      <c r="F115" s="90">
        <f>IF(LEFT($B115,4)="_Mil","",INDEX(Cascade!$AA:$AA,MATCH($E115,Cascade!$E:$E,0)))</f>
        <v>630</v>
      </c>
      <c r="G115" s="14">
        <f>INDEX(Cascade!$BH:$BH,MATCH($E115,Cascade!$E:$E,0))</f>
        <v>0</v>
      </c>
      <c r="H115" s="14" t="str">
        <f>IF(OR($C115="01-09",$D115="Male"),"",INDEX(PMTCT!$AC:$AC,MATCH($E115,PMTCT!$E:$E,0)))</f>
        <v/>
      </c>
      <c r="I115" s="14" t="str">
        <f>IF(OR($C115="01-09",$D115="Male"),"",INDEX(PMTCT!$AS:$AS,MATCH($E115,PMTCT!$E:$E,0)))</f>
        <v/>
      </c>
      <c r="J115" s="14" t="str">
        <f>INDEX(TB!$P:$P,MATCH($E115,TB!$E:$E,0))</f>
        <v/>
      </c>
      <c r="K115" s="14" t="str">
        <f>IF(OR($C115="01-09",$C115="10-14",$D115="Female"),"",INDEX(VMMC!$AA:$AA,MATCH($E115,VMMC!$E:$E,0)))</f>
        <v/>
      </c>
      <c r="L115" s="14">
        <f t="shared" si="28"/>
        <v>0</v>
      </c>
      <c r="M115" s="90" t="str">
        <f t="shared" si="29"/>
        <v/>
      </c>
      <c r="N115" s="90" t="str">
        <f t="shared" si="30"/>
        <v/>
      </c>
      <c r="O115" s="90" t="str">
        <f t="shared" si="31"/>
        <v/>
      </c>
      <c r="P115" s="90" t="str">
        <f t="shared" si="32"/>
        <v/>
      </c>
      <c r="Q115" s="90"/>
      <c r="R115" s="90"/>
      <c r="S115" s="90"/>
      <c r="T115" s="90"/>
      <c r="U115" s="90"/>
      <c r="V115" s="90" t="str">
        <f t="shared" si="33"/>
        <v/>
      </c>
      <c r="W115" s="90"/>
      <c r="X115" s="42" t="str">
        <f t="shared" si="34"/>
        <v/>
      </c>
      <c r="Y115" s="42" t="str">
        <f t="shared" si="35"/>
        <v/>
      </c>
      <c r="Z115" s="90"/>
      <c r="AA115" s="42" t="str">
        <f t="shared" si="36"/>
        <v/>
      </c>
      <c r="AB115" s="42" t="str">
        <f t="shared" si="37"/>
        <v/>
      </c>
      <c r="AC115" s="90"/>
      <c r="AD115" s="42" t="str">
        <f t="shared" si="38"/>
        <v/>
      </c>
      <c r="AE115" s="42" t="str">
        <f t="shared" si="39"/>
        <v/>
      </c>
      <c r="AF115" s="90"/>
      <c r="AG115" s="42" t="str">
        <f t="shared" si="40"/>
        <v/>
      </c>
      <c r="AH115" s="42" t="str">
        <f t="shared" si="41"/>
        <v/>
      </c>
      <c r="AI115" s="90"/>
      <c r="AJ115" s="42" t="str">
        <f t="shared" si="42"/>
        <v/>
      </c>
      <c r="AK115" s="42" t="str">
        <f t="shared" si="43"/>
        <v/>
      </c>
      <c r="AL115" s="14" t="str">
        <f t="shared" si="44"/>
        <v/>
      </c>
      <c r="AM115" s="14" t="str">
        <f t="shared" si="45"/>
        <v/>
      </c>
      <c r="AN115" s="14" t="str">
        <f t="shared" si="46"/>
        <v/>
      </c>
      <c r="AO115" s="14" t="str">
        <f>IF(OR($C115="01-09",$D115="Male"),"",INDEX(PMTCT!$AD:$AD,MATCH($E115,PMTCT!$E:$E,0)))</f>
        <v/>
      </c>
      <c r="AP115" s="14" t="str">
        <f>IF(OR($C115="01-09",$D115="Male"),"",INDEX(PMTCT!$AT:$AT,MATCH($E115,PMTCT!$E:$E,0)))</f>
        <v/>
      </c>
      <c r="AQ115" s="14" t="str">
        <f>INDEX(TB!$Q:$Q,MATCH($E115,TB!$E:$E,0))</f>
        <v/>
      </c>
      <c r="AR115" s="14" t="str">
        <f>IF(OR($C115="01-09",$C115="10-14",$D115="Female"),"",INDEX(VMMC!$AB:$AB,MATCH($E115,VMMC!$E:$E,0)))</f>
        <v/>
      </c>
      <c r="AS115" s="14" t="str">
        <f>IF(OR($C115="01-09",$C115="10-14"),"",INDEX(PrEP!$Q:$Q,MATCH($E115,PrEP!$E:$E,0)))</f>
        <v/>
      </c>
      <c r="AT115" s="14" t="str">
        <f t="shared" si="47"/>
        <v/>
      </c>
      <c r="AU115" s="14" t="str">
        <f t="shared" si="48"/>
        <v/>
      </c>
      <c r="AV115" s="90" t="str">
        <f t="shared" si="49"/>
        <v/>
      </c>
      <c r="AW115" s="14"/>
      <c r="AX115" s="90" t="str">
        <f t="shared" si="50"/>
        <v/>
      </c>
      <c r="AY115" s="42" t="str">
        <f t="shared" si="51"/>
        <v/>
      </c>
      <c r="AZ115" s="90">
        <f t="shared" si="52"/>
        <v>1</v>
      </c>
      <c r="BA115" s="42" t="str">
        <f t="shared" si="53"/>
        <v/>
      </c>
    </row>
    <row r="116" spans="1:53" x14ac:dyDescent="0.2">
      <c r="A116" t="str">
        <f>INDEX(Prioritization!$D:$D,MATCH($B116,Prioritization!$A:$A,0))</f>
        <v>INVALID</v>
      </c>
      <c r="B116" t="s">
        <v>201</v>
      </c>
      <c r="C116" t="s">
        <v>364</v>
      </c>
      <c r="D116" t="s">
        <v>47</v>
      </c>
      <c r="E116" t="str">
        <f t="shared" si="27"/>
        <v>Ntchisi District [fiRkU6gEjLz]|15-24|Male</v>
      </c>
      <c r="F116" s="90">
        <f>IF(LEFT($B116,4)="_Mil","",INDEX(Cascade!$AA:$AA,MATCH($E116,Cascade!$E:$E,0)))</f>
        <v>1616</v>
      </c>
      <c r="G116" s="14">
        <f>INDEX(Cascade!$BH:$BH,MATCH($E116,Cascade!$E:$E,0))</f>
        <v>0</v>
      </c>
      <c r="H116" s="14" t="str">
        <f>IF(OR($C116="01-09",$D116="Male"),"",INDEX(PMTCT!$AC:$AC,MATCH($E116,PMTCT!$E:$E,0)))</f>
        <v/>
      </c>
      <c r="I116" s="14" t="str">
        <f>IF(OR($C116="01-09",$D116="Male"),"",INDEX(PMTCT!$AS:$AS,MATCH($E116,PMTCT!$E:$E,0)))</f>
        <v/>
      </c>
      <c r="J116" s="14" t="str">
        <f>INDEX(TB!$P:$P,MATCH($E116,TB!$E:$E,0))</f>
        <v/>
      </c>
      <c r="K116" s="14" t="str">
        <f>IF(OR($C116="01-09",$C116="10-14",$D116="Female"),"",INDEX(VMMC!$AA:$AA,MATCH($E116,VMMC!$E:$E,0)))</f>
        <v/>
      </c>
      <c r="L116" s="14">
        <f t="shared" si="28"/>
        <v>0</v>
      </c>
      <c r="M116" s="90" t="str">
        <f t="shared" si="29"/>
        <v/>
      </c>
      <c r="N116" s="90" t="str">
        <f t="shared" si="30"/>
        <v/>
      </c>
      <c r="O116" s="90" t="str">
        <f t="shared" si="31"/>
        <v/>
      </c>
      <c r="P116" s="90" t="str">
        <f t="shared" si="32"/>
        <v/>
      </c>
      <c r="Q116" s="90"/>
      <c r="R116" s="90"/>
      <c r="S116" s="90"/>
      <c r="T116" s="90"/>
      <c r="U116" s="90"/>
      <c r="V116" s="90" t="str">
        <f t="shared" si="33"/>
        <v/>
      </c>
      <c r="W116" s="90"/>
      <c r="X116" s="42" t="str">
        <f t="shared" si="34"/>
        <v/>
      </c>
      <c r="Y116" s="42" t="str">
        <f t="shared" si="35"/>
        <v/>
      </c>
      <c r="Z116" s="90"/>
      <c r="AA116" s="42" t="str">
        <f t="shared" si="36"/>
        <v/>
      </c>
      <c r="AB116" s="42" t="str">
        <f t="shared" si="37"/>
        <v/>
      </c>
      <c r="AC116" s="90"/>
      <c r="AD116" s="42" t="str">
        <f t="shared" si="38"/>
        <v/>
      </c>
      <c r="AE116" s="42" t="str">
        <f t="shared" si="39"/>
        <v/>
      </c>
      <c r="AF116" s="90"/>
      <c r="AG116" s="42" t="str">
        <f t="shared" si="40"/>
        <v/>
      </c>
      <c r="AH116" s="42" t="str">
        <f t="shared" si="41"/>
        <v/>
      </c>
      <c r="AI116" s="90"/>
      <c r="AJ116" s="42" t="str">
        <f t="shared" si="42"/>
        <v/>
      </c>
      <c r="AK116" s="42" t="str">
        <f t="shared" si="43"/>
        <v/>
      </c>
      <c r="AL116" s="14" t="str">
        <f t="shared" si="44"/>
        <v/>
      </c>
      <c r="AM116" s="14" t="str">
        <f t="shared" si="45"/>
        <v/>
      </c>
      <c r="AN116" s="14" t="str">
        <f t="shared" si="46"/>
        <v/>
      </c>
      <c r="AO116" s="14" t="str">
        <f>IF(OR($C116="01-09",$D116="Male"),"",INDEX(PMTCT!$AD:$AD,MATCH($E116,PMTCT!$E:$E,0)))</f>
        <v/>
      </c>
      <c r="AP116" s="14" t="str">
        <f>IF(OR($C116="01-09",$D116="Male"),"",INDEX(PMTCT!$AT:$AT,MATCH($E116,PMTCT!$E:$E,0)))</f>
        <v/>
      </c>
      <c r="AQ116" s="14" t="str">
        <f>INDEX(TB!$Q:$Q,MATCH($E116,TB!$E:$E,0))</f>
        <v/>
      </c>
      <c r="AR116" s="14" t="str">
        <f>IF(OR($C116="01-09",$C116="10-14",$D116="Female"),"",INDEX(VMMC!$AB:$AB,MATCH($E116,VMMC!$E:$E,0)))</f>
        <v/>
      </c>
      <c r="AS116" s="14" t="str">
        <f>IF(OR($C116="01-09",$C116="10-14"),"",INDEX(PrEP!$Q:$Q,MATCH($E116,PrEP!$E:$E,0)))</f>
        <v/>
      </c>
      <c r="AT116" s="14" t="str">
        <f t="shared" si="47"/>
        <v/>
      </c>
      <c r="AU116" s="14" t="str">
        <f t="shared" si="48"/>
        <v/>
      </c>
      <c r="AV116" s="90" t="str">
        <f t="shared" si="49"/>
        <v/>
      </c>
      <c r="AW116" s="14"/>
      <c r="AX116" s="90" t="str">
        <f t="shared" si="50"/>
        <v/>
      </c>
      <c r="AY116" s="42" t="str">
        <f t="shared" si="51"/>
        <v/>
      </c>
      <c r="AZ116" s="90">
        <f t="shared" si="52"/>
        <v>1</v>
      </c>
      <c r="BA116" s="42" t="str">
        <f t="shared" si="53"/>
        <v/>
      </c>
    </row>
    <row r="117" spans="1:53" x14ac:dyDescent="0.2">
      <c r="A117" t="str">
        <f>INDEX(Prioritization!$D:$D,MATCH($B117,Prioritization!$A:$A,0))</f>
        <v>INVALID</v>
      </c>
      <c r="B117" t="s">
        <v>201</v>
      </c>
      <c r="C117" t="s">
        <v>365</v>
      </c>
      <c r="D117" t="s">
        <v>29</v>
      </c>
      <c r="E117" t="str">
        <f t="shared" si="27"/>
        <v>Ntchisi District [fiRkU6gEjLz]|25-34|Female</v>
      </c>
      <c r="F117" s="90">
        <f>IF(LEFT($B117,4)="_Mil","",INDEX(Cascade!$AA:$AA,MATCH($E117,Cascade!$E:$E,0)))</f>
        <v>1180</v>
      </c>
      <c r="G117" s="14">
        <f>INDEX(Cascade!$BH:$BH,MATCH($E117,Cascade!$E:$E,0))</f>
        <v>0</v>
      </c>
      <c r="H117" s="14" t="str">
        <f>IF(OR($C117="01-09",$D117="Male"),"",INDEX(PMTCT!$AC:$AC,MATCH($E117,PMTCT!$E:$E,0)))</f>
        <v/>
      </c>
      <c r="I117" s="14" t="str">
        <f>IF(OR($C117="01-09",$D117="Male"),"",INDEX(PMTCT!$AS:$AS,MATCH($E117,PMTCT!$E:$E,0)))</f>
        <v/>
      </c>
      <c r="J117" s="14" t="str">
        <f>INDEX(TB!$P:$P,MATCH($E117,TB!$E:$E,0))</f>
        <v/>
      </c>
      <c r="K117" s="14" t="str">
        <f>IF(OR($C117="01-09",$C117="10-14",$D117="Female"),"",INDEX(VMMC!$AA:$AA,MATCH($E117,VMMC!$E:$E,0)))</f>
        <v/>
      </c>
      <c r="L117" s="14">
        <f t="shared" si="28"/>
        <v>0</v>
      </c>
      <c r="M117" s="90" t="str">
        <f t="shared" si="29"/>
        <v/>
      </c>
      <c r="N117" s="90" t="str">
        <f t="shared" si="30"/>
        <v/>
      </c>
      <c r="O117" s="90" t="str">
        <f t="shared" si="31"/>
        <v/>
      </c>
      <c r="P117" s="90" t="str">
        <f t="shared" si="32"/>
        <v/>
      </c>
      <c r="Q117" s="90"/>
      <c r="R117" s="90"/>
      <c r="S117" s="90"/>
      <c r="T117" s="90"/>
      <c r="U117" s="90"/>
      <c r="V117" s="90" t="str">
        <f t="shared" si="33"/>
        <v/>
      </c>
      <c r="W117" s="90"/>
      <c r="X117" s="42" t="str">
        <f t="shared" si="34"/>
        <v/>
      </c>
      <c r="Y117" s="42" t="str">
        <f t="shared" si="35"/>
        <v/>
      </c>
      <c r="Z117" s="90"/>
      <c r="AA117" s="42" t="str">
        <f t="shared" si="36"/>
        <v/>
      </c>
      <c r="AB117" s="42" t="str">
        <f t="shared" si="37"/>
        <v/>
      </c>
      <c r="AC117" s="90"/>
      <c r="AD117" s="42" t="str">
        <f t="shared" si="38"/>
        <v/>
      </c>
      <c r="AE117" s="42" t="str">
        <f t="shared" si="39"/>
        <v/>
      </c>
      <c r="AF117" s="90"/>
      <c r="AG117" s="42" t="str">
        <f t="shared" si="40"/>
        <v/>
      </c>
      <c r="AH117" s="42" t="str">
        <f t="shared" si="41"/>
        <v/>
      </c>
      <c r="AI117" s="90"/>
      <c r="AJ117" s="42" t="str">
        <f t="shared" si="42"/>
        <v/>
      </c>
      <c r="AK117" s="42" t="str">
        <f t="shared" si="43"/>
        <v/>
      </c>
      <c r="AL117" s="14" t="str">
        <f t="shared" si="44"/>
        <v/>
      </c>
      <c r="AM117" s="14" t="str">
        <f t="shared" si="45"/>
        <v/>
      </c>
      <c r="AN117" s="14" t="str">
        <f t="shared" si="46"/>
        <v/>
      </c>
      <c r="AO117" s="14" t="str">
        <f>IF(OR($C117="01-09",$D117="Male"),"",INDEX(PMTCT!$AD:$AD,MATCH($E117,PMTCT!$E:$E,0)))</f>
        <v/>
      </c>
      <c r="AP117" s="14" t="str">
        <f>IF(OR($C117="01-09",$D117="Male"),"",INDEX(PMTCT!$AT:$AT,MATCH($E117,PMTCT!$E:$E,0)))</f>
        <v/>
      </c>
      <c r="AQ117" s="14" t="str">
        <f>INDEX(TB!$Q:$Q,MATCH($E117,TB!$E:$E,0))</f>
        <v/>
      </c>
      <c r="AR117" s="14" t="str">
        <f>IF(OR($C117="01-09",$C117="10-14",$D117="Female"),"",INDEX(VMMC!$AB:$AB,MATCH($E117,VMMC!$E:$E,0)))</f>
        <v/>
      </c>
      <c r="AS117" s="14" t="str">
        <f>IF(OR($C117="01-09",$C117="10-14"),"",INDEX(PrEP!$Q:$Q,MATCH($E117,PrEP!$E:$E,0)))</f>
        <v/>
      </c>
      <c r="AT117" s="14" t="str">
        <f t="shared" si="47"/>
        <v/>
      </c>
      <c r="AU117" s="14" t="str">
        <f t="shared" si="48"/>
        <v/>
      </c>
      <c r="AV117" s="90" t="str">
        <f t="shared" si="49"/>
        <v/>
      </c>
      <c r="AW117" s="14"/>
      <c r="AX117" s="90" t="str">
        <f t="shared" si="50"/>
        <v/>
      </c>
      <c r="AY117" s="42" t="str">
        <f t="shared" si="51"/>
        <v/>
      </c>
      <c r="AZ117" s="90">
        <f t="shared" si="52"/>
        <v>1</v>
      </c>
      <c r="BA117" s="42" t="str">
        <f t="shared" si="53"/>
        <v/>
      </c>
    </row>
    <row r="118" spans="1:53" x14ac:dyDescent="0.2">
      <c r="A118" t="str">
        <f>INDEX(Prioritization!$D:$D,MATCH($B118,Prioritization!$A:$A,0))</f>
        <v>INVALID</v>
      </c>
      <c r="B118" t="s">
        <v>201</v>
      </c>
      <c r="C118" t="s">
        <v>365</v>
      </c>
      <c r="D118" t="s">
        <v>47</v>
      </c>
      <c r="E118" t="str">
        <f t="shared" si="27"/>
        <v>Ntchisi District [fiRkU6gEjLz]|25-34|Male</v>
      </c>
      <c r="F118" s="90">
        <f>IF(LEFT($B118,4)="_Mil","",INDEX(Cascade!$AA:$AA,MATCH($E118,Cascade!$E:$E,0)))</f>
        <v>1790.0000000000002</v>
      </c>
      <c r="G118" s="14">
        <f>INDEX(Cascade!$BH:$BH,MATCH($E118,Cascade!$E:$E,0))</f>
        <v>0</v>
      </c>
      <c r="H118" s="14" t="str">
        <f>IF(OR($C118="01-09",$D118="Male"),"",INDEX(PMTCT!$AC:$AC,MATCH($E118,PMTCT!$E:$E,0)))</f>
        <v/>
      </c>
      <c r="I118" s="14" t="str">
        <f>IF(OR($C118="01-09",$D118="Male"),"",INDEX(PMTCT!$AS:$AS,MATCH($E118,PMTCT!$E:$E,0)))</f>
        <v/>
      </c>
      <c r="J118" s="14" t="str">
        <f>INDEX(TB!$P:$P,MATCH($E118,TB!$E:$E,0))</f>
        <v/>
      </c>
      <c r="K118" s="14" t="str">
        <f>IF(OR($C118="01-09",$C118="10-14",$D118="Female"),"",INDEX(VMMC!$AA:$AA,MATCH($E118,VMMC!$E:$E,0)))</f>
        <v/>
      </c>
      <c r="L118" s="14">
        <f t="shared" si="28"/>
        <v>0</v>
      </c>
      <c r="M118" s="90" t="str">
        <f t="shared" si="29"/>
        <v/>
      </c>
      <c r="N118" s="90" t="str">
        <f t="shared" si="30"/>
        <v/>
      </c>
      <c r="O118" s="90" t="str">
        <f t="shared" si="31"/>
        <v/>
      </c>
      <c r="P118" s="90" t="str">
        <f t="shared" si="32"/>
        <v/>
      </c>
      <c r="Q118" s="90"/>
      <c r="R118" s="90"/>
      <c r="S118" s="90"/>
      <c r="T118" s="90"/>
      <c r="U118" s="90"/>
      <c r="V118" s="90" t="str">
        <f t="shared" si="33"/>
        <v/>
      </c>
      <c r="W118" s="90"/>
      <c r="X118" s="42" t="str">
        <f t="shared" si="34"/>
        <v/>
      </c>
      <c r="Y118" s="42" t="str">
        <f t="shared" si="35"/>
        <v/>
      </c>
      <c r="Z118" s="90"/>
      <c r="AA118" s="42" t="str">
        <f t="shared" si="36"/>
        <v/>
      </c>
      <c r="AB118" s="42" t="str">
        <f t="shared" si="37"/>
        <v/>
      </c>
      <c r="AC118" s="90"/>
      <c r="AD118" s="42" t="str">
        <f t="shared" si="38"/>
        <v/>
      </c>
      <c r="AE118" s="42" t="str">
        <f t="shared" si="39"/>
        <v/>
      </c>
      <c r="AF118" s="90"/>
      <c r="AG118" s="42" t="str">
        <f t="shared" si="40"/>
        <v/>
      </c>
      <c r="AH118" s="42" t="str">
        <f t="shared" si="41"/>
        <v/>
      </c>
      <c r="AI118" s="90"/>
      <c r="AJ118" s="42" t="str">
        <f t="shared" si="42"/>
        <v/>
      </c>
      <c r="AK118" s="42" t="str">
        <f t="shared" si="43"/>
        <v/>
      </c>
      <c r="AL118" s="14" t="str">
        <f t="shared" si="44"/>
        <v/>
      </c>
      <c r="AM118" s="14" t="str">
        <f t="shared" si="45"/>
        <v/>
      </c>
      <c r="AN118" s="14" t="str">
        <f t="shared" si="46"/>
        <v/>
      </c>
      <c r="AO118" s="14" t="str">
        <f>IF(OR($C118="01-09",$D118="Male"),"",INDEX(PMTCT!$AD:$AD,MATCH($E118,PMTCT!$E:$E,0)))</f>
        <v/>
      </c>
      <c r="AP118" s="14" t="str">
        <f>IF(OR($C118="01-09",$D118="Male"),"",INDEX(PMTCT!$AT:$AT,MATCH($E118,PMTCT!$E:$E,0)))</f>
        <v/>
      </c>
      <c r="AQ118" s="14" t="str">
        <f>INDEX(TB!$Q:$Q,MATCH($E118,TB!$E:$E,0))</f>
        <v/>
      </c>
      <c r="AR118" s="14" t="str">
        <f>IF(OR($C118="01-09",$C118="10-14",$D118="Female"),"",INDEX(VMMC!$AB:$AB,MATCH($E118,VMMC!$E:$E,0)))</f>
        <v/>
      </c>
      <c r="AS118" s="14" t="str">
        <f>IF(OR($C118="01-09",$C118="10-14"),"",INDEX(PrEP!$Q:$Q,MATCH($E118,PrEP!$E:$E,0)))</f>
        <v/>
      </c>
      <c r="AT118" s="14" t="str">
        <f t="shared" si="47"/>
        <v/>
      </c>
      <c r="AU118" s="14" t="str">
        <f t="shared" si="48"/>
        <v/>
      </c>
      <c r="AV118" s="90" t="str">
        <f t="shared" si="49"/>
        <v/>
      </c>
      <c r="AW118" s="14"/>
      <c r="AX118" s="90" t="str">
        <f t="shared" si="50"/>
        <v/>
      </c>
      <c r="AY118" s="42" t="str">
        <f t="shared" si="51"/>
        <v/>
      </c>
      <c r="AZ118" s="90">
        <f t="shared" si="52"/>
        <v>1</v>
      </c>
      <c r="BA118" s="42" t="str">
        <f t="shared" si="53"/>
        <v/>
      </c>
    </row>
    <row r="119" spans="1:53" x14ac:dyDescent="0.2">
      <c r="A119" t="str">
        <f>INDEX(Prioritization!$D:$D,MATCH($B119,Prioritization!$A:$A,0))</f>
        <v>INVALID</v>
      </c>
      <c r="B119" t="s">
        <v>201</v>
      </c>
      <c r="C119" t="s">
        <v>366</v>
      </c>
      <c r="D119" t="s">
        <v>29</v>
      </c>
      <c r="E119" t="str">
        <f t="shared" si="27"/>
        <v>Ntchisi District [fiRkU6gEjLz]|35-49|Female</v>
      </c>
      <c r="F119" s="90">
        <f>IF(LEFT($B119,4)="_Mil","",INDEX(Cascade!$AA:$AA,MATCH($E119,Cascade!$E:$E,0)))</f>
        <v>711</v>
      </c>
      <c r="G119" s="14">
        <f>INDEX(Cascade!$BH:$BH,MATCH($E119,Cascade!$E:$E,0))</f>
        <v>0</v>
      </c>
      <c r="H119" s="14" t="str">
        <f>IF(OR($C119="01-09",$D119="Male"),"",INDEX(PMTCT!$AC:$AC,MATCH($E119,PMTCT!$E:$E,0)))</f>
        <v/>
      </c>
      <c r="I119" s="14" t="str">
        <f>IF(OR($C119="01-09",$D119="Male"),"",INDEX(PMTCT!$AS:$AS,MATCH($E119,PMTCT!$E:$E,0)))</f>
        <v/>
      </c>
      <c r="J119" s="14" t="str">
        <f>INDEX(TB!$P:$P,MATCH($E119,TB!$E:$E,0))</f>
        <v/>
      </c>
      <c r="K119" s="14" t="str">
        <f>IF(OR($C119="01-09",$C119="10-14",$D119="Female"),"",INDEX(VMMC!$AA:$AA,MATCH($E119,VMMC!$E:$E,0)))</f>
        <v/>
      </c>
      <c r="L119" s="14">
        <f t="shared" si="28"/>
        <v>0</v>
      </c>
      <c r="M119" s="90" t="str">
        <f t="shared" si="29"/>
        <v/>
      </c>
      <c r="N119" s="90" t="str">
        <f t="shared" si="30"/>
        <v/>
      </c>
      <c r="O119" s="90" t="str">
        <f t="shared" si="31"/>
        <v/>
      </c>
      <c r="P119" s="90" t="str">
        <f t="shared" si="32"/>
        <v/>
      </c>
      <c r="Q119" s="90"/>
      <c r="R119" s="90"/>
      <c r="S119" s="90"/>
      <c r="T119" s="90"/>
      <c r="U119" s="90"/>
      <c r="V119" s="90" t="str">
        <f t="shared" si="33"/>
        <v/>
      </c>
      <c r="W119" s="90"/>
      <c r="X119" s="42" t="str">
        <f t="shared" si="34"/>
        <v/>
      </c>
      <c r="Y119" s="42" t="str">
        <f t="shared" si="35"/>
        <v/>
      </c>
      <c r="Z119" s="90"/>
      <c r="AA119" s="42" t="str">
        <f t="shared" si="36"/>
        <v/>
      </c>
      <c r="AB119" s="42" t="str">
        <f t="shared" si="37"/>
        <v/>
      </c>
      <c r="AC119" s="90"/>
      <c r="AD119" s="42" t="str">
        <f t="shared" si="38"/>
        <v/>
      </c>
      <c r="AE119" s="42" t="str">
        <f t="shared" si="39"/>
        <v/>
      </c>
      <c r="AF119" s="90"/>
      <c r="AG119" s="42" t="str">
        <f t="shared" si="40"/>
        <v/>
      </c>
      <c r="AH119" s="42" t="str">
        <f t="shared" si="41"/>
        <v/>
      </c>
      <c r="AI119" s="90"/>
      <c r="AJ119" s="42" t="str">
        <f t="shared" si="42"/>
        <v/>
      </c>
      <c r="AK119" s="42" t="str">
        <f t="shared" si="43"/>
        <v/>
      </c>
      <c r="AL119" s="14" t="str">
        <f t="shared" si="44"/>
        <v/>
      </c>
      <c r="AM119" s="14" t="str">
        <f t="shared" si="45"/>
        <v/>
      </c>
      <c r="AN119" s="14" t="str">
        <f t="shared" si="46"/>
        <v/>
      </c>
      <c r="AO119" s="14" t="str">
        <f>IF(OR($C119="01-09",$D119="Male"),"",INDEX(PMTCT!$AD:$AD,MATCH($E119,PMTCT!$E:$E,0)))</f>
        <v/>
      </c>
      <c r="AP119" s="14" t="str">
        <f>IF(OR($C119="01-09",$D119="Male"),"",INDEX(PMTCT!$AT:$AT,MATCH($E119,PMTCT!$E:$E,0)))</f>
        <v/>
      </c>
      <c r="AQ119" s="14" t="str">
        <f>INDEX(TB!$Q:$Q,MATCH($E119,TB!$E:$E,0))</f>
        <v/>
      </c>
      <c r="AR119" s="14" t="str">
        <f>IF(OR($C119="01-09",$C119="10-14",$D119="Female"),"",INDEX(VMMC!$AB:$AB,MATCH($E119,VMMC!$E:$E,0)))</f>
        <v/>
      </c>
      <c r="AS119" s="14" t="str">
        <f>IF(OR($C119="01-09",$C119="10-14"),"",INDEX(PrEP!$Q:$Q,MATCH($E119,PrEP!$E:$E,0)))</f>
        <v/>
      </c>
      <c r="AT119" s="14" t="str">
        <f t="shared" si="47"/>
        <v/>
      </c>
      <c r="AU119" s="14" t="str">
        <f t="shared" si="48"/>
        <v/>
      </c>
      <c r="AV119" s="90" t="str">
        <f t="shared" si="49"/>
        <v/>
      </c>
      <c r="AW119" s="14"/>
      <c r="AX119" s="90" t="str">
        <f t="shared" si="50"/>
        <v/>
      </c>
      <c r="AY119" s="42" t="str">
        <f t="shared" si="51"/>
        <v/>
      </c>
      <c r="AZ119" s="90">
        <f t="shared" si="52"/>
        <v>1</v>
      </c>
      <c r="BA119" s="42" t="str">
        <f t="shared" si="53"/>
        <v/>
      </c>
    </row>
    <row r="120" spans="1:53" x14ac:dyDescent="0.2">
      <c r="A120" t="str">
        <f>INDEX(Prioritization!$D:$D,MATCH($B120,Prioritization!$A:$A,0))</f>
        <v>INVALID</v>
      </c>
      <c r="B120" t="s">
        <v>201</v>
      </c>
      <c r="C120" t="s">
        <v>366</v>
      </c>
      <c r="D120" t="s">
        <v>47</v>
      </c>
      <c r="E120" t="str">
        <f t="shared" si="27"/>
        <v>Ntchisi District [fiRkU6gEjLz]|35-49|Male</v>
      </c>
      <c r="F120" s="90">
        <f>IF(LEFT($B120,4)="_Mil","",INDEX(Cascade!$AA:$AA,MATCH($E120,Cascade!$E:$E,0)))</f>
        <v>670</v>
      </c>
      <c r="G120" s="14">
        <f>INDEX(Cascade!$BH:$BH,MATCH($E120,Cascade!$E:$E,0))</f>
        <v>0</v>
      </c>
      <c r="H120" s="14" t="str">
        <f>IF(OR($C120="01-09",$D120="Male"),"",INDEX(PMTCT!$AC:$AC,MATCH($E120,PMTCT!$E:$E,0)))</f>
        <v/>
      </c>
      <c r="I120" s="14" t="str">
        <f>IF(OR($C120="01-09",$D120="Male"),"",INDEX(PMTCT!$AS:$AS,MATCH($E120,PMTCT!$E:$E,0)))</f>
        <v/>
      </c>
      <c r="J120" s="14" t="str">
        <f>INDEX(TB!$P:$P,MATCH($E120,TB!$E:$E,0))</f>
        <v/>
      </c>
      <c r="K120" s="14" t="str">
        <f>IF(OR($C120="01-09",$C120="10-14",$D120="Female"),"",INDEX(VMMC!$AA:$AA,MATCH($E120,VMMC!$E:$E,0)))</f>
        <v/>
      </c>
      <c r="L120" s="14">
        <f t="shared" si="28"/>
        <v>0</v>
      </c>
      <c r="M120" s="90" t="str">
        <f t="shared" si="29"/>
        <v/>
      </c>
      <c r="N120" s="90" t="str">
        <f t="shared" si="30"/>
        <v/>
      </c>
      <c r="O120" s="90" t="str">
        <f t="shared" si="31"/>
        <v/>
      </c>
      <c r="P120" s="90" t="str">
        <f t="shared" si="32"/>
        <v/>
      </c>
      <c r="Q120" s="90"/>
      <c r="R120" s="90"/>
      <c r="S120" s="90"/>
      <c r="T120" s="90"/>
      <c r="U120" s="90"/>
      <c r="V120" s="90" t="str">
        <f t="shared" si="33"/>
        <v/>
      </c>
      <c r="W120" s="90"/>
      <c r="X120" s="42" t="str">
        <f t="shared" si="34"/>
        <v/>
      </c>
      <c r="Y120" s="42" t="str">
        <f t="shared" si="35"/>
        <v/>
      </c>
      <c r="Z120" s="90"/>
      <c r="AA120" s="42" t="str">
        <f t="shared" si="36"/>
        <v/>
      </c>
      <c r="AB120" s="42" t="str">
        <f t="shared" si="37"/>
        <v/>
      </c>
      <c r="AC120" s="90"/>
      <c r="AD120" s="42" t="str">
        <f t="shared" si="38"/>
        <v/>
      </c>
      <c r="AE120" s="42" t="str">
        <f t="shared" si="39"/>
        <v/>
      </c>
      <c r="AF120" s="90"/>
      <c r="AG120" s="42" t="str">
        <f t="shared" si="40"/>
        <v/>
      </c>
      <c r="AH120" s="42" t="str">
        <f t="shared" si="41"/>
        <v/>
      </c>
      <c r="AI120" s="90"/>
      <c r="AJ120" s="42" t="str">
        <f t="shared" si="42"/>
        <v/>
      </c>
      <c r="AK120" s="42" t="str">
        <f t="shared" si="43"/>
        <v/>
      </c>
      <c r="AL120" s="14" t="str">
        <f t="shared" si="44"/>
        <v/>
      </c>
      <c r="AM120" s="14" t="str">
        <f t="shared" si="45"/>
        <v/>
      </c>
      <c r="AN120" s="14" t="str">
        <f t="shared" si="46"/>
        <v/>
      </c>
      <c r="AO120" s="14" t="str">
        <f>IF(OR($C120="01-09",$D120="Male"),"",INDEX(PMTCT!$AD:$AD,MATCH($E120,PMTCT!$E:$E,0)))</f>
        <v/>
      </c>
      <c r="AP120" s="14" t="str">
        <f>IF(OR($C120="01-09",$D120="Male"),"",INDEX(PMTCT!$AT:$AT,MATCH($E120,PMTCT!$E:$E,0)))</f>
        <v/>
      </c>
      <c r="AQ120" s="14" t="str">
        <f>INDEX(TB!$Q:$Q,MATCH($E120,TB!$E:$E,0))</f>
        <v/>
      </c>
      <c r="AR120" s="14" t="str">
        <f>IF(OR($C120="01-09",$C120="10-14",$D120="Female"),"",INDEX(VMMC!$AB:$AB,MATCH($E120,VMMC!$E:$E,0)))</f>
        <v/>
      </c>
      <c r="AS120" s="14" t="str">
        <f>IF(OR($C120="01-09",$C120="10-14"),"",INDEX(PrEP!$Q:$Q,MATCH($E120,PrEP!$E:$E,0)))</f>
        <v/>
      </c>
      <c r="AT120" s="14" t="str">
        <f t="shared" si="47"/>
        <v/>
      </c>
      <c r="AU120" s="14" t="str">
        <f t="shared" si="48"/>
        <v/>
      </c>
      <c r="AV120" s="90" t="str">
        <f t="shared" si="49"/>
        <v/>
      </c>
      <c r="AW120" s="14"/>
      <c r="AX120" s="90" t="str">
        <f t="shared" si="50"/>
        <v/>
      </c>
      <c r="AY120" s="42" t="str">
        <f t="shared" si="51"/>
        <v/>
      </c>
      <c r="AZ120" s="90">
        <f t="shared" si="52"/>
        <v>1</v>
      </c>
      <c r="BA120" s="42" t="str">
        <f t="shared" si="53"/>
        <v/>
      </c>
    </row>
    <row r="121" spans="1:53" x14ac:dyDescent="0.2">
      <c r="A121" t="str">
        <f>INDEX(Prioritization!$D:$D,MATCH($B121,Prioritization!$A:$A,0))</f>
        <v>INVALID</v>
      </c>
      <c r="B121" t="s">
        <v>201</v>
      </c>
      <c r="C121" t="s">
        <v>367</v>
      </c>
      <c r="D121" t="s">
        <v>29</v>
      </c>
      <c r="E121" t="str">
        <f t="shared" si="27"/>
        <v>Ntchisi District [fiRkU6gEjLz]|50+|Female</v>
      </c>
      <c r="F121" s="90">
        <f>IF(LEFT($B121,4)="_Mil","",INDEX(Cascade!$AA:$AA,MATCH($E121,Cascade!$E:$E,0)))</f>
        <v>1492</v>
      </c>
      <c r="G121" s="14">
        <f>INDEX(Cascade!$BH:$BH,MATCH($E121,Cascade!$E:$E,0))</f>
        <v>0</v>
      </c>
      <c r="H121" s="14" t="str">
        <f>IF(OR($C121="01-09",$D121="Male"),"",INDEX(PMTCT!$AC:$AC,MATCH($E121,PMTCT!$E:$E,0)))</f>
        <v/>
      </c>
      <c r="I121" s="14" t="str">
        <f>IF(OR($C121="01-09",$D121="Male"),"",INDEX(PMTCT!$AS:$AS,MATCH($E121,PMTCT!$E:$E,0)))</f>
        <v/>
      </c>
      <c r="J121" s="14" t="str">
        <f>INDEX(TB!$P:$P,MATCH($E121,TB!$E:$E,0))</f>
        <v/>
      </c>
      <c r="K121" s="14" t="str">
        <f>IF(OR($C121="01-09",$C121="10-14",$D121="Female"),"",INDEX(VMMC!$AA:$AA,MATCH($E121,VMMC!$E:$E,0)))</f>
        <v/>
      </c>
      <c r="L121" s="14">
        <f t="shared" si="28"/>
        <v>0</v>
      </c>
      <c r="M121" s="90" t="str">
        <f t="shared" si="29"/>
        <v/>
      </c>
      <c r="N121" s="90" t="str">
        <f t="shared" si="30"/>
        <v/>
      </c>
      <c r="O121" s="90" t="str">
        <f t="shared" si="31"/>
        <v/>
      </c>
      <c r="P121" s="90" t="str">
        <f t="shared" si="32"/>
        <v/>
      </c>
      <c r="Q121" s="90"/>
      <c r="R121" s="90"/>
      <c r="S121" s="90"/>
      <c r="T121" s="90"/>
      <c r="U121" s="90">
        <v>0.112473258981481</v>
      </c>
      <c r="V121" s="90" t="str">
        <f t="shared" si="33"/>
        <v/>
      </c>
      <c r="W121" s="90"/>
      <c r="X121" s="42" t="str">
        <f t="shared" si="34"/>
        <v/>
      </c>
      <c r="Y121" s="42" t="str">
        <f t="shared" si="35"/>
        <v/>
      </c>
      <c r="Z121" s="90"/>
      <c r="AA121" s="42" t="str">
        <f t="shared" si="36"/>
        <v/>
      </c>
      <c r="AB121" s="42" t="str">
        <f t="shared" si="37"/>
        <v/>
      </c>
      <c r="AC121" s="90"/>
      <c r="AD121" s="42" t="str">
        <f t="shared" si="38"/>
        <v/>
      </c>
      <c r="AE121" s="42" t="str">
        <f t="shared" si="39"/>
        <v/>
      </c>
      <c r="AF121" s="90"/>
      <c r="AG121" s="42" t="str">
        <f t="shared" si="40"/>
        <v/>
      </c>
      <c r="AH121" s="42" t="str">
        <f t="shared" si="41"/>
        <v/>
      </c>
      <c r="AI121" s="90"/>
      <c r="AJ121" s="42" t="str">
        <f t="shared" si="42"/>
        <v/>
      </c>
      <c r="AK121" s="42" t="str">
        <f t="shared" si="43"/>
        <v/>
      </c>
      <c r="AL121" s="14" t="str">
        <f t="shared" si="44"/>
        <v/>
      </c>
      <c r="AM121" s="14" t="str">
        <f t="shared" si="45"/>
        <v/>
      </c>
      <c r="AN121" s="14" t="str">
        <f t="shared" si="46"/>
        <v/>
      </c>
      <c r="AO121" s="14" t="str">
        <f>IF(OR($C121="01-09",$D121="Male"),"",INDEX(PMTCT!$AD:$AD,MATCH($E121,PMTCT!$E:$E,0)))</f>
        <v/>
      </c>
      <c r="AP121" s="14" t="str">
        <f>IF(OR($C121="01-09",$D121="Male"),"",INDEX(PMTCT!$AT:$AT,MATCH($E121,PMTCT!$E:$E,0)))</f>
        <v/>
      </c>
      <c r="AQ121" s="14" t="str">
        <f>INDEX(TB!$Q:$Q,MATCH($E121,TB!$E:$E,0))</f>
        <v/>
      </c>
      <c r="AR121" s="14" t="str">
        <f>IF(OR($C121="01-09",$C121="10-14",$D121="Female"),"",INDEX(VMMC!$AB:$AB,MATCH($E121,VMMC!$E:$E,0)))</f>
        <v/>
      </c>
      <c r="AS121" s="14" t="str">
        <f>IF(OR($C121="01-09",$C121="10-14"),"",INDEX(PrEP!$Q:$Q,MATCH($E121,PrEP!$E:$E,0)))</f>
        <v/>
      </c>
      <c r="AT121" s="14" t="str">
        <f t="shared" si="47"/>
        <v/>
      </c>
      <c r="AU121" s="14" t="str">
        <f t="shared" si="48"/>
        <v/>
      </c>
      <c r="AV121" s="90" t="str">
        <f t="shared" si="49"/>
        <v/>
      </c>
      <c r="AW121" s="14">
        <v>3</v>
      </c>
      <c r="AX121" s="90">
        <f t="shared" si="50"/>
        <v>0</v>
      </c>
      <c r="AY121" s="42">
        <f t="shared" si="51"/>
        <v>3</v>
      </c>
      <c r="AZ121" s="90">
        <f t="shared" si="52"/>
        <v>1</v>
      </c>
      <c r="BA121" s="42" t="str">
        <f t="shared" si="53"/>
        <v/>
      </c>
    </row>
    <row r="122" spans="1:53" x14ac:dyDescent="0.2">
      <c r="A122" t="str">
        <f>INDEX(Prioritization!$D:$D,MATCH($B122,Prioritization!$A:$A,0))</f>
        <v>INVALID</v>
      </c>
      <c r="B122" t="s">
        <v>201</v>
      </c>
      <c r="C122" t="s">
        <v>367</v>
      </c>
      <c r="D122" t="s">
        <v>47</v>
      </c>
      <c r="E122" t="str">
        <f t="shared" si="27"/>
        <v>Ntchisi District [fiRkU6gEjLz]|50+|Male</v>
      </c>
      <c r="F122" s="90">
        <f>IF(LEFT($B122,4)="_Mil","",INDEX(Cascade!$AA:$AA,MATCH($E122,Cascade!$E:$E,0)))</f>
        <v>1011</v>
      </c>
      <c r="G122" s="14">
        <f>INDEX(Cascade!$BH:$BH,MATCH($E122,Cascade!$E:$E,0))</f>
        <v>0</v>
      </c>
      <c r="H122" s="14" t="str">
        <f>IF(OR($C122="01-09",$D122="Male"),"",INDEX(PMTCT!$AC:$AC,MATCH($E122,PMTCT!$E:$E,0)))</f>
        <v/>
      </c>
      <c r="I122" s="14" t="str">
        <f>IF(OR($C122="01-09",$D122="Male"),"",INDEX(PMTCT!$AS:$AS,MATCH($E122,PMTCT!$E:$E,0)))</f>
        <v/>
      </c>
      <c r="J122" s="14" t="str">
        <f>INDEX(TB!$P:$P,MATCH($E122,TB!$E:$E,0))</f>
        <v/>
      </c>
      <c r="K122" s="14" t="str">
        <f>IF(OR($C122="01-09",$C122="10-14",$D122="Female"),"",INDEX(VMMC!$AA:$AA,MATCH($E122,VMMC!$E:$E,0)))</f>
        <v/>
      </c>
      <c r="L122" s="14">
        <f t="shared" si="28"/>
        <v>0</v>
      </c>
      <c r="M122" s="90" t="str">
        <f t="shared" si="29"/>
        <v/>
      </c>
      <c r="N122" s="90" t="str">
        <f t="shared" si="30"/>
        <v/>
      </c>
      <c r="O122" s="90" t="str">
        <f t="shared" si="31"/>
        <v/>
      </c>
      <c r="P122" s="90" t="str">
        <f t="shared" si="32"/>
        <v/>
      </c>
      <c r="Q122" s="90"/>
      <c r="R122" s="90"/>
      <c r="S122" s="90"/>
      <c r="T122" s="90"/>
      <c r="U122" s="90">
        <v>4.61667813360691E-2</v>
      </c>
      <c r="V122" s="90" t="str">
        <f t="shared" si="33"/>
        <v/>
      </c>
      <c r="W122" s="90"/>
      <c r="X122" s="42" t="str">
        <f t="shared" si="34"/>
        <v/>
      </c>
      <c r="Y122" s="42" t="str">
        <f t="shared" si="35"/>
        <v/>
      </c>
      <c r="Z122" s="90"/>
      <c r="AA122" s="42" t="str">
        <f t="shared" si="36"/>
        <v/>
      </c>
      <c r="AB122" s="42" t="str">
        <f t="shared" si="37"/>
        <v/>
      </c>
      <c r="AC122" s="90"/>
      <c r="AD122" s="42" t="str">
        <f t="shared" si="38"/>
        <v/>
      </c>
      <c r="AE122" s="42" t="str">
        <f t="shared" si="39"/>
        <v/>
      </c>
      <c r="AF122" s="90"/>
      <c r="AG122" s="42" t="str">
        <f t="shared" si="40"/>
        <v/>
      </c>
      <c r="AH122" s="42" t="str">
        <f t="shared" si="41"/>
        <v/>
      </c>
      <c r="AI122" s="90"/>
      <c r="AJ122" s="42" t="str">
        <f t="shared" si="42"/>
        <v/>
      </c>
      <c r="AK122" s="42" t="str">
        <f t="shared" si="43"/>
        <v/>
      </c>
      <c r="AL122" s="14" t="str">
        <f t="shared" si="44"/>
        <v/>
      </c>
      <c r="AM122" s="14" t="str">
        <f t="shared" si="45"/>
        <v/>
      </c>
      <c r="AN122" s="14" t="str">
        <f t="shared" si="46"/>
        <v/>
      </c>
      <c r="AO122" s="14" t="str">
        <f>IF(OR($C122="01-09",$D122="Male"),"",INDEX(PMTCT!$AD:$AD,MATCH($E122,PMTCT!$E:$E,0)))</f>
        <v/>
      </c>
      <c r="AP122" s="14" t="str">
        <f>IF(OR($C122="01-09",$D122="Male"),"",INDEX(PMTCT!$AT:$AT,MATCH($E122,PMTCT!$E:$E,0)))</f>
        <v/>
      </c>
      <c r="AQ122" s="14" t="str">
        <f>INDEX(TB!$Q:$Q,MATCH($E122,TB!$E:$E,0))</f>
        <v/>
      </c>
      <c r="AR122" s="14" t="str">
        <f>IF(OR($C122="01-09",$C122="10-14",$D122="Female"),"",INDEX(VMMC!$AB:$AB,MATCH($E122,VMMC!$E:$E,0)))</f>
        <v/>
      </c>
      <c r="AS122" s="14" t="str">
        <f>IF(OR($C122="01-09",$C122="10-14"),"",INDEX(PrEP!$Q:$Q,MATCH($E122,PrEP!$E:$E,0)))</f>
        <v/>
      </c>
      <c r="AT122" s="14" t="str">
        <f t="shared" si="47"/>
        <v/>
      </c>
      <c r="AU122" s="14" t="str">
        <f t="shared" si="48"/>
        <v/>
      </c>
      <c r="AV122" s="90" t="str">
        <f t="shared" si="49"/>
        <v/>
      </c>
      <c r="AW122" s="14">
        <v>8</v>
      </c>
      <c r="AX122" s="90">
        <f t="shared" si="50"/>
        <v>0</v>
      </c>
      <c r="AY122" s="42">
        <f t="shared" si="51"/>
        <v>8</v>
      </c>
      <c r="AZ122" s="90">
        <f t="shared" si="52"/>
        <v>1</v>
      </c>
      <c r="BA122" s="42" t="str">
        <f t="shared" si="53"/>
        <v/>
      </c>
    </row>
    <row r="123" spans="1:53" x14ac:dyDescent="0.2">
      <c r="A123" t="str">
        <f>INDEX(Prioritization!$D:$D,MATCH($B123,Prioritization!$A:$A,0))</f>
        <v>INVALID</v>
      </c>
      <c r="B123" t="s">
        <v>202</v>
      </c>
      <c r="C123" t="s">
        <v>362</v>
      </c>
      <c r="D123" t="s">
        <v>29</v>
      </c>
      <c r="E123" t="str">
        <f t="shared" si="27"/>
        <v>Salima District [msW2zpIN7up]|01-09|Female</v>
      </c>
      <c r="F123" s="90">
        <f>IF(LEFT($B123,4)="_Mil","",INDEX(Cascade!$AA:$AA,MATCH($E123,Cascade!$E:$E,0)))</f>
        <v>772</v>
      </c>
      <c r="G123" s="14">
        <f>INDEX(Cascade!$BH:$BH,MATCH($E123,Cascade!$E:$E,0))</f>
        <v>0</v>
      </c>
      <c r="H123" s="14" t="str">
        <f>IF(OR($C123="01-09",$D123="Male"),"",INDEX(PMTCT!$AC:$AC,MATCH($E123,PMTCT!$E:$E,0)))</f>
        <v/>
      </c>
      <c r="I123" s="14" t="str">
        <f>IF(OR($C123="01-09",$D123="Male"),"",INDEX(PMTCT!$AS:$AS,MATCH($E123,PMTCT!$E:$E,0)))</f>
        <v/>
      </c>
      <c r="J123" s="14" t="str">
        <f>INDEX(TB!$P:$P,MATCH($E123,TB!$E:$E,0))</f>
        <v/>
      </c>
      <c r="K123" s="14" t="str">
        <f>IF(OR($C123="01-09",$C123="10-14",$D123="Female"),"",INDEX(VMMC!$AA:$AA,MATCH($E123,VMMC!$E:$E,0)))</f>
        <v/>
      </c>
      <c r="L123" s="14">
        <f t="shared" si="28"/>
        <v>0</v>
      </c>
      <c r="M123" s="90" t="str">
        <f t="shared" si="29"/>
        <v/>
      </c>
      <c r="N123" s="90" t="str">
        <f t="shared" si="30"/>
        <v/>
      </c>
      <c r="O123" s="90" t="str">
        <f t="shared" si="31"/>
        <v/>
      </c>
      <c r="P123" s="90" t="str">
        <f t="shared" si="32"/>
        <v/>
      </c>
      <c r="Q123" s="90"/>
      <c r="R123" s="90"/>
      <c r="S123" s="90"/>
      <c r="T123" s="90"/>
      <c r="U123" s="90"/>
      <c r="V123" s="90" t="str">
        <f t="shared" si="33"/>
        <v/>
      </c>
      <c r="W123" s="90"/>
      <c r="X123" s="42" t="str">
        <f t="shared" si="34"/>
        <v/>
      </c>
      <c r="Y123" s="42" t="str">
        <f t="shared" si="35"/>
        <v/>
      </c>
      <c r="Z123" s="90"/>
      <c r="AA123" s="42" t="str">
        <f t="shared" si="36"/>
        <v/>
      </c>
      <c r="AB123" s="42" t="str">
        <f t="shared" si="37"/>
        <v/>
      </c>
      <c r="AC123" s="90"/>
      <c r="AD123" s="42" t="str">
        <f t="shared" si="38"/>
        <v/>
      </c>
      <c r="AE123" s="42" t="str">
        <f t="shared" si="39"/>
        <v/>
      </c>
      <c r="AF123" s="90"/>
      <c r="AG123" s="42" t="str">
        <f t="shared" si="40"/>
        <v/>
      </c>
      <c r="AH123" s="42" t="str">
        <f t="shared" si="41"/>
        <v/>
      </c>
      <c r="AI123" s="90"/>
      <c r="AJ123" s="42" t="str">
        <f t="shared" si="42"/>
        <v/>
      </c>
      <c r="AK123" s="42" t="str">
        <f t="shared" si="43"/>
        <v/>
      </c>
      <c r="AL123" s="14" t="str">
        <f t="shared" si="44"/>
        <v/>
      </c>
      <c r="AM123" s="14" t="str">
        <f t="shared" si="45"/>
        <v/>
      </c>
      <c r="AN123" s="14" t="str">
        <f t="shared" si="46"/>
        <v/>
      </c>
      <c r="AO123" s="14" t="str">
        <f>IF(OR($C123="01-09",$D123="Male"),"",INDEX(PMTCT!$AD:$AD,MATCH($E123,PMTCT!$E:$E,0)))</f>
        <v/>
      </c>
      <c r="AP123" s="14" t="str">
        <f>IF(OR($C123="01-09",$D123="Male"),"",INDEX(PMTCT!$AT:$AT,MATCH($E123,PMTCT!$E:$E,0)))</f>
        <v/>
      </c>
      <c r="AQ123" s="14" t="str">
        <f>INDEX(TB!$Q:$Q,MATCH($E123,TB!$E:$E,0))</f>
        <v/>
      </c>
      <c r="AR123" s="14" t="str">
        <f>IF(OR($C123="01-09",$C123="10-14",$D123="Female"),"",INDEX(VMMC!$AB:$AB,MATCH($E123,VMMC!$E:$E,0)))</f>
        <v/>
      </c>
      <c r="AS123" s="14" t="str">
        <f>IF(OR($C123="01-09",$C123="10-14"),"",INDEX(PrEP!$Q:$Q,MATCH($E123,PrEP!$E:$E,0)))</f>
        <v/>
      </c>
      <c r="AT123" s="14" t="str">
        <f t="shared" si="47"/>
        <v/>
      </c>
      <c r="AU123" s="14" t="str">
        <f t="shared" si="48"/>
        <v/>
      </c>
      <c r="AV123" s="90" t="str">
        <f t="shared" si="49"/>
        <v/>
      </c>
      <c r="AW123" s="14"/>
      <c r="AX123" s="90" t="str">
        <f t="shared" si="50"/>
        <v/>
      </c>
      <c r="AY123" s="42" t="str">
        <f t="shared" si="51"/>
        <v/>
      </c>
      <c r="AZ123" s="90" t="str">
        <f t="shared" si="52"/>
        <v/>
      </c>
      <c r="BA123" s="42" t="str">
        <f t="shared" si="53"/>
        <v/>
      </c>
    </row>
    <row r="124" spans="1:53" x14ac:dyDescent="0.2">
      <c r="A124" t="str">
        <f>INDEX(Prioritization!$D:$D,MATCH($B124,Prioritization!$A:$A,0))</f>
        <v>INVALID</v>
      </c>
      <c r="B124" t="s">
        <v>202</v>
      </c>
      <c r="C124" t="s">
        <v>362</v>
      </c>
      <c r="D124" t="s">
        <v>47</v>
      </c>
      <c r="E124" t="str">
        <f t="shared" si="27"/>
        <v>Salima District [msW2zpIN7up]|01-09|Male</v>
      </c>
      <c r="F124" s="90">
        <f>IF(LEFT($B124,4)="_Mil","",INDEX(Cascade!$AA:$AA,MATCH($E124,Cascade!$E:$E,0)))</f>
        <v>554</v>
      </c>
      <c r="G124" s="14">
        <f>INDEX(Cascade!$BH:$BH,MATCH($E124,Cascade!$E:$E,0))</f>
        <v>0</v>
      </c>
      <c r="H124" s="14" t="str">
        <f>IF(OR($C124="01-09",$D124="Male"),"",INDEX(PMTCT!$AC:$AC,MATCH($E124,PMTCT!$E:$E,0)))</f>
        <v/>
      </c>
      <c r="I124" s="14" t="str">
        <f>IF(OR($C124="01-09",$D124="Male"),"",INDEX(PMTCT!$AS:$AS,MATCH($E124,PMTCT!$E:$E,0)))</f>
        <v/>
      </c>
      <c r="J124" s="14" t="str">
        <f>INDEX(TB!$P:$P,MATCH($E124,TB!$E:$E,0))</f>
        <v/>
      </c>
      <c r="K124" s="14" t="str">
        <f>IF(OR($C124="01-09",$C124="10-14",$D124="Female"),"",INDEX(VMMC!$AA:$AA,MATCH($E124,VMMC!$E:$E,0)))</f>
        <v/>
      </c>
      <c r="L124" s="14">
        <f t="shared" si="28"/>
        <v>0</v>
      </c>
      <c r="M124" s="90" t="str">
        <f t="shared" si="29"/>
        <v/>
      </c>
      <c r="N124" s="90" t="str">
        <f t="shared" si="30"/>
        <v/>
      </c>
      <c r="O124" s="90" t="str">
        <f t="shared" si="31"/>
        <v/>
      </c>
      <c r="P124" s="90" t="str">
        <f t="shared" si="32"/>
        <v/>
      </c>
      <c r="Q124" s="90"/>
      <c r="R124" s="90"/>
      <c r="S124" s="90"/>
      <c r="T124" s="90"/>
      <c r="U124" s="90"/>
      <c r="V124" s="90" t="str">
        <f t="shared" si="33"/>
        <v/>
      </c>
      <c r="W124" s="90"/>
      <c r="X124" s="42" t="str">
        <f t="shared" si="34"/>
        <v/>
      </c>
      <c r="Y124" s="42" t="str">
        <f t="shared" si="35"/>
        <v/>
      </c>
      <c r="Z124" s="90"/>
      <c r="AA124" s="42" t="str">
        <f t="shared" si="36"/>
        <v/>
      </c>
      <c r="AB124" s="42" t="str">
        <f t="shared" si="37"/>
        <v/>
      </c>
      <c r="AC124" s="90"/>
      <c r="AD124" s="42" t="str">
        <f t="shared" si="38"/>
        <v/>
      </c>
      <c r="AE124" s="42" t="str">
        <f t="shared" si="39"/>
        <v/>
      </c>
      <c r="AF124" s="90"/>
      <c r="AG124" s="42" t="str">
        <f t="shared" si="40"/>
        <v/>
      </c>
      <c r="AH124" s="42" t="str">
        <f t="shared" si="41"/>
        <v/>
      </c>
      <c r="AI124" s="90"/>
      <c r="AJ124" s="42" t="str">
        <f t="shared" si="42"/>
        <v/>
      </c>
      <c r="AK124" s="42" t="str">
        <f t="shared" si="43"/>
        <v/>
      </c>
      <c r="AL124" s="14" t="str">
        <f t="shared" si="44"/>
        <v/>
      </c>
      <c r="AM124" s="14" t="str">
        <f t="shared" si="45"/>
        <v/>
      </c>
      <c r="AN124" s="14" t="str">
        <f t="shared" si="46"/>
        <v/>
      </c>
      <c r="AO124" s="14" t="str">
        <f>IF(OR($C124="01-09",$D124="Male"),"",INDEX(PMTCT!$AD:$AD,MATCH($E124,PMTCT!$E:$E,0)))</f>
        <v/>
      </c>
      <c r="AP124" s="14" t="str">
        <f>IF(OR($C124="01-09",$D124="Male"),"",INDEX(PMTCT!$AT:$AT,MATCH($E124,PMTCT!$E:$E,0)))</f>
        <v/>
      </c>
      <c r="AQ124" s="14" t="str">
        <f>INDEX(TB!$Q:$Q,MATCH($E124,TB!$E:$E,0))</f>
        <v/>
      </c>
      <c r="AR124" s="14" t="str">
        <f>IF(OR($C124="01-09",$C124="10-14",$D124="Female"),"",INDEX(VMMC!$AB:$AB,MATCH($E124,VMMC!$E:$E,0)))</f>
        <v/>
      </c>
      <c r="AS124" s="14" t="str">
        <f>IF(OR($C124="01-09",$C124="10-14"),"",INDEX(PrEP!$Q:$Q,MATCH($E124,PrEP!$E:$E,0)))</f>
        <v/>
      </c>
      <c r="AT124" s="14" t="str">
        <f t="shared" si="47"/>
        <v/>
      </c>
      <c r="AU124" s="14" t="str">
        <f t="shared" si="48"/>
        <v/>
      </c>
      <c r="AV124" s="90" t="str">
        <f t="shared" si="49"/>
        <v/>
      </c>
      <c r="AW124" s="14"/>
      <c r="AX124" s="90" t="str">
        <f t="shared" si="50"/>
        <v/>
      </c>
      <c r="AY124" s="42" t="str">
        <f t="shared" si="51"/>
        <v/>
      </c>
      <c r="AZ124" s="90" t="str">
        <f t="shared" si="52"/>
        <v/>
      </c>
      <c r="BA124" s="42" t="str">
        <f t="shared" si="53"/>
        <v/>
      </c>
    </row>
    <row r="125" spans="1:53" x14ac:dyDescent="0.2">
      <c r="A125" t="str">
        <f>INDEX(Prioritization!$D:$D,MATCH($B125,Prioritization!$A:$A,0))</f>
        <v>INVALID</v>
      </c>
      <c r="B125" t="s">
        <v>202</v>
      </c>
      <c r="C125" t="s">
        <v>363</v>
      </c>
      <c r="D125" t="s">
        <v>29</v>
      </c>
      <c r="E125" t="str">
        <f t="shared" si="27"/>
        <v>Salima District [msW2zpIN7up]|10-14|Female</v>
      </c>
      <c r="F125" s="90">
        <f>IF(LEFT($B125,4)="_Mil","",INDEX(Cascade!$AA:$AA,MATCH($E125,Cascade!$E:$E,0)))</f>
        <v>842</v>
      </c>
      <c r="G125" s="14">
        <f>INDEX(Cascade!$BH:$BH,MATCH($E125,Cascade!$E:$E,0))</f>
        <v>-82</v>
      </c>
      <c r="H125" s="14" t="str">
        <f>IF(OR($C125="01-09",$D125="Male"),"",INDEX(PMTCT!$AC:$AC,MATCH($E125,PMTCT!$E:$E,0)))</f>
        <v>ENTER YIELD RATE</v>
      </c>
      <c r="I125" s="14" t="str">
        <f>IF(OR($C125="01-09",$D125="Male"),"",INDEX(PMTCT!$AS:$AS,MATCH($E125,PMTCT!$E:$E,0)))</f>
        <v>ENTER YIELD RATE</v>
      </c>
      <c r="J125" s="14" t="str">
        <f>INDEX(TB!$P:$P,MATCH($E125,TB!$E:$E,0))</f>
        <v/>
      </c>
      <c r="K125" s="14" t="str">
        <f>IF(OR($C125="01-09",$C125="10-14",$D125="Female"),"",INDEX(VMMC!$AA:$AA,MATCH($E125,VMMC!$E:$E,0)))</f>
        <v/>
      </c>
      <c r="L125" s="14">
        <f t="shared" si="28"/>
        <v>-82</v>
      </c>
      <c r="M125" s="90">
        <f t="shared" si="29"/>
        <v>0</v>
      </c>
      <c r="N125" s="90">
        <f t="shared" si="30"/>
        <v>0</v>
      </c>
      <c r="O125" s="90">
        <f t="shared" si="31"/>
        <v>0</v>
      </c>
      <c r="P125" s="90" t="str">
        <f t="shared" si="32"/>
        <v/>
      </c>
      <c r="Q125" s="90"/>
      <c r="R125" s="90"/>
      <c r="S125" s="90"/>
      <c r="T125" s="90"/>
      <c r="U125" s="90"/>
      <c r="V125" s="90">
        <f t="shared" si="33"/>
        <v>0</v>
      </c>
      <c r="W125" s="90"/>
      <c r="X125" s="42" t="str">
        <f t="shared" si="34"/>
        <v/>
      </c>
      <c r="Y125" s="42" t="str">
        <f t="shared" si="35"/>
        <v/>
      </c>
      <c r="Z125" s="90"/>
      <c r="AA125" s="42" t="str">
        <f t="shared" si="36"/>
        <v/>
      </c>
      <c r="AB125" s="42" t="str">
        <f t="shared" si="37"/>
        <v/>
      </c>
      <c r="AC125" s="90"/>
      <c r="AD125" s="42" t="str">
        <f t="shared" si="38"/>
        <v/>
      </c>
      <c r="AE125" s="42" t="str">
        <f t="shared" si="39"/>
        <v/>
      </c>
      <c r="AF125" s="90"/>
      <c r="AG125" s="42" t="str">
        <f t="shared" si="40"/>
        <v/>
      </c>
      <c r="AH125" s="42" t="str">
        <f t="shared" si="41"/>
        <v/>
      </c>
      <c r="AI125" s="90">
        <v>0.29577217646874499</v>
      </c>
      <c r="AJ125" s="42" t="str">
        <f t="shared" si="42"/>
        <v/>
      </c>
      <c r="AK125" s="42" t="str">
        <f t="shared" si="43"/>
        <v/>
      </c>
      <c r="AL125" s="14">
        <f t="shared" si="44"/>
        <v>-82</v>
      </c>
      <c r="AM125" s="14" t="str">
        <f t="shared" si="45"/>
        <v/>
      </c>
      <c r="AN125" s="14" t="e">
        <f t="shared" si="46"/>
        <v>#VALUE!</v>
      </c>
      <c r="AO125" s="14">
        <f>IF(OR($C125="01-09",$D125="Male"),"",INDEX(PMTCT!$AD:$AD,MATCH($E125,PMTCT!$E:$E,0)))</f>
        <v>10</v>
      </c>
      <c r="AP125" s="14">
        <f>IF(OR($C125="01-09",$D125="Male"),"",INDEX(PMTCT!$AT:$AT,MATCH($E125,PMTCT!$E:$E,0)))</f>
        <v>10</v>
      </c>
      <c r="AQ125" s="14" t="str">
        <f>INDEX(TB!$Q:$Q,MATCH($E125,TB!$E:$E,0))</f>
        <v/>
      </c>
      <c r="AR125" s="14" t="str">
        <f>IF(OR($C125="01-09",$C125="10-14",$D125="Female"),"",INDEX(VMMC!$AB:$AB,MATCH($E125,VMMC!$E:$E,0)))</f>
        <v/>
      </c>
      <c r="AS125" s="14" t="str">
        <f>IF(OR($C125="01-09",$C125="10-14"),"",INDEX(PrEP!$Q:$Q,MATCH($E125,PrEP!$E:$E,0)))</f>
        <v/>
      </c>
      <c r="AT125" s="14">
        <f t="shared" si="47"/>
        <v>20</v>
      </c>
      <c r="AU125" s="14">
        <f t="shared" si="48"/>
        <v>20</v>
      </c>
      <c r="AV125" s="90" t="e">
        <f t="shared" si="49"/>
        <v>#VALUE!</v>
      </c>
      <c r="AW125" s="14"/>
      <c r="AX125" s="90" t="str">
        <f t="shared" si="50"/>
        <v/>
      </c>
      <c r="AY125" s="42" t="str">
        <f t="shared" si="51"/>
        <v/>
      </c>
      <c r="AZ125" s="90" t="str">
        <f t="shared" si="52"/>
        <v/>
      </c>
      <c r="BA125" s="42" t="str">
        <f t="shared" si="53"/>
        <v/>
      </c>
    </row>
    <row r="126" spans="1:53" x14ac:dyDescent="0.2">
      <c r="A126" t="str">
        <f>INDEX(Prioritization!$D:$D,MATCH($B126,Prioritization!$A:$A,0))</f>
        <v>INVALID</v>
      </c>
      <c r="B126" t="s">
        <v>202</v>
      </c>
      <c r="C126" t="s">
        <v>363</v>
      </c>
      <c r="D126" t="s">
        <v>47</v>
      </c>
      <c r="E126" t="str">
        <f t="shared" si="27"/>
        <v>Salima District [msW2zpIN7up]|10-14|Male</v>
      </c>
      <c r="F126" s="90">
        <f>IF(LEFT($B126,4)="_Mil","",INDEX(Cascade!$AA:$AA,MATCH($E126,Cascade!$E:$E,0)))</f>
        <v>751</v>
      </c>
      <c r="G126" s="14">
        <f>INDEX(Cascade!$BH:$BH,MATCH($E126,Cascade!$E:$E,0))</f>
        <v>-77</v>
      </c>
      <c r="H126" s="14" t="str">
        <f>IF(OR($C126="01-09",$D126="Male"),"",INDEX(PMTCT!$AC:$AC,MATCH($E126,PMTCT!$E:$E,0)))</f>
        <v/>
      </c>
      <c r="I126" s="14" t="str">
        <f>IF(OR($C126="01-09",$D126="Male"),"",INDEX(PMTCT!$AS:$AS,MATCH($E126,PMTCT!$E:$E,0)))</f>
        <v/>
      </c>
      <c r="J126" s="14" t="str">
        <f>INDEX(TB!$P:$P,MATCH($E126,TB!$E:$E,0))</f>
        <v>ENTER YIELD RATE</v>
      </c>
      <c r="K126" s="14" t="str">
        <f>IF(OR($C126="01-09",$C126="10-14",$D126="Female"),"",INDEX(VMMC!$AA:$AA,MATCH($E126,VMMC!$E:$E,0)))</f>
        <v/>
      </c>
      <c r="L126" s="14">
        <f t="shared" si="28"/>
        <v>-77</v>
      </c>
      <c r="M126" s="90" t="str">
        <f t="shared" si="29"/>
        <v/>
      </c>
      <c r="N126" s="90" t="str">
        <f t="shared" si="30"/>
        <v/>
      </c>
      <c r="O126" s="90">
        <f t="shared" si="31"/>
        <v>0</v>
      </c>
      <c r="P126" s="90" t="str">
        <f t="shared" si="32"/>
        <v/>
      </c>
      <c r="Q126" s="90"/>
      <c r="R126" s="90"/>
      <c r="S126" s="90"/>
      <c r="T126" s="90"/>
      <c r="U126" s="90"/>
      <c r="V126" s="90">
        <f t="shared" si="33"/>
        <v>0</v>
      </c>
      <c r="W126" s="90"/>
      <c r="X126" s="42" t="str">
        <f t="shared" si="34"/>
        <v/>
      </c>
      <c r="Y126" s="42" t="str">
        <f t="shared" si="35"/>
        <v/>
      </c>
      <c r="Z126" s="90"/>
      <c r="AA126" s="42" t="str">
        <f t="shared" si="36"/>
        <v/>
      </c>
      <c r="AB126" s="42" t="str">
        <f t="shared" si="37"/>
        <v/>
      </c>
      <c r="AC126" s="90"/>
      <c r="AD126" s="42" t="str">
        <f t="shared" si="38"/>
        <v/>
      </c>
      <c r="AE126" s="42" t="str">
        <f t="shared" si="39"/>
        <v/>
      </c>
      <c r="AF126" s="90"/>
      <c r="AG126" s="42" t="str">
        <f t="shared" si="40"/>
        <v/>
      </c>
      <c r="AH126" s="42" t="str">
        <f t="shared" si="41"/>
        <v/>
      </c>
      <c r="AI126" s="90">
        <v>6.6869107773527503E-2</v>
      </c>
      <c r="AJ126" s="42" t="str">
        <f t="shared" si="42"/>
        <v/>
      </c>
      <c r="AK126" s="42" t="str">
        <f t="shared" si="43"/>
        <v/>
      </c>
      <c r="AL126" s="14">
        <f t="shared" si="44"/>
        <v>-77</v>
      </c>
      <c r="AM126" s="14" t="str">
        <f t="shared" si="45"/>
        <v/>
      </c>
      <c r="AN126" s="14" t="e">
        <f t="shared" si="46"/>
        <v>#VALUE!</v>
      </c>
      <c r="AO126" s="14" t="str">
        <f>IF(OR($C126="01-09",$D126="Male"),"",INDEX(PMTCT!$AD:$AD,MATCH($E126,PMTCT!$E:$E,0)))</f>
        <v/>
      </c>
      <c r="AP126" s="14" t="str">
        <f>IF(OR($C126="01-09",$D126="Male"),"",INDEX(PMTCT!$AT:$AT,MATCH($E126,PMTCT!$E:$E,0)))</f>
        <v/>
      </c>
      <c r="AQ126" s="14">
        <f>INDEX(TB!$Q:$Q,MATCH($E126,TB!$E:$E,0))</f>
        <v>1</v>
      </c>
      <c r="AR126" s="14" t="str">
        <f>IF(OR($C126="01-09",$C126="10-14",$D126="Female"),"",INDEX(VMMC!$AB:$AB,MATCH($E126,VMMC!$E:$E,0)))</f>
        <v/>
      </c>
      <c r="AS126" s="14" t="str">
        <f>IF(OR($C126="01-09",$C126="10-14"),"",INDEX(PrEP!$Q:$Q,MATCH($E126,PrEP!$E:$E,0)))</f>
        <v/>
      </c>
      <c r="AT126" s="14">
        <f t="shared" si="47"/>
        <v>1</v>
      </c>
      <c r="AU126" s="14">
        <f t="shared" si="48"/>
        <v>1</v>
      </c>
      <c r="AV126" s="90" t="e">
        <f t="shared" si="49"/>
        <v>#VALUE!</v>
      </c>
      <c r="AW126" s="14"/>
      <c r="AX126" s="90" t="str">
        <f t="shared" si="50"/>
        <v/>
      </c>
      <c r="AY126" s="42" t="str">
        <f t="shared" si="51"/>
        <v/>
      </c>
      <c r="AZ126" s="90" t="str">
        <f t="shared" si="52"/>
        <v/>
      </c>
      <c r="BA126" s="42" t="str">
        <f t="shared" si="53"/>
        <v/>
      </c>
    </row>
    <row r="127" spans="1:53" x14ac:dyDescent="0.2">
      <c r="A127" t="str">
        <f>INDEX(Prioritization!$D:$D,MATCH($B127,Prioritization!$A:$A,0))</f>
        <v>INVALID</v>
      </c>
      <c r="B127" t="s">
        <v>202</v>
      </c>
      <c r="C127" t="s">
        <v>364</v>
      </c>
      <c r="D127" t="s">
        <v>29</v>
      </c>
      <c r="E127" t="str">
        <f t="shared" si="27"/>
        <v>Salima District [msW2zpIN7up]|15-24|Female</v>
      </c>
      <c r="F127" s="90">
        <f>IF(LEFT($B127,4)="_Mil","",INDEX(Cascade!$AA:$AA,MATCH($E127,Cascade!$E:$E,0)))</f>
        <v>1176</v>
      </c>
      <c r="G127" s="14">
        <f>INDEX(Cascade!$BH:$BH,MATCH($E127,Cascade!$E:$E,0))</f>
        <v>0</v>
      </c>
      <c r="H127" s="14" t="str">
        <f>IF(OR($C127="01-09",$D127="Male"),"",INDEX(PMTCT!$AC:$AC,MATCH($E127,PMTCT!$E:$E,0)))</f>
        <v/>
      </c>
      <c r="I127" s="14" t="str">
        <f>IF(OR($C127="01-09",$D127="Male"),"",INDEX(PMTCT!$AS:$AS,MATCH($E127,PMTCT!$E:$E,0)))</f>
        <v/>
      </c>
      <c r="J127" s="14" t="str">
        <f>INDEX(TB!$P:$P,MATCH($E127,TB!$E:$E,0))</f>
        <v/>
      </c>
      <c r="K127" s="14" t="str">
        <f>IF(OR($C127="01-09",$C127="10-14",$D127="Female"),"",INDEX(VMMC!$AA:$AA,MATCH($E127,VMMC!$E:$E,0)))</f>
        <v/>
      </c>
      <c r="L127" s="14">
        <f t="shared" si="28"/>
        <v>0</v>
      </c>
      <c r="M127" s="90" t="str">
        <f t="shared" si="29"/>
        <v/>
      </c>
      <c r="N127" s="90" t="str">
        <f t="shared" si="30"/>
        <v/>
      </c>
      <c r="O127" s="90" t="str">
        <f t="shared" si="31"/>
        <v/>
      </c>
      <c r="P127" s="90" t="str">
        <f t="shared" si="32"/>
        <v/>
      </c>
      <c r="Q127" s="90"/>
      <c r="R127" s="90"/>
      <c r="S127" s="90"/>
      <c r="T127" s="90"/>
      <c r="U127" s="90"/>
      <c r="V127" s="90" t="str">
        <f t="shared" si="33"/>
        <v/>
      </c>
      <c r="W127" s="90"/>
      <c r="X127" s="42" t="str">
        <f t="shared" si="34"/>
        <v/>
      </c>
      <c r="Y127" s="42" t="str">
        <f t="shared" si="35"/>
        <v/>
      </c>
      <c r="Z127" s="90"/>
      <c r="AA127" s="42" t="str">
        <f t="shared" si="36"/>
        <v/>
      </c>
      <c r="AB127" s="42" t="str">
        <f t="shared" si="37"/>
        <v/>
      </c>
      <c r="AC127" s="90"/>
      <c r="AD127" s="42" t="str">
        <f t="shared" si="38"/>
        <v/>
      </c>
      <c r="AE127" s="42" t="str">
        <f t="shared" si="39"/>
        <v/>
      </c>
      <c r="AF127" s="90"/>
      <c r="AG127" s="42" t="str">
        <f t="shared" si="40"/>
        <v/>
      </c>
      <c r="AH127" s="42" t="str">
        <f t="shared" si="41"/>
        <v/>
      </c>
      <c r="AI127" s="90"/>
      <c r="AJ127" s="42" t="str">
        <f t="shared" si="42"/>
        <v/>
      </c>
      <c r="AK127" s="42" t="str">
        <f t="shared" si="43"/>
        <v/>
      </c>
      <c r="AL127" s="14" t="str">
        <f t="shared" si="44"/>
        <v/>
      </c>
      <c r="AM127" s="14" t="str">
        <f t="shared" si="45"/>
        <v/>
      </c>
      <c r="AN127" s="14" t="str">
        <f t="shared" si="46"/>
        <v/>
      </c>
      <c r="AO127" s="14" t="str">
        <f>IF(OR($C127="01-09",$D127="Male"),"",INDEX(PMTCT!$AD:$AD,MATCH($E127,PMTCT!$E:$E,0)))</f>
        <v/>
      </c>
      <c r="AP127" s="14" t="str">
        <f>IF(OR($C127="01-09",$D127="Male"),"",INDEX(PMTCT!$AT:$AT,MATCH($E127,PMTCT!$E:$E,0)))</f>
        <v/>
      </c>
      <c r="AQ127" s="14" t="str">
        <f>INDEX(TB!$Q:$Q,MATCH($E127,TB!$E:$E,0))</f>
        <v/>
      </c>
      <c r="AR127" s="14" t="str">
        <f>IF(OR($C127="01-09",$C127="10-14",$D127="Female"),"",INDEX(VMMC!$AB:$AB,MATCH($E127,VMMC!$E:$E,0)))</f>
        <v/>
      </c>
      <c r="AS127" s="14" t="str">
        <f>IF(OR($C127="01-09",$C127="10-14"),"",INDEX(PrEP!$Q:$Q,MATCH($E127,PrEP!$E:$E,0)))</f>
        <v/>
      </c>
      <c r="AT127" s="14" t="str">
        <f t="shared" si="47"/>
        <v/>
      </c>
      <c r="AU127" s="14" t="str">
        <f t="shared" si="48"/>
        <v/>
      </c>
      <c r="AV127" s="90" t="str">
        <f t="shared" si="49"/>
        <v/>
      </c>
      <c r="AW127" s="14"/>
      <c r="AX127" s="90" t="str">
        <f t="shared" si="50"/>
        <v/>
      </c>
      <c r="AY127" s="42" t="str">
        <f t="shared" si="51"/>
        <v/>
      </c>
      <c r="AZ127" s="90">
        <f t="shared" si="52"/>
        <v>1</v>
      </c>
      <c r="BA127" s="42" t="str">
        <f t="shared" si="53"/>
        <v/>
      </c>
    </row>
    <row r="128" spans="1:53" x14ac:dyDescent="0.2">
      <c r="A128" t="str">
        <f>INDEX(Prioritization!$D:$D,MATCH($B128,Prioritization!$A:$A,0))</f>
        <v>INVALID</v>
      </c>
      <c r="B128" t="s">
        <v>202</v>
      </c>
      <c r="C128" t="s">
        <v>364</v>
      </c>
      <c r="D128" t="s">
        <v>47</v>
      </c>
      <c r="E128" t="str">
        <f t="shared" si="27"/>
        <v>Salima District [msW2zpIN7up]|15-24|Male</v>
      </c>
      <c r="F128" s="90">
        <f>IF(LEFT($B128,4)="_Mil","",INDEX(Cascade!$AA:$AA,MATCH($E128,Cascade!$E:$E,0)))</f>
        <v>1321</v>
      </c>
      <c r="G128" s="14">
        <f>INDEX(Cascade!$BH:$BH,MATCH($E128,Cascade!$E:$E,0))</f>
        <v>0</v>
      </c>
      <c r="H128" s="14" t="str">
        <f>IF(OR($C128="01-09",$D128="Male"),"",INDEX(PMTCT!$AC:$AC,MATCH($E128,PMTCT!$E:$E,0)))</f>
        <v/>
      </c>
      <c r="I128" s="14" t="str">
        <f>IF(OR($C128="01-09",$D128="Male"),"",INDEX(PMTCT!$AS:$AS,MATCH($E128,PMTCT!$E:$E,0)))</f>
        <v/>
      </c>
      <c r="J128" s="14" t="str">
        <f>INDEX(TB!$P:$P,MATCH($E128,TB!$E:$E,0))</f>
        <v/>
      </c>
      <c r="K128" s="14" t="str">
        <f>IF(OR($C128="01-09",$C128="10-14",$D128="Female"),"",INDEX(VMMC!$AA:$AA,MATCH($E128,VMMC!$E:$E,0)))</f>
        <v/>
      </c>
      <c r="L128" s="14">
        <f t="shared" si="28"/>
        <v>0</v>
      </c>
      <c r="M128" s="90" t="str">
        <f t="shared" si="29"/>
        <v/>
      </c>
      <c r="N128" s="90" t="str">
        <f t="shared" si="30"/>
        <v/>
      </c>
      <c r="O128" s="90" t="str">
        <f t="shared" si="31"/>
        <v/>
      </c>
      <c r="P128" s="90" t="str">
        <f t="shared" si="32"/>
        <v/>
      </c>
      <c r="Q128" s="90"/>
      <c r="R128" s="90"/>
      <c r="S128" s="90"/>
      <c r="T128" s="90"/>
      <c r="U128" s="90"/>
      <c r="V128" s="90" t="str">
        <f t="shared" si="33"/>
        <v/>
      </c>
      <c r="W128" s="90"/>
      <c r="X128" s="42" t="str">
        <f t="shared" si="34"/>
        <v/>
      </c>
      <c r="Y128" s="42" t="str">
        <f t="shared" si="35"/>
        <v/>
      </c>
      <c r="Z128" s="90"/>
      <c r="AA128" s="42" t="str">
        <f t="shared" si="36"/>
        <v/>
      </c>
      <c r="AB128" s="42" t="str">
        <f t="shared" si="37"/>
        <v/>
      </c>
      <c r="AC128" s="90"/>
      <c r="AD128" s="42" t="str">
        <f t="shared" si="38"/>
        <v/>
      </c>
      <c r="AE128" s="42" t="str">
        <f t="shared" si="39"/>
        <v/>
      </c>
      <c r="AF128" s="90"/>
      <c r="AG128" s="42" t="str">
        <f t="shared" si="40"/>
        <v/>
      </c>
      <c r="AH128" s="42" t="str">
        <f t="shared" si="41"/>
        <v/>
      </c>
      <c r="AI128" s="90"/>
      <c r="AJ128" s="42" t="str">
        <f t="shared" si="42"/>
        <v/>
      </c>
      <c r="AK128" s="42" t="str">
        <f t="shared" si="43"/>
        <v/>
      </c>
      <c r="AL128" s="14" t="str">
        <f t="shared" si="44"/>
        <v/>
      </c>
      <c r="AM128" s="14" t="str">
        <f t="shared" si="45"/>
        <v/>
      </c>
      <c r="AN128" s="14" t="str">
        <f t="shared" si="46"/>
        <v/>
      </c>
      <c r="AO128" s="14" t="str">
        <f>IF(OR($C128="01-09",$D128="Male"),"",INDEX(PMTCT!$AD:$AD,MATCH($E128,PMTCT!$E:$E,0)))</f>
        <v/>
      </c>
      <c r="AP128" s="14" t="str">
        <f>IF(OR($C128="01-09",$D128="Male"),"",INDEX(PMTCT!$AT:$AT,MATCH($E128,PMTCT!$E:$E,0)))</f>
        <v/>
      </c>
      <c r="AQ128" s="14" t="str">
        <f>INDEX(TB!$Q:$Q,MATCH($E128,TB!$E:$E,0))</f>
        <v/>
      </c>
      <c r="AR128" s="14" t="str">
        <f>IF(OR($C128="01-09",$C128="10-14",$D128="Female"),"",INDEX(VMMC!$AB:$AB,MATCH($E128,VMMC!$E:$E,0)))</f>
        <v/>
      </c>
      <c r="AS128" s="14" t="str">
        <f>IF(OR($C128="01-09",$C128="10-14"),"",INDEX(PrEP!$Q:$Q,MATCH($E128,PrEP!$E:$E,0)))</f>
        <v/>
      </c>
      <c r="AT128" s="14" t="str">
        <f t="shared" si="47"/>
        <v/>
      </c>
      <c r="AU128" s="14" t="str">
        <f t="shared" si="48"/>
        <v/>
      </c>
      <c r="AV128" s="90" t="str">
        <f t="shared" si="49"/>
        <v/>
      </c>
      <c r="AW128" s="14"/>
      <c r="AX128" s="90" t="str">
        <f t="shared" si="50"/>
        <v/>
      </c>
      <c r="AY128" s="42" t="str">
        <f t="shared" si="51"/>
        <v/>
      </c>
      <c r="AZ128" s="90">
        <f t="shared" si="52"/>
        <v>1</v>
      </c>
      <c r="BA128" s="42" t="str">
        <f t="shared" si="53"/>
        <v/>
      </c>
    </row>
    <row r="129" spans="1:53" x14ac:dyDescent="0.2">
      <c r="A129" t="str">
        <f>INDEX(Prioritization!$D:$D,MATCH($B129,Prioritization!$A:$A,0))</f>
        <v>INVALID</v>
      </c>
      <c r="B129" t="s">
        <v>202</v>
      </c>
      <c r="C129" t="s">
        <v>365</v>
      </c>
      <c r="D129" t="s">
        <v>29</v>
      </c>
      <c r="E129" t="str">
        <f t="shared" si="27"/>
        <v>Salima District [msW2zpIN7up]|25-34|Female</v>
      </c>
      <c r="F129" s="90">
        <f>IF(LEFT($B129,4)="_Mil","",INDEX(Cascade!$AA:$AA,MATCH($E129,Cascade!$E:$E,0)))</f>
        <v>1721</v>
      </c>
      <c r="G129" s="14">
        <f>INDEX(Cascade!$BH:$BH,MATCH($E129,Cascade!$E:$E,0))</f>
        <v>0</v>
      </c>
      <c r="H129" s="14" t="str">
        <f>IF(OR($C129="01-09",$D129="Male"),"",INDEX(PMTCT!$AC:$AC,MATCH($E129,PMTCT!$E:$E,0)))</f>
        <v/>
      </c>
      <c r="I129" s="14" t="str">
        <f>IF(OR($C129="01-09",$D129="Male"),"",INDEX(PMTCT!$AS:$AS,MATCH($E129,PMTCT!$E:$E,0)))</f>
        <v/>
      </c>
      <c r="J129" s="14" t="str">
        <f>INDEX(TB!$P:$P,MATCH($E129,TB!$E:$E,0))</f>
        <v/>
      </c>
      <c r="K129" s="14" t="str">
        <f>IF(OR($C129="01-09",$C129="10-14",$D129="Female"),"",INDEX(VMMC!$AA:$AA,MATCH($E129,VMMC!$E:$E,0)))</f>
        <v/>
      </c>
      <c r="L129" s="14">
        <f t="shared" si="28"/>
        <v>0</v>
      </c>
      <c r="M129" s="90" t="str">
        <f t="shared" si="29"/>
        <v/>
      </c>
      <c r="N129" s="90" t="str">
        <f t="shared" si="30"/>
        <v/>
      </c>
      <c r="O129" s="90" t="str">
        <f t="shared" si="31"/>
        <v/>
      </c>
      <c r="P129" s="90" t="str">
        <f t="shared" si="32"/>
        <v/>
      </c>
      <c r="Q129" s="90"/>
      <c r="R129" s="90"/>
      <c r="S129" s="90"/>
      <c r="T129" s="90"/>
      <c r="U129" s="90"/>
      <c r="V129" s="90" t="str">
        <f t="shared" si="33"/>
        <v/>
      </c>
      <c r="W129" s="90"/>
      <c r="X129" s="42" t="str">
        <f t="shared" si="34"/>
        <v/>
      </c>
      <c r="Y129" s="42" t="str">
        <f t="shared" si="35"/>
        <v/>
      </c>
      <c r="Z129" s="90"/>
      <c r="AA129" s="42" t="str">
        <f t="shared" si="36"/>
        <v/>
      </c>
      <c r="AB129" s="42" t="str">
        <f t="shared" si="37"/>
        <v/>
      </c>
      <c r="AC129" s="90"/>
      <c r="AD129" s="42" t="str">
        <f t="shared" si="38"/>
        <v/>
      </c>
      <c r="AE129" s="42" t="str">
        <f t="shared" si="39"/>
        <v/>
      </c>
      <c r="AF129" s="90"/>
      <c r="AG129" s="42" t="str">
        <f t="shared" si="40"/>
        <v/>
      </c>
      <c r="AH129" s="42" t="str">
        <f t="shared" si="41"/>
        <v/>
      </c>
      <c r="AI129" s="90"/>
      <c r="AJ129" s="42" t="str">
        <f t="shared" si="42"/>
        <v/>
      </c>
      <c r="AK129" s="42" t="str">
        <f t="shared" si="43"/>
        <v/>
      </c>
      <c r="AL129" s="14" t="str">
        <f t="shared" si="44"/>
        <v/>
      </c>
      <c r="AM129" s="14" t="str">
        <f t="shared" si="45"/>
        <v/>
      </c>
      <c r="AN129" s="14" t="str">
        <f t="shared" si="46"/>
        <v/>
      </c>
      <c r="AO129" s="14" t="str">
        <f>IF(OR($C129="01-09",$D129="Male"),"",INDEX(PMTCT!$AD:$AD,MATCH($E129,PMTCT!$E:$E,0)))</f>
        <v/>
      </c>
      <c r="AP129" s="14" t="str">
        <f>IF(OR($C129="01-09",$D129="Male"),"",INDEX(PMTCT!$AT:$AT,MATCH($E129,PMTCT!$E:$E,0)))</f>
        <v/>
      </c>
      <c r="AQ129" s="14" t="str">
        <f>INDEX(TB!$Q:$Q,MATCH($E129,TB!$E:$E,0))</f>
        <v/>
      </c>
      <c r="AR129" s="14" t="str">
        <f>IF(OR($C129="01-09",$C129="10-14",$D129="Female"),"",INDEX(VMMC!$AB:$AB,MATCH($E129,VMMC!$E:$E,0)))</f>
        <v/>
      </c>
      <c r="AS129" s="14" t="str">
        <f>IF(OR($C129="01-09",$C129="10-14"),"",INDEX(PrEP!$Q:$Q,MATCH($E129,PrEP!$E:$E,0)))</f>
        <v/>
      </c>
      <c r="AT129" s="14" t="str">
        <f t="shared" si="47"/>
        <v/>
      </c>
      <c r="AU129" s="14" t="str">
        <f t="shared" si="48"/>
        <v/>
      </c>
      <c r="AV129" s="90" t="str">
        <f t="shared" si="49"/>
        <v/>
      </c>
      <c r="AW129" s="14"/>
      <c r="AX129" s="90" t="str">
        <f t="shared" si="50"/>
        <v/>
      </c>
      <c r="AY129" s="42" t="str">
        <f t="shared" si="51"/>
        <v/>
      </c>
      <c r="AZ129" s="90">
        <f t="shared" si="52"/>
        <v>1</v>
      </c>
      <c r="BA129" s="42" t="str">
        <f t="shared" si="53"/>
        <v/>
      </c>
    </row>
    <row r="130" spans="1:53" x14ac:dyDescent="0.2">
      <c r="A130" t="str">
        <f>INDEX(Prioritization!$D:$D,MATCH($B130,Prioritization!$A:$A,0))</f>
        <v>INVALID</v>
      </c>
      <c r="B130" t="s">
        <v>202</v>
      </c>
      <c r="C130" t="s">
        <v>365</v>
      </c>
      <c r="D130" t="s">
        <v>47</v>
      </c>
      <c r="E130" t="str">
        <f t="shared" si="27"/>
        <v>Salima District [msW2zpIN7up]|25-34|Male</v>
      </c>
      <c r="F130" s="90">
        <f>IF(LEFT($B130,4)="_Mil","",INDEX(Cascade!$AA:$AA,MATCH($E130,Cascade!$E:$E,0)))</f>
        <v>509.00000000000006</v>
      </c>
      <c r="G130" s="14">
        <f>INDEX(Cascade!$BH:$BH,MATCH($E130,Cascade!$E:$E,0))</f>
        <v>0</v>
      </c>
      <c r="H130" s="14" t="str">
        <f>IF(OR($C130="01-09",$D130="Male"),"",INDEX(PMTCT!$AC:$AC,MATCH($E130,PMTCT!$E:$E,0)))</f>
        <v/>
      </c>
      <c r="I130" s="14" t="str">
        <f>IF(OR($C130="01-09",$D130="Male"),"",INDEX(PMTCT!$AS:$AS,MATCH($E130,PMTCT!$E:$E,0)))</f>
        <v/>
      </c>
      <c r="J130" s="14" t="str">
        <f>INDEX(TB!$P:$P,MATCH($E130,TB!$E:$E,0))</f>
        <v/>
      </c>
      <c r="K130" s="14" t="str">
        <f>IF(OR($C130="01-09",$C130="10-14",$D130="Female"),"",INDEX(VMMC!$AA:$AA,MATCH($E130,VMMC!$E:$E,0)))</f>
        <v/>
      </c>
      <c r="L130" s="14">
        <f t="shared" si="28"/>
        <v>0</v>
      </c>
      <c r="M130" s="90" t="str">
        <f t="shared" si="29"/>
        <v/>
      </c>
      <c r="N130" s="90" t="str">
        <f t="shared" si="30"/>
        <v/>
      </c>
      <c r="O130" s="90" t="str">
        <f t="shared" si="31"/>
        <v/>
      </c>
      <c r="P130" s="90" t="str">
        <f t="shared" si="32"/>
        <v/>
      </c>
      <c r="Q130" s="90"/>
      <c r="R130" s="90"/>
      <c r="S130" s="90"/>
      <c r="T130" s="90"/>
      <c r="U130" s="90"/>
      <c r="V130" s="90" t="str">
        <f t="shared" si="33"/>
        <v/>
      </c>
      <c r="W130" s="90"/>
      <c r="X130" s="42" t="str">
        <f t="shared" si="34"/>
        <v/>
      </c>
      <c r="Y130" s="42" t="str">
        <f t="shared" si="35"/>
        <v/>
      </c>
      <c r="Z130" s="90"/>
      <c r="AA130" s="42" t="str">
        <f t="shared" si="36"/>
        <v/>
      </c>
      <c r="AB130" s="42" t="str">
        <f t="shared" si="37"/>
        <v/>
      </c>
      <c r="AC130" s="90"/>
      <c r="AD130" s="42" t="str">
        <f t="shared" si="38"/>
        <v/>
      </c>
      <c r="AE130" s="42" t="str">
        <f t="shared" si="39"/>
        <v/>
      </c>
      <c r="AF130" s="90"/>
      <c r="AG130" s="42" t="str">
        <f t="shared" si="40"/>
        <v/>
      </c>
      <c r="AH130" s="42" t="str">
        <f t="shared" si="41"/>
        <v/>
      </c>
      <c r="AI130" s="90"/>
      <c r="AJ130" s="42" t="str">
        <f t="shared" si="42"/>
        <v/>
      </c>
      <c r="AK130" s="42" t="str">
        <f t="shared" si="43"/>
        <v/>
      </c>
      <c r="AL130" s="14" t="str">
        <f t="shared" si="44"/>
        <v/>
      </c>
      <c r="AM130" s="14" t="str">
        <f t="shared" si="45"/>
        <v/>
      </c>
      <c r="AN130" s="14" t="str">
        <f t="shared" si="46"/>
        <v/>
      </c>
      <c r="AO130" s="14" t="str">
        <f>IF(OR($C130="01-09",$D130="Male"),"",INDEX(PMTCT!$AD:$AD,MATCH($E130,PMTCT!$E:$E,0)))</f>
        <v/>
      </c>
      <c r="AP130" s="14" t="str">
        <f>IF(OR($C130="01-09",$D130="Male"),"",INDEX(PMTCT!$AT:$AT,MATCH($E130,PMTCT!$E:$E,0)))</f>
        <v/>
      </c>
      <c r="AQ130" s="14" t="str">
        <f>INDEX(TB!$Q:$Q,MATCH($E130,TB!$E:$E,0))</f>
        <v/>
      </c>
      <c r="AR130" s="14" t="str">
        <f>IF(OR($C130="01-09",$C130="10-14",$D130="Female"),"",INDEX(VMMC!$AB:$AB,MATCH($E130,VMMC!$E:$E,0)))</f>
        <v/>
      </c>
      <c r="AS130" s="14" t="str">
        <f>IF(OR($C130="01-09",$C130="10-14"),"",INDEX(PrEP!$Q:$Q,MATCH($E130,PrEP!$E:$E,0)))</f>
        <v/>
      </c>
      <c r="AT130" s="14" t="str">
        <f t="shared" si="47"/>
        <v/>
      </c>
      <c r="AU130" s="14" t="str">
        <f t="shared" si="48"/>
        <v/>
      </c>
      <c r="AV130" s="90" t="str">
        <f t="shared" si="49"/>
        <v/>
      </c>
      <c r="AW130" s="14"/>
      <c r="AX130" s="90" t="str">
        <f t="shared" si="50"/>
        <v/>
      </c>
      <c r="AY130" s="42" t="str">
        <f t="shared" si="51"/>
        <v/>
      </c>
      <c r="AZ130" s="90">
        <f t="shared" si="52"/>
        <v>1</v>
      </c>
      <c r="BA130" s="42" t="str">
        <f t="shared" si="53"/>
        <v/>
      </c>
    </row>
    <row r="131" spans="1:53" x14ac:dyDescent="0.2">
      <c r="A131" t="str">
        <f>INDEX(Prioritization!$D:$D,MATCH($B131,Prioritization!$A:$A,0))</f>
        <v>INVALID</v>
      </c>
      <c r="B131" t="s">
        <v>202</v>
      </c>
      <c r="C131" t="s">
        <v>366</v>
      </c>
      <c r="D131" t="s">
        <v>29</v>
      </c>
      <c r="E131" t="str">
        <f t="shared" si="27"/>
        <v>Salima District [msW2zpIN7up]|35-49|Female</v>
      </c>
      <c r="F131" s="90">
        <f>IF(LEFT($B131,4)="_Mil","",INDEX(Cascade!$AA:$AA,MATCH($E131,Cascade!$E:$E,0)))</f>
        <v>1206</v>
      </c>
      <c r="G131" s="14">
        <f>INDEX(Cascade!$BH:$BH,MATCH($E131,Cascade!$E:$E,0))</f>
        <v>0</v>
      </c>
      <c r="H131" s="14" t="str">
        <f>IF(OR($C131="01-09",$D131="Male"),"",INDEX(PMTCT!$AC:$AC,MATCH($E131,PMTCT!$E:$E,0)))</f>
        <v/>
      </c>
      <c r="I131" s="14" t="str">
        <f>IF(OR($C131="01-09",$D131="Male"),"",INDEX(PMTCT!$AS:$AS,MATCH($E131,PMTCT!$E:$E,0)))</f>
        <v/>
      </c>
      <c r="J131" s="14" t="str">
        <f>INDEX(TB!$P:$P,MATCH($E131,TB!$E:$E,0))</f>
        <v/>
      </c>
      <c r="K131" s="14" t="str">
        <f>IF(OR($C131="01-09",$C131="10-14",$D131="Female"),"",INDEX(VMMC!$AA:$AA,MATCH($E131,VMMC!$E:$E,0)))</f>
        <v/>
      </c>
      <c r="L131" s="14">
        <f t="shared" si="28"/>
        <v>0</v>
      </c>
      <c r="M131" s="90" t="str">
        <f t="shared" si="29"/>
        <v/>
      </c>
      <c r="N131" s="90" t="str">
        <f t="shared" si="30"/>
        <v/>
      </c>
      <c r="O131" s="90" t="str">
        <f t="shared" si="31"/>
        <v/>
      </c>
      <c r="P131" s="90" t="str">
        <f t="shared" si="32"/>
        <v/>
      </c>
      <c r="Q131" s="90"/>
      <c r="R131" s="90"/>
      <c r="S131" s="90"/>
      <c r="T131" s="90"/>
      <c r="U131" s="90"/>
      <c r="V131" s="90" t="str">
        <f t="shared" si="33"/>
        <v/>
      </c>
      <c r="W131" s="90"/>
      <c r="X131" s="42" t="str">
        <f t="shared" si="34"/>
        <v/>
      </c>
      <c r="Y131" s="42" t="str">
        <f t="shared" si="35"/>
        <v/>
      </c>
      <c r="Z131" s="90"/>
      <c r="AA131" s="42" t="str">
        <f t="shared" si="36"/>
        <v/>
      </c>
      <c r="AB131" s="42" t="str">
        <f t="shared" si="37"/>
        <v/>
      </c>
      <c r="AC131" s="90"/>
      <c r="AD131" s="42" t="str">
        <f t="shared" si="38"/>
        <v/>
      </c>
      <c r="AE131" s="42" t="str">
        <f t="shared" si="39"/>
        <v/>
      </c>
      <c r="AF131" s="90"/>
      <c r="AG131" s="42" t="str">
        <f t="shared" si="40"/>
        <v/>
      </c>
      <c r="AH131" s="42" t="str">
        <f t="shared" si="41"/>
        <v/>
      </c>
      <c r="AI131" s="90"/>
      <c r="AJ131" s="42" t="str">
        <f t="shared" si="42"/>
        <v/>
      </c>
      <c r="AK131" s="42" t="str">
        <f t="shared" si="43"/>
        <v/>
      </c>
      <c r="AL131" s="14" t="str">
        <f t="shared" si="44"/>
        <v/>
      </c>
      <c r="AM131" s="14" t="str">
        <f t="shared" si="45"/>
        <v/>
      </c>
      <c r="AN131" s="14" t="str">
        <f t="shared" si="46"/>
        <v/>
      </c>
      <c r="AO131" s="14" t="str">
        <f>IF(OR($C131="01-09",$D131="Male"),"",INDEX(PMTCT!$AD:$AD,MATCH($E131,PMTCT!$E:$E,0)))</f>
        <v/>
      </c>
      <c r="AP131" s="14" t="str">
        <f>IF(OR($C131="01-09",$D131="Male"),"",INDEX(PMTCT!$AT:$AT,MATCH($E131,PMTCT!$E:$E,0)))</f>
        <v/>
      </c>
      <c r="AQ131" s="14" t="str">
        <f>INDEX(TB!$Q:$Q,MATCH($E131,TB!$E:$E,0))</f>
        <v/>
      </c>
      <c r="AR131" s="14" t="str">
        <f>IF(OR($C131="01-09",$C131="10-14",$D131="Female"),"",INDEX(VMMC!$AB:$AB,MATCH($E131,VMMC!$E:$E,0)))</f>
        <v/>
      </c>
      <c r="AS131" s="14" t="str">
        <f>IF(OR($C131="01-09",$C131="10-14"),"",INDEX(PrEP!$Q:$Q,MATCH($E131,PrEP!$E:$E,0)))</f>
        <v/>
      </c>
      <c r="AT131" s="14" t="str">
        <f t="shared" si="47"/>
        <v/>
      </c>
      <c r="AU131" s="14" t="str">
        <f t="shared" si="48"/>
        <v/>
      </c>
      <c r="AV131" s="90" t="str">
        <f t="shared" si="49"/>
        <v/>
      </c>
      <c r="AW131" s="14"/>
      <c r="AX131" s="90" t="str">
        <f t="shared" si="50"/>
        <v/>
      </c>
      <c r="AY131" s="42" t="str">
        <f t="shared" si="51"/>
        <v/>
      </c>
      <c r="AZ131" s="90">
        <f t="shared" si="52"/>
        <v>1</v>
      </c>
      <c r="BA131" s="42" t="str">
        <f t="shared" si="53"/>
        <v/>
      </c>
    </row>
    <row r="132" spans="1:53" x14ac:dyDescent="0.2">
      <c r="A132" t="str">
        <f>INDEX(Prioritization!$D:$D,MATCH($B132,Prioritization!$A:$A,0))</f>
        <v>INVALID</v>
      </c>
      <c r="B132" t="s">
        <v>202</v>
      </c>
      <c r="C132" t="s">
        <v>366</v>
      </c>
      <c r="D132" t="s">
        <v>47</v>
      </c>
      <c r="E132" t="str">
        <f t="shared" si="27"/>
        <v>Salima District [msW2zpIN7up]|35-49|Male</v>
      </c>
      <c r="F132" s="90">
        <f>IF(LEFT($B132,4)="_Mil","",INDEX(Cascade!$AA:$AA,MATCH($E132,Cascade!$E:$E,0)))</f>
        <v>1338</v>
      </c>
      <c r="G132" s="14">
        <f>INDEX(Cascade!$BH:$BH,MATCH($E132,Cascade!$E:$E,0))</f>
        <v>0</v>
      </c>
      <c r="H132" s="14" t="str">
        <f>IF(OR($C132="01-09",$D132="Male"),"",INDEX(PMTCT!$AC:$AC,MATCH($E132,PMTCT!$E:$E,0)))</f>
        <v/>
      </c>
      <c r="I132" s="14" t="str">
        <f>IF(OR($C132="01-09",$D132="Male"),"",INDEX(PMTCT!$AS:$AS,MATCH($E132,PMTCT!$E:$E,0)))</f>
        <v/>
      </c>
      <c r="J132" s="14" t="str">
        <f>INDEX(TB!$P:$P,MATCH($E132,TB!$E:$E,0))</f>
        <v/>
      </c>
      <c r="K132" s="14" t="str">
        <f>IF(OR($C132="01-09",$C132="10-14",$D132="Female"),"",INDEX(VMMC!$AA:$AA,MATCH($E132,VMMC!$E:$E,0)))</f>
        <v/>
      </c>
      <c r="L132" s="14">
        <f t="shared" si="28"/>
        <v>0</v>
      </c>
      <c r="M132" s="90" t="str">
        <f t="shared" si="29"/>
        <v/>
      </c>
      <c r="N132" s="90" t="str">
        <f t="shared" si="30"/>
        <v/>
      </c>
      <c r="O132" s="90" t="str">
        <f t="shared" si="31"/>
        <v/>
      </c>
      <c r="P132" s="90" t="str">
        <f t="shared" si="32"/>
        <v/>
      </c>
      <c r="Q132" s="90"/>
      <c r="R132" s="90"/>
      <c r="S132" s="90"/>
      <c r="T132" s="90"/>
      <c r="U132" s="90"/>
      <c r="V132" s="90" t="str">
        <f t="shared" si="33"/>
        <v/>
      </c>
      <c r="W132" s="90"/>
      <c r="X132" s="42" t="str">
        <f t="shared" si="34"/>
        <v/>
      </c>
      <c r="Y132" s="42" t="str">
        <f t="shared" si="35"/>
        <v/>
      </c>
      <c r="Z132" s="90"/>
      <c r="AA132" s="42" t="str">
        <f t="shared" si="36"/>
        <v/>
      </c>
      <c r="AB132" s="42" t="str">
        <f t="shared" si="37"/>
        <v/>
      </c>
      <c r="AC132" s="90"/>
      <c r="AD132" s="42" t="str">
        <f t="shared" si="38"/>
        <v/>
      </c>
      <c r="AE132" s="42" t="str">
        <f t="shared" si="39"/>
        <v/>
      </c>
      <c r="AF132" s="90"/>
      <c r="AG132" s="42" t="str">
        <f t="shared" si="40"/>
        <v/>
      </c>
      <c r="AH132" s="42" t="str">
        <f t="shared" si="41"/>
        <v/>
      </c>
      <c r="AI132" s="90"/>
      <c r="AJ132" s="42" t="str">
        <f t="shared" si="42"/>
        <v/>
      </c>
      <c r="AK132" s="42" t="str">
        <f t="shared" si="43"/>
        <v/>
      </c>
      <c r="AL132" s="14" t="str">
        <f t="shared" si="44"/>
        <v/>
      </c>
      <c r="AM132" s="14" t="str">
        <f t="shared" si="45"/>
        <v/>
      </c>
      <c r="AN132" s="14" t="str">
        <f t="shared" si="46"/>
        <v/>
      </c>
      <c r="AO132" s="14" t="str">
        <f>IF(OR($C132="01-09",$D132="Male"),"",INDEX(PMTCT!$AD:$AD,MATCH($E132,PMTCT!$E:$E,0)))</f>
        <v/>
      </c>
      <c r="AP132" s="14" t="str">
        <f>IF(OR($C132="01-09",$D132="Male"),"",INDEX(PMTCT!$AT:$AT,MATCH($E132,PMTCT!$E:$E,0)))</f>
        <v/>
      </c>
      <c r="AQ132" s="14" t="str">
        <f>INDEX(TB!$Q:$Q,MATCH($E132,TB!$E:$E,0))</f>
        <v/>
      </c>
      <c r="AR132" s="14" t="str">
        <f>IF(OR($C132="01-09",$C132="10-14",$D132="Female"),"",INDEX(VMMC!$AB:$AB,MATCH($E132,VMMC!$E:$E,0)))</f>
        <v/>
      </c>
      <c r="AS132" s="14" t="str">
        <f>IF(OR($C132="01-09",$C132="10-14"),"",INDEX(PrEP!$Q:$Q,MATCH($E132,PrEP!$E:$E,0)))</f>
        <v/>
      </c>
      <c r="AT132" s="14" t="str">
        <f t="shared" si="47"/>
        <v/>
      </c>
      <c r="AU132" s="14" t="str">
        <f t="shared" si="48"/>
        <v/>
      </c>
      <c r="AV132" s="90" t="str">
        <f t="shared" si="49"/>
        <v/>
      </c>
      <c r="AW132" s="14"/>
      <c r="AX132" s="90" t="str">
        <f t="shared" si="50"/>
        <v/>
      </c>
      <c r="AY132" s="42" t="str">
        <f t="shared" si="51"/>
        <v/>
      </c>
      <c r="AZ132" s="90">
        <f t="shared" si="52"/>
        <v>1</v>
      </c>
      <c r="BA132" s="42" t="str">
        <f t="shared" si="53"/>
        <v/>
      </c>
    </row>
    <row r="133" spans="1:53" x14ac:dyDescent="0.2">
      <c r="A133" t="str">
        <f>INDEX(Prioritization!$D:$D,MATCH($B133,Prioritization!$A:$A,0))</f>
        <v>INVALID</v>
      </c>
      <c r="B133" t="s">
        <v>202</v>
      </c>
      <c r="C133" t="s">
        <v>367</v>
      </c>
      <c r="D133" t="s">
        <v>29</v>
      </c>
      <c r="E133" t="str">
        <f t="shared" si="27"/>
        <v>Salima District [msW2zpIN7up]|50+|Female</v>
      </c>
      <c r="F133" s="90">
        <f>IF(LEFT($B133,4)="_Mil","",INDEX(Cascade!$AA:$AA,MATCH($E133,Cascade!$E:$E,0)))</f>
        <v>1990.9999999999998</v>
      </c>
      <c r="G133" s="14">
        <f>INDEX(Cascade!$BH:$BH,MATCH($E133,Cascade!$E:$E,0))</f>
        <v>0</v>
      </c>
      <c r="H133" s="14" t="str">
        <f>IF(OR($C133="01-09",$D133="Male"),"",INDEX(PMTCT!$AC:$AC,MATCH($E133,PMTCT!$E:$E,0)))</f>
        <v/>
      </c>
      <c r="I133" s="14" t="str">
        <f>IF(OR($C133="01-09",$D133="Male"),"",INDEX(PMTCT!$AS:$AS,MATCH($E133,PMTCT!$E:$E,0)))</f>
        <v/>
      </c>
      <c r="J133" s="14" t="str">
        <f>INDEX(TB!$P:$P,MATCH($E133,TB!$E:$E,0))</f>
        <v/>
      </c>
      <c r="K133" s="14" t="str">
        <f>IF(OR($C133="01-09",$C133="10-14",$D133="Female"),"",INDEX(VMMC!$AA:$AA,MATCH($E133,VMMC!$E:$E,0)))</f>
        <v/>
      </c>
      <c r="L133" s="14">
        <f t="shared" si="28"/>
        <v>0</v>
      </c>
      <c r="M133" s="90" t="str">
        <f t="shared" si="29"/>
        <v/>
      </c>
      <c r="N133" s="90" t="str">
        <f t="shared" si="30"/>
        <v/>
      </c>
      <c r="O133" s="90" t="str">
        <f t="shared" si="31"/>
        <v/>
      </c>
      <c r="P133" s="90" t="str">
        <f t="shared" si="32"/>
        <v/>
      </c>
      <c r="Q133" s="90"/>
      <c r="R133" s="90"/>
      <c r="S133" s="90"/>
      <c r="T133" s="90"/>
      <c r="U133" s="90">
        <v>0.19265082781203099</v>
      </c>
      <c r="V133" s="90" t="str">
        <f t="shared" si="33"/>
        <v/>
      </c>
      <c r="W133" s="90"/>
      <c r="X133" s="42" t="str">
        <f t="shared" si="34"/>
        <v/>
      </c>
      <c r="Y133" s="42" t="str">
        <f t="shared" si="35"/>
        <v/>
      </c>
      <c r="Z133" s="90"/>
      <c r="AA133" s="42" t="str">
        <f t="shared" si="36"/>
        <v/>
      </c>
      <c r="AB133" s="42" t="str">
        <f t="shared" si="37"/>
        <v/>
      </c>
      <c r="AC133" s="90"/>
      <c r="AD133" s="42" t="str">
        <f t="shared" si="38"/>
        <v/>
      </c>
      <c r="AE133" s="42" t="str">
        <f t="shared" si="39"/>
        <v/>
      </c>
      <c r="AF133" s="90"/>
      <c r="AG133" s="42" t="str">
        <f t="shared" si="40"/>
        <v/>
      </c>
      <c r="AH133" s="42" t="str">
        <f t="shared" si="41"/>
        <v/>
      </c>
      <c r="AI133" s="90">
        <v>0.63506821845658101</v>
      </c>
      <c r="AJ133" s="42" t="str">
        <f t="shared" si="42"/>
        <v/>
      </c>
      <c r="AK133" s="42" t="str">
        <f t="shared" si="43"/>
        <v/>
      </c>
      <c r="AL133" s="14" t="str">
        <f t="shared" si="44"/>
        <v/>
      </c>
      <c r="AM133" s="14" t="str">
        <f t="shared" si="45"/>
        <v/>
      </c>
      <c r="AN133" s="14" t="str">
        <f t="shared" si="46"/>
        <v/>
      </c>
      <c r="AO133" s="14" t="str">
        <f>IF(OR($C133="01-09",$D133="Male"),"",INDEX(PMTCT!$AD:$AD,MATCH($E133,PMTCT!$E:$E,0)))</f>
        <v/>
      </c>
      <c r="AP133" s="14" t="str">
        <f>IF(OR($C133="01-09",$D133="Male"),"",INDEX(PMTCT!$AT:$AT,MATCH($E133,PMTCT!$E:$E,0)))</f>
        <v/>
      </c>
      <c r="AQ133" s="14" t="str">
        <f>INDEX(TB!$Q:$Q,MATCH($E133,TB!$E:$E,0))</f>
        <v/>
      </c>
      <c r="AR133" s="14" t="str">
        <f>IF(OR($C133="01-09",$C133="10-14",$D133="Female"),"",INDEX(VMMC!$AB:$AB,MATCH($E133,VMMC!$E:$E,0)))</f>
        <v/>
      </c>
      <c r="AS133" s="14" t="str">
        <f>IF(OR($C133="01-09",$C133="10-14"),"",INDEX(PrEP!$Q:$Q,MATCH($E133,PrEP!$E:$E,0)))</f>
        <v/>
      </c>
      <c r="AT133" s="14" t="str">
        <f t="shared" si="47"/>
        <v/>
      </c>
      <c r="AU133" s="14" t="str">
        <f t="shared" si="48"/>
        <v/>
      </c>
      <c r="AV133" s="90" t="str">
        <f t="shared" si="49"/>
        <v/>
      </c>
      <c r="AW133" s="14">
        <v>81</v>
      </c>
      <c r="AX133" s="90">
        <f t="shared" si="50"/>
        <v>0</v>
      </c>
      <c r="AY133" s="42">
        <f t="shared" si="51"/>
        <v>81</v>
      </c>
      <c r="AZ133" s="90">
        <f t="shared" si="52"/>
        <v>1</v>
      </c>
      <c r="BA133" s="42" t="str">
        <f t="shared" si="53"/>
        <v/>
      </c>
    </row>
    <row r="134" spans="1:53" x14ac:dyDescent="0.2">
      <c r="A134" t="str">
        <f>INDEX(Prioritization!$D:$D,MATCH($B134,Prioritization!$A:$A,0))</f>
        <v>INVALID</v>
      </c>
      <c r="B134" t="s">
        <v>202</v>
      </c>
      <c r="C134" t="s">
        <v>367</v>
      </c>
      <c r="D134" t="s">
        <v>47</v>
      </c>
      <c r="E134" t="str">
        <f t="shared" si="27"/>
        <v>Salima District [msW2zpIN7up]|50+|Male</v>
      </c>
      <c r="F134" s="90">
        <f>IF(LEFT($B134,4)="_Mil","",INDEX(Cascade!$AA:$AA,MATCH($E134,Cascade!$E:$E,0)))</f>
        <v>716</v>
      </c>
      <c r="G134" s="14">
        <f>INDEX(Cascade!$BH:$BH,MATCH($E134,Cascade!$E:$E,0))</f>
        <v>0</v>
      </c>
      <c r="H134" s="14" t="str">
        <f>IF(OR($C134="01-09",$D134="Male"),"",INDEX(PMTCT!$AC:$AC,MATCH($E134,PMTCT!$E:$E,0)))</f>
        <v/>
      </c>
      <c r="I134" s="14" t="str">
        <f>IF(OR($C134="01-09",$D134="Male"),"",INDEX(PMTCT!$AS:$AS,MATCH($E134,PMTCT!$E:$E,0)))</f>
        <v/>
      </c>
      <c r="J134" s="14" t="str">
        <f>INDEX(TB!$P:$P,MATCH($E134,TB!$E:$E,0))</f>
        <v/>
      </c>
      <c r="K134" s="14" t="str">
        <f>IF(OR($C134="01-09",$C134="10-14",$D134="Female"),"",INDEX(VMMC!$AA:$AA,MATCH($E134,VMMC!$E:$E,0)))</f>
        <v/>
      </c>
      <c r="L134" s="14">
        <f t="shared" si="28"/>
        <v>0</v>
      </c>
      <c r="M134" s="90" t="str">
        <f t="shared" si="29"/>
        <v/>
      </c>
      <c r="N134" s="90" t="str">
        <f t="shared" si="30"/>
        <v/>
      </c>
      <c r="O134" s="90" t="str">
        <f t="shared" si="31"/>
        <v/>
      </c>
      <c r="P134" s="90" t="str">
        <f t="shared" si="32"/>
        <v/>
      </c>
      <c r="Q134" s="90"/>
      <c r="R134" s="90"/>
      <c r="S134" s="90"/>
      <c r="T134" s="90"/>
      <c r="U134" s="90">
        <v>0.638942450284958</v>
      </c>
      <c r="V134" s="90" t="str">
        <f t="shared" si="33"/>
        <v/>
      </c>
      <c r="W134" s="90"/>
      <c r="X134" s="42" t="str">
        <f t="shared" si="34"/>
        <v/>
      </c>
      <c r="Y134" s="42" t="str">
        <f t="shared" si="35"/>
        <v/>
      </c>
      <c r="Z134" s="90"/>
      <c r="AA134" s="42" t="str">
        <f t="shared" si="36"/>
        <v/>
      </c>
      <c r="AB134" s="42" t="str">
        <f t="shared" si="37"/>
        <v/>
      </c>
      <c r="AC134" s="90"/>
      <c r="AD134" s="42" t="str">
        <f t="shared" si="38"/>
        <v/>
      </c>
      <c r="AE134" s="42" t="str">
        <f t="shared" si="39"/>
        <v/>
      </c>
      <c r="AF134" s="90"/>
      <c r="AG134" s="42" t="str">
        <f t="shared" si="40"/>
        <v/>
      </c>
      <c r="AH134" s="42" t="str">
        <f t="shared" si="41"/>
        <v/>
      </c>
      <c r="AI134" s="90">
        <v>0.18752246396616101</v>
      </c>
      <c r="AJ134" s="42" t="str">
        <f t="shared" si="42"/>
        <v/>
      </c>
      <c r="AK134" s="42" t="str">
        <f t="shared" si="43"/>
        <v/>
      </c>
      <c r="AL134" s="14" t="str">
        <f t="shared" si="44"/>
        <v/>
      </c>
      <c r="AM134" s="14" t="str">
        <f t="shared" si="45"/>
        <v/>
      </c>
      <c r="AN134" s="14" t="str">
        <f t="shared" si="46"/>
        <v/>
      </c>
      <c r="AO134" s="14" t="str">
        <f>IF(OR($C134="01-09",$D134="Male"),"",INDEX(PMTCT!$AD:$AD,MATCH($E134,PMTCT!$E:$E,0)))</f>
        <v/>
      </c>
      <c r="AP134" s="14" t="str">
        <f>IF(OR($C134="01-09",$D134="Male"),"",INDEX(PMTCT!$AT:$AT,MATCH($E134,PMTCT!$E:$E,0)))</f>
        <v/>
      </c>
      <c r="AQ134" s="14" t="str">
        <f>INDEX(TB!$Q:$Q,MATCH($E134,TB!$E:$E,0))</f>
        <v/>
      </c>
      <c r="AR134" s="14" t="str">
        <f>IF(OR($C134="01-09",$C134="10-14",$D134="Female"),"",INDEX(VMMC!$AB:$AB,MATCH($E134,VMMC!$E:$E,0)))</f>
        <v/>
      </c>
      <c r="AS134" s="14" t="str">
        <f>IF(OR($C134="01-09",$C134="10-14"),"",INDEX(PrEP!$Q:$Q,MATCH($E134,PrEP!$E:$E,0)))</f>
        <v/>
      </c>
      <c r="AT134" s="14" t="str">
        <f t="shared" si="47"/>
        <v/>
      </c>
      <c r="AU134" s="14" t="str">
        <f t="shared" si="48"/>
        <v/>
      </c>
      <c r="AV134" s="90" t="str">
        <f t="shared" si="49"/>
        <v/>
      </c>
      <c r="AW134" s="14">
        <v>11</v>
      </c>
      <c r="AX134" s="90">
        <f t="shared" si="50"/>
        <v>0</v>
      </c>
      <c r="AY134" s="42">
        <f t="shared" si="51"/>
        <v>11</v>
      </c>
      <c r="AZ134" s="90">
        <f t="shared" si="52"/>
        <v>1</v>
      </c>
      <c r="BA134" s="42" t="str">
        <f t="shared" si="53"/>
        <v/>
      </c>
    </row>
    <row r="135" spans="1:53" x14ac:dyDescent="0.2">
      <c r="A135" t="str">
        <f>INDEX(Prioritization!$D:$D,MATCH($B135,Prioritization!$A:$A,0))</f>
        <v>1 - Scale-up: Saturation</v>
      </c>
      <c r="B135" t="s">
        <v>203</v>
      </c>
      <c r="C135" t="s">
        <v>362</v>
      </c>
      <c r="D135" t="s">
        <v>29</v>
      </c>
      <c r="E135" t="str">
        <f t="shared" si="27"/>
        <v>Chitipa District [GkIwZrXy1h2]|01-09|Female</v>
      </c>
      <c r="F135" s="90">
        <f>IF(LEFT($B135,4)="_Mil","",INDEX(Cascade!$AA:$AA,MATCH($E135,Cascade!$E:$E,0)))</f>
        <v>1608</v>
      </c>
      <c r="G135" s="14">
        <f>INDEX(Cascade!$BH:$BH,MATCH($E135,Cascade!$E:$E,0))</f>
        <v>0</v>
      </c>
      <c r="H135" s="14" t="str">
        <f>IF(OR($C135="01-09",$D135="Male"),"",INDEX(PMTCT!$AC:$AC,MATCH($E135,PMTCT!$E:$E,0)))</f>
        <v/>
      </c>
      <c r="I135" s="14" t="str">
        <f>IF(OR($C135="01-09",$D135="Male"),"",INDEX(PMTCT!$AS:$AS,MATCH($E135,PMTCT!$E:$E,0)))</f>
        <v/>
      </c>
      <c r="J135" s="14" t="str">
        <f>INDEX(TB!$P:$P,MATCH($E135,TB!$E:$E,0))</f>
        <v/>
      </c>
      <c r="K135" s="14" t="str">
        <f>IF(OR($C135="01-09",$C135="10-14",$D135="Female"),"",INDEX(VMMC!$AA:$AA,MATCH($E135,VMMC!$E:$E,0)))</f>
        <v/>
      </c>
      <c r="L135" s="14">
        <f t="shared" si="28"/>
        <v>0</v>
      </c>
      <c r="M135" s="90" t="str">
        <f t="shared" si="29"/>
        <v/>
      </c>
      <c r="N135" s="90" t="str">
        <f t="shared" si="30"/>
        <v/>
      </c>
      <c r="O135" s="90" t="str">
        <f t="shared" si="31"/>
        <v/>
      </c>
      <c r="P135" s="90" t="str">
        <f t="shared" si="32"/>
        <v/>
      </c>
      <c r="Q135" s="90"/>
      <c r="R135" s="90"/>
      <c r="S135" s="90"/>
      <c r="T135" s="90"/>
      <c r="U135" s="90"/>
      <c r="V135" s="90" t="str">
        <f t="shared" si="33"/>
        <v/>
      </c>
      <c r="W135" s="90"/>
      <c r="X135" s="42" t="str">
        <f t="shared" si="34"/>
        <v/>
      </c>
      <c r="Y135" s="42" t="str">
        <f t="shared" si="35"/>
        <v/>
      </c>
      <c r="Z135" s="90"/>
      <c r="AA135" s="42" t="str">
        <f t="shared" si="36"/>
        <v/>
      </c>
      <c r="AB135" s="42" t="str">
        <f t="shared" si="37"/>
        <v/>
      </c>
      <c r="AC135" s="90"/>
      <c r="AD135" s="42" t="str">
        <f t="shared" si="38"/>
        <v/>
      </c>
      <c r="AE135" s="42" t="str">
        <f t="shared" si="39"/>
        <v/>
      </c>
      <c r="AF135" s="90"/>
      <c r="AG135" s="42" t="str">
        <f t="shared" si="40"/>
        <v/>
      </c>
      <c r="AH135" s="42" t="str">
        <f t="shared" si="41"/>
        <v/>
      </c>
      <c r="AI135" s="90"/>
      <c r="AJ135" s="42" t="str">
        <f t="shared" si="42"/>
        <v/>
      </c>
      <c r="AK135" s="42" t="str">
        <f t="shared" si="43"/>
        <v/>
      </c>
      <c r="AL135" s="14" t="str">
        <f t="shared" si="44"/>
        <v/>
      </c>
      <c r="AM135" s="14" t="str">
        <f t="shared" si="45"/>
        <v/>
      </c>
      <c r="AN135" s="14" t="str">
        <f t="shared" si="46"/>
        <v/>
      </c>
      <c r="AO135" s="14" t="str">
        <f>IF(OR($C135="01-09",$D135="Male"),"",INDEX(PMTCT!$AD:$AD,MATCH($E135,PMTCT!$E:$E,0)))</f>
        <v/>
      </c>
      <c r="AP135" s="14" t="str">
        <f>IF(OR($C135="01-09",$D135="Male"),"",INDEX(PMTCT!$AT:$AT,MATCH($E135,PMTCT!$E:$E,0)))</f>
        <v/>
      </c>
      <c r="AQ135" s="14" t="str">
        <f>INDEX(TB!$Q:$Q,MATCH($E135,TB!$E:$E,0))</f>
        <v/>
      </c>
      <c r="AR135" s="14" t="str">
        <f>IF(OR($C135="01-09",$C135="10-14",$D135="Female"),"",INDEX(VMMC!$AB:$AB,MATCH($E135,VMMC!$E:$E,0)))</f>
        <v/>
      </c>
      <c r="AS135" s="14" t="str">
        <f>IF(OR($C135="01-09",$C135="10-14"),"",INDEX(PrEP!$Q:$Q,MATCH($E135,PrEP!$E:$E,0)))</f>
        <v/>
      </c>
      <c r="AT135" s="14" t="str">
        <f t="shared" si="47"/>
        <v/>
      </c>
      <c r="AU135" s="14" t="str">
        <f t="shared" si="48"/>
        <v/>
      </c>
      <c r="AV135" s="90" t="str">
        <f t="shared" si="49"/>
        <v/>
      </c>
      <c r="AW135" s="14"/>
      <c r="AX135" s="90" t="str">
        <f t="shared" si="50"/>
        <v/>
      </c>
      <c r="AY135" s="42" t="str">
        <f t="shared" si="51"/>
        <v/>
      </c>
      <c r="AZ135" s="90" t="str">
        <f t="shared" si="52"/>
        <v/>
      </c>
      <c r="BA135" s="42" t="str">
        <f t="shared" si="53"/>
        <v/>
      </c>
    </row>
    <row r="136" spans="1:53" x14ac:dyDescent="0.2">
      <c r="A136" t="str">
        <f>INDEX(Prioritization!$D:$D,MATCH($B136,Prioritization!$A:$A,0))</f>
        <v>1 - Scale-up: Saturation</v>
      </c>
      <c r="B136" t="s">
        <v>203</v>
      </c>
      <c r="C136" t="s">
        <v>362</v>
      </c>
      <c r="D136" t="s">
        <v>47</v>
      </c>
      <c r="E136" t="str">
        <f t="shared" si="27"/>
        <v>Chitipa District [GkIwZrXy1h2]|01-09|Male</v>
      </c>
      <c r="F136" s="90">
        <f>IF(LEFT($B136,4)="_Mil","",INDEX(Cascade!$AA:$AA,MATCH($E136,Cascade!$E:$E,0)))</f>
        <v>1392</v>
      </c>
      <c r="G136" s="14">
        <f>INDEX(Cascade!$BH:$BH,MATCH($E136,Cascade!$E:$E,0))</f>
        <v>0</v>
      </c>
      <c r="H136" s="14" t="str">
        <f>IF(OR($C136="01-09",$D136="Male"),"",INDEX(PMTCT!$AC:$AC,MATCH($E136,PMTCT!$E:$E,0)))</f>
        <v/>
      </c>
      <c r="I136" s="14" t="str">
        <f>IF(OR($C136="01-09",$D136="Male"),"",INDEX(PMTCT!$AS:$AS,MATCH($E136,PMTCT!$E:$E,0)))</f>
        <v/>
      </c>
      <c r="J136" s="14" t="str">
        <f>INDEX(TB!$P:$P,MATCH($E136,TB!$E:$E,0))</f>
        <v/>
      </c>
      <c r="K136" s="14" t="str">
        <f>IF(OR($C136="01-09",$C136="10-14",$D136="Female"),"",INDEX(VMMC!$AA:$AA,MATCH($E136,VMMC!$E:$E,0)))</f>
        <v/>
      </c>
      <c r="L136" s="14">
        <f t="shared" si="28"/>
        <v>0</v>
      </c>
      <c r="M136" s="90" t="str">
        <f t="shared" si="29"/>
        <v/>
      </c>
      <c r="N136" s="90" t="str">
        <f t="shared" si="30"/>
        <v/>
      </c>
      <c r="O136" s="90" t="str">
        <f t="shared" si="31"/>
        <v/>
      </c>
      <c r="P136" s="90" t="str">
        <f t="shared" si="32"/>
        <v/>
      </c>
      <c r="Q136" s="90"/>
      <c r="R136" s="90"/>
      <c r="S136" s="90"/>
      <c r="T136" s="90"/>
      <c r="U136" s="90"/>
      <c r="V136" s="90" t="str">
        <f t="shared" si="33"/>
        <v/>
      </c>
      <c r="W136" s="90"/>
      <c r="X136" s="42" t="str">
        <f t="shared" si="34"/>
        <v/>
      </c>
      <c r="Y136" s="42" t="str">
        <f t="shared" si="35"/>
        <v/>
      </c>
      <c r="Z136" s="90"/>
      <c r="AA136" s="42" t="str">
        <f t="shared" si="36"/>
        <v/>
      </c>
      <c r="AB136" s="42" t="str">
        <f t="shared" si="37"/>
        <v/>
      </c>
      <c r="AC136" s="90"/>
      <c r="AD136" s="42" t="str">
        <f t="shared" si="38"/>
        <v/>
      </c>
      <c r="AE136" s="42" t="str">
        <f t="shared" si="39"/>
        <v/>
      </c>
      <c r="AF136" s="90"/>
      <c r="AG136" s="42" t="str">
        <f t="shared" si="40"/>
        <v/>
      </c>
      <c r="AH136" s="42" t="str">
        <f t="shared" si="41"/>
        <v/>
      </c>
      <c r="AI136" s="90"/>
      <c r="AJ136" s="42" t="str">
        <f t="shared" si="42"/>
        <v/>
      </c>
      <c r="AK136" s="42" t="str">
        <f t="shared" si="43"/>
        <v/>
      </c>
      <c r="AL136" s="14" t="str">
        <f t="shared" si="44"/>
        <v/>
      </c>
      <c r="AM136" s="14" t="str">
        <f t="shared" si="45"/>
        <v/>
      </c>
      <c r="AN136" s="14" t="str">
        <f t="shared" si="46"/>
        <v/>
      </c>
      <c r="AO136" s="14" t="str">
        <f>IF(OR($C136="01-09",$D136="Male"),"",INDEX(PMTCT!$AD:$AD,MATCH($E136,PMTCT!$E:$E,0)))</f>
        <v/>
      </c>
      <c r="AP136" s="14" t="str">
        <f>IF(OR($C136="01-09",$D136="Male"),"",INDEX(PMTCT!$AT:$AT,MATCH($E136,PMTCT!$E:$E,0)))</f>
        <v/>
      </c>
      <c r="AQ136" s="14" t="str">
        <f>INDEX(TB!$Q:$Q,MATCH($E136,TB!$E:$E,0))</f>
        <v/>
      </c>
      <c r="AR136" s="14" t="str">
        <f>IF(OR($C136="01-09",$C136="10-14",$D136="Female"),"",INDEX(VMMC!$AB:$AB,MATCH($E136,VMMC!$E:$E,0)))</f>
        <v/>
      </c>
      <c r="AS136" s="14" t="str">
        <f>IF(OR($C136="01-09",$C136="10-14"),"",INDEX(PrEP!$Q:$Q,MATCH($E136,PrEP!$E:$E,0)))</f>
        <v/>
      </c>
      <c r="AT136" s="14" t="str">
        <f t="shared" si="47"/>
        <v/>
      </c>
      <c r="AU136" s="14" t="str">
        <f t="shared" si="48"/>
        <v/>
      </c>
      <c r="AV136" s="90" t="str">
        <f t="shared" si="49"/>
        <v/>
      </c>
      <c r="AW136" s="14"/>
      <c r="AX136" s="90" t="str">
        <f t="shared" si="50"/>
        <v/>
      </c>
      <c r="AY136" s="42" t="str">
        <f t="shared" si="51"/>
        <v/>
      </c>
      <c r="AZ136" s="90" t="str">
        <f t="shared" si="52"/>
        <v/>
      </c>
      <c r="BA136" s="42" t="str">
        <f t="shared" si="53"/>
        <v/>
      </c>
    </row>
    <row r="137" spans="1:53" x14ac:dyDescent="0.2">
      <c r="A137" t="str">
        <f>INDEX(Prioritization!$D:$D,MATCH($B137,Prioritization!$A:$A,0))</f>
        <v>1 - Scale-up: Saturation</v>
      </c>
      <c r="B137" t="s">
        <v>203</v>
      </c>
      <c r="C137" t="s">
        <v>363</v>
      </c>
      <c r="D137" t="s">
        <v>29</v>
      </c>
      <c r="E137" t="str">
        <f t="shared" si="27"/>
        <v>Chitipa District [GkIwZrXy1h2]|10-14|Female</v>
      </c>
      <c r="F137" s="90">
        <f>IF(LEFT($B137,4)="_Mil","",INDEX(Cascade!$AA:$AA,MATCH($E137,Cascade!$E:$E,0)))</f>
        <v>1802.9999999999998</v>
      </c>
      <c r="G137" s="14">
        <f>INDEX(Cascade!$BH:$BH,MATCH($E137,Cascade!$E:$E,0))</f>
        <v>-6</v>
      </c>
      <c r="H137" s="14" t="str">
        <f>IF(OR($C137="01-09",$D137="Male"),"",INDEX(PMTCT!$AC:$AC,MATCH($E137,PMTCT!$E:$E,0)))</f>
        <v>ENTER YIELD RATE</v>
      </c>
      <c r="I137" s="14" t="str">
        <f>IF(OR($C137="01-09",$D137="Male"),"",INDEX(PMTCT!$AS:$AS,MATCH($E137,PMTCT!$E:$E,0)))</f>
        <v>ENTER YIELD RATE</v>
      </c>
      <c r="J137" s="14" t="str">
        <f>INDEX(TB!$P:$P,MATCH($E137,TB!$E:$E,0))</f>
        <v/>
      </c>
      <c r="K137" s="14" t="str">
        <f>IF(OR($C137="01-09",$C137="10-14",$D137="Female"),"",INDEX(VMMC!$AA:$AA,MATCH($E137,VMMC!$E:$E,0)))</f>
        <v/>
      </c>
      <c r="L137" s="14">
        <f t="shared" si="28"/>
        <v>-6</v>
      </c>
      <c r="M137" s="90">
        <f t="shared" si="29"/>
        <v>0</v>
      </c>
      <c r="N137" s="90">
        <f t="shared" si="30"/>
        <v>0</v>
      </c>
      <c r="O137" s="90">
        <f t="shared" si="31"/>
        <v>0</v>
      </c>
      <c r="P137" s="90" t="str">
        <f t="shared" si="32"/>
        <v/>
      </c>
      <c r="Q137" s="90">
        <v>0.70716564403846904</v>
      </c>
      <c r="R137" s="90"/>
      <c r="S137" s="90"/>
      <c r="T137" s="90"/>
      <c r="U137" s="90">
        <v>0.110052963718772</v>
      </c>
      <c r="V137" s="90">
        <f t="shared" si="33"/>
        <v>0.81721860775724109</v>
      </c>
      <c r="W137" s="90"/>
      <c r="X137" s="42">
        <f t="shared" si="34"/>
        <v>-4</v>
      </c>
      <c r="Y137" s="42" t="str">
        <f t="shared" si="35"/>
        <v>ENTER YIELD</v>
      </c>
      <c r="Z137" s="90"/>
      <c r="AA137" s="42" t="str">
        <f t="shared" si="36"/>
        <v/>
      </c>
      <c r="AB137" s="42" t="str">
        <f t="shared" si="37"/>
        <v/>
      </c>
      <c r="AC137" s="90"/>
      <c r="AD137" s="42" t="str">
        <f t="shared" si="38"/>
        <v/>
      </c>
      <c r="AE137" s="42" t="str">
        <f t="shared" si="39"/>
        <v/>
      </c>
      <c r="AF137" s="90"/>
      <c r="AG137" s="42" t="str">
        <f t="shared" si="40"/>
        <v/>
      </c>
      <c r="AH137" s="42" t="str">
        <f t="shared" si="41"/>
        <v/>
      </c>
      <c r="AI137" s="90"/>
      <c r="AJ137" s="42">
        <f t="shared" si="42"/>
        <v>-1</v>
      </c>
      <c r="AK137" s="42" t="str">
        <f t="shared" si="43"/>
        <v>ENTER YIELD</v>
      </c>
      <c r="AL137" s="14">
        <f t="shared" si="44"/>
        <v>-6</v>
      </c>
      <c r="AM137" s="14">
        <f t="shared" si="45"/>
        <v>-5</v>
      </c>
      <c r="AN137" s="14">
        <f t="shared" si="46"/>
        <v>1</v>
      </c>
      <c r="AO137" s="14">
        <f>IF(OR($C137="01-09",$D137="Male"),"",INDEX(PMTCT!$AD:$AD,MATCH($E137,PMTCT!$E:$E,0)))</f>
        <v>1</v>
      </c>
      <c r="AP137" s="14">
        <f>IF(OR($C137="01-09",$D137="Male"),"",INDEX(PMTCT!$AT:$AT,MATCH($E137,PMTCT!$E:$E,0)))</f>
        <v>1</v>
      </c>
      <c r="AQ137" s="14" t="str">
        <f>INDEX(TB!$Q:$Q,MATCH($E137,TB!$E:$E,0))</f>
        <v/>
      </c>
      <c r="AR137" s="14" t="str">
        <f>IF(OR($C137="01-09",$C137="10-14",$D137="Female"),"",INDEX(VMMC!$AB:$AB,MATCH($E137,VMMC!$E:$E,0)))</f>
        <v/>
      </c>
      <c r="AS137" s="14" t="str">
        <f>IF(OR($C137="01-09",$C137="10-14"),"",INDEX(PrEP!$Q:$Q,MATCH($E137,PrEP!$E:$E,0)))</f>
        <v/>
      </c>
      <c r="AT137" s="14">
        <f t="shared" si="47"/>
        <v>2</v>
      </c>
      <c r="AU137" s="14">
        <f t="shared" si="48"/>
        <v>-3</v>
      </c>
      <c r="AV137" s="90">
        <f t="shared" si="49"/>
        <v>1.6666666666666667</v>
      </c>
      <c r="AW137" s="14"/>
      <c r="AX137" s="90" t="str">
        <f t="shared" si="50"/>
        <v/>
      </c>
      <c r="AY137" s="42" t="str">
        <f t="shared" si="51"/>
        <v/>
      </c>
      <c r="AZ137" s="90" t="str">
        <f t="shared" si="52"/>
        <v/>
      </c>
      <c r="BA137" s="42" t="str">
        <f t="shared" si="53"/>
        <v/>
      </c>
    </row>
    <row r="138" spans="1:53" x14ac:dyDescent="0.2">
      <c r="A138" t="str">
        <f>INDEX(Prioritization!$D:$D,MATCH($B138,Prioritization!$A:$A,0))</f>
        <v>1 - Scale-up: Saturation</v>
      </c>
      <c r="B138" t="s">
        <v>203</v>
      </c>
      <c r="C138" t="s">
        <v>363</v>
      </c>
      <c r="D138" t="s">
        <v>47</v>
      </c>
      <c r="E138" t="str">
        <f t="shared" si="27"/>
        <v>Chitipa District [GkIwZrXy1h2]|10-14|Male</v>
      </c>
      <c r="F138" s="90">
        <f>IF(LEFT($B138,4)="_Mil","",INDEX(Cascade!$AA:$AA,MATCH($E138,Cascade!$E:$E,0)))</f>
        <v>1825.0000000000002</v>
      </c>
      <c r="G138" s="14">
        <f>INDEX(Cascade!$BH:$BH,MATCH($E138,Cascade!$E:$E,0))</f>
        <v>-85</v>
      </c>
      <c r="H138" s="14" t="str">
        <f>IF(OR($C138="01-09",$D138="Male"),"",INDEX(PMTCT!$AC:$AC,MATCH($E138,PMTCT!$E:$E,0)))</f>
        <v/>
      </c>
      <c r="I138" s="14" t="str">
        <f>IF(OR($C138="01-09",$D138="Male"),"",INDEX(PMTCT!$AS:$AS,MATCH($E138,PMTCT!$E:$E,0)))</f>
        <v/>
      </c>
      <c r="J138" s="14" t="str">
        <f>INDEX(TB!$P:$P,MATCH($E138,TB!$E:$E,0))</f>
        <v/>
      </c>
      <c r="K138" s="14" t="str">
        <f>IF(OR($C138="01-09",$C138="10-14",$D138="Female"),"",INDEX(VMMC!$AA:$AA,MATCH($E138,VMMC!$E:$E,0)))</f>
        <v/>
      </c>
      <c r="L138" s="14">
        <f t="shared" si="28"/>
        <v>-85</v>
      </c>
      <c r="M138" s="90" t="str">
        <f t="shared" si="29"/>
        <v/>
      </c>
      <c r="N138" s="90" t="str">
        <f t="shared" si="30"/>
        <v/>
      </c>
      <c r="O138" s="90">
        <f t="shared" si="31"/>
        <v>0</v>
      </c>
      <c r="P138" s="90" t="str">
        <f t="shared" si="32"/>
        <v/>
      </c>
      <c r="Q138" s="90">
        <v>0.62459809100255403</v>
      </c>
      <c r="R138" s="90"/>
      <c r="S138" s="90"/>
      <c r="T138" s="90"/>
      <c r="U138" s="90">
        <v>0.58021650509908795</v>
      </c>
      <c r="V138" s="90">
        <f t="shared" si="33"/>
        <v>1.2048145961016421</v>
      </c>
      <c r="W138" s="90"/>
      <c r="X138" s="42">
        <f t="shared" si="34"/>
        <v>-53</v>
      </c>
      <c r="Y138" s="42" t="str">
        <f t="shared" si="35"/>
        <v>ENTER YIELD</v>
      </c>
      <c r="Z138" s="90"/>
      <c r="AA138" s="42" t="str">
        <f t="shared" si="36"/>
        <v/>
      </c>
      <c r="AB138" s="42" t="str">
        <f t="shared" si="37"/>
        <v/>
      </c>
      <c r="AC138" s="90"/>
      <c r="AD138" s="42" t="str">
        <f t="shared" si="38"/>
        <v/>
      </c>
      <c r="AE138" s="42" t="str">
        <f t="shared" si="39"/>
        <v/>
      </c>
      <c r="AF138" s="90"/>
      <c r="AG138" s="42" t="str">
        <f t="shared" si="40"/>
        <v/>
      </c>
      <c r="AH138" s="42" t="str">
        <f t="shared" si="41"/>
        <v/>
      </c>
      <c r="AI138" s="90"/>
      <c r="AJ138" s="42">
        <f t="shared" si="42"/>
        <v>-49</v>
      </c>
      <c r="AK138" s="42" t="str">
        <f t="shared" si="43"/>
        <v>ENTER YIELD</v>
      </c>
      <c r="AL138" s="14">
        <f t="shared" si="44"/>
        <v>-85</v>
      </c>
      <c r="AM138" s="14">
        <f t="shared" si="45"/>
        <v>-102</v>
      </c>
      <c r="AN138" s="14">
        <f t="shared" si="46"/>
        <v>-17</v>
      </c>
      <c r="AO138" s="14" t="str">
        <f>IF(OR($C138="01-09",$D138="Male"),"",INDEX(PMTCT!$AD:$AD,MATCH($E138,PMTCT!$E:$E,0)))</f>
        <v/>
      </c>
      <c r="AP138" s="14" t="str">
        <f>IF(OR($C138="01-09",$D138="Male"),"",INDEX(PMTCT!$AT:$AT,MATCH($E138,PMTCT!$E:$E,0)))</f>
        <v/>
      </c>
      <c r="AQ138" s="14" t="str">
        <f>INDEX(TB!$Q:$Q,MATCH($E138,TB!$E:$E,0))</f>
        <v/>
      </c>
      <c r="AR138" s="14" t="str">
        <f>IF(OR($C138="01-09",$C138="10-14",$D138="Female"),"",INDEX(VMMC!$AB:$AB,MATCH($E138,VMMC!$E:$E,0)))</f>
        <v/>
      </c>
      <c r="AS138" s="14" t="str">
        <f>IF(OR($C138="01-09",$C138="10-14"),"",INDEX(PrEP!$Q:$Q,MATCH($E138,PrEP!$E:$E,0)))</f>
        <v/>
      </c>
      <c r="AT138" s="14" t="str">
        <f t="shared" si="47"/>
        <v/>
      </c>
      <c r="AU138" s="14">
        <f t="shared" si="48"/>
        <v>-102</v>
      </c>
      <c r="AV138" s="90">
        <f t="shared" si="49"/>
        <v>1</v>
      </c>
      <c r="AW138" s="14"/>
      <c r="AX138" s="90" t="str">
        <f t="shared" si="50"/>
        <v/>
      </c>
      <c r="AY138" s="42" t="str">
        <f t="shared" si="51"/>
        <v/>
      </c>
      <c r="AZ138" s="90" t="str">
        <f t="shared" si="52"/>
        <v/>
      </c>
      <c r="BA138" s="42" t="str">
        <f t="shared" si="53"/>
        <v/>
      </c>
    </row>
    <row r="139" spans="1:53" x14ac:dyDescent="0.2">
      <c r="A139" t="str">
        <f>INDEX(Prioritization!$D:$D,MATCH($B139,Prioritization!$A:$A,0))</f>
        <v>1 - Scale-up: Saturation</v>
      </c>
      <c r="B139" t="s">
        <v>203</v>
      </c>
      <c r="C139" t="s">
        <v>364</v>
      </c>
      <c r="D139" t="s">
        <v>29</v>
      </c>
      <c r="E139" t="str">
        <f t="shared" si="27"/>
        <v>Chitipa District [GkIwZrXy1h2]|15-24|Female</v>
      </c>
      <c r="F139" s="90">
        <f>IF(LEFT($B139,4)="_Mil","",INDEX(Cascade!$AA:$AA,MATCH($E139,Cascade!$E:$E,0)))</f>
        <v>1790.0000000000002</v>
      </c>
      <c r="G139" s="14">
        <f>INDEX(Cascade!$BH:$BH,MATCH($E139,Cascade!$E:$E,0))</f>
        <v>0</v>
      </c>
      <c r="H139" s="14" t="str">
        <f>IF(OR($C139="01-09",$D139="Male"),"",INDEX(PMTCT!$AC:$AC,MATCH($E139,PMTCT!$E:$E,0)))</f>
        <v/>
      </c>
      <c r="I139" s="14" t="str">
        <f>IF(OR($C139="01-09",$D139="Male"),"",INDEX(PMTCT!$AS:$AS,MATCH($E139,PMTCT!$E:$E,0)))</f>
        <v/>
      </c>
      <c r="J139" s="14" t="str">
        <f>INDEX(TB!$P:$P,MATCH($E139,TB!$E:$E,0))</f>
        <v/>
      </c>
      <c r="K139" s="14" t="str">
        <f>IF(OR($C139="01-09",$C139="10-14",$D139="Female"),"",INDEX(VMMC!$AA:$AA,MATCH($E139,VMMC!$E:$E,0)))</f>
        <v/>
      </c>
      <c r="L139" s="14">
        <f t="shared" si="28"/>
        <v>0</v>
      </c>
      <c r="M139" s="90" t="str">
        <f t="shared" si="29"/>
        <v/>
      </c>
      <c r="N139" s="90" t="str">
        <f t="shared" si="30"/>
        <v/>
      </c>
      <c r="O139" s="90" t="str">
        <f t="shared" si="31"/>
        <v/>
      </c>
      <c r="P139" s="90" t="str">
        <f t="shared" si="32"/>
        <v/>
      </c>
      <c r="Q139" s="90"/>
      <c r="R139" s="90"/>
      <c r="S139" s="90"/>
      <c r="T139" s="90"/>
      <c r="U139" s="90"/>
      <c r="V139" s="90" t="str">
        <f t="shared" si="33"/>
        <v/>
      </c>
      <c r="W139" s="90"/>
      <c r="X139" s="42" t="str">
        <f t="shared" si="34"/>
        <v/>
      </c>
      <c r="Y139" s="42" t="str">
        <f t="shared" si="35"/>
        <v/>
      </c>
      <c r="Z139" s="90"/>
      <c r="AA139" s="42" t="str">
        <f t="shared" si="36"/>
        <v/>
      </c>
      <c r="AB139" s="42" t="str">
        <f t="shared" si="37"/>
        <v/>
      </c>
      <c r="AC139" s="90"/>
      <c r="AD139" s="42" t="str">
        <f t="shared" si="38"/>
        <v/>
      </c>
      <c r="AE139" s="42" t="str">
        <f t="shared" si="39"/>
        <v/>
      </c>
      <c r="AF139" s="90"/>
      <c r="AG139" s="42" t="str">
        <f t="shared" si="40"/>
        <v/>
      </c>
      <c r="AH139" s="42" t="str">
        <f t="shared" si="41"/>
        <v/>
      </c>
      <c r="AI139" s="90"/>
      <c r="AJ139" s="42" t="str">
        <f t="shared" si="42"/>
        <v/>
      </c>
      <c r="AK139" s="42" t="str">
        <f t="shared" si="43"/>
        <v/>
      </c>
      <c r="AL139" s="14" t="str">
        <f t="shared" si="44"/>
        <v/>
      </c>
      <c r="AM139" s="14" t="str">
        <f t="shared" si="45"/>
        <v/>
      </c>
      <c r="AN139" s="14" t="str">
        <f t="shared" si="46"/>
        <v/>
      </c>
      <c r="AO139" s="14" t="str">
        <f>IF(OR($C139="01-09",$D139="Male"),"",INDEX(PMTCT!$AD:$AD,MATCH($E139,PMTCT!$E:$E,0)))</f>
        <v/>
      </c>
      <c r="AP139" s="14" t="str">
        <f>IF(OR($C139="01-09",$D139="Male"),"",INDEX(PMTCT!$AT:$AT,MATCH($E139,PMTCT!$E:$E,0)))</f>
        <v/>
      </c>
      <c r="AQ139" s="14" t="str">
        <f>INDEX(TB!$Q:$Q,MATCH($E139,TB!$E:$E,0))</f>
        <v/>
      </c>
      <c r="AR139" s="14" t="str">
        <f>IF(OR($C139="01-09",$C139="10-14",$D139="Female"),"",INDEX(VMMC!$AB:$AB,MATCH($E139,VMMC!$E:$E,0)))</f>
        <v/>
      </c>
      <c r="AS139" s="14" t="str">
        <f>IF(OR($C139="01-09",$C139="10-14"),"",INDEX(PrEP!$Q:$Q,MATCH($E139,PrEP!$E:$E,0)))</f>
        <v/>
      </c>
      <c r="AT139" s="14" t="str">
        <f t="shared" si="47"/>
        <v/>
      </c>
      <c r="AU139" s="14" t="str">
        <f t="shared" si="48"/>
        <v/>
      </c>
      <c r="AV139" s="90" t="str">
        <f t="shared" si="49"/>
        <v/>
      </c>
      <c r="AW139" s="14"/>
      <c r="AX139" s="90" t="str">
        <f t="shared" si="50"/>
        <v/>
      </c>
      <c r="AY139" s="42" t="str">
        <f t="shared" si="51"/>
        <v/>
      </c>
      <c r="AZ139" s="90">
        <f t="shared" si="52"/>
        <v>1</v>
      </c>
      <c r="BA139" s="42" t="str">
        <f t="shared" si="53"/>
        <v/>
      </c>
    </row>
    <row r="140" spans="1:53" x14ac:dyDescent="0.2">
      <c r="A140" t="str">
        <f>INDEX(Prioritization!$D:$D,MATCH($B140,Prioritization!$A:$A,0))</f>
        <v>1 - Scale-up: Saturation</v>
      </c>
      <c r="B140" t="s">
        <v>203</v>
      </c>
      <c r="C140" t="s">
        <v>364</v>
      </c>
      <c r="D140" t="s">
        <v>47</v>
      </c>
      <c r="E140" t="str">
        <f t="shared" si="27"/>
        <v>Chitipa District [GkIwZrXy1h2]|15-24|Male</v>
      </c>
      <c r="F140" s="90">
        <f>IF(LEFT($B140,4)="_Mil","",INDEX(Cascade!$AA:$AA,MATCH($E140,Cascade!$E:$E,0)))</f>
        <v>690</v>
      </c>
      <c r="G140" s="14">
        <f>INDEX(Cascade!$BH:$BH,MATCH($E140,Cascade!$E:$E,0))</f>
        <v>0</v>
      </c>
      <c r="H140" s="14" t="str">
        <f>IF(OR($C140="01-09",$D140="Male"),"",INDEX(PMTCT!$AC:$AC,MATCH($E140,PMTCT!$E:$E,0)))</f>
        <v/>
      </c>
      <c r="I140" s="14" t="str">
        <f>IF(OR($C140="01-09",$D140="Male"),"",INDEX(PMTCT!$AS:$AS,MATCH($E140,PMTCT!$E:$E,0)))</f>
        <v/>
      </c>
      <c r="J140" s="14" t="str">
        <f>INDEX(TB!$P:$P,MATCH($E140,TB!$E:$E,0))</f>
        <v/>
      </c>
      <c r="K140" s="14" t="str">
        <f>IF(OR($C140="01-09",$C140="10-14",$D140="Female"),"",INDEX(VMMC!$AA:$AA,MATCH($E140,VMMC!$E:$E,0)))</f>
        <v/>
      </c>
      <c r="L140" s="14">
        <f t="shared" si="28"/>
        <v>0</v>
      </c>
      <c r="M140" s="90" t="str">
        <f t="shared" si="29"/>
        <v/>
      </c>
      <c r="N140" s="90" t="str">
        <f t="shared" si="30"/>
        <v/>
      </c>
      <c r="O140" s="90" t="str">
        <f t="shared" si="31"/>
        <v/>
      </c>
      <c r="P140" s="90" t="str">
        <f t="shared" si="32"/>
        <v/>
      </c>
      <c r="Q140" s="90"/>
      <c r="R140" s="90"/>
      <c r="S140" s="90"/>
      <c r="T140" s="90"/>
      <c r="U140" s="90"/>
      <c r="V140" s="90" t="str">
        <f t="shared" si="33"/>
        <v/>
      </c>
      <c r="W140" s="90"/>
      <c r="X140" s="42" t="str">
        <f t="shared" si="34"/>
        <v/>
      </c>
      <c r="Y140" s="42" t="str">
        <f t="shared" si="35"/>
        <v/>
      </c>
      <c r="Z140" s="90"/>
      <c r="AA140" s="42" t="str">
        <f t="shared" si="36"/>
        <v/>
      </c>
      <c r="AB140" s="42" t="str">
        <f t="shared" si="37"/>
        <v/>
      </c>
      <c r="AC140" s="90"/>
      <c r="AD140" s="42" t="str">
        <f t="shared" si="38"/>
        <v/>
      </c>
      <c r="AE140" s="42" t="str">
        <f t="shared" si="39"/>
        <v/>
      </c>
      <c r="AF140" s="90"/>
      <c r="AG140" s="42" t="str">
        <f t="shared" si="40"/>
        <v/>
      </c>
      <c r="AH140" s="42" t="str">
        <f t="shared" si="41"/>
        <v/>
      </c>
      <c r="AI140" s="90"/>
      <c r="AJ140" s="42" t="str">
        <f t="shared" si="42"/>
        <v/>
      </c>
      <c r="AK140" s="42" t="str">
        <f t="shared" si="43"/>
        <v/>
      </c>
      <c r="AL140" s="14" t="str">
        <f t="shared" si="44"/>
        <v/>
      </c>
      <c r="AM140" s="14" t="str">
        <f t="shared" si="45"/>
        <v/>
      </c>
      <c r="AN140" s="14" t="str">
        <f t="shared" si="46"/>
        <v/>
      </c>
      <c r="AO140" s="14" t="str">
        <f>IF(OR($C140="01-09",$D140="Male"),"",INDEX(PMTCT!$AD:$AD,MATCH($E140,PMTCT!$E:$E,0)))</f>
        <v/>
      </c>
      <c r="AP140" s="14" t="str">
        <f>IF(OR($C140="01-09",$D140="Male"),"",INDEX(PMTCT!$AT:$AT,MATCH($E140,PMTCT!$E:$E,0)))</f>
        <v/>
      </c>
      <c r="AQ140" s="14" t="str">
        <f>INDEX(TB!$Q:$Q,MATCH($E140,TB!$E:$E,0))</f>
        <v/>
      </c>
      <c r="AR140" s="14" t="str">
        <f>IF(OR($C140="01-09",$C140="10-14",$D140="Female"),"",INDEX(VMMC!$AB:$AB,MATCH($E140,VMMC!$E:$E,0)))</f>
        <v/>
      </c>
      <c r="AS140" s="14" t="str">
        <f>IF(OR($C140="01-09",$C140="10-14"),"",INDEX(PrEP!$Q:$Q,MATCH($E140,PrEP!$E:$E,0)))</f>
        <v/>
      </c>
      <c r="AT140" s="14" t="str">
        <f t="shared" si="47"/>
        <v/>
      </c>
      <c r="AU140" s="14" t="str">
        <f t="shared" si="48"/>
        <v/>
      </c>
      <c r="AV140" s="90" t="str">
        <f t="shared" si="49"/>
        <v/>
      </c>
      <c r="AW140" s="14"/>
      <c r="AX140" s="90" t="str">
        <f t="shared" si="50"/>
        <v/>
      </c>
      <c r="AY140" s="42" t="str">
        <f t="shared" si="51"/>
        <v/>
      </c>
      <c r="AZ140" s="90">
        <f t="shared" si="52"/>
        <v>1</v>
      </c>
      <c r="BA140" s="42" t="str">
        <f t="shared" si="53"/>
        <v/>
      </c>
    </row>
    <row r="141" spans="1:53" x14ac:dyDescent="0.2">
      <c r="A141" t="str">
        <f>INDEX(Prioritization!$D:$D,MATCH($B141,Prioritization!$A:$A,0))</f>
        <v>1 - Scale-up: Saturation</v>
      </c>
      <c r="B141" t="s">
        <v>203</v>
      </c>
      <c r="C141" t="s">
        <v>365</v>
      </c>
      <c r="D141" t="s">
        <v>29</v>
      </c>
      <c r="E141" t="str">
        <f t="shared" si="27"/>
        <v>Chitipa District [GkIwZrXy1h2]|25-34|Female</v>
      </c>
      <c r="F141" s="90">
        <f>IF(LEFT($B141,4)="_Mil","",INDEX(Cascade!$AA:$AA,MATCH($E141,Cascade!$E:$E,0)))</f>
        <v>739</v>
      </c>
      <c r="G141" s="14">
        <f>INDEX(Cascade!$BH:$BH,MATCH($E141,Cascade!$E:$E,0))</f>
        <v>0</v>
      </c>
      <c r="H141" s="14" t="str">
        <f>IF(OR($C141="01-09",$D141="Male"),"",INDEX(PMTCT!$AC:$AC,MATCH($E141,PMTCT!$E:$E,0)))</f>
        <v/>
      </c>
      <c r="I141" s="14" t="str">
        <f>IF(OR($C141="01-09",$D141="Male"),"",INDEX(PMTCT!$AS:$AS,MATCH($E141,PMTCT!$E:$E,0)))</f>
        <v/>
      </c>
      <c r="J141" s="14" t="str">
        <f>INDEX(TB!$P:$P,MATCH($E141,TB!$E:$E,0))</f>
        <v/>
      </c>
      <c r="K141" s="14" t="str">
        <f>IF(OR($C141="01-09",$C141="10-14",$D141="Female"),"",INDEX(VMMC!$AA:$AA,MATCH($E141,VMMC!$E:$E,0)))</f>
        <v/>
      </c>
      <c r="L141" s="14">
        <f t="shared" si="28"/>
        <v>0</v>
      </c>
      <c r="M141" s="90" t="str">
        <f t="shared" si="29"/>
        <v/>
      </c>
      <c r="N141" s="90" t="str">
        <f t="shared" si="30"/>
        <v/>
      </c>
      <c r="O141" s="90" t="str">
        <f t="shared" si="31"/>
        <v/>
      </c>
      <c r="P141" s="90" t="str">
        <f t="shared" si="32"/>
        <v/>
      </c>
      <c r="Q141" s="90"/>
      <c r="R141" s="90"/>
      <c r="S141" s="90"/>
      <c r="T141" s="90"/>
      <c r="U141" s="90"/>
      <c r="V141" s="90" t="str">
        <f t="shared" si="33"/>
        <v/>
      </c>
      <c r="W141" s="90"/>
      <c r="X141" s="42" t="str">
        <f t="shared" si="34"/>
        <v/>
      </c>
      <c r="Y141" s="42" t="str">
        <f t="shared" si="35"/>
        <v/>
      </c>
      <c r="Z141" s="90"/>
      <c r="AA141" s="42" t="str">
        <f t="shared" si="36"/>
        <v/>
      </c>
      <c r="AB141" s="42" t="str">
        <f t="shared" si="37"/>
        <v/>
      </c>
      <c r="AC141" s="90"/>
      <c r="AD141" s="42" t="str">
        <f t="shared" si="38"/>
        <v/>
      </c>
      <c r="AE141" s="42" t="str">
        <f t="shared" si="39"/>
        <v/>
      </c>
      <c r="AF141" s="90"/>
      <c r="AG141" s="42" t="str">
        <f t="shared" si="40"/>
        <v/>
      </c>
      <c r="AH141" s="42" t="str">
        <f t="shared" si="41"/>
        <v/>
      </c>
      <c r="AI141" s="90"/>
      <c r="AJ141" s="42" t="str">
        <f t="shared" si="42"/>
        <v/>
      </c>
      <c r="AK141" s="42" t="str">
        <f t="shared" si="43"/>
        <v/>
      </c>
      <c r="AL141" s="14" t="str">
        <f t="shared" si="44"/>
        <v/>
      </c>
      <c r="AM141" s="14" t="str">
        <f t="shared" si="45"/>
        <v/>
      </c>
      <c r="AN141" s="14" t="str">
        <f t="shared" si="46"/>
        <v/>
      </c>
      <c r="AO141" s="14" t="str">
        <f>IF(OR($C141="01-09",$D141="Male"),"",INDEX(PMTCT!$AD:$AD,MATCH($E141,PMTCT!$E:$E,0)))</f>
        <v/>
      </c>
      <c r="AP141" s="14" t="str">
        <f>IF(OR($C141="01-09",$D141="Male"),"",INDEX(PMTCT!$AT:$AT,MATCH($E141,PMTCT!$E:$E,0)))</f>
        <v/>
      </c>
      <c r="AQ141" s="14" t="str">
        <f>INDEX(TB!$Q:$Q,MATCH($E141,TB!$E:$E,0))</f>
        <v/>
      </c>
      <c r="AR141" s="14" t="str">
        <f>IF(OR($C141="01-09",$C141="10-14",$D141="Female"),"",INDEX(VMMC!$AB:$AB,MATCH($E141,VMMC!$E:$E,0)))</f>
        <v/>
      </c>
      <c r="AS141" s="14" t="str">
        <f>IF(OR($C141="01-09",$C141="10-14"),"",INDEX(PrEP!$Q:$Q,MATCH($E141,PrEP!$E:$E,0)))</f>
        <v/>
      </c>
      <c r="AT141" s="14" t="str">
        <f t="shared" si="47"/>
        <v/>
      </c>
      <c r="AU141" s="14" t="str">
        <f t="shared" si="48"/>
        <v/>
      </c>
      <c r="AV141" s="90" t="str">
        <f t="shared" si="49"/>
        <v/>
      </c>
      <c r="AW141" s="14"/>
      <c r="AX141" s="90" t="str">
        <f t="shared" si="50"/>
        <v/>
      </c>
      <c r="AY141" s="42" t="str">
        <f t="shared" si="51"/>
        <v/>
      </c>
      <c r="AZ141" s="90">
        <f t="shared" si="52"/>
        <v>1</v>
      </c>
      <c r="BA141" s="42" t="str">
        <f t="shared" si="53"/>
        <v/>
      </c>
    </row>
    <row r="142" spans="1:53" x14ac:dyDescent="0.2">
      <c r="A142" t="str">
        <f>INDEX(Prioritization!$D:$D,MATCH($B142,Prioritization!$A:$A,0))</f>
        <v>1 - Scale-up: Saturation</v>
      </c>
      <c r="B142" t="s">
        <v>203</v>
      </c>
      <c r="C142" t="s">
        <v>365</v>
      </c>
      <c r="D142" t="s">
        <v>47</v>
      </c>
      <c r="E142" t="str">
        <f t="shared" si="27"/>
        <v>Chitipa District [GkIwZrXy1h2]|25-34|Male</v>
      </c>
      <c r="F142" s="90">
        <f>IF(LEFT($B142,4)="_Mil","",INDEX(Cascade!$AA:$AA,MATCH($E142,Cascade!$E:$E,0)))</f>
        <v>647</v>
      </c>
      <c r="G142" s="14">
        <f>INDEX(Cascade!$BH:$BH,MATCH($E142,Cascade!$E:$E,0))</f>
        <v>0</v>
      </c>
      <c r="H142" s="14" t="str">
        <f>IF(OR($C142="01-09",$D142="Male"),"",INDEX(PMTCT!$AC:$AC,MATCH($E142,PMTCT!$E:$E,0)))</f>
        <v/>
      </c>
      <c r="I142" s="14" t="str">
        <f>IF(OR($C142="01-09",$D142="Male"),"",INDEX(PMTCT!$AS:$AS,MATCH($E142,PMTCT!$E:$E,0)))</f>
        <v/>
      </c>
      <c r="J142" s="14" t="str">
        <f>INDEX(TB!$P:$P,MATCH($E142,TB!$E:$E,0))</f>
        <v/>
      </c>
      <c r="K142" s="14" t="str">
        <f>IF(OR($C142="01-09",$C142="10-14",$D142="Female"),"",INDEX(VMMC!$AA:$AA,MATCH($E142,VMMC!$E:$E,0)))</f>
        <v/>
      </c>
      <c r="L142" s="14">
        <f t="shared" si="28"/>
        <v>0</v>
      </c>
      <c r="M142" s="90" t="str">
        <f t="shared" si="29"/>
        <v/>
      </c>
      <c r="N142" s="90" t="str">
        <f t="shared" si="30"/>
        <v/>
      </c>
      <c r="O142" s="90" t="str">
        <f t="shared" si="31"/>
        <v/>
      </c>
      <c r="P142" s="90" t="str">
        <f t="shared" si="32"/>
        <v/>
      </c>
      <c r="Q142" s="90"/>
      <c r="R142" s="90"/>
      <c r="S142" s="90"/>
      <c r="T142" s="90"/>
      <c r="U142" s="90"/>
      <c r="V142" s="90" t="str">
        <f t="shared" si="33"/>
        <v/>
      </c>
      <c r="W142" s="90"/>
      <c r="X142" s="42" t="str">
        <f t="shared" si="34"/>
        <v/>
      </c>
      <c r="Y142" s="42" t="str">
        <f t="shared" si="35"/>
        <v/>
      </c>
      <c r="Z142" s="90"/>
      <c r="AA142" s="42" t="str">
        <f t="shared" si="36"/>
        <v/>
      </c>
      <c r="AB142" s="42" t="str">
        <f t="shared" si="37"/>
        <v/>
      </c>
      <c r="AC142" s="90"/>
      <c r="AD142" s="42" t="str">
        <f t="shared" si="38"/>
        <v/>
      </c>
      <c r="AE142" s="42" t="str">
        <f t="shared" si="39"/>
        <v/>
      </c>
      <c r="AF142" s="90"/>
      <c r="AG142" s="42" t="str">
        <f t="shared" si="40"/>
        <v/>
      </c>
      <c r="AH142" s="42" t="str">
        <f t="shared" si="41"/>
        <v/>
      </c>
      <c r="AI142" s="90"/>
      <c r="AJ142" s="42" t="str">
        <f t="shared" si="42"/>
        <v/>
      </c>
      <c r="AK142" s="42" t="str">
        <f t="shared" si="43"/>
        <v/>
      </c>
      <c r="AL142" s="14" t="str">
        <f t="shared" si="44"/>
        <v/>
      </c>
      <c r="AM142" s="14" t="str">
        <f t="shared" si="45"/>
        <v/>
      </c>
      <c r="AN142" s="14" t="str">
        <f t="shared" si="46"/>
        <v/>
      </c>
      <c r="AO142" s="14" t="str">
        <f>IF(OR($C142="01-09",$D142="Male"),"",INDEX(PMTCT!$AD:$AD,MATCH($E142,PMTCT!$E:$E,0)))</f>
        <v/>
      </c>
      <c r="AP142" s="14" t="str">
        <f>IF(OR($C142="01-09",$D142="Male"),"",INDEX(PMTCT!$AT:$AT,MATCH($E142,PMTCT!$E:$E,0)))</f>
        <v/>
      </c>
      <c r="AQ142" s="14" t="str">
        <f>INDEX(TB!$Q:$Q,MATCH($E142,TB!$E:$E,0))</f>
        <v/>
      </c>
      <c r="AR142" s="14" t="str">
        <f>IF(OR($C142="01-09",$C142="10-14",$D142="Female"),"",INDEX(VMMC!$AB:$AB,MATCH($E142,VMMC!$E:$E,0)))</f>
        <v/>
      </c>
      <c r="AS142" s="14" t="str">
        <f>IF(OR($C142="01-09",$C142="10-14"),"",INDEX(PrEP!$Q:$Q,MATCH($E142,PrEP!$E:$E,0)))</f>
        <v/>
      </c>
      <c r="AT142" s="14" t="str">
        <f t="shared" si="47"/>
        <v/>
      </c>
      <c r="AU142" s="14" t="str">
        <f t="shared" si="48"/>
        <v/>
      </c>
      <c r="AV142" s="90" t="str">
        <f t="shared" si="49"/>
        <v/>
      </c>
      <c r="AW142" s="14"/>
      <c r="AX142" s="90" t="str">
        <f t="shared" si="50"/>
        <v/>
      </c>
      <c r="AY142" s="42" t="str">
        <f t="shared" si="51"/>
        <v/>
      </c>
      <c r="AZ142" s="90">
        <f t="shared" si="52"/>
        <v>1</v>
      </c>
      <c r="BA142" s="42" t="str">
        <f t="shared" si="53"/>
        <v/>
      </c>
    </row>
    <row r="143" spans="1:53" x14ac:dyDescent="0.2">
      <c r="A143" t="str">
        <f>INDEX(Prioritization!$D:$D,MATCH($B143,Prioritization!$A:$A,0))</f>
        <v>1 - Scale-up: Saturation</v>
      </c>
      <c r="B143" t="s">
        <v>203</v>
      </c>
      <c r="C143" t="s">
        <v>366</v>
      </c>
      <c r="D143" t="s">
        <v>29</v>
      </c>
      <c r="E143" t="str">
        <f t="shared" ref="E143:E206" si="54">$B143&amp;"|"&amp;$C143&amp;"|"&amp;$D143</f>
        <v>Chitipa District [GkIwZrXy1h2]|35-49|Female</v>
      </c>
      <c r="F143" s="90">
        <f>IF(LEFT($B143,4)="_Mil","",INDEX(Cascade!$AA:$AA,MATCH($E143,Cascade!$E:$E,0)))</f>
        <v>1516</v>
      </c>
      <c r="G143" s="14">
        <f>INDEX(Cascade!$BH:$BH,MATCH($E143,Cascade!$E:$E,0))</f>
        <v>0</v>
      </c>
      <c r="H143" s="14" t="str">
        <f>IF(OR($C143="01-09",$D143="Male"),"",INDEX(PMTCT!$AC:$AC,MATCH($E143,PMTCT!$E:$E,0)))</f>
        <v/>
      </c>
      <c r="I143" s="14" t="str">
        <f>IF(OR($C143="01-09",$D143="Male"),"",INDEX(PMTCT!$AS:$AS,MATCH($E143,PMTCT!$E:$E,0)))</f>
        <v/>
      </c>
      <c r="J143" s="14" t="str">
        <f>INDEX(TB!$P:$P,MATCH($E143,TB!$E:$E,0))</f>
        <v/>
      </c>
      <c r="K143" s="14" t="str">
        <f>IF(OR($C143="01-09",$C143="10-14",$D143="Female"),"",INDEX(VMMC!$AA:$AA,MATCH($E143,VMMC!$E:$E,0)))</f>
        <v/>
      </c>
      <c r="L143" s="14">
        <f t="shared" ref="L143:L206" si="55">SUM($G143)-SUM($H143:$K143)</f>
        <v>0</v>
      </c>
      <c r="M143" s="90" t="str">
        <f t="shared" ref="M143:M206" si="56">IF(OR($C143="01-09",$D143="Male",AND(SUM($G143)=0,SUM($H143)=0)),"",SUM($H143)/SUM($G143))</f>
        <v/>
      </c>
      <c r="N143" s="90" t="str">
        <f t="shared" ref="N143:N206" si="57">IF(OR($C143="01-09",$D143="Male",AND(SUM($G143)=0,SUM($I143)=0)),"",SUM($I143)/SUM($G143))</f>
        <v/>
      </c>
      <c r="O143" s="90" t="str">
        <f t="shared" ref="O143:O206" si="58">IF(AND(SUM($G143)=0,SUM($J143)=0),"",SUM($J143)/SUM($G143))</f>
        <v/>
      </c>
      <c r="P143" s="90" t="str">
        <f t="shared" ref="P143:P206" si="59">IF(OR($C143="01-09",$C143="10-14",$D143="Female",AND(SUM($G143)=0,SUM($K143)=0)),"",SUM($K143)/SUM($G143))</f>
        <v/>
      </c>
      <c r="Q143" s="90"/>
      <c r="R143" s="90"/>
      <c r="S143" s="90"/>
      <c r="T143" s="90"/>
      <c r="U143" s="90"/>
      <c r="V143" s="90" t="str">
        <f t="shared" ref="V143:V206" si="60">IF(SUM($G143)=0,"",SUM($M143:$U143))</f>
        <v/>
      </c>
      <c r="W143" s="90"/>
      <c r="X143" s="42" t="str">
        <f t="shared" ref="X143:X206" si="61">IF(OR(SUM($G143)=0,SUM($Q143)=0),"",ROUND(SUM($G143)*SUM($Q143),0))</f>
        <v/>
      </c>
      <c r="Y143" s="42" t="str">
        <f t="shared" ref="Y143:Y206" si="62">IF(SUM($X143)=0,"",IF(SUM($W143)=0,"ENTER YIELD",ROUND($X143/$W143,0)-$X143))</f>
        <v/>
      </c>
      <c r="Z143" s="90"/>
      <c r="AA143" s="42" t="str">
        <f t="shared" ref="AA143:AA206" si="63">IF(OR(SUM($G143)=0,SUM($R143)=0),"",ROUND(SUM($G143)*SUM($R143),0))</f>
        <v/>
      </c>
      <c r="AB143" s="42" t="str">
        <f t="shared" ref="AB143:AB206" si="64">IF(SUM($AA143)=0,"",IF(SUM($Z143)=0,"ENTER YIELD",ROUND($AA143/$Z143,0)-$AA143))</f>
        <v/>
      </c>
      <c r="AC143" s="90"/>
      <c r="AD143" s="42" t="str">
        <f t="shared" ref="AD143:AD206" si="65">IF(OR(SUM($G143)=0,SUM($S143)=0),"",ROUND(SUM($G143)*SUM($S143),0))</f>
        <v/>
      </c>
      <c r="AE143" s="42" t="str">
        <f t="shared" ref="AE143:AE206" si="66">IF(SUM($AD143)=0,"",IF(SUM($AC143)=0,"ENTER YIELD",ROUND($AD143/$AC143,0)-$AD143))</f>
        <v/>
      </c>
      <c r="AF143" s="90"/>
      <c r="AG143" s="42" t="str">
        <f t="shared" ref="AG143:AG206" si="67">IF(OR(SUM($G143)=0,SUM($T143)=0),"",ROUND(SUM($G143)*SUM($T143),0))</f>
        <v/>
      </c>
      <c r="AH143" s="42" t="str">
        <f t="shared" ref="AH143:AH206" si="68">IF(SUM($AG143)=0,"",IF(SUM($AF143)=0,"ENTER YIELD",ROUND($AG143/$AF143,0)-$AG143))</f>
        <v/>
      </c>
      <c r="AI143" s="90"/>
      <c r="AJ143" s="42" t="str">
        <f t="shared" ref="AJ143:AJ206" si="69">IF(OR(SUM($G143)=0,SUM($U143)=0),"",ROUND(SUM($G143)*SUM($U143),0))</f>
        <v/>
      </c>
      <c r="AK143" s="42" t="str">
        <f t="shared" ref="AK143:AK206" si="70">IF(SUM($AJ143)=0,"",IF(SUM($AI143)=0,"ENTER YIELD",ROUND($AJ143/$AI143,0)-$AJ143))</f>
        <v/>
      </c>
      <c r="AL143" s="14" t="str">
        <f t="shared" ref="AL143:AL206" si="71">IF(SUM($G143)=0,"",$G143)</f>
        <v/>
      </c>
      <c r="AM143" s="14" t="str">
        <f t="shared" ref="AM143:AM206" si="72">IFERROR(1/(1/SUM($H143:$K143,$X143,$AA143,$AD143,$AG143,$AJ143)),"")</f>
        <v/>
      </c>
      <c r="AN143" s="14" t="str">
        <f t="shared" ref="AN143:AN206" si="73">IF(AND(SUM($AM143)=0,SUM($AL143)=0),"",$AM143-$AL143)</f>
        <v/>
      </c>
      <c r="AO143" s="14" t="str">
        <f>IF(OR($C143="01-09",$D143="Male"),"",INDEX(PMTCT!$AD:$AD,MATCH($E143,PMTCT!$E:$E,0)))</f>
        <v/>
      </c>
      <c r="AP143" s="14" t="str">
        <f>IF(OR($C143="01-09",$D143="Male"),"",INDEX(PMTCT!$AT:$AT,MATCH($E143,PMTCT!$E:$E,0)))</f>
        <v/>
      </c>
      <c r="AQ143" s="14" t="str">
        <f>INDEX(TB!$Q:$Q,MATCH($E143,TB!$E:$E,0))</f>
        <v/>
      </c>
      <c r="AR143" s="14" t="str">
        <f>IF(OR($C143="01-09",$C143="10-14",$D143="Female"),"",INDEX(VMMC!$AB:$AB,MATCH($E143,VMMC!$E:$E,0)))</f>
        <v/>
      </c>
      <c r="AS143" s="14" t="str">
        <f>IF(OR($C143="01-09",$C143="10-14"),"",INDEX(PrEP!$Q:$Q,MATCH($E143,PrEP!$E:$E,0)))</f>
        <v/>
      </c>
      <c r="AT143" s="14" t="str">
        <f t="shared" ref="AT143:AT206" si="74">IFERROR(1/(1/SUM($Y143,$AB143,$AE143,$AH143,$AK143,$AO143:$AS143)),"")</f>
        <v/>
      </c>
      <c r="AU143" s="14" t="str">
        <f t="shared" ref="AU143:AU206" si="75">IFERROR(1/(1/SUM($AT143,$AM143)),"")</f>
        <v/>
      </c>
      <c r="AV143" s="90" t="str">
        <f t="shared" ref="AV143:AV206" si="76">IF(AND(SUM($AM143)=0,SUM($AU143)=0),"",$AM143/$AU143)</f>
        <v/>
      </c>
      <c r="AW143" s="14"/>
      <c r="AX143" s="90" t="str">
        <f t="shared" ref="AX143:AX206" si="77">IF(OR($C143="01-09",SUM($AW143)=0),"",0%)</f>
        <v/>
      </c>
      <c r="AY143" s="42" t="str">
        <f t="shared" ref="AY143:AY206" si="78">IF(OR($C143="01-09",SUM($AW143)=0),"",ROUND($AW143*(1+$AX143),0))</f>
        <v/>
      </c>
      <c r="AZ143" s="90">
        <f t="shared" ref="AZ143:AZ206" si="79">IF(OR($C143="01-09",$C143="10-14"),"",100%)</f>
        <v>1</v>
      </c>
      <c r="BA143" s="42" t="str">
        <f t="shared" ref="BA143:BA206" si="80">IF(OR(SUM($AM143)=0,$C143="01-09",$C143="10-14"),"",$AM143*$AZ143)</f>
        <v/>
      </c>
    </row>
    <row r="144" spans="1:53" x14ac:dyDescent="0.2">
      <c r="A144" t="str">
        <f>INDEX(Prioritization!$D:$D,MATCH($B144,Prioritization!$A:$A,0))</f>
        <v>1 - Scale-up: Saturation</v>
      </c>
      <c r="B144" t="s">
        <v>203</v>
      </c>
      <c r="C144" t="s">
        <v>366</v>
      </c>
      <c r="D144" t="s">
        <v>47</v>
      </c>
      <c r="E144" t="str">
        <f t="shared" si="54"/>
        <v>Chitipa District [GkIwZrXy1h2]|35-49|Male</v>
      </c>
      <c r="F144" s="90">
        <f>IF(LEFT($B144,4)="_Mil","",INDEX(Cascade!$AA:$AA,MATCH($E144,Cascade!$E:$E,0)))</f>
        <v>1192</v>
      </c>
      <c r="G144" s="14">
        <f>INDEX(Cascade!$BH:$BH,MATCH($E144,Cascade!$E:$E,0))</f>
        <v>0</v>
      </c>
      <c r="H144" s="14" t="str">
        <f>IF(OR($C144="01-09",$D144="Male"),"",INDEX(PMTCT!$AC:$AC,MATCH($E144,PMTCT!$E:$E,0)))</f>
        <v/>
      </c>
      <c r="I144" s="14" t="str">
        <f>IF(OR($C144="01-09",$D144="Male"),"",INDEX(PMTCT!$AS:$AS,MATCH($E144,PMTCT!$E:$E,0)))</f>
        <v/>
      </c>
      <c r="J144" s="14" t="str">
        <f>INDEX(TB!$P:$P,MATCH($E144,TB!$E:$E,0))</f>
        <v/>
      </c>
      <c r="K144" s="14" t="str">
        <f>IF(OR($C144="01-09",$C144="10-14",$D144="Female"),"",INDEX(VMMC!$AA:$AA,MATCH($E144,VMMC!$E:$E,0)))</f>
        <v/>
      </c>
      <c r="L144" s="14">
        <f t="shared" si="55"/>
        <v>0</v>
      </c>
      <c r="M144" s="90" t="str">
        <f t="shared" si="56"/>
        <v/>
      </c>
      <c r="N144" s="90" t="str">
        <f t="shared" si="57"/>
        <v/>
      </c>
      <c r="O144" s="90" t="str">
        <f t="shared" si="58"/>
        <v/>
      </c>
      <c r="P144" s="90" t="str">
        <f t="shared" si="59"/>
        <v/>
      </c>
      <c r="Q144" s="90"/>
      <c r="R144" s="90"/>
      <c r="S144" s="90"/>
      <c r="T144" s="90"/>
      <c r="U144" s="90"/>
      <c r="V144" s="90" t="str">
        <f t="shared" si="60"/>
        <v/>
      </c>
      <c r="W144" s="90"/>
      <c r="X144" s="42" t="str">
        <f t="shared" si="61"/>
        <v/>
      </c>
      <c r="Y144" s="42" t="str">
        <f t="shared" si="62"/>
        <v/>
      </c>
      <c r="Z144" s="90"/>
      <c r="AA144" s="42" t="str">
        <f t="shared" si="63"/>
        <v/>
      </c>
      <c r="AB144" s="42" t="str">
        <f t="shared" si="64"/>
        <v/>
      </c>
      <c r="AC144" s="90"/>
      <c r="AD144" s="42" t="str">
        <f t="shared" si="65"/>
        <v/>
      </c>
      <c r="AE144" s="42" t="str">
        <f t="shared" si="66"/>
        <v/>
      </c>
      <c r="AF144" s="90"/>
      <c r="AG144" s="42" t="str">
        <f t="shared" si="67"/>
        <v/>
      </c>
      <c r="AH144" s="42" t="str">
        <f t="shared" si="68"/>
        <v/>
      </c>
      <c r="AI144" s="90"/>
      <c r="AJ144" s="42" t="str">
        <f t="shared" si="69"/>
        <v/>
      </c>
      <c r="AK144" s="42" t="str">
        <f t="shared" si="70"/>
        <v/>
      </c>
      <c r="AL144" s="14" t="str">
        <f t="shared" si="71"/>
        <v/>
      </c>
      <c r="AM144" s="14" t="str">
        <f t="shared" si="72"/>
        <v/>
      </c>
      <c r="AN144" s="14" t="str">
        <f t="shared" si="73"/>
        <v/>
      </c>
      <c r="AO144" s="14" t="str">
        <f>IF(OR($C144="01-09",$D144="Male"),"",INDEX(PMTCT!$AD:$AD,MATCH($E144,PMTCT!$E:$E,0)))</f>
        <v/>
      </c>
      <c r="AP144" s="14" t="str">
        <f>IF(OR($C144="01-09",$D144="Male"),"",INDEX(PMTCT!$AT:$AT,MATCH($E144,PMTCT!$E:$E,0)))</f>
        <v/>
      </c>
      <c r="AQ144" s="14" t="str">
        <f>INDEX(TB!$Q:$Q,MATCH($E144,TB!$E:$E,0))</f>
        <v/>
      </c>
      <c r="AR144" s="14" t="str">
        <f>IF(OR($C144="01-09",$C144="10-14",$D144="Female"),"",INDEX(VMMC!$AB:$AB,MATCH($E144,VMMC!$E:$E,0)))</f>
        <v/>
      </c>
      <c r="AS144" s="14" t="str">
        <f>IF(OR($C144="01-09",$C144="10-14"),"",INDEX(PrEP!$Q:$Q,MATCH($E144,PrEP!$E:$E,0)))</f>
        <v/>
      </c>
      <c r="AT144" s="14" t="str">
        <f t="shared" si="74"/>
        <v/>
      </c>
      <c r="AU144" s="14" t="str">
        <f t="shared" si="75"/>
        <v/>
      </c>
      <c r="AV144" s="90" t="str">
        <f t="shared" si="76"/>
        <v/>
      </c>
      <c r="AW144" s="14"/>
      <c r="AX144" s="90" t="str">
        <f t="shared" si="77"/>
        <v/>
      </c>
      <c r="AY144" s="42" t="str">
        <f t="shared" si="78"/>
        <v/>
      </c>
      <c r="AZ144" s="90">
        <f t="shared" si="79"/>
        <v>1</v>
      </c>
      <c r="BA144" s="42" t="str">
        <f t="shared" si="80"/>
        <v/>
      </c>
    </row>
    <row r="145" spans="1:53" x14ac:dyDescent="0.2">
      <c r="A145" t="str">
        <f>INDEX(Prioritization!$D:$D,MATCH($B145,Prioritization!$A:$A,0))</f>
        <v>1 - Scale-up: Saturation</v>
      </c>
      <c r="B145" t="s">
        <v>203</v>
      </c>
      <c r="C145" t="s">
        <v>367</v>
      </c>
      <c r="D145" t="s">
        <v>29</v>
      </c>
      <c r="E145" t="str">
        <f t="shared" si="54"/>
        <v>Chitipa District [GkIwZrXy1h2]|50+|Female</v>
      </c>
      <c r="F145" s="90">
        <f>IF(LEFT($B145,4)="_Mil","",INDEX(Cascade!$AA:$AA,MATCH($E145,Cascade!$E:$E,0)))</f>
        <v>868</v>
      </c>
      <c r="G145" s="14">
        <f>INDEX(Cascade!$BH:$BH,MATCH($E145,Cascade!$E:$E,0))</f>
        <v>0</v>
      </c>
      <c r="H145" s="14" t="str">
        <f>IF(OR($C145="01-09",$D145="Male"),"",INDEX(PMTCT!$AC:$AC,MATCH($E145,PMTCT!$E:$E,0)))</f>
        <v/>
      </c>
      <c r="I145" s="14" t="str">
        <f>IF(OR($C145="01-09",$D145="Male"),"",INDEX(PMTCT!$AS:$AS,MATCH($E145,PMTCT!$E:$E,0)))</f>
        <v/>
      </c>
      <c r="J145" s="14" t="str">
        <f>INDEX(TB!$P:$P,MATCH($E145,TB!$E:$E,0))</f>
        <v/>
      </c>
      <c r="K145" s="14" t="str">
        <f>IF(OR($C145="01-09",$C145="10-14",$D145="Female"),"",INDEX(VMMC!$AA:$AA,MATCH($E145,VMMC!$E:$E,0)))</f>
        <v/>
      </c>
      <c r="L145" s="14">
        <f t="shared" si="55"/>
        <v>0</v>
      </c>
      <c r="M145" s="90" t="str">
        <f t="shared" si="56"/>
        <v/>
      </c>
      <c r="N145" s="90" t="str">
        <f t="shared" si="57"/>
        <v/>
      </c>
      <c r="O145" s="90" t="str">
        <f t="shared" si="58"/>
        <v/>
      </c>
      <c r="P145" s="90" t="str">
        <f t="shared" si="59"/>
        <v/>
      </c>
      <c r="Q145" s="90"/>
      <c r="R145" s="90"/>
      <c r="S145" s="90"/>
      <c r="T145" s="90"/>
      <c r="U145" s="90">
        <v>0.87781988154165402</v>
      </c>
      <c r="V145" s="90" t="str">
        <f t="shared" si="60"/>
        <v/>
      </c>
      <c r="W145" s="90"/>
      <c r="X145" s="42" t="str">
        <f t="shared" si="61"/>
        <v/>
      </c>
      <c r="Y145" s="42" t="str">
        <f t="shared" si="62"/>
        <v/>
      </c>
      <c r="Z145" s="90"/>
      <c r="AA145" s="42" t="str">
        <f t="shared" si="63"/>
        <v/>
      </c>
      <c r="AB145" s="42" t="str">
        <f t="shared" si="64"/>
        <v/>
      </c>
      <c r="AC145" s="90"/>
      <c r="AD145" s="42" t="str">
        <f t="shared" si="65"/>
        <v/>
      </c>
      <c r="AE145" s="42" t="str">
        <f t="shared" si="66"/>
        <v/>
      </c>
      <c r="AF145" s="90"/>
      <c r="AG145" s="42" t="str">
        <f t="shared" si="67"/>
        <v/>
      </c>
      <c r="AH145" s="42" t="str">
        <f t="shared" si="68"/>
        <v/>
      </c>
      <c r="AI145" s="90"/>
      <c r="AJ145" s="42" t="str">
        <f t="shared" si="69"/>
        <v/>
      </c>
      <c r="AK145" s="42" t="str">
        <f t="shared" si="70"/>
        <v/>
      </c>
      <c r="AL145" s="14" t="str">
        <f t="shared" si="71"/>
        <v/>
      </c>
      <c r="AM145" s="14" t="str">
        <f t="shared" si="72"/>
        <v/>
      </c>
      <c r="AN145" s="14" t="str">
        <f t="shared" si="73"/>
        <v/>
      </c>
      <c r="AO145" s="14" t="str">
        <f>IF(OR($C145="01-09",$D145="Male"),"",INDEX(PMTCT!$AD:$AD,MATCH($E145,PMTCT!$E:$E,0)))</f>
        <v/>
      </c>
      <c r="AP145" s="14" t="str">
        <f>IF(OR($C145="01-09",$D145="Male"),"",INDEX(PMTCT!$AT:$AT,MATCH($E145,PMTCT!$E:$E,0)))</f>
        <v/>
      </c>
      <c r="AQ145" s="14" t="str">
        <f>INDEX(TB!$Q:$Q,MATCH($E145,TB!$E:$E,0))</f>
        <v/>
      </c>
      <c r="AR145" s="14" t="str">
        <f>IF(OR($C145="01-09",$C145="10-14",$D145="Female"),"",INDEX(VMMC!$AB:$AB,MATCH($E145,VMMC!$E:$E,0)))</f>
        <v/>
      </c>
      <c r="AS145" s="14" t="str">
        <f>IF(OR($C145="01-09",$C145="10-14"),"",INDEX(PrEP!$Q:$Q,MATCH($E145,PrEP!$E:$E,0)))</f>
        <v/>
      </c>
      <c r="AT145" s="14" t="str">
        <f t="shared" si="74"/>
        <v/>
      </c>
      <c r="AU145" s="14" t="str">
        <f t="shared" si="75"/>
        <v/>
      </c>
      <c r="AV145" s="90" t="str">
        <f t="shared" si="76"/>
        <v/>
      </c>
      <c r="AW145" s="14">
        <v>1</v>
      </c>
      <c r="AX145" s="90">
        <f t="shared" si="77"/>
        <v>0</v>
      </c>
      <c r="AY145" s="42">
        <f t="shared" si="78"/>
        <v>1</v>
      </c>
      <c r="AZ145" s="90">
        <f t="shared" si="79"/>
        <v>1</v>
      </c>
      <c r="BA145" s="42" t="str">
        <f t="shared" si="80"/>
        <v/>
      </c>
    </row>
    <row r="146" spans="1:53" x14ac:dyDescent="0.2">
      <c r="A146" t="str">
        <f>INDEX(Prioritization!$D:$D,MATCH($B146,Prioritization!$A:$A,0))</f>
        <v>1 - Scale-up: Saturation</v>
      </c>
      <c r="B146" t="s">
        <v>203</v>
      </c>
      <c r="C146" t="s">
        <v>367</v>
      </c>
      <c r="D146" t="s">
        <v>47</v>
      </c>
      <c r="E146" t="str">
        <f t="shared" si="54"/>
        <v>Chitipa District [GkIwZrXy1h2]|50+|Male</v>
      </c>
      <c r="F146" s="90">
        <f>IF(LEFT($B146,4)="_Mil","",INDEX(Cascade!$AA:$AA,MATCH($E146,Cascade!$E:$E,0)))</f>
        <v>1815.9999999999998</v>
      </c>
      <c r="G146" s="14">
        <f>INDEX(Cascade!$BH:$BH,MATCH($E146,Cascade!$E:$E,0))</f>
        <v>0</v>
      </c>
      <c r="H146" s="14" t="str">
        <f>IF(OR($C146="01-09",$D146="Male"),"",INDEX(PMTCT!$AC:$AC,MATCH($E146,PMTCT!$E:$E,0)))</f>
        <v/>
      </c>
      <c r="I146" s="14" t="str">
        <f>IF(OR($C146="01-09",$D146="Male"),"",INDEX(PMTCT!$AS:$AS,MATCH($E146,PMTCT!$E:$E,0)))</f>
        <v/>
      </c>
      <c r="J146" s="14" t="str">
        <f>INDEX(TB!$P:$P,MATCH($E146,TB!$E:$E,0))</f>
        <v/>
      </c>
      <c r="K146" s="14" t="str">
        <f>IF(OR($C146="01-09",$C146="10-14",$D146="Female"),"",INDEX(VMMC!$AA:$AA,MATCH($E146,VMMC!$E:$E,0)))</f>
        <v/>
      </c>
      <c r="L146" s="14">
        <f t="shared" si="55"/>
        <v>0</v>
      </c>
      <c r="M146" s="90" t="str">
        <f t="shared" si="56"/>
        <v/>
      </c>
      <c r="N146" s="90" t="str">
        <f t="shared" si="57"/>
        <v/>
      </c>
      <c r="O146" s="90" t="str">
        <f t="shared" si="58"/>
        <v/>
      </c>
      <c r="P146" s="90" t="str">
        <f t="shared" si="59"/>
        <v/>
      </c>
      <c r="Q146" s="90"/>
      <c r="R146" s="90"/>
      <c r="S146" s="90"/>
      <c r="T146" s="90"/>
      <c r="U146" s="90">
        <v>6.4276096643879996E-2</v>
      </c>
      <c r="V146" s="90" t="str">
        <f t="shared" si="60"/>
        <v/>
      </c>
      <c r="W146" s="90"/>
      <c r="X146" s="42" t="str">
        <f t="shared" si="61"/>
        <v/>
      </c>
      <c r="Y146" s="42" t="str">
        <f t="shared" si="62"/>
        <v/>
      </c>
      <c r="Z146" s="90"/>
      <c r="AA146" s="42" t="str">
        <f t="shared" si="63"/>
        <v/>
      </c>
      <c r="AB146" s="42" t="str">
        <f t="shared" si="64"/>
        <v/>
      </c>
      <c r="AC146" s="90"/>
      <c r="AD146" s="42" t="str">
        <f t="shared" si="65"/>
        <v/>
      </c>
      <c r="AE146" s="42" t="str">
        <f t="shared" si="66"/>
        <v/>
      </c>
      <c r="AF146" s="90"/>
      <c r="AG146" s="42" t="str">
        <f t="shared" si="67"/>
        <v/>
      </c>
      <c r="AH146" s="42" t="str">
        <f t="shared" si="68"/>
        <v/>
      </c>
      <c r="AI146" s="90"/>
      <c r="AJ146" s="42" t="str">
        <f t="shared" si="69"/>
        <v/>
      </c>
      <c r="AK146" s="42" t="str">
        <f t="shared" si="70"/>
        <v/>
      </c>
      <c r="AL146" s="14" t="str">
        <f t="shared" si="71"/>
        <v/>
      </c>
      <c r="AM146" s="14" t="str">
        <f t="shared" si="72"/>
        <v/>
      </c>
      <c r="AN146" s="14" t="str">
        <f t="shared" si="73"/>
        <v/>
      </c>
      <c r="AO146" s="14" t="str">
        <f>IF(OR($C146="01-09",$D146="Male"),"",INDEX(PMTCT!$AD:$AD,MATCH($E146,PMTCT!$E:$E,0)))</f>
        <v/>
      </c>
      <c r="AP146" s="14" t="str">
        <f>IF(OR($C146="01-09",$D146="Male"),"",INDEX(PMTCT!$AT:$AT,MATCH($E146,PMTCT!$E:$E,0)))</f>
        <v/>
      </c>
      <c r="AQ146" s="14" t="str">
        <f>INDEX(TB!$Q:$Q,MATCH($E146,TB!$E:$E,0))</f>
        <v/>
      </c>
      <c r="AR146" s="14" t="str">
        <f>IF(OR($C146="01-09",$C146="10-14",$D146="Female"),"",INDEX(VMMC!$AB:$AB,MATCH($E146,VMMC!$E:$E,0)))</f>
        <v/>
      </c>
      <c r="AS146" s="14" t="str">
        <f>IF(OR($C146="01-09",$C146="10-14"),"",INDEX(PrEP!$Q:$Q,MATCH($E146,PrEP!$E:$E,0)))</f>
        <v/>
      </c>
      <c r="AT146" s="14" t="str">
        <f t="shared" si="74"/>
        <v/>
      </c>
      <c r="AU146" s="14" t="str">
        <f t="shared" si="75"/>
        <v/>
      </c>
      <c r="AV146" s="90" t="str">
        <f t="shared" si="76"/>
        <v/>
      </c>
      <c r="AW146" s="14">
        <v>0</v>
      </c>
      <c r="AX146" s="90" t="str">
        <f t="shared" si="77"/>
        <v/>
      </c>
      <c r="AY146" s="42" t="str">
        <f t="shared" si="78"/>
        <v/>
      </c>
      <c r="AZ146" s="90">
        <f t="shared" si="79"/>
        <v>1</v>
      </c>
      <c r="BA146" s="42" t="str">
        <f t="shared" si="80"/>
        <v/>
      </c>
    </row>
    <row r="147" spans="1:53" x14ac:dyDescent="0.2">
      <c r="A147" t="str">
        <f>INDEX(Prioritization!$D:$D,MATCH($B147,Prioritization!$A:$A,0))</f>
        <v>INVALID</v>
      </c>
      <c r="B147" t="s">
        <v>204</v>
      </c>
      <c r="C147" t="s">
        <v>362</v>
      </c>
      <c r="D147" t="s">
        <v>29</v>
      </c>
      <c r="E147" t="str">
        <f t="shared" si="54"/>
        <v>Karonga District [cPtvxaZqXIH]|01-09|Female</v>
      </c>
      <c r="F147" s="90">
        <f>IF(LEFT($B147,4)="_Mil","",INDEX(Cascade!$AA:$AA,MATCH($E147,Cascade!$E:$E,0)))</f>
        <v>1171</v>
      </c>
      <c r="G147" s="14">
        <f>INDEX(Cascade!$BH:$BH,MATCH($E147,Cascade!$E:$E,0))</f>
        <v>0</v>
      </c>
      <c r="H147" s="14" t="str">
        <f>IF(OR($C147="01-09",$D147="Male"),"",INDEX(PMTCT!$AC:$AC,MATCH($E147,PMTCT!$E:$E,0)))</f>
        <v/>
      </c>
      <c r="I147" s="14" t="str">
        <f>IF(OR($C147="01-09",$D147="Male"),"",INDEX(PMTCT!$AS:$AS,MATCH($E147,PMTCT!$E:$E,0)))</f>
        <v/>
      </c>
      <c r="J147" s="14" t="str">
        <f>INDEX(TB!$P:$P,MATCH($E147,TB!$E:$E,0))</f>
        <v/>
      </c>
      <c r="K147" s="14" t="str">
        <f>IF(OR($C147="01-09",$C147="10-14",$D147="Female"),"",INDEX(VMMC!$AA:$AA,MATCH($E147,VMMC!$E:$E,0)))</f>
        <v/>
      </c>
      <c r="L147" s="14">
        <f t="shared" si="55"/>
        <v>0</v>
      </c>
      <c r="M147" s="90" t="str">
        <f t="shared" si="56"/>
        <v/>
      </c>
      <c r="N147" s="90" t="str">
        <f t="shared" si="57"/>
        <v/>
      </c>
      <c r="O147" s="90" t="str">
        <f t="shared" si="58"/>
        <v/>
      </c>
      <c r="P147" s="90" t="str">
        <f t="shared" si="59"/>
        <v/>
      </c>
      <c r="Q147" s="90"/>
      <c r="R147" s="90"/>
      <c r="S147" s="90"/>
      <c r="T147" s="90"/>
      <c r="U147" s="90"/>
      <c r="V147" s="90" t="str">
        <f t="shared" si="60"/>
        <v/>
      </c>
      <c r="W147" s="90"/>
      <c r="X147" s="42" t="str">
        <f t="shared" si="61"/>
        <v/>
      </c>
      <c r="Y147" s="42" t="str">
        <f t="shared" si="62"/>
        <v/>
      </c>
      <c r="Z147" s="90"/>
      <c r="AA147" s="42" t="str">
        <f t="shared" si="63"/>
        <v/>
      </c>
      <c r="AB147" s="42" t="str">
        <f t="shared" si="64"/>
        <v/>
      </c>
      <c r="AC147" s="90"/>
      <c r="AD147" s="42" t="str">
        <f t="shared" si="65"/>
        <v/>
      </c>
      <c r="AE147" s="42" t="str">
        <f t="shared" si="66"/>
        <v/>
      </c>
      <c r="AF147" s="90"/>
      <c r="AG147" s="42" t="str">
        <f t="shared" si="67"/>
        <v/>
      </c>
      <c r="AH147" s="42" t="str">
        <f t="shared" si="68"/>
        <v/>
      </c>
      <c r="AI147" s="90"/>
      <c r="AJ147" s="42" t="str">
        <f t="shared" si="69"/>
        <v/>
      </c>
      <c r="AK147" s="42" t="str">
        <f t="shared" si="70"/>
        <v/>
      </c>
      <c r="AL147" s="14" t="str">
        <f t="shared" si="71"/>
        <v/>
      </c>
      <c r="AM147" s="14" t="str">
        <f t="shared" si="72"/>
        <v/>
      </c>
      <c r="AN147" s="14" t="str">
        <f t="shared" si="73"/>
        <v/>
      </c>
      <c r="AO147" s="14" t="str">
        <f>IF(OR($C147="01-09",$D147="Male"),"",INDEX(PMTCT!$AD:$AD,MATCH($E147,PMTCT!$E:$E,0)))</f>
        <v/>
      </c>
      <c r="AP147" s="14" t="str">
        <f>IF(OR($C147="01-09",$D147="Male"),"",INDEX(PMTCT!$AT:$AT,MATCH($E147,PMTCT!$E:$E,0)))</f>
        <v/>
      </c>
      <c r="AQ147" s="14" t="str">
        <f>INDEX(TB!$Q:$Q,MATCH($E147,TB!$E:$E,0))</f>
        <v/>
      </c>
      <c r="AR147" s="14" t="str">
        <f>IF(OR($C147="01-09",$C147="10-14",$D147="Female"),"",INDEX(VMMC!$AB:$AB,MATCH($E147,VMMC!$E:$E,0)))</f>
        <v/>
      </c>
      <c r="AS147" s="14" t="str">
        <f>IF(OR($C147="01-09",$C147="10-14"),"",INDEX(PrEP!$Q:$Q,MATCH($E147,PrEP!$E:$E,0)))</f>
        <v/>
      </c>
      <c r="AT147" s="14" t="str">
        <f t="shared" si="74"/>
        <v/>
      </c>
      <c r="AU147" s="14" t="str">
        <f t="shared" si="75"/>
        <v/>
      </c>
      <c r="AV147" s="90" t="str">
        <f t="shared" si="76"/>
        <v/>
      </c>
      <c r="AW147" s="14"/>
      <c r="AX147" s="90" t="str">
        <f t="shared" si="77"/>
        <v/>
      </c>
      <c r="AY147" s="42" t="str">
        <f t="shared" si="78"/>
        <v/>
      </c>
      <c r="AZ147" s="90" t="str">
        <f t="shared" si="79"/>
        <v/>
      </c>
      <c r="BA147" s="42" t="str">
        <f t="shared" si="80"/>
        <v/>
      </c>
    </row>
    <row r="148" spans="1:53" x14ac:dyDescent="0.2">
      <c r="A148" t="str">
        <f>INDEX(Prioritization!$D:$D,MATCH($B148,Prioritization!$A:$A,0))</f>
        <v>INVALID</v>
      </c>
      <c r="B148" t="s">
        <v>204</v>
      </c>
      <c r="C148" t="s">
        <v>362</v>
      </c>
      <c r="D148" t="s">
        <v>47</v>
      </c>
      <c r="E148" t="str">
        <f t="shared" si="54"/>
        <v>Karonga District [cPtvxaZqXIH]|01-09|Male</v>
      </c>
      <c r="F148" s="90">
        <f>IF(LEFT($B148,4)="_Mil","",INDEX(Cascade!$AA:$AA,MATCH($E148,Cascade!$E:$E,0)))</f>
        <v>1417</v>
      </c>
      <c r="G148" s="14">
        <f>INDEX(Cascade!$BH:$BH,MATCH($E148,Cascade!$E:$E,0))</f>
        <v>0</v>
      </c>
      <c r="H148" s="14" t="str">
        <f>IF(OR($C148="01-09",$D148="Male"),"",INDEX(PMTCT!$AC:$AC,MATCH($E148,PMTCT!$E:$E,0)))</f>
        <v/>
      </c>
      <c r="I148" s="14" t="str">
        <f>IF(OR($C148="01-09",$D148="Male"),"",INDEX(PMTCT!$AS:$AS,MATCH($E148,PMTCT!$E:$E,0)))</f>
        <v/>
      </c>
      <c r="J148" s="14" t="str">
        <f>INDEX(TB!$P:$P,MATCH($E148,TB!$E:$E,0))</f>
        <v/>
      </c>
      <c r="K148" s="14" t="str">
        <f>IF(OR($C148="01-09",$C148="10-14",$D148="Female"),"",INDEX(VMMC!$AA:$AA,MATCH($E148,VMMC!$E:$E,0)))</f>
        <v/>
      </c>
      <c r="L148" s="14">
        <f t="shared" si="55"/>
        <v>0</v>
      </c>
      <c r="M148" s="90" t="str">
        <f t="shared" si="56"/>
        <v/>
      </c>
      <c r="N148" s="90" t="str">
        <f t="shared" si="57"/>
        <v/>
      </c>
      <c r="O148" s="90" t="str">
        <f t="shared" si="58"/>
        <v/>
      </c>
      <c r="P148" s="90" t="str">
        <f t="shared" si="59"/>
        <v/>
      </c>
      <c r="Q148" s="90"/>
      <c r="R148" s="90"/>
      <c r="S148" s="90"/>
      <c r="T148" s="90"/>
      <c r="U148" s="90"/>
      <c r="V148" s="90" t="str">
        <f t="shared" si="60"/>
        <v/>
      </c>
      <c r="W148" s="90"/>
      <c r="X148" s="42" t="str">
        <f t="shared" si="61"/>
        <v/>
      </c>
      <c r="Y148" s="42" t="str">
        <f t="shared" si="62"/>
        <v/>
      </c>
      <c r="Z148" s="90"/>
      <c r="AA148" s="42" t="str">
        <f t="shared" si="63"/>
        <v/>
      </c>
      <c r="AB148" s="42" t="str">
        <f t="shared" si="64"/>
        <v/>
      </c>
      <c r="AC148" s="90"/>
      <c r="AD148" s="42" t="str">
        <f t="shared" si="65"/>
        <v/>
      </c>
      <c r="AE148" s="42" t="str">
        <f t="shared" si="66"/>
        <v/>
      </c>
      <c r="AF148" s="90"/>
      <c r="AG148" s="42" t="str">
        <f t="shared" si="67"/>
        <v/>
      </c>
      <c r="AH148" s="42" t="str">
        <f t="shared" si="68"/>
        <v/>
      </c>
      <c r="AI148" s="90"/>
      <c r="AJ148" s="42" t="str">
        <f t="shared" si="69"/>
        <v/>
      </c>
      <c r="AK148" s="42" t="str">
        <f t="shared" si="70"/>
        <v/>
      </c>
      <c r="AL148" s="14" t="str">
        <f t="shared" si="71"/>
        <v/>
      </c>
      <c r="AM148" s="14" t="str">
        <f t="shared" si="72"/>
        <v/>
      </c>
      <c r="AN148" s="14" t="str">
        <f t="shared" si="73"/>
        <v/>
      </c>
      <c r="AO148" s="14" t="str">
        <f>IF(OR($C148="01-09",$D148="Male"),"",INDEX(PMTCT!$AD:$AD,MATCH($E148,PMTCT!$E:$E,0)))</f>
        <v/>
      </c>
      <c r="AP148" s="14" t="str">
        <f>IF(OR($C148="01-09",$D148="Male"),"",INDEX(PMTCT!$AT:$AT,MATCH($E148,PMTCT!$E:$E,0)))</f>
        <v/>
      </c>
      <c r="AQ148" s="14" t="str">
        <f>INDEX(TB!$Q:$Q,MATCH($E148,TB!$E:$E,0))</f>
        <v/>
      </c>
      <c r="AR148" s="14" t="str">
        <f>IF(OR($C148="01-09",$C148="10-14",$D148="Female"),"",INDEX(VMMC!$AB:$AB,MATCH($E148,VMMC!$E:$E,0)))</f>
        <v/>
      </c>
      <c r="AS148" s="14" t="str">
        <f>IF(OR($C148="01-09",$C148="10-14"),"",INDEX(PrEP!$Q:$Q,MATCH($E148,PrEP!$E:$E,0)))</f>
        <v/>
      </c>
      <c r="AT148" s="14" t="str">
        <f t="shared" si="74"/>
        <v/>
      </c>
      <c r="AU148" s="14" t="str">
        <f t="shared" si="75"/>
        <v/>
      </c>
      <c r="AV148" s="90" t="str">
        <f t="shared" si="76"/>
        <v/>
      </c>
      <c r="AW148" s="14"/>
      <c r="AX148" s="90" t="str">
        <f t="shared" si="77"/>
        <v/>
      </c>
      <c r="AY148" s="42" t="str">
        <f t="shared" si="78"/>
        <v/>
      </c>
      <c r="AZ148" s="90" t="str">
        <f t="shared" si="79"/>
        <v/>
      </c>
      <c r="BA148" s="42" t="str">
        <f t="shared" si="80"/>
        <v/>
      </c>
    </row>
    <row r="149" spans="1:53" x14ac:dyDescent="0.2">
      <c r="A149" t="str">
        <f>INDEX(Prioritization!$D:$D,MATCH($B149,Prioritization!$A:$A,0))</f>
        <v>INVALID</v>
      </c>
      <c r="B149" t="s">
        <v>204</v>
      </c>
      <c r="C149" t="s">
        <v>363</v>
      </c>
      <c r="D149" t="s">
        <v>29</v>
      </c>
      <c r="E149" t="str">
        <f t="shared" si="54"/>
        <v>Karonga District [cPtvxaZqXIH]|10-14|Female</v>
      </c>
      <c r="F149" s="90">
        <f>IF(LEFT($B149,4)="_Mil","",INDEX(Cascade!$AA:$AA,MATCH($E149,Cascade!$E:$E,0)))</f>
        <v>1487</v>
      </c>
      <c r="G149" s="14">
        <f>INDEX(Cascade!$BH:$BH,MATCH($E149,Cascade!$E:$E,0))</f>
        <v>-96</v>
      </c>
      <c r="H149" s="14" t="str">
        <f>IF(OR($C149="01-09",$D149="Male"),"",INDEX(PMTCT!$AC:$AC,MATCH($E149,PMTCT!$E:$E,0)))</f>
        <v>ENTER YIELD RATE</v>
      </c>
      <c r="I149" s="14" t="str">
        <f>IF(OR($C149="01-09",$D149="Male"),"",INDEX(PMTCT!$AS:$AS,MATCH($E149,PMTCT!$E:$E,0)))</f>
        <v>ENTER YIELD RATE</v>
      </c>
      <c r="J149" s="14" t="str">
        <f>INDEX(TB!$P:$P,MATCH($E149,TB!$E:$E,0))</f>
        <v>ENTER YIELD RATE</v>
      </c>
      <c r="K149" s="14" t="str">
        <f>IF(OR($C149="01-09",$C149="10-14",$D149="Female"),"",INDEX(VMMC!$AA:$AA,MATCH($E149,VMMC!$E:$E,0)))</f>
        <v/>
      </c>
      <c r="L149" s="14">
        <f t="shared" si="55"/>
        <v>-96</v>
      </c>
      <c r="M149" s="90">
        <f t="shared" si="56"/>
        <v>0</v>
      </c>
      <c r="N149" s="90">
        <f t="shared" si="57"/>
        <v>0</v>
      </c>
      <c r="O149" s="90">
        <f t="shared" si="58"/>
        <v>0</v>
      </c>
      <c r="P149" s="90" t="str">
        <f t="shared" si="59"/>
        <v/>
      </c>
      <c r="Q149" s="90">
        <v>0.17463195533491699</v>
      </c>
      <c r="R149" s="90"/>
      <c r="S149" s="90"/>
      <c r="T149" s="90"/>
      <c r="U149" s="90">
        <v>0.62198473373427998</v>
      </c>
      <c r="V149" s="90">
        <f t="shared" si="60"/>
        <v>0.79661668906919703</v>
      </c>
      <c r="W149" s="90"/>
      <c r="X149" s="42">
        <f t="shared" si="61"/>
        <v>-17</v>
      </c>
      <c r="Y149" s="42" t="str">
        <f t="shared" si="62"/>
        <v>ENTER YIELD</v>
      </c>
      <c r="Z149" s="90"/>
      <c r="AA149" s="42" t="str">
        <f t="shared" si="63"/>
        <v/>
      </c>
      <c r="AB149" s="42" t="str">
        <f t="shared" si="64"/>
        <v/>
      </c>
      <c r="AC149" s="90"/>
      <c r="AD149" s="42" t="str">
        <f t="shared" si="65"/>
        <v/>
      </c>
      <c r="AE149" s="42" t="str">
        <f t="shared" si="66"/>
        <v/>
      </c>
      <c r="AF149" s="90"/>
      <c r="AG149" s="42" t="str">
        <f t="shared" si="67"/>
        <v/>
      </c>
      <c r="AH149" s="42" t="str">
        <f t="shared" si="68"/>
        <v/>
      </c>
      <c r="AI149" s="90"/>
      <c r="AJ149" s="42">
        <f t="shared" si="69"/>
        <v>-60</v>
      </c>
      <c r="AK149" s="42" t="str">
        <f t="shared" si="70"/>
        <v>ENTER YIELD</v>
      </c>
      <c r="AL149" s="14">
        <f t="shared" si="71"/>
        <v>-96</v>
      </c>
      <c r="AM149" s="14">
        <f t="shared" si="72"/>
        <v>-77</v>
      </c>
      <c r="AN149" s="14">
        <f t="shared" si="73"/>
        <v>19</v>
      </c>
      <c r="AO149" s="14">
        <f>IF(OR($C149="01-09",$D149="Male"),"",INDEX(PMTCT!$AD:$AD,MATCH($E149,PMTCT!$E:$E,0)))</f>
        <v>5</v>
      </c>
      <c r="AP149" s="14">
        <f>IF(OR($C149="01-09",$D149="Male"),"",INDEX(PMTCT!$AT:$AT,MATCH($E149,PMTCT!$E:$E,0)))</f>
        <v>5</v>
      </c>
      <c r="AQ149" s="14">
        <f>INDEX(TB!$Q:$Q,MATCH($E149,TB!$E:$E,0))</f>
        <v>1</v>
      </c>
      <c r="AR149" s="14" t="str">
        <f>IF(OR($C149="01-09",$C149="10-14",$D149="Female"),"",INDEX(VMMC!$AB:$AB,MATCH($E149,VMMC!$E:$E,0)))</f>
        <v/>
      </c>
      <c r="AS149" s="14" t="str">
        <f>IF(OR($C149="01-09",$C149="10-14"),"",INDEX(PrEP!$Q:$Q,MATCH($E149,PrEP!$E:$E,0)))</f>
        <v/>
      </c>
      <c r="AT149" s="14">
        <f t="shared" si="74"/>
        <v>11</v>
      </c>
      <c r="AU149" s="14">
        <f t="shared" si="75"/>
        <v>-66</v>
      </c>
      <c r="AV149" s="90">
        <f t="shared" si="76"/>
        <v>1.1666666666666667</v>
      </c>
      <c r="AW149" s="14"/>
      <c r="AX149" s="90" t="str">
        <f t="shared" si="77"/>
        <v/>
      </c>
      <c r="AY149" s="42" t="str">
        <f t="shared" si="78"/>
        <v/>
      </c>
      <c r="AZ149" s="90" t="str">
        <f t="shared" si="79"/>
        <v/>
      </c>
      <c r="BA149" s="42" t="str">
        <f t="shared" si="80"/>
        <v/>
      </c>
    </row>
    <row r="150" spans="1:53" x14ac:dyDescent="0.2">
      <c r="A150" t="str">
        <f>INDEX(Prioritization!$D:$D,MATCH($B150,Prioritization!$A:$A,0))</f>
        <v>INVALID</v>
      </c>
      <c r="B150" t="s">
        <v>204</v>
      </c>
      <c r="C150" t="s">
        <v>363</v>
      </c>
      <c r="D150" t="s">
        <v>47</v>
      </c>
      <c r="E150" t="str">
        <f t="shared" si="54"/>
        <v>Karonga District [cPtvxaZqXIH]|10-14|Male</v>
      </c>
      <c r="F150" s="90">
        <f>IF(LEFT($B150,4)="_Mil","",INDEX(Cascade!$AA:$AA,MATCH($E150,Cascade!$E:$E,0)))</f>
        <v>1518</v>
      </c>
      <c r="G150" s="14">
        <f>INDEX(Cascade!$BH:$BH,MATCH($E150,Cascade!$E:$E,0))</f>
        <v>-85</v>
      </c>
      <c r="H150" s="14" t="str">
        <f>IF(OR($C150="01-09",$D150="Male"),"",INDEX(PMTCT!$AC:$AC,MATCH($E150,PMTCT!$E:$E,0)))</f>
        <v/>
      </c>
      <c r="I150" s="14" t="str">
        <f>IF(OR($C150="01-09",$D150="Male"),"",INDEX(PMTCT!$AS:$AS,MATCH($E150,PMTCT!$E:$E,0)))</f>
        <v/>
      </c>
      <c r="J150" s="14" t="str">
        <f>INDEX(TB!$P:$P,MATCH($E150,TB!$E:$E,0))</f>
        <v>ENTER YIELD RATE</v>
      </c>
      <c r="K150" s="14" t="str">
        <f>IF(OR($C150="01-09",$C150="10-14",$D150="Female"),"",INDEX(VMMC!$AA:$AA,MATCH($E150,VMMC!$E:$E,0)))</f>
        <v/>
      </c>
      <c r="L150" s="14">
        <f t="shared" si="55"/>
        <v>-85</v>
      </c>
      <c r="M150" s="90" t="str">
        <f t="shared" si="56"/>
        <v/>
      </c>
      <c r="N150" s="90" t="str">
        <f t="shared" si="57"/>
        <v/>
      </c>
      <c r="O150" s="90">
        <f t="shared" si="58"/>
        <v>0</v>
      </c>
      <c r="P150" s="90" t="str">
        <f t="shared" si="59"/>
        <v/>
      </c>
      <c r="Q150" s="90">
        <v>0.88579189567826699</v>
      </c>
      <c r="R150" s="90"/>
      <c r="S150" s="90"/>
      <c r="T150" s="90"/>
      <c r="U150" s="90">
        <v>0.39946967340074502</v>
      </c>
      <c r="V150" s="90">
        <f t="shared" si="60"/>
        <v>1.2852615690790121</v>
      </c>
      <c r="W150" s="90"/>
      <c r="X150" s="42">
        <f t="shared" si="61"/>
        <v>-75</v>
      </c>
      <c r="Y150" s="42" t="str">
        <f t="shared" si="62"/>
        <v>ENTER YIELD</v>
      </c>
      <c r="Z150" s="90"/>
      <c r="AA150" s="42" t="str">
        <f t="shared" si="63"/>
        <v/>
      </c>
      <c r="AB150" s="42" t="str">
        <f t="shared" si="64"/>
        <v/>
      </c>
      <c r="AC150" s="90"/>
      <c r="AD150" s="42" t="str">
        <f t="shared" si="65"/>
        <v/>
      </c>
      <c r="AE150" s="42" t="str">
        <f t="shared" si="66"/>
        <v/>
      </c>
      <c r="AF150" s="90"/>
      <c r="AG150" s="42" t="str">
        <f t="shared" si="67"/>
        <v/>
      </c>
      <c r="AH150" s="42" t="str">
        <f t="shared" si="68"/>
        <v/>
      </c>
      <c r="AI150" s="90"/>
      <c r="AJ150" s="42">
        <f t="shared" si="69"/>
        <v>-34</v>
      </c>
      <c r="AK150" s="42" t="str">
        <f t="shared" si="70"/>
        <v>ENTER YIELD</v>
      </c>
      <c r="AL150" s="14">
        <f t="shared" si="71"/>
        <v>-85</v>
      </c>
      <c r="AM150" s="14">
        <f t="shared" si="72"/>
        <v>-109</v>
      </c>
      <c r="AN150" s="14">
        <f t="shared" si="73"/>
        <v>-24</v>
      </c>
      <c r="AO150" s="14" t="str">
        <f>IF(OR($C150="01-09",$D150="Male"),"",INDEX(PMTCT!$AD:$AD,MATCH($E150,PMTCT!$E:$E,0)))</f>
        <v/>
      </c>
      <c r="AP150" s="14" t="str">
        <f>IF(OR($C150="01-09",$D150="Male"),"",INDEX(PMTCT!$AT:$AT,MATCH($E150,PMTCT!$E:$E,0)))</f>
        <v/>
      </c>
      <c r="AQ150" s="14">
        <f>INDEX(TB!$Q:$Q,MATCH($E150,TB!$E:$E,0))</f>
        <v>1</v>
      </c>
      <c r="AR150" s="14" t="str">
        <f>IF(OR($C150="01-09",$C150="10-14",$D150="Female"),"",INDEX(VMMC!$AB:$AB,MATCH($E150,VMMC!$E:$E,0)))</f>
        <v/>
      </c>
      <c r="AS150" s="14" t="str">
        <f>IF(OR($C150="01-09",$C150="10-14"),"",INDEX(PrEP!$Q:$Q,MATCH($E150,PrEP!$E:$E,0)))</f>
        <v/>
      </c>
      <c r="AT150" s="14">
        <f t="shared" si="74"/>
        <v>1</v>
      </c>
      <c r="AU150" s="14">
        <f t="shared" si="75"/>
        <v>-108</v>
      </c>
      <c r="AV150" s="90">
        <f t="shared" si="76"/>
        <v>1.0092592592592593</v>
      </c>
      <c r="AW150" s="14"/>
      <c r="AX150" s="90" t="str">
        <f t="shared" si="77"/>
        <v/>
      </c>
      <c r="AY150" s="42" t="str">
        <f t="shared" si="78"/>
        <v/>
      </c>
      <c r="AZ150" s="90" t="str">
        <f t="shared" si="79"/>
        <v/>
      </c>
      <c r="BA150" s="42" t="str">
        <f t="shared" si="80"/>
        <v/>
      </c>
    </row>
    <row r="151" spans="1:53" x14ac:dyDescent="0.2">
      <c r="A151" t="str">
        <f>INDEX(Prioritization!$D:$D,MATCH($B151,Prioritization!$A:$A,0))</f>
        <v>INVALID</v>
      </c>
      <c r="B151" t="s">
        <v>204</v>
      </c>
      <c r="C151" t="s">
        <v>364</v>
      </c>
      <c r="D151" t="s">
        <v>29</v>
      </c>
      <c r="E151" t="str">
        <f t="shared" si="54"/>
        <v>Karonga District [cPtvxaZqXIH]|15-24|Female</v>
      </c>
      <c r="F151" s="90">
        <f>IF(LEFT($B151,4)="_Mil","",INDEX(Cascade!$AA:$AA,MATCH($E151,Cascade!$E:$E,0)))</f>
        <v>1022</v>
      </c>
      <c r="G151" s="14">
        <f>INDEX(Cascade!$BH:$BH,MATCH($E151,Cascade!$E:$E,0))</f>
        <v>0</v>
      </c>
      <c r="H151" s="14" t="str">
        <f>IF(OR($C151="01-09",$D151="Male"),"",INDEX(PMTCT!$AC:$AC,MATCH($E151,PMTCT!$E:$E,0)))</f>
        <v/>
      </c>
      <c r="I151" s="14" t="str">
        <f>IF(OR($C151="01-09",$D151="Male"),"",INDEX(PMTCT!$AS:$AS,MATCH($E151,PMTCT!$E:$E,0)))</f>
        <v/>
      </c>
      <c r="J151" s="14" t="str">
        <f>INDEX(TB!$P:$P,MATCH($E151,TB!$E:$E,0))</f>
        <v/>
      </c>
      <c r="K151" s="14" t="str">
        <f>IF(OR($C151="01-09",$C151="10-14",$D151="Female"),"",INDEX(VMMC!$AA:$AA,MATCH($E151,VMMC!$E:$E,0)))</f>
        <v/>
      </c>
      <c r="L151" s="14">
        <f t="shared" si="55"/>
        <v>0</v>
      </c>
      <c r="M151" s="90" t="str">
        <f t="shared" si="56"/>
        <v/>
      </c>
      <c r="N151" s="90" t="str">
        <f t="shared" si="57"/>
        <v/>
      </c>
      <c r="O151" s="90" t="str">
        <f t="shared" si="58"/>
        <v/>
      </c>
      <c r="P151" s="90" t="str">
        <f t="shared" si="59"/>
        <v/>
      </c>
      <c r="Q151" s="90"/>
      <c r="R151" s="90"/>
      <c r="S151" s="90"/>
      <c r="T151" s="90"/>
      <c r="U151" s="90"/>
      <c r="V151" s="90" t="str">
        <f t="shared" si="60"/>
        <v/>
      </c>
      <c r="W151" s="90"/>
      <c r="X151" s="42" t="str">
        <f t="shared" si="61"/>
        <v/>
      </c>
      <c r="Y151" s="42" t="str">
        <f t="shared" si="62"/>
        <v/>
      </c>
      <c r="Z151" s="90"/>
      <c r="AA151" s="42" t="str">
        <f t="shared" si="63"/>
        <v/>
      </c>
      <c r="AB151" s="42" t="str">
        <f t="shared" si="64"/>
        <v/>
      </c>
      <c r="AC151" s="90"/>
      <c r="AD151" s="42" t="str">
        <f t="shared" si="65"/>
        <v/>
      </c>
      <c r="AE151" s="42" t="str">
        <f t="shared" si="66"/>
        <v/>
      </c>
      <c r="AF151" s="90"/>
      <c r="AG151" s="42" t="str">
        <f t="shared" si="67"/>
        <v/>
      </c>
      <c r="AH151" s="42" t="str">
        <f t="shared" si="68"/>
        <v/>
      </c>
      <c r="AI151" s="90"/>
      <c r="AJ151" s="42" t="str">
        <f t="shared" si="69"/>
        <v/>
      </c>
      <c r="AK151" s="42" t="str">
        <f t="shared" si="70"/>
        <v/>
      </c>
      <c r="AL151" s="14" t="str">
        <f t="shared" si="71"/>
        <v/>
      </c>
      <c r="AM151" s="14" t="str">
        <f t="shared" si="72"/>
        <v/>
      </c>
      <c r="AN151" s="14" t="str">
        <f t="shared" si="73"/>
        <v/>
      </c>
      <c r="AO151" s="14" t="str">
        <f>IF(OR($C151="01-09",$D151="Male"),"",INDEX(PMTCT!$AD:$AD,MATCH($E151,PMTCT!$E:$E,0)))</f>
        <v/>
      </c>
      <c r="AP151" s="14" t="str">
        <f>IF(OR($C151="01-09",$D151="Male"),"",INDEX(PMTCT!$AT:$AT,MATCH($E151,PMTCT!$E:$E,0)))</f>
        <v/>
      </c>
      <c r="AQ151" s="14" t="str">
        <f>INDEX(TB!$Q:$Q,MATCH($E151,TB!$E:$E,0))</f>
        <v/>
      </c>
      <c r="AR151" s="14" t="str">
        <f>IF(OR($C151="01-09",$C151="10-14",$D151="Female"),"",INDEX(VMMC!$AB:$AB,MATCH($E151,VMMC!$E:$E,0)))</f>
        <v/>
      </c>
      <c r="AS151" s="14" t="str">
        <f>IF(OR($C151="01-09",$C151="10-14"),"",INDEX(PrEP!$Q:$Q,MATCH($E151,PrEP!$E:$E,0)))</f>
        <v/>
      </c>
      <c r="AT151" s="14" t="str">
        <f t="shared" si="74"/>
        <v/>
      </c>
      <c r="AU151" s="14" t="str">
        <f t="shared" si="75"/>
        <v/>
      </c>
      <c r="AV151" s="90" t="str">
        <f t="shared" si="76"/>
        <v/>
      </c>
      <c r="AW151" s="14"/>
      <c r="AX151" s="90" t="str">
        <f t="shared" si="77"/>
        <v/>
      </c>
      <c r="AY151" s="42" t="str">
        <f t="shared" si="78"/>
        <v/>
      </c>
      <c r="AZ151" s="90">
        <f t="shared" si="79"/>
        <v>1</v>
      </c>
      <c r="BA151" s="42" t="str">
        <f t="shared" si="80"/>
        <v/>
      </c>
    </row>
    <row r="152" spans="1:53" x14ac:dyDescent="0.2">
      <c r="A152" t="str">
        <f>INDEX(Prioritization!$D:$D,MATCH($B152,Prioritization!$A:$A,0))</f>
        <v>INVALID</v>
      </c>
      <c r="B152" t="s">
        <v>204</v>
      </c>
      <c r="C152" t="s">
        <v>364</v>
      </c>
      <c r="D152" t="s">
        <v>47</v>
      </c>
      <c r="E152" t="str">
        <f t="shared" si="54"/>
        <v>Karonga District [cPtvxaZqXIH]|15-24|Male</v>
      </c>
      <c r="F152" s="90">
        <f>IF(LEFT($B152,4)="_Mil","",INDEX(Cascade!$AA:$AA,MATCH($E152,Cascade!$E:$E,0)))</f>
        <v>569</v>
      </c>
      <c r="G152" s="14">
        <f>INDEX(Cascade!$BH:$BH,MATCH($E152,Cascade!$E:$E,0))</f>
        <v>0</v>
      </c>
      <c r="H152" s="14" t="str">
        <f>IF(OR($C152="01-09",$D152="Male"),"",INDEX(PMTCT!$AC:$AC,MATCH($E152,PMTCT!$E:$E,0)))</f>
        <v/>
      </c>
      <c r="I152" s="14" t="str">
        <f>IF(OR($C152="01-09",$D152="Male"),"",INDEX(PMTCT!$AS:$AS,MATCH($E152,PMTCT!$E:$E,0)))</f>
        <v/>
      </c>
      <c r="J152" s="14" t="str">
        <f>INDEX(TB!$P:$P,MATCH($E152,TB!$E:$E,0))</f>
        <v/>
      </c>
      <c r="K152" s="14" t="str">
        <f>IF(OR($C152="01-09",$C152="10-14",$D152="Female"),"",INDEX(VMMC!$AA:$AA,MATCH($E152,VMMC!$E:$E,0)))</f>
        <v/>
      </c>
      <c r="L152" s="14">
        <f t="shared" si="55"/>
        <v>0</v>
      </c>
      <c r="M152" s="90" t="str">
        <f t="shared" si="56"/>
        <v/>
      </c>
      <c r="N152" s="90" t="str">
        <f t="shared" si="57"/>
        <v/>
      </c>
      <c r="O152" s="90" t="str">
        <f t="shared" si="58"/>
        <v/>
      </c>
      <c r="P152" s="90" t="str">
        <f t="shared" si="59"/>
        <v/>
      </c>
      <c r="Q152" s="90"/>
      <c r="R152" s="90"/>
      <c r="S152" s="90"/>
      <c r="T152" s="90"/>
      <c r="U152" s="90"/>
      <c r="V152" s="90" t="str">
        <f t="shared" si="60"/>
        <v/>
      </c>
      <c r="W152" s="90"/>
      <c r="X152" s="42" t="str">
        <f t="shared" si="61"/>
        <v/>
      </c>
      <c r="Y152" s="42" t="str">
        <f t="shared" si="62"/>
        <v/>
      </c>
      <c r="Z152" s="90"/>
      <c r="AA152" s="42" t="str">
        <f t="shared" si="63"/>
        <v/>
      </c>
      <c r="AB152" s="42" t="str">
        <f t="shared" si="64"/>
        <v/>
      </c>
      <c r="AC152" s="90"/>
      <c r="AD152" s="42" t="str">
        <f t="shared" si="65"/>
        <v/>
      </c>
      <c r="AE152" s="42" t="str">
        <f t="shared" si="66"/>
        <v/>
      </c>
      <c r="AF152" s="90"/>
      <c r="AG152" s="42" t="str">
        <f t="shared" si="67"/>
        <v/>
      </c>
      <c r="AH152" s="42" t="str">
        <f t="shared" si="68"/>
        <v/>
      </c>
      <c r="AI152" s="90"/>
      <c r="AJ152" s="42" t="str">
        <f t="shared" si="69"/>
        <v/>
      </c>
      <c r="AK152" s="42" t="str">
        <f t="shared" si="70"/>
        <v/>
      </c>
      <c r="AL152" s="14" t="str">
        <f t="shared" si="71"/>
        <v/>
      </c>
      <c r="AM152" s="14" t="str">
        <f t="shared" si="72"/>
        <v/>
      </c>
      <c r="AN152" s="14" t="str">
        <f t="shared" si="73"/>
        <v/>
      </c>
      <c r="AO152" s="14" t="str">
        <f>IF(OR($C152="01-09",$D152="Male"),"",INDEX(PMTCT!$AD:$AD,MATCH($E152,PMTCT!$E:$E,0)))</f>
        <v/>
      </c>
      <c r="AP152" s="14" t="str">
        <f>IF(OR($C152="01-09",$D152="Male"),"",INDEX(PMTCT!$AT:$AT,MATCH($E152,PMTCT!$E:$E,0)))</f>
        <v/>
      </c>
      <c r="AQ152" s="14" t="str">
        <f>INDEX(TB!$Q:$Q,MATCH($E152,TB!$E:$E,0))</f>
        <v/>
      </c>
      <c r="AR152" s="14" t="str">
        <f>IF(OR($C152="01-09",$C152="10-14",$D152="Female"),"",INDEX(VMMC!$AB:$AB,MATCH($E152,VMMC!$E:$E,0)))</f>
        <v/>
      </c>
      <c r="AS152" s="14" t="str">
        <f>IF(OR($C152="01-09",$C152="10-14"),"",INDEX(PrEP!$Q:$Q,MATCH($E152,PrEP!$E:$E,0)))</f>
        <v/>
      </c>
      <c r="AT152" s="14" t="str">
        <f t="shared" si="74"/>
        <v/>
      </c>
      <c r="AU152" s="14" t="str">
        <f t="shared" si="75"/>
        <v/>
      </c>
      <c r="AV152" s="90" t="str">
        <f t="shared" si="76"/>
        <v/>
      </c>
      <c r="AW152" s="14"/>
      <c r="AX152" s="90" t="str">
        <f t="shared" si="77"/>
        <v/>
      </c>
      <c r="AY152" s="42" t="str">
        <f t="shared" si="78"/>
        <v/>
      </c>
      <c r="AZ152" s="90">
        <f t="shared" si="79"/>
        <v>1</v>
      </c>
      <c r="BA152" s="42" t="str">
        <f t="shared" si="80"/>
        <v/>
      </c>
    </row>
    <row r="153" spans="1:53" x14ac:dyDescent="0.2">
      <c r="A153" t="str">
        <f>INDEX(Prioritization!$D:$D,MATCH($B153,Prioritization!$A:$A,0))</f>
        <v>INVALID</v>
      </c>
      <c r="B153" t="s">
        <v>204</v>
      </c>
      <c r="C153" t="s">
        <v>365</v>
      </c>
      <c r="D153" t="s">
        <v>29</v>
      </c>
      <c r="E153" t="str">
        <f t="shared" si="54"/>
        <v>Karonga District [cPtvxaZqXIH]|25-34|Female</v>
      </c>
      <c r="F153" s="90">
        <f>IF(LEFT($B153,4)="_Mil","",INDEX(Cascade!$AA:$AA,MATCH($E153,Cascade!$E:$E,0)))</f>
        <v>1236</v>
      </c>
      <c r="G153" s="14">
        <f>INDEX(Cascade!$BH:$BH,MATCH($E153,Cascade!$E:$E,0))</f>
        <v>0</v>
      </c>
      <c r="H153" s="14" t="str">
        <f>IF(OR($C153="01-09",$D153="Male"),"",INDEX(PMTCT!$AC:$AC,MATCH($E153,PMTCT!$E:$E,0)))</f>
        <v/>
      </c>
      <c r="I153" s="14" t="str">
        <f>IF(OR($C153="01-09",$D153="Male"),"",INDEX(PMTCT!$AS:$AS,MATCH($E153,PMTCT!$E:$E,0)))</f>
        <v/>
      </c>
      <c r="J153" s="14" t="str">
        <f>INDEX(TB!$P:$P,MATCH($E153,TB!$E:$E,0))</f>
        <v/>
      </c>
      <c r="K153" s="14" t="str">
        <f>IF(OR($C153="01-09",$C153="10-14",$D153="Female"),"",INDEX(VMMC!$AA:$AA,MATCH($E153,VMMC!$E:$E,0)))</f>
        <v/>
      </c>
      <c r="L153" s="14">
        <f t="shared" si="55"/>
        <v>0</v>
      </c>
      <c r="M153" s="90" t="str">
        <f t="shared" si="56"/>
        <v/>
      </c>
      <c r="N153" s="90" t="str">
        <f t="shared" si="57"/>
        <v/>
      </c>
      <c r="O153" s="90" t="str">
        <f t="shared" si="58"/>
        <v/>
      </c>
      <c r="P153" s="90" t="str">
        <f t="shared" si="59"/>
        <v/>
      </c>
      <c r="Q153" s="90"/>
      <c r="R153" s="90"/>
      <c r="S153" s="90"/>
      <c r="T153" s="90"/>
      <c r="U153" s="90"/>
      <c r="V153" s="90" t="str">
        <f t="shared" si="60"/>
        <v/>
      </c>
      <c r="W153" s="90"/>
      <c r="X153" s="42" t="str">
        <f t="shared" si="61"/>
        <v/>
      </c>
      <c r="Y153" s="42" t="str">
        <f t="shared" si="62"/>
        <v/>
      </c>
      <c r="Z153" s="90"/>
      <c r="AA153" s="42" t="str">
        <f t="shared" si="63"/>
        <v/>
      </c>
      <c r="AB153" s="42" t="str">
        <f t="shared" si="64"/>
        <v/>
      </c>
      <c r="AC153" s="90"/>
      <c r="AD153" s="42" t="str">
        <f t="shared" si="65"/>
        <v/>
      </c>
      <c r="AE153" s="42" t="str">
        <f t="shared" si="66"/>
        <v/>
      </c>
      <c r="AF153" s="90"/>
      <c r="AG153" s="42" t="str">
        <f t="shared" si="67"/>
        <v/>
      </c>
      <c r="AH153" s="42" t="str">
        <f t="shared" si="68"/>
        <v/>
      </c>
      <c r="AI153" s="90"/>
      <c r="AJ153" s="42" t="str">
        <f t="shared" si="69"/>
        <v/>
      </c>
      <c r="AK153" s="42" t="str">
        <f t="shared" si="70"/>
        <v/>
      </c>
      <c r="AL153" s="14" t="str">
        <f t="shared" si="71"/>
        <v/>
      </c>
      <c r="AM153" s="14" t="str">
        <f t="shared" si="72"/>
        <v/>
      </c>
      <c r="AN153" s="14" t="str">
        <f t="shared" si="73"/>
        <v/>
      </c>
      <c r="AO153" s="14" t="str">
        <f>IF(OR($C153="01-09",$D153="Male"),"",INDEX(PMTCT!$AD:$AD,MATCH($E153,PMTCT!$E:$E,0)))</f>
        <v/>
      </c>
      <c r="AP153" s="14" t="str">
        <f>IF(OR($C153="01-09",$D153="Male"),"",INDEX(PMTCT!$AT:$AT,MATCH($E153,PMTCT!$E:$E,0)))</f>
        <v/>
      </c>
      <c r="AQ153" s="14" t="str">
        <f>INDEX(TB!$Q:$Q,MATCH($E153,TB!$E:$E,0))</f>
        <v/>
      </c>
      <c r="AR153" s="14" t="str">
        <f>IF(OR($C153="01-09",$C153="10-14",$D153="Female"),"",INDEX(VMMC!$AB:$AB,MATCH($E153,VMMC!$E:$E,0)))</f>
        <v/>
      </c>
      <c r="AS153" s="14" t="str">
        <f>IF(OR($C153="01-09",$C153="10-14"),"",INDEX(PrEP!$Q:$Q,MATCH($E153,PrEP!$E:$E,0)))</f>
        <v/>
      </c>
      <c r="AT153" s="14" t="str">
        <f t="shared" si="74"/>
        <v/>
      </c>
      <c r="AU153" s="14" t="str">
        <f t="shared" si="75"/>
        <v/>
      </c>
      <c r="AV153" s="90" t="str">
        <f t="shared" si="76"/>
        <v/>
      </c>
      <c r="AW153" s="14"/>
      <c r="AX153" s="90" t="str">
        <f t="shared" si="77"/>
        <v/>
      </c>
      <c r="AY153" s="42" t="str">
        <f t="shared" si="78"/>
        <v/>
      </c>
      <c r="AZ153" s="90">
        <f t="shared" si="79"/>
        <v>1</v>
      </c>
      <c r="BA153" s="42" t="str">
        <f t="shared" si="80"/>
        <v/>
      </c>
    </row>
    <row r="154" spans="1:53" x14ac:dyDescent="0.2">
      <c r="A154" t="str">
        <f>INDEX(Prioritization!$D:$D,MATCH($B154,Prioritization!$A:$A,0))</f>
        <v>INVALID</v>
      </c>
      <c r="B154" t="s">
        <v>204</v>
      </c>
      <c r="C154" t="s">
        <v>365</v>
      </c>
      <c r="D154" t="s">
        <v>47</v>
      </c>
      <c r="E154" t="str">
        <f t="shared" si="54"/>
        <v>Karonga District [cPtvxaZqXIH]|25-34|Male</v>
      </c>
      <c r="F154" s="90">
        <f>IF(LEFT($B154,4)="_Mil","",INDEX(Cascade!$AA:$AA,MATCH($E154,Cascade!$E:$E,0)))</f>
        <v>751</v>
      </c>
      <c r="G154" s="14">
        <f>INDEX(Cascade!$BH:$BH,MATCH($E154,Cascade!$E:$E,0))</f>
        <v>0</v>
      </c>
      <c r="H154" s="14" t="str">
        <f>IF(OR($C154="01-09",$D154="Male"),"",INDEX(PMTCT!$AC:$AC,MATCH($E154,PMTCT!$E:$E,0)))</f>
        <v/>
      </c>
      <c r="I154" s="14" t="str">
        <f>IF(OR($C154="01-09",$D154="Male"),"",INDEX(PMTCT!$AS:$AS,MATCH($E154,PMTCT!$E:$E,0)))</f>
        <v/>
      </c>
      <c r="J154" s="14" t="str">
        <f>INDEX(TB!$P:$P,MATCH($E154,TB!$E:$E,0))</f>
        <v/>
      </c>
      <c r="K154" s="14" t="str">
        <f>IF(OR($C154="01-09",$C154="10-14",$D154="Female"),"",INDEX(VMMC!$AA:$AA,MATCH($E154,VMMC!$E:$E,0)))</f>
        <v/>
      </c>
      <c r="L154" s="14">
        <f t="shared" si="55"/>
        <v>0</v>
      </c>
      <c r="M154" s="90" t="str">
        <f t="shared" si="56"/>
        <v/>
      </c>
      <c r="N154" s="90" t="str">
        <f t="shared" si="57"/>
        <v/>
      </c>
      <c r="O154" s="90" t="str">
        <f t="shared" si="58"/>
        <v/>
      </c>
      <c r="P154" s="90" t="str">
        <f t="shared" si="59"/>
        <v/>
      </c>
      <c r="Q154" s="90"/>
      <c r="R154" s="90"/>
      <c r="S154" s="90"/>
      <c r="T154" s="90"/>
      <c r="U154" s="90"/>
      <c r="V154" s="90" t="str">
        <f t="shared" si="60"/>
        <v/>
      </c>
      <c r="W154" s="90"/>
      <c r="X154" s="42" t="str">
        <f t="shared" si="61"/>
        <v/>
      </c>
      <c r="Y154" s="42" t="str">
        <f t="shared" si="62"/>
        <v/>
      </c>
      <c r="Z154" s="90"/>
      <c r="AA154" s="42" t="str">
        <f t="shared" si="63"/>
        <v/>
      </c>
      <c r="AB154" s="42" t="str">
        <f t="shared" si="64"/>
        <v/>
      </c>
      <c r="AC154" s="90"/>
      <c r="AD154" s="42" t="str">
        <f t="shared" si="65"/>
        <v/>
      </c>
      <c r="AE154" s="42" t="str">
        <f t="shared" si="66"/>
        <v/>
      </c>
      <c r="AF154" s="90"/>
      <c r="AG154" s="42" t="str">
        <f t="shared" si="67"/>
        <v/>
      </c>
      <c r="AH154" s="42" t="str">
        <f t="shared" si="68"/>
        <v/>
      </c>
      <c r="AI154" s="90"/>
      <c r="AJ154" s="42" t="str">
        <f t="shared" si="69"/>
        <v/>
      </c>
      <c r="AK154" s="42" t="str">
        <f t="shared" si="70"/>
        <v/>
      </c>
      <c r="AL154" s="14" t="str">
        <f t="shared" si="71"/>
        <v/>
      </c>
      <c r="AM154" s="14" t="str">
        <f t="shared" si="72"/>
        <v/>
      </c>
      <c r="AN154" s="14" t="str">
        <f t="shared" si="73"/>
        <v/>
      </c>
      <c r="AO154" s="14" t="str">
        <f>IF(OR($C154="01-09",$D154="Male"),"",INDEX(PMTCT!$AD:$AD,MATCH($E154,PMTCT!$E:$E,0)))</f>
        <v/>
      </c>
      <c r="AP154" s="14" t="str">
        <f>IF(OR($C154="01-09",$D154="Male"),"",INDEX(PMTCT!$AT:$AT,MATCH($E154,PMTCT!$E:$E,0)))</f>
        <v/>
      </c>
      <c r="AQ154" s="14" t="str">
        <f>INDEX(TB!$Q:$Q,MATCH($E154,TB!$E:$E,0))</f>
        <v/>
      </c>
      <c r="AR154" s="14" t="str">
        <f>IF(OR($C154="01-09",$C154="10-14",$D154="Female"),"",INDEX(VMMC!$AB:$AB,MATCH($E154,VMMC!$E:$E,0)))</f>
        <v/>
      </c>
      <c r="AS154" s="14" t="str">
        <f>IF(OR($C154="01-09",$C154="10-14"),"",INDEX(PrEP!$Q:$Q,MATCH($E154,PrEP!$E:$E,0)))</f>
        <v/>
      </c>
      <c r="AT154" s="14" t="str">
        <f t="shared" si="74"/>
        <v/>
      </c>
      <c r="AU154" s="14" t="str">
        <f t="shared" si="75"/>
        <v/>
      </c>
      <c r="AV154" s="90" t="str">
        <f t="shared" si="76"/>
        <v/>
      </c>
      <c r="AW154" s="14"/>
      <c r="AX154" s="90" t="str">
        <f t="shared" si="77"/>
        <v/>
      </c>
      <c r="AY154" s="42" t="str">
        <f t="shared" si="78"/>
        <v/>
      </c>
      <c r="AZ154" s="90">
        <f t="shared" si="79"/>
        <v>1</v>
      </c>
      <c r="BA154" s="42" t="str">
        <f t="shared" si="80"/>
        <v/>
      </c>
    </row>
    <row r="155" spans="1:53" x14ac:dyDescent="0.2">
      <c r="A155" t="str">
        <f>INDEX(Prioritization!$D:$D,MATCH($B155,Prioritization!$A:$A,0))</f>
        <v>INVALID</v>
      </c>
      <c r="B155" t="s">
        <v>204</v>
      </c>
      <c r="C155" t="s">
        <v>366</v>
      </c>
      <c r="D155" t="s">
        <v>29</v>
      </c>
      <c r="E155" t="str">
        <f t="shared" si="54"/>
        <v>Karonga District [cPtvxaZqXIH]|35-49|Female</v>
      </c>
      <c r="F155" s="90">
        <f>IF(LEFT($B155,4)="_Mil","",INDEX(Cascade!$AA:$AA,MATCH($E155,Cascade!$E:$E,0)))</f>
        <v>1838</v>
      </c>
      <c r="G155" s="14">
        <f>INDEX(Cascade!$BH:$BH,MATCH($E155,Cascade!$E:$E,0))</f>
        <v>0</v>
      </c>
      <c r="H155" s="14" t="str">
        <f>IF(OR($C155="01-09",$D155="Male"),"",INDEX(PMTCT!$AC:$AC,MATCH($E155,PMTCT!$E:$E,0)))</f>
        <v/>
      </c>
      <c r="I155" s="14" t="str">
        <f>IF(OR($C155="01-09",$D155="Male"),"",INDEX(PMTCT!$AS:$AS,MATCH($E155,PMTCT!$E:$E,0)))</f>
        <v/>
      </c>
      <c r="J155" s="14" t="str">
        <f>INDEX(TB!$P:$P,MATCH($E155,TB!$E:$E,0))</f>
        <v/>
      </c>
      <c r="K155" s="14" t="str">
        <f>IF(OR($C155="01-09",$C155="10-14",$D155="Female"),"",INDEX(VMMC!$AA:$AA,MATCH($E155,VMMC!$E:$E,0)))</f>
        <v/>
      </c>
      <c r="L155" s="14">
        <f t="shared" si="55"/>
        <v>0</v>
      </c>
      <c r="M155" s="90" t="str">
        <f t="shared" si="56"/>
        <v/>
      </c>
      <c r="N155" s="90" t="str">
        <f t="shared" si="57"/>
        <v/>
      </c>
      <c r="O155" s="90" t="str">
        <f t="shared" si="58"/>
        <v/>
      </c>
      <c r="P155" s="90" t="str">
        <f t="shared" si="59"/>
        <v/>
      </c>
      <c r="Q155" s="90"/>
      <c r="R155" s="90"/>
      <c r="S155" s="90"/>
      <c r="T155" s="90"/>
      <c r="U155" s="90"/>
      <c r="V155" s="90" t="str">
        <f t="shared" si="60"/>
        <v/>
      </c>
      <c r="W155" s="90"/>
      <c r="X155" s="42" t="str">
        <f t="shared" si="61"/>
        <v/>
      </c>
      <c r="Y155" s="42" t="str">
        <f t="shared" si="62"/>
        <v/>
      </c>
      <c r="Z155" s="90"/>
      <c r="AA155" s="42" t="str">
        <f t="shared" si="63"/>
        <v/>
      </c>
      <c r="AB155" s="42" t="str">
        <f t="shared" si="64"/>
        <v/>
      </c>
      <c r="AC155" s="90"/>
      <c r="AD155" s="42" t="str">
        <f t="shared" si="65"/>
        <v/>
      </c>
      <c r="AE155" s="42" t="str">
        <f t="shared" si="66"/>
        <v/>
      </c>
      <c r="AF155" s="90"/>
      <c r="AG155" s="42" t="str">
        <f t="shared" si="67"/>
        <v/>
      </c>
      <c r="AH155" s="42" t="str">
        <f t="shared" si="68"/>
        <v/>
      </c>
      <c r="AI155" s="90"/>
      <c r="AJ155" s="42" t="str">
        <f t="shared" si="69"/>
        <v/>
      </c>
      <c r="AK155" s="42" t="str">
        <f t="shared" si="70"/>
        <v/>
      </c>
      <c r="AL155" s="14" t="str">
        <f t="shared" si="71"/>
        <v/>
      </c>
      <c r="AM155" s="14" t="str">
        <f t="shared" si="72"/>
        <v/>
      </c>
      <c r="AN155" s="14" t="str">
        <f t="shared" si="73"/>
        <v/>
      </c>
      <c r="AO155" s="14" t="str">
        <f>IF(OR($C155="01-09",$D155="Male"),"",INDEX(PMTCT!$AD:$AD,MATCH($E155,PMTCT!$E:$E,0)))</f>
        <v/>
      </c>
      <c r="AP155" s="14" t="str">
        <f>IF(OR($C155="01-09",$D155="Male"),"",INDEX(PMTCT!$AT:$AT,MATCH($E155,PMTCT!$E:$E,0)))</f>
        <v/>
      </c>
      <c r="AQ155" s="14" t="str">
        <f>INDEX(TB!$Q:$Q,MATCH($E155,TB!$E:$E,0))</f>
        <v/>
      </c>
      <c r="AR155" s="14" t="str">
        <f>IF(OR($C155="01-09",$C155="10-14",$D155="Female"),"",INDEX(VMMC!$AB:$AB,MATCH($E155,VMMC!$E:$E,0)))</f>
        <v/>
      </c>
      <c r="AS155" s="14" t="str">
        <f>IF(OR($C155="01-09",$C155="10-14"),"",INDEX(PrEP!$Q:$Q,MATCH($E155,PrEP!$E:$E,0)))</f>
        <v/>
      </c>
      <c r="AT155" s="14" t="str">
        <f t="shared" si="74"/>
        <v/>
      </c>
      <c r="AU155" s="14" t="str">
        <f t="shared" si="75"/>
        <v/>
      </c>
      <c r="AV155" s="90" t="str">
        <f t="shared" si="76"/>
        <v/>
      </c>
      <c r="AW155" s="14"/>
      <c r="AX155" s="90" t="str">
        <f t="shared" si="77"/>
        <v/>
      </c>
      <c r="AY155" s="42" t="str">
        <f t="shared" si="78"/>
        <v/>
      </c>
      <c r="AZ155" s="90">
        <f t="shared" si="79"/>
        <v>1</v>
      </c>
      <c r="BA155" s="42" t="str">
        <f t="shared" si="80"/>
        <v/>
      </c>
    </row>
    <row r="156" spans="1:53" x14ac:dyDescent="0.2">
      <c r="A156" t="str">
        <f>INDEX(Prioritization!$D:$D,MATCH($B156,Prioritization!$A:$A,0))</f>
        <v>INVALID</v>
      </c>
      <c r="B156" t="s">
        <v>204</v>
      </c>
      <c r="C156" t="s">
        <v>366</v>
      </c>
      <c r="D156" t="s">
        <v>47</v>
      </c>
      <c r="E156" t="str">
        <f t="shared" si="54"/>
        <v>Karonga District [cPtvxaZqXIH]|35-49|Male</v>
      </c>
      <c r="F156" s="90">
        <f>IF(LEFT($B156,4)="_Mil","",INDEX(Cascade!$AA:$AA,MATCH($E156,Cascade!$E:$E,0)))</f>
        <v>771</v>
      </c>
      <c r="G156" s="14">
        <f>INDEX(Cascade!$BH:$BH,MATCH($E156,Cascade!$E:$E,0))</f>
        <v>0</v>
      </c>
      <c r="H156" s="14" t="str">
        <f>IF(OR($C156="01-09",$D156="Male"),"",INDEX(PMTCT!$AC:$AC,MATCH($E156,PMTCT!$E:$E,0)))</f>
        <v/>
      </c>
      <c r="I156" s="14" t="str">
        <f>IF(OR($C156="01-09",$D156="Male"),"",INDEX(PMTCT!$AS:$AS,MATCH($E156,PMTCT!$E:$E,0)))</f>
        <v/>
      </c>
      <c r="J156" s="14" t="str">
        <f>INDEX(TB!$P:$P,MATCH($E156,TB!$E:$E,0))</f>
        <v/>
      </c>
      <c r="K156" s="14" t="str">
        <f>IF(OR($C156="01-09",$C156="10-14",$D156="Female"),"",INDEX(VMMC!$AA:$AA,MATCH($E156,VMMC!$E:$E,0)))</f>
        <v/>
      </c>
      <c r="L156" s="14">
        <f t="shared" si="55"/>
        <v>0</v>
      </c>
      <c r="M156" s="90" t="str">
        <f t="shared" si="56"/>
        <v/>
      </c>
      <c r="N156" s="90" t="str">
        <f t="shared" si="57"/>
        <v/>
      </c>
      <c r="O156" s="90" t="str">
        <f t="shared" si="58"/>
        <v/>
      </c>
      <c r="P156" s="90" t="str">
        <f t="shared" si="59"/>
        <v/>
      </c>
      <c r="Q156" s="90"/>
      <c r="R156" s="90"/>
      <c r="S156" s="90"/>
      <c r="T156" s="90"/>
      <c r="U156" s="90"/>
      <c r="V156" s="90" t="str">
        <f t="shared" si="60"/>
        <v/>
      </c>
      <c r="W156" s="90"/>
      <c r="X156" s="42" t="str">
        <f t="shared" si="61"/>
        <v/>
      </c>
      <c r="Y156" s="42" t="str">
        <f t="shared" si="62"/>
        <v/>
      </c>
      <c r="Z156" s="90"/>
      <c r="AA156" s="42" t="str">
        <f t="shared" si="63"/>
        <v/>
      </c>
      <c r="AB156" s="42" t="str">
        <f t="shared" si="64"/>
        <v/>
      </c>
      <c r="AC156" s="90"/>
      <c r="AD156" s="42" t="str">
        <f t="shared" si="65"/>
        <v/>
      </c>
      <c r="AE156" s="42" t="str">
        <f t="shared" si="66"/>
        <v/>
      </c>
      <c r="AF156" s="90"/>
      <c r="AG156" s="42" t="str">
        <f t="shared" si="67"/>
        <v/>
      </c>
      <c r="AH156" s="42" t="str">
        <f t="shared" si="68"/>
        <v/>
      </c>
      <c r="AI156" s="90"/>
      <c r="AJ156" s="42" t="str">
        <f t="shared" si="69"/>
        <v/>
      </c>
      <c r="AK156" s="42" t="str">
        <f t="shared" si="70"/>
        <v/>
      </c>
      <c r="AL156" s="14" t="str">
        <f t="shared" si="71"/>
        <v/>
      </c>
      <c r="AM156" s="14" t="str">
        <f t="shared" si="72"/>
        <v/>
      </c>
      <c r="AN156" s="14" t="str">
        <f t="shared" si="73"/>
        <v/>
      </c>
      <c r="AO156" s="14" t="str">
        <f>IF(OR($C156="01-09",$D156="Male"),"",INDEX(PMTCT!$AD:$AD,MATCH($E156,PMTCT!$E:$E,0)))</f>
        <v/>
      </c>
      <c r="AP156" s="14" t="str">
        <f>IF(OR($C156="01-09",$D156="Male"),"",INDEX(PMTCT!$AT:$AT,MATCH($E156,PMTCT!$E:$E,0)))</f>
        <v/>
      </c>
      <c r="AQ156" s="14" t="str">
        <f>INDEX(TB!$Q:$Q,MATCH($E156,TB!$E:$E,0))</f>
        <v/>
      </c>
      <c r="AR156" s="14" t="str">
        <f>IF(OR($C156="01-09",$C156="10-14",$D156="Female"),"",INDEX(VMMC!$AB:$AB,MATCH($E156,VMMC!$E:$E,0)))</f>
        <v/>
      </c>
      <c r="AS156" s="14" t="str">
        <f>IF(OR($C156="01-09",$C156="10-14"),"",INDEX(PrEP!$Q:$Q,MATCH($E156,PrEP!$E:$E,0)))</f>
        <v/>
      </c>
      <c r="AT156" s="14" t="str">
        <f t="shared" si="74"/>
        <v/>
      </c>
      <c r="AU156" s="14" t="str">
        <f t="shared" si="75"/>
        <v/>
      </c>
      <c r="AV156" s="90" t="str">
        <f t="shared" si="76"/>
        <v/>
      </c>
      <c r="AW156" s="14"/>
      <c r="AX156" s="90" t="str">
        <f t="shared" si="77"/>
        <v/>
      </c>
      <c r="AY156" s="42" t="str">
        <f t="shared" si="78"/>
        <v/>
      </c>
      <c r="AZ156" s="90">
        <f t="shared" si="79"/>
        <v>1</v>
      </c>
      <c r="BA156" s="42" t="str">
        <f t="shared" si="80"/>
        <v/>
      </c>
    </row>
    <row r="157" spans="1:53" x14ac:dyDescent="0.2">
      <c r="A157" t="str">
        <f>INDEX(Prioritization!$D:$D,MATCH($B157,Prioritization!$A:$A,0))</f>
        <v>INVALID</v>
      </c>
      <c r="B157" t="s">
        <v>204</v>
      </c>
      <c r="C157" t="s">
        <v>367</v>
      </c>
      <c r="D157" t="s">
        <v>29</v>
      </c>
      <c r="E157" t="str">
        <f t="shared" si="54"/>
        <v>Karonga District [cPtvxaZqXIH]|50+|Female</v>
      </c>
      <c r="F157" s="90">
        <f>IF(LEFT($B157,4)="_Mil","",INDEX(Cascade!$AA:$AA,MATCH($E157,Cascade!$E:$E,0)))</f>
        <v>1027</v>
      </c>
      <c r="G157" s="14">
        <f>INDEX(Cascade!$BH:$BH,MATCH($E157,Cascade!$E:$E,0))</f>
        <v>0</v>
      </c>
      <c r="H157" s="14" t="str">
        <f>IF(OR($C157="01-09",$D157="Male"),"",INDEX(PMTCT!$AC:$AC,MATCH($E157,PMTCT!$E:$E,0)))</f>
        <v/>
      </c>
      <c r="I157" s="14" t="str">
        <f>IF(OR($C157="01-09",$D157="Male"),"",INDEX(PMTCT!$AS:$AS,MATCH($E157,PMTCT!$E:$E,0)))</f>
        <v/>
      </c>
      <c r="J157" s="14" t="str">
        <f>INDEX(TB!$P:$P,MATCH($E157,TB!$E:$E,0))</f>
        <v/>
      </c>
      <c r="K157" s="14" t="str">
        <f>IF(OR($C157="01-09",$C157="10-14",$D157="Female"),"",INDEX(VMMC!$AA:$AA,MATCH($E157,VMMC!$E:$E,0)))</f>
        <v/>
      </c>
      <c r="L157" s="14">
        <f t="shared" si="55"/>
        <v>0</v>
      </c>
      <c r="M157" s="90" t="str">
        <f t="shared" si="56"/>
        <v/>
      </c>
      <c r="N157" s="90" t="str">
        <f t="shared" si="57"/>
        <v/>
      </c>
      <c r="O157" s="90" t="str">
        <f t="shared" si="58"/>
        <v/>
      </c>
      <c r="P157" s="90" t="str">
        <f t="shared" si="59"/>
        <v/>
      </c>
      <c r="Q157" s="90"/>
      <c r="R157" s="90"/>
      <c r="S157" s="90"/>
      <c r="T157" s="90"/>
      <c r="U157" s="90">
        <v>0.22739372868090901</v>
      </c>
      <c r="V157" s="90" t="str">
        <f t="shared" si="60"/>
        <v/>
      </c>
      <c r="W157" s="90"/>
      <c r="X157" s="42" t="str">
        <f t="shared" si="61"/>
        <v/>
      </c>
      <c r="Y157" s="42" t="str">
        <f t="shared" si="62"/>
        <v/>
      </c>
      <c r="Z157" s="90"/>
      <c r="AA157" s="42" t="str">
        <f t="shared" si="63"/>
        <v/>
      </c>
      <c r="AB157" s="42" t="str">
        <f t="shared" si="64"/>
        <v/>
      </c>
      <c r="AC157" s="90"/>
      <c r="AD157" s="42" t="str">
        <f t="shared" si="65"/>
        <v/>
      </c>
      <c r="AE157" s="42" t="str">
        <f t="shared" si="66"/>
        <v/>
      </c>
      <c r="AF157" s="90"/>
      <c r="AG157" s="42" t="str">
        <f t="shared" si="67"/>
        <v/>
      </c>
      <c r="AH157" s="42" t="str">
        <f t="shared" si="68"/>
        <v/>
      </c>
      <c r="AI157" s="90"/>
      <c r="AJ157" s="42" t="str">
        <f t="shared" si="69"/>
        <v/>
      </c>
      <c r="AK157" s="42" t="str">
        <f t="shared" si="70"/>
        <v/>
      </c>
      <c r="AL157" s="14" t="str">
        <f t="shared" si="71"/>
        <v/>
      </c>
      <c r="AM157" s="14" t="str">
        <f t="shared" si="72"/>
        <v/>
      </c>
      <c r="AN157" s="14" t="str">
        <f t="shared" si="73"/>
        <v/>
      </c>
      <c r="AO157" s="14" t="str">
        <f>IF(OR($C157="01-09",$D157="Male"),"",INDEX(PMTCT!$AD:$AD,MATCH($E157,PMTCT!$E:$E,0)))</f>
        <v/>
      </c>
      <c r="AP157" s="14" t="str">
        <f>IF(OR($C157="01-09",$D157="Male"),"",INDEX(PMTCT!$AT:$AT,MATCH($E157,PMTCT!$E:$E,0)))</f>
        <v/>
      </c>
      <c r="AQ157" s="14" t="str">
        <f>INDEX(TB!$Q:$Q,MATCH($E157,TB!$E:$E,0))</f>
        <v/>
      </c>
      <c r="AR157" s="14" t="str">
        <f>IF(OR($C157="01-09",$C157="10-14",$D157="Female"),"",INDEX(VMMC!$AB:$AB,MATCH($E157,VMMC!$E:$E,0)))</f>
        <v/>
      </c>
      <c r="AS157" s="14" t="str">
        <f>IF(OR($C157="01-09",$C157="10-14"),"",INDEX(PrEP!$Q:$Q,MATCH($E157,PrEP!$E:$E,0)))</f>
        <v/>
      </c>
      <c r="AT157" s="14" t="str">
        <f t="shared" si="74"/>
        <v/>
      </c>
      <c r="AU157" s="14" t="str">
        <f t="shared" si="75"/>
        <v/>
      </c>
      <c r="AV157" s="90" t="str">
        <f t="shared" si="76"/>
        <v/>
      </c>
      <c r="AW157" s="14">
        <v>7</v>
      </c>
      <c r="AX157" s="90">
        <f t="shared" si="77"/>
        <v>0</v>
      </c>
      <c r="AY157" s="42">
        <f t="shared" si="78"/>
        <v>7</v>
      </c>
      <c r="AZ157" s="90">
        <f t="shared" si="79"/>
        <v>1</v>
      </c>
      <c r="BA157" s="42" t="str">
        <f t="shared" si="80"/>
        <v/>
      </c>
    </row>
    <row r="158" spans="1:53" x14ac:dyDescent="0.2">
      <c r="A158" t="str">
        <f>INDEX(Prioritization!$D:$D,MATCH($B158,Prioritization!$A:$A,0))</f>
        <v>INVALID</v>
      </c>
      <c r="B158" t="s">
        <v>204</v>
      </c>
      <c r="C158" t="s">
        <v>367</v>
      </c>
      <c r="D158" t="s">
        <v>47</v>
      </c>
      <c r="E158" t="str">
        <f t="shared" si="54"/>
        <v>Karonga District [cPtvxaZqXIH]|50+|Male</v>
      </c>
      <c r="F158" s="90">
        <f>IF(LEFT($B158,4)="_Mil","",INDEX(Cascade!$AA:$AA,MATCH($E158,Cascade!$E:$E,0)))</f>
        <v>1897</v>
      </c>
      <c r="G158" s="14">
        <f>INDEX(Cascade!$BH:$BH,MATCH($E158,Cascade!$E:$E,0))</f>
        <v>0</v>
      </c>
      <c r="H158" s="14" t="str">
        <f>IF(OR($C158="01-09",$D158="Male"),"",INDEX(PMTCT!$AC:$AC,MATCH($E158,PMTCT!$E:$E,0)))</f>
        <v/>
      </c>
      <c r="I158" s="14" t="str">
        <f>IF(OR($C158="01-09",$D158="Male"),"",INDEX(PMTCT!$AS:$AS,MATCH($E158,PMTCT!$E:$E,0)))</f>
        <v/>
      </c>
      <c r="J158" s="14" t="str">
        <f>INDEX(TB!$P:$P,MATCH($E158,TB!$E:$E,0))</f>
        <v/>
      </c>
      <c r="K158" s="14" t="str">
        <f>IF(OR($C158="01-09",$C158="10-14",$D158="Female"),"",INDEX(VMMC!$AA:$AA,MATCH($E158,VMMC!$E:$E,0)))</f>
        <v/>
      </c>
      <c r="L158" s="14">
        <f t="shared" si="55"/>
        <v>0</v>
      </c>
      <c r="M158" s="90" t="str">
        <f t="shared" si="56"/>
        <v/>
      </c>
      <c r="N158" s="90" t="str">
        <f t="shared" si="57"/>
        <v/>
      </c>
      <c r="O158" s="90" t="str">
        <f t="shared" si="58"/>
        <v/>
      </c>
      <c r="P158" s="90" t="str">
        <f t="shared" si="59"/>
        <v/>
      </c>
      <c r="Q158" s="90"/>
      <c r="R158" s="90"/>
      <c r="S158" s="90"/>
      <c r="T158" s="90"/>
      <c r="U158" s="90">
        <v>0.55444838339462899</v>
      </c>
      <c r="V158" s="90" t="str">
        <f t="shared" si="60"/>
        <v/>
      </c>
      <c r="W158" s="90"/>
      <c r="X158" s="42" t="str">
        <f t="shared" si="61"/>
        <v/>
      </c>
      <c r="Y158" s="42" t="str">
        <f t="shared" si="62"/>
        <v/>
      </c>
      <c r="Z158" s="90"/>
      <c r="AA158" s="42" t="str">
        <f t="shared" si="63"/>
        <v/>
      </c>
      <c r="AB158" s="42" t="str">
        <f t="shared" si="64"/>
        <v/>
      </c>
      <c r="AC158" s="90"/>
      <c r="AD158" s="42" t="str">
        <f t="shared" si="65"/>
        <v/>
      </c>
      <c r="AE158" s="42" t="str">
        <f t="shared" si="66"/>
        <v/>
      </c>
      <c r="AF158" s="90"/>
      <c r="AG158" s="42" t="str">
        <f t="shared" si="67"/>
        <v/>
      </c>
      <c r="AH158" s="42" t="str">
        <f t="shared" si="68"/>
        <v/>
      </c>
      <c r="AI158" s="90"/>
      <c r="AJ158" s="42" t="str">
        <f t="shared" si="69"/>
        <v/>
      </c>
      <c r="AK158" s="42" t="str">
        <f t="shared" si="70"/>
        <v/>
      </c>
      <c r="AL158" s="14" t="str">
        <f t="shared" si="71"/>
        <v/>
      </c>
      <c r="AM158" s="14" t="str">
        <f t="shared" si="72"/>
        <v/>
      </c>
      <c r="AN158" s="14" t="str">
        <f t="shared" si="73"/>
        <v/>
      </c>
      <c r="AO158" s="14" t="str">
        <f>IF(OR($C158="01-09",$D158="Male"),"",INDEX(PMTCT!$AD:$AD,MATCH($E158,PMTCT!$E:$E,0)))</f>
        <v/>
      </c>
      <c r="AP158" s="14" t="str">
        <f>IF(OR($C158="01-09",$D158="Male"),"",INDEX(PMTCT!$AT:$AT,MATCH($E158,PMTCT!$E:$E,0)))</f>
        <v/>
      </c>
      <c r="AQ158" s="14" t="str">
        <f>INDEX(TB!$Q:$Q,MATCH($E158,TB!$E:$E,0))</f>
        <v/>
      </c>
      <c r="AR158" s="14" t="str">
        <f>IF(OR($C158="01-09",$C158="10-14",$D158="Female"),"",INDEX(VMMC!$AB:$AB,MATCH($E158,VMMC!$E:$E,0)))</f>
        <v/>
      </c>
      <c r="AS158" s="14" t="str">
        <f>IF(OR($C158="01-09",$C158="10-14"),"",INDEX(PrEP!$Q:$Q,MATCH($E158,PrEP!$E:$E,0)))</f>
        <v/>
      </c>
      <c r="AT158" s="14" t="str">
        <f t="shared" si="74"/>
        <v/>
      </c>
      <c r="AU158" s="14" t="str">
        <f t="shared" si="75"/>
        <v/>
      </c>
      <c r="AV158" s="90" t="str">
        <f t="shared" si="76"/>
        <v/>
      </c>
      <c r="AW158" s="14">
        <v>4</v>
      </c>
      <c r="AX158" s="90">
        <f t="shared" si="77"/>
        <v>0</v>
      </c>
      <c r="AY158" s="42">
        <f t="shared" si="78"/>
        <v>4</v>
      </c>
      <c r="AZ158" s="90">
        <f t="shared" si="79"/>
        <v>1</v>
      </c>
      <c r="BA158" s="42" t="str">
        <f t="shared" si="80"/>
        <v/>
      </c>
    </row>
    <row r="159" spans="1:53" x14ac:dyDescent="0.2">
      <c r="A159" t="str">
        <f>INDEX(Prioritization!$D:$D,MATCH($B159,Prioritization!$A:$A,0))</f>
        <v>INVALID</v>
      </c>
      <c r="B159" t="s">
        <v>205</v>
      </c>
      <c r="C159" t="s">
        <v>362</v>
      </c>
      <c r="D159" t="s">
        <v>29</v>
      </c>
      <c r="E159" t="str">
        <f t="shared" si="54"/>
        <v>Likoma District [ZCjuwgaMB9u]|01-09|Female</v>
      </c>
      <c r="F159" s="90">
        <f>IF(LEFT($B159,4)="_Mil","",INDEX(Cascade!$AA:$AA,MATCH($E159,Cascade!$E:$E,0)))</f>
        <v>827</v>
      </c>
      <c r="G159" s="14">
        <f>INDEX(Cascade!$BH:$BH,MATCH($E159,Cascade!$E:$E,0))</f>
        <v>0</v>
      </c>
      <c r="H159" s="14" t="str">
        <f>IF(OR($C159="01-09",$D159="Male"),"",INDEX(PMTCT!$AC:$AC,MATCH($E159,PMTCT!$E:$E,0)))</f>
        <v/>
      </c>
      <c r="I159" s="14" t="str">
        <f>IF(OR($C159="01-09",$D159="Male"),"",INDEX(PMTCT!$AS:$AS,MATCH($E159,PMTCT!$E:$E,0)))</f>
        <v/>
      </c>
      <c r="J159" s="14" t="str">
        <f>INDEX(TB!$P:$P,MATCH($E159,TB!$E:$E,0))</f>
        <v/>
      </c>
      <c r="K159" s="14" t="str">
        <f>IF(OR($C159="01-09",$C159="10-14",$D159="Female"),"",INDEX(VMMC!$AA:$AA,MATCH($E159,VMMC!$E:$E,0)))</f>
        <v/>
      </c>
      <c r="L159" s="14">
        <f t="shared" si="55"/>
        <v>0</v>
      </c>
      <c r="M159" s="90" t="str">
        <f t="shared" si="56"/>
        <v/>
      </c>
      <c r="N159" s="90" t="str">
        <f t="shared" si="57"/>
        <v/>
      </c>
      <c r="O159" s="90" t="str">
        <f t="shared" si="58"/>
        <v/>
      </c>
      <c r="P159" s="90" t="str">
        <f t="shared" si="59"/>
        <v/>
      </c>
      <c r="Q159" s="90"/>
      <c r="R159" s="90"/>
      <c r="S159" s="90"/>
      <c r="T159" s="90"/>
      <c r="U159" s="90"/>
      <c r="V159" s="90" t="str">
        <f t="shared" si="60"/>
        <v/>
      </c>
      <c r="W159" s="90"/>
      <c r="X159" s="42" t="str">
        <f t="shared" si="61"/>
        <v/>
      </c>
      <c r="Y159" s="42" t="str">
        <f t="shared" si="62"/>
        <v/>
      </c>
      <c r="Z159" s="90"/>
      <c r="AA159" s="42" t="str">
        <f t="shared" si="63"/>
        <v/>
      </c>
      <c r="AB159" s="42" t="str">
        <f t="shared" si="64"/>
        <v/>
      </c>
      <c r="AC159" s="90"/>
      <c r="AD159" s="42" t="str">
        <f t="shared" si="65"/>
        <v/>
      </c>
      <c r="AE159" s="42" t="str">
        <f t="shared" si="66"/>
        <v/>
      </c>
      <c r="AF159" s="90"/>
      <c r="AG159" s="42" t="str">
        <f t="shared" si="67"/>
        <v/>
      </c>
      <c r="AH159" s="42" t="str">
        <f t="shared" si="68"/>
        <v/>
      </c>
      <c r="AI159" s="90"/>
      <c r="AJ159" s="42" t="str">
        <f t="shared" si="69"/>
        <v/>
      </c>
      <c r="AK159" s="42" t="str">
        <f t="shared" si="70"/>
        <v/>
      </c>
      <c r="AL159" s="14" t="str">
        <f t="shared" si="71"/>
        <v/>
      </c>
      <c r="AM159" s="14" t="str">
        <f t="shared" si="72"/>
        <v/>
      </c>
      <c r="AN159" s="14" t="str">
        <f t="shared" si="73"/>
        <v/>
      </c>
      <c r="AO159" s="14" t="str">
        <f>IF(OR($C159="01-09",$D159="Male"),"",INDEX(PMTCT!$AD:$AD,MATCH($E159,PMTCT!$E:$E,0)))</f>
        <v/>
      </c>
      <c r="AP159" s="14" t="str">
        <f>IF(OR($C159="01-09",$D159="Male"),"",INDEX(PMTCT!$AT:$AT,MATCH($E159,PMTCT!$E:$E,0)))</f>
        <v/>
      </c>
      <c r="AQ159" s="14" t="str">
        <f>INDEX(TB!$Q:$Q,MATCH($E159,TB!$E:$E,0))</f>
        <v/>
      </c>
      <c r="AR159" s="14" t="str">
        <f>IF(OR($C159="01-09",$C159="10-14",$D159="Female"),"",INDEX(VMMC!$AB:$AB,MATCH($E159,VMMC!$E:$E,0)))</f>
        <v/>
      </c>
      <c r="AS159" s="14" t="str">
        <f>IF(OR($C159="01-09",$C159="10-14"),"",INDEX(PrEP!$Q:$Q,MATCH($E159,PrEP!$E:$E,0)))</f>
        <v/>
      </c>
      <c r="AT159" s="14" t="str">
        <f t="shared" si="74"/>
        <v/>
      </c>
      <c r="AU159" s="14" t="str">
        <f t="shared" si="75"/>
        <v/>
      </c>
      <c r="AV159" s="90" t="str">
        <f t="shared" si="76"/>
        <v/>
      </c>
      <c r="AW159" s="14"/>
      <c r="AX159" s="90" t="str">
        <f t="shared" si="77"/>
        <v/>
      </c>
      <c r="AY159" s="42" t="str">
        <f t="shared" si="78"/>
        <v/>
      </c>
      <c r="AZ159" s="90" t="str">
        <f t="shared" si="79"/>
        <v/>
      </c>
      <c r="BA159" s="42" t="str">
        <f t="shared" si="80"/>
        <v/>
      </c>
    </row>
    <row r="160" spans="1:53" x14ac:dyDescent="0.2">
      <c r="A160" t="str">
        <f>INDEX(Prioritization!$D:$D,MATCH($B160,Prioritization!$A:$A,0))</f>
        <v>INVALID</v>
      </c>
      <c r="B160" t="s">
        <v>205</v>
      </c>
      <c r="C160" t="s">
        <v>362</v>
      </c>
      <c r="D160" t="s">
        <v>47</v>
      </c>
      <c r="E160" t="str">
        <f t="shared" si="54"/>
        <v>Likoma District [ZCjuwgaMB9u]|01-09|Male</v>
      </c>
      <c r="F160" s="90">
        <f>IF(LEFT($B160,4)="_Mil","",INDEX(Cascade!$AA:$AA,MATCH($E160,Cascade!$E:$E,0)))</f>
        <v>1106</v>
      </c>
      <c r="G160" s="14">
        <f>INDEX(Cascade!$BH:$BH,MATCH($E160,Cascade!$E:$E,0))</f>
        <v>0</v>
      </c>
      <c r="H160" s="14" t="str">
        <f>IF(OR($C160="01-09",$D160="Male"),"",INDEX(PMTCT!$AC:$AC,MATCH($E160,PMTCT!$E:$E,0)))</f>
        <v/>
      </c>
      <c r="I160" s="14" t="str">
        <f>IF(OR($C160="01-09",$D160="Male"),"",INDEX(PMTCT!$AS:$AS,MATCH($E160,PMTCT!$E:$E,0)))</f>
        <v/>
      </c>
      <c r="J160" s="14" t="str">
        <f>INDEX(TB!$P:$P,MATCH($E160,TB!$E:$E,0))</f>
        <v/>
      </c>
      <c r="K160" s="14" t="str">
        <f>IF(OR($C160="01-09",$C160="10-14",$D160="Female"),"",INDEX(VMMC!$AA:$AA,MATCH($E160,VMMC!$E:$E,0)))</f>
        <v/>
      </c>
      <c r="L160" s="14">
        <f t="shared" si="55"/>
        <v>0</v>
      </c>
      <c r="M160" s="90" t="str">
        <f t="shared" si="56"/>
        <v/>
      </c>
      <c r="N160" s="90" t="str">
        <f t="shared" si="57"/>
        <v/>
      </c>
      <c r="O160" s="90" t="str">
        <f t="shared" si="58"/>
        <v/>
      </c>
      <c r="P160" s="90" t="str">
        <f t="shared" si="59"/>
        <v/>
      </c>
      <c r="Q160" s="90"/>
      <c r="R160" s="90"/>
      <c r="S160" s="90"/>
      <c r="T160" s="90"/>
      <c r="U160" s="90"/>
      <c r="V160" s="90" t="str">
        <f t="shared" si="60"/>
        <v/>
      </c>
      <c r="W160" s="90"/>
      <c r="X160" s="42" t="str">
        <f t="shared" si="61"/>
        <v/>
      </c>
      <c r="Y160" s="42" t="str">
        <f t="shared" si="62"/>
        <v/>
      </c>
      <c r="Z160" s="90"/>
      <c r="AA160" s="42" t="str">
        <f t="shared" si="63"/>
        <v/>
      </c>
      <c r="AB160" s="42" t="str">
        <f t="shared" si="64"/>
        <v/>
      </c>
      <c r="AC160" s="90"/>
      <c r="AD160" s="42" t="str">
        <f t="shared" si="65"/>
        <v/>
      </c>
      <c r="AE160" s="42" t="str">
        <f t="shared" si="66"/>
        <v/>
      </c>
      <c r="AF160" s="90"/>
      <c r="AG160" s="42" t="str">
        <f t="shared" si="67"/>
        <v/>
      </c>
      <c r="AH160" s="42" t="str">
        <f t="shared" si="68"/>
        <v/>
      </c>
      <c r="AI160" s="90"/>
      <c r="AJ160" s="42" t="str">
        <f t="shared" si="69"/>
        <v/>
      </c>
      <c r="AK160" s="42" t="str">
        <f t="shared" si="70"/>
        <v/>
      </c>
      <c r="AL160" s="14" t="str">
        <f t="shared" si="71"/>
        <v/>
      </c>
      <c r="AM160" s="14" t="str">
        <f t="shared" si="72"/>
        <v/>
      </c>
      <c r="AN160" s="14" t="str">
        <f t="shared" si="73"/>
        <v/>
      </c>
      <c r="AO160" s="14" t="str">
        <f>IF(OR($C160="01-09",$D160="Male"),"",INDEX(PMTCT!$AD:$AD,MATCH($E160,PMTCT!$E:$E,0)))</f>
        <v/>
      </c>
      <c r="AP160" s="14" t="str">
        <f>IF(OR($C160="01-09",$D160="Male"),"",INDEX(PMTCT!$AT:$AT,MATCH($E160,PMTCT!$E:$E,0)))</f>
        <v/>
      </c>
      <c r="AQ160" s="14" t="str">
        <f>INDEX(TB!$Q:$Q,MATCH($E160,TB!$E:$E,0))</f>
        <v/>
      </c>
      <c r="AR160" s="14" t="str">
        <f>IF(OR($C160="01-09",$C160="10-14",$D160="Female"),"",INDEX(VMMC!$AB:$AB,MATCH($E160,VMMC!$E:$E,0)))</f>
        <v/>
      </c>
      <c r="AS160" s="14" t="str">
        <f>IF(OR($C160="01-09",$C160="10-14"),"",INDEX(PrEP!$Q:$Q,MATCH($E160,PrEP!$E:$E,0)))</f>
        <v/>
      </c>
      <c r="AT160" s="14" t="str">
        <f t="shared" si="74"/>
        <v/>
      </c>
      <c r="AU160" s="14" t="str">
        <f t="shared" si="75"/>
        <v/>
      </c>
      <c r="AV160" s="90" t="str">
        <f t="shared" si="76"/>
        <v/>
      </c>
      <c r="AW160" s="14"/>
      <c r="AX160" s="90" t="str">
        <f t="shared" si="77"/>
        <v/>
      </c>
      <c r="AY160" s="42" t="str">
        <f t="shared" si="78"/>
        <v/>
      </c>
      <c r="AZ160" s="90" t="str">
        <f t="shared" si="79"/>
        <v/>
      </c>
      <c r="BA160" s="42" t="str">
        <f t="shared" si="80"/>
        <v/>
      </c>
    </row>
    <row r="161" spans="1:53" x14ac:dyDescent="0.2">
      <c r="A161" t="str">
        <f>INDEX(Prioritization!$D:$D,MATCH($B161,Prioritization!$A:$A,0))</f>
        <v>INVALID</v>
      </c>
      <c r="B161" t="s">
        <v>205</v>
      </c>
      <c r="C161" t="s">
        <v>363</v>
      </c>
      <c r="D161" t="s">
        <v>29</v>
      </c>
      <c r="E161" t="str">
        <f t="shared" si="54"/>
        <v>Likoma District [ZCjuwgaMB9u]|10-14|Female</v>
      </c>
      <c r="F161" s="90">
        <f>IF(LEFT($B161,4)="_Mil","",INDEX(Cascade!$AA:$AA,MATCH($E161,Cascade!$E:$E,0)))</f>
        <v>1054</v>
      </c>
      <c r="G161" s="14">
        <f>INDEX(Cascade!$BH:$BH,MATCH($E161,Cascade!$E:$E,0))</f>
        <v>-5</v>
      </c>
      <c r="H161" s="14" t="str">
        <f>IF(OR($C161="01-09",$D161="Male"),"",INDEX(PMTCT!$AC:$AC,MATCH($E161,PMTCT!$E:$E,0)))</f>
        <v/>
      </c>
      <c r="I161" s="14" t="str">
        <f>IF(OR($C161="01-09",$D161="Male"),"",INDEX(PMTCT!$AS:$AS,MATCH($E161,PMTCT!$E:$E,0)))</f>
        <v/>
      </c>
      <c r="J161" s="14" t="str">
        <f>INDEX(TB!$P:$P,MATCH($E161,TB!$E:$E,0))</f>
        <v/>
      </c>
      <c r="K161" s="14" t="str">
        <f>IF(OR($C161="01-09",$C161="10-14",$D161="Female"),"",INDEX(VMMC!$AA:$AA,MATCH($E161,VMMC!$E:$E,0)))</f>
        <v/>
      </c>
      <c r="L161" s="14">
        <f t="shared" si="55"/>
        <v>-5</v>
      </c>
      <c r="M161" s="90">
        <f t="shared" si="56"/>
        <v>0</v>
      </c>
      <c r="N161" s="90">
        <f t="shared" si="57"/>
        <v>0</v>
      </c>
      <c r="O161" s="90">
        <f t="shared" si="58"/>
        <v>0</v>
      </c>
      <c r="P161" s="90" t="str">
        <f t="shared" si="59"/>
        <v/>
      </c>
      <c r="Q161" s="90">
        <v>0.39679703861475002</v>
      </c>
      <c r="R161" s="90"/>
      <c r="S161" s="90"/>
      <c r="T161" s="90"/>
      <c r="U161" s="90">
        <v>0.50382479629479304</v>
      </c>
      <c r="V161" s="90">
        <f t="shared" si="60"/>
        <v>0.90062183490954306</v>
      </c>
      <c r="W161" s="90"/>
      <c r="X161" s="42">
        <f t="shared" si="61"/>
        <v>-2</v>
      </c>
      <c r="Y161" s="42" t="str">
        <f t="shared" si="62"/>
        <v>ENTER YIELD</v>
      </c>
      <c r="Z161" s="90"/>
      <c r="AA161" s="42" t="str">
        <f t="shared" si="63"/>
        <v/>
      </c>
      <c r="AB161" s="42" t="str">
        <f t="shared" si="64"/>
        <v/>
      </c>
      <c r="AC161" s="90"/>
      <c r="AD161" s="42" t="str">
        <f t="shared" si="65"/>
        <v/>
      </c>
      <c r="AE161" s="42" t="str">
        <f t="shared" si="66"/>
        <v/>
      </c>
      <c r="AF161" s="90"/>
      <c r="AG161" s="42" t="str">
        <f t="shared" si="67"/>
        <v/>
      </c>
      <c r="AH161" s="42" t="str">
        <f t="shared" si="68"/>
        <v/>
      </c>
      <c r="AI161" s="90"/>
      <c r="AJ161" s="42">
        <f t="shared" si="69"/>
        <v>-3</v>
      </c>
      <c r="AK161" s="42" t="str">
        <f t="shared" si="70"/>
        <v>ENTER YIELD</v>
      </c>
      <c r="AL161" s="14">
        <f t="shared" si="71"/>
        <v>-5</v>
      </c>
      <c r="AM161" s="14">
        <f t="shared" si="72"/>
        <v>-5</v>
      </c>
      <c r="AN161" s="14">
        <f t="shared" si="73"/>
        <v>0</v>
      </c>
      <c r="AO161" s="14" t="str">
        <f>IF(OR($C161="01-09",$D161="Male"),"",INDEX(PMTCT!$AD:$AD,MATCH($E161,PMTCT!$E:$E,0)))</f>
        <v/>
      </c>
      <c r="AP161" s="14" t="str">
        <f>IF(OR($C161="01-09",$D161="Male"),"",INDEX(PMTCT!$AT:$AT,MATCH($E161,PMTCT!$E:$E,0)))</f>
        <v/>
      </c>
      <c r="AQ161" s="14" t="str">
        <f>INDEX(TB!$Q:$Q,MATCH($E161,TB!$E:$E,0))</f>
        <v/>
      </c>
      <c r="AR161" s="14" t="str">
        <f>IF(OR($C161="01-09",$C161="10-14",$D161="Female"),"",INDEX(VMMC!$AB:$AB,MATCH($E161,VMMC!$E:$E,0)))</f>
        <v/>
      </c>
      <c r="AS161" s="14" t="str">
        <f>IF(OR($C161="01-09",$C161="10-14"),"",INDEX(PrEP!$Q:$Q,MATCH($E161,PrEP!$E:$E,0)))</f>
        <v/>
      </c>
      <c r="AT161" s="14" t="str">
        <f t="shared" si="74"/>
        <v/>
      </c>
      <c r="AU161" s="14">
        <f t="shared" si="75"/>
        <v>-5</v>
      </c>
      <c r="AV161" s="90">
        <f t="shared" si="76"/>
        <v>1</v>
      </c>
      <c r="AW161" s="14"/>
      <c r="AX161" s="90" t="str">
        <f t="shared" si="77"/>
        <v/>
      </c>
      <c r="AY161" s="42" t="str">
        <f t="shared" si="78"/>
        <v/>
      </c>
      <c r="AZ161" s="90" t="str">
        <f t="shared" si="79"/>
        <v/>
      </c>
      <c r="BA161" s="42" t="str">
        <f t="shared" si="80"/>
        <v/>
      </c>
    </row>
    <row r="162" spans="1:53" x14ac:dyDescent="0.2">
      <c r="A162" t="str">
        <f>INDEX(Prioritization!$D:$D,MATCH($B162,Prioritization!$A:$A,0))</f>
        <v>INVALID</v>
      </c>
      <c r="B162" t="s">
        <v>205</v>
      </c>
      <c r="C162" t="s">
        <v>363</v>
      </c>
      <c r="D162" t="s">
        <v>47</v>
      </c>
      <c r="E162" t="str">
        <f t="shared" si="54"/>
        <v>Likoma District [ZCjuwgaMB9u]|10-14|Male</v>
      </c>
      <c r="F162" s="90">
        <f>IF(LEFT($B162,4)="_Mil","",INDEX(Cascade!$AA:$AA,MATCH($E162,Cascade!$E:$E,0)))</f>
        <v>1917</v>
      </c>
      <c r="G162" s="14">
        <f>INDEX(Cascade!$BH:$BH,MATCH($E162,Cascade!$E:$E,0))</f>
        <v>-4</v>
      </c>
      <c r="H162" s="14" t="str">
        <f>IF(OR($C162="01-09",$D162="Male"),"",INDEX(PMTCT!$AC:$AC,MATCH($E162,PMTCT!$E:$E,0)))</f>
        <v/>
      </c>
      <c r="I162" s="14" t="str">
        <f>IF(OR($C162="01-09",$D162="Male"),"",INDEX(PMTCT!$AS:$AS,MATCH($E162,PMTCT!$E:$E,0)))</f>
        <v/>
      </c>
      <c r="J162" s="14" t="str">
        <f>INDEX(TB!$P:$P,MATCH($E162,TB!$E:$E,0))</f>
        <v/>
      </c>
      <c r="K162" s="14" t="str">
        <f>IF(OR($C162="01-09",$C162="10-14",$D162="Female"),"",INDEX(VMMC!$AA:$AA,MATCH($E162,VMMC!$E:$E,0)))</f>
        <v/>
      </c>
      <c r="L162" s="14">
        <f t="shared" si="55"/>
        <v>-4</v>
      </c>
      <c r="M162" s="90" t="str">
        <f t="shared" si="56"/>
        <v/>
      </c>
      <c r="N162" s="90" t="str">
        <f t="shared" si="57"/>
        <v/>
      </c>
      <c r="O162" s="90">
        <f t="shared" si="58"/>
        <v>0</v>
      </c>
      <c r="P162" s="90" t="str">
        <f t="shared" si="59"/>
        <v/>
      </c>
      <c r="Q162" s="90">
        <v>0.84331076079979495</v>
      </c>
      <c r="R162" s="90"/>
      <c r="S162" s="90"/>
      <c r="T162" s="90"/>
      <c r="U162" s="90">
        <v>0.36110703065060101</v>
      </c>
      <c r="V162" s="90">
        <f t="shared" si="60"/>
        <v>1.204417791450396</v>
      </c>
      <c r="W162" s="90"/>
      <c r="X162" s="42">
        <f t="shared" si="61"/>
        <v>-3</v>
      </c>
      <c r="Y162" s="42" t="str">
        <f t="shared" si="62"/>
        <v>ENTER YIELD</v>
      </c>
      <c r="Z162" s="90"/>
      <c r="AA162" s="42" t="str">
        <f t="shared" si="63"/>
        <v/>
      </c>
      <c r="AB162" s="42" t="str">
        <f t="shared" si="64"/>
        <v/>
      </c>
      <c r="AC162" s="90"/>
      <c r="AD162" s="42" t="str">
        <f t="shared" si="65"/>
        <v/>
      </c>
      <c r="AE162" s="42" t="str">
        <f t="shared" si="66"/>
        <v/>
      </c>
      <c r="AF162" s="90"/>
      <c r="AG162" s="42" t="str">
        <f t="shared" si="67"/>
        <v/>
      </c>
      <c r="AH162" s="42" t="str">
        <f t="shared" si="68"/>
        <v/>
      </c>
      <c r="AI162" s="90"/>
      <c r="AJ162" s="42">
        <f t="shared" si="69"/>
        <v>-1</v>
      </c>
      <c r="AK162" s="42" t="str">
        <f t="shared" si="70"/>
        <v>ENTER YIELD</v>
      </c>
      <c r="AL162" s="14">
        <f t="shared" si="71"/>
        <v>-4</v>
      </c>
      <c r="AM162" s="14">
        <f t="shared" si="72"/>
        <v>-4</v>
      </c>
      <c r="AN162" s="14">
        <f t="shared" si="73"/>
        <v>0</v>
      </c>
      <c r="AO162" s="14" t="str">
        <f>IF(OR($C162="01-09",$D162="Male"),"",INDEX(PMTCT!$AD:$AD,MATCH($E162,PMTCT!$E:$E,0)))</f>
        <v/>
      </c>
      <c r="AP162" s="14" t="str">
        <f>IF(OR($C162="01-09",$D162="Male"),"",INDEX(PMTCT!$AT:$AT,MATCH($E162,PMTCT!$E:$E,0)))</f>
        <v/>
      </c>
      <c r="AQ162" s="14" t="str">
        <f>INDEX(TB!$Q:$Q,MATCH($E162,TB!$E:$E,0))</f>
        <v/>
      </c>
      <c r="AR162" s="14" t="str">
        <f>IF(OR($C162="01-09",$C162="10-14",$D162="Female"),"",INDEX(VMMC!$AB:$AB,MATCH($E162,VMMC!$E:$E,0)))</f>
        <v/>
      </c>
      <c r="AS162" s="14" t="str">
        <f>IF(OR($C162="01-09",$C162="10-14"),"",INDEX(PrEP!$Q:$Q,MATCH($E162,PrEP!$E:$E,0)))</f>
        <v/>
      </c>
      <c r="AT162" s="14" t="str">
        <f t="shared" si="74"/>
        <v/>
      </c>
      <c r="AU162" s="14">
        <f t="shared" si="75"/>
        <v>-4</v>
      </c>
      <c r="AV162" s="90">
        <f t="shared" si="76"/>
        <v>1</v>
      </c>
      <c r="AW162" s="14"/>
      <c r="AX162" s="90" t="str">
        <f t="shared" si="77"/>
        <v/>
      </c>
      <c r="AY162" s="42" t="str">
        <f t="shared" si="78"/>
        <v/>
      </c>
      <c r="AZ162" s="90" t="str">
        <f t="shared" si="79"/>
        <v/>
      </c>
      <c r="BA162" s="42" t="str">
        <f t="shared" si="80"/>
        <v/>
      </c>
    </row>
    <row r="163" spans="1:53" x14ac:dyDescent="0.2">
      <c r="A163" t="str">
        <f>INDEX(Prioritization!$D:$D,MATCH($B163,Prioritization!$A:$A,0))</f>
        <v>INVALID</v>
      </c>
      <c r="B163" t="s">
        <v>205</v>
      </c>
      <c r="C163" t="s">
        <v>364</v>
      </c>
      <c r="D163" t="s">
        <v>29</v>
      </c>
      <c r="E163" t="str">
        <f t="shared" si="54"/>
        <v>Likoma District [ZCjuwgaMB9u]|15-24|Female</v>
      </c>
      <c r="F163" s="90">
        <f>IF(LEFT($B163,4)="_Mil","",INDEX(Cascade!$AA:$AA,MATCH($E163,Cascade!$E:$E,0)))</f>
        <v>953</v>
      </c>
      <c r="G163" s="14">
        <f>INDEX(Cascade!$BH:$BH,MATCH($E163,Cascade!$E:$E,0))</f>
        <v>0</v>
      </c>
      <c r="H163" s="14" t="str">
        <f>IF(OR($C163="01-09",$D163="Male"),"",INDEX(PMTCT!$AC:$AC,MATCH($E163,PMTCT!$E:$E,0)))</f>
        <v/>
      </c>
      <c r="I163" s="14" t="str">
        <f>IF(OR($C163="01-09",$D163="Male"),"",INDEX(PMTCT!$AS:$AS,MATCH($E163,PMTCT!$E:$E,0)))</f>
        <v/>
      </c>
      <c r="J163" s="14" t="str">
        <f>INDEX(TB!$P:$P,MATCH($E163,TB!$E:$E,0))</f>
        <v/>
      </c>
      <c r="K163" s="14" t="str">
        <f>IF(OR($C163="01-09",$C163="10-14",$D163="Female"),"",INDEX(VMMC!$AA:$AA,MATCH($E163,VMMC!$E:$E,0)))</f>
        <v/>
      </c>
      <c r="L163" s="14">
        <f t="shared" si="55"/>
        <v>0</v>
      </c>
      <c r="M163" s="90" t="str">
        <f t="shared" si="56"/>
        <v/>
      </c>
      <c r="N163" s="90" t="str">
        <f t="shared" si="57"/>
        <v/>
      </c>
      <c r="O163" s="90" t="str">
        <f t="shared" si="58"/>
        <v/>
      </c>
      <c r="P163" s="90" t="str">
        <f t="shared" si="59"/>
        <v/>
      </c>
      <c r="Q163" s="90"/>
      <c r="R163" s="90"/>
      <c r="S163" s="90"/>
      <c r="T163" s="90"/>
      <c r="U163" s="90"/>
      <c r="V163" s="90" t="str">
        <f t="shared" si="60"/>
        <v/>
      </c>
      <c r="W163" s="90"/>
      <c r="X163" s="42" t="str">
        <f t="shared" si="61"/>
        <v/>
      </c>
      <c r="Y163" s="42" t="str">
        <f t="shared" si="62"/>
        <v/>
      </c>
      <c r="Z163" s="90"/>
      <c r="AA163" s="42" t="str">
        <f t="shared" si="63"/>
        <v/>
      </c>
      <c r="AB163" s="42" t="str">
        <f t="shared" si="64"/>
        <v/>
      </c>
      <c r="AC163" s="90"/>
      <c r="AD163" s="42" t="str">
        <f t="shared" si="65"/>
        <v/>
      </c>
      <c r="AE163" s="42" t="str">
        <f t="shared" si="66"/>
        <v/>
      </c>
      <c r="AF163" s="90"/>
      <c r="AG163" s="42" t="str">
        <f t="shared" si="67"/>
        <v/>
      </c>
      <c r="AH163" s="42" t="str">
        <f t="shared" si="68"/>
        <v/>
      </c>
      <c r="AI163" s="90"/>
      <c r="AJ163" s="42" t="str">
        <f t="shared" si="69"/>
        <v/>
      </c>
      <c r="AK163" s="42" t="str">
        <f t="shared" si="70"/>
        <v/>
      </c>
      <c r="AL163" s="14" t="str">
        <f t="shared" si="71"/>
        <v/>
      </c>
      <c r="AM163" s="14" t="str">
        <f t="shared" si="72"/>
        <v/>
      </c>
      <c r="AN163" s="14" t="str">
        <f t="shared" si="73"/>
        <v/>
      </c>
      <c r="AO163" s="14" t="str">
        <f>IF(OR($C163="01-09",$D163="Male"),"",INDEX(PMTCT!$AD:$AD,MATCH($E163,PMTCT!$E:$E,0)))</f>
        <v/>
      </c>
      <c r="AP163" s="14" t="str">
        <f>IF(OR($C163="01-09",$D163="Male"),"",INDEX(PMTCT!$AT:$AT,MATCH($E163,PMTCT!$E:$E,0)))</f>
        <v/>
      </c>
      <c r="AQ163" s="14" t="str">
        <f>INDEX(TB!$Q:$Q,MATCH($E163,TB!$E:$E,0))</f>
        <v/>
      </c>
      <c r="AR163" s="14" t="str">
        <f>IF(OR($C163="01-09",$C163="10-14",$D163="Female"),"",INDEX(VMMC!$AB:$AB,MATCH($E163,VMMC!$E:$E,0)))</f>
        <v/>
      </c>
      <c r="AS163" s="14" t="str">
        <f>IF(OR($C163="01-09",$C163="10-14"),"",INDEX(PrEP!$Q:$Q,MATCH($E163,PrEP!$E:$E,0)))</f>
        <v/>
      </c>
      <c r="AT163" s="14" t="str">
        <f t="shared" si="74"/>
        <v/>
      </c>
      <c r="AU163" s="14" t="str">
        <f t="shared" si="75"/>
        <v/>
      </c>
      <c r="AV163" s="90" t="str">
        <f t="shared" si="76"/>
        <v/>
      </c>
      <c r="AW163" s="14"/>
      <c r="AX163" s="90" t="str">
        <f t="shared" si="77"/>
        <v/>
      </c>
      <c r="AY163" s="42" t="str">
        <f t="shared" si="78"/>
        <v/>
      </c>
      <c r="AZ163" s="90">
        <f t="shared" si="79"/>
        <v>1</v>
      </c>
      <c r="BA163" s="42" t="str">
        <f t="shared" si="80"/>
        <v/>
      </c>
    </row>
    <row r="164" spans="1:53" x14ac:dyDescent="0.2">
      <c r="A164" t="str">
        <f>INDEX(Prioritization!$D:$D,MATCH($B164,Prioritization!$A:$A,0))</f>
        <v>INVALID</v>
      </c>
      <c r="B164" t="s">
        <v>205</v>
      </c>
      <c r="C164" t="s">
        <v>364</v>
      </c>
      <c r="D164" t="s">
        <v>47</v>
      </c>
      <c r="E164" t="str">
        <f t="shared" si="54"/>
        <v>Likoma District [ZCjuwgaMB9u]|15-24|Male</v>
      </c>
      <c r="F164" s="90">
        <f>IF(LEFT($B164,4)="_Mil","",INDEX(Cascade!$AA:$AA,MATCH($E164,Cascade!$E:$E,0)))</f>
        <v>1116</v>
      </c>
      <c r="G164" s="14">
        <f>INDEX(Cascade!$BH:$BH,MATCH($E164,Cascade!$E:$E,0))</f>
        <v>0</v>
      </c>
      <c r="H164" s="14" t="str">
        <f>IF(OR($C164="01-09",$D164="Male"),"",INDEX(PMTCT!$AC:$AC,MATCH($E164,PMTCT!$E:$E,0)))</f>
        <v/>
      </c>
      <c r="I164" s="14" t="str">
        <f>IF(OR($C164="01-09",$D164="Male"),"",INDEX(PMTCT!$AS:$AS,MATCH($E164,PMTCT!$E:$E,0)))</f>
        <v/>
      </c>
      <c r="J164" s="14" t="str">
        <f>INDEX(TB!$P:$P,MATCH($E164,TB!$E:$E,0))</f>
        <v/>
      </c>
      <c r="K164" s="14" t="str">
        <f>IF(OR($C164="01-09",$C164="10-14",$D164="Female"),"",INDEX(VMMC!$AA:$AA,MATCH($E164,VMMC!$E:$E,0)))</f>
        <v/>
      </c>
      <c r="L164" s="14">
        <f t="shared" si="55"/>
        <v>0</v>
      </c>
      <c r="M164" s="90" t="str">
        <f t="shared" si="56"/>
        <v/>
      </c>
      <c r="N164" s="90" t="str">
        <f t="shared" si="57"/>
        <v/>
      </c>
      <c r="O164" s="90" t="str">
        <f t="shared" si="58"/>
        <v/>
      </c>
      <c r="P164" s="90" t="str">
        <f t="shared" si="59"/>
        <v/>
      </c>
      <c r="Q164" s="90"/>
      <c r="R164" s="90"/>
      <c r="S164" s="90"/>
      <c r="T164" s="90"/>
      <c r="U164" s="90"/>
      <c r="V164" s="90" t="str">
        <f t="shared" si="60"/>
        <v/>
      </c>
      <c r="W164" s="90"/>
      <c r="X164" s="42" t="str">
        <f t="shared" si="61"/>
        <v/>
      </c>
      <c r="Y164" s="42" t="str">
        <f t="shared" si="62"/>
        <v/>
      </c>
      <c r="Z164" s="90"/>
      <c r="AA164" s="42" t="str">
        <f t="shared" si="63"/>
        <v/>
      </c>
      <c r="AB164" s="42" t="str">
        <f t="shared" si="64"/>
        <v/>
      </c>
      <c r="AC164" s="90"/>
      <c r="AD164" s="42" t="str">
        <f t="shared" si="65"/>
        <v/>
      </c>
      <c r="AE164" s="42" t="str">
        <f t="shared" si="66"/>
        <v/>
      </c>
      <c r="AF164" s="90"/>
      <c r="AG164" s="42" t="str">
        <f t="shared" si="67"/>
        <v/>
      </c>
      <c r="AH164" s="42" t="str">
        <f t="shared" si="68"/>
        <v/>
      </c>
      <c r="AI164" s="90"/>
      <c r="AJ164" s="42" t="str">
        <f t="shared" si="69"/>
        <v/>
      </c>
      <c r="AK164" s="42" t="str">
        <f t="shared" si="70"/>
        <v/>
      </c>
      <c r="AL164" s="14" t="str">
        <f t="shared" si="71"/>
        <v/>
      </c>
      <c r="AM164" s="14" t="str">
        <f t="shared" si="72"/>
        <v/>
      </c>
      <c r="AN164" s="14" t="str">
        <f t="shared" si="73"/>
        <v/>
      </c>
      <c r="AO164" s="14" t="str">
        <f>IF(OR($C164="01-09",$D164="Male"),"",INDEX(PMTCT!$AD:$AD,MATCH($E164,PMTCT!$E:$E,0)))</f>
        <v/>
      </c>
      <c r="AP164" s="14" t="str">
        <f>IF(OR($C164="01-09",$D164="Male"),"",INDEX(PMTCT!$AT:$AT,MATCH($E164,PMTCT!$E:$E,0)))</f>
        <v/>
      </c>
      <c r="AQ164" s="14" t="str">
        <f>INDEX(TB!$Q:$Q,MATCH($E164,TB!$E:$E,0))</f>
        <v/>
      </c>
      <c r="AR164" s="14" t="str">
        <f>IF(OR($C164="01-09",$C164="10-14",$D164="Female"),"",INDEX(VMMC!$AB:$AB,MATCH($E164,VMMC!$E:$E,0)))</f>
        <v/>
      </c>
      <c r="AS164" s="14" t="str">
        <f>IF(OR($C164="01-09",$C164="10-14"),"",INDEX(PrEP!$Q:$Q,MATCH($E164,PrEP!$E:$E,0)))</f>
        <v/>
      </c>
      <c r="AT164" s="14" t="str">
        <f t="shared" si="74"/>
        <v/>
      </c>
      <c r="AU164" s="14" t="str">
        <f t="shared" si="75"/>
        <v/>
      </c>
      <c r="AV164" s="90" t="str">
        <f t="shared" si="76"/>
        <v/>
      </c>
      <c r="AW164" s="14"/>
      <c r="AX164" s="90" t="str">
        <f t="shared" si="77"/>
        <v/>
      </c>
      <c r="AY164" s="42" t="str">
        <f t="shared" si="78"/>
        <v/>
      </c>
      <c r="AZ164" s="90">
        <f t="shared" si="79"/>
        <v>1</v>
      </c>
      <c r="BA164" s="42" t="str">
        <f t="shared" si="80"/>
        <v/>
      </c>
    </row>
    <row r="165" spans="1:53" x14ac:dyDescent="0.2">
      <c r="A165" t="str">
        <f>INDEX(Prioritization!$D:$D,MATCH($B165,Prioritization!$A:$A,0))</f>
        <v>INVALID</v>
      </c>
      <c r="B165" t="s">
        <v>205</v>
      </c>
      <c r="C165" t="s">
        <v>365</v>
      </c>
      <c r="D165" t="s">
        <v>29</v>
      </c>
      <c r="E165" t="str">
        <f t="shared" si="54"/>
        <v>Likoma District [ZCjuwgaMB9u]|25-34|Female</v>
      </c>
      <c r="F165" s="90">
        <f>IF(LEFT($B165,4)="_Mil","",INDEX(Cascade!$AA:$AA,MATCH($E165,Cascade!$E:$E,0)))</f>
        <v>507</v>
      </c>
      <c r="G165" s="14">
        <f>INDEX(Cascade!$BH:$BH,MATCH($E165,Cascade!$E:$E,0))</f>
        <v>0</v>
      </c>
      <c r="H165" s="14" t="str">
        <f>IF(OR($C165="01-09",$D165="Male"),"",INDEX(PMTCT!$AC:$AC,MATCH($E165,PMTCT!$E:$E,0)))</f>
        <v/>
      </c>
      <c r="I165" s="14" t="str">
        <f>IF(OR($C165="01-09",$D165="Male"),"",INDEX(PMTCT!$AS:$AS,MATCH($E165,PMTCT!$E:$E,0)))</f>
        <v/>
      </c>
      <c r="J165" s="14" t="str">
        <f>INDEX(TB!$P:$P,MATCH($E165,TB!$E:$E,0))</f>
        <v/>
      </c>
      <c r="K165" s="14" t="str">
        <f>IF(OR($C165="01-09",$C165="10-14",$D165="Female"),"",INDEX(VMMC!$AA:$AA,MATCH($E165,VMMC!$E:$E,0)))</f>
        <v/>
      </c>
      <c r="L165" s="14">
        <f t="shared" si="55"/>
        <v>0</v>
      </c>
      <c r="M165" s="90" t="str">
        <f t="shared" si="56"/>
        <v/>
      </c>
      <c r="N165" s="90" t="str">
        <f t="shared" si="57"/>
        <v/>
      </c>
      <c r="O165" s="90" t="str">
        <f t="shared" si="58"/>
        <v/>
      </c>
      <c r="P165" s="90" t="str">
        <f t="shared" si="59"/>
        <v/>
      </c>
      <c r="Q165" s="90"/>
      <c r="R165" s="90"/>
      <c r="S165" s="90"/>
      <c r="T165" s="90"/>
      <c r="U165" s="90"/>
      <c r="V165" s="90" t="str">
        <f t="shared" si="60"/>
        <v/>
      </c>
      <c r="W165" s="90"/>
      <c r="X165" s="42" t="str">
        <f t="shared" si="61"/>
        <v/>
      </c>
      <c r="Y165" s="42" t="str">
        <f t="shared" si="62"/>
        <v/>
      </c>
      <c r="Z165" s="90"/>
      <c r="AA165" s="42" t="str">
        <f t="shared" si="63"/>
        <v/>
      </c>
      <c r="AB165" s="42" t="str">
        <f t="shared" si="64"/>
        <v/>
      </c>
      <c r="AC165" s="90"/>
      <c r="AD165" s="42" t="str">
        <f t="shared" si="65"/>
        <v/>
      </c>
      <c r="AE165" s="42" t="str">
        <f t="shared" si="66"/>
        <v/>
      </c>
      <c r="AF165" s="90"/>
      <c r="AG165" s="42" t="str">
        <f t="shared" si="67"/>
        <v/>
      </c>
      <c r="AH165" s="42" t="str">
        <f t="shared" si="68"/>
        <v/>
      </c>
      <c r="AI165" s="90"/>
      <c r="AJ165" s="42" t="str">
        <f t="shared" si="69"/>
        <v/>
      </c>
      <c r="AK165" s="42" t="str">
        <f t="shared" si="70"/>
        <v/>
      </c>
      <c r="AL165" s="14" t="str">
        <f t="shared" si="71"/>
        <v/>
      </c>
      <c r="AM165" s="14" t="str">
        <f t="shared" si="72"/>
        <v/>
      </c>
      <c r="AN165" s="14" t="str">
        <f t="shared" si="73"/>
        <v/>
      </c>
      <c r="AO165" s="14" t="str">
        <f>IF(OR($C165="01-09",$D165="Male"),"",INDEX(PMTCT!$AD:$AD,MATCH($E165,PMTCT!$E:$E,0)))</f>
        <v/>
      </c>
      <c r="AP165" s="14" t="str">
        <f>IF(OR($C165="01-09",$D165="Male"),"",INDEX(PMTCT!$AT:$AT,MATCH($E165,PMTCT!$E:$E,0)))</f>
        <v/>
      </c>
      <c r="AQ165" s="14" t="str">
        <f>INDEX(TB!$Q:$Q,MATCH($E165,TB!$E:$E,0))</f>
        <v/>
      </c>
      <c r="AR165" s="14" t="str">
        <f>IF(OR($C165="01-09",$C165="10-14",$D165="Female"),"",INDEX(VMMC!$AB:$AB,MATCH($E165,VMMC!$E:$E,0)))</f>
        <v/>
      </c>
      <c r="AS165" s="14" t="str">
        <f>IF(OR($C165="01-09",$C165="10-14"),"",INDEX(PrEP!$Q:$Q,MATCH($E165,PrEP!$E:$E,0)))</f>
        <v/>
      </c>
      <c r="AT165" s="14" t="str">
        <f t="shared" si="74"/>
        <v/>
      </c>
      <c r="AU165" s="14" t="str">
        <f t="shared" si="75"/>
        <v/>
      </c>
      <c r="AV165" s="90" t="str">
        <f t="shared" si="76"/>
        <v/>
      </c>
      <c r="AW165" s="14"/>
      <c r="AX165" s="90" t="str">
        <f t="shared" si="77"/>
        <v/>
      </c>
      <c r="AY165" s="42" t="str">
        <f t="shared" si="78"/>
        <v/>
      </c>
      <c r="AZ165" s="90">
        <f t="shared" si="79"/>
        <v>1</v>
      </c>
      <c r="BA165" s="42" t="str">
        <f t="shared" si="80"/>
        <v/>
      </c>
    </row>
    <row r="166" spans="1:53" x14ac:dyDescent="0.2">
      <c r="A166" t="str">
        <f>INDEX(Prioritization!$D:$D,MATCH($B166,Prioritization!$A:$A,0))</f>
        <v>INVALID</v>
      </c>
      <c r="B166" t="s">
        <v>205</v>
      </c>
      <c r="C166" t="s">
        <v>365</v>
      </c>
      <c r="D166" t="s">
        <v>47</v>
      </c>
      <c r="E166" t="str">
        <f t="shared" si="54"/>
        <v>Likoma District [ZCjuwgaMB9u]|25-34|Male</v>
      </c>
      <c r="F166" s="90">
        <f>IF(LEFT($B166,4)="_Mil","",INDEX(Cascade!$AA:$AA,MATCH($E166,Cascade!$E:$E,0)))</f>
        <v>1520</v>
      </c>
      <c r="G166" s="14">
        <f>INDEX(Cascade!$BH:$BH,MATCH($E166,Cascade!$E:$E,0))</f>
        <v>0</v>
      </c>
      <c r="H166" s="14" t="str">
        <f>IF(OR($C166="01-09",$D166="Male"),"",INDEX(PMTCT!$AC:$AC,MATCH($E166,PMTCT!$E:$E,0)))</f>
        <v/>
      </c>
      <c r="I166" s="14" t="str">
        <f>IF(OR($C166="01-09",$D166="Male"),"",INDEX(PMTCT!$AS:$AS,MATCH($E166,PMTCT!$E:$E,0)))</f>
        <v/>
      </c>
      <c r="J166" s="14" t="str">
        <f>INDEX(TB!$P:$P,MATCH($E166,TB!$E:$E,0))</f>
        <v/>
      </c>
      <c r="K166" s="14" t="str">
        <f>IF(OR($C166="01-09",$C166="10-14",$D166="Female"),"",INDEX(VMMC!$AA:$AA,MATCH($E166,VMMC!$E:$E,0)))</f>
        <v/>
      </c>
      <c r="L166" s="14">
        <f t="shared" si="55"/>
        <v>0</v>
      </c>
      <c r="M166" s="90" t="str">
        <f t="shared" si="56"/>
        <v/>
      </c>
      <c r="N166" s="90" t="str">
        <f t="shared" si="57"/>
        <v/>
      </c>
      <c r="O166" s="90" t="str">
        <f t="shared" si="58"/>
        <v/>
      </c>
      <c r="P166" s="90" t="str">
        <f t="shared" si="59"/>
        <v/>
      </c>
      <c r="Q166" s="90"/>
      <c r="R166" s="90"/>
      <c r="S166" s="90"/>
      <c r="T166" s="90"/>
      <c r="U166" s="90"/>
      <c r="V166" s="90" t="str">
        <f t="shared" si="60"/>
        <v/>
      </c>
      <c r="W166" s="90"/>
      <c r="X166" s="42" t="str">
        <f t="shared" si="61"/>
        <v/>
      </c>
      <c r="Y166" s="42" t="str">
        <f t="shared" si="62"/>
        <v/>
      </c>
      <c r="Z166" s="90"/>
      <c r="AA166" s="42" t="str">
        <f t="shared" si="63"/>
        <v/>
      </c>
      <c r="AB166" s="42" t="str">
        <f t="shared" si="64"/>
        <v/>
      </c>
      <c r="AC166" s="90"/>
      <c r="AD166" s="42" t="str">
        <f t="shared" si="65"/>
        <v/>
      </c>
      <c r="AE166" s="42" t="str">
        <f t="shared" si="66"/>
        <v/>
      </c>
      <c r="AF166" s="90"/>
      <c r="AG166" s="42" t="str">
        <f t="shared" si="67"/>
        <v/>
      </c>
      <c r="AH166" s="42" t="str">
        <f t="shared" si="68"/>
        <v/>
      </c>
      <c r="AI166" s="90"/>
      <c r="AJ166" s="42" t="str">
        <f t="shared" si="69"/>
        <v/>
      </c>
      <c r="AK166" s="42" t="str">
        <f t="shared" si="70"/>
        <v/>
      </c>
      <c r="AL166" s="14" t="str">
        <f t="shared" si="71"/>
        <v/>
      </c>
      <c r="AM166" s="14" t="str">
        <f t="shared" si="72"/>
        <v/>
      </c>
      <c r="AN166" s="14" t="str">
        <f t="shared" si="73"/>
        <v/>
      </c>
      <c r="AO166" s="14" t="str">
        <f>IF(OR($C166="01-09",$D166="Male"),"",INDEX(PMTCT!$AD:$AD,MATCH($E166,PMTCT!$E:$E,0)))</f>
        <v/>
      </c>
      <c r="AP166" s="14" t="str">
        <f>IF(OR($C166="01-09",$D166="Male"),"",INDEX(PMTCT!$AT:$AT,MATCH($E166,PMTCT!$E:$E,0)))</f>
        <v/>
      </c>
      <c r="AQ166" s="14" t="str">
        <f>INDEX(TB!$Q:$Q,MATCH($E166,TB!$E:$E,0))</f>
        <v/>
      </c>
      <c r="AR166" s="14" t="str">
        <f>IF(OR($C166="01-09",$C166="10-14",$D166="Female"),"",INDEX(VMMC!$AB:$AB,MATCH($E166,VMMC!$E:$E,0)))</f>
        <v/>
      </c>
      <c r="AS166" s="14" t="str">
        <f>IF(OR($C166="01-09",$C166="10-14"),"",INDEX(PrEP!$Q:$Q,MATCH($E166,PrEP!$E:$E,0)))</f>
        <v/>
      </c>
      <c r="AT166" s="14" t="str">
        <f t="shared" si="74"/>
        <v/>
      </c>
      <c r="AU166" s="14" t="str">
        <f t="shared" si="75"/>
        <v/>
      </c>
      <c r="AV166" s="90" t="str">
        <f t="shared" si="76"/>
        <v/>
      </c>
      <c r="AW166" s="14"/>
      <c r="AX166" s="90" t="str">
        <f t="shared" si="77"/>
        <v/>
      </c>
      <c r="AY166" s="42" t="str">
        <f t="shared" si="78"/>
        <v/>
      </c>
      <c r="AZ166" s="90">
        <f t="shared" si="79"/>
        <v>1</v>
      </c>
      <c r="BA166" s="42" t="str">
        <f t="shared" si="80"/>
        <v/>
      </c>
    </row>
    <row r="167" spans="1:53" x14ac:dyDescent="0.2">
      <c r="A167" t="str">
        <f>INDEX(Prioritization!$D:$D,MATCH($B167,Prioritization!$A:$A,0))</f>
        <v>INVALID</v>
      </c>
      <c r="B167" t="s">
        <v>205</v>
      </c>
      <c r="C167" t="s">
        <v>366</v>
      </c>
      <c r="D167" t="s">
        <v>29</v>
      </c>
      <c r="E167" t="str">
        <f t="shared" si="54"/>
        <v>Likoma District [ZCjuwgaMB9u]|35-49|Female</v>
      </c>
      <c r="F167" s="90">
        <f>IF(LEFT($B167,4)="_Mil","",INDEX(Cascade!$AA:$AA,MATCH($E167,Cascade!$E:$E,0)))</f>
        <v>727</v>
      </c>
      <c r="G167" s="14">
        <f>INDEX(Cascade!$BH:$BH,MATCH($E167,Cascade!$E:$E,0))</f>
        <v>0</v>
      </c>
      <c r="H167" s="14" t="str">
        <f>IF(OR($C167="01-09",$D167="Male"),"",INDEX(PMTCT!$AC:$AC,MATCH($E167,PMTCT!$E:$E,0)))</f>
        <v/>
      </c>
      <c r="I167" s="14" t="str">
        <f>IF(OR($C167="01-09",$D167="Male"),"",INDEX(PMTCT!$AS:$AS,MATCH($E167,PMTCT!$E:$E,0)))</f>
        <v/>
      </c>
      <c r="J167" s="14" t="str">
        <f>INDEX(TB!$P:$P,MATCH($E167,TB!$E:$E,0))</f>
        <v/>
      </c>
      <c r="K167" s="14" t="str">
        <f>IF(OR($C167="01-09",$C167="10-14",$D167="Female"),"",INDEX(VMMC!$AA:$AA,MATCH($E167,VMMC!$E:$E,0)))</f>
        <v/>
      </c>
      <c r="L167" s="14">
        <f t="shared" si="55"/>
        <v>0</v>
      </c>
      <c r="M167" s="90" t="str">
        <f t="shared" si="56"/>
        <v/>
      </c>
      <c r="N167" s="90" t="str">
        <f t="shared" si="57"/>
        <v/>
      </c>
      <c r="O167" s="90" t="str">
        <f t="shared" si="58"/>
        <v/>
      </c>
      <c r="P167" s="90" t="str">
        <f t="shared" si="59"/>
        <v/>
      </c>
      <c r="Q167" s="90"/>
      <c r="R167" s="90"/>
      <c r="S167" s="90"/>
      <c r="T167" s="90"/>
      <c r="U167" s="90"/>
      <c r="V167" s="90" t="str">
        <f t="shared" si="60"/>
        <v/>
      </c>
      <c r="W167" s="90"/>
      <c r="X167" s="42" t="str">
        <f t="shared" si="61"/>
        <v/>
      </c>
      <c r="Y167" s="42" t="str">
        <f t="shared" si="62"/>
        <v/>
      </c>
      <c r="Z167" s="90"/>
      <c r="AA167" s="42" t="str">
        <f t="shared" si="63"/>
        <v/>
      </c>
      <c r="AB167" s="42" t="str">
        <f t="shared" si="64"/>
        <v/>
      </c>
      <c r="AC167" s="90"/>
      <c r="AD167" s="42" t="str">
        <f t="shared" si="65"/>
        <v/>
      </c>
      <c r="AE167" s="42" t="str">
        <f t="shared" si="66"/>
        <v/>
      </c>
      <c r="AF167" s="90"/>
      <c r="AG167" s="42" t="str">
        <f t="shared" si="67"/>
        <v/>
      </c>
      <c r="AH167" s="42" t="str">
        <f t="shared" si="68"/>
        <v/>
      </c>
      <c r="AI167" s="90"/>
      <c r="AJ167" s="42" t="str">
        <f t="shared" si="69"/>
        <v/>
      </c>
      <c r="AK167" s="42" t="str">
        <f t="shared" si="70"/>
        <v/>
      </c>
      <c r="AL167" s="14" t="str">
        <f t="shared" si="71"/>
        <v/>
      </c>
      <c r="AM167" s="14" t="str">
        <f t="shared" si="72"/>
        <v/>
      </c>
      <c r="AN167" s="14" t="str">
        <f t="shared" si="73"/>
        <v/>
      </c>
      <c r="AO167" s="14" t="str">
        <f>IF(OR($C167="01-09",$D167="Male"),"",INDEX(PMTCT!$AD:$AD,MATCH($E167,PMTCT!$E:$E,0)))</f>
        <v/>
      </c>
      <c r="AP167" s="14" t="str">
        <f>IF(OR($C167="01-09",$D167="Male"),"",INDEX(PMTCT!$AT:$AT,MATCH($E167,PMTCT!$E:$E,0)))</f>
        <v/>
      </c>
      <c r="AQ167" s="14" t="str">
        <f>INDEX(TB!$Q:$Q,MATCH($E167,TB!$E:$E,0))</f>
        <v/>
      </c>
      <c r="AR167" s="14" t="str">
        <f>IF(OR($C167="01-09",$C167="10-14",$D167="Female"),"",INDEX(VMMC!$AB:$AB,MATCH($E167,VMMC!$E:$E,0)))</f>
        <v/>
      </c>
      <c r="AS167" s="14" t="str">
        <f>IF(OR($C167="01-09",$C167="10-14"),"",INDEX(PrEP!$Q:$Q,MATCH($E167,PrEP!$E:$E,0)))</f>
        <v/>
      </c>
      <c r="AT167" s="14" t="str">
        <f t="shared" si="74"/>
        <v/>
      </c>
      <c r="AU167" s="14" t="str">
        <f t="shared" si="75"/>
        <v/>
      </c>
      <c r="AV167" s="90" t="str">
        <f t="shared" si="76"/>
        <v/>
      </c>
      <c r="AW167" s="14"/>
      <c r="AX167" s="90" t="str">
        <f t="shared" si="77"/>
        <v/>
      </c>
      <c r="AY167" s="42" t="str">
        <f t="shared" si="78"/>
        <v/>
      </c>
      <c r="AZ167" s="90">
        <f t="shared" si="79"/>
        <v>1</v>
      </c>
      <c r="BA167" s="42" t="str">
        <f t="shared" si="80"/>
        <v/>
      </c>
    </row>
    <row r="168" spans="1:53" x14ac:dyDescent="0.2">
      <c r="A168" t="str">
        <f>INDEX(Prioritization!$D:$D,MATCH($B168,Prioritization!$A:$A,0))</f>
        <v>INVALID</v>
      </c>
      <c r="B168" t="s">
        <v>205</v>
      </c>
      <c r="C168" t="s">
        <v>366</v>
      </c>
      <c r="D168" t="s">
        <v>47</v>
      </c>
      <c r="E168" t="str">
        <f t="shared" si="54"/>
        <v>Likoma District [ZCjuwgaMB9u]|35-49|Male</v>
      </c>
      <c r="F168" s="90">
        <f>IF(LEFT($B168,4)="_Mil","",INDEX(Cascade!$AA:$AA,MATCH($E168,Cascade!$E:$E,0)))</f>
        <v>1913</v>
      </c>
      <c r="G168" s="14">
        <f>INDEX(Cascade!$BH:$BH,MATCH($E168,Cascade!$E:$E,0))</f>
        <v>0</v>
      </c>
      <c r="H168" s="14" t="str">
        <f>IF(OR($C168="01-09",$D168="Male"),"",INDEX(PMTCT!$AC:$AC,MATCH($E168,PMTCT!$E:$E,0)))</f>
        <v/>
      </c>
      <c r="I168" s="14" t="str">
        <f>IF(OR($C168="01-09",$D168="Male"),"",INDEX(PMTCT!$AS:$AS,MATCH($E168,PMTCT!$E:$E,0)))</f>
        <v/>
      </c>
      <c r="J168" s="14" t="str">
        <f>INDEX(TB!$P:$P,MATCH($E168,TB!$E:$E,0))</f>
        <v/>
      </c>
      <c r="K168" s="14" t="str">
        <f>IF(OR($C168="01-09",$C168="10-14",$D168="Female"),"",INDEX(VMMC!$AA:$AA,MATCH($E168,VMMC!$E:$E,0)))</f>
        <v/>
      </c>
      <c r="L168" s="14">
        <f t="shared" si="55"/>
        <v>0</v>
      </c>
      <c r="M168" s="90" t="str">
        <f t="shared" si="56"/>
        <v/>
      </c>
      <c r="N168" s="90" t="str">
        <f t="shared" si="57"/>
        <v/>
      </c>
      <c r="O168" s="90" t="str">
        <f t="shared" si="58"/>
        <v/>
      </c>
      <c r="P168" s="90" t="str">
        <f t="shared" si="59"/>
        <v/>
      </c>
      <c r="Q168" s="90"/>
      <c r="R168" s="90"/>
      <c r="S168" s="90"/>
      <c r="T168" s="90"/>
      <c r="U168" s="90"/>
      <c r="V168" s="90" t="str">
        <f t="shared" si="60"/>
        <v/>
      </c>
      <c r="W168" s="90"/>
      <c r="X168" s="42" t="str">
        <f t="shared" si="61"/>
        <v/>
      </c>
      <c r="Y168" s="42" t="str">
        <f t="shared" si="62"/>
        <v/>
      </c>
      <c r="Z168" s="90"/>
      <c r="AA168" s="42" t="str">
        <f t="shared" si="63"/>
        <v/>
      </c>
      <c r="AB168" s="42" t="str">
        <f t="shared" si="64"/>
        <v/>
      </c>
      <c r="AC168" s="90"/>
      <c r="AD168" s="42" t="str">
        <f t="shared" si="65"/>
        <v/>
      </c>
      <c r="AE168" s="42" t="str">
        <f t="shared" si="66"/>
        <v/>
      </c>
      <c r="AF168" s="90"/>
      <c r="AG168" s="42" t="str">
        <f t="shared" si="67"/>
        <v/>
      </c>
      <c r="AH168" s="42" t="str">
        <f t="shared" si="68"/>
        <v/>
      </c>
      <c r="AI168" s="90"/>
      <c r="AJ168" s="42" t="str">
        <f t="shared" si="69"/>
        <v/>
      </c>
      <c r="AK168" s="42" t="str">
        <f t="shared" si="70"/>
        <v/>
      </c>
      <c r="AL168" s="14" t="str">
        <f t="shared" si="71"/>
        <v/>
      </c>
      <c r="AM168" s="14" t="str">
        <f t="shared" si="72"/>
        <v/>
      </c>
      <c r="AN168" s="14" t="str">
        <f t="shared" si="73"/>
        <v/>
      </c>
      <c r="AO168" s="14" t="str">
        <f>IF(OR($C168="01-09",$D168="Male"),"",INDEX(PMTCT!$AD:$AD,MATCH($E168,PMTCT!$E:$E,0)))</f>
        <v/>
      </c>
      <c r="AP168" s="14" t="str">
        <f>IF(OR($C168="01-09",$D168="Male"),"",INDEX(PMTCT!$AT:$AT,MATCH($E168,PMTCT!$E:$E,0)))</f>
        <v/>
      </c>
      <c r="AQ168" s="14" t="str">
        <f>INDEX(TB!$Q:$Q,MATCH($E168,TB!$E:$E,0))</f>
        <v/>
      </c>
      <c r="AR168" s="14" t="str">
        <f>IF(OR($C168="01-09",$C168="10-14",$D168="Female"),"",INDEX(VMMC!$AB:$AB,MATCH($E168,VMMC!$E:$E,0)))</f>
        <v/>
      </c>
      <c r="AS168" s="14" t="str">
        <f>IF(OR($C168="01-09",$C168="10-14"),"",INDEX(PrEP!$Q:$Q,MATCH($E168,PrEP!$E:$E,0)))</f>
        <v/>
      </c>
      <c r="AT168" s="14" t="str">
        <f t="shared" si="74"/>
        <v/>
      </c>
      <c r="AU168" s="14" t="str">
        <f t="shared" si="75"/>
        <v/>
      </c>
      <c r="AV168" s="90" t="str">
        <f t="shared" si="76"/>
        <v/>
      </c>
      <c r="AW168" s="14"/>
      <c r="AX168" s="90" t="str">
        <f t="shared" si="77"/>
        <v/>
      </c>
      <c r="AY168" s="42" t="str">
        <f t="shared" si="78"/>
        <v/>
      </c>
      <c r="AZ168" s="90">
        <f t="shared" si="79"/>
        <v>1</v>
      </c>
      <c r="BA168" s="42" t="str">
        <f t="shared" si="80"/>
        <v/>
      </c>
    </row>
    <row r="169" spans="1:53" x14ac:dyDescent="0.2">
      <c r="A169" t="str">
        <f>INDEX(Prioritization!$D:$D,MATCH($B169,Prioritization!$A:$A,0))</f>
        <v>INVALID</v>
      </c>
      <c r="B169" t="s">
        <v>205</v>
      </c>
      <c r="C169" t="s">
        <v>367</v>
      </c>
      <c r="D169" t="s">
        <v>29</v>
      </c>
      <c r="E169" t="str">
        <f t="shared" si="54"/>
        <v>Likoma District [ZCjuwgaMB9u]|50+|Female</v>
      </c>
      <c r="F169" s="90">
        <f>IF(LEFT($B169,4)="_Mil","",INDEX(Cascade!$AA:$AA,MATCH($E169,Cascade!$E:$E,0)))</f>
        <v>1261</v>
      </c>
      <c r="G169" s="14">
        <f>INDEX(Cascade!$BH:$BH,MATCH($E169,Cascade!$E:$E,0))</f>
        <v>0</v>
      </c>
      <c r="H169" s="14" t="str">
        <f>IF(OR($C169="01-09",$D169="Male"),"",INDEX(PMTCT!$AC:$AC,MATCH($E169,PMTCT!$E:$E,0)))</f>
        <v/>
      </c>
      <c r="I169" s="14" t="str">
        <f>IF(OR($C169="01-09",$D169="Male"),"",INDEX(PMTCT!$AS:$AS,MATCH($E169,PMTCT!$E:$E,0)))</f>
        <v/>
      </c>
      <c r="J169" s="14" t="str">
        <f>INDEX(TB!$P:$P,MATCH($E169,TB!$E:$E,0))</f>
        <v/>
      </c>
      <c r="K169" s="14" t="str">
        <f>IF(OR($C169="01-09",$C169="10-14",$D169="Female"),"",INDEX(VMMC!$AA:$AA,MATCH($E169,VMMC!$E:$E,0)))</f>
        <v/>
      </c>
      <c r="L169" s="14">
        <f t="shared" si="55"/>
        <v>0</v>
      </c>
      <c r="M169" s="90" t="str">
        <f t="shared" si="56"/>
        <v/>
      </c>
      <c r="N169" s="90" t="str">
        <f t="shared" si="57"/>
        <v/>
      </c>
      <c r="O169" s="90" t="str">
        <f t="shared" si="58"/>
        <v/>
      </c>
      <c r="P169" s="90" t="str">
        <f t="shared" si="59"/>
        <v/>
      </c>
      <c r="Q169" s="90"/>
      <c r="R169" s="90"/>
      <c r="S169" s="90"/>
      <c r="T169" s="90"/>
      <c r="U169" s="90">
        <v>0.21756890369579199</v>
      </c>
      <c r="V169" s="90" t="str">
        <f t="shared" si="60"/>
        <v/>
      </c>
      <c r="W169" s="90"/>
      <c r="X169" s="42" t="str">
        <f t="shared" si="61"/>
        <v/>
      </c>
      <c r="Y169" s="42" t="str">
        <f t="shared" si="62"/>
        <v/>
      </c>
      <c r="Z169" s="90"/>
      <c r="AA169" s="42" t="str">
        <f t="shared" si="63"/>
        <v/>
      </c>
      <c r="AB169" s="42" t="str">
        <f t="shared" si="64"/>
        <v/>
      </c>
      <c r="AC169" s="90"/>
      <c r="AD169" s="42" t="str">
        <f t="shared" si="65"/>
        <v/>
      </c>
      <c r="AE169" s="42" t="str">
        <f t="shared" si="66"/>
        <v/>
      </c>
      <c r="AF169" s="90"/>
      <c r="AG169" s="42" t="str">
        <f t="shared" si="67"/>
        <v/>
      </c>
      <c r="AH169" s="42" t="str">
        <f t="shared" si="68"/>
        <v/>
      </c>
      <c r="AI169" s="90"/>
      <c r="AJ169" s="42" t="str">
        <f t="shared" si="69"/>
        <v/>
      </c>
      <c r="AK169" s="42" t="str">
        <f t="shared" si="70"/>
        <v/>
      </c>
      <c r="AL169" s="14" t="str">
        <f t="shared" si="71"/>
        <v/>
      </c>
      <c r="AM169" s="14" t="str">
        <f t="shared" si="72"/>
        <v/>
      </c>
      <c r="AN169" s="14" t="str">
        <f t="shared" si="73"/>
        <v/>
      </c>
      <c r="AO169" s="14" t="str">
        <f>IF(OR($C169="01-09",$D169="Male"),"",INDEX(PMTCT!$AD:$AD,MATCH($E169,PMTCT!$E:$E,0)))</f>
        <v/>
      </c>
      <c r="AP169" s="14" t="str">
        <f>IF(OR($C169="01-09",$D169="Male"),"",INDEX(PMTCT!$AT:$AT,MATCH($E169,PMTCT!$E:$E,0)))</f>
        <v/>
      </c>
      <c r="AQ169" s="14" t="str">
        <f>INDEX(TB!$Q:$Q,MATCH($E169,TB!$E:$E,0))</f>
        <v/>
      </c>
      <c r="AR169" s="14" t="str">
        <f>IF(OR($C169="01-09",$C169="10-14",$D169="Female"),"",INDEX(VMMC!$AB:$AB,MATCH($E169,VMMC!$E:$E,0)))</f>
        <v/>
      </c>
      <c r="AS169" s="14" t="str">
        <f>IF(OR($C169="01-09",$C169="10-14"),"",INDEX(PrEP!$Q:$Q,MATCH($E169,PrEP!$E:$E,0)))</f>
        <v/>
      </c>
      <c r="AT169" s="14" t="str">
        <f t="shared" si="74"/>
        <v/>
      </c>
      <c r="AU169" s="14" t="str">
        <f t="shared" si="75"/>
        <v/>
      </c>
      <c r="AV169" s="90" t="str">
        <f t="shared" si="76"/>
        <v/>
      </c>
      <c r="AW169" s="14">
        <v>1</v>
      </c>
      <c r="AX169" s="90">
        <f t="shared" si="77"/>
        <v>0</v>
      </c>
      <c r="AY169" s="42">
        <f t="shared" si="78"/>
        <v>1</v>
      </c>
      <c r="AZ169" s="90">
        <f t="shared" si="79"/>
        <v>1</v>
      </c>
      <c r="BA169" s="42" t="str">
        <f t="shared" si="80"/>
        <v/>
      </c>
    </row>
    <row r="170" spans="1:53" x14ac:dyDescent="0.2">
      <c r="A170" t="str">
        <f>INDEX(Prioritization!$D:$D,MATCH($B170,Prioritization!$A:$A,0))</f>
        <v>INVALID</v>
      </c>
      <c r="B170" t="s">
        <v>205</v>
      </c>
      <c r="C170" t="s">
        <v>367</v>
      </c>
      <c r="D170" t="s">
        <v>47</v>
      </c>
      <c r="E170" t="str">
        <f t="shared" si="54"/>
        <v>Likoma District [ZCjuwgaMB9u]|50+|Male</v>
      </c>
      <c r="F170" s="90">
        <f>IF(LEFT($B170,4)="_Mil","",INDEX(Cascade!$AA:$AA,MATCH($E170,Cascade!$E:$E,0)))</f>
        <v>1918</v>
      </c>
      <c r="G170" s="14">
        <f>INDEX(Cascade!$BH:$BH,MATCH($E170,Cascade!$E:$E,0))</f>
        <v>0</v>
      </c>
      <c r="H170" s="14" t="str">
        <f>IF(OR($C170="01-09",$D170="Male"),"",INDEX(PMTCT!$AC:$AC,MATCH($E170,PMTCT!$E:$E,0)))</f>
        <v/>
      </c>
      <c r="I170" s="14" t="str">
        <f>IF(OR($C170="01-09",$D170="Male"),"",INDEX(PMTCT!$AS:$AS,MATCH($E170,PMTCT!$E:$E,0)))</f>
        <v/>
      </c>
      <c r="J170" s="14" t="str">
        <f>INDEX(TB!$P:$P,MATCH($E170,TB!$E:$E,0))</f>
        <v/>
      </c>
      <c r="K170" s="14" t="str">
        <f>IF(OR($C170="01-09",$C170="10-14",$D170="Female"),"",INDEX(VMMC!$AA:$AA,MATCH($E170,VMMC!$E:$E,0)))</f>
        <v/>
      </c>
      <c r="L170" s="14">
        <f t="shared" si="55"/>
        <v>0</v>
      </c>
      <c r="M170" s="90" t="str">
        <f t="shared" si="56"/>
        <v/>
      </c>
      <c r="N170" s="90" t="str">
        <f t="shared" si="57"/>
        <v/>
      </c>
      <c r="O170" s="90" t="str">
        <f t="shared" si="58"/>
        <v/>
      </c>
      <c r="P170" s="90" t="str">
        <f t="shared" si="59"/>
        <v/>
      </c>
      <c r="Q170" s="90"/>
      <c r="R170" s="90"/>
      <c r="S170" s="90"/>
      <c r="T170" s="90"/>
      <c r="U170" s="90">
        <v>0.48727638064883599</v>
      </c>
      <c r="V170" s="90" t="str">
        <f t="shared" si="60"/>
        <v/>
      </c>
      <c r="W170" s="90"/>
      <c r="X170" s="42" t="str">
        <f t="shared" si="61"/>
        <v/>
      </c>
      <c r="Y170" s="42" t="str">
        <f t="shared" si="62"/>
        <v/>
      </c>
      <c r="Z170" s="90"/>
      <c r="AA170" s="42" t="str">
        <f t="shared" si="63"/>
        <v/>
      </c>
      <c r="AB170" s="42" t="str">
        <f t="shared" si="64"/>
        <v/>
      </c>
      <c r="AC170" s="90"/>
      <c r="AD170" s="42" t="str">
        <f t="shared" si="65"/>
        <v/>
      </c>
      <c r="AE170" s="42" t="str">
        <f t="shared" si="66"/>
        <v/>
      </c>
      <c r="AF170" s="90"/>
      <c r="AG170" s="42" t="str">
        <f t="shared" si="67"/>
        <v/>
      </c>
      <c r="AH170" s="42" t="str">
        <f t="shared" si="68"/>
        <v/>
      </c>
      <c r="AI170" s="90"/>
      <c r="AJ170" s="42" t="str">
        <f t="shared" si="69"/>
        <v/>
      </c>
      <c r="AK170" s="42" t="str">
        <f t="shared" si="70"/>
        <v/>
      </c>
      <c r="AL170" s="14" t="str">
        <f t="shared" si="71"/>
        <v/>
      </c>
      <c r="AM170" s="14" t="str">
        <f t="shared" si="72"/>
        <v/>
      </c>
      <c r="AN170" s="14" t="str">
        <f t="shared" si="73"/>
        <v/>
      </c>
      <c r="AO170" s="14" t="str">
        <f>IF(OR($C170="01-09",$D170="Male"),"",INDEX(PMTCT!$AD:$AD,MATCH($E170,PMTCT!$E:$E,0)))</f>
        <v/>
      </c>
      <c r="AP170" s="14" t="str">
        <f>IF(OR($C170="01-09",$D170="Male"),"",INDEX(PMTCT!$AT:$AT,MATCH($E170,PMTCT!$E:$E,0)))</f>
        <v/>
      </c>
      <c r="AQ170" s="14" t="str">
        <f>INDEX(TB!$Q:$Q,MATCH($E170,TB!$E:$E,0))</f>
        <v/>
      </c>
      <c r="AR170" s="14" t="str">
        <f>IF(OR($C170="01-09",$C170="10-14",$D170="Female"),"",INDEX(VMMC!$AB:$AB,MATCH($E170,VMMC!$E:$E,0)))</f>
        <v/>
      </c>
      <c r="AS170" s="14" t="str">
        <f>IF(OR($C170="01-09",$C170="10-14"),"",INDEX(PrEP!$Q:$Q,MATCH($E170,PrEP!$E:$E,0)))</f>
        <v/>
      </c>
      <c r="AT170" s="14" t="str">
        <f t="shared" si="74"/>
        <v/>
      </c>
      <c r="AU170" s="14" t="str">
        <f t="shared" si="75"/>
        <v/>
      </c>
      <c r="AV170" s="90" t="str">
        <f t="shared" si="76"/>
        <v/>
      </c>
      <c r="AW170" s="14">
        <v>1</v>
      </c>
      <c r="AX170" s="90">
        <f t="shared" si="77"/>
        <v>0</v>
      </c>
      <c r="AY170" s="42">
        <f t="shared" si="78"/>
        <v>1</v>
      </c>
      <c r="AZ170" s="90">
        <f t="shared" si="79"/>
        <v>1</v>
      </c>
      <c r="BA170" s="42" t="str">
        <f t="shared" si="80"/>
        <v/>
      </c>
    </row>
    <row r="171" spans="1:53" x14ac:dyDescent="0.2">
      <c r="A171" t="str">
        <f>INDEX(Prioritization!$D:$D,MATCH($B171,Prioritization!$A:$A,0))</f>
        <v>1 - Scale-up: Saturation</v>
      </c>
      <c r="B171" t="s">
        <v>206</v>
      </c>
      <c r="C171" t="s">
        <v>362</v>
      </c>
      <c r="D171" t="s">
        <v>29</v>
      </c>
      <c r="E171" t="str">
        <f t="shared" si="54"/>
        <v>Mzimba District [vA4NcHxfMBq]|01-09|Female</v>
      </c>
      <c r="F171" s="90">
        <f>IF(LEFT($B171,4)="_Mil","",INDEX(Cascade!$AA:$AA,MATCH($E171,Cascade!$E:$E,0)))</f>
        <v>1960.9999999999998</v>
      </c>
      <c r="G171" s="14">
        <f>INDEX(Cascade!$BH:$BH,MATCH($E171,Cascade!$E:$E,0))</f>
        <v>0</v>
      </c>
      <c r="H171" s="14" t="str">
        <f>IF(OR($C171="01-09",$D171="Male"),"",INDEX(PMTCT!$AC:$AC,MATCH($E171,PMTCT!$E:$E,0)))</f>
        <v/>
      </c>
      <c r="I171" s="14" t="str">
        <f>IF(OR($C171="01-09",$D171="Male"),"",INDEX(PMTCT!$AS:$AS,MATCH($E171,PMTCT!$E:$E,0)))</f>
        <v/>
      </c>
      <c r="J171" s="14" t="str">
        <f>INDEX(TB!$P:$P,MATCH($E171,TB!$E:$E,0))</f>
        <v/>
      </c>
      <c r="K171" s="14" t="str">
        <f>IF(OR($C171="01-09",$C171="10-14",$D171="Female"),"",INDEX(VMMC!$AA:$AA,MATCH($E171,VMMC!$E:$E,0)))</f>
        <v/>
      </c>
      <c r="L171" s="14">
        <f t="shared" si="55"/>
        <v>0</v>
      </c>
      <c r="M171" s="90" t="str">
        <f t="shared" si="56"/>
        <v/>
      </c>
      <c r="N171" s="90" t="str">
        <f t="shared" si="57"/>
        <v/>
      </c>
      <c r="O171" s="90" t="str">
        <f t="shared" si="58"/>
        <v/>
      </c>
      <c r="P171" s="90" t="str">
        <f t="shared" si="59"/>
        <v/>
      </c>
      <c r="Q171" s="90"/>
      <c r="R171" s="90"/>
      <c r="S171" s="90"/>
      <c r="T171" s="90"/>
      <c r="U171" s="90"/>
      <c r="V171" s="90" t="str">
        <f t="shared" si="60"/>
        <v/>
      </c>
      <c r="W171" s="90"/>
      <c r="X171" s="42" t="str">
        <f t="shared" si="61"/>
        <v/>
      </c>
      <c r="Y171" s="42" t="str">
        <f t="shared" si="62"/>
        <v/>
      </c>
      <c r="Z171" s="90"/>
      <c r="AA171" s="42" t="str">
        <f t="shared" si="63"/>
        <v/>
      </c>
      <c r="AB171" s="42" t="str">
        <f t="shared" si="64"/>
        <v/>
      </c>
      <c r="AC171" s="90"/>
      <c r="AD171" s="42" t="str">
        <f t="shared" si="65"/>
        <v/>
      </c>
      <c r="AE171" s="42" t="str">
        <f t="shared" si="66"/>
        <v/>
      </c>
      <c r="AF171" s="90"/>
      <c r="AG171" s="42" t="str">
        <f t="shared" si="67"/>
        <v/>
      </c>
      <c r="AH171" s="42" t="str">
        <f t="shared" si="68"/>
        <v/>
      </c>
      <c r="AI171" s="90"/>
      <c r="AJ171" s="42" t="str">
        <f t="shared" si="69"/>
        <v/>
      </c>
      <c r="AK171" s="42" t="str">
        <f t="shared" si="70"/>
        <v/>
      </c>
      <c r="AL171" s="14" t="str">
        <f t="shared" si="71"/>
        <v/>
      </c>
      <c r="AM171" s="14" t="str">
        <f t="shared" si="72"/>
        <v/>
      </c>
      <c r="AN171" s="14" t="str">
        <f t="shared" si="73"/>
        <v/>
      </c>
      <c r="AO171" s="14" t="str">
        <f>IF(OR($C171="01-09",$D171="Male"),"",INDEX(PMTCT!$AD:$AD,MATCH($E171,PMTCT!$E:$E,0)))</f>
        <v/>
      </c>
      <c r="AP171" s="14" t="str">
        <f>IF(OR($C171="01-09",$D171="Male"),"",INDEX(PMTCT!$AT:$AT,MATCH($E171,PMTCT!$E:$E,0)))</f>
        <v/>
      </c>
      <c r="AQ171" s="14" t="str">
        <f>INDEX(TB!$Q:$Q,MATCH($E171,TB!$E:$E,0))</f>
        <v/>
      </c>
      <c r="AR171" s="14" t="str">
        <f>IF(OR($C171="01-09",$C171="10-14",$D171="Female"),"",INDEX(VMMC!$AB:$AB,MATCH($E171,VMMC!$E:$E,0)))</f>
        <v/>
      </c>
      <c r="AS171" s="14" t="str">
        <f>IF(OR($C171="01-09",$C171="10-14"),"",INDEX(PrEP!$Q:$Q,MATCH($E171,PrEP!$E:$E,0)))</f>
        <v/>
      </c>
      <c r="AT171" s="14" t="str">
        <f t="shared" si="74"/>
        <v/>
      </c>
      <c r="AU171" s="14" t="str">
        <f t="shared" si="75"/>
        <v/>
      </c>
      <c r="AV171" s="90" t="str">
        <f t="shared" si="76"/>
        <v/>
      </c>
      <c r="AW171" s="14"/>
      <c r="AX171" s="90" t="str">
        <f t="shared" si="77"/>
        <v/>
      </c>
      <c r="AY171" s="42" t="str">
        <f t="shared" si="78"/>
        <v/>
      </c>
      <c r="AZ171" s="90" t="str">
        <f t="shared" si="79"/>
        <v/>
      </c>
      <c r="BA171" s="42" t="str">
        <f t="shared" si="80"/>
        <v/>
      </c>
    </row>
    <row r="172" spans="1:53" x14ac:dyDescent="0.2">
      <c r="A172" t="str">
        <f>INDEX(Prioritization!$D:$D,MATCH($B172,Prioritization!$A:$A,0))</f>
        <v>1 - Scale-up: Saturation</v>
      </c>
      <c r="B172" t="s">
        <v>206</v>
      </c>
      <c r="C172" t="s">
        <v>362</v>
      </c>
      <c r="D172" t="s">
        <v>47</v>
      </c>
      <c r="E172" t="str">
        <f t="shared" si="54"/>
        <v>Mzimba District [vA4NcHxfMBq]|01-09|Male</v>
      </c>
      <c r="F172" s="90">
        <f>IF(LEFT($B172,4)="_Mil","",INDEX(Cascade!$AA:$AA,MATCH($E172,Cascade!$E:$E,0)))</f>
        <v>996.00000000000011</v>
      </c>
      <c r="G172" s="14">
        <f>INDEX(Cascade!$BH:$BH,MATCH($E172,Cascade!$E:$E,0))</f>
        <v>0</v>
      </c>
      <c r="H172" s="14" t="str">
        <f>IF(OR($C172="01-09",$D172="Male"),"",INDEX(PMTCT!$AC:$AC,MATCH($E172,PMTCT!$E:$E,0)))</f>
        <v/>
      </c>
      <c r="I172" s="14" t="str">
        <f>IF(OR($C172="01-09",$D172="Male"),"",INDEX(PMTCT!$AS:$AS,MATCH($E172,PMTCT!$E:$E,0)))</f>
        <v/>
      </c>
      <c r="J172" s="14" t="str">
        <f>INDEX(TB!$P:$P,MATCH($E172,TB!$E:$E,0))</f>
        <v/>
      </c>
      <c r="K172" s="14" t="str">
        <f>IF(OR($C172="01-09",$C172="10-14",$D172="Female"),"",INDEX(VMMC!$AA:$AA,MATCH($E172,VMMC!$E:$E,0)))</f>
        <v/>
      </c>
      <c r="L172" s="14">
        <f t="shared" si="55"/>
        <v>0</v>
      </c>
      <c r="M172" s="90" t="str">
        <f t="shared" si="56"/>
        <v/>
      </c>
      <c r="N172" s="90" t="str">
        <f t="shared" si="57"/>
        <v/>
      </c>
      <c r="O172" s="90" t="str">
        <f t="shared" si="58"/>
        <v/>
      </c>
      <c r="P172" s="90" t="str">
        <f t="shared" si="59"/>
        <v/>
      </c>
      <c r="Q172" s="90"/>
      <c r="R172" s="90"/>
      <c r="S172" s="90"/>
      <c r="T172" s="90"/>
      <c r="U172" s="90"/>
      <c r="V172" s="90" t="str">
        <f t="shared" si="60"/>
        <v/>
      </c>
      <c r="W172" s="90"/>
      <c r="X172" s="42" t="str">
        <f t="shared" si="61"/>
        <v/>
      </c>
      <c r="Y172" s="42" t="str">
        <f t="shared" si="62"/>
        <v/>
      </c>
      <c r="Z172" s="90"/>
      <c r="AA172" s="42" t="str">
        <f t="shared" si="63"/>
        <v/>
      </c>
      <c r="AB172" s="42" t="str">
        <f t="shared" si="64"/>
        <v/>
      </c>
      <c r="AC172" s="90"/>
      <c r="AD172" s="42" t="str">
        <f t="shared" si="65"/>
        <v/>
      </c>
      <c r="AE172" s="42" t="str">
        <f t="shared" si="66"/>
        <v/>
      </c>
      <c r="AF172" s="90"/>
      <c r="AG172" s="42" t="str">
        <f t="shared" si="67"/>
        <v/>
      </c>
      <c r="AH172" s="42" t="str">
        <f t="shared" si="68"/>
        <v/>
      </c>
      <c r="AI172" s="90"/>
      <c r="AJ172" s="42" t="str">
        <f t="shared" si="69"/>
        <v/>
      </c>
      <c r="AK172" s="42" t="str">
        <f t="shared" si="70"/>
        <v/>
      </c>
      <c r="AL172" s="14" t="str">
        <f t="shared" si="71"/>
        <v/>
      </c>
      <c r="AM172" s="14" t="str">
        <f t="shared" si="72"/>
        <v/>
      </c>
      <c r="AN172" s="14" t="str">
        <f t="shared" si="73"/>
        <v/>
      </c>
      <c r="AO172" s="14" t="str">
        <f>IF(OR($C172="01-09",$D172="Male"),"",INDEX(PMTCT!$AD:$AD,MATCH($E172,PMTCT!$E:$E,0)))</f>
        <v/>
      </c>
      <c r="AP172" s="14" t="str">
        <f>IF(OR($C172="01-09",$D172="Male"),"",INDEX(PMTCT!$AT:$AT,MATCH($E172,PMTCT!$E:$E,0)))</f>
        <v/>
      </c>
      <c r="AQ172" s="14" t="str">
        <f>INDEX(TB!$Q:$Q,MATCH($E172,TB!$E:$E,0))</f>
        <v/>
      </c>
      <c r="AR172" s="14" t="str">
        <f>IF(OR($C172="01-09",$C172="10-14",$D172="Female"),"",INDEX(VMMC!$AB:$AB,MATCH($E172,VMMC!$E:$E,0)))</f>
        <v/>
      </c>
      <c r="AS172" s="14" t="str">
        <f>IF(OR($C172="01-09",$C172="10-14"),"",INDEX(PrEP!$Q:$Q,MATCH($E172,PrEP!$E:$E,0)))</f>
        <v/>
      </c>
      <c r="AT172" s="14" t="str">
        <f t="shared" si="74"/>
        <v/>
      </c>
      <c r="AU172" s="14" t="str">
        <f t="shared" si="75"/>
        <v/>
      </c>
      <c r="AV172" s="90" t="str">
        <f t="shared" si="76"/>
        <v/>
      </c>
      <c r="AW172" s="14"/>
      <c r="AX172" s="90" t="str">
        <f t="shared" si="77"/>
        <v/>
      </c>
      <c r="AY172" s="42" t="str">
        <f t="shared" si="78"/>
        <v/>
      </c>
      <c r="AZ172" s="90" t="str">
        <f t="shared" si="79"/>
        <v/>
      </c>
      <c r="BA172" s="42" t="str">
        <f t="shared" si="80"/>
        <v/>
      </c>
    </row>
    <row r="173" spans="1:53" x14ac:dyDescent="0.2">
      <c r="A173" t="str">
        <f>INDEX(Prioritization!$D:$D,MATCH($B173,Prioritization!$A:$A,0))</f>
        <v>1 - Scale-up: Saturation</v>
      </c>
      <c r="B173" t="s">
        <v>206</v>
      </c>
      <c r="C173" t="s">
        <v>363</v>
      </c>
      <c r="D173" t="s">
        <v>29</v>
      </c>
      <c r="E173" t="str">
        <f t="shared" si="54"/>
        <v>Mzimba District [vA4NcHxfMBq]|10-14|Female</v>
      </c>
      <c r="F173" s="90">
        <f>IF(LEFT($B173,4)="_Mil","",INDEX(Cascade!$AA:$AA,MATCH($E173,Cascade!$E:$E,0)))</f>
        <v>1946</v>
      </c>
      <c r="G173" s="14">
        <f>INDEX(Cascade!$BH:$BH,MATCH($E173,Cascade!$E:$E,0))</f>
        <v>-98</v>
      </c>
      <c r="H173" s="14" t="str">
        <f>IF(OR($C173="01-09",$D173="Male"),"",INDEX(PMTCT!$AC:$AC,MATCH($E173,PMTCT!$E:$E,0)))</f>
        <v>ENTER YIELD RATE</v>
      </c>
      <c r="I173" s="14" t="str">
        <f>IF(OR($C173="01-09",$D173="Male"),"",INDEX(PMTCT!$AS:$AS,MATCH($E173,PMTCT!$E:$E,0)))</f>
        <v>ENTER YIELD RATE</v>
      </c>
      <c r="J173" s="14" t="str">
        <f>INDEX(TB!$P:$P,MATCH($E173,TB!$E:$E,0))</f>
        <v>ENTER YIELD RATE</v>
      </c>
      <c r="K173" s="14" t="str">
        <f>IF(OR($C173="01-09",$C173="10-14",$D173="Female"),"",INDEX(VMMC!$AA:$AA,MATCH($E173,VMMC!$E:$E,0)))</f>
        <v/>
      </c>
      <c r="L173" s="14">
        <f t="shared" si="55"/>
        <v>-98</v>
      </c>
      <c r="M173" s="90">
        <f t="shared" si="56"/>
        <v>0</v>
      </c>
      <c r="N173" s="90">
        <f t="shared" si="57"/>
        <v>0</v>
      </c>
      <c r="O173" s="90">
        <f t="shared" si="58"/>
        <v>0</v>
      </c>
      <c r="P173" s="90" t="str">
        <f t="shared" si="59"/>
        <v/>
      </c>
      <c r="Q173" s="90">
        <v>0.66288425656966898</v>
      </c>
      <c r="R173" s="90"/>
      <c r="S173" s="90"/>
      <c r="T173" s="90"/>
      <c r="U173" s="90">
        <v>0.79723507794551596</v>
      </c>
      <c r="V173" s="90">
        <f t="shared" si="60"/>
        <v>1.4601193345151851</v>
      </c>
      <c r="W173" s="90"/>
      <c r="X173" s="42">
        <f t="shared" si="61"/>
        <v>-65</v>
      </c>
      <c r="Y173" s="42" t="str">
        <f t="shared" si="62"/>
        <v>ENTER YIELD</v>
      </c>
      <c r="Z173" s="90"/>
      <c r="AA173" s="42" t="str">
        <f t="shared" si="63"/>
        <v/>
      </c>
      <c r="AB173" s="42" t="str">
        <f t="shared" si="64"/>
        <v/>
      </c>
      <c r="AC173" s="90"/>
      <c r="AD173" s="42" t="str">
        <f t="shared" si="65"/>
        <v/>
      </c>
      <c r="AE173" s="42" t="str">
        <f t="shared" si="66"/>
        <v/>
      </c>
      <c r="AF173" s="90"/>
      <c r="AG173" s="42" t="str">
        <f t="shared" si="67"/>
        <v/>
      </c>
      <c r="AH173" s="42" t="str">
        <f t="shared" si="68"/>
        <v/>
      </c>
      <c r="AI173" s="90"/>
      <c r="AJ173" s="42">
        <f t="shared" si="69"/>
        <v>-78</v>
      </c>
      <c r="AK173" s="42" t="str">
        <f t="shared" si="70"/>
        <v>ENTER YIELD</v>
      </c>
      <c r="AL173" s="14">
        <f t="shared" si="71"/>
        <v>-98</v>
      </c>
      <c r="AM173" s="14">
        <f t="shared" si="72"/>
        <v>-143</v>
      </c>
      <c r="AN173" s="14">
        <f t="shared" si="73"/>
        <v>-45</v>
      </c>
      <c r="AO173" s="14">
        <f>IF(OR($C173="01-09",$D173="Male"),"",INDEX(PMTCT!$AD:$AD,MATCH($E173,PMTCT!$E:$E,0)))</f>
        <v>7</v>
      </c>
      <c r="AP173" s="14">
        <f>IF(OR($C173="01-09",$D173="Male"),"",INDEX(PMTCT!$AT:$AT,MATCH($E173,PMTCT!$E:$E,0)))</f>
        <v>7</v>
      </c>
      <c r="AQ173" s="14">
        <f>INDEX(TB!$Q:$Q,MATCH($E173,TB!$E:$E,0))</f>
        <v>5</v>
      </c>
      <c r="AR173" s="14" t="str">
        <f>IF(OR($C173="01-09",$C173="10-14",$D173="Female"),"",INDEX(VMMC!$AB:$AB,MATCH($E173,VMMC!$E:$E,0)))</f>
        <v/>
      </c>
      <c r="AS173" s="14" t="str">
        <f>IF(OR($C173="01-09",$C173="10-14"),"",INDEX(PrEP!$Q:$Q,MATCH($E173,PrEP!$E:$E,0)))</f>
        <v/>
      </c>
      <c r="AT173" s="14">
        <f t="shared" si="74"/>
        <v>19</v>
      </c>
      <c r="AU173" s="14">
        <f t="shared" si="75"/>
        <v>-124</v>
      </c>
      <c r="AV173" s="90">
        <f t="shared" si="76"/>
        <v>1.153225806451613</v>
      </c>
      <c r="AW173" s="14"/>
      <c r="AX173" s="90" t="str">
        <f t="shared" si="77"/>
        <v/>
      </c>
      <c r="AY173" s="42" t="str">
        <f t="shared" si="78"/>
        <v/>
      </c>
      <c r="AZ173" s="90" t="str">
        <f t="shared" si="79"/>
        <v/>
      </c>
      <c r="BA173" s="42" t="str">
        <f t="shared" si="80"/>
        <v/>
      </c>
    </row>
    <row r="174" spans="1:53" x14ac:dyDescent="0.2">
      <c r="A174" t="str">
        <f>INDEX(Prioritization!$D:$D,MATCH($B174,Prioritization!$A:$A,0))</f>
        <v>1 - Scale-up: Saturation</v>
      </c>
      <c r="B174" t="s">
        <v>206</v>
      </c>
      <c r="C174" t="s">
        <v>363</v>
      </c>
      <c r="D174" t="s">
        <v>47</v>
      </c>
      <c r="E174" t="str">
        <f t="shared" si="54"/>
        <v>Mzimba District [vA4NcHxfMBq]|10-14|Male</v>
      </c>
      <c r="F174" s="90">
        <f>IF(LEFT($B174,4)="_Mil","",INDEX(Cascade!$AA:$AA,MATCH($E174,Cascade!$E:$E,0)))</f>
        <v>802</v>
      </c>
      <c r="G174" s="14">
        <f>INDEX(Cascade!$BH:$BH,MATCH($E174,Cascade!$E:$E,0))</f>
        <v>-99</v>
      </c>
      <c r="H174" s="14" t="str">
        <f>IF(OR($C174="01-09",$D174="Male"),"",INDEX(PMTCT!$AC:$AC,MATCH($E174,PMTCT!$E:$E,0)))</f>
        <v/>
      </c>
      <c r="I174" s="14" t="str">
        <f>IF(OR($C174="01-09",$D174="Male"),"",INDEX(PMTCT!$AS:$AS,MATCH($E174,PMTCT!$E:$E,0)))</f>
        <v/>
      </c>
      <c r="J174" s="14" t="str">
        <f>INDEX(TB!$P:$P,MATCH($E174,TB!$E:$E,0))</f>
        <v>ENTER YIELD RATE</v>
      </c>
      <c r="K174" s="14" t="str">
        <f>IF(OR($C174="01-09",$C174="10-14",$D174="Female"),"",INDEX(VMMC!$AA:$AA,MATCH($E174,VMMC!$E:$E,0)))</f>
        <v/>
      </c>
      <c r="L174" s="14">
        <f t="shared" si="55"/>
        <v>-99</v>
      </c>
      <c r="M174" s="90" t="str">
        <f t="shared" si="56"/>
        <v/>
      </c>
      <c r="N174" s="90" t="str">
        <f t="shared" si="57"/>
        <v/>
      </c>
      <c r="O174" s="90">
        <f t="shared" si="58"/>
        <v>0</v>
      </c>
      <c r="P174" s="90" t="str">
        <f t="shared" si="59"/>
        <v/>
      </c>
      <c r="Q174" s="90">
        <v>0.76103248260915302</v>
      </c>
      <c r="R174" s="90"/>
      <c r="S174" s="90"/>
      <c r="T174" s="90"/>
      <c r="U174" s="90">
        <v>0.83627464552409903</v>
      </c>
      <c r="V174" s="90">
        <f t="shared" si="60"/>
        <v>1.597307128133252</v>
      </c>
      <c r="W174" s="90"/>
      <c r="X174" s="42">
        <f t="shared" si="61"/>
        <v>-75</v>
      </c>
      <c r="Y174" s="42" t="str">
        <f t="shared" si="62"/>
        <v>ENTER YIELD</v>
      </c>
      <c r="Z174" s="90"/>
      <c r="AA174" s="42" t="str">
        <f t="shared" si="63"/>
        <v/>
      </c>
      <c r="AB174" s="42" t="str">
        <f t="shared" si="64"/>
        <v/>
      </c>
      <c r="AC174" s="90"/>
      <c r="AD174" s="42" t="str">
        <f t="shared" si="65"/>
        <v/>
      </c>
      <c r="AE174" s="42" t="str">
        <f t="shared" si="66"/>
        <v/>
      </c>
      <c r="AF174" s="90"/>
      <c r="AG174" s="42" t="str">
        <f t="shared" si="67"/>
        <v/>
      </c>
      <c r="AH174" s="42" t="str">
        <f t="shared" si="68"/>
        <v/>
      </c>
      <c r="AI174" s="90"/>
      <c r="AJ174" s="42">
        <f t="shared" si="69"/>
        <v>-83</v>
      </c>
      <c r="AK174" s="42" t="str">
        <f t="shared" si="70"/>
        <v>ENTER YIELD</v>
      </c>
      <c r="AL174" s="14">
        <f t="shared" si="71"/>
        <v>-99</v>
      </c>
      <c r="AM174" s="14">
        <f t="shared" si="72"/>
        <v>-158</v>
      </c>
      <c r="AN174" s="14">
        <f t="shared" si="73"/>
        <v>-59</v>
      </c>
      <c r="AO174" s="14" t="str">
        <f>IF(OR($C174="01-09",$D174="Male"),"",INDEX(PMTCT!$AD:$AD,MATCH($E174,PMTCT!$E:$E,0)))</f>
        <v/>
      </c>
      <c r="AP174" s="14" t="str">
        <f>IF(OR($C174="01-09",$D174="Male"),"",INDEX(PMTCT!$AT:$AT,MATCH($E174,PMTCT!$E:$E,0)))</f>
        <v/>
      </c>
      <c r="AQ174" s="14">
        <f>INDEX(TB!$Q:$Q,MATCH($E174,TB!$E:$E,0))</f>
        <v>4</v>
      </c>
      <c r="AR174" s="14" t="str">
        <f>IF(OR($C174="01-09",$C174="10-14",$D174="Female"),"",INDEX(VMMC!$AB:$AB,MATCH($E174,VMMC!$E:$E,0)))</f>
        <v/>
      </c>
      <c r="AS174" s="14" t="str">
        <f>IF(OR($C174="01-09",$C174="10-14"),"",INDEX(PrEP!$Q:$Q,MATCH($E174,PrEP!$E:$E,0)))</f>
        <v/>
      </c>
      <c r="AT174" s="14">
        <f t="shared" si="74"/>
        <v>4</v>
      </c>
      <c r="AU174" s="14">
        <f t="shared" si="75"/>
        <v>-154</v>
      </c>
      <c r="AV174" s="90">
        <f t="shared" si="76"/>
        <v>1.025974025974026</v>
      </c>
      <c r="AW174" s="14"/>
      <c r="AX174" s="90" t="str">
        <f t="shared" si="77"/>
        <v/>
      </c>
      <c r="AY174" s="42" t="str">
        <f t="shared" si="78"/>
        <v/>
      </c>
      <c r="AZ174" s="90" t="str">
        <f t="shared" si="79"/>
        <v/>
      </c>
      <c r="BA174" s="42" t="str">
        <f t="shared" si="80"/>
        <v/>
      </c>
    </row>
    <row r="175" spans="1:53" x14ac:dyDescent="0.2">
      <c r="A175" t="str">
        <f>INDEX(Prioritization!$D:$D,MATCH($B175,Prioritization!$A:$A,0))</f>
        <v>1 - Scale-up: Saturation</v>
      </c>
      <c r="B175" t="s">
        <v>206</v>
      </c>
      <c r="C175" t="s">
        <v>364</v>
      </c>
      <c r="D175" t="s">
        <v>29</v>
      </c>
      <c r="E175" t="str">
        <f t="shared" si="54"/>
        <v>Mzimba District [vA4NcHxfMBq]|15-24|Female</v>
      </c>
      <c r="F175" s="90">
        <f>IF(LEFT($B175,4)="_Mil","",INDEX(Cascade!$AA:$AA,MATCH($E175,Cascade!$E:$E,0)))</f>
        <v>765</v>
      </c>
      <c r="G175" s="14">
        <f>INDEX(Cascade!$BH:$BH,MATCH($E175,Cascade!$E:$E,0))</f>
        <v>0</v>
      </c>
      <c r="H175" s="14" t="str">
        <f>IF(OR($C175="01-09",$D175="Male"),"",INDEX(PMTCT!$AC:$AC,MATCH($E175,PMTCT!$E:$E,0)))</f>
        <v/>
      </c>
      <c r="I175" s="14" t="str">
        <f>IF(OR($C175="01-09",$D175="Male"),"",INDEX(PMTCT!$AS:$AS,MATCH($E175,PMTCT!$E:$E,0)))</f>
        <v/>
      </c>
      <c r="J175" s="14" t="str">
        <f>INDEX(TB!$P:$P,MATCH($E175,TB!$E:$E,0))</f>
        <v/>
      </c>
      <c r="K175" s="14" t="str">
        <f>IF(OR($C175="01-09",$C175="10-14",$D175="Female"),"",INDEX(VMMC!$AA:$AA,MATCH($E175,VMMC!$E:$E,0)))</f>
        <v/>
      </c>
      <c r="L175" s="14">
        <f t="shared" si="55"/>
        <v>0</v>
      </c>
      <c r="M175" s="90" t="str">
        <f t="shared" si="56"/>
        <v/>
      </c>
      <c r="N175" s="90" t="str">
        <f t="shared" si="57"/>
        <v/>
      </c>
      <c r="O175" s="90" t="str">
        <f t="shared" si="58"/>
        <v/>
      </c>
      <c r="P175" s="90" t="str">
        <f t="shared" si="59"/>
        <v/>
      </c>
      <c r="Q175" s="90"/>
      <c r="R175" s="90"/>
      <c r="S175" s="90"/>
      <c r="T175" s="90"/>
      <c r="U175" s="90"/>
      <c r="V175" s="90" t="str">
        <f t="shared" si="60"/>
        <v/>
      </c>
      <c r="W175" s="90"/>
      <c r="X175" s="42" t="str">
        <f t="shared" si="61"/>
        <v/>
      </c>
      <c r="Y175" s="42" t="str">
        <f t="shared" si="62"/>
        <v/>
      </c>
      <c r="Z175" s="90"/>
      <c r="AA175" s="42" t="str">
        <f t="shared" si="63"/>
        <v/>
      </c>
      <c r="AB175" s="42" t="str">
        <f t="shared" si="64"/>
        <v/>
      </c>
      <c r="AC175" s="90"/>
      <c r="AD175" s="42" t="str">
        <f t="shared" si="65"/>
        <v/>
      </c>
      <c r="AE175" s="42" t="str">
        <f t="shared" si="66"/>
        <v/>
      </c>
      <c r="AF175" s="90"/>
      <c r="AG175" s="42" t="str">
        <f t="shared" si="67"/>
        <v/>
      </c>
      <c r="AH175" s="42" t="str">
        <f t="shared" si="68"/>
        <v/>
      </c>
      <c r="AI175" s="90"/>
      <c r="AJ175" s="42" t="str">
        <f t="shared" si="69"/>
        <v/>
      </c>
      <c r="AK175" s="42" t="str">
        <f t="shared" si="70"/>
        <v/>
      </c>
      <c r="AL175" s="14" t="str">
        <f t="shared" si="71"/>
        <v/>
      </c>
      <c r="AM175" s="14" t="str">
        <f t="shared" si="72"/>
        <v/>
      </c>
      <c r="AN175" s="14" t="str">
        <f t="shared" si="73"/>
        <v/>
      </c>
      <c r="AO175" s="14" t="str">
        <f>IF(OR($C175="01-09",$D175="Male"),"",INDEX(PMTCT!$AD:$AD,MATCH($E175,PMTCT!$E:$E,0)))</f>
        <v/>
      </c>
      <c r="AP175" s="14" t="str">
        <f>IF(OR($C175="01-09",$D175="Male"),"",INDEX(PMTCT!$AT:$AT,MATCH($E175,PMTCT!$E:$E,0)))</f>
        <v/>
      </c>
      <c r="AQ175" s="14" t="str">
        <f>INDEX(TB!$Q:$Q,MATCH($E175,TB!$E:$E,0))</f>
        <v/>
      </c>
      <c r="AR175" s="14" t="str">
        <f>IF(OR($C175="01-09",$C175="10-14",$D175="Female"),"",INDEX(VMMC!$AB:$AB,MATCH($E175,VMMC!$E:$E,0)))</f>
        <v/>
      </c>
      <c r="AS175" s="14" t="str">
        <f>IF(OR($C175="01-09",$C175="10-14"),"",INDEX(PrEP!$Q:$Q,MATCH($E175,PrEP!$E:$E,0)))</f>
        <v/>
      </c>
      <c r="AT175" s="14" t="str">
        <f t="shared" si="74"/>
        <v/>
      </c>
      <c r="AU175" s="14" t="str">
        <f t="shared" si="75"/>
        <v/>
      </c>
      <c r="AV175" s="90" t="str">
        <f t="shared" si="76"/>
        <v/>
      </c>
      <c r="AW175" s="14"/>
      <c r="AX175" s="90" t="str">
        <f t="shared" si="77"/>
        <v/>
      </c>
      <c r="AY175" s="42" t="str">
        <f t="shared" si="78"/>
        <v/>
      </c>
      <c r="AZ175" s="90">
        <f t="shared" si="79"/>
        <v>1</v>
      </c>
      <c r="BA175" s="42" t="str">
        <f t="shared" si="80"/>
        <v/>
      </c>
    </row>
    <row r="176" spans="1:53" x14ac:dyDescent="0.2">
      <c r="A176" t="str">
        <f>INDEX(Prioritization!$D:$D,MATCH($B176,Prioritization!$A:$A,0))</f>
        <v>1 - Scale-up: Saturation</v>
      </c>
      <c r="B176" t="s">
        <v>206</v>
      </c>
      <c r="C176" t="s">
        <v>364</v>
      </c>
      <c r="D176" t="s">
        <v>47</v>
      </c>
      <c r="E176" t="str">
        <f t="shared" si="54"/>
        <v>Mzimba District [vA4NcHxfMBq]|15-24|Male</v>
      </c>
      <c r="F176" s="90">
        <f>IF(LEFT($B176,4)="_Mil","",INDEX(Cascade!$AA:$AA,MATCH($E176,Cascade!$E:$E,0)))</f>
        <v>1946</v>
      </c>
      <c r="G176" s="14">
        <f>INDEX(Cascade!$BH:$BH,MATCH($E176,Cascade!$E:$E,0))</f>
        <v>0</v>
      </c>
      <c r="H176" s="14" t="str">
        <f>IF(OR($C176="01-09",$D176="Male"),"",INDEX(PMTCT!$AC:$AC,MATCH($E176,PMTCT!$E:$E,0)))</f>
        <v/>
      </c>
      <c r="I176" s="14" t="str">
        <f>IF(OR($C176="01-09",$D176="Male"),"",INDEX(PMTCT!$AS:$AS,MATCH($E176,PMTCT!$E:$E,0)))</f>
        <v/>
      </c>
      <c r="J176" s="14" t="str">
        <f>INDEX(TB!$P:$P,MATCH($E176,TB!$E:$E,0))</f>
        <v/>
      </c>
      <c r="K176" s="14" t="str">
        <f>IF(OR($C176="01-09",$C176="10-14",$D176="Female"),"",INDEX(VMMC!$AA:$AA,MATCH($E176,VMMC!$E:$E,0)))</f>
        <v/>
      </c>
      <c r="L176" s="14">
        <f t="shared" si="55"/>
        <v>0</v>
      </c>
      <c r="M176" s="90" t="str">
        <f t="shared" si="56"/>
        <v/>
      </c>
      <c r="N176" s="90" t="str">
        <f t="shared" si="57"/>
        <v/>
      </c>
      <c r="O176" s="90" t="str">
        <f t="shared" si="58"/>
        <v/>
      </c>
      <c r="P176" s="90" t="str">
        <f t="shared" si="59"/>
        <v/>
      </c>
      <c r="Q176" s="90"/>
      <c r="R176" s="90"/>
      <c r="S176" s="90"/>
      <c r="T176" s="90"/>
      <c r="U176" s="90"/>
      <c r="V176" s="90" t="str">
        <f t="shared" si="60"/>
        <v/>
      </c>
      <c r="W176" s="90"/>
      <c r="X176" s="42" t="str">
        <f t="shared" si="61"/>
        <v/>
      </c>
      <c r="Y176" s="42" t="str">
        <f t="shared" si="62"/>
        <v/>
      </c>
      <c r="Z176" s="90"/>
      <c r="AA176" s="42" t="str">
        <f t="shared" si="63"/>
        <v/>
      </c>
      <c r="AB176" s="42" t="str">
        <f t="shared" si="64"/>
        <v/>
      </c>
      <c r="AC176" s="90"/>
      <c r="AD176" s="42" t="str">
        <f t="shared" si="65"/>
        <v/>
      </c>
      <c r="AE176" s="42" t="str">
        <f t="shared" si="66"/>
        <v/>
      </c>
      <c r="AF176" s="90"/>
      <c r="AG176" s="42" t="str">
        <f t="shared" si="67"/>
        <v/>
      </c>
      <c r="AH176" s="42" t="str">
        <f t="shared" si="68"/>
        <v/>
      </c>
      <c r="AI176" s="90"/>
      <c r="AJ176" s="42" t="str">
        <f t="shared" si="69"/>
        <v/>
      </c>
      <c r="AK176" s="42" t="str">
        <f t="shared" si="70"/>
        <v/>
      </c>
      <c r="AL176" s="14" t="str">
        <f t="shared" si="71"/>
        <v/>
      </c>
      <c r="AM176" s="14" t="str">
        <f t="shared" si="72"/>
        <v/>
      </c>
      <c r="AN176" s="14" t="str">
        <f t="shared" si="73"/>
        <v/>
      </c>
      <c r="AO176" s="14" t="str">
        <f>IF(OR($C176="01-09",$D176="Male"),"",INDEX(PMTCT!$AD:$AD,MATCH($E176,PMTCT!$E:$E,0)))</f>
        <v/>
      </c>
      <c r="AP176" s="14" t="str">
        <f>IF(OR($C176="01-09",$D176="Male"),"",INDEX(PMTCT!$AT:$AT,MATCH($E176,PMTCT!$E:$E,0)))</f>
        <v/>
      </c>
      <c r="AQ176" s="14" t="str">
        <f>INDEX(TB!$Q:$Q,MATCH($E176,TB!$E:$E,0))</f>
        <v/>
      </c>
      <c r="AR176" s="14" t="str">
        <f>IF(OR($C176="01-09",$C176="10-14",$D176="Female"),"",INDEX(VMMC!$AB:$AB,MATCH($E176,VMMC!$E:$E,0)))</f>
        <v/>
      </c>
      <c r="AS176" s="14" t="str">
        <f>IF(OR($C176="01-09",$C176="10-14"),"",INDEX(PrEP!$Q:$Q,MATCH($E176,PrEP!$E:$E,0)))</f>
        <v/>
      </c>
      <c r="AT176" s="14" t="str">
        <f t="shared" si="74"/>
        <v/>
      </c>
      <c r="AU176" s="14" t="str">
        <f t="shared" si="75"/>
        <v/>
      </c>
      <c r="AV176" s="90" t="str">
        <f t="shared" si="76"/>
        <v/>
      </c>
      <c r="AW176" s="14"/>
      <c r="AX176" s="90" t="str">
        <f t="shared" si="77"/>
        <v/>
      </c>
      <c r="AY176" s="42" t="str">
        <f t="shared" si="78"/>
        <v/>
      </c>
      <c r="AZ176" s="90">
        <f t="shared" si="79"/>
        <v>1</v>
      </c>
      <c r="BA176" s="42" t="str">
        <f t="shared" si="80"/>
        <v/>
      </c>
    </row>
    <row r="177" spans="1:53" x14ac:dyDescent="0.2">
      <c r="A177" t="str">
        <f>INDEX(Prioritization!$D:$D,MATCH($B177,Prioritization!$A:$A,0))</f>
        <v>1 - Scale-up: Saturation</v>
      </c>
      <c r="B177" t="s">
        <v>206</v>
      </c>
      <c r="C177" t="s">
        <v>365</v>
      </c>
      <c r="D177" t="s">
        <v>29</v>
      </c>
      <c r="E177" t="str">
        <f t="shared" si="54"/>
        <v>Mzimba District [vA4NcHxfMBq]|25-34|Female</v>
      </c>
      <c r="F177" s="90">
        <f>IF(LEFT($B177,4)="_Mil","",INDEX(Cascade!$AA:$AA,MATCH($E177,Cascade!$E:$E,0)))</f>
        <v>1569</v>
      </c>
      <c r="G177" s="14">
        <f>INDEX(Cascade!$BH:$BH,MATCH($E177,Cascade!$E:$E,0))</f>
        <v>0</v>
      </c>
      <c r="H177" s="14" t="str">
        <f>IF(OR($C177="01-09",$D177="Male"),"",INDEX(PMTCT!$AC:$AC,MATCH($E177,PMTCT!$E:$E,0)))</f>
        <v/>
      </c>
      <c r="I177" s="14" t="str">
        <f>IF(OR($C177="01-09",$D177="Male"),"",INDEX(PMTCT!$AS:$AS,MATCH($E177,PMTCT!$E:$E,0)))</f>
        <v/>
      </c>
      <c r="J177" s="14" t="str">
        <f>INDEX(TB!$P:$P,MATCH($E177,TB!$E:$E,0))</f>
        <v/>
      </c>
      <c r="K177" s="14" t="str">
        <f>IF(OR($C177="01-09",$C177="10-14",$D177="Female"),"",INDEX(VMMC!$AA:$AA,MATCH($E177,VMMC!$E:$E,0)))</f>
        <v/>
      </c>
      <c r="L177" s="14">
        <f t="shared" si="55"/>
        <v>0</v>
      </c>
      <c r="M177" s="90" t="str">
        <f t="shared" si="56"/>
        <v/>
      </c>
      <c r="N177" s="90" t="str">
        <f t="shared" si="57"/>
        <v/>
      </c>
      <c r="O177" s="90" t="str">
        <f t="shared" si="58"/>
        <v/>
      </c>
      <c r="P177" s="90" t="str">
        <f t="shared" si="59"/>
        <v/>
      </c>
      <c r="Q177" s="90"/>
      <c r="R177" s="90"/>
      <c r="S177" s="90"/>
      <c r="T177" s="90"/>
      <c r="U177" s="90"/>
      <c r="V177" s="90" t="str">
        <f t="shared" si="60"/>
        <v/>
      </c>
      <c r="W177" s="90"/>
      <c r="X177" s="42" t="str">
        <f t="shared" si="61"/>
        <v/>
      </c>
      <c r="Y177" s="42" t="str">
        <f t="shared" si="62"/>
        <v/>
      </c>
      <c r="Z177" s="90"/>
      <c r="AA177" s="42" t="str">
        <f t="shared" si="63"/>
        <v/>
      </c>
      <c r="AB177" s="42" t="str">
        <f t="shared" si="64"/>
        <v/>
      </c>
      <c r="AC177" s="90"/>
      <c r="AD177" s="42" t="str">
        <f t="shared" si="65"/>
        <v/>
      </c>
      <c r="AE177" s="42" t="str">
        <f t="shared" si="66"/>
        <v/>
      </c>
      <c r="AF177" s="90"/>
      <c r="AG177" s="42" t="str">
        <f t="shared" si="67"/>
        <v/>
      </c>
      <c r="AH177" s="42" t="str">
        <f t="shared" si="68"/>
        <v/>
      </c>
      <c r="AI177" s="90"/>
      <c r="AJ177" s="42" t="str">
        <f t="shared" si="69"/>
        <v/>
      </c>
      <c r="AK177" s="42" t="str">
        <f t="shared" si="70"/>
        <v/>
      </c>
      <c r="AL177" s="14" t="str">
        <f t="shared" si="71"/>
        <v/>
      </c>
      <c r="AM177" s="14" t="str">
        <f t="shared" si="72"/>
        <v/>
      </c>
      <c r="AN177" s="14" t="str">
        <f t="shared" si="73"/>
        <v/>
      </c>
      <c r="AO177" s="14" t="str">
        <f>IF(OR($C177="01-09",$D177="Male"),"",INDEX(PMTCT!$AD:$AD,MATCH($E177,PMTCT!$E:$E,0)))</f>
        <v/>
      </c>
      <c r="AP177" s="14" t="str">
        <f>IF(OR($C177="01-09",$D177="Male"),"",INDEX(PMTCT!$AT:$AT,MATCH($E177,PMTCT!$E:$E,0)))</f>
        <v/>
      </c>
      <c r="AQ177" s="14" t="str">
        <f>INDEX(TB!$Q:$Q,MATCH($E177,TB!$E:$E,0))</f>
        <v/>
      </c>
      <c r="AR177" s="14" t="str">
        <f>IF(OR($C177="01-09",$C177="10-14",$D177="Female"),"",INDEX(VMMC!$AB:$AB,MATCH($E177,VMMC!$E:$E,0)))</f>
        <v/>
      </c>
      <c r="AS177" s="14" t="str">
        <f>IF(OR($C177="01-09",$C177="10-14"),"",INDEX(PrEP!$Q:$Q,MATCH($E177,PrEP!$E:$E,0)))</f>
        <v/>
      </c>
      <c r="AT177" s="14" t="str">
        <f t="shared" si="74"/>
        <v/>
      </c>
      <c r="AU177" s="14" t="str">
        <f t="shared" si="75"/>
        <v/>
      </c>
      <c r="AV177" s="90" t="str">
        <f t="shared" si="76"/>
        <v/>
      </c>
      <c r="AW177" s="14"/>
      <c r="AX177" s="90" t="str">
        <f t="shared" si="77"/>
        <v/>
      </c>
      <c r="AY177" s="42" t="str">
        <f t="shared" si="78"/>
        <v/>
      </c>
      <c r="AZ177" s="90">
        <f t="shared" si="79"/>
        <v>1</v>
      </c>
      <c r="BA177" s="42" t="str">
        <f t="shared" si="80"/>
        <v/>
      </c>
    </row>
    <row r="178" spans="1:53" x14ac:dyDescent="0.2">
      <c r="A178" t="str">
        <f>INDEX(Prioritization!$D:$D,MATCH($B178,Prioritization!$A:$A,0))</f>
        <v>1 - Scale-up: Saturation</v>
      </c>
      <c r="B178" t="s">
        <v>206</v>
      </c>
      <c r="C178" t="s">
        <v>365</v>
      </c>
      <c r="D178" t="s">
        <v>47</v>
      </c>
      <c r="E178" t="str">
        <f t="shared" si="54"/>
        <v>Mzimba District [vA4NcHxfMBq]|25-34|Male</v>
      </c>
      <c r="F178" s="90">
        <f>IF(LEFT($B178,4)="_Mil","",INDEX(Cascade!$AA:$AA,MATCH($E178,Cascade!$E:$E,0)))</f>
        <v>1023</v>
      </c>
      <c r="G178" s="14">
        <f>INDEX(Cascade!$BH:$BH,MATCH($E178,Cascade!$E:$E,0))</f>
        <v>0</v>
      </c>
      <c r="H178" s="14" t="str">
        <f>IF(OR($C178="01-09",$D178="Male"),"",INDEX(PMTCT!$AC:$AC,MATCH($E178,PMTCT!$E:$E,0)))</f>
        <v/>
      </c>
      <c r="I178" s="14" t="str">
        <f>IF(OR($C178="01-09",$D178="Male"),"",INDEX(PMTCT!$AS:$AS,MATCH($E178,PMTCT!$E:$E,0)))</f>
        <v/>
      </c>
      <c r="J178" s="14" t="str">
        <f>INDEX(TB!$P:$P,MATCH($E178,TB!$E:$E,0))</f>
        <v/>
      </c>
      <c r="K178" s="14" t="str">
        <f>IF(OR($C178="01-09",$C178="10-14",$D178="Female"),"",INDEX(VMMC!$AA:$AA,MATCH($E178,VMMC!$E:$E,0)))</f>
        <v/>
      </c>
      <c r="L178" s="14">
        <f t="shared" si="55"/>
        <v>0</v>
      </c>
      <c r="M178" s="90" t="str">
        <f t="shared" si="56"/>
        <v/>
      </c>
      <c r="N178" s="90" t="str">
        <f t="shared" si="57"/>
        <v/>
      </c>
      <c r="O178" s="90" t="str">
        <f t="shared" si="58"/>
        <v/>
      </c>
      <c r="P178" s="90" t="str">
        <f t="shared" si="59"/>
        <v/>
      </c>
      <c r="Q178" s="90"/>
      <c r="R178" s="90"/>
      <c r="S178" s="90"/>
      <c r="T178" s="90"/>
      <c r="U178" s="90"/>
      <c r="V178" s="90" t="str">
        <f t="shared" si="60"/>
        <v/>
      </c>
      <c r="W178" s="90"/>
      <c r="X178" s="42" t="str">
        <f t="shared" si="61"/>
        <v/>
      </c>
      <c r="Y178" s="42" t="str">
        <f t="shared" si="62"/>
        <v/>
      </c>
      <c r="Z178" s="90"/>
      <c r="AA178" s="42" t="str">
        <f t="shared" si="63"/>
        <v/>
      </c>
      <c r="AB178" s="42" t="str">
        <f t="shared" si="64"/>
        <v/>
      </c>
      <c r="AC178" s="90"/>
      <c r="AD178" s="42" t="str">
        <f t="shared" si="65"/>
        <v/>
      </c>
      <c r="AE178" s="42" t="str">
        <f t="shared" si="66"/>
        <v/>
      </c>
      <c r="AF178" s="90"/>
      <c r="AG178" s="42" t="str">
        <f t="shared" si="67"/>
        <v/>
      </c>
      <c r="AH178" s="42" t="str">
        <f t="shared" si="68"/>
        <v/>
      </c>
      <c r="AI178" s="90"/>
      <c r="AJ178" s="42" t="str">
        <f t="shared" si="69"/>
        <v/>
      </c>
      <c r="AK178" s="42" t="str">
        <f t="shared" si="70"/>
        <v/>
      </c>
      <c r="AL178" s="14" t="str">
        <f t="shared" si="71"/>
        <v/>
      </c>
      <c r="AM178" s="14" t="str">
        <f t="shared" si="72"/>
        <v/>
      </c>
      <c r="AN178" s="14" t="str">
        <f t="shared" si="73"/>
        <v/>
      </c>
      <c r="AO178" s="14" t="str">
        <f>IF(OR($C178="01-09",$D178="Male"),"",INDEX(PMTCT!$AD:$AD,MATCH($E178,PMTCT!$E:$E,0)))</f>
        <v/>
      </c>
      <c r="AP178" s="14" t="str">
        <f>IF(OR($C178="01-09",$D178="Male"),"",INDEX(PMTCT!$AT:$AT,MATCH($E178,PMTCT!$E:$E,0)))</f>
        <v/>
      </c>
      <c r="AQ178" s="14" t="str">
        <f>INDEX(TB!$Q:$Q,MATCH($E178,TB!$E:$E,0))</f>
        <v/>
      </c>
      <c r="AR178" s="14" t="str">
        <f>IF(OR($C178="01-09",$C178="10-14",$D178="Female"),"",INDEX(VMMC!$AB:$AB,MATCH($E178,VMMC!$E:$E,0)))</f>
        <v/>
      </c>
      <c r="AS178" s="14" t="str">
        <f>IF(OR($C178="01-09",$C178="10-14"),"",INDEX(PrEP!$Q:$Q,MATCH($E178,PrEP!$E:$E,0)))</f>
        <v/>
      </c>
      <c r="AT178" s="14" t="str">
        <f t="shared" si="74"/>
        <v/>
      </c>
      <c r="AU178" s="14" t="str">
        <f t="shared" si="75"/>
        <v/>
      </c>
      <c r="AV178" s="90" t="str">
        <f t="shared" si="76"/>
        <v/>
      </c>
      <c r="AW178" s="14"/>
      <c r="AX178" s="90" t="str">
        <f t="shared" si="77"/>
        <v/>
      </c>
      <c r="AY178" s="42" t="str">
        <f t="shared" si="78"/>
        <v/>
      </c>
      <c r="AZ178" s="90">
        <f t="shared" si="79"/>
        <v>1</v>
      </c>
      <c r="BA178" s="42" t="str">
        <f t="shared" si="80"/>
        <v/>
      </c>
    </row>
    <row r="179" spans="1:53" x14ac:dyDescent="0.2">
      <c r="A179" t="str">
        <f>INDEX(Prioritization!$D:$D,MATCH($B179,Prioritization!$A:$A,0))</f>
        <v>1 - Scale-up: Saturation</v>
      </c>
      <c r="B179" t="s">
        <v>206</v>
      </c>
      <c r="C179" t="s">
        <v>366</v>
      </c>
      <c r="D179" t="s">
        <v>29</v>
      </c>
      <c r="E179" t="str">
        <f t="shared" si="54"/>
        <v>Mzimba District [vA4NcHxfMBq]|35-49|Female</v>
      </c>
      <c r="F179" s="90">
        <f>IF(LEFT($B179,4)="_Mil","",INDEX(Cascade!$AA:$AA,MATCH($E179,Cascade!$E:$E,0)))</f>
        <v>917.99999999999989</v>
      </c>
      <c r="G179" s="14">
        <f>INDEX(Cascade!$BH:$BH,MATCH($E179,Cascade!$E:$E,0))</f>
        <v>0</v>
      </c>
      <c r="H179" s="14" t="str">
        <f>IF(OR($C179="01-09",$D179="Male"),"",INDEX(PMTCT!$AC:$AC,MATCH($E179,PMTCT!$E:$E,0)))</f>
        <v/>
      </c>
      <c r="I179" s="14" t="str">
        <f>IF(OR($C179="01-09",$D179="Male"),"",INDEX(PMTCT!$AS:$AS,MATCH($E179,PMTCT!$E:$E,0)))</f>
        <v/>
      </c>
      <c r="J179" s="14" t="str">
        <f>INDEX(TB!$P:$P,MATCH($E179,TB!$E:$E,0))</f>
        <v/>
      </c>
      <c r="K179" s="14" t="str">
        <f>IF(OR($C179="01-09",$C179="10-14",$D179="Female"),"",INDEX(VMMC!$AA:$AA,MATCH($E179,VMMC!$E:$E,0)))</f>
        <v/>
      </c>
      <c r="L179" s="14">
        <f t="shared" si="55"/>
        <v>0</v>
      </c>
      <c r="M179" s="90" t="str">
        <f t="shared" si="56"/>
        <v/>
      </c>
      <c r="N179" s="90" t="str">
        <f t="shared" si="57"/>
        <v/>
      </c>
      <c r="O179" s="90" t="str">
        <f t="shared" si="58"/>
        <v/>
      </c>
      <c r="P179" s="90" t="str">
        <f t="shared" si="59"/>
        <v/>
      </c>
      <c r="Q179" s="90"/>
      <c r="R179" s="90"/>
      <c r="S179" s="90"/>
      <c r="T179" s="90"/>
      <c r="U179" s="90"/>
      <c r="V179" s="90" t="str">
        <f t="shared" si="60"/>
        <v/>
      </c>
      <c r="W179" s="90"/>
      <c r="X179" s="42" t="str">
        <f t="shared" si="61"/>
        <v/>
      </c>
      <c r="Y179" s="42" t="str">
        <f t="shared" si="62"/>
        <v/>
      </c>
      <c r="Z179" s="90"/>
      <c r="AA179" s="42" t="str">
        <f t="shared" si="63"/>
        <v/>
      </c>
      <c r="AB179" s="42" t="str">
        <f t="shared" si="64"/>
        <v/>
      </c>
      <c r="AC179" s="90"/>
      <c r="AD179" s="42" t="str">
        <f t="shared" si="65"/>
        <v/>
      </c>
      <c r="AE179" s="42" t="str">
        <f t="shared" si="66"/>
        <v/>
      </c>
      <c r="AF179" s="90"/>
      <c r="AG179" s="42" t="str">
        <f t="shared" si="67"/>
        <v/>
      </c>
      <c r="AH179" s="42" t="str">
        <f t="shared" si="68"/>
        <v/>
      </c>
      <c r="AI179" s="90"/>
      <c r="AJ179" s="42" t="str">
        <f t="shared" si="69"/>
        <v/>
      </c>
      <c r="AK179" s="42" t="str">
        <f t="shared" si="70"/>
        <v/>
      </c>
      <c r="AL179" s="14" t="str">
        <f t="shared" si="71"/>
        <v/>
      </c>
      <c r="AM179" s="14" t="str">
        <f t="shared" si="72"/>
        <v/>
      </c>
      <c r="AN179" s="14" t="str">
        <f t="shared" si="73"/>
        <v/>
      </c>
      <c r="AO179" s="14" t="str">
        <f>IF(OR($C179="01-09",$D179="Male"),"",INDEX(PMTCT!$AD:$AD,MATCH($E179,PMTCT!$E:$E,0)))</f>
        <v/>
      </c>
      <c r="AP179" s="14" t="str">
        <f>IF(OR($C179="01-09",$D179="Male"),"",INDEX(PMTCT!$AT:$AT,MATCH($E179,PMTCT!$E:$E,0)))</f>
        <v/>
      </c>
      <c r="AQ179" s="14" t="str">
        <f>INDEX(TB!$Q:$Q,MATCH($E179,TB!$E:$E,0))</f>
        <v/>
      </c>
      <c r="AR179" s="14" t="str">
        <f>IF(OR($C179="01-09",$C179="10-14",$D179="Female"),"",INDEX(VMMC!$AB:$AB,MATCH($E179,VMMC!$E:$E,0)))</f>
        <v/>
      </c>
      <c r="AS179" s="14" t="str">
        <f>IF(OR($C179="01-09",$C179="10-14"),"",INDEX(PrEP!$Q:$Q,MATCH($E179,PrEP!$E:$E,0)))</f>
        <v/>
      </c>
      <c r="AT179" s="14" t="str">
        <f t="shared" si="74"/>
        <v/>
      </c>
      <c r="AU179" s="14" t="str">
        <f t="shared" si="75"/>
        <v/>
      </c>
      <c r="AV179" s="90" t="str">
        <f t="shared" si="76"/>
        <v/>
      </c>
      <c r="AW179" s="14"/>
      <c r="AX179" s="90" t="str">
        <f t="shared" si="77"/>
        <v/>
      </c>
      <c r="AY179" s="42" t="str">
        <f t="shared" si="78"/>
        <v/>
      </c>
      <c r="AZ179" s="90">
        <f t="shared" si="79"/>
        <v>1</v>
      </c>
      <c r="BA179" s="42" t="str">
        <f t="shared" si="80"/>
        <v/>
      </c>
    </row>
    <row r="180" spans="1:53" x14ac:dyDescent="0.2">
      <c r="A180" t="str">
        <f>INDEX(Prioritization!$D:$D,MATCH($B180,Prioritization!$A:$A,0))</f>
        <v>1 - Scale-up: Saturation</v>
      </c>
      <c r="B180" t="s">
        <v>206</v>
      </c>
      <c r="C180" t="s">
        <v>366</v>
      </c>
      <c r="D180" t="s">
        <v>47</v>
      </c>
      <c r="E180" t="str">
        <f t="shared" si="54"/>
        <v>Mzimba District [vA4NcHxfMBq]|35-49|Male</v>
      </c>
      <c r="F180" s="90">
        <f>IF(LEFT($B180,4)="_Mil","",INDEX(Cascade!$AA:$AA,MATCH($E180,Cascade!$E:$E,0)))</f>
        <v>1021</v>
      </c>
      <c r="G180" s="14">
        <f>INDEX(Cascade!$BH:$BH,MATCH($E180,Cascade!$E:$E,0))</f>
        <v>0</v>
      </c>
      <c r="H180" s="14" t="str">
        <f>IF(OR($C180="01-09",$D180="Male"),"",INDEX(PMTCT!$AC:$AC,MATCH($E180,PMTCT!$E:$E,0)))</f>
        <v/>
      </c>
      <c r="I180" s="14" t="str">
        <f>IF(OR($C180="01-09",$D180="Male"),"",INDEX(PMTCT!$AS:$AS,MATCH($E180,PMTCT!$E:$E,0)))</f>
        <v/>
      </c>
      <c r="J180" s="14" t="str">
        <f>INDEX(TB!$P:$P,MATCH($E180,TB!$E:$E,0))</f>
        <v/>
      </c>
      <c r="K180" s="14" t="str">
        <f>IF(OR($C180="01-09",$C180="10-14",$D180="Female"),"",INDEX(VMMC!$AA:$AA,MATCH($E180,VMMC!$E:$E,0)))</f>
        <v/>
      </c>
      <c r="L180" s="14">
        <f t="shared" si="55"/>
        <v>0</v>
      </c>
      <c r="M180" s="90" t="str">
        <f t="shared" si="56"/>
        <v/>
      </c>
      <c r="N180" s="90" t="str">
        <f t="shared" si="57"/>
        <v/>
      </c>
      <c r="O180" s="90" t="str">
        <f t="shared" si="58"/>
        <v/>
      </c>
      <c r="P180" s="90" t="str">
        <f t="shared" si="59"/>
        <v/>
      </c>
      <c r="Q180" s="90"/>
      <c r="R180" s="90"/>
      <c r="S180" s="90"/>
      <c r="T180" s="90"/>
      <c r="U180" s="90"/>
      <c r="V180" s="90" t="str">
        <f t="shared" si="60"/>
        <v/>
      </c>
      <c r="W180" s="90"/>
      <c r="X180" s="42" t="str">
        <f t="shared" si="61"/>
        <v/>
      </c>
      <c r="Y180" s="42" t="str">
        <f t="shared" si="62"/>
        <v/>
      </c>
      <c r="Z180" s="90"/>
      <c r="AA180" s="42" t="str">
        <f t="shared" si="63"/>
        <v/>
      </c>
      <c r="AB180" s="42" t="str">
        <f t="shared" si="64"/>
        <v/>
      </c>
      <c r="AC180" s="90"/>
      <c r="AD180" s="42" t="str">
        <f t="shared" si="65"/>
        <v/>
      </c>
      <c r="AE180" s="42" t="str">
        <f t="shared" si="66"/>
        <v/>
      </c>
      <c r="AF180" s="90"/>
      <c r="AG180" s="42" t="str">
        <f t="shared" si="67"/>
        <v/>
      </c>
      <c r="AH180" s="42" t="str">
        <f t="shared" si="68"/>
        <v/>
      </c>
      <c r="AI180" s="90"/>
      <c r="AJ180" s="42" t="str">
        <f t="shared" si="69"/>
        <v/>
      </c>
      <c r="AK180" s="42" t="str">
        <f t="shared" si="70"/>
        <v/>
      </c>
      <c r="AL180" s="14" t="str">
        <f t="shared" si="71"/>
        <v/>
      </c>
      <c r="AM180" s="14" t="str">
        <f t="shared" si="72"/>
        <v/>
      </c>
      <c r="AN180" s="14" t="str">
        <f t="shared" si="73"/>
        <v/>
      </c>
      <c r="AO180" s="14" t="str">
        <f>IF(OR($C180="01-09",$D180="Male"),"",INDEX(PMTCT!$AD:$AD,MATCH($E180,PMTCT!$E:$E,0)))</f>
        <v/>
      </c>
      <c r="AP180" s="14" t="str">
        <f>IF(OR($C180="01-09",$D180="Male"),"",INDEX(PMTCT!$AT:$AT,MATCH($E180,PMTCT!$E:$E,0)))</f>
        <v/>
      </c>
      <c r="AQ180" s="14" t="str">
        <f>INDEX(TB!$Q:$Q,MATCH($E180,TB!$E:$E,0))</f>
        <v/>
      </c>
      <c r="AR180" s="14" t="str">
        <f>IF(OR($C180="01-09",$C180="10-14",$D180="Female"),"",INDEX(VMMC!$AB:$AB,MATCH($E180,VMMC!$E:$E,0)))</f>
        <v/>
      </c>
      <c r="AS180" s="14" t="str">
        <f>IF(OR($C180="01-09",$C180="10-14"),"",INDEX(PrEP!$Q:$Q,MATCH($E180,PrEP!$E:$E,0)))</f>
        <v/>
      </c>
      <c r="AT180" s="14" t="str">
        <f t="shared" si="74"/>
        <v/>
      </c>
      <c r="AU180" s="14" t="str">
        <f t="shared" si="75"/>
        <v/>
      </c>
      <c r="AV180" s="90" t="str">
        <f t="shared" si="76"/>
        <v/>
      </c>
      <c r="AW180" s="14"/>
      <c r="AX180" s="90" t="str">
        <f t="shared" si="77"/>
        <v/>
      </c>
      <c r="AY180" s="42" t="str">
        <f t="shared" si="78"/>
        <v/>
      </c>
      <c r="AZ180" s="90">
        <f t="shared" si="79"/>
        <v>1</v>
      </c>
      <c r="BA180" s="42" t="str">
        <f t="shared" si="80"/>
        <v/>
      </c>
    </row>
    <row r="181" spans="1:53" x14ac:dyDescent="0.2">
      <c r="A181" t="str">
        <f>INDEX(Prioritization!$D:$D,MATCH($B181,Prioritization!$A:$A,0))</f>
        <v>1 - Scale-up: Saturation</v>
      </c>
      <c r="B181" t="s">
        <v>206</v>
      </c>
      <c r="C181" t="s">
        <v>367</v>
      </c>
      <c r="D181" t="s">
        <v>29</v>
      </c>
      <c r="E181" t="str">
        <f t="shared" si="54"/>
        <v>Mzimba District [vA4NcHxfMBq]|50+|Female</v>
      </c>
      <c r="F181" s="90">
        <f>IF(LEFT($B181,4)="_Mil","",INDEX(Cascade!$AA:$AA,MATCH($E181,Cascade!$E:$E,0)))</f>
        <v>1687.0000000000002</v>
      </c>
      <c r="G181" s="14">
        <f>INDEX(Cascade!$BH:$BH,MATCH($E181,Cascade!$E:$E,0))</f>
        <v>0</v>
      </c>
      <c r="H181" s="14" t="str">
        <f>IF(OR($C181="01-09",$D181="Male"),"",INDEX(PMTCT!$AC:$AC,MATCH($E181,PMTCT!$E:$E,0)))</f>
        <v/>
      </c>
      <c r="I181" s="14" t="str">
        <f>IF(OR($C181="01-09",$D181="Male"),"",INDEX(PMTCT!$AS:$AS,MATCH($E181,PMTCT!$E:$E,0)))</f>
        <v/>
      </c>
      <c r="J181" s="14" t="str">
        <f>INDEX(TB!$P:$P,MATCH($E181,TB!$E:$E,0))</f>
        <v/>
      </c>
      <c r="K181" s="14" t="str">
        <f>IF(OR($C181="01-09",$C181="10-14",$D181="Female"),"",INDEX(VMMC!$AA:$AA,MATCH($E181,VMMC!$E:$E,0)))</f>
        <v/>
      </c>
      <c r="L181" s="14">
        <f t="shared" si="55"/>
        <v>0</v>
      </c>
      <c r="M181" s="90" t="str">
        <f t="shared" si="56"/>
        <v/>
      </c>
      <c r="N181" s="90" t="str">
        <f t="shared" si="57"/>
        <v/>
      </c>
      <c r="O181" s="90" t="str">
        <f t="shared" si="58"/>
        <v/>
      </c>
      <c r="P181" s="90" t="str">
        <f t="shared" si="59"/>
        <v/>
      </c>
      <c r="Q181" s="90"/>
      <c r="R181" s="90"/>
      <c r="S181" s="90"/>
      <c r="T181" s="90"/>
      <c r="U181" s="90">
        <v>0.85284548392519399</v>
      </c>
      <c r="V181" s="90" t="str">
        <f t="shared" si="60"/>
        <v/>
      </c>
      <c r="W181" s="90"/>
      <c r="X181" s="42" t="str">
        <f t="shared" si="61"/>
        <v/>
      </c>
      <c r="Y181" s="42" t="str">
        <f t="shared" si="62"/>
        <v/>
      </c>
      <c r="Z181" s="90"/>
      <c r="AA181" s="42" t="str">
        <f t="shared" si="63"/>
        <v/>
      </c>
      <c r="AB181" s="42" t="str">
        <f t="shared" si="64"/>
        <v/>
      </c>
      <c r="AC181" s="90"/>
      <c r="AD181" s="42" t="str">
        <f t="shared" si="65"/>
        <v/>
      </c>
      <c r="AE181" s="42" t="str">
        <f t="shared" si="66"/>
        <v/>
      </c>
      <c r="AF181" s="90"/>
      <c r="AG181" s="42" t="str">
        <f t="shared" si="67"/>
        <v/>
      </c>
      <c r="AH181" s="42" t="str">
        <f t="shared" si="68"/>
        <v/>
      </c>
      <c r="AI181" s="90"/>
      <c r="AJ181" s="42" t="str">
        <f t="shared" si="69"/>
        <v/>
      </c>
      <c r="AK181" s="42" t="str">
        <f t="shared" si="70"/>
        <v/>
      </c>
      <c r="AL181" s="14" t="str">
        <f t="shared" si="71"/>
        <v/>
      </c>
      <c r="AM181" s="14" t="str">
        <f t="shared" si="72"/>
        <v/>
      </c>
      <c r="AN181" s="14" t="str">
        <f t="shared" si="73"/>
        <v/>
      </c>
      <c r="AO181" s="14" t="str">
        <f>IF(OR($C181="01-09",$D181="Male"),"",INDEX(PMTCT!$AD:$AD,MATCH($E181,PMTCT!$E:$E,0)))</f>
        <v/>
      </c>
      <c r="AP181" s="14" t="str">
        <f>IF(OR($C181="01-09",$D181="Male"),"",INDEX(PMTCT!$AT:$AT,MATCH($E181,PMTCT!$E:$E,0)))</f>
        <v/>
      </c>
      <c r="AQ181" s="14" t="str">
        <f>INDEX(TB!$Q:$Q,MATCH($E181,TB!$E:$E,0))</f>
        <v/>
      </c>
      <c r="AR181" s="14" t="str">
        <f>IF(OR($C181="01-09",$C181="10-14",$D181="Female"),"",INDEX(VMMC!$AB:$AB,MATCH($E181,VMMC!$E:$E,0)))</f>
        <v/>
      </c>
      <c r="AS181" s="14" t="str">
        <f>IF(OR($C181="01-09",$C181="10-14"),"",INDEX(PrEP!$Q:$Q,MATCH($E181,PrEP!$E:$E,0)))</f>
        <v/>
      </c>
      <c r="AT181" s="14" t="str">
        <f t="shared" si="74"/>
        <v/>
      </c>
      <c r="AU181" s="14" t="str">
        <f t="shared" si="75"/>
        <v/>
      </c>
      <c r="AV181" s="90" t="str">
        <f t="shared" si="76"/>
        <v/>
      </c>
      <c r="AW181" s="14">
        <v>72</v>
      </c>
      <c r="AX181" s="90">
        <f t="shared" si="77"/>
        <v>0</v>
      </c>
      <c r="AY181" s="42">
        <f t="shared" si="78"/>
        <v>72</v>
      </c>
      <c r="AZ181" s="90">
        <f t="shared" si="79"/>
        <v>1</v>
      </c>
      <c r="BA181" s="42" t="str">
        <f t="shared" si="80"/>
        <v/>
      </c>
    </row>
    <row r="182" spans="1:53" x14ac:dyDescent="0.2">
      <c r="A182" t="str">
        <f>INDEX(Prioritization!$D:$D,MATCH($B182,Prioritization!$A:$A,0))</f>
        <v>1 - Scale-up: Saturation</v>
      </c>
      <c r="B182" t="s">
        <v>206</v>
      </c>
      <c r="C182" t="s">
        <v>367</v>
      </c>
      <c r="D182" t="s">
        <v>47</v>
      </c>
      <c r="E182" t="str">
        <f t="shared" si="54"/>
        <v>Mzimba District [vA4NcHxfMBq]|50+|Male</v>
      </c>
      <c r="F182" s="90">
        <f>IF(LEFT($B182,4)="_Mil","",INDEX(Cascade!$AA:$AA,MATCH($E182,Cascade!$E:$E,0)))</f>
        <v>1119</v>
      </c>
      <c r="G182" s="14">
        <f>INDEX(Cascade!$BH:$BH,MATCH($E182,Cascade!$E:$E,0))</f>
        <v>0</v>
      </c>
      <c r="H182" s="14" t="str">
        <f>IF(OR($C182="01-09",$D182="Male"),"",INDEX(PMTCT!$AC:$AC,MATCH($E182,PMTCT!$E:$E,0)))</f>
        <v/>
      </c>
      <c r="I182" s="14" t="str">
        <f>IF(OR($C182="01-09",$D182="Male"),"",INDEX(PMTCT!$AS:$AS,MATCH($E182,PMTCT!$E:$E,0)))</f>
        <v/>
      </c>
      <c r="J182" s="14" t="str">
        <f>INDEX(TB!$P:$P,MATCH($E182,TB!$E:$E,0))</f>
        <v/>
      </c>
      <c r="K182" s="14" t="str">
        <f>IF(OR($C182="01-09",$C182="10-14",$D182="Female"),"",INDEX(VMMC!$AA:$AA,MATCH($E182,VMMC!$E:$E,0)))</f>
        <v/>
      </c>
      <c r="L182" s="14">
        <f t="shared" si="55"/>
        <v>0</v>
      </c>
      <c r="M182" s="90" t="str">
        <f t="shared" si="56"/>
        <v/>
      </c>
      <c r="N182" s="90" t="str">
        <f t="shared" si="57"/>
        <v/>
      </c>
      <c r="O182" s="90" t="str">
        <f t="shared" si="58"/>
        <v/>
      </c>
      <c r="P182" s="90" t="str">
        <f t="shared" si="59"/>
        <v/>
      </c>
      <c r="Q182" s="90"/>
      <c r="R182" s="90"/>
      <c r="S182" s="90"/>
      <c r="T182" s="90"/>
      <c r="U182" s="90">
        <v>0.22458292194642099</v>
      </c>
      <c r="V182" s="90" t="str">
        <f t="shared" si="60"/>
        <v/>
      </c>
      <c r="W182" s="90"/>
      <c r="X182" s="42" t="str">
        <f t="shared" si="61"/>
        <v/>
      </c>
      <c r="Y182" s="42" t="str">
        <f t="shared" si="62"/>
        <v/>
      </c>
      <c r="Z182" s="90"/>
      <c r="AA182" s="42" t="str">
        <f t="shared" si="63"/>
        <v/>
      </c>
      <c r="AB182" s="42" t="str">
        <f t="shared" si="64"/>
        <v/>
      </c>
      <c r="AC182" s="90"/>
      <c r="AD182" s="42" t="str">
        <f t="shared" si="65"/>
        <v/>
      </c>
      <c r="AE182" s="42" t="str">
        <f t="shared" si="66"/>
        <v/>
      </c>
      <c r="AF182" s="90"/>
      <c r="AG182" s="42" t="str">
        <f t="shared" si="67"/>
        <v/>
      </c>
      <c r="AH182" s="42" t="str">
        <f t="shared" si="68"/>
        <v/>
      </c>
      <c r="AI182" s="90"/>
      <c r="AJ182" s="42" t="str">
        <f t="shared" si="69"/>
        <v/>
      </c>
      <c r="AK182" s="42" t="str">
        <f t="shared" si="70"/>
        <v/>
      </c>
      <c r="AL182" s="14" t="str">
        <f t="shared" si="71"/>
        <v/>
      </c>
      <c r="AM182" s="14" t="str">
        <f t="shared" si="72"/>
        <v/>
      </c>
      <c r="AN182" s="14" t="str">
        <f t="shared" si="73"/>
        <v/>
      </c>
      <c r="AO182" s="14" t="str">
        <f>IF(OR($C182="01-09",$D182="Male"),"",INDEX(PMTCT!$AD:$AD,MATCH($E182,PMTCT!$E:$E,0)))</f>
        <v/>
      </c>
      <c r="AP182" s="14" t="str">
        <f>IF(OR($C182="01-09",$D182="Male"),"",INDEX(PMTCT!$AT:$AT,MATCH($E182,PMTCT!$E:$E,0)))</f>
        <v/>
      </c>
      <c r="AQ182" s="14" t="str">
        <f>INDEX(TB!$Q:$Q,MATCH($E182,TB!$E:$E,0))</f>
        <v/>
      </c>
      <c r="AR182" s="14" t="str">
        <f>IF(OR($C182="01-09",$C182="10-14",$D182="Female"),"",INDEX(VMMC!$AB:$AB,MATCH($E182,VMMC!$E:$E,0)))</f>
        <v/>
      </c>
      <c r="AS182" s="14" t="str">
        <f>IF(OR($C182="01-09",$C182="10-14"),"",INDEX(PrEP!$Q:$Q,MATCH($E182,PrEP!$E:$E,0)))</f>
        <v/>
      </c>
      <c r="AT182" s="14" t="str">
        <f t="shared" si="74"/>
        <v/>
      </c>
      <c r="AU182" s="14" t="str">
        <f t="shared" si="75"/>
        <v/>
      </c>
      <c r="AV182" s="90" t="str">
        <f t="shared" si="76"/>
        <v/>
      </c>
      <c r="AW182" s="14">
        <v>55</v>
      </c>
      <c r="AX182" s="90">
        <f t="shared" si="77"/>
        <v>0</v>
      </c>
      <c r="AY182" s="42">
        <f t="shared" si="78"/>
        <v>55</v>
      </c>
      <c r="AZ182" s="90">
        <f t="shared" si="79"/>
        <v>1</v>
      </c>
      <c r="BA182" s="42" t="str">
        <f t="shared" si="80"/>
        <v/>
      </c>
    </row>
    <row r="183" spans="1:53" x14ac:dyDescent="0.2">
      <c r="A183" t="str">
        <f>INDEX(Prioritization!$D:$D,MATCH($B183,Prioritization!$A:$A,0))</f>
        <v>INVALID</v>
      </c>
      <c r="B183" t="s">
        <v>207</v>
      </c>
      <c r="C183" t="s">
        <v>362</v>
      </c>
      <c r="D183" t="s">
        <v>29</v>
      </c>
      <c r="E183" t="str">
        <f t="shared" si="54"/>
        <v>Nkhata Bay District [E7zpfyBt7Tw]|01-09|Female</v>
      </c>
      <c r="F183" s="90">
        <f>IF(LEFT($B183,4)="_Mil","",INDEX(Cascade!$AA:$AA,MATCH($E183,Cascade!$E:$E,0)))</f>
        <v>675</v>
      </c>
      <c r="G183" s="14">
        <f>INDEX(Cascade!$BH:$BH,MATCH($E183,Cascade!$E:$E,0))</f>
        <v>0</v>
      </c>
      <c r="H183" s="14" t="str">
        <f>IF(OR($C183="01-09",$D183="Male"),"",INDEX(PMTCT!$AC:$AC,MATCH($E183,PMTCT!$E:$E,0)))</f>
        <v/>
      </c>
      <c r="I183" s="14" t="str">
        <f>IF(OR($C183="01-09",$D183="Male"),"",INDEX(PMTCT!$AS:$AS,MATCH($E183,PMTCT!$E:$E,0)))</f>
        <v/>
      </c>
      <c r="J183" s="14" t="str">
        <f>INDEX(TB!$P:$P,MATCH($E183,TB!$E:$E,0))</f>
        <v/>
      </c>
      <c r="K183" s="14" t="str">
        <f>IF(OR($C183="01-09",$C183="10-14",$D183="Female"),"",INDEX(VMMC!$AA:$AA,MATCH($E183,VMMC!$E:$E,0)))</f>
        <v/>
      </c>
      <c r="L183" s="14">
        <f t="shared" si="55"/>
        <v>0</v>
      </c>
      <c r="M183" s="90" t="str">
        <f t="shared" si="56"/>
        <v/>
      </c>
      <c r="N183" s="90" t="str">
        <f t="shared" si="57"/>
        <v/>
      </c>
      <c r="O183" s="90" t="str">
        <f t="shared" si="58"/>
        <v/>
      </c>
      <c r="P183" s="90" t="str">
        <f t="shared" si="59"/>
        <v/>
      </c>
      <c r="Q183" s="90"/>
      <c r="R183" s="90"/>
      <c r="S183" s="90"/>
      <c r="T183" s="90"/>
      <c r="U183" s="90"/>
      <c r="V183" s="90" t="str">
        <f t="shared" si="60"/>
        <v/>
      </c>
      <c r="W183" s="90"/>
      <c r="X183" s="42" t="str">
        <f t="shared" si="61"/>
        <v/>
      </c>
      <c r="Y183" s="42" t="str">
        <f t="shared" si="62"/>
        <v/>
      </c>
      <c r="Z183" s="90"/>
      <c r="AA183" s="42" t="str">
        <f t="shared" si="63"/>
        <v/>
      </c>
      <c r="AB183" s="42" t="str">
        <f t="shared" si="64"/>
        <v/>
      </c>
      <c r="AC183" s="90"/>
      <c r="AD183" s="42" t="str">
        <f t="shared" si="65"/>
        <v/>
      </c>
      <c r="AE183" s="42" t="str">
        <f t="shared" si="66"/>
        <v/>
      </c>
      <c r="AF183" s="90"/>
      <c r="AG183" s="42" t="str">
        <f t="shared" si="67"/>
        <v/>
      </c>
      <c r="AH183" s="42" t="str">
        <f t="shared" si="68"/>
        <v/>
      </c>
      <c r="AI183" s="90"/>
      <c r="AJ183" s="42" t="str">
        <f t="shared" si="69"/>
        <v/>
      </c>
      <c r="AK183" s="42" t="str">
        <f t="shared" si="70"/>
        <v/>
      </c>
      <c r="AL183" s="14" t="str">
        <f t="shared" si="71"/>
        <v/>
      </c>
      <c r="AM183" s="14" t="str">
        <f t="shared" si="72"/>
        <v/>
      </c>
      <c r="AN183" s="14" t="str">
        <f t="shared" si="73"/>
        <v/>
      </c>
      <c r="AO183" s="14" t="str">
        <f>IF(OR($C183="01-09",$D183="Male"),"",INDEX(PMTCT!$AD:$AD,MATCH($E183,PMTCT!$E:$E,0)))</f>
        <v/>
      </c>
      <c r="AP183" s="14" t="str">
        <f>IF(OR($C183="01-09",$D183="Male"),"",INDEX(PMTCT!$AT:$AT,MATCH($E183,PMTCT!$E:$E,0)))</f>
        <v/>
      </c>
      <c r="AQ183" s="14" t="str">
        <f>INDEX(TB!$Q:$Q,MATCH($E183,TB!$E:$E,0))</f>
        <v/>
      </c>
      <c r="AR183" s="14" t="str">
        <f>IF(OR($C183="01-09",$C183="10-14",$D183="Female"),"",INDEX(VMMC!$AB:$AB,MATCH($E183,VMMC!$E:$E,0)))</f>
        <v/>
      </c>
      <c r="AS183" s="14" t="str">
        <f>IF(OR($C183="01-09",$C183="10-14"),"",INDEX(PrEP!$Q:$Q,MATCH($E183,PrEP!$E:$E,0)))</f>
        <v/>
      </c>
      <c r="AT183" s="14" t="str">
        <f t="shared" si="74"/>
        <v/>
      </c>
      <c r="AU183" s="14" t="str">
        <f t="shared" si="75"/>
        <v/>
      </c>
      <c r="AV183" s="90" t="str">
        <f t="shared" si="76"/>
        <v/>
      </c>
      <c r="AW183" s="14"/>
      <c r="AX183" s="90" t="str">
        <f t="shared" si="77"/>
        <v/>
      </c>
      <c r="AY183" s="42" t="str">
        <f t="shared" si="78"/>
        <v/>
      </c>
      <c r="AZ183" s="90" t="str">
        <f t="shared" si="79"/>
        <v/>
      </c>
      <c r="BA183" s="42" t="str">
        <f t="shared" si="80"/>
        <v/>
      </c>
    </row>
    <row r="184" spans="1:53" x14ac:dyDescent="0.2">
      <c r="A184" t="str">
        <f>INDEX(Prioritization!$D:$D,MATCH($B184,Prioritization!$A:$A,0))</f>
        <v>INVALID</v>
      </c>
      <c r="B184" t="s">
        <v>207</v>
      </c>
      <c r="C184" t="s">
        <v>362</v>
      </c>
      <c r="D184" t="s">
        <v>47</v>
      </c>
      <c r="E184" t="str">
        <f t="shared" si="54"/>
        <v>Nkhata Bay District [E7zpfyBt7Tw]|01-09|Male</v>
      </c>
      <c r="F184" s="90">
        <f>IF(LEFT($B184,4)="_Mil","",INDEX(Cascade!$AA:$AA,MATCH($E184,Cascade!$E:$E,0)))</f>
        <v>1609</v>
      </c>
      <c r="G184" s="14">
        <f>INDEX(Cascade!$BH:$BH,MATCH($E184,Cascade!$E:$E,0))</f>
        <v>0</v>
      </c>
      <c r="H184" s="14" t="str">
        <f>IF(OR($C184="01-09",$D184="Male"),"",INDEX(PMTCT!$AC:$AC,MATCH($E184,PMTCT!$E:$E,0)))</f>
        <v/>
      </c>
      <c r="I184" s="14" t="str">
        <f>IF(OR($C184="01-09",$D184="Male"),"",INDEX(PMTCT!$AS:$AS,MATCH($E184,PMTCT!$E:$E,0)))</f>
        <v/>
      </c>
      <c r="J184" s="14" t="str">
        <f>INDEX(TB!$P:$P,MATCH($E184,TB!$E:$E,0))</f>
        <v/>
      </c>
      <c r="K184" s="14" t="str">
        <f>IF(OR($C184="01-09",$C184="10-14",$D184="Female"),"",INDEX(VMMC!$AA:$AA,MATCH($E184,VMMC!$E:$E,0)))</f>
        <v/>
      </c>
      <c r="L184" s="14">
        <f t="shared" si="55"/>
        <v>0</v>
      </c>
      <c r="M184" s="90" t="str">
        <f t="shared" si="56"/>
        <v/>
      </c>
      <c r="N184" s="90" t="str">
        <f t="shared" si="57"/>
        <v/>
      </c>
      <c r="O184" s="90" t="str">
        <f t="shared" si="58"/>
        <v/>
      </c>
      <c r="P184" s="90" t="str">
        <f t="shared" si="59"/>
        <v/>
      </c>
      <c r="Q184" s="90"/>
      <c r="R184" s="90"/>
      <c r="S184" s="90"/>
      <c r="T184" s="90"/>
      <c r="U184" s="90"/>
      <c r="V184" s="90" t="str">
        <f t="shared" si="60"/>
        <v/>
      </c>
      <c r="W184" s="90"/>
      <c r="X184" s="42" t="str">
        <f t="shared" si="61"/>
        <v/>
      </c>
      <c r="Y184" s="42" t="str">
        <f t="shared" si="62"/>
        <v/>
      </c>
      <c r="Z184" s="90"/>
      <c r="AA184" s="42" t="str">
        <f t="shared" si="63"/>
        <v/>
      </c>
      <c r="AB184" s="42" t="str">
        <f t="shared" si="64"/>
        <v/>
      </c>
      <c r="AC184" s="90"/>
      <c r="AD184" s="42" t="str">
        <f t="shared" si="65"/>
        <v/>
      </c>
      <c r="AE184" s="42" t="str">
        <f t="shared" si="66"/>
        <v/>
      </c>
      <c r="AF184" s="90"/>
      <c r="AG184" s="42" t="str">
        <f t="shared" si="67"/>
        <v/>
      </c>
      <c r="AH184" s="42" t="str">
        <f t="shared" si="68"/>
        <v/>
      </c>
      <c r="AI184" s="90"/>
      <c r="AJ184" s="42" t="str">
        <f t="shared" si="69"/>
        <v/>
      </c>
      <c r="AK184" s="42" t="str">
        <f t="shared" si="70"/>
        <v/>
      </c>
      <c r="AL184" s="14" t="str">
        <f t="shared" si="71"/>
        <v/>
      </c>
      <c r="AM184" s="14" t="str">
        <f t="shared" si="72"/>
        <v/>
      </c>
      <c r="AN184" s="14" t="str">
        <f t="shared" si="73"/>
        <v/>
      </c>
      <c r="AO184" s="14" t="str">
        <f>IF(OR($C184="01-09",$D184="Male"),"",INDEX(PMTCT!$AD:$AD,MATCH($E184,PMTCT!$E:$E,0)))</f>
        <v/>
      </c>
      <c r="AP184" s="14" t="str">
        <f>IF(OR($C184="01-09",$D184="Male"),"",INDEX(PMTCT!$AT:$AT,MATCH($E184,PMTCT!$E:$E,0)))</f>
        <v/>
      </c>
      <c r="AQ184" s="14" t="str">
        <f>INDEX(TB!$Q:$Q,MATCH($E184,TB!$E:$E,0))</f>
        <v/>
      </c>
      <c r="AR184" s="14" t="str">
        <f>IF(OR($C184="01-09",$C184="10-14",$D184="Female"),"",INDEX(VMMC!$AB:$AB,MATCH($E184,VMMC!$E:$E,0)))</f>
        <v/>
      </c>
      <c r="AS184" s="14" t="str">
        <f>IF(OR($C184="01-09",$C184="10-14"),"",INDEX(PrEP!$Q:$Q,MATCH($E184,PrEP!$E:$E,0)))</f>
        <v/>
      </c>
      <c r="AT184" s="14" t="str">
        <f t="shared" si="74"/>
        <v/>
      </c>
      <c r="AU184" s="14" t="str">
        <f t="shared" si="75"/>
        <v/>
      </c>
      <c r="AV184" s="90" t="str">
        <f t="shared" si="76"/>
        <v/>
      </c>
      <c r="AW184" s="14"/>
      <c r="AX184" s="90" t="str">
        <f t="shared" si="77"/>
        <v/>
      </c>
      <c r="AY184" s="42" t="str">
        <f t="shared" si="78"/>
        <v/>
      </c>
      <c r="AZ184" s="90" t="str">
        <f t="shared" si="79"/>
        <v/>
      </c>
      <c r="BA184" s="42" t="str">
        <f t="shared" si="80"/>
        <v/>
      </c>
    </row>
    <row r="185" spans="1:53" x14ac:dyDescent="0.2">
      <c r="A185" t="str">
        <f>INDEX(Prioritization!$D:$D,MATCH($B185,Prioritization!$A:$A,0))</f>
        <v>INVALID</v>
      </c>
      <c r="B185" t="s">
        <v>207</v>
      </c>
      <c r="C185" t="s">
        <v>363</v>
      </c>
      <c r="D185" t="s">
        <v>29</v>
      </c>
      <c r="E185" t="str">
        <f t="shared" si="54"/>
        <v>Nkhata Bay District [E7zpfyBt7Tw]|10-14|Female</v>
      </c>
      <c r="F185" s="90">
        <f>IF(LEFT($B185,4)="_Mil","",INDEX(Cascade!$AA:$AA,MATCH($E185,Cascade!$E:$E,0)))</f>
        <v>1348</v>
      </c>
      <c r="G185" s="14">
        <f>INDEX(Cascade!$BH:$BH,MATCH($E185,Cascade!$E:$E,0))</f>
        <v>-76</v>
      </c>
      <c r="H185" s="14" t="str">
        <f>IF(OR($C185="01-09",$D185="Male"),"",INDEX(PMTCT!$AC:$AC,MATCH($E185,PMTCT!$E:$E,0)))</f>
        <v>ENTER YIELD RATE</v>
      </c>
      <c r="I185" s="14" t="str">
        <f>IF(OR($C185="01-09",$D185="Male"),"",INDEX(PMTCT!$AS:$AS,MATCH($E185,PMTCT!$E:$E,0)))</f>
        <v>ENTER YIELD RATE</v>
      </c>
      <c r="J185" s="14" t="str">
        <f>INDEX(TB!$P:$P,MATCH($E185,TB!$E:$E,0))</f>
        <v>ENTER YIELD RATE</v>
      </c>
      <c r="K185" s="14" t="str">
        <f>IF(OR($C185="01-09",$C185="10-14",$D185="Female"),"",INDEX(VMMC!$AA:$AA,MATCH($E185,VMMC!$E:$E,0)))</f>
        <v/>
      </c>
      <c r="L185" s="14">
        <f t="shared" si="55"/>
        <v>-76</v>
      </c>
      <c r="M185" s="90">
        <f t="shared" si="56"/>
        <v>0</v>
      </c>
      <c r="N185" s="90">
        <f t="shared" si="57"/>
        <v>0</v>
      </c>
      <c r="O185" s="90">
        <f t="shared" si="58"/>
        <v>0</v>
      </c>
      <c r="P185" s="90" t="str">
        <f t="shared" si="59"/>
        <v/>
      </c>
      <c r="Q185" s="90">
        <v>0.194351903395727</v>
      </c>
      <c r="R185" s="90"/>
      <c r="S185" s="90"/>
      <c r="T185" s="90"/>
      <c r="U185" s="90">
        <v>0.33653615135699499</v>
      </c>
      <c r="V185" s="90">
        <f t="shared" si="60"/>
        <v>0.53088805475272194</v>
      </c>
      <c r="W185" s="90"/>
      <c r="X185" s="42">
        <f t="shared" si="61"/>
        <v>-15</v>
      </c>
      <c r="Y185" s="42" t="str">
        <f t="shared" si="62"/>
        <v>ENTER YIELD</v>
      </c>
      <c r="Z185" s="90"/>
      <c r="AA185" s="42" t="str">
        <f t="shared" si="63"/>
        <v/>
      </c>
      <c r="AB185" s="42" t="str">
        <f t="shared" si="64"/>
        <v/>
      </c>
      <c r="AC185" s="90"/>
      <c r="AD185" s="42" t="str">
        <f t="shared" si="65"/>
        <v/>
      </c>
      <c r="AE185" s="42" t="str">
        <f t="shared" si="66"/>
        <v/>
      </c>
      <c r="AF185" s="90"/>
      <c r="AG185" s="42" t="str">
        <f t="shared" si="67"/>
        <v/>
      </c>
      <c r="AH185" s="42" t="str">
        <f t="shared" si="68"/>
        <v/>
      </c>
      <c r="AI185" s="90"/>
      <c r="AJ185" s="42">
        <f t="shared" si="69"/>
        <v>-26</v>
      </c>
      <c r="AK185" s="42" t="str">
        <f t="shared" si="70"/>
        <v>ENTER YIELD</v>
      </c>
      <c r="AL185" s="14">
        <f t="shared" si="71"/>
        <v>-76</v>
      </c>
      <c r="AM185" s="14">
        <f t="shared" si="72"/>
        <v>-41</v>
      </c>
      <c r="AN185" s="14">
        <f t="shared" si="73"/>
        <v>35</v>
      </c>
      <c r="AO185" s="14">
        <f>IF(OR($C185="01-09",$D185="Male"),"",INDEX(PMTCT!$AD:$AD,MATCH($E185,PMTCT!$E:$E,0)))</f>
        <v>4</v>
      </c>
      <c r="AP185" s="14">
        <f>IF(OR($C185="01-09",$D185="Male"),"",INDEX(PMTCT!$AT:$AT,MATCH($E185,PMTCT!$E:$E,0)))</f>
        <v>4</v>
      </c>
      <c r="AQ185" s="14">
        <f>INDEX(TB!$Q:$Q,MATCH($E185,TB!$E:$E,0))</f>
        <v>1</v>
      </c>
      <c r="AR185" s="14" t="str">
        <f>IF(OR($C185="01-09",$C185="10-14",$D185="Female"),"",INDEX(VMMC!$AB:$AB,MATCH($E185,VMMC!$E:$E,0)))</f>
        <v/>
      </c>
      <c r="AS185" s="14" t="str">
        <f>IF(OR($C185="01-09",$C185="10-14"),"",INDEX(PrEP!$Q:$Q,MATCH($E185,PrEP!$E:$E,0)))</f>
        <v/>
      </c>
      <c r="AT185" s="14">
        <f t="shared" si="74"/>
        <v>9</v>
      </c>
      <c r="AU185" s="14">
        <f t="shared" si="75"/>
        <v>-32</v>
      </c>
      <c r="AV185" s="90">
        <f t="shared" si="76"/>
        <v>1.28125</v>
      </c>
      <c r="AW185" s="14"/>
      <c r="AX185" s="90" t="str">
        <f t="shared" si="77"/>
        <v/>
      </c>
      <c r="AY185" s="42" t="str">
        <f t="shared" si="78"/>
        <v/>
      </c>
      <c r="AZ185" s="90" t="str">
        <f t="shared" si="79"/>
        <v/>
      </c>
      <c r="BA185" s="42" t="str">
        <f t="shared" si="80"/>
        <v/>
      </c>
    </row>
    <row r="186" spans="1:53" x14ac:dyDescent="0.2">
      <c r="A186" t="str">
        <f>INDEX(Prioritization!$D:$D,MATCH($B186,Prioritization!$A:$A,0))</f>
        <v>INVALID</v>
      </c>
      <c r="B186" t="s">
        <v>207</v>
      </c>
      <c r="C186" t="s">
        <v>363</v>
      </c>
      <c r="D186" t="s">
        <v>47</v>
      </c>
      <c r="E186" t="str">
        <f t="shared" si="54"/>
        <v>Nkhata Bay District [E7zpfyBt7Tw]|10-14|Male</v>
      </c>
      <c r="F186" s="90">
        <f>IF(LEFT($B186,4)="_Mil","",INDEX(Cascade!$AA:$AA,MATCH($E186,Cascade!$E:$E,0)))</f>
        <v>1570</v>
      </c>
      <c r="G186" s="14">
        <f>INDEX(Cascade!$BH:$BH,MATCH($E186,Cascade!$E:$E,0))</f>
        <v>-87</v>
      </c>
      <c r="H186" s="14" t="str">
        <f>IF(OR($C186="01-09",$D186="Male"),"",INDEX(PMTCT!$AC:$AC,MATCH($E186,PMTCT!$E:$E,0)))</f>
        <v/>
      </c>
      <c r="I186" s="14" t="str">
        <f>IF(OR($C186="01-09",$D186="Male"),"",INDEX(PMTCT!$AS:$AS,MATCH($E186,PMTCT!$E:$E,0)))</f>
        <v/>
      </c>
      <c r="J186" s="14" t="str">
        <f>INDEX(TB!$P:$P,MATCH($E186,TB!$E:$E,0))</f>
        <v/>
      </c>
      <c r="K186" s="14" t="str">
        <f>IF(OR($C186="01-09",$C186="10-14",$D186="Female"),"",INDEX(VMMC!$AA:$AA,MATCH($E186,VMMC!$E:$E,0)))</f>
        <v/>
      </c>
      <c r="L186" s="14">
        <f t="shared" si="55"/>
        <v>-87</v>
      </c>
      <c r="M186" s="90" t="str">
        <f t="shared" si="56"/>
        <v/>
      </c>
      <c r="N186" s="90" t="str">
        <f t="shared" si="57"/>
        <v/>
      </c>
      <c r="O186" s="90">
        <f t="shared" si="58"/>
        <v>0</v>
      </c>
      <c r="P186" s="90" t="str">
        <f t="shared" si="59"/>
        <v/>
      </c>
      <c r="Q186" s="90">
        <v>0.79410266550257802</v>
      </c>
      <c r="R186" s="90"/>
      <c r="S186" s="90"/>
      <c r="T186" s="90"/>
      <c r="U186" s="90">
        <v>0.57189519004896305</v>
      </c>
      <c r="V186" s="90">
        <f t="shared" si="60"/>
        <v>1.3659978555515411</v>
      </c>
      <c r="W186" s="90"/>
      <c r="X186" s="42">
        <f t="shared" si="61"/>
        <v>-69</v>
      </c>
      <c r="Y186" s="42" t="str">
        <f t="shared" si="62"/>
        <v>ENTER YIELD</v>
      </c>
      <c r="Z186" s="90"/>
      <c r="AA186" s="42" t="str">
        <f t="shared" si="63"/>
        <v/>
      </c>
      <c r="AB186" s="42" t="str">
        <f t="shared" si="64"/>
        <v/>
      </c>
      <c r="AC186" s="90"/>
      <c r="AD186" s="42" t="str">
        <f t="shared" si="65"/>
        <v/>
      </c>
      <c r="AE186" s="42" t="str">
        <f t="shared" si="66"/>
        <v/>
      </c>
      <c r="AF186" s="90"/>
      <c r="AG186" s="42" t="str">
        <f t="shared" si="67"/>
        <v/>
      </c>
      <c r="AH186" s="42" t="str">
        <f t="shared" si="68"/>
        <v/>
      </c>
      <c r="AI186" s="90"/>
      <c r="AJ186" s="42">
        <f t="shared" si="69"/>
        <v>-50</v>
      </c>
      <c r="AK186" s="42" t="str">
        <f t="shared" si="70"/>
        <v>ENTER YIELD</v>
      </c>
      <c r="AL186" s="14">
        <f t="shared" si="71"/>
        <v>-87</v>
      </c>
      <c r="AM186" s="14">
        <f t="shared" si="72"/>
        <v>-119</v>
      </c>
      <c r="AN186" s="14">
        <f t="shared" si="73"/>
        <v>-32</v>
      </c>
      <c r="AO186" s="14" t="str">
        <f>IF(OR($C186="01-09",$D186="Male"),"",INDEX(PMTCT!$AD:$AD,MATCH($E186,PMTCT!$E:$E,0)))</f>
        <v/>
      </c>
      <c r="AP186" s="14" t="str">
        <f>IF(OR($C186="01-09",$D186="Male"),"",INDEX(PMTCT!$AT:$AT,MATCH($E186,PMTCT!$E:$E,0)))</f>
        <v/>
      </c>
      <c r="AQ186" s="14" t="str">
        <f>INDEX(TB!$Q:$Q,MATCH($E186,TB!$E:$E,0))</f>
        <v/>
      </c>
      <c r="AR186" s="14" t="str">
        <f>IF(OR($C186="01-09",$C186="10-14",$D186="Female"),"",INDEX(VMMC!$AB:$AB,MATCH($E186,VMMC!$E:$E,0)))</f>
        <v/>
      </c>
      <c r="AS186" s="14" t="str">
        <f>IF(OR($C186="01-09",$C186="10-14"),"",INDEX(PrEP!$Q:$Q,MATCH($E186,PrEP!$E:$E,0)))</f>
        <v/>
      </c>
      <c r="AT186" s="14" t="str">
        <f t="shared" si="74"/>
        <v/>
      </c>
      <c r="AU186" s="14">
        <f t="shared" si="75"/>
        <v>-119</v>
      </c>
      <c r="AV186" s="90">
        <f t="shared" si="76"/>
        <v>1</v>
      </c>
      <c r="AW186" s="14"/>
      <c r="AX186" s="90" t="str">
        <f t="shared" si="77"/>
        <v/>
      </c>
      <c r="AY186" s="42" t="str">
        <f t="shared" si="78"/>
        <v/>
      </c>
      <c r="AZ186" s="90" t="str">
        <f t="shared" si="79"/>
        <v/>
      </c>
      <c r="BA186" s="42" t="str">
        <f t="shared" si="80"/>
        <v/>
      </c>
    </row>
    <row r="187" spans="1:53" x14ac:dyDescent="0.2">
      <c r="A187" t="str">
        <f>INDEX(Prioritization!$D:$D,MATCH($B187,Prioritization!$A:$A,0))</f>
        <v>INVALID</v>
      </c>
      <c r="B187" t="s">
        <v>207</v>
      </c>
      <c r="C187" t="s">
        <v>364</v>
      </c>
      <c r="D187" t="s">
        <v>29</v>
      </c>
      <c r="E187" t="str">
        <f t="shared" si="54"/>
        <v>Nkhata Bay District [E7zpfyBt7Tw]|15-24|Female</v>
      </c>
      <c r="F187" s="90">
        <f>IF(LEFT($B187,4)="_Mil","",INDEX(Cascade!$AA:$AA,MATCH($E187,Cascade!$E:$E,0)))</f>
        <v>1731</v>
      </c>
      <c r="G187" s="14">
        <f>INDEX(Cascade!$BH:$BH,MATCH($E187,Cascade!$E:$E,0))</f>
        <v>0</v>
      </c>
      <c r="H187" s="14" t="str">
        <f>IF(OR($C187="01-09",$D187="Male"),"",INDEX(PMTCT!$AC:$AC,MATCH($E187,PMTCT!$E:$E,0)))</f>
        <v/>
      </c>
      <c r="I187" s="14" t="str">
        <f>IF(OR($C187="01-09",$D187="Male"),"",INDEX(PMTCT!$AS:$AS,MATCH($E187,PMTCT!$E:$E,0)))</f>
        <v/>
      </c>
      <c r="J187" s="14" t="str">
        <f>INDEX(TB!$P:$P,MATCH($E187,TB!$E:$E,0))</f>
        <v/>
      </c>
      <c r="K187" s="14" t="str">
        <f>IF(OR($C187="01-09",$C187="10-14",$D187="Female"),"",INDEX(VMMC!$AA:$AA,MATCH($E187,VMMC!$E:$E,0)))</f>
        <v/>
      </c>
      <c r="L187" s="14">
        <f t="shared" si="55"/>
        <v>0</v>
      </c>
      <c r="M187" s="90" t="str">
        <f t="shared" si="56"/>
        <v/>
      </c>
      <c r="N187" s="90" t="str">
        <f t="shared" si="57"/>
        <v/>
      </c>
      <c r="O187" s="90" t="str">
        <f t="shared" si="58"/>
        <v/>
      </c>
      <c r="P187" s="90" t="str">
        <f t="shared" si="59"/>
        <v/>
      </c>
      <c r="Q187" s="90"/>
      <c r="R187" s="90"/>
      <c r="S187" s="90"/>
      <c r="T187" s="90"/>
      <c r="U187" s="90"/>
      <c r="V187" s="90" t="str">
        <f t="shared" si="60"/>
        <v/>
      </c>
      <c r="W187" s="90"/>
      <c r="X187" s="42" t="str">
        <f t="shared" si="61"/>
        <v/>
      </c>
      <c r="Y187" s="42" t="str">
        <f t="shared" si="62"/>
        <v/>
      </c>
      <c r="Z187" s="90"/>
      <c r="AA187" s="42" t="str">
        <f t="shared" si="63"/>
        <v/>
      </c>
      <c r="AB187" s="42" t="str">
        <f t="shared" si="64"/>
        <v/>
      </c>
      <c r="AC187" s="90"/>
      <c r="AD187" s="42" t="str">
        <f t="shared" si="65"/>
        <v/>
      </c>
      <c r="AE187" s="42" t="str">
        <f t="shared" si="66"/>
        <v/>
      </c>
      <c r="AF187" s="90"/>
      <c r="AG187" s="42" t="str">
        <f t="shared" si="67"/>
        <v/>
      </c>
      <c r="AH187" s="42" t="str">
        <f t="shared" si="68"/>
        <v/>
      </c>
      <c r="AI187" s="90"/>
      <c r="AJ187" s="42" t="str">
        <f t="shared" si="69"/>
        <v/>
      </c>
      <c r="AK187" s="42" t="str">
        <f t="shared" si="70"/>
        <v/>
      </c>
      <c r="AL187" s="14" t="str">
        <f t="shared" si="71"/>
        <v/>
      </c>
      <c r="AM187" s="14" t="str">
        <f t="shared" si="72"/>
        <v/>
      </c>
      <c r="AN187" s="14" t="str">
        <f t="shared" si="73"/>
        <v/>
      </c>
      <c r="AO187" s="14" t="str">
        <f>IF(OR($C187="01-09",$D187="Male"),"",INDEX(PMTCT!$AD:$AD,MATCH($E187,PMTCT!$E:$E,0)))</f>
        <v/>
      </c>
      <c r="AP187" s="14" t="str">
        <f>IF(OR($C187="01-09",$D187="Male"),"",INDEX(PMTCT!$AT:$AT,MATCH($E187,PMTCT!$E:$E,0)))</f>
        <v/>
      </c>
      <c r="AQ187" s="14" t="str">
        <f>INDEX(TB!$Q:$Q,MATCH($E187,TB!$E:$E,0))</f>
        <v/>
      </c>
      <c r="AR187" s="14" t="str">
        <f>IF(OR($C187="01-09",$C187="10-14",$D187="Female"),"",INDEX(VMMC!$AB:$AB,MATCH($E187,VMMC!$E:$E,0)))</f>
        <v/>
      </c>
      <c r="AS187" s="14" t="str">
        <f>IF(OR($C187="01-09",$C187="10-14"),"",INDEX(PrEP!$Q:$Q,MATCH($E187,PrEP!$E:$E,0)))</f>
        <v/>
      </c>
      <c r="AT187" s="14" t="str">
        <f t="shared" si="74"/>
        <v/>
      </c>
      <c r="AU187" s="14" t="str">
        <f t="shared" si="75"/>
        <v/>
      </c>
      <c r="AV187" s="90" t="str">
        <f t="shared" si="76"/>
        <v/>
      </c>
      <c r="AW187" s="14"/>
      <c r="AX187" s="90" t="str">
        <f t="shared" si="77"/>
        <v/>
      </c>
      <c r="AY187" s="42" t="str">
        <f t="shared" si="78"/>
        <v/>
      </c>
      <c r="AZ187" s="90">
        <f t="shared" si="79"/>
        <v>1</v>
      </c>
      <c r="BA187" s="42" t="str">
        <f t="shared" si="80"/>
        <v/>
      </c>
    </row>
    <row r="188" spans="1:53" x14ac:dyDescent="0.2">
      <c r="A188" t="str">
        <f>INDEX(Prioritization!$D:$D,MATCH($B188,Prioritization!$A:$A,0))</f>
        <v>INVALID</v>
      </c>
      <c r="B188" t="s">
        <v>207</v>
      </c>
      <c r="C188" t="s">
        <v>364</v>
      </c>
      <c r="D188" t="s">
        <v>47</v>
      </c>
      <c r="E188" t="str">
        <f t="shared" si="54"/>
        <v>Nkhata Bay District [E7zpfyBt7Tw]|15-24|Male</v>
      </c>
      <c r="F188" s="90">
        <f>IF(LEFT($B188,4)="_Mil","",INDEX(Cascade!$AA:$AA,MATCH($E188,Cascade!$E:$E,0)))</f>
        <v>953</v>
      </c>
      <c r="G188" s="14">
        <f>INDEX(Cascade!$BH:$BH,MATCH($E188,Cascade!$E:$E,0))</f>
        <v>0</v>
      </c>
      <c r="H188" s="14" t="str">
        <f>IF(OR($C188="01-09",$D188="Male"),"",INDEX(PMTCT!$AC:$AC,MATCH($E188,PMTCT!$E:$E,0)))</f>
        <v/>
      </c>
      <c r="I188" s="14" t="str">
        <f>IF(OR($C188="01-09",$D188="Male"),"",INDEX(PMTCT!$AS:$AS,MATCH($E188,PMTCT!$E:$E,0)))</f>
        <v/>
      </c>
      <c r="J188" s="14" t="str">
        <f>INDEX(TB!$P:$P,MATCH($E188,TB!$E:$E,0))</f>
        <v/>
      </c>
      <c r="K188" s="14" t="str">
        <f>IF(OR($C188="01-09",$C188="10-14",$D188="Female"),"",INDEX(VMMC!$AA:$AA,MATCH($E188,VMMC!$E:$E,0)))</f>
        <v/>
      </c>
      <c r="L188" s="14">
        <f t="shared" si="55"/>
        <v>0</v>
      </c>
      <c r="M188" s="90" t="str">
        <f t="shared" si="56"/>
        <v/>
      </c>
      <c r="N188" s="90" t="str">
        <f t="shared" si="57"/>
        <v/>
      </c>
      <c r="O188" s="90" t="str">
        <f t="shared" si="58"/>
        <v/>
      </c>
      <c r="P188" s="90" t="str">
        <f t="shared" si="59"/>
        <v/>
      </c>
      <c r="Q188" s="90"/>
      <c r="R188" s="90"/>
      <c r="S188" s="90"/>
      <c r="T188" s="90"/>
      <c r="U188" s="90"/>
      <c r="V188" s="90" t="str">
        <f t="shared" si="60"/>
        <v/>
      </c>
      <c r="W188" s="90"/>
      <c r="X188" s="42" t="str">
        <f t="shared" si="61"/>
        <v/>
      </c>
      <c r="Y188" s="42" t="str">
        <f t="shared" si="62"/>
        <v/>
      </c>
      <c r="Z188" s="90"/>
      <c r="AA188" s="42" t="str">
        <f t="shared" si="63"/>
        <v/>
      </c>
      <c r="AB188" s="42" t="str">
        <f t="shared" si="64"/>
        <v/>
      </c>
      <c r="AC188" s="90"/>
      <c r="AD188" s="42" t="str">
        <f t="shared" si="65"/>
        <v/>
      </c>
      <c r="AE188" s="42" t="str">
        <f t="shared" si="66"/>
        <v/>
      </c>
      <c r="AF188" s="90"/>
      <c r="AG188" s="42" t="str">
        <f t="shared" si="67"/>
        <v/>
      </c>
      <c r="AH188" s="42" t="str">
        <f t="shared" si="68"/>
        <v/>
      </c>
      <c r="AI188" s="90"/>
      <c r="AJ188" s="42" t="str">
        <f t="shared" si="69"/>
        <v/>
      </c>
      <c r="AK188" s="42" t="str">
        <f t="shared" si="70"/>
        <v/>
      </c>
      <c r="AL188" s="14" t="str">
        <f t="shared" si="71"/>
        <v/>
      </c>
      <c r="AM188" s="14" t="str">
        <f t="shared" si="72"/>
        <v/>
      </c>
      <c r="AN188" s="14" t="str">
        <f t="shared" si="73"/>
        <v/>
      </c>
      <c r="AO188" s="14" t="str">
        <f>IF(OR($C188="01-09",$D188="Male"),"",INDEX(PMTCT!$AD:$AD,MATCH($E188,PMTCT!$E:$E,0)))</f>
        <v/>
      </c>
      <c r="AP188" s="14" t="str">
        <f>IF(OR($C188="01-09",$D188="Male"),"",INDEX(PMTCT!$AT:$AT,MATCH($E188,PMTCT!$E:$E,0)))</f>
        <v/>
      </c>
      <c r="AQ188" s="14" t="str">
        <f>INDEX(TB!$Q:$Q,MATCH($E188,TB!$E:$E,0))</f>
        <v/>
      </c>
      <c r="AR188" s="14" t="str">
        <f>IF(OR($C188="01-09",$C188="10-14",$D188="Female"),"",INDEX(VMMC!$AB:$AB,MATCH($E188,VMMC!$E:$E,0)))</f>
        <v/>
      </c>
      <c r="AS188" s="14" t="str">
        <f>IF(OR($C188="01-09",$C188="10-14"),"",INDEX(PrEP!$Q:$Q,MATCH($E188,PrEP!$E:$E,0)))</f>
        <v/>
      </c>
      <c r="AT188" s="14" t="str">
        <f t="shared" si="74"/>
        <v/>
      </c>
      <c r="AU188" s="14" t="str">
        <f t="shared" si="75"/>
        <v/>
      </c>
      <c r="AV188" s="90" t="str">
        <f t="shared" si="76"/>
        <v/>
      </c>
      <c r="AW188" s="14"/>
      <c r="AX188" s="90" t="str">
        <f t="shared" si="77"/>
        <v/>
      </c>
      <c r="AY188" s="42" t="str">
        <f t="shared" si="78"/>
        <v/>
      </c>
      <c r="AZ188" s="90">
        <f t="shared" si="79"/>
        <v>1</v>
      </c>
      <c r="BA188" s="42" t="str">
        <f t="shared" si="80"/>
        <v/>
      </c>
    </row>
    <row r="189" spans="1:53" x14ac:dyDescent="0.2">
      <c r="A189" t="str">
        <f>INDEX(Prioritization!$D:$D,MATCH($B189,Prioritization!$A:$A,0))</f>
        <v>INVALID</v>
      </c>
      <c r="B189" t="s">
        <v>207</v>
      </c>
      <c r="C189" t="s">
        <v>365</v>
      </c>
      <c r="D189" t="s">
        <v>29</v>
      </c>
      <c r="E189" t="str">
        <f t="shared" si="54"/>
        <v>Nkhata Bay District [E7zpfyBt7Tw]|25-34|Female</v>
      </c>
      <c r="F189" s="90">
        <f>IF(LEFT($B189,4)="_Mil","",INDEX(Cascade!$AA:$AA,MATCH($E189,Cascade!$E:$E,0)))</f>
        <v>2000</v>
      </c>
      <c r="G189" s="14">
        <f>INDEX(Cascade!$BH:$BH,MATCH($E189,Cascade!$E:$E,0))</f>
        <v>0</v>
      </c>
      <c r="H189" s="14" t="str">
        <f>IF(OR($C189="01-09",$D189="Male"),"",INDEX(PMTCT!$AC:$AC,MATCH($E189,PMTCT!$E:$E,0)))</f>
        <v/>
      </c>
      <c r="I189" s="14" t="str">
        <f>IF(OR($C189="01-09",$D189="Male"),"",INDEX(PMTCT!$AS:$AS,MATCH($E189,PMTCT!$E:$E,0)))</f>
        <v/>
      </c>
      <c r="J189" s="14" t="str">
        <f>INDEX(TB!$P:$P,MATCH($E189,TB!$E:$E,0))</f>
        <v/>
      </c>
      <c r="K189" s="14" t="str">
        <f>IF(OR($C189="01-09",$C189="10-14",$D189="Female"),"",INDEX(VMMC!$AA:$AA,MATCH($E189,VMMC!$E:$E,0)))</f>
        <v/>
      </c>
      <c r="L189" s="14">
        <f t="shared" si="55"/>
        <v>0</v>
      </c>
      <c r="M189" s="90" t="str">
        <f t="shared" si="56"/>
        <v/>
      </c>
      <c r="N189" s="90" t="str">
        <f t="shared" si="57"/>
        <v/>
      </c>
      <c r="O189" s="90" t="str">
        <f t="shared" si="58"/>
        <v/>
      </c>
      <c r="P189" s="90" t="str">
        <f t="shared" si="59"/>
        <v/>
      </c>
      <c r="Q189" s="90"/>
      <c r="R189" s="90"/>
      <c r="S189" s="90"/>
      <c r="T189" s="90"/>
      <c r="U189" s="90"/>
      <c r="V189" s="90" t="str">
        <f t="shared" si="60"/>
        <v/>
      </c>
      <c r="W189" s="90"/>
      <c r="X189" s="42" t="str">
        <f t="shared" si="61"/>
        <v/>
      </c>
      <c r="Y189" s="42" t="str">
        <f t="shared" si="62"/>
        <v/>
      </c>
      <c r="Z189" s="90"/>
      <c r="AA189" s="42" t="str">
        <f t="shared" si="63"/>
        <v/>
      </c>
      <c r="AB189" s="42" t="str">
        <f t="shared" si="64"/>
        <v/>
      </c>
      <c r="AC189" s="90"/>
      <c r="AD189" s="42" t="str">
        <f t="shared" si="65"/>
        <v/>
      </c>
      <c r="AE189" s="42" t="str">
        <f t="shared" si="66"/>
        <v/>
      </c>
      <c r="AF189" s="90"/>
      <c r="AG189" s="42" t="str">
        <f t="shared" si="67"/>
        <v/>
      </c>
      <c r="AH189" s="42" t="str">
        <f t="shared" si="68"/>
        <v/>
      </c>
      <c r="AI189" s="90"/>
      <c r="AJ189" s="42" t="str">
        <f t="shared" si="69"/>
        <v/>
      </c>
      <c r="AK189" s="42" t="str">
        <f t="shared" si="70"/>
        <v/>
      </c>
      <c r="AL189" s="14" t="str">
        <f t="shared" si="71"/>
        <v/>
      </c>
      <c r="AM189" s="14" t="str">
        <f t="shared" si="72"/>
        <v/>
      </c>
      <c r="AN189" s="14" t="str">
        <f t="shared" si="73"/>
        <v/>
      </c>
      <c r="AO189" s="14" t="str">
        <f>IF(OR($C189="01-09",$D189="Male"),"",INDEX(PMTCT!$AD:$AD,MATCH($E189,PMTCT!$E:$E,0)))</f>
        <v/>
      </c>
      <c r="AP189" s="14" t="str">
        <f>IF(OR($C189="01-09",$D189="Male"),"",INDEX(PMTCT!$AT:$AT,MATCH($E189,PMTCT!$E:$E,0)))</f>
        <v/>
      </c>
      <c r="AQ189" s="14" t="str">
        <f>INDEX(TB!$Q:$Q,MATCH($E189,TB!$E:$E,0))</f>
        <v/>
      </c>
      <c r="AR189" s="14" t="str">
        <f>IF(OR($C189="01-09",$C189="10-14",$D189="Female"),"",INDEX(VMMC!$AB:$AB,MATCH($E189,VMMC!$E:$E,0)))</f>
        <v/>
      </c>
      <c r="AS189" s="14" t="str">
        <f>IF(OR($C189="01-09",$C189="10-14"),"",INDEX(PrEP!$Q:$Q,MATCH($E189,PrEP!$E:$E,0)))</f>
        <v/>
      </c>
      <c r="AT189" s="14" t="str">
        <f t="shared" si="74"/>
        <v/>
      </c>
      <c r="AU189" s="14" t="str">
        <f t="shared" si="75"/>
        <v/>
      </c>
      <c r="AV189" s="90" t="str">
        <f t="shared" si="76"/>
        <v/>
      </c>
      <c r="AW189" s="14"/>
      <c r="AX189" s="90" t="str">
        <f t="shared" si="77"/>
        <v/>
      </c>
      <c r="AY189" s="42" t="str">
        <f t="shared" si="78"/>
        <v/>
      </c>
      <c r="AZ189" s="90">
        <f t="shared" si="79"/>
        <v>1</v>
      </c>
      <c r="BA189" s="42" t="str">
        <f t="shared" si="80"/>
        <v/>
      </c>
    </row>
    <row r="190" spans="1:53" x14ac:dyDescent="0.2">
      <c r="A190" t="str">
        <f>INDEX(Prioritization!$D:$D,MATCH($B190,Prioritization!$A:$A,0))</f>
        <v>INVALID</v>
      </c>
      <c r="B190" t="s">
        <v>207</v>
      </c>
      <c r="C190" t="s">
        <v>365</v>
      </c>
      <c r="D190" t="s">
        <v>47</v>
      </c>
      <c r="E190" t="str">
        <f t="shared" si="54"/>
        <v>Nkhata Bay District [E7zpfyBt7Tw]|25-34|Male</v>
      </c>
      <c r="F190" s="90">
        <f>IF(LEFT($B190,4)="_Mil","",INDEX(Cascade!$AA:$AA,MATCH($E190,Cascade!$E:$E,0)))</f>
        <v>1023</v>
      </c>
      <c r="G190" s="14">
        <f>INDEX(Cascade!$BH:$BH,MATCH($E190,Cascade!$E:$E,0))</f>
        <v>0</v>
      </c>
      <c r="H190" s="14" t="str">
        <f>IF(OR($C190="01-09",$D190="Male"),"",INDEX(PMTCT!$AC:$AC,MATCH($E190,PMTCT!$E:$E,0)))</f>
        <v/>
      </c>
      <c r="I190" s="14" t="str">
        <f>IF(OR($C190="01-09",$D190="Male"),"",INDEX(PMTCT!$AS:$AS,MATCH($E190,PMTCT!$E:$E,0)))</f>
        <v/>
      </c>
      <c r="J190" s="14" t="str">
        <f>INDEX(TB!$P:$P,MATCH($E190,TB!$E:$E,0))</f>
        <v/>
      </c>
      <c r="K190" s="14" t="str">
        <f>IF(OR($C190="01-09",$C190="10-14",$D190="Female"),"",INDEX(VMMC!$AA:$AA,MATCH($E190,VMMC!$E:$E,0)))</f>
        <v/>
      </c>
      <c r="L190" s="14">
        <f t="shared" si="55"/>
        <v>0</v>
      </c>
      <c r="M190" s="90" t="str">
        <f t="shared" si="56"/>
        <v/>
      </c>
      <c r="N190" s="90" t="str">
        <f t="shared" si="57"/>
        <v/>
      </c>
      <c r="O190" s="90" t="str">
        <f t="shared" si="58"/>
        <v/>
      </c>
      <c r="P190" s="90" t="str">
        <f t="shared" si="59"/>
        <v/>
      </c>
      <c r="Q190" s="90"/>
      <c r="R190" s="90"/>
      <c r="S190" s="90"/>
      <c r="T190" s="90"/>
      <c r="U190" s="90"/>
      <c r="V190" s="90" t="str">
        <f t="shared" si="60"/>
        <v/>
      </c>
      <c r="W190" s="90"/>
      <c r="X190" s="42" t="str">
        <f t="shared" si="61"/>
        <v/>
      </c>
      <c r="Y190" s="42" t="str">
        <f t="shared" si="62"/>
        <v/>
      </c>
      <c r="Z190" s="90"/>
      <c r="AA190" s="42" t="str">
        <f t="shared" si="63"/>
        <v/>
      </c>
      <c r="AB190" s="42" t="str">
        <f t="shared" si="64"/>
        <v/>
      </c>
      <c r="AC190" s="90"/>
      <c r="AD190" s="42" t="str">
        <f t="shared" si="65"/>
        <v/>
      </c>
      <c r="AE190" s="42" t="str">
        <f t="shared" si="66"/>
        <v/>
      </c>
      <c r="AF190" s="90"/>
      <c r="AG190" s="42" t="str">
        <f t="shared" si="67"/>
        <v/>
      </c>
      <c r="AH190" s="42" t="str">
        <f t="shared" si="68"/>
        <v/>
      </c>
      <c r="AI190" s="90"/>
      <c r="AJ190" s="42" t="str">
        <f t="shared" si="69"/>
        <v/>
      </c>
      <c r="AK190" s="42" t="str">
        <f t="shared" si="70"/>
        <v/>
      </c>
      <c r="AL190" s="14" t="str">
        <f t="shared" si="71"/>
        <v/>
      </c>
      <c r="AM190" s="14" t="str">
        <f t="shared" si="72"/>
        <v/>
      </c>
      <c r="AN190" s="14" t="str">
        <f t="shared" si="73"/>
        <v/>
      </c>
      <c r="AO190" s="14" t="str">
        <f>IF(OR($C190="01-09",$D190="Male"),"",INDEX(PMTCT!$AD:$AD,MATCH($E190,PMTCT!$E:$E,0)))</f>
        <v/>
      </c>
      <c r="AP190" s="14" t="str">
        <f>IF(OR($C190="01-09",$D190="Male"),"",INDEX(PMTCT!$AT:$AT,MATCH($E190,PMTCT!$E:$E,0)))</f>
        <v/>
      </c>
      <c r="AQ190" s="14" t="str">
        <f>INDEX(TB!$Q:$Q,MATCH($E190,TB!$E:$E,0))</f>
        <v/>
      </c>
      <c r="AR190" s="14" t="str">
        <f>IF(OR($C190="01-09",$C190="10-14",$D190="Female"),"",INDEX(VMMC!$AB:$AB,MATCH($E190,VMMC!$E:$E,0)))</f>
        <v/>
      </c>
      <c r="AS190" s="14" t="str">
        <f>IF(OR($C190="01-09",$C190="10-14"),"",INDEX(PrEP!$Q:$Q,MATCH($E190,PrEP!$E:$E,0)))</f>
        <v/>
      </c>
      <c r="AT190" s="14" t="str">
        <f t="shared" si="74"/>
        <v/>
      </c>
      <c r="AU190" s="14" t="str">
        <f t="shared" si="75"/>
        <v/>
      </c>
      <c r="AV190" s="90" t="str">
        <f t="shared" si="76"/>
        <v/>
      </c>
      <c r="AW190" s="14"/>
      <c r="AX190" s="90" t="str">
        <f t="shared" si="77"/>
        <v/>
      </c>
      <c r="AY190" s="42" t="str">
        <f t="shared" si="78"/>
        <v/>
      </c>
      <c r="AZ190" s="90">
        <f t="shared" si="79"/>
        <v>1</v>
      </c>
      <c r="BA190" s="42" t="str">
        <f t="shared" si="80"/>
        <v/>
      </c>
    </row>
    <row r="191" spans="1:53" x14ac:dyDescent="0.2">
      <c r="A191" t="str">
        <f>INDEX(Prioritization!$D:$D,MATCH($B191,Prioritization!$A:$A,0))</f>
        <v>INVALID</v>
      </c>
      <c r="B191" t="s">
        <v>207</v>
      </c>
      <c r="C191" t="s">
        <v>366</v>
      </c>
      <c r="D191" t="s">
        <v>29</v>
      </c>
      <c r="E191" t="str">
        <f t="shared" si="54"/>
        <v>Nkhata Bay District [E7zpfyBt7Tw]|35-49|Female</v>
      </c>
      <c r="F191" s="90">
        <f>IF(LEFT($B191,4)="_Mil","",INDEX(Cascade!$AA:$AA,MATCH($E191,Cascade!$E:$E,0)))</f>
        <v>665</v>
      </c>
      <c r="G191" s="14">
        <f>INDEX(Cascade!$BH:$BH,MATCH($E191,Cascade!$E:$E,0))</f>
        <v>0</v>
      </c>
      <c r="H191" s="14" t="str">
        <f>IF(OR($C191="01-09",$D191="Male"),"",INDEX(PMTCT!$AC:$AC,MATCH($E191,PMTCT!$E:$E,0)))</f>
        <v/>
      </c>
      <c r="I191" s="14" t="str">
        <f>IF(OR($C191="01-09",$D191="Male"),"",INDEX(PMTCT!$AS:$AS,MATCH($E191,PMTCT!$E:$E,0)))</f>
        <v/>
      </c>
      <c r="J191" s="14" t="str">
        <f>INDEX(TB!$P:$P,MATCH($E191,TB!$E:$E,0))</f>
        <v/>
      </c>
      <c r="K191" s="14" t="str">
        <f>IF(OR($C191="01-09",$C191="10-14",$D191="Female"),"",INDEX(VMMC!$AA:$AA,MATCH($E191,VMMC!$E:$E,0)))</f>
        <v/>
      </c>
      <c r="L191" s="14">
        <f t="shared" si="55"/>
        <v>0</v>
      </c>
      <c r="M191" s="90" t="str">
        <f t="shared" si="56"/>
        <v/>
      </c>
      <c r="N191" s="90" t="str">
        <f t="shared" si="57"/>
        <v/>
      </c>
      <c r="O191" s="90" t="str">
        <f t="shared" si="58"/>
        <v/>
      </c>
      <c r="P191" s="90" t="str">
        <f t="shared" si="59"/>
        <v/>
      </c>
      <c r="Q191" s="90"/>
      <c r="R191" s="90"/>
      <c r="S191" s="90"/>
      <c r="T191" s="90"/>
      <c r="U191" s="90"/>
      <c r="V191" s="90" t="str">
        <f t="shared" si="60"/>
        <v/>
      </c>
      <c r="W191" s="90"/>
      <c r="X191" s="42" t="str">
        <f t="shared" si="61"/>
        <v/>
      </c>
      <c r="Y191" s="42" t="str">
        <f t="shared" si="62"/>
        <v/>
      </c>
      <c r="Z191" s="90"/>
      <c r="AA191" s="42" t="str">
        <f t="shared" si="63"/>
        <v/>
      </c>
      <c r="AB191" s="42" t="str">
        <f t="shared" si="64"/>
        <v/>
      </c>
      <c r="AC191" s="90"/>
      <c r="AD191" s="42" t="str">
        <f t="shared" si="65"/>
        <v/>
      </c>
      <c r="AE191" s="42" t="str">
        <f t="shared" si="66"/>
        <v/>
      </c>
      <c r="AF191" s="90"/>
      <c r="AG191" s="42" t="str">
        <f t="shared" si="67"/>
        <v/>
      </c>
      <c r="AH191" s="42" t="str">
        <f t="shared" si="68"/>
        <v/>
      </c>
      <c r="AI191" s="90"/>
      <c r="AJ191" s="42" t="str">
        <f t="shared" si="69"/>
        <v/>
      </c>
      <c r="AK191" s="42" t="str">
        <f t="shared" si="70"/>
        <v/>
      </c>
      <c r="AL191" s="14" t="str">
        <f t="shared" si="71"/>
        <v/>
      </c>
      <c r="AM191" s="14" t="str">
        <f t="shared" si="72"/>
        <v/>
      </c>
      <c r="AN191" s="14" t="str">
        <f t="shared" si="73"/>
        <v/>
      </c>
      <c r="AO191" s="14" t="str">
        <f>IF(OR($C191="01-09",$D191="Male"),"",INDEX(PMTCT!$AD:$AD,MATCH($E191,PMTCT!$E:$E,0)))</f>
        <v/>
      </c>
      <c r="AP191" s="14" t="str">
        <f>IF(OR($C191="01-09",$D191="Male"),"",INDEX(PMTCT!$AT:$AT,MATCH($E191,PMTCT!$E:$E,0)))</f>
        <v/>
      </c>
      <c r="AQ191" s="14" t="str">
        <f>INDEX(TB!$Q:$Q,MATCH($E191,TB!$E:$E,0))</f>
        <v/>
      </c>
      <c r="AR191" s="14" t="str">
        <f>IF(OR($C191="01-09",$C191="10-14",$D191="Female"),"",INDEX(VMMC!$AB:$AB,MATCH($E191,VMMC!$E:$E,0)))</f>
        <v/>
      </c>
      <c r="AS191" s="14" t="str">
        <f>IF(OR($C191="01-09",$C191="10-14"),"",INDEX(PrEP!$Q:$Q,MATCH($E191,PrEP!$E:$E,0)))</f>
        <v/>
      </c>
      <c r="AT191" s="14" t="str">
        <f t="shared" si="74"/>
        <v/>
      </c>
      <c r="AU191" s="14" t="str">
        <f t="shared" si="75"/>
        <v/>
      </c>
      <c r="AV191" s="90" t="str">
        <f t="shared" si="76"/>
        <v/>
      </c>
      <c r="AW191" s="14"/>
      <c r="AX191" s="90" t="str">
        <f t="shared" si="77"/>
        <v/>
      </c>
      <c r="AY191" s="42" t="str">
        <f t="shared" si="78"/>
        <v/>
      </c>
      <c r="AZ191" s="90">
        <f t="shared" si="79"/>
        <v>1</v>
      </c>
      <c r="BA191" s="42" t="str">
        <f t="shared" si="80"/>
        <v/>
      </c>
    </row>
    <row r="192" spans="1:53" x14ac:dyDescent="0.2">
      <c r="A192" t="str">
        <f>INDEX(Prioritization!$D:$D,MATCH($B192,Prioritization!$A:$A,0))</f>
        <v>INVALID</v>
      </c>
      <c r="B192" t="s">
        <v>207</v>
      </c>
      <c r="C192" t="s">
        <v>366</v>
      </c>
      <c r="D192" t="s">
        <v>47</v>
      </c>
      <c r="E192" t="str">
        <f t="shared" si="54"/>
        <v>Nkhata Bay District [E7zpfyBt7Tw]|35-49|Male</v>
      </c>
      <c r="F192" s="90">
        <f>IF(LEFT($B192,4)="_Mil","",INDEX(Cascade!$AA:$AA,MATCH($E192,Cascade!$E:$E,0)))</f>
        <v>1819</v>
      </c>
      <c r="G192" s="14">
        <f>INDEX(Cascade!$BH:$BH,MATCH($E192,Cascade!$E:$E,0))</f>
        <v>0</v>
      </c>
      <c r="H192" s="14" t="str">
        <f>IF(OR($C192="01-09",$D192="Male"),"",INDEX(PMTCT!$AC:$AC,MATCH($E192,PMTCT!$E:$E,0)))</f>
        <v/>
      </c>
      <c r="I192" s="14" t="str">
        <f>IF(OR($C192="01-09",$D192="Male"),"",INDEX(PMTCT!$AS:$AS,MATCH($E192,PMTCT!$E:$E,0)))</f>
        <v/>
      </c>
      <c r="J192" s="14" t="str">
        <f>INDEX(TB!$P:$P,MATCH($E192,TB!$E:$E,0))</f>
        <v/>
      </c>
      <c r="K192" s="14" t="str">
        <f>IF(OR($C192="01-09",$C192="10-14",$D192="Female"),"",INDEX(VMMC!$AA:$AA,MATCH($E192,VMMC!$E:$E,0)))</f>
        <v/>
      </c>
      <c r="L192" s="14">
        <f t="shared" si="55"/>
        <v>0</v>
      </c>
      <c r="M192" s="90" t="str">
        <f t="shared" si="56"/>
        <v/>
      </c>
      <c r="N192" s="90" t="str">
        <f t="shared" si="57"/>
        <v/>
      </c>
      <c r="O192" s="90" t="str">
        <f t="shared" si="58"/>
        <v/>
      </c>
      <c r="P192" s="90" t="str">
        <f t="shared" si="59"/>
        <v/>
      </c>
      <c r="Q192" s="90"/>
      <c r="R192" s="90"/>
      <c r="S192" s="90"/>
      <c r="T192" s="90"/>
      <c r="U192" s="90"/>
      <c r="V192" s="90" t="str">
        <f t="shared" si="60"/>
        <v/>
      </c>
      <c r="W192" s="90"/>
      <c r="X192" s="42" t="str">
        <f t="shared" si="61"/>
        <v/>
      </c>
      <c r="Y192" s="42" t="str">
        <f t="shared" si="62"/>
        <v/>
      </c>
      <c r="Z192" s="90"/>
      <c r="AA192" s="42" t="str">
        <f t="shared" si="63"/>
        <v/>
      </c>
      <c r="AB192" s="42" t="str">
        <f t="shared" si="64"/>
        <v/>
      </c>
      <c r="AC192" s="90"/>
      <c r="AD192" s="42" t="str">
        <f t="shared" si="65"/>
        <v/>
      </c>
      <c r="AE192" s="42" t="str">
        <f t="shared" si="66"/>
        <v/>
      </c>
      <c r="AF192" s="90"/>
      <c r="AG192" s="42" t="str">
        <f t="shared" si="67"/>
        <v/>
      </c>
      <c r="AH192" s="42" t="str">
        <f t="shared" si="68"/>
        <v/>
      </c>
      <c r="AI192" s="90"/>
      <c r="AJ192" s="42" t="str">
        <f t="shared" si="69"/>
        <v/>
      </c>
      <c r="AK192" s="42" t="str">
        <f t="shared" si="70"/>
        <v/>
      </c>
      <c r="AL192" s="14" t="str">
        <f t="shared" si="71"/>
        <v/>
      </c>
      <c r="AM192" s="14" t="str">
        <f t="shared" si="72"/>
        <v/>
      </c>
      <c r="AN192" s="14" t="str">
        <f t="shared" si="73"/>
        <v/>
      </c>
      <c r="AO192" s="14" t="str">
        <f>IF(OR($C192="01-09",$D192="Male"),"",INDEX(PMTCT!$AD:$AD,MATCH($E192,PMTCT!$E:$E,0)))</f>
        <v/>
      </c>
      <c r="AP192" s="14" t="str">
        <f>IF(OR($C192="01-09",$D192="Male"),"",INDEX(PMTCT!$AT:$AT,MATCH($E192,PMTCT!$E:$E,0)))</f>
        <v/>
      </c>
      <c r="AQ192" s="14" t="str">
        <f>INDEX(TB!$Q:$Q,MATCH($E192,TB!$E:$E,0))</f>
        <v/>
      </c>
      <c r="AR192" s="14" t="str">
        <f>IF(OR($C192="01-09",$C192="10-14",$D192="Female"),"",INDEX(VMMC!$AB:$AB,MATCH($E192,VMMC!$E:$E,0)))</f>
        <v/>
      </c>
      <c r="AS192" s="14" t="str">
        <f>IF(OR($C192="01-09",$C192="10-14"),"",INDEX(PrEP!$Q:$Q,MATCH($E192,PrEP!$E:$E,0)))</f>
        <v/>
      </c>
      <c r="AT192" s="14" t="str">
        <f t="shared" si="74"/>
        <v/>
      </c>
      <c r="AU192" s="14" t="str">
        <f t="shared" si="75"/>
        <v/>
      </c>
      <c r="AV192" s="90" t="str">
        <f t="shared" si="76"/>
        <v/>
      </c>
      <c r="AW192" s="14"/>
      <c r="AX192" s="90" t="str">
        <f t="shared" si="77"/>
        <v/>
      </c>
      <c r="AY192" s="42" t="str">
        <f t="shared" si="78"/>
        <v/>
      </c>
      <c r="AZ192" s="90">
        <f t="shared" si="79"/>
        <v>1</v>
      </c>
      <c r="BA192" s="42" t="str">
        <f t="shared" si="80"/>
        <v/>
      </c>
    </row>
    <row r="193" spans="1:53" x14ac:dyDescent="0.2">
      <c r="A193" t="str">
        <f>INDEX(Prioritization!$D:$D,MATCH($B193,Prioritization!$A:$A,0))</f>
        <v>INVALID</v>
      </c>
      <c r="B193" t="s">
        <v>207</v>
      </c>
      <c r="C193" t="s">
        <v>367</v>
      </c>
      <c r="D193" t="s">
        <v>29</v>
      </c>
      <c r="E193" t="str">
        <f t="shared" si="54"/>
        <v>Nkhata Bay District [E7zpfyBt7Tw]|50+|Female</v>
      </c>
      <c r="F193" s="90">
        <f>IF(LEFT($B193,4)="_Mil","",INDEX(Cascade!$AA:$AA,MATCH($E193,Cascade!$E:$E,0)))</f>
        <v>1563.9999999999998</v>
      </c>
      <c r="G193" s="14">
        <f>INDEX(Cascade!$BH:$BH,MATCH($E193,Cascade!$E:$E,0))</f>
        <v>0</v>
      </c>
      <c r="H193" s="14" t="str">
        <f>IF(OR($C193="01-09",$D193="Male"),"",INDEX(PMTCT!$AC:$AC,MATCH($E193,PMTCT!$E:$E,0)))</f>
        <v/>
      </c>
      <c r="I193" s="14" t="str">
        <f>IF(OR($C193="01-09",$D193="Male"),"",INDEX(PMTCT!$AS:$AS,MATCH($E193,PMTCT!$E:$E,0)))</f>
        <v/>
      </c>
      <c r="J193" s="14" t="str">
        <f>INDEX(TB!$P:$P,MATCH($E193,TB!$E:$E,0))</f>
        <v/>
      </c>
      <c r="K193" s="14" t="str">
        <f>IF(OR($C193="01-09",$C193="10-14",$D193="Female"),"",INDEX(VMMC!$AA:$AA,MATCH($E193,VMMC!$E:$E,0)))</f>
        <v/>
      </c>
      <c r="L193" s="14">
        <f t="shared" si="55"/>
        <v>0</v>
      </c>
      <c r="M193" s="90" t="str">
        <f t="shared" si="56"/>
        <v/>
      </c>
      <c r="N193" s="90" t="str">
        <f t="shared" si="57"/>
        <v/>
      </c>
      <c r="O193" s="90" t="str">
        <f t="shared" si="58"/>
        <v/>
      </c>
      <c r="P193" s="90" t="str">
        <f t="shared" si="59"/>
        <v/>
      </c>
      <c r="Q193" s="90"/>
      <c r="R193" s="90"/>
      <c r="S193" s="90"/>
      <c r="T193" s="90"/>
      <c r="U193" s="90">
        <v>0.34167879959568398</v>
      </c>
      <c r="V193" s="90" t="str">
        <f t="shared" si="60"/>
        <v/>
      </c>
      <c r="W193" s="90"/>
      <c r="X193" s="42" t="str">
        <f t="shared" si="61"/>
        <v/>
      </c>
      <c r="Y193" s="42" t="str">
        <f t="shared" si="62"/>
        <v/>
      </c>
      <c r="Z193" s="90"/>
      <c r="AA193" s="42" t="str">
        <f t="shared" si="63"/>
        <v/>
      </c>
      <c r="AB193" s="42" t="str">
        <f t="shared" si="64"/>
        <v/>
      </c>
      <c r="AC193" s="90"/>
      <c r="AD193" s="42" t="str">
        <f t="shared" si="65"/>
        <v/>
      </c>
      <c r="AE193" s="42" t="str">
        <f t="shared" si="66"/>
        <v/>
      </c>
      <c r="AF193" s="90"/>
      <c r="AG193" s="42" t="str">
        <f t="shared" si="67"/>
        <v/>
      </c>
      <c r="AH193" s="42" t="str">
        <f t="shared" si="68"/>
        <v/>
      </c>
      <c r="AI193" s="90"/>
      <c r="AJ193" s="42" t="str">
        <f t="shared" si="69"/>
        <v/>
      </c>
      <c r="AK193" s="42" t="str">
        <f t="shared" si="70"/>
        <v/>
      </c>
      <c r="AL193" s="14" t="str">
        <f t="shared" si="71"/>
        <v/>
      </c>
      <c r="AM193" s="14" t="str">
        <f t="shared" si="72"/>
        <v/>
      </c>
      <c r="AN193" s="14" t="str">
        <f t="shared" si="73"/>
        <v/>
      </c>
      <c r="AO193" s="14" t="str">
        <f>IF(OR($C193="01-09",$D193="Male"),"",INDEX(PMTCT!$AD:$AD,MATCH($E193,PMTCT!$E:$E,0)))</f>
        <v/>
      </c>
      <c r="AP193" s="14" t="str">
        <f>IF(OR($C193="01-09",$D193="Male"),"",INDEX(PMTCT!$AT:$AT,MATCH($E193,PMTCT!$E:$E,0)))</f>
        <v/>
      </c>
      <c r="AQ193" s="14" t="str">
        <f>INDEX(TB!$Q:$Q,MATCH($E193,TB!$E:$E,0))</f>
        <v/>
      </c>
      <c r="AR193" s="14" t="str">
        <f>IF(OR($C193="01-09",$C193="10-14",$D193="Female"),"",INDEX(VMMC!$AB:$AB,MATCH($E193,VMMC!$E:$E,0)))</f>
        <v/>
      </c>
      <c r="AS193" s="14" t="str">
        <f>IF(OR($C193="01-09",$C193="10-14"),"",INDEX(PrEP!$Q:$Q,MATCH($E193,PrEP!$E:$E,0)))</f>
        <v/>
      </c>
      <c r="AT193" s="14" t="str">
        <f t="shared" si="74"/>
        <v/>
      </c>
      <c r="AU193" s="14" t="str">
        <f t="shared" si="75"/>
        <v/>
      </c>
      <c r="AV193" s="90" t="str">
        <f t="shared" si="76"/>
        <v/>
      </c>
      <c r="AW193" s="14">
        <v>7</v>
      </c>
      <c r="AX193" s="90">
        <f t="shared" si="77"/>
        <v>0</v>
      </c>
      <c r="AY193" s="42">
        <f t="shared" si="78"/>
        <v>7</v>
      </c>
      <c r="AZ193" s="90">
        <f t="shared" si="79"/>
        <v>1</v>
      </c>
      <c r="BA193" s="42" t="str">
        <f t="shared" si="80"/>
        <v/>
      </c>
    </row>
    <row r="194" spans="1:53" x14ac:dyDescent="0.2">
      <c r="A194" t="str">
        <f>INDEX(Prioritization!$D:$D,MATCH($B194,Prioritization!$A:$A,0))</f>
        <v>INVALID</v>
      </c>
      <c r="B194" t="s">
        <v>207</v>
      </c>
      <c r="C194" t="s">
        <v>367</v>
      </c>
      <c r="D194" t="s">
        <v>47</v>
      </c>
      <c r="E194" t="str">
        <f t="shared" si="54"/>
        <v>Nkhata Bay District [E7zpfyBt7Tw]|50+|Male</v>
      </c>
      <c r="F194" s="90">
        <f>IF(LEFT($B194,4)="_Mil","",INDEX(Cascade!$AA:$AA,MATCH($E194,Cascade!$E:$E,0)))</f>
        <v>1677</v>
      </c>
      <c r="G194" s="14">
        <f>INDEX(Cascade!$BH:$BH,MATCH($E194,Cascade!$E:$E,0))</f>
        <v>0</v>
      </c>
      <c r="H194" s="14" t="str">
        <f>IF(OR($C194="01-09",$D194="Male"),"",INDEX(PMTCT!$AC:$AC,MATCH($E194,PMTCT!$E:$E,0)))</f>
        <v/>
      </c>
      <c r="I194" s="14" t="str">
        <f>IF(OR($C194="01-09",$D194="Male"),"",INDEX(PMTCT!$AS:$AS,MATCH($E194,PMTCT!$E:$E,0)))</f>
        <v/>
      </c>
      <c r="J194" s="14" t="str">
        <f>INDEX(TB!$P:$P,MATCH($E194,TB!$E:$E,0))</f>
        <v/>
      </c>
      <c r="K194" s="14" t="str">
        <f>IF(OR($C194="01-09",$C194="10-14",$D194="Female"),"",INDEX(VMMC!$AA:$AA,MATCH($E194,VMMC!$E:$E,0)))</f>
        <v/>
      </c>
      <c r="L194" s="14">
        <f t="shared" si="55"/>
        <v>0</v>
      </c>
      <c r="M194" s="90" t="str">
        <f t="shared" si="56"/>
        <v/>
      </c>
      <c r="N194" s="90" t="str">
        <f t="shared" si="57"/>
        <v/>
      </c>
      <c r="O194" s="90" t="str">
        <f t="shared" si="58"/>
        <v/>
      </c>
      <c r="P194" s="90" t="str">
        <f t="shared" si="59"/>
        <v/>
      </c>
      <c r="Q194" s="90"/>
      <c r="R194" s="90"/>
      <c r="S194" s="90"/>
      <c r="T194" s="90"/>
      <c r="U194" s="90">
        <v>0.38648508605547199</v>
      </c>
      <c r="V194" s="90" t="str">
        <f t="shared" si="60"/>
        <v/>
      </c>
      <c r="W194" s="90"/>
      <c r="X194" s="42" t="str">
        <f t="shared" si="61"/>
        <v/>
      </c>
      <c r="Y194" s="42" t="str">
        <f t="shared" si="62"/>
        <v/>
      </c>
      <c r="Z194" s="90"/>
      <c r="AA194" s="42" t="str">
        <f t="shared" si="63"/>
        <v/>
      </c>
      <c r="AB194" s="42" t="str">
        <f t="shared" si="64"/>
        <v/>
      </c>
      <c r="AC194" s="90"/>
      <c r="AD194" s="42" t="str">
        <f t="shared" si="65"/>
        <v/>
      </c>
      <c r="AE194" s="42" t="str">
        <f t="shared" si="66"/>
        <v/>
      </c>
      <c r="AF194" s="90"/>
      <c r="AG194" s="42" t="str">
        <f t="shared" si="67"/>
        <v/>
      </c>
      <c r="AH194" s="42" t="str">
        <f t="shared" si="68"/>
        <v/>
      </c>
      <c r="AI194" s="90"/>
      <c r="AJ194" s="42" t="str">
        <f t="shared" si="69"/>
        <v/>
      </c>
      <c r="AK194" s="42" t="str">
        <f t="shared" si="70"/>
        <v/>
      </c>
      <c r="AL194" s="14" t="str">
        <f t="shared" si="71"/>
        <v/>
      </c>
      <c r="AM194" s="14" t="str">
        <f t="shared" si="72"/>
        <v/>
      </c>
      <c r="AN194" s="14" t="str">
        <f t="shared" si="73"/>
        <v/>
      </c>
      <c r="AO194" s="14" t="str">
        <f>IF(OR($C194="01-09",$D194="Male"),"",INDEX(PMTCT!$AD:$AD,MATCH($E194,PMTCT!$E:$E,0)))</f>
        <v/>
      </c>
      <c r="AP194" s="14" t="str">
        <f>IF(OR($C194="01-09",$D194="Male"),"",INDEX(PMTCT!$AT:$AT,MATCH($E194,PMTCT!$E:$E,0)))</f>
        <v/>
      </c>
      <c r="AQ194" s="14" t="str">
        <f>INDEX(TB!$Q:$Q,MATCH($E194,TB!$E:$E,0))</f>
        <v/>
      </c>
      <c r="AR194" s="14" t="str">
        <f>IF(OR($C194="01-09",$C194="10-14",$D194="Female"),"",INDEX(VMMC!$AB:$AB,MATCH($E194,VMMC!$E:$E,0)))</f>
        <v/>
      </c>
      <c r="AS194" s="14" t="str">
        <f>IF(OR($C194="01-09",$C194="10-14"),"",INDEX(PrEP!$Q:$Q,MATCH($E194,PrEP!$E:$E,0)))</f>
        <v/>
      </c>
      <c r="AT194" s="14" t="str">
        <f t="shared" si="74"/>
        <v/>
      </c>
      <c r="AU194" s="14" t="str">
        <f t="shared" si="75"/>
        <v/>
      </c>
      <c r="AV194" s="90" t="str">
        <f t="shared" si="76"/>
        <v/>
      </c>
      <c r="AW194" s="14">
        <v>6</v>
      </c>
      <c r="AX194" s="90">
        <f t="shared" si="77"/>
        <v>0</v>
      </c>
      <c r="AY194" s="42">
        <f t="shared" si="78"/>
        <v>6</v>
      </c>
      <c r="AZ194" s="90">
        <f t="shared" si="79"/>
        <v>1</v>
      </c>
      <c r="BA194" s="42" t="str">
        <f t="shared" si="80"/>
        <v/>
      </c>
    </row>
    <row r="195" spans="1:53" x14ac:dyDescent="0.2">
      <c r="A195" t="str">
        <f>INDEX(Prioritization!$D:$D,MATCH($B195,Prioritization!$A:$A,0))</f>
        <v>INVALID</v>
      </c>
      <c r="B195" t="s">
        <v>208</v>
      </c>
      <c r="C195" t="s">
        <v>362</v>
      </c>
      <c r="D195" t="s">
        <v>29</v>
      </c>
      <c r="E195" t="str">
        <f t="shared" si="54"/>
        <v>Rumphi District [lPTyjLi4w3d]|01-09|Female</v>
      </c>
      <c r="F195" s="90">
        <f>IF(LEFT($B195,4)="_Mil","",INDEX(Cascade!$AA:$AA,MATCH($E195,Cascade!$E:$E,0)))</f>
        <v>754</v>
      </c>
      <c r="G195" s="14">
        <f>INDEX(Cascade!$BH:$BH,MATCH($E195,Cascade!$E:$E,0))</f>
        <v>0</v>
      </c>
      <c r="H195" s="14" t="str">
        <f>IF(OR($C195="01-09",$D195="Male"),"",INDEX(PMTCT!$AC:$AC,MATCH($E195,PMTCT!$E:$E,0)))</f>
        <v/>
      </c>
      <c r="I195" s="14" t="str">
        <f>IF(OR($C195="01-09",$D195="Male"),"",INDEX(PMTCT!$AS:$AS,MATCH($E195,PMTCT!$E:$E,0)))</f>
        <v/>
      </c>
      <c r="J195" s="14" t="str">
        <f>INDEX(TB!$P:$P,MATCH($E195,TB!$E:$E,0))</f>
        <v/>
      </c>
      <c r="K195" s="14" t="str">
        <f>IF(OR($C195="01-09",$C195="10-14",$D195="Female"),"",INDEX(VMMC!$AA:$AA,MATCH($E195,VMMC!$E:$E,0)))</f>
        <v/>
      </c>
      <c r="L195" s="14">
        <f t="shared" si="55"/>
        <v>0</v>
      </c>
      <c r="M195" s="90" t="str">
        <f t="shared" si="56"/>
        <v/>
      </c>
      <c r="N195" s="90" t="str">
        <f t="shared" si="57"/>
        <v/>
      </c>
      <c r="O195" s="90" t="str">
        <f t="shared" si="58"/>
        <v/>
      </c>
      <c r="P195" s="90" t="str">
        <f t="shared" si="59"/>
        <v/>
      </c>
      <c r="Q195" s="90"/>
      <c r="R195" s="90"/>
      <c r="S195" s="90"/>
      <c r="T195" s="90"/>
      <c r="U195" s="90"/>
      <c r="V195" s="90" t="str">
        <f t="shared" si="60"/>
        <v/>
      </c>
      <c r="W195" s="90"/>
      <c r="X195" s="42" t="str">
        <f t="shared" si="61"/>
        <v/>
      </c>
      <c r="Y195" s="42" t="str">
        <f t="shared" si="62"/>
        <v/>
      </c>
      <c r="Z195" s="90"/>
      <c r="AA195" s="42" t="str">
        <f t="shared" si="63"/>
        <v/>
      </c>
      <c r="AB195" s="42" t="str">
        <f t="shared" si="64"/>
        <v/>
      </c>
      <c r="AC195" s="90"/>
      <c r="AD195" s="42" t="str">
        <f t="shared" si="65"/>
        <v/>
      </c>
      <c r="AE195" s="42" t="str">
        <f t="shared" si="66"/>
        <v/>
      </c>
      <c r="AF195" s="90"/>
      <c r="AG195" s="42" t="str">
        <f t="shared" si="67"/>
        <v/>
      </c>
      <c r="AH195" s="42" t="str">
        <f t="shared" si="68"/>
        <v/>
      </c>
      <c r="AI195" s="90"/>
      <c r="AJ195" s="42" t="str">
        <f t="shared" si="69"/>
        <v/>
      </c>
      <c r="AK195" s="42" t="str">
        <f t="shared" si="70"/>
        <v/>
      </c>
      <c r="AL195" s="14" t="str">
        <f t="shared" si="71"/>
        <v/>
      </c>
      <c r="AM195" s="14" t="str">
        <f t="shared" si="72"/>
        <v/>
      </c>
      <c r="AN195" s="14" t="str">
        <f t="shared" si="73"/>
        <v/>
      </c>
      <c r="AO195" s="14" t="str">
        <f>IF(OR($C195="01-09",$D195="Male"),"",INDEX(PMTCT!$AD:$AD,MATCH($E195,PMTCT!$E:$E,0)))</f>
        <v/>
      </c>
      <c r="AP195" s="14" t="str">
        <f>IF(OR($C195="01-09",$D195="Male"),"",INDEX(PMTCT!$AT:$AT,MATCH($E195,PMTCT!$E:$E,0)))</f>
        <v/>
      </c>
      <c r="AQ195" s="14" t="str">
        <f>INDEX(TB!$Q:$Q,MATCH($E195,TB!$E:$E,0))</f>
        <v/>
      </c>
      <c r="AR195" s="14" t="str">
        <f>IF(OR($C195="01-09",$C195="10-14",$D195="Female"),"",INDEX(VMMC!$AB:$AB,MATCH($E195,VMMC!$E:$E,0)))</f>
        <v/>
      </c>
      <c r="AS195" s="14" t="str">
        <f>IF(OR($C195="01-09",$C195="10-14"),"",INDEX(PrEP!$Q:$Q,MATCH($E195,PrEP!$E:$E,0)))</f>
        <v/>
      </c>
      <c r="AT195" s="14" t="str">
        <f t="shared" si="74"/>
        <v/>
      </c>
      <c r="AU195" s="14" t="str">
        <f t="shared" si="75"/>
        <v/>
      </c>
      <c r="AV195" s="90" t="str">
        <f t="shared" si="76"/>
        <v/>
      </c>
      <c r="AW195" s="14"/>
      <c r="AX195" s="90" t="str">
        <f t="shared" si="77"/>
        <v/>
      </c>
      <c r="AY195" s="42" t="str">
        <f t="shared" si="78"/>
        <v/>
      </c>
      <c r="AZ195" s="90" t="str">
        <f t="shared" si="79"/>
        <v/>
      </c>
      <c r="BA195" s="42" t="str">
        <f t="shared" si="80"/>
        <v/>
      </c>
    </row>
    <row r="196" spans="1:53" x14ac:dyDescent="0.2">
      <c r="A196" t="str">
        <f>INDEX(Prioritization!$D:$D,MATCH($B196,Prioritization!$A:$A,0))</f>
        <v>INVALID</v>
      </c>
      <c r="B196" t="s">
        <v>208</v>
      </c>
      <c r="C196" t="s">
        <v>362</v>
      </c>
      <c r="D196" t="s">
        <v>47</v>
      </c>
      <c r="E196" t="str">
        <f t="shared" si="54"/>
        <v>Rumphi District [lPTyjLi4w3d]|01-09|Male</v>
      </c>
      <c r="F196" s="90">
        <f>IF(LEFT($B196,4)="_Mil","",INDEX(Cascade!$AA:$AA,MATCH($E196,Cascade!$E:$E,0)))</f>
        <v>796</v>
      </c>
      <c r="G196" s="14">
        <f>INDEX(Cascade!$BH:$BH,MATCH($E196,Cascade!$E:$E,0))</f>
        <v>0</v>
      </c>
      <c r="H196" s="14" t="str">
        <f>IF(OR($C196="01-09",$D196="Male"),"",INDEX(PMTCT!$AC:$AC,MATCH($E196,PMTCT!$E:$E,0)))</f>
        <v/>
      </c>
      <c r="I196" s="14" t="str">
        <f>IF(OR($C196="01-09",$D196="Male"),"",INDEX(PMTCT!$AS:$AS,MATCH($E196,PMTCT!$E:$E,0)))</f>
        <v/>
      </c>
      <c r="J196" s="14" t="str">
        <f>INDEX(TB!$P:$P,MATCH($E196,TB!$E:$E,0))</f>
        <v/>
      </c>
      <c r="K196" s="14" t="str">
        <f>IF(OR($C196="01-09",$C196="10-14",$D196="Female"),"",INDEX(VMMC!$AA:$AA,MATCH($E196,VMMC!$E:$E,0)))</f>
        <v/>
      </c>
      <c r="L196" s="14">
        <f t="shared" si="55"/>
        <v>0</v>
      </c>
      <c r="M196" s="90" t="str">
        <f t="shared" si="56"/>
        <v/>
      </c>
      <c r="N196" s="90" t="str">
        <f t="shared" si="57"/>
        <v/>
      </c>
      <c r="O196" s="90" t="str">
        <f t="shared" si="58"/>
        <v/>
      </c>
      <c r="P196" s="90" t="str">
        <f t="shared" si="59"/>
        <v/>
      </c>
      <c r="Q196" s="90"/>
      <c r="R196" s="90"/>
      <c r="S196" s="90"/>
      <c r="T196" s="90"/>
      <c r="U196" s="90"/>
      <c r="V196" s="90" t="str">
        <f t="shared" si="60"/>
        <v/>
      </c>
      <c r="W196" s="90"/>
      <c r="X196" s="42" t="str">
        <f t="shared" si="61"/>
        <v/>
      </c>
      <c r="Y196" s="42" t="str">
        <f t="shared" si="62"/>
        <v/>
      </c>
      <c r="Z196" s="90"/>
      <c r="AA196" s="42" t="str">
        <f t="shared" si="63"/>
        <v/>
      </c>
      <c r="AB196" s="42" t="str">
        <f t="shared" si="64"/>
        <v/>
      </c>
      <c r="AC196" s="90"/>
      <c r="AD196" s="42" t="str">
        <f t="shared" si="65"/>
        <v/>
      </c>
      <c r="AE196" s="42" t="str">
        <f t="shared" si="66"/>
        <v/>
      </c>
      <c r="AF196" s="90"/>
      <c r="AG196" s="42" t="str">
        <f t="shared" si="67"/>
        <v/>
      </c>
      <c r="AH196" s="42" t="str">
        <f t="shared" si="68"/>
        <v/>
      </c>
      <c r="AI196" s="90"/>
      <c r="AJ196" s="42" t="str">
        <f t="shared" si="69"/>
        <v/>
      </c>
      <c r="AK196" s="42" t="str">
        <f t="shared" si="70"/>
        <v/>
      </c>
      <c r="AL196" s="14" t="str">
        <f t="shared" si="71"/>
        <v/>
      </c>
      <c r="AM196" s="14" t="str">
        <f t="shared" si="72"/>
        <v/>
      </c>
      <c r="AN196" s="14" t="str">
        <f t="shared" si="73"/>
        <v/>
      </c>
      <c r="AO196" s="14" t="str">
        <f>IF(OR($C196="01-09",$D196="Male"),"",INDEX(PMTCT!$AD:$AD,MATCH($E196,PMTCT!$E:$E,0)))</f>
        <v/>
      </c>
      <c r="AP196" s="14" t="str">
        <f>IF(OR($C196="01-09",$D196="Male"),"",INDEX(PMTCT!$AT:$AT,MATCH($E196,PMTCT!$E:$E,0)))</f>
        <v/>
      </c>
      <c r="AQ196" s="14" t="str">
        <f>INDEX(TB!$Q:$Q,MATCH($E196,TB!$E:$E,0))</f>
        <v/>
      </c>
      <c r="AR196" s="14" t="str">
        <f>IF(OR($C196="01-09",$C196="10-14",$D196="Female"),"",INDEX(VMMC!$AB:$AB,MATCH($E196,VMMC!$E:$E,0)))</f>
        <v/>
      </c>
      <c r="AS196" s="14" t="str">
        <f>IF(OR($C196="01-09",$C196="10-14"),"",INDEX(PrEP!$Q:$Q,MATCH($E196,PrEP!$E:$E,0)))</f>
        <v/>
      </c>
      <c r="AT196" s="14" t="str">
        <f t="shared" si="74"/>
        <v/>
      </c>
      <c r="AU196" s="14" t="str">
        <f t="shared" si="75"/>
        <v/>
      </c>
      <c r="AV196" s="90" t="str">
        <f t="shared" si="76"/>
        <v/>
      </c>
      <c r="AW196" s="14"/>
      <c r="AX196" s="90" t="str">
        <f t="shared" si="77"/>
        <v/>
      </c>
      <c r="AY196" s="42" t="str">
        <f t="shared" si="78"/>
        <v/>
      </c>
      <c r="AZ196" s="90" t="str">
        <f t="shared" si="79"/>
        <v/>
      </c>
      <c r="BA196" s="42" t="str">
        <f t="shared" si="80"/>
        <v/>
      </c>
    </row>
    <row r="197" spans="1:53" x14ac:dyDescent="0.2">
      <c r="A197" t="str">
        <f>INDEX(Prioritization!$D:$D,MATCH($B197,Prioritization!$A:$A,0))</f>
        <v>INVALID</v>
      </c>
      <c r="B197" t="s">
        <v>208</v>
      </c>
      <c r="C197" t="s">
        <v>363</v>
      </c>
      <c r="D197" t="s">
        <v>29</v>
      </c>
      <c r="E197" t="str">
        <f t="shared" si="54"/>
        <v>Rumphi District [lPTyjLi4w3d]|10-14|Female</v>
      </c>
      <c r="F197" s="90">
        <f>IF(LEFT($B197,4)="_Mil","",INDEX(Cascade!$AA:$AA,MATCH($E197,Cascade!$E:$E,0)))</f>
        <v>1448</v>
      </c>
      <c r="G197" s="14">
        <f>INDEX(Cascade!$BH:$BH,MATCH($E197,Cascade!$E:$E,0))</f>
        <v>-63</v>
      </c>
      <c r="H197" s="14" t="str">
        <f>IF(OR($C197="01-09",$D197="Male"),"",INDEX(PMTCT!$AC:$AC,MATCH($E197,PMTCT!$E:$E,0)))</f>
        <v>ENTER YIELD RATE</v>
      </c>
      <c r="I197" s="14" t="str">
        <f>IF(OR($C197="01-09",$D197="Male"),"",INDEX(PMTCT!$AS:$AS,MATCH($E197,PMTCT!$E:$E,0)))</f>
        <v>ENTER YIELD RATE</v>
      </c>
      <c r="J197" s="14" t="str">
        <f>INDEX(TB!$P:$P,MATCH($E197,TB!$E:$E,0))</f>
        <v>ENTER YIELD RATE</v>
      </c>
      <c r="K197" s="14" t="str">
        <f>IF(OR($C197="01-09",$C197="10-14",$D197="Female"),"",INDEX(VMMC!$AA:$AA,MATCH($E197,VMMC!$E:$E,0)))</f>
        <v/>
      </c>
      <c r="L197" s="14">
        <f t="shared" si="55"/>
        <v>-63</v>
      </c>
      <c r="M197" s="90">
        <f t="shared" si="56"/>
        <v>0</v>
      </c>
      <c r="N197" s="90">
        <f t="shared" si="57"/>
        <v>0</v>
      </c>
      <c r="O197" s="90">
        <f t="shared" si="58"/>
        <v>0</v>
      </c>
      <c r="P197" s="90" t="str">
        <f t="shared" si="59"/>
        <v/>
      </c>
      <c r="Q197" s="90">
        <v>0.61894611897878304</v>
      </c>
      <c r="R197" s="90"/>
      <c r="S197" s="90"/>
      <c r="T197" s="90"/>
      <c r="U197" s="90">
        <v>0.67771033663302704</v>
      </c>
      <c r="V197" s="90">
        <f t="shared" si="60"/>
        <v>1.2966564556118101</v>
      </c>
      <c r="W197" s="90"/>
      <c r="X197" s="42">
        <f t="shared" si="61"/>
        <v>-39</v>
      </c>
      <c r="Y197" s="42" t="str">
        <f t="shared" si="62"/>
        <v>ENTER YIELD</v>
      </c>
      <c r="Z197" s="90"/>
      <c r="AA197" s="42" t="str">
        <f t="shared" si="63"/>
        <v/>
      </c>
      <c r="AB197" s="42" t="str">
        <f t="shared" si="64"/>
        <v/>
      </c>
      <c r="AC197" s="90"/>
      <c r="AD197" s="42" t="str">
        <f t="shared" si="65"/>
        <v/>
      </c>
      <c r="AE197" s="42" t="str">
        <f t="shared" si="66"/>
        <v/>
      </c>
      <c r="AF197" s="90"/>
      <c r="AG197" s="42" t="str">
        <f t="shared" si="67"/>
        <v/>
      </c>
      <c r="AH197" s="42" t="str">
        <f t="shared" si="68"/>
        <v/>
      </c>
      <c r="AI197" s="90"/>
      <c r="AJ197" s="42">
        <f t="shared" si="69"/>
        <v>-43</v>
      </c>
      <c r="AK197" s="42" t="str">
        <f t="shared" si="70"/>
        <v>ENTER YIELD</v>
      </c>
      <c r="AL197" s="14">
        <f t="shared" si="71"/>
        <v>-63</v>
      </c>
      <c r="AM197" s="14">
        <f t="shared" si="72"/>
        <v>-82</v>
      </c>
      <c r="AN197" s="14">
        <f t="shared" si="73"/>
        <v>-19</v>
      </c>
      <c r="AO197" s="14">
        <f>IF(OR($C197="01-09",$D197="Male"),"",INDEX(PMTCT!$AD:$AD,MATCH($E197,PMTCT!$E:$E,0)))</f>
        <v>9</v>
      </c>
      <c r="AP197" s="14">
        <f>IF(OR($C197="01-09",$D197="Male"),"",INDEX(PMTCT!$AT:$AT,MATCH($E197,PMTCT!$E:$E,0)))</f>
        <v>9</v>
      </c>
      <c r="AQ197" s="14">
        <f>INDEX(TB!$Q:$Q,MATCH($E197,TB!$E:$E,0))</f>
        <v>1</v>
      </c>
      <c r="AR197" s="14" t="str">
        <f>IF(OR($C197="01-09",$C197="10-14",$D197="Female"),"",INDEX(VMMC!$AB:$AB,MATCH($E197,VMMC!$E:$E,0)))</f>
        <v/>
      </c>
      <c r="AS197" s="14" t="str">
        <f>IF(OR($C197="01-09",$C197="10-14"),"",INDEX(PrEP!$Q:$Q,MATCH($E197,PrEP!$E:$E,0)))</f>
        <v/>
      </c>
      <c r="AT197" s="14">
        <f t="shared" si="74"/>
        <v>19</v>
      </c>
      <c r="AU197" s="14">
        <f t="shared" si="75"/>
        <v>-63</v>
      </c>
      <c r="AV197" s="90">
        <f t="shared" si="76"/>
        <v>1.3015873015873016</v>
      </c>
      <c r="AW197" s="14"/>
      <c r="AX197" s="90" t="str">
        <f t="shared" si="77"/>
        <v/>
      </c>
      <c r="AY197" s="42" t="str">
        <f t="shared" si="78"/>
        <v/>
      </c>
      <c r="AZ197" s="90" t="str">
        <f t="shared" si="79"/>
        <v/>
      </c>
      <c r="BA197" s="42" t="str">
        <f t="shared" si="80"/>
        <v/>
      </c>
    </row>
    <row r="198" spans="1:53" x14ac:dyDescent="0.2">
      <c r="A198" t="str">
        <f>INDEX(Prioritization!$D:$D,MATCH($B198,Prioritization!$A:$A,0))</f>
        <v>INVALID</v>
      </c>
      <c r="B198" t="s">
        <v>208</v>
      </c>
      <c r="C198" t="s">
        <v>363</v>
      </c>
      <c r="D198" t="s">
        <v>47</v>
      </c>
      <c r="E198" t="str">
        <f t="shared" si="54"/>
        <v>Rumphi District [lPTyjLi4w3d]|10-14|Male</v>
      </c>
      <c r="F198" s="90">
        <f>IF(LEFT($B198,4)="_Mil","",INDEX(Cascade!$AA:$AA,MATCH($E198,Cascade!$E:$E,0)))</f>
        <v>1149</v>
      </c>
      <c r="G198" s="14">
        <f>INDEX(Cascade!$BH:$BH,MATCH($E198,Cascade!$E:$E,0))</f>
        <v>-98</v>
      </c>
      <c r="H198" s="14" t="str">
        <f>IF(OR($C198="01-09",$D198="Male"),"",INDEX(PMTCT!$AC:$AC,MATCH($E198,PMTCT!$E:$E,0)))</f>
        <v/>
      </c>
      <c r="I198" s="14" t="str">
        <f>IF(OR($C198="01-09",$D198="Male"),"",INDEX(PMTCT!$AS:$AS,MATCH($E198,PMTCT!$E:$E,0)))</f>
        <v/>
      </c>
      <c r="J198" s="14" t="str">
        <f>INDEX(TB!$P:$P,MATCH($E198,TB!$E:$E,0))</f>
        <v/>
      </c>
      <c r="K198" s="14" t="str">
        <f>IF(OR($C198="01-09",$C198="10-14",$D198="Female"),"",INDEX(VMMC!$AA:$AA,MATCH($E198,VMMC!$E:$E,0)))</f>
        <v/>
      </c>
      <c r="L198" s="14">
        <f t="shared" si="55"/>
        <v>-98</v>
      </c>
      <c r="M198" s="90" t="str">
        <f t="shared" si="56"/>
        <v/>
      </c>
      <c r="N198" s="90" t="str">
        <f t="shared" si="57"/>
        <v/>
      </c>
      <c r="O198" s="90">
        <f t="shared" si="58"/>
        <v>0</v>
      </c>
      <c r="P198" s="90" t="str">
        <f t="shared" si="59"/>
        <v/>
      </c>
      <c r="Q198" s="90">
        <v>0.47661486710421702</v>
      </c>
      <c r="R198" s="90"/>
      <c r="S198" s="90"/>
      <c r="T198" s="90"/>
      <c r="U198" s="90">
        <v>0.47354599344544102</v>
      </c>
      <c r="V198" s="90">
        <f t="shared" si="60"/>
        <v>0.95016086054965809</v>
      </c>
      <c r="W198" s="90"/>
      <c r="X198" s="42">
        <f t="shared" si="61"/>
        <v>-47</v>
      </c>
      <c r="Y198" s="42" t="str">
        <f t="shared" si="62"/>
        <v>ENTER YIELD</v>
      </c>
      <c r="Z198" s="90"/>
      <c r="AA198" s="42" t="str">
        <f t="shared" si="63"/>
        <v/>
      </c>
      <c r="AB198" s="42" t="str">
        <f t="shared" si="64"/>
        <v/>
      </c>
      <c r="AC198" s="90"/>
      <c r="AD198" s="42" t="str">
        <f t="shared" si="65"/>
        <v/>
      </c>
      <c r="AE198" s="42" t="str">
        <f t="shared" si="66"/>
        <v/>
      </c>
      <c r="AF198" s="90"/>
      <c r="AG198" s="42" t="str">
        <f t="shared" si="67"/>
        <v/>
      </c>
      <c r="AH198" s="42" t="str">
        <f t="shared" si="68"/>
        <v/>
      </c>
      <c r="AI198" s="90"/>
      <c r="AJ198" s="42">
        <f t="shared" si="69"/>
        <v>-46</v>
      </c>
      <c r="AK198" s="42" t="str">
        <f t="shared" si="70"/>
        <v>ENTER YIELD</v>
      </c>
      <c r="AL198" s="14">
        <f t="shared" si="71"/>
        <v>-98</v>
      </c>
      <c r="AM198" s="14">
        <f t="shared" si="72"/>
        <v>-92.999999999999986</v>
      </c>
      <c r="AN198" s="14">
        <f t="shared" si="73"/>
        <v>5.0000000000000142</v>
      </c>
      <c r="AO198" s="14" t="str">
        <f>IF(OR($C198="01-09",$D198="Male"),"",INDEX(PMTCT!$AD:$AD,MATCH($E198,PMTCT!$E:$E,0)))</f>
        <v/>
      </c>
      <c r="AP198" s="14" t="str">
        <f>IF(OR($C198="01-09",$D198="Male"),"",INDEX(PMTCT!$AT:$AT,MATCH($E198,PMTCT!$E:$E,0)))</f>
        <v/>
      </c>
      <c r="AQ198" s="14" t="str">
        <f>INDEX(TB!$Q:$Q,MATCH($E198,TB!$E:$E,0))</f>
        <v/>
      </c>
      <c r="AR198" s="14" t="str">
        <f>IF(OR($C198="01-09",$C198="10-14",$D198="Female"),"",INDEX(VMMC!$AB:$AB,MATCH($E198,VMMC!$E:$E,0)))</f>
        <v/>
      </c>
      <c r="AS198" s="14" t="str">
        <f>IF(OR($C198="01-09",$C198="10-14"),"",INDEX(PrEP!$Q:$Q,MATCH($E198,PrEP!$E:$E,0)))</f>
        <v/>
      </c>
      <c r="AT198" s="14" t="str">
        <f t="shared" si="74"/>
        <v/>
      </c>
      <c r="AU198" s="14">
        <f t="shared" si="75"/>
        <v>-92.999999999999986</v>
      </c>
      <c r="AV198" s="90">
        <f t="shared" si="76"/>
        <v>1</v>
      </c>
      <c r="AW198" s="14"/>
      <c r="AX198" s="90" t="str">
        <f t="shared" si="77"/>
        <v/>
      </c>
      <c r="AY198" s="42" t="str">
        <f t="shared" si="78"/>
        <v/>
      </c>
      <c r="AZ198" s="90" t="str">
        <f t="shared" si="79"/>
        <v/>
      </c>
      <c r="BA198" s="42" t="str">
        <f t="shared" si="80"/>
        <v/>
      </c>
    </row>
    <row r="199" spans="1:53" x14ac:dyDescent="0.2">
      <c r="A199" t="str">
        <f>INDEX(Prioritization!$D:$D,MATCH($B199,Prioritization!$A:$A,0))</f>
        <v>INVALID</v>
      </c>
      <c r="B199" t="s">
        <v>208</v>
      </c>
      <c r="C199" t="s">
        <v>364</v>
      </c>
      <c r="D199" t="s">
        <v>29</v>
      </c>
      <c r="E199" t="str">
        <f t="shared" si="54"/>
        <v>Rumphi District [lPTyjLi4w3d]|15-24|Female</v>
      </c>
      <c r="F199" s="90">
        <f>IF(LEFT($B199,4)="_Mil","",INDEX(Cascade!$AA:$AA,MATCH($E199,Cascade!$E:$E,0)))</f>
        <v>1175</v>
      </c>
      <c r="G199" s="14">
        <f>INDEX(Cascade!$BH:$BH,MATCH($E199,Cascade!$E:$E,0))</f>
        <v>0</v>
      </c>
      <c r="H199" s="14" t="str">
        <f>IF(OR($C199="01-09",$D199="Male"),"",INDEX(PMTCT!$AC:$AC,MATCH($E199,PMTCT!$E:$E,0)))</f>
        <v/>
      </c>
      <c r="I199" s="14" t="str">
        <f>IF(OR($C199="01-09",$D199="Male"),"",INDEX(PMTCT!$AS:$AS,MATCH($E199,PMTCT!$E:$E,0)))</f>
        <v/>
      </c>
      <c r="J199" s="14" t="str">
        <f>INDEX(TB!$P:$P,MATCH($E199,TB!$E:$E,0))</f>
        <v/>
      </c>
      <c r="K199" s="14" t="str">
        <f>IF(OR($C199="01-09",$C199="10-14",$D199="Female"),"",INDEX(VMMC!$AA:$AA,MATCH($E199,VMMC!$E:$E,0)))</f>
        <v/>
      </c>
      <c r="L199" s="14">
        <f t="shared" si="55"/>
        <v>0</v>
      </c>
      <c r="M199" s="90" t="str">
        <f t="shared" si="56"/>
        <v/>
      </c>
      <c r="N199" s="90" t="str">
        <f t="shared" si="57"/>
        <v/>
      </c>
      <c r="O199" s="90" t="str">
        <f t="shared" si="58"/>
        <v/>
      </c>
      <c r="P199" s="90" t="str">
        <f t="shared" si="59"/>
        <v/>
      </c>
      <c r="Q199" s="90"/>
      <c r="R199" s="90"/>
      <c r="S199" s="90"/>
      <c r="T199" s="90"/>
      <c r="U199" s="90"/>
      <c r="V199" s="90" t="str">
        <f t="shared" si="60"/>
        <v/>
      </c>
      <c r="W199" s="90"/>
      <c r="X199" s="42" t="str">
        <f t="shared" si="61"/>
        <v/>
      </c>
      <c r="Y199" s="42" t="str">
        <f t="shared" si="62"/>
        <v/>
      </c>
      <c r="Z199" s="90"/>
      <c r="AA199" s="42" t="str">
        <f t="shared" si="63"/>
        <v/>
      </c>
      <c r="AB199" s="42" t="str">
        <f t="shared" si="64"/>
        <v/>
      </c>
      <c r="AC199" s="90"/>
      <c r="AD199" s="42" t="str">
        <f t="shared" si="65"/>
        <v/>
      </c>
      <c r="AE199" s="42" t="str">
        <f t="shared" si="66"/>
        <v/>
      </c>
      <c r="AF199" s="90"/>
      <c r="AG199" s="42" t="str">
        <f t="shared" si="67"/>
        <v/>
      </c>
      <c r="AH199" s="42" t="str">
        <f t="shared" si="68"/>
        <v/>
      </c>
      <c r="AI199" s="90"/>
      <c r="AJ199" s="42" t="str">
        <f t="shared" si="69"/>
        <v/>
      </c>
      <c r="AK199" s="42" t="str">
        <f t="shared" si="70"/>
        <v/>
      </c>
      <c r="AL199" s="14" t="str">
        <f t="shared" si="71"/>
        <v/>
      </c>
      <c r="AM199" s="14" t="str">
        <f t="shared" si="72"/>
        <v/>
      </c>
      <c r="AN199" s="14" t="str">
        <f t="shared" si="73"/>
        <v/>
      </c>
      <c r="AO199" s="14" t="str">
        <f>IF(OR($C199="01-09",$D199="Male"),"",INDEX(PMTCT!$AD:$AD,MATCH($E199,PMTCT!$E:$E,0)))</f>
        <v/>
      </c>
      <c r="AP199" s="14" t="str">
        <f>IF(OR($C199="01-09",$D199="Male"),"",INDEX(PMTCT!$AT:$AT,MATCH($E199,PMTCT!$E:$E,0)))</f>
        <v/>
      </c>
      <c r="AQ199" s="14" t="str">
        <f>INDEX(TB!$Q:$Q,MATCH($E199,TB!$E:$E,0))</f>
        <v/>
      </c>
      <c r="AR199" s="14" t="str">
        <f>IF(OR($C199="01-09",$C199="10-14",$D199="Female"),"",INDEX(VMMC!$AB:$AB,MATCH($E199,VMMC!$E:$E,0)))</f>
        <v/>
      </c>
      <c r="AS199" s="14" t="str">
        <f>IF(OR($C199="01-09",$C199="10-14"),"",INDEX(PrEP!$Q:$Q,MATCH($E199,PrEP!$E:$E,0)))</f>
        <v/>
      </c>
      <c r="AT199" s="14" t="str">
        <f t="shared" si="74"/>
        <v/>
      </c>
      <c r="AU199" s="14" t="str">
        <f t="shared" si="75"/>
        <v/>
      </c>
      <c r="AV199" s="90" t="str">
        <f t="shared" si="76"/>
        <v/>
      </c>
      <c r="AW199" s="14"/>
      <c r="AX199" s="90" t="str">
        <f t="shared" si="77"/>
        <v/>
      </c>
      <c r="AY199" s="42" t="str">
        <f t="shared" si="78"/>
        <v/>
      </c>
      <c r="AZ199" s="90">
        <f t="shared" si="79"/>
        <v>1</v>
      </c>
      <c r="BA199" s="42" t="str">
        <f t="shared" si="80"/>
        <v/>
      </c>
    </row>
    <row r="200" spans="1:53" x14ac:dyDescent="0.2">
      <c r="A200" t="str">
        <f>INDEX(Prioritization!$D:$D,MATCH($B200,Prioritization!$A:$A,0))</f>
        <v>INVALID</v>
      </c>
      <c r="B200" t="s">
        <v>208</v>
      </c>
      <c r="C200" t="s">
        <v>364</v>
      </c>
      <c r="D200" t="s">
        <v>47</v>
      </c>
      <c r="E200" t="str">
        <f t="shared" si="54"/>
        <v>Rumphi District [lPTyjLi4w3d]|15-24|Male</v>
      </c>
      <c r="F200" s="90">
        <f>IF(LEFT($B200,4)="_Mil","",INDEX(Cascade!$AA:$AA,MATCH($E200,Cascade!$E:$E,0)))</f>
        <v>1548</v>
      </c>
      <c r="G200" s="14">
        <f>INDEX(Cascade!$BH:$BH,MATCH($E200,Cascade!$E:$E,0))</f>
        <v>0</v>
      </c>
      <c r="H200" s="14" t="str">
        <f>IF(OR($C200="01-09",$D200="Male"),"",INDEX(PMTCT!$AC:$AC,MATCH($E200,PMTCT!$E:$E,0)))</f>
        <v/>
      </c>
      <c r="I200" s="14" t="str">
        <f>IF(OR($C200="01-09",$D200="Male"),"",INDEX(PMTCT!$AS:$AS,MATCH($E200,PMTCT!$E:$E,0)))</f>
        <v/>
      </c>
      <c r="J200" s="14" t="str">
        <f>INDEX(TB!$P:$P,MATCH($E200,TB!$E:$E,0))</f>
        <v/>
      </c>
      <c r="K200" s="14" t="str">
        <f>IF(OR($C200="01-09",$C200="10-14",$D200="Female"),"",INDEX(VMMC!$AA:$AA,MATCH($E200,VMMC!$E:$E,0)))</f>
        <v/>
      </c>
      <c r="L200" s="14">
        <f t="shared" si="55"/>
        <v>0</v>
      </c>
      <c r="M200" s="90" t="str">
        <f t="shared" si="56"/>
        <v/>
      </c>
      <c r="N200" s="90" t="str">
        <f t="shared" si="57"/>
        <v/>
      </c>
      <c r="O200" s="90" t="str">
        <f t="shared" si="58"/>
        <v/>
      </c>
      <c r="P200" s="90" t="str">
        <f t="shared" si="59"/>
        <v/>
      </c>
      <c r="Q200" s="90"/>
      <c r="R200" s="90"/>
      <c r="S200" s="90"/>
      <c r="T200" s="90"/>
      <c r="U200" s="90"/>
      <c r="V200" s="90" t="str">
        <f t="shared" si="60"/>
        <v/>
      </c>
      <c r="W200" s="90"/>
      <c r="X200" s="42" t="str">
        <f t="shared" si="61"/>
        <v/>
      </c>
      <c r="Y200" s="42" t="str">
        <f t="shared" si="62"/>
        <v/>
      </c>
      <c r="Z200" s="90"/>
      <c r="AA200" s="42" t="str">
        <f t="shared" si="63"/>
        <v/>
      </c>
      <c r="AB200" s="42" t="str">
        <f t="shared" si="64"/>
        <v/>
      </c>
      <c r="AC200" s="90"/>
      <c r="AD200" s="42" t="str">
        <f t="shared" si="65"/>
        <v/>
      </c>
      <c r="AE200" s="42" t="str">
        <f t="shared" si="66"/>
        <v/>
      </c>
      <c r="AF200" s="90"/>
      <c r="AG200" s="42" t="str">
        <f t="shared" si="67"/>
        <v/>
      </c>
      <c r="AH200" s="42" t="str">
        <f t="shared" si="68"/>
        <v/>
      </c>
      <c r="AI200" s="90"/>
      <c r="AJ200" s="42" t="str">
        <f t="shared" si="69"/>
        <v/>
      </c>
      <c r="AK200" s="42" t="str">
        <f t="shared" si="70"/>
        <v/>
      </c>
      <c r="AL200" s="14" t="str">
        <f t="shared" si="71"/>
        <v/>
      </c>
      <c r="AM200" s="14" t="str">
        <f t="shared" si="72"/>
        <v/>
      </c>
      <c r="AN200" s="14" t="str">
        <f t="shared" si="73"/>
        <v/>
      </c>
      <c r="AO200" s="14" t="str">
        <f>IF(OR($C200="01-09",$D200="Male"),"",INDEX(PMTCT!$AD:$AD,MATCH($E200,PMTCT!$E:$E,0)))</f>
        <v/>
      </c>
      <c r="AP200" s="14" t="str">
        <f>IF(OR($C200="01-09",$D200="Male"),"",INDEX(PMTCT!$AT:$AT,MATCH($E200,PMTCT!$E:$E,0)))</f>
        <v/>
      </c>
      <c r="AQ200" s="14" t="str">
        <f>INDEX(TB!$Q:$Q,MATCH($E200,TB!$E:$E,0))</f>
        <v/>
      </c>
      <c r="AR200" s="14" t="str">
        <f>IF(OR($C200="01-09",$C200="10-14",$D200="Female"),"",INDEX(VMMC!$AB:$AB,MATCH($E200,VMMC!$E:$E,0)))</f>
        <v/>
      </c>
      <c r="AS200" s="14" t="str">
        <f>IF(OR($C200="01-09",$C200="10-14"),"",INDEX(PrEP!$Q:$Q,MATCH($E200,PrEP!$E:$E,0)))</f>
        <v/>
      </c>
      <c r="AT200" s="14" t="str">
        <f t="shared" si="74"/>
        <v/>
      </c>
      <c r="AU200" s="14" t="str">
        <f t="shared" si="75"/>
        <v/>
      </c>
      <c r="AV200" s="90" t="str">
        <f t="shared" si="76"/>
        <v/>
      </c>
      <c r="AW200" s="14"/>
      <c r="AX200" s="90" t="str">
        <f t="shared" si="77"/>
        <v/>
      </c>
      <c r="AY200" s="42" t="str">
        <f t="shared" si="78"/>
        <v/>
      </c>
      <c r="AZ200" s="90">
        <f t="shared" si="79"/>
        <v>1</v>
      </c>
      <c r="BA200" s="42" t="str">
        <f t="shared" si="80"/>
        <v/>
      </c>
    </row>
    <row r="201" spans="1:53" x14ac:dyDescent="0.2">
      <c r="A201" t="str">
        <f>INDEX(Prioritization!$D:$D,MATCH($B201,Prioritization!$A:$A,0))</f>
        <v>INVALID</v>
      </c>
      <c r="B201" t="s">
        <v>208</v>
      </c>
      <c r="C201" t="s">
        <v>365</v>
      </c>
      <c r="D201" t="s">
        <v>29</v>
      </c>
      <c r="E201" t="str">
        <f t="shared" si="54"/>
        <v>Rumphi District [lPTyjLi4w3d]|25-34|Female</v>
      </c>
      <c r="F201" s="90">
        <f>IF(LEFT($B201,4)="_Mil","",INDEX(Cascade!$AA:$AA,MATCH($E201,Cascade!$E:$E,0)))</f>
        <v>1520</v>
      </c>
      <c r="G201" s="14">
        <f>INDEX(Cascade!$BH:$BH,MATCH($E201,Cascade!$E:$E,0))</f>
        <v>0</v>
      </c>
      <c r="H201" s="14" t="str">
        <f>IF(OR($C201="01-09",$D201="Male"),"",INDEX(PMTCT!$AC:$AC,MATCH($E201,PMTCT!$E:$E,0)))</f>
        <v/>
      </c>
      <c r="I201" s="14" t="str">
        <f>IF(OR($C201="01-09",$D201="Male"),"",INDEX(PMTCT!$AS:$AS,MATCH($E201,PMTCT!$E:$E,0)))</f>
        <v/>
      </c>
      <c r="J201" s="14" t="str">
        <f>INDEX(TB!$P:$P,MATCH($E201,TB!$E:$E,0))</f>
        <v/>
      </c>
      <c r="K201" s="14" t="str">
        <f>IF(OR($C201="01-09",$C201="10-14",$D201="Female"),"",INDEX(VMMC!$AA:$AA,MATCH($E201,VMMC!$E:$E,0)))</f>
        <v/>
      </c>
      <c r="L201" s="14">
        <f t="shared" si="55"/>
        <v>0</v>
      </c>
      <c r="M201" s="90" t="str">
        <f t="shared" si="56"/>
        <v/>
      </c>
      <c r="N201" s="90" t="str">
        <f t="shared" si="57"/>
        <v/>
      </c>
      <c r="O201" s="90" t="str">
        <f t="shared" si="58"/>
        <v/>
      </c>
      <c r="P201" s="90" t="str">
        <f t="shared" si="59"/>
        <v/>
      </c>
      <c r="Q201" s="90"/>
      <c r="R201" s="90"/>
      <c r="S201" s="90"/>
      <c r="T201" s="90"/>
      <c r="U201" s="90"/>
      <c r="V201" s="90" t="str">
        <f t="shared" si="60"/>
        <v/>
      </c>
      <c r="W201" s="90"/>
      <c r="X201" s="42" t="str">
        <f t="shared" si="61"/>
        <v/>
      </c>
      <c r="Y201" s="42" t="str">
        <f t="shared" si="62"/>
        <v/>
      </c>
      <c r="Z201" s="90"/>
      <c r="AA201" s="42" t="str">
        <f t="shared" si="63"/>
        <v/>
      </c>
      <c r="AB201" s="42" t="str">
        <f t="shared" si="64"/>
        <v/>
      </c>
      <c r="AC201" s="90"/>
      <c r="AD201" s="42" t="str">
        <f t="shared" si="65"/>
        <v/>
      </c>
      <c r="AE201" s="42" t="str">
        <f t="shared" si="66"/>
        <v/>
      </c>
      <c r="AF201" s="90"/>
      <c r="AG201" s="42" t="str">
        <f t="shared" si="67"/>
        <v/>
      </c>
      <c r="AH201" s="42" t="str">
        <f t="shared" si="68"/>
        <v/>
      </c>
      <c r="AI201" s="90"/>
      <c r="AJ201" s="42" t="str">
        <f t="shared" si="69"/>
        <v/>
      </c>
      <c r="AK201" s="42" t="str">
        <f t="shared" si="70"/>
        <v/>
      </c>
      <c r="AL201" s="14" t="str">
        <f t="shared" si="71"/>
        <v/>
      </c>
      <c r="AM201" s="14" t="str">
        <f t="shared" si="72"/>
        <v/>
      </c>
      <c r="AN201" s="14" t="str">
        <f t="shared" si="73"/>
        <v/>
      </c>
      <c r="AO201" s="14" t="str">
        <f>IF(OR($C201="01-09",$D201="Male"),"",INDEX(PMTCT!$AD:$AD,MATCH($E201,PMTCT!$E:$E,0)))</f>
        <v/>
      </c>
      <c r="AP201" s="14" t="str">
        <f>IF(OR($C201="01-09",$D201="Male"),"",INDEX(PMTCT!$AT:$AT,MATCH($E201,PMTCT!$E:$E,0)))</f>
        <v/>
      </c>
      <c r="AQ201" s="14" t="str">
        <f>INDEX(TB!$Q:$Q,MATCH($E201,TB!$E:$E,0))</f>
        <v/>
      </c>
      <c r="AR201" s="14" t="str">
        <f>IF(OR($C201="01-09",$C201="10-14",$D201="Female"),"",INDEX(VMMC!$AB:$AB,MATCH($E201,VMMC!$E:$E,0)))</f>
        <v/>
      </c>
      <c r="AS201" s="14" t="str">
        <f>IF(OR($C201="01-09",$C201="10-14"),"",INDEX(PrEP!$Q:$Q,MATCH($E201,PrEP!$E:$E,0)))</f>
        <v/>
      </c>
      <c r="AT201" s="14" t="str">
        <f t="shared" si="74"/>
        <v/>
      </c>
      <c r="AU201" s="14" t="str">
        <f t="shared" si="75"/>
        <v/>
      </c>
      <c r="AV201" s="90" t="str">
        <f t="shared" si="76"/>
        <v/>
      </c>
      <c r="AW201" s="14"/>
      <c r="AX201" s="90" t="str">
        <f t="shared" si="77"/>
        <v/>
      </c>
      <c r="AY201" s="42" t="str">
        <f t="shared" si="78"/>
        <v/>
      </c>
      <c r="AZ201" s="90">
        <f t="shared" si="79"/>
        <v>1</v>
      </c>
      <c r="BA201" s="42" t="str">
        <f t="shared" si="80"/>
        <v/>
      </c>
    </row>
    <row r="202" spans="1:53" x14ac:dyDescent="0.2">
      <c r="A202" t="str">
        <f>INDEX(Prioritization!$D:$D,MATCH($B202,Prioritization!$A:$A,0))</f>
        <v>INVALID</v>
      </c>
      <c r="B202" t="s">
        <v>208</v>
      </c>
      <c r="C202" t="s">
        <v>365</v>
      </c>
      <c r="D202" t="s">
        <v>47</v>
      </c>
      <c r="E202" t="str">
        <f t="shared" si="54"/>
        <v>Rumphi District [lPTyjLi4w3d]|25-34|Male</v>
      </c>
      <c r="F202" s="90">
        <f>IF(LEFT($B202,4)="_Mil","",INDEX(Cascade!$AA:$AA,MATCH($E202,Cascade!$E:$E,0)))</f>
        <v>1048</v>
      </c>
      <c r="G202" s="14">
        <f>INDEX(Cascade!$BH:$BH,MATCH($E202,Cascade!$E:$E,0))</f>
        <v>0</v>
      </c>
      <c r="H202" s="14" t="str">
        <f>IF(OR($C202="01-09",$D202="Male"),"",INDEX(PMTCT!$AC:$AC,MATCH($E202,PMTCT!$E:$E,0)))</f>
        <v/>
      </c>
      <c r="I202" s="14" t="str">
        <f>IF(OR($C202="01-09",$D202="Male"),"",INDEX(PMTCT!$AS:$AS,MATCH($E202,PMTCT!$E:$E,0)))</f>
        <v/>
      </c>
      <c r="J202" s="14" t="str">
        <f>INDEX(TB!$P:$P,MATCH($E202,TB!$E:$E,0))</f>
        <v/>
      </c>
      <c r="K202" s="14" t="str">
        <f>IF(OR($C202="01-09",$C202="10-14",$D202="Female"),"",INDEX(VMMC!$AA:$AA,MATCH($E202,VMMC!$E:$E,0)))</f>
        <v/>
      </c>
      <c r="L202" s="14">
        <f t="shared" si="55"/>
        <v>0</v>
      </c>
      <c r="M202" s="90" t="str">
        <f t="shared" si="56"/>
        <v/>
      </c>
      <c r="N202" s="90" t="str">
        <f t="shared" si="57"/>
        <v/>
      </c>
      <c r="O202" s="90" t="str">
        <f t="shared" si="58"/>
        <v/>
      </c>
      <c r="P202" s="90" t="str">
        <f t="shared" si="59"/>
        <v/>
      </c>
      <c r="Q202" s="90"/>
      <c r="R202" s="90"/>
      <c r="S202" s="90"/>
      <c r="T202" s="90"/>
      <c r="U202" s="90"/>
      <c r="V202" s="90" t="str">
        <f t="shared" si="60"/>
        <v/>
      </c>
      <c r="W202" s="90"/>
      <c r="X202" s="42" t="str">
        <f t="shared" si="61"/>
        <v/>
      </c>
      <c r="Y202" s="42" t="str">
        <f t="shared" si="62"/>
        <v/>
      </c>
      <c r="Z202" s="90"/>
      <c r="AA202" s="42" t="str">
        <f t="shared" si="63"/>
        <v/>
      </c>
      <c r="AB202" s="42" t="str">
        <f t="shared" si="64"/>
        <v/>
      </c>
      <c r="AC202" s="90"/>
      <c r="AD202" s="42" t="str">
        <f t="shared" si="65"/>
        <v/>
      </c>
      <c r="AE202" s="42" t="str">
        <f t="shared" si="66"/>
        <v/>
      </c>
      <c r="AF202" s="90"/>
      <c r="AG202" s="42" t="str">
        <f t="shared" si="67"/>
        <v/>
      </c>
      <c r="AH202" s="42" t="str">
        <f t="shared" si="68"/>
        <v/>
      </c>
      <c r="AI202" s="90"/>
      <c r="AJ202" s="42" t="str">
        <f t="shared" si="69"/>
        <v/>
      </c>
      <c r="AK202" s="42" t="str">
        <f t="shared" si="70"/>
        <v/>
      </c>
      <c r="AL202" s="14" t="str">
        <f t="shared" si="71"/>
        <v/>
      </c>
      <c r="AM202" s="14" t="str">
        <f t="shared" si="72"/>
        <v/>
      </c>
      <c r="AN202" s="14" t="str">
        <f t="shared" si="73"/>
        <v/>
      </c>
      <c r="AO202" s="14" t="str">
        <f>IF(OR($C202="01-09",$D202="Male"),"",INDEX(PMTCT!$AD:$AD,MATCH($E202,PMTCT!$E:$E,0)))</f>
        <v/>
      </c>
      <c r="AP202" s="14" t="str">
        <f>IF(OR($C202="01-09",$D202="Male"),"",INDEX(PMTCT!$AT:$AT,MATCH($E202,PMTCT!$E:$E,0)))</f>
        <v/>
      </c>
      <c r="AQ202" s="14" t="str">
        <f>INDEX(TB!$Q:$Q,MATCH($E202,TB!$E:$E,0))</f>
        <v/>
      </c>
      <c r="AR202" s="14" t="str">
        <f>IF(OR($C202="01-09",$C202="10-14",$D202="Female"),"",INDEX(VMMC!$AB:$AB,MATCH($E202,VMMC!$E:$E,0)))</f>
        <v/>
      </c>
      <c r="AS202" s="14" t="str">
        <f>IF(OR($C202="01-09",$C202="10-14"),"",INDEX(PrEP!$Q:$Q,MATCH($E202,PrEP!$E:$E,0)))</f>
        <v/>
      </c>
      <c r="AT202" s="14" t="str">
        <f t="shared" si="74"/>
        <v/>
      </c>
      <c r="AU202" s="14" t="str">
        <f t="shared" si="75"/>
        <v/>
      </c>
      <c r="AV202" s="90" t="str">
        <f t="shared" si="76"/>
        <v/>
      </c>
      <c r="AW202" s="14"/>
      <c r="AX202" s="90" t="str">
        <f t="shared" si="77"/>
        <v/>
      </c>
      <c r="AY202" s="42" t="str">
        <f t="shared" si="78"/>
        <v/>
      </c>
      <c r="AZ202" s="90">
        <f t="shared" si="79"/>
        <v>1</v>
      </c>
      <c r="BA202" s="42" t="str">
        <f t="shared" si="80"/>
        <v/>
      </c>
    </row>
    <row r="203" spans="1:53" x14ac:dyDescent="0.2">
      <c r="A203" t="str">
        <f>INDEX(Prioritization!$D:$D,MATCH($B203,Prioritization!$A:$A,0))</f>
        <v>INVALID</v>
      </c>
      <c r="B203" t="s">
        <v>208</v>
      </c>
      <c r="C203" t="s">
        <v>366</v>
      </c>
      <c r="D203" t="s">
        <v>29</v>
      </c>
      <c r="E203" t="str">
        <f t="shared" si="54"/>
        <v>Rumphi District [lPTyjLi4w3d]|35-49|Female</v>
      </c>
      <c r="F203" s="90">
        <f>IF(LEFT($B203,4)="_Mil","",INDEX(Cascade!$AA:$AA,MATCH($E203,Cascade!$E:$E,0)))</f>
        <v>971</v>
      </c>
      <c r="G203" s="14">
        <f>INDEX(Cascade!$BH:$BH,MATCH($E203,Cascade!$E:$E,0))</f>
        <v>0</v>
      </c>
      <c r="H203" s="14" t="str">
        <f>IF(OR($C203="01-09",$D203="Male"),"",INDEX(PMTCT!$AC:$AC,MATCH($E203,PMTCT!$E:$E,0)))</f>
        <v/>
      </c>
      <c r="I203" s="14" t="str">
        <f>IF(OR($C203="01-09",$D203="Male"),"",INDEX(PMTCT!$AS:$AS,MATCH($E203,PMTCT!$E:$E,0)))</f>
        <v/>
      </c>
      <c r="J203" s="14" t="str">
        <f>INDEX(TB!$P:$P,MATCH($E203,TB!$E:$E,0))</f>
        <v/>
      </c>
      <c r="K203" s="14" t="str">
        <f>IF(OR($C203="01-09",$C203="10-14",$D203="Female"),"",INDEX(VMMC!$AA:$AA,MATCH($E203,VMMC!$E:$E,0)))</f>
        <v/>
      </c>
      <c r="L203" s="14">
        <f t="shared" si="55"/>
        <v>0</v>
      </c>
      <c r="M203" s="90" t="str">
        <f t="shared" si="56"/>
        <v/>
      </c>
      <c r="N203" s="90" t="str">
        <f t="shared" si="57"/>
        <v/>
      </c>
      <c r="O203" s="90" t="str">
        <f t="shared" si="58"/>
        <v/>
      </c>
      <c r="P203" s="90" t="str">
        <f t="shared" si="59"/>
        <v/>
      </c>
      <c r="Q203" s="90"/>
      <c r="R203" s="90"/>
      <c r="S203" s="90"/>
      <c r="T203" s="90"/>
      <c r="U203" s="90"/>
      <c r="V203" s="90" t="str">
        <f t="shared" si="60"/>
        <v/>
      </c>
      <c r="W203" s="90"/>
      <c r="X203" s="42" t="str">
        <f t="shared" si="61"/>
        <v/>
      </c>
      <c r="Y203" s="42" t="str">
        <f t="shared" si="62"/>
        <v/>
      </c>
      <c r="Z203" s="90"/>
      <c r="AA203" s="42" t="str">
        <f t="shared" si="63"/>
        <v/>
      </c>
      <c r="AB203" s="42" t="str">
        <f t="shared" si="64"/>
        <v/>
      </c>
      <c r="AC203" s="90"/>
      <c r="AD203" s="42" t="str">
        <f t="shared" si="65"/>
        <v/>
      </c>
      <c r="AE203" s="42" t="str">
        <f t="shared" si="66"/>
        <v/>
      </c>
      <c r="AF203" s="90"/>
      <c r="AG203" s="42" t="str">
        <f t="shared" si="67"/>
        <v/>
      </c>
      <c r="AH203" s="42" t="str">
        <f t="shared" si="68"/>
        <v/>
      </c>
      <c r="AI203" s="90"/>
      <c r="AJ203" s="42" t="str">
        <f t="shared" si="69"/>
        <v/>
      </c>
      <c r="AK203" s="42" t="str">
        <f t="shared" si="70"/>
        <v/>
      </c>
      <c r="AL203" s="14" t="str">
        <f t="shared" si="71"/>
        <v/>
      </c>
      <c r="AM203" s="14" t="str">
        <f t="shared" si="72"/>
        <v/>
      </c>
      <c r="AN203" s="14" t="str">
        <f t="shared" si="73"/>
        <v/>
      </c>
      <c r="AO203" s="14" t="str">
        <f>IF(OR($C203="01-09",$D203="Male"),"",INDEX(PMTCT!$AD:$AD,MATCH($E203,PMTCT!$E:$E,0)))</f>
        <v/>
      </c>
      <c r="AP203" s="14" t="str">
        <f>IF(OR($C203="01-09",$D203="Male"),"",INDEX(PMTCT!$AT:$AT,MATCH($E203,PMTCT!$E:$E,0)))</f>
        <v/>
      </c>
      <c r="AQ203" s="14" t="str">
        <f>INDEX(TB!$Q:$Q,MATCH($E203,TB!$E:$E,0))</f>
        <v/>
      </c>
      <c r="AR203" s="14" t="str">
        <f>IF(OR($C203="01-09",$C203="10-14",$D203="Female"),"",INDEX(VMMC!$AB:$AB,MATCH($E203,VMMC!$E:$E,0)))</f>
        <v/>
      </c>
      <c r="AS203" s="14" t="str">
        <f>IF(OR($C203="01-09",$C203="10-14"),"",INDEX(PrEP!$Q:$Q,MATCH($E203,PrEP!$E:$E,0)))</f>
        <v/>
      </c>
      <c r="AT203" s="14" t="str">
        <f t="shared" si="74"/>
        <v/>
      </c>
      <c r="AU203" s="14" t="str">
        <f t="shared" si="75"/>
        <v/>
      </c>
      <c r="AV203" s="90" t="str">
        <f t="shared" si="76"/>
        <v/>
      </c>
      <c r="AW203" s="14"/>
      <c r="AX203" s="90" t="str">
        <f t="shared" si="77"/>
        <v/>
      </c>
      <c r="AY203" s="42" t="str">
        <f t="shared" si="78"/>
        <v/>
      </c>
      <c r="AZ203" s="90">
        <f t="shared" si="79"/>
        <v>1</v>
      </c>
      <c r="BA203" s="42" t="str">
        <f t="shared" si="80"/>
        <v/>
      </c>
    </row>
    <row r="204" spans="1:53" x14ac:dyDescent="0.2">
      <c r="A204" t="str">
        <f>INDEX(Prioritization!$D:$D,MATCH($B204,Prioritization!$A:$A,0))</f>
        <v>INVALID</v>
      </c>
      <c r="B204" t="s">
        <v>208</v>
      </c>
      <c r="C204" t="s">
        <v>366</v>
      </c>
      <c r="D204" t="s">
        <v>47</v>
      </c>
      <c r="E204" t="str">
        <f t="shared" si="54"/>
        <v>Rumphi District [lPTyjLi4w3d]|35-49|Male</v>
      </c>
      <c r="F204" s="90">
        <f>IF(LEFT($B204,4)="_Mil","",INDEX(Cascade!$AA:$AA,MATCH($E204,Cascade!$E:$E,0)))</f>
        <v>1835.9999999999998</v>
      </c>
      <c r="G204" s="14">
        <f>INDEX(Cascade!$BH:$BH,MATCH($E204,Cascade!$E:$E,0))</f>
        <v>0</v>
      </c>
      <c r="H204" s="14" t="str">
        <f>IF(OR($C204="01-09",$D204="Male"),"",INDEX(PMTCT!$AC:$AC,MATCH($E204,PMTCT!$E:$E,0)))</f>
        <v/>
      </c>
      <c r="I204" s="14" t="str">
        <f>IF(OR($C204="01-09",$D204="Male"),"",INDEX(PMTCT!$AS:$AS,MATCH($E204,PMTCT!$E:$E,0)))</f>
        <v/>
      </c>
      <c r="J204" s="14" t="str">
        <f>INDEX(TB!$P:$P,MATCH($E204,TB!$E:$E,0))</f>
        <v/>
      </c>
      <c r="K204" s="14" t="str">
        <f>IF(OR($C204="01-09",$C204="10-14",$D204="Female"),"",INDEX(VMMC!$AA:$AA,MATCH($E204,VMMC!$E:$E,0)))</f>
        <v/>
      </c>
      <c r="L204" s="14">
        <f t="shared" si="55"/>
        <v>0</v>
      </c>
      <c r="M204" s="90" t="str">
        <f t="shared" si="56"/>
        <v/>
      </c>
      <c r="N204" s="90" t="str">
        <f t="shared" si="57"/>
        <v/>
      </c>
      <c r="O204" s="90" t="str">
        <f t="shared" si="58"/>
        <v/>
      </c>
      <c r="P204" s="90" t="str">
        <f t="shared" si="59"/>
        <v/>
      </c>
      <c r="Q204" s="90"/>
      <c r="R204" s="90"/>
      <c r="S204" s="90"/>
      <c r="T204" s="90"/>
      <c r="U204" s="90"/>
      <c r="V204" s="90" t="str">
        <f t="shared" si="60"/>
        <v/>
      </c>
      <c r="W204" s="90"/>
      <c r="X204" s="42" t="str">
        <f t="shared" si="61"/>
        <v/>
      </c>
      <c r="Y204" s="42" t="str">
        <f t="shared" si="62"/>
        <v/>
      </c>
      <c r="Z204" s="90"/>
      <c r="AA204" s="42" t="str">
        <f t="shared" si="63"/>
        <v/>
      </c>
      <c r="AB204" s="42" t="str">
        <f t="shared" si="64"/>
        <v/>
      </c>
      <c r="AC204" s="90"/>
      <c r="AD204" s="42" t="str">
        <f t="shared" si="65"/>
        <v/>
      </c>
      <c r="AE204" s="42" t="str">
        <f t="shared" si="66"/>
        <v/>
      </c>
      <c r="AF204" s="90"/>
      <c r="AG204" s="42" t="str">
        <f t="shared" si="67"/>
        <v/>
      </c>
      <c r="AH204" s="42" t="str">
        <f t="shared" si="68"/>
        <v/>
      </c>
      <c r="AI204" s="90"/>
      <c r="AJ204" s="42" t="str">
        <f t="shared" si="69"/>
        <v/>
      </c>
      <c r="AK204" s="42" t="str">
        <f t="shared" si="70"/>
        <v/>
      </c>
      <c r="AL204" s="14" t="str">
        <f t="shared" si="71"/>
        <v/>
      </c>
      <c r="AM204" s="14" t="str">
        <f t="shared" si="72"/>
        <v/>
      </c>
      <c r="AN204" s="14" t="str">
        <f t="shared" si="73"/>
        <v/>
      </c>
      <c r="AO204" s="14" t="str">
        <f>IF(OR($C204="01-09",$D204="Male"),"",INDEX(PMTCT!$AD:$AD,MATCH($E204,PMTCT!$E:$E,0)))</f>
        <v/>
      </c>
      <c r="AP204" s="14" t="str">
        <f>IF(OR($C204="01-09",$D204="Male"),"",INDEX(PMTCT!$AT:$AT,MATCH($E204,PMTCT!$E:$E,0)))</f>
        <v/>
      </c>
      <c r="AQ204" s="14" t="str">
        <f>INDEX(TB!$Q:$Q,MATCH($E204,TB!$E:$E,0))</f>
        <v/>
      </c>
      <c r="AR204" s="14" t="str">
        <f>IF(OR($C204="01-09",$C204="10-14",$D204="Female"),"",INDEX(VMMC!$AB:$AB,MATCH($E204,VMMC!$E:$E,0)))</f>
        <v/>
      </c>
      <c r="AS204" s="14" t="str">
        <f>IF(OR($C204="01-09",$C204="10-14"),"",INDEX(PrEP!$Q:$Q,MATCH($E204,PrEP!$E:$E,0)))</f>
        <v/>
      </c>
      <c r="AT204" s="14" t="str">
        <f t="shared" si="74"/>
        <v/>
      </c>
      <c r="AU204" s="14" t="str">
        <f t="shared" si="75"/>
        <v/>
      </c>
      <c r="AV204" s="90" t="str">
        <f t="shared" si="76"/>
        <v/>
      </c>
      <c r="AW204" s="14"/>
      <c r="AX204" s="90" t="str">
        <f t="shared" si="77"/>
        <v/>
      </c>
      <c r="AY204" s="42" t="str">
        <f t="shared" si="78"/>
        <v/>
      </c>
      <c r="AZ204" s="90">
        <f t="shared" si="79"/>
        <v>1</v>
      </c>
      <c r="BA204" s="42" t="str">
        <f t="shared" si="80"/>
        <v/>
      </c>
    </row>
    <row r="205" spans="1:53" x14ac:dyDescent="0.2">
      <c r="A205" t="str">
        <f>INDEX(Prioritization!$D:$D,MATCH($B205,Prioritization!$A:$A,0))</f>
        <v>INVALID</v>
      </c>
      <c r="B205" t="s">
        <v>208</v>
      </c>
      <c r="C205" t="s">
        <v>367</v>
      </c>
      <c r="D205" t="s">
        <v>29</v>
      </c>
      <c r="E205" t="str">
        <f t="shared" si="54"/>
        <v>Rumphi District [lPTyjLi4w3d]|50+|Female</v>
      </c>
      <c r="F205" s="90">
        <f>IF(LEFT($B205,4)="_Mil","",INDEX(Cascade!$AA:$AA,MATCH($E205,Cascade!$E:$E,0)))</f>
        <v>1370</v>
      </c>
      <c r="G205" s="14">
        <f>INDEX(Cascade!$BH:$BH,MATCH($E205,Cascade!$E:$E,0))</f>
        <v>0</v>
      </c>
      <c r="H205" s="14" t="str">
        <f>IF(OR($C205="01-09",$D205="Male"),"",INDEX(PMTCT!$AC:$AC,MATCH($E205,PMTCT!$E:$E,0)))</f>
        <v/>
      </c>
      <c r="I205" s="14" t="str">
        <f>IF(OR($C205="01-09",$D205="Male"),"",INDEX(PMTCT!$AS:$AS,MATCH($E205,PMTCT!$E:$E,0)))</f>
        <v/>
      </c>
      <c r="J205" s="14" t="str">
        <f>INDEX(TB!$P:$P,MATCH($E205,TB!$E:$E,0))</f>
        <v/>
      </c>
      <c r="K205" s="14" t="str">
        <f>IF(OR($C205="01-09",$C205="10-14",$D205="Female"),"",INDEX(VMMC!$AA:$AA,MATCH($E205,VMMC!$E:$E,0)))</f>
        <v/>
      </c>
      <c r="L205" s="14">
        <f t="shared" si="55"/>
        <v>0</v>
      </c>
      <c r="M205" s="90" t="str">
        <f t="shared" si="56"/>
        <v/>
      </c>
      <c r="N205" s="90" t="str">
        <f t="shared" si="57"/>
        <v/>
      </c>
      <c r="O205" s="90" t="str">
        <f t="shared" si="58"/>
        <v/>
      </c>
      <c r="P205" s="90" t="str">
        <f t="shared" si="59"/>
        <v/>
      </c>
      <c r="Q205" s="90"/>
      <c r="R205" s="90"/>
      <c r="S205" s="90"/>
      <c r="T205" s="90"/>
      <c r="U205" s="90">
        <v>0.29684087680652699</v>
      </c>
      <c r="V205" s="90" t="str">
        <f t="shared" si="60"/>
        <v/>
      </c>
      <c r="W205" s="90"/>
      <c r="X205" s="42" t="str">
        <f t="shared" si="61"/>
        <v/>
      </c>
      <c r="Y205" s="42" t="str">
        <f t="shared" si="62"/>
        <v/>
      </c>
      <c r="Z205" s="90"/>
      <c r="AA205" s="42" t="str">
        <f t="shared" si="63"/>
        <v/>
      </c>
      <c r="AB205" s="42" t="str">
        <f t="shared" si="64"/>
        <v/>
      </c>
      <c r="AC205" s="90"/>
      <c r="AD205" s="42" t="str">
        <f t="shared" si="65"/>
        <v/>
      </c>
      <c r="AE205" s="42" t="str">
        <f t="shared" si="66"/>
        <v/>
      </c>
      <c r="AF205" s="90"/>
      <c r="AG205" s="42" t="str">
        <f t="shared" si="67"/>
        <v/>
      </c>
      <c r="AH205" s="42" t="str">
        <f t="shared" si="68"/>
        <v/>
      </c>
      <c r="AI205" s="90"/>
      <c r="AJ205" s="42" t="str">
        <f t="shared" si="69"/>
        <v/>
      </c>
      <c r="AK205" s="42" t="str">
        <f t="shared" si="70"/>
        <v/>
      </c>
      <c r="AL205" s="14" t="str">
        <f t="shared" si="71"/>
        <v/>
      </c>
      <c r="AM205" s="14" t="str">
        <f t="shared" si="72"/>
        <v/>
      </c>
      <c r="AN205" s="14" t="str">
        <f t="shared" si="73"/>
        <v/>
      </c>
      <c r="AO205" s="14" t="str">
        <f>IF(OR($C205="01-09",$D205="Male"),"",INDEX(PMTCT!$AD:$AD,MATCH($E205,PMTCT!$E:$E,0)))</f>
        <v/>
      </c>
      <c r="AP205" s="14" t="str">
        <f>IF(OR($C205="01-09",$D205="Male"),"",INDEX(PMTCT!$AT:$AT,MATCH($E205,PMTCT!$E:$E,0)))</f>
        <v/>
      </c>
      <c r="AQ205" s="14" t="str">
        <f>INDEX(TB!$Q:$Q,MATCH($E205,TB!$E:$E,0))</f>
        <v/>
      </c>
      <c r="AR205" s="14" t="str">
        <f>IF(OR($C205="01-09",$C205="10-14",$D205="Female"),"",INDEX(VMMC!$AB:$AB,MATCH($E205,VMMC!$E:$E,0)))</f>
        <v/>
      </c>
      <c r="AS205" s="14" t="str">
        <f>IF(OR($C205="01-09",$C205="10-14"),"",INDEX(PrEP!$Q:$Q,MATCH($E205,PrEP!$E:$E,0)))</f>
        <v/>
      </c>
      <c r="AT205" s="14" t="str">
        <f t="shared" si="74"/>
        <v/>
      </c>
      <c r="AU205" s="14" t="str">
        <f t="shared" si="75"/>
        <v/>
      </c>
      <c r="AV205" s="90" t="str">
        <f t="shared" si="76"/>
        <v/>
      </c>
      <c r="AW205" s="14">
        <v>2</v>
      </c>
      <c r="AX205" s="90">
        <f t="shared" si="77"/>
        <v>0</v>
      </c>
      <c r="AY205" s="42">
        <f t="shared" si="78"/>
        <v>2</v>
      </c>
      <c r="AZ205" s="90">
        <f t="shared" si="79"/>
        <v>1</v>
      </c>
      <c r="BA205" s="42" t="str">
        <f t="shared" si="80"/>
        <v/>
      </c>
    </row>
    <row r="206" spans="1:53" x14ac:dyDescent="0.2">
      <c r="A206" t="str">
        <f>INDEX(Prioritization!$D:$D,MATCH($B206,Prioritization!$A:$A,0))</f>
        <v>INVALID</v>
      </c>
      <c r="B206" t="s">
        <v>208</v>
      </c>
      <c r="C206" t="s">
        <v>367</v>
      </c>
      <c r="D206" t="s">
        <v>47</v>
      </c>
      <c r="E206" t="str">
        <f t="shared" si="54"/>
        <v>Rumphi District [lPTyjLi4w3d]|50+|Male</v>
      </c>
      <c r="F206" s="90">
        <f>IF(LEFT($B206,4)="_Mil","",INDEX(Cascade!$AA:$AA,MATCH($E206,Cascade!$E:$E,0)))</f>
        <v>1898.0000000000002</v>
      </c>
      <c r="G206" s="14">
        <f>INDEX(Cascade!$BH:$BH,MATCH($E206,Cascade!$E:$E,0))</f>
        <v>0</v>
      </c>
      <c r="H206" s="14" t="str">
        <f>IF(OR($C206="01-09",$D206="Male"),"",INDEX(PMTCT!$AC:$AC,MATCH($E206,PMTCT!$E:$E,0)))</f>
        <v/>
      </c>
      <c r="I206" s="14" t="str">
        <f>IF(OR($C206="01-09",$D206="Male"),"",INDEX(PMTCT!$AS:$AS,MATCH($E206,PMTCT!$E:$E,0)))</f>
        <v/>
      </c>
      <c r="J206" s="14" t="str">
        <f>INDEX(TB!$P:$P,MATCH($E206,TB!$E:$E,0))</f>
        <v/>
      </c>
      <c r="K206" s="14" t="str">
        <f>IF(OR($C206="01-09",$C206="10-14",$D206="Female"),"",INDEX(VMMC!$AA:$AA,MATCH($E206,VMMC!$E:$E,0)))</f>
        <v/>
      </c>
      <c r="L206" s="14">
        <f t="shared" si="55"/>
        <v>0</v>
      </c>
      <c r="M206" s="90" t="str">
        <f t="shared" si="56"/>
        <v/>
      </c>
      <c r="N206" s="90" t="str">
        <f t="shared" si="57"/>
        <v/>
      </c>
      <c r="O206" s="90" t="str">
        <f t="shared" si="58"/>
        <v/>
      </c>
      <c r="P206" s="90" t="str">
        <f t="shared" si="59"/>
        <v/>
      </c>
      <c r="Q206" s="90"/>
      <c r="R206" s="90"/>
      <c r="S206" s="90"/>
      <c r="T206" s="90"/>
      <c r="U206" s="90">
        <v>0.29911351157352301</v>
      </c>
      <c r="V206" s="90" t="str">
        <f t="shared" si="60"/>
        <v/>
      </c>
      <c r="W206" s="90"/>
      <c r="X206" s="42" t="str">
        <f t="shared" si="61"/>
        <v/>
      </c>
      <c r="Y206" s="42" t="str">
        <f t="shared" si="62"/>
        <v/>
      </c>
      <c r="Z206" s="90"/>
      <c r="AA206" s="42" t="str">
        <f t="shared" si="63"/>
        <v/>
      </c>
      <c r="AB206" s="42" t="str">
        <f t="shared" si="64"/>
        <v/>
      </c>
      <c r="AC206" s="90"/>
      <c r="AD206" s="42" t="str">
        <f t="shared" si="65"/>
        <v/>
      </c>
      <c r="AE206" s="42" t="str">
        <f t="shared" si="66"/>
        <v/>
      </c>
      <c r="AF206" s="90"/>
      <c r="AG206" s="42" t="str">
        <f t="shared" si="67"/>
        <v/>
      </c>
      <c r="AH206" s="42" t="str">
        <f t="shared" si="68"/>
        <v/>
      </c>
      <c r="AI206" s="90"/>
      <c r="AJ206" s="42" t="str">
        <f t="shared" si="69"/>
        <v/>
      </c>
      <c r="AK206" s="42" t="str">
        <f t="shared" si="70"/>
        <v/>
      </c>
      <c r="AL206" s="14" t="str">
        <f t="shared" si="71"/>
        <v/>
      </c>
      <c r="AM206" s="14" t="str">
        <f t="shared" si="72"/>
        <v/>
      </c>
      <c r="AN206" s="14" t="str">
        <f t="shared" si="73"/>
        <v/>
      </c>
      <c r="AO206" s="14" t="str">
        <f>IF(OR($C206="01-09",$D206="Male"),"",INDEX(PMTCT!$AD:$AD,MATCH($E206,PMTCT!$E:$E,0)))</f>
        <v/>
      </c>
      <c r="AP206" s="14" t="str">
        <f>IF(OR($C206="01-09",$D206="Male"),"",INDEX(PMTCT!$AT:$AT,MATCH($E206,PMTCT!$E:$E,0)))</f>
        <v/>
      </c>
      <c r="AQ206" s="14" t="str">
        <f>INDEX(TB!$Q:$Q,MATCH($E206,TB!$E:$E,0))</f>
        <v/>
      </c>
      <c r="AR206" s="14" t="str">
        <f>IF(OR($C206="01-09",$C206="10-14",$D206="Female"),"",INDEX(VMMC!$AB:$AB,MATCH($E206,VMMC!$E:$E,0)))</f>
        <v/>
      </c>
      <c r="AS206" s="14" t="str">
        <f>IF(OR($C206="01-09",$C206="10-14"),"",INDEX(PrEP!$Q:$Q,MATCH($E206,PrEP!$E:$E,0)))</f>
        <v/>
      </c>
      <c r="AT206" s="14" t="str">
        <f t="shared" si="74"/>
        <v/>
      </c>
      <c r="AU206" s="14" t="str">
        <f t="shared" si="75"/>
        <v/>
      </c>
      <c r="AV206" s="90" t="str">
        <f t="shared" si="76"/>
        <v/>
      </c>
      <c r="AW206" s="14">
        <v>9</v>
      </c>
      <c r="AX206" s="90">
        <f t="shared" si="77"/>
        <v>0</v>
      </c>
      <c r="AY206" s="42">
        <f t="shared" si="78"/>
        <v>9</v>
      </c>
      <c r="AZ206" s="90">
        <f t="shared" si="79"/>
        <v>1</v>
      </c>
      <c r="BA206" s="42" t="str">
        <f t="shared" si="80"/>
        <v/>
      </c>
    </row>
    <row r="207" spans="1:53" x14ac:dyDescent="0.2">
      <c r="A207" t="str">
        <f>INDEX(Prioritization!$D:$D,MATCH($B207,Prioritization!$A:$A,0))</f>
        <v>1 - Scale-up: Saturation</v>
      </c>
      <c r="B207" t="s">
        <v>209</v>
      </c>
      <c r="C207" t="s">
        <v>362</v>
      </c>
      <c r="D207" t="s">
        <v>29</v>
      </c>
      <c r="E207" t="str">
        <f t="shared" ref="E207:E270" si="81">$B207&amp;"|"&amp;$C207&amp;"|"&amp;$D207</f>
        <v>Balaka District [ir8wuHHzoSs]|01-09|Female</v>
      </c>
      <c r="F207" s="90">
        <f>IF(LEFT($B207,4)="_Mil","",INDEX(Cascade!$AA:$AA,MATCH($E207,Cascade!$E:$E,0)))</f>
        <v>670</v>
      </c>
      <c r="G207" s="14">
        <f>INDEX(Cascade!$BH:$BH,MATCH($E207,Cascade!$E:$E,0))</f>
        <v>0</v>
      </c>
      <c r="H207" s="14" t="str">
        <f>IF(OR($C207="01-09",$D207="Male"),"",INDEX(PMTCT!$AC:$AC,MATCH($E207,PMTCT!$E:$E,0)))</f>
        <v/>
      </c>
      <c r="I207" s="14" t="str">
        <f>IF(OR($C207="01-09",$D207="Male"),"",INDEX(PMTCT!$AS:$AS,MATCH($E207,PMTCT!$E:$E,0)))</f>
        <v/>
      </c>
      <c r="J207" s="14" t="str">
        <f>INDEX(TB!$P:$P,MATCH($E207,TB!$E:$E,0))</f>
        <v/>
      </c>
      <c r="K207" s="14" t="str">
        <f>IF(OR($C207="01-09",$C207="10-14",$D207="Female"),"",INDEX(VMMC!$AA:$AA,MATCH($E207,VMMC!$E:$E,0)))</f>
        <v/>
      </c>
      <c r="L207" s="14">
        <f t="shared" ref="L207:L270" si="82">SUM($G207)-SUM($H207:$K207)</f>
        <v>0</v>
      </c>
      <c r="M207" s="90" t="str">
        <f t="shared" ref="M207:M270" si="83">IF(OR($C207="01-09",$D207="Male",AND(SUM($G207)=0,SUM($H207)=0)),"",SUM($H207)/SUM($G207))</f>
        <v/>
      </c>
      <c r="N207" s="90" t="str">
        <f t="shared" ref="N207:N270" si="84">IF(OR($C207="01-09",$D207="Male",AND(SUM($G207)=0,SUM($I207)=0)),"",SUM($I207)/SUM($G207))</f>
        <v/>
      </c>
      <c r="O207" s="90" t="str">
        <f t="shared" ref="O207:O270" si="85">IF(AND(SUM($G207)=0,SUM($J207)=0),"",SUM($J207)/SUM($G207))</f>
        <v/>
      </c>
      <c r="P207" s="90" t="str">
        <f t="shared" ref="P207:P270" si="86">IF(OR($C207="01-09",$C207="10-14",$D207="Female",AND(SUM($G207)=0,SUM($K207)=0)),"",SUM($K207)/SUM($G207))</f>
        <v/>
      </c>
      <c r="Q207" s="90"/>
      <c r="R207" s="90"/>
      <c r="S207" s="90"/>
      <c r="T207" s="90"/>
      <c r="U207" s="90"/>
      <c r="V207" s="90" t="str">
        <f t="shared" ref="V207:V270" si="87">IF(SUM($G207)=0,"",SUM($M207:$U207))</f>
        <v/>
      </c>
      <c r="W207" s="90"/>
      <c r="X207" s="42" t="str">
        <f t="shared" ref="X207:X270" si="88">IF(OR(SUM($G207)=0,SUM($Q207)=0),"",ROUND(SUM($G207)*SUM($Q207),0))</f>
        <v/>
      </c>
      <c r="Y207" s="42" t="str">
        <f t="shared" ref="Y207:Y270" si="89">IF(SUM($X207)=0,"",IF(SUM($W207)=0,"ENTER YIELD",ROUND($X207/$W207,0)-$X207))</f>
        <v/>
      </c>
      <c r="Z207" s="90"/>
      <c r="AA207" s="42" t="str">
        <f t="shared" ref="AA207:AA270" si="90">IF(OR(SUM($G207)=0,SUM($R207)=0),"",ROUND(SUM($G207)*SUM($R207),0))</f>
        <v/>
      </c>
      <c r="AB207" s="42" t="str">
        <f t="shared" ref="AB207:AB270" si="91">IF(SUM($AA207)=0,"",IF(SUM($Z207)=0,"ENTER YIELD",ROUND($AA207/$Z207,0)-$AA207))</f>
        <v/>
      </c>
      <c r="AC207" s="90"/>
      <c r="AD207" s="42" t="str">
        <f t="shared" ref="AD207:AD270" si="92">IF(OR(SUM($G207)=0,SUM($S207)=0),"",ROUND(SUM($G207)*SUM($S207),0))</f>
        <v/>
      </c>
      <c r="AE207" s="42" t="str">
        <f t="shared" ref="AE207:AE270" si="93">IF(SUM($AD207)=0,"",IF(SUM($AC207)=0,"ENTER YIELD",ROUND($AD207/$AC207,0)-$AD207))</f>
        <v/>
      </c>
      <c r="AF207" s="90"/>
      <c r="AG207" s="42" t="str">
        <f t="shared" ref="AG207:AG270" si="94">IF(OR(SUM($G207)=0,SUM($T207)=0),"",ROUND(SUM($G207)*SUM($T207),0))</f>
        <v/>
      </c>
      <c r="AH207" s="42" t="str">
        <f t="shared" ref="AH207:AH270" si="95">IF(SUM($AG207)=0,"",IF(SUM($AF207)=0,"ENTER YIELD",ROUND($AG207/$AF207,0)-$AG207))</f>
        <v/>
      </c>
      <c r="AI207" s="90"/>
      <c r="AJ207" s="42" t="str">
        <f t="shared" ref="AJ207:AJ270" si="96">IF(OR(SUM($G207)=0,SUM($U207)=0),"",ROUND(SUM($G207)*SUM($U207),0))</f>
        <v/>
      </c>
      <c r="AK207" s="42" t="str">
        <f t="shared" ref="AK207:AK270" si="97">IF(SUM($AJ207)=0,"",IF(SUM($AI207)=0,"ENTER YIELD",ROUND($AJ207/$AI207,0)-$AJ207))</f>
        <v/>
      </c>
      <c r="AL207" s="14" t="str">
        <f t="shared" ref="AL207:AL270" si="98">IF(SUM($G207)=0,"",$G207)</f>
        <v/>
      </c>
      <c r="AM207" s="14" t="str">
        <f t="shared" ref="AM207:AM270" si="99">IFERROR(1/(1/SUM($H207:$K207,$X207,$AA207,$AD207,$AG207,$AJ207)),"")</f>
        <v/>
      </c>
      <c r="AN207" s="14" t="str">
        <f t="shared" ref="AN207:AN270" si="100">IF(AND(SUM($AM207)=0,SUM($AL207)=0),"",$AM207-$AL207)</f>
        <v/>
      </c>
      <c r="AO207" s="14" t="str">
        <f>IF(OR($C207="01-09",$D207="Male"),"",INDEX(PMTCT!$AD:$AD,MATCH($E207,PMTCT!$E:$E,0)))</f>
        <v/>
      </c>
      <c r="AP207" s="14" t="str">
        <f>IF(OR($C207="01-09",$D207="Male"),"",INDEX(PMTCT!$AT:$AT,MATCH($E207,PMTCT!$E:$E,0)))</f>
        <v/>
      </c>
      <c r="AQ207" s="14" t="str">
        <f>INDEX(TB!$Q:$Q,MATCH($E207,TB!$E:$E,0))</f>
        <v/>
      </c>
      <c r="AR207" s="14" t="str">
        <f>IF(OR($C207="01-09",$C207="10-14",$D207="Female"),"",INDEX(VMMC!$AB:$AB,MATCH($E207,VMMC!$E:$E,0)))</f>
        <v/>
      </c>
      <c r="AS207" s="14" t="str">
        <f>IF(OR($C207="01-09",$C207="10-14"),"",INDEX(PrEP!$Q:$Q,MATCH($E207,PrEP!$E:$E,0)))</f>
        <v/>
      </c>
      <c r="AT207" s="14" t="str">
        <f t="shared" ref="AT207:AT270" si="101">IFERROR(1/(1/SUM($Y207,$AB207,$AE207,$AH207,$AK207,$AO207:$AS207)),"")</f>
        <v/>
      </c>
      <c r="AU207" s="14" t="str">
        <f t="shared" ref="AU207:AU270" si="102">IFERROR(1/(1/SUM($AT207,$AM207)),"")</f>
        <v/>
      </c>
      <c r="AV207" s="90" t="str">
        <f t="shared" ref="AV207:AV270" si="103">IF(AND(SUM($AM207)=0,SUM($AU207)=0),"",$AM207/$AU207)</f>
        <v/>
      </c>
      <c r="AW207" s="14"/>
      <c r="AX207" s="90" t="str">
        <f t="shared" ref="AX207:AX270" si="104">IF(OR($C207="01-09",SUM($AW207)=0),"",0%)</f>
        <v/>
      </c>
      <c r="AY207" s="42" t="str">
        <f t="shared" ref="AY207:AY270" si="105">IF(OR($C207="01-09",SUM($AW207)=0),"",ROUND($AW207*(1+$AX207),0))</f>
        <v/>
      </c>
      <c r="AZ207" s="90" t="str">
        <f t="shared" ref="AZ207:AZ270" si="106">IF(OR($C207="01-09",$C207="10-14"),"",100%)</f>
        <v/>
      </c>
      <c r="BA207" s="42" t="str">
        <f t="shared" ref="BA207:BA270" si="107">IF(OR(SUM($AM207)=0,$C207="01-09",$C207="10-14"),"",$AM207*$AZ207)</f>
        <v/>
      </c>
    </row>
    <row r="208" spans="1:53" x14ac:dyDescent="0.2">
      <c r="A208" t="str">
        <f>INDEX(Prioritization!$D:$D,MATCH($B208,Prioritization!$A:$A,0))</f>
        <v>1 - Scale-up: Saturation</v>
      </c>
      <c r="B208" t="s">
        <v>209</v>
      </c>
      <c r="C208" t="s">
        <v>362</v>
      </c>
      <c r="D208" t="s">
        <v>47</v>
      </c>
      <c r="E208" t="str">
        <f t="shared" si="81"/>
        <v>Balaka District [ir8wuHHzoSs]|01-09|Male</v>
      </c>
      <c r="F208" s="90">
        <f>IF(LEFT($B208,4)="_Mil","",INDEX(Cascade!$AA:$AA,MATCH($E208,Cascade!$E:$E,0)))</f>
        <v>602</v>
      </c>
      <c r="G208" s="14">
        <f>INDEX(Cascade!$BH:$BH,MATCH($E208,Cascade!$E:$E,0))</f>
        <v>0</v>
      </c>
      <c r="H208" s="14" t="str">
        <f>IF(OR($C208="01-09",$D208="Male"),"",INDEX(PMTCT!$AC:$AC,MATCH($E208,PMTCT!$E:$E,0)))</f>
        <v/>
      </c>
      <c r="I208" s="14" t="str">
        <f>IF(OR($C208="01-09",$D208="Male"),"",INDEX(PMTCT!$AS:$AS,MATCH($E208,PMTCT!$E:$E,0)))</f>
        <v/>
      </c>
      <c r="J208" s="14" t="str">
        <f>INDEX(TB!$P:$P,MATCH($E208,TB!$E:$E,0))</f>
        <v/>
      </c>
      <c r="K208" s="14" t="str">
        <f>IF(OR($C208="01-09",$C208="10-14",$D208="Female"),"",INDEX(VMMC!$AA:$AA,MATCH($E208,VMMC!$E:$E,0)))</f>
        <v/>
      </c>
      <c r="L208" s="14">
        <f t="shared" si="82"/>
        <v>0</v>
      </c>
      <c r="M208" s="90" t="str">
        <f t="shared" si="83"/>
        <v/>
      </c>
      <c r="N208" s="90" t="str">
        <f t="shared" si="84"/>
        <v/>
      </c>
      <c r="O208" s="90" t="str">
        <f t="shared" si="85"/>
        <v/>
      </c>
      <c r="P208" s="90" t="str">
        <f t="shared" si="86"/>
        <v/>
      </c>
      <c r="Q208" s="90"/>
      <c r="R208" s="90"/>
      <c r="S208" s="90"/>
      <c r="T208" s="90"/>
      <c r="U208" s="90"/>
      <c r="V208" s="90" t="str">
        <f t="shared" si="87"/>
        <v/>
      </c>
      <c r="W208" s="90"/>
      <c r="X208" s="42" t="str">
        <f t="shared" si="88"/>
        <v/>
      </c>
      <c r="Y208" s="42" t="str">
        <f t="shared" si="89"/>
        <v/>
      </c>
      <c r="Z208" s="90"/>
      <c r="AA208" s="42" t="str">
        <f t="shared" si="90"/>
        <v/>
      </c>
      <c r="AB208" s="42" t="str">
        <f t="shared" si="91"/>
        <v/>
      </c>
      <c r="AC208" s="90"/>
      <c r="AD208" s="42" t="str">
        <f t="shared" si="92"/>
        <v/>
      </c>
      <c r="AE208" s="42" t="str">
        <f t="shared" si="93"/>
        <v/>
      </c>
      <c r="AF208" s="90"/>
      <c r="AG208" s="42" t="str">
        <f t="shared" si="94"/>
        <v/>
      </c>
      <c r="AH208" s="42" t="str">
        <f t="shared" si="95"/>
        <v/>
      </c>
      <c r="AI208" s="90"/>
      <c r="AJ208" s="42" t="str">
        <f t="shared" si="96"/>
        <v/>
      </c>
      <c r="AK208" s="42" t="str">
        <f t="shared" si="97"/>
        <v/>
      </c>
      <c r="AL208" s="14" t="str">
        <f t="shared" si="98"/>
        <v/>
      </c>
      <c r="AM208" s="14" t="str">
        <f t="shared" si="99"/>
        <v/>
      </c>
      <c r="AN208" s="14" t="str">
        <f t="shared" si="100"/>
        <v/>
      </c>
      <c r="AO208" s="14" t="str">
        <f>IF(OR($C208="01-09",$D208="Male"),"",INDEX(PMTCT!$AD:$AD,MATCH($E208,PMTCT!$E:$E,0)))</f>
        <v/>
      </c>
      <c r="AP208" s="14" t="str">
        <f>IF(OR($C208="01-09",$D208="Male"),"",INDEX(PMTCT!$AT:$AT,MATCH($E208,PMTCT!$E:$E,0)))</f>
        <v/>
      </c>
      <c r="AQ208" s="14" t="str">
        <f>INDEX(TB!$Q:$Q,MATCH($E208,TB!$E:$E,0))</f>
        <v/>
      </c>
      <c r="AR208" s="14" t="str">
        <f>IF(OR($C208="01-09",$C208="10-14",$D208="Female"),"",INDEX(VMMC!$AB:$AB,MATCH($E208,VMMC!$E:$E,0)))</f>
        <v/>
      </c>
      <c r="AS208" s="14" t="str">
        <f>IF(OR($C208="01-09",$C208="10-14"),"",INDEX(PrEP!$Q:$Q,MATCH($E208,PrEP!$E:$E,0)))</f>
        <v/>
      </c>
      <c r="AT208" s="14" t="str">
        <f t="shared" si="101"/>
        <v/>
      </c>
      <c r="AU208" s="14" t="str">
        <f t="shared" si="102"/>
        <v/>
      </c>
      <c r="AV208" s="90" t="str">
        <f t="shared" si="103"/>
        <v/>
      </c>
      <c r="AW208" s="14"/>
      <c r="AX208" s="90" t="str">
        <f t="shared" si="104"/>
        <v/>
      </c>
      <c r="AY208" s="42" t="str">
        <f t="shared" si="105"/>
        <v/>
      </c>
      <c r="AZ208" s="90" t="str">
        <f t="shared" si="106"/>
        <v/>
      </c>
      <c r="BA208" s="42" t="str">
        <f t="shared" si="107"/>
        <v/>
      </c>
    </row>
    <row r="209" spans="1:53" x14ac:dyDescent="0.2">
      <c r="A209" t="str">
        <f>INDEX(Prioritization!$D:$D,MATCH($B209,Prioritization!$A:$A,0))</f>
        <v>1 - Scale-up: Saturation</v>
      </c>
      <c r="B209" t="s">
        <v>209</v>
      </c>
      <c r="C209" t="s">
        <v>363</v>
      </c>
      <c r="D209" t="s">
        <v>29</v>
      </c>
      <c r="E209" t="str">
        <f t="shared" si="81"/>
        <v>Balaka District [ir8wuHHzoSs]|10-14|Female</v>
      </c>
      <c r="F209" s="90">
        <f>IF(LEFT($B209,4)="_Mil","",INDEX(Cascade!$AA:$AA,MATCH($E209,Cascade!$E:$E,0)))</f>
        <v>698</v>
      </c>
      <c r="G209" s="14">
        <f>INDEX(Cascade!$BH:$BH,MATCH($E209,Cascade!$E:$E,0))</f>
        <v>-97</v>
      </c>
      <c r="H209" s="14" t="str">
        <f>IF(OR($C209="01-09",$D209="Male"),"",INDEX(PMTCT!$AC:$AC,MATCH($E209,PMTCT!$E:$E,0)))</f>
        <v>ENTER YIELD RATE</v>
      </c>
      <c r="I209" s="14" t="str">
        <f>IF(OR($C209="01-09",$D209="Male"),"",INDEX(PMTCT!$AS:$AS,MATCH($E209,PMTCT!$E:$E,0)))</f>
        <v>ENTER YIELD RATE</v>
      </c>
      <c r="J209" s="14" t="str">
        <f>INDEX(TB!$P:$P,MATCH($E209,TB!$E:$E,0))</f>
        <v>ENTER YIELD RATE</v>
      </c>
      <c r="K209" s="14" t="str">
        <f>IF(OR($C209="01-09",$C209="10-14",$D209="Female"),"",INDEX(VMMC!$AA:$AA,MATCH($E209,VMMC!$E:$E,0)))</f>
        <v/>
      </c>
      <c r="L209" s="14">
        <f t="shared" si="82"/>
        <v>-97</v>
      </c>
      <c r="M209" s="90">
        <f t="shared" si="83"/>
        <v>0</v>
      </c>
      <c r="N209" s="90">
        <f t="shared" si="84"/>
        <v>0</v>
      </c>
      <c r="O209" s="90">
        <f t="shared" si="85"/>
        <v>0</v>
      </c>
      <c r="P209" s="90" t="str">
        <f t="shared" si="86"/>
        <v/>
      </c>
      <c r="Q209" s="90">
        <v>0.60038716113194801</v>
      </c>
      <c r="R209" s="90"/>
      <c r="S209" s="90"/>
      <c r="T209" s="90"/>
      <c r="U209" s="90">
        <v>0.43927336367778502</v>
      </c>
      <c r="V209" s="90">
        <f t="shared" si="87"/>
        <v>1.039660524809733</v>
      </c>
      <c r="W209" s="90"/>
      <c r="X209" s="42">
        <f t="shared" si="88"/>
        <v>-58</v>
      </c>
      <c r="Y209" s="42" t="str">
        <f t="shared" si="89"/>
        <v>ENTER YIELD</v>
      </c>
      <c r="Z209" s="90"/>
      <c r="AA209" s="42" t="str">
        <f t="shared" si="90"/>
        <v/>
      </c>
      <c r="AB209" s="42" t="str">
        <f t="shared" si="91"/>
        <v/>
      </c>
      <c r="AC209" s="90"/>
      <c r="AD209" s="42" t="str">
        <f t="shared" si="92"/>
        <v/>
      </c>
      <c r="AE209" s="42" t="str">
        <f t="shared" si="93"/>
        <v/>
      </c>
      <c r="AF209" s="90"/>
      <c r="AG209" s="42" t="str">
        <f t="shared" si="94"/>
        <v/>
      </c>
      <c r="AH209" s="42" t="str">
        <f t="shared" si="95"/>
        <v/>
      </c>
      <c r="AI209" s="90">
        <v>2.5698210345581202E-2</v>
      </c>
      <c r="AJ209" s="42">
        <f t="shared" si="96"/>
        <v>-43</v>
      </c>
      <c r="AK209" s="42">
        <f t="shared" si="97"/>
        <v>-1630</v>
      </c>
      <c r="AL209" s="14">
        <f t="shared" si="98"/>
        <v>-97</v>
      </c>
      <c r="AM209" s="14">
        <f t="shared" si="99"/>
        <v>-101</v>
      </c>
      <c r="AN209" s="14">
        <f t="shared" si="100"/>
        <v>-4</v>
      </c>
      <c r="AO209" s="14">
        <f>IF(OR($C209="01-09",$D209="Male"),"",INDEX(PMTCT!$AD:$AD,MATCH($E209,PMTCT!$E:$E,0)))</f>
        <v>1</v>
      </c>
      <c r="AP209" s="14">
        <f>IF(OR($C209="01-09",$D209="Male"),"",INDEX(PMTCT!$AT:$AT,MATCH($E209,PMTCT!$E:$E,0)))</f>
        <v>1</v>
      </c>
      <c r="AQ209" s="14">
        <f>INDEX(TB!$Q:$Q,MATCH($E209,TB!$E:$E,0))</f>
        <v>1</v>
      </c>
      <c r="AR209" s="14" t="str">
        <f>IF(OR($C209="01-09",$C209="10-14",$D209="Female"),"",INDEX(VMMC!$AB:$AB,MATCH($E209,VMMC!$E:$E,0)))</f>
        <v/>
      </c>
      <c r="AS209" s="14" t="str">
        <f>IF(OR($C209="01-09",$C209="10-14"),"",INDEX(PrEP!$Q:$Q,MATCH($E209,PrEP!$E:$E,0)))</f>
        <v/>
      </c>
      <c r="AT209" s="14">
        <f t="shared" si="101"/>
        <v>-1627.0000000000002</v>
      </c>
      <c r="AU209" s="14">
        <f t="shared" si="102"/>
        <v>-1728</v>
      </c>
      <c r="AV209" s="90">
        <f t="shared" si="103"/>
        <v>5.8449074074074077E-2</v>
      </c>
      <c r="AW209" s="14"/>
      <c r="AX209" s="90" t="str">
        <f t="shared" si="104"/>
        <v/>
      </c>
      <c r="AY209" s="42" t="str">
        <f t="shared" si="105"/>
        <v/>
      </c>
      <c r="AZ209" s="90" t="str">
        <f t="shared" si="106"/>
        <v/>
      </c>
      <c r="BA209" s="42" t="str">
        <f t="shared" si="107"/>
        <v/>
      </c>
    </row>
    <row r="210" spans="1:53" x14ac:dyDescent="0.2">
      <c r="A210" t="str">
        <f>INDEX(Prioritization!$D:$D,MATCH($B210,Prioritization!$A:$A,0))</f>
        <v>1 - Scale-up: Saturation</v>
      </c>
      <c r="B210" t="s">
        <v>209</v>
      </c>
      <c r="C210" t="s">
        <v>363</v>
      </c>
      <c r="D210" t="s">
        <v>47</v>
      </c>
      <c r="E210" t="str">
        <f t="shared" si="81"/>
        <v>Balaka District [ir8wuHHzoSs]|10-14|Male</v>
      </c>
      <c r="F210" s="90">
        <f>IF(LEFT($B210,4)="_Mil","",INDEX(Cascade!$AA:$AA,MATCH($E210,Cascade!$E:$E,0)))</f>
        <v>1493</v>
      </c>
      <c r="G210" s="14">
        <f>INDEX(Cascade!$BH:$BH,MATCH($E210,Cascade!$E:$E,0))</f>
        <v>-40</v>
      </c>
      <c r="H210" s="14" t="str">
        <f>IF(OR($C210="01-09",$D210="Male"),"",INDEX(PMTCT!$AC:$AC,MATCH($E210,PMTCT!$E:$E,0)))</f>
        <v/>
      </c>
      <c r="I210" s="14" t="str">
        <f>IF(OR($C210="01-09",$D210="Male"),"",INDEX(PMTCT!$AS:$AS,MATCH($E210,PMTCT!$E:$E,0)))</f>
        <v/>
      </c>
      <c r="J210" s="14" t="str">
        <f>INDEX(TB!$P:$P,MATCH($E210,TB!$E:$E,0))</f>
        <v/>
      </c>
      <c r="K210" s="14" t="str">
        <f>IF(OR($C210="01-09",$C210="10-14",$D210="Female"),"",INDEX(VMMC!$AA:$AA,MATCH($E210,VMMC!$E:$E,0)))</f>
        <v/>
      </c>
      <c r="L210" s="14">
        <f t="shared" si="82"/>
        <v>-40</v>
      </c>
      <c r="M210" s="90" t="str">
        <f t="shared" si="83"/>
        <v/>
      </c>
      <c r="N210" s="90" t="str">
        <f t="shared" si="84"/>
        <v/>
      </c>
      <c r="O210" s="90">
        <f t="shared" si="85"/>
        <v>0</v>
      </c>
      <c r="P210" s="90" t="str">
        <f t="shared" si="86"/>
        <v/>
      </c>
      <c r="Q210" s="90">
        <v>0.513007103931159</v>
      </c>
      <c r="R210" s="90"/>
      <c r="S210" s="90"/>
      <c r="T210" s="90"/>
      <c r="U210" s="90"/>
      <c r="V210" s="90">
        <f t="shared" si="87"/>
        <v>0.513007103931159</v>
      </c>
      <c r="W210" s="90"/>
      <c r="X210" s="42">
        <f t="shared" si="88"/>
        <v>-21</v>
      </c>
      <c r="Y210" s="42" t="str">
        <f t="shared" si="89"/>
        <v>ENTER YIELD</v>
      </c>
      <c r="Z210" s="90"/>
      <c r="AA210" s="42" t="str">
        <f t="shared" si="90"/>
        <v/>
      </c>
      <c r="AB210" s="42" t="str">
        <f t="shared" si="91"/>
        <v/>
      </c>
      <c r="AC210" s="90"/>
      <c r="AD210" s="42" t="str">
        <f t="shared" si="92"/>
        <v/>
      </c>
      <c r="AE210" s="42" t="str">
        <f t="shared" si="93"/>
        <v/>
      </c>
      <c r="AF210" s="90"/>
      <c r="AG210" s="42" t="str">
        <f t="shared" si="94"/>
        <v/>
      </c>
      <c r="AH210" s="42" t="str">
        <f t="shared" si="95"/>
        <v/>
      </c>
      <c r="AI210" s="90">
        <v>0.58419556077569701</v>
      </c>
      <c r="AJ210" s="42" t="str">
        <f t="shared" si="96"/>
        <v/>
      </c>
      <c r="AK210" s="42" t="str">
        <f t="shared" si="97"/>
        <v/>
      </c>
      <c r="AL210" s="14">
        <f t="shared" si="98"/>
        <v>-40</v>
      </c>
      <c r="AM210" s="14">
        <f t="shared" si="99"/>
        <v>-21</v>
      </c>
      <c r="AN210" s="14">
        <f t="shared" si="100"/>
        <v>19</v>
      </c>
      <c r="AO210" s="14" t="str">
        <f>IF(OR($C210="01-09",$D210="Male"),"",INDEX(PMTCT!$AD:$AD,MATCH($E210,PMTCT!$E:$E,0)))</f>
        <v/>
      </c>
      <c r="AP210" s="14" t="str">
        <f>IF(OR($C210="01-09",$D210="Male"),"",INDEX(PMTCT!$AT:$AT,MATCH($E210,PMTCT!$E:$E,0)))</f>
        <v/>
      </c>
      <c r="AQ210" s="14" t="str">
        <f>INDEX(TB!$Q:$Q,MATCH($E210,TB!$E:$E,0))</f>
        <v/>
      </c>
      <c r="AR210" s="14" t="str">
        <f>IF(OR($C210="01-09",$C210="10-14",$D210="Female"),"",INDEX(VMMC!$AB:$AB,MATCH($E210,VMMC!$E:$E,0)))</f>
        <v/>
      </c>
      <c r="AS210" s="14" t="str">
        <f>IF(OR($C210="01-09",$C210="10-14"),"",INDEX(PrEP!$Q:$Q,MATCH($E210,PrEP!$E:$E,0)))</f>
        <v/>
      </c>
      <c r="AT210" s="14" t="str">
        <f t="shared" si="101"/>
        <v/>
      </c>
      <c r="AU210" s="14">
        <f t="shared" si="102"/>
        <v>-21</v>
      </c>
      <c r="AV210" s="90">
        <f t="shared" si="103"/>
        <v>1</v>
      </c>
      <c r="AW210" s="14"/>
      <c r="AX210" s="90" t="str">
        <f t="shared" si="104"/>
        <v/>
      </c>
      <c r="AY210" s="42" t="str">
        <f t="shared" si="105"/>
        <v/>
      </c>
      <c r="AZ210" s="90" t="str">
        <f t="shared" si="106"/>
        <v/>
      </c>
      <c r="BA210" s="42" t="str">
        <f t="shared" si="107"/>
        <v/>
      </c>
    </row>
    <row r="211" spans="1:53" x14ac:dyDescent="0.2">
      <c r="A211" t="str">
        <f>INDEX(Prioritization!$D:$D,MATCH($B211,Prioritization!$A:$A,0))</f>
        <v>1 - Scale-up: Saturation</v>
      </c>
      <c r="B211" t="s">
        <v>209</v>
      </c>
      <c r="C211" t="s">
        <v>364</v>
      </c>
      <c r="D211" t="s">
        <v>29</v>
      </c>
      <c r="E211" t="str">
        <f t="shared" si="81"/>
        <v>Balaka District [ir8wuHHzoSs]|15-24|Female</v>
      </c>
      <c r="F211" s="90">
        <f>IF(LEFT($B211,4)="_Mil","",INDEX(Cascade!$AA:$AA,MATCH($E211,Cascade!$E:$E,0)))</f>
        <v>1157</v>
      </c>
      <c r="G211" s="14">
        <f>INDEX(Cascade!$BH:$BH,MATCH($E211,Cascade!$E:$E,0))</f>
        <v>0</v>
      </c>
      <c r="H211" s="14" t="str">
        <f>IF(OR($C211="01-09",$D211="Male"),"",INDEX(PMTCT!$AC:$AC,MATCH($E211,PMTCT!$E:$E,0)))</f>
        <v/>
      </c>
      <c r="I211" s="14" t="str">
        <f>IF(OR($C211="01-09",$D211="Male"),"",INDEX(PMTCT!$AS:$AS,MATCH($E211,PMTCT!$E:$E,0)))</f>
        <v/>
      </c>
      <c r="J211" s="14" t="str">
        <f>INDEX(TB!$P:$P,MATCH($E211,TB!$E:$E,0))</f>
        <v/>
      </c>
      <c r="K211" s="14" t="str">
        <f>IF(OR($C211="01-09",$C211="10-14",$D211="Female"),"",INDEX(VMMC!$AA:$AA,MATCH($E211,VMMC!$E:$E,0)))</f>
        <v/>
      </c>
      <c r="L211" s="14">
        <f t="shared" si="82"/>
        <v>0</v>
      </c>
      <c r="M211" s="90" t="str">
        <f t="shared" si="83"/>
        <v/>
      </c>
      <c r="N211" s="90" t="str">
        <f t="shared" si="84"/>
        <v/>
      </c>
      <c r="O211" s="90" t="str">
        <f t="shared" si="85"/>
        <v/>
      </c>
      <c r="P211" s="90" t="str">
        <f t="shared" si="86"/>
        <v/>
      </c>
      <c r="Q211" s="90"/>
      <c r="R211" s="90"/>
      <c r="S211" s="90"/>
      <c r="T211" s="90"/>
      <c r="U211" s="90"/>
      <c r="V211" s="90" t="str">
        <f t="shared" si="87"/>
        <v/>
      </c>
      <c r="W211" s="90"/>
      <c r="X211" s="42" t="str">
        <f t="shared" si="88"/>
        <v/>
      </c>
      <c r="Y211" s="42" t="str">
        <f t="shared" si="89"/>
        <v/>
      </c>
      <c r="Z211" s="90"/>
      <c r="AA211" s="42" t="str">
        <f t="shared" si="90"/>
        <v/>
      </c>
      <c r="AB211" s="42" t="str">
        <f t="shared" si="91"/>
        <v/>
      </c>
      <c r="AC211" s="90"/>
      <c r="AD211" s="42" t="str">
        <f t="shared" si="92"/>
        <v/>
      </c>
      <c r="AE211" s="42" t="str">
        <f t="shared" si="93"/>
        <v/>
      </c>
      <c r="AF211" s="90"/>
      <c r="AG211" s="42" t="str">
        <f t="shared" si="94"/>
        <v/>
      </c>
      <c r="AH211" s="42" t="str">
        <f t="shared" si="95"/>
        <v/>
      </c>
      <c r="AI211" s="90"/>
      <c r="AJ211" s="42" t="str">
        <f t="shared" si="96"/>
        <v/>
      </c>
      <c r="AK211" s="42" t="str">
        <f t="shared" si="97"/>
        <v/>
      </c>
      <c r="AL211" s="14" t="str">
        <f t="shared" si="98"/>
        <v/>
      </c>
      <c r="AM211" s="14" t="str">
        <f t="shared" si="99"/>
        <v/>
      </c>
      <c r="AN211" s="14" t="str">
        <f t="shared" si="100"/>
        <v/>
      </c>
      <c r="AO211" s="14" t="str">
        <f>IF(OR($C211="01-09",$D211="Male"),"",INDEX(PMTCT!$AD:$AD,MATCH($E211,PMTCT!$E:$E,0)))</f>
        <v/>
      </c>
      <c r="AP211" s="14" t="str">
        <f>IF(OR($C211="01-09",$D211="Male"),"",INDEX(PMTCT!$AT:$AT,MATCH($E211,PMTCT!$E:$E,0)))</f>
        <v/>
      </c>
      <c r="AQ211" s="14" t="str">
        <f>INDEX(TB!$Q:$Q,MATCH($E211,TB!$E:$E,0))</f>
        <v/>
      </c>
      <c r="AR211" s="14" t="str">
        <f>IF(OR($C211="01-09",$C211="10-14",$D211="Female"),"",INDEX(VMMC!$AB:$AB,MATCH($E211,VMMC!$E:$E,0)))</f>
        <v/>
      </c>
      <c r="AS211" s="14" t="str">
        <f>IF(OR($C211="01-09",$C211="10-14"),"",INDEX(PrEP!$Q:$Q,MATCH($E211,PrEP!$E:$E,0)))</f>
        <v/>
      </c>
      <c r="AT211" s="14" t="str">
        <f t="shared" si="101"/>
        <v/>
      </c>
      <c r="AU211" s="14" t="str">
        <f t="shared" si="102"/>
        <v/>
      </c>
      <c r="AV211" s="90" t="str">
        <f t="shared" si="103"/>
        <v/>
      </c>
      <c r="AW211" s="14"/>
      <c r="AX211" s="90" t="str">
        <f t="shared" si="104"/>
        <v/>
      </c>
      <c r="AY211" s="42" t="str">
        <f t="shared" si="105"/>
        <v/>
      </c>
      <c r="AZ211" s="90">
        <f t="shared" si="106"/>
        <v>1</v>
      </c>
      <c r="BA211" s="42" t="str">
        <f t="shared" si="107"/>
        <v/>
      </c>
    </row>
    <row r="212" spans="1:53" x14ac:dyDescent="0.2">
      <c r="A212" t="str">
        <f>INDEX(Prioritization!$D:$D,MATCH($B212,Prioritization!$A:$A,0))</f>
        <v>1 - Scale-up: Saturation</v>
      </c>
      <c r="B212" t="s">
        <v>209</v>
      </c>
      <c r="C212" t="s">
        <v>364</v>
      </c>
      <c r="D212" t="s">
        <v>47</v>
      </c>
      <c r="E212" t="str">
        <f t="shared" si="81"/>
        <v>Balaka District [ir8wuHHzoSs]|15-24|Male</v>
      </c>
      <c r="F212" s="90">
        <f>IF(LEFT($B212,4)="_Mil","",INDEX(Cascade!$AA:$AA,MATCH($E212,Cascade!$E:$E,0)))</f>
        <v>802</v>
      </c>
      <c r="G212" s="14">
        <f>INDEX(Cascade!$BH:$BH,MATCH($E212,Cascade!$E:$E,0))</f>
        <v>0</v>
      </c>
      <c r="H212" s="14" t="str">
        <f>IF(OR($C212="01-09",$D212="Male"),"",INDEX(PMTCT!$AC:$AC,MATCH($E212,PMTCT!$E:$E,0)))</f>
        <v/>
      </c>
      <c r="I212" s="14" t="str">
        <f>IF(OR($C212="01-09",$D212="Male"),"",INDEX(PMTCT!$AS:$AS,MATCH($E212,PMTCT!$E:$E,0)))</f>
        <v/>
      </c>
      <c r="J212" s="14" t="str">
        <f>INDEX(TB!$P:$P,MATCH($E212,TB!$E:$E,0))</f>
        <v/>
      </c>
      <c r="K212" s="14" t="str">
        <f>IF(OR($C212="01-09",$C212="10-14",$D212="Female"),"",INDEX(VMMC!$AA:$AA,MATCH($E212,VMMC!$E:$E,0)))</f>
        <v/>
      </c>
      <c r="L212" s="14">
        <f t="shared" si="82"/>
        <v>0</v>
      </c>
      <c r="M212" s="90" t="str">
        <f t="shared" si="83"/>
        <v/>
      </c>
      <c r="N212" s="90" t="str">
        <f t="shared" si="84"/>
        <v/>
      </c>
      <c r="O212" s="90" t="str">
        <f t="shared" si="85"/>
        <v/>
      </c>
      <c r="P212" s="90" t="str">
        <f t="shared" si="86"/>
        <v/>
      </c>
      <c r="Q212" s="90"/>
      <c r="R212" s="90"/>
      <c r="S212" s="90"/>
      <c r="T212" s="90"/>
      <c r="U212" s="90"/>
      <c r="V212" s="90" t="str">
        <f t="shared" si="87"/>
        <v/>
      </c>
      <c r="W212" s="90"/>
      <c r="X212" s="42" t="str">
        <f t="shared" si="88"/>
        <v/>
      </c>
      <c r="Y212" s="42" t="str">
        <f t="shared" si="89"/>
        <v/>
      </c>
      <c r="Z212" s="90"/>
      <c r="AA212" s="42" t="str">
        <f t="shared" si="90"/>
        <v/>
      </c>
      <c r="AB212" s="42" t="str">
        <f t="shared" si="91"/>
        <v/>
      </c>
      <c r="AC212" s="90"/>
      <c r="AD212" s="42" t="str">
        <f t="shared" si="92"/>
        <v/>
      </c>
      <c r="AE212" s="42" t="str">
        <f t="shared" si="93"/>
        <v/>
      </c>
      <c r="AF212" s="90"/>
      <c r="AG212" s="42" t="str">
        <f t="shared" si="94"/>
        <v/>
      </c>
      <c r="AH212" s="42" t="str">
        <f t="shared" si="95"/>
        <v/>
      </c>
      <c r="AI212" s="90"/>
      <c r="AJ212" s="42" t="str">
        <f t="shared" si="96"/>
        <v/>
      </c>
      <c r="AK212" s="42" t="str">
        <f t="shared" si="97"/>
        <v/>
      </c>
      <c r="AL212" s="14" t="str">
        <f t="shared" si="98"/>
        <v/>
      </c>
      <c r="AM212" s="14" t="str">
        <f t="shared" si="99"/>
        <v/>
      </c>
      <c r="AN212" s="14" t="str">
        <f t="shared" si="100"/>
        <v/>
      </c>
      <c r="AO212" s="14" t="str">
        <f>IF(OR($C212="01-09",$D212="Male"),"",INDEX(PMTCT!$AD:$AD,MATCH($E212,PMTCT!$E:$E,0)))</f>
        <v/>
      </c>
      <c r="AP212" s="14" t="str">
        <f>IF(OR($C212="01-09",$D212="Male"),"",INDEX(PMTCT!$AT:$AT,MATCH($E212,PMTCT!$E:$E,0)))</f>
        <v/>
      </c>
      <c r="AQ212" s="14" t="str">
        <f>INDEX(TB!$Q:$Q,MATCH($E212,TB!$E:$E,0))</f>
        <v/>
      </c>
      <c r="AR212" s="14" t="str">
        <f>IF(OR($C212="01-09",$C212="10-14",$D212="Female"),"",INDEX(VMMC!$AB:$AB,MATCH($E212,VMMC!$E:$E,0)))</f>
        <v/>
      </c>
      <c r="AS212" s="14" t="str">
        <f>IF(OR($C212="01-09",$C212="10-14"),"",INDEX(PrEP!$Q:$Q,MATCH($E212,PrEP!$E:$E,0)))</f>
        <v/>
      </c>
      <c r="AT212" s="14" t="str">
        <f t="shared" si="101"/>
        <v/>
      </c>
      <c r="AU212" s="14" t="str">
        <f t="shared" si="102"/>
        <v/>
      </c>
      <c r="AV212" s="90" t="str">
        <f t="shared" si="103"/>
        <v/>
      </c>
      <c r="AW212" s="14"/>
      <c r="AX212" s="90" t="str">
        <f t="shared" si="104"/>
        <v/>
      </c>
      <c r="AY212" s="42" t="str">
        <f t="shared" si="105"/>
        <v/>
      </c>
      <c r="AZ212" s="90">
        <f t="shared" si="106"/>
        <v>1</v>
      </c>
      <c r="BA212" s="42" t="str">
        <f t="shared" si="107"/>
        <v/>
      </c>
    </row>
    <row r="213" spans="1:53" x14ac:dyDescent="0.2">
      <c r="A213" t="str">
        <f>INDEX(Prioritization!$D:$D,MATCH($B213,Prioritization!$A:$A,0))</f>
        <v>1 - Scale-up: Saturation</v>
      </c>
      <c r="B213" t="s">
        <v>209</v>
      </c>
      <c r="C213" t="s">
        <v>365</v>
      </c>
      <c r="D213" t="s">
        <v>29</v>
      </c>
      <c r="E213" t="str">
        <f t="shared" si="81"/>
        <v>Balaka District [ir8wuHHzoSs]|25-34|Female</v>
      </c>
      <c r="F213" s="90">
        <f>IF(LEFT($B213,4)="_Mil","",INDEX(Cascade!$AA:$AA,MATCH($E213,Cascade!$E:$E,0)))</f>
        <v>1496</v>
      </c>
      <c r="G213" s="14">
        <f>INDEX(Cascade!$BH:$BH,MATCH($E213,Cascade!$E:$E,0))</f>
        <v>0</v>
      </c>
      <c r="H213" s="14" t="str">
        <f>IF(OR($C213="01-09",$D213="Male"),"",INDEX(PMTCT!$AC:$AC,MATCH($E213,PMTCT!$E:$E,0)))</f>
        <v/>
      </c>
      <c r="I213" s="14" t="str">
        <f>IF(OR($C213="01-09",$D213="Male"),"",INDEX(PMTCT!$AS:$AS,MATCH($E213,PMTCT!$E:$E,0)))</f>
        <v/>
      </c>
      <c r="J213" s="14" t="str">
        <f>INDEX(TB!$P:$P,MATCH($E213,TB!$E:$E,0))</f>
        <v/>
      </c>
      <c r="K213" s="14" t="str">
        <f>IF(OR($C213="01-09",$C213="10-14",$D213="Female"),"",INDEX(VMMC!$AA:$AA,MATCH($E213,VMMC!$E:$E,0)))</f>
        <v/>
      </c>
      <c r="L213" s="14">
        <f t="shared" si="82"/>
        <v>0</v>
      </c>
      <c r="M213" s="90" t="str">
        <f t="shared" si="83"/>
        <v/>
      </c>
      <c r="N213" s="90" t="str">
        <f t="shared" si="84"/>
        <v/>
      </c>
      <c r="O213" s="90" t="str">
        <f t="shared" si="85"/>
        <v/>
      </c>
      <c r="P213" s="90" t="str">
        <f t="shared" si="86"/>
        <v/>
      </c>
      <c r="Q213" s="90"/>
      <c r="R213" s="90"/>
      <c r="S213" s="90"/>
      <c r="T213" s="90"/>
      <c r="U213" s="90"/>
      <c r="V213" s="90" t="str">
        <f t="shared" si="87"/>
        <v/>
      </c>
      <c r="W213" s="90"/>
      <c r="X213" s="42" t="str">
        <f t="shared" si="88"/>
        <v/>
      </c>
      <c r="Y213" s="42" t="str">
        <f t="shared" si="89"/>
        <v/>
      </c>
      <c r="Z213" s="90"/>
      <c r="AA213" s="42" t="str">
        <f t="shared" si="90"/>
        <v/>
      </c>
      <c r="AB213" s="42" t="str">
        <f t="shared" si="91"/>
        <v/>
      </c>
      <c r="AC213" s="90"/>
      <c r="AD213" s="42" t="str">
        <f t="shared" si="92"/>
        <v/>
      </c>
      <c r="AE213" s="42" t="str">
        <f t="shared" si="93"/>
        <v/>
      </c>
      <c r="AF213" s="90"/>
      <c r="AG213" s="42" t="str">
        <f t="shared" si="94"/>
        <v/>
      </c>
      <c r="AH213" s="42" t="str">
        <f t="shared" si="95"/>
        <v/>
      </c>
      <c r="AI213" s="90"/>
      <c r="AJ213" s="42" t="str">
        <f t="shared" si="96"/>
        <v/>
      </c>
      <c r="AK213" s="42" t="str">
        <f t="shared" si="97"/>
        <v/>
      </c>
      <c r="AL213" s="14" t="str">
        <f t="shared" si="98"/>
        <v/>
      </c>
      <c r="AM213" s="14" t="str">
        <f t="shared" si="99"/>
        <v/>
      </c>
      <c r="AN213" s="14" t="str">
        <f t="shared" si="100"/>
        <v/>
      </c>
      <c r="AO213" s="14" t="str">
        <f>IF(OR($C213="01-09",$D213="Male"),"",INDEX(PMTCT!$AD:$AD,MATCH($E213,PMTCT!$E:$E,0)))</f>
        <v/>
      </c>
      <c r="AP213" s="14" t="str">
        <f>IF(OR($C213="01-09",$D213="Male"),"",INDEX(PMTCT!$AT:$AT,MATCH($E213,PMTCT!$E:$E,0)))</f>
        <v/>
      </c>
      <c r="AQ213" s="14" t="str">
        <f>INDEX(TB!$Q:$Q,MATCH($E213,TB!$E:$E,0))</f>
        <v/>
      </c>
      <c r="AR213" s="14" t="str">
        <f>IF(OR($C213="01-09",$C213="10-14",$D213="Female"),"",INDEX(VMMC!$AB:$AB,MATCH($E213,VMMC!$E:$E,0)))</f>
        <v/>
      </c>
      <c r="AS213" s="14" t="str">
        <f>IF(OR($C213="01-09",$C213="10-14"),"",INDEX(PrEP!$Q:$Q,MATCH($E213,PrEP!$E:$E,0)))</f>
        <v/>
      </c>
      <c r="AT213" s="14" t="str">
        <f t="shared" si="101"/>
        <v/>
      </c>
      <c r="AU213" s="14" t="str">
        <f t="shared" si="102"/>
        <v/>
      </c>
      <c r="AV213" s="90" t="str">
        <f t="shared" si="103"/>
        <v/>
      </c>
      <c r="AW213" s="14"/>
      <c r="AX213" s="90" t="str">
        <f t="shared" si="104"/>
        <v/>
      </c>
      <c r="AY213" s="42" t="str">
        <f t="shared" si="105"/>
        <v/>
      </c>
      <c r="AZ213" s="90">
        <f t="shared" si="106"/>
        <v>1</v>
      </c>
      <c r="BA213" s="42" t="str">
        <f t="shared" si="107"/>
        <v/>
      </c>
    </row>
    <row r="214" spans="1:53" x14ac:dyDescent="0.2">
      <c r="A214" t="str">
        <f>INDEX(Prioritization!$D:$D,MATCH($B214,Prioritization!$A:$A,0))</f>
        <v>1 - Scale-up: Saturation</v>
      </c>
      <c r="B214" t="s">
        <v>209</v>
      </c>
      <c r="C214" t="s">
        <v>365</v>
      </c>
      <c r="D214" t="s">
        <v>47</v>
      </c>
      <c r="E214" t="str">
        <f t="shared" si="81"/>
        <v>Balaka District [ir8wuHHzoSs]|25-34|Male</v>
      </c>
      <c r="F214" s="90">
        <f>IF(LEFT($B214,4)="_Mil","",INDEX(Cascade!$AA:$AA,MATCH($E214,Cascade!$E:$E,0)))</f>
        <v>1361</v>
      </c>
      <c r="G214" s="14">
        <f>INDEX(Cascade!$BH:$BH,MATCH($E214,Cascade!$E:$E,0))</f>
        <v>0</v>
      </c>
      <c r="H214" s="14" t="str">
        <f>IF(OR($C214="01-09",$D214="Male"),"",INDEX(PMTCT!$AC:$AC,MATCH($E214,PMTCT!$E:$E,0)))</f>
        <v/>
      </c>
      <c r="I214" s="14" t="str">
        <f>IF(OR($C214="01-09",$D214="Male"),"",INDEX(PMTCT!$AS:$AS,MATCH($E214,PMTCT!$E:$E,0)))</f>
        <v/>
      </c>
      <c r="J214" s="14" t="str">
        <f>INDEX(TB!$P:$P,MATCH($E214,TB!$E:$E,0))</f>
        <v/>
      </c>
      <c r="K214" s="14" t="str">
        <f>IF(OR($C214="01-09",$C214="10-14",$D214="Female"),"",INDEX(VMMC!$AA:$AA,MATCH($E214,VMMC!$E:$E,0)))</f>
        <v/>
      </c>
      <c r="L214" s="14">
        <f t="shared" si="82"/>
        <v>0</v>
      </c>
      <c r="M214" s="90" t="str">
        <f t="shared" si="83"/>
        <v/>
      </c>
      <c r="N214" s="90" t="str">
        <f t="shared" si="84"/>
        <v/>
      </c>
      <c r="O214" s="90" t="str">
        <f t="shared" si="85"/>
        <v/>
      </c>
      <c r="P214" s="90" t="str">
        <f t="shared" si="86"/>
        <v/>
      </c>
      <c r="Q214" s="90"/>
      <c r="R214" s="90"/>
      <c r="S214" s="90"/>
      <c r="T214" s="90"/>
      <c r="U214" s="90"/>
      <c r="V214" s="90" t="str">
        <f t="shared" si="87"/>
        <v/>
      </c>
      <c r="W214" s="90"/>
      <c r="X214" s="42" t="str">
        <f t="shared" si="88"/>
        <v/>
      </c>
      <c r="Y214" s="42" t="str">
        <f t="shared" si="89"/>
        <v/>
      </c>
      <c r="Z214" s="90"/>
      <c r="AA214" s="42" t="str">
        <f t="shared" si="90"/>
        <v/>
      </c>
      <c r="AB214" s="42" t="str">
        <f t="shared" si="91"/>
        <v/>
      </c>
      <c r="AC214" s="90"/>
      <c r="AD214" s="42" t="str">
        <f t="shared" si="92"/>
        <v/>
      </c>
      <c r="AE214" s="42" t="str">
        <f t="shared" si="93"/>
        <v/>
      </c>
      <c r="AF214" s="90"/>
      <c r="AG214" s="42" t="str">
        <f t="shared" si="94"/>
        <v/>
      </c>
      <c r="AH214" s="42" t="str">
        <f t="shared" si="95"/>
        <v/>
      </c>
      <c r="AI214" s="90"/>
      <c r="AJ214" s="42" t="str">
        <f t="shared" si="96"/>
        <v/>
      </c>
      <c r="AK214" s="42" t="str">
        <f t="shared" si="97"/>
        <v/>
      </c>
      <c r="AL214" s="14" t="str">
        <f t="shared" si="98"/>
        <v/>
      </c>
      <c r="AM214" s="14" t="str">
        <f t="shared" si="99"/>
        <v/>
      </c>
      <c r="AN214" s="14" t="str">
        <f t="shared" si="100"/>
        <v/>
      </c>
      <c r="AO214" s="14" t="str">
        <f>IF(OR($C214="01-09",$D214="Male"),"",INDEX(PMTCT!$AD:$AD,MATCH($E214,PMTCT!$E:$E,0)))</f>
        <v/>
      </c>
      <c r="AP214" s="14" t="str">
        <f>IF(OR($C214="01-09",$D214="Male"),"",INDEX(PMTCT!$AT:$AT,MATCH($E214,PMTCT!$E:$E,0)))</f>
        <v/>
      </c>
      <c r="AQ214" s="14" t="str">
        <f>INDEX(TB!$Q:$Q,MATCH($E214,TB!$E:$E,0))</f>
        <v/>
      </c>
      <c r="AR214" s="14" t="str">
        <f>IF(OR($C214="01-09",$C214="10-14",$D214="Female"),"",INDEX(VMMC!$AB:$AB,MATCH($E214,VMMC!$E:$E,0)))</f>
        <v/>
      </c>
      <c r="AS214" s="14" t="str">
        <f>IF(OR($C214="01-09",$C214="10-14"),"",INDEX(PrEP!$Q:$Q,MATCH($E214,PrEP!$E:$E,0)))</f>
        <v/>
      </c>
      <c r="AT214" s="14" t="str">
        <f t="shared" si="101"/>
        <v/>
      </c>
      <c r="AU214" s="14" t="str">
        <f t="shared" si="102"/>
        <v/>
      </c>
      <c r="AV214" s="90" t="str">
        <f t="shared" si="103"/>
        <v/>
      </c>
      <c r="AW214" s="14"/>
      <c r="AX214" s="90" t="str">
        <f t="shared" si="104"/>
        <v/>
      </c>
      <c r="AY214" s="42" t="str">
        <f t="shared" si="105"/>
        <v/>
      </c>
      <c r="AZ214" s="90">
        <f t="shared" si="106"/>
        <v>1</v>
      </c>
      <c r="BA214" s="42" t="str">
        <f t="shared" si="107"/>
        <v/>
      </c>
    </row>
    <row r="215" spans="1:53" x14ac:dyDescent="0.2">
      <c r="A215" t="str">
        <f>INDEX(Prioritization!$D:$D,MATCH($B215,Prioritization!$A:$A,0))</f>
        <v>1 - Scale-up: Saturation</v>
      </c>
      <c r="B215" t="s">
        <v>209</v>
      </c>
      <c r="C215" t="s">
        <v>366</v>
      </c>
      <c r="D215" t="s">
        <v>29</v>
      </c>
      <c r="E215" t="str">
        <f t="shared" si="81"/>
        <v>Balaka District [ir8wuHHzoSs]|35-49|Female</v>
      </c>
      <c r="F215" s="90">
        <f>IF(LEFT($B215,4)="_Mil","",INDEX(Cascade!$AA:$AA,MATCH($E215,Cascade!$E:$E,0)))</f>
        <v>522</v>
      </c>
      <c r="G215" s="14">
        <f>INDEX(Cascade!$BH:$BH,MATCH($E215,Cascade!$E:$E,0))</f>
        <v>0</v>
      </c>
      <c r="H215" s="14" t="str">
        <f>IF(OR($C215="01-09",$D215="Male"),"",INDEX(PMTCT!$AC:$AC,MATCH($E215,PMTCT!$E:$E,0)))</f>
        <v/>
      </c>
      <c r="I215" s="14" t="str">
        <f>IF(OR($C215="01-09",$D215="Male"),"",INDEX(PMTCT!$AS:$AS,MATCH($E215,PMTCT!$E:$E,0)))</f>
        <v/>
      </c>
      <c r="J215" s="14" t="str">
        <f>INDEX(TB!$P:$P,MATCH($E215,TB!$E:$E,0))</f>
        <v/>
      </c>
      <c r="K215" s="14" t="str">
        <f>IF(OR($C215="01-09",$C215="10-14",$D215="Female"),"",INDEX(VMMC!$AA:$AA,MATCH($E215,VMMC!$E:$E,0)))</f>
        <v/>
      </c>
      <c r="L215" s="14">
        <f t="shared" si="82"/>
        <v>0</v>
      </c>
      <c r="M215" s="90" t="str">
        <f t="shared" si="83"/>
        <v/>
      </c>
      <c r="N215" s="90" t="str">
        <f t="shared" si="84"/>
        <v/>
      </c>
      <c r="O215" s="90" t="str">
        <f t="shared" si="85"/>
        <v/>
      </c>
      <c r="P215" s="90" t="str">
        <f t="shared" si="86"/>
        <v/>
      </c>
      <c r="Q215" s="90"/>
      <c r="R215" s="90"/>
      <c r="S215" s="90"/>
      <c r="T215" s="90"/>
      <c r="U215" s="90"/>
      <c r="V215" s="90" t="str">
        <f t="shared" si="87"/>
        <v/>
      </c>
      <c r="W215" s="90"/>
      <c r="X215" s="42" t="str">
        <f t="shared" si="88"/>
        <v/>
      </c>
      <c r="Y215" s="42" t="str">
        <f t="shared" si="89"/>
        <v/>
      </c>
      <c r="Z215" s="90"/>
      <c r="AA215" s="42" t="str">
        <f t="shared" si="90"/>
        <v/>
      </c>
      <c r="AB215" s="42" t="str">
        <f t="shared" si="91"/>
        <v/>
      </c>
      <c r="AC215" s="90"/>
      <c r="AD215" s="42" t="str">
        <f t="shared" si="92"/>
        <v/>
      </c>
      <c r="AE215" s="42" t="str">
        <f t="shared" si="93"/>
        <v/>
      </c>
      <c r="AF215" s="90"/>
      <c r="AG215" s="42" t="str">
        <f t="shared" si="94"/>
        <v/>
      </c>
      <c r="AH215" s="42" t="str">
        <f t="shared" si="95"/>
        <v/>
      </c>
      <c r="AI215" s="90"/>
      <c r="AJ215" s="42" t="str">
        <f t="shared" si="96"/>
        <v/>
      </c>
      <c r="AK215" s="42" t="str">
        <f t="shared" si="97"/>
        <v/>
      </c>
      <c r="AL215" s="14" t="str">
        <f t="shared" si="98"/>
        <v/>
      </c>
      <c r="AM215" s="14" t="str">
        <f t="shared" si="99"/>
        <v/>
      </c>
      <c r="AN215" s="14" t="str">
        <f t="shared" si="100"/>
        <v/>
      </c>
      <c r="AO215" s="14" t="str">
        <f>IF(OR($C215="01-09",$D215="Male"),"",INDEX(PMTCT!$AD:$AD,MATCH($E215,PMTCT!$E:$E,0)))</f>
        <v/>
      </c>
      <c r="AP215" s="14" t="str">
        <f>IF(OR($C215="01-09",$D215="Male"),"",INDEX(PMTCT!$AT:$AT,MATCH($E215,PMTCT!$E:$E,0)))</f>
        <v/>
      </c>
      <c r="AQ215" s="14" t="str">
        <f>INDEX(TB!$Q:$Q,MATCH($E215,TB!$E:$E,0))</f>
        <v/>
      </c>
      <c r="AR215" s="14" t="str">
        <f>IF(OR($C215="01-09",$C215="10-14",$D215="Female"),"",INDEX(VMMC!$AB:$AB,MATCH($E215,VMMC!$E:$E,0)))</f>
        <v/>
      </c>
      <c r="AS215" s="14" t="str">
        <f>IF(OR($C215="01-09",$C215="10-14"),"",INDEX(PrEP!$Q:$Q,MATCH($E215,PrEP!$E:$E,0)))</f>
        <v/>
      </c>
      <c r="AT215" s="14" t="str">
        <f t="shared" si="101"/>
        <v/>
      </c>
      <c r="AU215" s="14" t="str">
        <f t="shared" si="102"/>
        <v/>
      </c>
      <c r="AV215" s="90" t="str">
        <f t="shared" si="103"/>
        <v/>
      </c>
      <c r="AW215" s="14"/>
      <c r="AX215" s="90" t="str">
        <f t="shared" si="104"/>
        <v/>
      </c>
      <c r="AY215" s="42" t="str">
        <f t="shared" si="105"/>
        <v/>
      </c>
      <c r="AZ215" s="90">
        <f t="shared" si="106"/>
        <v>1</v>
      </c>
      <c r="BA215" s="42" t="str">
        <f t="shared" si="107"/>
        <v/>
      </c>
    </row>
    <row r="216" spans="1:53" x14ac:dyDescent="0.2">
      <c r="A216" t="str">
        <f>INDEX(Prioritization!$D:$D,MATCH($B216,Prioritization!$A:$A,0))</f>
        <v>1 - Scale-up: Saturation</v>
      </c>
      <c r="B216" t="s">
        <v>209</v>
      </c>
      <c r="C216" t="s">
        <v>366</v>
      </c>
      <c r="D216" t="s">
        <v>47</v>
      </c>
      <c r="E216" t="str">
        <f t="shared" si="81"/>
        <v>Balaka District [ir8wuHHzoSs]|35-49|Male</v>
      </c>
      <c r="F216" s="90">
        <f>IF(LEFT($B216,4)="_Mil","",INDEX(Cascade!$AA:$AA,MATCH($E216,Cascade!$E:$E,0)))</f>
        <v>1800</v>
      </c>
      <c r="G216" s="14">
        <f>INDEX(Cascade!$BH:$BH,MATCH($E216,Cascade!$E:$E,0))</f>
        <v>0</v>
      </c>
      <c r="H216" s="14" t="str">
        <f>IF(OR($C216="01-09",$D216="Male"),"",INDEX(PMTCT!$AC:$AC,MATCH($E216,PMTCT!$E:$E,0)))</f>
        <v/>
      </c>
      <c r="I216" s="14" t="str">
        <f>IF(OR($C216="01-09",$D216="Male"),"",INDEX(PMTCT!$AS:$AS,MATCH($E216,PMTCT!$E:$E,0)))</f>
        <v/>
      </c>
      <c r="J216" s="14" t="str">
        <f>INDEX(TB!$P:$P,MATCH($E216,TB!$E:$E,0))</f>
        <v/>
      </c>
      <c r="K216" s="14" t="str">
        <f>IF(OR($C216="01-09",$C216="10-14",$D216="Female"),"",INDEX(VMMC!$AA:$AA,MATCH($E216,VMMC!$E:$E,0)))</f>
        <v/>
      </c>
      <c r="L216" s="14">
        <f t="shared" si="82"/>
        <v>0</v>
      </c>
      <c r="M216" s="90" t="str">
        <f t="shared" si="83"/>
        <v/>
      </c>
      <c r="N216" s="90" t="str">
        <f t="shared" si="84"/>
        <v/>
      </c>
      <c r="O216" s="90" t="str">
        <f t="shared" si="85"/>
        <v/>
      </c>
      <c r="P216" s="90" t="str">
        <f t="shared" si="86"/>
        <v/>
      </c>
      <c r="Q216" s="90"/>
      <c r="R216" s="90"/>
      <c r="S216" s="90"/>
      <c r="T216" s="90"/>
      <c r="U216" s="90"/>
      <c r="V216" s="90" t="str">
        <f t="shared" si="87"/>
        <v/>
      </c>
      <c r="W216" s="90"/>
      <c r="X216" s="42" t="str">
        <f t="shared" si="88"/>
        <v/>
      </c>
      <c r="Y216" s="42" t="str">
        <f t="shared" si="89"/>
        <v/>
      </c>
      <c r="Z216" s="90"/>
      <c r="AA216" s="42" t="str">
        <f t="shared" si="90"/>
        <v/>
      </c>
      <c r="AB216" s="42" t="str">
        <f t="shared" si="91"/>
        <v/>
      </c>
      <c r="AC216" s="90"/>
      <c r="AD216" s="42" t="str">
        <f t="shared" si="92"/>
        <v/>
      </c>
      <c r="AE216" s="42" t="str">
        <f t="shared" si="93"/>
        <v/>
      </c>
      <c r="AF216" s="90"/>
      <c r="AG216" s="42" t="str">
        <f t="shared" si="94"/>
        <v/>
      </c>
      <c r="AH216" s="42" t="str">
        <f t="shared" si="95"/>
        <v/>
      </c>
      <c r="AI216" s="90"/>
      <c r="AJ216" s="42" t="str">
        <f t="shared" si="96"/>
        <v/>
      </c>
      <c r="AK216" s="42" t="str">
        <f t="shared" si="97"/>
        <v/>
      </c>
      <c r="AL216" s="14" t="str">
        <f t="shared" si="98"/>
        <v/>
      </c>
      <c r="AM216" s="14" t="str">
        <f t="shared" si="99"/>
        <v/>
      </c>
      <c r="AN216" s="14" t="str">
        <f t="shared" si="100"/>
        <v/>
      </c>
      <c r="AO216" s="14" t="str">
        <f>IF(OR($C216="01-09",$D216="Male"),"",INDEX(PMTCT!$AD:$AD,MATCH($E216,PMTCT!$E:$E,0)))</f>
        <v/>
      </c>
      <c r="AP216" s="14" t="str">
        <f>IF(OR($C216="01-09",$D216="Male"),"",INDEX(PMTCT!$AT:$AT,MATCH($E216,PMTCT!$E:$E,0)))</f>
        <v/>
      </c>
      <c r="AQ216" s="14" t="str">
        <f>INDEX(TB!$Q:$Q,MATCH($E216,TB!$E:$E,0))</f>
        <v/>
      </c>
      <c r="AR216" s="14" t="str">
        <f>IF(OR($C216="01-09",$C216="10-14",$D216="Female"),"",INDEX(VMMC!$AB:$AB,MATCH($E216,VMMC!$E:$E,0)))</f>
        <v/>
      </c>
      <c r="AS216" s="14" t="str">
        <f>IF(OR($C216="01-09",$C216="10-14"),"",INDEX(PrEP!$Q:$Q,MATCH($E216,PrEP!$E:$E,0)))</f>
        <v/>
      </c>
      <c r="AT216" s="14" t="str">
        <f t="shared" si="101"/>
        <v/>
      </c>
      <c r="AU216" s="14" t="str">
        <f t="shared" si="102"/>
        <v/>
      </c>
      <c r="AV216" s="90" t="str">
        <f t="shared" si="103"/>
        <v/>
      </c>
      <c r="AW216" s="14"/>
      <c r="AX216" s="90" t="str">
        <f t="shared" si="104"/>
        <v/>
      </c>
      <c r="AY216" s="42" t="str">
        <f t="shared" si="105"/>
        <v/>
      </c>
      <c r="AZ216" s="90">
        <f t="shared" si="106"/>
        <v>1</v>
      </c>
      <c r="BA216" s="42" t="str">
        <f t="shared" si="107"/>
        <v/>
      </c>
    </row>
    <row r="217" spans="1:53" x14ac:dyDescent="0.2">
      <c r="A217" t="str">
        <f>INDEX(Prioritization!$D:$D,MATCH($B217,Prioritization!$A:$A,0))</f>
        <v>1 - Scale-up: Saturation</v>
      </c>
      <c r="B217" t="s">
        <v>209</v>
      </c>
      <c r="C217" t="s">
        <v>367</v>
      </c>
      <c r="D217" t="s">
        <v>29</v>
      </c>
      <c r="E217" t="str">
        <f t="shared" si="81"/>
        <v>Balaka District [ir8wuHHzoSs]|50+|Female</v>
      </c>
      <c r="F217" s="90">
        <f>IF(LEFT($B217,4)="_Mil","",INDEX(Cascade!$AA:$AA,MATCH($E217,Cascade!$E:$E,0)))</f>
        <v>1762.9999999999998</v>
      </c>
      <c r="G217" s="14">
        <f>INDEX(Cascade!$BH:$BH,MATCH($E217,Cascade!$E:$E,0))</f>
        <v>0</v>
      </c>
      <c r="H217" s="14" t="str">
        <f>IF(OR($C217="01-09",$D217="Male"),"",INDEX(PMTCT!$AC:$AC,MATCH($E217,PMTCT!$E:$E,0)))</f>
        <v/>
      </c>
      <c r="I217" s="14" t="str">
        <f>IF(OR($C217="01-09",$D217="Male"),"",INDEX(PMTCT!$AS:$AS,MATCH($E217,PMTCT!$E:$E,0)))</f>
        <v/>
      </c>
      <c r="J217" s="14" t="str">
        <f>INDEX(TB!$P:$P,MATCH($E217,TB!$E:$E,0))</f>
        <v/>
      </c>
      <c r="K217" s="14" t="str">
        <f>IF(OR($C217="01-09",$C217="10-14",$D217="Female"),"",INDEX(VMMC!$AA:$AA,MATCH($E217,VMMC!$E:$E,0)))</f>
        <v/>
      </c>
      <c r="L217" s="14">
        <f t="shared" si="82"/>
        <v>0</v>
      </c>
      <c r="M217" s="90" t="str">
        <f t="shared" si="83"/>
        <v/>
      </c>
      <c r="N217" s="90" t="str">
        <f t="shared" si="84"/>
        <v/>
      </c>
      <c r="O217" s="90" t="str">
        <f t="shared" si="85"/>
        <v/>
      </c>
      <c r="P217" s="90" t="str">
        <f t="shared" si="86"/>
        <v/>
      </c>
      <c r="Q217" s="90"/>
      <c r="R217" s="90"/>
      <c r="S217" s="90"/>
      <c r="T217" s="90"/>
      <c r="U217" s="90">
        <v>0.42182897450402401</v>
      </c>
      <c r="V217" s="90" t="str">
        <f t="shared" si="87"/>
        <v/>
      </c>
      <c r="W217" s="90"/>
      <c r="X217" s="42" t="str">
        <f t="shared" si="88"/>
        <v/>
      </c>
      <c r="Y217" s="42" t="str">
        <f t="shared" si="89"/>
        <v/>
      </c>
      <c r="Z217" s="90"/>
      <c r="AA217" s="42" t="str">
        <f t="shared" si="90"/>
        <v/>
      </c>
      <c r="AB217" s="42" t="str">
        <f t="shared" si="91"/>
        <v/>
      </c>
      <c r="AC217" s="90"/>
      <c r="AD217" s="42" t="str">
        <f t="shared" si="92"/>
        <v/>
      </c>
      <c r="AE217" s="42" t="str">
        <f t="shared" si="93"/>
        <v/>
      </c>
      <c r="AF217" s="90"/>
      <c r="AG217" s="42" t="str">
        <f t="shared" si="94"/>
        <v/>
      </c>
      <c r="AH217" s="42" t="str">
        <f t="shared" si="95"/>
        <v/>
      </c>
      <c r="AI217" s="90">
        <v>0.59017053782008599</v>
      </c>
      <c r="AJ217" s="42" t="str">
        <f t="shared" si="96"/>
        <v/>
      </c>
      <c r="AK217" s="42" t="str">
        <f t="shared" si="97"/>
        <v/>
      </c>
      <c r="AL217" s="14" t="str">
        <f t="shared" si="98"/>
        <v/>
      </c>
      <c r="AM217" s="14" t="str">
        <f t="shared" si="99"/>
        <v/>
      </c>
      <c r="AN217" s="14" t="str">
        <f t="shared" si="100"/>
        <v/>
      </c>
      <c r="AO217" s="14" t="str">
        <f>IF(OR($C217="01-09",$D217="Male"),"",INDEX(PMTCT!$AD:$AD,MATCH($E217,PMTCT!$E:$E,0)))</f>
        <v/>
      </c>
      <c r="AP217" s="14" t="str">
        <f>IF(OR($C217="01-09",$D217="Male"),"",INDEX(PMTCT!$AT:$AT,MATCH($E217,PMTCT!$E:$E,0)))</f>
        <v/>
      </c>
      <c r="AQ217" s="14" t="str">
        <f>INDEX(TB!$Q:$Q,MATCH($E217,TB!$E:$E,0))</f>
        <v/>
      </c>
      <c r="AR217" s="14" t="str">
        <f>IF(OR($C217="01-09",$C217="10-14",$D217="Female"),"",INDEX(VMMC!$AB:$AB,MATCH($E217,VMMC!$E:$E,0)))</f>
        <v/>
      </c>
      <c r="AS217" s="14" t="str">
        <f>IF(OR($C217="01-09",$C217="10-14"),"",INDEX(PrEP!$Q:$Q,MATCH($E217,PrEP!$E:$E,0)))</f>
        <v/>
      </c>
      <c r="AT217" s="14" t="str">
        <f t="shared" si="101"/>
        <v/>
      </c>
      <c r="AU217" s="14" t="str">
        <f t="shared" si="102"/>
        <v/>
      </c>
      <c r="AV217" s="90" t="str">
        <f t="shared" si="103"/>
        <v/>
      </c>
      <c r="AW217" s="14">
        <v>45</v>
      </c>
      <c r="AX217" s="90">
        <f t="shared" si="104"/>
        <v>0</v>
      </c>
      <c r="AY217" s="42">
        <f t="shared" si="105"/>
        <v>45</v>
      </c>
      <c r="AZ217" s="90">
        <f t="shared" si="106"/>
        <v>1</v>
      </c>
      <c r="BA217" s="42" t="str">
        <f t="shared" si="107"/>
        <v/>
      </c>
    </row>
    <row r="218" spans="1:53" x14ac:dyDescent="0.2">
      <c r="A218" t="str">
        <f>INDEX(Prioritization!$D:$D,MATCH($B218,Prioritization!$A:$A,0))</f>
        <v>1 - Scale-up: Saturation</v>
      </c>
      <c r="B218" t="s">
        <v>209</v>
      </c>
      <c r="C218" t="s">
        <v>367</v>
      </c>
      <c r="D218" t="s">
        <v>47</v>
      </c>
      <c r="E218" t="str">
        <f t="shared" si="81"/>
        <v>Balaka District [ir8wuHHzoSs]|50+|Male</v>
      </c>
      <c r="F218" s="90">
        <f>IF(LEFT($B218,4)="_Mil","",INDEX(Cascade!$AA:$AA,MATCH($E218,Cascade!$E:$E,0)))</f>
        <v>1036</v>
      </c>
      <c r="G218" s="14">
        <f>INDEX(Cascade!$BH:$BH,MATCH($E218,Cascade!$E:$E,0))</f>
        <v>0</v>
      </c>
      <c r="H218" s="14" t="str">
        <f>IF(OR($C218="01-09",$D218="Male"),"",INDEX(PMTCT!$AC:$AC,MATCH($E218,PMTCT!$E:$E,0)))</f>
        <v/>
      </c>
      <c r="I218" s="14" t="str">
        <f>IF(OR($C218="01-09",$D218="Male"),"",INDEX(PMTCT!$AS:$AS,MATCH($E218,PMTCT!$E:$E,0)))</f>
        <v/>
      </c>
      <c r="J218" s="14" t="str">
        <f>INDEX(TB!$P:$P,MATCH($E218,TB!$E:$E,0))</f>
        <v/>
      </c>
      <c r="K218" s="14" t="str">
        <f>IF(OR($C218="01-09",$C218="10-14",$D218="Female"),"",INDEX(VMMC!$AA:$AA,MATCH($E218,VMMC!$E:$E,0)))</f>
        <v/>
      </c>
      <c r="L218" s="14">
        <f t="shared" si="82"/>
        <v>0</v>
      </c>
      <c r="M218" s="90" t="str">
        <f t="shared" si="83"/>
        <v/>
      </c>
      <c r="N218" s="90" t="str">
        <f t="shared" si="84"/>
        <v/>
      </c>
      <c r="O218" s="90" t="str">
        <f t="shared" si="85"/>
        <v/>
      </c>
      <c r="P218" s="90" t="str">
        <f t="shared" si="86"/>
        <v/>
      </c>
      <c r="Q218" s="90"/>
      <c r="R218" s="90"/>
      <c r="S218" s="90"/>
      <c r="T218" s="90"/>
      <c r="U218" s="90">
        <v>0.59340264508500695</v>
      </c>
      <c r="V218" s="90" t="str">
        <f t="shared" si="87"/>
        <v/>
      </c>
      <c r="W218" s="90"/>
      <c r="X218" s="42" t="str">
        <f t="shared" si="88"/>
        <v/>
      </c>
      <c r="Y218" s="42" t="str">
        <f t="shared" si="89"/>
        <v/>
      </c>
      <c r="Z218" s="90"/>
      <c r="AA218" s="42" t="str">
        <f t="shared" si="90"/>
        <v/>
      </c>
      <c r="AB218" s="42" t="str">
        <f t="shared" si="91"/>
        <v/>
      </c>
      <c r="AC218" s="90"/>
      <c r="AD218" s="42" t="str">
        <f t="shared" si="92"/>
        <v/>
      </c>
      <c r="AE218" s="42" t="str">
        <f t="shared" si="93"/>
        <v/>
      </c>
      <c r="AF218" s="90"/>
      <c r="AG218" s="42" t="str">
        <f t="shared" si="94"/>
        <v/>
      </c>
      <c r="AH218" s="42" t="str">
        <f t="shared" si="95"/>
        <v/>
      </c>
      <c r="AI218" s="90">
        <v>0.64124897727742802</v>
      </c>
      <c r="AJ218" s="42" t="str">
        <f t="shared" si="96"/>
        <v/>
      </c>
      <c r="AK218" s="42" t="str">
        <f t="shared" si="97"/>
        <v/>
      </c>
      <c r="AL218" s="14" t="str">
        <f t="shared" si="98"/>
        <v/>
      </c>
      <c r="AM218" s="14" t="str">
        <f t="shared" si="99"/>
        <v/>
      </c>
      <c r="AN218" s="14" t="str">
        <f t="shared" si="100"/>
        <v/>
      </c>
      <c r="AO218" s="14" t="str">
        <f>IF(OR($C218="01-09",$D218="Male"),"",INDEX(PMTCT!$AD:$AD,MATCH($E218,PMTCT!$E:$E,0)))</f>
        <v/>
      </c>
      <c r="AP218" s="14" t="str">
        <f>IF(OR($C218="01-09",$D218="Male"),"",INDEX(PMTCT!$AT:$AT,MATCH($E218,PMTCT!$E:$E,0)))</f>
        <v/>
      </c>
      <c r="AQ218" s="14" t="str">
        <f>INDEX(TB!$Q:$Q,MATCH($E218,TB!$E:$E,0))</f>
        <v/>
      </c>
      <c r="AR218" s="14" t="str">
        <f>IF(OR($C218="01-09",$C218="10-14",$D218="Female"),"",INDEX(VMMC!$AB:$AB,MATCH($E218,VMMC!$E:$E,0)))</f>
        <v/>
      </c>
      <c r="AS218" s="14" t="str">
        <f>IF(OR($C218="01-09",$C218="10-14"),"",INDEX(PrEP!$Q:$Q,MATCH($E218,PrEP!$E:$E,0)))</f>
        <v/>
      </c>
      <c r="AT218" s="14" t="str">
        <f t="shared" si="101"/>
        <v/>
      </c>
      <c r="AU218" s="14" t="str">
        <f t="shared" si="102"/>
        <v/>
      </c>
      <c r="AV218" s="90" t="str">
        <f t="shared" si="103"/>
        <v/>
      </c>
      <c r="AW218" s="14">
        <v>72</v>
      </c>
      <c r="AX218" s="90">
        <f t="shared" si="104"/>
        <v>0</v>
      </c>
      <c r="AY218" s="42">
        <f t="shared" si="105"/>
        <v>72</v>
      </c>
      <c r="AZ218" s="90">
        <f t="shared" si="106"/>
        <v>1</v>
      </c>
      <c r="BA218" s="42" t="str">
        <f t="shared" si="107"/>
        <v/>
      </c>
    </row>
    <row r="219" spans="1:53" x14ac:dyDescent="0.2">
      <c r="A219" t="str">
        <f>INDEX(Prioritization!$D:$D,MATCH($B219,Prioritization!$A:$A,0))</f>
        <v>1 - Scale-up: Saturation</v>
      </c>
      <c r="B219" t="s">
        <v>210</v>
      </c>
      <c r="C219" t="s">
        <v>362</v>
      </c>
      <c r="D219" t="s">
        <v>29</v>
      </c>
      <c r="E219" t="str">
        <f t="shared" si="81"/>
        <v>Blantyre District [mxqa3CDFmIT]|01-09|Female</v>
      </c>
      <c r="F219" s="90">
        <f>IF(LEFT($B219,4)="_Mil","",INDEX(Cascade!$AA:$AA,MATCH($E219,Cascade!$E:$E,0)))</f>
        <v>1393</v>
      </c>
      <c r="G219" s="14">
        <f>INDEX(Cascade!$BH:$BH,MATCH($E219,Cascade!$E:$E,0))</f>
        <v>0</v>
      </c>
      <c r="H219" s="14" t="str">
        <f>IF(OR($C219="01-09",$D219="Male"),"",INDEX(PMTCT!$AC:$AC,MATCH($E219,PMTCT!$E:$E,0)))</f>
        <v/>
      </c>
      <c r="I219" s="14" t="str">
        <f>IF(OR($C219="01-09",$D219="Male"),"",INDEX(PMTCT!$AS:$AS,MATCH($E219,PMTCT!$E:$E,0)))</f>
        <v/>
      </c>
      <c r="J219" s="14" t="str">
        <f>INDEX(TB!$P:$P,MATCH($E219,TB!$E:$E,0))</f>
        <v/>
      </c>
      <c r="K219" s="14" t="str">
        <f>IF(OR($C219="01-09",$C219="10-14",$D219="Female"),"",INDEX(VMMC!$AA:$AA,MATCH($E219,VMMC!$E:$E,0)))</f>
        <v/>
      </c>
      <c r="L219" s="14">
        <f t="shared" si="82"/>
        <v>0</v>
      </c>
      <c r="M219" s="90" t="str">
        <f t="shared" si="83"/>
        <v/>
      </c>
      <c r="N219" s="90" t="str">
        <f t="shared" si="84"/>
        <v/>
      </c>
      <c r="O219" s="90" t="str">
        <f t="shared" si="85"/>
        <v/>
      </c>
      <c r="P219" s="90" t="str">
        <f t="shared" si="86"/>
        <v/>
      </c>
      <c r="Q219" s="90"/>
      <c r="R219" s="90"/>
      <c r="S219" s="90"/>
      <c r="T219" s="90"/>
      <c r="U219" s="90"/>
      <c r="V219" s="90" t="str">
        <f t="shared" si="87"/>
        <v/>
      </c>
      <c r="W219" s="90"/>
      <c r="X219" s="42" t="str">
        <f t="shared" si="88"/>
        <v/>
      </c>
      <c r="Y219" s="42" t="str">
        <f t="shared" si="89"/>
        <v/>
      </c>
      <c r="Z219" s="90"/>
      <c r="AA219" s="42" t="str">
        <f t="shared" si="90"/>
        <v/>
      </c>
      <c r="AB219" s="42" t="str">
        <f t="shared" si="91"/>
        <v/>
      </c>
      <c r="AC219" s="90"/>
      <c r="AD219" s="42" t="str">
        <f t="shared" si="92"/>
        <v/>
      </c>
      <c r="AE219" s="42" t="str">
        <f t="shared" si="93"/>
        <v/>
      </c>
      <c r="AF219" s="90"/>
      <c r="AG219" s="42" t="str">
        <f t="shared" si="94"/>
        <v/>
      </c>
      <c r="AH219" s="42" t="str">
        <f t="shared" si="95"/>
        <v/>
      </c>
      <c r="AI219" s="90"/>
      <c r="AJ219" s="42" t="str">
        <f t="shared" si="96"/>
        <v/>
      </c>
      <c r="AK219" s="42" t="str">
        <f t="shared" si="97"/>
        <v/>
      </c>
      <c r="AL219" s="14" t="str">
        <f t="shared" si="98"/>
        <v/>
      </c>
      <c r="AM219" s="14" t="str">
        <f t="shared" si="99"/>
        <v/>
      </c>
      <c r="AN219" s="14" t="str">
        <f t="shared" si="100"/>
        <v/>
      </c>
      <c r="AO219" s="14" t="str">
        <f>IF(OR($C219="01-09",$D219="Male"),"",INDEX(PMTCT!$AD:$AD,MATCH($E219,PMTCT!$E:$E,0)))</f>
        <v/>
      </c>
      <c r="AP219" s="14" t="str">
        <f>IF(OR($C219="01-09",$D219="Male"),"",INDEX(PMTCT!$AT:$AT,MATCH($E219,PMTCT!$E:$E,0)))</f>
        <v/>
      </c>
      <c r="AQ219" s="14" t="str">
        <f>INDEX(TB!$Q:$Q,MATCH($E219,TB!$E:$E,0))</f>
        <v/>
      </c>
      <c r="AR219" s="14" t="str">
        <f>IF(OR($C219="01-09",$C219="10-14",$D219="Female"),"",INDEX(VMMC!$AB:$AB,MATCH($E219,VMMC!$E:$E,0)))</f>
        <v/>
      </c>
      <c r="AS219" s="14" t="str">
        <f>IF(OR($C219="01-09",$C219="10-14"),"",INDEX(PrEP!$Q:$Q,MATCH($E219,PrEP!$E:$E,0)))</f>
        <v/>
      </c>
      <c r="AT219" s="14" t="str">
        <f t="shared" si="101"/>
        <v/>
      </c>
      <c r="AU219" s="14" t="str">
        <f t="shared" si="102"/>
        <v/>
      </c>
      <c r="AV219" s="90" t="str">
        <f t="shared" si="103"/>
        <v/>
      </c>
      <c r="AW219" s="14"/>
      <c r="AX219" s="90" t="str">
        <f t="shared" si="104"/>
        <v/>
      </c>
      <c r="AY219" s="42" t="str">
        <f t="shared" si="105"/>
        <v/>
      </c>
      <c r="AZ219" s="90" t="str">
        <f t="shared" si="106"/>
        <v/>
      </c>
      <c r="BA219" s="42" t="str">
        <f t="shared" si="107"/>
        <v/>
      </c>
    </row>
    <row r="220" spans="1:53" x14ac:dyDescent="0.2">
      <c r="A220" t="str">
        <f>INDEX(Prioritization!$D:$D,MATCH($B220,Prioritization!$A:$A,0))</f>
        <v>1 - Scale-up: Saturation</v>
      </c>
      <c r="B220" t="s">
        <v>210</v>
      </c>
      <c r="C220" t="s">
        <v>362</v>
      </c>
      <c r="D220" t="s">
        <v>47</v>
      </c>
      <c r="E220" t="str">
        <f t="shared" si="81"/>
        <v>Blantyre District [mxqa3CDFmIT]|01-09|Male</v>
      </c>
      <c r="F220" s="90">
        <f>IF(LEFT($B220,4)="_Mil","",INDEX(Cascade!$AA:$AA,MATCH($E220,Cascade!$E:$E,0)))</f>
        <v>1471</v>
      </c>
      <c r="G220" s="14">
        <f>INDEX(Cascade!$BH:$BH,MATCH($E220,Cascade!$E:$E,0))</f>
        <v>0</v>
      </c>
      <c r="H220" s="14" t="str">
        <f>IF(OR($C220="01-09",$D220="Male"),"",INDEX(PMTCT!$AC:$AC,MATCH($E220,PMTCT!$E:$E,0)))</f>
        <v/>
      </c>
      <c r="I220" s="14" t="str">
        <f>IF(OR($C220="01-09",$D220="Male"),"",INDEX(PMTCT!$AS:$AS,MATCH($E220,PMTCT!$E:$E,0)))</f>
        <v/>
      </c>
      <c r="J220" s="14" t="str">
        <f>INDEX(TB!$P:$P,MATCH($E220,TB!$E:$E,0))</f>
        <v/>
      </c>
      <c r="K220" s="14" t="str">
        <f>IF(OR($C220="01-09",$C220="10-14",$D220="Female"),"",INDEX(VMMC!$AA:$AA,MATCH($E220,VMMC!$E:$E,0)))</f>
        <v/>
      </c>
      <c r="L220" s="14">
        <f t="shared" si="82"/>
        <v>0</v>
      </c>
      <c r="M220" s="90" t="str">
        <f t="shared" si="83"/>
        <v/>
      </c>
      <c r="N220" s="90" t="str">
        <f t="shared" si="84"/>
        <v/>
      </c>
      <c r="O220" s="90" t="str">
        <f t="shared" si="85"/>
        <v/>
      </c>
      <c r="P220" s="90" t="str">
        <f t="shared" si="86"/>
        <v/>
      </c>
      <c r="Q220" s="90"/>
      <c r="R220" s="90"/>
      <c r="S220" s="90"/>
      <c r="T220" s="90"/>
      <c r="U220" s="90"/>
      <c r="V220" s="90" t="str">
        <f t="shared" si="87"/>
        <v/>
      </c>
      <c r="W220" s="90"/>
      <c r="X220" s="42" t="str">
        <f t="shared" si="88"/>
        <v/>
      </c>
      <c r="Y220" s="42" t="str">
        <f t="shared" si="89"/>
        <v/>
      </c>
      <c r="Z220" s="90"/>
      <c r="AA220" s="42" t="str">
        <f t="shared" si="90"/>
        <v/>
      </c>
      <c r="AB220" s="42" t="str">
        <f t="shared" si="91"/>
        <v/>
      </c>
      <c r="AC220" s="90"/>
      <c r="AD220" s="42" t="str">
        <f t="shared" si="92"/>
        <v/>
      </c>
      <c r="AE220" s="42" t="str">
        <f t="shared" si="93"/>
        <v/>
      </c>
      <c r="AF220" s="90"/>
      <c r="AG220" s="42" t="str">
        <f t="shared" si="94"/>
        <v/>
      </c>
      <c r="AH220" s="42" t="str">
        <f t="shared" si="95"/>
        <v/>
      </c>
      <c r="AI220" s="90"/>
      <c r="AJ220" s="42" t="str">
        <f t="shared" si="96"/>
        <v/>
      </c>
      <c r="AK220" s="42" t="str">
        <f t="shared" si="97"/>
        <v/>
      </c>
      <c r="AL220" s="14" t="str">
        <f t="shared" si="98"/>
        <v/>
      </c>
      <c r="AM220" s="14" t="str">
        <f t="shared" si="99"/>
        <v/>
      </c>
      <c r="AN220" s="14" t="str">
        <f t="shared" si="100"/>
        <v/>
      </c>
      <c r="AO220" s="14" t="str">
        <f>IF(OR($C220="01-09",$D220="Male"),"",INDEX(PMTCT!$AD:$AD,MATCH($E220,PMTCT!$E:$E,0)))</f>
        <v/>
      </c>
      <c r="AP220" s="14" t="str">
        <f>IF(OR($C220="01-09",$D220="Male"),"",INDEX(PMTCT!$AT:$AT,MATCH($E220,PMTCT!$E:$E,0)))</f>
        <v/>
      </c>
      <c r="AQ220" s="14" t="str">
        <f>INDEX(TB!$Q:$Q,MATCH($E220,TB!$E:$E,0))</f>
        <v/>
      </c>
      <c r="AR220" s="14" t="str">
        <f>IF(OR($C220="01-09",$C220="10-14",$D220="Female"),"",INDEX(VMMC!$AB:$AB,MATCH($E220,VMMC!$E:$E,0)))</f>
        <v/>
      </c>
      <c r="AS220" s="14" t="str">
        <f>IF(OR($C220="01-09",$C220="10-14"),"",INDEX(PrEP!$Q:$Q,MATCH($E220,PrEP!$E:$E,0)))</f>
        <v/>
      </c>
      <c r="AT220" s="14" t="str">
        <f t="shared" si="101"/>
        <v/>
      </c>
      <c r="AU220" s="14" t="str">
        <f t="shared" si="102"/>
        <v/>
      </c>
      <c r="AV220" s="90" t="str">
        <f t="shared" si="103"/>
        <v/>
      </c>
      <c r="AW220" s="14"/>
      <c r="AX220" s="90" t="str">
        <f t="shared" si="104"/>
        <v/>
      </c>
      <c r="AY220" s="42" t="str">
        <f t="shared" si="105"/>
        <v/>
      </c>
      <c r="AZ220" s="90" t="str">
        <f t="shared" si="106"/>
        <v/>
      </c>
      <c r="BA220" s="42" t="str">
        <f t="shared" si="107"/>
        <v/>
      </c>
    </row>
    <row r="221" spans="1:53" x14ac:dyDescent="0.2">
      <c r="A221" t="str">
        <f>INDEX(Prioritization!$D:$D,MATCH($B221,Prioritization!$A:$A,0))</f>
        <v>1 - Scale-up: Saturation</v>
      </c>
      <c r="B221" t="s">
        <v>210</v>
      </c>
      <c r="C221" t="s">
        <v>363</v>
      </c>
      <c r="D221" t="s">
        <v>29</v>
      </c>
      <c r="E221" t="str">
        <f t="shared" si="81"/>
        <v>Blantyre District [mxqa3CDFmIT]|10-14|Female</v>
      </c>
      <c r="F221" s="90">
        <f>IF(LEFT($B221,4)="_Mil","",INDEX(Cascade!$AA:$AA,MATCH($E221,Cascade!$E:$E,0)))</f>
        <v>628</v>
      </c>
      <c r="G221" s="14">
        <f>INDEX(Cascade!$BH:$BH,MATCH($E221,Cascade!$E:$E,0))</f>
        <v>-208</v>
      </c>
      <c r="H221" s="14">
        <f>IF(OR($C221="01-09",$D221="Male"),"",INDEX(PMTCT!$AC:$AC,MATCH($E221,PMTCT!$E:$E,0)))</f>
        <v>1</v>
      </c>
      <c r="I221" s="14">
        <f>IF(OR($C221="01-09",$D221="Male"),"",INDEX(PMTCT!$AS:$AS,MATCH($E221,PMTCT!$E:$E,0)))</f>
        <v>1</v>
      </c>
      <c r="J221" s="14" t="str">
        <f>INDEX(TB!$P:$P,MATCH($E221,TB!$E:$E,0))</f>
        <v>ENTER YIELD RATE</v>
      </c>
      <c r="K221" s="14" t="str">
        <f>IF(OR($C221="01-09",$C221="10-14",$D221="Female"),"",INDEX(VMMC!$AA:$AA,MATCH($E221,VMMC!$E:$E,0)))</f>
        <v/>
      </c>
      <c r="L221" s="14">
        <f t="shared" si="82"/>
        <v>-210</v>
      </c>
      <c r="M221" s="90">
        <f t="shared" si="83"/>
        <v>-4.807692307692308E-3</v>
      </c>
      <c r="N221" s="90">
        <f t="shared" si="84"/>
        <v>-4.807692307692308E-3</v>
      </c>
      <c r="O221" s="90">
        <f t="shared" si="85"/>
        <v>0</v>
      </c>
      <c r="P221" s="90" t="str">
        <f t="shared" si="86"/>
        <v/>
      </c>
      <c r="Q221" s="90">
        <v>0.60703651420772098</v>
      </c>
      <c r="R221" s="90"/>
      <c r="S221" s="90"/>
      <c r="T221" s="90"/>
      <c r="U221" s="90">
        <v>0.65579314809292599</v>
      </c>
      <c r="V221" s="90">
        <f t="shared" si="87"/>
        <v>1.2532142776852624</v>
      </c>
      <c r="W221" s="90"/>
      <c r="X221" s="42">
        <f t="shared" si="88"/>
        <v>-126</v>
      </c>
      <c r="Y221" s="42" t="str">
        <f t="shared" si="89"/>
        <v>ENTER YIELD</v>
      </c>
      <c r="Z221" s="90"/>
      <c r="AA221" s="42" t="str">
        <f t="shared" si="90"/>
        <v/>
      </c>
      <c r="AB221" s="42" t="str">
        <f t="shared" si="91"/>
        <v/>
      </c>
      <c r="AC221" s="90"/>
      <c r="AD221" s="42" t="str">
        <f t="shared" si="92"/>
        <v/>
      </c>
      <c r="AE221" s="42" t="str">
        <f t="shared" si="93"/>
        <v/>
      </c>
      <c r="AF221" s="90"/>
      <c r="AG221" s="42" t="str">
        <f t="shared" si="94"/>
        <v/>
      </c>
      <c r="AH221" s="42" t="str">
        <f t="shared" si="95"/>
        <v/>
      </c>
      <c r="AI221" s="90">
        <v>0.244563604937866</v>
      </c>
      <c r="AJ221" s="42">
        <f t="shared" si="96"/>
        <v>-136</v>
      </c>
      <c r="AK221" s="42">
        <f t="shared" si="97"/>
        <v>-420</v>
      </c>
      <c r="AL221" s="14">
        <f t="shared" si="98"/>
        <v>-208</v>
      </c>
      <c r="AM221" s="14">
        <f t="shared" si="99"/>
        <v>-260</v>
      </c>
      <c r="AN221" s="14">
        <f t="shared" si="100"/>
        <v>-52</v>
      </c>
      <c r="AO221" s="14">
        <f>IF(OR($C221="01-09",$D221="Male"),"",INDEX(PMTCT!$AD:$AD,MATCH($E221,PMTCT!$E:$E,0)))</f>
        <v>1</v>
      </c>
      <c r="AP221" s="14">
        <f>IF(OR($C221="01-09",$D221="Male"),"",INDEX(PMTCT!$AT:$AT,MATCH($E221,PMTCT!$E:$E,0)))</f>
        <v>0</v>
      </c>
      <c r="AQ221" s="14">
        <f>INDEX(TB!$Q:$Q,MATCH($E221,TB!$E:$E,0))</f>
        <v>8</v>
      </c>
      <c r="AR221" s="14" t="str">
        <f>IF(OR($C221="01-09",$C221="10-14",$D221="Female"),"",INDEX(VMMC!$AB:$AB,MATCH($E221,VMMC!$E:$E,0)))</f>
        <v/>
      </c>
      <c r="AS221" s="14" t="str">
        <f>IF(OR($C221="01-09",$C221="10-14"),"",INDEX(PrEP!$Q:$Q,MATCH($E221,PrEP!$E:$E,0)))</f>
        <v/>
      </c>
      <c r="AT221" s="14">
        <f t="shared" si="101"/>
        <v>-411</v>
      </c>
      <c r="AU221" s="14">
        <f t="shared" si="102"/>
        <v>-671</v>
      </c>
      <c r="AV221" s="90">
        <f t="shared" si="103"/>
        <v>0.38748137108792846</v>
      </c>
      <c r="AW221" s="14">
        <v>9154</v>
      </c>
      <c r="AX221" s="90">
        <f t="shared" si="104"/>
        <v>0</v>
      </c>
      <c r="AY221" s="42">
        <f t="shared" si="105"/>
        <v>9154</v>
      </c>
      <c r="AZ221" s="90" t="str">
        <f t="shared" si="106"/>
        <v/>
      </c>
      <c r="BA221" s="42" t="str">
        <f t="shared" si="107"/>
        <v/>
      </c>
    </row>
    <row r="222" spans="1:53" x14ac:dyDescent="0.2">
      <c r="A222" t="str">
        <f>INDEX(Prioritization!$D:$D,MATCH($B222,Prioritization!$A:$A,0))</f>
        <v>1 - Scale-up: Saturation</v>
      </c>
      <c r="B222" t="s">
        <v>210</v>
      </c>
      <c r="C222" t="s">
        <v>363</v>
      </c>
      <c r="D222" t="s">
        <v>47</v>
      </c>
      <c r="E222" t="str">
        <f t="shared" si="81"/>
        <v>Blantyre District [mxqa3CDFmIT]|10-14|Male</v>
      </c>
      <c r="F222" s="90">
        <f>IF(LEFT($B222,4)="_Mil","",INDEX(Cascade!$AA:$AA,MATCH($E222,Cascade!$E:$E,0)))</f>
        <v>935.99999999999989</v>
      </c>
      <c r="G222" s="14">
        <f>INDEX(Cascade!$BH:$BH,MATCH($E222,Cascade!$E:$E,0))</f>
        <v>-600</v>
      </c>
      <c r="H222" s="14" t="str">
        <f>IF(OR($C222="01-09",$D222="Male"),"",INDEX(PMTCT!$AC:$AC,MATCH($E222,PMTCT!$E:$E,0)))</f>
        <v/>
      </c>
      <c r="I222" s="14" t="str">
        <f>IF(OR($C222="01-09",$D222="Male"),"",INDEX(PMTCT!$AS:$AS,MATCH($E222,PMTCT!$E:$E,0)))</f>
        <v/>
      </c>
      <c r="J222" s="14" t="str">
        <f>INDEX(TB!$P:$P,MATCH($E222,TB!$E:$E,0))</f>
        <v>ENTER YIELD RATE</v>
      </c>
      <c r="K222" s="14" t="str">
        <f>IF(OR($C222="01-09",$C222="10-14",$D222="Female"),"",INDEX(VMMC!$AA:$AA,MATCH($E222,VMMC!$E:$E,0)))</f>
        <v/>
      </c>
      <c r="L222" s="14">
        <f t="shared" si="82"/>
        <v>-600</v>
      </c>
      <c r="M222" s="90" t="str">
        <f t="shared" si="83"/>
        <v/>
      </c>
      <c r="N222" s="90" t="str">
        <f t="shared" si="84"/>
        <v/>
      </c>
      <c r="O222" s="90">
        <f t="shared" si="85"/>
        <v>0</v>
      </c>
      <c r="P222" s="90" t="str">
        <f t="shared" si="86"/>
        <v/>
      </c>
      <c r="Q222" s="90">
        <v>9.2150161275640102E-2</v>
      </c>
      <c r="R222" s="90"/>
      <c r="S222" s="90"/>
      <c r="T222" s="90"/>
      <c r="U222" s="90">
        <v>0.626300245290622</v>
      </c>
      <c r="V222" s="90">
        <f t="shared" si="87"/>
        <v>0.71845040656626213</v>
      </c>
      <c r="W222" s="90"/>
      <c r="X222" s="42">
        <f t="shared" si="88"/>
        <v>-55</v>
      </c>
      <c r="Y222" s="42" t="str">
        <f t="shared" si="89"/>
        <v>ENTER YIELD</v>
      </c>
      <c r="Z222" s="90"/>
      <c r="AA222" s="42" t="str">
        <f t="shared" si="90"/>
        <v/>
      </c>
      <c r="AB222" s="42" t="str">
        <f t="shared" si="91"/>
        <v/>
      </c>
      <c r="AC222" s="90"/>
      <c r="AD222" s="42" t="str">
        <f t="shared" si="92"/>
        <v/>
      </c>
      <c r="AE222" s="42" t="str">
        <f t="shared" si="93"/>
        <v/>
      </c>
      <c r="AF222" s="90"/>
      <c r="AG222" s="42" t="str">
        <f t="shared" si="94"/>
        <v/>
      </c>
      <c r="AH222" s="42" t="str">
        <f t="shared" si="95"/>
        <v/>
      </c>
      <c r="AI222" s="90">
        <v>0.30717991967685498</v>
      </c>
      <c r="AJ222" s="42">
        <f t="shared" si="96"/>
        <v>-376</v>
      </c>
      <c r="AK222" s="42">
        <f t="shared" si="97"/>
        <v>-848</v>
      </c>
      <c r="AL222" s="14">
        <f t="shared" si="98"/>
        <v>-600</v>
      </c>
      <c r="AM222" s="14">
        <f t="shared" si="99"/>
        <v>-431</v>
      </c>
      <c r="AN222" s="14">
        <f t="shared" si="100"/>
        <v>169</v>
      </c>
      <c r="AO222" s="14" t="str">
        <f>IF(OR($C222="01-09",$D222="Male"),"",INDEX(PMTCT!$AD:$AD,MATCH($E222,PMTCT!$E:$E,0)))</f>
        <v/>
      </c>
      <c r="AP222" s="14" t="str">
        <f>IF(OR($C222="01-09",$D222="Male"),"",INDEX(PMTCT!$AT:$AT,MATCH($E222,PMTCT!$E:$E,0)))</f>
        <v/>
      </c>
      <c r="AQ222" s="14">
        <f>INDEX(TB!$Q:$Q,MATCH($E222,TB!$E:$E,0))</f>
        <v>3</v>
      </c>
      <c r="AR222" s="14" t="str">
        <f>IF(OR($C222="01-09",$C222="10-14",$D222="Female"),"",INDEX(VMMC!$AB:$AB,MATCH($E222,VMMC!$E:$E,0)))</f>
        <v/>
      </c>
      <c r="AS222" s="14" t="str">
        <f>IF(OR($C222="01-09",$C222="10-14"),"",INDEX(PrEP!$Q:$Q,MATCH($E222,PrEP!$E:$E,0)))</f>
        <v/>
      </c>
      <c r="AT222" s="14">
        <f t="shared" si="101"/>
        <v>-845</v>
      </c>
      <c r="AU222" s="14">
        <f t="shared" si="102"/>
        <v>-1276</v>
      </c>
      <c r="AV222" s="90">
        <f t="shared" si="103"/>
        <v>0.33777429467084641</v>
      </c>
      <c r="AW222" s="14"/>
      <c r="AX222" s="90" t="str">
        <f t="shared" si="104"/>
        <v/>
      </c>
      <c r="AY222" s="42" t="str">
        <f t="shared" si="105"/>
        <v/>
      </c>
      <c r="AZ222" s="90" t="str">
        <f t="shared" si="106"/>
        <v/>
      </c>
      <c r="BA222" s="42" t="str">
        <f t="shared" si="107"/>
        <v/>
      </c>
    </row>
    <row r="223" spans="1:53" x14ac:dyDescent="0.2">
      <c r="A223" t="str">
        <f>INDEX(Prioritization!$D:$D,MATCH($B223,Prioritization!$A:$A,0))</f>
        <v>1 - Scale-up: Saturation</v>
      </c>
      <c r="B223" t="s">
        <v>210</v>
      </c>
      <c r="C223" t="s">
        <v>364</v>
      </c>
      <c r="D223" t="s">
        <v>29</v>
      </c>
      <c r="E223" t="str">
        <f t="shared" si="81"/>
        <v>Blantyre District [mxqa3CDFmIT]|15-24|Female</v>
      </c>
      <c r="F223" s="90">
        <f>IF(LEFT($B223,4)="_Mil","",INDEX(Cascade!$AA:$AA,MATCH($E223,Cascade!$E:$E,0)))</f>
        <v>534</v>
      </c>
      <c r="G223" s="14">
        <f>INDEX(Cascade!$BH:$BH,MATCH($E223,Cascade!$E:$E,0))</f>
        <v>0</v>
      </c>
      <c r="H223" s="14" t="str">
        <f>IF(OR($C223="01-09",$D223="Male"),"",INDEX(PMTCT!$AC:$AC,MATCH($E223,PMTCT!$E:$E,0)))</f>
        <v/>
      </c>
      <c r="I223" s="14" t="str">
        <f>IF(OR($C223="01-09",$D223="Male"),"",INDEX(PMTCT!$AS:$AS,MATCH($E223,PMTCT!$E:$E,0)))</f>
        <v/>
      </c>
      <c r="J223" s="14" t="str">
        <f>INDEX(TB!$P:$P,MATCH($E223,TB!$E:$E,0))</f>
        <v/>
      </c>
      <c r="K223" s="14" t="str">
        <f>IF(OR($C223="01-09",$C223="10-14",$D223="Female"),"",INDEX(VMMC!$AA:$AA,MATCH($E223,VMMC!$E:$E,0)))</f>
        <v/>
      </c>
      <c r="L223" s="14">
        <f t="shared" si="82"/>
        <v>0</v>
      </c>
      <c r="M223" s="90" t="str">
        <f t="shared" si="83"/>
        <v/>
      </c>
      <c r="N223" s="90" t="str">
        <f t="shared" si="84"/>
        <v/>
      </c>
      <c r="O223" s="90" t="str">
        <f t="shared" si="85"/>
        <v/>
      </c>
      <c r="P223" s="90" t="str">
        <f t="shared" si="86"/>
        <v/>
      </c>
      <c r="Q223" s="90"/>
      <c r="R223" s="90"/>
      <c r="S223" s="90"/>
      <c r="T223" s="90"/>
      <c r="U223" s="90"/>
      <c r="V223" s="90" t="str">
        <f t="shared" si="87"/>
        <v/>
      </c>
      <c r="W223" s="90"/>
      <c r="X223" s="42" t="str">
        <f t="shared" si="88"/>
        <v/>
      </c>
      <c r="Y223" s="42" t="str">
        <f t="shared" si="89"/>
        <v/>
      </c>
      <c r="Z223" s="90"/>
      <c r="AA223" s="42" t="str">
        <f t="shared" si="90"/>
        <v/>
      </c>
      <c r="AB223" s="42" t="str">
        <f t="shared" si="91"/>
        <v/>
      </c>
      <c r="AC223" s="90"/>
      <c r="AD223" s="42" t="str">
        <f t="shared" si="92"/>
        <v/>
      </c>
      <c r="AE223" s="42" t="str">
        <f t="shared" si="93"/>
        <v/>
      </c>
      <c r="AF223" s="90"/>
      <c r="AG223" s="42" t="str">
        <f t="shared" si="94"/>
        <v/>
      </c>
      <c r="AH223" s="42" t="str">
        <f t="shared" si="95"/>
        <v/>
      </c>
      <c r="AI223" s="90"/>
      <c r="AJ223" s="42" t="str">
        <f t="shared" si="96"/>
        <v/>
      </c>
      <c r="AK223" s="42" t="str">
        <f t="shared" si="97"/>
        <v/>
      </c>
      <c r="AL223" s="14" t="str">
        <f t="shared" si="98"/>
        <v/>
      </c>
      <c r="AM223" s="14" t="str">
        <f t="shared" si="99"/>
        <v/>
      </c>
      <c r="AN223" s="14" t="str">
        <f t="shared" si="100"/>
        <v/>
      </c>
      <c r="AO223" s="14" t="str">
        <f>IF(OR($C223="01-09",$D223="Male"),"",INDEX(PMTCT!$AD:$AD,MATCH($E223,PMTCT!$E:$E,0)))</f>
        <v/>
      </c>
      <c r="AP223" s="14" t="str">
        <f>IF(OR($C223="01-09",$D223="Male"),"",INDEX(PMTCT!$AT:$AT,MATCH($E223,PMTCT!$E:$E,0)))</f>
        <v/>
      </c>
      <c r="AQ223" s="14" t="str">
        <f>INDEX(TB!$Q:$Q,MATCH($E223,TB!$E:$E,0))</f>
        <v/>
      </c>
      <c r="AR223" s="14" t="str">
        <f>IF(OR($C223="01-09",$C223="10-14",$D223="Female"),"",INDEX(VMMC!$AB:$AB,MATCH($E223,VMMC!$E:$E,0)))</f>
        <v/>
      </c>
      <c r="AS223" s="14" t="str">
        <f>IF(OR($C223="01-09",$C223="10-14"),"",INDEX(PrEP!$Q:$Q,MATCH($E223,PrEP!$E:$E,0)))</f>
        <v/>
      </c>
      <c r="AT223" s="14" t="str">
        <f t="shared" si="101"/>
        <v/>
      </c>
      <c r="AU223" s="14" t="str">
        <f t="shared" si="102"/>
        <v/>
      </c>
      <c r="AV223" s="90" t="str">
        <f t="shared" si="103"/>
        <v/>
      </c>
      <c r="AW223" s="14"/>
      <c r="AX223" s="90" t="str">
        <f t="shared" si="104"/>
        <v/>
      </c>
      <c r="AY223" s="42" t="str">
        <f t="shared" si="105"/>
        <v/>
      </c>
      <c r="AZ223" s="90">
        <f t="shared" si="106"/>
        <v>1</v>
      </c>
      <c r="BA223" s="42" t="str">
        <f t="shared" si="107"/>
        <v/>
      </c>
    </row>
    <row r="224" spans="1:53" x14ac:dyDescent="0.2">
      <c r="A224" t="str">
        <f>INDEX(Prioritization!$D:$D,MATCH($B224,Prioritization!$A:$A,0))</f>
        <v>1 - Scale-up: Saturation</v>
      </c>
      <c r="B224" t="s">
        <v>210</v>
      </c>
      <c r="C224" t="s">
        <v>364</v>
      </c>
      <c r="D224" t="s">
        <v>47</v>
      </c>
      <c r="E224" t="str">
        <f t="shared" si="81"/>
        <v>Blantyre District [mxqa3CDFmIT]|15-24|Male</v>
      </c>
      <c r="F224" s="90">
        <f>IF(LEFT($B224,4)="_Mil","",INDEX(Cascade!$AA:$AA,MATCH($E224,Cascade!$E:$E,0)))</f>
        <v>1085</v>
      </c>
      <c r="G224" s="14">
        <f>INDEX(Cascade!$BH:$BH,MATCH($E224,Cascade!$E:$E,0))</f>
        <v>0</v>
      </c>
      <c r="H224" s="14" t="str">
        <f>IF(OR($C224="01-09",$D224="Male"),"",INDEX(PMTCT!$AC:$AC,MATCH($E224,PMTCT!$E:$E,0)))</f>
        <v/>
      </c>
      <c r="I224" s="14" t="str">
        <f>IF(OR($C224="01-09",$D224="Male"),"",INDEX(PMTCT!$AS:$AS,MATCH($E224,PMTCT!$E:$E,0)))</f>
        <v/>
      </c>
      <c r="J224" s="14" t="str">
        <f>INDEX(TB!$P:$P,MATCH($E224,TB!$E:$E,0))</f>
        <v/>
      </c>
      <c r="K224" s="14" t="str">
        <f>IF(OR($C224="01-09",$C224="10-14",$D224="Female"),"",INDEX(VMMC!$AA:$AA,MATCH($E224,VMMC!$E:$E,0)))</f>
        <v/>
      </c>
      <c r="L224" s="14">
        <f t="shared" si="82"/>
        <v>0</v>
      </c>
      <c r="M224" s="90" t="str">
        <f t="shared" si="83"/>
        <v/>
      </c>
      <c r="N224" s="90" t="str">
        <f t="shared" si="84"/>
        <v/>
      </c>
      <c r="O224" s="90" t="str">
        <f t="shared" si="85"/>
        <v/>
      </c>
      <c r="P224" s="90" t="str">
        <f t="shared" si="86"/>
        <v/>
      </c>
      <c r="Q224" s="90"/>
      <c r="R224" s="90"/>
      <c r="S224" s="90"/>
      <c r="T224" s="90"/>
      <c r="U224" s="90"/>
      <c r="V224" s="90" t="str">
        <f t="shared" si="87"/>
        <v/>
      </c>
      <c r="W224" s="90"/>
      <c r="X224" s="42" t="str">
        <f t="shared" si="88"/>
        <v/>
      </c>
      <c r="Y224" s="42" t="str">
        <f t="shared" si="89"/>
        <v/>
      </c>
      <c r="Z224" s="90"/>
      <c r="AA224" s="42" t="str">
        <f t="shared" si="90"/>
        <v/>
      </c>
      <c r="AB224" s="42" t="str">
        <f t="shared" si="91"/>
        <v/>
      </c>
      <c r="AC224" s="90"/>
      <c r="AD224" s="42" t="str">
        <f t="shared" si="92"/>
        <v/>
      </c>
      <c r="AE224" s="42" t="str">
        <f t="shared" si="93"/>
        <v/>
      </c>
      <c r="AF224" s="90"/>
      <c r="AG224" s="42" t="str">
        <f t="shared" si="94"/>
        <v/>
      </c>
      <c r="AH224" s="42" t="str">
        <f t="shared" si="95"/>
        <v/>
      </c>
      <c r="AI224" s="90"/>
      <c r="AJ224" s="42" t="str">
        <f t="shared" si="96"/>
        <v/>
      </c>
      <c r="AK224" s="42" t="str">
        <f t="shared" si="97"/>
        <v/>
      </c>
      <c r="AL224" s="14" t="str">
        <f t="shared" si="98"/>
        <v/>
      </c>
      <c r="AM224" s="14" t="str">
        <f t="shared" si="99"/>
        <v/>
      </c>
      <c r="AN224" s="14" t="str">
        <f t="shared" si="100"/>
        <v/>
      </c>
      <c r="AO224" s="14" t="str">
        <f>IF(OR($C224="01-09",$D224="Male"),"",INDEX(PMTCT!$AD:$AD,MATCH($E224,PMTCT!$E:$E,0)))</f>
        <v/>
      </c>
      <c r="AP224" s="14" t="str">
        <f>IF(OR($C224="01-09",$D224="Male"),"",INDEX(PMTCT!$AT:$AT,MATCH($E224,PMTCT!$E:$E,0)))</f>
        <v/>
      </c>
      <c r="AQ224" s="14" t="str">
        <f>INDEX(TB!$Q:$Q,MATCH($E224,TB!$E:$E,0))</f>
        <v/>
      </c>
      <c r="AR224" s="14" t="str">
        <f>IF(OR($C224="01-09",$C224="10-14",$D224="Female"),"",INDEX(VMMC!$AB:$AB,MATCH($E224,VMMC!$E:$E,0)))</f>
        <v/>
      </c>
      <c r="AS224" s="14" t="str">
        <f>IF(OR($C224="01-09",$C224="10-14"),"",INDEX(PrEP!$Q:$Q,MATCH($E224,PrEP!$E:$E,0)))</f>
        <v/>
      </c>
      <c r="AT224" s="14" t="str">
        <f t="shared" si="101"/>
        <v/>
      </c>
      <c r="AU224" s="14" t="str">
        <f t="shared" si="102"/>
        <v/>
      </c>
      <c r="AV224" s="90" t="str">
        <f t="shared" si="103"/>
        <v/>
      </c>
      <c r="AW224" s="14"/>
      <c r="AX224" s="90" t="str">
        <f t="shared" si="104"/>
        <v/>
      </c>
      <c r="AY224" s="42" t="str">
        <f t="shared" si="105"/>
        <v/>
      </c>
      <c r="AZ224" s="90">
        <f t="shared" si="106"/>
        <v>1</v>
      </c>
      <c r="BA224" s="42" t="str">
        <f t="shared" si="107"/>
        <v/>
      </c>
    </row>
    <row r="225" spans="1:53" x14ac:dyDescent="0.2">
      <c r="A225" t="str">
        <f>INDEX(Prioritization!$D:$D,MATCH($B225,Prioritization!$A:$A,0))</f>
        <v>1 - Scale-up: Saturation</v>
      </c>
      <c r="B225" t="s">
        <v>210</v>
      </c>
      <c r="C225" t="s">
        <v>365</v>
      </c>
      <c r="D225" t="s">
        <v>29</v>
      </c>
      <c r="E225" t="str">
        <f t="shared" si="81"/>
        <v>Blantyre District [mxqa3CDFmIT]|25-34|Female</v>
      </c>
      <c r="F225" s="90">
        <f>IF(LEFT($B225,4)="_Mil","",INDEX(Cascade!$AA:$AA,MATCH($E225,Cascade!$E:$E,0)))</f>
        <v>553</v>
      </c>
      <c r="G225" s="14">
        <f>INDEX(Cascade!$BH:$BH,MATCH($E225,Cascade!$E:$E,0))</f>
        <v>0</v>
      </c>
      <c r="H225" s="14" t="str">
        <f>IF(OR($C225="01-09",$D225="Male"),"",INDEX(PMTCT!$AC:$AC,MATCH($E225,PMTCT!$E:$E,0)))</f>
        <v/>
      </c>
      <c r="I225" s="14" t="str">
        <f>IF(OR($C225="01-09",$D225="Male"),"",INDEX(PMTCT!$AS:$AS,MATCH($E225,PMTCT!$E:$E,0)))</f>
        <v/>
      </c>
      <c r="J225" s="14" t="str">
        <f>INDEX(TB!$P:$P,MATCH($E225,TB!$E:$E,0))</f>
        <v/>
      </c>
      <c r="K225" s="14" t="str">
        <f>IF(OR($C225="01-09",$C225="10-14",$D225="Female"),"",INDEX(VMMC!$AA:$AA,MATCH($E225,VMMC!$E:$E,0)))</f>
        <v/>
      </c>
      <c r="L225" s="14">
        <f t="shared" si="82"/>
        <v>0</v>
      </c>
      <c r="M225" s="90" t="str">
        <f t="shared" si="83"/>
        <v/>
      </c>
      <c r="N225" s="90" t="str">
        <f t="shared" si="84"/>
        <v/>
      </c>
      <c r="O225" s="90" t="str">
        <f t="shared" si="85"/>
        <v/>
      </c>
      <c r="P225" s="90" t="str">
        <f t="shared" si="86"/>
        <v/>
      </c>
      <c r="Q225" s="90"/>
      <c r="R225" s="90"/>
      <c r="S225" s="90"/>
      <c r="T225" s="90"/>
      <c r="U225" s="90"/>
      <c r="V225" s="90" t="str">
        <f t="shared" si="87"/>
        <v/>
      </c>
      <c r="W225" s="90"/>
      <c r="X225" s="42" t="str">
        <f t="shared" si="88"/>
        <v/>
      </c>
      <c r="Y225" s="42" t="str">
        <f t="shared" si="89"/>
        <v/>
      </c>
      <c r="Z225" s="90"/>
      <c r="AA225" s="42" t="str">
        <f t="shared" si="90"/>
        <v/>
      </c>
      <c r="AB225" s="42" t="str">
        <f t="shared" si="91"/>
        <v/>
      </c>
      <c r="AC225" s="90"/>
      <c r="AD225" s="42" t="str">
        <f t="shared" si="92"/>
        <v/>
      </c>
      <c r="AE225" s="42" t="str">
        <f t="shared" si="93"/>
        <v/>
      </c>
      <c r="AF225" s="90"/>
      <c r="AG225" s="42" t="str">
        <f t="shared" si="94"/>
        <v/>
      </c>
      <c r="AH225" s="42" t="str">
        <f t="shared" si="95"/>
        <v/>
      </c>
      <c r="AI225" s="90"/>
      <c r="AJ225" s="42" t="str">
        <f t="shared" si="96"/>
        <v/>
      </c>
      <c r="AK225" s="42" t="str">
        <f t="shared" si="97"/>
        <v/>
      </c>
      <c r="AL225" s="14" t="str">
        <f t="shared" si="98"/>
        <v/>
      </c>
      <c r="AM225" s="14" t="str">
        <f t="shared" si="99"/>
        <v/>
      </c>
      <c r="AN225" s="14" t="str">
        <f t="shared" si="100"/>
        <v/>
      </c>
      <c r="AO225" s="14" t="str">
        <f>IF(OR($C225="01-09",$D225="Male"),"",INDEX(PMTCT!$AD:$AD,MATCH($E225,PMTCT!$E:$E,0)))</f>
        <v/>
      </c>
      <c r="AP225" s="14" t="str">
        <f>IF(OR($C225="01-09",$D225="Male"),"",INDEX(PMTCT!$AT:$AT,MATCH($E225,PMTCT!$E:$E,0)))</f>
        <v/>
      </c>
      <c r="AQ225" s="14" t="str">
        <f>INDEX(TB!$Q:$Q,MATCH($E225,TB!$E:$E,0))</f>
        <v/>
      </c>
      <c r="AR225" s="14" t="str">
        <f>IF(OR($C225="01-09",$C225="10-14",$D225="Female"),"",INDEX(VMMC!$AB:$AB,MATCH($E225,VMMC!$E:$E,0)))</f>
        <v/>
      </c>
      <c r="AS225" s="14" t="str">
        <f>IF(OR($C225="01-09",$C225="10-14"),"",INDEX(PrEP!$Q:$Q,MATCH($E225,PrEP!$E:$E,0)))</f>
        <v/>
      </c>
      <c r="AT225" s="14" t="str">
        <f t="shared" si="101"/>
        <v/>
      </c>
      <c r="AU225" s="14" t="str">
        <f t="shared" si="102"/>
        <v/>
      </c>
      <c r="AV225" s="90" t="str">
        <f t="shared" si="103"/>
        <v/>
      </c>
      <c r="AW225" s="14"/>
      <c r="AX225" s="90" t="str">
        <f t="shared" si="104"/>
        <v/>
      </c>
      <c r="AY225" s="42" t="str">
        <f t="shared" si="105"/>
        <v/>
      </c>
      <c r="AZ225" s="90">
        <f t="shared" si="106"/>
        <v>1</v>
      </c>
      <c r="BA225" s="42" t="str">
        <f t="shared" si="107"/>
        <v/>
      </c>
    </row>
    <row r="226" spans="1:53" x14ac:dyDescent="0.2">
      <c r="A226" t="str">
        <f>INDEX(Prioritization!$D:$D,MATCH($B226,Prioritization!$A:$A,0))</f>
        <v>1 - Scale-up: Saturation</v>
      </c>
      <c r="B226" t="s">
        <v>210</v>
      </c>
      <c r="C226" t="s">
        <v>365</v>
      </c>
      <c r="D226" t="s">
        <v>47</v>
      </c>
      <c r="E226" t="str">
        <f t="shared" si="81"/>
        <v>Blantyre District [mxqa3CDFmIT]|25-34|Male</v>
      </c>
      <c r="F226" s="90">
        <f>IF(LEFT($B226,4)="_Mil","",INDEX(Cascade!$AA:$AA,MATCH($E226,Cascade!$E:$E,0)))</f>
        <v>1673.0000000000002</v>
      </c>
      <c r="G226" s="14">
        <f>INDEX(Cascade!$BH:$BH,MATCH($E226,Cascade!$E:$E,0))</f>
        <v>0</v>
      </c>
      <c r="H226" s="14" t="str">
        <f>IF(OR($C226="01-09",$D226="Male"),"",INDEX(PMTCT!$AC:$AC,MATCH($E226,PMTCT!$E:$E,0)))</f>
        <v/>
      </c>
      <c r="I226" s="14" t="str">
        <f>IF(OR($C226="01-09",$D226="Male"),"",INDEX(PMTCT!$AS:$AS,MATCH($E226,PMTCT!$E:$E,0)))</f>
        <v/>
      </c>
      <c r="J226" s="14" t="str">
        <f>INDEX(TB!$P:$P,MATCH($E226,TB!$E:$E,0))</f>
        <v/>
      </c>
      <c r="K226" s="14" t="str">
        <f>IF(OR($C226="01-09",$C226="10-14",$D226="Female"),"",INDEX(VMMC!$AA:$AA,MATCH($E226,VMMC!$E:$E,0)))</f>
        <v/>
      </c>
      <c r="L226" s="14">
        <f t="shared" si="82"/>
        <v>0</v>
      </c>
      <c r="M226" s="90" t="str">
        <f t="shared" si="83"/>
        <v/>
      </c>
      <c r="N226" s="90" t="str">
        <f t="shared" si="84"/>
        <v/>
      </c>
      <c r="O226" s="90" t="str">
        <f t="shared" si="85"/>
        <v/>
      </c>
      <c r="P226" s="90" t="str">
        <f t="shared" si="86"/>
        <v/>
      </c>
      <c r="Q226" s="90"/>
      <c r="R226" s="90"/>
      <c r="S226" s="90"/>
      <c r="T226" s="90"/>
      <c r="U226" s="90"/>
      <c r="V226" s="90" t="str">
        <f t="shared" si="87"/>
        <v/>
      </c>
      <c r="W226" s="90"/>
      <c r="X226" s="42" t="str">
        <f t="shared" si="88"/>
        <v/>
      </c>
      <c r="Y226" s="42" t="str">
        <f t="shared" si="89"/>
        <v/>
      </c>
      <c r="Z226" s="90"/>
      <c r="AA226" s="42" t="str">
        <f t="shared" si="90"/>
        <v/>
      </c>
      <c r="AB226" s="42" t="str">
        <f t="shared" si="91"/>
        <v/>
      </c>
      <c r="AC226" s="90"/>
      <c r="AD226" s="42" t="str">
        <f t="shared" si="92"/>
        <v/>
      </c>
      <c r="AE226" s="42" t="str">
        <f t="shared" si="93"/>
        <v/>
      </c>
      <c r="AF226" s="90"/>
      <c r="AG226" s="42" t="str">
        <f t="shared" si="94"/>
        <v/>
      </c>
      <c r="AH226" s="42" t="str">
        <f t="shared" si="95"/>
        <v/>
      </c>
      <c r="AI226" s="90"/>
      <c r="AJ226" s="42" t="str">
        <f t="shared" si="96"/>
        <v/>
      </c>
      <c r="AK226" s="42" t="str">
        <f t="shared" si="97"/>
        <v/>
      </c>
      <c r="AL226" s="14" t="str">
        <f t="shared" si="98"/>
        <v/>
      </c>
      <c r="AM226" s="14" t="str">
        <f t="shared" si="99"/>
        <v/>
      </c>
      <c r="AN226" s="14" t="str">
        <f t="shared" si="100"/>
        <v/>
      </c>
      <c r="AO226" s="14" t="str">
        <f>IF(OR($C226="01-09",$D226="Male"),"",INDEX(PMTCT!$AD:$AD,MATCH($E226,PMTCT!$E:$E,0)))</f>
        <v/>
      </c>
      <c r="AP226" s="14" t="str">
        <f>IF(OR($C226="01-09",$D226="Male"),"",INDEX(PMTCT!$AT:$AT,MATCH($E226,PMTCT!$E:$E,0)))</f>
        <v/>
      </c>
      <c r="AQ226" s="14" t="str">
        <f>INDEX(TB!$Q:$Q,MATCH($E226,TB!$E:$E,0))</f>
        <v/>
      </c>
      <c r="AR226" s="14" t="str">
        <f>IF(OR($C226="01-09",$C226="10-14",$D226="Female"),"",INDEX(VMMC!$AB:$AB,MATCH($E226,VMMC!$E:$E,0)))</f>
        <v/>
      </c>
      <c r="AS226" s="14" t="str">
        <f>IF(OR($C226="01-09",$C226="10-14"),"",INDEX(PrEP!$Q:$Q,MATCH($E226,PrEP!$E:$E,0)))</f>
        <v/>
      </c>
      <c r="AT226" s="14" t="str">
        <f t="shared" si="101"/>
        <v/>
      </c>
      <c r="AU226" s="14" t="str">
        <f t="shared" si="102"/>
        <v/>
      </c>
      <c r="AV226" s="90" t="str">
        <f t="shared" si="103"/>
        <v/>
      </c>
      <c r="AW226" s="14"/>
      <c r="AX226" s="90" t="str">
        <f t="shared" si="104"/>
        <v/>
      </c>
      <c r="AY226" s="42" t="str">
        <f t="shared" si="105"/>
        <v/>
      </c>
      <c r="AZ226" s="90">
        <f t="shared" si="106"/>
        <v>1</v>
      </c>
      <c r="BA226" s="42" t="str">
        <f t="shared" si="107"/>
        <v/>
      </c>
    </row>
    <row r="227" spans="1:53" x14ac:dyDescent="0.2">
      <c r="A227" t="str">
        <f>INDEX(Prioritization!$D:$D,MATCH($B227,Prioritization!$A:$A,0))</f>
        <v>1 - Scale-up: Saturation</v>
      </c>
      <c r="B227" t="s">
        <v>210</v>
      </c>
      <c r="C227" t="s">
        <v>366</v>
      </c>
      <c r="D227" t="s">
        <v>29</v>
      </c>
      <c r="E227" t="str">
        <f t="shared" si="81"/>
        <v>Blantyre District [mxqa3CDFmIT]|35-49|Female</v>
      </c>
      <c r="F227" s="90">
        <f>IF(LEFT($B227,4)="_Mil","",INDEX(Cascade!$AA:$AA,MATCH($E227,Cascade!$E:$E,0)))</f>
        <v>1227</v>
      </c>
      <c r="G227" s="14">
        <f>INDEX(Cascade!$BH:$BH,MATCH($E227,Cascade!$E:$E,0))</f>
        <v>0</v>
      </c>
      <c r="H227" s="14" t="str">
        <f>IF(OR($C227="01-09",$D227="Male"),"",INDEX(PMTCT!$AC:$AC,MATCH($E227,PMTCT!$E:$E,0)))</f>
        <v/>
      </c>
      <c r="I227" s="14" t="str">
        <f>IF(OR($C227="01-09",$D227="Male"),"",INDEX(PMTCT!$AS:$AS,MATCH($E227,PMTCT!$E:$E,0)))</f>
        <v/>
      </c>
      <c r="J227" s="14" t="str">
        <f>INDEX(TB!$P:$P,MATCH($E227,TB!$E:$E,0))</f>
        <v/>
      </c>
      <c r="K227" s="14" t="str">
        <f>IF(OR($C227="01-09",$C227="10-14",$D227="Female"),"",INDEX(VMMC!$AA:$AA,MATCH($E227,VMMC!$E:$E,0)))</f>
        <v/>
      </c>
      <c r="L227" s="14">
        <f t="shared" si="82"/>
        <v>0</v>
      </c>
      <c r="M227" s="90" t="str">
        <f t="shared" si="83"/>
        <v/>
      </c>
      <c r="N227" s="90" t="str">
        <f t="shared" si="84"/>
        <v/>
      </c>
      <c r="O227" s="90" t="str">
        <f t="shared" si="85"/>
        <v/>
      </c>
      <c r="P227" s="90" t="str">
        <f t="shared" si="86"/>
        <v/>
      </c>
      <c r="Q227" s="90"/>
      <c r="R227" s="90"/>
      <c r="S227" s="90"/>
      <c r="T227" s="90"/>
      <c r="U227" s="90"/>
      <c r="V227" s="90" t="str">
        <f t="shared" si="87"/>
        <v/>
      </c>
      <c r="W227" s="90"/>
      <c r="X227" s="42" t="str">
        <f t="shared" si="88"/>
        <v/>
      </c>
      <c r="Y227" s="42" t="str">
        <f t="shared" si="89"/>
        <v/>
      </c>
      <c r="Z227" s="90"/>
      <c r="AA227" s="42" t="str">
        <f t="shared" si="90"/>
        <v/>
      </c>
      <c r="AB227" s="42" t="str">
        <f t="shared" si="91"/>
        <v/>
      </c>
      <c r="AC227" s="90"/>
      <c r="AD227" s="42" t="str">
        <f t="shared" si="92"/>
        <v/>
      </c>
      <c r="AE227" s="42" t="str">
        <f t="shared" si="93"/>
        <v/>
      </c>
      <c r="AF227" s="90"/>
      <c r="AG227" s="42" t="str">
        <f t="shared" si="94"/>
        <v/>
      </c>
      <c r="AH227" s="42" t="str">
        <f t="shared" si="95"/>
        <v/>
      </c>
      <c r="AI227" s="90"/>
      <c r="AJ227" s="42" t="str">
        <f t="shared" si="96"/>
        <v/>
      </c>
      <c r="AK227" s="42" t="str">
        <f t="shared" si="97"/>
        <v/>
      </c>
      <c r="AL227" s="14" t="str">
        <f t="shared" si="98"/>
        <v/>
      </c>
      <c r="AM227" s="14" t="str">
        <f t="shared" si="99"/>
        <v/>
      </c>
      <c r="AN227" s="14" t="str">
        <f t="shared" si="100"/>
        <v/>
      </c>
      <c r="AO227" s="14" t="str">
        <f>IF(OR($C227="01-09",$D227="Male"),"",INDEX(PMTCT!$AD:$AD,MATCH($E227,PMTCT!$E:$E,0)))</f>
        <v/>
      </c>
      <c r="AP227" s="14" t="str">
        <f>IF(OR($C227="01-09",$D227="Male"),"",INDEX(PMTCT!$AT:$AT,MATCH($E227,PMTCT!$E:$E,0)))</f>
        <v/>
      </c>
      <c r="AQ227" s="14" t="str">
        <f>INDEX(TB!$Q:$Q,MATCH($E227,TB!$E:$E,0))</f>
        <v/>
      </c>
      <c r="AR227" s="14" t="str">
        <f>IF(OR($C227="01-09",$C227="10-14",$D227="Female"),"",INDEX(VMMC!$AB:$AB,MATCH($E227,VMMC!$E:$E,0)))</f>
        <v/>
      </c>
      <c r="AS227" s="14" t="str">
        <f>IF(OR($C227="01-09",$C227="10-14"),"",INDEX(PrEP!$Q:$Q,MATCH($E227,PrEP!$E:$E,0)))</f>
        <v/>
      </c>
      <c r="AT227" s="14" t="str">
        <f t="shared" si="101"/>
        <v/>
      </c>
      <c r="AU227" s="14" t="str">
        <f t="shared" si="102"/>
        <v/>
      </c>
      <c r="AV227" s="90" t="str">
        <f t="shared" si="103"/>
        <v/>
      </c>
      <c r="AW227" s="14"/>
      <c r="AX227" s="90" t="str">
        <f t="shared" si="104"/>
        <v/>
      </c>
      <c r="AY227" s="42" t="str">
        <f t="shared" si="105"/>
        <v/>
      </c>
      <c r="AZ227" s="90">
        <f t="shared" si="106"/>
        <v>1</v>
      </c>
      <c r="BA227" s="42" t="str">
        <f t="shared" si="107"/>
        <v/>
      </c>
    </row>
    <row r="228" spans="1:53" x14ac:dyDescent="0.2">
      <c r="A228" t="str">
        <f>INDEX(Prioritization!$D:$D,MATCH($B228,Prioritization!$A:$A,0))</f>
        <v>1 - Scale-up: Saturation</v>
      </c>
      <c r="B228" t="s">
        <v>210</v>
      </c>
      <c r="C228" t="s">
        <v>366</v>
      </c>
      <c r="D228" t="s">
        <v>47</v>
      </c>
      <c r="E228" t="str">
        <f t="shared" si="81"/>
        <v>Blantyre District [mxqa3CDFmIT]|35-49|Male</v>
      </c>
      <c r="F228" s="90">
        <f>IF(LEFT($B228,4)="_Mil","",INDEX(Cascade!$AA:$AA,MATCH($E228,Cascade!$E:$E,0)))</f>
        <v>1340</v>
      </c>
      <c r="G228" s="14">
        <f>INDEX(Cascade!$BH:$BH,MATCH($E228,Cascade!$E:$E,0))</f>
        <v>0</v>
      </c>
      <c r="H228" s="14" t="str">
        <f>IF(OR($C228="01-09",$D228="Male"),"",INDEX(PMTCT!$AC:$AC,MATCH($E228,PMTCT!$E:$E,0)))</f>
        <v/>
      </c>
      <c r="I228" s="14" t="str">
        <f>IF(OR($C228="01-09",$D228="Male"),"",INDEX(PMTCT!$AS:$AS,MATCH($E228,PMTCT!$E:$E,0)))</f>
        <v/>
      </c>
      <c r="J228" s="14" t="str">
        <f>INDEX(TB!$P:$P,MATCH($E228,TB!$E:$E,0))</f>
        <v/>
      </c>
      <c r="K228" s="14" t="str">
        <f>IF(OR($C228="01-09",$C228="10-14",$D228="Female"),"",INDEX(VMMC!$AA:$AA,MATCH($E228,VMMC!$E:$E,0)))</f>
        <v/>
      </c>
      <c r="L228" s="14">
        <f t="shared" si="82"/>
        <v>0</v>
      </c>
      <c r="M228" s="90" t="str">
        <f t="shared" si="83"/>
        <v/>
      </c>
      <c r="N228" s="90" t="str">
        <f t="shared" si="84"/>
        <v/>
      </c>
      <c r="O228" s="90" t="str">
        <f t="shared" si="85"/>
        <v/>
      </c>
      <c r="P228" s="90" t="str">
        <f t="shared" si="86"/>
        <v/>
      </c>
      <c r="Q228" s="90"/>
      <c r="R228" s="90"/>
      <c r="S228" s="90"/>
      <c r="T228" s="90"/>
      <c r="U228" s="90"/>
      <c r="V228" s="90" t="str">
        <f t="shared" si="87"/>
        <v/>
      </c>
      <c r="W228" s="90"/>
      <c r="X228" s="42" t="str">
        <f t="shared" si="88"/>
        <v/>
      </c>
      <c r="Y228" s="42" t="str">
        <f t="shared" si="89"/>
        <v/>
      </c>
      <c r="Z228" s="90"/>
      <c r="AA228" s="42" t="str">
        <f t="shared" si="90"/>
        <v/>
      </c>
      <c r="AB228" s="42" t="str">
        <f t="shared" si="91"/>
        <v/>
      </c>
      <c r="AC228" s="90"/>
      <c r="AD228" s="42" t="str">
        <f t="shared" si="92"/>
        <v/>
      </c>
      <c r="AE228" s="42" t="str">
        <f t="shared" si="93"/>
        <v/>
      </c>
      <c r="AF228" s="90"/>
      <c r="AG228" s="42" t="str">
        <f t="shared" si="94"/>
        <v/>
      </c>
      <c r="AH228" s="42" t="str">
        <f t="shared" si="95"/>
        <v/>
      </c>
      <c r="AI228" s="90"/>
      <c r="AJ228" s="42" t="str">
        <f t="shared" si="96"/>
        <v/>
      </c>
      <c r="AK228" s="42" t="str">
        <f t="shared" si="97"/>
        <v/>
      </c>
      <c r="AL228" s="14" t="str">
        <f t="shared" si="98"/>
        <v/>
      </c>
      <c r="AM228" s="14" t="str">
        <f t="shared" si="99"/>
        <v/>
      </c>
      <c r="AN228" s="14" t="str">
        <f t="shared" si="100"/>
        <v/>
      </c>
      <c r="AO228" s="14" t="str">
        <f>IF(OR($C228="01-09",$D228="Male"),"",INDEX(PMTCT!$AD:$AD,MATCH($E228,PMTCT!$E:$E,0)))</f>
        <v/>
      </c>
      <c r="AP228" s="14" t="str">
        <f>IF(OR($C228="01-09",$D228="Male"),"",INDEX(PMTCT!$AT:$AT,MATCH($E228,PMTCT!$E:$E,0)))</f>
        <v/>
      </c>
      <c r="AQ228" s="14" t="str">
        <f>INDEX(TB!$Q:$Q,MATCH($E228,TB!$E:$E,0))</f>
        <v/>
      </c>
      <c r="AR228" s="14" t="str">
        <f>IF(OR($C228="01-09",$C228="10-14",$D228="Female"),"",INDEX(VMMC!$AB:$AB,MATCH($E228,VMMC!$E:$E,0)))</f>
        <v/>
      </c>
      <c r="AS228" s="14" t="str">
        <f>IF(OR($C228="01-09",$C228="10-14"),"",INDEX(PrEP!$Q:$Q,MATCH($E228,PrEP!$E:$E,0)))</f>
        <v/>
      </c>
      <c r="AT228" s="14" t="str">
        <f t="shared" si="101"/>
        <v/>
      </c>
      <c r="AU228" s="14" t="str">
        <f t="shared" si="102"/>
        <v/>
      </c>
      <c r="AV228" s="90" t="str">
        <f t="shared" si="103"/>
        <v/>
      </c>
      <c r="AW228" s="14"/>
      <c r="AX228" s="90" t="str">
        <f t="shared" si="104"/>
        <v/>
      </c>
      <c r="AY228" s="42" t="str">
        <f t="shared" si="105"/>
        <v/>
      </c>
      <c r="AZ228" s="90">
        <f t="shared" si="106"/>
        <v>1</v>
      </c>
      <c r="BA228" s="42" t="str">
        <f t="shared" si="107"/>
        <v/>
      </c>
    </row>
    <row r="229" spans="1:53" x14ac:dyDescent="0.2">
      <c r="A229" t="str">
        <f>INDEX(Prioritization!$D:$D,MATCH($B229,Prioritization!$A:$A,0))</f>
        <v>1 - Scale-up: Saturation</v>
      </c>
      <c r="B229" t="s">
        <v>210</v>
      </c>
      <c r="C229" t="s">
        <v>367</v>
      </c>
      <c r="D229" t="s">
        <v>29</v>
      </c>
      <c r="E229" t="str">
        <f t="shared" si="81"/>
        <v>Blantyre District [mxqa3CDFmIT]|50+|Female</v>
      </c>
      <c r="F229" s="90">
        <f>IF(LEFT($B229,4)="_Mil","",INDEX(Cascade!$AA:$AA,MATCH($E229,Cascade!$E:$E,0)))</f>
        <v>673</v>
      </c>
      <c r="G229" s="14">
        <f>INDEX(Cascade!$BH:$BH,MATCH($E229,Cascade!$E:$E,0))</f>
        <v>0</v>
      </c>
      <c r="H229" s="14" t="str">
        <f>IF(OR($C229="01-09",$D229="Male"),"",INDEX(PMTCT!$AC:$AC,MATCH($E229,PMTCT!$E:$E,0)))</f>
        <v/>
      </c>
      <c r="I229" s="14" t="str">
        <f>IF(OR($C229="01-09",$D229="Male"),"",INDEX(PMTCT!$AS:$AS,MATCH($E229,PMTCT!$E:$E,0)))</f>
        <v/>
      </c>
      <c r="J229" s="14" t="str">
        <f>INDEX(TB!$P:$P,MATCH($E229,TB!$E:$E,0))</f>
        <v/>
      </c>
      <c r="K229" s="14" t="str">
        <f>IF(OR($C229="01-09",$C229="10-14",$D229="Female"),"",INDEX(VMMC!$AA:$AA,MATCH($E229,VMMC!$E:$E,0)))</f>
        <v/>
      </c>
      <c r="L229" s="14">
        <f t="shared" si="82"/>
        <v>0</v>
      </c>
      <c r="M229" s="90" t="str">
        <f t="shared" si="83"/>
        <v/>
      </c>
      <c r="N229" s="90" t="str">
        <f t="shared" si="84"/>
        <v/>
      </c>
      <c r="O229" s="90" t="str">
        <f t="shared" si="85"/>
        <v/>
      </c>
      <c r="P229" s="90" t="str">
        <f t="shared" si="86"/>
        <v/>
      </c>
      <c r="Q229" s="90"/>
      <c r="R229" s="90"/>
      <c r="S229" s="90"/>
      <c r="T229" s="90"/>
      <c r="U229" s="90">
        <v>0.87070633657276597</v>
      </c>
      <c r="V229" s="90" t="str">
        <f t="shared" si="87"/>
        <v/>
      </c>
      <c r="W229" s="90"/>
      <c r="X229" s="42" t="str">
        <f t="shared" si="88"/>
        <v/>
      </c>
      <c r="Y229" s="42" t="str">
        <f t="shared" si="89"/>
        <v/>
      </c>
      <c r="Z229" s="90"/>
      <c r="AA229" s="42" t="str">
        <f t="shared" si="90"/>
        <v/>
      </c>
      <c r="AB229" s="42" t="str">
        <f t="shared" si="91"/>
        <v/>
      </c>
      <c r="AC229" s="90"/>
      <c r="AD229" s="42" t="str">
        <f t="shared" si="92"/>
        <v/>
      </c>
      <c r="AE229" s="42" t="str">
        <f t="shared" si="93"/>
        <v/>
      </c>
      <c r="AF229" s="90"/>
      <c r="AG229" s="42" t="str">
        <f t="shared" si="94"/>
        <v/>
      </c>
      <c r="AH229" s="42" t="str">
        <f t="shared" si="95"/>
        <v/>
      </c>
      <c r="AI229" s="90">
        <v>0.93813126534223601</v>
      </c>
      <c r="AJ229" s="42" t="str">
        <f t="shared" si="96"/>
        <v/>
      </c>
      <c r="AK229" s="42" t="str">
        <f t="shared" si="97"/>
        <v/>
      </c>
      <c r="AL229" s="14" t="str">
        <f t="shared" si="98"/>
        <v/>
      </c>
      <c r="AM229" s="14" t="str">
        <f t="shared" si="99"/>
        <v/>
      </c>
      <c r="AN229" s="14" t="str">
        <f t="shared" si="100"/>
        <v/>
      </c>
      <c r="AO229" s="14" t="str">
        <f>IF(OR($C229="01-09",$D229="Male"),"",INDEX(PMTCT!$AD:$AD,MATCH($E229,PMTCT!$E:$E,0)))</f>
        <v/>
      </c>
      <c r="AP229" s="14" t="str">
        <f>IF(OR($C229="01-09",$D229="Male"),"",INDEX(PMTCT!$AT:$AT,MATCH($E229,PMTCT!$E:$E,0)))</f>
        <v/>
      </c>
      <c r="AQ229" s="14" t="str">
        <f>INDEX(TB!$Q:$Q,MATCH($E229,TB!$E:$E,0))</f>
        <v/>
      </c>
      <c r="AR229" s="14" t="str">
        <f>IF(OR($C229="01-09",$C229="10-14",$D229="Female"),"",INDEX(VMMC!$AB:$AB,MATCH($E229,VMMC!$E:$E,0)))</f>
        <v/>
      </c>
      <c r="AS229" s="14" t="str">
        <f>IF(OR($C229="01-09",$C229="10-14"),"",INDEX(PrEP!$Q:$Q,MATCH($E229,PrEP!$E:$E,0)))</f>
        <v/>
      </c>
      <c r="AT229" s="14" t="str">
        <f t="shared" si="101"/>
        <v/>
      </c>
      <c r="AU229" s="14" t="str">
        <f t="shared" si="102"/>
        <v/>
      </c>
      <c r="AV229" s="90" t="str">
        <f t="shared" si="103"/>
        <v/>
      </c>
      <c r="AW229" s="14">
        <v>945</v>
      </c>
      <c r="AX229" s="90">
        <f t="shared" si="104"/>
        <v>0</v>
      </c>
      <c r="AY229" s="42">
        <f t="shared" si="105"/>
        <v>945</v>
      </c>
      <c r="AZ229" s="90">
        <f t="shared" si="106"/>
        <v>1</v>
      </c>
      <c r="BA229" s="42" t="str">
        <f t="shared" si="107"/>
        <v/>
      </c>
    </row>
    <row r="230" spans="1:53" x14ac:dyDescent="0.2">
      <c r="A230" t="str">
        <f>INDEX(Prioritization!$D:$D,MATCH($B230,Prioritization!$A:$A,0))</f>
        <v>1 - Scale-up: Saturation</v>
      </c>
      <c r="B230" t="s">
        <v>210</v>
      </c>
      <c r="C230" t="s">
        <v>367</v>
      </c>
      <c r="D230" t="s">
        <v>47</v>
      </c>
      <c r="E230" t="str">
        <f t="shared" si="81"/>
        <v>Blantyre District [mxqa3CDFmIT]|50+|Male</v>
      </c>
      <c r="F230" s="90">
        <f>IF(LEFT($B230,4)="_Mil","",INDEX(Cascade!$AA:$AA,MATCH($E230,Cascade!$E:$E,0)))</f>
        <v>747</v>
      </c>
      <c r="G230" s="14">
        <f>INDEX(Cascade!$BH:$BH,MATCH($E230,Cascade!$E:$E,0))</f>
        <v>0</v>
      </c>
      <c r="H230" s="14" t="str">
        <f>IF(OR($C230="01-09",$D230="Male"),"",INDEX(PMTCT!$AC:$AC,MATCH($E230,PMTCT!$E:$E,0)))</f>
        <v/>
      </c>
      <c r="I230" s="14" t="str">
        <f>IF(OR($C230="01-09",$D230="Male"),"",INDEX(PMTCT!$AS:$AS,MATCH($E230,PMTCT!$E:$E,0)))</f>
        <v/>
      </c>
      <c r="J230" s="14" t="str">
        <f>INDEX(TB!$P:$P,MATCH($E230,TB!$E:$E,0))</f>
        <v/>
      </c>
      <c r="K230" s="14" t="str">
        <f>IF(OR($C230="01-09",$C230="10-14",$D230="Female"),"",INDEX(VMMC!$AA:$AA,MATCH($E230,VMMC!$E:$E,0)))</f>
        <v/>
      </c>
      <c r="L230" s="14">
        <f t="shared" si="82"/>
        <v>0</v>
      </c>
      <c r="M230" s="90" t="str">
        <f t="shared" si="83"/>
        <v/>
      </c>
      <c r="N230" s="90" t="str">
        <f t="shared" si="84"/>
        <v/>
      </c>
      <c r="O230" s="90" t="str">
        <f t="shared" si="85"/>
        <v/>
      </c>
      <c r="P230" s="90" t="str">
        <f t="shared" si="86"/>
        <v/>
      </c>
      <c r="Q230" s="90"/>
      <c r="R230" s="90"/>
      <c r="S230" s="90"/>
      <c r="T230" s="90"/>
      <c r="U230" s="90">
        <v>0.71584197576157704</v>
      </c>
      <c r="V230" s="90" t="str">
        <f t="shared" si="87"/>
        <v/>
      </c>
      <c r="W230" s="90"/>
      <c r="X230" s="42" t="str">
        <f t="shared" si="88"/>
        <v/>
      </c>
      <c r="Y230" s="42" t="str">
        <f t="shared" si="89"/>
        <v/>
      </c>
      <c r="Z230" s="90"/>
      <c r="AA230" s="42" t="str">
        <f t="shared" si="90"/>
        <v/>
      </c>
      <c r="AB230" s="42" t="str">
        <f t="shared" si="91"/>
        <v/>
      </c>
      <c r="AC230" s="90"/>
      <c r="AD230" s="42" t="str">
        <f t="shared" si="92"/>
        <v/>
      </c>
      <c r="AE230" s="42" t="str">
        <f t="shared" si="93"/>
        <v/>
      </c>
      <c r="AF230" s="90"/>
      <c r="AG230" s="42" t="str">
        <f t="shared" si="94"/>
        <v/>
      </c>
      <c r="AH230" s="42" t="str">
        <f t="shared" si="95"/>
        <v/>
      </c>
      <c r="AI230" s="90">
        <v>0.41820784611627498</v>
      </c>
      <c r="AJ230" s="42" t="str">
        <f t="shared" si="96"/>
        <v/>
      </c>
      <c r="AK230" s="42" t="str">
        <f t="shared" si="97"/>
        <v/>
      </c>
      <c r="AL230" s="14" t="str">
        <f t="shared" si="98"/>
        <v/>
      </c>
      <c r="AM230" s="14" t="str">
        <f t="shared" si="99"/>
        <v/>
      </c>
      <c r="AN230" s="14" t="str">
        <f t="shared" si="100"/>
        <v/>
      </c>
      <c r="AO230" s="14" t="str">
        <f>IF(OR($C230="01-09",$D230="Male"),"",INDEX(PMTCT!$AD:$AD,MATCH($E230,PMTCT!$E:$E,0)))</f>
        <v/>
      </c>
      <c r="AP230" s="14" t="str">
        <f>IF(OR($C230="01-09",$D230="Male"),"",INDEX(PMTCT!$AT:$AT,MATCH($E230,PMTCT!$E:$E,0)))</f>
        <v/>
      </c>
      <c r="AQ230" s="14" t="str">
        <f>INDEX(TB!$Q:$Q,MATCH($E230,TB!$E:$E,0))</f>
        <v/>
      </c>
      <c r="AR230" s="14" t="str">
        <f>IF(OR($C230="01-09",$C230="10-14",$D230="Female"),"",INDEX(VMMC!$AB:$AB,MATCH($E230,VMMC!$E:$E,0)))</f>
        <v/>
      </c>
      <c r="AS230" s="14" t="str">
        <f>IF(OR($C230="01-09",$C230="10-14"),"",INDEX(PrEP!$Q:$Q,MATCH($E230,PrEP!$E:$E,0)))</f>
        <v/>
      </c>
      <c r="AT230" s="14" t="str">
        <f t="shared" si="101"/>
        <v/>
      </c>
      <c r="AU230" s="14" t="str">
        <f t="shared" si="102"/>
        <v/>
      </c>
      <c r="AV230" s="90" t="str">
        <f t="shared" si="103"/>
        <v/>
      </c>
      <c r="AW230" s="14">
        <v>513</v>
      </c>
      <c r="AX230" s="90">
        <f t="shared" si="104"/>
        <v>0</v>
      </c>
      <c r="AY230" s="42">
        <f t="shared" si="105"/>
        <v>513</v>
      </c>
      <c r="AZ230" s="90">
        <f t="shared" si="106"/>
        <v>1</v>
      </c>
      <c r="BA230" s="42" t="str">
        <f t="shared" si="107"/>
        <v/>
      </c>
    </row>
    <row r="231" spans="1:53" x14ac:dyDescent="0.2">
      <c r="A231" t="str">
        <f>INDEX(Prioritization!$D:$D,MATCH($B231,Prioritization!$A:$A,0))</f>
        <v>1 - Scale-up: Saturation</v>
      </c>
      <c r="B231" t="s">
        <v>211</v>
      </c>
      <c r="C231" t="s">
        <v>362</v>
      </c>
      <c r="D231" t="s">
        <v>29</v>
      </c>
      <c r="E231" t="str">
        <f t="shared" si="81"/>
        <v>Chikwawa District [U8c0so51kT6]|01-09|Female</v>
      </c>
      <c r="F231" s="90">
        <f>IF(LEFT($B231,4)="_Mil","",INDEX(Cascade!$AA:$AA,MATCH($E231,Cascade!$E:$E,0)))</f>
        <v>1437</v>
      </c>
      <c r="G231" s="14">
        <f>INDEX(Cascade!$BH:$BH,MATCH($E231,Cascade!$E:$E,0))</f>
        <v>0</v>
      </c>
      <c r="H231" s="14" t="str">
        <f>IF(OR($C231="01-09",$D231="Male"),"",INDEX(PMTCT!$AC:$AC,MATCH($E231,PMTCT!$E:$E,0)))</f>
        <v/>
      </c>
      <c r="I231" s="14" t="str">
        <f>IF(OR($C231="01-09",$D231="Male"),"",INDEX(PMTCT!$AS:$AS,MATCH($E231,PMTCT!$E:$E,0)))</f>
        <v/>
      </c>
      <c r="J231" s="14" t="str">
        <f>INDEX(TB!$P:$P,MATCH($E231,TB!$E:$E,0))</f>
        <v/>
      </c>
      <c r="K231" s="14" t="str">
        <f>IF(OR($C231="01-09",$C231="10-14",$D231="Female"),"",INDEX(VMMC!$AA:$AA,MATCH($E231,VMMC!$E:$E,0)))</f>
        <v/>
      </c>
      <c r="L231" s="14">
        <f t="shared" si="82"/>
        <v>0</v>
      </c>
      <c r="M231" s="90" t="str">
        <f t="shared" si="83"/>
        <v/>
      </c>
      <c r="N231" s="90" t="str">
        <f t="shared" si="84"/>
        <v/>
      </c>
      <c r="O231" s="90" t="str">
        <f t="shared" si="85"/>
        <v/>
      </c>
      <c r="P231" s="90" t="str">
        <f t="shared" si="86"/>
        <v/>
      </c>
      <c r="Q231" s="90"/>
      <c r="R231" s="90"/>
      <c r="S231" s="90"/>
      <c r="T231" s="90"/>
      <c r="U231" s="90"/>
      <c r="V231" s="90" t="str">
        <f t="shared" si="87"/>
        <v/>
      </c>
      <c r="W231" s="90"/>
      <c r="X231" s="42" t="str">
        <f t="shared" si="88"/>
        <v/>
      </c>
      <c r="Y231" s="42" t="str">
        <f t="shared" si="89"/>
        <v/>
      </c>
      <c r="Z231" s="90"/>
      <c r="AA231" s="42" t="str">
        <f t="shared" si="90"/>
        <v/>
      </c>
      <c r="AB231" s="42" t="str">
        <f t="shared" si="91"/>
        <v/>
      </c>
      <c r="AC231" s="90"/>
      <c r="AD231" s="42" t="str">
        <f t="shared" si="92"/>
        <v/>
      </c>
      <c r="AE231" s="42" t="str">
        <f t="shared" si="93"/>
        <v/>
      </c>
      <c r="AF231" s="90"/>
      <c r="AG231" s="42" t="str">
        <f t="shared" si="94"/>
        <v/>
      </c>
      <c r="AH231" s="42" t="str">
        <f t="shared" si="95"/>
        <v/>
      </c>
      <c r="AI231" s="90"/>
      <c r="AJ231" s="42" t="str">
        <f t="shared" si="96"/>
        <v/>
      </c>
      <c r="AK231" s="42" t="str">
        <f t="shared" si="97"/>
        <v/>
      </c>
      <c r="AL231" s="14" t="str">
        <f t="shared" si="98"/>
        <v/>
      </c>
      <c r="AM231" s="14" t="str">
        <f t="shared" si="99"/>
        <v/>
      </c>
      <c r="AN231" s="14" t="str">
        <f t="shared" si="100"/>
        <v/>
      </c>
      <c r="AO231" s="14" t="str">
        <f>IF(OR($C231="01-09",$D231="Male"),"",INDEX(PMTCT!$AD:$AD,MATCH($E231,PMTCT!$E:$E,0)))</f>
        <v/>
      </c>
      <c r="AP231" s="14" t="str">
        <f>IF(OR($C231="01-09",$D231="Male"),"",INDEX(PMTCT!$AT:$AT,MATCH($E231,PMTCT!$E:$E,0)))</f>
        <v/>
      </c>
      <c r="AQ231" s="14" t="str">
        <f>INDEX(TB!$Q:$Q,MATCH($E231,TB!$E:$E,0))</f>
        <v/>
      </c>
      <c r="AR231" s="14" t="str">
        <f>IF(OR($C231="01-09",$C231="10-14",$D231="Female"),"",INDEX(VMMC!$AB:$AB,MATCH($E231,VMMC!$E:$E,0)))</f>
        <v/>
      </c>
      <c r="AS231" s="14" t="str">
        <f>IF(OR($C231="01-09",$C231="10-14"),"",INDEX(PrEP!$Q:$Q,MATCH($E231,PrEP!$E:$E,0)))</f>
        <v/>
      </c>
      <c r="AT231" s="14" t="str">
        <f t="shared" si="101"/>
        <v/>
      </c>
      <c r="AU231" s="14" t="str">
        <f t="shared" si="102"/>
        <v/>
      </c>
      <c r="AV231" s="90" t="str">
        <f t="shared" si="103"/>
        <v/>
      </c>
      <c r="AW231" s="14"/>
      <c r="AX231" s="90" t="str">
        <f t="shared" si="104"/>
        <v/>
      </c>
      <c r="AY231" s="42" t="str">
        <f t="shared" si="105"/>
        <v/>
      </c>
      <c r="AZ231" s="90" t="str">
        <f t="shared" si="106"/>
        <v/>
      </c>
      <c r="BA231" s="42" t="str">
        <f t="shared" si="107"/>
        <v/>
      </c>
    </row>
    <row r="232" spans="1:53" x14ac:dyDescent="0.2">
      <c r="A232" t="str">
        <f>INDEX(Prioritization!$D:$D,MATCH($B232,Prioritization!$A:$A,0))</f>
        <v>1 - Scale-up: Saturation</v>
      </c>
      <c r="B232" t="s">
        <v>211</v>
      </c>
      <c r="C232" t="s">
        <v>362</v>
      </c>
      <c r="D232" t="s">
        <v>47</v>
      </c>
      <c r="E232" t="str">
        <f t="shared" si="81"/>
        <v>Chikwawa District [U8c0so51kT6]|01-09|Male</v>
      </c>
      <c r="F232" s="90">
        <f>IF(LEFT($B232,4)="_Mil","",INDEX(Cascade!$AA:$AA,MATCH($E232,Cascade!$E:$E,0)))</f>
        <v>522</v>
      </c>
      <c r="G232" s="14">
        <f>INDEX(Cascade!$BH:$BH,MATCH($E232,Cascade!$E:$E,0))</f>
        <v>0</v>
      </c>
      <c r="H232" s="14" t="str">
        <f>IF(OR($C232="01-09",$D232="Male"),"",INDEX(PMTCT!$AC:$AC,MATCH($E232,PMTCT!$E:$E,0)))</f>
        <v/>
      </c>
      <c r="I232" s="14" t="str">
        <f>IF(OR($C232="01-09",$D232="Male"),"",INDEX(PMTCT!$AS:$AS,MATCH($E232,PMTCT!$E:$E,0)))</f>
        <v/>
      </c>
      <c r="J232" s="14" t="str">
        <f>INDEX(TB!$P:$P,MATCH($E232,TB!$E:$E,0))</f>
        <v/>
      </c>
      <c r="K232" s="14" t="str">
        <f>IF(OR($C232="01-09",$C232="10-14",$D232="Female"),"",INDEX(VMMC!$AA:$AA,MATCH($E232,VMMC!$E:$E,0)))</f>
        <v/>
      </c>
      <c r="L232" s="14">
        <f t="shared" si="82"/>
        <v>0</v>
      </c>
      <c r="M232" s="90" t="str">
        <f t="shared" si="83"/>
        <v/>
      </c>
      <c r="N232" s="90" t="str">
        <f t="shared" si="84"/>
        <v/>
      </c>
      <c r="O232" s="90" t="str">
        <f t="shared" si="85"/>
        <v/>
      </c>
      <c r="P232" s="90" t="str">
        <f t="shared" si="86"/>
        <v/>
      </c>
      <c r="Q232" s="90"/>
      <c r="R232" s="90"/>
      <c r="S232" s="90"/>
      <c r="T232" s="90"/>
      <c r="U232" s="90"/>
      <c r="V232" s="90" t="str">
        <f t="shared" si="87"/>
        <v/>
      </c>
      <c r="W232" s="90"/>
      <c r="X232" s="42" t="str">
        <f t="shared" si="88"/>
        <v/>
      </c>
      <c r="Y232" s="42" t="str">
        <f t="shared" si="89"/>
        <v/>
      </c>
      <c r="Z232" s="90"/>
      <c r="AA232" s="42" t="str">
        <f t="shared" si="90"/>
        <v/>
      </c>
      <c r="AB232" s="42" t="str">
        <f t="shared" si="91"/>
        <v/>
      </c>
      <c r="AC232" s="90"/>
      <c r="AD232" s="42" t="str">
        <f t="shared" si="92"/>
        <v/>
      </c>
      <c r="AE232" s="42" t="str">
        <f t="shared" si="93"/>
        <v/>
      </c>
      <c r="AF232" s="90"/>
      <c r="AG232" s="42" t="str">
        <f t="shared" si="94"/>
        <v/>
      </c>
      <c r="AH232" s="42" t="str">
        <f t="shared" si="95"/>
        <v/>
      </c>
      <c r="AI232" s="90"/>
      <c r="AJ232" s="42" t="str">
        <f t="shared" si="96"/>
        <v/>
      </c>
      <c r="AK232" s="42" t="str">
        <f t="shared" si="97"/>
        <v/>
      </c>
      <c r="AL232" s="14" t="str">
        <f t="shared" si="98"/>
        <v/>
      </c>
      <c r="AM232" s="14" t="str">
        <f t="shared" si="99"/>
        <v/>
      </c>
      <c r="AN232" s="14" t="str">
        <f t="shared" si="100"/>
        <v/>
      </c>
      <c r="AO232" s="14" t="str">
        <f>IF(OR($C232="01-09",$D232="Male"),"",INDEX(PMTCT!$AD:$AD,MATCH($E232,PMTCT!$E:$E,0)))</f>
        <v/>
      </c>
      <c r="AP232" s="14" t="str">
        <f>IF(OR($C232="01-09",$D232="Male"),"",INDEX(PMTCT!$AT:$AT,MATCH($E232,PMTCT!$E:$E,0)))</f>
        <v/>
      </c>
      <c r="AQ232" s="14" t="str">
        <f>INDEX(TB!$Q:$Q,MATCH($E232,TB!$E:$E,0))</f>
        <v/>
      </c>
      <c r="AR232" s="14" t="str">
        <f>IF(OR($C232="01-09",$C232="10-14",$D232="Female"),"",INDEX(VMMC!$AB:$AB,MATCH($E232,VMMC!$E:$E,0)))</f>
        <v/>
      </c>
      <c r="AS232" s="14" t="str">
        <f>IF(OR($C232="01-09",$C232="10-14"),"",INDEX(PrEP!$Q:$Q,MATCH($E232,PrEP!$E:$E,0)))</f>
        <v/>
      </c>
      <c r="AT232" s="14" t="str">
        <f t="shared" si="101"/>
        <v/>
      </c>
      <c r="AU232" s="14" t="str">
        <f t="shared" si="102"/>
        <v/>
      </c>
      <c r="AV232" s="90" t="str">
        <f t="shared" si="103"/>
        <v/>
      </c>
      <c r="AW232" s="14"/>
      <c r="AX232" s="90" t="str">
        <f t="shared" si="104"/>
        <v/>
      </c>
      <c r="AY232" s="42" t="str">
        <f t="shared" si="105"/>
        <v/>
      </c>
      <c r="AZ232" s="90" t="str">
        <f t="shared" si="106"/>
        <v/>
      </c>
      <c r="BA232" s="42" t="str">
        <f t="shared" si="107"/>
        <v/>
      </c>
    </row>
    <row r="233" spans="1:53" x14ac:dyDescent="0.2">
      <c r="A233" t="str">
        <f>INDEX(Prioritization!$D:$D,MATCH($B233,Prioritization!$A:$A,0))</f>
        <v>1 - Scale-up: Saturation</v>
      </c>
      <c r="B233" t="s">
        <v>211</v>
      </c>
      <c r="C233" t="s">
        <v>363</v>
      </c>
      <c r="D233" t="s">
        <v>29</v>
      </c>
      <c r="E233" t="str">
        <f t="shared" si="81"/>
        <v>Chikwawa District [U8c0so51kT6]|10-14|Female</v>
      </c>
      <c r="F233" s="90">
        <f>IF(LEFT($B233,4)="_Mil","",INDEX(Cascade!$AA:$AA,MATCH($E233,Cascade!$E:$E,0)))</f>
        <v>1243</v>
      </c>
      <c r="G233" s="14">
        <f>INDEX(Cascade!$BH:$BH,MATCH($E233,Cascade!$E:$E,0))</f>
        <v>-94</v>
      </c>
      <c r="H233" s="14">
        <f>IF(OR($C233="01-09",$D233="Male"),"",INDEX(PMTCT!$AC:$AC,MATCH($E233,PMTCT!$E:$E,0)))</f>
        <v>4</v>
      </c>
      <c r="I233" s="14" t="str">
        <f>IF(OR($C233="01-09",$D233="Male"),"",INDEX(PMTCT!$AS:$AS,MATCH($E233,PMTCT!$E:$E,0)))</f>
        <v/>
      </c>
      <c r="J233" s="14" t="str">
        <f>INDEX(TB!$P:$P,MATCH($E233,TB!$E:$E,0))</f>
        <v/>
      </c>
      <c r="K233" s="14" t="str">
        <f>IF(OR($C233="01-09",$C233="10-14",$D233="Female"),"",INDEX(VMMC!$AA:$AA,MATCH($E233,VMMC!$E:$E,0)))</f>
        <v/>
      </c>
      <c r="L233" s="14">
        <f t="shared" si="82"/>
        <v>-98</v>
      </c>
      <c r="M233" s="90">
        <f t="shared" si="83"/>
        <v>-4.2553191489361701E-2</v>
      </c>
      <c r="N233" s="90">
        <f t="shared" si="84"/>
        <v>0</v>
      </c>
      <c r="O233" s="90">
        <f t="shared" si="85"/>
        <v>0</v>
      </c>
      <c r="P233" s="90" t="str">
        <f t="shared" si="86"/>
        <v/>
      </c>
      <c r="Q233" s="90">
        <v>0.82163990638218798</v>
      </c>
      <c r="R233" s="90"/>
      <c r="S233" s="90"/>
      <c r="T233" s="90"/>
      <c r="U233" s="90">
        <v>0.92553329234942805</v>
      </c>
      <c r="V233" s="90">
        <f t="shared" si="87"/>
        <v>1.7046200072422544</v>
      </c>
      <c r="W233" s="90"/>
      <c r="X233" s="42">
        <f t="shared" si="88"/>
        <v>-77</v>
      </c>
      <c r="Y233" s="42" t="str">
        <f t="shared" si="89"/>
        <v>ENTER YIELD</v>
      </c>
      <c r="Z233" s="90"/>
      <c r="AA233" s="42" t="str">
        <f t="shared" si="90"/>
        <v/>
      </c>
      <c r="AB233" s="42" t="str">
        <f t="shared" si="91"/>
        <v/>
      </c>
      <c r="AC233" s="90"/>
      <c r="AD233" s="42" t="str">
        <f t="shared" si="92"/>
        <v/>
      </c>
      <c r="AE233" s="42" t="str">
        <f t="shared" si="93"/>
        <v/>
      </c>
      <c r="AF233" s="90"/>
      <c r="AG233" s="42" t="str">
        <f t="shared" si="94"/>
        <v/>
      </c>
      <c r="AH233" s="42" t="str">
        <f t="shared" si="95"/>
        <v/>
      </c>
      <c r="AI233" s="90">
        <v>0.83390856743790198</v>
      </c>
      <c r="AJ233" s="42">
        <f t="shared" si="96"/>
        <v>-87</v>
      </c>
      <c r="AK233" s="42">
        <f t="shared" si="97"/>
        <v>-17</v>
      </c>
      <c r="AL233" s="14">
        <f t="shared" si="98"/>
        <v>-94</v>
      </c>
      <c r="AM233" s="14">
        <f t="shared" si="99"/>
        <v>-160</v>
      </c>
      <c r="AN233" s="14">
        <f t="shared" si="100"/>
        <v>-66</v>
      </c>
      <c r="AO233" s="14">
        <f>IF(OR($C233="01-09",$D233="Male"),"",INDEX(PMTCT!$AD:$AD,MATCH($E233,PMTCT!$E:$E,0)))</f>
        <v>0</v>
      </c>
      <c r="AP233" s="14" t="str">
        <f>IF(OR($C233="01-09",$D233="Male"),"",INDEX(PMTCT!$AT:$AT,MATCH($E233,PMTCT!$E:$E,0)))</f>
        <v/>
      </c>
      <c r="AQ233" s="14" t="str">
        <f>INDEX(TB!$Q:$Q,MATCH($E233,TB!$E:$E,0))</f>
        <v/>
      </c>
      <c r="AR233" s="14" t="str">
        <f>IF(OR($C233="01-09",$C233="10-14",$D233="Female"),"",INDEX(VMMC!$AB:$AB,MATCH($E233,VMMC!$E:$E,0)))</f>
        <v/>
      </c>
      <c r="AS233" s="14" t="str">
        <f>IF(OR($C233="01-09",$C233="10-14"),"",INDEX(PrEP!$Q:$Q,MATCH($E233,PrEP!$E:$E,0)))</f>
        <v/>
      </c>
      <c r="AT233" s="14">
        <f t="shared" si="101"/>
        <v>-17</v>
      </c>
      <c r="AU233" s="14">
        <f t="shared" si="102"/>
        <v>-177</v>
      </c>
      <c r="AV233" s="90">
        <f t="shared" si="103"/>
        <v>0.903954802259887</v>
      </c>
      <c r="AW233" s="14"/>
      <c r="AX233" s="90" t="str">
        <f t="shared" si="104"/>
        <v/>
      </c>
      <c r="AY233" s="42" t="str">
        <f t="shared" si="105"/>
        <v/>
      </c>
      <c r="AZ233" s="90" t="str">
        <f t="shared" si="106"/>
        <v/>
      </c>
      <c r="BA233" s="42" t="str">
        <f t="shared" si="107"/>
        <v/>
      </c>
    </row>
    <row r="234" spans="1:53" x14ac:dyDescent="0.2">
      <c r="A234" t="str">
        <f>INDEX(Prioritization!$D:$D,MATCH($B234,Prioritization!$A:$A,0))</f>
        <v>1 - Scale-up: Saturation</v>
      </c>
      <c r="B234" t="s">
        <v>211</v>
      </c>
      <c r="C234" t="s">
        <v>363</v>
      </c>
      <c r="D234" t="s">
        <v>47</v>
      </c>
      <c r="E234" t="str">
        <f t="shared" si="81"/>
        <v>Chikwawa District [U8c0so51kT6]|10-14|Male</v>
      </c>
      <c r="F234" s="90">
        <f>IF(LEFT($B234,4)="_Mil","",INDEX(Cascade!$AA:$AA,MATCH($E234,Cascade!$E:$E,0)))</f>
        <v>915</v>
      </c>
      <c r="G234" s="14">
        <f>INDEX(Cascade!$BH:$BH,MATCH($E234,Cascade!$E:$E,0))</f>
        <v>-96</v>
      </c>
      <c r="H234" s="14" t="str">
        <f>IF(OR($C234="01-09",$D234="Male"),"",INDEX(PMTCT!$AC:$AC,MATCH($E234,PMTCT!$E:$E,0)))</f>
        <v/>
      </c>
      <c r="I234" s="14" t="str">
        <f>IF(OR($C234="01-09",$D234="Male"),"",INDEX(PMTCT!$AS:$AS,MATCH($E234,PMTCT!$E:$E,0)))</f>
        <v/>
      </c>
      <c r="J234" s="14" t="str">
        <f>INDEX(TB!$P:$P,MATCH($E234,TB!$E:$E,0))</f>
        <v>ENTER YIELD RATE</v>
      </c>
      <c r="K234" s="14" t="str">
        <f>IF(OR($C234="01-09",$C234="10-14",$D234="Female"),"",INDEX(VMMC!$AA:$AA,MATCH($E234,VMMC!$E:$E,0)))</f>
        <v/>
      </c>
      <c r="L234" s="14">
        <f t="shared" si="82"/>
        <v>-96</v>
      </c>
      <c r="M234" s="90" t="str">
        <f t="shared" si="83"/>
        <v/>
      </c>
      <c r="N234" s="90" t="str">
        <f t="shared" si="84"/>
        <v/>
      </c>
      <c r="O234" s="90">
        <f t="shared" si="85"/>
        <v>0</v>
      </c>
      <c r="P234" s="90" t="str">
        <f t="shared" si="86"/>
        <v/>
      </c>
      <c r="Q234" s="90">
        <v>0.482733029639348</v>
      </c>
      <c r="R234" s="90"/>
      <c r="S234" s="90"/>
      <c r="T234" s="90"/>
      <c r="U234" s="90">
        <v>0.93354829121381</v>
      </c>
      <c r="V234" s="90">
        <f t="shared" si="87"/>
        <v>1.4162813208531579</v>
      </c>
      <c r="W234" s="90"/>
      <c r="X234" s="42">
        <f t="shared" si="88"/>
        <v>-46</v>
      </c>
      <c r="Y234" s="42" t="str">
        <f t="shared" si="89"/>
        <v>ENTER YIELD</v>
      </c>
      <c r="Z234" s="90"/>
      <c r="AA234" s="42" t="str">
        <f t="shared" si="90"/>
        <v/>
      </c>
      <c r="AB234" s="42" t="str">
        <f t="shared" si="91"/>
        <v/>
      </c>
      <c r="AC234" s="90"/>
      <c r="AD234" s="42" t="str">
        <f t="shared" si="92"/>
        <v/>
      </c>
      <c r="AE234" s="42" t="str">
        <f t="shared" si="93"/>
        <v/>
      </c>
      <c r="AF234" s="90"/>
      <c r="AG234" s="42" t="str">
        <f t="shared" si="94"/>
        <v/>
      </c>
      <c r="AH234" s="42" t="str">
        <f t="shared" si="95"/>
        <v/>
      </c>
      <c r="AI234" s="90">
        <v>0.98052981123328198</v>
      </c>
      <c r="AJ234" s="42">
        <f t="shared" si="96"/>
        <v>-90</v>
      </c>
      <c r="AK234" s="42">
        <f t="shared" si="97"/>
        <v>-2</v>
      </c>
      <c r="AL234" s="14">
        <f t="shared" si="98"/>
        <v>-96</v>
      </c>
      <c r="AM234" s="14">
        <f t="shared" si="99"/>
        <v>-136</v>
      </c>
      <c r="AN234" s="14">
        <f t="shared" si="100"/>
        <v>-40</v>
      </c>
      <c r="AO234" s="14" t="str">
        <f>IF(OR($C234="01-09",$D234="Male"),"",INDEX(PMTCT!$AD:$AD,MATCH($E234,PMTCT!$E:$E,0)))</f>
        <v/>
      </c>
      <c r="AP234" s="14" t="str">
        <f>IF(OR($C234="01-09",$D234="Male"),"",INDEX(PMTCT!$AT:$AT,MATCH($E234,PMTCT!$E:$E,0)))</f>
        <v/>
      </c>
      <c r="AQ234" s="14">
        <f>INDEX(TB!$Q:$Q,MATCH($E234,TB!$E:$E,0))</f>
        <v>1</v>
      </c>
      <c r="AR234" s="14" t="str">
        <f>IF(OR($C234="01-09",$C234="10-14",$D234="Female"),"",INDEX(VMMC!$AB:$AB,MATCH($E234,VMMC!$E:$E,0)))</f>
        <v/>
      </c>
      <c r="AS234" s="14" t="str">
        <f>IF(OR($C234="01-09",$C234="10-14"),"",INDEX(PrEP!$Q:$Q,MATCH($E234,PrEP!$E:$E,0)))</f>
        <v/>
      </c>
      <c r="AT234" s="14">
        <f t="shared" si="101"/>
        <v>-1</v>
      </c>
      <c r="AU234" s="14">
        <f t="shared" si="102"/>
        <v>-137</v>
      </c>
      <c r="AV234" s="90">
        <f t="shared" si="103"/>
        <v>0.99270072992700731</v>
      </c>
      <c r="AW234" s="14"/>
      <c r="AX234" s="90" t="str">
        <f t="shared" si="104"/>
        <v/>
      </c>
      <c r="AY234" s="42" t="str">
        <f t="shared" si="105"/>
        <v/>
      </c>
      <c r="AZ234" s="90" t="str">
        <f t="shared" si="106"/>
        <v/>
      </c>
      <c r="BA234" s="42" t="str">
        <f t="shared" si="107"/>
        <v/>
      </c>
    </row>
    <row r="235" spans="1:53" x14ac:dyDescent="0.2">
      <c r="A235" t="str">
        <f>INDEX(Prioritization!$D:$D,MATCH($B235,Prioritization!$A:$A,0))</f>
        <v>1 - Scale-up: Saturation</v>
      </c>
      <c r="B235" t="s">
        <v>211</v>
      </c>
      <c r="C235" t="s">
        <v>364</v>
      </c>
      <c r="D235" t="s">
        <v>29</v>
      </c>
      <c r="E235" t="str">
        <f t="shared" si="81"/>
        <v>Chikwawa District [U8c0so51kT6]|15-24|Female</v>
      </c>
      <c r="F235" s="90">
        <f>IF(LEFT($B235,4)="_Mil","",INDEX(Cascade!$AA:$AA,MATCH($E235,Cascade!$E:$E,0)))</f>
        <v>800</v>
      </c>
      <c r="G235" s="14">
        <f>INDEX(Cascade!$BH:$BH,MATCH($E235,Cascade!$E:$E,0))</f>
        <v>0</v>
      </c>
      <c r="H235" s="14" t="str">
        <f>IF(OR($C235="01-09",$D235="Male"),"",INDEX(PMTCT!$AC:$AC,MATCH($E235,PMTCT!$E:$E,0)))</f>
        <v/>
      </c>
      <c r="I235" s="14" t="str">
        <f>IF(OR($C235="01-09",$D235="Male"),"",INDEX(PMTCT!$AS:$AS,MATCH($E235,PMTCT!$E:$E,0)))</f>
        <v/>
      </c>
      <c r="J235" s="14" t="str">
        <f>INDEX(TB!$P:$P,MATCH($E235,TB!$E:$E,0))</f>
        <v/>
      </c>
      <c r="K235" s="14" t="str">
        <f>IF(OR($C235="01-09",$C235="10-14",$D235="Female"),"",INDEX(VMMC!$AA:$AA,MATCH($E235,VMMC!$E:$E,0)))</f>
        <v/>
      </c>
      <c r="L235" s="14">
        <f t="shared" si="82"/>
        <v>0</v>
      </c>
      <c r="M235" s="90" t="str">
        <f t="shared" si="83"/>
        <v/>
      </c>
      <c r="N235" s="90" t="str">
        <f t="shared" si="84"/>
        <v/>
      </c>
      <c r="O235" s="90" t="str">
        <f t="shared" si="85"/>
        <v/>
      </c>
      <c r="P235" s="90" t="str">
        <f t="shared" si="86"/>
        <v/>
      </c>
      <c r="Q235" s="90"/>
      <c r="R235" s="90"/>
      <c r="S235" s="90"/>
      <c r="T235" s="90"/>
      <c r="U235" s="90"/>
      <c r="V235" s="90" t="str">
        <f t="shared" si="87"/>
        <v/>
      </c>
      <c r="W235" s="90"/>
      <c r="X235" s="42" t="str">
        <f t="shared" si="88"/>
        <v/>
      </c>
      <c r="Y235" s="42" t="str">
        <f t="shared" si="89"/>
        <v/>
      </c>
      <c r="Z235" s="90"/>
      <c r="AA235" s="42" t="str">
        <f t="shared" si="90"/>
        <v/>
      </c>
      <c r="AB235" s="42" t="str">
        <f t="shared" si="91"/>
        <v/>
      </c>
      <c r="AC235" s="90"/>
      <c r="AD235" s="42" t="str">
        <f t="shared" si="92"/>
        <v/>
      </c>
      <c r="AE235" s="42" t="str">
        <f t="shared" si="93"/>
        <v/>
      </c>
      <c r="AF235" s="90"/>
      <c r="AG235" s="42" t="str">
        <f t="shared" si="94"/>
        <v/>
      </c>
      <c r="AH235" s="42" t="str">
        <f t="shared" si="95"/>
        <v/>
      </c>
      <c r="AI235" s="90"/>
      <c r="AJ235" s="42" t="str">
        <f t="shared" si="96"/>
        <v/>
      </c>
      <c r="AK235" s="42" t="str">
        <f t="shared" si="97"/>
        <v/>
      </c>
      <c r="AL235" s="14" t="str">
        <f t="shared" si="98"/>
        <v/>
      </c>
      <c r="AM235" s="14" t="str">
        <f t="shared" si="99"/>
        <v/>
      </c>
      <c r="AN235" s="14" t="str">
        <f t="shared" si="100"/>
        <v/>
      </c>
      <c r="AO235" s="14" t="str">
        <f>IF(OR($C235="01-09",$D235="Male"),"",INDEX(PMTCT!$AD:$AD,MATCH($E235,PMTCT!$E:$E,0)))</f>
        <v/>
      </c>
      <c r="AP235" s="14" t="str">
        <f>IF(OR($C235="01-09",$D235="Male"),"",INDEX(PMTCT!$AT:$AT,MATCH($E235,PMTCT!$E:$E,0)))</f>
        <v/>
      </c>
      <c r="AQ235" s="14" t="str">
        <f>INDEX(TB!$Q:$Q,MATCH($E235,TB!$E:$E,0))</f>
        <v/>
      </c>
      <c r="AR235" s="14" t="str">
        <f>IF(OR($C235="01-09",$C235="10-14",$D235="Female"),"",INDEX(VMMC!$AB:$AB,MATCH($E235,VMMC!$E:$E,0)))</f>
        <v/>
      </c>
      <c r="AS235" s="14" t="str">
        <f>IF(OR($C235="01-09",$C235="10-14"),"",INDEX(PrEP!$Q:$Q,MATCH($E235,PrEP!$E:$E,0)))</f>
        <v/>
      </c>
      <c r="AT235" s="14" t="str">
        <f t="shared" si="101"/>
        <v/>
      </c>
      <c r="AU235" s="14" t="str">
        <f t="shared" si="102"/>
        <v/>
      </c>
      <c r="AV235" s="90" t="str">
        <f t="shared" si="103"/>
        <v/>
      </c>
      <c r="AW235" s="14"/>
      <c r="AX235" s="90" t="str">
        <f t="shared" si="104"/>
        <v/>
      </c>
      <c r="AY235" s="42" t="str">
        <f t="shared" si="105"/>
        <v/>
      </c>
      <c r="AZ235" s="90">
        <f t="shared" si="106"/>
        <v>1</v>
      </c>
      <c r="BA235" s="42" t="str">
        <f t="shared" si="107"/>
        <v/>
      </c>
    </row>
    <row r="236" spans="1:53" x14ac:dyDescent="0.2">
      <c r="A236" t="str">
        <f>INDEX(Prioritization!$D:$D,MATCH($B236,Prioritization!$A:$A,0))</f>
        <v>1 - Scale-up: Saturation</v>
      </c>
      <c r="B236" t="s">
        <v>211</v>
      </c>
      <c r="C236" t="s">
        <v>364</v>
      </c>
      <c r="D236" t="s">
        <v>47</v>
      </c>
      <c r="E236" t="str">
        <f t="shared" si="81"/>
        <v>Chikwawa District [U8c0so51kT6]|15-24|Male</v>
      </c>
      <c r="F236" s="90">
        <f>IF(LEFT($B236,4)="_Mil","",INDEX(Cascade!$AA:$AA,MATCH($E236,Cascade!$E:$E,0)))</f>
        <v>1268</v>
      </c>
      <c r="G236" s="14">
        <f>INDEX(Cascade!$BH:$BH,MATCH($E236,Cascade!$E:$E,0))</f>
        <v>0</v>
      </c>
      <c r="H236" s="14" t="str">
        <f>IF(OR($C236="01-09",$D236="Male"),"",INDEX(PMTCT!$AC:$AC,MATCH($E236,PMTCT!$E:$E,0)))</f>
        <v/>
      </c>
      <c r="I236" s="14" t="str">
        <f>IF(OR($C236="01-09",$D236="Male"),"",INDEX(PMTCT!$AS:$AS,MATCH($E236,PMTCT!$E:$E,0)))</f>
        <v/>
      </c>
      <c r="J236" s="14" t="str">
        <f>INDEX(TB!$P:$P,MATCH($E236,TB!$E:$E,0))</f>
        <v/>
      </c>
      <c r="K236" s="14" t="str">
        <f>IF(OR($C236="01-09",$C236="10-14",$D236="Female"),"",INDEX(VMMC!$AA:$AA,MATCH($E236,VMMC!$E:$E,0)))</f>
        <v/>
      </c>
      <c r="L236" s="14">
        <f t="shared" si="82"/>
        <v>0</v>
      </c>
      <c r="M236" s="90" t="str">
        <f t="shared" si="83"/>
        <v/>
      </c>
      <c r="N236" s="90" t="str">
        <f t="shared" si="84"/>
        <v/>
      </c>
      <c r="O236" s="90" t="str">
        <f t="shared" si="85"/>
        <v/>
      </c>
      <c r="P236" s="90" t="str">
        <f t="shared" si="86"/>
        <v/>
      </c>
      <c r="Q236" s="90"/>
      <c r="R236" s="90"/>
      <c r="S236" s="90"/>
      <c r="T236" s="90"/>
      <c r="U236" s="90"/>
      <c r="V236" s="90" t="str">
        <f t="shared" si="87"/>
        <v/>
      </c>
      <c r="W236" s="90"/>
      <c r="X236" s="42" t="str">
        <f t="shared" si="88"/>
        <v/>
      </c>
      <c r="Y236" s="42" t="str">
        <f t="shared" si="89"/>
        <v/>
      </c>
      <c r="Z236" s="90"/>
      <c r="AA236" s="42" t="str">
        <f t="shared" si="90"/>
        <v/>
      </c>
      <c r="AB236" s="42" t="str">
        <f t="shared" si="91"/>
        <v/>
      </c>
      <c r="AC236" s="90"/>
      <c r="AD236" s="42" t="str">
        <f t="shared" si="92"/>
        <v/>
      </c>
      <c r="AE236" s="42" t="str">
        <f t="shared" si="93"/>
        <v/>
      </c>
      <c r="AF236" s="90"/>
      <c r="AG236" s="42" t="str">
        <f t="shared" si="94"/>
        <v/>
      </c>
      <c r="AH236" s="42" t="str">
        <f t="shared" si="95"/>
        <v/>
      </c>
      <c r="AI236" s="90"/>
      <c r="AJ236" s="42" t="str">
        <f t="shared" si="96"/>
        <v/>
      </c>
      <c r="AK236" s="42" t="str">
        <f t="shared" si="97"/>
        <v/>
      </c>
      <c r="AL236" s="14" t="str">
        <f t="shared" si="98"/>
        <v/>
      </c>
      <c r="AM236" s="14" t="str">
        <f t="shared" si="99"/>
        <v/>
      </c>
      <c r="AN236" s="14" t="str">
        <f t="shared" si="100"/>
        <v/>
      </c>
      <c r="AO236" s="14" t="str">
        <f>IF(OR($C236="01-09",$D236="Male"),"",INDEX(PMTCT!$AD:$AD,MATCH($E236,PMTCT!$E:$E,0)))</f>
        <v/>
      </c>
      <c r="AP236" s="14" t="str">
        <f>IF(OR($C236="01-09",$D236="Male"),"",INDEX(PMTCT!$AT:$AT,MATCH($E236,PMTCT!$E:$E,0)))</f>
        <v/>
      </c>
      <c r="AQ236" s="14" t="str">
        <f>INDEX(TB!$Q:$Q,MATCH($E236,TB!$E:$E,0))</f>
        <v/>
      </c>
      <c r="AR236" s="14" t="str">
        <f>IF(OR($C236="01-09",$C236="10-14",$D236="Female"),"",INDEX(VMMC!$AB:$AB,MATCH($E236,VMMC!$E:$E,0)))</f>
        <v/>
      </c>
      <c r="AS236" s="14" t="str">
        <f>IF(OR($C236="01-09",$C236="10-14"),"",INDEX(PrEP!$Q:$Q,MATCH($E236,PrEP!$E:$E,0)))</f>
        <v/>
      </c>
      <c r="AT236" s="14" t="str">
        <f t="shared" si="101"/>
        <v/>
      </c>
      <c r="AU236" s="14" t="str">
        <f t="shared" si="102"/>
        <v/>
      </c>
      <c r="AV236" s="90" t="str">
        <f t="shared" si="103"/>
        <v/>
      </c>
      <c r="AW236" s="14"/>
      <c r="AX236" s="90" t="str">
        <f t="shared" si="104"/>
        <v/>
      </c>
      <c r="AY236" s="42" t="str">
        <f t="shared" si="105"/>
        <v/>
      </c>
      <c r="AZ236" s="90">
        <f t="shared" si="106"/>
        <v>1</v>
      </c>
      <c r="BA236" s="42" t="str">
        <f t="shared" si="107"/>
        <v/>
      </c>
    </row>
    <row r="237" spans="1:53" x14ac:dyDescent="0.2">
      <c r="A237" t="str">
        <f>INDEX(Prioritization!$D:$D,MATCH($B237,Prioritization!$A:$A,0))</f>
        <v>1 - Scale-up: Saturation</v>
      </c>
      <c r="B237" t="s">
        <v>211</v>
      </c>
      <c r="C237" t="s">
        <v>365</v>
      </c>
      <c r="D237" t="s">
        <v>29</v>
      </c>
      <c r="E237" t="str">
        <f t="shared" si="81"/>
        <v>Chikwawa District [U8c0so51kT6]|25-34|Female</v>
      </c>
      <c r="F237" s="90">
        <f>IF(LEFT($B237,4)="_Mil","",INDEX(Cascade!$AA:$AA,MATCH($E237,Cascade!$E:$E,0)))</f>
        <v>885</v>
      </c>
      <c r="G237" s="14">
        <f>INDEX(Cascade!$BH:$BH,MATCH($E237,Cascade!$E:$E,0))</f>
        <v>0</v>
      </c>
      <c r="H237" s="14" t="str">
        <f>IF(OR($C237="01-09",$D237="Male"),"",INDEX(PMTCT!$AC:$AC,MATCH($E237,PMTCT!$E:$E,0)))</f>
        <v/>
      </c>
      <c r="I237" s="14" t="str">
        <f>IF(OR($C237="01-09",$D237="Male"),"",INDEX(PMTCT!$AS:$AS,MATCH($E237,PMTCT!$E:$E,0)))</f>
        <v/>
      </c>
      <c r="J237" s="14" t="str">
        <f>INDEX(TB!$P:$P,MATCH($E237,TB!$E:$E,0))</f>
        <v/>
      </c>
      <c r="K237" s="14" t="str">
        <f>IF(OR($C237="01-09",$C237="10-14",$D237="Female"),"",INDEX(VMMC!$AA:$AA,MATCH($E237,VMMC!$E:$E,0)))</f>
        <v/>
      </c>
      <c r="L237" s="14">
        <f t="shared" si="82"/>
        <v>0</v>
      </c>
      <c r="M237" s="90" t="str">
        <f t="shared" si="83"/>
        <v/>
      </c>
      <c r="N237" s="90" t="str">
        <f t="shared" si="84"/>
        <v/>
      </c>
      <c r="O237" s="90" t="str">
        <f t="shared" si="85"/>
        <v/>
      </c>
      <c r="P237" s="90" t="str">
        <f t="shared" si="86"/>
        <v/>
      </c>
      <c r="Q237" s="90"/>
      <c r="R237" s="90"/>
      <c r="S237" s="90"/>
      <c r="T237" s="90"/>
      <c r="U237" s="90"/>
      <c r="V237" s="90" t="str">
        <f t="shared" si="87"/>
        <v/>
      </c>
      <c r="W237" s="90"/>
      <c r="X237" s="42" t="str">
        <f t="shared" si="88"/>
        <v/>
      </c>
      <c r="Y237" s="42" t="str">
        <f t="shared" si="89"/>
        <v/>
      </c>
      <c r="Z237" s="90"/>
      <c r="AA237" s="42" t="str">
        <f t="shared" si="90"/>
        <v/>
      </c>
      <c r="AB237" s="42" t="str">
        <f t="shared" si="91"/>
        <v/>
      </c>
      <c r="AC237" s="90"/>
      <c r="AD237" s="42" t="str">
        <f t="shared" si="92"/>
        <v/>
      </c>
      <c r="AE237" s="42" t="str">
        <f t="shared" si="93"/>
        <v/>
      </c>
      <c r="AF237" s="90"/>
      <c r="AG237" s="42" t="str">
        <f t="shared" si="94"/>
        <v/>
      </c>
      <c r="AH237" s="42" t="str">
        <f t="shared" si="95"/>
        <v/>
      </c>
      <c r="AI237" s="90"/>
      <c r="AJ237" s="42" t="str">
        <f t="shared" si="96"/>
        <v/>
      </c>
      <c r="AK237" s="42" t="str">
        <f t="shared" si="97"/>
        <v/>
      </c>
      <c r="AL237" s="14" t="str">
        <f t="shared" si="98"/>
        <v/>
      </c>
      <c r="AM237" s="14" t="str">
        <f t="shared" si="99"/>
        <v/>
      </c>
      <c r="AN237" s="14" t="str">
        <f t="shared" si="100"/>
        <v/>
      </c>
      <c r="AO237" s="14" t="str">
        <f>IF(OR($C237="01-09",$D237="Male"),"",INDEX(PMTCT!$AD:$AD,MATCH($E237,PMTCT!$E:$E,0)))</f>
        <v/>
      </c>
      <c r="AP237" s="14" t="str">
        <f>IF(OR($C237="01-09",$D237="Male"),"",INDEX(PMTCT!$AT:$AT,MATCH($E237,PMTCT!$E:$E,0)))</f>
        <v/>
      </c>
      <c r="AQ237" s="14" t="str">
        <f>INDEX(TB!$Q:$Q,MATCH($E237,TB!$E:$E,0))</f>
        <v/>
      </c>
      <c r="AR237" s="14" t="str">
        <f>IF(OR($C237="01-09",$C237="10-14",$D237="Female"),"",INDEX(VMMC!$AB:$AB,MATCH($E237,VMMC!$E:$E,0)))</f>
        <v/>
      </c>
      <c r="AS237" s="14" t="str">
        <f>IF(OR($C237="01-09",$C237="10-14"),"",INDEX(PrEP!$Q:$Q,MATCH($E237,PrEP!$E:$E,0)))</f>
        <v/>
      </c>
      <c r="AT237" s="14" t="str">
        <f t="shared" si="101"/>
        <v/>
      </c>
      <c r="AU237" s="14" t="str">
        <f t="shared" si="102"/>
        <v/>
      </c>
      <c r="AV237" s="90" t="str">
        <f t="shared" si="103"/>
        <v/>
      </c>
      <c r="AW237" s="14"/>
      <c r="AX237" s="90" t="str">
        <f t="shared" si="104"/>
        <v/>
      </c>
      <c r="AY237" s="42" t="str">
        <f t="shared" si="105"/>
        <v/>
      </c>
      <c r="AZ237" s="90">
        <f t="shared" si="106"/>
        <v>1</v>
      </c>
      <c r="BA237" s="42" t="str">
        <f t="shared" si="107"/>
        <v/>
      </c>
    </row>
    <row r="238" spans="1:53" x14ac:dyDescent="0.2">
      <c r="A238" t="str">
        <f>INDEX(Prioritization!$D:$D,MATCH($B238,Prioritization!$A:$A,0))</f>
        <v>1 - Scale-up: Saturation</v>
      </c>
      <c r="B238" t="s">
        <v>211</v>
      </c>
      <c r="C238" t="s">
        <v>365</v>
      </c>
      <c r="D238" t="s">
        <v>47</v>
      </c>
      <c r="E238" t="str">
        <f t="shared" si="81"/>
        <v>Chikwawa District [U8c0so51kT6]|25-34|Male</v>
      </c>
      <c r="F238" s="90">
        <f>IF(LEFT($B238,4)="_Mil","",INDEX(Cascade!$AA:$AA,MATCH($E238,Cascade!$E:$E,0)))</f>
        <v>1897</v>
      </c>
      <c r="G238" s="14">
        <f>INDEX(Cascade!$BH:$BH,MATCH($E238,Cascade!$E:$E,0))</f>
        <v>0</v>
      </c>
      <c r="H238" s="14" t="str">
        <f>IF(OR($C238="01-09",$D238="Male"),"",INDEX(PMTCT!$AC:$AC,MATCH($E238,PMTCT!$E:$E,0)))</f>
        <v/>
      </c>
      <c r="I238" s="14" t="str">
        <f>IF(OR($C238="01-09",$D238="Male"),"",INDEX(PMTCT!$AS:$AS,MATCH($E238,PMTCT!$E:$E,0)))</f>
        <v/>
      </c>
      <c r="J238" s="14" t="str">
        <f>INDEX(TB!$P:$P,MATCH($E238,TB!$E:$E,0))</f>
        <v/>
      </c>
      <c r="K238" s="14" t="str">
        <f>IF(OR($C238="01-09",$C238="10-14",$D238="Female"),"",INDEX(VMMC!$AA:$AA,MATCH($E238,VMMC!$E:$E,0)))</f>
        <v/>
      </c>
      <c r="L238" s="14">
        <f t="shared" si="82"/>
        <v>0</v>
      </c>
      <c r="M238" s="90" t="str">
        <f t="shared" si="83"/>
        <v/>
      </c>
      <c r="N238" s="90" t="str">
        <f t="shared" si="84"/>
        <v/>
      </c>
      <c r="O238" s="90" t="str">
        <f t="shared" si="85"/>
        <v/>
      </c>
      <c r="P238" s="90" t="str">
        <f t="shared" si="86"/>
        <v/>
      </c>
      <c r="Q238" s="90"/>
      <c r="R238" s="90"/>
      <c r="S238" s="90"/>
      <c r="T238" s="90"/>
      <c r="U238" s="90"/>
      <c r="V238" s="90" t="str">
        <f t="shared" si="87"/>
        <v/>
      </c>
      <c r="W238" s="90"/>
      <c r="X238" s="42" t="str">
        <f t="shared" si="88"/>
        <v/>
      </c>
      <c r="Y238" s="42" t="str">
        <f t="shared" si="89"/>
        <v/>
      </c>
      <c r="Z238" s="90"/>
      <c r="AA238" s="42" t="str">
        <f t="shared" si="90"/>
        <v/>
      </c>
      <c r="AB238" s="42" t="str">
        <f t="shared" si="91"/>
        <v/>
      </c>
      <c r="AC238" s="90"/>
      <c r="AD238" s="42" t="str">
        <f t="shared" si="92"/>
        <v/>
      </c>
      <c r="AE238" s="42" t="str">
        <f t="shared" si="93"/>
        <v/>
      </c>
      <c r="AF238" s="90"/>
      <c r="AG238" s="42" t="str">
        <f t="shared" si="94"/>
        <v/>
      </c>
      <c r="AH238" s="42" t="str">
        <f t="shared" si="95"/>
        <v/>
      </c>
      <c r="AI238" s="90"/>
      <c r="AJ238" s="42" t="str">
        <f t="shared" si="96"/>
        <v/>
      </c>
      <c r="AK238" s="42" t="str">
        <f t="shared" si="97"/>
        <v/>
      </c>
      <c r="AL238" s="14" t="str">
        <f t="shared" si="98"/>
        <v/>
      </c>
      <c r="AM238" s="14" t="str">
        <f t="shared" si="99"/>
        <v/>
      </c>
      <c r="AN238" s="14" t="str">
        <f t="shared" si="100"/>
        <v/>
      </c>
      <c r="AO238" s="14" t="str">
        <f>IF(OR($C238="01-09",$D238="Male"),"",INDEX(PMTCT!$AD:$AD,MATCH($E238,PMTCT!$E:$E,0)))</f>
        <v/>
      </c>
      <c r="AP238" s="14" t="str">
        <f>IF(OR($C238="01-09",$D238="Male"),"",INDEX(PMTCT!$AT:$AT,MATCH($E238,PMTCT!$E:$E,0)))</f>
        <v/>
      </c>
      <c r="AQ238" s="14" t="str">
        <f>INDEX(TB!$Q:$Q,MATCH($E238,TB!$E:$E,0))</f>
        <v/>
      </c>
      <c r="AR238" s="14" t="str">
        <f>IF(OR($C238="01-09",$C238="10-14",$D238="Female"),"",INDEX(VMMC!$AB:$AB,MATCH($E238,VMMC!$E:$E,0)))</f>
        <v/>
      </c>
      <c r="AS238" s="14" t="str">
        <f>IF(OR($C238="01-09",$C238="10-14"),"",INDEX(PrEP!$Q:$Q,MATCH($E238,PrEP!$E:$E,0)))</f>
        <v/>
      </c>
      <c r="AT238" s="14" t="str">
        <f t="shared" si="101"/>
        <v/>
      </c>
      <c r="AU238" s="14" t="str">
        <f t="shared" si="102"/>
        <v/>
      </c>
      <c r="AV238" s="90" t="str">
        <f t="shared" si="103"/>
        <v/>
      </c>
      <c r="AW238" s="14"/>
      <c r="AX238" s="90" t="str">
        <f t="shared" si="104"/>
        <v/>
      </c>
      <c r="AY238" s="42" t="str">
        <f t="shared" si="105"/>
        <v/>
      </c>
      <c r="AZ238" s="90">
        <f t="shared" si="106"/>
        <v>1</v>
      </c>
      <c r="BA238" s="42" t="str">
        <f t="shared" si="107"/>
        <v/>
      </c>
    </row>
    <row r="239" spans="1:53" x14ac:dyDescent="0.2">
      <c r="A239" t="str">
        <f>INDEX(Prioritization!$D:$D,MATCH($B239,Prioritization!$A:$A,0))</f>
        <v>1 - Scale-up: Saturation</v>
      </c>
      <c r="B239" t="s">
        <v>211</v>
      </c>
      <c r="C239" t="s">
        <v>366</v>
      </c>
      <c r="D239" t="s">
        <v>29</v>
      </c>
      <c r="E239" t="str">
        <f t="shared" si="81"/>
        <v>Chikwawa District [U8c0so51kT6]|35-49|Female</v>
      </c>
      <c r="F239" s="90">
        <f>IF(LEFT($B239,4)="_Mil","",INDEX(Cascade!$AA:$AA,MATCH($E239,Cascade!$E:$E,0)))</f>
        <v>1024</v>
      </c>
      <c r="G239" s="14">
        <f>INDEX(Cascade!$BH:$BH,MATCH($E239,Cascade!$E:$E,0))</f>
        <v>0</v>
      </c>
      <c r="H239" s="14" t="str">
        <f>IF(OR($C239="01-09",$D239="Male"),"",INDEX(PMTCT!$AC:$AC,MATCH($E239,PMTCT!$E:$E,0)))</f>
        <v/>
      </c>
      <c r="I239" s="14" t="str">
        <f>IF(OR($C239="01-09",$D239="Male"),"",INDEX(PMTCT!$AS:$AS,MATCH($E239,PMTCT!$E:$E,0)))</f>
        <v/>
      </c>
      <c r="J239" s="14" t="str">
        <f>INDEX(TB!$P:$P,MATCH($E239,TB!$E:$E,0))</f>
        <v/>
      </c>
      <c r="K239" s="14" t="str">
        <f>IF(OR($C239="01-09",$C239="10-14",$D239="Female"),"",INDEX(VMMC!$AA:$AA,MATCH($E239,VMMC!$E:$E,0)))</f>
        <v/>
      </c>
      <c r="L239" s="14">
        <f t="shared" si="82"/>
        <v>0</v>
      </c>
      <c r="M239" s="90" t="str">
        <f t="shared" si="83"/>
        <v/>
      </c>
      <c r="N239" s="90" t="str">
        <f t="shared" si="84"/>
        <v/>
      </c>
      <c r="O239" s="90" t="str">
        <f t="shared" si="85"/>
        <v/>
      </c>
      <c r="P239" s="90" t="str">
        <f t="shared" si="86"/>
        <v/>
      </c>
      <c r="Q239" s="90"/>
      <c r="R239" s="90"/>
      <c r="S239" s="90"/>
      <c r="T239" s="90"/>
      <c r="U239" s="90"/>
      <c r="V239" s="90" t="str">
        <f t="shared" si="87"/>
        <v/>
      </c>
      <c r="W239" s="90"/>
      <c r="X239" s="42" t="str">
        <f t="shared" si="88"/>
        <v/>
      </c>
      <c r="Y239" s="42" t="str">
        <f t="shared" si="89"/>
        <v/>
      </c>
      <c r="Z239" s="90"/>
      <c r="AA239" s="42" t="str">
        <f t="shared" si="90"/>
        <v/>
      </c>
      <c r="AB239" s="42" t="str">
        <f t="shared" si="91"/>
        <v/>
      </c>
      <c r="AC239" s="90"/>
      <c r="AD239" s="42" t="str">
        <f t="shared" si="92"/>
        <v/>
      </c>
      <c r="AE239" s="42" t="str">
        <f t="shared" si="93"/>
        <v/>
      </c>
      <c r="AF239" s="90"/>
      <c r="AG239" s="42" t="str">
        <f t="shared" si="94"/>
        <v/>
      </c>
      <c r="AH239" s="42" t="str">
        <f t="shared" si="95"/>
        <v/>
      </c>
      <c r="AI239" s="90"/>
      <c r="AJ239" s="42" t="str">
        <f t="shared" si="96"/>
        <v/>
      </c>
      <c r="AK239" s="42" t="str">
        <f t="shared" si="97"/>
        <v/>
      </c>
      <c r="AL239" s="14" t="str">
        <f t="shared" si="98"/>
        <v/>
      </c>
      <c r="AM239" s="14" t="str">
        <f t="shared" si="99"/>
        <v/>
      </c>
      <c r="AN239" s="14" t="str">
        <f t="shared" si="100"/>
        <v/>
      </c>
      <c r="AO239" s="14" t="str">
        <f>IF(OR($C239="01-09",$D239="Male"),"",INDEX(PMTCT!$AD:$AD,MATCH($E239,PMTCT!$E:$E,0)))</f>
        <v/>
      </c>
      <c r="AP239" s="14" t="str">
        <f>IF(OR($C239="01-09",$D239="Male"),"",INDEX(PMTCT!$AT:$AT,MATCH($E239,PMTCT!$E:$E,0)))</f>
        <v/>
      </c>
      <c r="AQ239" s="14" t="str">
        <f>INDEX(TB!$Q:$Q,MATCH($E239,TB!$E:$E,0))</f>
        <v/>
      </c>
      <c r="AR239" s="14" t="str">
        <f>IF(OR($C239="01-09",$C239="10-14",$D239="Female"),"",INDEX(VMMC!$AB:$AB,MATCH($E239,VMMC!$E:$E,0)))</f>
        <v/>
      </c>
      <c r="AS239" s="14" t="str">
        <f>IF(OR($C239="01-09",$C239="10-14"),"",INDEX(PrEP!$Q:$Q,MATCH($E239,PrEP!$E:$E,0)))</f>
        <v/>
      </c>
      <c r="AT239" s="14" t="str">
        <f t="shared" si="101"/>
        <v/>
      </c>
      <c r="AU239" s="14" t="str">
        <f t="shared" si="102"/>
        <v/>
      </c>
      <c r="AV239" s="90" t="str">
        <f t="shared" si="103"/>
        <v/>
      </c>
      <c r="AW239" s="14"/>
      <c r="AX239" s="90" t="str">
        <f t="shared" si="104"/>
        <v/>
      </c>
      <c r="AY239" s="42" t="str">
        <f t="shared" si="105"/>
        <v/>
      </c>
      <c r="AZ239" s="90">
        <f t="shared" si="106"/>
        <v>1</v>
      </c>
      <c r="BA239" s="42" t="str">
        <f t="shared" si="107"/>
        <v/>
      </c>
    </row>
    <row r="240" spans="1:53" x14ac:dyDescent="0.2">
      <c r="A240" t="str">
        <f>INDEX(Prioritization!$D:$D,MATCH($B240,Prioritization!$A:$A,0))</f>
        <v>1 - Scale-up: Saturation</v>
      </c>
      <c r="B240" t="s">
        <v>211</v>
      </c>
      <c r="C240" t="s">
        <v>366</v>
      </c>
      <c r="D240" t="s">
        <v>47</v>
      </c>
      <c r="E240" t="str">
        <f t="shared" si="81"/>
        <v>Chikwawa District [U8c0so51kT6]|35-49|Male</v>
      </c>
      <c r="F240" s="90">
        <f>IF(LEFT($B240,4)="_Mil","",INDEX(Cascade!$AA:$AA,MATCH($E240,Cascade!$E:$E,0)))</f>
        <v>506.00000000000006</v>
      </c>
      <c r="G240" s="14">
        <f>INDEX(Cascade!$BH:$BH,MATCH($E240,Cascade!$E:$E,0))</f>
        <v>0</v>
      </c>
      <c r="H240" s="14" t="str">
        <f>IF(OR($C240="01-09",$D240="Male"),"",INDEX(PMTCT!$AC:$AC,MATCH($E240,PMTCT!$E:$E,0)))</f>
        <v/>
      </c>
      <c r="I240" s="14" t="str">
        <f>IF(OR($C240="01-09",$D240="Male"),"",INDEX(PMTCT!$AS:$AS,MATCH($E240,PMTCT!$E:$E,0)))</f>
        <v/>
      </c>
      <c r="J240" s="14" t="str">
        <f>INDEX(TB!$P:$P,MATCH($E240,TB!$E:$E,0))</f>
        <v/>
      </c>
      <c r="K240" s="14" t="str">
        <f>IF(OR($C240="01-09",$C240="10-14",$D240="Female"),"",INDEX(VMMC!$AA:$AA,MATCH($E240,VMMC!$E:$E,0)))</f>
        <v/>
      </c>
      <c r="L240" s="14">
        <f t="shared" si="82"/>
        <v>0</v>
      </c>
      <c r="M240" s="90" t="str">
        <f t="shared" si="83"/>
        <v/>
      </c>
      <c r="N240" s="90" t="str">
        <f t="shared" si="84"/>
        <v/>
      </c>
      <c r="O240" s="90" t="str">
        <f t="shared" si="85"/>
        <v/>
      </c>
      <c r="P240" s="90" t="str">
        <f t="shared" si="86"/>
        <v/>
      </c>
      <c r="Q240" s="90"/>
      <c r="R240" s="90"/>
      <c r="S240" s="90"/>
      <c r="T240" s="90"/>
      <c r="U240" s="90"/>
      <c r="V240" s="90" t="str">
        <f t="shared" si="87"/>
        <v/>
      </c>
      <c r="W240" s="90"/>
      <c r="X240" s="42" t="str">
        <f t="shared" si="88"/>
        <v/>
      </c>
      <c r="Y240" s="42" t="str">
        <f t="shared" si="89"/>
        <v/>
      </c>
      <c r="Z240" s="90"/>
      <c r="AA240" s="42" t="str">
        <f t="shared" si="90"/>
        <v/>
      </c>
      <c r="AB240" s="42" t="str">
        <f t="shared" si="91"/>
        <v/>
      </c>
      <c r="AC240" s="90"/>
      <c r="AD240" s="42" t="str">
        <f t="shared" si="92"/>
        <v/>
      </c>
      <c r="AE240" s="42" t="str">
        <f t="shared" si="93"/>
        <v/>
      </c>
      <c r="AF240" s="90"/>
      <c r="AG240" s="42" t="str">
        <f t="shared" si="94"/>
        <v/>
      </c>
      <c r="AH240" s="42" t="str">
        <f t="shared" si="95"/>
        <v/>
      </c>
      <c r="AI240" s="90"/>
      <c r="AJ240" s="42" t="str">
        <f t="shared" si="96"/>
        <v/>
      </c>
      <c r="AK240" s="42" t="str">
        <f t="shared" si="97"/>
        <v/>
      </c>
      <c r="AL240" s="14" t="str">
        <f t="shared" si="98"/>
        <v/>
      </c>
      <c r="AM240" s="14" t="str">
        <f t="shared" si="99"/>
        <v/>
      </c>
      <c r="AN240" s="14" t="str">
        <f t="shared" si="100"/>
        <v/>
      </c>
      <c r="AO240" s="14" t="str">
        <f>IF(OR($C240="01-09",$D240="Male"),"",INDEX(PMTCT!$AD:$AD,MATCH($E240,PMTCT!$E:$E,0)))</f>
        <v/>
      </c>
      <c r="AP240" s="14" t="str">
        <f>IF(OR($C240="01-09",$D240="Male"),"",INDEX(PMTCT!$AT:$AT,MATCH($E240,PMTCT!$E:$E,0)))</f>
        <v/>
      </c>
      <c r="AQ240" s="14" t="str">
        <f>INDEX(TB!$Q:$Q,MATCH($E240,TB!$E:$E,0))</f>
        <v/>
      </c>
      <c r="AR240" s="14" t="str">
        <f>IF(OR($C240="01-09",$C240="10-14",$D240="Female"),"",INDEX(VMMC!$AB:$AB,MATCH($E240,VMMC!$E:$E,0)))</f>
        <v/>
      </c>
      <c r="AS240" s="14" t="str">
        <f>IF(OR($C240="01-09",$C240="10-14"),"",INDEX(PrEP!$Q:$Q,MATCH($E240,PrEP!$E:$E,0)))</f>
        <v/>
      </c>
      <c r="AT240" s="14" t="str">
        <f t="shared" si="101"/>
        <v/>
      </c>
      <c r="AU240" s="14" t="str">
        <f t="shared" si="102"/>
        <v/>
      </c>
      <c r="AV240" s="90" t="str">
        <f t="shared" si="103"/>
        <v/>
      </c>
      <c r="AW240" s="14"/>
      <c r="AX240" s="90" t="str">
        <f t="shared" si="104"/>
        <v/>
      </c>
      <c r="AY240" s="42" t="str">
        <f t="shared" si="105"/>
        <v/>
      </c>
      <c r="AZ240" s="90">
        <f t="shared" si="106"/>
        <v>1</v>
      </c>
      <c r="BA240" s="42" t="str">
        <f t="shared" si="107"/>
        <v/>
      </c>
    </row>
    <row r="241" spans="1:53" x14ac:dyDescent="0.2">
      <c r="A241" t="str">
        <f>INDEX(Prioritization!$D:$D,MATCH($B241,Prioritization!$A:$A,0))</f>
        <v>1 - Scale-up: Saturation</v>
      </c>
      <c r="B241" t="s">
        <v>211</v>
      </c>
      <c r="C241" t="s">
        <v>367</v>
      </c>
      <c r="D241" t="s">
        <v>29</v>
      </c>
      <c r="E241" t="str">
        <f t="shared" si="81"/>
        <v>Chikwawa District [U8c0so51kT6]|50+|Female</v>
      </c>
      <c r="F241" s="90">
        <f>IF(LEFT($B241,4)="_Mil","",INDEX(Cascade!$AA:$AA,MATCH($E241,Cascade!$E:$E,0)))</f>
        <v>1469</v>
      </c>
      <c r="G241" s="14">
        <f>INDEX(Cascade!$BH:$BH,MATCH($E241,Cascade!$E:$E,0))</f>
        <v>0</v>
      </c>
      <c r="H241" s="14" t="str">
        <f>IF(OR($C241="01-09",$D241="Male"),"",INDEX(PMTCT!$AC:$AC,MATCH($E241,PMTCT!$E:$E,0)))</f>
        <v/>
      </c>
      <c r="I241" s="14" t="str">
        <f>IF(OR($C241="01-09",$D241="Male"),"",INDEX(PMTCT!$AS:$AS,MATCH($E241,PMTCT!$E:$E,0)))</f>
        <v/>
      </c>
      <c r="J241" s="14" t="str">
        <f>INDEX(TB!$P:$P,MATCH($E241,TB!$E:$E,0))</f>
        <v/>
      </c>
      <c r="K241" s="14" t="str">
        <f>IF(OR($C241="01-09",$C241="10-14",$D241="Female"),"",INDEX(VMMC!$AA:$AA,MATCH($E241,VMMC!$E:$E,0)))</f>
        <v/>
      </c>
      <c r="L241" s="14">
        <f t="shared" si="82"/>
        <v>0</v>
      </c>
      <c r="M241" s="90" t="str">
        <f t="shared" si="83"/>
        <v/>
      </c>
      <c r="N241" s="90" t="str">
        <f t="shared" si="84"/>
        <v/>
      </c>
      <c r="O241" s="90" t="str">
        <f t="shared" si="85"/>
        <v/>
      </c>
      <c r="P241" s="90" t="str">
        <f t="shared" si="86"/>
        <v/>
      </c>
      <c r="Q241" s="90"/>
      <c r="R241" s="90"/>
      <c r="S241" s="90"/>
      <c r="T241" s="90"/>
      <c r="U241" s="90">
        <v>0.62959985854104195</v>
      </c>
      <c r="V241" s="90" t="str">
        <f t="shared" si="87"/>
        <v/>
      </c>
      <c r="W241" s="90"/>
      <c r="X241" s="42" t="str">
        <f t="shared" si="88"/>
        <v/>
      </c>
      <c r="Y241" s="42" t="str">
        <f t="shared" si="89"/>
        <v/>
      </c>
      <c r="Z241" s="90"/>
      <c r="AA241" s="42" t="str">
        <f t="shared" si="90"/>
        <v/>
      </c>
      <c r="AB241" s="42" t="str">
        <f t="shared" si="91"/>
        <v/>
      </c>
      <c r="AC241" s="90"/>
      <c r="AD241" s="42" t="str">
        <f t="shared" si="92"/>
        <v/>
      </c>
      <c r="AE241" s="42" t="str">
        <f t="shared" si="93"/>
        <v/>
      </c>
      <c r="AF241" s="90"/>
      <c r="AG241" s="42" t="str">
        <f t="shared" si="94"/>
        <v/>
      </c>
      <c r="AH241" s="42" t="str">
        <f t="shared" si="95"/>
        <v/>
      </c>
      <c r="AI241" s="90">
        <v>0.67623126110993304</v>
      </c>
      <c r="AJ241" s="42" t="str">
        <f t="shared" si="96"/>
        <v/>
      </c>
      <c r="AK241" s="42" t="str">
        <f t="shared" si="97"/>
        <v/>
      </c>
      <c r="AL241" s="14" t="str">
        <f t="shared" si="98"/>
        <v/>
      </c>
      <c r="AM241" s="14" t="str">
        <f t="shared" si="99"/>
        <v/>
      </c>
      <c r="AN241" s="14" t="str">
        <f t="shared" si="100"/>
        <v/>
      </c>
      <c r="AO241" s="14" t="str">
        <f>IF(OR($C241="01-09",$D241="Male"),"",INDEX(PMTCT!$AD:$AD,MATCH($E241,PMTCT!$E:$E,0)))</f>
        <v/>
      </c>
      <c r="AP241" s="14" t="str">
        <f>IF(OR($C241="01-09",$D241="Male"),"",INDEX(PMTCT!$AT:$AT,MATCH($E241,PMTCT!$E:$E,0)))</f>
        <v/>
      </c>
      <c r="AQ241" s="14" t="str">
        <f>INDEX(TB!$Q:$Q,MATCH($E241,TB!$E:$E,0))</f>
        <v/>
      </c>
      <c r="AR241" s="14" t="str">
        <f>IF(OR($C241="01-09",$C241="10-14",$D241="Female"),"",INDEX(VMMC!$AB:$AB,MATCH($E241,VMMC!$E:$E,0)))</f>
        <v/>
      </c>
      <c r="AS241" s="14" t="str">
        <f>IF(OR($C241="01-09",$C241="10-14"),"",INDEX(PrEP!$Q:$Q,MATCH($E241,PrEP!$E:$E,0)))</f>
        <v/>
      </c>
      <c r="AT241" s="14" t="str">
        <f t="shared" si="101"/>
        <v/>
      </c>
      <c r="AU241" s="14" t="str">
        <f t="shared" si="102"/>
        <v/>
      </c>
      <c r="AV241" s="90" t="str">
        <f t="shared" si="103"/>
        <v/>
      </c>
      <c r="AW241" s="14">
        <v>458</v>
      </c>
      <c r="AX241" s="90">
        <f t="shared" si="104"/>
        <v>0</v>
      </c>
      <c r="AY241" s="42">
        <f t="shared" si="105"/>
        <v>458</v>
      </c>
      <c r="AZ241" s="90">
        <f t="shared" si="106"/>
        <v>1</v>
      </c>
      <c r="BA241" s="42" t="str">
        <f t="shared" si="107"/>
        <v/>
      </c>
    </row>
    <row r="242" spans="1:53" x14ac:dyDescent="0.2">
      <c r="A242" t="str">
        <f>INDEX(Prioritization!$D:$D,MATCH($B242,Prioritization!$A:$A,0))</f>
        <v>1 - Scale-up: Saturation</v>
      </c>
      <c r="B242" t="s">
        <v>211</v>
      </c>
      <c r="C242" t="s">
        <v>367</v>
      </c>
      <c r="D242" t="s">
        <v>47</v>
      </c>
      <c r="E242" t="str">
        <f t="shared" si="81"/>
        <v>Chikwawa District [U8c0so51kT6]|50+|Male</v>
      </c>
      <c r="F242" s="90">
        <f>IF(LEFT($B242,4)="_Mil","",INDEX(Cascade!$AA:$AA,MATCH($E242,Cascade!$E:$E,0)))</f>
        <v>1963</v>
      </c>
      <c r="G242" s="14">
        <f>INDEX(Cascade!$BH:$BH,MATCH($E242,Cascade!$E:$E,0))</f>
        <v>0</v>
      </c>
      <c r="H242" s="14" t="str">
        <f>IF(OR($C242="01-09",$D242="Male"),"",INDEX(PMTCT!$AC:$AC,MATCH($E242,PMTCT!$E:$E,0)))</f>
        <v/>
      </c>
      <c r="I242" s="14" t="str">
        <f>IF(OR($C242="01-09",$D242="Male"),"",INDEX(PMTCT!$AS:$AS,MATCH($E242,PMTCT!$E:$E,0)))</f>
        <v/>
      </c>
      <c r="J242" s="14" t="str">
        <f>INDEX(TB!$P:$P,MATCH($E242,TB!$E:$E,0))</f>
        <v/>
      </c>
      <c r="K242" s="14" t="str">
        <f>IF(OR($C242="01-09",$C242="10-14",$D242="Female"),"",INDEX(VMMC!$AA:$AA,MATCH($E242,VMMC!$E:$E,0)))</f>
        <v/>
      </c>
      <c r="L242" s="14">
        <f t="shared" si="82"/>
        <v>0</v>
      </c>
      <c r="M242" s="90" t="str">
        <f t="shared" si="83"/>
        <v/>
      </c>
      <c r="N242" s="90" t="str">
        <f t="shared" si="84"/>
        <v/>
      </c>
      <c r="O242" s="90" t="str">
        <f t="shared" si="85"/>
        <v/>
      </c>
      <c r="P242" s="90" t="str">
        <f t="shared" si="86"/>
        <v/>
      </c>
      <c r="Q242" s="90"/>
      <c r="R242" s="90"/>
      <c r="S242" s="90"/>
      <c r="T242" s="90"/>
      <c r="U242" s="90">
        <v>3.5901433788239998E-2</v>
      </c>
      <c r="V242" s="90" t="str">
        <f t="shared" si="87"/>
        <v/>
      </c>
      <c r="W242" s="90"/>
      <c r="X242" s="42" t="str">
        <f t="shared" si="88"/>
        <v/>
      </c>
      <c r="Y242" s="42" t="str">
        <f t="shared" si="89"/>
        <v/>
      </c>
      <c r="Z242" s="90"/>
      <c r="AA242" s="42" t="str">
        <f t="shared" si="90"/>
        <v/>
      </c>
      <c r="AB242" s="42" t="str">
        <f t="shared" si="91"/>
        <v/>
      </c>
      <c r="AC242" s="90"/>
      <c r="AD242" s="42" t="str">
        <f t="shared" si="92"/>
        <v/>
      </c>
      <c r="AE242" s="42" t="str">
        <f t="shared" si="93"/>
        <v/>
      </c>
      <c r="AF242" s="90"/>
      <c r="AG242" s="42" t="str">
        <f t="shared" si="94"/>
        <v/>
      </c>
      <c r="AH242" s="42" t="str">
        <f t="shared" si="95"/>
        <v/>
      </c>
      <c r="AI242" s="90">
        <v>0.79683222435414802</v>
      </c>
      <c r="AJ242" s="42" t="str">
        <f t="shared" si="96"/>
        <v/>
      </c>
      <c r="AK242" s="42" t="str">
        <f t="shared" si="97"/>
        <v/>
      </c>
      <c r="AL242" s="14" t="str">
        <f t="shared" si="98"/>
        <v/>
      </c>
      <c r="AM242" s="14" t="str">
        <f t="shared" si="99"/>
        <v/>
      </c>
      <c r="AN242" s="14" t="str">
        <f t="shared" si="100"/>
        <v/>
      </c>
      <c r="AO242" s="14" t="str">
        <f>IF(OR($C242="01-09",$D242="Male"),"",INDEX(PMTCT!$AD:$AD,MATCH($E242,PMTCT!$E:$E,0)))</f>
        <v/>
      </c>
      <c r="AP242" s="14" t="str">
        <f>IF(OR($C242="01-09",$D242="Male"),"",INDEX(PMTCT!$AT:$AT,MATCH($E242,PMTCT!$E:$E,0)))</f>
        <v/>
      </c>
      <c r="AQ242" s="14" t="str">
        <f>INDEX(TB!$Q:$Q,MATCH($E242,TB!$E:$E,0))</f>
        <v/>
      </c>
      <c r="AR242" s="14" t="str">
        <f>IF(OR($C242="01-09",$C242="10-14",$D242="Female"),"",INDEX(VMMC!$AB:$AB,MATCH($E242,VMMC!$E:$E,0)))</f>
        <v/>
      </c>
      <c r="AS242" s="14" t="str">
        <f>IF(OR($C242="01-09",$C242="10-14"),"",INDEX(PrEP!$Q:$Q,MATCH($E242,PrEP!$E:$E,0)))</f>
        <v/>
      </c>
      <c r="AT242" s="14" t="str">
        <f t="shared" si="101"/>
        <v/>
      </c>
      <c r="AU242" s="14" t="str">
        <f t="shared" si="102"/>
        <v/>
      </c>
      <c r="AV242" s="90" t="str">
        <f t="shared" si="103"/>
        <v/>
      </c>
      <c r="AW242" s="14">
        <v>890</v>
      </c>
      <c r="AX242" s="90">
        <f t="shared" si="104"/>
        <v>0</v>
      </c>
      <c r="AY242" s="42">
        <f t="shared" si="105"/>
        <v>890</v>
      </c>
      <c r="AZ242" s="90">
        <f t="shared" si="106"/>
        <v>1</v>
      </c>
      <c r="BA242" s="42" t="str">
        <f t="shared" si="107"/>
        <v/>
      </c>
    </row>
    <row r="243" spans="1:53" x14ac:dyDescent="0.2">
      <c r="A243" t="str">
        <f>INDEX(Prioritization!$D:$D,MATCH($B243,Prioritization!$A:$A,0))</f>
        <v>1 - Scale-up: Saturation</v>
      </c>
      <c r="B243" t="s">
        <v>212</v>
      </c>
      <c r="C243" t="s">
        <v>362</v>
      </c>
      <c r="D243" t="s">
        <v>29</v>
      </c>
      <c r="E243" t="str">
        <f t="shared" si="81"/>
        <v>Chiradzulu District [oiPR2CiVJbf]|01-09|Female</v>
      </c>
      <c r="F243" s="90">
        <f>IF(LEFT($B243,4)="_Mil","",INDEX(Cascade!$AA:$AA,MATCH($E243,Cascade!$E:$E,0)))</f>
        <v>607</v>
      </c>
      <c r="G243" s="14">
        <f>INDEX(Cascade!$BH:$BH,MATCH($E243,Cascade!$E:$E,0))</f>
        <v>0</v>
      </c>
      <c r="H243" s="14" t="str">
        <f>IF(OR($C243="01-09",$D243="Male"),"",INDEX(PMTCT!$AC:$AC,MATCH($E243,PMTCT!$E:$E,0)))</f>
        <v/>
      </c>
      <c r="I243" s="14" t="str">
        <f>IF(OR($C243="01-09",$D243="Male"),"",INDEX(PMTCT!$AS:$AS,MATCH($E243,PMTCT!$E:$E,0)))</f>
        <v/>
      </c>
      <c r="J243" s="14" t="str">
        <f>INDEX(TB!$P:$P,MATCH($E243,TB!$E:$E,0))</f>
        <v/>
      </c>
      <c r="K243" s="14" t="str">
        <f>IF(OR($C243="01-09",$C243="10-14",$D243="Female"),"",INDEX(VMMC!$AA:$AA,MATCH($E243,VMMC!$E:$E,0)))</f>
        <v/>
      </c>
      <c r="L243" s="14">
        <f t="shared" si="82"/>
        <v>0</v>
      </c>
      <c r="M243" s="90" t="str">
        <f t="shared" si="83"/>
        <v/>
      </c>
      <c r="N243" s="90" t="str">
        <f t="shared" si="84"/>
        <v/>
      </c>
      <c r="O243" s="90" t="str">
        <f t="shared" si="85"/>
        <v/>
      </c>
      <c r="P243" s="90" t="str">
        <f t="shared" si="86"/>
        <v/>
      </c>
      <c r="Q243" s="90"/>
      <c r="R243" s="90"/>
      <c r="S243" s="90"/>
      <c r="T243" s="90"/>
      <c r="U243" s="90"/>
      <c r="V243" s="90" t="str">
        <f t="shared" si="87"/>
        <v/>
      </c>
      <c r="W243" s="90"/>
      <c r="X243" s="42" t="str">
        <f t="shared" si="88"/>
        <v/>
      </c>
      <c r="Y243" s="42" t="str">
        <f t="shared" si="89"/>
        <v/>
      </c>
      <c r="Z243" s="90"/>
      <c r="AA243" s="42" t="str">
        <f t="shared" si="90"/>
        <v/>
      </c>
      <c r="AB243" s="42" t="str">
        <f t="shared" si="91"/>
        <v/>
      </c>
      <c r="AC243" s="90"/>
      <c r="AD243" s="42" t="str">
        <f t="shared" si="92"/>
        <v/>
      </c>
      <c r="AE243" s="42" t="str">
        <f t="shared" si="93"/>
        <v/>
      </c>
      <c r="AF243" s="90"/>
      <c r="AG243" s="42" t="str">
        <f t="shared" si="94"/>
        <v/>
      </c>
      <c r="AH243" s="42" t="str">
        <f t="shared" si="95"/>
        <v/>
      </c>
      <c r="AI243" s="90"/>
      <c r="AJ243" s="42" t="str">
        <f t="shared" si="96"/>
        <v/>
      </c>
      <c r="AK243" s="42" t="str">
        <f t="shared" si="97"/>
        <v/>
      </c>
      <c r="AL243" s="14" t="str">
        <f t="shared" si="98"/>
        <v/>
      </c>
      <c r="AM243" s="14" t="str">
        <f t="shared" si="99"/>
        <v/>
      </c>
      <c r="AN243" s="14" t="str">
        <f t="shared" si="100"/>
        <v/>
      </c>
      <c r="AO243" s="14" t="str">
        <f>IF(OR($C243="01-09",$D243="Male"),"",INDEX(PMTCT!$AD:$AD,MATCH($E243,PMTCT!$E:$E,0)))</f>
        <v/>
      </c>
      <c r="AP243" s="14" t="str">
        <f>IF(OR($C243="01-09",$D243="Male"),"",INDEX(PMTCT!$AT:$AT,MATCH($E243,PMTCT!$E:$E,0)))</f>
        <v/>
      </c>
      <c r="AQ243" s="14" t="str">
        <f>INDEX(TB!$Q:$Q,MATCH($E243,TB!$E:$E,0))</f>
        <v/>
      </c>
      <c r="AR243" s="14" t="str">
        <f>IF(OR($C243="01-09",$C243="10-14",$D243="Female"),"",INDEX(VMMC!$AB:$AB,MATCH($E243,VMMC!$E:$E,0)))</f>
        <v/>
      </c>
      <c r="AS243" s="14" t="str">
        <f>IF(OR($C243="01-09",$C243="10-14"),"",INDEX(PrEP!$Q:$Q,MATCH($E243,PrEP!$E:$E,0)))</f>
        <v/>
      </c>
      <c r="AT243" s="14" t="str">
        <f t="shared" si="101"/>
        <v/>
      </c>
      <c r="AU243" s="14" t="str">
        <f t="shared" si="102"/>
        <v/>
      </c>
      <c r="AV243" s="90" t="str">
        <f t="shared" si="103"/>
        <v/>
      </c>
      <c r="AW243" s="14"/>
      <c r="AX243" s="90" t="str">
        <f t="shared" si="104"/>
        <v/>
      </c>
      <c r="AY243" s="42" t="str">
        <f t="shared" si="105"/>
        <v/>
      </c>
      <c r="AZ243" s="90" t="str">
        <f t="shared" si="106"/>
        <v/>
      </c>
      <c r="BA243" s="42" t="str">
        <f t="shared" si="107"/>
        <v/>
      </c>
    </row>
    <row r="244" spans="1:53" x14ac:dyDescent="0.2">
      <c r="A244" t="str">
        <f>INDEX(Prioritization!$D:$D,MATCH($B244,Prioritization!$A:$A,0))</f>
        <v>1 - Scale-up: Saturation</v>
      </c>
      <c r="B244" t="s">
        <v>212</v>
      </c>
      <c r="C244" t="s">
        <v>362</v>
      </c>
      <c r="D244" t="s">
        <v>47</v>
      </c>
      <c r="E244" t="str">
        <f t="shared" si="81"/>
        <v>Chiradzulu District [oiPR2CiVJbf]|01-09|Male</v>
      </c>
      <c r="F244" s="90">
        <f>IF(LEFT($B244,4)="_Mil","",INDEX(Cascade!$AA:$AA,MATCH($E244,Cascade!$E:$E,0)))</f>
        <v>1387</v>
      </c>
      <c r="G244" s="14">
        <f>INDEX(Cascade!$BH:$BH,MATCH($E244,Cascade!$E:$E,0))</f>
        <v>0</v>
      </c>
      <c r="H244" s="14" t="str">
        <f>IF(OR($C244="01-09",$D244="Male"),"",INDEX(PMTCT!$AC:$AC,MATCH($E244,PMTCT!$E:$E,0)))</f>
        <v/>
      </c>
      <c r="I244" s="14" t="str">
        <f>IF(OR($C244="01-09",$D244="Male"),"",INDEX(PMTCT!$AS:$AS,MATCH($E244,PMTCT!$E:$E,0)))</f>
        <v/>
      </c>
      <c r="J244" s="14" t="str">
        <f>INDEX(TB!$P:$P,MATCH($E244,TB!$E:$E,0))</f>
        <v/>
      </c>
      <c r="K244" s="14" t="str">
        <f>IF(OR($C244="01-09",$C244="10-14",$D244="Female"),"",INDEX(VMMC!$AA:$AA,MATCH($E244,VMMC!$E:$E,0)))</f>
        <v/>
      </c>
      <c r="L244" s="14">
        <f t="shared" si="82"/>
        <v>0</v>
      </c>
      <c r="M244" s="90" t="str">
        <f t="shared" si="83"/>
        <v/>
      </c>
      <c r="N244" s="90" t="str">
        <f t="shared" si="84"/>
        <v/>
      </c>
      <c r="O244" s="90" t="str">
        <f t="shared" si="85"/>
        <v/>
      </c>
      <c r="P244" s="90" t="str">
        <f t="shared" si="86"/>
        <v/>
      </c>
      <c r="Q244" s="90"/>
      <c r="R244" s="90"/>
      <c r="S244" s="90"/>
      <c r="T244" s="90"/>
      <c r="U244" s="90"/>
      <c r="V244" s="90" t="str">
        <f t="shared" si="87"/>
        <v/>
      </c>
      <c r="W244" s="90"/>
      <c r="X244" s="42" t="str">
        <f t="shared" si="88"/>
        <v/>
      </c>
      <c r="Y244" s="42" t="str">
        <f t="shared" si="89"/>
        <v/>
      </c>
      <c r="Z244" s="90"/>
      <c r="AA244" s="42" t="str">
        <f t="shared" si="90"/>
        <v/>
      </c>
      <c r="AB244" s="42" t="str">
        <f t="shared" si="91"/>
        <v/>
      </c>
      <c r="AC244" s="90"/>
      <c r="AD244" s="42" t="str">
        <f t="shared" si="92"/>
        <v/>
      </c>
      <c r="AE244" s="42" t="str">
        <f t="shared" si="93"/>
        <v/>
      </c>
      <c r="AF244" s="90"/>
      <c r="AG244" s="42" t="str">
        <f t="shared" si="94"/>
        <v/>
      </c>
      <c r="AH244" s="42" t="str">
        <f t="shared" si="95"/>
        <v/>
      </c>
      <c r="AI244" s="90"/>
      <c r="AJ244" s="42" t="str">
        <f t="shared" si="96"/>
        <v/>
      </c>
      <c r="AK244" s="42" t="str">
        <f t="shared" si="97"/>
        <v/>
      </c>
      <c r="AL244" s="14" t="str">
        <f t="shared" si="98"/>
        <v/>
      </c>
      <c r="AM244" s="14" t="str">
        <f t="shared" si="99"/>
        <v/>
      </c>
      <c r="AN244" s="14" t="str">
        <f t="shared" si="100"/>
        <v/>
      </c>
      <c r="AO244" s="14" t="str">
        <f>IF(OR($C244="01-09",$D244="Male"),"",INDEX(PMTCT!$AD:$AD,MATCH($E244,PMTCT!$E:$E,0)))</f>
        <v/>
      </c>
      <c r="AP244" s="14" t="str">
        <f>IF(OR($C244="01-09",$D244="Male"),"",INDEX(PMTCT!$AT:$AT,MATCH($E244,PMTCT!$E:$E,0)))</f>
        <v/>
      </c>
      <c r="AQ244" s="14" t="str">
        <f>INDEX(TB!$Q:$Q,MATCH($E244,TB!$E:$E,0))</f>
        <v/>
      </c>
      <c r="AR244" s="14" t="str">
        <f>IF(OR($C244="01-09",$C244="10-14",$D244="Female"),"",INDEX(VMMC!$AB:$AB,MATCH($E244,VMMC!$E:$E,0)))</f>
        <v/>
      </c>
      <c r="AS244" s="14" t="str">
        <f>IF(OR($C244="01-09",$C244="10-14"),"",INDEX(PrEP!$Q:$Q,MATCH($E244,PrEP!$E:$E,0)))</f>
        <v/>
      </c>
      <c r="AT244" s="14" t="str">
        <f t="shared" si="101"/>
        <v/>
      </c>
      <c r="AU244" s="14" t="str">
        <f t="shared" si="102"/>
        <v/>
      </c>
      <c r="AV244" s="90" t="str">
        <f t="shared" si="103"/>
        <v/>
      </c>
      <c r="AW244" s="14"/>
      <c r="AX244" s="90" t="str">
        <f t="shared" si="104"/>
        <v/>
      </c>
      <c r="AY244" s="42" t="str">
        <f t="shared" si="105"/>
        <v/>
      </c>
      <c r="AZ244" s="90" t="str">
        <f t="shared" si="106"/>
        <v/>
      </c>
      <c r="BA244" s="42" t="str">
        <f t="shared" si="107"/>
        <v/>
      </c>
    </row>
    <row r="245" spans="1:53" x14ac:dyDescent="0.2">
      <c r="A245" t="str">
        <f>INDEX(Prioritization!$D:$D,MATCH($B245,Prioritization!$A:$A,0))</f>
        <v>1 - Scale-up: Saturation</v>
      </c>
      <c r="B245" t="s">
        <v>212</v>
      </c>
      <c r="C245" t="s">
        <v>363</v>
      </c>
      <c r="D245" t="s">
        <v>29</v>
      </c>
      <c r="E245" t="str">
        <f t="shared" si="81"/>
        <v>Chiradzulu District [oiPR2CiVJbf]|10-14|Female</v>
      </c>
      <c r="F245" s="90">
        <f>IF(LEFT($B245,4)="_Mil","",INDEX(Cascade!$AA:$AA,MATCH($E245,Cascade!$E:$E,0)))</f>
        <v>1675</v>
      </c>
      <c r="G245" s="14">
        <f>INDEX(Cascade!$BH:$BH,MATCH($E245,Cascade!$E:$E,0))</f>
        <v>-26</v>
      </c>
      <c r="H245" s="14">
        <f>IF(OR($C245="01-09",$D245="Male"),"",INDEX(PMTCT!$AC:$AC,MATCH($E245,PMTCT!$E:$E,0)))</f>
        <v>0</v>
      </c>
      <c r="I245" s="14" t="str">
        <f>IF(OR($C245="01-09",$D245="Male"),"",INDEX(PMTCT!$AS:$AS,MATCH($E245,PMTCT!$E:$E,0)))</f>
        <v>ENTER YIELD RATE</v>
      </c>
      <c r="J245" s="14" t="str">
        <f>INDEX(TB!$P:$P,MATCH($E245,TB!$E:$E,0))</f>
        <v/>
      </c>
      <c r="K245" s="14" t="str">
        <f>IF(OR($C245="01-09",$C245="10-14",$D245="Female"),"",INDEX(VMMC!$AA:$AA,MATCH($E245,VMMC!$E:$E,0)))</f>
        <v/>
      </c>
      <c r="L245" s="14">
        <f t="shared" si="82"/>
        <v>-26</v>
      </c>
      <c r="M245" s="90">
        <f t="shared" si="83"/>
        <v>0</v>
      </c>
      <c r="N245" s="90">
        <f t="shared" si="84"/>
        <v>0</v>
      </c>
      <c r="O245" s="90">
        <f t="shared" si="85"/>
        <v>0</v>
      </c>
      <c r="P245" s="90" t="str">
        <f t="shared" si="86"/>
        <v/>
      </c>
      <c r="Q245" s="90">
        <v>0.80147222219966396</v>
      </c>
      <c r="R245" s="90"/>
      <c r="S245" s="90"/>
      <c r="T245" s="90"/>
      <c r="U245" s="90">
        <v>0.56871340982615903</v>
      </c>
      <c r="V245" s="90">
        <f t="shared" si="87"/>
        <v>1.370185632025823</v>
      </c>
      <c r="W245" s="90"/>
      <c r="X245" s="42">
        <f t="shared" si="88"/>
        <v>-21</v>
      </c>
      <c r="Y245" s="42" t="str">
        <f t="shared" si="89"/>
        <v>ENTER YIELD</v>
      </c>
      <c r="Z245" s="90"/>
      <c r="AA245" s="42" t="str">
        <f t="shared" si="90"/>
        <v/>
      </c>
      <c r="AB245" s="42" t="str">
        <f t="shared" si="91"/>
        <v/>
      </c>
      <c r="AC245" s="90"/>
      <c r="AD245" s="42" t="str">
        <f t="shared" si="92"/>
        <v/>
      </c>
      <c r="AE245" s="42" t="str">
        <f t="shared" si="93"/>
        <v/>
      </c>
      <c r="AF245" s="90"/>
      <c r="AG245" s="42" t="str">
        <f t="shared" si="94"/>
        <v/>
      </c>
      <c r="AH245" s="42" t="str">
        <f t="shared" si="95"/>
        <v/>
      </c>
      <c r="AI245" s="90">
        <v>0.60186038352549098</v>
      </c>
      <c r="AJ245" s="42">
        <f t="shared" si="96"/>
        <v>-15</v>
      </c>
      <c r="AK245" s="42">
        <f t="shared" si="97"/>
        <v>-10</v>
      </c>
      <c r="AL245" s="14">
        <f t="shared" si="98"/>
        <v>-26</v>
      </c>
      <c r="AM245" s="14">
        <f t="shared" si="99"/>
        <v>-36</v>
      </c>
      <c r="AN245" s="14">
        <f t="shared" si="100"/>
        <v>-10</v>
      </c>
      <c r="AO245" s="14">
        <f>IF(OR($C245="01-09",$D245="Male"),"",INDEX(PMTCT!$AD:$AD,MATCH($E245,PMTCT!$E:$E,0)))</f>
        <v>6</v>
      </c>
      <c r="AP245" s="14">
        <f>IF(OR($C245="01-09",$D245="Male"),"",INDEX(PMTCT!$AT:$AT,MATCH($E245,PMTCT!$E:$E,0)))</f>
        <v>6</v>
      </c>
      <c r="AQ245" s="14" t="str">
        <f>INDEX(TB!$Q:$Q,MATCH($E245,TB!$E:$E,0))</f>
        <v/>
      </c>
      <c r="AR245" s="14" t="str">
        <f>IF(OR($C245="01-09",$C245="10-14",$D245="Female"),"",INDEX(VMMC!$AB:$AB,MATCH($E245,VMMC!$E:$E,0)))</f>
        <v/>
      </c>
      <c r="AS245" s="14" t="str">
        <f>IF(OR($C245="01-09",$C245="10-14"),"",INDEX(PrEP!$Q:$Q,MATCH($E245,PrEP!$E:$E,0)))</f>
        <v/>
      </c>
      <c r="AT245" s="14">
        <f t="shared" si="101"/>
        <v>2</v>
      </c>
      <c r="AU245" s="14">
        <f t="shared" si="102"/>
        <v>-34</v>
      </c>
      <c r="AV245" s="90">
        <f t="shared" si="103"/>
        <v>1.0588235294117647</v>
      </c>
      <c r="AW245" s="14"/>
      <c r="AX245" s="90" t="str">
        <f t="shared" si="104"/>
        <v/>
      </c>
      <c r="AY245" s="42" t="str">
        <f t="shared" si="105"/>
        <v/>
      </c>
      <c r="AZ245" s="90" t="str">
        <f t="shared" si="106"/>
        <v/>
      </c>
      <c r="BA245" s="42" t="str">
        <f t="shared" si="107"/>
        <v/>
      </c>
    </row>
    <row r="246" spans="1:53" x14ac:dyDescent="0.2">
      <c r="A246" t="str">
        <f>INDEX(Prioritization!$D:$D,MATCH($B246,Prioritization!$A:$A,0))</f>
        <v>1 - Scale-up: Saturation</v>
      </c>
      <c r="B246" t="s">
        <v>212</v>
      </c>
      <c r="C246" t="s">
        <v>363</v>
      </c>
      <c r="D246" t="s">
        <v>47</v>
      </c>
      <c r="E246" t="str">
        <f t="shared" si="81"/>
        <v>Chiradzulu District [oiPR2CiVJbf]|10-14|Male</v>
      </c>
      <c r="F246" s="90">
        <f>IF(LEFT($B246,4)="_Mil","",INDEX(Cascade!$AA:$AA,MATCH($E246,Cascade!$E:$E,0)))</f>
        <v>1851</v>
      </c>
      <c r="G246" s="14">
        <f>INDEX(Cascade!$BH:$BH,MATCH($E246,Cascade!$E:$E,0))</f>
        <v>-49</v>
      </c>
      <c r="H246" s="14" t="str">
        <f>IF(OR($C246="01-09",$D246="Male"),"",INDEX(PMTCT!$AC:$AC,MATCH($E246,PMTCT!$E:$E,0)))</f>
        <v/>
      </c>
      <c r="I246" s="14" t="str">
        <f>IF(OR($C246="01-09",$D246="Male"),"",INDEX(PMTCT!$AS:$AS,MATCH($E246,PMTCT!$E:$E,0)))</f>
        <v/>
      </c>
      <c r="J246" s="14" t="str">
        <f>INDEX(TB!$P:$P,MATCH($E246,TB!$E:$E,0))</f>
        <v/>
      </c>
      <c r="K246" s="14" t="str">
        <f>IF(OR($C246="01-09",$C246="10-14",$D246="Female"),"",INDEX(VMMC!$AA:$AA,MATCH($E246,VMMC!$E:$E,0)))</f>
        <v/>
      </c>
      <c r="L246" s="14">
        <f t="shared" si="82"/>
        <v>-49</v>
      </c>
      <c r="M246" s="90" t="str">
        <f t="shared" si="83"/>
        <v/>
      </c>
      <c r="N246" s="90" t="str">
        <f t="shared" si="84"/>
        <v/>
      </c>
      <c r="O246" s="90">
        <f t="shared" si="85"/>
        <v>0</v>
      </c>
      <c r="P246" s="90" t="str">
        <f t="shared" si="86"/>
        <v/>
      </c>
      <c r="Q246" s="90">
        <v>0.86387444869615104</v>
      </c>
      <c r="R246" s="90"/>
      <c r="S246" s="90"/>
      <c r="T246" s="90"/>
      <c r="U246" s="90">
        <v>5.6607977254316197E-2</v>
      </c>
      <c r="V246" s="90">
        <f t="shared" si="87"/>
        <v>0.92048242595046725</v>
      </c>
      <c r="W246" s="90"/>
      <c r="X246" s="42">
        <f t="shared" si="88"/>
        <v>-42</v>
      </c>
      <c r="Y246" s="42" t="str">
        <f t="shared" si="89"/>
        <v>ENTER YIELD</v>
      </c>
      <c r="Z246" s="90"/>
      <c r="AA246" s="42" t="str">
        <f t="shared" si="90"/>
        <v/>
      </c>
      <c r="AB246" s="42" t="str">
        <f t="shared" si="91"/>
        <v/>
      </c>
      <c r="AC246" s="90"/>
      <c r="AD246" s="42" t="str">
        <f t="shared" si="92"/>
        <v/>
      </c>
      <c r="AE246" s="42" t="str">
        <f t="shared" si="93"/>
        <v/>
      </c>
      <c r="AF246" s="90"/>
      <c r="AG246" s="42" t="str">
        <f t="shared" si="94"/>
        <v/>
      </c>
      <c r="AH246" s="42" t="str">
        <f t="shared" si="95"/>
        <v/>
      </c>
      <c r="AI246" s="90">
        <v>0.22423856309615101</v>
      </c>
      <c r="AJ246" s="42">
        <f t="shared" si="96"/>
        <v>-3</v>
      </c>
      <c r="AK246" s="42">
        <f t="shared" si="97"/>
        <v>-10</v>
      </c>
      <c r="AL246" s="14">
        <f t="shared" si="98"/>
        <v>-49</v>
      </c>
      <c r="AM246" s="14">
        <f t="shared" si="99"/>
        <v>-45</v>
      </c>
      <c r="AN246" s="14">
        <f t="shared" si="100"/>
        <v>4</v>
      </c>
      <c r="AO246" s="14" t="str">
        <f>IF(OR($C246="01-09",$D246="Male"),"",INDEX(PMTCT!$AD:$AD,MATCH($E246,PMTCT!$E:$E,0)))</f>
        <v/>
      </c>
      <c r="AP246" s="14" t="str">
        <f>IF(OR($C246="01-09",$D246="Male"),"",INDEX(PMTCT!$AT:$AT,MATCH($E246,PMTCT!$E:$E,0)))</f>
        <v/>
      </c>
      <c r="AQ246" s="14" t="str">
        <f>INDEX(TB!$Q:$Q,MATCH($E246,TB!$E:$E,0))</f>
        <v/>
      </c>
      <c r="AR246" s="14" t="str">
        <f>IF(OR($C246="01-09",$C246="10-14",$D246="Female"),"",INDEX(VMMC!$AB:$AB,MATCH($E246,VMMC!$E:$E,0)))</f>
        <v/>
      </c>
      <c r="AS246" s="14" t="str">
        <f>IF(OR($C246="01-09",$C246="10-14"),"",INDEX(PrEP!$Q:$Q,MATCH($E246,PrEP!$E:$E,0)))</f>
        <v/>
      </c>
      <c r="AT246" s="14">
        <f t="shared" si="101"/>
        <v>-10</v>
      </c>
      <c r="AU246" s="14">
        <f t="shared" si="102"/>
        <v>-55</v>
      </c>
      <c r="AV246" s="90">
        <f t="shared" si="103"/>
        <v>0.81818181818181823</v>
      </c>
      <c r="AW246" s="14"/>
      <c r="AX246" s="90" t="str">
        <f t="shared" si="104"/>
        <v/>
      </c>
      <c r="AY246" s="42" t="str">
        <f t="shared" si="105"/>
        <v/>
      </c>
      <c r="AZ246" s="90" t="str">
        <f t="shared" si="106"/>
        <v/>
      </c>
      <c r="BA246" s="42" t="str">
        <f t="shared" si="107"/>
        <v/>
      </c>
    </row>
    <row r="247" spans="1:53" x14ac:dyDescent="0.2">
      <c r="A247" t="str">
        <f>INDEX(Prioritization!$D:$D,MATCH($B247,Prioritization!$A:$A,0))</f>
        <v>1 - Scale-up: Saturation</v>
      </c>
      <c r="B247" t="s">
        <v>212</v>
      </c>
      <c r="C247" t="s">
        <v>364</v>
      </c>
      <c r="D247" t="s">
        <v>29</v>
      </c>
      <c r="E247" t="str">
        <f t="shared" si="81"/>
        <v>Chiradzulu District [oiPR2CiVJbf]|15-24|Female</v>
      </c>
      <c r="F247" s="90">
        <f>IF(LEFT($B247,4)="_Mil","",INDEX(Cascade!$AA:$AA,MATCH($E247,Cascade!$E:$E,0)))</f>
        <v>1181</v>
      </c>
      <c r="G247" s="14">
        <f>INDEX(Cascade!$BH:$BH,MATCH($E247,Cascade!$E:$E,0))</f>
        <v>0</v>
      </c>
      <c r="H247" s="14" t="str">
        <f>IF(OR($C247="01-09",$D247="Male"),"",INDEX(PMTCT!$AC:$AC,MATCH($E247,PMTCT!$E:$E,0)))</f>
        <v/>
      </c>
      <c r="I247" s="14" t="str">
        <f>IF(OR($C247="01-09",$D247="Male"),"",INDEX(PMTCT!$AS:$AS,MATCH($E247,PMTCT!$E:$E,0)))</f>
        <v/>
      </c>
      <c r="J247" s="14" t="str">
        <f>INDEX(TB!$P:$P,MATCH($E247,TB!$E:$E,0))</f>
        <v/>
      </c>
      <c r="K247" s="14" t="str">
        <f>IF(OR($C247="01-09",$C247="10-14",$D247="Female"),"",INDEX(VMMC!$AA:$AA,MATCH($E247,VMMC!$E:$E,0)))</f>
        <v/>
      </c>
      <c r="L247" s="14">
        <f t="shared" si="82"/>
        <v>0</v>
      </c>
      <c r="M247" s="90" t="str">
        <f t="shared" si="83"/>
        <v/>
      </c>
      <c r="N247" s="90" t="str">
        <f t="shared" si="84"/>
        <v/>
      </c>
      <c r="O247" s="90" t="str">
        <f t="shared" si="85"/>
        <v/>
      </c>
      <c r="P247" s="90" t="str">
        <f t="shared" si="86"/>
        <v/>
      </c>
      <c r="Q247" s="90"/>
      <c r="R247" s="90"/>
      <c r="S247" s="90"/>
      <c r="T247" s="90"/>
      <c r="U247" s="90"/>
      <c r="V247" s="90" t="str">
        <f t="shared" si="87"/>
        <v/>
      </c>
      <c r="W247" s="90"/>
      <c r="X247" s="42" t="str">
        <f t="shared" si="88"/>
        <v/>
      </c>
      <c r="Y247" s="42" t="str">
        <f t="shared" si="89"/>
        <v/>
      </c>
      <c r="Z247" s="90"/>
      <c r="AA247" s="42" t="str">
        <f t="shared" si="90"/>
        <v/>
      </c>
      <c r="AB247" s="42" t="str">
        <f t="shared" si="91"/>
        <v/>
      </c>
      <c r="AC247" s="90"/>
      <c r="AD247" s="42" t="str">
        <f t="shared" si="92"/>
        <v/>
      </c>
      <c r="AE247" s="42" t="str">
        <f t="shared" si="93"/>
        <v/>
      </c>
      <c r="AF247" s="90"/>
      <c r="AG247" s="42" t="str">
        <f t="shared" si="94"/>
        <v/>
      </c>
      <c r="AH247" s="42" t="str">
        <f t="shared" si="95"/>
        <v/>
      </c>
      <c r="AI247" s="90"/>
      <c r="AJ247" s="42" t="str">
        <f t="shared" si="96"/>
        <v/>
      </c>
      <c r="AK247" s="42" t="str">
        <f t="shared" si="97"/>
        <v/>
      </c>
      <c r="AL247" s="14" t="str">
        <f t="shared" si="98"/>
        <v/>
      </c>
      <c r="AM247" s="14" t="str">
        <f t="shared" si="99"/>
        <v/>
      </c>
      <c r="AN247" s="14" t="str">
        <f t="shared" si="100"/>
        <v/>
      </c>
      <c r="AO247" s="14" t="str">
        <f>IF(OR($C247="01-09",$D247="Male"),"",INDEX(PMTCT!$AD:$AD,MATCH($E247,PMTCT!$E:$E,0)))</f>
        <v/>
      </c>
      <c r="AP247" s="14" t="str">
        <f>IF(OR($C247="01-09",$D247="Male"),"",INDEX(PMTCT!$AT:$AT,MATCH($E247,PMTCT!$E:$E,0)))</f>
        <v/>
      </c>
      <c r="AQ247" s="14" t="str">
        <f>INDEX(TB!$Q:$Q,MATCH($E247,TB!$E:$E,0))</f>
        <v/>
      </c>
      <c r="AR247" s="14" t="str">
        <f>IF(OR($C247="01-09",$C247="10-14",$D247="Female"),"",INDEX(VMMC!$AB:$AB,MATCH($E247,VMMC!$E:$E,0)))</f>
        <v/>
      </c>
      <c r="AS247" s="14" t="str">
        <f>IF(OR($C247="01-09",$C247="10-14"),"",INDEX(PrEP!$Q:$Q,MATCH($E247,PrEP!$E:$E,0)))</f>
        <v/>
      </c>
      <c r="AT247" s="14" t="str">
        <f t="shared" si="101"/>
        <v/>
      </c>
      <c r="AU247" s="14" t="str">
        <f t="shared" si="102"/>
        <v/>
      </c>
      <c r="AV247" s="90" t="str">
        <f t="shared" si="103"/>
        <v/>
      </c>
      <c r="AW247" s="14"/>
      <c r="AX247" s="90" t="str">
        <f t="shared" si="104"/>
        <v/>
      </c>
      <c r="AY247" s="42" t="str">
        <f t="shared" si="105"/>
        <v/>
      </c>
      <c r="AZ247" s="90">
        <f t="shared" si="106"/>
        <v>1</v>
      </c>
      <c r="BA247" s="42" t="str">
        <f t="shared" si="107"/>
        <v/>
      </c>
    </row>
    <row r="248" spans="1:53" x14ac:dyDescent="0.2">
      <c r="A248" t="str">
        <f>INDEX(Prioritization!$D:$D,MATCH($B248,Prioritization!$A:$A,0))</f>
        <v>1 - Scale-up: Saturation</v>
      </c>
      <c r="B248" t="s">
        <v>212</v>
      </c>
      <c r="C248" t="s">
        <v>364</v>
      </c>
      <c r="D248" t="s">
        <v>47</v>
      </c>
      <c r="E248" t="str">
        <f t="shared" si="81"/>
        <v>Chiradzulu District [oiPR2CiVJbf]|15-24|Male</v>
      </c>
      <c r="F248" s="90">
        <f>IF(LEFT($B248,4)="_Mil","",INDEX(Cascade!$AA:$AA,MATCH($E248,Cascade!$E:$E,0)))</f>
        <v>1765.0000000000002</v>
      </c>
      <c r="G248" s="14">
        <f>INDEX(Cascade!$BH:$BH,MATCH($E248,Cascade!$E:$E,0))</f>
        <v>0</v>
      </c>
      <c r="H248" s="14" t="str">
        <f>IF(OR($C248="01-09",$D248="Male"),"",INDEX(PMTCT!$AC:$AC,MATCH($E248,PMTCT!$E:$E,0)))</f>
        <v/>
      </c>
      <c r="I248" s="14" t="str">
        <f>IF(OR($C248="01-09",$D248="Male"),"",INDEX(PMTCT!$AS:$AS,MATCH($E248,PMTCT!$E:$E,0)))</f>
        <v/>
      </c>
      <c r="J248" s="14" t="str">
        <f>INDEX(TB!$P:$P,MATCH($E248,TB!$E:$E,0))</f>
        <v/>
      </c>
      <c r="K248" s="14" t="str">
        <f>IF(OR($C248="01-09",$C248="10-14",$D248="Female"),"",INDEX(VMMC!$AA:$AA,MATCH($E248,VMMC!$E:$E,0)))</f>
        <v/>
      </c>
      <c r="L248" s="14">
        <f t="shared" si="82"/>
        <v>0</v>
      </c>
      <c r="M248" s="90" t="str">
        <f t="shared" si="83"/>
        <v/>
      </c>
      <c r="N248" s="90" t="str">
        <f t="shared" si="84"/>
        <v/>
      </c>
      <c r="O248" s="90" t="str">
        <f t="shared" si="85"/>
        <v/>
      </c>
      <c r="P248" s="90" t="str">
        <f t="shared" si="86"/>
        <v/>
      </c>
      <c r="Q248" s="90"/>
      <c r="R248" s="90"/>
      <c r="S248" s="90"/>
      <c r="T248" s="90"/>
      <c r="U248" s="90"/>
      <c r="V248" s="90" t="str">
        <f t="shared" si="87"/>
        <v/>
      </c>
      <c r="W248" s="90"/>
      <c r="X248" s="42" t="str">
        <f t="shared" si="88"/>
        <v/>
      </c>
      <c r="Y248" s="42" t="str">
        <f t="shared" si="89"/>
        <v/>
      </c>
      <c r="Z248" s="90"/>
      <c r="AA248" s="42" t="str">
        <f t="shared" si="90"/>
        <v/>
      </c>
      <c r="AB248" s="42" t="str">
        <f t="shared" si="91"/>
        <v/>
      </c>
      <c r="AC248" s="90"/>
      <c r="AD248" s="42" t="str">
        <f t="shared" si="92"/>
        <v/>
      </c>
      <c r="AE248" s="42" t="str">
        <f t="shared" si="93"/>
        <v/>
      </c>
      <c r="AF248" s="90"/>
      <c r="AG248" s="42" t="str">
        <f t="shared" si="94"/>
        <v/>
      </c>
      <c r="AH248" s="42" t="str">
        <f t="shared" si="95"/>
        <v/>
      </c>
      <c r="AI248" s="90"/>
      <c r="AJ248" s="42" t="str">
        <f t="shared" si="96"/>
        <v/>
      </c>
      <c r="AK248" s="42" t="str">
        <f t="shared" si="97"/>
        <v/>
      </c>
      <c r="AL248" s="14" t="str">
        <f t="shared" si="98"/>
        <v/>
      </c>
      <c r="AM248" s="14" t="str">
        <f t="shared" si="99"/>
        <v/>
      </c>
      <c r="AN248" s="14" t="str">
        <f t="shared" si="100"/>
        <v/>
      </c>
      <c r="AO248" s="14" t="str">
        <f>IF(OR($C248="01-09",$D248="Male"),"",INDEX(PMTCT!$AD:$AD,MATCH($E248,PMTCT!$E:$E,0)))</f>
        <v/>
      </c>
      <c r="AP248" s="14" t="str">
        <f>IF(OR($C248="01-09",$D248="Male"),"",INDEX(PMTCT!$AT:$AT,MATCH($E248,PMTCT!$E:$E,0)))</f>
        <v/>
      </c>
      <c r="AQ248" s="14" t="str">
        <f>INDEX(TB!$Q:$Q,MATCH($E248,TB!$E:$E,0))</f>
        <v/>
      </c>
      <c r="AR248" s="14" t="str">
        <f>IF(OR($C248="01-09",$C248="10-14",$D248="Female"),"",INDEX(VMMC!$AB:$AB,MATCH($E248,VMMC!$E:$E,0)))</f>
        <v/>
      </c>
      <c r="AS248" s="14" t="str">
        <f>IF(OR($C248="01-09",$C248="10-14"),"",INDEX(PrEP!$Q:$Q,MATCH($E248,PrEP!$E:$E,0)))</f>
        <v/>
      </c>
      <c r="AT248" s="14" t="str">
        <f t="shared" si="101"/>
        <v/>
      </c>
      <c r="AU248" s="14" t="str">
        <f t="shared" si="102"/>
        <v/>
      </c>
      <c r="AV248" s="90" t="str">
        <f t="shared" si="103"/>
        <v/>
      </c>
      <c r="AW248" s="14"/>
      <c r="AX248" s="90" t="str">
        <f t="shared" si="104"/>
        <v/>
      </c>
      <c r="AY248" s="42" t="str">
        <f t="shared" si="105"/>
        <v/>
      </c>
      <c r="AZ248" s="90">
        <f t="shared" si="106"/>
        <v>1</v>
      </c>
      <c r="BA248" s="42" t="str">
        <f t="shared" si="107"/>
        <v/>
      </c>
    </row>
    <row r="249" spans="1:53" x14ac:dyDescent="0.2">
      <c r="A249" t="str">
        <f>INDEX(Prioritization!$D:$D,MATCH($B249,Prioritization!$A:$A,0))</f>
        <v>1 - Scale-up: Saturation</v>
      </c>
      <c r="B249" t="s">
        <v>212</v>
      </c>
      <c r="C249" t="s">
        <v>365</v>
      </c>
      <c r="D249" t="s">
        <v>29</v>
      </c>
      <c r="E249" t="str">
        <f t="shared" si="81"/>
        <v>Chiradzulu District [oiPR2CiVJbf]|25-34|Female</v>
      </c>
      <c r="F249" s="90">
        <f>IF(LEFT($B249,4)="_Mil","",INDEX(Cascade!$AA:$AA,MATCH($E249,Cascade!$E:$E,0)))</f>
        <v>873</v>
      </c>
      <c r="G249" s="14">
        <f>INDEX(Cascade!$BH:$BH,MATCH($E249,Cascade!$E:$E,0))</f>
        <v>0</v>
      </c>
      <c r="H249" s="14" t="str">
        <f>IF(OR($C249="01-09",$D249="Male"),"",INDEX(PMTCT!$AC:$AC,MATCH($E249,PMTCT!$E:$E,0)))</f>
        <v/>
      </c>
      <c r="I249" s="14" t="str">
        <f>IF(OR($C249="01-09",$D249="Male"),"",INDEX(PMTCT!$AS:$AS,MATCH($E249,PMTCT!$E:$E,0)))</f>
        <v/>
      </c>
      <c r="J249" s="14" t="str">
        <f>INDEX(TB!$P:$P,MATCH($E249,TB!$E:$E,0))</f>
        <v/>
      </c>
      <c r="K249" s="14" t="str">
        <f>IF(OR($C249="01-09",$C249="10-14",$D249="Female"),"",INDEX(VMMC!$AA:$AA,MATCH($E249,VMMC!$E:$E,0)))</f>
        <v/>
      </c>
      <c r="L249" s="14">
        <f t="shared" si="82"/>
        <v>0</v>
      </c>
      <c r="M249" s="90" t="str">
        <f t="shared" si="83"/>
        <v/>
      </c>
      <c r="N249" s="90" t="str">
        <f t="shared" si="84"/>
        <v/>
      </c>
      <c r="O249" s="90" t="str">
        <f t="shared" si="85"/>
        <v/>
      </c>
      <c r="P249" s="90" t="str">
        <f t="shared" si="86"/>
        <v/>
      </c>
      <c r="Q249" s="90"/>
      <c r="R249" s="90"/>
      <c r="S249" s="90"/>
      <c r="T249" s="90"/>
      <c r="U249" s="90"/>
      <c r="V249" s="90" t="str">
        <f t="shared" si="87"/>
        <v/>
      </c>
      <c r="W249" s="90"/>
      <c r="X249" s="42" t="str">
        <f t="shared" si="88"/>
        <v/>
      </c>
      <c r="Y249" s="42" t="str">
        <f t="shared" si="89"/>
        <v/>
      </c>
      <c r="Z249" s="90"/>
      <c r="AA249" s="42" t="str">
        <f t="shared" si="90"/>
        <v/>
      </c>
      <c r="AB249" s="42" t="str">
        <f t="shared" si="91"/>
        <v/>
      </c>
      <c r="AC249" s="90"/>
      <c r="AD249" s="42" t="str">
        <f t="shared" si="92"/>
        <v/>
      </c>
      <c r="AE249" s="42" t="str">
        <f t="shared" si="93"/>
        <v/>
      </c>
      <c r="AF249" s="90"/>
      <c r="AG249" s="42" t="str">
        <f t="shared" si="94"/>
        <v/>
      </c>
      <c r="AH249" s="42" t="str">
        <f t="shared" si="95"/>
        <v/>
      </c>
      <c r="AI249" s="90"/>
      <c r="AJ249" s="42" t="str">
        <f t="shared" si="96"/>
        <v/>
      </c>
      <c r="AK249" s="42" t="str">
        <f t="shared" si="97"/>
        <v/>
      </c>
      <c r="AL249" s="14" t="str">
        <f t="shared" si="98"/>
        <v/>
      </c>
      <c r="AM249" s="14" t="str">
        <f t="shared" si="99"/>
        <v/>
      </c>
      <c r="AN249" s="14" t="str">
        <f t="shared" si="100"/>
        <v/>
      </c>
      <c r="AO249" s="14" t="str">
        <f>IF(OR($C249="01-09",$D249="Male"),"",INDEX(PMTCT!$AD:$AD,MATCH($E249,PMTCT!$E:$E,0)))</f>
        <v/>
      </c>
      <c r="AP249" s="14" t="str">
        <f>IF(OR($C249="01-09",$D249="Male"),"",INDEX(PMTCT!$AT:$AT,MATCH($E249,PMTCT!$E:$E,0)))</f>
        <v/>
      </c>
      <c r="AQ249" s="14" t="str">
        <f>INDEX(TB!$Q:$Q,MATCH($E249,TB!$E:$E,0))</f>
        <v/>
      </c>
      <c r="AR249" s="14" t="str">
        <f>IF(OR($C249="01-09",$C249="10-14",$D249="Female"),"",INDEX(VMMC!$AB:$AB,MATCH($E249,VMMC!$E:$E,0)))</f>
        <v/>
      </c>
      <c r="AS249" s="14" t="str">
        <f>IF(OR($C249="01-09",$C249="10-14"),"",INDEX(PrEP!$Q:$Q,MATCH($E249,PrEP!$E:$E,0)))</f>
        <v/>
      </c>
      <c r="AT249" s="14" t="str">
        <f t="shared" si="101"/>
        <v/>
      </c>
      <c r="AU249" s="14" t="str">
        <f t="shared" si="102"/>
        <v/>
      </c>
      <c r="AV249" s="90" t="str">
        <f t="shared" si="103"/>
        <v/>
      </c>
      <c r="AW249" s="14"/>
      <c r="AX249" s="90" t="str">
        <f t="shared" si="104"/>
        <v/>
      </c>
      <c r="AY249" s="42" t="str">
        <f t="shared" si="105"/>
        <v/>
      </c>
      <c r="AZ249" s="90">
        <f t="shared" si="106"/>
        <v>1</v>
      </c>
      <c r="BA249" s="42" t="str">
        <f t="shared" si="107"/>
        <v/>
      </c>
    </row>
    <row r="250" spans="1:53" x14ac:dyDescent="0.2">
      <c r="A250" t="str">
        <f>INDEX(Prioritization!$D:$D,MATCH($B250,Prioritization!$A:$A,0))</f>
        <v>1 - Scale-up: Saturation</v>
      </c>
      <c r="B250" t="s">
        <v>212</v>
      </c>
      <c r="C250" t="s">
        <v>365</v>
      </c>
      <c r="D250" t="s">
        <v>47</v>
      </c>
      <c r="E250" t="str">
        <f t="shared" si="81"/>
        <v>Chiradzulu District [oiPR2CiVJbf]|25-34|Male</v>
      </c>
      <c r="F250" s="90">
        <f>IF(LEFT($B250,4)="_Mil","",INDEX(Cascade!$AA:$AA,MATCH($E250,Cascade!$E:$E,0)))</f>
        <v>759</v>
      </c>
      <c r="G250" s="14">
        <f>INDEX(Cascade!$BH:$BH,MATCH($E250,Cascade!$E:$E,0))</f>
        <v>0</v>
      </c>
      <c r="H250" s="14" t="str">
        <f>IF(OR($C250="01-09",$D250="Male"),"",INDEX(PMTCT!$AC:$AC,MATCH($E250,PMTCT!$E:$E,0)))</f>
        <v/>
      </c>
      <c r="I250" s="14" t="str">
        <f>IF(OR($C250="01-09",$D250="Male"),"",INDEX(PMTCT!$AS:$AS,MATCH($E250,PMTCT!$E:$E,0)))</f>
        <v/>
      </c>
      <c r="J250" s="14" t="str">
        <f>INDEX(TB!$P:$P,MATCH($E250,TB!$E:$E,0))</f>
        <v/>
      </c>
      <c r="K250" s="14" t="str">
        <f>IF(OR($C250="01-09",$C250="10-14",$D250="Female"),"",INDEX(VMMC!$AA:$AA,MATCH($E250,VMMC!$E:$E,0)))</f>
        <v/>
      </c>
      <c r="L250" s="14">
        <f t="shared" si="82"/>
        <v>0</v>
      </c>
      <c r="M250" s="90" t="str">
        <f t="shared" si="83"/>
        <v/>
      </c>
      <c r="N250" s="90" t="str">
        <f t="shared" si="84"/>
        <v/>
      </c>
      <c r="O250" s="90" t="str">
        <f t="shared" si="85"/>
        <v/>
      </c>
      <c r="P250" s="90" t="str">
        <f t="shared" si="86"/>
        <v/>
      </c>
      <c r="Q250" s="90"/>
      <c r="R250" s="90"/>
      <c r="S250" s="90"/>
      <c r="T250" s="90"/>
      <c r="U250" s="90"/>
      <c r="V250" s="90" t="str">
        <f t="shared" si="87"/>
        <v/>
      </c>
      <c r="W250" s="90"/>
      <c r="X250" s="42" t="str">
        <f t="shared" si="88"/>
        <v/>
      </c>
      <c r="Y250" s="42" t="str">
        <f t="shared" si="89"/>
        <v/>
      </c>
      <c r="Z250" s="90"/>
      <c r="AA250" s="42" t="str">
        <f t="shared" si="90"/>
        <v/>
      </c>
      <c r="AB250" s="42" t="str">
        <f t="shared" si="91"/>
        <v/>
      </c>
      <c r="AC250" s="90"/>
      <c r="AD250" s="42" t="str">
        <f t="shared" si="92"/>
        <v/>
      </c>
      <c r="AE250" s="42" t="str">
        <f t="shared" si="93"/>
        <v/>
      </c>
      <c r="AF250" s="90"/>
      <c r="AG250" s="42" t="str">
        <f t="shared" si="94"/>
        <v/>
      </c>
      <c r="AH250" s="42" t="str">
        <f t="shared" si="95"/>
        <v/>
      </c>
      <c r="AI250" s="90"/>
      <c r="AJ250" s="42" t="str">
        <f t="shared" si="96"/>
        <v/>
      </c>
      <c r="AK250" s="42" t="str">
        <f t="shared" si="97"/>
        <v/>
      </c>
      <c r="AL250" s="14" t="str">
        <f t="shared" si="98"/>
        <v/>
      </c>
      <c r="AM250" s="14" t="str">
        <f t="shared" si="99"/>
        <v/>
      </c>
      <c r="AN250" s="14" t="str">
        <f t="shared" si="100"/>
        <v/>
      </c>
      <c r="AO250" s="14" t="str">
        <f>IF(OR($C250="01-09",$D250="Male"),"",INDEX(PMTCT!$AD:$AD,MATCH($E250,PMTCT!$E:$E,0)))</f>
        <v/>
      </c>
      <c r="AP250" s="14" t="str">
        <f>IF(OR($C250="01-09",$D250="Male"),"",INDEX(PMTCT!$AT:$AT,MATCH($E250,PMTCT!$E:$E,0)))</f>
        <v/>
      </c>
      <c r="AQ250" s="14" t="str">
        <f>INDEX(TB!$Q:$Q,MATCH($E250,TB!$E:$E,0))</f>
        <v/>
      </c>
      <c r="AR250" s="14" t="str">
        <f>IF(OR($C250="01-09",$C250="10-14",$D250="Female"),"",INDEX(VMMC!$AB:$AB,MATCH($E250,VMMC!$E:$E,0)))</f>
        <v/>
      </c>
      <c r="AS250" s="14" t="str">
        <f>IF(OR($C250="01-09",$C250="10-14"),"",INDEX(PrEP!$Q:$Q,MATCH($E250,PrEP!$E:$E,0)))</f>
        <v/>
      </c>
      <c r="AT250" s="14" t="str">
        <f t="shared" si="101"/>
        <v/>
      </c>
      <c r="AU250" s="14" t="str">
        <f t="shared" si="102"/>
        <v/>
      </c>
      <c r="AV250" s="90" t="str">
        <f t="shared" si="103"/>
        <v/>
      </c>
      <c r="AW250" s="14"/>
      <c r="AX250" s="90" t="str">
        <f t="shared" si="104"/>
        <v/>
      </c>
      <c r="AY250" s="42" t="str">
        <f t="shared" si="105"/>
        <v/>
      </c>
      <c r="AZ250" s="90">
        <f t="shared" si="106"/>
        <v>1</v>
      </c>
      <c r="BA250" s="42" t="str">
        <f t="shared" si="107"/>
        <v/>
      </c>
    </row>
    <row r="251" spans="1:53" x14ac:dyDescent="0.2">
      <c r="A251" t="str">
        <f>INDEX(Prioritization!$D:$D,MATCH($B251,Prioritization!$A:$A,0))</f>
        <v>1 - Scale-up: Saturation</v>
      </c>
      <c r="B251" t="s">
        <v>212</v>
      </c>
      <c r="C251" t="s">
        <v>366</v>
      </c>
      <c r="D251" t="s">
        <v>29</v>
      </c>
      <c r="E251" t="str">
        <f t="shared" si="81"/>
        <v>Chiradzulu District [oiPR2CiVJbf]|35-49|Female</v>
      </c>
      <c r="F251" s="90">
        <f>IF(LEFT($B251,4)="_Mil","",INDEX(Cascade!$AA:$AA,MATCH($E251,Cascade!$E:$E,0)))</f>
        <v>1122</v>
      </c>
      <c r="G251" s="14">
        <f>INDEX(Cascade!$BH:$BH,MATCH($E251,Cascade!$E:$E,0))</f>
        <v>0</v>
      </c>
      <c r="H251" s="14" t="str">
        <f>IF(OR($C251="01-09",$D251="Male"),"",INDEX(PMTCT!$AC:$AC,MATCH($E251,PMTCT!$E:$E,0)))</f>
        <v/>
      </c>
      <c r="I251" s="14" t="str">
        <f>IF(OR($C251="01-09",$D251="Male"),"",INDEX(PMTCT!$AS:$AS,MATCH($E251,PMTCT!$E:$E,0)))</f>
        <v/>
      </c>
      <c r="J251" s="14" t="str">
        <f>INDEX(TB!$P:$P,MATCH($E251,TB!$E:$E,0))</f>
        <v/>
      </c>
      <c r="K251" s="14" t="str">
        <f>IF(OR($C251="01-09",$C251="10-14",$D251="Female"),"",INDEX(VMMC!$AA:$AA,MATCH($E251,VMMC!$E:$E,0)))</f>
        <v/>
      </c>
      <c r="L251" s="14">
        <f t="shared" si="82"/>
        <v>0</v>
      </c>
      <c r="M251" s="90" t="str">
        <f t="shared" si="83"/>
        <v/>
      </c>
      <c r="N251" s="90" t="str">
        <f t="shared" si="84"/>
        <v/>
      </c>
      <c r="O251" s="90" t="str">
        <f t="shared" si="85"/>
        <v/>
      </c>
      <c r="P251" s="90" t="str">
        <f t="shared" si="86"/>
        <v/>
      </c>
      <c r="Q251" s="90"/>
      <c r="R251" s="90"/>
      <c r="S251" s="90"/>
      <c r="T251" s="90"/>
      <c r="U251" s="90"/>
      <c r="V251" s="90" t="str">
        <f t="shared" si="87"/>
        <v/>
      </c>
      <c r="W251" s="90"/>
      <c r="X251" s="42" t="str">
        <f t="shared" si="88"/>
        <v/>
      </c>
      <c r="Y251" s="42" t="str">
        <f t="shared" si="89"/>
        <v/>
      </c>
      <c r="Z251" s="90"/>
      <c r="AA251" s="42" t="str">
        <f t="shared" si="90"/>
        <v/>
      </c>
      <c r="AB251" s="42" t="str">
        <f t="shared" si="91"/>
        <v/>
      </c>
      <c r="AC251" s="90"/>
      <c r="AD251" s="42" t="str">
        <f t="shared" si="92"/>
        <v/>
      </c>
      <c r="AE251" s="42" t="str">
        <f t="shared" si="93"/>
        <v/>
      </c>
      <c r="AF251" s="90"/>
      <c r="AG251" s="42" t="str">
        <f t="shared" si="94"/>
        <v/>
      </c>
      <c r="AH251" s="42" t="str">
        <f t="shared" si="95"/>
        <v/>
      </c>
      <c r="AI251" s="90"/>
      <c r="AJ251" s="42" t="str">
        <f t="shared" si="96"/>
        <v/>
      </c>
      <c r="AK251" s="42" t="str">
        <f t="shared" si="97"/>
        <v/>
      </c>
      <c r="AL251" s="14" t="str">
        <f t="shared" si="98"/>
        <v/>
      </c>
      <c r="AM251" s="14" t="str">
        <f t="shared" si="99"/>
        <v/>
      </c>
      <c r="AN251" s="14" t="str">
        <f t="shared" si="100"/>
        <v/>
      </c>
      <c r="AO251" s="14" t="str">
        <f>IF(OR($C251="01-09",$D251="Male"),"",INDEX(PMTCT!$AD:$AD,MATCH($E251,PMTCT!$E:$E,0)))</f>
        <v/>
      </c>
      <c r="AP251" s="14" t="str">
        <f>IF(OR($C251="01-09",$D251="Male"),"",INDEX(PMTCT!$AT:$AT,MATCH($E251,PMTCT!$E:$E,0)))</f>
        <v/>
      </c>
      <c r="AQ251" s="14" t="str">
        <f>INDEX(TB!$Q:$Q,MATCH($E251,TB!$E:$E,0))</f>
        <v/>
      </c>
      <c r="AR251" s="14" t="str">
        <f>IF(OR($C251="01-09",$C251="10-14",$D251="Female"),"",INDEX(VMMC!$AB:$AB,MATCH($E251,VMMC!$E:$E,0)))</f>
        <v/>
      </c>
      <c r="AS251" s="14" t="str">
        <f>IF(OR($C251="01-09",$C251="10-14"),"",INDEX(PrEP!$Q:$Q,MATCH($E251,PrEP!$E:$E,0)))</f>
        <v/>
      </c>
      <c r="AT251" s="14" t="str">
        <f t="shared" si="101"/>
        <v/>
      </c>
      <c r="AU251" s="14" t="str">
        <f t="shared" si="102"/>
        <v/>
      </c>
      <c r="AV251" s="90" t="str">
        <f t="shared" si="103"/>
        <v/>
      </c>
      <c r="AW251" s="14"/>
      <c r="AX251" s="90" t="str">
        <f t="shared" si="104"/>
        <v/>
      </c>
      <c r="AY251" s="42" t="str">
        <f t="shared" si="105"/>
        <v/>
      </c>
      <c r="AZ251" s="90">
        <f t="shared" si="106"/>
        <v>1</v>
      </c>
      <c r="BA251" s="42" t="str">
        <f t="shared" si="107"/>
        <v/>
      </c>
    </row>
    <row r="252" spans="1:53" x14ac:dyDescent="0.2">
      <c r="A252" t="str">
        <f>INDEX(Prioritization!$D:$D,MATCH($B252,Prioritization!$A:$A,0))</f>
        <v>1 - Scale-up: Saturation</v>
      </c>
      <c r="B252" t="s">
        <v>212</v>
      </c>
      <c r="C252" t="s">
        <v>366</v>
      </c>
      <c r="D252" t="s">
        <v>47</v>
      </c>
      <c r="E252" t="str">
        <f t="shared" si="81"/>
        <v>Chiradzulu District [oiPR2CiVJbf]|35-49|Male</v>
      </c>
      <c r="F252" s="90">
        <f>IF(LEFT($B252,4)="_Mil","",INDEX(Cascade!$AA:$AA,MATCH($E252,Cascade!$E:$E,0)))</f>
        <v>1258</v>
      </c>
      <c r="G252" s="14">
        <f>INDEX(Cascade!$BH:$BH,MATCH($E252,Cascade!$E:$E,0))</f>
        <v>0</v>
      </c>
      <c r="H252" s="14" t="str">
        <f>IF(OR($C252="01-09",$D252="Male"),"",INDEX(PMTCT!$AC:$AC,MATCH($E252,PMTCT!$E:$E,0)))</f>
        <v/>
      </c>
      <c r="I252" s="14" t="str">
        <f>IF(OR($C252="01-09",$D252="Male"),"",INDEX(PMTCT!$AS:$AS,MATCH($E252,PMTCT!$E:$E,0)))</f>
        <v/>
      </c>
      <c r="J252" s="14" t="str">
        <f>INDEX(TB!$P:$P,MATCH($E252,TB!$E:$E,0))</f>
        <v/>
      </c>
      <c r="K252" s="14" t="str">
        <f>IF(OR($C252="01-09",$C252="10-14",$D252="Female"),"",INDEX(VMMC!$AA:$AA,MATCH($E252,VMMC!$E:$E,0)))</f>
        <v/>
      </c>
      <c r="L252" s="14">
        <f t="shared" si="82"/>
        <v>0</v>
      </c>
      <c r="M252" s="90" t="str">
        <f t="shared" si="83"/>
        <v/>
      </c>
      <c r="N252" s="90" t="str">
        <f t="shared" si="84"/>
        <v/>
      </c>
      <c r="O252" s="90" t="str">
        <f t="shared" si="85"/>
        <v/>
      </c>
      <c r="P252" s="90" t="str">
        <f t="shared" si="86"/>
        <v/>
      </c>
      <c r="Q252" s="90"/>
      <c r="R252" s="90"/>
      <c r="S252" s="90"/>
      <c r="T252" s="90"/>
      <c r="U252" s="90"/>
      <c r="V252" s="90" t="str">
        <f t="shared" si="87"/>
        <v/>
      </c>
      <c r="W252" s="90"/>
      <c r="X252" s="42" t="str">
        <f t="shared" si="88"/>
        <v/>
      </c>
      <c r="Y252" s="42" t="str">
        <f t="shared" si="89"/>
        <v/>
      </c>
      <c r="Z252" s="90"/>
      <c r="AA252" s="42" t="str">
        <f t="shared" si="90"/>
        <v/>
      </c>
      <c r="AB252" s="42" t="str">
        <f t="shared" si="91"/>
        <v/>
      </c>
      <c r="AC252" s="90"/>
      <c r="AD252" s="42" t="str">
        <f t="shared" si="92"/>
        <v/>
      </c>
      <c r="AE252" s="42" t="str">
        <f t="shared" si="93"/>
        <v/>
      </c>
      <c r="AF252" s="90"/>
      <c r="AG252" s="42" t="str">
        <f t="shared" si="94"/>
        <v/>
      </c>
      <c r="AH252" s="42" t="str">
        <f t="shared" si="95"/>
        <v/>
      </c>
      <c r="AI252" s="90"/>
      <c r="AJ252" s="42" t="str">
        <f t="shared" si="96"/>
        <v/>
      </c>
      <c r="AK252" s="42" t="str">
        <f t="shared" si="97"/>
        <v/>
      </c>
      <c r="AL252" s="14" t="str">
        <f t="shared" si="98"/>
        <v/>
      </c>
      <c r="AM252" s="14" t="str">
        <f t="shared" si="99"/>
        <v/>
      </c>
      <c r="AN252" s="14" t="str">
        <f t="shared" si="100"/>
        <v/>
      </c>
      <c r="AO252" s="14" t="str">
        <f>IF(OR($C252="01-09",$D252="Male"),"",INDEX(PMTCT!$AD:$AD,MATCH($E252,PMTCT!$E:$E,0)))</f>
        <v/>
      </c>
      <c r="AP252" s="14" t="str">
        <f>IF(OR($C252="01-09",$D252="Male"),"",INDEX(PMTCT!$AT:$AT,MATCH($E252,PMTCT!$E:$E,0)))</f>
        <v/>
      </c>
      <c r="AQ252" s="14" t="str">
        <f>INDEX(TB!$Q:$Q,MATCH($E252,TB!$E:$E,0))</f>
        <v/>
      </c>
      <c r="AR252" s="14" t="str">
        <f>IF(OR($C252="01-09",$C252="10-14",$D252="Female"),"",INDEX(VMMC!$AB:$AB,MATCH($E252,VMMC!$E:$E,0)))</f>
        <v/>
      </c>
      <c r="AS252" s="14" t="str">
        <f>IF(OR($C252="01-09",$C252="10-14"),"",INDEX(PrEP!$Q:$Q,MATCH($E252,PrEP!$E:$E,0)))</f>
        <v/>
      </c>
      <c r="AT252" s="14" t="str">
        <f t="shared" si="101"/>
        <v/>
      </c>
      <c r="AU252" s="14" t="str">
        <f t="shared" si="102"/>
        <v/>
      </c>
      <c r="AV252" s="90" t="str">
        <f t="shared" si="103"/>
        <v/>
      </c>
      <c r="AW252" s="14"/>
      <c r="AX252" s="90" t="str">
        <f t="shared" si="104"/>
        <v/>
      </c>
      <c r="AY252" s="42" t="str">
        <f t="shared" si="105"/>
        <v/>
      </c>
      <c r="AZ252" s="90">
        <f t="shared" si="106"/>
        <v>1</v>
      </c>
      <c r="BA252" s="42" t="str">
        <f t="shared" si="107"/>
        <v/>
      </c>
    </row>
    <row r="253" spans="1:53" x14ac:dyDescent="0.2">
      <c r="A253" t="str">
        <f>INDEX(Prioritization!$D:$D,MATCH($B253,Prioritization!$A:$A,0))</f>
        <v>1 - Scale-up: Saturation</v>
      </c>
      <c r="B253" t="s">
        <v>212</v>
      </c>
      <c r="C253" t="s">
        <v>367</v>
      </c>
      <c r="D253" t="s">
        <v>29</v>
      </c>
      <c r="E253" t="str">
        <f t="shared" si="81"/>
        <v>Chiradzulu District [oiPR2CiVJbf]|50+|Female</v>
      </c>
      <c r="F253" s="90">
        <f>IF(LEFT($B253,4)="_Mil","",INDEX(Cascade!$AA:$AA,MATCH($E253,Cascade!$E:$E,0)))</f>
        <v>1159</v>
      </c>
      <c r="G253" s="14">
        <f>INDEX(Cascade!$BH:$BH,MATCH($E253,Cascade!$E:$E,0))</f>
        <v>0</v>
      </c>
      <c r="H253" s="14" t="str">
        <f>IF(OR($C253="01-09",$D253="Male"),"",INDEX(PMTCT!$AC:$AC,MATCH($E253,PMTCT!$E:$E,0)))</f>
        <v/>
      </c>
      <c r="I253" s="14" t="str">
        <f>IF(OR($C253="01-09",$D253="Male"),"",INDEX(PMTCT!$AS:$AS,MATCH($E253,PMTCT!$E:$E,0)))</f>
        <v/>
      </c>
      <c r="J253" s="14" t="str">
        <f>INDEX(TB!$P:$P,MATCH($E253,TB!$E:$E,0))</f>
        <v/>
      </c>
      <c r="K253" s="14" t="str">
        <f>IF(OR($C253="01-09",$C253="10-14",$D253="Female"),"",INDEX(VMMC!$AA:$AA,MATCH($E253,VMMC!$E:$E,0)))</f>
        <v/>
      </c>
      <c r="L253" s="14">
        <f t="shared" si="82"/>
        <v>0</v>
      </c>
      <c r="M253" s="90" t="str">
        <f t="shared" si="83"/>
        <v/>
      </c>
      <c r="N253" s="90" t="str">
        <f t="shared" si="84"/>
        <v/>
      </c>
      <c r="O253" s="90" t="str">
        <f t="shared" si="85"/>
        <v/>
      </c>
      <c r="P253" s="90" t="str">
        <f t="shared" si="86"/>
        <v/>
      </c>
      <c r="Q253" s="90"/>
      <c r="R253" s="90"/>
      <c r="S253" s="90"/>
      <c r="T253" s="90"/>
      <c r="U253" s="90"/>
      <c r="V253" s="90" t="str">
        <f t="shared" si="87"/>
        <v/>
      </c>
      <c r="W253" s="90"/>
      <c r="X253" s="42" t="str">
        <f t="shared" si="88"/>
        <v/>
      </c>
      <c r="Y253" s="42" t="str">
        <f t="shared" si="89"/>
        <v/>
      </c>
      <c r="Z253" s="90"/>
      <c r="AA253" s="42" t="str">
        <f t="shared" si="90"/>
        <v/>
      </c>
      <c r="AB253" s="42" t="str">
        <f t="shared" si="91"/>
        <v/>
      </c>
      <c r="AC253" s="90"/>
      <c r="AD253" s="42" t="str">
        <f t="shared" si="92"/>
        <v/>
      </c>
      <c r="AE253" s="42" t="str">
        <f t="shared" si="93"/>
        <v/>
      </c>
      <c r="AF253" s="90"/>
      <c r="AG253" s="42" t="str">
        <f t="shared" si="94"/>
        <v/>
      </c>
      <c r="AH253" s="42" t="str">
        <f t="shared" si="95"/>
        <v/>
      </c>
      <c r="AI253" s="90">
        <v>0.61547130742110301</v>
      </c>
      <c r="AJ253" s="42" t="str">
        <f t="shared" si="96"/>
        <v/>
      </c>
      <c r="AK253" s="42" t="str">
        <f t="shared" si="97"/>
        <v/>
      </c>
      <c r="AL253" s="14" t="str">
        <f t="shared" si="98"/>
        <v/>
      </c>
      <c r="AM253" s="14" t="str">
        <f t="shared" si="99"/>
        <v/>
      </c>
      <c r="AN253" s="14" t="str">
        <f t="shared" si="100"/>
        <v/>
      </c>
      <c r="AO253" s="14" t="str">
        <f>IF(OR($C253="01-09",$D253="Male"),"",INDEX(PMTCT!$AD:$AD,MATCH($E253,PMTCT!$E:$E,0)))</f>
        <v/>
      </c>
      <c r="AP253" s="14" t="str">
        <f>IF(OR($C253="01-09",$D253="Male"),"",INDEX(PMTCT!$AT:$AT,MATCH($E253,PMTCT!$E:$E,0)))</f>
        <v/>
      </c>
      <c r="AQ253" s="14" t="str">
        <f>INDEX(TB!$Q:$Q,MATCH($E253,TB!$E:$E,0))</f>
        <v/>
      </c>
      <c r="AR253" s="14" t="str">
        <f>IF(OR($C253="01-09",$C253="10-14",$D253="Female"),"",INDEX(VMMC!$AB:$AB,MATCH($E253,VMMC!$E:$E,0)))</f>
        <v/>
      </c>
      <c r="AS253" s="14" t="str">
        <f>IF(OR($C253="01-09",$C253="10-14"),"",INDEX(PrEP!$Q:$Q,MATCH($E253,PrEP!$E:$E,0)))</f>
        <v/>
      </c>
      <c r="AT253" s="14" t="str">
        <f t="shared" si="101"/>
        <v/>
      </c>
      <c r="AU253" s="14" t="str">
        <f t="shared" si="102"/>
        <v/>
      </c>
      <c r="AV253" s="90" t="str">
        <f t="shared" si="103"/>
        <v/>
      </c>
      <c r="AW253" s="14">
        <v>54</v>
      </c>
      <c r="AX253" s="90">
        <f t="shared" si="104"/>
        <v>0</v>
      </c>
      <c r="AY253" s="42">
        <f t="shared" si="105"/>
        <v>54</v>
      </c>
      <c r="AZ253" s="90">
        <f t="shared" si="106"/>
        <v>1</v>
      </c>
      <c r="BA253" s="42" t="str">
        <f t="shared" si="107"/>
        <v/>
      </c>
    </row>
    <row r="254" spans="1:53" x14ac:dyDescent="0.2">
      <c r="A254" t="str">
        <f>INDEX(Prioritization!$D:$D,MATCH($B254,Prioritization!$A:$A,0))</f>
        <v>1 - Scale-up: Saturation</v>
      </c>
      <c r="B254" t="s">
        <v>212</v>
      </c>
      <c r="C254" t="s">
        <v>367</v>
      </c>
      <c r="D254" t="s">
        <v>47</v>
      </c>
      <c r="E254" t="str">
        <f t="shared" si="81"/>
        <v>Chiradzulu District [oiPR2CiVJbf]|50+|Male</v>
      </c>
      <c r="F254" s="90">
        <f>IF(LEFT($B254,4)="_Mil","",INDEX(Cascade!$AA:$AA,MATCH($E254,Cascade!$E:$E,0)))</f>
        <v>1792</v>
      </c>
      <c r="G254" s="14">
        <f>INDEX(Cascade!$BH:$BH,MATCH($E254,Cascade!$E:$E,0))</f>
        <v>0</v>
      </c>
      <c r="H254" s="14" t="str">
        <f>IF(OR($C254="01-09",$D254="Male"),"",INDEX(PMTCT!$AC:$AC,MATCH($E254,PMTCT!$E:$E,0)))</f>
        <v/>
      </c>
      <c r="I254" s="14" t="str">
        <f>IF(OR($C254="01-09",$D254="Male"),"",INDEX(PMTCT!$AS:$AS,MATCH($E254,PMTCT!$E:$E,0)))</f>
        <v/>
      </c>
      <c r="J254" s="14" t="str">
        <f>INDEX(TB!$P:$P,MATCH($E254,TB!$E:$E,0))</f>
        <v/>
      </c>
      <c r="K254" s="14" t="str">
        <f>IF(OR($C254="01-09",$C254="10-14",$D254="Female"),"",INDEX(VMMC!$AA:$AA,MATCH($E254,VMMC!$E:$E,0)))</f>
        <v/>
      </c>
      <c r="L254" s="14">
        <f t="shared" si="82"/>
        <v>0</v>
      </c>
      <c r="M254" s="90" t="str">
        <f t="shared" si="83"/>
        <v/>
      </c>
      <c r="N254" s="90" t="str">
        <f t="shared" si="84"/>
        <v/>
      </c>
      <c r="O254" s="90" t="str">
        <f t="shared" si="85"/>
        <v/>
      </c>
      <c r="P254" s="90" t="str">
        <f t="shared" si="86"/>
        <v/>
      </c>
      <c r="Q254" s="90"/>
      <c r="R254" s="90"/>
      <c r="S254" s="90"/>
      <c r="T254" s="90"/>
      <c r="U254" s="90">
        <v>0.476076743099838</v>
      </c>
      <c r="V254" s="90" t="str">
        <f t="shared" si="87"/>
        <v/>
      </c>
      <c r="W254" s="90"/>
      <c r="X254" s="42" t="str">
        <f t="shared" si="88"/>
        <v/>
      </c>
      <c r="Y254" s="42" t="str">
        <f t="shared" si="89"/>
        <v/>
      </c>
      <c r="Z254" s="90"/>
      <c r="AA254" s="42" t="str">
        <f t="shared" si="90"/>
        <v/>
      </c>
      <c r="AB254" s="42" t="str">
        <f t="shared" si="91"/>
        <v/>
      </c>
      <c r="AC254" s="90"/>
      <c r="AD254" s="42" t="str">
        <f t="shared" si="92"/>
        <v/>
      </c>
      <c r="AE254" s="42" t="str">
        <f t="shared" si="93"/>
        <v/>
      </c>
      <c r="AF254" s="90"/>
      <c r="AG254" s="42" t="str">
        <f t="shared" si="94"/>
        <v/>
      </c>
      <c r="AH254" s="42" t="str">
        <f t="shared" si="95"/>
        <v/>
      </c>
      <c r="AI254" s="90">
        <v>1.9284833222627602E-2</v>
      </c>
      <c r="AJ254" s="42" t="str">
        <f t="shared" si="96"/>
        <v/>
      </c>
      <c r="AK254" s="42" t="str">
        <f t="shared" si="97"/>
        <v/>
      </c>
      <c r="AL254" s="14" t="str">
        <f t="shared" si="98"/>
        <v/>
      </c>
      <c r="AM254" s="14" t="str">
        <f t="shared" si="99"/>
        <v/>
      </c>
      <c r="AN254" s="14" t="str">
        <f t="shared" si="100"/>
        <v/>
      </c>
      <c r="AO254" s="14" t="str">
        <f>IF(OR($C254="01-09",$D254="Male"),"",INDEX(PMTCT!$AD:$AD,MATCH($E254,PMTCT!$E:$E,0)))</f>
        <v/>
      </c>
      <c r="AP254" s="14" t="str">
        <f>IF(OR($C254="01-09",$D254="Male"),"",INDEX(PMTCT!$AT:$AT,MATCH($E254,PMTCT!$E:$E,0)))</f>
        <v/>
      </c>
      <c r="AQ254" s="14" t="str">
        <f>INDEX(TB!$Q:$Q,MATCH($E254,TB!$E:$E,0))</f>
        <v/>
      </c>
      <c r="AR254" s="14" t="str">
        <f>IF(OR($C254="01-09",$C254="10-14",$D254="Female"),"",INDEX(VMMC!$AB:$AB,MATCH($E254,VMMC!$E:$E,0)))</f>
        <v/>
      </c>
      <c r="AS254" s="14" t="str">
        <f>IF(OR($C254="01-09",$C254="10-14"),"",INDEX(PrEP!$Q:$Q,MATCH($E254,PrEP!$E:$E,0)))</f>
        <v/>
      </c>
      <c r="AT254" s="14" t="str">
        <f t="shared" si="101"/>
        <v/>
      </c>
      <c r="AU254" s="14" t="str">
        <f t="shared" si="102"/>
        <v/>
      </c>
      <c r="AV254" s="90" t="str">
        <f t="shared" si="103"/>
        <v/>
      </c>
      <c r="AW254" s="14">
        <v>68</v>
      </c>
      <c r="AX254" s="90">
        <f t="shared" si="104"/>
        <v>0</v>
      </c>
      <c r="AY254" s="42">
        <f t="shared" si="105"/>
        <v>68</v>
      </c>
      <c r="AZ254" s="90">
        <f t="shared" si="106"/>
        <v>1</v>
      </c>
      <c r="BA254" s="42" t="str">
        <f t="shared" si="107"/>
        <v/>
      </c>
    </row>
    <row r="255" spans="1:53" x14ac:dyDescent="0.2">
      <c r="A255" t="str">
        <f>INDEX(Prioritization!$D:$D,MATCH($B255,Prioritization!$A:$A,0))</f>
        <v>1 - Scale-up: Saturation</v>
      </c>
      <c r="B255" t="s">
        <v>213</v>
      </c>
      <c r="C255" t="s">
        <v>362</v>
      </c>
      <c r="D255" t="s">
        <v>29</v>
      </c>
      <c r="E255" t="str">
        <f t="shared" si="81"/>
        <v>Machinga District [TYnMSwzko3z]|01-09|Female</v>
      </c>
      <c r="F255" s="90">
        <f>IF(LEFT($B255,4)="_Mil","",INDEX(Cascade!$AA:$AA,MATCH($E255,Cascade!$E:$E,0)))</f>
        <v>885</v>
      </c>
      <c r="G255" s="14">
        <f>INDEX(Cascade!$BH:$BH,MATCH($E255,Cascade!$E:$E,0))</f>
        <v>0</v>
      </c>
      <c r="H255" s="14" t="str">
        <f>IF(OR($C255="01-09",$D255="Male"),"",INDEX(PMTCT!$AC:$AC,MATCH($E255,PMTCT!$E:$E,0)))</f>
        <v/>
      </c>
      <c r="I255" s="14" t="str">
        <f>IF(OR($C255="01-09",$D255="Male"),"",INDEX(PMTCT!$AS:$AS,MATCH($E255,PMTCT!$E:$E,0)))</f>
        <v/>
      </c>
      <c r="J255" s="14" t="str">
        <f>INDEX(TB!$P:$P,MATCH($E255,TB!$E:$E,0))</f>
        <v/>
      </c>
      <c r="K255" s="14" t="str">
        <f>IF(OR($C255="01-09",$C255="10-14",$D255="Female"),"",INDEX(VMMC!$AA:$AA,MATCH($E255,VMMC!$E:$E,0)))</f>
        <v/>
      </c>
      <c r="L255" s="14">
        <f t="shared" si="82"/>
        <v>0</v>
      </c>
      <c r="M255" s="90" t="str">
        <f t="shared" si="83"/>
        <v/>
      </c>
      <c r="N255" s="90" t="str">
        <f t="shared" si="84"/>
        <v/>
      </c>
      <c r="O255" s="90" t="str">
        <f t="shared" si="85"/>
        <v/>
      </c>
      <c r="P255" s="90" t="str">
        <f t="shared" si="86"/>
        <v/>
      </c>
      <c r="Q255" s="90"/>
      <c r="R255" s="90"/>
      <c r="S255" s="90"/>
      <c r="T255" s="90"/>
      <c r="U255" s="90"/>
      <c r="V255" s="90" t="str">
        <f t="shared" si="87"/>
        <v/>
      </c>
      <c r="W255" s="90"/>
      <c r="X255" s="42" t="str">
        <f t="shared" si="88"/>
        <v/>
      </c>
      <c r="Y255" s="42" t="str">
        <f t="shared" si="89"/>
        <v/>
      </c>
      <c r="Z255" s="90"/>
      <c r="AA255" s="42" t="str">
        <f t="shared" si="90"/>
        <v/>
      </c>
      <c r="AB255" s="42" t="str">
        <f t="shared" si="91"/>
        <v/>
      </c>
      <c r="AC255" s="90"/>
      <c r="AD255" s="42" t="str">
        <f t="shared" si="92"/>
        <v/>
      </c>
      <c r="AE255" s="42" t="str">
        <f t="shared" si="93"/>
        <v/>
      </c>
      <c r="AF255" s="90"/>
      <c r="AG255" s="42" t="str">
        <f t="shared" si="94"/>
        <v/>
      </c>
      <c r="AH255" s="42" t="str">
        <f t="shared" si="95"/>
        <v/>
      </c>
      <c r="AI255" s="90"/>
      <c r="AJ255" s="42" t="str">
        <f t="shared" si="96"/>
        <v/>
      </c>
      <c r="AK255" s="42" t="str">
        <f t="shared" si="97"/>
        <v/>
      </c>
      <c r="AL255" s="14" t="str">
        <f t="shared" si="98"/>
        <v/>
      </c>
      <c r="AM255" s="14" t="str">
        <f t="shared" si="99"/>
        <v/>
      </c>
      <c r="AN255" s="14" t="str">
        <f t="shared" si="100"/>
        <v/>
      </c>
      <c r="AO255" s="14" t="str">
        <f>IF(OR($C255="01-09",$D255="Male"),"",INDEX(PMTCT!$AD:$AD,MATCH($E255,PMTCT!$E:$E,0)))</f>
        <v/>
      </c>
      <c r="AP255" s="14" t="str">
        <f>IF(OR($C255="01-09",$D255="Male"),"",INDEX(PMTCT!$AT:$AT,MATCH($E255,PMTCT!$E:$E,0)))</f>
        <v/>
      </c>
      <c r="AQ255" s="14" t="str">
        <f>INDEX(TB!$Q:$Q,MATCH($E255,TB!$E:$E,0))</f>
        <v/>
      </c>
      <c r="AR255" s="14" t="str">
        <f>IF(OR($C255="01-09",$C255="10-14",$D255="Female"),"",INDEX(VMMC!$AB:$AB,MATCH($E255,VMMC!$E:$E,0)))</f>
        <v/>
      </c>
      <c r="AS255" s="14" t="str">
        <f>IF(OR($C255="01-09",$C255="10-14"),"",INDEX(PrEP!$Q:$Q,MATCH($E255,PrEP!$E:$E,0)))</f>
        <v/>
      </c>
      <c r="AT255" s="14" t="str">
        <f t="shared" si="101"/>
        <v/>
      </c>
      <c r="AU255" s="14" t="str">
        <f t="shared" si="102"/>
        <v/>
      </c>
      <c r="AV255" s="90" t="str">
        <f t="shared" si="103"/>
        <v/>
      </c>
      <c r="AW255" s="14"/>
      <c r="AX255" s="90" t="str">
        <f t="shared" si="104"/>
        <v/>
      </c>
      <c r="AY255" s="42" t="str">
        <f t="shared" si="105"/>
        <v/>
      </c>
      <c r="AZ255" s="90" t="str">
        <f t="shared" si="106"/>
        <v/>
      </c>
      <c r="BA255" s="42" t="str">
        <f t="shared" si="107"/>
        <v/>
      </c>
    </row>
    <row r="256" spans="1:53" x14ac:dyDescent="0.2">
      <c r="A256" t="str">
        <f>INDEX(Prioritization!$D:$D,MATCH($B256,Prioritization!$A:$A,0))</f>
        <v>1 - Scale-up: Saturation</v>
      </c>
      <c r="B256" t="s">
        <v>213</v>
      </c>
      <c r="C256" t="s">
        <v>362</v>
      </c>
      <c r="D256" t="s">
        <v>47</v>
      </c>
      <c r="E256" t="str">
        <f t="shared" si="81"/>
        <v>Machinga District [TYnMSwzko3z]|01-09|Male</v>
      </c>
      <c r="F256" s="90">
        <f>IF(LEFT($B256,4)="_Mil","",INDEX(Cascade!$AA:$AA,MATCH($E256,Cascade!$E:$E,0)))</f>
        <v>1751</v>
      </c>
      <c r="G256" s="14">
        <f>INDEX(Cascade!$BH:$BH,MATCH($E256,Cascade!$E:$E,0))</f>
        <v>0</v>
      </c>
      <c r="H256" s="14" t="str">
        <f>IF(OR($C256="01-09",$D256="Male"),"",INDEX(PMTCT!$AC:$AC,MATCH($E256,PMTCT!$E:$E,0)))</f>
        <v/>
      </c>
      <c r="I256" s="14" t="str">
        <f>IF(OR($C256="01-09",$D256="Male"),"",INDEX(PMTCT!$AS:$AS,MATCH($E256,PMTCT!$E:$E,0)))</f>
        <v/>
      </c>
      <c r="J256" s="14" t="str">
        <f>INDEX(TB!$P:$P,MATCH($E256,TB!$E:$E,0))</f>
        <v/>
      </c>
      <c r="K256" s="14" t="str">
        <f>IF(OR($C256="01-09",$C256="10-14",$D256="Female"),"",INDEX(VMMC!$AA:$AA,MATCH($E256,VMMC!$E:$E,0)))</f>
        <v/>
      </c>
      <c r="L256" s="14">
        <f t="shared" si="82"/>
        <v>0</v>
      </c>
      <c r="M256" s="90" t="str">
        <f t="shared" si="83"/>
        <v/>
      </c>
      <c r="N256" s="90" t="str">
        <f t="shared" si="84"/>
        <v/>
      </c>
      <c r="O256" s="90" t="str">
        <f t="shared" si="85"/>
        <v/>
      </c>
      <c r="P256" s="90" t="str">
        <f t="shared" si="86"/>
        <v/>
      </c>
      <c r="Q256" s="90"/>
      <c r="R256" s="90"/>
      <c r="S256" s="90"/>
      <c r="T256" s="90"/>
      <c r="U256" s="90"/>
      <c r="V256" s="90" t="str">
        <f t="shared" si="87"/>
        <v/>
      </c>
      <c r="W256" s="90"/>
      <c r="X256" s="42" t="str">
        <f t="shared" si="88"/>
        <v/>
      </c>
      <c r="Y256" s="42" t="str">
        <f t="shared" si="89"/>
        <v/>
      </c>
      <c r="Z256" s="90"/>
      <c r="AA256" s="42" t="str">
        <f t="shared" si="90"/>
        <v/>
      </c>
      <c r="AB256" s="42" t="str">
        <f t="shared" si="91"/>
        <v/>
      </c>
      <c r="AC256" s="90"/>
      <c r="AD256" s="42" t="str">
        <f t="shared" si="92"/>
        <v/>
      </c>
      <c r="AE256" s="42" t="str">
        <f t="shared" si="93"/>
        <v/>
      </c>
      <c r="AF256" s="90"/>
      <c r="AG256" s="42" t="str">
        <f t="shared" si="94"/>
        <v/>
      </c>
      <c r="AH256" s="42" t="str">
        <f t="shared" si="95"/>
        <v/>
      </c>
      <c r="AI256" s="90"/>
      <c r="AJ256" s="42" t="str">
        <f t="shared" si="96"/>
        <v/>
      </c>
      <c r="AK256" s="42" t="str">
        <f t="shared" si="97"/>
        <v/>
      </c>
      <c r="AL256" s="14" t="str">
        <f t="shared" si="98"/>
        <v/>
      </c>
      <c r="AM256" s="14" t="str">
        <f t="shared" si="99"/>
        <v/>
      </c>
      <c r="AN256" s="14" t="str">
        <f t="shared" si="100"/>
        <v/>
      </c>
      <c r="AO256" s="14" t="str">
        <f>IF(OR($C256="01-09",$D256="Male"),"",INDEX(PMTCT!$AD:$AD,MATCH($E256,PMTCT!$E:$E,0)))</f>
        <v/>
      </c>
      <c r="AP256" s="14" t="str">
        <f>IF(OR($C256="01-09",$D256="Male"),"",INDEX(PMTCT!$AT:$AT,MATCH($E256,PMTCT!$E:$E,0)))</f>
        <v/>
      </c>
      <c r="AQ256" s="14" t="str">
        <f>INDEX(TB!$Q:$Q,MATCH($E256,TB!$E:$E,0))</f>
        <v/>
      </c>
      <c r="AR256" s="14" t="str">
        <f>IF(OR($C256="01-09",$C256="10-14",$D256="Female"),"",INDEX(VMMC!$AB:$AB,MATCH($E256,VMMC!$E:$E,0)))</f>
        <v/>
      </c>
      <c r="AS256" s="14" t="str">
        <f>IF(OR($C256="01-09",$C256="10-14"),"",INDEX(PrEP!$Q:$Q,MATCH($E256,PrEP!$E:$E,0)))</f>
        <v/>
      </c>
      <c r="AT256" s="14" t="str">
        <f t="shared" si="101"/>
        <v/>
      </c>
      <c r="AU256" s="14" t="str">
        <f t="shared" si="102"/>
        <v/>
      </c>
      <c r="AV256" s="90" t="str">
        <f t="shared" si="103"/>
        <v/>
      </c>
      <c r="AW256" s="14"/>
      <c r="AX256" s="90" t="str">
        <f t="shared" si="104"/>
        <v/>
      </c>
      <c r="AY256" s="42" t="str">
        <f t="shared" si="105"/>
        <v/>
      </c>
      <c r="AZ256" s="90" t="str">
        <f t="shared" si="106"/>
        <v/>
      </c>
      <c r="BA256" s="42" t="str">
        <f t="shared" si="107"/>
        <v/>
      </c>
    </row>
    <row r="257" spans="1:53" x14ac:dyDescent="0.2">
      <c r="A257" t="str">
        <f>INDEX(Prioritization!$D:$D,MATCH($B257,Prioritization!$A:$A,0))</f>
        <v>1 - Scale-up: Saturation</v>
      </c>
      <c r="B257" t="s">
        <v>213</v>
      </c>
      <c r="C257" t="s">
        <v>363</v>
      </c>
      <c r="D257" t="s">
        <v>29</v>
      </c>
      <c r="E257" t="str">
        <f t="shared" si="81"/>
        <v>Machinga District [TYnMSwzko3z]|10-14|Female</v>
      </c>
      <c r="F257" s="90">
        <f>IF(LEFT($B257,4)="_Mil","",INDEX(Cascade!$AA:$AA,MATCH($E257,Cascade!$E:$E,0)))</f>
        <v>1635</v>
      </c>
      <c r="G257" s="14">
        <f>INDEX(Cascade!$BH:$BH,MATCH($E257,Cascade!$E:$E,0))</f>
        <v>-87</v>
      </c>
      <c r="H257" s="14" t="str">
        <f>IF(OR($C257="01-09",$D257="Male"),"",INDEX(PMTCT!$AC:$AC,MATCH($E257,PMTCT!$E:$E,0)))</f>
        <v>ENTER YIELD RATE</v>
      </c>
      <c r="I257" s="14" t="str">
        <f>IF(OR($C257="01-09",$D257="Male"),"",INDEX(PMTCT!$AS:$AS,MATCH($E257,PMTCT!$E:$E,0)))</f>
        <v>ENTER YIELD RATE</v>
      </c>
      <c r="J257" s="14" t="str">
        <f>INDEX(TB!$P:$P,MATCH($E257,TB!$E:$E,0))</f>
        <v>ENTER YIELD RATE</v>
      </c>
      <c r="K257" s="14" t="str">
        <f>IF(OR($C257="01-09",$C257="10-14",$D257="Female"),"",INDEX(VMMC!$AA:$AA,MATCH($E257,VMMC!$E:$E,0)))</f>
        <v/>
      </c>
      <c r="L257" s="14">
        <f t="shared" si="82"/>
        <v>-87</v>
      </c>
      <c r="M257" s="90">
        <f t="shared" si="83"/>
        <v>0</v>
      </c>
      <c r="N257" s="90">
        <f t="shared" si="84"/>
        <v>0</v>
      </c>
      <c r="O257" s="90">
        <f t="shared" si="85"/>
        <v>0</v>
      </c>
      <c r="P257" s="90" t="str">
        <f t="shared" si="86"/>
        <v/>
      </c>
      <c r="Q257" s="90"/>
      <c r="R257" s="90"/>
      <c r="S257" s="90"/>
      <c r="T257" s="90"/>
      <c r="U257" s="90"/>
      <c r="V257" s="90">
        <f t="shared" si="87"/>
        <v>0</v>
      </c>
      <c r="W257" s="90"/>
      <c r="X257" s="42" t="str">
        <f t="shared" si="88"/>
        <v/>
      </c>
      <c r="Y257" s="42" t="str">
        <f t="shared" si="89"/>
        <v/>
      </c>
      <c r="Z257" s="90"/>
      <c r="AA257" s="42" t="str">
        <f t="shared" si="90"/>
        <v/>
      </c>
      <c r="AB257" s="42" t="str">
        <f t="shared" si="91"/>
        <v/>
      </c>
      <c r="AC257" s="90"/>
      <c r="AD257" s="42" t="str">
        <f t="shared" si="92"/>
        <v/>
      </c>
      <c r="AE257" s="42" t="str">
        <f t="shared" si="93"/>
        <v/>
      </c>
      <c r="AF257" s="90"/>
      <c r="AG257" s="42" t="str">
        <f t="shared" si="94"/>
        <v/>
      </c>
      <c r="AH257" s="42" t="str">
        <f t="shared" si="95"/>
        <v/>
      </c>
      <c r="AI257" s="90">
        <v>4.0449527092277997E-2</v>
      </c>
      <c r="AJ257" s="42" t="str">
        <f t="shared" si="96"/>
        <v/>
      </c>
      <c r="AK257" s="42" t="str">
        <f t="shared" si="97"/>
        <v/>
      </c>
      <c r="AL257" s="14">
        <f t="shared" si="98"/>
        <v>-87</v>
      </c>
      <c r="AM257" s="14" t="str">
        <f t="shared" si="99"/>
        <v/>
      </c>
      <c r="AN257" s="14" t="e">
        <f t="shared" si="100"/>
        <v>#VALUE!</v>
      </c>
      <c r="AO257" s="14">
        <f>IF(OR($C257="01-09",$D257="Male"),"",INDEX(PMTCT!$AD:$AD,MATCH($E257,PMTCT!$E:$E,0)))</f>
        <v>9</v>
      </c>
      <c r="AP257" s="14">
        <f>IF(OR($C257="01-09",$D257="Male"),"",INDEX(PMTCT!$AT:$AT,MATCH($E257,PMTCT!$E:$E,0)))</f>
        <v>9</v>
      </c>
      <c r="AQ257" s="14">
        <f>INDEX(TB!$Q:$Q,MATCH($E257,TB!$E:$E,0))</f>
        <v>1</v>
      </c>
      <c r="AR257" s="14" t="str">
        <f>IF(OR($C257="01-09",$C257="10-14",$D257="Female"),"",INDEX(VMMC!$AB:$AB,MATCH($E257,VMMC!$E:$E,0)))</f>
        <v/>
      </c>
      <c r="AS257" s="14" t="str">
        <f>IF(OR($C257="01-09",$C257="10-14"),"",INDEX(PrEP!$Q:$Q,MATCH($E257,PrEP!$E:$E,0)))</f>
        <v/>
      </c>
      <c r="AT257" s="14">
        <f t="shared" si="101"/>
        <v>19</v>
      </c>
      <c r="AU257" s="14">
        <f t="shared" si="102"/>
        <v>19</v>
      </c>
      <c r="AV257" s="90" t="e">
        <f t="shared" si="103"/>
        <v>#VALUE!</v>
      </c>
      <c r="AW257" s="14">
        <v>714</v>
      </c>
      <c r="AX257" s="90">
        <f t="shared" si="104"/>
        <v>0</v>
      </c>
      <c r="AY257" s="42">
        <f t="shared" si="105"/>
        <v>714</v>
      </c>
      <c r="AZ257" s="90" t="str">
        <f t="shared" si="106"/>
        <v/>
      </c>
      <c r="BA257" s="42" t="str">
        <f t="shared" si="107"/>
        <v/>
      </c>
    </row>
    <row r="258" spans="1:53" x14ac:dyDescent="0.2">
      <c r="A258" t="str">
        <f>INDEX(Prioritization!$D:$D,MATCH($B258,Prioritization!$A:$A,0))</f>
        <v>1 - Scale-up: Saturation</v>
      </c>
      <c r="B258" t="s">
        <v>213</v>
      </c>
      <c r="C258" t="s">
        <v>363</v>
      </c>
      <c r="D258" t="s">
        <v>47</v>
      </c>
      <c r="E258" t="str">
        <f t="shared" si="81"/>
        <v>Machinga District [TYnMSwzko3z]|10-14|Male</v>
      </c>
      <c r="F258" s="90">
        <f>IF(LEFT($B258,4)="_Mil","",INDEX(Cascade!$AA:$AA,MATCH($E258,Cascade!$E:$E,0)))</f>
        <v>685</v>
      </c>
      <c r="G258" s="14">
        <f>INDEX(Cascade!$BH:$BH,MATCH($E258,Cascade!$E:$E,0))</f>
        <v>-55</v>
      </c>
      <c r="H258" s="14" t="str">
        <f>IF(OR($C258="01-09",$D258="Male"),"",INDEX(PMTCT!$AC:$AC,MATCH($E258,PMTCT!$E:$E,0)))</f>
        <v/>
      </c>
      <c r="I258" s="14" t="str">
        <f>IF(OR($C258="01-09",$D258="Male"),"",INDEX(PMTCT!$AS:$AS,MATCH($E258,PMTCT!$E:$E,0)))</f>
        <v/>
      </c>
      <c r="J258" s="14" t="str">
        <f>INDEX(TB!$P:$P,MATCH($E258,TB!$E:$E,0))</f>
        <v>ENTER YIELD RATE</v>
      </c>
      <c r="K258" s="14" t="str">
        <f>IF(OR($C258="01-09",$C258="10-14",$D258="Female"),"",INDEX(VMMC!$AA:$AA,MATCH($E258,VMMC!$E:$E,0)))</f>
        <v/>
      </c>
      <c r="L258" s="14">
        <f t="shared" si="82"/>
        <v>-55</v>
      </c>
      <c r="M258" s="90" t="str">
        <f t="shared" si="83"/>
        <v/>
      </c>
      <c r="N258" s="90" t="str">
        <f t="shared" si="84"/>
        <v/>
      </c>
      <c r="O258" s="90">
        <f t="shared" si="85"/>
        <v>0</v>
      </c>
      <c r="P258" s="90" t="str">
        <f t="shared" si="86"/>
        <v/>
      </c>
      <c r="Q258" s="90"/>
      <c r="R258" s="90"/>
      <c r="S258" s="90"/>
      <c r="T258" s="90"/>
      <c r="U258" s="90"/>
      <c r="V258" s="90">
        <f t="shared" si="87"/>
        <v>0</v>
      </c>
      <c r="W258" s="90"/>
      <c r="X258" s="42" t="str">
        <f t="shared" si="88"/>
        <v/>
      </c>
      <c r="Y258" s="42" t="str">
        <f t="shared" si="89"/>
        <v/>
      </c>
      <c r="Z258" s="90"/>
      <c r="AA258" s="42" t="str">
        <f t="shared" si="90"/>
        <v/>
      </c>
      <c r="AB258" s="42" t="str">
        <f t="shared" si="91"/>
        <v/>
      </c>
      <c r="AC258" s="90"/>
      <c r="AD258" s="42" t="str">
        <f t="shared" si="92"/>
        <v/>
      </c>
      <c r="AE258" s="42" t="str">
        <f t="shared" si="93"/>
        <v/>
      </c>
      <c r="AF258" s="90"/>
      <c r="AG258" s="42" t="str">
        <f t="shared" si="94"/>
        <v/>
      </c>
      <c r="AH258" s="42" t="str">
        <f t="shared" si="95"/>
        <v/>
      </c>
      <c r="AI258" s="90">
        <v>0.40771485352888698</v>
      </c>
      <c r="AJ258" s="42" t="str">
        <f t="shared" si="96"/>
        <v/>
      </c>
      <c r="AK258" s="42" t="str">
        <f t="shared" si="97"/>
        <v/>
      </c>
      <c r="AL258" s="14">
        <f t="shared" si="98"/>
        <v>-55</v>
      </c>
      <c r="AM258" s="14" t="str">
        <f t="shared" si="99"/>
        <v/>
      </c>
      <c r="AN258" s="14" t="e">
        <f t="shared" si="100"/>
        <v>#VALUE!</v>
      </c>
      <c r="AO258" s="14" t="str">
        <f>IF(OR($C258="01-09",$D258="Male"),"",INDEX(PMTCT!$AD:$AD,MATCH($E258,PMTCT!$E:$E,0)))</f>
        <v/>
      </c>
      <c r="AP258" s="14" t="str">
        <f>IF(OR($C258="01-09",$D258="Male"),"",INDEX(PMTCT!$AT:$AT,MATCH($E258,PMTCT!$E:$E,0)))</f>
        <v/>
      </c>
      <c r="AQ258" s="14">
        <f>INDEX(TB!$Q:$Q,MATCH($E258,TB!$E:$E,0))</f>
        <v>1</v>
      </c>
      <c r="AR258" s="14" t="str">
        <f>IF(OR($C258="01-09",$C258="10-14",$D258="Female"),"",INDEX(VMMC!$AB:$AB,MATCH($E258,VMMC!$E:$E,0)))</f>
        <v/>
      </c>
      <c r="AS258" s="14" t="str">
        <f>IF(OR($C258="01-09",$C258="10-14"),"",INDEX(PrEP!$Q:$Q,MATCH($E258,PrEP!$E:$E,0)))</f>
        <v/>
      </c>
      <c r="AT258" s="14">
        <f t="shared" si="101"/>
        <v>1</v>
      </c>
      <c r="AU258" s="14">
        <f t="shared" si="102"/>
        <v>1</v>
      </c>
      <c r="AV258" s="90" t="e">
        <f t="shared" si="103"/>
        <v>#VALUE!</v>
      </c>
      <c r="AW258" s="14"/>
      <c r="AX258" s="90" t="str">
        <f t="shared" si="104"/>
        <v/>
      </c>
      <c r="AY258" s="42" t="str">
        <f t="shared" si="105"/>
        <v/>
      </c>
      <c r="AZ258" s="90" t="str">
        <f t="shared" si="106"/>
        <v/>
      </c>
      <c r="BA258" s="42" t="str">
        <f t="shared" si="107"/>
        <v/>
      </c>
    </row>
    <row r="259" spans="1:53" x14ac:dyDescent="0.2">
      <c r="A259" t="str">
        <f>INDEX(Prioritization!$D:$D,MATCH($B259,Prioritization!$A:$A,0))</f>
        <v>1 - Scale-up: Saturation</v>
      </c>
      <c r="B259" t="s">
        <v>213</v>
      </c>
      <c r="C259" t="s">
        <v>364</v>
      </c>
      <c r="D259" t="s">
        <v>29</v>
      </c>
      <c r="E259" t="str">
        <f t="shared" si="81"/>
        <v>Machinga District [TYnMSwzko3z]|15-24|Female</v>
      </c>
      <c r="F259" s="90">
        <f>IF(LEFT($B259,4)="_Mil","",INDEX(Cascade!$AA:$AA,MATCH($E259,Cascade!$E:$E,0)))</f>
        <v>756</v>
      </c>
      <c r="G259" s="14">
        <f>INDEX(Cascade!$BH:$BH,MATCH($E259,Cascade!$E:$E,0))</f>
        <v>0</v>
      </c>
      <c r="H259" s="14" t="str">
        <f>IF(OR($C259="01-09",$D259="Male"),"",INDEX(PMTCT!$AC:$AC,MATCH($E259,PMTCT!$E:$E,0)))</f>
        <v/>
      </c>
      <c r="I259" s="14" t="str">
        <f>IF(OR($C259="01-09",$D259="Male"),"",INDEX(PMTCT!$AS:$AS,MATCH($E259,PMTCT!$E:$E,0)))</f>
        <v/>
      </c>
      <c r="J259" s="14" t="str">
        <f>INDEX(TB!$P:$P,MATCH($E259,TB!$E:$E,0))</f>
        <v/>
      </c>
      <c r="K259" s="14" t="str">
        <f>IF(OR($C259="01-09",$C259="10-14",$D259="Female"),"",INDEX(VMMC!$AA:$AA,MATCH($E259,VMMC!$E:$E,0)))</f>
        <v/>
      </c>
      <c r="L259" s="14">
        <f t="shared" si="82"/>
        <v>0</v>
      </c>
      <c r="M259" s="90" t="str">
        <f t="shared" si="83"/>
        <v/>
      </c>
      <c r="N259" s="90" t="str">
        <f t="shared" si="84"/>
        <v/>
      </c>
      <c r="O259" s="90" t="str">
        <f t="shared" si="85"/>
        <v/>
      </c>
      <c r="P259" s="90" t="str">
        <f t="shared" si="86"/>
        <v/>
      </c>
      <c r="Q259" s="90"/>
      <c r="R259" s="90"/>
      <c r="S259" s="90"/>
      <c r="T259" s="90"/>
      <c r="U259" s="90"/>
      <c r="V259" s="90" t="str">
        <f t="shared" si="87"/>
        <v/>
      </c>
      <c r="W259" s="90"/>
      <c r="X259" s="42" t="str">
        <f t="shared" si="88"/>
        <v/>
      </c>
      <c r="Y259" s="42" t="str">
        <f t="shared" si="89"/>
        <v/>
      </c>
      <c r="Z259" s="90"/>
      <c r="AA259" s="42" t="str">
        <f t="shared" si="90"/>
        <v/>
      </c>
      <c r="AB259" s="42" t="str">
        <f t="shared" si="91"/>
        <v/>
      </c>
      <c r="AC259" s="90"/>
      <c r="AD259" s="42" t="str">
        <f t="shared" si="92"/>
        <v/>
      </c>
      <c r="AE259" s="42" t="str">
        <f t="shared" si="93"/>
        <v/>
      </c>
      <c r="AF259" s="90"/>
      <c r="AG259" s="42" t="str">
        <f t="shared" si="94"/>
        <v/>
      </c>
      <c r="AH259" s="42" t="str">
        <f t="shared" si="95"/>
        <v/>
      </c>
      <c r="AI259" s="90"/>
      <c r="AJ259" s="42" t="str">
        <f t="shared" si="96"/>
        <v/>
      </c>
      <c r="AK259" s="42" t="str">
        <f t="shared" si="97"/>
        <v/>
      </c>
      <c r="AL259" s="14" t="str">
        <f t="shared" si="98"/>
        <v/>
      </c>
      <c r="AM259" s="14" t="str">
        <f t="shared" si="99"/>
        <v/>
      </c>
      <c r="AN259" s="14" t="str">
        <f t="shared" si="100"/>
        <v/>
      </c>
      <c r="AO259" s="14" t="str">
        <f>IF(OR($C259="01-09",$D259="Male"),"",INDEX(PMTCT!$AD:$AD,MATCH($E259,PMTCT!$E:$E,0)))</f>
        <v/>
      </c>
      <c r="AP259" s="14" t="str">
        <f>IF(OR($C259="01-09",$D259="Male"),"",INDEX(PMTCT!$AT:$AT,MATCH($E259,PMTCT!$E:$E,0)))</f>
        <v/>
      </c>
      <c r="AQ259" s="14" t="str">
        <f>INDEX(TB!$Q:$Q,MATCH($E259,TB!$E:$E,0))</f>
        <v/>
      </c>
      <c r="AR259" s="14" t="str">
        <f>IF(OR($C259="01-09",$C259="10-14",$D259="Female"),"",INDEX(VMMC!$AB:$AB,MATCH($E259,VMMC!$E:$E,0)))</f>
        <v/>
      </c>
      <c r="AS259" s="14" t="str">
        <f>IF(OR($C259="01-09",$C259="10-14"),"",INDEX(PrEP!$Q:$Q,MATCH($E259,PrEP!$E:$E,0)))</f>
        <v/>
      </c>
      <c r="AT259" s="14" t="str">
        <f t="shared" si="101"/>
        <v/>
      </c>
      <c r="AU259" s="14" t="str">
        <f t="shared" si="102"/>
        <v/>
      </c>
      <c r="AV259" s="90" t="str">
        <f t="shared" si="103"/>
        <v/>
      </c>
      <c r="AW259" s="14"/>
      <c r="AX259" s="90" t="str">
        <f t="shared" si="104"/>
        <v/>
      </c>
      <c r="AY259" s="42" t="str">
        <f t="shared" si="105"/>
        <v/>
      </c>
      <c r="AZ259" s="90">
        <f t="shared" si="106"/>
        <v>1</v>
      </c>
      <c r="BA259" s="42" t="str">
        <f t="shared" si="107"/>
        <v/>
      </c>
    </row>
    <row r="260" spans="1:53" x14ac:dyDescent="0.2">
      <c r="A260" t="str">
        <f>INDEX(Prioritization!$D:$D,MATCH($B260,Prioritization!$A:$A,0))</f>
        <v>1 - Scale-up: Saturation</v>
      </c>
      <c r="B260" t="s">
        <v>213</v>
      </c>
      <c r="C260" t="s">
        <v>364</v>
      </c>
      <c r="D260" t="s">
        <v>47</v>
      </c>
      <c r="E260" t="str">
        <f t="shared" si="81"/>
        <v>Machinga District [TYnMSwzko3z]|15-24|Male</v>
      </c>
      <c r="F260" s="90">
        <f>IF(LEFT($B260,4)="_Mil","",INDEX(Cascade!$AA:$AA,MATCH($E260,Cascade!$E:$E,0)))</f>
        <v>1565</v>
      </c>
      <c r="G260" s="14">
        <f>INDEX(Cascade!$BH:$BH,MATCH($E260,Cascade!$E:$E,0))</f>
        <v>0</v>
      </c>
      <c r="H260" s="14" t="str">
        <f>IF(OR($C260="01-09",$D260="Male"),"",INDEX(PMTCT!$AC:$AC,MATCH($E260,PMTCT!$E:$E,0)))</f>
        <v/>
      </c>
      <c r="I260" s="14" t="str">
        <f>IF(OR($C260="01-09",$D260="Male"),"",INDEX(PMTCT!$AS:$AS,MATCH($E260,PMTCT!$E:$E,0)))</f>
        <v/>
      </c>
      <c r="J260" s="14" t="str">
        <f>INDEX(TB!$P:$P,MATCH($E260,TB!$E:$E,0))</f>
        <v/>
      </c>
      <c r="K260" s="14" t="str">
        <f>IF(OR($C260="01-09",$C260="10-14",$D260="Female"),"",INDEX(VMMC!$AA:$AA,MATCH($E260,VMMC!$E:$E,0)))</f>
        <v/>
      </c>
      <c r="L260" s="14">
        <f t="shared" si="82"/>
        <v>0</v>
      </c>
      <c r="M260" s="90" t="str">
        <f t="shared" si="83"/>
        <v/>
      </c>
      <c r="N260" s="90" t="str">
        <f t="shared" si="84"/>
        <v/>
      </c>
      <c r="O260" s="90" t="str">
        <f t="shared" si="85"/>
        <v/>
      </c>
      <c r="P260" s="90" t="str">
        <f t="shared" si="86"/>
        <v/>
      </c>
      <c r="Q260" s="90"/>
      <c r="R260" s="90"/>
      <c r="S260" s="90"/>
      <c r="T260" s="90"/>
      <c r="U260" s="90"/>
      <c r="V260" s="90" t="str">
        <f t="shared" si="87"/>
        <v/>
      </c>
      <c r="W260" s="90"/>
      <c r="X260" s="42" t="str">
        <f t="shared" si="88"/>
        <v/>
      </c>
      <c r="Y260" s="42" t="str">
        <f t="shared" si="89"/>
        <v/>
      </c>
      <c r="Z260" s="90"/>
      <c r="AA260" s="42" t="str">
        <f t="shared" si="90"/>
        <v/>
      </c>
      <c r="AB260" s="42" t="str">
        <f t="shared" si="91"/>
        <v/>
      </c>
      <c r="AC260" s="90"/>
      <c r="AD260" s="42" t="str">
        <f t="shared" si="92"/>
        <v/>
      </c>
      <c r="AE260" s="42" t="str">
        <f t="shared" si="93"/>
        <v/>
      </c>
      <c r="AF260" s="90"/>
      <c r="AG260" s="42" t="str">
        <f t="shared" si="94"/>
        <v/>
      </c>
      <c r="AH260" s="42" t="str">
        <f t="shared" si="95"/>
        <v/>
      </c>
      <c r="AI260" s="90"/>
      <c r="AJ260" s="42" t="str">
        <f t="shared" si="96"/>
        <v/>
      </c>
      <c r="AK260" s="42" t="str">
        <f t="shared" si="97"/>
        <v/>
      </c>
      <c r="AL260" s="14" t="str">
        <f t="shared" si="98"/>
        <v/>
      </c>
      <c r="AM260" s="14" t="str">
        <f t="shared" si="99"/>
        <v/>
      </c>
      <c r="AN260" s="14" t="str">
        <f t="shared" si="100"/>
        <v/>
      </c>
      <c r="AO260" s="14" t="str">
        <f>IF(OR($C260="01-09",$D260="Male"),"",INDEX(PMTCT!$AD:$AD,MATCH($E260,PMTCT!$E:$E,0)))</f>
        <v/>
      </c>
      <c r="AP260" s="14" t="str">
        <f>IF(OR($C260="01-09",$D260="Male"),"",INDEX(PMTCT!$AT:$AT,MATCH($E260,PMTCT!$E:$E,0)))</f>
        <v/>
      </c>
      <c r="AQ260" s="14" t="str">
        <f>INDEX(TB!$Q:$Q,MATCH($E260,TB!$E:$E,0))</f>
        <v/>
      </c>
      <c r="AR260" s="14" t="str">
        <f>IF(OR($C260="01-09",$C260="10-14",$D260="Female"),"",INDEX(VMMC!$AB:$AB,MATCH($E260,VMMC!$E:$E,0)))</f>
        <v/>
      </c>
      <c r="AS260" s="14" t="str">
        <f>IF(OR($C260="01-09",$C260="10-14"),"",INDEX(PrEP!$Q:$Q,MATCH($E260,PrEP!$E:$E,0)))</f>
        <v/>
      </c>
      <c r="AT260" s="14" t="str">
        <f t="shared" si="101"/>
        <v/>
      </c>
      <c r="AU260" s="14" t="str">
        <f t="shared" si="102"/>
        <v/>
      </c>
      <c r="AV260" s="90" t="str">
        <f t="shared" si="103"/>
        <v/>
      </c>
      <c r="AW260" s="14"/>
      <c r="AX260" s="90" t="str">
        <f t="shared" si="104"/>
        <v/>
      </c>
      <c r="AY260" s="42" t="str">
        <f t="shared" si="105"/>
        <v/>
      </c>
      <c r="AZ260" s="90">
        <f t="shared" si="106"/>
        <v>1</v>
      </c>
      <c r="BA260" s="42" t="str">
        <f t="shared" si="107"/>
        <v/>
      </c>
    </row>
    <row r="261" spans="1:53" x14ac:dyDescent="0.2">
      <c r="A261" t="str">
        <f>INDEX(Prioritization!$D:$D,MATCH($B261,Prioritization!$A:$A,0))</f>
        <v>1 - Scale-up: Saturation</v>
      </c>
      <c r="B261" t="s">
        <v>213</v>
      </c>
      <c r="C261" t="s">
        <v>365</v>
      </c>
      <c r="D261" t="s">
        <v>29</v>
      </c>
      <c r="E261" t="str">
        <f t="shared" si="81"/>
        <v>Machinga District [TYnMSwzko3z]|25-34|Female</v>
      </c>
      <c r="F261" s="90">
        <f>IF(LEFT($B261,4)="_Mil","",INDEX(Cascade!$AA:$AA,MATCH($E261,Cascade!$E:$E,0)))</f>
        <v>742</v>
      </c>
      <c r="G261" s="14">
        <f>INDEX(Cascade!$BH:$BH,MATCH($E261,Cascade!$E:$E,0))</f>
        <v>0</v>
      </c>
      <c r="H261" s="14" t="str">
        <f>IF(OR($C261="01-09",$D261="Male"),"",INDEX(PMTCT!$AC:$AC,MATCH($E261,PMTCT!$E:$E,0)))</f>
        <v/>
      </c>
      <c r="I261" s="14" t="str">
        <f>IF(OR($C261="01-09",$D261="Male"),"",INDEX(PMTCT!$AS:$AS,MATCH($E261,PMTCT!$E:$E,0)))</f>
        <v/>
      </c>
      <c r="J261" s="14" t="str">
        <f>INDEX(TB!$P:$P,MATCH($E261,TB!$E:$E,0))</f>
        <v/>
      </c>
      <c r="K261" s="14" t="str">
        <f>IF(OR($C261="01-09",$C261="10-14",$D261="Female"),"",INDEX(VMMC!$AA:$AA,MATCH($E261,VMMC!$E:$E,0)))</f>
        <v/>
      </c>
      <c r="L261" s="14">
        <f t="shared" si="82"/>
        <v>0</v>
      </c>
      <c r="M261" s="90" t="str">
        <f t="shared" si="83"/>
        <v/>
      </c>
      <c r="N261" s="90" t="str">
        <f t="shared" si="84"/>
        <v/>
      </c>
      <c r="O261" s="90" t="str">
        <f t="shared" si="85"/>
        <v/>
      </c>
      <c r="P261" s="90" t="str">
        <f t="shared" si="86"/>
        <v/>
      </c>
      <c r="Q261" s="90"/>
      <c r="R261" s="90"/>
      <c r="S261" s="90"/>
      <c r="T261" s="90"/>
      <c r="U261" s="90"/>
      <c r="V261" s="90" t="str">
        <f t="shared" si="87"/>
        <v/>
      </c>
      <c r="W261" s="90"/>
      <c r="X261" s="42" t="str">
        <f t="shared" si="88"/>
        <v/>
      </c>
      <c r="Y261" s="42" t="str">
        <f t="shared" si="89"/>
        <v/>
      </c>
      <c r="Z261" s="90"/>
      <c r="AA261" s="42" t="str">
        <f t="shared" si="90"/>
        <v/>
      </c>
      <c r="AB261" s="42" t="str">
        <f t="shared" si="91"/>
        <v/>
      </c>
      <c r="AC261" s="90"/>
      <c r="AD261" s="42" t="str">
        <f t="shared" si="92"/>
        <v/>
      </c>
      <c r="AE261" s="42" t="str">
        <f t="shared" si="93"/>
        <v/>
      </c>
      <c r="AF261" s="90"/>
      <c r="AG261" s="42" t="str">
        <f t="shared" si="94"/>
        <v/>
      </c>
      <c r="AH261" s="42" t="str">
        <f t="shared" si="95"/>
        <v/>
      </c>
      <c r="AI261" s="90"/>
      <c r="AJ261" s="42" t="str">
        <f t="shared" si="96"/>
        <v/>
      </c>
      <c r="AK261" s="42" t="str">
        <f t="shared" si="97"/>
        <v/>
      </c>
      <c r="AL261" s="14" t="str">
        <f t="shared" si="98"/>
        <v/>
      </c>
      <c r="AM261" s="14" t="str">
        <f t="shared" si="99"/>
        <v/>
      </c>
      <c r="AN261" s="14" t="str">
        <f t="shared" si="100"/>
        <v/>
      </c>
      <c r="AO261" s="14" t="str">
        <f>IF(OR($C261="01-09",$D261="Male"),"",INDEX(PMTCT!$AD:$AD,MATCH($E261,PMTCT!$E:$E,0)))</f>
        <v/>
      </c>
      <c r="AP261" s="14" t="str">
        <f>IF(OR($C261="01-09",$D261="Male"),"",INDEX(PMTCT!$AT:$AT,MATCH($E261,PMTCT!$E:$E,0)))</f>
        <v/>
      </c>
      <c r="AQ261" s="14" t="str">
        <f>INDEX(TB!$Q:$Q,MATCH($E261,TB!$E:$E,0))</f>
        <v/>
      </c>
      <c r="AR261" s="14" t="str">
        <f>IF(OR($C261="01-09",$C261="10-14",$D261="Female"),"",INDEX(VMMC!$AB:$AB,MATCH($E261,VMMC!$E:$E,0)))</f>
        <v/>
      </c>
      <c r="AS261" s="14" t="str">
        <f>IF(OR($C261="01-09",$C261="10-14"),"",INDEX(PrEP!$Q:$Q,MATCH($E261,PrEP!$E:$E,0)))</f>
        <v/>
      </c>
      <c r="AT261" s="14" t="str">
        <f t="shared" si="101"/>
        <v/>
      </c>
      <c r="AU261" s="14" t="str">
        <f t="shared" si="102"/>
        <v/>
      </c>
      <c r="AV261" s="90" t="str">
        <f t="shared" si="103"/>
        <v/>
      </c>
      <c r="AW261" s="14"/>
      <c r="AX261" s="90" t="str">
        <f t="shared" si="104"/>
        <v/>
      </c>
      <c r="AY261" s="42" t="str">
        <f t="shared" si="105"/>
        <v/>
      </c>
      <c r="AZ261" s="90">
        <f t="shared" si="106"/>
        <v>1</v>
      </c>
      <c r="BA261" s="42" t="str">
        <f t="shared" si="107"/>
        <v/>
      </c>
    </row>
    <row r="262" spans="1:53" x14ac:dyDescent="0.2">
      <c r="A262" t="str">
        <f>INDEX(Prioritization!$D:$D,MATCH($B262,Prioritization!$A:$A,0))</f>
        <v>1 - Scale-up: Saturation</v>
      </c>
      <c r="B262" t="s">
        <v>213</v>
      </c>
      <c r="C262" t="s">
        <v>365</v>
      </c>
      <c r="D262" t="s">
        <v>47</v>
      </c>
      <c r="E262" t="str">
        <f t="shared" si="81"/>
        <v>Machinga District [TYnMSwzko3z]|25-34|Male</v>
      </c>
      <c r="F262" s="90">
        <f>IF(LEFT($B262,4)="_Mil","",INDEX(Cascade!$AA:$AA,MATCH($E262,Cascade!$E:$E,0)))</f>
        <v>1897</v>
      </c>
      <c r="G262" s="14">
        <f>INDEX(Cascade!$BH:$BH,MATCH($E262,Cascade!$E:$E,0))</f>
        <v>0</v>
      </c>
      <c r="H262" s="14" t="str">
        <f>IF(OR($C262="01-09",$D262="Male"),"",INDEX(PMTCT!$AC:$AC,MATCH($E262,PMTCT!$E:$E,0)))</f>
        <v/>
      </c>
      <c r="I262" s="14" t="str">
        <f>IF(OR($C262="01-09",$D262="Male"),"",INDEX(PMTCT!$AS:$AS,MATCH($E262,PMTCT!$E:$E,0)))</f>
        <v/>
      </c>
      <c r="J262" s="14" t="str">
        <f>INDEX(TB!$P:$P,MATCH($E262,TB!$E:$E,0))</f>
        <v/>
      </c>
      <c r="K262" s="14" t="str">
        <f>IF(OR($C262="01-09",$C262="10-14",$D262="Female"),"",INDEX(VMMC!$AA:$AA,MATCH($E262,VMMC!$E:$E,0)))</f>
        <v/>
      </c>
      <c r="L262" s="14">
        <f t="shared" si="82"/>
        <v>0</v>
      </c>
      <c r="M262" s="90" t="str">
        <f t="shared" si="83"/>
        <v/>
      </c>
      <c r="N262" s="90" t="str">
        <f t="shared" si="84"/>
        <v/>
      </c>
      <c r="O262" s="90" t="str">
        <f t="shared" si="85"/>
        <v/>
      </c>
      <c r="P262" s="90" t="str">
        <f t="shared" si="86"/>
        <v/>
      </c>
      <c r="Q262" s="90"/>
      <c r="R262" s="90"/>
      <c r="S262" s="90"/>
      <c r="T262" s="90"/>
      <c r="U262" s="90"/>
      <c r="V262" s="90" t="str">
        <f t="shared" si="87"/>
        <v/>
      </c>
      <c r="W262" s="90"/>
      <c r="X262" s="42" t="str">
        <f t="shared" si="88"/>
        <v/>
      </c>
      <c r="Y262" s="42" t="str">
        <f t="shared" si="89"/>
        <v/>
      </c>
      <c r="Z262" s="90"/>
      <c r="AA262" s="42" t="str">
        <f t="shared" si="90"/>
        <v/>
      </c>
      <c r="AB262" s="42" t="str">
        <f t="shared" si="91"/>
        <v/>
      </c>
      <c r="AC262" s="90"/>
      <c r="AD262" s="42" t="str">
        <f t="shared" si="92"/>
        <v/>
      </c>
      <c r="AE262" s="42" t="str">
        <f t="shared" si="93"/>
        <v/>
      </c>
      <c r="AF262" s="90"/>
      <c r="AG262" s="42" t="str">
        <f t="shared" si="94"/>
        <v/>
      </c>
      <c r="AH262" s="42" t="str">
        <f t="shared" si="95"/>
        <v/>
      </c>
      <c r="AI262" s="90"/>
      <c r="AJ262" s="42" t="str">
        <f t="shared" si="96"/>
        <v/>
      </c>
      <c r="AK262" s="42" t="str">
        <f t="shared" si="97"/>
        <v/>
      </c>
      <c r="AL262" s="14" t="str">
        <f t="shared" si="98"/>
        <v/>
      </c>
      <c r="AM262" s="14" t="str">
        <f t="shared" si="99"/>
        <v/>
      </c>
      <c r="AN262" s="14" t="str">
        <f t="shared" si="100"/>
        <v/>
      </c>
      <c r="AO262" s="14" t="str">
        <f>IF(OR($C262="01-09",$D262="Male"),"",INDEX(PMTCT!$AD:$AD,MATCH($E262,PMTCT!$E:$E,0)))</f>
        <v/>
      </c>
      <c r="AP262" s="14" t="str">
        <f>IF(OR($C262="01-09",$D262="Male"),"",INDEX(PMTCT!$AT:$AT,MATCH($E262,PMTCT!$E:$E,0)))</f>
        <v/>
      </c>
      <c r="AQ262" s="14" t="str">
        <f>INDEX(TB!$Q:$Q,MATCH($E262,TB!$E:$E,0))</f>
        <v/>
      </c>
      <c r="AR262" s="14" t="str">
        <f>IF(OR($C262="01-09",$C262="10-14",$D262="Female"),"",INDEX(VMMC!$AB:$AB,MATCH($E262,VMMC!$E:$E,0)))</f>
        <v/>
      </c>
      <c r="AS262" s="14" t="str">
        <f>IF(OR($C262="01-09",$C262="10-14"),"",INDEX(PrEP!$Q:$Q,MATCH($E262,PrEP!$E:$E,0)))</f>
        <v/>
      </c>
      <c r="AT262" s="14" t="str">
        <f t="shared" si="101"/>
        <v/>
      </c>
      <c r="AU262" s="14" t="str">
        <f t="shared" si="102"/>
        <v/>
      </c>
      <c r="AV262" s="90" t="str">
        <f t="shared" si="103"/>
        <v/>
      </c>
      <c r="AW262" s="14"/>
      <c r="AX262" s="90" t="str">
        <f t="shared" si="104"/>
        <v/>
      </c>
      <c r="AY262" s="42" t="str">
        <f t="shared" si="105"/>
        <v/>
      </c>
      <c r="AZ262" s="90">
        <f t="shared" si="106"/>
        <v>1</v>
      </c>
      <c r="BA262" s="42" t="str">
        <f t="shared" si="107"/>
        <v/>
      </c>
    </row>
    <row r="263" spans="1:53" x14ac:dyDescent="0.2">
      <c r="A263" t="str">
        <f>INDEX(Prioritization!$D:$D,MATCH($B263,Prioritization!$A:$A,0))</f>
        <v>1 - Scale-up: Saturation</v>
      </c>
      <c r="B263" t="s">
        <v>213</v>
      </c>
      <c r="C263" t="s">
        <v>366</v>
      </c>
      <c r="D263" t="s">
        <v>29</v>
      </c>
      <c r="E263" t="str">
        <f t="shared" si="81"/>
        <v>Machinga District [TYnMSwzko3z]|35-49|Female</v>
      </c>
      <c r="F263" s="90">
        <f>IF(LEFT($B263,4)="_Mil","",INDEX(Cascade!$AA:$AA,MATCH($E263,Cascade!$E:$E,0)))</f>
        <v>1197</v>
      </c>
      <c r="G263" s="14">
        <f>INDEX(Cascade!$BH:$BH,MATCH($E263,Cascade!$E:$E,0))</f>
        <v>0</v>
      </c>
      <c r="H263" s="14" t="str">
        <f>IF(OR($C263="01-09",$D263="Male"),"",INDEX(PMTCT!$AC:$AC,MATCH($E263,PMTCT!$E:$E,0)))</f>
        <v/>
      </c>
      <c r="I263" s="14" t="str">
        <f>IF(OR($C263="01-09",$D263="Male"),"",INDEX(PMTCT!$AS:$AS,MATCH($E263,PMTCT!$E:$E,0)))</f>
        <v/>
      </c>
      <c r="J263" s="14" t="str">
        <f>INDEX(TB!$P:$P,MATCH($E263,TB!$E:$E,0))</f>
        <v/>
      </c>
      <c r="K263" s="14" t="str">
        <f>IF(OR($C263="01-09",$C263="10-14",$D263="Female"),"",INDEX(VMMC!$AA:$AA,MATCH($E263,VMMC!$E:$E,0)))</f>
        <v/>
      </c>
      <c r="L263" s="14">
        <f t="shared" si="82"/>
        <v>0</v>
      </c>
      <c r="M263" s="90" t="str">
        <f t="shared" si="83"/>
        <v/>
      </c>
      <c r="N263" s="90" t="str">
        <f t="shared" si="84"/>
        <v/>
      </c>
      <c r="O263" s="90" t="str">
        <f t="shared" si="85"/>
        <v/>
      </c>
      <c r="P263" s="90" t="str">
        <f t="shared" si="86"/>
        <v/>
      </c>
      <c r="Q263" s="90"/>
      <c r="R263" s="90"/>
      <c r="S263" s="90"/>
      <c r="T263" s="90"/>
      <c r="U263" s="90"/>
      <c r="V263" s="90" t="str">
        <f t="shared" si="87"/>
        <v/>
      </c>
      <c r="W263" s="90"/>
      <c r="X263" s="42" t="str">
        <f t="shared" si="88"/>
        <v/>
      </c>
      <c r="Y263" s="42" t="str">
        <f t="shared" si="89"/>
        <v/>
      </c>
      <c r="Z263" s="90"/>
      <c r="AA263" s="42" t="str">
        <f t="shared" si="90"/>
        <v/>
      </c>
      <c r="AB263" s="42" t="str">
        <f t="shared" si="91"/>
        <v/>
      </c>
      <c r="AC263" s="90"/>
      <c r="AD263" s="42" t="str">
        <f t="shared" si="92"/>
        <v/>
      </c>
      <c r="AE263" s="42" t="str">
        <f t="shared" si="93"/>
        <v/>
      </c>
      <c r="AF263" s="90"/>
      <c r="AG263" s="42" t="str">
        <f t="shared" si="94"/>
        <v/>
      </c>
      <c r="AH263" s="42" t="str">
        <f t="shared" si="95"/>
        <v/>
      </c>
      <c r="AI263" s="90"/>
      <c r="AJ263" s="42" t="str">
        <f t="shared" si="96"/>
        <v/>
      </c>
      <c r="AK263" s="42" t="str">
        <f t="shared" si="97"/>
        <v/>
      </c>
      <c r="AL263" s="14" t="str">
        <f t="shared" si="98"/>
        <v/>
      </c>
      <c r="AM263" s="14" t="str">
        <f t="shared" si="99"/>
        <v/>
      </c>
      <c r="AN263" s="14" t="str">
        <f t="shared" si="100"/>
        <v/>
      </c>
      <c r="AO263" s="14" t="str">
        <f>IF(OR($C263="01-09",$D263="Male"),"",INDEX(PMTCT!$AD:$AD,MATCH($E263,PMTCT!$E:$E,0)))</f>
        <v/>
      </c>
      <c r="AP263" s="14" t="str">
        <f>IF(OR($C263="01-09",$D263="Male"),"",INDEX(PMTCT!$AT:$AT,MATCH($E263,PMTCT!$E:$E,0)))</f>
        <v/>
      </c>
      <c r="AQ263" s="14" t="str">
        <f>INDEX(TB!$Q:$Q,MATCH($E263,TB!$E:$E,0))</f>
        <v/>
      </c>
      <c r="AR263" s="14" t="str">
        <f>IF(OR($C263="01-09",$C263="10-14",$D263="Female"),"",INDEX(VMMC!$AB:$AB,MATCH($E263,VMMC!$E:$E,0)))</f>
        <v/>
      </c>
      <c r="AS263" s="14" t="str">
        <f>IF(OR($C263="01-09",$C263="10-14"),"",INDEX(PrEP!$Q:$Q,MATCH($E263,PrEP!$E:$E,0)))</f>
        <v/>
      </c>
      <c r="AT263" s="14" t="str">
        <f t="shared" si="101"/>
        <v/>
      </c>
      <c r="AU263" s="14" t="str">
        <f t="shared" si="102"/>
        <v/>
      </c>
      <c r="AV263" s="90" t="str">
        <f t="shared" si="103"/>
        <v/>
      </c>
      <c r="AW263" s="14"/>
      <c r="AX263" s="90" t="str">
        <f t="shared" si="104"/>
        <v/>
      </c>
      <c r="AY263" s="42" t="str">
        <f t="shared" si="105"/>
        <v/>
      </c>
      <c r="AZ263" s="90">
        <f t="shared" si="106"/>
        <v>1</v>
      </c>
      <c r="BA263" s="42" t="str">
        <f t="shared" si="107"/>
        <v/>
      </c>
    </row>
    <row r="264" spans="1:53" x14ac:dyDescent="0.2">
      <c r="A264" t="str">
        <f>INDEX(Prioritization!$D:$D,MATCH($B264,Prioritization!$A:$A,0))</f>
        <v>1 - Scale-up: Saturation</v>
      </c>
      <c r="B264" t="s">
        <v>213</v>
      </c>
      <c r="C264" t="s">
        <v>366</v>
      </c>
      <c r="D264" t="s">
        <v>47</v>
      </c>
      <c r="E264" t="str">
        <f t="shared" si="81"/>
        <v>Machinga District [TYnMSwzko3z]|35-49|Male</v>
      </c>
      <c r="F264" s="90">
        <f>IF(LEFT($B264,4)="_Mil","",INDEX(Cascade!$AA:$AA,MATCH($E264,Cascade!$E:$E,0)))</f>
        <v>1776</v>
      </c>
      <c r="G264" s="14">
        <f>INDEX(Cascade!$BH:$BH,MATCH($E264,Cascade!$E:$E,0))</f>
        <v>0</v>
      </c>
      <c r="H264" s="14" t="str">
        <f>IF(OR($C264="01-09",$D264="Male"),"",INDEX(PMTCT!$AC:$AC,MATCH($E264,PMTCT!$E:$E,0)))</f>
        <v/>
      </c>
      <c r="I264" s="14" t="str">
        <f>IF(OR($C264="01-09",$D264="Male"),"",INDEX(PMTCT!$AS:$AS,MATCH($E264,PMTCT!$E:$E,0)))</f>
        <v/>
      </c>
      <c r="J264" s="14" t="str">
        <f>INDEX(TB!$P:$P,MATCH($E264,TB!$E:$E,0))</f>
        <v/>
      </c>
      <c r="K264" s="14" t="str">
        <f>IF(OR($C264="01-09",$C264="10-14",$D264="Female"),"",INDEX(VMMC!$AA:$AA,MATCH($E264,VMMC!$E:$E,0)))</f>
        <v/>
      </c>
      <c r="L264" s="14">
        <f t="shared" si="82"/>
        <v>0</v>
      </c>
      <c r="M264" s="90" t="str">
        <f t="shared" si="83"/>
        <v/>
      </c>
      <c r="N264" s="90" t="str">
        <f t="shared" si="84"/>
        <v/>
      </c>
      <c r="O264" s="90" t="str">
        <f t="shared" si="85"/>
        <v/>
      </c>
      <c r="P264" s="90" t="str">
        <f t="shared" si="86"/>
        <v/>
      </c>
      <c r="Q264" s="90"/>
      <c r="R264" s="90"/>
      <c r="S264" s="90"/>
      <c r="T264" s="90"/>
      <c r="U264" s="90"/>
      <c r="V264" s="90" t="str">
        <f t="shared" si="87"/>
        <v/>
      </c>
      <c r="W264" s="90"/>
      <c r="X264" s="42" t="str">
        <f t="shared" si="88"/>
        <v/>
      </c>
      <c r="Y264" s="42" t="str">
        <f t="shared" si="89"/>
        <v/>
      </c>
      <c r="Z264" s="90"/>
      <c r="AA264" s="42" t="str">
        <f t="shared" si="90"/>
        <v/>
      </c>
      <c r="AB264" s="42" t="str">
        <f t="shared" si="91"/>
        <v/>
      </c>
      <c r="AC264" s="90"/>
      <c r="AD264" s="42" t="str">
        <f t="shared" si="92"/>
        <v/>
      </c>
      <c r="AE264" s="42" t="str">
        <f t="shared" si="93"/>
        <v/>
      </c>
      <c r="AF264" s="90"/>
      <c r="AG264" s="42" t="str">
        <f t="shared" si="94"/>
        <v/>
      </c>
      <c r="AH264" s="42" t="str">
        <f t="shared" si="95"/>
        <v/>
      </c>
      <c r="AI264" s="90"/>
      <c r="AJ264" s="42" t="str">
        <f t="shared" si="96"/>
        <v/>
      </c>
      <c r="AK264" s="42" t="str">
        <f t="shared" si="97"/>
        <v/>
      </c>
      <c r="AL264" s="14" t="str">
        <f t="shared" si="98"/>
        <v/>
      </c>
      <c r="AM264" s="14" t="str">
        <f t="shared" si="99"/>
        <v/>
      </c>
      <c r="AN264" s="14" t="str">
        <f t="shared" si="100"/>
        <v/>
      </c>
      <c r="AO264" s="14" t="str">
        <f>IF(OR($C264="01-09",$D264="Male"),"",INDEX(PMTCT!$AD:$AD,MATCH($E264,PMTCT!$E:$E,0)))</f>
        <v/>
      </c>
      <c r="AP264" s="14" t="str">
        <f>IF(OR($C264="01-09",$D264="Male"),"",INDEX(PMTCT!$AT:$AT,MATCH($E264,PMTCT!$E:$E,0)))</f>
        <v/>
      </c>
      <c r="AQ264" s="14" t="str">
        <f>INDEX(TB!$Q:$Q,MATCH($E264,TB!$E:$E,0))</f>
        <v/>
      </c>
      <c r="AR264" s="14" t="str">
        <f>IF(OR($C264="01-09",$C264="10-14",$D264="Female"),"",INDEX(VMMC!$AB:$AB,MATCH($E264,VMMC!$E:$E,0)))</f>
        <v/>
      </c>
      <c r="AS264" s="14" t="str">
        <f>IF(OR($C264="01-09",$C264="10-14"),"",INDEX(PrEP!$Q:$Q,MATCH($E264,PrEP!$E:$E,0)))</f>
        <v/>
      </c>
      <c r="AT264" s="14" t="str">
        <f t="shared" si="101"/>
        <v/>
      </c>
      <c r="AU264" s="14" t="str">
        <f t="shared" si="102"/>
        <v/>
      </c>
      <c r="AV264" s="90" t="str">
        <f t="shared" si="103"/>
        <v/>
      </c>
      <c r="AW264" s="14"/>
      <c r="AX264" s="90" t="str">
        <f t="shared" si="104"/>
        <v/>
      </c>
      <c r="AY264" s="42" t="str">
        <f t="shared" si="105"/>
        <v/>
      </c>
      <c r="AZ264" s="90">
        <f t="shared" si="106"/>
        <v>1</v>
      </c>
      <c r="BA264" s="42" t="str">
        <f t="shared" si="107"/>
        <v/>
      </c>
    </row>
    <row r="265" spans="1:53" x14ac:dyDescent="0.2">
      <c r="A265" t="str">
        <f>INDEX(Prioritization!$D:$D,MATCH($B265,Prioritization!$A:$A,0))</f>
        <v>1 - Scale-up: Saturation</v>
      </c>
      <c r="B265" t="s">
        <v>213</v>
      </c>
      <c r="C265" t="s">
        <v>367</v>
      </c>
      <c r="D265" t="s">
        <v>29</v>
      </c>
      <c r="E265" t="str">
        <f t="shared" si="81"/>
        <v>Machinga District [TYnMSwzko3z]|50+|Female</v>
      </c>
      <c r="F265" s="90">
        <f>IF(LEFT($B265,4)="_Mil","",INDEX(Cascade!$AA:$AA,MATCH($E265,Cascade!$E:$E,0)))</f>
        <v>1953</v>
      </c>
      <c r="G265" s="14">
        <f>INDEX(Cascade!$BH:$BH,MATCH($E265,Cascade!$E:$E,0))</f>
        <v>0</v>
      </c>
      <c r="H265" s="14" t="str">
        <f>IF(OR($C265="01-09",$D265="Male"),"",INDEX(PMTCT!$AC:$AC,MATCH($E265,PMTCT!$E:$E,0)))</f>
        <v/>
      </c>
      <c r="I265" s="14" t="str">
        <f>IF(OR($C265="01-09",$D265="Male"),"",INDEX(PMTCT!$AS:$AS,MATCH($E265,PMTCT!$E:$E,0)))</f>
        <v/>
      </c>
      <c r="J265" s="14" t="str">
        <f>INDEX(TB!$P:$P,MATCH($E265,TB!$E:$E,0))</f>
        <v/>
      </c>
      <c r="K265" s="14" t="str">
        <f>IF(OR($C265="01-09",$C265="10-14",$D265="Female"),"",INDEX(VMMC!$AA:$AA,MATCH($E265,VMMC!$E:$E,0)))</f>
        <v/>
      </c>
      <c r="L265" s="14">
        <f t="shared" si="82"/>
        <v>0</v>
      </c>
      <c r="M265" s="90" t="str">
        <f t="shared" si="83"/>
        <v/>
      </c>
      <c r="N265" s="90" t="str">
        <f t="shared" si="84"/>
        <v/>
      </c>
      <c r="O265" s="90" t="str">
        <f t="shared" si="85"/>
        <v/>
      </c>
      <c r="P265" s="90" t="str">
        <f t="shared" si="86"/>
        <v/>
      </c>
      <c r="Q265" s="90"/>
      <c r="R265" s="90"/>
      <c r="S265" s="90"/>
      <c r="T265" s="90"/>
      <c r="U265" s="90">
        <v>0.22200368065386999</v>
      </c>
      <c r="V265" s="90" t="str">
        <f t="shared" si="87"/>
        <v/>
      </c>
      <c r="W265" s="90"/>
      <c r="X265" s="42" t="str">
        <f t="shared" si="88"/>
        <v/>
      </c>
      <c r="Y265" s="42" t="str">
        <f t="shared" si="89"/>
        <v/>
      </c>
      <c r="Z265" s="90"/>
      <c r="AA265" s="42" t="str">
        <f t="shared" si="90"/>
        <v/>
      </c>
      <c r="AB265" s="42" t="str">
        <f t="shared" si="91"/>
        <v/>
      </c>
      <c r="AC265" s="90"/>
      <c r="AD265" s="42" t="str">
        <f t="shared" si="92"/>
        <v/>
      </c>
      <c r="AE265" s="42" t="str">
        <f t="shared" si="93"/>
        <v/>
      </c>
      <c r="AF265" s="90"/>
      <c r="AG265" s="42" t="str">
        <f t="shared" si="94"/>
        <v/>
      </c>
      <c r="AH265" s="42" t="str">
        <f t="shared" si="95"/>
        <v/>
      </c>
      <c r="AI265" s="90">
        <v>0.62172030960209701</v>
      </c>
      <c r="AJ265" s="42" t="str">
        <f t="shared" si="96"/>
        <v/>
      </c>
      <c r="AK265" s="42" t="str">
        <f t="shared" si="97"/>
        <v/>
      </c>
      <c r="AL265" s="14" t="str">
        <f t="shared" si="98"/>
        <v/>
      </c>
      <c r="AM265" s="14" t="str">
        <f t="shared" si="99"/>
        <v/>
      </c>
      <c r="AN265" s="14" t="str">
        <f t="shared" si="100"/>
        <v/>
      </c>
      <c r="AO265" s="14" t="str">
        <f>IF(OR($C265="01-09",$D265="Male"),"",INDEX(PMTCT!$AD:$AD,MATCH($E265,PMTCT!$E:$E,0)))</f>
        <v/>
      </c>
      <c r="AP265" s="14" t="str">
        <f>IF(OR($C265="01-09",$D265="Male"),"",INDEX(PMTCT!$AT:$AT,MATCH($E265,PMTCT!$E:$E,0)))</f>
        <v/>
      </c>
      <c r="AQ265" s="14" t="str">
        <f>INDEX(TB!$Q:$Q,MATCH($E265,TB!$E:$E,0))</f>
        <v/>
      </c>
      <c r="AR265" s="14" t="str">
        <f>IF(OR($C265="01-09",$C265="10-14",$D265="Female"),"",INDEX(VMMC!$AB:$AB,MATCH($E265,VMMC!$E:$E,0)))</f>
        <v/>
      </c>
      <c r="AS265" s="14" t="str">
        <f>IF(OR($C265="01-09",$C265="10-14"),"",INDEX(PrEP!$Q:$Q,MATCH($E265,PrEP!$E:$E,0)))</f>
        <v/>
      </c>
      <c r="AT265" s="14" t="str">
        <f t="shared" si="101"/>
        <v/>
      </c>
      <c r="AU265" s="14" t="str">
        <f t="shared" si="102"/>
        <v/>
      </c>
      <c r="AV265" s="90" t="str">
        <f t="shared" si="103"/>
        <v/>
      </c>
      <c r="AW265" s="14">
        <v>971</v>
      </c>
      <c r="AX265" s="90">
        <f t="shared" si="104"/>
        <v>0</v>
      </c>
      <c r="AY265" s="42">
        <f t="shared" si="105"/>
        <v>971</v>
      </c>
      <c r="AZ265" s="90">
        <f t="shared" si="106"/>
        <v>1</v>
      </c>
      <c r="BA265" s="42" t="str">
        <f t="shared" si="107"/>
        <v/>
      </c>
    </row>
    <row r="266" spans="1:53" x14ac:dyDescent="0.2">
      <c r="A266" t="str">
        <f>INDEX(Prioritization!$D:$D,MATCH($B266,Prioritization!$A:$A,0))</f>
        <v>1 - Scale-up: Saturation</v>
      </c>
      <c r="B266" t="s">
        <v>213</v>
      </c>
      <c r="C266" t="s">
        <v>367</v>
      </c>
      <c r="D266" t="s">
        <v>47</v>
      </c>
      <c r="E266" t="str">
        <f t="shared" si="81"/>
        <v>Machinga District [TYnMSwzko3z]|50+|Male</v>
      </c>
      <c r="F266" s="90">
        <f>IF(LEFT($B266,4)="_Mil","",INDEX(Cascade!$AA:$AA,MATCH($E266,Cascade!$E:$E,0)))</f>
        <v>1772.0000000000002</v>
      </c>
      <c r="G266" s="14">
        <f>INDEX(Cascade!$BH:$BH,MATCH($E266,Cascade!$E:$E,0))</f>
        <v>0</v>
      </c>
      <c r="H266" s="14" t="str">
        <f>IF(OR($C266="01-09",$D266="Male"),"",INDEX(PMTCT!$AC:$AC,MATCH($E266,PMTCT!$E:$E,0)))</f>
        <v/>
      </c>
      <c r="I266" s="14" t="str">
        <f>IF(OR($C266="01-09",$D266="Male"),"",INDEX(PMTCT!$AS:$AS,MATCH($E266,PMTCT!$E:$E,0)))</f>
        <v/>
      </c>
      <c r="J266" s="14" t="str">
        <f>INDEX(TB!$P:$P,MATCH($E266,TB!$E:$E,0))</f>
        <v/>
      </c>
      <c r="K266" s="14" t="str">
        <f>IF(OR($C266="01-09",$C266="10-14",$D266="Female"),"",INDEX(VMMC!$AA:$AA,MATCH($E266,VMMC!$E:$E,0)))</f>
        <v/>
      </c>
      <c r="L266" s="14">
        <f t="shared" si="82"/>
        <v>0</v>
      </c>
      <c r="M266" s="90" t="str">
        <f t="shared" si="83"/>
        <v/>
      </c>
      <c r="N266" s="90" t="str">
        <f t="shared" si="84"/>
        <v/>
      </c>
      <c r="O266" s="90" t="str">
        <f t="shared" si="85"/>
        <v/>
      </c>
      <c r="P266" s="90" t="str">
        <f t="shared" si="86"/>
        <v/>
      </c>
      <c r="Q266" s="90"/>
      <c r="R266" s="90"/>
      <c r="S266" s="90"/>
      <c r="T266" s="90"/>
      <c r="U266" s="90">
        <v>0.82258801511488899</v>
      </c>
      <c r="V266" s="90" t="str">
        <f t="shared" si="87"/>
        <v/>
      </c>
      <c r="W266" s="90"/>
      <c r="X266" s="42" t="str">
        <f t="shared" si="88"/>
        <v/>
      </c>
      <c r="Y266" s="42" t="str">
        <f t="shared" si="89"/>
        <v/>
      </c>
      <c r="Z266" s="90"/>
      <c r="AA266" s="42" t="str">
        <f t="shared" si="90"/>
        <v/>
      </c>
      <c r="AB266" s="42" t="str">
        <f t="shared" si="91"/>
        <v/>
      </c>
      <c r="AC266" s="90"/>
      <c r="AD266" s="42" t="str">
        <f t="shared" si="92"/>
        <v/>
      </c>
      <c r="AE266" s="42" t="str">
        <f t="shared" si="93"/>
        <v/>
      </c>
      <c r="AF266" s="90"/>
      <c r="AG266" s="42" t="str">
        <f t="shared" si="94"/>
        <v/>
      </c>
      <c r="AH266" s="42" t="str">
        <f t="shared" si="95"/>
        <v/>
      </c>
      <c r="AI266" s="90">
        <v>0.335182394832373</v>
      </c>
      <c r="AJ266" s="42" t="str">
        <f t="shared" si="96"/>
        <v/>
      </c>
      <c r="AK266" s="42" t="str">
        <f t="shared" si="97"/>
        <v/>
      </c>
      <c r="AL266" s="14" t="str">
        <f t="shared" si="98"/>
        <v/>
      </c>
      <c r="AM266" s="14" t="str">
        <f t="shared" si="99"/>
        <v/>
      </c>
      <c r="AN266" s="14" t="str">
        <f t="shared" si="100"/>
        <v/>
      </c>
      <c r="AO266" s="14" t="str">
        <f>IF(OR($C266="01-09",$D266="Male"),"",INDEX(PMTCT!$AD:$AD,MATCH($E266,PMTCT!$E:$E,0)))</f>
        <v/>
      </c>
      <c r="AP266" s="14" t="str">
        <f>IF(OR($C266="01-09",$D266="Male"),"",INDEX(PMTCT!$AT:$AT,MATCH($E266,PMTCT!$E:$E,0)))</f>
        <v/>
      </c>
      <c r="AQ266" s="14" t="str">
        <f>INDEX(TB!$Q:$Q,MATCH($E266,TB!$E:$E,0))</f>
        <v/>
      </c>
      <c r="AR266" s="14" t="str">
        <f>IF(OR($C266="01-09",$C266="10-14",$D266="Female"),"",INDEX(VMMC!$AB:$AB,MATCH($E266,VMMC!$E:$E,0)))</f>
        <v/>
      </c>
      <c r="AS266" s="14" t="str">
        <f>IF(OR($C266="01-09",$C266="10-14"),"",INDEX(PrEP!$Q:$Q,MATCH($E266,PrEP!$E:$E,0)))</f>
        <v/>
      </c>
      <c r="AT266" s="14" t="str">
        <f t="shared" si="101"/>
        <v/>
      </c>
      <c r="AU266" s="14" t="str">
        <f t="shared" si="102"/>
        <v/>
      </c>
      <c r="AV266" s="90" t="str">
        <f t="shared" si="103"/>
        <v/>
      </c>
      <c r="AW266" s="14">
        <v>163</v>
      </c>
      <c r="AX266" s="90">
        <f t="shared" si="104"/>
        <v>0</v>
      </c>
      <c r="AY266" s="42">
        <f t="shared" si="105"/>
        <v>163</v>
      </c>
      <c r="AZ266" s="90">
        <f t="shared" si="106"/>
        <v>1</v>
      </c>
      <c r="BA266" s="42" t="str">
        <f t="shared" si="107"/>
        <v/>
      </c>
    </row>
    <row r="267" spans="1:53" x14ac:dyDescent="0.2">
      <c r="A267" t="str">
        <f>INDEX(Prioritization!$D:$D,MATCH($B267,Prioritization!$A:$A,0))</f>
        <v>INVALID</v>
      </c>
      <c r="B267" t="s">
        <v>214</v>
      </c>
      <c r="C267" t="s">
        <v>362</v>
      </c>
      <c r="D267" t="s">
        <v>29</v>
      </c>
      <c r="E267" t="str">
        <f t="shared" si="81"/>
        <v>Mangochi District [lLDyBx5XyUi]|01-09|Female</v>
      </c>
      <c r="F267" s="90">
        <f>IF(LEFT($B267,4)="_Mil","",INDEX(Cascade!$AA:$AA,MATCH($E267,Cascade!$E:$E,0)))</f>
        <v>1235</v>
      </c>
      <c r="G267" s="14">
        <f>INDEX(Cascade!$BH:$BH,MATCH($E267,Cascade!$E:$E,0))</f>
        <v>0</v>
      </c>
      <c r="H267" s="14" t="str">
        <f>IF(OR($C267="01-09",$D267="Male"),"",INDEX(PMTCT!$AC:$AC,MATCH($E267,PMTCT!$E:$E,0)))</f>
        <v/>
      </c>
      <c r="I267" s="14" t="str">
        <f>IF(OR($C267="01-09",$D267="Male"),"",INDEX(PMTCT!$AS:$AS,MATCH($E267,PMTCT!$E:$E,0)))</f>
        <v/>
      </c>
      <c r="J267" s="14" t="str">
        <f>INDEX(TB!$P:$P,MATCH($E267,TB!$E:$E,0))</f>
        <v/>
      </c>
      <c r="K267" s="14" t="str">
        <f>IF(OR($C267="01-09",$C267="10-14",$D267="Female"),"",INDEX(VMMC!$AA:$AA,MATCH($E267,VMMC!$E:$E,0)))</f>
        <v/>
      </c>
      <c r="L267" s="14">
        <f t="shared" si="82"/>
        <v>0</v>
      </c>
      <c r="M267" s="90" t="str">
        <f t="shared" si="83"/>
        <v/>
      </c>
      <c r="N267" s="90" t="str">
        <f t="shared" si="84"/>
        <v/>
      </c>
      <c r="O267" s="90" t="str">
        <f t="shared" si="85"/>
        <v/>
      </c>
      <c r="P267" s="90" t="str">
        <f t="shared" si="86"/>
        <v/>
      </c>
      <c r="Q267" s="90"/>
      <c r="R267" s="90"/>
      <c r="S267" s="90"/>
      <c r="T267" s="90"/>
      <c r="U267" s="90"/>
      <c r="V267" s="90" t="str">
        <f t="shared" si="87"/>
        <v/>
      </c>
      <c r="W267" s="90"/>
      <c r="X267" s="42" t="str">
        <f t="shared" si="88"/>
        <v/>
      </c>
      <c r="Y267" s="42" t="str">
        <f t="shared" si="89"/>
        <v/>
      </c>
      <c r="Z267" s="90"/>
      <c r="AA267" s="42" t="str">
        <f t="shared" si="90"/>
        <v/>
      </c>
      <c r="AB267" s="42" t="str">
        <f t="shared" si="91"/>
        <v/>
      </c>
      <c r="AC267" s="90"/>
      <c r="AD267" s="42" t="str">
        <f t="shared" si="92"/>
        <v/>
      </c>
      <c r="AE267" s="42" t="str">
        <f t="shared" si="93"/>
        <v/>
      </c>
      <c r="AF267" s="90"/>
      <c r="AG267" s="42" t="str">
        <f t="shared" si="94"/>
        <v/>
      </c>
      <c r="AH267" s="42" t="str">
        <f t="shared" si="95"/>
        <v/>
      </c>
      <c r="AI267" s="90"/>
      <c r="AJ267" s="42" t="str">
        <f t="shared" si="96"/>
        <v/>
      </c>
      <c r="AK267" s="42" t="str">
        <f t="shared" si="97"/>
        <v/>
      </c>
      <c r="AL267" s="14" t="str">
        <f t="shared" si="98"/>
        <v/>
      </c>
      <c r="AM267" s="14" t="str">
        <f t="shared" si="99"/>
        <v/>
      </c>
      <c r="AN267" s="14" t="str">
        <f t="shared" si="100"/>
        <v/>
      </c>
      <c r="AO267" s="14" t="str">
        <f>IF(OR($C267="01-09",$D267="Male"),"",INDEX(PMTCT!$AD:$AD,MATCH($E267,PMTCT!$E:$E,0)))</f>
        <v/>
      </c>
      <c r="AP267" s="14" t="str">
        <f>IF(OR($C267="01-09",$D267="Male"),"",INDEX(PMTCT!$AT:$AT,MATCH($E267,PMTCT!$E:$E,0)))</f>
        <v/>
      </c>
      <c r="AQ267" s="14" t="str">
        <f>INDEX(TB!$Q:$Q,MATCH($E267,TB!$E:$E,0))</f>
        <v/>
      </c>
      <c r="AR267" s="14" t="str">
        <f>IF(OR($C267="01-09",$C267="10-14",$D267="Female"),"",INDEX(VMMC!$AB:$AB,MATCH($E267,VMMC!$E:$E,0)))</f>
        <v/>
      </c>
      <c r="AS267" s="14" t="str">
        <f>IF(OR($C267="01-09",$C267="10-14"),"",INDEX(PrEP!$Q:$Q,MATCH($E267,PrEP!$E:$E,0)))</f>
        <v/>
      </c>
      <c r="AT267" s="14" t="str">
        <f t="shared" si="101"/>
        <v/>
      </c>
      <c r="AU267" s="14" t="str">
        <f t="shared" si="102"/>
        <v/>
      </c>
      <c r="AV267" s="90" t="str">
        <f t="shared" si="103"/>
        <v/>
      </c>
      <c r="AW267" s="14"/>
      <c r="AX267" s="90" t="str">
        <f t="shared" si="104"/>
        <v/>
      </c>
      <c r="AY267" s="42" t="str">
        <f t="shared" si="105"/>
        <v/>
      </c>
      <c r="AZ267" s="90" t="str">
        <f t="shared" si="106"/>
        <v/>
      </c>
      <c r="BA267" s="42" t="str">
        <f t="shared" si="107"/>
        <v/>
      </c>
    </row>
    <row r="268" spans="1:53" x14ac:dyDescent="0.2">
      <c r="A268" t="str">
        <f>INDEX(Prioritization!$D:$D,MATCH($B268,Prioritization!$A:$A,0))</f>
        <v>INVALID</v>
      </c>
      <c r="B268" t="s">
        <v>214</v>
      </c>
      <c r="C268" t="s">
        <v>362</v>
      </c>
      <c r="D268" t="s">
        <v>47</v>
      </c>
      <c r="E268" t="str">
        <f t="shared" si="81"/>
        <v>Mangochi District [lLDyBx5XyUi]|01-09|Male</v>
      </c>
      <c r="F268" s="90">
        <f>IF(LEFT($B268,4)="_Mil","",INDEX(Cascade!$AA:$AA,MATCH($E268,Cascade!$E:$E,0)))</f>
        <v>685</v>
      </c>
      <c r="G268" s="14">
        <f>INDEX(Cascade!$BH:$BH,MATCH($E268,Cascade!$E:$E,0))</f>
        <v>0</v>
      </c>
      <c r="H268" s="14" t="str">
        <f>IF(OR($C268="01-09",$D268="Male"),"",INDEX(PMTCT!$AC:$AC,MATCH($E268,PMTCT!$E:$E,0)))</f>
        <v/>
      </c>
      <c r="I268" s="14" t="str">
        <f>IF(OR($C268="01-09",$D268="Male"),"",INDEX(PMTCT!$AS:$AS,MATCH($E268,PMTCT!$E:$E,0)))</f>
        <v/>
      </c>
      <c r="J268" s="14" t="str">
        <f>INDEX(TB!$P:$P,MATCH($E268,TB!$E:$E,0))</f>
        <v/>
      </c>
      <c r="K268" s="14" t="str">
        <f>IF(OR($C268="01-09",$C268="10-14",$D268="Female"),"",INDEX(VMMC!$AA:$AA,MATCH($E268,VMMC!$E:$E,0)))</f>
        <v/>
      </c>
      <c r="L268" s="14">
        <f t="shared" si="82"/>
        <v>0</v>
      </c>
      <c r="M268" s="90" t="str">
        <f t="shared" si="83"/>
        <v/>
      </c>
      <c r="N268" s="90" t="str">
        <f t="shared" si="84"/>
        <v/>
      </c>
      <c r="O268" s="90" t="str">
        <f t="shared" si="85"/>
        <v/>
      </c>
      <c r="P268" s="90" t="str">
        <f t="shared" si="86"/>
        <v/>
      </c>
      <c r="Q268" s="90"/>
      <c r="R268" s="90"/>
      <c r="S268" s="90"/>
      <c r="T268" s="90"/>
      <c r="U268" s="90"/>
      <c r="V268" s="90" t="str">
        <f t="shared" si="87"/>
        <v/>
      </c>
      <c r="W268" s="90"/>
      <c r="X268" s="42" t="str">
        <f t="shared" si="88"/>
        <v/>
      </c>
      <c r="Y268" s="42" t="str">
        <f t="shared" si="89"/>
        <v/>
      </c>
      <c r="Z268" s="90"/>
      <c r="AA268" s="42" t="str">
        <f t="shared" si="90"/>
        <v/>
      </c>
      <c r="AB268" s="42" t="str">
        <f t="shared" si="91"/>
        <v/>
      </c>
      <c r="AC268" s="90"/>
      <c r="AD268" s="42" t="str">
        <f t="shared" si="92"/>
        <v/>
      </c>
      <c r="AE268" s="42" t="str">
        <f t="shared" si="93"/>
        <v/>
      </c>
      <c r="AF268" s="90"/>
      <c r="AG268" s="42" t="str">
        <f t="shared" si="94"/>
        <v/>
      </c>
      <c r="AH268" s="42" t="str">
        <f t="shared" si="95"/>
        <v/>
      </c>
      <c r="AI268" s="90"/>
      <c r="AJ268" s="42" t="str">
        <f t="shared" si="96"/>
        <v/>
      </c>
      <c r="AK268" s="42" t="str">
        <f t="shared" si="97"/>
        <v/>
      </c>
      <c r="AL268" s="14" t="str">
        <f t="shared" si="98"/>
        <v/>
      </c>
      <c r="AM268" s="14" t="str">
        <f t="shared" si="99"/>
        <v/>
      </c>
      <c r="AN268" s="14" t="str">
        <f t="shared" si="100"/>
        <v/>
      </c>
      <c r="AO268" s="14" t="str">
        <f>IF(OR($C268="01-09",$D268="Male"),"",INDEX(PMTCT!$AD:$AD,MATCH($E268,PMTCT!$E:$E,0)))</f>
        <v/>
      </c>
      <c r="AP268" s="14" t="str">
        <f>IF(OR($C268="01-09",$D268="Male"),"",INDEX(PMTCT!$AT:$AT,MATCH($E268,PMTCT!$E:$E,0)))</f>
        <v/>
      </c>
      <c r="AQ268" s="14" t="str">
        <f>INDEX(TB!$Q:$Q,MATCH($E268,TB!$E:$E,0))</f>
        <v/>
      </c>
      <c r="AR268" s="14" t="str">
        <f>IF(OR($C268="01-09",$C268="10-14",$D268="Female"),"",INDEX(VMMC!$AB:$AB,MATCH($E268,VMMC!$E:$E,0)))</f>
        <v/>
      </c>
      <c r="AS268" s="14" t="str">
        <f>IF(OR($C268="01-09",$C268="10-14"),"",INDEX(PrEP!$Q:$Q,MATCH($E268,PrEP!$E:$E,0)))</f>
        <v/>
      </c>
      <c r="AT268" s="14" t="str">
        <f t="shared" si="101"/>
        <v/>
      </c>
      <c r="AU268" s="14" t="str">
        <f t="shared" si="102"/>
        <v/>
      </c>
      <c r="AV268" s="90" t="str">
        <f t="shared" si="103"/>
        <v/>
      </c>
      <c r="AW268" s="14"/>
      <c r="AX268" s="90" t="str">
        <f t="shared" si="104"/>
        <v/>
      </c>
      <c r="AY268" s="42" t="str">
        <f t="shared" si="105"/>
        <v/>
      </c>
      <c r="AZ268" s="90" t="str">
        <f t="shared" si="106"/>
        <v/>
      </c>
      <c r="BA268" s="42" t="str">
        <f t="shared" si="107"/>
        <v/>
      </c>
    </row>
    <row r="269" spans="1:53" x14ac:dyDescent="0.2">
      <c r="A269" t="str">
        <f>INDEX(Prioritization!$D:$D,MATCH($B269,Prioritization!$A:$A,0))</f>
        <v>INVALID</v>
      </c>
      <c r="B269" t="s">
        <v>214</v>
      </c>
      <c r="C269" t="s">
        <v>363</v>
      </c>
      <c r="D269" t="s">
        <v>29</v>
      </c>
      <c r="E269" t="str">
        <f t="shared" si="81"/>
        <v>Mangochi District [lLDyBx5XyUi]|10-14|Female</v>
      </c>
      <c r="F269" s="90">
        <f>IF(LEFT($B269,4)="_Mil","",INDEX(Cascade!$AA:$AA,MATCH($E269,Cascade!$E:$E,0)))</f>
        <v>1987.9999999999998</v>
      </c>
      <c r="G269" s="14">
        <f>INDEX(Cascade!$BH:$BH,MATCH($E269,Cascade!$E:$E,0))</f>
        <v>-77</v>
      </c>
      <c r="H269" s="14">
        <f>IF(OR($C269="01-09",$D269="Male"),"",INDEX(PMTCT!$AC:$AC,MATCH($E269,PMTCT!$E:$E,0)))</f>
        <v>4</v>
      </c>
      <c r="I269" s="14" t="str">
        <f>IF(OR($C269="01-09",$D269="Male"),"",INDEX(PMTCT!$AS:$AS,MATCH($E269,PMTCT!$E:$E,0)))</f>
        <v>ENTER YIELD RATE</v>
      </c>
      <c r="J269" s="14" t="str">
        <f>INDEX(TB!$P:$P,MATCH($E269,TB!$E:$E,0))</f>
        <v>ENTER YIELD RATE</v>
      </c>
      <c r="K269" s="14" t="str">
        <f>IF(OR($C269="01-09",$C269="10-14",$D269="Female"),"",INDEX(VMMC!$AA:$AA,MATCH($E269,VMMC!$E:$E,0)))</f>
        <v/>
      </c>
      <c r="L269" s="14">
        <f t="shared" si="82"/>
        <v>-81</v>
      </c>
      <c r="M269" s="90">
        <f t="shared" si="83"/>
        <v>-5.1948051948051951E-2</v>
      </c>
      <c r="N269" s="90">
        <f t="shared" si="84"/>
        <v>0</v>
      </c>
      <c r="O269" s="90">
        <f t="shared" si="85"/>
        <v>0</v>
      </c>
      <c r="P269" s="90" t="str">
        <f t="shared" si="86"/>
        <v/>
      </c>
      <c r="Q269" s="90">
        <v>0.116136074298993</v>
      </c>
      <c r="R269" s="90"/>
      <c r="S269" s="90"/>
      <c r="T269" s="90"/>
      <c r="U269" s="90"/>
      <c r="V269" s="90">
        <f t="shared" si="87"/>
        <v>6.4188022350941051E-2</v>
      </c>
      <c r="W269" s="90"/>
      <c r="X269" s="42">
        <f t="shared" si="88"/>
        <v>-9</v>
      </c>
      <c r="Y269" s="42" t="str">
        <f t="shared" si="89"/>
        <v>ENTER YIELD</v>
      </c>
      <c r="Z269" s="90"/>
      <c r="AA269" s="42" t="str">
        <f t="shared" si="90"/>
        <v/>
      </c>
      <c r="AB269" s="42" t="str">
        <f t="shared" si="91"/>
        <v/>
      </c>
      <c r="AC269" s="90"/>
      <c r="AD269" s="42" t="str">
        <f t="shared" si="92"/>
        <v/>
      </c>
      <c r="AE269" s="42" t="str">
        <f t="shared" si="93"/>
        <v/>
      </c>
      <c r="AF269" s="90"/>
      <c r="AG269" s="42" t="str">
        <f t="shared" si="94"/>
        <v/>
      </c>
      <c r="AH269" s="42" t="str">
        <f t="shared" si="95"/>
        <v/>
      </c>
      <c r="AI269" s="90">
        <v>0.32703061029315</v>
      </c>
      <c r="AJ269" s="42" t="str">
        <f t="shared" si="96"/>
        <v/>
      </c>
      <c r="AK269" s="42" t="str">
        <f t="shared" si="97"/>
        <v/>
      </c>
      <c r="AL269" s="14">
        <f t="shared" si="98"/>
        <v>-77</v>
      </c>
      <c r="AM269" s="14">
        <f t="shared" si="99"/>
        <v>-5</v>
      </c>
      <c r="AN269" s="14">
        <f t="shared" si="100"/>
        <v>72</v>
      </c>
      <c r="AO269" s="14">
        <f>IF(OR($C269="01-09",$D269="Male"),"",INDEX(PMTCT!$AD:$AD,MATCH($E269,PMTCT!$E:$E,0)))</f>
        <v>57</v>
      </c>
      <c r="AP269" s="14">
        <f>IF(OR($C269="01-09",$D269="Male"),"",INDEX(PMTCT!$AT:$AT,MATCH($E269,PMTCT!$E:$E,0)))</f>
        <v>57</v>
      </c>
      <c r="AQ269" s="14">
        <f>INDEX(TB!$Q:$Q,MATCH($E269,TB!$E:$E,0))</f>
        <v>7</v>
      </c>
      <c r="AR269" s="14" t="str">
        <f>IF(OR($C269="01-09",$C269="10-14",$D269="Female"),"",INDEX(VMMC!$AB:$AB,MATCH($E269,VMMC!$E:$E,0)))</f>
        <v/>
      </c>
      <c r="AS269" s="14" t="str">
        <f>IF(OR($C269="01-09",$C269="10-14"),"",INDEX(PrEP!$Q:$Q,MATCH($E269,PrEP!$E:$E,0)))</f>
        <v/>
      </c>
      <c r="AT269" s="14">
        <f t="shared" si="101"/>
        <v>121</v>
      </c>
      <c r="AU269" s="14">
        <f t="shared" si="102"/>
        <v>116</v>
      </c>
      <c r="AV269" s="90">
        <f t="shared" si="103"/>
        <v>-4.3103448275862072E-2</v>
      </c>
      <c r="AW269" s="14"/>
      <c r="AX269" s="90" t="str">
        <f t="shared" si="104"/>
        <v/>
      </c>
      <c r="AY269" s="42" t="str">
        <f t="shared" si="105"/>
        <v/>
      </c>
      <c r="AZ269" s="90" t="str">
        <f t="shared" si="106"/>
        <v/>
      </c>
      <c r="BA269" s="42" t="str">
        <f t="shared" si="107"/>
        <v/>
      </c>
    </row>
    <row r="270" spans="1:53" x14ac:dyDescent="0.2">
      <c r="A270" t="str">
        <f>INDEX(Prioritization!$D:$D,MATCH($B270,Prioritization!$A:$A,0))</f>
        <v>INVALID</v>
      </c>
      <c r="B270" t="s">
        <v>214</v>
      </c>
      <c r="C270" t="s">
        <v>363</v>
      </c>
      <c r="D270" t="s">
        <v>47</v>
      </c>
      <c r="E270" t="str">
        <f t="shared" si="81"/>
        <v>Mangochi District [lLDyBx5XyUi]|10-14|Male</v>
      </c>
      <c r="F270" s="90">
        <f>IF(LEFT($B270,4)="_Mil","",INDEX(Cascade!$AA:$AA,MATCH($E270,Cascade!$E:$E,0)))</f>
        <v>1681</v>
      </c>
      <c r="G270" s="14">
        <f>INDEX(Cascade!$BH:$BH,MATCH($E270,Cascade!$E:$E,0))</f>
        <v>-21</v>
      </c>
      <c r="H270" s="14" t="str">
        <f>IF(OR($C270="01-09",$D270="Male"),"",INDEX(PMTCT!$AC:$AC,MATCH($E270,PMTCT!$E:$E,0)))</f>
        <v/>
      </c>
      <c r="I270" s="14" t="str">
        <f>IF(OR($C270="01-09",$D270="Male"),"",INDEX(PMTCT!$AS:$AS,MATCH($E270,PMTCT!$E:$E,0)))</f>
        <v/>
      </c>
      <c r="J270" s="14" t="str">
        <f>INDEX(TB!$P:$P,MATCH($E270,TB!$E:$E,0))</f>
        <v>ENTER YIELD RATE</v>
      </c>
      <c r="K270" s="14" t="str">
        <f>IF(OR($C270="01-09",$C270="10-14",$D270="Female"),"",INDEX(VMMC!$AA:$AA,MATCH($E270,VMMC!$E:$E,0)))</f>
        <v/>
      </c>
      <c r="L270" s="14">
        <f t="shared" si="82"/>
        <v>-21</v>
      </c>
      <c r="M270" s="90" t="str">
        <f t="shared" si="83"/>
        <v/>
      </c>
      <c r="N270" s="90" t="str">
        <f t="shared" si="84"/>
        <v/>
      </c>
      <c r="O270" s="90">
        <f t="shared" si="85"/>
        <v>0</v>
      </c>
      <c r="P270" s="90" t="str">
        <f t="shared" si="86"/>
        <v/>
      </c>
      <c r="Q270" s="90">
        <v>0.44775196630507702</v>
      </c>
      <c r="R270" s="90"/>
      <c r="S270" s="90"/>
      <c r="T270" s="90"/>
      <c r="U270" s="90">
        <v>0.16913095512427401</v>
      </c>
      <c r="V270" s="90">
        <f t="shared" si="87"/>
        <v>0.61688292142935097</v>
      </c>
      <c r="W270" s="90"/>
      <c r="X270" s="42">
        <f t="shared" si="88"/>
        <v>-9</v>
      </c>
      <c r="Y270" s="42" t="str">
        <f t="shared" si="89"/>
        <v>ENTER YIELD</v>
      </c>
      <c r="Z270" s="90"/>
      <c r="AA270" s="42" t="str">
        <f t="shared" si="90"/>
        <v/>
      </c>
      <c r="AB270" s="42" t="str">
        <f t="shared" si="91"/>
        <v/>
      </c>
      <c r="AC270" s="90"/>
      <c r="AD270" s="42" t="str">
        <f t="shared" si="92"/>
        <v/>
      </c>
      <c r="AE270" s="42" t="str">
        <f t="shared" si="93"/>
        <v/>
      </c>
      <c r="AF270" s="90"/>
      <c r="AG270" s="42" t="str">
        <f t="shared" si="94"/>
        <v/>
      </c>
      <c r="AH270" s="42" t="str">
        <f t="shared" si="95"/>
        <v/>
      </c>
      <c r="AI270" s="90">
        <v>0.44046576321125003</v>
      </c>
      <c r="AJ270" s="42">
        <f t="shared" si="96"/>
        <v>-4</v>
      </c>
      <c r="AK270" s="42">
        <f t="shared" si="97"/>
        <v>-5</v>
      </c>
      <c r="AL270" s="14">
        <f t="shared" si="98"/>
        <v>-21</v>
      </c>
      <c r="AM270" s="14">
        <f t="shared" si="99"/>
        <v>-13</v>
      </c>
      <c r="AN270" s="14">
        <f t="shared" si="100"/>
        <v>8</v>
      </c>
      <c r="AO270" s="14" t="str">
        <f>IF(OR($C270="01-09",$D270="Male"),"",INDEX(PMTCT!$AD:$AD,MATCH($E270,PMTCT!$E:$E,0)))</f>
        <v/>
      </c>
      <c r="AP270" s="14" t="str">
        <f>IF(OR($C270="01-09",$D270="Male"),"",INDEX(PMTCT!$AT:$AT,MATCH($E270,PMTCT!$E:$E,0)))</f>
        <v/>
      </c>
      <c r="AQ270" s="14">
        <f>INDEX(TB!$Q:$Q,MATCH($E270,TB!$E:$E,0))</f>
        <v>6</v>
      </c>
      <c r="AR270" s="14" t="str">
        <f>IF(OR($C270="01-09",$C270="10-14",$D270="Female"),"",INDEX(VMMC!$AB:$AB,MATCH($E270,VMMC!$E:$E,0)))</f>
        <v/>
      </c>
      <c r="AS270" s="14" t="str">
        <f>IF(OR($C270="01-09",$C270="10-14"),"",INDEX(PrEP!$Q:$Q,MATCH($E270,PrEP!$E:$E,0)))</f>
        <v/>
      </c>
      <c r="AT270" s="14">
        <f t="shared" si="101"/>
        <v>1</v>
      </c>
      <c r="AU270" s="14">
        <f t="shared" si="102"/>
        <v>-12</v>
      </c>
      <c r="AV270" s="90">
        <f t="shared" si="103"/>
        <v>1.0833333333333333</v>
      </c>
      <c r="AW270" s="14"/>
      <c r="AX270" s="90" t="str">
        <f t="shared" si="104"/>
        <v/>
      </c>
      <c r="AY270" s="42" t="str">
        <f t="shared" si="105"/>
        <v/>
      </c>
      <c r="AZ270" s="90" t="str">
        <f t="shared" si="106"/>
        <v/>
      </c>
      <c r="BA270" s="42" t="str">
        <f t="shared" si="107"/>
        <v/>
      </c>
    </row>
    <row r="271" spans="1:53" x14ac:dyDescent="0.2">
      <c r="A271" t="str">
        <f>INDEX(Prioritization!$D:$D,MATCH($B271,Prioritization!$A:$A,0))</f>
        <v>INVALID</v>
      </c>
      <c r="B271" t="s">
        <v>214</v>
      </c>
      <c r="C271" t="s">
        <v>364</v>
      </c>
      <c r="D271" t="s">
        <v>29</v>
      </c>
      <c r="E271" t="str">
        <f t="shared" ref="E271:E334" si="108">$B271&amp;"|"&amp;$C271&amp;"|"&amp;$D271</f>
        <v>Mangochi District [lLDyBx5XyUi]|15-24|Female</v>
      </c>
      <c r="F271" s="90">
        <f>IF(LEFT($B271,4)="_Mil","",INDEX(Cascade!$AA:$AA,MATCH($E271,Cascade!$E:$E,0)))</f>
        <v>1449</v>
      </c>
      <c r="G271" s="14">
        <f>INDEX(Cascade!$BH:$BH,MATCH($E271,Cascade!$E:$E,0))</f>
        <v>0</v>
      </c>
      <c r="H271" s="14" t="str">
        <f>IF(OR($C271="01-09",$D271="Male"),"",INDEX(PMTCT!$AC:$AC,MATCH($E271,PMTCT!$E:$E,0)))</f>
        <v/>
      </c>
      <c r="I271" s="14" t="str">
        <f>IF(OR($C271="01-09",$D271="Male"),"",INDEX(PMTCT!$AS:$AS,MATCH($E271,PMTCT!$E:$E,0)))</f>
        <v/>
      </c>
      <c r="J271" s="14" t="str">
        <f>INDEX(TB!$P:$P,MATCH($E271,TB!$E:$E,0))</f>
        <v/>
      </c>
      <c r="K271" s="14" t="str">
        <f>IF(OR($C271="01-09",$C271="10-14",$D271="Female"),"",INDEX(VMMC!$AA:$AA,MATCH($E271,VMMC!$E:$E,0)))</f>
        <v/>
      </c>
      <c r="L271" s="14">
        <f t="shared" ref="L271:L334" si="109">SUM($G271)-SUM($H271:$K271)</f>
        <v>0</v>
      </c>
      <c r="M271" s="90" t="str">
        <f t="shared" ref="M271:M334" si="110">IF(OR($C271="01-09",$D271="Male",AND(SUM($G271)=0,SUM($H271)=0)),"",SUM($H271)/SUM($G271))</f>
        <v/>
      </c>
      <c r="N271" s="90" t="str">
        <f t="shared" ref="N271:N334" si="111">IF(OR($C271="01-09",$D271="Male",AND(SUM($G271)=0,SUM($I271)=0)),"",SUM($I271)/SUM($G271))</f>
        <v/>
      </c>
      <c r="O271" s="90" t="str">
        <f t="shared" ref="O271:O334" si="112">IF(AND(SUM($G271)=0,SUM($J271)=0),"",SUM($J271)/SUM($G271))</f>
        <v/>
      </c>
      <c r="P271" s="90" t="str">
        <f t="shared" ref="P271:P334" si="113">IF(OR($C271="01-09",$C271="10-14",$D271="Female",AND(SUM($G271)=0,SUM($K271)=0)),"",SUM($K271)/SUM($G271))</f>
        <v/>
      </c>
      <c r="Q271" s="90"/>
      <c r="R271" s="90"/>
      <c r="S271" s="90"/>
      <c r="T271" s="90"/>
      <c r="U271" s="90"/>
      <c r="V271" s="90" t="str">
        <f t="shared" ref="V271:V334" si="114">IF(SUM($G271)=0,"",SUM($M271:$U271))</f>
        <v/>
      </c>
      <c r="W271" s="90"/>
      <c r="X271" s="42" t="str">
        <f t="shared" ref="X271:X334" si="115">IF(OR(SUM($G271)=0,SUM($Q271)=0),"",ROUND(SUM($G271)*SUM($Q271),0))</f>
        <v/>
      </c>
      <c r="Y271" s="42" t="str">
        <f t="shared" ref="Y271:Y334" si="116">IF(SUM($X271)=0,"",IF(SUM($W271)=0,"ENTER YIELD",ROUND($X271/$W271,0)-$X271))</f>
        <v/>
      </c>
      <c r="Z271" s="90"/>
      <c r="AA271" s="42" t="str">
        <f t="shared" ref="AA271:AA334" si="117">IF(OR(SUM($G271)=0,SUM($R271)=0),"",ROUND(SUM($G271)*SUM($R271),0))</f>
        <v/>
      </c>
      <c r="AB271" s="42" t="str">
        <f t="shared" ref="AB271:AB334" si="118">IF(SUM($AA271)=0,"",IF(SUM($Z271)=0,"ENTER YIELD",ROUND($AA271/$Z271,0)-$AA271))</f>
        <v/>
      </c>
      <c r="AC271" s="90"/>
      <c r="AD271" s="42" t="str">
        <f t="shared" ref="AD271:AD334" si="119">IF(OR(SUM($G271)=0,SUM($S271)=0),"",ROUND(SUM($G271)*SUM($S271),0))</f>
        <v/>
      </c>
      <c r="AE271" s="42" t="str">
        <f t="shared" ref="AE271:AE334" si="120">IF(SUM($AD271)=0,"",IF(SUM($AC271)=0,"ENTER YIELD",ROUND($AD271/$AC271,0)-$AD271))</f>
        <v/>
      </c>
      <c r="AF271" s="90"/>
      <c r="AG271" s="42" t="str">
        <f t="shared" ref="AG271:AG334" si="121">IF(OR(SUM($G271)=0,SUM($T271)=0),"",ROUND(SUM($G271)*SUM($T271),0))</f>
        <v/>
      </c>
      <c r="AH271" s="42" t="str">
        <f t="shared" ref="AH271:AH334" si="122">IF(SUM($AG271)=0,"",IF(SUM($AF271)=0,"ENTER YIELD",ROUND($AG271/$AF271,0)-$AG271))</f>
        <v/>
      </c>
      <c r="AI271" s="90"/>
      <c r="AJ271" s="42" t="str">
        <f t="shared" ref="AJ271:AJ334" si="123">IF(OR(SUM($G271)=0,SUM($U271)=0),"",ROUND(SUM($G271)*SUM($U271),0))</f>
        <v/>
      </c>
      <c r="AK271" s="42" t="str">
        <f t="shared" ref="AK271:AK334" si="124">IF(SUM($AJ271)=0,"",IF(SUM($AI271)=0,"ENTER YIELD",ROUND($AJ271/$AI271,0)-$AJ271))</f>
        <v/>
      </c>
      <c r="AL271" s="14" t="str">
        <f t="shared" ref="AL271:AL334" si="125">IF(SUM($G271)=0,"",$G271)</f>
        <v/>
      </c>
      <c r="AM271" s="14" t="str">
        <f t="shared" ref="AM271:AM334" si="126">IFERROR(1/(1/SUM($H271:$K271,$X271,$AA271,$AD271,$AG271,$AJ271)),"")</f>
        <v/>
      </c>
      <c r="AN271" s="14" t="str">
        <f t="shared" ref="AN271:AN334" si="127">IF(AND(SUM($AM271)=0,SUM($AL271)=0),"",$AM271-$AL271)</f>
        <v/>
      </c>
      <c r="AO271" s="14" t="str">
        <f>IF(OR($C271="01-09",$D271="Male"),"",INDEX(PMTCT!$AD:$AD,MATCH($E271,PMTCT!$E:$E,0)))</f>
        <v/>
      </c>
      <c r="AP271" s="14" t="str">
        <f>IF(OR($C271="01-09",$D271="Male"),"",INDEX(PMTCT!$AT:$AT,MATCH($E271,PMTCT!$E:$E,0)))</f>
        <v/>
      </c>
      <c r="AQ271" s="14" t="str">
        <f>INDEX(TB!$Q:$Q,MATCH($E271,TB!$E:$E,0))</f>
        <v/>
      </c>
      <c r="AR271" s="14" t="str">
        <f>IF(OR($C271="01-09",$C271="10-14",$D271="Female"),"",INDEX(VMMC!$AB:$AB,MATCH($E271,VMMC!$E:$E,0)))</f>
        <v/>
      </c>
      <c r="AS271" s="14" t="str">
        <f>IF(OR($C271="01-09",$C271="10-14"),"",INDEX(PrEP!$Q:$Q,MATCH($E271,PrEP!$E:$E,0)))</f>
        <v/>
      </c>
      <c r="AT271" s="14" t="str">
        <f t="shared" ref="AT271:AT334" si="128">IFERROR(1/(1/SUM($Y271,$AB271,$AE271,$AH271,$AK271,$AO271:$AS271)),"")</f>
        <v/>
      </c>
      <c r="AU271" s="14" t="str">
        <f t="shared" ref="AU271:AU334" si="129">IFERROR(1/(1/SUM($AT271,$AM271)),"")</f>
        <v/>
      </c>
      <c r="AV271" s="90" t="str">
        <f t="shared" ref="AV271:AV334" si="130">IF(AND(SUM($AM271)=0,SUM($AU271)=0),"",$AM271/$AU271)</f>
        <v/>
      </c>
      <c r="AW271" s="14"/>
      <c r="AX271" s="90" t="str">
        <f t="shared" ref="AX271:AX334" si="131">IF(OR($C271="01-09",SUM($AW271)=0),"",0%)</f>
        <v/>
      </c>
      <c r="AY271" s="42" t="str">
        <f t="shared" ref="AY271:AY334" si="132">IF(OR($C271="01-09",SUM($AW271)=0),"",ROUND($AW271*(1+$AX271),0))</f>
        <v/>
      </c>
      <c r="AZ271" s="90">
        <f t="shared" ref="AZ271:AZ334" si="133">IF(OR($C271="01-09",$C271="10-14"),"",100%)</f>
        <v>1</v>
      </c>
      <c r="BA271" s="42" t="str">
        <f t="shared" ref="BA271:BA334" si="134">IF(OR(SUM($AM271)=0,$C271="01-09",$C271="10-14"),"",$AM271*$AZ271)</f>
        <v/>
      </c>
    </row>
    <row r="272" spans="1:53" x14ac:dyDescent="0.2">
      <c r="A272" t="str">
        <f>INDEX(Prioritization!$D:$D,MATCH($B272,Prioritization!$A:$A,0))</f>
        <v>INVALID</v>
      </c>
      <c r="B272" t="s">
        <v>214</v>
      </c>
      <c r="C272" t="s">
        <v>364</v>
      </c>
      <c r="D272" t="s">
        <v>47</v>
      </c>
      <c r="E272" t="str">
        <f t="shared" si="108"/>
        <v>Mangochi District [lLDyBx5XyUi]|15-24|Male</v>
      </c>
      <c r="F272" s="90">
        <f>IF(LEFT($B272,4)="_Mil","",INDEX(Cascade!$AA:$AA,MATCH($E272,Cascade!$E:$E,0)))</f>
        <v>1416</v>
      </c>
      <c r="G272" s="14">
        <f>INDEX(Cascade!$BH:$BH,MATCH($E272,Cascade!$E:$E,0))</f>
        <v>0</v>
      </c>
      <c r="H272" s="14" t="str">
        <f>IF(OR($C272="01-09",$D272="Male"),"",INDEX(PMTCT!$AC:$AC,MATCH($E272,PMTCT!$E:$E,0)))</f>
        <v/>
      </c>
      <c r="I272" s="14" t="str">
        <f>IF(OR($C272="01-09",$D272="Male"),"",INDEX(PMTCT!$AS:$AS,MATCH($E272,PMTCT!$E:$E,0)))</f>
        <v/>
      </c>
      <c r="J272" s="14" t="str">
        <f>INDEX(TB!$P:$P,MATCH($E272,TB!$E:$E,0))</f>
        <v/>
      </c>
      <c r="K272" s="14" t="str">
        <f>IF(OR($C272="01-09",$C272="10-14",$D272="Female"),"",INDEX(VMMC!$AA:$AA,MATCH($E272,VMMC!$E:$E,0)))</f>
        <v/>
      </c>
      <c r="L272" s="14">
        <f t="shared" si="109"/>
        <v>0</v>
      </c>
      <c r="M272" s="90" t="str">
        <f t="shared" si="110"/>
        <v/>
      </c>
      <c r="N272" s="90" t="str">
        <f t="shared" si="111"/>
        <v/>
      </c>
      <c r="O272" s="90" t="str">
        <f t="shared" si="112"/>
        <v/>
      </c>
      <c r="P272" s="90" t="str">
        <f t="shared" si="113"/>
        <v/>
      </c>
      <c r="Q272" s="90"/>
      <c r="R272" s="90"/>
      <c r="S272" s="90"/>
      <c r="T272" s="90"/>
      <c r="U272" s="90"/>
      <c r="V272" s="90" t="str">
        <f t="shared" si="114"/>
        <v/>
      </c>
      <c r="W272" s="90"/>
      <c r="X272" s="42" t="str">
        <f t="shared" si="115"/>
        <v/>
      </c>
      <c r="Y272" s="42" t="str">
        <f t="shared" si="116"/>
        <v/>
      </c>
      <c r="Z272" s="90"/>
      <c r="AA272" s="42" t="str">
        <f t="shared" si="117"/>
        <v/>
      </c>
      <c r="AB272" s="42" t="str">
        <f t="shared" si="118"/>
        <v/>
      </c>
      <c r="AC272" s="90"/>
      <c r="AD272" s="42" t="str">
        <f t="shared" si="119"/>
        <v/>
      </c>
      <c r="AE272" s="42" t="str">
        <f t="shared" si="120"/>
        <v/>
      </c>
      <c r="AF272" s="90"/>
      <c r="AG272" s="42" t="str">
        <f t="shared" si="121"/>
        <v/>
      </c>
      <c r="AH272" s="42" t="str">
        <f t="shared" si="122"/>
        <v/>
      </c>
      <c r="AI272" s="90"/>
      <c r="AJ272" s="42" t="str">
        <f t="shared" si="123"/>
        <v/>
      </c>
      <c r="AK272" s="42" t="str">
        <f t="shared" si="124"/>
        <v/>
      </c>
      <c r="AL272" s="14" t="str">
        <f t="shared" si="125"/>
        <v/>
      </c>
      <c r="AM272" s="14" t="str">
        <f t="shared" si="126"/>
        <v/>
      </c>
      <c r="AN272" s="14" t="str">
        <f t="shared" si="127"/>
        <v/>
      </c>
      <c r="AO272" s="14" t="str">
        <f>IF(OR($C272="01-09",$D272="Male"),"",INDEX(PMTCT!$AD:$AD,MATCH($E272,PMTCT!$E:$E,0)))</f>
        <v/>
      </c>
      <c r="AP272" s="14" t="str">
        <f>IF(OR($C272="01-09",$D272="Male"),"",INDEX(PMTCT!$AT:$AT,MATCH($E272,PMTCT!$E:$E,0)))</f>
        <v/>
      </c>
      <c r="AQ272" s="14" t="str">
        <f>INDEX(TB!$Q:$Q,MATCH($E272,TB!$E:$E,0))</f>
        <v/>
      </c>
      <c r="AR272" s="14" t="str">
        <f>IF(OR($C272="01-09",$C272="10-14",$D272="Female"),"",INDEX(VMMC!$AB:$AB,MATCH($E272,VMMC!$E:$E,0)))</f>
        <v/>
      </c>
      <c r="AS272" s="14" t="str">
        <f>IF(OR($C272="01-09",$C272="10-14"),"",INDEX(PrEP!$Q:$Q,MATCH($E272,PrEP!$E:$E,0)))</f>
        <v/>
      </c>
      <c r="AT272" s="14" t="str">
        <f t="shared" si="128"/>
        <v/>
      </c>
      <c r="AU272" s="14" t="str">
        <f t="shared" si="129"/>
        <v/>
      </c>
      <c r="AV272" s="90" t="str">
        <f t="shared" si="130"/>
        <v/>
      </c>
      <c r="AW272" s="14"/>
      <c r="AX272" s="90" t="str">
        <f t="shared" si="131"/>
        <v/>
      </c>
      <c r="AY272" s="42" t="str">
        <f t="shared" si="132"/>
        <v/>
      </c>
      <c r="AZ272" s="90">
        <f t="shared" si="133"/>
        <v>1</v>
      </c>
      <c r="BA272" s="42" t="str">
        <f t="shared" si="134"/>
        <v/>
      </c>
    </row>
    <row r="273" spans="1:53" x14ac:dyDescent="0.2">
      <c r="A273" t="str">
        <f>INDEX(Prioritization!$D:$D,MATCH($B273,Prioritization!$A:$A,0))</f>
        <v>INVALID</v>
      </c>
      <c r="B273" t="s">
        <v>214</v>
      </c>
      <c r="C273" t="s">
        <v>365</v>
      </c>
      <c r="D273" t="s">
        <v>29</v>
      </c>
      <c r="E273" t="str">
        <f t="shared" si="108"/>
        <v>Mangochi District [lLDyBx5XyUi]|25-34|Female</v>
      </c>
      <c r="F273" s="90">
        <f>IF(LEFT($B273,4)="_Mil","",INDEX(Cascade!$AA:$AA,MATCH($E273,Cascade!$E:$E,0)))</f>
        <v>1569</v>
      </c>
      <c r="G273" s="14">
        <f>INDEX(Cascade!$BH:$BH,MATCH($E273,Cascade!$E:$E,0))</f>
        <v>0</v>
      </c>
      <c r="H273" s="14" t="str">
        <f>IF(OR($C273="01-09",$D273="Male"),"",INDEX(PMTCT!$AC:$AC,MATCH($E273,PMTCT!$E:$E,0)))</f>
        <v/>
      </c>
      <c r="I273" s="14" t="str">
        <f>IF(OR($C273="01-09",$D273="Male"),"",INDEX(PMTCT!$AS:$AS,MATCH($E273,PMTCT!$E:$E,0)))</f>
        <v/>
      </c>
      <c r="J273" s="14" t="str">
        <f>INDEX(TB!$P:$P,MATCH($E273,TB!$E:$E,0))</f>
        <v/>
      </c>
      <c r="K273" s="14" t="str">
        <f>IF(OR($C273="01-09",$C273="10-14",$D273="Female"),"",INDEX(VMMC!$AA:$AA,MATCH($E273,VMMC!$E:$E,0)))</f>
        <v/>
      </c>
      <c r="L273" s="14">
        <f t="shared" si="109"/>
        <v>0</v>
      </c>
      <c r="M273" s="90" t="str">
        <f t="shared" si="110"/>
        <v/>
      </c>
      <c r="N273" s="90" t="str">
        <f t="shared" si="111"/>
        <v/>
      </c>
      <c r="O273" s="90" t="str">
        <f t="shared" si="112"/>
        <v/>
      </c>
      <c r="P273" s="90" t="str">
        <f t="shared" si="113"/>
        <v/>
      </c>
      <c r="Q273" s="90"/>
      <c r="R273" s="90"/>
      <c r="S273" s="90"/>
      <c r="T273" s="90"/>
      <c r="U273" s="90"/>
      <c r="V273" s="90" t="str">
        <f t="shared" si="114"/>
        <v/>
      </c>
      <c r="W273" s="90"/>
      <c r="X273" s="42" t="str">
        <f t="shared" si="115"/>
        <v/>
      </c>
      <c r="Y273" s="42" t="str">
        <f t="shared" si="116"/>
        <v/>
      </c>
      <c r="Z273" s="90"/>
      <c r="AA273" s="42" t="str">
        <f t="shared" si="117"/>
        <v/>
      </c>
      <c r="AB273" s="42" t="str">
        <f t="shared" si="118"/>
        <v/>
      </c>
      <c r="AC273" s="90"/>
      <c r="AD273" s="42" t="str">
        <f t="shared" si="119"/>
        <v/>
      </c>
      <c r="AE273" s="42" t="str">
        <f t="shared" si="120"/>
        <v/>
      </c>
      <c r="AF273" s="90"/>
      <c r="AG273" s="42" t="str">
        <f t="shared" si="121"/>
        <v/>
      </c>
      <c r="AH273" s="42" t="str">
        <f t="shared" si="122"/>
        <v/>
      </c>
      <c r="AI273" s="90"/>
      <c r="AJ273" s="42" t="str">
        <f t="shared" si="123"/>
        <v/>
      </c>
      <c r="AK273" s="42" t="str">
        <f t="shared" si="124"/>
        <v/>
      </c>
      <c r="AL273" s="14" t="str">
        <f t="shared" si="125"/>
        <v/>
      </c>
      <c r="AM273" s="14" t="str">
        <f t="shared" si="126"/>
        <v/>
      </c>
      <c r="AN273" s="14" t="str">
        <f t="shared" si="127"/>
        <v/>
      </c>
      <c r="AO273" s="14" t="str">
        <f>IF(OR($C273="01-09",$D273="Male"),"",INDEX(PMTCT!$AD:$AD,MATCH($E273,PMTCT!$E:$E,0)))</f>
        <v/>
      </c>
      <c r="AP273" s="14" t="str">
        <f>IF(OR($C273="01-09",$D273="Male"),"",INDEX(PMTCT!$AT:$AT,MATCH($E273,PMTCT!$E:$E,0)))</f>
        <v/>
      </c>
      <c r="AQ273" s="14" t="str">
        <f>INDEX(TB!$Q:$Q,MATCH($E273,TB!$E:$E,0))</f>
        <v/>
      </c>
      <c r="AR273" s="14" t="str">
        <f>IF(OR($C273="01-09",$C273="10-14",$D273="Female"),"",INDEX(VMMC!$AB:$AB,MATCH($E273,VMMC!$E:$E,0)))</f>
        <v/>
      </c>
      <c r="AS273" s="14" t="str">
        <f>IF(OR($C273="01-09",$C273="10-14"),"",INDEX(PrEP!$Q:$Q,MATCH($E273,PrEP!$E:$E,0)))</f>
        <v/>
      </c>
      <c r="AT273" s="14" t="str">
        <f t="shared" si="128"/>
        <v/>
      </c>
      <c r="AU273" s="14" t="str">
        <f t="shared" si="129"/>
        <v/>
      </c>
      <c r="AV273" s="90" t="str">
        <f t="shared" si="130"/>
        <v/>
      </c>
      <c r="AW273" s="14"/>
      <c r="AX273" s="90" t="str">
        <f t="shared" si="131"/>
        <v/>
      </c>
      <c r="AY273" s="42" t="str">
        <f t="shared" si="132"/>
        <v/>
      </c>
      <c r="AZ273" s="90">
        <f t="shared" si="133"/>
        <v>1</v>
      </c>
      <c r="BA273" s="42" t="str">
        <f t="shared" si="134"/>
        <v/>
      </c>
    </row>
    <row r="274" spans="1:53" x14ac:dyDescent="0.2">
      <c r="A274" t="str">
        <f>INDEX(Prioritization!$D:$D,MATCH($B274,Prioritization!$A:$A,0))</f>
        <v>INVALID</v>
      </c>
      <c r="B274" t="s">
        <v>214</v>
      </c>
      <c r="C274" t="s">
        <v>365</v>
      </c>
      <c r="D274" t="s">
        <v>47</v>
      </c>
      <c r="E274" t="str">
        <f t="shared" si="108"/>
        <v>Mangochi District [lLDyBx5XyUi]|25-34|Male</v>
      </c>
      <c r="F274" s="90">
        <f>IF(LEFT($B274,4)="_Mil","",INDEX(Cascade!$AA:$AA,MATCH($E274,Cascade!$E:$E,0)))</f>
        <v>926</v>
      </c>
      <c r="G274" s="14">
        <f>INDEX(Cascade!$BH:$BH,MATCH($E274,Cascade!$E:$E,0))</f>
        <v>0</v>
      </c>
      <c r="H274" s="14" t="str">
        <f>IF(OR($C274="01-09",$D274="Male"),"",INDEX(PMTCT!$AC:$AC,MATCH($E274,PMTCT!$E:$E,0)))</f>
        <v/>
      </c>
      <c r="I274" s="14" t="str">
        <f>IF(OR($C274="01-09",$D274="Male"),"",INDEX(PMTCT!$AS:$AS,MATCH($E274,PMTCT!$E:$E,0)))</f>
        <v/>
      </c>
      <c r="J274" s="14" t="str">
        <f>INDEX(TB!$P:$P,MATCH($E274,TB!$E:$E,0))</f>
        <v/>
      </c>
      <c r="K274" s="14" t="str">
        <f>IF(OR($C274="01-09",$C274="10-14",$D274="Female"),"",INDEX(VMMC!$AA:$AA,MATCH($E274,VMMC!$E:$E,0)))</f>
        <v/>
      </c>
      <c r="L274" s="14">
        <f t="shared" si="109"/>
        <v>0</v>
      </c>
      <c r="M274" s="90" t="str">
        <f t="shared" si="110"/>
        <v/>
      </c>
      <c r="N274" s="90" t="str">
        <f t="shared" si="111"/>
        <v/>
      </c>
      <c r="O274" s="90" t="str">
        <f t="shared" si="112"/>
        <v/>
      </c>
      <c r="P274" s="90" t="str">
        <f t="shared" si="113"/>
        <v/>
      </c>
      <c r="Q274" s="90"/>
      <c r="R274" s="90"/>
      <c r="S274" s="90"/>
      <c r="T274" s="90"/>
      <c r="U274" s="90"/>
      <c r="V274" s="90" t="str">
        <f t="shared" si="114"/>
        <v/>
      </c>
      <c r="W274" s="90"/>
      <c r="X274" s="42" t="str">
        <f t="shared" si="115"/>
        <v/>
      </c>
      <c r="Y274" s="42" t="str">
        <f t="shared" si="116"/>
        <v/>
      </c>
      <c r="Z274" s="90"/>
      <c r="AA274" s="42" t="str">
        <f t="shared" si="117"/>
        <v/>
      </c>
      <c r="AB274" s="42" t="str">
        <f t="shared" si="118"/>
        <v/>
      </c>
      <c r="AC274" s="90"/>
      <c r="AD274" s="42" t="str">
        <f t="shared" si="119"/>
        <v/>
      </c>
      <c r="AE274" s="42" t="str">
        <f t="shared" si="120"/>
        <v/>
      </c>
      <c r="AF274" s="90"/>
      <c r="AG274" s="42" t="str">
        <f t="shared" si="121"/>
        <v/>
      </c>
      <c r="AH274" s="42" t="str">
        <f t="shared" si="122"/>
        <v/>
      </c>
      <c r="AI274" s="90"/>
      <c r="AJ274" s="42" t="str">
        <f t="shared" si="123"/>
        <v/>
      </c>
      <c r="AK274" s="42" t="str">
        <f t="shared" si="124"/>
        <v/>
      </c>
      <c r="AL274" s="14" t="str">
        <f t="shared" si="125"/>
        <v/>
      </c>
      <c r="AM274" s="14" t="str">
        <f t="shared" si="126"/>
        <v/>
      </c>
      <c r="AN274" s="14" t="str">
        <f t="shared" si="127"/>
        <v/>
      </c>
      <c r="AO274" s="14" t="str">
        <f>IF(OR($C274="01-09",$D274="Male"),"",INDEX(PMTCT!$AD:$AD,MATCH($E274,PMTCT!$E:$E,0)))</f>
        <v/>
      </c>
      <c r="AP274" s="14" t="str">
        <f>IF(OR($C274="01-09",$D274="Male"),"",INDEX(PMTCT!$AT:$AT,MATCH($E274,PMTCT!$E:$E,0)))</f>
        <v/>
      </c>
      <c r="AQ274" s="14" t="str">
        <f>INDEX(TB!$Q:$Q,MATCH($E274,TB!$E:$E,0))</f>
        <v/>
      </c>
      <c r="AR274" s="14" t="str">
        <f>IF(OR($C274="01-09",$C274="10-14",$D274="Female"),"",INDEX(VMMC!$AB:$AB,MATCH($E274,VMMC!$E:$E,0)))</f>
        <v/>
      </c>
      <c r="AS274" s="14" t="str">
        <f>IF(OR($C274="01-09",$C274="10-14"),"",INDEX(PrEP!$Q:$Q,MATCH($E274,PrEP!$E:$E,0)))</f>
        <v/>
      </c>
      <c r="AT274" s="14" t="str">
        <f t="shared" si="128"/>
        <v/>
      </c>
      <c r="AU274" s="14" t="str">
        <f t="shared" si="129"/>
        <v/>
      </c>
      <c r="AV274" s="90" t="str">
        <f t="shared" si="130"/>
        <v/>
      </c>
      <c r="AW274" s="14"/>
      <c r="AX274" s="90" t="str">
        <f t="shared" si="131"/>
        <v/>
      </c>
      <c r="AY274" s="42" t="str">
        <f t="shared" si="132"/>
        <v/>
      </c>
      <c r="AZ274" s="90">
        <f t="shared" si="133"/>
        <v>1</v>
      </c>
      <c r="BA274" s="42" t="str">
        <f t="shared" si="134"/>
        <v/>
      </c>
    </row>
    <row r="275" spans="1:53" x14ac:dyDescent="0.2">
      <c r="A275" t="str">
        <f>INDEX(Prioritization!$D:$D,MATCH($B275,Prioritization!$A:$A,0))</f>
        <v>INVALID</v>
      </c>
      <c r="B275" t="s">
        <v>214</v>
      </c>
      <c r="C275" t="s">
        <v>366</v>
      </c>
      <c r="D275" t="s">
        <v>29</v>
      </c>
      <c r="E275" t="str">
        <f t="shared" si="108"/>
        <v>Mangochi District [lLDyBx5XyUi]|35-49|Female</v>
      </c>
      <c r="F275" s="90">
        <f>IF(LEFT($B275,4)="_Mil","",INDEX(Cascade!$AA:$AA,MATCH($E275,Cascade!$E:$E,0)))</f>
        <v>982.00000000000011</v>
      </c>
      <c r="G275" s="14">
        <f>INDEX(Cascade!$BH:$BH,MATCH($E275,Cascade!$E:$E,0))</f>
        <v>0</v>
      </c>
      <c r="H275" s="14" t="str">
        <f>IF(OR($C275="01-09",$D275="Male"),"",INDEX(PMTCT!$AC:$AC,MATCH($E275,PMTCT!$E:$E,0)))</f>
        <v/>
      </c>
      <c r="I275" s="14" t="str">
        <f>IF(OR($C275="01-09",$D275="Male"),"",INDEX(PMTCT!$AS:$AS,MATCH($E275,PMTCT!$E:$E,0)))</f>
        <v/>
      </c>
      <c r="J275" s="14" t="str">
        <f>INDEX(TB!$P:$P,MATCH($E275,TB!$E:$E,0))</f>
        <v/>
      </c>
      <c r="K275" s="14" t="str">
        <f>IF(OR($C275="01-09",$C275="10-14",$D275="Female"),"",INDEX(VMMC!$AA:$AA,MATCH($E275,VMMC!$E:$E,0)))</f>
        <v/>
      </c>
      <c r="L275" s="14">
        <f t="shared" si="109"/>
        <v>0</v>
      </c>
      <c r="M275" s="90" t="str">
        <f t="shared" si="110"/>
        <v/>
      </c>
      <c r="N275" s="90" t="str">
        <f t="shared" si="111"/>
        <v/>
      </c>
      <c r="O275" s="90" t="str">
        <f t="shared" si="112"/>
        <v/>
      </c>
      <c r="P275" s="90" t="str">
        <f t="shared" si="113"/>
        <v/>
      </c>
      <c r="Q275" s="90"/>
      <c r="R275" s="90"/>
      <c r="S275" s="90"/>
      <c r="T275" s="90"/>
      <c r="U275" s="90"/>
      <c r="V275" s="90" t="str">
        <f t="shared" si="114"/>
        <v/>
      </c>
      <c r="W275" s="90"/>
      <c r="X275" s="42" t="str">
        <f t="shared" si="115"/>
        <v/>
      </c>
      <c r="Y275" s="42" t="str">
        <f t="shared" si="116"/>
        <v/>
      </c>
      <c r="Z275" s="90"/>
      <c r="AA275" s="42" t="str">
        <f t="shared" si="117"/>
        <v/>
      </c>
      <c r="AB275" s="42" t="str">
        <f t="shared" si="118"/>
        <v/>
      </c>
      <c r="AC275" s="90"/>
      <c r="AD275" s="42" t="str">
        <f t="shared" si="119"/>
        <v/>
      </c>
      <c r="AE275" s="42" t="str">
        <f t="shared" si="120"/>
        <v/>
      </c>
      <c r="AF275" s="90"/>
      <c r="AG275" s="42" t="str">
        <f t="shared" si="121"/>
        <v/>
      </c>
      <c r="AH275" s="42" t="str">
        <f t="shared" si="122"/>
        <v/>
      </c>
      <c r="AI275" s="90"/>
      <c r="AJ275" s="42" t="str">
        <f t="shared" si="123"/>
        <v/>
      </c>
      <c r="AK275" s="42" t="str">
        <f t="shared" si="124"/>
        <v/>
      </c>
      <c r="AL275" s="14" t="str">
        <f t="shared" si="125"/>
        <v/>
      </c>
      <c r="AM275" s="14" t="str">
        <f t="shared" si="126"/>
        <v/>
      </c>
      <c r="AN275" s="14" t="str">
        <f t="shared" si="127"/>
        <v/>
      </c>
      <c r="AO275" s="14" t="str">
        <f>IF(OR($C275="01-09",$D275="Male"),"",INDEX(PMTCT!$AD:$AD,MATCH($E275,PMTCT!$E:$E,0)))</f>
        <v/>
      </c>
      <c r="AP275" s="14" t="str">
        <f>IF(OR($C275="01-09",$D275="Male"),"",INDEX(PMTCT!$AT:$AT,MATCH($E275,PMTCT!$E:$E,0)))</f>
        <v/>
      </c>
      <c r="AQ275" s="14" t="str">
        <f>INDEX(TB!$Q:$Q,MATCH($E275,TB!$E:$E,0))</f>
        <v/>
      </c>
      <c r="AR275" s="14" t="str">
        <f>IF(OR($C275="01-09",$C275="10-14",$D275="Female"),"",INDEX(VMMC!$AB:$AB,MATCH($E275,VMMC!$E:$E,0)))</f>
        <v/>
      </c>
      <c r="AS275" s="14" t="str">
        <f>IF(OR($C275="01-09",$C275="10-14"),"",INDEX(PrEP!$Q:$Q,MATCH($E275,PrEP!$E:$E,0)))</f>
        <v/>
      </c>
      <c r="AT275" s="14" t="str">
        <f t="shared" si="128"/>
        <v/>
      </c>
      <c r="AU275" s="14" t="str">
        <f t="shared" si="129"/>
        <v/>
      </c>
      <c r="AV275" s="90" t="str">
        <f t="shared" si="130"/>
        <v/>
      </c>
      <c r="AW275" s="14"/>
      <c r="AX275" s="90" t="str">
        <f t="shared" si="131"/>
        <v/>
      </c>
      <c r="AY275" s="42" t="str">
        <f t="shared" si="132"/>
        <v/>
      </c>
      <c r="AZ275" s="90">
        <f t="shared" si="133"/>
        <v>1</v>
      </c>
      <c r="BA275" s="42" t="str">
        <f t="shared" si="134"/>
        <v/>
      </c>
    </row>
    <row r="276" spans="1:53" x14ac:dyDescent="0.2">
      <c r="A276" t="str">
        <f>INDEX(Prioritization!$D:$D,MATCH($B276,Prioritization!$A:$A,0))</f>
        <v>INVALID</v>
      </c>
      <c r="B276" t="s">
        <v>214</v>
      </c>
      <c r="C276" t="s">
        <v>366</v>
      </c>
      <c r="D276" t="s">
        <v>47</v>
      </c>
      <c r="E276" t="str">
        <f t="shared" si="108"/>
        <v>Mangochi District [lLDyBx5XyUi]|35-49|Male</v>
      </c>
      <c r="F276" s="90">
        <f>IF(LEFT($B276,4)="_Mil","",INDEX(Cascade!$AA:$AA,MATCH($E276,Cascade!$E:$E,0)))</f>
        <v>1820</v>
      </c>
      <c r="G276" s="14">
        <f>INDEX(Cascade!$BH:$BH,MATCH($E276,Cascade!$E:$E,0))</f>
        <v>0</v>
      </c>
      <c r="H276" s="14" t="str">
        <f>IF(OR($C276="01-09",$D276="Male"),"",INDEX(PMTCT!$AC:$AC,MATCH($E276,PMTCT!$E:$E,0)))</f>
        <v/>
      </c>
      <c r="I276" s="14" t="str">
        <f>IF(OR($C276="01-09",$D276="Male"),"",INDEX(PMTCT!$AS:$AS,MATCH($E276,PMTCT!$E:$E,0)))</f>
        <v/>
      </c>
      <c r="J276" s="14" t="str">
        <f>INDEX(TB!$P:$P,MATCH($E276,TB!$E:$E,0))</f>
        <v/>
      </c>
      <c r="K276" s="14" t="str">
        <f>IF(OR($C276="01-09",$C276="10-14",$D276="Female"),"",INDEX(VMMC!$AA:$AA,MATCH($E276,VMMC!$E:$E,0)))</f>
        <v/>
      </c>
      <c r="L276" s="14">
        <f t="shared" si="109"/>
        <v>0</v>
      </c>
      <c r="M276" s="90" t="str">
        <f t="shared" si="110"/>
        <v/>
      </c>
      <c r="N276" s="90" t="str">
        <f t="shared" si="111"/>
        <v/>
      </c>
      <c r="O276" s="90" t="str">
        <f t="shared" si="112"/>
        <v/>
      </c>
      <c r="P276" s="90" t="str">
        <f t="shared" si="113"/>
        <v/>
      </c>
      <c r="Q276" s="90"/>
      <c r="R276" s="90"/>
      <c r="S276" s="90"/>
      <c r="T276" s="90"/>
      <c r="U276" s="90"/>
      <c r="V276" s="90" t="str">
        <f t="shared" si="114"/>
        <v/>
      </c>
      <c r="W276" s="90"/>
      <c r="X276" s="42" t="str">
        <f t="shared" si="115"/>
        <v/>
      </c>
      <c r="Y276" s="42" t="str">
        <f t="shared" si="116"/>
        <v/>
      </c>
      <c r="Z276" s="90"/>
      <c r="AA276" s="42" t="str">
        <f t="shared" si="117"/>
        <v/>
      </c>
      <c r="AB276" s="42" t="str">
        <f t="shared" si="118"/>
        <v/>
      </c>
      <c r="AC276" s="90"/>
      <c r="AD276" s="42" t="str">
        <f t="shared" si="119"/>
        <v/>
      </c>
      <c r="AE276" s="42" t="str">
        <f t="shared" si="120"/>
        <v/>
      </c>
      <c r="AF276" s="90"/>
      <c r="AG276" s="42" t="str">
        <f t="shared" si="121"/>
        <v/>
      </c>
      <c r="AH276" s="42" t="str">
        <f t="shared" si="122"/>
        <v/>
      </c>
      <c r="AI276" s="90"/>
      <c r="AJ276" s="42" t="str">
        <f t="shared" si="123"/>
        <v/>
      </c>
      <c r="AK276" s="42" t="str">
        <f t="shared" si="124"/>
        <v/>
      </c>
      <c r="AL276" s="14" t="str">
        <f t="shared" si="125"/>
        <v/>
      </c>
      <c r="AM276" s="14" t="str">
        <f t="shared" si="126"/>
        <v/>
      </c>
      <c r="AN276" s="14" t="str">
        <f t="shared" si="127"/>
        <v/>
      </c>
      <c r="AO276" s="14" t="str">
        <f>IF(OR($C276="01-09",$D276="Male"),"",INDEX(PMTCT!$AD:$AD,MATCH($E276,PMTCT!$E:$E,0)))</f>
        <v/>
      </c>
      <c r="AP276" s="14" t="str">
        <f>IF(OR($C276="01-09",$D276="Male"),"",INDEX(PMTCT!$AT:$AT,MATCH($E276,PMTCT!$E:$E,0)))</f>
        <v/>
      </c>
      <c r="AQ276" s="14" t="str">
        <f>INDEX(TB!$Q:$Q,MATCH($E276,TB!$E:$E,0))</f>
        <v/>
      </c>
      <c r="AR276" s="14" t="str">
        <f>IF(OR($C276="01-09",$C276="10-14",$D276="Female"),"",INDEX(VMMC!$AB:$AB,MATCH($E276,VMMC!$E:$E,0)))</f>
        <v/>
      </c>
      <c r="AS276" s="14" t="str">
        <f>IF(OR($C276="01-09",$C276="10-14"),"",INDEX(PrEP!$Q:$Q,MATCH($E276,PrEP!$E:$E,0)))</f>
        <v/>
      </c>
      <c r="AT276" s="14" t="str">
        <f t="shared" si="128"/>
        <v/>
      </c>
      <c r="AU276" s="14" t="str">
        <f t="shared" si="129"/>
        <v/>
      </c>
      <c r="AV276" s="90" t="str">
        <f t="shared" si="130"/>
        <v/>
      </c>
      <c r="AW276" s="14"/>
      <c r="AX276" s="90" t="str">
        <f t="shared" si="131"/>
        <v/>
      </c>
      <c r="AY276" s="42" t="str">
        <f t="shared" si="132"/>
        <v/>
      </c>
      <c r="AZ276" s="90">
        <f t="shared" si="133"/>
        <v>1</v>
      </c>
      <c r="BA276" s="42" t="str">
        <f t="shared" si="134"/>
        <v/>
      </c>
    </row>
    <row r="277" spans="1:53" x14ac:dyDescent="0.2">
      <c r="A277" t="str">
        <f>INDEX(Prioritization!$D:$D,MATCH($B277,Prioritization!$A:$A,0))</f>
        <v>INVALID</v>
      </c>
      <c r="B277" t="s">
        <v>214</v>
      </c>
      <c r="C277" t="s">
        <v>367</v>
      </c>
      <c r="D277" t="s">
        <v>29</v>
      </c>
      <c r="E277" t="str">
        <f t="shared" si="108"/>
        <v>Mangochi District [lLDyBx5XyUi]|50+|Female</v>
      </c>
      <c r="F277" s="90">
        <f>IF(LEFT($B277,4)="_Mil","",INDEX(Cascade!$AA:$AA,MATCH($E277,Cascade!$E:$E,0)))</f>
        <v>596</v>
      </c>
      <c r="G277" s="14">
        <f>INDEX(Cascade!$BH:$BH,MATCH($E277,Cascade!$E:$E,0))</f>
        <v>0</v>
      </c>
      <c r="H277" s="14" t="str">
        <f>IF(OR($C277="01-09",$D277="Male"),"",INDEX(PMTCT!$AC:$AC,MATCH($E277,PMTCT!$E:$E,0)))</f>
        <v/>
      </c>
      <c r="I277" s="14" t="str">
        <f>IF(OR($C277="01-09",$D277="Male"),"",INDEX(PMTCT!$AS:$AS,MATCH($E277,PMTCT!$E:$E,0)))</f>
        <v/>
      </c>
      <c r="J277" s="14" t="str">
        <f>INDEX(TB!$P:$P,MATCH($E277,TB!$E:$E,0))</f>
        <v/>
      </c>
      <c r="K277" s="14" t="str">
        <f>IF(OR($C277="01-09",$C277="10-14",$D277="Female"),"",INDEX(VMMC!$AA:$AA,MATCH($E277,VMMC!$E:$E,0)))</f>
        <v/>
      </c>
      <c r="L277" s="14">
        <f t="shared" si="109"/>
        <v>0</v>
      </c>
      <c r="M277" s="90" t="str">
        <f t="shared" si="110"/>
        <v/>
      </c>
      <c r="N277" s="90" t="str">
        <f t="shared" si="111"/>
        <v/>
      </c>
      <c r="O277" s="90" t="str">
        <f t="shared" si="112"/>
        <v/>
      </c>
      <c r="P277" s="90" t="str">
        <f t="shared" si="113"/>
        <v/>
      </c>
      <c r="Q277" s="90"/>
      <c r="R277" s="90"/>
      <c r="S277" s="90"/>
      <c r="T277" s="90"/>
      <c r="U277" s="90">
        <v>0.82740632584318496</v>
      </c>
      <c r="V277" s="90" t="str">
        <f t="shared" si="114"/>
        <v/>
      </c>
      <c r="W277" s="90"/>
      <c r="X277" s="42" t="str">
        <f t="shared" si="115"/>
        <v/>
      </c>
      <c r="Y277" s="42" t="str">
        <f t="shared" si="116"/>
        <v/>
      </c>
      <c r="Z277" s="90"/>
      <c r="AA277" s="42" t="str">
        <f t="shared" si="117"/>
        <v/>
      </c>
      <c r="AB277" s="42" t="str">
        <f t="shared" si="118"/>
        <v/>
      </c>
      <c r="AC277" s="90"/>
      <c r="AD277" s="42" t="str">
        <f t="shared" si="119"/>
        <v/>
      </c>
      <c r="AE277" s="42" t="str">
        <f t="shared" si="120"/>
        <v/>
      </c>
      <c r="AF277" s="90"/>
      <c r="AG277" s="42" t="str">
        <f t="shared" si="121"/>
        <v/>
      </c>
      <c r="AH277" s="42" t="str">
        <f t="shared" si="122"/>
        <v/>
      </c>
      <c r="AI277" s="90">
        <v>0.63210011110641096</v>
      </c>
      <c r="AJ277" s="42" t="str">
        <f t="shared" si="123"/>
        <v/>
      </c>
      <c r="AK277" s="42" t="str">
        <f t="shared" si="124"/>
        <v/>
      </c>
      <c r="AL277" s="14" t="str">
        <f t="shared" si="125"/>
        <v/>
      </c>
      <c r="AM277" s="14" t="str">
        <f t="shared" si="126"/>
        <v/>
      </c>
      <c r="AN277" s="14" t="str">
        <f t="shared" si="127"/>
        <v/>
      </c>
      <c r="AO277" s="14" t="str">
        <f>IF(OR($C277="01-09",$D277="Male"),"",INDEX(PMTCT!$AD:$AD,MATCH($E277,PMTCT!$E:$E,0)))</f>
        <v/>
      </c>
      <c r="AP277" s="14" t="str">
        <f>IF(OR($C277="01-09",$D277="Male"),"",INDEX(PMTCT!$AT:$AT,MATCH($E277,PMTCT!$E:$E,0)))</f>
        <v/>
      </c>
      <c r="AQ277" s="14" t="str">
        <f>INDEX(TB!$Q:$Q,MATCH($E277,TB!$E:$E,0))</f>
        <v/>
      </c>
      <c r="AR277" s="14" t="str">
        <f>IF(OR($C277="01-09",$C277="10-14",$D277="Female"),"",INDEX(VMMC!$AB:$AB,MATCH($E277,VMMC!$E:$E,0)))</f>
        <v/>
      </c>
      <c r="AS277" s="14" t="str">
        <f>IF(OR($C277="01-09",$C277="10-14"),"",INDEX(PrEP!$Q:$Q,MATCH($E277,PrEP!$E:$E,0)))</f>
        <v/>
      </c>
      <c r="AT277" s="14" t="str">
        <f t="shared" si="128"/>
        <v/>
      </c>
      <c r="AU277" s="14" t="str">
        <f t="shared" si="129"/>
        <v/>
      </c>
      <c r="AV277" s="90" t="str">
        <f t="shared" si="130"/>
        <v/>
      </c>
      <c r="AW277" s="14">
        <v>78</v>
      </c>
      <c r="AX277" s="90">
        <f t="shared" si="131"/>
        <v>0</v>
      </c>
      <c r="AY277" s="42">
        <f t="shared" si="132"/>
        <v>78</v>
      </c>
      <c r="AZ277" s="90">
        <f t="shared" si="133"/>
        <v>1</v>
      </c>
      <c r="BA277" s="42" t="str">
        <f t="shared" si="134"/>
        <v/>
      </c>
    </row>
    <row r="278" spans="1:53" x14ac:dyDescent="0.2">
      <c r="A278" t="str">
        <f>INDEX(Prioritization!$D:$D,MATCH($B278,Prioritization!$A:$A,0))</f>
        <v>INVALID</v>
      </c>
      <c r="B278" t="s">
        <v>214</v>
      </c>
      <c r="C278" t="s">
        <v>367</v>
      </c>
      <c r="D278" t="s">
        <v>47</v>
      </c>
      <c r="E278" t="str">
        <f t="shared" si="108"/>
        <v>Mangochi District [lLDyBx5XyUi]|50+|Male</v>
      </c>
      <c r="F278" s="90">
        <f>IF(LEFT($B278,4)="_Mil","",INDEX(Cascade!$AA:$AA,MATCH($E278,Cascade!$E:$E,0)))</f>
        <v>1818</v>
      </c>
      <c r="G278" s="14">
        <f>INDEX(Cascade!$BH:$BH,MATCH($E278,Cascade!$E:$E,0))</f>
        <v>0</v>
      </c>
      <c r="H278" s="14" t="str">
        <f>IF(OR($C278="01-09",$D278="Male"),"",INDEX(PMTCT!$AC:$AC,MATCH($E278,PMTCT!$E:$E,0)))</f>
        <v/>
      </c>
      <c r="I278" s="14" t="str">
        <f>IF(OR($C278="01-09",$D278="Male"),"",INDEX(PMTCT!$AS:$AS,MATCH($E278,PMTCT!$E:$E,0)))</f>
        <v/>
      </c>
      <c r="J278" s="14" t="str">
        <f>INDEX(TB!$P:$P,MATCH($E278,TB!$E:$E,0))</f>
        <v/>
      </c>
      <c r="K278" s="14" t="str">
        <f>IF(OR($C278="01-09",$C278="10-14",$D278="Female"),"",INDEX(VMMC!$AA:$AA,MATCH($E278,VMMC!$E:$E,0)))</f>
        <v/>
      </c>
      <c r="L278" s="14">
        <f t="shared" si="109"/>
        <v>0</v>
      </c>
      <c r="M278" s="90" t="str">
        <f t="shared" si="110"/>
        <v/>
      </c>
      <c r="N278" s="90" t="str">
        <f t="shared" si="111"/>
        <v/>
      </c>
      <c r="O278" s="90" t="str">
        <f t="shared" si="112"/>
        <v/>
      </c>
      <c r="P278" s="90" t="str">
        <f t="shared" si="113"/>
        <v/>
      </c>
      <c r="Q278" s="90"/>
      <c r="R278" s="90"/>
      <c r="S278" s="90"/>
      <c r="T278" s="90"/>
      <c r="U278" s="90">
        <v>0.121593831572682</v>
      </c>
      <c r="V278" s="90" t="str">
        <f t="shared" si="114"/>
        <v/>
      </c>
      <c r="W278" s="90"/>
      <c r="X278" s="42" t="str">
        <f t="shared" si="115"/>
        <v/>
      </c>
      <c r="Y278" s="42" t="str">
        <f t="shared" si="116"/>
        <v/>
      </c>
      <c r="Z278" s="90"/>
      <c r="AA278" s="42" t="str">
        <f t="shared" si="117"/>
        <v/>
      </c>
      <c r="AB278" s="42" t="str">
        <f t="shared" si="118"/>
        <v/>
      </c>
      <c r="AC278" s="90"/>
      <c r="AD278" s="42" t="str">
        <f t="shared" si="119"/>
        <v/>
      </c>
      <c r="AE278" s="42" t="str">
        <f t="shared" si="120"/>
        <v/>
      </c>
      <c r="AF278" s="90"/>
      <c r="AG278" s="42" t="str">
        <f t="shared" si="121"/>
        <v/>
      </c>
      <c r="AH278" s="42" t="str">
        <f t="shared" si="122"/>
        <v/>
      </c>
      <c r="AI278" s="90">
        <v>0.40543640265241299</v>
      </c>
      <c r="AJ278" s="42" t="str">
        <f t="shared" si="123"/>
        <v/>
      </c>
      <c r="AK278" s="42" t="str">
        <f t="shared" si="124"/>
        <v/>
      </c>
      <c r="AL278" s="14" t="str">
        <f t="shared" si="125"/>
        <v/>
      </c>
      <c r="AM278" s="14" t="str">
        <f t="shared" si="126"/>
        <v/>
      </c>
      <c r="AN278" s="14" t="str">
        <f t="shared" si="127"/>
        <v/>
      </c>
      <c r="AO278" s="14" t="str">
        <f>IF(OR($C278="01-09",$D278="Male"),"",INDEX(PMTCT!$AD:$AD,MATCH($E278,PMTCT!$E:$E,0)))</f>
        <v/>
      </c>
      <c r="AP278" s="14" t="str">
        <f>IF(OR($C278="01-09",$D278="Male"),"",INDEX(PMTCT!$AT:$AT,MATCH($E278,PMTCT!$E:$E,0)))</f>
        <v/>
      </c>
      <c r="AQ278" s="14" t="str">
        <f>INDEX(TB!$Q:$Q,MATCH($E278,TB!$E:$E,0))</f>
        <v/>
      </c>
      <c r="AR278" s="14" t="str">
        <f>IF(OR($C278="01-09",$C278="10-14",$D278="Female"),"",INDEX(VMMC!$AB:$AB,MATCH($E278,VMMC!$E:$E,0)))</f>
        <v/>
      </c>
      <c r="AS278" s="14" t="str">
        <f>IF(OR($C278="01-09",$C278="10-14"),"",INDEX(PrEP!$Q:$Q,MATCH($E278,PrEP!$E:$E,0)))</f>
        <v/>
      </c>
      <c r="AT278" s="14" t="str">
        <f t="shared" si="128"/>
        <v/>
      </c>
      <c r="AU278" s="14" t="str">
        <f t="shared" si="129"/>
        <v/>
      </c>
      <c r="AV278" s="90" t="str">
        <f t="shared" si="130"/>
        <v/>
      </c>
      <c r="AW278" s="14">
        <v>45</v>
      </c>
      <c r="AX278" s="90">
        <f t="shared" si="131"/>
        <v>0</v>
      </c>
      <c r="AY278" s="42">
        <f t="shared" si="132"/>
        <v>45</v>
      </c>
      <c r="AZ278" s="90">
        <f t="shared" si="133"/>
        <v>1</v>
      </c>
      <c r="BA278" s="42" t="str">
        <f t="shared" si="134"/>
        <v/>
      </c>
    </row>
    <row r="279" spans="1:53" x14ac:dyDescent="0.2">
      <c r="A279" t="str">
        <f>INDEX(Prioritization!$D:$D,MATCH($B279,Prioritization!$A:$A,0))</f>
        <v>INVALID</v>
      </c>
      <c r="B279" t="s">
        <v>215</v>
      </c>
      <c r="C279" t="s">
        <v>362</v>
      </c>
      <c r="D279" t="s">
        <v>29</v>
      </c>
      <c r="E279" t="str">
        <f t="shared" si="108"/>
        <v>Mulanje District [umc2n1Z4wNv]|01-09|Female</v>
      </c>
      <c r="F279" s="90">
        <f>IF(LEFT($B279,4)="_Mil","",INDEX(Cascade!$AA:$AA,MATCH($E279,Cascade!$E:$E,0)))</f>
        <v>1611</v>
      </c>
      <c r="G279" s="14">
        <f>INDEX(Cascade!$BH:$BH,MATCH($E279,Cascade!$E:$E,0))</f>
        <v>0</v>
      </c>
      <c r="H279" s="14" t="str">
        <f>IF(OR($C279="01-09",$D279="Male"),"",INDEX(PMTCT!$AC:$AC,MATCH($E279,PMTCT!$E:$E,0)))</f>
        <v/>
      </c>
      <c r="I279" s="14" t="str">
        <f>IF(OR($C279="01-09",$D279="Male"),"",INDEX(PMTCT!$AS:$AS,MATCH($E279,PMTCT!$E:$E,0)))</f>
        <v/>
      </c>
      <c r="J279" s="14" t="str">
        <f>INDEX(TB!$P:$P,MATCH($E279,TB!$E:$E,0))</f>
        <v/>
      </c>
      <c r="K279" s="14" t="str">
        <f>IF(OR($C279="01-09",$C279="10-14",$D279="Female"),"",INDEX(VMMC!$AA:$AA,MATCH($E279,VMMC!$E:$E,0)))</f>
        <v/>
      </c>
      <c r="L279" s="14">
        <f t="shared" si="109"/>
        <v>0</v>
      </c>
      <c r="M279" s="90" t="str">
        <f t="shared" si="110"/>
        <v/>
      </c>
      <c r="N279" s="90" t="str">
        <f t="shared" si="111"/>
        <v/>
      </c>
      <c r="O279" s="90" t="str">
        <f t="shared" si="112"/>
        <v/>
      </c>
      <c r="P279" s="90" t="str">
        <f t="shared" si="113"/>
        <v/>
      </c>
      <c r="Q279" s="90"/>
      <c r="R279" s="90"/>
      <c r="S279" s="90"/>
      <c r="T279" s="90"/>
      <c r="U279" s="90"/>
      <c r="V279" s="90" t="str">
        <f t="shared" si="114"/>
        <v/>
      </c>
      <c r="W279" s="90"/>
      <c r="X279" s="42" t="str">
        <f t="shared" si="115"/>
        <v/>
      </c>
      <c r="Y279" s="42" t="str">
        <f t="shared" si="116"/>
        <v/>
      </c>
      <c r="Z279" s="90"/>
      <c r="AA279" s="42" t="str">
        <f t="shared" si="117"/>
        <v/>
      </c>
      <c r="AB279" s="42" t="str">
        <f t="shared" si="118"/>
        <v/>
      </c>
      <c r="AC279" s="90"/>
      <c r="AD279" s="42" t="str">
        <f t="shared" si="119"/>
        <v/>
      </c>
      <c r="AE279" s="42" t="str">
        <f t="shared" si="120"/>
        <v/>
      </c>
      <c r="AF279" s="90"/>
      <c r="AG279" s="42" t="str">
        <f t="shared" si="121"/>
        <v/>
      </c>
      <c r="AH279" s="42" t="str">
        <f t="shared" si="122"/>
        <v/>
      </c>
      <c r="AI279" s="90"/>
      <c r="AJ279" s="42" t="str">
        <f t="shared" si="123"/>
        <v/>
      </c>
      <c r="AK279" s="42" t="str">
        <f t="shared" si="124"/>
        <v/>
      </c>
      <c r="AL279" s="14" t="str">
        <f t="shared" si="125"/>
        <v/>
      </c>
      <c r="AM279" s="14" t="str">
        <f t="shared" si="126"/>
        <v/>
      </c>
      <c r="AN279" s="14" t="str">
        <f t="shared" si="127"/>
        <v/>
      </c>
      <c r="AO279" s="14" t="str">
        <f>IF(OR($C279="01-09",$D279="Male"),"",INDEX(PMTCT!$AD:$AD,MATCH($E279,PMTCT!$E:$E,0)))</f>
        <v/>
      </c>
      <c r="AP279" s="14" t="str">
        <f>IF(OR($C279="01-09",$D279="Male"),"",INDEX(PMTCT!$AT:$AT,MATCH($E279,PMTCT!$E:$E,0)))</f>
        <v/>
      </c>
      <c r="AQ279" s="14" t="str">
        <f>INDEX(TB!$Q:$Q,MATCH($E279,TB!$E:$E,0))</f>
        <v/>
      </c>
      <c r="AR279" s="14" t="str">
        <f>IF(OR($C279="01-09",$C279="10-14",$D279="Female"),"",INDEX(VMMC!$AB:$AB,MATCH($E279,VMMC!$E:$E,0)))</f>
        <v/>
      </c>
      <c r="AS279" s="14" t="str">
        <f>IF(OR($C279="01-09",$C279="10-14"),"",INDEX(PrEP!$Q:$Q,MATCH($E279,PrEP!$E:$E,0)))</f>
        <v/>
      </c>
      <c r="AT279" s="14" t="str">
        <f t="shared" si="128"/>
        <v/>
      </c>
      <c r="AU279" s="14" t="str">
        <f t="shared" si="129"/>
        <v/>
      </c>
      <c r="AV279" s="90" t="str">
        <f t="shared" si="130"/>
        <v/>
      </c>
      <c r="AW279" s="14"/>
      <c r="AX279" s="90" t="str">
        <f t="shared" si="131"/>
        <v/>
      </c>
      <c r="AY279" s="42" t="str">
        <f t="shared" si="132"/>
        <v/>
      </c>
      <c r="AZ279" s="90" t="str">
        <f t="shared" si="133"/>
        <v/>
      </c>
      <c r="BA279" s="42" t="str">
        <f t="shared" si="134"/>
        <v/>
      </c>
    </row>
    <row r="280" spans="1:53" x14ac:dyDescent="0.2">
      <c r="A280" t="str">
        <f>INDEX(Prioritization!$D:$D,MATCH($B280,Prioritization!$A:$A,0))</f>
        <v>INVALID</v>
      </c>
      <c r="B280" t="s">
        <v>215</v>
      </c>
      <c r="C280" t="s">
        <v>362</v>
      </c>
      <c r="D280" t="s">
        <v>47</v>
      </c>
      <c r="E280" t="str">
        <f t="shared" si="108"/>
        <v>Mulanje District [umc2n1Z4wNv]|01-09|Male</v>
      </c>
      <c r="F280" s="90">
        <f>IF(LEFT($B280,4)="_Mil","",INDEX(Cascade!$AA:$AA,MATCH($E280,Cascade!$E:$E,0)))</f>
        <v>1664</v>
      </c>
      <c r="G280" s="14">
        <f>INDEX(Cascade!$BH:$BH,MATCH($E280,Cascade!$E:$E,0))</f>
        <v>0</v>
      </c>
      <c r="H280" s="14" t="str">
        <f>IF(OR($C280="01-09",$D280="Male"),"",INDEX(PMTCT!$AC:$AC,MATCH($E280,PMTCT!$E:$E,0)))</f>
        <v/>
      </c>
      <c r="I280" s="14" t="str">
        <f>IF(OR($C280="01-09",$D280="Male"),"",INDEX(PMTCT!$AS:$AS,MATCH($E280,PMTCT!$E:$E,0)))</f>
        <v/>
      </c>
      <c r="J280" s="14" t="str">
        <f>INDEX(TB!$P:$P,MATCH($E280,TB!$E:$E,0))</f>
        <v/>
      </c>
      <c r="K280" s="14" t="str">
        <f>IF(OR($C280="01-09",$C280="10-14",$D280="Female"),"",INDEX(VMMC!$AA:$AA,MATCH($E280,VMMC!$E:$E,0)))</f>
        <v/>
      </c>
      <c r="L280" s="14">
        <f t="shared" si="109"/>
        <v>0</v>
      </c>
      <c r="M280" s="90" t="str">
        <f t="shared" si="110"/>
        <v/>
      </c>
      <c r="N280" s="90" t="str">
        <f t="shared" si="111"/>
        <v/>
      </c>
      <c r="O280" s="90" t="str">
        <f t="shared" si="112"/>
        <v/>
      </c>
      <c r="P280" s="90" t="str">
        <f t="shared" si="113"/>
        <v/>
      </c>
      <c r="Q280" s="90"/>
      <c r="R280" s="90"/>
      <c r="S280" s="90"/>
      <c r="T280" s="90"/>
      <c r="U280" s="90"/>
      <c r="V280" s="90" t="str">
        <f t="shared" si="114"/>
        <v/>
      </c>
      <c r="W280" s="90"/>
      <c r="X280" s="42" t="str">
        <f t="shared" si="115"/>
        <v/>
      </c>
      <c r="Y280" s="42" t="str">
        <f t="shared" si="116"/>
        <v/>
      </c>
      <c r="Z280" s="90"/>
      <c r="AA280" s="42" t="str">
        <f t="shared" si="117"/>
        <v/>
      </c>
      <c r="AB280" s="42" t="str">
        <f t="shared" si="118"/>
        <v/>
      </c>
      <c r="AC280" s="90"/>
      <c r="AD280" s="42" t="str">
        <f t="shared" si="119"/>
        <v/>
      </c>
      <c r="AE280" s="42" t="str">
        <f t="shared" si="120"/>
        <v/>
      </c>
      <c r="AF280" s="90"/>
      <c r="AG280" s="42" t="str">
        <f t="shared" si="121"/>
        <v/>
      </c>
      <c r="AH280" s="42" t="str">
        <f t="shared" si="122"/>
        <v/>
      </c>
      <c r="AI280" s="90"/>
      <c r="AJ280" s="42" t="str">
        <f t="shared" si="123"/>
        <v/>
      </c>
      <c r="AK280" s="42" t="str">
        <f t="shared" si="124"/>
        <v/>
      </c>
      <c r="AL280" s="14" t="str">
        <f t="shared" si="125"/>
        <v/>
      </c>
      <c r="AM280" s="14" t="str">
        <f t="shared" si="126"/>
        <v/>
      </c>
      <c r="AN280" s="14" t="str">
        <f t="shared" si="127"/>
        <v/>
      </c>
      <c r="AO280" s="14" t="str">
        <f>IF(OR($C280="01-09",$D280="Male"),"",INDEX(PMTCT!$AD:$AD,MATCH($E280,PMTCT!$E:$E,0)))</f>
        <v/>
      </c>
      <c r="AP280" s="14" t="str">
        <f>IF(OR($C280="01-09",$D280="Male"),"",INDEX(PMTCT!$AT:$AT,MATCH($E280,PMTCT!$E:$E,0)))</f>
        <v/>
      </c>
      <c r="AQ280" s="14" t="str">
        <f>INDEX(TB!$Q:$Q,MATCH($E280,TB!$E:$E,0))</f>
        <v/>
      </c>
      <c r="AR280" s="14" t="str">
        <f>IF(OR($C280="01-09",$C280="10-14",$D280="Female"),"",INDEX(VMMC!$AB:$AB,MATCH($E280,VMMC!$E:$E,0)))</f>
        <v/>
      </c>
      <c r="AS280" s="14" t="str">
        <f>IF(OR($C280="01-09",$C280="10-14"),"",INDEX(PrEP!$Q:$Q,MATCH($E280,PrEP!$E:$E,0)))</f>
        <v/>
      </c>
      <c r="AT280" s="14" t="str">
        <f t="shared" si="128"/>
        <v/>
      </c>
      <c r="AU280" s="14" t="str">
        <f t="shared" si="129"/>
        <v/>
      </c>
      <c r="AV280" s="90" t="str">
        <f t="shared" si="130"/>
        <v/>
      </c>
      <c r="AW280" s="14"/>
      <c r="AX280" s="90" t="str">
        <f t="shared" si="131"/>
        <v/>
      </c>
      <c r="AY280" s="42" t="str">
        <f t="shared" si="132"/>
        <v/>
      </c>
      <c r="AZ280" s="90" t="str">
        <f t="shared" si="133"/>
        <v/>
      </c>
      <c r="BA280" s="42" t="str">
        <f t="shared" si="134"/>
        <v/>
      </c>
    </row>
    <row r="281" spans="1:53" x14ac:dyDescent="0.2">
      <c r="A281" t="str">
        <f>INDEX(Prioritization!$D:$D,MATCH($B281,Prioritization!$A:$A,0))</f>
        <v>INVALID</v>
      </c>
      <c r="B281" t="s">
        <v>215</v>
      </c>
      <c r="C281" t="s">
        <v>363</v>
      </c>
      <c r="D281" t="s">
        <v>29</v>
      </c>
      <c r="E281" t="str">
        <f t="shared" si="108"/>
        <v>Mulanje District [umc2n1Z4wNv]|10-14|Female</v>
      </c>
      <c r="F281" s="90">
        <f>IF(LEFT($B281,4)="_Mil","",INDEX(Cascade!$AA:$AA,MATCH($E281,Cascade!$E:$E,0)))</f>
        <v>1670</v>
      </c>
      <c r="G281" s="14">
        <f>INDEX(Cascade!$BH:$BH,MATCH($E281,Cascade!$E:$E,0))</f>
        <v>-762</v>
      </c>
      <c r="H281" s="14">
        <f>IF(OR($C281="01-09",$D281="Male"),"",INDEX(PMTCT!$AC:$AC,MATCH($E281,PMTCT!$E:$E,0)))</f>
        <v>5</v>
      </c>
      <c r="I281" s="14" t="str">
        <f>IF(OR($C281="01-09",$D281="Male"),"",INDEX(PMTCT!$AS:$AS,MATCH($E281,PMTCT!$E:$E,0)))</f>
        <v/>
      </c>
      <c r="J281" s="14" t="str">
        <f>INDEX(TB!$P:$P,MATCH($E281,TB!$E:$E,0))</f>
        <v/>
      </c>
      <c r="K281" s="14" t="str">
        <f>IF(OR($C281="01-09",$C281="10-14",$D281="Female"),"",INDEX(VMMC!$AA:$AA,MATCH($E281,VMMC!$E:$E,0)))</f>
        <v/>
      </c>
      <c r="L281" s="14">
        <f t="shared" si="109"/>
        <v>-767</v>
      </c>
      <c r="M281" s="90">
        <f t="shared" si="110"/>
        <v>-6.5616797900262466E-3</v>
      </c>
      <c r="N281" s="90">
        <f t="shared" si="111"/>
        <v>0</v>
      </c>
      <c r="O281" s="90">
        <f t="shared" si="112"/>
        <v>0</v>
      </c>
      <c r="P281" s="90" t="str">
        <f t="shared" si="113"/>
        <v/>
      </c>
      <c r="Q281" s="90">
        <v>0.85454539419151798</v>
      </c>
      <c r="R281" s="90"/>
      <c r="S281" s="90"/>
      <c r="T281" s="90"/>
      <c r="U281" s="90">
        <v>0.277583951596171</v>
      </c>
      <c r="V281" s="90">
        <f t="shared" si="114"/>
        <v>1.1255676659976628</v>
      </c>
      <c r="W281" s="90"/>
      <c r="X281" s="42">
        <f t="shared" si="115"/>
        <v>-651</v>
      </c>
      <c r="Y281" s="42" t="str">
        <f t="shared" si="116"/>
        <v>ENTER YIELD</v>
      </c>
      <c r="Z281" s="90"/>
      <c r="AA281" s="42" t="str">
        <f t="shared" si="117"/>
        <v/>
      </c>
      <c r="AB281" s="42" t="str">
        <f t="shared" si="118"/>
        <v/>
      </c>
      <c r="AC281" s="90"/>
      <c r="AD281" s="42" t="str">
        <f t="shared" si="119"/>
        <v/>
      </c>
      <c r="AE281" s="42" t="str">
        <f t="shared" si="120"/>
        <v/>
      </c>
      <c r="AF281" s="90"/>
      <c r="AG281" s="42" t="str">
        <f t="shared" si="121"/>
        <v/>
      </c>
      <c r="AH281" s="42" t="str">
        <f t="shared" si="122"/>
        <v/>
      </c>
      <c r="AI281" s="90">
        <v>0.37353946641087499</v>
      </c>
      <c r="AJ281" s="42">
        <f t="shared" si="123"/>
        <v>-212</v>
      </c>
      <c r="AK281" s="42">
        <f t="shared" si="124"/>
        <v>-356</v>
      </c>
      <c r="AL281" s="14">
        <f t="shared" si="125"/>
        <v>-762</v>
      </c>
      <c r="AM281" s="14">
        <f t="shared" si="126"/>
        <v>-858</v>
      </c>
      <c r="AN281" s="14">
        <f t="shared" si="127"/>
        <v>-96</v>
      </c>
      <c r="AO281" s="14">
        <f>IF(OR($C281="01-09",$D281="Male"),"",INDEX(PMTCT!$AD:$AD,MATCH($E281,PMTCT!$E:$E,0)))</f>
        <v>0</v>
      </c>
      <c r="AP281" s="14" t="str">
        <f>IF(OR($C281="01-09",$D281="Male"),"",INDEX(PMTCT!$AT:$AT,MATCH($E281,PMTCT!$E:$E,0)))</f>
        <v/>
      </c>
      <c r="AQ281" s="14" t="str">
        <f>INDEX(TB!$Q:$Q,MATCH($E281,TB!$E:$E,0))</f>
        <v/>
      </c>
      <c r="AR281" s="14" t="str">
        <f>IF(OR($C281="01-09",$C281="10-14",$D281="Female"),"",INDEX(VMMC!$AB:$AB,MATCH($E281,VMMC!$E:$E,0)))</f>
        <v/>
      </c>
      <c r="AS281" s="14" t="str">
        <f>IF(OR($C281="01-09",$C281="10-14"),"",INDEX(PrEP!$Q:$Q,MATCH($E281,PrEP!$E:$E,0)))</f>
        <v/>
      </c>
      <c r="AT281" s="14">
        <f t="shared" si="128"/>
        <v>-356</v>
      </c>
      <c r="AU281" s="14">
        <f t="shared" si="129"/>
        <v>-1214</v>
      </c>
      <c r="AV281" s="90">
        <f t="shared" si="130"/>
        <v>0.70675453047775949</v>
      </c>
      <c r="AW281" s="14"/>
      <c r="AX281" s="90" t="str">
        <f t="shared" si="131"/>
        <v/>
      </c>
      <c r="AY281" s="42" t="str">
        <f t="shared" si="132"/>
        <v/>
      </c>
      <c r="AZ281" s="90" t="str">
        <f t="shared" si="133"/>
        <v/>
      </c>
      <c r="BA281" s="42" t="str">
        <f t="shared" si="134"/>
        <v/>
      </c>
    </row>
    <row r="282" spans="1:53" x14ac:dyDescent="0.2">
      <c r="A282" t="str">
        <f>INDEX(Prioritization!$D:$D,MATCH($B282,Prioritization!$A:$A,0))</f>
        <v>INVALID</v>
      </c>
      <c r="B282" t="s">
        <v>215</v>
      </c>
      <c r="C282" t="s">
        <v>363</v>
      </c>
      <c r="D282" t="s">
        <v>47</v>
      </c>
      <c r="E282" t="str">
        <f t="shared" si="108"/>
        <v>Mulanje District [umc2n1Z4wNv]|10-14|Male</v>
      </c>
      <c r="F282" s="90">
        <f>IF(LEFT($B282,4)="_Mil","",INDEX(Cascade!$AA:$AA,MATCH($E282,Cascade!$E:$E,0)))</f>
        <v>692</v>
      </c>
      <c r="G282" s="14">
        <f>INDEX(Cascade!$BH:$BH,MATCH($E282,Cascade!$E:$E,0))</f>
        <v>-94</v>
      </c>
      <c r="H282" s="14" t="str">
        <f>IF(OR($C282="01-09",$D282="Male"),"",INDEX(PMTCT!$AC:$AC,MATCH($E282,PMTCT!$E:$E,0)))</f>
        <v/>
      </c>
      <c r="I282" s="14" t="str">
        <f>IF(OR($C282="01-09",$D282="Male"),"",INDEX(PMTCT!$AS:$AS,MATCH($E282,PMTCT!$E:$E,0)))</f>
        <v/>
      </c>
      <c r="J282" s="14" t="str">
        <f>INDEX(TB!$P:$P,MATCH($E282,TB!$E:$E,0))</f>
        <v/>
      </c>
      <c r="K282" s="14" t="str">
        <f>IF(OR($C282="01-09",$C282="10-14",$D282="Female"),"",INDEX(VMMC!$AA:$AA,MATCH($E282,VMMC!$E:$E,0)))</f>
        <v/>
      </c>
      <c r="L282" s="14">
        <f t="shared" si="109"/>
        <v>-94</v>
      </c>
      <c r="M282" s="90" t="str">
        <f t="shared" si="110"/>
        <v/>
      </c>
      <c r="N282" s="90" t="str">
        <f t="shared" si="111"/>
        <v/>
      </c>
      <c r="O282" s="90">
        <f t="shared" si="112"/>
        <v>0</v>
      </c>
      <c r="P282" s="90" t="str">
        <f t="shared" si="113"/>
        <v/>
      </c>
      <c r="Q282" s="90">
        <v>0.93759140651673101</v>
      </c>
      <c r="R282" s="90"/>
      <c r="S282" s="90"/>
      <c r="T282" s="90"/>
      <c r="U282" s="90">
        <v>0.62836359161883604</v>
      </c>
      <c r="V282" s="90">
        <f t="shared" si="114"/>
        <v>1.5659549981355672</v>
      </c>
      <c r="W282" s="90"/>
      <c r="X282" s="42">
        <f t="shared" si="115"/>
        <v>-88</v>
      </c>
      <c r="Y282" s="42" t="str">
        <f t="shared" si="116"/>
        <v>ENTER YIELD</v>
      </c>
      <c r="Z282" s="90"/>
      <c r="AA282" s="42" t="str">
        <f t="shared" si="117"/>
        <v/>
      </c>
      <c r="AB282" s="42" t="str">
        <f t="shared" si="118"/>
        <v/>
      </c>
      <c r="AC282" s="90"/>
      <c r="AD282" s="42" t="str">
        <f t="shared" si="119"/>
        <v/>
      </c>
      <c r="AE282" s="42" t="str">
        <f t="shared" si="120"/>
        <v/>
      </c>
      <c r="AF282" s="90"/>
      <c r="AG282" s="42" t="str">
        <f t="shared" si="121"/>
        <v/>
      </c>
      <c r="AH282" s="42" t="str">
        <f t="shared" si="122"/>
        <v/>
      </c>
      <c r="AI282" s="90">
        <v>0.56684847245924197</v>
      </c>
      <c r="AJ282" s="42">
        <f t="shared" si="123"/>
        <v>-59</v>
      </c>
      <c r="AK282" s="42">
        <f t="shared" si="124"/>
        <v>-45</v>
      </c>
      <c r="AL282" s="14">
        <f t="shared" si="125"/>
        <v>-94</v>
      </c>
      <c r="AM282" s="14">
        <f t="shared" si="126"/>
        <v>-147</v>
      </c>
      <c r="AN282" s="14">
        <f t="shared" si="127"/>
        <v>-53</v>
      </c>
      <c r="AO282" s="14" t="str">
        <f>IF(OR($C282="01-09",$D282="Male"),"",INDEX(PMTCT!$AD:$AD,MATCH($E282,PMTCT!$E:$E,0)))</f>
        <v/>
      </c>
      <c r="AP282" s="14" t="str">
        <f>IF(OR($C282="01-09",$D282="Male"),"",INDEX(PMTCT!$AT:$AT,MATCH($E282,PMTCT!$E:$E,0)))</f>
        <v/>
      </c>
      <c r="AQ282" s="14" t="str">
        <f>INDEX(TB!$Q:$Q,MATCH($E282,TB!$E:$E,0))</f>
        <v/>
      </c>
      <c r="AR282" s="14" t="str">
        <f>IF(OR($C282="01-09",$C282="10-14",$D282="Female"),"",INDEX(VMMC!$AB:$AB,MATCH($E282,VMMC!$E:$E,0)))</f>
        <v/>
      </c>
      <c r="AS282" s="14" t="str">
        <f>IF(OR($C282="01-09",$C282="10-14"),"",INDEX(PrEP!$Q:$Q,MATCH($E282,PrEP!$E:$E,0)))</f>
        <v/>
      </c>
      <c r="AT282" s="14">
        <f t="shared" si="128"/>
        <v>-45</v>
      </c>
      <c r="AU282" s="14">
        <f t="shared" si="129"/>
        <v>-192</v>
      </c>
      <c r="AV282" s="90">
        <f t="shared" si="130"/>
        <v>0.765625</v>
      </c>
      <c r="AW282" s="14"/>
      <c r="AX282" s="90" t="str">
        <f t="shared" si="131"/>
        <v/>
      </c>
      <c r="AY282" s="42" t="str">
        <f t="shared" si="132"/>
        <v/>
      </c>
      <c r="AZ282" s="90" t="str">
        <f t="shared" si="133"/>
        <v/>
      </c>
      <c r="BA282" s="42" t="str">
        <f t="shared" si="134"/>
        <v/>
      </c>
    </row>
    <row r="283" spans="1:53" x14ac:dyDescent="0.2">
      <c r="A283" t="str">
        <f>INDEX(Prioritization!$D:$D,MATCH($B283,Prioritization!$A:$A,0))</f>
        <v>INVALID</v>
      </c>
      <c r="B283" t="s">
        <v>215</v>
      </c>
      <c r="C283" t="s">
        <v>364</v>
      </c>
      <c r="D283" t="s">
        <v>29</v>
      </c>
      <c r="E283" t="str">
        <f t="shared" si="108"/>
        <v>Mulanje District [umc2n1Z4wNv]|15-24|Female</v>
      </c>
      <c r="F283" s="90">
        <f>IF(LEFT($B283,4)="_Mil","",INDEX(Cascade!$AA:$AA,MATCH($E283,Cascade!$E:$E,0)))</f>
        <v>1659.9999999999998</v>
      </c>
      <c r="G283" s="14">
        <f>INDEX(Cascade!$BH:$BH,MATCH($E283,Cascade!$E:$E,0))</f>
        <v>0</v>
      </c>
      <c r="H283" s="14" t="str">
        <f>IF(OR($C283="01-09",$D283="Male"),"",INDEX(PMTCT!$AC:$AC,MATCH($E283,PMTCT!$E:$E,0)))</f>
        <v/>
      </c>
      <c r="I283" s="14" t="str">
        <f>IF(OR($C283="01-09",$D283="Male"),"",INDEX(PMTCT!$AS:$AS,MATCH($E283,PMTCT!$E:$E,0)))</f>
        <v/>
      </c>
      <c r="J283" s="14" t="str">
        <f>INDEX(TB!$P:$P,MATCH($E283,TB!$E:$E,0))</f>
        <v/>
      </c>
      <c r="K283" s="14" t="str">
        <f>IF(OR($C283="01-09",$C283="10-14",$D283="Female"),"",INDEX(VMMC!$AA:$AA,MATCH($E283,VMMC!$E:$E,0)))</f>
        <v/>
      </c>
      <c r="L283" s="14">
        <f t="shared" si="109"/>
        <v>0</v>
      </c>
      <c r="M283" s="90" t="str">
        <f t="shared" si="110"/>
        <v/>
      </c>
      <c r="N283" s="90" t="str">
        <f t="shared" si="111"/>
        <v/>
      </c>
      <c r="O283" s="90" t="str">
        <f t="shared" si="112"/>
        <v/>
      </c>
      <c r="P283" s="90" t="str">
        <f t="shared" si="113"/>
        <v/>
      </c>
      <c r="Q283" s="90"/>
      <c r="R283" s="90"/>
      <c r="S283" s="90"/>
      <c r="T283" s="90"/>
      <c r="U283" s="90"/>
      <c r="V283" s="90" t="str">
        <f t="shared" si="114"/>
        <v/>
      </c>
      <c r="W283" s="90"/>
      <c r="X283" s="42" t="str">
        <f t="shared" si="115"/>
        <v/>
      </c>
      <c r="Y283" s="42" t="str">
        <f t="shared" si="116"/>
        <v/>
      </c>
      <c r="Z283" s="90"/>
      <c r="AA283" s="42" t="str">
        <f t="shared" si="117"/>
        <v/>
      </c>
      <c r="AB283" s="42" t="str">
        <f t="shared" si="118"/>
        <v/>
      </c>
      <c r="AC283" s="90"/>
      <c r="AD283" s="42" t="str">
        <f t="shared" si="119"/>
        <v/>
      </c>
      <c r="AE283" s="42" t="str">
        <f t="shared" si="120"/>
        <v/>
      </c>
      <c r="AF283" s="90"/>
      <c r="AG283" s="42" t="str">
        <f t="shared" si="121"/>
        <v/>
      </c>
      <c r="AH283" s="42" t="str">
        <f t="shared" si="122"/>
        <v/>
      </c>
      <c r="AI283" s="90"/>
      <c r="AJ283" s="42" t="str">
        <f t="shared" si="123"/>
        <v/>
      </c>
      <c r="AK283" s="42" t="str">
        <f t="shared" si="124"/>
        <v/>
      </c>
      <c r="AL283" s="14" t="str">
        <f t="shared" si="125"/>
        <v/>
      </c>
      <c r="AM283" s="14" t="str">
        <f t="shared" si="126"/>
        <v/>
      </c>
      <c r="AN283" s="14" t="str">
        <f t="shared" si="127"/>
        <v/>
      </c>
      <c r="AO283" s="14" t="str">
        <f>IF(OR($C283="01-09",$D283="Male"),"",INDEX(PMTCT!$AD:$AD,MATCH($E283,PMTCT!$E:$E,0)))</f>
        <v/>
      </c>
      <c r="AP283" s="14" t="str">
        <f>IF(OR($C283="01-09",$D283="Male"),"",INDEX(PMTCT!$AT:$AT,MATCH($E283,PMTCT!$E:$E,0)))</f>
        <v/>
      </c>
      <c r="AQ283" s="14" t="str">
        <f>INDEX(TB!$Q:$Q,MATCH($E283,TB!$E:$E,0))</f>
        <v/>
      </c>
      <c r="AR283" s="14" t="str">
        <f>IF(OR($C283="01-09",$C283="10-14",$D283="Female"),"",INDEX(VMMC!$AB:$AB,MATCH($E283,VMMC!$E:$E,0)))</f>
        <v/>
      </c>
      <c r="AS283" s="14" t="str">
        <f>IF(OR($C283="01-09",$C283="10-14"),"",INDEX(PrEP!$Q:$Q,MATCH($E283,PrEP!$E:$E,0)))</f>
        <v/>
      </c>
      <c r="AT283" s="14" t="str">
        <f t="shared" si="128"/>
        <v/>
      </c>
      <c r="AU283" s="14" t="str">
        <f t="shared" si="129"/>
        <v/>
      </c>
      <c r="AV283" s="90" t="str">
        <f t="shared" si="130"/>
        <v/>
      </c>
      <c r="AW283" s="14"/>
      <c r="AX283" s="90" t="str">
        <f t="shared" si="131"/>
        <v/>
      </c>
      <c r="AY283" s="42" t="str">
        <f t="shared" si="132"/>
        <v/>
      </c>
      <c r="AZ283" s="90">
        <f t="shared" si="133"/>
        <v>1</v>
      </c>
      <c r="BA283" s="42" t="str">
        <f t="shared" si="134"/>
        <v/>
      </c>
    </row>
    <row r="284" spans="1:53" x14ac:dyDescent="0.2">
      <c r="A284" t="str">
        <f>INDEX(Prioritization!$D:$D,MATCH($B284,Prioritization!$A:$A,0))</f>
        <v>INVALID</v>
      </c>
      <c r="B284" t="s">
        <v>215</v>
      </c>
      <c r="C284" t="s">
        <v>364</v>
      </c>
      <c r="D284" t="s">
        <v>47</v>
      </c>
      <c r="E284" t="str">
        <f t="shared" si="108"/>
        <v>Mulanje District [umc2n1Z4wNv]|15-24|Male</v>
      </c>
      <c r="F284" s="90">
        <f>IF(LEFT($B284,4)="_Mil","",INDEX(Cascade!$AA:$AA,MATCH($E284,Cascade!$E:$E,0)))</f>
        <v>1023</v>
      </c>
      <c r="G284" s="14">
        <f>INDEX(Cascade!$BH:$BH,MATCH($E284,Cascade!$E:$E,0))</f>
        <v>0</v>
      </c>
      <c r="H284" s="14" t="str">
        <f>IF(OR($C284="01-09",$D284="Male"),"",INDEX(PMTCT!$AC:$AC,MATCH($E284,PMTCT!$E:$E,0)))</f>
        <v/>
      </c>
      <c r="I284" s="14" t="str">
        <f>IF(OR($C284="01-09",$D284="Male"),"",INDEX(PMTCT!$AS:$AS,MATCH($E284,PMTCT!$E:$E,0)))</f>
        <v/>
      </c>
      <c r="J284" s="14" t="str">
        <f>INDEX(TB!$P:$P,MATCH($E284,TB!$E:$E,0))</f>
        <v/>
      </c>
      <c r="K284" s="14" t="str">
        <f>IF(OR($C284="01-09",$C284="10-14",$D284="Female"),"",INDEX(VMMC!$AA:$AA,MATCH($E284,VMMC!$E:$E,0)))</f>
        <v/>
      </c>
      <c r="L284" s="14">
        <f t="shared" si="109"/>
        <v>0</v>
      </c>
      <c r="M284" s="90" t="str">
        <f t="shared" si="110"/>
        <v/>
      </c>
      <c r="N284" s="90" t="str">
        <f t="shared" si="111"/>
        <v/>
      </c>
      <c r="O284" s="90" t="str">
        <f t="shared" si="112"/>
        <v/>
      </c>
      <c r="P284" s="90" t="str">
        <f t="shared" si="113"/>
        <v/>
      </c>
      <c r="Q284" s="90"/>
      <c r="R284" s="90"/>
      <c r="S284" s="90"/>
      <c r="T284" s="90"/>
      <c r="U284" s="90"/>
      <c r="V284" s="90" t="str">
        <f t="shared" si="114"/>
        <v/>
      </c>
      <c r="W284" s="90"/>
      <c r="X284" s="42" t="str">
        <f t="shared" si="115"/>
        <v/>
      </c>
      <c r="Y284" s="42" t="str">
        <f t="shared" si="116"/>
        <v/>
      </c>
      <c r="Z284" s="90"/>
      <c r="AA284" s="42" t="str">
        <f t="shared" si="117"/>
        <v/>
      </c>
      <c r="AB284" s="42" t="str">
        <f t="shared" si="118"/>
        <v/>
      </c>
      <c r="AC284" s="90"/>
      <c r="AD284" s="42" t="str">
        <f t="shared" si="119"/>
        <v/>
      </c>
      <c r="AE284" s="42" t="str">
        <f t="shared" si="120"/>
        <v/>
      </c>
      <c r="AF284" s="90"/>
      <c r="AG284" s="42" t="str">
        <f t="shared" si="121"/>
        <v/>
      </c>
      <c r="AH284" s="42" t="str">
        <f t="shared" si="122"/>
        <v/>
      </c>
      <c r="AI284" s="90"/>
      <c r="AJ284" s="42" t="str">
        <f t="shared" si="123"/>
        <v/>
      </c>
      <c r="AK284" s="42" t="str">
        <f t="shared" si="124"/>
        <v/>
      </c>
      <c r="AL284" s="14" t="str">
        <f t="shared" si="125"/>
        <v/>
      </c>
      <c r="AM284" s="14" t="str">
        <f t="shared" si="126"/>
        <v/>
      </c>
      <c r="AN284" s="14" t="str">
        <f t="shared" si="127"/>
        <v/>
      </c>
      <c r="AO284" s="14" t="str">
        <f>IF(OR($C284="01-09",$D284="Male"),"",INDEX(PMTCT!$AD:$AD,MATCH($E284,PMTCT!$E:$E,0)))</f>
        <v/>
      </c>
      <c r="AP284" s="14" t="str">
        <f>IF(OR($C284="01-09",$D284="Male"),"",INDEX(PMTCT!$AT:$AT,MATCH($E284,PMTCT!$E:$E,0)))</f>
        <v/>
      </c>
      <c r="AQ284" s="14" t="str">
        <f>INDEX(TB!$Q:$Q,MATCH($E284,TB!$E:$E,0))</f>
        <v/>
      </c>
      <c r="AR284" s="14" t="str">
        <f>IF(OR($C284="01-09",$C284="10-14",$D284="Female"),"",INDEX(VMMC!$AB:$AB,MATCH($E284,VMMC!$E:$E,0)))</f>
        <v/>
      </c>
      <c r="AS284" s="14" t="str">
        <f>IF(OR($C284="01-09",$C284="10-14"),"",INDEX(PrEP!$Q:$Q,MATCH($E284,PrEP!$E:$E,0)))</f>
        <v/>
      </c>
      <c r="AT284" s="14" t="str">
        <f t="shared" si="128"/>
        <v/>
      </c>
      <c r="AU284" s="14" t="str">
        <f t="shared" si="129"/>
        <v/>
      </c>
      <c r="AV284" s="90" t="str">
        <f t="shared" si="130"/>
        <v/>
      </c>
      <c r="AW284" s="14"/>
      <c r="AX284" s="90" t="str">
        <f t="shared" si="131"/>
        <v/>
      </c>
      <c r="AY284" s="42" t="str">
        <f t="shared" si="132"/>
        <v/>
      </c>
      <c r="AZ284" s="90">
        <f t="shared" si="133"/>
        <v>1</v>
      </c>
      <c r="BA284" s="42" t="str">
        <f t="shared" si="134"/>
        <v/>
      </c>
    </row>
    <row r="285" spans="1:53" x14ac:dyDescent="0.2">
      <c r="A285" t="str">
        <f>INDEX(Prioritization!$D:$D,MATCH($B285,Prioritization!$A:$A,0))</f>
        <v>INVALID</v>
      </c>
      <c r="B285" t="s">
        <v>215</v>
      </c>
      <c r="C285" t="s">
        <v>365</v>
      </c>
      <c r="D285" t="s">
        <v>29</v>
      </c>
      <c r="E285" t="str">
        <f t="shared" si="108"/>
        <v>Mulanje District [umc2n1Z4wNv]|25-34|Female</v>
      </c>
      <c r="F285" s="90">
        <f>IF(LEFT($B285,4)="_Mil","",INDEX(Cascade!$AA:$AA,MATCH($E285,Cascade!$E:$E,0)))</f>
        <v>1980</v>
      </c>
      <c r="G285" s="14">
        <f>INDEX(Cascade!$BH:$BH,MATCH($E285,Cascade!$E:$E,0))</f>
        <v>0</v>
      </c>
      <c r="H285" s="14" t="str">
        <f>IF(OR($C285="01-09",$D285="Male"),"",INDEX(PMTCT!$AC:$AC,MATCH($E285,PMTCT!$E:$E,0)))</f>
        <v/>
      </c>
      <c r="I285" s="14" t="str">
        <f>IF(OR($C285="01-09",$D285="Male"),"",INDEX(PMTCT!$AS:$AS,MATCH($E285,PMTCT!$E:$E,0)))</f>
        <v/>
      </c>
      <c r="J285" s="14" t="str">
        <f>INDEX(TB!$P:$P,MATCH($E285,TB!$E:$E,0))</f>
        <v/>
      </c>
      <c r="K285" s="14" t="str">
        <f>IF(OR($C285="01-09",$C285="10-14",$D285="Female"),"",INDEX(VMMC!$AA:$AA,MATCH($E285,VMMC!$E:$E,0)))</f>
        <v/>
      </c>
      <c r="L285" s="14">
        <f t="shared" si="109"/>
        <v>0</v>
      </c>
      <c r="M285" s="90" t="str">
        <f t="shared" si="110"/>
        <v/>
      </c>
      <c r="N285" s="90" t="str">
        <f t="shared" si="111"/>
        <v/>
      </c>
      <c r="O285" s="90" t="str">
        <f t="shared" si="112"/>
        <v/>
      </c>
      <c r="P285" s="90" t="str">
        <f t="shared" si="113"/>
        <v/>
      </c>
      <c r="Q285" s="90"/>
      <c r="R285" s="90"/>
      <c r="S285" s="90"/>
      <c r="T285" s="90"/>
      <c r="U285" s="90"/>
      <c r="V285" s="90" t="str">
        <f t="shared" si="114"/>
        <v/>
      </c>
      <c r="W285" s="90"/>
      <c r="X285" s="42" t="str">
        <f t="shared" si="115"/>
        <v/>
      </c>
      <c r="Y285" s="42" t="str">
        <f t="shared" si="116"/>
        <v/>
      </c>
      <c r="Z285" s="90"/>
      <c r="AA285" s="42" t="str">
        <f t="shared" si="117"/>
        <v/>
      </c>
      <c r="AB285" s="42" t="str">
        <f t="shared" si="118"/>
        <v/>
      </c>
      <c r="AC285" s="90"/>
      <c r="AD285" s="42" t="str">
        <f t="shared" si="119"/>
        <v/>
      </c>
      <c r="AE285" s="42" t="str">
        <f t="shared" si="120"/>
        <v/>
      </c>
      <c r="AF285" s="90"/>
      <c r="AG285" s="42" t="str">
        <f t="shared" si="121"/>
        <v/>
      </c>
      <c r="AH285" s="42" t="str">
        <f t="shared" si="122"/>
        <v/>
      </c>
      <c r="AI285" s="90"/>
      <c r="AJ285" s="42" t="str">
        <f t="shared" si="123"/>
        <v/>
      </c>
      <c r="AK285" s="42" t="str">
        <f t="shared" si="124"/>
        <v/>
      </c>
      <c r="AL285" s="14" t="str">
        <f t="shared" si="125"/>
        <v/>
      </c>
      <c r="AM285" s="14" t="str">
        <f t="shared" si="126"/>
        <v/>
      </c>
      <c r="AN285" s="14" t="str">
        <f t="shared" si="127"/>
        <v/>
      </c>
      <c r="AO285" s="14" t="str">
        <f>IF(OR($C285="01-09",$D285="Male"),"",INDEX(PMTCT!$AD:$AD,MATCH($E285,PMTCT!$E:$E,0)))</f>
        <v/>
      </c>
      <c r="AP285" s="14" t="str">
        <f>IF(OR($C285="01-09",$D285="Male"),"",INDEX(PMTCT!$AT:$AT,MATCH($E285,PMTCT!$E:$E,0)))</f>
        <v/>
      </c>
      <c r="AQ285" s="14" t="str">
        <f>INDEX(TB!$Q:$Q,MATCH($E285,TB!$E:$E,0))</f>
        <v/>
      </c>
      <c r="AR285" s="14" t="str">
        <f>IF(OR($C285="01-09",$C285="10-14",$D285="Female"),"",INDEX(VMMC!$AB:$AB,MATCH($E285,VMMC!$E:$E,0)))</f>
        <v/>
      </c>
      <c r="AS285" s="14" t="str">
        <f>IF(OR($C285="01-09",$C285="10-14"),"",INDEX(PrEP!$Q:$Q,MATCH($E285,PrEP!$E:$E,0)))</f>
        <v/>
      </c>
      <c r="AT285" s="14" t="str">
        <f t="shared" si="128"/>
        <v/>
      </c>
      <c r="AU285" s="14" t="str">
        <f t="shared" si="129"/>
        <v/>
      </c>
      <c r="AV285" s="90" t="str">
        <f t="shared" si="130"/>
        <v/>
      </c>
      <c r="AW285" s="14"/>
      <c r="AX285" s="90" t="str">
        <f t="shared" si="131"/>
        <v/>
      </c>
      <c r="AY285" s="42" t="str">
        <f t="shared" si="132"/>
        <v/>
      </c>
      <c r="AZ285" s="90">
        <f t="shared" si="133"/>
        <v>1</v>
      </c>
      <c r="BA285" s="42" t="str">
        <f t="shared" si="134"/>
        <v/>
      </c>
    </row>
    <row r="286" spans="1:53" x14ac:dyDescent="0.2">
      <c r="A286" t="str">
        <f>INDEX(Prioritization!$D:$D,MATCH($B286,Prioritization!$A:$A,0))</f>
        <v>INVALID</v>
      </c>
      <c r="B286" t="s">
        <v>215</v>
      </c>
      <c r="C286" t="s">
        <v>365</v>
      </c>
      <c r="D286" t="s">
        <v>47</v>
      </c>
      <c r="E286" t="str">
        <f t="shared" si="108"/>
        <v>Mulanje District [umc2n1Z4wNv]|25-34|Male</v>
      </c>
      <c r="F286" s="90">
        <f>IF(LEFT($B286,4)="_Mil","",INDEX(Cascade!$AA:$AA,MATCH($E286,Cascade!$E:$E,0)))</f>
        <v>1972</v>
      </c>
      <c r="G286" s="14">
        <f>INDEX(Cascade!$BH:$BH,MATCH($E286,Cascade!$E:$E,0))</f>
        <v>0</v>
      </c>
      <c r="H286" s="14" t="str">
        <f>IF(OR($C286="01-09",$D286="Male"),"",INDEX(PMTCT!$AC:$AC,MATCH($E286,PMTCT!$E:$E,0)))</f>
        <v/>
      </c>
      <c r="I286" s="14" t="str">
        <f>IF(OR($C286="01-09",$D286="Male"),"",INDEX(PMTCT!$AS:$AS,MATCH($E286,PMTCT!$E:$E,0)))</f>
        <v/>
      </c>
      <c r="J286" s="14" t="str">
        <f>INDEX(TB!$P:$P,MATCH($E286,TB!$E:$E,0))</f>
        <v/>
      </c>
      <c r="K286" s="14" t="str">
        <f>IF(OR($C286="01-09",$C286="10-14",$D286="Female"),"",INDEX(VMMC!$AA:$AA,MATCH($E286,VMMC!$E:$E,0)))</f>
        <v/>
      </c>
      <c r="L286" s="14">
        <f t="shared" si="109"/>
        <v>0</v>
      </c>
      <c r="M286" s="90" t="str">
        <f t="shared" si="110"/>
        <v/>
      </c>
      <c r="N286" s="90" t="str">
        <f t="shared" si="111"/>
        <v/>
      </c>
      <c r="O286" s="90" t="str">
        <f t="shared" si="112"/>
        <v/>
      </c>
      <c r="P286" s="90" t="str">
        <f t="shared" si="113"/>
        <v/>
      </c>
      <c r="Q286" s="90"/>
      <c r="R286" s="90"/>
      <c r="S286" s="90"/>
      <c r="T286" s="90"/>
      <c r="U286" s="90"/>
      <c r="V286" s="90" t="str">
        <f t="shared" si="114"/>
        <v/>
      </c>
      <c r="W286" s="90"/>
      <c r="X286" s="42" t="str">
        <f t="shared" si="115"/>
        <v/>
      </c>
      <c r="Y286" s="42" t="str">
        <f t="shared" si="116"/>
        <v/>
      </c>
      <c r="Z286" s="90"/>
      <c r="AA286" s="42" t="str">
        <f t="shared" si="117"/>
        <v/>
      </c>
      <c r="AB286" s="42" t="str">
        <f t="shared" si="118"/>
        <v/>
      </c>
      <c r="AC286" s="90"/>
      <c r="AD286" s="42" t="str">
        <f t="shared" si="119"/>
        <v/>
      </c>
      <c r="AE286" s="42" t="str">
        <f t="shared" si="120"/>
        <v/>
      </c>
      <c r="AF286" s="90"/>
      <c r="AG286" s="42" t="str">
        <f t="shared" si="121"/>
        <v/>
      </c>
      <c r="AH286" s="42" t="str">
        <f t="shared" si="122"/>
        <v/>
      </c>
      <c r="AI286" s="90"/>
      <c r="AJ286" s="42" t="str">
        <f t="shared" si="123"/>
        <v/>
      </c>
      <c r="AK286" s="42" t="str">
        <f t="shared" si="124"/>
        <v/>
      </c>
      <c r="AL286" s="14" t="str">
        <f t="shared" si="125"/>
        <v/>
      </c>
      <c r="AM286" s="14" t="str">
        <f t="shared" si="126"/>
        <v/>
      </c>
      <c r="AN286" s="14" t="str">
        <f t="shared" si="127"/>
        <v/>
      </c>
      <c r="AO286" s="14" t="str">
        <f>IF(OR($C286="01-09",$D286="Male"),"",INDEX(PMTCT!$AD:$AD,MATCH($E286,PMTCT!$E:$E,0)))</f>
        <v/>
      </c>
      <c r="AP286" s="14" t="str">
        <f>IF(OR($C286="01-09",$D286="Male"),"",INDEX(PMTCT!$AT:$AT,MATCH($E286,PMTCT!$E:$E,0)))</f>
        <v/>
      </c>
      <c r="AQ286" s="14" t="str">
        <f>INDEX(TB!$Q:$Q,MATCH($E286,TB!$E:$E,0))</f>
        <v/>
      </c>
      <c r="AR286" s="14" t="str">
        <f>IF(OR($C286="01-09",$C286="10-14",$D286="Female"),"",INDEX(VMMC!$AB:$AB,MATCH($E286,VMMC!$E:$E,0)))</f>
        <v/>
      </c>
      <c r="AS286" s="14" t="str">
        <f>IF(OR($C286="01-09",$C286="10-14"),"",INDEX(PrEP!$Q:$Q,MATCH($E286,PrEP!$E:$E,0)))</f>
        <v/>
      </c>
      <c r="AT286" s="14" t="str">
        <f t="shared" si="128"/>
        <v/>
      </c>
      <c r="AU286" s="14" t="str">
        <f t="shared" si="129"/>
        <v/>
      </c>
      <c r="AV286" s="90" t="str">
        <f t="shared" si="130"/>
        <v/>
      </c>
      <c r="AW286" s="14"/>
      <c r="AX286" s="90" t="str">
        <f t="shared" si="131"/>
        <v/>
      </c>
      <c r="AY286" s="42" t="str">
        <f t="shared" si="132"/>
        <v/>
      </c>
      <c r="AZ286" s="90">
        <f t="shared" si="133"/>
        <v>1</v>
      </c>
      <c r="BA286" s="42" t="str">
        <f t="shared" si="134"/>
        <v/>
      </c>
    </row>
    <row r="287" spans="1:53" x14ac:dyDescent="0.2">
      <c r="A287" t="str">
        <f>INDEX(Prioritization!$D:$D,MATCH($B287,Prioritization!$A:$A,0))</f>
        <v>INVALID</v>
      </c>
      <c r="B287" t="s">
        <v>215</v>
      </c>
      <c r="C287" t="s">
        <v>366</v>
      </c>
      <c r="D287" t="s">
        <v>29</v>
      </c>
      <c r="E287" t="str">
        <f t="shared" si="108"/>
        <v>Mulanje District [umc2n1Z4wNv]|35-49|Female</v>
      </c>
      <c r="F287" s="90">
        <f>IF(LEFT($B287,4)="_Mil","",INDEX(Cascade!$AA:$AA,MATCH($E287,Cascade!$E:$E,0)))</f>
        <v>783</v>
      </c>
      <c r="G287" s="14">
        <f>INDEX(Cascade!$BH:$BH,MATCH($E287,Cascade!$E:$E,0))</f>
        <v>0</v>
      </c>
      <c r="H287" s="14" t="str">
        <f>IF(OR($C287="01-09",$D287="Male"),"",INDEX(PMTCT!$AC:$AC,MATCH($E287,PMTCT!$E:$E,0)))</f>
        <v/>
      </c>
      <c r="I287" s="14" t="str">
        <f>IF(OR($C287="01-09",$D287="Male"),"",INDEX(PMTCT!$AS:$AS,MATCH($E287,PMTCT!$E:$E,0)))</f>
        <v/>
      </c>
      <c r="J287" s="14" t="str">
        <f>INDEX(TB!$P:$P,MATCH($E287,TB!$E:$E,0))</f>
        <v/>
      </c>
      <c r="K287" s="14" t="str">
        <f>IF(OR($C287="01-09",$C287="10-14",$D287="Female"),"",INDEX(VMMC!$AA:$AA,MATCH($E287,VMMC!$E:$E,0)))</f>
        <v/>
      </c>
      <c r="L287" s="14">
        <f t="shared" si="109"/>
        <v>0</v>
      </c>
      <c r="M287" s="90" t="str">
        <f t="shared" si="110"/>
        <v/>
      </c>
      <c r="N287" s="90" t="str">
        <f t="shared" si="111"/>
        <v/>
      </c>
      <c r="O287" s="90" t="str">
        <f t="shared" si="112"/>
        <v/>
      </c>
      <c r="P287" s="90" t="str">
        <f t="shared" si="113"/>
        <v/>
      </c>
      <c r="Q287" s="90"/>
      <c r="R287" s="90"/>
      <c r="S287" s="90"/>
      <c r="T287" s="90"/>
      <c r="U287" s="90"/>
      <c r="V287" s="90" t="str">
        <f t="shared" si="114"/>
        <v/>
      </c>
      <c r="W287" s="90"/>
      <c r="X287" s="42" t="str">
        <f t="shared" si="115"/>
        <v/>
      </c>
      <c r="Y287" s="42" t="str">
        <f t="shared" si="116"/>
        <v/>
      </c>
      <c r="Z287" s="90"/>
      <c r="AA287" s="42" t="str">
        <f t="shared" si="117"/>
        <v/>
      </c>
      <c r="AB287" s="42" t="str">
        <f t="shared" si="118"/>
        <v/>
      </c>
      <c r="AC287" s="90"/>
      <c r="AD287" s="42" t="str">
        <f t="shared" si="119"/>
        <v/>
      </c>
      <c r="AE287" s="42" t="str">
        <f t="shared" si="120"/>
        <v/>
      </c>
      <c r="AF287" s="90"/>
      <c r="AG287" s="42" t="str">
        <f t="shared" si="121"/>
        <v/>
      </c>
      <c r="AH287" s="42" t="str">
        <f t="shared" si="122"/>
        <v/>
      </c>
      <c r="AI287" s="90"/>
      <c r="AJ287" s="42" t="str">
        <f t="shared" si="123"/>
        <v/>
      </c>
      <c r="AK287" s="42" t="str">
        <f t="shared" si="124"/>
        <v/>
      </c>
      <c r="AL287" s="14" t="str">
        <f t="shared" si="125"/>
        <v/>
      </c>
      <c r="AM287" s="14" t="str">
        <f t="shared" si="126"/>
        <v/>
      </c>
      <c r="AN287" s="14" t="str">
        <f t="shared" si="127"/>
        <v/>
      </c>
      <c r="AO287" s="14" t="str">
        <f>IF(OR($C287="01-09",$D287="Male"),"",INDEX(PMTCT!$AD:$AD,MATCH($E287,PMTCT!$E:$E,0)))</f>
        <v/>
      </c>
      <c r="AP287" s="14" t="str">
        <f>IF(OR($C287="01-09",$D287="Male"),"",INDEX(PMTCT!$AT:$AT,MATCH($E287,PMTCT!$E:$E,0)))</f>
        <v/>
      </c>
      <c r="AQ287" s="14" t="str">
        <f>INDEX(TB!$Q:$Q,MATCH($E287,TB!$E:$E,0))</f>
        <v/>
      </c>
      <c r="AR287" s="14" t="str">
        <f>IF(OR($C287="01-09",$C287="10-14",$D287="Female"),"",INDEX(VMMC!$AB:$AB,MATCH($E287,VMMC!$E:$E,0)))</f>
        <v/>
      </c>
      <c r="AS287" s="14" t="str">
        <f>IF(OR($C287="01-09",$C287="10-14"),"",INDEX(PrEP!$Q:$Q,MATCH($E287,PrEP!$E:$E,0)))</f>
        <v/>
      </c>
      <c r="AT287" s="14" t="str">
        <f t="shared" si="128"/>
        <v/>
      </c>
      <c r="AU287" s="14" t="str">
        <f t="shared" si="129"/>
        <v/>
      </c>
      <c r="AV287" s="90" t="str">
        <f t="shared" si="130"/>
        <v/>
      </c>
      <c r="AW287" s="14"/>
      <c r="AX287" s="90" t="str">
        <f t="shared" si="131"/>
        <v/>
      </c>
      <c r="AY287" s="42" t="str">
        <f t="shared" si="132"/>
        <v/>
      </c>
      <c r="AZ287" s="90">
        <f t="shared" si="133"/>
        <v>1</v>
      </c>
      <c r="BA287" s="42" t="str">
        <f t="shared" si="134"/>
        <v/>
      </c>
    </row>
    <row r="288" spans="1:53" x14ac:dyDescent="0.2">
      <c r="A288" t="str">
        <f>INDEX(Prioritization!$D:$D,MATCH($B288,Prioritization!$A:$A,0))</f>
        <v>INVALID</v>
      </c>
      <c r="B288" t="s">
        <v>215</v>
      </c>
      <c r="C288" t="s">
        <v>366</v>
      </c>
      <c r="D288" t="s">
        <v>47</v>
      </c>
      <c r="E288" t="str">
        <f t="shared" si="108"/>
        <v>Mulanje District [umc2n1Z4wNv]|35-49|Male</v>
      </c>
      <c r="F288" s="90">
        <f>IF(LEFT($B288,4)="_Mil","",INDEX(Cascade!$AA:$AA,MATCH($E288,Cascade!$E:$E,0)))</f>
        <v>849.00000000000011</v>
      </c>
      <c r="G288" s="14">
        <f>INDEX(Cascade!$BH:$BH,MATCH($E288,Cascade!$E:$E,0))</f>
        <v>0</v>
      </c>
      <c r="H288" s="14" t="str">
        <f>IF(OR($C288="01-09",$D288="Male"),"",INDEX(PMTCT!$AC:$AC,MATCH($E288,PMTCT!$E:$E,0)))</f>
        <v/>
      </c>
      <c r="I288" s="14" t="str">
        <f>IF(OR($C288="01-09",$D288="Male"),"",INDEX(PMTCT!$AS:$AS,MATCH($E288,PMTCT!$E:$E,0)))</f>
        <v/>
      </c>
      <c r="J288" s="14" t="str">
        <f>INDEX(TB!$P:$P,MATCH($E288,TB!$E:$E,0))</f>
        <v/>
      </c>
      <c r="K288" s="14" t="str">
        <f>IF(OR($C288="01-09",$C288="10-14",$D288="Female"),"",INDEX(VMMC!$AA:$AA,MATCH($E288,VMMC!$E:$E,0)))</f>
        <v/>
      </c>
      <c r="L288" s="14">
        <f t="shared" si="109"/>
        <v>0</v>
      </c>
      <c r="M288" s="90" t="str">
        <f t="shared" si="110"/>
        <v/>
      </c>
      <c r="N288" s="90" t="str">
        <f t="shared" si="111"/>
        <v/>
      </c>
      <c r="O288" s="90" t="str">
        <f t="shared" si="112"/>
        <v/>
      </c>
      <c r="P288" s="90" t="str">
        <f t="shared" si="113"/>
        <v/>
      </c>
      <c r="Q288" s="90"/>
      <c r="R288" s="90"/>
      <c r="S288" s="90"/>
      <c r="T288" s="90"/>
      <c r="U288" s="90"/>
      <c r="V288" s="90" t="str">
        <f t="shared" si="114"/>
        <v/>
      </c>
      <c r="W288" s="90"/>
      <c r="X288" s="42" t="str">
        <f t="shared" si="115"/>
        <v/>
      </c>
      <c r="Y288" s="42" t="str">
        <f t="shared" si="116"/>
        <v/>
      </c>
      <c r="Z288" s="90"/>
      <c r="AA288" s="42" t="str">
        <f t="shared" si="117"/>
        <v/>
      </c>
      <c r="AB288" s="42" t="str">
        <f t="shared" si="118"/>
        <v/>
      </c>
      <c r="AC288" s="90"/>
      <c r="AD288" s="42" t="str">
        <f t="shared" si="119"/>
        <v/>
      </c>
      <c r="AE288" s="42" t="str">
        <f t="shared" si="120"/>
        <v/>
      </c>
      <c r="AF288" s="90"/>
      <c r="AG288" s="42" t="str">
        <f t="shared" si="121"/>
        <v/>
      </c>
      <c r="AH288" s="42" t="str">
        <f t="shared" si="122"/>
        <v/>
      </c>
      <c r="AI288" s="90"/>
      <c r="AJ288" s="42" t="str">
        <f t="shared" si="123"/>
        <v/>
      </c>
      <c r="AK288" s="42" t="str">
        <f t="shared" si="124"/>
        <v/>
      </c>
      <c r="AL288" s="14" t="str">
        <f t="shared" si="125"/>
        <v/>
      </c>
      <c r="AM288" s="14" t="str">
        <f t="shared" si="126"/>
        <v/>
      </c>
      <c r="AN288" s="14" t="str">
        <f t="shared" si="127"/>
        <v/>
      </c>
      <c r="AO288" s="14" t="str">
        <f>IF(OR($C288="01-09",$D288="Male"),"",INDEX(PMTCT!$AD:$AD,MATCH($E288,PMTCT!$E:$E,0)))</f>
        <v/>
      </c>
      <c r="AP288" s="14" t="str">
        <f>IF(OR($C288="01-09",$D288="Male"),"",INDEX(PMTCT!$AT:$AT,MATCH($E288,PMTCT!$E:$E,0)))</f>
        <v/>
      </c>
      <c r="AQ288" s="14" t="str">
        <f>INDEX(TB!$Q:$Q,MATCH($E288,TB!$E:$E,0))</f>
        <v/>
      </c>
      <c r="AR288" s="14" t="str">
        <f>IF(OR($C288="01-09",$C288="10-14",$D288="Female"),"",INDEX(VMMC!$AB:$AB,MATCH($E288,VMMC!$E:$E,0)))</f>
        <v/>
      </c>
      <c r="AS288" s="14" t="str">
        <f>IF(OR($C288="01-09",$C288="10-14"),"",INDEX(PrEP!$Q:$Q,MATCH($E288,PrEP!$E:$E,0)))</f>
        <v/>
      </c>
      <c r="AT288" s="14" t="str">
        <f t="shared" si="128"/>
        <v/>
      </c>
      <c r="AU288" s="14" t="str">
        <f t="shared" si="129"/>
        <v/>
      </c>
      <c r="AV288" s="90" t="str">
        <f t="shared" si="130"/>
        <v/>
      </c>
      <c r="AW288" s="14"/>
      <c r="AX288" s="90" t="str">
        <f t="shared" si="131"/>
        <v/>
      </c>
      <c r="AY288" s="42" t="str">
        <f t="shared" si="132"/>
        <v/>
      </c>
      <c r="AZ288" s="90">
        <f t="shared" si="133"/>
        <v>1</v>
      </c>
      <c r="BA288" s="42" t="str">
        <f t="shared" si="134"/>
        <v/>
      </c>
    </row>
    <row r="289" spans="1:53" x14ac:dyDescent="0.2">
      <c r="A289" t="str">
        <f>INDEX(Prioritization!$D:$D,MATCH($B289,Prioritization!$A:$A,0))</f>
        <v>INVALID</v>
      </c>
      <c r="B289" t="s">
        <v>215</v>
      </c>
      <c r="C289" t="s">
        <v>367</v>
      </c>
      <c r="D289" t="s">
        <v>29</v>
      </c>
      <c r="E289" t="str">
        <f t="shared" si="108"/>
        <v>Mulanje District [umc2n1Z4wNv]|50+|Female</v>
      </c>
      <c r="F289" s="90">
        <f>IF(LEFT($B289,4)="_Mil","",INDEX(Cascade!$AA:$AA,MATCH($E289,Cascade!$E:$E,0)))</f>
        <v>1352</v>
      </c>
      <c r="G289" s="14">
        <f>INDEX(Cascade!$BH:$BH,MATCH($E289,Cascade!$E:$E,0))</f>
        <v>0</v>
      </c>
      <c r="H289" s="14" t="str">
        <f>IF(OR($C289="01-09",$D289="Male"),"",INDEX(PMTCT!$AC:$AC,MATCH($E289,PMTCT!$E:$E,0)))</f>
        <v/>
      </c>
      <c r="I289" s="14" t="str">
        <f>IF(OR($C289="01-09",$D289="Male"),"",INDEX(PMTCT!$AS:$AS,MATCH($E289,PMTCT!$E:$E,0)))</f>
        <v/>
      </c>
      <c r="J289" s="14" t="str">
        <f>INDEX(TB!$P:$P,MATCH($E289,TB!$E:$E,0))</f>
        <v/>
      </c>
      <c r="K289" s="14" t="str">
        <f>IF(OR($C289="01-09",$C289="10-14",$D289="Female"),"",INDEX(VMMC!$AA:$AA,MATCH($E289,VMMC!$E:$E,0)))</f>
        <v/>
      </c>
      <c r="L289" s="14">
        <f t="shared" si="109"/>
        <v>0</v>
      </c>
      <c r="M289" s="90" t="str">
        <f t="shared" si="110"/>
        <v/>
      </c>
      <c r="N289" s="90" t="str">
        <f t="shared" si="111"/>
        <v/>
      </c>
      <c r="O289" s="90" t="str">
        <f t="shared" si="112"/>
        <v/>
      </c>
      <c r="P289" s="90" t="str">
        <f t="shared" si="113"/>
        <v/>
      </c>
      <c r="Q289" s="90"/>
      <c r="R289" s="90"/>
      <c r="S289" s="90"/>
      <c r="T289" s="90"/>
      <c r="U289" s="90">
        <v>0.18090338422916799</v>
      </c>
      <c r="V289" s="90" t="str">
        <f t="shared" si="114"/>
        <v/>
      </c>
      <c r="W289" s="90"/>
      <c r="X289" s="42" t="str">
        <f t="shared" si="115"/>
        <v/>
      </c>
      <c r="Y289" s="42" t="str">
        <f t="shared" si="116"/>
        <v/>
      </c>
      <c r="Z289" s="90"/>
      <c r="AA289" s="42" t="str">
        <f t="shared" si="117"/>
        <v/>
      </c>
      <c r="AB289" s="42" t="str">
        <f t="shared" si="118"/>
        <v/>
      </c>
      <c r="AC289" s="90"/>
      <c r="AD289" s="42" t="str">
        <f t="shared" si="119"/>
        <v/>
      </c>
      <c r="AE289" s="42" t="str">
        <f t="shared" si="120"/>
        <v/>
      </c>
      <c r="AF289" s="90"/>
      <c r="AG289" s="42" t="str">
        <f t="shared" si="121"/>
        <v/>
      </c>
      <c r="AH289" s="42" t="str">
        <f t="shared" si="122"/>
        <v/>
      </c>
      <c r="AI289" s="90">
        <v>0.19290393055416599</v>
      </c>
      <c r="AJ289" s="42" t="str">
        <f t="shared" si="123"/>
        <v/>
      </c>
      <c r="AK289" s="42" t="str">
        <f t="shared" si="124"/>
        <v/>
      </c>
      <c r="AL289" s="14" t="str">
        <f t="shared" si="125"/>
        <v/>
      </c>
      <c r="AM289" s="14" t="str">
        <f t="shared" si="126"/>
        <v/>
      </c>
      <c r="AN289" s="14" t="str">
        <f t="shared" si="127"/>
        <v/>
      </c>
      <c r="AO289" s="14" t="str">
        <f>IF(OR($C289="01-09",$D289="Male"),"",INDEX(PMTCT!$AD:$AD,MATCH($E289,PMTCT!$E:$E,0)))</f>
        <v/>
      </c>
      <c r="AP289" s="14" t="str">
        <f>IF(OR($C289="01-09",$D289="Male"),"",INDEX(PMTCT!$AT:$AT,MATCH($E289,PMTCT!$E:$E,0)))</f>
        <v/>
      </c>
      <c r="AQ289" s="14" t="str">
        <f>INDEX(TB!$Q:$Q,MATCH($E289,TB!$E:$E,0))</f>
        <v/>
      </c>
      <c r="AR289" s="14" t="str">
        <f>IF(OR($C289="01-09",$C289="10-14",$D289="Female"),"",INDEX(VMMC!$AB:$AB,MATCH($E289,VMMC!$E:$E,0)))</f>
        <v/>
      </c>
      <c r="AS289" s="14" t="str">
        <f>IF(OR($C289="01-09",$C289="10-14"),"",INDEX(PrEP!$Q:$Q,MATCH($E289,PrEP!$E:$E,0)))</f>
        <v/>
      </c>
      <c r="AT289" s="14" t="str">
        <f t="shared" si="128"/>
        <v/>
      </c>
      <c r="AU289" s="14" t="str">
        <f t="shared" si="129"/>
        <v/>
      </c>
      <c r="AV289" s="90" t="str">
        <f t="shared" si="130"/>
        <v/>
      </c>
      <c r="AW289" s="14">
        <v>287</v>
      </c>
      <c r="AX289" s="90">
        <f t="shared" si="131"/>
        <v>0</v>
      </c>
      <c r="AY289" s="42">
        <f t="shared" si="132"/>
        <v>287</v>
      </c>
      <c r="AZ289" s="90">
        <f t="shared" si="133"/>
        <v>1</v>
      </c>
      <c r="BA289" s="42" t="str">
        <f t="shared" si="134"/>
        <v/>
      </c>
    </row>
    <row r="290" spans="1:53" x14ac:dyDescent="0.2">
      <c r="A290" t="str">
        <f>INDEX(Prioritization!$D:$D,MATCH($B290,Prioritization!$A:$A,0))</f>
        <v>INVALID</v>
      </c>
      <c r="B290" t="s">
        <v>215</v>
      </c>
      <c r="C290" t="s">
        <v>367</v>
      </c>
      <c r="D290" t="s">
        <v>47</v>
      </c>
      <c r="E290" t="str">
        <f t="shared" si="108"/>
        <v>Mulanje District [umc2n1Z4wNv]|50+|Male</v>
      </c>
      <c r="F290" s="90">
        <f>IF(LEFT($B290,4)="_Mil","",INDEX(Cascade!$AA:$AA,MATCH($E290,Cascade!$E:$E,0)))</f>
        <v>996.00000000000011</v>
      </c>
      <c r="G290" s="14">
        <f>INDEX(Cascade!$BH:$BH,MATCH($E290,Cascade!$E:$E,0))</f>
        <v>0</v>
      </c>
      <c r="H290" s="14" t="str">
        <f>IF(OR($C290="01-09",$D290="Male"),"",INDEX(PMTCT!$AC:$AC,MATCH($E290,PMTCT!$E:$E,0)))</f>
        <v/>
      </c>
      <c r="I290" s="14" t="str">
        <f>IF(OR($C290="01-09",$D290="Male"),"",INDEX(PMTCT!$AS:$AS,MATCH($E290,PMTCT!$E:$E,0)))</f>
        <v/>
      </c>
      <c r="J290" s="14" t="str">
        <f>INDEX(TB!$P:$P,MATCH($E290,TB!$E:$E,0))</f>
        <v/>
      </c>
      <c r="K290" s="14" t="str">
        <f>IF(OR($C290="01-09",$C290="10-14",$D290="Female"),"",INDEX(VMMC!$AA:$AA,MATCH($E290,VMMC!$E:$E,0)))</f>
        <v/>
      </c>
      <c r="L290" s="14">
        <f t="shared" si="109"/>
        <v>0</v>
      </c>
      <c r="M290" s="90" t="str">
        <f t="shared" si="110"/>
        <v/>
      </c>
      <c r="N290" s="90" t="str">
        <f t="shared" si="111"/>
        <v/>
      </c>
      <c r="O290" s="90" t="str">
        <f t="shared" si="112"/>
        <v/>
      </c>
      <c r="P290" s="90" t="str">
        <f t="shared" si="113"/>
        <v/>
      </c>
      <c r="Q290" s="90"/>
      <c r="R290" s="90"/>
      <c r="S290" s="90"/>
      <c r="T290" s="90"/>
      <c r="U290" s="90">
        <v>0.14559943764470501</v>
      </c>
      <c r="V290" s="90" t="str">
        <f t="shared" si="114"/>
        <v/>
      </c>
      <c r="W290" s="90"/>
      <c r="X290" s="42" t="str">
        <f t="shared" si="115"/>
        <v/>
      </c>
      <c r="Y290" s="42" t="str">
        <f t="shared" si="116"/>
        <v/>
      </c>
      <c r="Z290" s="90"/>
      <c r="AA290" s="42" t="str">
        <f t="shared" si="117"/>
        <v/>
      </c>
      <c r="AB290" s="42" t="str">
        <f t="shared" si="118"/>
        <v/>
      </c>
      <c r="AC290" s="90"/>
      <c r="AD290" s="42" t="str">
        <f t="shared" si="119"/>
        <v/>
      </c>
      <c r="AE290" s="42" t="str">
        <f t="shared" si="120"/>
        <v/>
      </c>
      <c r="AF290" s="90"/>
      <c r="AG290" s="42" t="str">
        <f t="shared" si="121"/>
        <v/>
      </c>
      <c r="AH290" s="42" t="str">
        <f t="shared" si="122"/>
        <v/>
      </c>
      <c r="AI290" s="90">
        <v>2.5472339708358001E-2</v>
      </c>
      <c r="AJ290" s="42" t="str">
        <f t="shared" si="123"/>
        <v/>
      </c>
      <c r="AK290" s="42" t="str">
        <f t="shared" si="124"/>
        <v/>
      </c>
      <c r="AL290" s="14" t="str">
        <f t="shared" si="125"/>
        <v/>
      </c>
      <c r="AM290" s="14" t="str">
        <f t="shared" si="126"/>
        <v/>
      </c>
      <c r="AN290" s="14" t="str">
        <f t="shared" si="127"/>
        <v/>
      </c>
      <c r="AO290" s="14" t="str">
        <f>IF(OR($C290="01-09",$D290="Male"),"",INDEX(PMTCT!$AD:$AD,MATCH($E290,PMTCT!$E:$E,0)))</f>
        <v/>
      </c>
      <c r="AP290" s="14" t="str">
        <f>IF(OR($C290="01-09",$D290="Male"),"",INDEX(PMTCT!$AT:$AT,MATCH($E290,PMTCT!$E:$E,0)))</f>
        <v/>
      </c>
      <c r="AQ290" s="14" t="str">
        <f>INDEX(TB!$Q:$Q,MATCH($E290,TB!$E:$E,0))</f>
        <v/>
      </c>
      <c r="AR290" s="14" t="str">
        <f>IF(OR($C290="01-09",$C290="10-14",$D290="Female"),"",INDEX(VMMC!$AB:$AB,MATCH($E290,VMMC!$E:$E,0)))</f>
        <v/>
      </c>
      <c r="AS290" s="14" t="str">
        <f>IF(OR($C290="01-09",$C290="10-14"),"",INDEX(PrEP!$Q:$Q,MATCH($E290,PrEP!$E:$E,0)))</f>
        <v/>
      </c>
      <c r="AT290" s="14" t="str">
        <f t="shared" si="128"/>
        <v/>
      </c>
      <c r="AU290" s="14" t="str">
        <f t="shared" si="129"/>
        <v/>
      </c>
      <c r="AV290" s="90" t="str">
        <f t="shared" si="130"/>
        <v/>
      </c>
      <c r="AW290" s="14">
        <v>774</v>
      </c>
      <c r="AX290" s="90">
        <f t="shared" si="131"/>
        <v>0</v>
      </c>
      <c r="AY290" s="42">
        <f t="shared" si="132"/>
        <v>774</v>
      </c>
      <c r="AZ290" s="90">
        <f t="shared" si="133"/>
        <v>1</v>
      </c>
      <c r="BA290" s="42" t="str">
        <f t="shared" si="134"/>
        <v/>
      </c>
    </row>
    <row r="291" spans="1:53" x14ac:dyDescent="0.2">
      <c r="A291" t="str">
        <f>INDEX(Prioritization!$D:$D,MATCH($B291,Prioritization!$A:$A,0))</f>
        <v>INVALID</v>
      </c>
      <c r="B291" t="s">
        <v>216</v>
      </c>
      <c r="C291" t="s">
        <v>362</v>
      </c>
      <c r="D291" t="s">
        <v>29</v>
      </c>
      <c r="E291" t="str">
        <f t="shared" si="108"/>
        <v>Mwanza District [wNqJp8oRIcF]|01-09|Female</v>
      </c>
      <c r="F291" s="90">
        <f>IF(LEFT($B291,4)="_Mil","",INDEX(Cascade!$AA:$AA,MATCH($E291,Cascade!$E:$E,0)))</f>
        <v>1943.9999999999998</v>
      </c>
      <c r="G291" s="14">
        <f>INDEX(Cascade!$BH:$BH,MATCH($E291,Cascade!$E:$E,0))</f>
        <v>0</v>
      </c>
      <c r="H291" s="14" t="str">
        <f>IF(OR($C291="01-09",$D291="Male"),"",INDEX(PMTCT!$AC:$AC,MATCH($E291,PMTCT!$E:$E,0)))</f>
        <v/>
      </c>
      <c r="I291" s="14" t="str">
        <f>IF(OR($C291="01-09",$D291="Male"),"",INDEX(PMTCT!$AS:$AS,MATCH($E291,PMTCT!$E:$E,0)))</f>
        <v/>
      </c>
      <c r="J291" s="14" t="str">
        <f>INDEX(TB!$P:$P,MATCH($E291,TB!$E:$E,0))</f>
        <v/>
      </c>
      <c r="K291" s="14" t="str">
        <f>IF(OR($C291="01-09",$C291="10-14",$D291="Female"),"",INDEX(VMMC!$AA:$AA,MATCH($E291,VMMC!$E:$E,0)))</f>
        <v/>
      </c>
      <c r="L291" s="14">
        <f t="shared" si="109"/>
        <v>0</v>
      </c>
      <c r="M291" s="90" t="str">
        <f t="shared" si="110"/>
        <v/>
      </c>
      <c r="N291" s="90" t="str">
        <f t="shared" si="111"/>
        <v/>
      </c>
      <c r="O291" s="90" t="str">
        <f t="shared" si="112"/>
        <v/>
      </c>
      <c r="P291" s="90" t="str">
        <f t="shared" si="113"/>
        <v/>
      </c>
      <c r="Q291" s="90"/>
      <c r="R291" s="90"/>
      <c r="S291" s="90"/>
      <c r="T291" s="90"/>
      <c r="U291" s="90"/>
      <c r="V291" s="90" t="str">
        <f t="shared" si="114"/>
        <v/>
      </c>
      <c r="W291" s="90"/>
      <c r="X291" s="42" t="str">
        <f t="shared" si="115"/>
        <v/>
      </c>
      <c r="Y291" s="42" t="str">
        <f t="shared" si="116"/>
        <v/>
      </c>
      <c r="Z291" s="90"/>
      <c r="AA291" s="42" t="str">
        <f t="shared" si="117"/>
        <v/>
      </c>
      <c r="AB291" s="42" t="str">
        <f t="shared" si="118"/>
        <v/>
      </c>
      <c r="AC291" s="90"/>
      <c r="AD291" s="42" t="str">
        <f t="shared" si="119"/>
        <v/>
      </c>
      <c r="AE291" s="42" t="str">
        <f t="shared" si="120"/>
        <v/>
      </c>
      <c r="AF291" s="90"/>
      <c r="AG291" s="42" t="str">
        <f t="shared" si="121"/>
        <v/>
      </c>
      <c r="AH291" s="42" t="str">
        <f t="shared" si="122"/>
        <v/>
      </c>
      <c r="AI291" s="90"/>
      <c r="AJ291" s="42" t="str">
        <f t="shared" si="123"/>
        <v/>
      </c>
      <c r="AK291" s="42" t="str">
        <f t="shared" si="124"/>
        <v/>
      </c>
      <c r="AL291" s="14" t="str">
        <f t="shared" si="125"/>
        <v/>
      </c>
      <c r="AM291" s="14" t="str">
        <f t="shared" si="126"/>
        <v/>
      </c>
      <c r="AN291" s="14" t="str">
        <f t="shared" si="127"/>
        <v/>
      </c>
      <c r="AO291" s="14" t="str">
        <f>IF(OR($C291="01-09",$D291="Male"),"",INDEX(PMTCT!$AD:$AD,MATCH($E291,PMTCT!$E:$E,0)))</f>
        <v/>
      </c>
      <c r="AP291" s="14" t="str">
        <f>IF(OR($C291="01-09",$D291="Male"),"",INDEX(PMTCT!$AT:$AT,MATCH($E291,PMTCT!$E:$E,0)))</f>
        <v/>
      </c>
      <c r="AQ291" s="14" t="str">
        <f>INDEX(TB!$Q:$Q,MATCH($E291,TB!$E:$E,0))</f>
        <v/>
      </c>
      <c r="AR291" s="14" t="str">
        <f>IF(OR($C291="01-09",$C291="10-14",$D291="Female"),"",INDEX(VMMC!$AB:$AB,MATCH($E291,VMMC!$E:$E,0)))</f>
        <v/>
      </c>
      <c r="AS291" s="14" t="str">
        <f>IF(OR($C291="01-09",$C291="10-14"),"",INDEX(PrEP!$Q:$Q,MATCH($E291,PrEP!$E:$E,0)))</f>
        <v/>
      </c>
      <c r="AT291" s="14" t="str">
        <f t="shared" si="128"/>
        <v/>
      </c>
      <c r="AU291" s="14" t="str">
        <f t="shared" si="129"/>
        <v/>
      </c>
      <c r="AV291" s="90" t="str">
        <f t="shared" si="130"/>
        <v/>
      </c>
      <c r="AW291" s="14"/>
      <c r="AX291" s="90" t="str">
        <f t="shared" si="131"/>
        <v/>
      </c>
      <c r="AY291" s="42" t="str">
        <f t="shared" si="132"/>
        <v/>
      </c>
      <c r="AZ291" s="90" t="str">
        <f t="shared" si="133"/>
        <v/>
      </c>
      <c r="BA291" s="42" t="str">
        <f t="shared" si="134"/>
        <v/>
      </c>
    </row>
    <row r="292" spans="1:53" x14ac:dyDescent="0.2">
      <c r="A292" t="str">
        <f>INDEX(Prioritization!$D:$D,MATCH($B292,Prioritization!$A:$A,0))</f>
        <v>INVALID</v>
      </c>
      <c r="B292" t="s">
        <v>216</v>
      </c>
      <c r="C292" t="s">
        <v>362</v>
      </c>
      <c r="D292" t="s">
        <v>47</v>
      </c>
      <c r="E292" t="str">
        <f t="shared" si="108"/>
        <v>Mwanza District [wNqJp8oRIcF]|01-09|Male</v>
      </c>
      <c r="F292" s="90">
        <f>IF(LEFT($B292,4)="_Mil","",INDEX(Cascade!$AA:$AA,MATCH($E292,Cascade!$E:$E,0)))</f>
        <v>582</v>
      </c>
      <c r="G292" s="14">
        <f>INDEX(Cascade!$BH:$BH,MATCH($E292,Cascade!$E:$E,0))</f>
        <v>0</v>
      </c>
      <c r="H292" s="14" t="str">
        <f>IF(OR($C292="01-09",$D292="Male"),"",INDEX(PMTCT!$AC:$AC,MATCH($E292,PMTCT!$E:$E,0)))</f>
        <v/>
      </c>
      <c r="I292" s="14" t="str">
        <f>IF(OR($C292="01-09",$D292="Male"),"",INDEX(PMTCT!$AS:$AS,MATCH($E292,PMTCT!$E:$E,0)))</f>
        <v/>
      </c>
      <c r="J292" s="14" t="str">
        <f>INDEX(TB!$P:$P,MATCH($E292,TB!$E:$E,0))</f>
        <v/>
      </c>
      <c r="K292" s="14" t="str">
        <f>IF(OR($C292="01-09",$C292="10-14",$D292="Female"),"",INDEX(VMMC!$AA:$AA,MATCH($E292,VMMC!$E:$E,0)))</f>
        <v/>
      </c>
      <c r="L292" s="14">
        <f t="shared" si="109"/>
        <v>0</v>
      </c>
      <c r="M292" s="90" t="str">
        <f t="shared" si="110"/>
        <v/>
      </c>
      <c r="N292" s="90" t="str">
        <f t="shared" si="111"/>
        <v/>
      </c>
      <c r="O292" s="90" t="str">
        <f t="shared" si="112"/>
        <v/>
      </c>
      <c r="P292" s="90" t="str">
        <f t="shared" si="113"/>
        <v/>
      </c>
      <c r="Q292" s="90"/>
      <c r="R292" s="90"/>
      <c r="S292" s="90"/>
      <c r="T292" s="90"/>
      <c r="U292" s="90"/>
      <c r="V292" s="90" t="str">
        <f t="shared" si="114"/>
        <v/>
      </c>
      <c r="W292" s="90"/>
      <c r="X292" s="42" t="str">
        <f t="shared" si="115"/>
        <v/>
      </c>
      <c r="Y292" s="42" t="str">
        <f t="shared" si="116"/>
        <v/>
      </c>
      <c r="Z292" s="90"/>
      <c r="AA292" s="42" t="str">
        <f t="shared" si="117"/>
        <v/>
      </c>
      <c r="AB292" s="42" t="str">
        <f t="shared" si="118"/>
        <v/>
      </c>
      <c r="AC292" s="90"/>
      <c r="AD292" s="42" t="str">
        <f t="shared" si="119"/>
        <v/>
      </c>
      <c r="AE292" s="42" t="str">
        <f t="shared" si="120"/>
        <v/>
      </c>
      <c r="AF292" s="90"/>
      <c r="AG292" s="42" t="str">
        <f t="shared" si="121"/>
        <v/>
      </c>
      <c r="AH292" s="42" t="str">
        <f t="shared" si="122"/>
        <v/>
      </c>
      <c r="AI292" s="90"/>
      <c r="AJ292" s="42" t="str">
        <f t="shared" si="123"/>
        <v/>
      </c>
      <c r="AK292" s="42" t="str">
        <f t="shared" si="124"/>
        <v/>
      </c>
      <c r="AL292" s="14" t="str">
        <f t="shared" si="125"/>
        <v/>
      </c>
      <c r="AM292" s="14" t="str">
        <f t="shared" si="126"/>
        <v/>
      </c>
      <c r="AN292" s="14" t="str">
        <f t="shared" si="127"/>
        <v/>
      </c>
      <c r="AO292" s="14" t="str">
        <f>IF(OR($C292="01-09",$D292="Male"),"",INDEX(PMTCT!$AD:$AD,MATCH($E292,PMTCT!$E:$E,0)))</f>
        <v/>
      </c>
      <c r="AP292" s="14" t="str">
        <f>IF(OR($C292="01-09",$D292="Male"),"",INDEX(PMTCT!$AT:$AT,MATCH($E292,PMTCT!$E:$E,0)))</f>
        <v/>
      </c>
      <c r="AQ292" s="14" t="str">
        <f>INDEX(TB!$Q:$Q,MATCH($E292,TB!$E:$E,0))</f>
        <v/>
      </c>
      <c r="AR292" s="14" t="str">
        <f>IF(OR($C292="01-09",$C292="10-14",$D292="Female"),"",INDEX(VMMC!$AB:$AB,MATCH($E292,VMMC!$E:$E,0)))</f>
        <v/>
      </c>
      <c r="AS292" s="14" t="str">
        <f>IF(OR($C292="01-09",$C292="10-14"),"",INDEX(PrEP!$Q:$Q,MATCH($E292,PrEP!$E:$E,0)))</f>
        <v/>
      </c>
      <c r="AT292" s="14" t="str">
        <f t="shared" si="128"/>
        <v/>
      </c>
      <c r="AU292" s="14" t="str">
        <f t="shared" si="129"/>
        <v/>
      </c>
      <c r="AV292" s="90" t="str">
        <f t="shared" si="130"/>
        <v/>
      </c>
      <c r="AW292" s="14"/>
      <c r="AX292" s="90" t="str">
        <f t="shared" si="131"/>
        <v/>
      </c>
      <c r="AY292" s="42" t="str">
        <f t="shared" si="132"/>
        <v/>
      </c>
      <c r="AZ292" s="90" t="str">
        <f t="shared" si="133"/>
        <v/>
      </c>
      <c r="BA292" s="42" t="str">
        <f t="shared" si="134"/>
        <v/>
      </c>
    </row>
    <row r="293" spans="1:53" x14ac:dyDescent="0.2">
      <c r="A293" t="str">
        <f>INDEX(Prioritization!$D:$D,MATCH($B293,Prioritization!$A:$A,0))</f>
        <v>INVALID</v>
      </c>
      <c r="B293" t="s">
        <v>216</v>
      </c>
      <c r="C293" t="s">
        <v>363</v>
      </c>
      <c r="D293" t="s">
        <v>29</v>
      </c>
      <c r="E293" t="str">
        <f t="shared" si="108"/>
        <v>Mwanza District [wNqJp8oRIcF]|10-14|Female</v>
      </c>
      <c r="F293" s="90">
        <f>IF(LEFT($B293,4)="_Mil","",INDEX(Cascade!$AA:$AA,MATCH($E293,Cascade!$E:$E,0)))</f>
        <v>917.99999999999989</v>
      </c>
      <c r="G293" s="14">
        <f>INDEX(Cascade!$BH:$BH,MATCH($E293,Cascade!$E:$E,0))</f>
        <v>-8</v>
      </c>
      <c r="H293" s="14" t="str">
        <f>IF(OR($C293="01-09",$D293="Male"),"",INDEX(PMTCT!$AC:$AC,MATCH($E293,PMTCT!$E:$E,0)))</f>
        <v>ENTER YIELD RATE</v>
      </c>
      <c r="I293" s="14" t="str">
        <f>IF(OR($C293="01-09",$D293="Male"),"",INDEX(PMTCT!$AS:$AS,MATCH($E293,PMTCT!$E:$E,0)))</f>
        <v>ENTER YIELD RATE</v>
      </c>
      <c r="J293" s="14" t="str">
        <f>INDEX(TB!$P:$P,MATCH($E293,TB!$E:$E,0))</f>
        <v>ENTER YIELD RATE</v>
      </c>
      <c r="K293" s="14" t="str">
        <f>IF(OR($C293="01-09",$C293="10-14",$D293="Female"),"",INDEX(VMMC!$AA:$AA,MATCH($E293,VMMC!$E:$E,0)))</f>
        <v/>
      </c>
      <c r="L293" s="14">
        <f t="shared" si="109"/>
        <v>-8</v>
      </c>
      <c r="M293" s="90">
        <f t="shared" si="110"/>
        <v>0</v>
      </c>
      <c r="N293" s="90">
        <f t="shared" si="111"/>
        <v>0</v>
      </c>
      <c r="O293" s="90">
        <f t="shared" si="112"/>
        <v>0</v>
      </c>
      <c r="P293" s="90" t="str">
        <f t="shared" si="113"/>
        <v/>
      </c>
      <c r="Q293" s="90">
        <v>0.70717851188965097</v>
      </c>
      <c r="R293" s="90"/>
      <c r="S293" s="90"/>
      <c r="T293" s="90"/>
      <c r="U293" s="90">
        <v>0.163761544041336</v>
      </c>
      <c r="V293" s="90">
        <f t="shared" si="114"/>
        <v>0.870940055930987</v>
      </c>
      <c r="W293" s="90"/>
      <c r="X293" s="42">
        <f t="shared" si="115"/>
        <v>-6</v>
      </c>
      <c r="Y293" s="42" t="str">
        <f t="shared" si="116"/>
        <v>ENTER YIELD</v>
      </c>
      <c r="Z293" s="90"/>
      <c r="AA293" s="42" t="str">
        <f t="shared" si="117"/>
        <v/>
      </c>
      <c r="AB293" s="42" t="str">
        <f t="shared" si="118"/>
        <v/>
      </c>
      <c r="AC293" s="90"/>
      <c r="AD293" s="42" t="str">
        <f t="shared" si="119"/>
        <v/>
      </c>
      <c r="AE293" s="42" t="str">
        <f t="shared" si="120"/>
        <v/>
      </c>
      <c r="AF293" s="90"/>
      <c r="AG293" s="42" t="str">
        <f t="shared" si="121"/>
        <v/>
      </c>
      <c r="AH293" s="42" t="str">
        <f t="shared" si="122"/>
        <v/>
      </c>
      <c r="AI293" s="90"/>
      <c r="AJ293" s="42">
        <f t="shared" si="123"/>
        <v>-1</v>
      </c>
      <c r="AK293" s="42" t="str">
        <f t="shared" si="124"/>
        <v>ENTER YIELD</v>
      </c>
      <c r="AL293" s="14">
        <f t="shared" si="125"/>
        <v>-8</v>
      </c>
      <c r="AM293" s="14">
        <f t="shared" si="126"/>
        <v>-7</v>
      </c>
      <c r="AN293" s="14">
        <f t="shared" si="127"/>
        <v>1</v>
      </c>
      <c r="AO293" s="14">
        <f>IF(OR($C293="01-09",$D293="Male"),"",INDEX(PMTCT!$AD:$AD,MATCH($E293,PMTCT!$E:$E,0)))</f>
        <v>1</v>
      </c>
      <c r="AP293" s="14">
        <f>IF(OR($C293="01-09",$D293="Male"),"",INDEX(PMTCT!$AT:$AT,MATCH($E293,PMTCT!$E:$E,0)))</f>
        <v>1</v>
      </c>
      <c r="AQ293" s="14">
        <f>INDEX(TB!$Q:$Q,MATCH($E293,TB!$E:$E,0))</f>
        <v>1</v>
      </c>
      <c r="AR293" s="14" t="str">
        <f>IF(OR($C293="01-09",$C293="10-14",$D293="Female"),"",INDEX(VMMC!$AB:$AB,MATCH($E293,VMMC!$E:$E,0)))</f>
        <v/>
      </c>
      <c r="AS293" s="14" t="str">
        <f>IF(OR($C293="01-09",$C293="10-14"),"",INDEX(PrEP!$Q:$Q,MATCH($E293,PrEP!$E:$E,0)))</f>
        <v/>
      </c>
      <c r="AT293" s="14">
        <f t="shared" si="128"/>
        <v>3</v>
      </c>
      <c r="AU293" s="14">
        <f t="shared" si="129"/>
        <v>-4</v>
      </c>
      <c r="AV293" s="90">
        <f t="shared" si="130"/>
        <v>1.75</v>
      </c>
      <c r="AW293" s="14"/>
      <c r="AX293" s="90" t="str">
        <f t="shared" si="131"/>
        <v/>
      </c>
      <c r="AY293" s="42" t="str">
        <f t="shared" si="132"/>
        <v/>
      </c>
      <c r="AZ293" s="90" t="str">
        <f t="shared" si="133"/>
        <v/>
      </c>
      <c r="BA293" s="42" t="str">
        <f t="shared" si="134"/>
        <v/>
      </c>
    </row>
    <row r="294" spans="1:53" x14ac:dyDescent="0.2">
      <c r="A294" t="str">
        <f>INDEX(Prioritization!$D:$D,MATCH($B294,Prioritization!$A:$A,0))</f>
        <v>INVALID</v>
      </c>
      <c r="B294" t="s">
        <v>216</v>
      </c>
      <c r="C294" t="s">
        <v>363</v>
      </c>
      <c r="D294" t="s">
        <v>47</v>
      </c>
      <c r="E294" t="str">
        <f t="shared" si="108"/>
        <v>Mwanza District [wNqJp8oRIcF]|10-14|Male</v>
      </c>
      <c r="F294" s="90">
        <f>IF(LEFT($B294,4)="_Mil","",INDEX(Cascade!$AA:$AA,MATCH($E294,Cascade!$E:$E,0)))</f>
        <v>1859.0000000000002</v>
      </c>
      <c r="G294" s="14">
        <f>INDEX(Cascade!$BH:$BH,MATCH($E294,Cascade!$E:$E,0))</f>
        <v>-58</v>
      </c>
      <c r="H294" s="14" t="str">
        <f>IF(OR($C294="01-09",$D294="Male"),"",INDEX(PMTCT!$AC:$AC,MATCH($E294,PMTCT!$E:$E,0)))</f>
        <v/>
      </c>
      <c r="I294" s="14" t="str">
        <f>IF(OR($C294="01-09",$D294="Male"),"",INDEX(PMTCT!$AS:$AS,MATCH($E294,PMTCT!$E:$E,0)))</f>
        <v/>
      </c>
      <c r="J294" s="14" t="str">
        <f>INDEX(TB!$P:$P,MATCH($E294,TB!$E:$E,0))</f>
        <v/>
      </c>
      <c r="K294" s="14" t="str">
        <f>IF(OR($C294="01-09",$C294="10-14",$D294="Female"),"",INDEX(VMMC!$AA:$AA,MATCH($E294,VMMC!$E:$E,0)))</f>
        <v/>
      </c>
      <c r="L294" s="14">
        <f t="shared" si="109"/>
        <v>-58</v>
      </c>
      <c r="M294" s="90" t="str">
        <f t="shared" si="110"/>
        <v/>
      </c>
      <c r="N294" s="90" t="str">
        <f t="shared" si="111"/>
        <v/>
      </c>
      <c r="O294" s="90">
        <f t="shared" si="112"/>
        <v>0</v>
      </c>
      <c r="P294" s="90" t="str">
        <f t="shared" si="113"/>
        <v/>
      </c>
      <c r="Q294" s="90">
        <v>0.601071292534471</v>
      </c>
      <c r="R294" s="90"/>
      <c r="S294" s="90"/>
      <c r="T294" s="90"/>
      <c r="U294" s="90">
        <v>2.0349722821265501E-2</v>
      </c>
      <c r="V294" s="90">
        <f t="shared" si="114"/>
        <v>0.62142101535573646</v>
      </c>
      <c r="W294" s="90"/>
      <c r="X294" s="42">
        <f t="shared" si="115"/>
        <v>-35</v>
      </c>
      <c r="Y294" s="42" t="str">
        <f t="shared" si="116"/>
        <v>ENTER YIELD</v>
      </c>
      <c r="Z294" s="90"/>
      <c r="AA294" s="42" t="str">
        <f t="shared" si="117"/>
        <v/>
      </c>
      <c r="AB294" s="42" t="str">
        <f t="shared" si="118"/>
        <v/>
      </c>
      <c r="AC294" s="90"/>
      <c r="AD294" s="42" t="str">
        <f t="shared" si="119"/>
        <v/>
      </c>
      <c r="AE294" s="42" t="str">
        <f t="shared" si="120"/>
        <v/>
      </c>
      <c r="AF294" s="90"/>
      <c r="AG294" s="42" t="str">
        <f t="shared" si="121"/>
        <v/>
      </c>
      <c r="AH294" s="42" t="str">
        <f t="shared" si="122"/>
        <v/>
      </c>
      <c r="AI294" s="90"/>
      <c r="AJ294" s="42">
        <f t="shared" si="123"/>
        <v>-1</v>
      </c>
      <c r="AK294" s="42" t="str">
        <f t="shared" si="124"/>
        <v>ENTER YIELD</v>
      </c>
      <c r="AL294" s="14">
        <f t="shared" si="125"/>
        <v>-58</v>
      </c>
      <c r="AM294" s="14">
        <f t="shared" si="126"/>
        <v>-36</v>
      </c>
      <c r="AN294" s="14">
        <f t="shared" si="127"/>
        <v>22</v>
      </c>
      <c r="AO294" s="14" t="str">
        <f>IF(OR($C294="01-09",$D294="Male"),"",INDEX(PMTCT!$AD:$AD,MATCH($E294,PMTCT!$E:$E,0)))</f>
        <v/>
      </c>
      <c r="AP294" s="14" t="str">
        <f>IF(OR($C294="01-09",$D294="Male"),"",INDEX(PMTCT!$AT:$AT,MATCH($E294,PMTCT!$E:$E,0)))</f>
        <v/>
      </c>
      <c r="AQ294" s="14" t="str">
        <f>INDEX(TB!$Q:$Q,MATCH($E294,TB!$E:$E,0))</f>
        <v/>
      </c>
      <c r="AR294" s="14" t="str">
        <f>IF(OR($C294="01-09",$C294="10-14",$D294="Female"),"",INDEX(VMMC!$AB:$AB,MATCH($E294,VMMC!$E:$E,0)))</f>
        <v/>
      </c>
      <c r="AS294" s="14" t="str">
        <f>IF(OR($C294="01-09",$C294="10-14"),"",INDEX(PrEP!$Q:$Q,MATCH($E294,PrEP!$E:$E,0)))</f>
        <v/>
      </c>
      <c r="AT294" s="14" t="str">
        <f t="shared" si="128"/>
        <v/>
      </c>
      <c r="AU294" s="14">
        <f t="shared" si="129"/>
        <v>-36</v>
      </c>
      <c r="AV294" s="90">
        <f t="shared" si="130"/>
        <v>1</v>
      </c>
      <c r="AW294" s="14"/>
      <c r="AX294" s="90" t="str">
        <f t="shared" si="131"/>
        <v/>
      </c>
      <c r="AY294" s="42" t="str">
        <f t="shared" si="132"/>
        <v/>
      </c>
      <c r="AZ294" s="90" t="str">
        <f t="shared" si="133"/>
        <v/>
      </c>
      <c r="BA294" s="42" t="str">
        <f t="shared" si="134"/>
        <v/>
      </c>
    </row>
    <row r="295" spans="1:53" x14ac:dyDescent="0.2">
      <c r="A295" t="str">
        <f>INDEX(Prioritization!$D:$D,MATCH($B295,Prioritization!$A:$A,0))</f>
        <v>INVALID</v>
      </c>
      <c r="B295" t="s">
        <v>216</v>
      </c>
      <c r="C295" t="s">
        <v>364</v>
      </c>
      <c r="D295" t="s">
        <v>29</v>
      </c>
      <c r="E295" t="str">
        <f t="shared" si="108"/>
        <v>Mwanza District [wNqJp8oRIcF]|15-24|Female</v>
      </c>
      <c r="F295" s="90">
        <f>IF(LEFT($B295,4)="_Mil","",INDEX(Cascade!$AA:$AA,MATCH($E295,Cascade!$E:$E,0)))</f>
        <v>1427</v>
      </c>
      <c r="G295" s="14">
        <f>INDEX(Cascade!$BH:$BH,MATCH($E295,Cascade!$E:$E,0))</f>
        <v>0</v>
      </c>
      <c r="H295" s="14" t="str">
        <f>IF(OR($C295="01-09",$D295="Male"),"",INDEX(PMTCT!$AC:$AC,MATCH($E295,PMTCT!$E:$E,0)))</f>
        <v/>
      </c>
      <c r="I295" s="14" t="str">
        <f>IF(OR($C295="01-09",$D295="Male"),"",INDEX(PMTCT!$AS:$AS,MATCH($E295,PMTCT!$E:$E,0)))</f>
        <v/>
      </c>
      <c r="J295" s="14" t="str">
        <f>INDEX(TB!$P:$P,MATCH($E295,TB!$E:$E,0))</f>
        <v/>
      </c>
      <c r="K295" s="14" t="str">
        <f>IF(OR($C295="01-09",$C295="10-14",$D295="Female"),"",INDEX(VMMC!$AA:$AA,MATCH($E295,VMMC!$E:$E,0)))</f>
        <v/>
      </c>
      <c r="L295" s="14">
        <f t="shared" si="109"/>
        <v>0</v>
      </c>
      <c r="M295" s="90" t="str">
        <f t="shared" si="110"/>
        <v/>
      </c>
      <c r="N295" s="90" t="str">
        <f t="shared" si="111"/>
        <v/>
      </c>
      <c r="O295" s="90" t="str">
        <f t="shared" si="112"/>
        <v/>
      </c>
      <c r="P295" s="90" t="str">
        <f t="shared" si="113"/>
        <v/>
      </c>
      <c r="Q295" s="90"/>
      <c r="R295" s="90"/>
      <c r="S295" s="90"/>
      <c r="T295" s="90"/>
      <c r="U295" s="90"/>
      <c r="V295" s="90" t="str">
        <f t="shared" si="114"/>
        <v/>
      </c>
      <c r="W295" s="90"/>
      <c r="X295" s="42" t="str">
        <f t="shared" si="115"/>
        <v/>
      </c>
      <c r="Y295" s="42" t="str">
        <f t="shared" si="116"/>
        <v/>
      </c>
      <c r="Z295" s="90"/>
      <c r="AA295" s="42" t="str">
        <f t="shared" si="117"/>
        <v/>
      </c>
      <c r="AB295" s="42" t="str">
        <f t="shared" si="118"/>
        <v/>
      </c>
      <c r="AC295" s="90"/>
      <c r="AD295" s="42" t="str">
        <f t="shared" si="119"/>
        <v/>
      </c>
      <c r="AE295" s="42" t="str">
        <f t="shared" si="120"/>
        <v/>
      </c>
      <c r="AF295" s="90"/>
      <c r="AG295" s="42" t="str">
        <f t="shared" si="121"/>
        <v/>
      </c>
      <c r="AH295" s="42" t="str">
        <f t="shared" si="122"/>
        <v/>
      </c>
      <c r="AI295" s="90"/>
      <c r="AJ295" s="42" t="str">
        <f t="shared" si="123"/>
        <v/>
      </c>
      <c r="AK295" s="42" t="str">
        <f t="shared" si="124"/>
        <v/>
      </c>
      <c r="AL295" s="14" t="str">
        <f t="shared" si="125"/>
        <v/>
      </c>
      <c r="AM295" s="14" t="str">
        <f t="shared" si="126"/>
        <v/>
      </c>
      <c r="AN295" s="14" t="str">
        <f t="shared" si="127"/>
        <v/>
      </c>
      <c r="AO295" s="14" t="str">
        <f>IF(OR($C295="01-09",$D295="Male"),"",INDEX(PMTCT!$AD:$AD,MATCH($E295,PMTCT!$E:$E,0)))</f>
        <v/>
      </c>
      <c r="AP295" s="14" t="str">
        <f>IF(OR($C295="01-09",$D295="Male"),"",INDEX(PMTCT!$AT:$AT,MATCH($E295,PMTCT!$E:$E,0)))</f>
        <v/>
      </c>
      <c r="AQ295" s="14" t="str">
        <f>INDEX(TB!$Q:$Q,MATCH($E295,TB!$E:$E,0))</f>
        <v/>
      </c>
      <c r="AR295" s="14" t="str">
        <f>IF(OR($C295="01-09",$C295="10-14",$D295="Female"),"",INDEX(VMMC!$AB:$AB,MATCH($E295,VMMC!$E:$E,0)))</f>
        <v/>
      </c>
      <c r="AS295" s="14" t="str">
        <f>IF(OR($C295="01-09",$C295="10-14"),"",INDEX(PrEP!$Q:$Q,MATCH($E295,PrEP!$E:$E,0)))</f>
        <v/>
      </c>
      <c r="AT295" s="14" t="str">
        <f t="shared" si="128"/>
        <v/>
      </c>
      <c r="AU295" s="14" t="str">
        <f t="shared" si="129"/>
        <v/>
      </c>
      <c r="AV295" s="90" t="str">
        <f t="shared" si="130"/>
        <v/>
      </c>
      <c r="AW295" s="14"/>
      <c r="AX295" s="90" t="str">
        <f t="shared" si="131"/>
        <v/>
      </c>
      <c r="AY295" s="42" t="str">
        <f t="shared" si="132"/>
        <v/>
      </c>
      <c r="AZ295" s="90">
        <f t="shared" si="133"/>
        <v>1</v>
      </c>
      <c r="BA295" s="42" t="str">
        <f t="shared" si="134"/>
        <v/>
      </c>
    </row>
    <row r="296" spans="1:53" x14ac:dyDescent="0.2">
      <c r="A296" t="str">
        <f>INDEX(Prioritization!$D:$D,MATCH($B296,Prioritization!$A:$A,0))</f>
        <v>INVALID</v>
      </c>
      <c r="B296" t="s">
        <v>216</v>
      </c>
      <c r="C296" t="s">
        <v>364</v>
      </c>
      <c r="D296" t="s">
        <v>47</v>
      </c>
      <c r="E296" t="str">
        <f t="shared" si="108"/>
        <v>Mwanza District [wNqJp8oRIcF]|15-24|Male</v>
      </c>
      <c r="F296" s="90">
        <f>IF(LEFT($B296,4)="_Mil","",INDEX(Cascade!$AA:$AA,MATCH($E296,Cascade!$E:$E,0)))</f>
        <v>636</v>
      </c>
      <c r="G296" s="14">
        <f>INDEX(Cascade!$BH:$BH,MATCH($E296,Cascade!$E:$E,0))</f>
        <v>0</v>
      </c>
      <c r="H296" s="14" t="str">
        <f>IF(OR($C296="01-09",$D296="Male"),"",INDEX(PMTCT!$AC:$AC,MATCH($E296,PMTCT!$E:$E,0)))</f>
        <v/>
      </c>
      <c r="I296" s="14" t="str">
        <f>IF(OR($C296="01-09",$D296="Male"),"",INDEX(PMTCT!$AS:$AS,MATCH($E296,PMTCT!$E:$E,0)))</f>
        <v/>
      </c>
      <c r="J296" s="14" t="str">
        <f>INDEX(TB!$P:$P,MATCH($E296,TB!$E:$E,0))</f>
        <v/>
      </c>
      <c r="K296" s="14" t="str">
        <f>IF(OR($C296="01-09",$C296="10-14",$D296="Female"),"",INDEX(VMMC!$AA:$AA,MATCH($E296,VMMC!$E:$E,0)))</f>
        <v/>
      </c>
      <c r="L296" s="14">
        <f t="shared" si="109"/>
        <v>0</v>
      </c>
      <c r="M296" s="90" t="str">
        <f t="shared" si="110"/>
        <v/>
      </c>
      <c r="N296" s="90" t="str">
        <f t="shared" si="111"/>
        <v/>
      </c>
      <c r="O296" s="90" t="str">
        <f t="shared" si="112"/>
        <v/>
      </c>
      <c r="P296" s="90" t="str">
        <f t="shared" si="113"/>
        <v/>
      </c>
      <c r="Q296" s="90"/>
      <c r="R296" s="90"/>
      <c r="S296" s="90"/>
      <c r="T296" s="90"/>
      <c r="U296" s="90"/>
      <c r="V296" s="90" t="str">
        <f t="shared" si="114"/>
        <v/>
      </c>
      <c r="W296" s="90"/>
      <c r="X296" s="42" t="str">
        <f t="shared" si="115"/>
        <v/>
      </c>
      <c r="Y296" s="42" t="str">
        <f t="shared" si="116"/>
        <v/>
      </c>
      <c r="Z296" s="90"/>
      <c r="AA296" s="42" t="str">
        <f t="shared" si="117"/>
        <v/>
      </c>
      <c r="AB296" s="42" t="str">
        <f t="shared" si="118"/>
        <v/>
      </c>
      <c r="AC296" s="90"/>
      <c r="AD296" s="42" t="str">
        <f t="shared" si="119"/>
        <v/>
      </c>
      <c r="AE296" s="42" t="str">
        <f t="shared" si="120"/>
        <v/>
      </c>
      <c r="AF296" s="90"/>
      <c r="AG296" s="42" t="str">
        <f t="shared" si="121"/>
        <v/>
      </c>
      <c r="AH296" s="42" t="str">
        <f t="shared" si="122"/>
        <v/>
      </c>
      <c r="AI296" s="90"/>
      <c r="AJ296" s="42" t="str">
        <f t="shared" si="123"/>
        <v/>
      </c>
      <c r="AK296" s="42" t="str">
        <f t="shared" si="124"/>
        <v/>
      </c>
      <c r="AL296" s="14" t="str">
        <f t="shared" si="125"/>
        <v/>
      </c>
      <c r="AM296" s="14" t="str">
        <f t="shared" si="126"/>
        <v/>
      </c>
      <c r="AN296" s="14" t="str">
        <f t="shared" si="127"/>
        <v/>
      </c>
      <c r="AO296" s="14" t="str">
        <f>IF(OR($C296="01-09",$D296="Male"),"",INDEX(PMTCT!$AD:$AD,MATCH($E296,PMTCT!$E:$E,0)))</f>
        <v/>
      </c>
      <c r="AP296" s="14" t="str">
        <f>IF(OR($C296="01-09",$D296="Male"),"",INDEX(PMTCT!$AT:$AT,MATCH($E296,PMTCT!$E:$E,0)))</f>
        <v/>
      </c>
      <c r="AQ296" s="14" t="str">
        <f>INDEX(TB!$Q:$Q,MATCH($E296,TB!$E:$E,0))</f>
        <v/>
      </c>
      <c r="AR296" s="14" t="str">
        <f>IF(OR($C296="01-09",$C296="10-14",$D296="Female"),"",INDEX(VMMC!$AB:$AB,MATCH($E296,VMMC!$E:$E,0)))</f>
        <v/>
      </c>
      <c r="AS296" s="14" t="str">
        <f>IF(OR($C296="01-09",$C296="10-14"),"",INDEX(PrEP!$Q:$Q,MATCH($E296,PrEP!$E:$E,0)))</f>
        <v/>
      </c>
      <c r="AT296" s="14" t="str">
        <f t="shared" si="128"/>
        <v/>
      </c>
      <c r="AU296" s="14" t="str">
        <f t="shared" si="129"/>
        <v/>
      </c>
      <c r="AV296" s="90" t="str">
        <f t="shared" si="130"/>
        <v/>
      </c>
      <c r="AW296" s="14"/>
      <c r="AX296" s="90" t="str">
        <f t="shared" si="131"/>
        <v/>
      </c>
      <c r="AY296" s="42" t="str">
        <f t="shared" si="132"/>
        <v/>
      </c>
      <c r="AZ296" s="90">
        <f t="shared" si="133"/>
        <v>1</v>
      </c>
      <c r="BA296" s="42" t="str">
        <f t="shared" si="134"/>
        <v/>
      </c>
    </row>
    <row r="297" spans="1:53" x14ac:dyDescent="0.2">
      <c r="A297" t="str">
        <f>INDEX(Prioritization!$D:$D,MATCH($B297,Prioritization!$A:$A,0))</f>
        <v>INVALID</v>
      </c>
      <c r="B297" t="s">
        <v>216</v>
      </c>
      <c r="C297" t="s">
        <v>365</v>
      </c>
      <c r="D297" t="s">
        <v>29</v>
      </c>
      <c r="E297" t="str">
        <f t="shared" si="108"/>
        <v>Mwanza District [wNqJp8oRIcF]|25-34|Female</v>
      </c>
      <c r="F297" s="90">
        <f>IF(LEFT($B297,4)="_Mil","",INDEX(Cascade!$AA:$AA,MATCH($E297,Cascade!$E:$E,0)))</f>
        <v>935</v>
      </c>
      <c r="G297" s="14">
        <f>INDEX(Cascade!$BH:$BH,MATCH($E297,Cascade!$E:$E,0))</f>
        <v>0</v>
      </c>
      <c r="H297" s="14" t="str">
        <f>IF(OR($C297="01-09",$D297="Male"),"",INDEX(PMTCT!$AC:$AC,MATCH($E297,PMTCT!$E:$E,0)))</f>
        <v/>
      </c>
      <c r="I297" s="14" t="str">
        <f>IF(OR($C297="01-09",$D297="Male"),"",INDEX(PMTCT!$AS:$AS,MATCH($E297,PMTCT!$E:$E,0)))</f>
        <v/>
      </c>
      <c r="J297" s="14" t="str">
        <f>INDEX(TB!$P:$P,MATCH($E297,TB!$E:$E,0))</f>
        <v/>
      </c>
      <c r="K297" s="14" t="str">
        <f>IF(OR($C297="01-09",$C297="10-14",$D297="Female"),"",INDEX(VMMC!$AA:$AA,MATCH($E297,VMMC!$E:$E,0)))</f>
        <v/>
      </c>
      <c r="L297" s="14">
        <f t="shared" si="109"/>
        <v>0</v>
      </c>
      <c r="M297" s="90" t="str">
        <f t="shared" si="110"/>
        <v/>
      </c>
      <c r="N297" s="90" t="str">
        <f t="shared" si="111"/>
        <v/>
      </c>
      <c r="O297" s="90" t="str">
        <f t="shared" si="112"/>
        <v/>
      </c>
      <c r="P297" s="90" t="str">
        <f t="shared" si="113"/>
        <v/>
      </c>
      <c r="Q297" s="90"/>
      <c r="R297" s="90"/>
      <c r="S297" s="90"/>
      <c r="T297" s="90"/>
      <c r="U297" s="90"/>
      <c r="V297" s="90" t="str">
        <f t="shared" si="114"/>
        <v/>
      </c>
      <c r="W297" s="90"/>
      <c r="X297" s="42" t="str">
        <f t="shared" si="115"/>
        <v/>
      </c>
      <c r="Y297" s="42" t="str">
        <f t="shared" si="116"/>
        <v/>
      </c>
      <c r="Z297" s="90"/>
      <c r="AA297" s="42" t="str">
        <f t="shared" si="117"/>
        <v/>
      </c>
      <c r="AB297" s="42" t="str">
        <f t="shared" si="118"/>
        <v/>
      </c>
      <c r="AC297" s="90"/>
      <c r="AD297" s="42" t="str">
        <f t="shared" si="119"/>
        <v/>
      </c>
      <c r="AE297" s="42" t="str">
        <f t="shared" si="120"/>
        <v/>
      </c>
      <c r="AF297" s="90"/>
      <c r="AG297" s="42" t="str">
        <f t="shared" si="121"/>
        <v/>
      </c>
      <c r="AH297" s="42" t="str">
        <f t="shared" si="122"/>
        <v/>
      </c>
      <c r="AI297" s="90"/>
      <c r="AJ297" s="42" t="str">
        <f t="shared" si="123"/>
        <v/>
      </c>
      <c r="AK297" s="42" t="str">
        <f t="shared" si="124"/>
        <v/>
      </c>
      <c r="AL297" s="14" t="str">
        <f t="shared" si="125"/>
        <v/>
      </c>
      <c r="AM297" s="14" t="str">
        <f t="shared" si="126"/>
        <v/>
      </c>
      <c r="AN297" s="14" t="str">
        <f t="shared" si="127"/>
        <v/>
      </c>
      <c r="AO297" s="14" t="str">
        <f>IF(OR($C297="01-09",$D297="Male"),"",INDEX(PMTCT!$AD:$AD,MATCH($E297,PMTCT!$E:$E,0)))</f>
        <v/>
      </c>
      <c r="AP297" s="14" t="str">
        <f>IF(OR($C297="01-09",$D297="Male"),"",INDEX(PMTCT!$AT:$AT,MATCH($E297,PMTCT!$E:$E,0)))</f>
        <v/>
      </c>
      <c r="AQ297" s="14" t="str">
        <f>INDEX(TB!$Q:$Q,MATCH($E297,TB!$E:$E,0))</f>
        <v/>
      </c>
      <c r="AR297" s="14" t="str">
        <f>IF(OR($C297="01-09",$C297="10-14",$D297="Female"),"",INDEX(VMMC!$AB:$AB,MATCH($E297,VMMC!$E:$E,0)))</f>
        <v/>
      </c>
      <c r="AS297" s="14" t="str">
        <f>IF(OR($C297="01-09",$C297="10-14"),"",INDEX(PrEP!$Q:$Q,MATCH($E297,PrEP!$E:$E,0)))</f>
        <v/>
      </c>
      <c r="AT297" s="14" t="str">
        <f t="shared" si="128"/>
        <v/>
      </c>
      <c r="AU297" s="14" t="str">
        <f t="shared" si="129"/>
        <v/>
      </c>
      <c r="AV297" s="90" t="str">
        <f t="shared" si="130"/>
        <v/>
      </c>
      <c r="AW297" s="14"/>
      <c r="AX297" s="90" t="str">
        <f t="shared" si="131"/>
        <v/>
      </c>
      <c r="AY297" s="42" t="str">
        <f t="shared" si="132"/>
        <v/>
      </c>
      <c r="AZ297" s="90">
        <f t="shared" si="133"/>
        <v>1</v>
      </c>
      <c r="BA297" s="42" t="str">
        <f t="shared" si="134"/>
        <v/>
      </c>
    </row>
    <row r="298" spans="1:53" x14ac:dyDescent="0.2">
      <c r="A298" t="str">
        <f>INDEX(Prioritization!$D:$D,MATCH($B298,Prioritization!$A:$A,0))</f>
        <v>INVALID</v>
      </c>
      <c r="B298" t="s">
        <v>216</v>
      </c>
      <c r="C298" t="s">
        <v>365</v>
      </c>
      <c r="D298" t="s">
        <v>47</v>
      </c>
      <c r="E298" t="str">
        <f t="shared" si="108"/>
        <v>Mwanza District [wNqJp8oRIcF]|25-34|Male</v>
      </c>
      <c r="F298" s="90">
        <f>IF(LEFT($B298,4)="_Mil","",INDEX(Cascade!$AA:$AA,MATCH($E298,Cascade!$E:$E,0)))</f>
        <v>635</v>
      </c>
      <c r="G298" s="14">
        <f>INDEX(Cascade!$BH:$BH,MATCH($E298,Cascade!$E:$E,0))</f>
        <v>0</v>
      </c>
      <c r="H298" s="14" t="str">
        <f>IF(OR($C298="01-09",$D298="Male"),"",INDEX(PMTCT!$AC:$AC,MATCH($E298,PMTCT!$E:$E,0)))</f>
        <v/>
      </c>
      <c r="I298" s="14" t="str">
        <f>IF(OR($C298="01-09",$D298="Male"),"",INDEX(PMTCT!$AS:$AS,MATCH($E298,PMTCT!$E:$E,0)))</f>
        <v/>
      </c>
      <c r="J298" s="14" t="str">
        <f>INDEX(TB!$P:$P,MATCH($E298,TB!$E:$E,0))</f>
        <v/>
      </c>
      <c r="K298" s="14" t="str">
        <f>IF(OR($C298="01-09",$C298="10-14",$D298="Female"),"",INDEX(VMMC!$AA:$AA,MATCH($E298,VMMC!$E:$E,0)))</f>
        <v/>
      </c>
      <c r="L298" s="14">
        <f t="shared" si="109"/>
        <v>0</v>
      </c>
      <c r="M298" s="90" t="str">
        <f t="shared" si="110"/>
        <v/>
      </c>
      <c r="N298" s="90" t="str">
        <f t="shared" si="111"/>
        <v/>
      </c>
      <c r="O298" s="90" t="str">
        <f t="shared" si="112"/>
        <v/>
      </c>
      <c r="P298" s="90" t="str">
        <f t="shared" si="113"/>
        <v/>
      </c>
      <c r="Q298" s="90"/>
      <c r="R298" s="90"/>
      <c r="S298" s="90"/>
      <c r="T298" s="90"/>
      <c r="U298" s="90"/>
      <c r="V298" s="90" t="str">
        <f t="shared" si="114"/>
        <v/>
      </c>
      <c r="W298" s="90"/>
      <c r="X298" s="42" t="str">
        <f t="shared" si="115"/>
        <v/>
      </c>
      <c r="Y298" s="42" t="str">
        <f t="shared" si="116"/>
        <v/>
      </c>
      <c r="Z298" s="90"/>
      <c r="AA298" s="42" t="str">
        <f t="shared" si="117"/>
        <v/>
      </c>
      <c r="AB298" s="42" t="str">
        <f t="shared" si="118"/>
        <v/>
      </c>
      <c r="AC298" s="90"/>
      <c r="AD298" s="42" t="str">
        <f t="shared" si="119"/>
        <v/>
      </c>
      <c r="AE298" s="42" t="str">
        <f t="shared" si="120"/>
        <v/>
      </c>
      <c r="AF298" s="90"/>
      <c r="AG298" s="42" t="str">
        <f t="shared" si="121"/>
        <v/>
      </c>
      <c r="AH298" s="42" t="str">
        <f t="shared" si="122"/>
        <v/>
      </c>
      <c r="AI298" s="90"/>
      <c r="AJ298" s="42" t="str">
        <f t="shared" si="123"/>
        <v/>
      </c>
      <c r="AK298" s="42" t="str">
        <f t="shared" si="124"/>
        <v/>
      </c>
      <c r="AL298" s="14" t="str">
        <f t="shared" si="125"/>
        <v/>
      </c>
      <c r="AM298" s="14" t="str">
        <f t="shared" si="126"/>
        <v/>
      </c>
      <c r="AN298" s="14" t="str">
        <f t="shared" si="127"/>
        <v/>
      </c>
      <c r="AO298" s="14" t="str">
        <f>IF(OR($C298="01-09",$D298="Male"),"",INDEX(PMTCT!$AD:$AD,MATCH($E298,PMTCT!$E:$E,0)))</f>
        <v/>
      </c>
      <c r="AP298" s="14" t="str">
        <f>IF(OR($C298="01-09",$D298="Male"),"",INDEX(PMTCT!$AT:$AT,MATCH($E298,PMTCT!$E:$E,0)))</f>
        <v/>
      </c>
      <c r="AQ298" s="14" t="str">
        <f>INDEX(TB!$Q:$Q,MATCH($E298,TB!$E:$E,0))</f>
        <v/>
      </c>
      <c r="AR298" s="14" t="str">
        <f>IF(OR($C298="01-09",$C298="10-14",$D298="Female"),"",INDEX(VMMC!$AB:$AB,MATCH($E298,VMMC!$E:$E,0)))</f>
        <v/>
      </c>
      <c r="AS298" s="14" t="str">
        <f>IF(OR($C298="01-09",$C298="10-14"),"",INDEX(PrEP!$Q:$Q,MATCH($E298,PrEP!$E:$E,0)))</f>
        <v/>
      </c>
      <c r="AT298" s="14" t="str">
        <f t="shared" si="128"/>
        <v/>
      </c>
      <c r="AU298" s="14" t="str">
        <f t="shared" si="129"/>
        <v/>
      </c>
      <c r="AV298" s="90" t="str">
        <f t="shared" si="130"/>
        <v/>
      </c>
      <c r="AW298" s="14"/>
      <c r="AX298" s="90" t="str">
        <f t="shared" si="131"/>
        <v/>
      </c>
      <c r="AY298" s="42" t="str">
        <f t="shared" si="132"/>
        <v/>
      </c>
      <c r="AZ298" s="90">
        <f t="shared" si="133"/>
        <v>1</v>
      </c>
      <c r="BA298" s="42" t="str">
        <f t="shared" si="134"/>
        <v/>
      </c>
    </row>
    <row r="299" spans="1:53" x14ac:dyDescent="0.2">
      <c r="A299" t="str">
        <f>INDEX(Prioritization!$D:$D,MATCH($B299,Prioritization!$A:$A,0))</f>
        <v>INVALID</v>
      </c>
      <c r="B299" t="s">
        <v>216</v>
      </c>
      <c r="C299" t="s">
        <v>366</v>
      </c>
      <c r="D299" t="s">
        <v>29</v>
      </c>
      <c r="E299" t="str">
        <f t="shared" si="108"/>
        <v>Mwanza District [wNqJp8oRIcF]|35-49|Female</v>
      </c>
      <c r="F299" s="90">
        <f>IF(LEFT($B299,4)="_Mil","",INDEX(Cascade!$AA:$AA,MATCH($E299,Cascade!$E:$E,0)))</f>
        <v>1672</v>
      </c>
      <c r="G299" s="14">
        <f>INDEX(Cascade!$BH:$BH,MATCH($E299,Cascade!$E:$E,0))</f>
        <v>0</v>
      </c>
      <c r="H299" s="14" t="str">
        <f>IF(OR($C299="01-09",$D299="Male"),"",INDEX(PMTCT!$AC:$AC,MATCH($E299,PMTCT!$E:$E,0)))</f>
        <v/>
      </c>
      <c r="I299" s="14" t="str">
        <f>IF(OR($C299="01-09",$D299="Male"),"",INDEX(PMTCT!$AS:$AS,MATCH($E299,PMTCT!$E:$E,0)))</f>
        <v/>
      </c>
      <c r="J299" s="14" t="str">
        <f>INDEX(TB!$P:$P,MATCH($E299,TB!$E:$E,0))</f>
        <v/>
      </c>
      <c r="K299" s="14" t="str">
        <f>IF(OR($C299="01-09",$C299="10-14",$D299="Female"),"",INDEX(VMMC!$AA:$AA,MATCH($E299,VMMC!$E:$E,0)))</f>
        <v/>
      </c>
      <c r="L299" s="14">
        <f t="shared" si="109"/>
        <v>0</v>
      </c>
      <c r="M299" s="90" t="str">
        <f t="shared" si="110"/>
        <v/>
      </c>
      <c r="N299" s="90" t="str">
        <f t="shared" si="111"/>
        <v/>
      </c>
      <c r="O299" s="90" t="str">
        <f t="shared" si="112"/>
        <v/>
      </c>
      <c r="P299" s="90" t="str">
        <f t="shared" si="113"/>
        <v/>
      </c>
      <c r="Q299" s="90"/>
      <c r="R299" s="90"/>
      <c r="S299" s="90"/>
      <c r="T299" s="90"/>
      <c r="U299" s="90"/>
      <c r="V299" s="90" t="str">
        <f t="shared" si="114"/>
        <v/>
      </c>
      <c r="W299" s="90"/>
      <c r="X299" s="42" t="str">
        <f t="shared" si="115"/>
        <v/>
      </c>
      <c r="Y299" s="42" t="str">
        <f t="shared" si="116"/>
        <v/>
      </c>
      <c r="Z299" s="90"/>
      <c r="AA299" s="42" t="str">
        <f t="shared" si="117"/>
        <v/>
      </c>
      <c r="AB299" s="42" t="str">
        <f t="shared" si="118"/>
        <v/>
      </c>
      <c r="AC299" s="90"/>
      <c r="AD299" s="42" t="str">
        <f t="shared" si="119"/>
        <v/>
      </c>
      <c r="AE299" s="42" t="str">
        <f t="shared" si="120"/>
        <v/>
      </c>
      <c r="AF299" s="90"/>
      <c r="AG299" s="42" t="str">
        <f t="shared" si="121"/>
        <v/>
      </c>
      <c r="AH299" s="42" t="str">
        <f t="shared" si="122"/>
        <v/>
      </c>
      <c r="AI299" s="90"/>
      <c r="AJ299" s="42" t="str">
        <f t="shared" si="123"/>
        <v/>
      </c>
      <c r="AK299" s="42" t="str">
        <f t="shared" si="124"/>
        <v/>
      </c>
      <c r="AL299" s="14" t="str">
        <f t="shared" si="125"/>
        <v/>
      </c>
      <c r="AM299" s="14" t="str">
        <f t="shared" si="126"/>
        <v/>
      </c>
      <c r="AN299" s="14" t="str">
        <f t="shared" si="127"/>
        <v/>
      </c>
      <c r="AO299" s="14" t="str">
        <f>IF(OR($C299="01-09",$D299="Male"),"",INDEX(PMTCT!$AD:$AD,MATCH($E299,PMTCT!$E:$E,0)))</f>
        <v/>
      </c>
      <c r="AP299" s="14" t="str">
        <f>IF(OR($C299="01-09",$D299="Male"),"",INDEX(PMTCT!$AT:$AT,MATCH($E299,PMTCT!$E:$E,0)))</f>
        <v/>
      </c>
      <c r="AQ299" s="14" t="str">
        <f>INDEX(TB!$Q:$Q,MATCH($E299,TB!$E:$E,0))</f>
        <v/>
      </c>
      <c r="AR299" s="14" t="str">
        <f>IF(OR($C299="01-09",$C299="10-14",$D299="Female"),"",INDEX(VMMC!$AB:$AB,MATCH($E299,VMMC!$E:$E,0)))</f>
        <v/>
      </c>
      <c r="AS299" s="14" t="str">
        <f>IF(OR($C299="01-09",$C299="10-14"),"",INDEX(PrEP!$Q:$Q,MATCH($E299,PrEP!$E:$E,0)))</f>
        <v/>
      </c>
      <c r="AT299" s="14" t="str">
        <f t="shared" si="128"/>
        <v/>
      </c>
      <c r="AU299" s="14" t="str">
        <f t="shared" si="129"/>
        <v/>
      </c>
      <c r="AV299" s="90" t="str">
        <f t="shared" si="130"/>
        <v/>
      </c>
      <c r="AW299" s="14"/>
      <c r="AX299" s="90" t="str">
        <f t="shared" si="131"/>
        <v/>
      </c>
      <c r="AY299" s="42" t="str">
        <f t="shared" si="132"/>
        <v/>
      </c>
      <c r="AZ299" s="90">
        <f t="shared" si="133"/>
        <v>1</v>
      </c>
      <c r="BA299" s="42" t="str">
        <f t="shared" si="134"/>
        <v/>
      </c>
    </row>
    <row r="300" spans="1:53" x14ac:dyDescent="0.2">
      <c r="A300" t="str">
        <f>INDEX(Prioritization!$D:$D,MATCH($B300,Prioritization!$A:$A,0))</f>
        <v>INVALID</v>
      </c>
      <c r="B300" t="s">
        <v>216</v>
      </c>
      <c r="C300" t="s">
        <v>366</v>
      </c>
      <c r="D300" t="s">
        <v>47</v>
      </c>
      <c r="E300" t="str">
        <f t="shared" si="108"/>
        <v>Mwanza District [wNqJp8oRIcF]|35-49|Male</v>
      </c>
      <c r="F300" s="90">
        <f>IF(LEFT($B300,4)="_Mil","",INDEX(Cascade!$AA:$AA,MATCH($E300,Cascade!$E:$E,0)))</f>
        <v>1010</v>
      </c>
      <c r="G300" s="14">
        <f>INDEX(Cascade!$BH:$BH,MATCH($E300,Cascade!$E:$E,0))</f>
        <v>0</v>
      </c>
      <c r="H300" s="14" t="str">
        <f>IF(OR($C300="01-09",$D300="Male"),"",INDEX(PMTCT!$AC:$AC,MATCH($E300,PMTCT!$E:$E,0)))</f>
        <v/>
      </c>
      <c r="I300" s="14" t="str">
        <f>IF(OR($C300="01-09",$D300="Male"),"",INDEX(PMTCT!$AS:$AS,MATCH($E300,PMTCT!$E:$E,0)))</f>
        <v/>
      </c>
      <c r="J300" s="14" t="str">
        <f>INDEX(TB!$P:$P,MATCH($E300,TB!$E:$E,0))</f>
        <v/>
      </c>
      <c r="K300" s="14" t="str">
        <f>IF(OR($C300="01-09",$C300="10-14",$D300="Female"),"",INDEX(VMMC!$AA:$AA,MATCH($E300,VMMC!$E:$E,0)))</f>
        <v/>
      </c>
      <c r="L300" s="14">
        <f t="shared" si="109"/>
        <v>0</v>
      </c>
      <c r="M300" s="90" t="str">
        <f t="shared" si="110"/>
        <v/>
      </c>
      <c r="N300" s="90" t="str">
        <f t="shared" si="111"/>
        <v/>
      </c>
      <c r="O300" s="90" t="str">
        <f t="shared" si="112"/>
        <v/>
      </c>
      <c r="P300" s="90" t="str">
        <f t="shared" si="113"/>
        <v/>
      </c>
      <c r="Q300" s="90"/>
      <c r="R300" s="90"/>
      <c r="S300" s="90"/>
      <c r="T300" s="90"/>
      <c r="U300" s="90"/>
      <c r="V300" s="90" t="str">
        <f t="shared" si="114"/>
        <v/>
      </c>
      <c r="W300" s="90"/>
      <c r="X300" s="42" t="str">
        <f t="shared" si="115"/>
        <v/>
      </c>
      <c r="Y300" s="42" t="str">
        <f t="shared" si="116"/>
        <v/>
      </c>
      <c r="Z300" s="90"/>
      <c r="AA300" s="42" t="str">
        <f t="shared" si="117"/>
        <v/>
      </c>
      <c r="AB300" s="42" t="str">
        <f t="shared" si="118"/>
        <v/>
      </c>
      <c r="AC300" s="90"/>
      <c r="AD300" s="42" t="str">
        <f t="shared" si="119"/>
        <v/>
      </c>
      <c r="AE300" s="42" t="str">
        <f t="shared" si="120"/>
        <v/>
      </c>
      <c r="AF300" s="90"/>
      <c r="AG300" s="42" t="str">
        <f t="shared" si="121"/>
        <v/>
      </c>
      <c r="AH300" s="42" t="str">
        <f t="shared" si="122"/>
        <v/>
      </c>
      <c r="AI300" s="90"/>
      <c r="AJ300" s="42" t="str">
        <f t="shared" si="123"/>
        <v/>
      </c>
      <c r="AK300" s="42" t="str">
        <f t="shared" si="124"/>
        <v/>
      </c>
      <c r="AL300" s="14" t="str">
        <f t="shared" si="125"/>
        <v/>
      </c>
      <c r="AM300" s="14" t="str">
        <f t="shared" si="126"/>
        <v/>
      </c>
      <c r="AN300" s="14" t="str">
        <f t="shared" si="127"/>
        <v/>
      </c>
      <c r="AO300" s="14" t="str">
        <f>IF(OR($C300="01-09",$D300="Male"),"",INDEX(PMTCT!$AD:$AD,MATCH($E300,PMTCT!$E:$E,0)))</f>
        <v/>
      </c>
      <c r="AP300" s="14" t="str">
        <f>IF(OR($C300="01-09",$D300="Male"),"",INDEX(PMTCT!$AT:$AT,MATCH($E300,PMTCT!$E:$E,0)))</f>
        <v/>
      </c>
      <c r="AQ300" s="14" t="str">
        <f>INDEX(TB!$Q:$Q,MATCH($E300,TB!$E:$E,0))</f>
        <v/>
      </c>
      <c r="AR300" s="14" t="str">
        <f>IF(OR($C300="01-09",$C300="10-14",$D300="Female"),"",INDEX(VMMC!$AB:$AB,MATCH($E300,VMMC!$E:$E,0)))</f>
        <v/>
      </c>
      <c r="AS300" s="14" t="str">
        <f>IF(OR($C300="01-09",$C300="10-14"),"",INDEX(PrEP!$Q:$Q,MATCH($E300,PrEP!$E:$E,0)))</f>
        <v/>
      </c>
      <c r="AT300" s="14" t="str">
        <f t="shared" si="128"/>
        <v/>
      </c>
      <c r="AU300" s="14" t="str">
        <f t="shared" si="129"/>
        <v/>
      </c>
      <c r="AV300" s="90" t="str">
        <f t="shared" si="130"/>
        <v/>
      </c>
      <c r="AW300" s="14"/>
      <c r="AX300" s="90" t="str">
        <f t="shared" si="131"/>
        <v/>
      </c>
      <c r="AY300" s="42" t="str">
        <f t="shared" si="132"/>
        <v/>
      </c>
      <c r="AZ300" s="90">
        <f t="shared" si="133"/>
        <v>1</v>
      </c>
      <c r="BA300" s="42" t="str">
        <f t="shared" si="134"/>
        <v/>
      </c>
    </row>
    <row r="301" spans="1:53" x14ac:dyDescent="0.2">
      <c r="A301" t="str">
        <f>INDEX(Prioritization!$D:$D,MATCH($B301,Prioritization!$A:$A,0))</f>
        <v>INVALID</v>
      </c>
      <c r="B301" t="s">
        <v>216</v>
      </c>
      <c r="C301" t="s">
        <v>367</v>
      </c>
      <c r="D301" t="s">
        <v>29</v>
      </c>
      <c r="E301" t="str">
        <f t="shared" si="108"/>
        <v>Mwanza District [wNqJp8oRIcF]|50+|Female</v>
      </c>
      <c r="F301" s="90">
        <f>IF(LEFT($B301,4)="_Mil","",INDEX(Cascade!$AA:$AA,MATCH($E301,Cascade!$E:$E,0)))</f>
        <v>1191</v>
      </c>
      <c r="G301" s="14">
        <f>INDEX(Cascade!$BH:$BH,MATCH($E301,Cascade!$E:$E,0))</f>
        <v>0</v>
      </c>
      <c r="H301" s="14" t="str">
        <f>IF(OR($C301="01-09",$D301="Male"),"",INDEX(PMTCT!$AC:$AC,MATCH($E301,PMTCT!$E:$E,0)))</f>
        <v/>
      </c>
      <c r="I301" s="14" t="str">
        <f>IF(OR($C301="01-09",$D301="Male"),"",INDEX(PMTCT!$AS:$AS,MATCH($E301,PMTCT!$E:$E,0)))</f>
        <v/>
      </c>
      <c r="J301" s="14" t="str">
        <f>INDEX(TB!$P:$P,MATCH($E301,TB!$E:$E,0))</f>
        <v/>
      </c>
      <c r="K301" s="14" t="str">
        <f>IF(OR($C301="01-09",$C301="10-14",$D301="Female"),"",INDEX(VMMC!$AA:$AA,MATCH($E301,VMMC!$E:$E,0)))</f>
        <v/>
      </c>
      <c r="L301" s="14">
        <f t="shared" si="109"/>
        <v>0</v>
      </c>
      <c r="M301" s="90" t="str">
        <f t="shared" si="110"/>
        <v/>
      </c>
      <c r="N301" s="90" t="str">
        <f t="shared" si="111"/>
        <v/>
      </c>
      <c r="O301" s="90" t="str">
        <f t="shared" si="112"/>
        <v/>
      </c>
      <c r="P301" s="90" t="str">
        <f t="shared" si="113"/>
        <v/>
      </c>
      <c r="Q301" s="90"/>
      <c r="R301" s="90"/>
      <c r="S301" s="90"/>
      <c r="T301" s="90"/>
      <c r="U301" s="90">
        <v>0.37447459902614399</v>
      </c>
      <c r="V301" s="90" t="str">
        <f t="shared" si="114"/>
        <v/>
      </c>
      <c r="W301" s="90"/>
      <c r="X301" s="42" t="str">
        <f t="shared" si="115"/>
        <v/>
      </c>
      <c r="Y301" s="42" t="str">
        <f t="shared" si="116"/>
        <v/>
      </c>
      <c r="Z301" s="90"/>
      <c r="AA301" s="42" t="str">
        <f t="shared" si="117"/>
        <v/>
      </c>
      <c r="AB301" s="42" t="str">
        <f t="shared" si="118"/>
        <v/>
      </c>
      <c r="AC301" s="90"/>
      <c r="AD301" s="42" t="str">
        <f t="shared" si="119"/>
        <v/>
      </c>
      <c r="AE301" s="42" t="str">
        <f t="shared" si="120"/>
        <v/>
      </c>
      <c r="AF301" s="90"/>
      <c r="AG301" s="42" t="str">
        <f t="shared" si="121"/>
        <v/>
      </c>
      <c r="AH301" s="42" t="str">
        <f t="shared" si="122"/>
        <v/>
      </c>
      <c r="AI301" s="90"/>
      <c r="AJ301" s="42" t="str">
        <f t="shared" si="123"/>
        <v/>
      </c>
      <c r="AK301" s="42" t="str">
        <f t="shared" si="124"/>
        <v/>
      </c>
      <c r="AL301" s="14" t="str">
        <f t="shared" si="125"/>
        <v/>
      </c>
      <c r="AM301" s="14" t="str">
        <f t="shared" si="126"/>
        <v/>
      </c>
      <c r="AN301" s="14" t="str">
        <f t="shared" si="127"/>
        <v/>
      </c>
      <c r="AO301" s="14" t="str">
        <f>IF(OR($C301="01-09",$D301="Male"),"",INDEX(PMTCT!$AD:$AD,MATCH($E301,PMTCT!$E:$E,0)))</f>
        <v/>
      </c>
      <c r="AP301" s="14" t="str">
        <f>IF(OR($C301="01-09",$D301="Male"),"",INDEX(PMTCT!$AT:$AT,MATCH($E301,PMTCT!$E:$E,0)))</f>
        <v/>
      </c>
      <c r="AQ301" s="14" t="str">
        <f>INDEX(TB!$Q:$Q,MATCH($E301,TB!$E:$E,0))</f>
        <v/>
      </c>
      <c r="AR301" s="14" t="str">
        <f>IF(OR($C301="01-09",$C301="10-14",$D301="Female"),"",INDEX(VMMC!$AB:$AB,MATCH($E301,VMMC!$E:$E,0)))</f>
        <v/>
      </c>
      <c r="AS301" s="14" t="str">
        <f>IF(OR($C301="01-09",$C301="10-14"),"",INDEX(PrEP!$Q:$Q,MATCH($E301,PrEP!$E:$E,0)))</f>
        <v/>
      </c>
      <c r="AT301" s="14" t="str">
        <f t="shared" si="128"/>
        <v/>
      </c>
      <c r="AU301" s="14" t="str">
        <f t="shared" si="129"/>
        <v/>
      </c>
      <c r="AV301" s="90" t="str">
        <f t="shared" si="130"/>
        <v/>
      </c>
      <c r="AW301" s="14">
        <v>6</v>
      </c>
      <c r="AX301" s="90">
        <f t="shared" si="131"/>
        <v>0</v>
      </c>
      <c r="AY301" s="42">
        <f t="shared" si="132"/>
        <v>6</v>
      </c>
      <c r="AZ301" s="90">
        <f t="shared" si="133"/>
        <v>1</v>
      </c>
      <c r="BA301" s="42" t="str">
        <f t="shared" si="134"/>
        <v/>
      </c>
    </row>
    <row r="302" spans="1:53" x14ac:dyDescent="0.2">
      <c r="A302" t="str">
        <f>INDEX(Prioritization!$D:$D,MATCH($B302,Prioritization!$A:$A,0))</f>
        <v>INVALID</v>
      </c>
      <c r="B302" t="s">
        <v>216</v>
      </c>
      <c r="C302" t="s">
        <v>367</v>
      </c>
      <c r="D302" t="s">
        <v>47</v>
      </c>
      <c r="E302" t="str">
        <f t="shared" si="108"/>
        <v>Mwanza District [wNqJp8oRIcF]|50+|Male</v>
      </c>
      <c r="F302" s="90">
        <f>IF(LEFT($B302,4)="_Mil","",INDEX(Cascade!$AA:$AA,MATCH($E302,Cascade!$E:$E,0)))</f>
        <v>1772.0000000000002</v>
      </c>
      <c r="G302" s="14">
        <f>INDEX(Cascade!$BH:$BH,MATCH($E302,Cascade!$E:$E,0))</f>
        <v>0</v>
      </c>
      <c r="H302" s="14" t="str">
        <f>IF(OR($C302="01-09",$D302="Male"),"",INDEX(PMTCT!$AC:$AC,MATCH($E302,PMTCT!$E:$E,0)))</f>
        <v/>
      </c>
      <c r="I302" s="14" t="str">
        <f>IF(OR($C302="01-09",$D302="Male"),"",INDEX(PMTCT!$AS:$AS,MATCH($E302,PMTCT!$E:$E,0)))</f>
        <v/>
      </c>
      <c r="J302" s="14" t="str">
        <f>INDEX(TB!$P:$P,MATCH($E302,TB!$E:$E,0))</f>
        <v/>
      </c>
      <c r="K302" s="14" t="str">
        <f>IF(OR($C302="01-09",$C302="10-14",$D302="Female"),"",INDEX(VMMC!$AA:$AA,MATCH($E302,VMMC!$E:$E,0)))</f>
        <v/>
      </c>
      <c r="L302" s="14">
        <f t="shared" si="109"/>
        <v>0</v>
      </c>
      <c r="M302" s="90" t="str">
        <f t="shared" si="110"/>
        <v/>
      </c>
      <c r="N302" s="90" t="str">
        <f t="shared" si="111"/>
        <v/>
      </c>
      <c r="O302" s="90" t="str">
        <f t="shared" si="112"/>
        <v/>
      </c>
      <c r="P302" s="90" t="str">
        <f t="shared" si="113"/>
        <v/>
      </c>
      <c r="Q302" s="90"/>
      <c r="R302" s="90"/>
      <c r="S302" s="90"/>
      <c r="T302" s="90"/>
      <c r="U302" s="90">
        <v>0.39847941766493</v>
      </c>
      <c r="V302" s="90" t="str">
        <f t="shared" si="114"/>
        <v/>
      </c>
      <c r="W302" s="90"/>
      <c r="X302" s="42" t="str">
        <f t="shared" si="115"/>
        <v/>
      </c>
      <c r="Y302" s="42" t="str">
        <f t="shared" si="116"/>
        <v/>
      </c>
      <c r="Z302" s="90"/>
      <c r="AA302" s="42" t="str">
        <f t="shared" si="117"/>
        <v/>
      </c>
      <c r="AB302" s="42" t="str">
        <f t="shared" si="118"/>
        <v/>
      </c>
      <c r="AC302" s="90"/>
      <c r="AD302" s="42" t="str">
        <f t="shared" si="119"/>
        <v/>
      </c>
      <c r="AE302" s="42" t="str">
        <f t="shared" si="120"/>
        <v/>
      </c>
      <c r="AF302" s="90"/>
      <c r="AG302" s="42" t="str">
        <f t="shared" si="121"/>
        <v/>
      </c>
      <c r="AH302" s="42" t="str">
        <f t="shared" si="122"/>
        <v/>
      </c>
      <c r="AI302" s="90"/>
      <c r="AJ302" s="42" t="str">
        <f t="shared" si="123"/>
        <v/>
      </c>
      <c r="AK302" s="42" t="str">
        <f t="shared" si="124"/>
        <v/>
      </c>
      <c r="AL302" s="14" t="str">
        <f t="shared" si="125"/>
        <v/>
      </c>
      <c r="AM302" s="14" t="str">
        <f t="shared" si="126"/>
        <v/>
      </c>
      <c r="AN302" s="14" t="str">
        <f t="shared" si="127"/>
        <v/>
      </c>
      <c r="AO302" s="14" t="str">
        <f>IF(OR($C302="01-09",$D302="Male"),"",INDEX(PMTCT!$AD:$AD,MATCH($E302,PMTCT!$E:$E,0)))</f>
        <v/>
      </c>
      <c r="AP302" s="14" t="str">
        <f>IF(OR($C302="01-09",$D302="Male"),"",INDEX(PMTCT!$AT:$AT,MATCH($E302,PMTCT!$E:$E,0)))</f>
        <v/>
      </c>
      <c r="AQ302" s="14" t="str">
        <f>INDEX(TB!$Q:$Q,MATCH($E302,TB!$E:$E,0))</f>
        <v/>
      </c>
      <c r="AR302" s="14" t="str">
        <f>IF(OR($C302="01-09",$C302="10-14",$D302="Female"),"",INDEX(VMMC!$AB:$AB,MATCH($E302,VMMC!$E:$E,0)))</f>
        <v/>
      </c>
      <c r="AS302" s="14" t="str">
        <f>IF(OR($C302="01-09",$C302="10-14"),"",INDEX(PrEP!$Q:$Q,MATCH($E302,PrEP!$E:$E,0)))</f>
        <v/>
      </c>
      <c r="AT302" s="14" t="str">
        <f t="shared" si="128"/>
        <v/>
      </c>
      <c r="AU302" s="14" t="str">
        <f t="shared" si="129"/>
        <v/>
      </c>
      <c r="AV302" s="90" t="str">
        <f t="shared" si="130"/>
        <v/>
      </c>
      <c r="AW302" s="14">
        <v>58</v>
      </c>
      <c r="AX302" s="90">
        <f t="shared" si="131"/>
        <v>0</v>
      </c>
      <c r="AY302" s="42">
        <f t="shared" si="132"/>
        <v>58</v>
      </c>
      <c r="AZ302" s="90">
        <f t="shared" si="133"/>
        <v>1</v>
      </c>
      <c r="BA302" s="42" t="str">
        <f t="shared" si="134"/>
        <v/>
      </c>
    </row>
    <row r="303" spans="1:53" x14ac:dyDescent="0.2">
      <c r="A303" t="str">
        <f>INDEX(Prioritization!$D:$D,MATCH($B303,Prioritization!$A:$A,0))</f>
        <v>INVALID</v>
      </c>
      <c r="B303" t="s">
        <v>217</v>
      </c>
      <c r="C303" t="s">
        <v>362</v>
      </c>
      <c r="D303" t="s">
        <v>29</v>
      </c>
      <c r="E303" t="str">
        <f t="shared" si="108"/>
        <v>Neno District [gwVYinjBAe9]|01-09|Female</v>
      </c>
      <c r="F303" s="90">
        <f>IF(LEFT($B303,4)="_Mil","",INDEX(Cascade!$AA:$AA,MATCH($E303,Cascade!$E:$E,0)))</f>
        <v>606</v>
      </c>
      <c r="G303" s="14">
        <f>INDEX(Cascade!$BH:$BH,MATCH($E303,Cascade!$E:$E,0))</f>
        <v>0</v>
      </c>
      <c r="H303" s="14" t="str">
        <f>IF(OR($C303="01-09",$D303="Male"),"",INDEX(PMTCT!$AC:$AC,MATCH($E303,PMTCT!$E:$E,0)))</f>
        <v/>
      </c>
      <c r="I303" s="14" t="str">
        <f>IF(OR($C303="01-09",$D303="Male"),"",INDEX(PMTCT!$AS:$AS,MATCH($E303,PMTCT!$E:$E,0)))</f>
        <v/>
      </c>
      <c r="J303" s="14" t="str">
        <f>INDEX(TB!$P:$P,MATCH($E303,TB!$E:$E,0))</f>
        <v/>
      </c>
      <c r="K303" s="14" t="str">
        <f>IF(OR($C303="01-09",$C303="10-14",$D303="Female"),"",INDEX(VMMC!$AA:$AA,MATCH($E303,VMMC!$E:$E,0)))</f>
        <v/>
      </c>
      <c r="L303" s="14">
        <f t="shared" si="109"/>
        <v>0</v>
      </c>
      <c r="M303" s="90" t="str">
        <f t="shared" si="110"/>
        <v/>
      </c>
      <c r="N303" s="90" t="str">
        <f t="shared" si="111"/>
        <v/>
      </c>
      <c r="O303" s="90" t="str">
        <f t="shared" si="112"/>
        <v/>
      </c>
      <c r="P303" s="90" t="str">
        <f t="shared" si="113"/>
        <v/>
      </c>
      <c r="Q303" s="90"/>
      <c r="R303" s="90"/>
      <c r="S303" s="90"/>
      <c r="T303" s="90"/>
      <c r="U303" s="90"/>
      <c r="V303" s="90" t="str">
        <f t="shared" si="114"/>
        <v/>
      </c>
      <c r="W303" s="90"/>
      <c r="X303" s="42" t="str">
        <f t="shared" si="115"/>
        <v/>
      </c>
      <c r="Y303" s="42" t="str">
        <f t="shared" si="116"/>
        <v/>
      </c>
      <c r="Z303" s="90"/>
      <c r="AA303" s="42" t="str">
        <f t="shared" si="117"/>
        <v/>
      </c>
      <c r="AB303" s="42" t="str">
        <f t="shared" si="118"/>
        <v/>
      </c>
      <c r="AC303" s="90"/>
      <c r="AD303" s="42" t="str">
        <f t="shared" si="119"/>
        <v/>
      </c>
      <c r="AE303" s="42" t="str">
        <f t="shared" si="120"/>
        <v/>
      </c>
      <c r="AF303" s="90"/>
      <c r="AG303" s="42" t="str">
        <f t="shared" si="121"/>
        <v/>
      </c>
      <c r="AH303" s="42" t="str">
        <f t="shared" si="122"/>
        <v/>
      </c>
      <c r="AI303" s="90"/>
      <c r="AJ303" s="42" t="str">
        <f t="shared" si="123"/>
        <v/>
      </c>
      <c r="AK303" s="42" t="str">
        <f t="shared" si="124"/>
        <v/>
      </c>
      <c r="AL303" s="14" t="str">
        <f t="shared" si="125"/>
        <v/>
      </c>
      <c r="AM303" s="14" t="str">
        <f t="shared" si="126"/>
        <v/>
      </c>
      <c r="AN303" s="14" t="str">
        <f t="shared" si="127"/>
        <v/>
      </c>
      <c r="AO303" s="14" t="str">
        <f>IF(OR($C303="01-09",$D303="Male"),"",INDEX(PMTCT!$AD:$AD,MATCH($E303,PMTCT!$E:$E,0)))</f>
        <v/>
      </c>
      <c r="AP303" s="14" t="str">
        <f>IF(OR($C303="01-09",$D303="Male"),"",INDEX(PMTCT!$AT:$AT,MATCH($E303,PMTCT!$E:$E,0)))</f>
        <v/>
      </c>
      <c r="AQ303" s="14" t="str">
        <f>INDEX(TB!$Q:$Q,MATCH($E303,TB!$E:$E,0))</f>
        <v/>
      </c>
      <c r="AR303" s="14" t="str">
        <f>IF(OR($C303="01-09",$C303="10-14",$D303="Female"),"",INDEX(VMMC!$AB:$AB,MATCH($E303,VMMC!$E:$E,0)))</f>
        <v/>
      </c>
      <c r="AS303" s="14" t="str">
        <f>IF(OR($C303="01-09",$C303="10-14"),"",INDEX(PrEP!$Q:$Q,MATCH($E303,PrEP!$E:$E,0)))</f>
        <v/>
      </c>
      <c r="AT303" s="14" t="str">
        <f t="shared" si="128"/>
        <v/>
      </c>
      <c r="AU303" s="14" t="str">
        <f t="shared" si="129"/>
        <v/>
      </c>
      <c r="AV303" s="90" t="str">
        <f t="shared" si="130"/>
        <v/>
      </c>
      <c r="AW303" s="14"/>
      <c r="AX303" s="90" t="str">
        <f t="shared" si="131"/>
        <v/>
      </c>
      <c r="AY303" s="42" t="str">
        <f t="shared" si="132"/>
        <v/>
      </c>
      <c r="AZ303" s="90" t="str">
        <f t="shared" si="133"/>
        <v/>
      </c>
      <c r="BA303" s="42" t="str">
        <f t="shared" si="134"/>
        <v/>
      </c>
    </row>
    <row r="304" spans="1:53" x14ac:dyDescent="0.2">
      <c r="A304" t="str">
        <f>INDEX(Prioritization!$D:$D,MATCH($B304,Prioritization!$A:$A,0))</f>
        <v>INVALID</v>
      </c>
      <c r="B304" t="s">
        <v>217</v>
      </c>
      <c r="C304" t="s">
        <v>362</v>
      </c>
      <c r="D304" t="s">
        <v>47</v>
      </c>
      <c r="E304" t="str">
        <f t="shared" si="108"/>
        <v>Neno District [gwVYinjBAe9]|01-09|Male</v>
      </c>
      <c r="F304" s="90">
        <f>IF(LEFT($B304,4)="_Mil","",INDEX(Cascade!$AA:$AA,MATCH($E304,Cascade!$E:$E,0)))</f>
        <v>1144</v>
      </c>
      <c r="G304" s="14">
        <f>INDEX(Cascade!$BH:$BH,MATCH($E304,Cascade!$E:$E,0))</f>
        <v>0</v>
      </c>
      <c r="H304" s="14" t="str">
        <f>IF(OR($C304="01-09",$D304="Male"),"",INDEX(PMTCT!$AC:$AC,MATCH($E304,PMTCT!$E:$E,0)))</f>
        <v/>
      </c>
      <c r="I304" s="14" t="str">
        <f>IF(OR($C304="01-09",$D304="Male"),"",INDEX(PMTCT!$AS:$AS,MATCH($E304,PMTCT!$E:$E,0)))</f>
        <v/>
      </c>
      <c r="J304" s="14" t="str">
        <f>INDEX(TB!$P:$P,MATCH($E304,TB!$E:$E,0))</f>
        <v/>
      </c>
      <c r="K304" s="14" t="str">
        <f>IF(OR($C304="01-09",$C304="10-14",$D304="Female"),"",INDEX(VMMC!$AA:$AA,MATCH($E304,VMMC!$E:$E,0)))</f>
        <v/>
      </c>
      <c r="L304" s="14">
        <f t="shared" si="109"/>
        <v>0</v>
      </c>
      <c r="M304" s="90" t="str">
        <f t="shared" si="110"/>
        <v/>
      </c>
      <c r="N304" s="90" t="str">
        <f t="shared" si="111"/>
        <v/>
      </c>
      <c r="O304" s="90" t="str">
        <f t="shared" si="112"/>
        <v/>
      </c>
      <c r="P304" s="90" t="str">
        <f t="shared" si="113"/>
        <v/>
      </c>
      <c r="Q304" s="90"/>
      <c r="R304" s="90"/>
      <c r="S304" s="90"/>
      <c r="T304" s="90"/>
      <c r="U304" s="90"/>
      <c r="V304" s="90" t="str">
        <f t="shared" si="114"/>
        <v/>
      </c>
      <c r="W304" s="90"/>
      <c r="X304" s="42" t="str">
        <f t="shared" si="115"/>
        <v/>
      </c>
      <c r="Y304" s="42" t="str">
        <f t="shared" si="116"/>
        <v/>
      </c>
      <c r="Z304" s="90"/>
      <c r="AA304" s="42" t="str">
        <f t="shared" si="117"/>
        <v/>
      </c>
      <c r="AB304" s="42" t="str">
        <f t="shared" si="118"/>
        <v/>
      </c>
      <c r="AC304" s="90"/>
      <c r="AD304" s="42" t="str">
        <f t="shared" si="119"/>
        <v/>
      </c>
      <c r="AE304" s="42" t="str">
        <f t="shared" si="120"/>
        <v/>
      </c>
      <c r="AF304" s="90"/>
      <c r="AG304" s="42" t="str">
        <f t="shared" si="121"/>
        <v/>
      </c>
      <c r="AH304" s="42" t="str">
        <f t="shared" si="122"/>
        <v/>
      </c>
      <c r="AI304" s="90"/>
      <c r="AJ304" s="42" t="str">
        <f t="shared" si="123"/>
        <v/>
      </c>
      <c r="AK304" s="42" t="str">
        <f t="shared" si="124"/>
        <v/>
      </c>
      <c r="AL304" s="14" t="str">
        <f t="shared" si="125"/>
        <v/>
      </c>
      <c r="AM304" s="14" t="str">
        <f t="shared" si="126"/>
        <v/>
      </c>
      <c r="AN304" s="14" t="str">
        <f t="shared" si="127"/>
        <v/>
      </c>
      <c r="AO304" s="14" t="str">
        <f>IF(OR($C304="01-09",$D304="Male"),"",INDEX(PMTCT!$AD:$AD,MATCH($E304,PMTCT!$E:$E,0)))</f>
        <v/>
      </c>
      <c r="AP304" s="14" t="str">
        <f>IF(OR($C304="01-09",$D304="Male"),"",INDEX(PMTCT!$AT:$AT,MATCH($E304,PMTCT!$E:$E,0)))</f>
        <v/>
      </c>
      <c r="AQ304" s="14" t="str">
        <f>INDEX(TB!$Q:$Q,MATCH($E304,TB!$E:$E,0))</f>
        <v/>
      </c>
      <c r="AR304" s="14" t="str">
        <f>IF(OR($C304="01-09",$C304="10-14",$D304="Female"),"",INDEX(VMMC!$AB:$AB,MATCH($E304,VMMC!$E:$E,0)))</f>
        <v/>
      </c>
      <c r="AS304" s="14" t="str">
        <f>IF(OR($C304="01-09",$C304="10-14"),"",INDEX(PrEP!$Q:$Q,MATCH($E304,PrEP!$E:$E,0)))</f>
        <v/>
      </c>
      <c r="AT304" s="14" t="str">
        <f t="shared" si="128"/>
        <v/>
      </c>
      <c r="AU304" s="14" t="str">
        <f t="shared" si="129"/>
        <v/>
      </c>
      <c r="AV304" s="90" t="str">
        <f t="shared" si="130"/>
        <v/>
      </c>
      <c r="AW304" s="14"/>
      <c r="AX304" s="90" t="str">
        <f t="shared" si="131"/>
        <v/>
      </c>
      <c r="AY304" s="42" t="str">
        <f t="shared" si="132"/>
        <v/>
      </c>
      <c r="AZ304" s="90" t="str">
        <f t="shared" si="133"/>
        <v/>
      </c>
      <c r="BA304" s="42" t="str">
        <f t="shared" si="134"/>
        <v/>
      </c>
    </row>
    <row r="305" spans="1:53" x14ac:dyDescent="0.2">
      <c r="A305" t="str">
        <f>INDEX(Prioritization!$D:$D,MATCH($B305,Prioritization!$A:$A,0))</f>
        <v>INVALID</v>
      </c>
      <c r="B305" t="s">
        <v>217</v>
      </c>
      <c r="C305" t="s">
        <v>363</v>
      </c>
      <c r="D305" t="s">
        <v>29</v>
      </c>
      <c r="E305" t="str">
        <f t="shared" si="108"/>
        <v>Neno District [gwVYinjBAe9]|10-14|Female</v>
      </c>
      <c r="F305" s="90">
        <f>IF(LEFT($B305,4)="_Mil","",INDEX(Cascade!$AA:$AA,MATCH($E305,Cascade!$E:$E,0)))</f>
        <v>574</v>
      </c>
      <c r="G305" s="14">
        <f>INDEX(Cascade!$BH:$BH,MATCH($E305,Cascade!$E:$E,0))</f>
        <v>-67</v>
      </c>
      <c r="H305" s="14" t="str">
        <f>IF(OR($C305="01-09",$D305="Male"),"",INDEX(PMTCT!$AC:$AC,MATCH($E305,PMTCT!$E:$E,0)))</f>
        <v>ENTER YIELD RATE</v>
      </c>
      <c r="I305" s="14" t="str">
        <f>IF(OR($C305="01-09",$D305="Male"),"",INDEX(PMTCT!$AS:$AS,MATCH($E305,PMTCT!$E:$E,0)))</f>
        <v>ENTER YIELD RATE</v>
      </c>
      <c r="J305" s="14" t="str">
        <f>INDEX(TB!$P:$P,MATCH($E305,TB!$E:$E,0))</f>
        <v>ENTER YIELD RATE</v>
      </c>
      <c r="K305" s="14" t="str">
        <f>IF(OR($C305="01-09",$C305="10-14",$D305="Female"),"",INDEX(VMMC!$AA:$AA,MATCH($E305,VMMC!$E:$E,0)))</f>
        <v/>
      </c>
      <c r="L305" s="14">
        <f t="shared" si="109"/>
        <v>-67</v>
      </c>
      <c r="M305" s="90">
        <f t="shared" si="110"/>
        <v>0</v>
      </c>
      <c r="N305" s="90">
        <f t="shared" si="111"/>
        <v>0</v>
      </c>
      <c r="O305" s="90">
        <f t="shared" si="112"/>
        <v>0</v>
      </c>
      <c r="P305" s="90" t="str">
        <f t="shared" si="113"/>
        <v/>
      </c>
      <c r="Q305" s="90">
        <v>0.69980857637710903</v>
      </c>
      <c r="R305" s="90"/>
      <c r="S305" s="90"/>
      <c r="T305" s="90"/>
      <c r="U305" s="90">
        <v>0.22012626379728301</v>
      </c>
      <c r="V305" s="90">
        <f t="shared" si="114"/>
        <v>0.91993484017439209</v>
      </c>
      <c r="W305" s="90"/>
      <c r="X305" s="42">
        <f t="shared" si="115"/>
        <v>-47</v>
      </c>
      <c r="Y305" s="42" t="str">
        <f t="shared" si="116"/>
        <v>ENTER YIELD</v>
      </c>
      <c r="Z305" s="90"/>
      <c r="AA305" s="42" t="str">
        <f t="shared" si="117"/>
        <v/>
      </c>
      <c r="AB305" s="42" t="str">
        <f t="shared" si="118"/>
        <v/>
      </c>
      <c r="AC305" s="90"/>
      <c r="AD305" s="42" t="str">
        <f t="shared" si="119"/>
        <v/>
      </c>
      <c r="AE305" s="42" t="str">
        <f t="shared" si="120"/>
        <v/>
      </c>
      <c r="AF305" s="90"/>
      <c r="AG305" s="42" t="str">
        <f t="shared" si="121"/>
        <v/>
      </c>
      <c r="AH305" s="42" t="str">
        <f t="shared" si="122"/>
        <v/>
      </c>
      <c r="AI305" s="90"/>
      <c r="AJ305" s="42">
        <f t="shared" si="123"/>
        <v>-15</v>
      </c>
      <c r="AK305" s="42" t="str">
        <f t="shared" si="124"/>
        <v>ENTER YIELD</v>
      </c>
      <c r="AL305" s="14">
        <f t="shared" si="125"/>
        <v>-67</v>
      </c>
      <c r="AM305" s="14">
        <f t="shared" si="126"/>
        <v>-62</v>
      </c>
      <c r="AN305" s="14">
        <f t="shared" si="127"/>
        <v>5</v>
      </c>
      <c r="AO305" s="14">
        <f>IF(OR($C305="01-09",$D305="Male"),"",INDEX(PMTCT!$AD:$AD,MATCH($E305,PMTCT!$E:$E,0)))</f>
        <v>5</v>
      </c>
      <c r="AP305" s="14">
        <f>IF(OR($C305="01-09",$D305="Male"),"",INDEX(PMTCT!$AT:$AT,MATCH($E305,PMTCT!$E:$E,0)))</f>
        <v>5</v>
      </c>
      <c r="AQ305" s="14">
        <f>INDEX(TB!$Q:$Q,MATCH($E305,TB!$E:$E,0))</f>
        <v>1</v>
      </c>
      <c r="AR305" s="14" t="str">
        <f>IF(OR($C305="01-09",$C305="10-14",$D305="Female"),"",INDEX(VMMC!$AB:$AB,MATCH($E305,VMMC!$E:$E,0)))</f>
        <v/>
      </c>
      <c r="AS305" s="14" t="str">
        <f>IF(OR($C305="01-09",$C305="10-14"),"",INDEX(PrEP!$Q:$Q,MATCH($E305,PrEP!$E:$E,0)))</f>
        <v/>
      </c>
      <c r="AT305" s="14">
        <f t="shared" si="128"/>
        <v>11</v>
      </c>
      <c r="AU305" s="14">
        <f t="shared" si="129"/>
        <v>-51</v>
      </c>
      <c r="AV305" s="90">
        <f t="shared" si="130"/>
        <v>1.2156862745098038</v>
      </c>
      <c r="AW305" s="14"/>
      <c r="AX305" s="90" t="str">
        <f t="shared" si="131"/>
        <v/>
      </c>
      <c r="AY305" s="42" t="str">
        <f t="shared" si="132"/>
        <v/>
      </c>
      <c r="AZ305" s="90" t="str">
        <f t="shared" si="133"/>
        <v/>
      </c>
      <c r="BA305" s="42" t="str">
        <f t="shared" si="134"/>
        <v/>
      </c>
    </row>
    <row r="306" spans="1:53" x14ac:dyDescent="0.2">
      <c r="A306" t="str">
        <f>INDEX(Prioritization!$D:$D,MATCH($B306,Prioritization!$A:$A,0))</f>
        <v>INVALID</v>
      </c>
      <c r="B306" t="s">
        <v>217</v>
      </c>
      <c r="C306" t="s">
        <v>363</v>
      </c>
      <c r="D306" t="s">
        <v>47</v>
      </c>
      <c r="E306" t="str">
        <f t="shared" si="108"/>
        <v>Neno District [gwVYinjBAe9]|10-14|Male</v>
      </c>
      <c r="F306" s="90">
        <f>IF(LEFT($B306,4)="_Mil","",INDEX(Cascade!$AA:$AA,MATCH($E306,Cascade!$E:$E,0)))</f>
        <v>1598</v>
      </c>
      <c r="G306" s="14">
        <f>INDEX(Cascade!$BH:$BH,MATCH($E306,Cascade!$E:$E,0))</f>
        <v>-94</v>
      </c>
      <c r="H306" s="14" t="str">
        <f>IF(OR($C306="01-09",$D306="Male"),"",INDEX(PMTCT!$AC:$AC,MATCH($E306,PMTCT!$E:$E,0)))</f>
        <v/>
      </c>
      <c r="I306" s="14" t="str">
        <f>IF(OR($C306="01-09",$D306="Male"),"",INDEX(PMTCT!$AS:$AS,MATCH($E306,PMTCT!$E:$E,0)))</f>
        <v/>
      </c>
      <c r="J306" s="14" t="str">
        <f>INDEX(TB!$P:$P,MATCH($E306,TB!$E:$E,0))</f>
        <v>ENTER YIELD RATE</v>
      </c>
      <c r="K306" s="14" t="str">
        <f>IF(OR($C306="01-09",$C306="10-14",$D306="Female"),"",INDEX(VMMC!$AA:$AA,MATCH($E306,VMMC!$E:$E,0)))</f>
        <v/>
      </c>
      <c r="L306" s="14">
        <f t="shared" si="109"/>
        <v>-94</v>
      </c>
      <c r="M306" s="90" t="str">
        <f t="shared" si="110"/>
        <v/>
      </c>
      <c r="N306" s="90" t="str">
        <f t="shared" si="111"/>
        <v/>
      </c>
      <c r="O306" s="90">
        <f t="shared" si="112"/>
        <v>0</v>
      </c>
      <c r="P306" s="90" t="str">
        <f t="shared" si="113"/>
        <v/>
      </c>
      <c r="Q306" s="90"/>
      <c r="R306" s="90"/>
      <c r="S306" s="90"/>
      <c r="T306" s="90"/>
      <c r="U306" s="90"/>
      <c r="V306" s="90">
        <f t="shared" si="114"/>
        <v>0</v>
      </c>
      <c r="W306" s="90"/>
      <c r="X306" s="42" t="str">
        <f t="shared" si="115"/>
        <v/>
      </c>
      <c r="Y306" s="42" t="str">
        <f t="shared" si="116"/>
        <v/>
      </c>
      <c r="Z306" s="90"/>
      <c r="AA306" s="42" t="str">
        <f t="shared" si="117"/>
        <v/>
      </c>
      <c r="AB306" s="42" t="str">
        <f t="shared" si="118"/>
        <v/>
      </c>
      <c r="AC306" s="90"/>
      <c r="AD306" s="42" t="str">
        <f t="shared" si="119"/>
        <v/>
      </c>
      <c r="AE306" s="42" t="str">
        <f t="shared" si="120"/>
        <v/>
      </c>
      <c r="AF306" s="90"/>
      <c r="AG306" s="42" t="str">
        <f t="shared" si="121"/>
        <v/>
      </c>
      <c r="AH306" s="42" t="str">
        <f t="shared" si="122"/>
        <v/>
      </c>
      <c r="AI306" s="90"/>
      <c r="AJ306" s="42" t="str">
        <f t="shared" si="123"/>
        <v/>
      </c>
      <c r="AK306" s="42" t="str">
        <f t="shared" si="124"/>
        <v/>
      </c>
      <c r="AL306" s="14">
        <f t="shared" si="125"/>
        <v>-94</v>
      </c>
      <c r="AM306" s="14" t="str">
        <f t="shared" si="126"/>
        <v/>
      </c>
      <c r="AN306" s="14" t="e">
        <f t="shared" si="127"/>
        <v>#VALUE!</v>
      </c>
      <c r="AO306" s="14" t="str">
        <f>IF(OR($C306="01-09",$D306="Male"),"",INDEX(PMTCT!$AD:$AD,MATCH($E306,PMTCT!$E:$E,0)))</f>
        <v/>
      </c>
      <c r="AP306" s="14" t="str">
        <f>IF(OR($C306="01-09",$D306="Male"),"",INDEX(PMTCT!$AT:$AT,MATCH($E306,PMTCT!$E:$E,0)))</f>
        <v/>
      </c>
      <c r="AQ306" s="14">
        <f>INDEX(TB!$Q:$Q,MATCH($E306,TB!$E:$E,0))</f>
        <v>1</v>
      </c>
      <c r="AR306" s="14" t="str">
        <f>IF(OR($C306="01-09",$C306="10-14",$D306="Female"),"",INDEX(VMMC!$AB:$AB,MATCH($E306,VMMC!$E:$E,0)))</f>
        <v/>
      </c>
      <c r="AS306" s="14" t="str">
        <f>IF(OR($C306="01-09",$C306="10-14"),"",INDEX(PrEP!$Q:$Q,MATCH($E306,PrEP!$E:$E,0)))</f>
        <v/>
      </c>
      <c r="AT306" s="14">
        <f t="shared" si="128"/>
        <v>1</v>
      </c>
      <c r="AU306" s="14">
        <f t="shared" si="129"/>
        <v>1</v>
      </c>
      <c r="AV306" s="90" t="e">
        <f t="shared" si="130"/>
        <v>#VALUE!</v>
      </c>
      <c r="AW306" s="14"/>
      <c r="AX306" s="90" t="str">
        <f t="shared" si="131"/>
        <v/>
      </c>
      <c r="AY306" s="42" t="str">
        <f t="shared" si="132"/>
        <v/>
      </c>
      <c r="AZ306" s="90" t="str">
        <f t="shared" si="133"/>
        <v/>
      </c>
      <c r="BA306" s="42" t="str">
        <f t="shared" si="134"/>
        <v/>
      </c>
    </row>
    <row r="307" spans="1:53" x14ac:dyDescent="0.2">
      <c r="A307" t="str">
        <f>INDEX(Prioritization!$D:$D,MATCH($B307,Prioritization!$A:$A,0))</f>
        <v>INVALID</v>
      </c>
      <c r="B307" t="s">
        <v>217</v>
      </c>
      <c r="C307" t="s">
        <v>364</v>
      </c>
      <c r="D307" t="s">
        <v>29</v>
      </c>
      <c r="E307" t="str">
        <f t="shared" si="108"/>
        <v>Neno District [gwVYinjBAe9]|15-24|Female</v>
      </c>
      <c r="F307" s="90">
        <f>IF(LEFT($B307,4)="_Mil","",INDEX(Cascade!$AA:$AA,MATCH($E307,Cascade!$E:$E,0)))</f>
        <v>1569</v>
      </c>
      <c r="G307" s="14">
        <f>INDEX(Cascade!$BH:$BH,MATCH($E307,Cascade!$E:$E,0))</f>
        <v>0</v>
      </c>
      <c r="H307" s="14" t="str">
        <f>IF(OR($C307="01-09",$D307="Male"),"",INDEX(PMTCT!$AC:$AC,MATCH($E307,PMTCT!$E:$E,0)))</f>
        <v/>
      </c>
      <c r="I307" s="14" t="str">
        <f>IF(OR($C307="01-09",$D307="Male"),"",INDEX(PMTCT!$AS:$AS,MATCH($E307,PMTCT!$E:$E,0)))</f>
        <v/>
      </c>
      <c r="J307" s="14" t="str">
        <f>INDEX(TB!$P:$P,MATCH($E307,TB!$E:$E,0))</f>
        <v/>
      </c>
      <c r="K307" s="14" t="str">
        <f>IF(OR($C307="01-09",$C307="10-14",$D307="Female"),"",INDEX(VMMC!$AA:$AA,MATCH($E307,VMMC!$E:$E,0)))</f>
        <v/>
      </c>
      <c r="L307" s="14">
        <f t="shared" si="109"/>
        <v>0</v>
      </c>
      <c r="M307" s="90" t="str">
        <f t="shared" si="110"/>
        <v/>
      </c>
      <c r="N307" s="90" t="str">
        <f t="shared" si="111"/>
        <v/>
      </c>
      <c r="O307" s="90" t="str">
        <f t="shared" si="112"/>
        <v/>
      </c>
      <c r="P307" s="90" t="str">
        <f t="shared" si="113"/>
        <v/>
      </c>
      <c r="Q307" s="90"/>
      <c r="R307" s="90"/>
      <c r="S307" s="90"/>
      <c r="T307" s="90"/>
      <c r="U307" s="90"/>
      <c r="V307" s="90" t="str">
        <f t="shared" si="114"/>
        <v/>
      </c>
      <c r="W307" s="90"/>
      <c r="X307" s="42" t="str">
        <f t="shared" si="115"/>
        <v/>
      </c>
      <c r="Y307" s="42" t="str">
        <f t="shared" si="116"/>
        <v/>
      </c>
      <c r="Z307" s="90"/>
      <c r="AA307" s="42" t="str">
        <f t="shared" si="117"/>
        <v/>
      </c>
      <c r="AB307" s="42" t="str">
        <f t="shared" si="118"/>
        <v/>
      </c>
      <c r="AC307" s="90"/>
      <c r="AD307" s="42" t="str">
        <f t="shared" si="119"/>
        <v/>
      </c>
      <c r="AE307" s="42" t="str">
        <f t="shared" si="120"/>
        <v/>
      </c>
      <c r="AF307" s="90"/>
      <c r="AG307" s="42" t="str">
        <f t="shared" si="121"/>
        <v/>
      </c>
      <c r="AH307" s="42" t="str">
        <f t="shared" si="122"/>
        <v/>
      </c>
      <c r="AI307" s="90"/>
      <c r="AJ307" s="42" t="str">
        <f t="shared" si="123"/>
        <v/>
      </c>
      <c r="AK307" s="42" t="str">
        <f t="shared" si="124"/>
        <v/>
      </c>
      <c r="AL307" s="14" t="str">
        <f t="shared" si="125"/>
        <v/>
      </c>
      <c r="AM307" s="14" t="str">
        <f t="shared" si="126"/>
        <v/>
      </c>
      <c r="AN307" s="14" t="str">
        <f t="shared" si="127"/>
        <v/>
      </c>
      <c r="AO307" s="14" t="str">
        <f>IF(OR($C307="01-09",$D307="Male"),"",INDEX(PMTCT!$AD:$AD,MATCH($E307,PMTCT!$E:$E,0)))</f>
        <v/>
      </c>
      <c r="AP307" s="14" t="str">
        <f>IF(OR($C307="01-09",$D307="Male"),"",INDEX(PMTCT!$AT:$AT,MATCH($E307,PMTCT!$E:$E,0)))</f>
        <v/>
      </c>
      <c r="AQ307" s="14" t="str">
        <f>INDEX(TB!$Q:$Q,MATCH($E307,TB!$E:$E,0))</f>
        <v/>
      </c>
      <c r="AR307" s="14" t="str">
        <f>IF(OR($C307="01-09",$C307="10-14",$D307="Female"),"",INDEX(VMMC!$AB:$AB,MATCH($E307,VMMC!$E:$E,0)))</f>
        <v/>
      </c>
      <c r="AS307" s="14" t="str">
        <f>IF(OR($C307="01-09",$C307="10-14"),"",INDEX(PrEP!$Q:$Q,MATCH($E307,PrEP!$E:$E,0)))</f>
        <v/>
      </c>
      <c r="AT307" s="14" t="str">
        <f t="shared" si="128"/>
        <v/>
      </c>
      <c r="AU307" s="14" t="str">
        <f t="shared" si="129"/>
        <v/>
      </c>
      <c r="AV307" s="90" t="str">
        <f t="shared" si="130"/>
        <v/>
      </c>
      <c r="AW307" s="14"/>
      <c r="AX307" s="90" t="str">
        <f t="shared" si="131"/>
        <v/>
      </c>
      <c r="AY307" s="42" t="str">
        <f t="shared" si="132"/>
        <v/>
      </c>
      <c r="AZ307" s="90">
        <f t="shared" si="133"/>
        <v>1</v>
      </c>
      <c r="BA307" s="42" t="str">
        <f t="shared" si="134"/>
        <v/>
      </c>
    </row>
    <row r="308" spans="1:53" x14ac:dyDescent="0.2">
      <c r="A308" t="str">
        <f>INDEX(Prioritization!$D:$D,MATCH($B308,Prioritization!$A:$A,0))</f>
        <v>INVALID</v>
      </c>
      <c r="B308" t="s">
        <v>217</v>
      </c>
      <c r="C308" t="s">
        <v>364</v>
      </c>
      <c r="D308" t="s">
        <v>47</v>
      </c>
      <c r="E308" t="str">
        <f t="shared" si="108"/>
        <v>Neno District [gwVYinjBAe9]|15-24|Male</v>
      </c>
      <c r="F308" s="90">
        <f>IF(LEFT($B308,4)="_Mil","",INDEX(Cascade!$AA:$AA,MATCH($E308,Cascade!$E:$E,0)))</f>
        <v>760</v>
      </c>
      <c r="G308" s="14">
        <f>INDEX(Cascade!$BH:$BH,MATCH($E308,Cascade!$E:$E,0))</f>
        <v>0</v>
      </c>
      <c r="H308" s="14" t="str">
        <f>IF(OR($C308="01-09",$D308="Male"),"",INDEX(PMTCT!$AC:$AC,MATCH($E308,PMTCT!$E:$E,0)))</f>
        <v/>
      </c>
      <c r="I308" s="14" t="str">
        <f>IF(OR($C308="01-09",$D308="Male"),"",INDEX(PMTCT!$AS:$AS,MATCH($E308,PMTCT!$E:$E,0)))</f>
        <v/>
      </c>
      <c r="J308" s="14" t="str">
        <f>INDEX(TB!$P:$P,MATCH($E308,TB!$E:$E,0))</f>
        <v/>
      </c>
      <c r="K308" s="14" t="str">
        <f>IF(OR($C308="01-09",$C308="10-14",$D308="Female"),"",INDEX(VMMC!$AA:$AA,MATCH($E308,VMMC!$E:$E,0)))</f>
        <v/>
      </c>
      <c r="L308" s="14">
        <f t="shared" si="109"/>
        <v>0</v>
      </c>
      <c r="M308" s="90" t="str">
        <f t="shared" si="110"/>
        <v/>
      </c>
      <c r="N308" s="90" t="str">
        <f t="shared" si="111"/>
        <v/>
      </c>
      <c r="O308" s="90" t="str">
        <f t="shared" si="112"/>
        <v/>
      </c>
      <c r="P308" s="90" t="str">
        <f t="shared" si="113"/>
        <v/>
      </c>
      <c r="Q308" s="90"/>
      <c r="R308" s="90"/>
      <c r="S308" s="90"/>
      <c r="T308" s="90"/>
      <c r="U308" s="90"/>
      <c r="V308" s="90" t="str">
        <f t="shared" si="114"/>
        <v/>
      </c>
      <c r="W308" s="90"/>
      <c r="X308" s="42" t="str">
        <f t="shared" si="115"/>
        <v/>
      </c>
      <c r="Y308" s="42" t="str">
        <f t="shared" si="116"/>
        <v/>
      </c>
      <c r="Z308" s="90"/>
      <c r="AA308" s="42" t="str">
        <f t="shared" si="117"/>
        <v/>
      </c>
      <c r="AB308" s="42" t="str">
        <f t="shared" si="118"/>
        <v/>
      </c>
      <c r="AC308" s="90"/>
      <c r="AD308" s="42" t="str">
        <f t="shared" si="119"/>
        <v/>
      </c>
      <c r="AE308" s="42" t="str">
        <f t="shared" si="120"/>
        <v/>
      </c>
      <c r="AF308" s="90"/>
      <c r="AG308" s="42" t="str">
        <f t="shared" si="121"/>
        <v/>
      </c>
      <c r="AH308" s="42" t="str">
        <f t="shared" si="122"/>
        <v/>
      </c>
      <c r="AI308" s="90"/>
      <c r="AJ308" s="42" t="str">
        <f t="shared" si="123"/>
        <v/>
      </c>
      <c r="AK308" s="42" t="str">
        <f t="shared" si="124"/>
        <v/>
      </c>
      <c r="AL308" s="14" t="str">
        <f t="shared" si="125"/>
        <v/>
      </c>
      <c r="AM308" s="14" t="str">
        <f t="shared" si="126"/>
        <v/>
      </c>
      <c r="AN308" s="14" t="str">
        <f t="shared" si="127"/>
        <v/>
      </c>
      <c r="AO308" s="14" t="str">
        <f>IF(OR($C308="01-09",$D308="Male"),"",INDEX(PMTCT!$AD:$AD,MATCH($E308,PMTCT!$E:$E,0)))</f>
        <v/>
      </c>
      <c r="AP308" s="14" t="str">
        <f>IF(OR($C308="01-09",$D308="Male"),"",INDEX(PMTCT!$AT:$AT,MATCH($E308,PMTCT!$E:$E,0)))</f>
        <v/>
      </c>
      <c r="AQ308" s="14" t="str">
        <f>INDEX(TB!$Q:$Q,MATCH($E308,TB!$E:$E,0))</f>
        <v/>
      </c>
      <c r="AR308" s="14" t="str">
        <f>IF(OR($C308="01-09",$C308="10-14",$D308="Female"),"",INDEX(VMMC!$AB:$AB,MATCH($E308,VMMC!$E:$E,0)))</f>
        <v/>
      </c>
      <c r="AS308" s="14" t="str">
        <f>IF(OR($C308="01-09",$C308="10-14"),"",INDEX(PrEP!$Q:$Q,MATCH($E308,PrEP!$E:$E,0)))</f>
        <v/>
      </c>
      <c r="AT308" s="14" t="str">
        <f t="shared" si="128"/>
        <v/>
      </c>
      <c r="AU308" s="14" t="str">
        <f t="shared" si="129"/>
        <v/>
      </c>
      <c r="AV308" s="90" t="str">
        <f t="shared" si="130"/>
        <v/>
      </c>
      <c r="AW308" s="14"/>
      <c r="AX308" s="90" t="str">
        <f t="shared" si="131"/>
        <v/>
      </c>
      <c r="AY308" s="42" t="str">
        <f t="shared" si="132"/>
        <v/>
      </c>
      <c r="AZ308" s="90">
        <f t="shared" si="133"/>
        <v>1</v>
      </c>
      <c r="BA308" s="42" t="str">
        <f t="shared" si="134"/>
        <v/>
      </c>
    </row>
    <row r="309" spans="1:53" x14ac:dyDescent="0.2">
      <c r="A309" t="str">
        <f>INDEX(Prioritization!$D:$D,MATCH($B309,Prioritization!$A:$A,0))</f>
        <v>INVALID</v>
      </c>
      <c r="B309" t="s">
        <v>217</v>
      </c>
      <c r="C309" t="s">
        <v>365</v>
      </c>
      <c r="D309" t="s">
        <v>29</v>
      </c>
      <c r="E309" t="str">
        <f t="shared" si="108"/>
        <v>Neno District [gwVYinjBAe9]|25-34|Female</v>
      </c>
      <c r="F309" s="90">
        <f>IF(LEFT($B309,4)="_Mil","",INDEX(Cascade!$AA:$AA,MATCH($E309,Cascade!$E:$E,0)))</f>
        <v>1438</v>
      </c>
      <c r="G309" s="14">
        <f>INDEX(Cascade!$BH:$BH,MATCH($E309,Cascade!$E:$E,0))</f>
        <v>0</v>
      </c>
      <c r="H309" s="14" t="str">
        <f>IF(OR($C309="01-09",$D309="Male"),"",INDEX(PMTCT!$AC:$AC,MATCH($E309,PMTCT!$E:$E,0)))</f>
        <v/>
      </c>
      <c r="I309" s="14" t="str">
        <f>IF(OR($C309="01-09",$D309="Male"),"",INDEX(PMTCT!$AS:$AS,MATCH($E309,PMTCT!$E:$E,0)))</f>
        <v/>
      </c>
      <c r="J309" s="14" t="str">
        <f>INDEX(TB!$P:$P,MATCH($E309,TB!$E:$E,0))</f>
        <v/>
      </c>
      <c r="K309" s="14" t="str">
        <f>IF(OR($C309="01-09",$C309="10-14",$D309="Female"),"",INDEX(VMMC!$AA:$AA,MATCH($E309,VMMC!$E:$E,0)))</f>
        <v/>
      </c>
      <c r="L309" s="14">
        <f t="shared" si="109"/>
        <v>0</v>
      </c>
      <c r="M309" s="90" t="str">
        <f t="shared" si="110"/>
        <v/>
      </c>
      <c r="N309" s="90" t="str">
        <f t="shared" si="111"/>
        <v/>
      </c>
      <c r="O309" s="90" t="str">
        <f t="shared" si="112"/>
        <v/>
      </c>
      <c r="P309" s="90" t="str">
        <f t="shared" si="113"/>
        <v/>
      </c>
      <c r="Q309" s="90"/>
      <c r="R309" s="90"/>
      <c r="S309" s="90"/>
      <c r="T309" s="90"/>
      <c r="U309" s="90"/>
      <c r="V309" s="90" t="str">
        <f t="shared" si="114"/>
        <v/>
      </c>
      <c r="W309" s="90"/>
      <c r="X309" s="42" t="str">
        <f t="shared" si="115"/>
        <v/>
      </c>
      <c r="Y309" s="42" t="str">
        <f t="shared" si="116"/>
        <v/>
      </c>
      <c r="Z309" s="90"/>
      <c r="AA309" s="42" t="str">
        <f t="shared" si="117"/>
        <v/>
      </c>
      <c r="AB309" s="42" t="str">
        <f t="shared" si="118"/>
        <v/>
      </c>
      <c r="AC309" s="90"/>
      <c r="AD309" s="42" t="str">
        <f t="shared" si="119"/>
        <v/>
      </c>
      <c r="AE309" s="42" t="str">
        <f t="shared" si="120"/>
        <v/>
      </c>
      <c r="AF309" s="90"/>
      <c r="AG309" s="42" t="str">
        <f t="shared" si="121"/>
        <v/>
      </c>
      <c r="AH309" s="42" t="str">
        <f t="shared" si="122"/>
        <v/>
      </c>
      <c r="AI309" s="90"/>
      <c r="AJ309" s="42" t="str">
        <f t="shared" si="123"/>
        <v/>
      </c>
      <c r="AK309" s="42" t="str">
        <f t="shared" si="124"/>
        <v/>
      </c>
      <c r="AL309" s="14" t="str">
        <f t="shared" si="125"/>
        <v/>
      </c>
      <c r="AM309" s="14" t="str">
        <f t="shared" si="126"/>
        <v/>
      </c>
      <c r="AN309" s="14" t="str">
        <f t="shared" si="127"/>
        <v/>
      </c>
      <c r="AO309" s="14" t="str">
        <f>IF(OR($C309="01-09",$D309="Male"),"",INDEX(PMTCT!$AD:$AD,MATCH($E309,PMTCT!$E:$E,0)))</f>
        <v/>
      </c>
      <c r="AP309" s="14" t="str">
        <f>IF(OR($C309="01-09",$D309="Male"),"",INDEX(PMTCT!$AT:$AT,MATCH($E309,PMTCT!$E:$E,0)))</f>
        <v/>
      </c>
      <c r="AQ309" s="14" t="str">
        <f>INDEX(TB!$Q:$Q,MATCH($E309,TB!$E:$E,0))</f>
        <v/>
      </c>
      <c r="AR309" s="14" t="str">
        <f>IF(OR($C309="01-09",$C309="10-14",$D309="Female"),"",INDEX(VMMC!$AB:$AB,MATCH($E309,VMMC!$E:$E,0)))</f>
        <v/>
      </c>
      <c r="AS309" s="14" t="str">
        <f>IF(OR($C309="01-09",$C309="10-14"),"",INDEX(PrEP!$Q:$Q,MATCH($E309,PrEP!$E:$E,0)))</f>
        <v/>
      </c>
      <c r="AT309" s="14" t="str">
        <f t="shared" si="128"/>
        <v/>
      </c>
      <c r="AU309" s="14" t="str">
        <f t="shared" si="129"/>
        <v/>
      </c>
      <c r="AV309" s="90" t="str">
        <f t="shared" si="130"/>
        <v/>
      </c>
      <c r="AW309" s="14"/>
      <c r="AX309" s="90" t="str">
        <f t="shared" si="131"/>
        <v/>
      </c>
      <c r="AY309" s="42" t="str">
        <f t="shared" si="132"/>
        <v/>
      </c>
      <c r="AZ309" s="90">
        <f t="shared" si="133"/>
        <v>1</v>
      </c>
      <c r="BA309" s="42" t="str">
        <f t="shared" si="134"/>
        <v/>
      </c>
    </row>
    <row r="310" spans="1:53" x14ac:dyDescent="0.2">
      <c r="A310" t="str">
        <f>INDEX(Prioritization!$D:$D,MATCH($B310,Prioritization!$A:$A,0))</f>
        <v>INVALID</v>
      </c>
      <c r="B310" t="s">
        <v>217</v>
      </c>
      <c r="C310" t="s">
        <v>365</v>
      </c>
      <c r="D310" t="s">
        <v>47</v>
      </c>
      <c r="E310" t="str">
        <f t="shared" si="108"/>
        <v>Neno District [gwVYinjBAe9]|25-34|Male</v>
      </c>
      <c r="F310" s="90">
        <f>IF(LEFT($B310,4)="_Mil","",INDEX(Cascade!$AA:$AA,MATCH($E310,Cascade!$E:$E,0)))</f>
        <v>1491</v>
      </c>
      <c r="G310" s="14">
        <f>INDEX(Cascade!$BH:$BH,MATCH($E310,Cascade!$E:$E,0))</f>
        <v>0</v>
      </c>
      <c r="H310" s="14" t="str">
        <f>IF(OR($C310="01-09",$D310="Male"),"",INDEX(PMTCT!$AC:$AC,MATCH($E310,PMTCT!$E:$E,0)))</f>
        <v/>
      </c>
      <c r="I310" s="14" t="str">
        <f>IF(OR($C310="01-09",$D310="Male"),"",INDEX(PMTCT!$AS:$AS,MATCH($E310,PMTCT!$E:$E,0)))</f>
        <v/>
      </c>
      <c r="J310" s="14" t="str">
        <f>INDEX(TB!$P:$P,MATCH($E310,TB!$E:$E,0))</f>
        <v/>
      </c>
      <c r="K310" s="14" t="str">
        <f>IF(OR($C310="01-09",$C310="10-14",$D310="Female"),"",INDEX(VMMC!$AA:$AA,MATCH($E310,VMMC!$E:$E,0)))</f>
        <v/>
      </c>
      <c r="L310" s="14">
        <f t="shared" si="109"/>
        <v>0</v>
      </c>
      <c r="M310" s="90" t="str">
        <f t="shared" si="110"/>
        <v/>
      </c>
      <c r="N310" s="90" t="str">
        <f t="shared" si="111"/>
        <v/>
      </c>
      <c r="O310" s="90" t="str">
        <f t="shared" si="112"/>
        <v/>
      </c>
      <c r="P310" s="90" t="str">
        <f t="shared" si="113"/>
        <v/>
      </c>
      <c r="Q310" s="90"/>
      <c r="R310" s="90"/>
      <c r="S310" s="90"/>
      <c r="T310" s="90"/>
      <c r="U310" s="90"/>
      <c r="V310" s="90" t="str">
        <f t="shared" si="114"/>
        <v/>
      </c>
      <c r="W310" s="90"/>
      <c r="X310" s="42" t="str">
        <f t="shared" si="115"/>
        <v/>
      </c>
      <c r="Y310" s="42" t="str">
        <f t="shared" si="116"/>
        <v/>
      </c>
      <c r="Z310" s="90"/>
      <c r="AA310" s="42" t="str">
        <f t="shared" si="117"/>
        <v/>
      </c>
      <c r="AB310" s="42" t="str">
        <f t="shared" si="118"/>
        <v/>
      </c>
      <c r="AC310" s="90"/>
      <c r="AD310" s="42" t="str">
        <f t="shared" si="119"/>
        <v/>
      </c>
      <c r="AE310" s="42" t="str">
        <f t="shared" si="120"/>
        <v/>
      </c>
      <c r="AF310" s="90"/>
      <c r="AG310" s="42" t="str">
        <f t="shared" si="121"/>
        <v/>
      </c>
      <c r="AH310" s="42" t="str">
        <f t="shared" si="122"/>
        <v/>
      </c>
      <c r="AI310" s="90"/>
      <c r="AJ310" s="42" t="str">
        <f t="shared" si="123"/>
        <v/>
      </c>
      <c r="AK310" s="42" t="str">
        <f t="shared" si="124"/>
        <v/>
      </c>
      <c r="AL310" s="14" t="str">
        <f t="shared" si="125"/>
        <v/>
      </c>
      <c r="AM310" s="14" t="str">
        <f t="shared" si="126"/>
        <v/>
      </c>
      <c r="AN310" s="14" t="str">
        <f t="shared" si="127"/>
        <v/>
      </c>
      <c r="AO310" s="14" t="str">
        <f>IF(OR($C310="01-09",$D310="Male"),"",INDEX(PMTCT!$AD:$AD,MATCH($E310,PMTCT!$E:$E,0)))</f>
        <v/>
      </c>
      <c r="AP310" s="14" t="str">
        <f>IF(OR($C310="01-09",$D310="Male"),"",INDEX(PMTCT!$AT:$AT,MATCH($E310,PMTCT!$E:$E,0)))</f>
        <v/>
      </c>
      <c r="AQ310" s="14" t="str">
        <f>INDEX(TB!$Q:$Q,MATCH($E310,TB!$E:$E,0))</f>
        <v/>
      </c>
      <c r="AR310" s="14" t="str">
        <f>IF(OR($C310="01-09",$C310="10-14",$D310="Female"),"",INDEX(VMMC!$AB:$AB,MATCH($E310,VMMC!$E:$E,0)))</f>
        <v/>
      </c>
      <c r="AS310" s="14" t="str">
        <f>IF(OR($C310="01-09",$C310="10-14"),"",INDEX(PrEP!$Q:$Q,MATCH($E310,PrEP!$E:$E,0)))</f>
        <v/>
      </c>
      <c r="AT310" s="14" t="str">
        <f t="shared" si="128"/>
        <v/>
      </c>
      <c r="AU310" s="14" t="str">
        <f t="shared" si="129"/>
        <v/>
      </c>
      <c r="AV310" s="90" t="str">
        <f t="shared" si="130"/>
        <v/>
      </c>
      <c r="AW310" s="14"/>
      <c r="AX310" s="90" t="str">
        <f t="shared" si="131"/>
        <v/>
      </c>
      <c r="AY310" s="42" t="str">
        <f t="shared" si="132"/>
        <v/>
      </c>
      <c r="AZ310" s="90">
        <f t="shared" si="133"/>
        <v>1</v>
      </c>
      <c r="BA310" s="42" t="str">
        <f t="shared" si="134"/>
        <v/>
      </c>
    </row>
    <row r="311" spans="1:53" x14ac:dyDescent="0.2">
      <c r="A311" t="str">
        <f>INDEX(Prioritization!$D:$D,MATCH($B311,Prioritization!$A:$A,0))</f>
        <v>INVALID</v>
      </c>
      <c r="B311" t="s">
        <v>217</v>
      </c>
      <c r="C311" t="s">
        <v>366</v>
      </c>
      <c r="D311" t="s">
        <v>29</v>
      </c>
      <c r="E311" t="str">
        <f t="shared" si="108"/>
        <v>Neno District [gwVYinjBAe9]|35-49|Female</v>
      </c>
      <c r="F311" s="90">
        <f>IF(LEFT($B311,4)="_Mil","",INDEX(Cascade!$AA:$AA,MATCH($E311,Cascade!$E:$E,0)))</f>
        <v>969.00000000000011</v>
      </c>
      <c r="G311" s="14">
        <f>INDEX(Cascade!$BH:$BH,MATCH($E311,Cascade!$E:$E,0))</f>
        <v>0</v>
      </c>
      <c r="H311" s="14" t="str">
        <f>IF(OR($C311="01-09",$D311="Male"),"",INDEX(PMTCT!$AC:$AC,MATCH($E311,PMTCT!$E:$E,0)))</f>
        <v/>
      </c>
      <c r="I311" s="14" t="str">
        <f>IF(OR($C311="01-09",$D311="Male"),"",INDEX(PMTCT!$AS:$AS,MATCH($E311,PMTCT!$E:$E,0)))</f>
        <v/>
      </c>
      <c r="J311" s="14" t="str">
        <f>INDEX(TB!$P:$P,MATCH($E311,TB!$E:$E,0))</f>
        <v/>
      </c>
      <c r="K311" s="14" t="str">
        <f>IF(OR($C311="01-09",$C311="10-14",$D311="Female"),"",INDEX(VMMC!$AA:$AA,MATCH($E311,VMMC!$E:$E,0)))</f>
        <v/>
      </c>
      <c r="L311" s="14">
        <f t="shared" si="109"/>
        <v>0</v>
      </c>
      <c r="M311" s="90" t="str">
        <f t="shared" si="110"/>
        <v/>
      </c>
      <c r="N311" s="90" t="str">
        <f t="shared" si="111"/>
        <v/>
      </c>
      <c r="O311" s="90" t="str">
        <f t="shared" si="112"/>
        <v/>
      </c>
      <c r="P311" s="90" t="str">
        <f t="shared" si="113"/>
        <v/>
      </c>
      <c r="Q311" s="90"/>
      <c r="R311" s="90"/>
      <c r="S311" s="90"/>
      <c r="T311" s="90"/>
      <c r="U311" s="90"/>
      <c r="V311" s="90" t="str">
        <f t="shared" si="114"/>
        <v/>
      </c>
      <c r="W311" s="90"/>
      <c r="X311" s="42" t="str">
        <f t="shared" si="115"/>
        <v/>
      </c>
      <c r="Y311" s="42" t="str">
        <f t="shared" si="116"/>
        <v/>
      </c>
      <c r="Z311" s="90"/>
      <c r="AA311" s="42" t="str">
        <f t="shared" si="117"/>
        <v/>
      </c>
      <c r="AB311" s="42" t="str">
        <f t="shared" si="118"/>
        <v/>
      </c>
      <c r="AC311" s="90"/>
      <c r="AD311" s="42" t="str">
        <f t="shared" si="119"/>
        <v/>
      </c>
      <c r="AE311" s="42" t="str">
        <f t="shared" si="120"/>
        <v/>
      </c>
      <c r="AF311" s="90"/>
      <c r="AG311" s="42" t="str">
        <f t="shared" si="121"/>
        <v/>
      </c>
      <c r="AH311" s="42" t="str">
        <f t="shared" si="122"/>
        <v/>
      </c>
      <c r="AI311" s="90"/>
      <c r="AJ311" s="42" t="str">
        <f t="shared" si="123"/>
        <v/>
      </c>
      <c r="AK311" s="42" t="str">
        <f t="shared" si="124"/>
        <v/>
      </c>
      <c r="AL311" s="14" t="str">
        <f t="shared" si="125"/>
        <v/>
      </c>
      <c r="AM311" s="14" t="str">
        <f t="shared" si="126"/>
        <v/>
      </c>
      <c r="AN311" s="14" t="str">
        <f t="shared" si="127"/>
        <v/>
      </c>
      <c r="AO311" s="14" t="str">
        <f>IF(OR($C311="01-09",$D311="Male"),"",INDEX(PMTCT!$AD:$AD,MATCH($E311,PMTCT!$E:$E,0)))</f>
        <v/>
      </c>
      <c r="AP311" s="14" t="str">
        <f>IF(OR($C311="01-09",$D311="Male"),"",INDEX(PMTCT!$AT:$AT,MATCH($E311,PMTCT!$E:$E,0)))</f>
        <v/>
      </c>
      <c r="AQ311" s="14" t="str">
        <f>INDEX(TB!$Q:$Q,MATCH($E311,TB!$E:$E,0))</f>
        <v/>
      </c>
      <c r="AR311" s="14" t="str">
        <f>IF(OR($C311="01-09",$C311="10-14",$D311="Female"),"",INDEX(VMMC!$AB:$AB,MATCH($E311,VMMC!$E:$E,0)))</f>
        <v/>
      </c>
      <c r="AS311" s="14" t="str">
        <f>IF(OR($C311="01-09",$C311="10-14"),"",INDEX(PrEP!$Q:$Q,MATCH($E311,PrEP!$E:$E,0)))</f>
        <v/>
      </c>
      <c r="AT311" s="14" t="str">
        <f t="shared" si="128"/>
        <v/>
      </c>
      <c r="AU311" s="14" t="str">
        <f t="shared" si="129"/>
        <v/>
      </c>
      <c r="AV311" s="90" t="str">
        <f t="shared" si="130"/>
        <v/>
      </c>
      <c r="AW311" s="14"/>
      <c r="AX311" s="90" t="str">
        <f t="shared" si="131"/>
        <v/>
      </c>
      <c r="AY311" s="42" t="str">
        <f t="shared" si="132"/>
        <v/>
      </c>
      <c r="AZ311" s="90">
        <f t="shared" si="133"/>
        <v>1</v>
      </c>
      <c r="BA311" s="42" t="str">
        <f t="shared" si="134"/>
        <v/>
      </c>
    </row>
    <row r="312" spans="1:53" x14ac:dyDescent="0.2">
      <c r="A312" t="str">
        <f>INDEX(Prioritization!$D:$D,MATCH($B312,Prioritization!$A:$A,0))</f>
        <v>INVALID</v>
      </c>
      <c r="B312" t="s">
        <v>217</v>
      </c>
      <c r="C312" t="s">
        <v>366</v>
      </c>
      <c r="D312" t="s">
        <v>47</v>
      </c>
      <c r="E312" t="str">
        <f t="shared" si="108"/>
        <v>Neno District [gwVYinjBAe9]|35-49|Male</v>
      </c>
      <c r="F312" s="90">
        <f>IF(LEFT($B312,4)="_Mil","",INDEX(Cascade!$AA:$AA,MATCH($E312,Cascade!$E:$E,0)))</f>
        <v>1386</v>
      </c>
      <c r="G312" s="14">
        <f>INDEX(Cascade!$BH:$BH,MATCH($E312,Cascade!$E:$E,0))</f>
        <v>0</v>
      </c>
      <c r="H312" s="14" t="str">
        <f>IF(OR($C312="01-09",$D312="Male"),"",INDEX(PMTCT!$AC:$AC,MATCH($E312,PMTCT!$E:$E,0)))</f>
        <v/>
      </c>
      <c r="I312" s="14" t="str">
        <f>IF(OR($C312="01-09",$D312="Male"),"",INDEX(PMTCT!$AS:$AS,MATCH($E312,PMTCT!$E:$E,0)))</f>
        <v/>
      </c>
      <c r="J312" s="14" t="str">
        <f>INDEX(TB!$P:$P,MATCH($E312,TB!$E:$E,0))</f>
        <v/>
      </c>
      <c r="K312" s="14" t="str">
        <f>IF(OR($C312="01-09",$C312="10-14",$D312="Female"),"",INDEX(VMMC!$AA:$AA,MATCH($E312,VMMC!$E:$E,0)))</f>
        <v/>
      </c>
      <c r="L312" s="14">
        <f t="shared" si="109"/>
        <v>0</v>
      </c>
      <c r="M312" s="90" t="str">
        <f t="shared" si="110"/>
        <v/>
      </c>
      <c r="N312" s="90" t="str">
        <f t="shared" si="111"/>
        <v/>
      </c>
      <c r="O312" s="90" t="str">
        <f t="shared" si="112"/>
        <v/>
      </c>
      <c r="P312" s="90" t="str">
        <f t="shared" si="113"/>
        <v/>
      </c>
      <c r="Q312" s="90"/>
      <c r="R312" s="90"/>
      <c r="S312" s="90"/>
      <c r="T312" s="90"/>
      <c r="U312" s="90"/>
      <c r="V312" s="90" t="str">
        <f t="shared" si="114"/>
        <v/>
      </c>
      <c r="W312" s="90"/>
      <c r="X312" s="42" t="str">
        <f t="shared" si="115"/>
        <v/>
      </c>
      <c r="Y312" s="42" t="str">
        <f t="shared" si="116"/>
        <v/>
      </c>
      <c r="Z312" s="90"/>
      <c r="AA312" s="42" t="str">
        <f t="shared" si="117"/>
        <v/>
      </c>
      <c r="AB312" s="42" t="str">
        <f t="shared" si="118"/>
        <v/>
      </c>
      <c r="AC312" s="90"/>
      <c r="AD312" s="42" t="str">
        <f t="shared" si="119"/>
        <v/>
      </c>
      <c r="AE312" s="42" t="str">
        <f t="shared" si="120"/>
        <v/>
      </c>
      <c r="AF312" s="90"/>
      <c r="AG312" s="42" t="str">
        <f t="shared" si="121"/>
        <v/>
      </c>
      <c r="AH312" s="42" t="str">
        <f t="shared" si="122"/>
        <v/>
      </c>
      <c r="AI312" s="90"/>
      <c r="AJ312" s="42" t="str">
        <f t="shared" si="123"/>
        <v/>
      </c>
      <c r="AK312" s="42" t="str">
        <f t="shared" si="124"/>
        <v/>
      </c>
      <c r="AL312" s="14" t="str">
        <f t="shared" si="125"/>
        <v/>
      </c>
      <c r="AM312" s="14" t="str">
        <f t="shared" si="126"/>
        <v/>
      </c>
      <c r="AN312" s="14" t="str">
        <f t="shared" si="127"/>
        <v/>
      </c>
      <c r="AO312" s="14" t="str">
        <f>IF(OR($C312="01-09",$D312="Male"),"",INDEX(PMTCT!$AD:$AD,MATCH($E312,PMTCT!$E:$E,0)))</f>
        <v/>
      </c>
      <c r="AP312" s="14" t="str">
        <f>IF(OR($C312="01-09",$D312="Male"),"",INDEX(PMTCT!$AT:$AT,MATCH($E312,PMTCT!$E:$E,0)))</f>
        <v/>
      </c>
      <c r="AQ312" s="14" t="str">
        <f>INDEX(TB!$Q:$Q,MATCH($E312,TB!$E:$E,0))</f>
        <v/>
      </c>
      <c r="AR312" s="14" t="str">
        <f>IF(OR($C312="01-09",$C312="10-14",$D312="Female"),"",INDEX(VMMC!$AB:$AB,MATCH($E312,VMMC!$E:$E,0)))</f>
        <v/>
      </c>
      <c r="AS312" s="14" t="str">
        <f>IF(OR($C312="01-09",$C312="10-14"),"",INDEX(PrEP!$Q:$Q,MATCH($E312,PrEP!$E:$E,0)))</f>
        <v/>
      </c>
      <c r="AT312" s="14" t="str">
        <f t="shared" si="128"/>
        <v/>
      </c>
      <c r="AU312" s="14" t="str">
        <f t="shared" si="129"/>
        <v/>
      </c>
      <c r="AV312" s="90" t="str">
        <f t="shared" si="130"/>
        <v/>
      </c>
      <c r="AW312" s="14"/>
      <c r="AX312" s="90" t="str">
        <f t="shared" si="131"/>
        <v/>
      </c>
      <c r="AY312" s="42" t="str">
        <f t="shared" si="132"/>
        <v/>
      </c>
      <c r="AZ312" s="90">
        <f t="shared" si="133"/>
        <v>1</v>
      </c>
      <c r="BA312" s="42" t="str">
        <f t="shared" si="134"/>
        <v/>
      </c>
    </row>
    <row r="313" spans="1:53" x14ac:dyDescent="0.2">
      <c r="A313" t="str">
        <f>INDEX(Prioritization!$D:$D,MATCH($B313,Prioritization!$A:$A,0))</f>
        <v>INVALID</v>
      </c>
      <c r="B313" t="s">
        <v>217</v>
      </c>
      <c r="C313" t="s">
        <v>367</v>
      </c>
      <c r="D313" t="s">
        <v>29</v>
      </c>
      <c r="E313" t="str">
        <f t="shared" si="108"/>
        <v>Neno District [gwVYinjBAe9]|50+|Female</v>
      </c>
      <c r="F313" s="90">
        <f>IF(LEFT($B313,4)="_Mil","",INDEX(Cascade!$AA:$AA,MATCH($E313,Cascade!$E:$E,0)))</f>
        <v>1649</v>
      </c>
      <c r="G313" s="14">
        <f>INDEX(Cascade!$BH:$BH,MATCH($E313,Cascade!$E:$E,0))</f>
        <v>0</v>
      </c>
      <c r="H313" s="14" t="str">
        <f>IF(OR($C313="01-09",$D313="Male"),"",INDEX(PMTCT!$AC:$AC,MATCH($E313,PMTCT!$E:$E,0)))</f>
        <v/>
      </c>
      <c r="I313" s="14" t="str">
        <f>IF(OR($C313="01-09",$D313="Male"),"",INDEX(PMTCT!$AS:$AS,MATCH($E313,PMTCT!$E:$E,0)))</f>
        <v/>
      </c>
      <c r="J313" s="14" t="str">
        <f>INDEX(TB!$P:$P,MATCH($E313,TB!$E:$E,0))</f>
        <v/>
      </c>
      <c r="K313" s="14" t="str">
        <f>IF(OR($C313="01-09",$C313="10-14",$D313="Female"),"",INDEX(VMMC!$AA:$AA,MATCH($E313,VMMC!$E:$E,0)))</f>
        <v/>
      </c>
      <c r="L313" s="14">
        <f t="shared" si="109"/>
        <v>0</v>
      </c>
      <c r="M313" s="90" t="str">
        <f t="shared" si="110"/>
        <v/>
      </c>
      <c r="N313" s="90" t="str">
        <f t="shared" si="111"/>
        <v/>
      </c>
      <c r="O313" s="90" t="str">
        <f t="shared" si="112"/>
        <v/>
      </c>
      <c r="P313" s="90" t="str">
        <f t="shared" si="113"/>
        <v/>
      </c>
      <c r="Q313" s="90"/>
      <c r="R313" s="90"/>
      <c r="S313" s="90"/>
      <c r="T313" s="90"/>
      <c r="U313" s="90"/>
      <c r="V313" s="90" t="str">
        <f t="shared" si="114"/>
        <v/>
      </c>
      <c r="W313" s="90"/>
      <c r="X313" s="42" t="str">
        <f t="shared" si="115"/>
        <v/>
      </c>
      <c r="Y313" s="42" t="str">
        <f t="shared" si="116"/>
        <v/>
      </c>
      <c r="Z313" s="90"/>
      <c r="AA313" s="42" t="str">
        <f t="shared" si="117"/>
        <v/>
      </c>
      <c r="AB313" s="42" t="str">
        <f t="shared" si="118"/>
        <v/>
      </c>
      <c r="AC313" s="90"/>
      <c r="AD313" s="42" t="str">
        <f t="shared" si="119"/>
        <v/>
      </c>
      <c r="AE313" s="42" t="str">
        <f t="shared" si="120"/>
        <v/>
      </c>
      <c r="AF313" s="90"/>
      <c r="AG313" s="42" t="str">
        <f t="shared" si="121"/>
        <v/>
      </c>
      <c r="AH313" s="42" t="str">
        <f t="shared" si="122"/>
        <v/>
      </c>
      <c r="AI313" s="90"/>
      <c r="AJ313" s="42" t="str">
        <f t="shared" si="123"/>
        <v/>
      </c>
      <c r="AK313" s="42" t="str">
        <f t="shared" si="124"/>
        <v/>
      </c>
      <c r="AL313" s="14" t="str">
        <f t="shared" si="125"/>
        <v/>
      </c>
      <c r="AM313" s="14" t="str">
        <f t="shared" si="126"/>
        <v/>
      </c>
      <c r="AN313" s="14" t="str">
        <f t="shared" si="127"/>
        <v/>
      </c>
      <c r="AO313" s="14" t="str">
        <f>IF(OR($C313="01-09",$D313="Male"),"",INDEX(PMTCT!$AD:$AD,MATCH($E313,PMTCT!$E:$E,0)))</f>
        <v/>
      </c>
      <c r="AP313" s="14" t="str">
        <f>IF(OR($C313="01-09",$D313="Male"),"",INDEX(PMTCT!$AT:$AT,MATCH($E313,PMTCT!$E:$E,0)))</f>
        <v/>
      </c>
      <c r="AQ313" s="14" t="str">
        <f>INDEX(TB!$Q:$Q,MATCH($E313,TB!$E:$E,0))</f>
        <v/>
      </c>
      <c r="AR313" s="14" t="str">
        <f>IF(OR($C313="01-09",$C313="10-14",$D313="Female"),"",INDEX(VMMC!$AB:$AB,MATCH($E313,VMMC!$E:$E,0)))</f>
        <v/>
      </c>
      <c r="AS313" s="14" t="str">
        <f>IF(OR($C313="01-09",$C313="10-14"),"",INDEX(PrEP!$Q:$Q,MATCH($E313,PrEP!$E:$E,0)))</f>
        <v/>
      </c>
      <c r="AT313" s="14" t="str">
        <f t="shared" si="128"/>
        <v/>
      </c>
      <c r="AU313" s="14" t="str">
        <f t="shared" si="129"/>
        <v/>
      </c>
      <c r="AV313" s="90" t="str">
        <f t="shared" si="130"/>
        <v/>
      </c>
      <c r="AW313" s="14">
        <v>4</v>
      </c>
      <c r="AX313" s="90">
        <f t="shared" si="131"/>
        <v>0</v>
      </c>
      <c r="AY313" s="42">
        <f t="shared" si="132"/>
        <v>4</v>
      </c>
      <c r="AZ313" s="90">
        <f t="shared" si="133"/>
        <v>1</v>
      </c>
      <c r="BA313" s="42" t="str">
        <f t="shared" si="134"/>
        <v/>
      </c>
    </row>
    <row r="314" spans="1:53" x14ac:dyDescent="0.2">
      <c r="A314" t="str">
        <f>INDEX(Prioritization!$D:$D,MATCH($B314,Prioritization!$A:$A,0))</f>
        <v>INVALID</v>
      </c>
      <c r="B314" t="s">
        <v>217</v>
      </c>
      <c r="C314" t="s">
        <v>367</v>
      </c>
      <c r="D314" t="s">
        <v>47</v>
      </c>
      <c r="E314" t="str">
        <f t="shared" si="108"/>
        <v>Neno District [gwVYinjBAe9]|50+|Male</v>
      </c>
      <c r="F314" s="90">
        <f>IF(LEFT($B314,4)="_Mil","",INDEX(Cascade!$AA:$AA,MATCH($E314,Cascade!$E:$E,0)))</f>
        <v>1199</v>
      </c>
      <c r="G314" s="14">
        <f>INDEX(Cascade!$BH:$BH,MATCH($E314,Cascade!$E:$E,0))</f>
        <v>0</v>
      </c>
      <c r="H314" s="14" t="str">
        <f>IF(OR($C314="01-09",$D314="Male"),"",INDEX(PMTCT!$AC:$AC,MATCH($E314,PMTCT!$E:$E,0)))</f>
        <v/>
      </c>
      <c r="I314" s="14" t="str">
        <f>IF(OR($C314="01-09",$D314="Male"),"",INDEX(PMTCT!$AS:$AS,MATCH($E314,PMTCT!$E:$E,0)))</f>
        <v/>
      </c>
      <c r="J314" s="14" t="str">
        <f>INDEX(TB!$P:$P,MATCH($E314,TB!$E:$E,0))</f>
        <v/>
      </c>
      <c r="K314" s="14" t="str">
        <f>IF(OR($C314="01-09",$C314="10-14",$D314="Female"),"",INDEX(VMMC!$AA:$AA,MATCH($E314,VMMC!$E:$E,0)))</f>
        <v/>
      </c>
      <c r="L314" s="14">
        <f t="shared" si="109"/>
        <v>0</v>
      </c>
      <c r="M314" s="90" t="str">
        <f t="shared" si="110"/>
        <v/>
      </c>
      <c r="N314" s="90" t="str">
        <f t="shared" si="111"/>
        <v/>
      </c>
      <c r="O314" s="90" t="str">
        <f t="shared" si="112"/>
        <v/>
      </c>
      <c r="P314" s="90" t="str">
        <f t="shared" si="113"/>
        <v/>
      </c>
      <c r="Q314" s="90"/>
      <c r="R314" s="90"/>
      <c r="S314" s="90"/>
      <c r="T314" s="90"/>
      <c r="U314" s="90">
        <v>0.94876484619453505</v>
      </c>
      <c r="V314" s="90" t="str">
        <f t="shared" si="114"/>
        <v/>
      </c>
      <c r="W314" s="90"/>
      <c r="X314" s="42" t="str">
        <f t="shared" si="115"/>
        <v/>
      </c>
      <c r="Y314" s="42" t="str">
        <f t="shared" si="116"/>
        <v/>
      </c>
      <c r="Z314" s="90"/>
      <c r="AA314" s="42" t="str">
        <f t="shared" si="117"/>
        <v/>
      </c>
      <c r="AB314" s="42" t="str">
        <f t="shared" si="118"/>
        <v/>
      </c>
      <c r="AC314" s="90"/>
      <c r="AD314" s="42" t="str">
        <f t="shared" si="119"/>
        <v/>
      </c>
      <c r="AE314" s="42" t="str">
        <f t="shared" si="120"/>
        <v/>
      </c>
      <c r="AF314" s="90"/>
      <c r="AG314" s="42" t="str">
        <f t="shared" si="121"/>
        <v/>
      </c>
      <c r="AH314" s="42" t="str">
        <f t="shared" si="122"/>
        <v/>
      </c>
      <c r="AI314" s="90"/>
      <c r="AJ314" s="42" t="str">
        <f t="shared" si="123"/>
        <v/>
      </c>
      <c r="AK314" s="42" t="str">
        <f t="shared" si="124"/>
        <v/>
      </c>
      <c r="AL314" s="14" t="str">
        <f t="shared" si="125"/>
        <v/>
      </c>
      <c r="AM314" s="14" t="str">
        <f t="shared" si="126"/>
        <v/>
      </c>
      <c r="AN314" s="14" t="str">
        <f t="shared" si="127"/>
        <v/>
      </c>
      <c r="AO314" s="14" t="str">
        <f>IF(OR($C314="01-09",$D314="Male"),"",INDEX(PMTCT!$AD:$AD,MATCH($E314,PMTCT!$E:$E,0)))</f>
        <v/>
      </c>
      <c r="AP314" s="14" t="str">
        <f>IF(OR($C314="01-09",$D314="Male"),"",INDEX(PMTCT!$AT:$AT,MATCH($E314,PMTCT!$E:$E,0)))</f>
        <v/>
      </c>
      <c r="AQ314" s="14" t="str">
        <f>INDEX(TB!$Q:$Q,MATCH($E314,TB!$E:$E,0))</f>
        <v/>
      </c>
      <c r="AR314" s="14" t="str">
        <f>IF(OR($C314="01-09",$C314="10-14",$D314="Female"),"",INDEX(VMMC!$AB:$AB,MATCH($E314,VMMC!$E:$E,0)))</f>
        <v/>
      </c>
      <c r="AS314" s="14" t="str">
        <f>IF(OR($C314="01-09",$C314="10-14"),"",INDEX(PrEP!$Q:$Q,MATCH($E314,PrEP!$E:$E,0)))</f>
        <v/>
      </c>
      <c r="AT314" s="14" t="str">
        <f t="shared" si="128"/>
        <v/>
      </c>
      <c r="AU314" s="14" t="str">
        <f t="shared" si="129"/>
        <v/>
      </c>
      <c r="AV314" s="90" t="str">
        <f t="shared" si="130"/>
        <v/>
      </c>
      <c r="AW314" s="14">
        <v>0</v>
      </c>
      <c r="AX314" s="90" t="str">
        <f t="shared" si="131"/>
        <v/>
      </c>
      <c r="AY314" s="42" t="str">
        <f t="shared" si="132"/>
        <v/>
      </c>
      <c r="AZ314" s="90">
        <f t="shared" si="133"/>
        <v>1</v>
      </c>
      <c r="BA314" s="42" t="str">
        <f t="shared" si="134"/>
        <v/>
      </c>
    </row>
    <row r="315" spans="1:53" x14ac:dyDescent="0.2">
      <c r="A315" t="str">
        <f>INDEX(Prioritization!$D:$D,MATCH($B315,Prioritization!$A:$A,0))</f>
        <v>INVALID</v>
      </c>
      <c r="B315" t="s">
        <v>218</v>
      </c>
      <c r="C315" t="s">
        <v>362</v>
      </c>
      <c r="D315" t="s">
        <v>29</v>
      </c>
      <c r="E315" t="str">
        <f t="shared" si="108"/>
        <v>Nsanje District [rpw540fmNUz]|01-09|Female</v>
      </c>
      <c r="F315" s="90">
        <f>IF(LEFT($B315,4)="_Mil","",INDEX(Cascade!$AA:$AA,MATCH($E315,Cascade!$E:$E,0)))</f>
        <v>1844</v>
      </c>
      <c r="G315" s="14">
        <f>INDEX(Cascade!$BH:$BH,MATCH($E315,Cascade!$E:$E,0))</f>
        <v>0</v>
      </c>
      <c r="H315" s="14" t="str">
        <f>IF(OR($C315="01-09",$D315="Male"),"",INDEX(PMTCT!$AC:$AC,MATCH($E315,PMTCT!$E:$E,0)))</f>
        <v/>
      </c>
      <c r="I315" s="14" t="str">
        <f>IF(OR($C315="01-09",$D315="Male"),"",INDEX(PMTCT!$AS:$AS,MATCH($E315,PMTCT!$E:$E,0)))</f>
        <v/>
      </c>
      <c r="J315" s="14" t="str">
        <f>INDEX(TB!$P:$P,MATCH($E315,TB!$E:$E,0))</f>
        <v/>
      </c>
      <c r="K315" s="14" t="str">
        <f>IF(OR($C315="01-09",$C315="10-14",$D315="Female"),"",INDEX(VMMC!$AA:$AA,MATCH($E315,VMMC!$E:$E,0)))</f>
        <v/>
      </c>
      <c r="L315" s="14">
        <f t="shared" si="109"/>
        <v>0</v>
      </c>
      <c r="M315" s="90" t="str">
        <f t="shared" si="110"/>
        <v/>
      </c>
      <c r="N315" s="90" t="str">
        <f t="shared" si="111"/>
        <v/>
      </c>
      <c r="O315" s="90" t="str">
        <f t="shared" si="112"/>
        <v/>
      </c>
      <c r="P315" s="90" t="str">
        <f t="shared" si="113"/>
        <v/>
      </c>
      <c r="Q315" s="90"/>
      <c r="R315" s="90"/>
      <c r="S315" s="90"/>
      <c r="T315" s="90"/>
      <c r="U315" s="90"/>
      <c r="V315" s="90" t="str">
        <f t="shared" si="114"/>
        <v/>
      </c>
      <c r="W315" s="90"/>
      <c r="X315" s="42" t="str">
        <f t="shared" si="115"/>
        <v/>
      </c>
      <c r="Y315" s="42" t="str">
        <f t="shared" si="116"/>
        <v/>
      </c>
      <c r="Z315" s="90"/>
      <c r="AA315" s="42" t="str">
        <f t="shared" si="117"/>
        <v/>
      </c>
      <c r="AB315" s="42" t="str">
        <f t="shared" si="118"/>
        <v/>
      </c>
      <c r="AC315" s="90"/>
      <c r="AD315" s="42" t="str">
        <f t="shared" si="119"/>
        <v/>
      </c>
      <c r="AE315" s="42" t="str">
        <f t="shared" si="120"/>
        <v/>
      </c>
      <c r="AF315" s="90"/>
      <c r="AG315" s="42" t="str">
        <f t="shared" si="121"/>
        <v/>
      </c>
      <c r="AH315" s="42" t="str">
        <f t="shared" si="122"/>
        <v/>
      </c>
      <c r="AI315" s="90"/>
      <c r="AJ315" s="42" t="str">
        <f t="shared" si="123"/>
        <v/>
      </c>
      <c r="AK315" s="42" t="str">
        <f t="shared" si="124"/>
        <v/>
      </c>
      <c r="AL315" s="14" t="str">
        <f t="shared" si="125"/>
        <v/>
      </c>
      <c r="AM315" s="14" t="str">
        <f t="shared" si="126"/>
        <v/>
      </c>
      <c r="AN315" s="14" t="str">
        <f t="shared" si="127"/>
        <v/>
      </c>
      <c r="AO315" s="14" t="str">
        <f>IF(OR($C315="01-09",$D315="Male"),"",INDEX(PMTCT!$AD:$AD,MATCH($E315,PMTCT!$E:$E,0)))</f>
        <v/>
      </c>
      <c r="AP315" s="14" t="str">
        <f>IF(OR($C315="01-09",$D315="Male"),"",INDEX(PMTCT!$AT:$AT,MATCH($E315,PMTCT!$E:$E,0)))</f>
        <v/>
      </c>
      <c r="AQ315" s="14" t="str">
        <f>INDEX(TB!$Q:$Q,MATCH($E315,TB!$E:$E,0))</f>
        <v/>
      </c>
      <c r="AR315" s="14" t="str">
        <f>IF(OR($C315="01-09",$C315="10-14",$D315="Female"),"",INDEX(VMMC!$AB:$AB,MATCH($E315,VMMC!$E:$E,0)))</f>
        <v/>
      </c>
      <c r="AS315" s="14" t="str">
        <f>IF(OR($C315="01-09",$C315="10-14"),"",INDEX(PrEP!$Q:$Q,MATCH($E315,PrEP!$E:$E,0)))</f>
        <v/>
      </c>
      <c r="AT315" s="14" t="str">
        <f t="shared" si="128"/>
        <v/>
      </c>
      <c r="AU315" s="14" t="str">
        <f t="shared" si="129"/>
        <v/>
      </c>
      <c r="AV315" s="90" t="str">
        <f t="shared" si="130"/>
        <v/>
      </c>
      <c r="AW315" s="14"/>
      <c r="AX315" s="90" t="str">
        <f t="shared" si="131"/>
        <v/>
      </c>
      <c r="AY315" s="42" t="str">
        <f t="shared" si="132"/>
        <v/>
      </c>
      <c r="AZ315" s="90" t="str">
        <f t="shared" si="133"/>
        <v/>
      </c>
      <c r="BA315" s="42" t="str">
        <f t="shared" si="134"/>
        <v/>
      </c>
    </row>
    <row r="316" spans="1:53" x14ac:dyDescent="0.2">
      <c r="A316" t="str">
        <f>INDEX(Prioritization!$D:$D,MATCH($B316,Prioritization!$A:$A,0))</f>
        <v>INVALID</v>
      </c>
      <c r="B316" t="s">
        <v>218</v>
      </c>
      <c r="C316" t="s">
        <v>362</v>
      </c>
      <c r="D316" t="s">
        <v>47</v>
      </c>
      <c r="E316" t="str">
        <f t="shared" si="108"/>
        <v>Nsanje District [rpw540fmNUz]|01-09|Male</v>
      </c>
      <c r="F316" s="90">
        <f>IF(LEFT($B316,4)="_Mil","",INDEX(Cascade!$AA:$AA,MATCH($E316,Cascade!$E:$E,0)))</f>
        <v>928</v>
      </c>
      <c r="G316" s="14">
        <f>INDEX(Cascade!$BH:$BH,MATCH($E316,Cascade!$E:$E,0))</f>
        <v>0</v>
      </c>
      <c r="H316" s="14" t="str">
        <f>IF(OR($C316="01-09",$D316="Male"),"",INDEX(PMTCT!$AC:$AC,MATCH($E316,PMTCT!$E:$E,0)))</f>
        <v/>
      </c>
      <c r="I316" s="14" t="str">
        <f>IF(OR($C316="01-09",$D316="Male"),"",INDEX(PMTCT!$AS:$AS,MATCH($E316,PMTCT!$E:$E,0)))</f>
        <v/>
      </c>
      <c r="J316" s="14" t="str">
        <f>INDEX(TB!$P:$P,MATCH($E316,TB!$E:$E,0))</f>
        <v/>
      </c>
      <c r="K316" s="14" t="str">
        <f>IF(OR($C316="01-09",$C316="10-14",$D316="Female"),"",INDEX(VMMC!$AA:$AA,MATCH($E316,VMMC!$E:$E,0)))</f>
        <v/>
      </c>
      <c r="L316" s="14">
        <f t="shared" si="109"/>
        <v>0</v>
      </c>
      <c r="M316" s="90" t="str">
        <f t="shared" si="110"/>
        <v/>
      </c>
      <c r="N316" s="90" t="str">
        <f t="shared" si="111"/>
        <v/>
      </c>
      <c r="O316" s="90" t="str">
        <f t="shared" si="112"/>
        <v/>
      </c>
      <c r="P316" s="90" t="str">
        <f t="shared" si="113"/>
        <v/>
      </c>
      <c r="Q316" s="90"/>
      <c r="R316" s="90"/>
      <c r="S316" s="90"/>
      <c r="T316" s="90"/>
      <c r="U316" s="90"/>
      <c r="V316" s="90" t="str">
        <f t="shared" si="114"/>
        <v/>
      </c>
      <c r="W316" s="90"/>
      <c r="X316" s="42" t="str">
        <f t="shared" si="115"/>
        <v/>
      </c>
      <c r="Y316" s="42" t="str">
        <f t="shared" si="116"/>
        <v/>
      </c>
      <c r="Z316" s="90"/>
      <c r="AA316" s="42" t="str">
        <f t="shared" si="117"/>
        <v/>
      </c>
      <c r="AB316" s="42" t="str">
        <f t="shared" si="118"/>
        <v/>
      </c>
      <c r="AC316" s="90"/>
      <c r="AD316" s="42" t="str">
        <f t="shared" si="119"/>
        <v/>
      </c>
      <c r="AE316" s="42" t="str">
        <f t="shared" si="120"/>
        <v/>
      </c>
      <c r="AF316" s="90"/>
      <c r="AG316" s="42" t="str">
        <f t="shared" si="121"/>
        <v/>
      </c>
      <c r="AH316" s="42" t="str">
        <f t="shared" si="122"/>
        <v/>
      </c>
      <c r="AI316" s="90"/>
      <c r="AJ316" s="42" t="str">
        <f t="shared" si="123"/>
        <v/>
      </c>
      <c r="AK316" s="42" t="str">
        <f t="shared" si="124"/>
        <v/>
      </c>
      <c r="AL316" s="14" t="str">
        <f t="shared" si="125"/>
        <v/>
      </c>
      <c r="AM316" s="14" t="str">
        <f t="shared" si="126"/>
        <v/>
      </c>
      <c r="AN316" s="14" t="str">
        <f t="shared" si="127"/>
        <v/>
      </c>
      <c r="AO316" s="14" t="str">
        <f>IF(OR($C316="01-09",$D316="Male"),"",INDEX(PMTCT!$AD:$AD,MATCH($E316,PMTCT!$E:$E,0)))</f>
        <v/>
      </c>
      <c r="AP316" s="14" t="str">
        <f>IF(OR($C316="01-09",$D316="Male"),"",INDEX(PMTCT!$AT:$AT,MATCH($E316,PMTCT!$E:$E,0)))</f>
        <v/>
      </c>
      <c r="AQ316" s="14" t="str">
        <f>INDEX(TB!$Q:$Q,MATCH($E316,TB!$E:$E,0))</f>
        <v/>
      </c>
      <c r="AR316" s="14" t="str">
        <f>IF(OR($C316="01-09",$C316="10-14",$D316="Female"),"",INDEX(VMMC!$AB:$AB,MATCH($E316,VMMC!$E:$E,0)))</f>
        <v/>
      </c>
      <c r="AS316" s="14" t="str">
        <f>IF(OR($C316="01-09",$C316="10-14"),"",INDEX(PrEP!$Q:$Q,MATCH($E316,PrEP!$E:$E,0)))</f>
        <v/>
      </c>
      <c r="AT316" s="14" t="str">
        <f t="shared" si="128"/>
        <v/>
      </c>
      <c r="AU316" s="14" t="str">
        <f t="shared" si="129"/>
        <v/>
      </c>
      <c r="AV316" s="90" t="str">
        <f t="shared" si="130"/>
        <v/>
      </c>
      <c r="AW316" s="14"/>
      <c r="AX316" s="90" t="str">
        <f t="shared" si="131"/>
        <v/>
      </c>
      <c r="AY316" s="42" t="str">
        <f t="shared" si="132"/>
        <v/>
      </c>
      <c r="AZ316" s="90" t="str">
        <f t="shared" si="133"/>
        <v/>
      </c>
      <c r="BA316" s="42" t="str">
        <f t="shared" si="134"/>
        <v/>
      </c>
    </row>
    <row r="317" spans="1:53" x14ac:dyDescent="0.2">
      <c r="A317" t="str">
        <f>INDEX(Prioritization!$D:$D,MATCH($B317,Prioritization!$A:$A,0))</f>
        <v>INVALID</v>
      </c>
      <c r="B317" t="s">
        <v>218</v>
      </c>
      <c r="C317" t="s">
        <v>363</v>
      </c>
      <c r="D317" t="s">
        <v>29</v>
      </c>
      <c r="E317" t="str">
        <f t="shared" si="108"/>
        <v>Nsanje District [rpw540fmNUz]|10-14|Female</v>
      </c>
      <c r="F317" s="90">
        <f>IF(LEFT($B317,4)="_Mil","",INDEX(Cascade!$AA:$AA,MATCH($E317,Cascade!$E:$E,0)))</f>
        <v>767</v>
      </c>
      <c r="G317" s="14">
        <f>INDEX(Cascade!$BH:$BH,MATCH($E317,Cascade!$E:$E,0))</f>
        <v>-59</v>
      </c>
      <c r="H317" s="14" t="str">
        <f>IF(OR($C317="01-09",$D317="Male"),"",INDEX(PMTCT!$AC:$AC,MATCH($E317,PMTCT!$E:$E,0)))</f>
        <v>ENTER YIELD RATE</v>
      </c>
      <c r="I317" s="14" t="str">
        <f>IF(OR($C317="01-09",$D317="Male"),"",INDEX(PMTCT!$AS:$AS,MATCH($E317,PMTCT!$E:$E,0)))</f>
        <v>ENTER YIELD RATE</v>
      </c>
      <c r="J317" s="14" t="str">
        <f>INDEX(TB!$P:$P,MATCH($E317,TB!$E:$E,0))</f>
        <v>ENTER YIELD RATE</v>
      </c>
      <c r="K317" s="14" t="str">
        <f>IF(OR($C317="01-09",$C317="10-14",$D317="Female"),"",INDEX(VMMC!$AA:$AA,MATCH($E317,VMMC!$E:$E,0)))</f>
        <v/>
      </c>
      <c r="L317" s="14">
        <f t="shared" si="109"/>
        <v>-59</v>
      </c>
      <c r="M317" s="90">
        <f t="shared" si="110"/>
        <v>0</v>
      </c>
      <c r="N317" s="90">
        <f t="shared" si="111"/>
        <v>0</v>
      </c>
      <c r="O317" s="90">
        <f t="shared" si="112"/>
        <v>0</v>
      </c>
      <c r="P317" s="90" t="str">
        <f t="shared" si="113"/>
        <v/>
      </c>
      <c r="Q317" s="90"/>
      <c r="R317" s="90"/>
      <c r="S317" s="90"/>
      <c r="T317" s="90"/>
      <c r="U317" s="90"/>
      <c r="V317" s="90">
        <f t="shared" si="114"/>
        <v>0</v>
      </c>
      <c r="W317" s="90"/>
      <c r="X317" s="42" t="str">
        <f t="shared" si="115"/>
        <v/>
      </c>
      <c r="Y317" s="42" t="str">
        <f t="shared" si="116"/>
        <v/>
      </c>
      <c r="Z317" s="90"/>
      <c r="AA317" s="42" t="str">
        <f t="shared" si="117"/>
        <v/>
      </c>
      <c r="AB317" s="42" t="str">
        <f t="shared" si="118"/>
        <v/>
      </c>
      <c r="AC317" s="90"/>
      <c r="AD317" s="42" t="str">
        <f t="shared" si="119"/>
        <v/>
      </c>
      <c r="AE317" s="42" t="str">
        <f t="shared" si="120"/>
        <v/>
      </c>
      <c r="AF317" s="90"/>
      <c r="AG317" s="42" t="str">
        <f t="shared" si="121"/>
        <v/>
      </c>
      <c r="AH317" s="42" t="str">
        <f t="shared" si="122"/>
        <v/>
      </c>
      <c r="AI317" s="90"/>
      <c r="AJ317" s="42" t="str">
        <f t="shared" si="123"/>
        <v/>
      </c>
      <c r="AK317" s="42" t="str">
        <f t="shared" si="124"/>
        <v/>
      </c>
      <c r="AL317" s="14">
        <f t="shared" si="125"/>
        <v>-59</v>
      </c>
      <c r="AM317" s="14" t="str">
        <f t="shared" si="126"/>
        <v/>
      </c>
      <c r="AN317" s="14" t="e">
        <f t="shared" si="127"/>
        <v>#VALUE!</v>
      </c>
      <c r="AO317" s="14">
        <f>IF(OR($C317="01-09",$D317="Male"),"",INDEX(PMTCT!$AD:$AD,MATCH($E317,PMTCT!$E:$E,0)))</f>
        <v>8</v>
      </c>
      <c r="AP317" s="14">
        <f>IF(OR($C317="01-09",$D317="Male"),"",INDEX(PMTCT!$AT:$AT,MATCH($E317,PMTCT!$E:$E,0)))</f>
        <v>8</v>
      </c>
      <c r="AQ317" s="14">
        <f>INDEX(TB!$Q:$Q,MATCH($E317,TB!$E:$E,0))</f>
        <v>1</v>
      </c>
      <c r="AR317" s="14" t="str">
        <f>IF(OR($C317="01-09",$C317="10-14",$D317="Female"),"",INDEX(VMMC!$AB:$AB,MATCH($E317,VMMC!$E:$E,0)))</f>
        <v/>
      </c>
      <c r="AS317" s="14" t="str">
        <f>IF(OR($C317="01-09",$C317="10-14"),"",INDEX(PrEP!$Q:$Q,MATCH($E317,PrEP!$E:$E,0)))</f>
        <v/>
      </c>
      <c r="AT317" s="14">
        <f t="shared" si="128"/>
        <v>17</v>
      </c>
      <c r="AU317" s="14">
        <f t="shared" si="129"/>
        <v>17</v>
      </c>
      <c r="AV317" s="90" t="e">
        <f t="shared" si="130"/>
        <v>#VALUE!</v>
      </c>
      <c r="AW317" s="14"/>
      <c r="AX317" s="90" t="str">
        <f t="shared" si="131"/>
        <v/>
      </c>
      <c r="AY317" s="42" t="str">
        <f t="shared" si="132"/>
        <v/>
      </c>
      <c r="AZ317" s="90" t="str">
        <f t="shared" si="133"/>
        <v/>
      </c>
      <c r="BA317" s="42" t="str">
        <f t="shared" si="134"/>
        <v/>
      </c>
    </row>
    <row r="318" spans="1:53" x14ac:dyDescent="0.2">
      <c r="A318" t="str">
        <f>INDEX(Prioritization!$D:$D,MATCH($B318,Prioritization!$A:$A,0))</f>
        <v>INVALID</v>
      </c>
      <c r="B318" t="s">
        <v>218</v>
      </c>
      <c r="C318" t="s">
        <v>363</v>
      </c>
      <c r="D318" t="s">
        <v>47</v>
      </c>
      <c r="E318" t="str">
        <f t="shared" si="108"/>
        <v>Nsanje District [rpw540fmNUz]|10-14|Male</v>
      </c>
      <c r="F318" s="90">
        <f>IF(LEFT($B318,4)="_Mil","",INDEX(Cascade!$AA:$AA,MATCH($E318,Cascade!$E:$E,0)))</f>
        <v>1797</v>
      </c>
      <c r="G318" s="14">
        <f>INDEX(Cascade!$BH:$BH,MATCH($E318,Cascade!$E:$E,0))</f>
        <v>-80</v>
      </c>
      <c r="H318" s="14" t="str">
        <f>IF(OR($C318="01-09",$D318="Male"),"",INDEX(PMTCT!$AC:$AC,MATCH($E318,PMTCT!$E:$E,0)))</f>
        <v/>
      </c>
      <c r="I318" s="14" t="str">
        <f>IF(OR($C318="01-09",$D318="Male"),"",INDEX(PMTCT!$AS:$AS,MATCH($E318,PMTCT!$E:$E,0)))</f>
        <v/>
      </c>
      <c r="J318" s="14" t="str">
        <f>INDEX(TB!$P:$P,MATCH($E318,TB!$E:$E,0))</f>
        <v/>
      </c>
      <c r="K318" s="14" t="str">
        <f>IF(OR($C318="01-09",$C318="10-14",$D318="Female"),"",INDEX(VMMC!$AA:$AA,MATCH($E318,VMMC!$E:$E,0)))</f>
        <v/>
      </c>
      <c r="L318" s="14">
        <f t="shared" si="109"/>
        <v>-80</v>
      </c>
      <c r="M318" s="90" t="str">
        <f t="shared" si="110"/>
        <v/>
      </c>
      <c r="N318" s="90" t="str">
        <f t="shared" si="111"/>
        <v/>
      </c>
      <c r="O318" s="90">
        <f t="shared" si="112"/>
        <v>0</v>
      </c>
      <c r="P318" s="90" t="str">
        <f t="shared" si="113"/>
        <v/>
      </c>
      <c r="Q318" s="90"/>
      <c r="R318" s="90"/>
      <c r="S318" s="90"/>
      <c r="T318" s="90"/>
      <c r="U318" s="90"/>
      <c r="V318" s="90">
        <f t="shared" si="114"/>
        <v>0</v>
      </c>
      <c r="W318" s="90"/>
      <c r="X318" s="42" t="str">
        <f t="shared" si="115"/>
        <v/>
      </c>
      <c r="Y318" s="42" t="str">
        <f t="shared" si="116"/>
        <v/>
      </c>
      <c r="Z318" s="90"/>
      <c r="AA318" s="42" t="str">
        <f t="shared" si="117"/>
        <v/>
      </c>
      <c r="AB318" s="42" t="str">
        <f t="shared" si="118"/>
        <v/>
      </c>
      <c r="AC318" s="90"/>
      <c r="AD318" s="42" t="str">
        <f t="shared" si="119"/>
        <v/>
      </c>
      <c r="AE318" s="42" t="str">
        <f t="shared" si="120"/>
        <v/>
      </c>
      <c r="AF318" s="90"/>
      <c r="AG318" s="42" t="str">
        <f t="shared" si="121"/>
        <v/>
      </c>
      <c r="AH318" s="42" t="str">
        <f t="shared" si="122"/>
        <v/>
      </c>
      <c r="AI318" s="90"/>
      <c r="AJ318" s="42" t="str">
        <f t="shared" si="123"/>
        <v/>
      </c>
      <c r="AK318" s="42" t="str">
        <f t="shared" si="124"/>
        <v/>
      </c>
      <c r="AL318" s="14">
        <f t="shared" si="125"/>
        <v>-80</v>
      </c>
      <c r="AM318" s="14" t="str">
        <f t="shared" si="126"/>
        <v/>
      </c>
      <c r="AN318" s="14" t="e">
        <f t="shared" si="127"/>
        <v>#VALUE!</v>
      </c>
      <c r="AO318" s="14" t="str">
        <f>IF(OR($C318="01-09",$D318="Male"),"",INDEX(PMTCT!$AD:$AD,MATCH($E318,PMTCT!$E:$E,0)))</f>
        <v/>
      </c>
      <c r="AP318" s="14" t="str">
        <f>IF(OR($C318="01-09",$D318="Male"),"",INDEX(PMTCT!$AT:$AT,MATCH($E318,PMTCT!$E:$E,0)))</f>
        <v/>
      </c>
      <c r="AQ318" s="14" t="str">
        <f>INDEX(TB!$Q:$Q,MATCH($E318,TB!$E:$E,0))</f>
        <v/>
      </c>
      <c r="AR318" s="14" t="str">
        <f>IF(OR($C318="01-09",$C318="10-14",$D318="Female"),"",INDEX(VMMC!$AB:$AB,MATCH($E318,VMMC!$E:$E,0)))</f>
        <v/>
      </c>
      <c r="AS318" s="14" t="str">
        <f>IF(OR($C318="01-09",$C318="10-14"),"",INDEX(PrEP!$Q:$Q,MATCH($E318,PrEP!$E:$E,0)))</f>
        <v/>
      </c>
      <c r="AT318" s="14" t="str">
        <f t="shared" si="128"/>
        <v/>
      </c>
      <c r="AU318" s="14" t="str">
        <f t="shared" si="129"/>
        <v/>
      </c>
      <c r="AV318" s="90" t="str">
        <f t="shared" si="130"/>
        <v/>
      </c>
      <c r="AW318" s="14"/>
      <c r="AX318" s="90" t="str">
        <f t="shared" si="131"/>
        <v/>
      </c>
      <c r="AY318" s="42" t="str">
        <f t="shared" si="132"/>
        <v/>
      </c>
      <c r="AZ318" s="90" t="str">
        <f t="shared" si="133"/>
        <v/>
      </c>
      <c r="BA318" s="42" t="str">
        <f t="shared" si="134"/>
        <v/>
      </c>
    </row>
    <row r="319" spans="1:53" x14ac:dyDescent="0.2">
      <c r="A319" t="str">
        <f>INDEX(Prioritization!$D:$D,MATCH($B319,Prioritization!$A:$A,0))</f>
        <v>INVALID</v>
      </c>
      <c r="B319" t="s">
        <v>218</v>
      </c>
      <c r="C319" t="s">
        <v>364</v>
      </c>
      <c r="D319" t="s">
        <v>29</v>
      </c>
      <c r="E319" t="str">
        <f t="shared" si="108"/>
        <v>Nsanje District [rpw540fmNUz]|15-24|Female</v>
      </c>
      <c r="F319" s="90">
        <f>IF(LEFT($B319,4)="_Mil","",INDEX(Cascade!$AA:$AA,MATCH($E319,Cascade!$E:$E,0)))</f>
        <v>1877</v>
      </c>
      <c r="G319" s="14">
        <f>INDEX(Cascade!$BH:$BH,MATCH($E319,Cascade!$E:$E,0))</f>
        <v>0</v>
      </c>
      <c r="H319" s="14" t="str">
        <f>IF(OR($C319="01-09",$D319="Male"),"",INDEX(PMTCT!$AC:$AC,MATCH($E319,PMTCT!$E:$E,0)))</f>
        <v/>
      </c>
      <c r="I319" s="14" t="str">
        <f>IF(OR($C319="01-09",$D319="Male"),"",INDEX(PMTCT!$AS:$AS,MATCH($E319,PMTCT!$E:$E,0)))</f>
        <v/>
      </c>
      <c r="J319" s="14" t="str">
        <f>INDEX(TB!$P:$P,MATCH($E319,TB!$E:$E,0))</f>
        <v/>
      </c>
      <c r="K319" s="14" t="str">
        <f>IF(OR($C319="01-09",$C319="10-14",$D319="Female"),"",INDEX(VMMC!$AA:$AA,MATCH($E319,VMMC!$E:$E,0)))</f>
        <v/>
      </c>
      <c r="L319" s="14">
        <f t="shared" si="109"/>
        <v>0</v>
      </c>
      <c r="M319" s="90" t="str">
        <f t="shared" si="110"/>
        <v/>
      </c>
      <c r="N319" s="90" t="str">
        <f t="shared" si="111"/>
        <v/>
      </c>
      <c r="O319" s="90" t="str">
        <f t="shared" si="112"/>
        <v/>
      </c>
      <c r="P319" s="90" t="str">
        <f t="shared" si="113"/>
        <v/>
      </c>
      <c r="Q319" s="90"/>
      <c r="R319" s="90"/>
      <c r="S319" s="90"/>
      <c r="T319" s="90"/>
      <c r="U319" s="90"/>
      <c r="V319" s="90" t="str">
        <f t="shared" si="114"/>
        <v/>
      </c>
      <c r="W319" s="90"/>
      <c r="X319" s="42" t="str">
        <f t="shared" si="115"/>
        <v/>
      </c>
      <c r="Y319" s="42" t="str">
        <f t="shared" si="116"/>
        <v/>
      </c>
      <c r="Z319" s="90"/>
      <c r="AA319" s="42" t="str">
        <f t="shared" si="117"/>
        <v/>
      </c>
      <c r="AB319" s="42" t="str">
        <f t="shared" si="118"/>
        <v/>
      </c>
      <c r="AC319" s="90"/>
      <c r="AD319" s="42" t="str">
        <f t="shared" si="119"/>
        <v/>
      </c>
      <c r="AE319" s="42" t="str">
        <f t="shared" si="120"/>
        <v/>
      </c>
      <c r="AF319" s="90"/>
      <c r="AG319" s="42" t="str">
        <f t="shared" si="121"/>
        <v/>
      </c>
      <c r="AH319" s="42" t="str">
        <f t="shared" si="122"/>
        <v/>
      </c>
      <c r="AI319" s="90"/>
      <c r="AJ319" s="42" t="str">
        <f t="shared" si="123"/>
        <v/>
      </c>
      <c r="AK319" s="42" t="str">
        <f t="shared" si="124"/>
        <v/>
      </c>
      <c r="AL319" s="14" t="str">
        <f t="shared" si="125"/>
        <v/>
      </c>
      <c r="AM319" s="14" t="str">
        <f t="shared" si="126"/>
        <v/>
      </c>
      <c r="AN319" s="14" t="str">
        <f t="shared" si="127"/>
        <v/>
      </c>
      <c r="AO319" s="14" t="str">
        <f>IF(OR($C319="01-09",$D319="Male"),"",INDEX(PMTCT!$AD:$AD,MATCH($E319,PMTCT!$E:$E,0)))</f>
        <v/>
      </c>
      <c r="AP319" s="14" t="str">
        <f>IF(OR($C319="01-09",$D319="Male"),"",INDEX(PMTCT!$AT:$AT,MATCH($E319,PMTCT!$E:$E,0)))</f>
        <v/>
      </c>
      <c r="AQ319" s="14" t="str">
        <f>INDEX(TB!$Q:$Q,MATCH($E319,TB!$E:$E,0))</f>
        <v/>
      </c>
      <c r="AR319" s="14" t="str">
        <f>IF(OR($C319="01-09",$C319="10-14",$D319="Female"),"",INDEX(VMMC!$AB:$AB,MATCH($E319,VMMC!$E:$E,0)))</f>
        <v/>
      </c>
      <c r="AS319" s="14" t="str">
        <f>IF(OR($C319="01-09",$C319="10-14"),"",INDEX(PrEP!$Q:$Q,MATCH($E319,PrEP!$E:$E,0)))</f>
        <v/>
      </c>
      <c r="AT319" s="14" t="str">
        <f t="shared" si="128"/>
        <v/>
      </c>
      <c r="AU319" s="14" t="str">
        <f t="shared" si="129"/>
        <v/>
      </c>
      <c r="AV319" s="90" t="str">
        <f t="shared" si="130"/>
        <v/>
      </c>
      <c r="AW319" s="14"/>
      <c r="AX319" s="90" t="str">
        <f t="shared" si="131"/>
        <v/>
      </c>
      <c r="AY319" s="42" t="str">
        <f t="shared" si="132"/>
        <v/>
      </c>
      <c r="AZ319" s="90">
        <f t="shared" si="133"/>
        <v>1</v>
      </c>
      <c r="BA319" s="42" t="str">
        <f t="shared" si="134"/>
        <v/>
      </c>
    </row>
    <row r="320" spans="1:53" x14ac:dyDescent="0.2">
      <c r="A320" t="str">
        <f>INDEX(Prioritization!$D:$D,MATCH($B320,Prioritization!$A:$A,0))</f>
        <v>INVALID</v>
      </c>
      <c r="B320" t="s">
        <v>218</v>
      </c>
      <c r="C320" t="s">
        <v>364</v>
      </c>
      <c r="D320" t="s">
        <v>47</v>
      </c>
      <c r="E320" t="str">
        <f t="shared" si="108"/>
        <v>Nsanje District [rpw540fmNUz]|15-24|Male</v>
      </c>
      <c r="F320" s="90">
        <f>IF(LEFT($B320,4)="_Mil","",INDEX(Cascade!$AA:$AA,MATCH($E320,Cascade!$E:$E,0)))</f>
        <v>1525</v>
      </c>
      <c r="G320" s="14">
        <f>INDEX(Cascade!$BH:$BH,MATCH($E320,Cascade!$E:$E,0))</f>
        <v>0</v>
      </c>
      <c r="H320" s="14" t="str">
        <f>IF(OR($C320="01-09",$D320="Male"),"",INDEX(PMTCT!$AC:$AC,MATCH($E320,PMTCT!$E:$E,0)))</f>
        <v/>
      </c>
      <c r="I320" s="14" t="str">
        <f>IF(OR($C320="01-09",$D320="Male"),"",INDEX(PMTCT!$AS:$AS,MATCH($E320,PMTCT!$E:$E,0)))</f>
        <v/>
      </c>
      <c r="J320" s="14" t="str">
        <f>INDEX(TB!$P:$P,MATCH($E320,TB!$E:$E,0))</f>
        <v/>
      </c>
      <c r="K320" s="14" t="str">
        <f>IF(OR($C320="01-09",$C320="10-14",$D320="Female"),"",INDEX(VMMC!$AA:$AA,MATCH($E320,VMMC!$E:$E,0)))</f>
        <v/>
      </c>
      <c r="L320" s="14">
        <f t="shared" si="109"/>
        <v>0</v>
      </c>
      <c r="M320" s="90" t="str">
        <f t="shared" si="110"/>
        <v/>
      </c>
      <c r="N320" s="90" t="str">
        <f t="shared" si="111"/>
        <v/>
      </c>
      <c r="O320" s="90" t="str">
        <f t="shared" si="112"/>
        <v/>
      </c>
      <c r="P320" s="90" t="str">
        <f t="shared" si="113"/>
        <v/>
      </c>
      <c r="Q320" s="90"/>
      <c r="R320" s="90"/>
      <c r="S320" s="90"/>
      <c r="T320" s="90"/>
      <c r="U320" s="90"/>
      <c r="V320" s="90" t="str">
        <f t="shared" si="114"/>
        <v/>
      </c>
      <c r="W320" s="90"/>
      <c r="X320" s="42" t="str">
        <f t="shared" si="115"/>
        <v/>
      </c>
      <c r="Y320" s="42" t="str">
        <f t="shared" si="116"/>
        <v/>
      </c>
      <c r="Z320" s="90"/>
      <c r="AA320" s="42" t="str">
        <f t="shared" si="117"/>
        <v/>
      </c>
      <c r="AB320" s="42" t="str">
        <f t="shared" si="118"/>
        <v/>
      </c>
      <c r="AC320" s="90"/>
      <c r="AD320" s="42" t="str">
        <f t="shared" si="119"/>
        <v/>
      </c>
      <c r="AE320" s="42" t="str">
        <f t="shared" si="120"/>
        <v/>
      </c>
      <c r="AF320" s="90"/>
      <c r="AG320" s="42" t="str">
        <f t="shared" si="121"/>
        <v/>
      </c>
      <c r="AH320" s="42" t="str">
        <f t="shared" si="122"/>
        <v/>
      </c>
      <c r="AI320" s="90"/>
      <c r="AJ320" s="42" t="str">
        <f t="shared" si="123"/>
        <v/>
      </c>
      <c r="AK320" s="42" t="str">
        <f t="shared" si="124"/>
        <v/>
      </c>
      <c r="AL320" s="14" t="str">
        <f t="shared" si="125"/>
        <v/>
      </c>
      <c r="AM320" s="14" t="str">
        <f t="shared" si="126"/>
        <v/>
      </c>
      <c r="AN320" s="14" t="str">
        <f t="shared" si="127"/>
        <v/>
      </c>
      <c r="AO320" s="14" t="str">
        <f>IF(OR($C320="01-09",$D320="Male"),"",INDEX(PMTCT!$AD:$AD,MATCH($E320,PMTCT!$E:$E,0)))</f>
        <v/>
      </c>
      <c r="AP320" s="14" t="str">
        <f>IF(OR($C320="01-09",$D320="Male"),"",INDEX(PMTCT!$AT:$AT,MATCH($E320,PMTCT!$E:$E,0)))</f>
        <v/>
      </c>
      <c r="AQ320" s="14" t="str">
        <f>INDEX(TB!$Q:$Q,MATCH($E320,TB!$E:$E,0))</f>
        <v/>
      </c>
      <c r="AR320" s="14" t="str">
        <f>IF(OR($C320="01-09",$C320="10-14",$D320="Female"),"",INDEX(VMMC!$AB:$AB,MATCH($E320,VMMC!$E:$E,0)))</f>
        <v/>
      </c>
      <c r="AS320" s="14" t="str">
        <f>IF(OR($C320="01-09",$C320="10-14"),"",INDEX(PrEP!$Q:$Q,MATCH($E320,PrEP!$E:$E,0)))</f>
        <v/>
      </c>
      <c r="AT320" s="14" t="str">
        <f t="shared" si="128"/>
        <v/>
      </c>
      <c r="AU320" s="14" t="str">
        <f t="shared" si="129"/>
        <v/>
      </c>
      <c r="AV320" s="90" t="str">
        <f t="shared" si="130"/>
        <v/>
      </c>
      <c r="AW320" s="14"/>
      <c r="AX320" s="90" t="str">
        <f t="shared" si="131"/>
        <v/>
      </c>
      <c r="AY320" s="42" t="str">
        <f t="shared" si="132"/>
        <v/>
      </c>
      <c r="AZ320" s="90">
        <f t="shared" si="133"/>
        <v>1</v>
      </c>
      <c r="BA320" s="42" t="str">
        <f t="shared" si="134"/>
        <v/>
      </c>
    </row>
    <row r="321" spans="1:53" x14ac:dyDescent="0.2">
      <c r="A321" t="str">
        <f>INDEX(Prioritization!$D:$D,MATCH($B321,Prioritization!$A:$A,0))</f>
        <v>INVALID</v>
      </c>
      <c r="B321" t="s">
        <v>218</v>
      </c>
      <c r="C321" t="s">
        <v>365</v>
      </c>
      <c r="D321" t="s">
        <v>29</v>
      </c>
      <c r="E321" t="str">
        <f t="shared" si="108"/>
        <v>Nsanje District [rpw540fmNUz]|25-34|Female</v>
      </c>
      <c r="F321" s="90">
        <f>IF(LEFT($B321,4)="_Mil","",INDEX(Cascade!$AA:$AA,MATCH($E321,Cascade!$E:$E,0)))</f>
        <v>1848</v>
      </c>
      <c r="G321" s="14">
        <f>INDEX(Cascade!$BH:$BH,MATCH($E321,Cascade!$E:$E,0))</f>
        <v>0</v>
      </c>
      <c r="H321" s="14" t="str">
        <f>IF(OR($C321="01-09",$D321="Male"),"",INDEX(PMTCT!$AC:$AC,MATCH($E321,PMTCT!$E:$E,0)))</f>
        <v/>
      </c>
      <c r="I321" s="14" t="str">
        <f>IF(OR($C321="01-09",$D321="Male"),"",INDEX(PMTCT!$AS:$AS,MATCH($E321,PMTCT!$E:$E,0)))</f>
        <v/>
      </c>
      <c r="J321" s="14" t="str">
        <f>INDEX(TB!$P:$P,MATCH($E321,TB!$E:$E,0))</f>
        <v/>
      </c>
      <c r="K321" s="14" t="str">
        <f>IF(OR($C321="01-09",$C321="10-14",$D321="Female"),"",INDEX(VMMC!$AA:$AA,MATCH($E321,VMMC!$E:$E,0)))</f>
        <v/>
      </c>
      <c r="L321" s="14">
        <f t="shared" si="109"/>
        <v>0</v>
      </c>
      <c r="M321" s="90" t="str">
        <f t="shared" si="110"/>
        <v/>
      </c>
      <c r="N321" s="90" t="str">
        <f t="shared" si="111"/>
        <v/>
      </c>
      <c r="O321" s="90" t="str">
        <f t="shared" si="112"/>
        <v/>
      </c>
      <c r="P321" s="90" t="str">
        <f t="shared" si="113"/>
        <v/>
      </c>
      <c r="Q321" s="90"/>
      <c r="R321" s="90"/>
      <c r="S321" s="90"/>
      <c r="T321" s="90"/>
      <c r="U321" s="90"/>
      <c r="V321" s="90" t="str">
        <f t="shared" si="114"/>
        <v/>
      </c>
      <c r="W321" s="90"/>
      <c r="X321" s="42" t="str">
        <f t="shared" si="115"/>
        <v/>
      </c>
      <c r="Y321" s="42" t="str">
        <f t="shared" si="116"/>
        <v/>
      </c>
      <c r="Z321" s="90"/>
      <c r="AA321" s="42" t="str">
        <f t="shared" si="117"/>
        <v/>
      </c>
      <c r="AB321" s="42" t="str">
        <f t="shared" si="118"/>
        <v/>
      </c>
      <c r="AC321" s="90"/>
      <c r="AD321" s="42" t="str">
        <f t="shared" si="119"/>
        <v/>
      </c>
      <c r="AE321" s="42" t="str">
        <f t="shared" si="120"/>
        <v/>
      </c>
      <c r="AF321" s="90"/>
      <c r="AG321" s="42" t="str">
        <f t="shared" si="121"/>
        <v/>
      </c>
      <c r="AH321" s="42" t="str">
        <f t="shared" si="122"/>
        <v/>
      </c>
      <c r="AI321" s="90"/>
      <c r="AJ321" s="42" t="str">
        <f t="shared" si="123"/>
        <v/>
      </c>
      <c r="AK321" s="42" t="str">
        <f t="shared" si="124"/>
        <v/>
      </c>
      <c r="AL321" s="14" t="str">
        <f t="shared" si="125"/>
        <v/>
      </c>
      <c r="AM321" s="14" t="str">
        <f t="shared" si="126"/>
        <v/>
      </c>
      <c r="AN321" s="14" t="str">
        <f t="shared" si="127"/>
        <v/>
      </c>
      <c r="AO321" s="14" t="str">
        <f>IF(OR($C321="01-09",$D321="Male"),"",INDEX(PMTCT!$AD:$AD,MATCH($E321,PMTCT!$E:$E,0)))</f>
        <v/>
      </c>
      <c r="AP321" s="14" t="str">
        <f>IF(OR($C321="01-09",$D321="Male"),"",INDEX(PMTCT!$AT:$AT,MATCH($E321,PMTCT!$E:$E,0)))</f>
        <v/>
      </c>
      <c r="AQ321" s="14" t="str">
        <f>INDEX(TB!$Q:$Q,MATCH($E321,TB!$E:$E,0))</f>
        <v/>
      </c>
      <c r="AR321" s="14" t="str">
        <f>IF(OR($C321="01-09",$C321="10-14",$D321="Female"),"",INDEX(VMMC!$AB:$AB,MATCH($E321,VMMC!$E:$E,0)))</f>
        <v/>
      </c>
      <c r="AS321" s="14" t="str">
        <f>IF(OR($C321="01-09",$C321="10-14"),"",INDEX(PrEP!$Q:$Q,MATCH($E321,PrEP!$E:$E,0)))</f>
        <v/>
      </c>
      <c r="AT321" s="14" t="str">
        <f t="shared" si="128"/>
        <v/>
      </c>
      <c r="AU321" s="14" t="str">
        <f t="shared" si="129"/>
        <v/>
      </c>
      <c r="AV321" s="90" t="str">
        <f t="shared" si="130"/>
        <v/>
      </c>
      <c r="AW321" s="14"/>
      <c r="AX321" s="90" t="str">
        <f t="shared" si="131"/>
        <v/>
      </c>
      <c r="AY321" s="42" t="str">
        <f t="shared" si="132"/>
        <v/>
      </c>
      <c r="AZ321" s="90">
        <f t="shared" si="133"/>
        <v>1</v>
      </c>
      <c r="BA321" s="42" t="str">
        <f t="shared" si="134"/>
        <v/>
      </c>
    </row>
    <row r="322" spans="1:53" x14ac:dyDescent="0.2">
      <c r="A322" t="str">
        <f>INDEX(Prioritization!$D:$D,MATCH($B322,Prioritization!$A:$A,0))</f>
        <v>INVALID</v>
      </c>
      <c r="B322" t="s">
        <v>218</v>
      </c>
      <c r="C322" t="s">
        <v>365</v>
      </c>
      <c r="D322" t="s">
        <v>47</v>
      </c>
      <c r="E322" t="str">
        <f t="shared" si="108"/>
        <v>Nsanje District [rpw540fmNUz]|25-34|Male</v>
      </c>
      <c r="F322" s="90">
        <f>IF(LEFT($B322,4)="_Mil","",INDEX(Cascade!$AA:$AA,MATCH($E322,Cascade!$E:$E,0)))</f>
        <v>1838</v>
      </c>
      <c r="G322" s="14">
        <f>INDEX(Cascade!$BH:$BH,MATCH($E322,Cascade!$E:$E,0))</f>
        <v>0</v>
      </c>
      <c r="H322" s="14" t="str">
        <f>IF(OR($C322="01-09",$D322="Male"),"",INDEX(PMTCT!$AC:$AC,MATCH($E322,PMTCT!$E:$E,0)))</f>
        <v/>
      </c>
      <c r="I322" s="14" t="str">
        <f>IF(OR($C322="01-09",$D322="Male"),"",INDEX(PMTCT!$AS:$AS,MATCH($E322,PMTCT!$E:$E,0)))</f>
        <v/>
      </c>
      <c r="J322" s="14" t="str">
        <f>INDEX(TB!$P:$P,MATCH($E322,TB!$E:$E,0))</f>
        <v/>
      </c>
      <c r="K322" s="14" t="str">
        <f>IF(OR($C322="01-09",$C322="10-14",$D322="Female"),"",INDEX(VMMC!$AA:$AA,MATCH($E322,VMMC!$E:$E,0)))</f>
        <v/>
      </c>
      <c r="L322" s="14">
        <f t="shared" si="109"/>
        <v>0</v>
      </c>
      <c r="M322" s="90" t="str">
        <f t="shared" si="110"/>
        <v/>
      </c>
      <c r="N322" s="90" t="str">
        <f t="shared" si="111"/>
        <v/>
      </c>
      <c r="O322" s="90" t="str">
        <f t="shared" si="112"/>
        <v/>
      </c>
      <c r="P322" s="90" t="str">
        <f t="shared" si="113"/>
        <v/>
      </c>
      <c r="Q322" s="90"/>
      <c r="R322" s="90"/>
      <c r="S322" s="90"/>
      <c r="T322" s="90"/>
      <c r="U322" s="90"/>
      <c r="V322" s="90" t="str">
        <f t="shared" si="114"/>
        <v/>
      </c>
      <c r="W322" s="90"/>
      <c r="X322" s="42" t="str">
        <f t="shared" si="115"/>
        <v/>
      </c>
      <c r="Y322" s="42" t="str">
        <f t="shared" si="116"/>
        <v/>
      </c>
      <c r="Z322" s="90"/>
      <c r="AA322" s="42" t="str">
        <f t="shared" si="117"/>
        <v/>
      </c>
      <c r="AB322" s="42" t="str">
        <f t="shared" si="118"/>
        <v/>
      </c>
      <c r="AC322" s="90"/>
      <c r="AD322" s="42" t="str">
        <f t="shared" si="119"/>
        <v/>
      </c>
      <c r="AE322" s="42" t="str">
        <f t="shared" si="120"/>
        <v/>
      </c>
      <c r="AF322" s="90"/>
      <c r="AG322" s="42" t="str">
        <f t="shared" si="121"/>
        <v/>
      </c>
      <c r="AH322" s="42" t="str">
        <f t="shared" si="122"/>
        <v/>
      </c>
      <c r="AI322" s="90"/>
      <c r="AJ322" s="42" t="str">
        <f t="shared" si="123"/>
        <v/>
      </c>
      <c r="AK322" s="42" t="str">
        <f t="shared" si="124"/>
        <v/>
      </c>
      <c r="AL322" s="14" t="str">
        <f t="shared" si="125"/>
        <v/>
      </c>
      <c r="AM322" s="14" t="str">
        <f t="shared" si="126"/>
        <v/>
      </c>
      <c r="AN322" s="14" t="str">
        <f t="shared" si="127"/>
        <v/>
      </c>
      <c r="AO322" s="14" t="str">
        <f>IF(OR($C322="01-09",$D322="Male"),"",INDEX(PMTCT!$AD:$AD,MATCH($E322,PMTCT!$E:$E,0)))</f>
        <v/>
      </c>
      <c r="AP322" s="14" t="str">
        <f>IF(OR($C322="01-09",$D322="Male"),"",INDEX(PMTCT!$AT:$AT,MATCH($E322,PMTCT!$E:$E,0)))</f>
        <v/>
      </c>
      <c r="AQ322" s="14" t="str">
        <f>INDEX(TB!$Q:$Q,MATCH($E322,TB!$E:$E,0))</f>
        <v/>
      </c>
      <c r="AR322" s="14" t="str">
        <f>IF(OR($C322="01-09",$C322="10-14",$D322="Female"),"",INDEX(VMMC!$AB:$AB,MATCH($E322,VMMC!$E:$E,0)))</f>
        <v/>
      </c>
      <c r="AS322" s="14" t="str">
        <f>IF(OR($C322="01-09",$C322="10-14"),"",INDEX(PrEP!$Q:$Q,MATCH($E322,PrEP!$E:$E,0)))</f>
        <v/>
      </c>
      <c r="AT322" s="14" t="str">
        <f t="shared" si="128"/>
        <v/>
      </c>
      <c r="AU322" s="14" t="str">
        <f t="shared" si="129"/>
        <v/>
      </c>
      <c r="AV322" s="90" t="str">
        <f t="shared" si="130"/>
        <v/>
      </c>
      <c r="AW322" s="14"/>
      <c r="AX322" s="90" t="str">
        <f t="shared" si="131"/>
        <v/>
      </c>
      <c r="AY322" s="42" t="str">
        <f t="shared" si="132"/>
        <v/>
      </c>
      <c r="AZ322" s="90">
        <f t="shared" si="133"/>
        <v>1</v>
      </c>
      <c r="BA322" s="42" t="str">
        <f t="shared" si="134"/>
        <v/>
      </c>
    </row>
    <row r="323" spans="1:53" x14ac:dyDescent="0.2">
      <c r="A323" t="str">
        <f>INDEX(Prioritization!$D:$D,MATCH($B323,Prioritization!$A:$A,0))</f>
        <v>INVALID</v>
      </c>
      <c r="B323" t="s">
        <v>218</v>
      </c>
      <c r="C323" t="s">
        <v>366</v>
      </c>
      <c r="D323" t="s">
        <v>29</v>
      </c>
      <c r="E323" t="str">
        <f t="shared" si="108"/>
        <v>Nsanje District [rpw540fmNUz]|35-49|Female</v>
      </c>
      <c r="F323" s="90">
        <f>IF(LEFT($B323,4)="_Mil","",INDEX(Cascade!$AA:$AA,MATCH($E323,Cascade!$E:$E,0)))</f>
        <v>1027</v>
      </c>
      <c r="G323" s="14">
        <f>INDEX(Cascade!$BH:$BH,MATCH($E323,Cascade!$E:$E,0))</f>
        <v>0</v>
      </c>
      <c r="H323" s="14" t="str">
        <f>IF(OR($C323="01-09",$D323="Male"),"",INDEX(PMTCT!$AC:$AC,MATCH($E323,PMTCT!$E:$E,0)))</f>
        <v/>
      </c>
      <c r="I323" s="14" t="str">
        <f>IF(OR($C323="01-09",$D323="Male"),"",INDEX(PMTCT!$AS:$AS,MATCH($E323,PMTCT!$E:$E,0)))</f>
        <v/>
      </c>
      <c r="J323" s="14" t="str">
        <f>INDEX(TB!$P:$P,MATCH($E323,TB!$E:$E,0))</f>
        <v/>
      </c>
      <c r="K323" s="14" t="str">
        <f>IF(OR($C323="01-09",$C323="10-14",$D323="Female"),"",INDEX(VMMC!$AA:$AA,MATCH($E323,VMMC!$E:$E,0)))</f>
        <v/>
      </c>
      <c r="L323" s="14">
        <f t="shared" si="109"/>
        <v>0</v>
      </c>
      <c r="M323" s="90" t="str">
        <f t="shared" si="110"/>
        <v/>
      </c>
      <c r="N323" s="90" t="str">
        <f t="shared" si="111"/>
        <v/>
      </c>
      <c r="O323" s="90" t="str">
        <f t="shared" si="112"/>
        <v/>
      </c>
      <c r="P323" s="90" t="str">
        <f t="shared" si="113"/>
        <v/>
      </c>
      <c r="Q323" s="90"/>
      <c r="R323" s="90"/>
      <c r="S323" s="90"/>
      <c r="T323" s="90"/>
      <c r="U323" s="90"/>
      <c r="V323" s="90" t="str">
        <f t="shared" si="114"/>
        <v/>
      </c>
      <c r="W323" s="90"/>
      <c r="X323" s="42" t="str">
        <f t="shared" si="115"/>
        <v/>
      </c>
      <c r="Y323" s="42" t="str">
        <f t="shared" si="116"/>
        <v/>
      </c>
      <c r="Z323" s="90"/>
      <c r="AA323" s="42" t="str">
        <f t="shared" si="117"/>
        <v/>
      </c>
      <c r="AB323" s="42" t="str">
        <f t="shared" si="118"/>
        <v/>
      </c>
      <c r="AC323" s="90"/>
      <c r="AD323" s="42" t="str">
        <f t="shared" si="119"/>
        <v/>
      </c>
      <c r="AE323" s="42" t="str">
        <f t="shared" si="120"/>
        <v/>
      </c>
      <c r="AF323" s="90"/>
      <c r="AG323" s="42" t="str">
        <f t="shared" si="121"/>
        <v/>
      </c>
      <c r="AH323" s="42" t="str">
        <f t="shared" si="122"/>
        <v/>
      </c>
      <c r="AI323" s="90"/>
      <c r="AJ323" s="42" t="str">
        <f t="shared" si="123"/>
        <v/>
      </c>
      <c r="AK323" s="42" t="str">
        <f t="shared" si="124"/>
        <v/>
      </c>
      <c r="AL323" s="14" t="str">
        <f t="shared" si="125"/>
        <v/>
      </c>
      <c r="AM323" s="14" t="str">
        <f t="shared" si="126"/>
        <v/>
      </c>
      <c r="AN323" s="14" t="str">
        <f t="shared" si="127"/>
        <v/>
      </c>
      <c r="AO323" s="14" t="str">
        <f>IF(OR($C323="01-09",$D323="Male"),"",INDEX(PMTCT!$AD:$AD,MATCH($E323,PMTCT!$E:$E,0)))</f>
        <v/>
      </c>
      <c r="AP323" s="14" t="str">
        <f>IF(OR($C323="01-09",$D323="Male"),"",INDEX(PMTCT!$AT:$AT,MATCH($E323,PMTCT!$E:$E,0)))</f>
        <v/>
      </c>
      <c r="AQ323" s="14" t="str">
        <f>INDEX(TB!$Q:$Q,MATCH($E323,TB!$E:$E,0))</f>
        <v/>
      </c>
      <c r="AR323" s="14" t="str">
        <f>IF(OR($C323="01-09",$C323="10-14",$D323="Female"),"",INDEX(VMMC!$AB:$AB,MATCH($E323,VMMC!$E:$E,0)))</f>
        <v/>
      </c>
      <c r="AS323" s="14" t="str">
        <f>IF(OR($C323="01-09",$C323="10-14"),"",INDEX(PrEP!$Q:$Q,MATCH($E323,PrEP!$E:$E,0)))</f>
        <v/>
      </c>
      <c r="AT323" s="14" t="str">
        <f t="shared" si="128"/>
        <v/>
      </c>
      <c r="AU323" s="14" t="str">
        <f t="shared" si="129"/>
        <v/>
      </c>
      <c r="AV323" s="90" t="str">
        <f t="shared" si="130"/>
        <v/>
      </c>
      <c r="AW323" s="14"/>
      <c r="AX323" s="90" t="str">
        <f t="shared" si="131"/>
        <v/>
      </c>
      <c r="AY323" s="42" t="str">
        <f t="shared" si="132"/>
        <v/>
      </c>
      <c r="AZ323" s="90">
        <f t="shared" si="133"/>
        <v>1</v>
      </c>
      <c r="BA323" s="42" t="str">
        <f t="shared" si="134"/>
        <v/>
      </c>
    </row>
    <row r="324" spans="1:53" x14ac:dyDescent="0.2">
      <c r="A324" t="str">
        <f>INDEX(Prioritization!$D:$D,MATCH($B324,Prioritization!$A:$A,0))</f>
        <v>INVALID</v>
      </c>
      <c r="B324" t="s">
        <v>218</v>
      </c>
      <c r="C324" t="s">
        <v>366</v>
      </c>
      <c r="D324" t="s">
        <v>47</v>
      </c>
      <c r="E324" t="str">
        <f t="shared" si="108"/>
        <v>Nsanje District [rpw540fmNUz]|35-49|Male</v>
      </c>
      <c r="F324" s="90">
        <f>IF(LEFT($B324,4)="_Mil","",INDEX(Cascade!$AA:$AA,MATCH($E324,Cascade!$E:$E,0)))</f>
        <v>1346</v>
      </c>
      <c r="G324" s="14">
        <f>INDEX(Cascade!$BH:$BH,MATCH($E324,Cascade!$E:$E,0))</f>
        <v>0</v>
      </c>
      <c r="H324" s="14" t="str">
        <f>IF(OR($C324="01-09",$D324="Male"),"",INDEX(PMTCT!$AC:$AC,MATCH($E324,PMTCT!$E:$E,0)))</f>
        <v/>
      </c>
      <c r="I324" s="14" t="str">
        <f>IF(OR($C324="01-09",$D324="Male"),"",INDEX(PMTCT!$AS:$AS,MATCH($E324,PMTCT!$E:$E,0)))</f>
        <v/>
      </c>
      <c r="J324" s="14" t="str">
        <f>INDEX(TB!$P:$P,MATCH($E324,TB!$E:$E,0))</f>
        <v/>
      </c>
      <c r="K324" s="14" t="str">
        <f>IF(OR($C324="01-09",$C324="10-14",$D324="Female"),"",INDEX(VMMC!$AA:$AA,MATCH($E324,VMMC!$E:$E,0)))</f>
        <v/>
      </c>
      <c r="L324" s="14">
        <f t="shared" si="109"/>
        <v>0</v>
      </c>
      <c r="M324" s="90" t="str">
        <f t="shared" si="110"/>
        <v/>
      </c>
      <c r="N324" s="90" t="str">
        <f t="shared" si="111"/>
        <v/>
      </c>
      <c r="O324" s="90" t="str">
        <f t="shared" si="112"/>
        <v/>
      </c>
      <c r="P324" s="90" t="str">
        <f t="shared" si="113"/>
        <v/>
      </c>
      <c r="Q324" s="90"/>
      <c r="R324" s="90"/>
      <c r="S324" s="90"/>
      <c r="T324" s="90"/>
      <c r="U324" s="90"/>
      <c r="V324" s="90" t="str">
        <f t="shared" si="114"/>
        <v/>
      </c>
      <c r="W324" s="90"/>
      <c r="X324" s="42" t="str">
        <f t="shared" si="115"/>
        <v/>
      </c>
      <c r="Y324" s="42" t="str">
        <f t="shared" si="116"/>
        <v/>
      </c>
      <c r="Z324" s="90"/>
      <c r="AA324" s="42" t="str">
        <f t="shared" si="117"/>
        <v/>
      </c>
      <c r="AB324" s="42" t="str">
        <f t="shared" si="118"/>
        <v/>
      </c>
      <c r="AC324" s="90"/>
      <c r="AD324" s="42" t="str">
        <f t="shared" si="119"/>
        <v/>
      </c>
      <c r="AE324" s="42" t="str">
        <f t="shared" si="120"/>
        <v/>
      </c>
      <c r="AF324" s="90"/>
      <c r="AG324" s="42" t="str">
        <f t="shared" si="121"/>
        <v/>
      </c>
      <c r="AH324" s="42" t="str">
        <f t="shared" si="122"/>
        <v/>
      </c>
      <c r="AI324" s="90"/>
      <c r="AJ324" s="42" t="str">
        <f t="shared" si="123"/>
        <v/>
      </c>
      <c r="AK324" s="42" t="str">
        <f t="shared" si="124"/>
        <v/>
      </c>
      <c r="AL324" s="14" t="str">
        <f t="shared" si="125"/>
        <v/>
      </c>
      <c r="AM324" s="14" t="str">
        <f t="shared" si="126"/>
        <v/>
      </c>
      <c r="AN324" s="14" t="str">
        <f t="shared" si="127"/>
        <v/>
      </c>
      <c r="AO324" s="14" t="str">
        <f>IF(OR($C324="01-09",$D324="Male"),"",INDEX(PMTCT!$AD:$AD,MATCH($E324,PMTCT!$E:$E,0)))</f>
        <v/>
      </c>
      <c r="AP324" s="14" t="str">
        <f>IF(OR($C324="01-09",$D324="Male"),"",INDEX(PMTCT!$AT:$AT,MATCH($E324,PMTCT!$E:$E,0)))</f>
        <v/>
      </c>
      <c r="AQ324" s="14" t="str">
        <f>INDEX(TB!$Q:$Q,MATCH($E324,TB!$E:$E,0))</f>
        <v/>
      </c>
      <c r="AR324" s="14" t="str">
        <f>IF(OR($C324="01-09",$C324="10-14",$D324="Female"),"",INDEX(VMMC!$AB:$AB,MATCH($E324,VMMC!$E:$E,0)))</f>
        <v/>
      </c>
      <c r="AS324" s="14" t="str">
        <f>IF(OR($C324="01-09",$C324="10-14"),"",INDEX(PrEP!$Q:$Q,MATCH($E324,PrEP!$E:$E,0)))</f>
        <v/>
      </c>
      <c r="AT324" s="14" t="str">
        <f t="shared" si="128"/>
        <v/>
      </c>
      <c r="AU324" s="14" t="str">
        <f t="shared" si="129"/>
        <v/>
      </c>
      <c r="AV324" s="90" t="str">
        <f t="shared" si="130"/>
        <v/>
      </c>
      <c r="AW324" s="14"/>
      <c r="AX324" s="90" t="str">
        <f t="shared" si="131"/>
        <v/>
      </c>
      <c r="AY324" s="42" t="str">
        <f t="shared" si="132"/>
        <v/>
      </c>
      <c r="AZ324" s="90">
        <f t="shared" si="133"/>
        <v>1</v>
      </c>
      <c r="BA324" s="42" t="str">
        <f t="shared" si="134"/>
        <v/>
      </c>
    </row>
    <row r="325" spans="1:53" x14ac:dyDescent="0.2">
      <c r="A325" t="str">
        <f>INDEX(Prioritization!$D:$D,MATCH($B325,Prioritization!$A:$A,0))</f>
        <v>INVALID</v>
      </c>
      <c r="B325" t="s">
        <v>218</v>
      </c>
      <c r="C325" t="s">
        <v>367</v>
      </c>
      <c r="D325" t="s">
        <v>29</v>
      </c>
      <c r="E325" t="str">
        <f t="shared" si="108"/>
        <v>Nsanje District [rpw540fmNUz]|50+|Female</v>
      </c>
      <c r="F325" s="90">
        <f>IF(LEFT($B325,4)="_Mil","",INDEX(Cascade!$AA:$AA,MATCH($E325,Cascade!$E:$E,0)))</f>
        <v>1563.9999999999998</v>
      </c>
      <c r="G325" s="14">
        <f>INDEX(Cascade!$BH:$BH,MATCH($E325,Cascade!$E:$E,0))</f>
        <v>0</v>
      </c>
      <c r="H325" s="14" t="str">
        <f>IF(OR($C325="01-09",$D325="Male"),"",INDEX(PMTCT!$AC:$AC,MATCH($E325,PMTCT!$E:$E,0)))</f>
        <v/>
      </c>
      <c r="I325" s="14" t="str">
        <f>IF(OR($C325="01-09",$D325="Male"),"",INDEX(PMTCT!$AS:$AS,MATCH($E325,PMTCT!$E:$E,0)))</f>
        <v/>
      </c>
      <c r="J325" s="14" t="str">
        <f>INDEX(TB!$P:$P,MATCH($E325,TB!$E:$E,0))</f>
        <v/>
      </c>
      <c r="K325" s="14" t="str">
        <f>IF(OR($C325="01-09",$C325="10-14",$D325="Female"),"",INDEX(VMMC!$AA:$AA,MATCH($E325,VMMC!$E:$E,0)))</f>
        <v/>
      </c>
      <c r="L325" s="14">
        <f t="shared" si="109"/>
        <v>0</v>
      </c>
      <c r="M325" s="90" t="str">
        <f t="shared" si="110"/>
        <v/>
      </c>
      <c r="N325" s="90" t="str">
        <f t="shared" si="111"/>
        <v/>
      </c>
      <c r="O325" s="90" t="str">
        <f t="shared" si="112"/>
        <v/>
      </c>
      <c r="P325" s="90" t="str">
        <f t="shared" si="113"/>
        <v/>
      </c>
      <c r="Q325" s="90"/>
      <c r="R325" s="90"/>
      <c r="S325" s="90"/>
      <c r="T325" s="90"/>
      <c r="U325" s="90">
        <v>0.645844225306064</v>
      </c>
      <c r="V325" s="90" t="str">
        <f t="shared" si="114"/>
        <v/>
      </c>
      <c r="W325" s="90"/>
      <c r="X325" s="42" t="str">
        <f t="shared" si="115"/>
        <v/>
      </c>
      <c r="Y325" s="42" t="str">
        <f t="shared" si="116"/>
        <v/>
      </c>
      <c r="Z325" s="90"/>
      <c r="AA325" s="42" t="str">
        <f t="shared" si="117"/>
        <v/>
      </c>
      <c r="AB325" s="42" t="str">
        <f t="shared" si="118"/>
        <v/>
      </c>
      <c r="AC325" s="90"/>
      <c r="AD325" s="42" t="str">
        <f t="shared" si="119"/>
        <v/>
      </c>
      <c r="AE325" s="42" t="str">
        <f t="shared" si="120"/>
        <v/>
      </c>
      <c r="AF325" s="90"/>
      <c r="AG325" s="42" t="str">
        <f t="shared" si="121"/>
        <v/>
      </c>
      <c r="AH325" s="42" t="str">
        <f t="shared" si="122"/>
        <v/>
      </c>
      <c r="AI325" s="90"/>
      <c r="AJ325" s="42" t="str">
        <f t="shared" si="123"/>
        <v/>
      </c>
      <c r="AK325" s="42" t="str">
        <f t="shared" si="124"/>
        <v/>
      </c>
      <c r="AL325" s="14" t="str">
        <f t="shared" si="125"/>
        <v/>
      </c>
      <c r="AM325" s="14" t="str">
        <f t="shared" si="126"/>
        <v/>
      </c>
      <c r="AN325" s="14" t="str">
        <f t="shared" si="127"/>
        <v/>
      </c>
      <c r="AO325" s="14" t="str">
        <f>IF(OR($C325="01-09",$D325="Male"),"",INDEX(PMTCT!$AD:$AD,MATCH($E325,PMTCT!$E:$E,0)))</f>
        <v/>
      </c>
      <c r="AP325" s="14" t="str">
        <f>IF(OR($C325="01-09",$D325="Male"),"",INDEX(PMTCT!$AT:$AT,MATCH($E325,PMTCT!$E:$E,0)))</f>
        <v/>
      </c>
      <c r="AQ325" s="14" t="str">
        <f>INDEX(TB!$Q:$Q,MATCH($E325,TB!$E:$E,0))</f>
        <v/>
      </c>
      <c r="AR325" s="14" t="str">
        <f>IF(OR($C325="01-09",$C325="10-14",$D325="Female"),"",INDEX(VMMC!$AB:$AB,MATCH($E325,VMMC!$E:$E,0)))</f>
        <v/>
      </c>
      <c r="AS325" s="14" t="str">
        <f>IF(OR($C325="01-09",$C325="10-14"),"",INDEX(PrEP!$Q:$Q,MATCH($E325,PrEP!$E:$E,0)))</f>
        <v/>
      </c>
      <c r="AT325" s="14" t="str">
        <f t="shared" si="128"/>
        <v/>
      </c>
      <c r="AU325" s="14" t="str">
        <f t="shared" si="129"/>
        <v/>
      </c>
      <c r="AV325" s="90" t="str">
        <f t="shared" si="130"/>
        <v/>
      </c>
      <c r="AW325" s="14">
        <v>9</v>
      </c>
      <c r="AX325" s="90">
        <f t="shared" si="131"/>
        <v>0</v>
      </c>
      <c r="AY325" s="42">
        <f t="shared" si="132"/>
        <v>9</v>
      </c>
      <c r="AZ325" s="90">
        <f t="shared" si="133"/>
        <v>1</v>
      </c>
      <c r="BA325" s="42" t="str">
        <f t="shared" si="134"/>
        <v/>
      </c>
    </row>
    <row r="326" spans="1:53" x14ac:dyDescent="0.2">
      <c r="A326" t="str">
        <f>INDEX(Prioritization!$D:$D,MATCH($B326,Prioritization!$A:$A,0))</f>
        <v>INVALID</v>
      </c>
      <c r="B326" t="s">
        <v>218</v>
      </c>
      <c r="C326" t="s">
        <v>367</v>
      </c>
      <c r="D326" t="s">
        <v>47</v>
      </c>
      <c r="E326" t="str">
        <f t="shared" si="108"/>
        <v>Nsanje District [rpw540fmNUz]|50+|Male</v>
      </c>
      <c r="F326" s="90">
        <f>IF(LEFT($B326,4)="_Mil","",INDEX(Cascade!$AA:$AA,MATCH($E326,Cascade!$E:$E,0)))</f>
        <v>1286</v>
      </c>
      <c r="G326" s="14">
        <f>INDEX(Cascade!$BH:$BH,MATCH($E326,Cascade!$E:$E,0))</f>
        <v>0</v>
      </c>
      <c r="H326" s="14" t="str">
        <f>IF(OR($C326="01-09",$D326="Male"),"",INDEX(PMTCT!$AC:$AC,MATCH($E326,PMTCT!$E:$E,0)))</f>
        <v/>
      </c>
      <c r="I326" s="14" t="str">
        <f>IF(OR($C326="01-09",$D326="Male"),"",INDEX(PMTCT!$AS:$AS,MATCH($E326,PMTCT!$E:$E,0)))</f>
        <v/>
      </c>
      <c r="J326" s="14" t="str">
        <f>INDEX(TB!$P:$P,MATCH($E326,TB!$E:$E,0))</f>
        <v/>
      </c>
      <c r="K326" s="14" t="str">
        <f>IF(OR($C326="01-09",$C326="10-14",$D326="Female"),"",INDEX(VMMC!$AA:$AA,MATCH($E326,VMMC!$E:$E,0)))</f>
        <v/>
      </c>
      <c r="L326" s="14">
        <f t="shared" si="109"/>
        <v>0</v>
      </c>
      <c r="M326" s="90" t="str">
        <f t="shared" si="110"/>
        <v/>
      </c>
      <c r="N326" s="90" t="str">
        <f t="shared" si="111"/>
        <v/>
      </c>
      <c r="O326" s="90" t="str">
        <f t="shared" si="112"/>
        <v/>
      </c>
      <c r="P326" s="90" t="str">
        <f t="shared" si="113"/>
        <v/>
      </c>
      <c r="Q326" s="90"/>
      <c r="R326" s="90"/>
      <c r="S326" s="90"/>
      <c r="T326" s="90"/>
      <c r="U326" s="90">
        <v>0.19022079417481999</v>
      </c>
      <c r="V326" s="90" t="str">
        <f t="shared" si="114"/>
        <v/>
      </c>
      <c r="W326" s="90"/>
      <c r="X326" s="42" t="str">
        <f t="shared" si="115"/>
        <v/>
      </c>
      <c r="Y326" s="42" t="str">
        <f t="shared" si="116"/>
        <v/>
      </c>
      <c r="Z326" s="90"/>
      <c r="AA326" s="42" t="str">
        <f t="shared" si="117"/>
        <v/>
      </c>
      <c r="AB326" s="42" t="str">
        <f t="shared" si="118"/>
        <v/>
      </c>
      <c r="AC326" s="90"/>
      <c r="AD326" s="42" t="str">
        <f t="shared" si="119"/>
        <v/>
      </c>
      <c r="AE326" s="42" t="str">
        <f t="shared" si="120"/>
        <v/>
      </c>
      <c r="AF326" s="90"/>
      <c r="AG326" s="42" t="str">
        <f t="shared" si="121"/>
        <v/>
      </c>
      <c r="AH326" s="42" t="str">
        <f t="shared" si="122"/>
        <v/>
      </c>
      <c r="AI326" s="90"/>
      <c r="AJ326" s="42" t="str">
        <f t="shared" si="123"/>
        <v/>
      </c>
      <c r="AK326" s="42" t="str">
        <f t="shared" si="124"/>
        <v/>
      </c>
      <c r="AL326" s="14" t="str">
        <f t="shared" si="125"/>
        <v/>
      </c>
      <c r="AM326" s="14" t="str">
        <f t="shared" si="126"/>
        <v/>
      </c>
      <c r="AN326" s="14" t="str">
        <f t="shared" si="127"/>
        <v/>
      </c>
      <c r="AO326" s="14" t="str">
        <f>IF(OR($C326="01-09",$D326="Male"),"",INDEX(PMTCT!$AD:$AD,MATCH($E326,PMTCT!$E:$E,0)))</f>
        <v/>
      </c>
      <c r="AP326" s="14" t="str">
        <f>IF(OR($C326="01-09",$D326="Male"),"",INDEX(PMTCT!$AT:$AT,MATCH($E326,PMTCT!$E:$E,0)))</f>
        <v/>
      </c>
      <c r="AQ326" s="14" t="str">
        <f>INDEX(TB!$Q:$Q,MATCH($E326,TB!$E:$E,0))</f>
        <v/>
      </c>
      <c r="AR326" s="14" t="str">
        <f>IF(OR($C326="01-09",$C326="10-14",$D326="Female"),"",INDEX(VMMC!$AB:$AB,MATCH($E326,VMMC!$E:$E,0)))</f>
        <v/>
      </c>
      <c r="AS326" s="14" t="str">
        <f>IF(OR($C326="01-09",$C326="10-14"),"",INDEX(PrEP!$Q:$Q,MATCH($E326,PrEP!$E:$E,0)))</f>
        <v/>
      </c>
      <c r="AT326" s="14" t="str">
        <f t="shared" si="128"/>
        <v/>
      </c>
      <c r="AU326" s="14" t="str">
        <f t="shared" si="129"/>
        <v/>
      </c>
      <c r="AV326" s="90" t="str">
        <f t="shared" si="130"/>
        <v/>
      </c>
      <c r="AW326" s="14">
        <v>9</v>
      </c>
      <c r="AX326" s="90">
        <f t="shared" si="131"/>
        <v>0</v>
      </c>
      <c r="AY326" s="42">
        <f t="shared" si="132"/>
        <v>9</v>
      </c>
      <c r="AZ326" s="90">
        <f t="shared" si="133"/>
        <v>1</v>
      </c>
      <c r="BA326" s="42" t="str">
        <f t="shared" si="134"/>
        <v/>
      </c>
    </row>
    <row r="327" spans="1:53" x14ac:dyDescent="0.2">
      <c r="A327" t="str">
        <f>INDEX(Prioritization!$D:$D,MATCH($B327,Prioritization!$A:$A,0))</f>
        <v>INVALID</v>
      </c>
      <c r="B327" t="s">
        <v>219</v>
      </c>
      <c r="C327" t="s">
        <v>362</v>
      </c>
      <c r="D327" t="s">
        <v>29</v>
      </c>
      <c r="E327" t="str">
        <f t="shared" si="108"/>
        <v>Phalombe District [AZyWpGzhcaA]|01-09|Female</v>
      </c>
      <c r="F327" s="90">
        <f>IF(LEFT($B327,4)="_Mil","",INDEX(Cascade!$AA:$AA,MATCH($E327,Cascade!$E:$E,0)))</f>
        <v>1930</v>
      </c>
      <c r="G327" s="14">
        <f>INDEX(Cascade!$BH:$BH,MATCH($E327,Cascade!$E:$E,0))</f>
        <v>0</v>
      </c>
      <c r="H327" s="14" t="str">
        <f>IF(OR($C327="01-09",$D327="Male"),"",INDEX(PMTCT!$AC:$AC,MATCH($E327,PMTCT!$E:$E,0)))</f>
        <v/>
      </c>
      <c r="I327" s="14" t="str">
        <f>IF(OR($C327="01-09",$D327="Male"),"",INDEX(PMTCT!$AS:$AS,MATCH($E327,PMTCT!$E:$E,0)))</f>
        <v/>
      </c>
      <c r="J327" s="14" t="str">
        <f>INDEX(TB!$P:$P,MATCH($E327,TB!$E:$E,0))</f>
        <v/>
      </c>
      <c r="K327" s="14" t="str">
        <f>IF(OR($C327="01-09",$C327="10-14",$D327="Female"),"",INDEX(VMMC!$AA:$AA,MATCH($E327,VMMC!$E:$E,0)))</f>
        <v/>
      </c>
      <c r="L327" s="14">
        <f t="shared" si="109"/>
        <v>0</v>
      </c>
      <c r="M327" s="90" t="str">
        <f t="shared" si="110"/>
        <v/>
      </c>
      <c r="N327" s="90" t="str">
        <f t="shared" si="111"/>
        <v/>
      </c>
      <c r="O327" s="90" t="str">
        <f t="shared" si="112"/>
        <v/>
      </c>
      <c r="P327" s="90" t="str">
        <f t="shared" si="113"/>
        <v/>
      </c>
      <c r="Q327" s="90"/>
      <c r="R327" s="90"/>
      <c r="S327" s="90"/>
      <c r="T327" s="90"/>
      <c r="U327" s="90"/>
      <c r="V327" s="90" t="str">
        <f t="shared" si="114"/>
        <v/>
      </c>
      <c r="W327" s="90"/>
      <c r="X327" s="42" t="str">
        <f t="shared" si="115"/>
        <v/>
      </c>
      <c r="Y327" s="42" t="str">
        <f t="shared" si="116"/>
        <v/>
      </c>
      <c r="Z327" s="90"/>
      <c r="AA327" s="42" t="str">
        <f t="shared" si="117"/>
        <v/>
      </c>
      <c r="AB327" s="42" t="str">
        <f t="shared" si="118"/>
        <v/>
      </c>
      <c r="AC327" s="90"/>
      <c r="AD327" s="42" t="str">
        <f t="shared" si="119"/>
        <v/>
      </c>
      <c r="AE327" s="42" t="str">
        <f t="shared" si="120"/>
        <v/>
      </c>
      <c r="AF327" s="90"/>
      <c r="AG327" s="42" t="str">
        <f t="shared" si="121"/>
        <v/>
      </c>
      <c r="AH327" s="42" t="str">
        <f t="shared" si="122"/>
        <v/>
      </c>
      <c r="AI327" s="90"/>
      <c r="AJ327" s="42" t="str">
        <f t="shared" si="123"/>
        <v/>
      </c>
      <c r="AK327" s="42" t="str">
        <f t="shared" si="124"/>
        <v/>
      </c>
      <c r="AL327" s="14" t="str">
        <f t="shared" si="125"/>
        <v/>
      </c>
      <c r="AM327" s="14" t="str">
        <f t="shared" si="126"/>
        <v/>
      </c>
      <c r="AN327" s="14" t="str">
        <f t="shared" si="127"/>
        <v/>
      </c>
      <c r="AO327" s="14" t="str">
        <f>IF(OR($C327="01-09",$D327="Male"),"",INDEX(PMTCT!$AD:$AD,MATCH($E327,PMTCT!$E:$E,0)))</f>
        <v/>
      </c>
      <c r="AP327" s="14" t="str">
        <f>IF(OR($C327="01-09",$D327="Male"),"",INDEX(PMTCT!$AT:$AT,MATCH($E327,PMTCT!$E:$E,0)))</f>
        <v/>
      </c>
      <c r="AQ327" s="14" t="str">
        <f>INDEX(TB!$Q:$Q,MATCH($E327,TB!$E:$E,0))</f>
        <v/>
      </c>
      <c r="AR327" s="14" t="str">
        <f>IF(OR($C327="01-09",$C327="10-14",$D327="Female"),"",INDEX(VMMC!$AB:$AB,MATCH($E327,VMMC!$E:$E,0)))</f>
        <v/>
      </c>
      <c r="AS327" s="14" t="str">
        <f>IF(OR($C327="01-09",$C327="10-14"),"",INDEX(PrEP!$Q:$Q,MATCH($E327,PrEP!$E:$E,0)))</f>
        <v/>
      </c>
      <c r="AT327" s="14" t="str">
        <f t="shared" si="128"/>
        <v/>
      </c>
      <c r="AU327" s="14" t="str">
        <f t="shared" si="129"/>
        <v/>
      </c>
      <c r="AV327" s="90" t="str">
        <f t="shared" si="130"/>
        <v/>
      </c>
      <c r="AW327" s="14"/>
      <c r="AX327" s="90" t="str">
        <f t="shared" si="131"/>
        <v/>
      </c>
      <c r="AY327" s="42" t="str">
        <f t="shared" si="132"/>
        <v/>
      </c>
      <c r="AZ327" s="90" t="str">
        <f t="shared" si="133"/>
        <v/>
      </c>
      <c r="BA327" s="42" t="str">
        <f t="shared" si="134"/>
        <v/>
      </c>
    </row>
    <row r="328" spans="1:53" x14ac:dyDescent="0.2">
      <c r="A328" t="str">
        <f>INDEX(Prioritization!$D:$D,MATCH($B328,Prioritization!$A:$A,0))</f>
        <v>INVALID</v>
      </c>
      <c r="B328" t="s">
        <v>219</v>
      </c>
      <c r="C328" t="s">
        <v>362</v>
      </c>
      <c r="D328" t="s">
        <v>47</v>
      </c>
      <c r="E328" t="str">
        <f t="shared" si="108"/>
        <v>Phalombe District [AZyWpGzhcaA]|01-09|Male</v>
      </c>
      <c r="F328" s="90">
        <f>IF(LEFT($B328,4)="_Mil","",INDEX(Cascade!$AA:$AA,MATCH($E328,Cascade!$E:$E,0)))</f>
        <v>517</v>
      </c>
      <c r="G328" s="14">
        <f>INDEX(Cascade!$BH:$BH,MATCH($E328,Cascade!$E:$E,0))</f>
        <v>0</v>
      </c>
      <c r="H328" s="14" t="str">
        <f>IF(OR($C328="01-09",$D328="Male"),"",INDEX(PMTCT!$AC:$AC,MATCH($E328,PMTCT!$E:$E,0)))</f>
        <v/>
      </c>
      <c r="I328" s="14" t="str">
        <f>IF(OR($C328="01-09",$D328="Male"),"",INDEX(PMTCT!$AS:$AS,MATCH($E328,PMTCT!$E:$E,0)))</f>
        <v/>
      </c>
      <c r="J328" s="14" t="str">
        <f>INDEX(TB!$P:$P,MATCH($E328,TB!$E:$E,0))</f>
        <v/>
      </c>
      <c r="K328" s="14" t="str">
        <f>IF(OR($C328="01-09",$C328="10-14",$D328="Female"),"",INDEX(VMMC!$AA:$AA,MATCH($E328,VMMC!$E:$E,0)))</f>
        <v/>
      </c>
      <c r="L328" s="14">
        <f t="shared" si="109"/>
        <v>0</v>
      </c>
      <c r="M328" s="90" t="str">
        <f t="shared" si="110"/>
        <v/>
      </c>
      <c r="N328" s="90" t="str">
        <f t="shared" si="111"/>
        <v/>
      </c>
      <c r="O328" s="90" t="str">
        <f t="shared" si="112"/>
        <v/>
      </c>
      <c r="P328" s="90" t="str">
        <f t="shared" si="113"/>
        <v/>
      </c>
      <c r="Q328" s="90"/>
      <c r="R328" s="90"/>
      <c r="S328" s="90"/>
      <c r="T328" s="90"/>
      <c r="U328" s="90"/>
      <c r="V328" s="90" t="str">
        <f t="shared" si="114"/>
        <v/>
      </c>
      <c r="W328" s="90"/>
      <c r="X328" s="42" t="str">
        <f t="shared" si="115"/>
        <v/>
      </c>
      <c r="Y328" s="42" t="str">
        <f t="shared" si="116"/>
        <v/>
      </c>
      <c r="Z328" s="90"/>
      <c r="AA328" s="42" t="str">
        <f t="shared" si="117"/>
        <v/>
      </c>
      <c r="AB328" s="42" t="str">
        <f t="shared" si="118"/>
        <v/>
      </c>
      <c r="AC328" s="90"/>
      <c r="AD328" s="42" t="str">
        <f t="shared" si="119"/>
        <v/>
      </c>
      <c r="AE328" s="42" t="str">
        <f t="shared" si="120"/>
        <v/>
      </c>
      <c r="AF328" s="90"/>
      <c r="AG328" s="42" t="str">
        <f t="shared" si="121"/>
        <v/>
      </c>
      <c r="AH328" s="42" t="str">
        <f t="shared" si="122"/>
        <v/>
      </c>
      <c r="AI328" s="90"/>
      <c r="AJ328" s="42" t="str">
        <f t="shared" si="123"/>
        <v/>
      </c>
      <c r="AK328" s="42" t="str">
        <f t="shared" si="124"/>
        <v/>
      </c>
      <c r="AL328" s="14" t="str">
        <f t="shared" si="125"/>
        <v/>
      </c>
      <c r="AM328" s="14" t="str">
        <f t="shared" si="126"/>
        <v/>
      </c>
      <c r="AN328" s="14" t="str">
        <f t="shared" si="127"/>
        <v/>
      </c>
      <c r="AO328" s="14" t="str">
        <f>IF(OR($C328="01-09",$D328="Male"),"",INDEX(PMTCT!$AD:$AD,MATCH($E328,PMTCT!$E:$E,0)))</f>
        <v/>
      </c>
      <c r="AP328" s="14" t="str">
        <f>IF(OR($C328="01-09",$D328="Male"),"",INDEX(PMTCT!$AT:$AT,MATCH($E328,PMTCT!$E:$E,0)))</f>
        <v/>
      </c>
      <c r="AQ328" s="14" t="str">
        <f>INDEX(TB!$Q:$Q,MATCH($E328,TB!$E:$E,0))</f>
        <v/>
      </c>
      <c r="AR328" s="14" t="str">
        <f>IF(OR($C328="01-09",$C328="10-14",$D328="Female"),"",INDEX(VMMC!$AB:$AB,MATCH($E328,VMMC!$E:$E,0)))</f>
        <v/>
      </c>
      <c r="AS328" s="14" t="str">
        <f>IF(OR($C328="01-09",$C328="10-14"),"",INDEX(PrEP!$Q:$Q,MATCH($E328,PrEP!$E:$E,0)))</f>
        <v/>
      </c>
      <c r="AT328" s="14" t="str">
        <f t="shared" si="128"/>
        <v/>
      </c>
      <c r="AU328" s="14" t="str">
        <f t="shared" si="129"/>
        <v/>
      </c>
      <c r="AV328" s="90" t="str">
        <f t="shared" si="130"/>
        <v/>
      </c>
      <c r="AW328" s="14"/>
      <c r="AX328" s="90" t="str">
        <f t="shared" si="131"/>
        <v/>
      </c>
      <c r="AY328" s="42" t="str">
        <f t="shared" si="132"/>
        <v/>
      </c>
      <c r="AZ328" s="90" t="str">
        <f t="shared" si="133"/>
        <v/>
      </c>
      <c r="BA328" s="42" t="str">
        <f t="shared" si="134"/>
        <v/>
      </c>
    </row>
    <row r="329" spans="1:53" x14ac:dyDescent="0.2">
      <c r="A329" t="str">
        <f>INDEX(Prioritization!$D:$D,MATCH($B329,Prioritization!$A:$A,0))</f>
        <v>INVALID</v>
      </c>
      <c r="B329" t="s">
        <v>219</v>
      </c>
      <c r="C329" t="s">
        <v>363</v>
      </c>
      <c r="D329" t="s">
        <v>29</v>
      </c>
      <c r="E329" t="str">
        <f t="shared" si="108"/>
        <v>Phalombe District [AZyWpGzhcaA]|10-14|Female</v>
      </c>
      <c r="F329" s="90">
        <f>IF(LEFT($B329,4)="_Mil","",INDEX(Cascade!$AA:$AA,MATCH($E329,Cascade!$E:$E,0)))</f>
        <v>858</v>
      </c>
      <c r="G329" s="14">
        <f>INDEX(Cascade!$BH:$BH,MATCH($E329,Cascade!$E:$E,0))</f>
        <v>-68</v>
      </c>
      <c r="H329" s="14" t="str">
        <f>IF(OR($C329="01-09",$D329="Male"),"",INDEX(PMTCT!$AC:$AC,MATCH($E329,PMTCT!$E:$E,0)))</f>
        <v>ENTER YIELD RATE</v>
      </c>
      <c r="I329" s="14" t="str">
        <f>IF(OR($C329="01-09",$D329="Male"),"",INDEX(PMTCT!$AS:$AS,MATCH($E329,PMTCT!$E:$E,0)))</f>
        <v>ENTER YIELD RATE</v>
      </c>
      <c r="J329" s="14" t="str">
        <f>INDEX(TB!$P:$P,MATCH($E329,TB!$E:$E,0))</f>
        <v>ENTER YIELD RATE</v>
      </c>
      <c r="K329" s="14" t="str">
        <f>IF(OR($C329="01-09",$C329="10-14",$D329="Female"),"",INDEX(VMMC!$AA:$AA,MATCH($E329,VMMC!$E:$E,0)))</f>
        <v/>
      </c>
      <c r="L329" s="14">
        <f t="shared" si="109"/>
        <v>-68</v>
      </c>
      <c r="M329" s="90">
        <f t="shared" si="110"/>
        <v>0</v>
      </c>
      <c r="N329" s="90">
        <f t="shared" si="111"/>
        <v>0</v>
      </c>
      <c r="O329" s="90">
        <f t="shared" si="112"/>
        <v>0</v>
      </c>
      <c r="P329" s="90" t="str">
        <f t="shared" si="113"/>
        <v/>
      </c>
      <c r="Q329" s="90">
        <v>0.81816576723940704</v>
      </c>
      <c r="R329" s="90"/>
      <c r="S329" s="90"/>
      <c r="T329" s="90"/>
      <c r="U329" s="90">
        <v>0.82192929508164503</v>
      </c>
      <c r="V329" s="90">
        <f t="shared" si="114"/>
        <v>1.640095062321052</v>
      </c>
      <c r="W329" s="90"/>
      <c r="X329" s="42">
        <f t="shared" si="115"/>
        <v>-56</v>
      </c>
      <c r="Y329" s="42" t="str">
        <f t="shared" si="116"/>
        <v>ENTER YIELD</v>
      </c>
      <c r="Z329" s="90"/>
      <c r="AA329" s="42" t="str">
        <f t="shared" si="117"/>
        <v/>
      </c>
      <c r="AB329" s="42" t="str">
        <f t="shared" si="118"/>
        <v/>
      </c>
      <c r="AC329" s="90"/>
      <c r="AD329" s="42" t="str">
        <f t="shared" si="119"/>
        <v/>
      </c>
      <c r="AE329" s="42" t="str">
        <f t="shared" si="120"/>
        <v/>
      </c>
      <c r="AF329" s="90"/>
      <c r="AG329" s="42" t="str">
        <f t="shared" si="121"/>
        <v/>
      </c>
      <c r="AH329" s="42" t="str">
        <f t="shared" si="122"/>
        <v/>
      </c>
      <c r="AI329" s="90">
        <v>8.7642176542431102E-2</v>
      </c>
      <c r="AJ329" s="42">
        <f t="shared" si="123"/>
        <v>-56</v>
      </c>
      <c r="AK329" s="42">
        <f t="shared" si="124"/>
        <v>-583</v>
      </c>
      <c r="AL329" s="14">
        <f t="shared" si="125"/>
        <v>-68</v>
      </c>
      <c r="AM329" s="14">
        <f t="shared" si="126"/>
        <v>-112</v>
      </c>
      <c r="AN329" s="14">
        <f t="shared" si="127"/>
        <v>-44</v>
      </c>
      <c r="AO329" s="14">
        <f>IF(OR($C329="01-09",$D329="Male"),"",INDEX(PMTCT!$AD:$AD,MATCH($E329,PMTCT!$E:$E,0)))</f>
        <v>1</v>
      </c>
      <c r="AP329" s="14">
        <f>IF(OR($C329="01-09",$D329="Male"),"",INDEX(PMTCT!$AT:$AT,MATCH($E329,PMTCT!$E:$E,0)))</f>
        <v>1</v>
      </c>
      <c r="AQ329" s="14">
        <f>INDEX(TB!$Q:$Q,MATCH($E329,TB!$E:$E,0))</f>
        <v>1</v>
      </c>
      <c r="AR329" s="14" t="str">
        <f>IF(OR($C329="01-09",$C329="10-14",$D329="Female"),"",INDEX(VMMC!$AB:$AB,MATCH($E329,VMMC!$E:$E,0)))</f>
        <v/>
      </c>
      <c r="AS329" s="14" t="str">
        <f>IF(OR($C329="01-09",$C329="10-14"),"",INDEX(PrEP!$Q:$Q,MATCH($E329,PrEP!$E:$E,0)))</f>
        <v/>
      </c>
      <c r="AT329" s="14">
        <f t="shared" si="128"/>
        <v>-580</v>
      </c>
      <c r="AU329" s="14">
        <f t="shared" si="129"/>
        <v>-692</v>
      </c>
      <c r="AV329" s="90">
        <f t="shared" si="130"/>
        <v>0.16184971098265896</v>
      </c>
      <c r="AW329" s="14"/>
      <c r="AX329" s="90" t="str">
        <f t="shared" si="131"/>
        <v/>
      </c>
      <c r="AY329" s="42" t="str">
        <f t="shared" si="132"/>
        <v/>
      </c>
      <c r="AZ329" s="90" t="str">
        <f t="shared" si="133"/>
        <v/>
      </c>
      <c r="BA329" s="42" t="str">
        <f t="shared" si="134"/>
        <v/>
      </c>
    </row>
    <row r="330" spans="1:53" x14ac:dyDescent="0.2">
      <c r="A330" t="str">
        <f>INDEX(Prioritization!$D:$D,MATCH($B330,Prioritization!$A:$A,0))</f>
        <v>INVALID</v>
      </c>
      <c r="B330" t="s">
        <v>219</v>
      </c>
      <c r="C330" t="s">
        <v>363</v>
      </c>
      <c r="D330" t="s">
        <v>47</v>
      </c>
      <c r="E330" t="str">
        <f t="shared" si="108"/>
        <v>Phalombe District [AZyWpGzhcaA]|10-14|Male</v>
      </c>
      <c r="F330" s="90">
        <f>IF(LEFT($B330,4)="_Mil","",INDEX(Cascade!$AA:$AA,MATCH($E330,Cascade!$E:$E,0)))</f>
        <v>1896.0000000000002</v>
      </c>
      <c r="G330" s="14">
        <f>INDEX(Cascade!$BH:$BH,MATCH($E330,Cascade!$E:$E,0))</f>
        <v>-88</v>
      </c>
      <c r="H330" s="14" t="str">
        <f>IF(OR($C330="01-09",$D330="Male"),"",INDEX(PMTCT!$AC:$AC,MATCH($E330,PMTCT!$E:$E,0)))</f>
        <v/>
      </c>
      <c r="I330" s="14" t="str">
        <f>IF(OR($C330="01-09",$D330="Male"),"",INDEX(PMTCT!$AS:$AS,MATCH($E330,PMTCT!$E:$E,0)))</f>
        <v/>
      </c>
      <c r="J330" s="14" t="str">
        <f>INDEX(TB!$P:$P,MATCH($E330,TB!$E:$E,0))</f>
        <v>ENTER YIELD RATE</v>
      </c>
      <c r="K330" s="14" t="str">
        <f>IF(OR($C330="01-09",$C330="10-14",$D330="Female"),"",INDEX(VMMC!$AA:$AA,MATCH($E330,VMMC!$E:$E,0)))</f>
        <v/>
      </c>
      <c r="L330" s="14">
        <f t="shared" si="109"/>
        <v>-88</v>
      </c>
      <c r="M330" s="90" t="str">
        <f t="shared" si="110"/>
        <v/>
      </c>
      <c r="N330" s="90" t="str">
        <f t="shared" si="111"/>
        <v/>
      </c>
      <c r="O330" s="90">
        <f t="shared" si="112"/>
        <v>0</v>
      </c>
      <c r="P330" s="90" t="str">
        <f t="shared" si="113"/>
        <v/>
      </c>
      <c r="Q330" s="90">
        <v>0.46977110323496202</v>
      </c>
      <c r="R330" s="90"/>
      <c r="S330" s="90"/>
      <c r="T330" s="90"/>
      <c r="U330" s="90">
        <v>0.84554420947097197</v>
      </c>
      <c r="V330" s="90">
        <f t="shared" si="114"/>
        <v>1.315315312705934</v>
      </c>
      <c r="W330" s="90"/>
      <c r="X330" s="42">
        <f t="shared" si="115"/>
        <v>-41</v>
      </c>
      <c r="Y330" s="42" t="str">
        <f t="shared" si="116"/>
        <v>ENTER YIELD</v>
      </c>
      <c r="Z330" s="90"/>
      <c r="AA330" s="42" t="str">
        <f t="shared" si="117"/>
        <v/>
      </c>
      <c r="AB330" s="42" t="str">
        <f t="shared" si="118"/>
        <v/>
      </c>
      <c r="AC330" s="90"/>
      <c r="AD330" s="42" t="str">
        <f t="shared" si="119"/>
        <v/>
      </c>
      <c r="AE330" s="42" t="str">
        <f t="shared" si="120"/>
        <v/>
      </c>
      <c r="AF330" s="90"/>
      <c r="AG330" s="42" t="str">
        <f t="shared" si="121"/>
        <v/>
      </c>
      <c r="AH330" s="42" t="str">
        <f t="shared" si="122"/>
        <v/>
      </c>
      <c r="AI330" s="90">
        <v>0.82107043056748796</v>
      </c>
      <c r="AJ330" s="42">
        <f t="shared" si="123"/>
        <v>-74</v>
      </c>
      <c r="AK330" s="42">
        <f t="shared" si="124"/>
        <v>-16</v>
      </c>
      <c r="AL330" s="14">
        <f t="shared" si="125"/>
        <v>-88</v>
      </c>
      <c r="AM330" s="14">
        <f t="shared" si="126"/>
        <v>-115</v>
      </c>
      <c r="AN330" s="14">
        <f t="shared" si="127"/>
        <v>-27</v>
      </c>
      <c r="AO330" s="14" t="str">
        <f>IF(OR($C330="01-09",$D330="Male"),"",INDEX(PMTCT!$AD:$AD,MATCH($E330,PMTCT!$E:$E,0)))</f>
        <v/>
      </c>
      <c r="AP330" s="14" t="str">
        <f>IF(OR($C330="01-09",$D330="Male"),"",INDEX(PMTCT!$AT:$AT,MATCH($E330,PMTCT!$E:$E,0)))</f>
        <v/>
      </c>
      <c r="AQ330" s="14">
        <f>INDEX(TB!$Q:$Q,MATCH($E330,TB!$E:$E,0))</f>
        <v>1</v>
      </c>
      <c r="AR330" s="14" t="str">
        <f>IF(OR($C330="01-09",$C330="10-14",$D330="Female"),"",INDEX(VMMC!$AB:$AB,MATCH($E330,VMMC!$E:$E,0)))</f>
        <v/>
      </c>
      <c r="AS330" s="14" t="str">
        <f>IF(OR($C330="01-09",$C330="10-14"),"",INDEX(PrEP!$Q:$Q,MATCH($E330,PrEP!$E:$E,0)))</f>
        <v/>
      </c>
      <c r="AT330" s="14">
        <f t="shared" si="128"/>
        <v>-15</v>
      </c>
      <c r="AU330" s="14">
        <f t="shared" si="129"/>
        <v>-130</v>
      </c>
      <c r="AV330" s="90">
        <f t="shared" si="130"/>
        <v>0.88461538461538458</v>
      </c>
      <c r="AW330" s="14"/>
      <c r="AX330" s="90" t="str">
        <f t="shared" si="131"/>
        <v/>
      </c>
      <c r="AY330" s="42" t="str">
        <f t="shared" si="132"/>
        <v/>
      </c>
      <c r="AZ330" s="90" t="str">
        <f t="shared" si="133"/>
        <v/>
      </c>
      <c r="BA330" s="42" t="str">
        <f t="shared" si="134"/>
        <v/>
      </c>
    </row>
    <row r="331" spans="1:53" x14ac:dyDescent="0.2">
      <c r="A331" t="str">
        <f>INDEX(Prioritization!$D:$D,MATCH($B331,Prioritization!$A:$A,0))</f>
        <v>INVALID</v>
      </c>
      <c r="B331" t="s">
        <v>219</v>
      </c>
      <c r="C331" t="s">
        <v>364</v>
      </c>
      <c r="D331" t="s">
        <v>29</v>
      </c>
      <c r="E331" t="str">
        <f t="shared" si="108"/>
        <v>Phalombe District [AZyWpGzhcaA]|15-24|Female</v>
      </c>
      <c r="F331" s="90">
        <f>IF(LEFT($B331,4)="_Mil","",INDEX(Cascade!$AA:$AA,MATCH($E331,Cascade!$E:$E,0)))</f>
        <v>515</v>
      </c>
      <c r="G331" s="14">
        <f>INDEX(Cascade!$BH:$BH,MATCH($E331,Cascade!$E:$E,0))</f>
        <v>0</v>
      </c>
      <c r="H331" s="14" t="str">
        <f>IF(OR($C331="01-09",$D331="Male"),"",INDEX(PMTCT!$AC:$AC,MATCH($E331,PMTCT!$E:$E,0)))</f>
        <v/>
      </c>
      <c r="I331" s="14" t="str">
        <f>IF(OR($C331="01-09",$D331="Male"),"",INDEX(PMTCT!$AS:$AS,MATCH($E331,PMTCT!$E:$E,0)))</f>
        <v/>
      </c>
      <c r="J331" s="14" t="str">
        <f>INDEX(TB!$P:$P,MATCH($E331,TB!$E:$E,0))</f>
        <v/>
      </c>
      <c r="K331" s="14" t="str">
        <f>IF(OR($C331="01-09",$C331="10-14",$D331="Female"),"",INDEX(VMMC!$AA:$AA,MATCH($E331,VMMC!$E:$E,0)))</f>
        <v/>
      </c>
      <c r="L331" s="14">
        <f t="shared" si="109"/>
        <v>0</v>
      </c>
      <c r="M331" s="90" t="str">
        <f t="shared" si="110"/>
        <v/>
      </c>
      <c r="N331" s="90" t="str">
        <f t="shared" si="111"/>
        <v/>
      </c>
      <c r="O331" s="90" t="str">
        <f t="shared" si="112"/>
        <v/>
      </c>
      <c r="P331" s="90" t="str">
        <f t="shared" si="113"/>
        <v/>
      </c>
      <c r="Q331" s="90"/>
      <c r="R331" s="90"/>
      <c r="S331" s="90"/>
      <c r="T331" s="90"/>
      <c r="U331" s="90"/>
      <c r="V331" s="90" t="str">
        <f t="shared" si="114"/>
        <v/>
      </c>
      <c r="W331" s="90"/>
      <c r="X331" s="42" t="str">
        <f t="shared" si="115"/>
        <v/>
      </c>
      <c r="Y331" s="42" t="str">
        <f t="shared" si="116"/>
        <v/>
      </c>
      <c r="Z331" s="90"/>
      <c r="AA331" s="42" t="str">
        <f t="shared" si="117"/>
        <v/>
      </c>
      <c r="AB331" s="42" t="str">
        <f t="shared" si="118"/>
        <v/>
      </c>
      <c r="AC331" s="90"/>
      <c r="AD331" s="42" t="str">
        <f t="shared" si="119"/>
        <v/>
      </c>
      <c r="AE331" s="42" t="str">
        <f t="shared" si="120"/>
        <v/>
      </c>
      <c r="AF331" s="90"/>
      <c r="AG331" s="42" t="str">
        <f t="shared" si="121"/>
        <v/>
      </c>
      <c r="AH331" s="42" t="str">
        <f t="shared" si="122"/>
        <v/>
      </c>
      <c r="AI331" s="90"/>
      <c r="AJ331" s="42" t="str">
        <f t="shared" si="123"/>
        <v/>
      </c>
      <c r="AK331" s="42" t="str">
        <f t="shared" si="124"/>
        <v/>
      </c>
      <c r="AL331" s="14" t="str">
        <f t="shared" si="125"/>
        <v/>
      </c>
      <c r="AM331" s="14" t="str">
        <f t="shared" si="126"/>
        <v/>
      </c>
      <c r="AN331" s="14" t="str">
        <f t="shared" si="127"/>
        <v/>
      </c>
      <c r="AO331" s="14" t="str">
        <f>IF(OR($C331="01-09",$D331="Male"),"",INDEX(PMTCT!$AD:$AD,MATCH($E331,PMTCT!$E:$E,0)))</f>
        <v/>
      </c>
      <c r="AP331" s="14" t="str">
        <f>IF(OR($C331="01-09",$D331="Male"),"",INDEX(PMTCT!$AT:$AT,MATCH($E331,PMTCT!$E:$E,0)))</f>
        <v/>
      </c>
      <c r="AQ331" s="14" t="str">
        <f>INDEX(TB!$Q:$Q,MATCH($E331,TB!$E:$E,0))</f>
        <v/>
      </c>
      <c r="AR331" s="14" t="str">
        <f>IF(OR($C331="01-09",$C331="10-14",$D331="Female"),"",INDEX(VMMC!$AB:$AB,MATCH($E331,VMMC!$E:$E,0)))</f>
        <v/>
      </c>
      <c r="AS331" s="14" t="str">
        <f>IF(OR($C331="01-09",$C331="10-14"),"",INDEX(PrEP!$Q:$Q,MATCH($E331,PrEP!$E:$E,0)))</f>
        <v/>
      </c>
      <c r="AT331" s="14" t="str">
        <f t="shared" si="128"/>
        <v/>
      </c>
      <c r="AU331" s="14" t="str">
        <f t="shared" si="129"/>
        <v/>
      </c>
      <c r="AV331" s="90" t="str">
        <f t="shared" si="130"/>
        <v/>
      </c>
      <c r="AW331" s="14"/>
      <c r="AX331" s="90" t="str">
        <f t="shared" si="131"/>
        <v/>
      </c>
      <c r="AY331" s="42" t="str">
        <f t="shared" si="132"/>
        <v/>
      </c>
      <c r="AZ331" s="90">
        <f t="shared" si="133"/>
        <v>1</v>
      </c>
      <c r="BA331" s="42" t="str">
        <f t="shared" si="134"/>
        <v/>
      </c>
    </row>
    <row r="332" spans="1:53" x14ac:dyDescent="0.2">
      <c r="A332" t="str">
        <f>INDEX(Prioritization!$D:$D,MATCH($B332,Prioritization!$A:$A,0))</f>
        <v>INVALID</v>
      </c>
      <c r="B332" t="s">
        <v>219</v>
      </c>
      <c r="C332" t="s">
        <v>364</v>
      </c>
      <c r="D332" t="s">
        <v>47</v>
      </c>
      <c r="E332" t="str">
        <f t="shared" si="108"/>
        <v>Phalombe District [AZyWpGzhcaA]|15-24|Male</v>
      </c>
      <c r="F332" s="90">
        <f>IF(LEFT($B332,4)="_Mil","",INDEX(Cascade!$AA:$AA,MATCH($E332,Cascade!$E:$E,0)))</f>
        <v>1031</v>
      </c>
      <c r="G332" s="14">
        <f>INDEX(Cascade!$BH:$BH,MATCH($E332,Cascade!$E:$E,0))</f>
        <v>0</v>
      </c>
      <c r="H332" s="14" t="str">
        <f>IF(OR($C332="01-09",$D332="Male"),"",INDEX(PMTCT!$AC:$AC,MATCH($E332,PMTCT!$E:$E,0)))</f>
        <v/>
      </c>
      <c r="I332" s="14" t="str">
        <f>IF(OR($C332="01-09",$D332="Male"),"",INDEX(PMTCT!$AS:$AS,MATCH($E332,PMTCT!$E:$E,0)))</f>
        <v/>
      </c>
      <c r="J332" s="14" t="str">
        <f>INDEX(TB!$P:$P,MATCH($E332,TB!$E:$E,0))</f>
        <v/>
      </c>
      <c r="K332" s="14" t="str">
        <f>IF(OR($C332="01-09",$C332="10-14",$D332="Female"),"",INDEX(VMMC!$AA:$AA,MATCH($E332,VMMC!$E:$E,0)))</f>
        <v/>
      </c>
      <c r="L332" s="14">
        <f t="shared" si="109"/>
        <v>0</v>
      </c>
      <c r="M332" s="90" t="str">
        <f t="shared" si="110"/>
        <v/>
      </c>
      <c r="N332" s="90" t="str">
        <f t="shared" si="111"/>
        <v/>
      </c>
      <c r="O332" s="90" t="str">
        <f t="shared" si="112"/>
        <v/>
      </c>
      <c r="P332" s="90" t="str">
        <f t="shared" si="113"/>
        <v/>
      </c>
      <c r="Q332" s="90"/>
      <c r="R332" s="90"/>
      <c r="S332" s="90"/>
      <c r="T332" s="90"/>
      <c r="U332" s="90"/>
      <c r="V332" s="90" t="str">
        <f t="shared" si="114"/>
        <v/>
      </c>
      <c r="W332" s="90"/>
      <c r="X332" s="42" t="str">
        <f t="shared" si="115"/>
        <v/>
      </c>
      <c r="Y332" s="42" t="str">
        <f t="shared" si="116"/>
        <v/>
      </c>
      <c r="Z332" s="90"/>
      <c r="AA332" s="42" t="str">
        <f t="shared" si="117"/>
        <v/>
      </c>
      <c r="AB332" s="42" t="str">
        <f t="shared" si="118"/>
        <v/>
      </c>
      <c r="AC332" s="90"/>
      <c r="AD332" s="42" t="str">
        <f t="shared" si="119"/>
        <v/>
      </c>
      <c r="AE332" s="42" t="str">
        <f t="shared" si="120"/>
        <v/>
      </c>
      <c r="AF332" s="90"/>
      <c r="AG332" s="42" t="str">
        <f t="shared" si="121"/>
        <v/>
      </c>
      <c r="AH332" s="42" t="str">
        <f t="shared" si="122"/>
        <v/>
      </c>
      <c r="AI332" s="90"/>
      <c r="AJ332" s="42" t="str">
        <f t="shared" si="123"/>
        <v/>
      </c>
      <c r="AK332" s="42" t="str">
        <f t="shared" si="124"/>
        <v/>
      </c>
      <c r="AL332" s="14" t="str">
        <f t="shared" si="125"/>
        <v/>
      </c>
      <c r="AM332" s="14" t="str">
        <f t="shared" si="126"/>
        <v/>
      </c>
      <c r="AN332" s="14" t="str">
        <f t="shared" si="127"/>
        <v/>
      </c>
      <c r="AO332" s="14" t="str">
        <f>IF(OR($C332="01-09",$D332="Male"),"",INDEX(PMTCT!$AD:$AD,MATCH($E332,PMTCT!$E:$E,0)))</f>
        <v/>
      </c>
      <c r="AP332" s="14" t="str">
        <f>IF(OR($C332="01-09",$D332="Male"),"",INDEX(PMTCT!$AT:$AT,MATCH($E332,PMTCT!$E:$E,0)))</f>
        <v/>
      </c>
      <c r="AQ332" s="14" t="str">
        <f>INDEX(TB!$Q:$Q,MATCH($E332,TB!$E:$E,0))</f>
        <v/>
      </c>
      <c r="AR332" s="14" t="str">
        <f>IF(OR($C332="01-09",$C332="10-14",$D332="Female"),"",INDEX(VMMC!$AB:$AB,MATCH($E332,VMMC!$E:$E,0)))</f>
        <v/>
      </c>
      <c r="AS332" s="14" t="str">
        <f>IF(OR($C332="01-09",$C332="10-14"),"",INDEX(PrEP!$Q:$Q,MATCH($E332,PrEP!$E:$E,0)))</f>
        <v/>
      </c>
      <c r="AT332" s="14" t="str">
        <f t="shared" si="128"/>
        <v/>
      </c>
      <c r="AU332" s="14" t="str">
        <f t="shared" si="129"/>
        <v/>
      </c>
      <c r="AV332" s="90" t="str">
        <f t="shared" si="130"/>
        <v/>
      </c>
      <c r="AW332" s="14"/>
      <c r="AX332" s="90" t="str">
        <f t="shared" si="131"/>
        <v/>
      </c>
      <c r="AY332" s="42" t="str">
        <f t="shared" si="132"/>
        <v/>
      </c>
      <c r="AZ332" s="90">
        <f t="shared" si="133"/>
        <v>1</v>
      </c>
      <c r="BA332" s="42" t="str">
        <f t="shared" si="134"/>
        <v/>
      </c>
    </row>
    <row r="333" spans="1:53" x14ac:dyDescent="0.2">
      <c r="A333" t="str">
        <f>INDEX(Prioritization!$D:$D,MATCH($B333,Prioritization!$A:$A,0))</f>
        <v>INVALID</v>
      </c>
      <c r="B333" t="s">
        <v>219</v>
      </c>
      <c r="C333" t="s">
        <v>365</v>
      </c>
      <c r="D333" t="s">
        <v>29</v>
      </c>
      <c r="E333" t="str">
        <f t="shared" si="108"/>
        <v>Phalombe District [AZyWpGzhcaA]|25-34|Female</v>
      </c>
      <c r="F333" s="90">
        <f>IF(LEFT($B333,4)="_Mil","",INDEX(Cascade!$AA:$AA,MATCH($E333,Cascade!$E:$E,0)))</f>
        <v>1966</v>
      </c>
      <c r="G333" s="14">
        <f>INDEX(Cascade!$BH:$BH,MATCH($E333,Cascade!$E:$E,0))</f>
        <v>0</v>
      </c>
      <c r="H333" s="14" t="str">
        <f>IF(OR($C333="01-09",$D333="Male"),"",INDEX(PMTCT!$AC:$AC,MATCH($E333,PMTCT!$E:$E,0)))</f>
        <v/>
      </c>
      <c r="I333" s="14" t="str">
        <f>IF(OR($C333="01-09",$D333="Male"),"",INDEX(PMTCT!$AS:$AS,MATCH($E333,PMTCT!$E:$E,0)))</f>
        <v/>
      </c>
      <c r="J333" s="14" t="str">
        <f>INDEX(TB!$P:$P,MATCH($E333,TB!$E:$E,0))</f>
        <v/>
      </c>
      <c r="K333" s="14" t="str">
        <f>IF(OR($C333="01-09",$C333="10-14",$D333="Female"),"",INDEX(VMMC!$AA:$AA,MATCH($E333,VMMC!$E:$E,0)))</f>
        <v/>
      </c>
      <c r="L333" s="14">
        <f t="shared" si="109"/>
        <v>0</v>
      </c>
      <c r="M333" s="90" t="str">
        <f t="shared" si="110"/>
        <v/>
      </c>
      <c r="N333" s="90" t="str">
        <f t="shared" si="111"/>
        <v/>
      </c>
      <c r="O333" s="90" t="str">
        <f t="shared" si="112"/>
        <v/>
      </c>
      <c r="P333" s="90" t="str">
        <f t="shared" si="113"/>
        <v/>
      </c>
      <c r="Q333" s="90"/>
      <c r="R333" s="90"/>
      <c r="S333" s="90"/>
      <c r="T333" s="90"/>
      <c r="U333" s="90"/>
      <c r="V333" s="90" t="str">
        <f t="shared" si="114"/>
        <v/>
      </c>
      <c r="W333" s="90"/>
      <c r="X333" s="42" t="str">
        <f t="shared" si="115"/>
        <v/>
      </c>
      <c r="Y333" s="42" t="str">
        <f t="shared" si="116"/>
        <v/>
      </c>
      <c r="Z333" s="90"/>
      <c r="AA333" s="42" t="str">
        <f t="shared" si="117"/>
        <v/>
      </c>
      <c r="AB333" s="42" t="str">
        <f t="shared" si="118"/>
        <v/>
      </c>
      <c r="AC333" s="90"/>
      <c r="AD333" s="42" t="str">
        <f t="shared" si="119"/>
        <v/>
      </c>
      <c r="AE333" s="42" t="str">
        <f t="shared" si="120"/>
        <v/>
      </c>
      <c r="AF333" s="90"/>
      <c r="AG333" s="42" t="str">
        <f t="shared" si="121"/>
        <v/>
      </c>
      <c r="AH333" s="42" t="str">
        <f t="shared" si="122"/>
        <v/>
      </c>
      <c r="AI333" s="90"/>
      <c r="AJ333" s="42" t="str">
        <f t="shared" si="123"/>
        <v/>
      </c>
      <c r="AK333" s="42" t="str">
        <f t="shared" si="124"/>
        <v/>
      </c>
      <c r="AL333" s="14" t="str">
        <f t="shared" si="125"/>
        <v/>
      </c>
      <c r="AM333" s="14" t="str">
        <f t="shared" si="126"/>
        <v/>
      </c>
      <c r="AN333" s="14" t="str">
        <f t="shared" si="127"/>
        <v/>
      </c>
      <c r="AO333" s="14" t="str">
        <f>IF(OR($C333="01-09",$D333="Male"),"",INDEX(PMTCT!$AD:$AD,MATCH($E333,PMTCT!$E:$E,0)))</f>
        <v/>
      </c>
      <c r="AP333" s="14" t="str">
        <f>IF(OR($C333="01-09",$D333="Male"),"",INDEX(PMTCT!$AT:$AT,MATCH($E333,PMTCT!$E:$E,0)))</f>
        <v/>
      </c>
      <c r="AQ333" s="14" t="str">
        <f>INDEX(TB!$Q:$Q,MATCH($E333,TB!$E:$E,0))</f>
        <v/>
      </c>
      <c r="AR333" s="14" t="str">
        <f>IF(OR($C333="01-09",$C333="10-14",$D333="Female"),"",INDEX(VMMC!$AB:$AB,MATCH($E333,VMMC!$E:$E,0)))</f>
        <v/>
      </c>
      <c r="AS333" s="14" t="str">
        <f>IF(OR($C333="01-09",$C333="10-14"),"",INDEX(PrEP!$Q:$Q,MATCH($E333,PrEP!$E:$E,0)))</f>
        <v/>
      </c>
      <c r="AT333" s="14" t="str">
        <f t="shared" si="128"/>
        <v/>
      </c>
      <c r="AU333" s="14" t="str">
        <f t="shared" si="129"/>
        <v/>
      </c>
      <c r="AV333" s="90" t="str">
        <f t="shared" si="130"/>
        <v/>
      </c>
      <c r="AW333" s="14"/>
      <c r="AX333" s="90" t="str">
        <f t="shared" si="131"/>
        <v/>
      </c>
      <c r="AY333" s="42" t="str">
        <f t="shared" si="132"/>
        <v/>
      </c>
      <c r="AZ333" s="90">
        <f t="shared" si="133"/>
        <v>1</v>
      </c>
      <c r="BA333" s="42" t="str">
        <f t="shared" si="134"/>
        <v/>
      </c>
    </row>
    <row r="334" spans="1:53" x14ac:dyDescent="0.2">
      <c r="A334" t="str">
        <f>INDEX(Prioritization!$D:$D,MATCH($B334,Prioritization!$A:$A,0))</f>
        <v>INVALID</v>
      </c>
      <c r="B334" t="s">
        <v>219</v>
      </c>
      <c r="C334" t="s">
        <v>365</v>
      </c>
      <c r="D334" t="s">
        <v>47</v>
      </c>
      <c r="E334" t="str">
        <f t="shared" si="108"/>
        <v>Phalombe District [AZyWpGzhcaA]|25-34|Male</v>
      </c>
      <c r="F334" s="90">
        <f>IF(LEFT($B334,4)="_Mil","",INDEX(Cascade!$AA:$AA,MATCH($E334,Cascade!$E:$E,0)))</f>
        <v>1376</v>
      </c>
      <c r="G334" s="14">
        <f>INDEX(Cascade!$BH:$BH,MATCH($E334,Cascade!$E:$E,0))</f>
        <v>0</v>
      </c>
      <c r="H334" s="14" t="str">
        <f>IF(OR($C334="01-09",$D334="Male"),"",INDEX(PMTCT!$AC:$AC,MATCH($E334,PMTCT!$E:$E,0)))</f>
        <v/>
      </c>
      <c r="I334" s="14" t="str">
        <f>IF(OR($C334="01-09",$D334="Male"),"",INDEX(PMTCT!$AS:$AS,MATCH($E334,PMTCT!$E:$E,0)))</f>
        <v/>
      </c>
      <c r="J334" s="14" t="str">
        <f>INDEX(TB!$P:$P,MATCH($E334,TB!$E:$E,0))</f>
        <v/>
      </c>
      <c r="K334" s="14" t="str">
        <f>IF(OR($C334="01-09",$C334="10-14",$D334="Female"),"",INDEX(VMMC!$AA:$AA,MATCH($E334,VMMC!$E:$E,0)))</f>
        <v/>
      </c>
      <c r="L334" s="14">
        <f t="shared" si="109"/>
        <v>0</v>
      </c>
      <c r="M334" s="90" t="str">
        <f t="shared" si="110"/>
        <v/>
      </c>
      <c r="N334" s="90" t="str">
        <f t="shared" si="111"/>
        <v/>
      </c>
      <c r="O334" s="90" t="str">
        <f t="shared" si="112"/>
        <v/>
      </c>
      <c r="P334" s="90" t="str">
        <f t="shared" si="113"/>
        <v/>
      </c>
      <c r="Q334" s="90"/>
      <c r="R334" s="90"/>
      <c r="S334" s="90"/>
      <c r="T334" s="90"/>
      <c r="U334" s="90"/>
      <c r="V334" s="90" t="str">
        <f t="shared" si="114"/>
        <v/>
      </c>
      <c r="W334" s="90"/>
      <c r="X334" s="42" t="str">
        <f t="shared" si="115"/>
        <v/>
      </c>
      <c r="Y334" s="42" t="str">
        <f t="shared" si="116"/>
        <v/>
      </c>
      <c r="Z334" s="90"/>
      <c r="AA334" s="42" t="str">
        <f t="shared" si="117"/>
        <v/>
      </c>
      <c r="AB334" s="42" t="str">
        <f t="shared" si="118"/>
        <v/>
      </c>
      <c r="AC334" s="90"/>
      <c r="AD334" s="42" t="str">
        <f t="shared" si="119"/>
        <v/>
      </c>
      <c r="AE334" s="42" t="str">
        <f t="shared" si="120"/>
        <v/>
      </c>
      <c r="AF334" s="90"/>
      <c r="AG334" s="42" t="str">
        <f t="shared" si="121"/>
        <v/>
      </c>
      <c r="AH334" s="42" t="str">
        <f t="shared" si="122"/>
        <v/>
      </c>
      <c r="AI334" s="90"/>
      <c r="AJ334" s="42" t="str">
        <f t="shared" si="123"/>
        <v/>
      </c>
      <c r="AK334" s="42" t="str">
        <f t="shared" si="124"/>
        <v/>
      </c>
      <c r="AL334" s="14" t="str">
        <f t="shared" si="125"/>
        <v/>
      </c>
      <c r="AM334" s="14" t="str">
        <f t="shared" si="126"/>
        <v/>
      </c>
      <c r="AN334" s="14" t="str">
        <f t="shared" si="127"/>
        <v/>
      </c>
      <c r="AO334" s="14" t="str">
        <f>IF(OR($C334="01-09",$D334="Male"),"",INDEX(PMTCT!$AD:$AD,MATCH($E334,PMTCT!$E:$E,0)))</f>
        <v/>
      </c>
      <c r="AP334" s="14" t="str">
        <f>IF(OR($C334="01-09",$D334="Male"),"",INDEX(PMTCT!$AT:$AT,MATCH($E334,PMTCT!$E:$E,0)))</f>
        <v/>
      </c>
      <c r="AQ334" s="14" t="str">
        <f>INDEX(TB!$Q:$Q,MATCH($E334,TB!$E:$E,0))</f>
        <v/>
      </c>
      <c r="AR334" s="14" t="str">
        <f>IF(OR($C334="01-09",$C334="10-14",$D334="Female"),"",INDEX(VMMC!$AB:$AB,MATCH($E334,VMMC!$E:$E,0)))</f>
        <v/>
      </c>
      <c r="AS334" s="14" t="str">
        <f>IF(OR($C334="01-09",$C334="10-14"),"",INDEX(PrEP!$Q:$Q,MATCH($E334,PrEP!$E:$E,0)))</f>
        <v/>
      </c>
      <c r="AT334" s="14" t="str">
        <f t="shared" si="128"/>
        <v/>
      </c>
      <c r="AU334" s="14" t="str">
        <f t="shared" si="129"/>
        <v/>
      </c>
      <c r="AV334" s="90" t="str">
        <f t="shared" si="130"/>
        <v/>
      </c>
      <c r="AW334" s="14"/>
      <c r="AX334" s="90" t="str">
        <f t="shared" si="131"/>
        <v/>
      </c>
      <c r="AY334" s="42" t="str">
        <f t="shared" si="132"/>
        <v/>
      </c>
      <c r="AZ334" s="90">
        <f t="shared" si="133"/>
        <v>1</v>
      </c>
      <c r="BA334" s="42" t="str">
        <f t="shared" si="134"/>
        <v/>
      </c>
    </row>
    <row r="335" spans="1:53" x14ac:dyDescent="0.2">
      <c r="A335" t="str">
        <f>INDEX(Prioritization!$D:$D,MATCH($B335,Prioritization!$A:$A,0))</f>
        <v>INVALID</v>
      </c>
      <c r="B335" t="s">
        <v>219</v>
      </c>
      <c r="C335" t="s">
        <v>366</v>
      </c>
      <c r="D335" t="s">
        <v>29</v>
      </c>
      <c r="E335" t="str">
        <f t="shared" ref="E335:E362" si="135">$B335&amp;"|"&amp;$C335&amp;"|"&amp;$D335</f>
        <v>Phalombe District [AZyWpGzhcaA]|35-49|Female</v>
      </c>
      <c r="F335" s="90">
        <f>IF(LEFT($B335,4)="_Mil","",INDEX(Cascade!$AA:$AA,MATCH($E335,Cascade!$E:$E,0)))</f>
        <v>643</v>
      </c>
      <c r="G335" s="14">
        <f>INDEX(Cascade!$BH:$BH,MATCH($E335,Cascade!$E:$E,0))</f>
        <v>0</v>
      </c>
      <c r="H335" s="14" t="str">
        <f>IF(OR($C335="01-09",$D335="Male"),"",INDEX(PMTCT!$AC:$AC,MATCH($E335,PMTCT!$E:$E,0)))</f>
        <v/>
      </c>
      <c r="I335" s="14" t="str">
        <f>IF(OR($C335="01-09",$D335="Male"),"",INDEX(PMTCT!$AS:$AS,MATCH($E335,PMTCT!$E:$E,0)))</f>
        <v/>
      </c>
      <c r="J335" s="14" t="str">
        <f>INDEX(TB!$P:$P,MATCH($E335,TB!$E:$E,0))</f>
        <v/>
      </c>
      <c r="K335" s="14" t="str">
        <f>IF(OR($C335="01-09",$C335="10-14",$D335="Female"),"",INDEX(VMMC!$AA:$AA,MATCH($E335,VMMC!$E:$E,0)))</f>
        <v/>
      </c>
      <c r="L335" s="14">
        <f t="shared" ref="L335:L362" si="136">SUM($G335)-SUM($H335:$K335)</f>
        <v>0</v>
      </c>
      <c r="M335" s="90" t="str">
        <f t="shared" ref="M335:M362" si="137">IF(OR($C335="01-09",$D335="Male",AND(SUM($G335)=0,SUM($H335)=0)),"",SUM($H335)/SUM($G335))</f>
        <v/>
      </c>
      <c r="N335" s="90" t="str">
        <f t="shared" ref="N335:N362" si="138">IF(OR($C335="01-09",$D335="Male",AND(SUM($G335)=0,SUM($I335)=0)),"",SUM($I335)/SUM($G335))</f>
        <v/>
      </c>
      <c r="O335" s="90" t="str">
        <f t="shared" ref="O335:O362" si="139">IF(AND(SUM($G335)=0,SUM($J335)=0),"",SUM($J335)/SUM($G335))</f>
        <v/>
      </c>
      <c r="P335" s="90" t="str">
        <f t="shared" ref="P335:P362" si="140">IF(OR($C335="01-09",$C335="10-14",$D335="Female",AND(SUM($G335)=0,SUM($K335)=0)),"",SUM($K335)/SUM($G335))</f>
        <v/>
      </c>
      <c r="Q335" s="90"/>
      <c r="R335" s="90"/>
      <c r="S335" s="90"/>
      <c r="T335" s="90"/>
      <c r="U335" s="90"/>
      <c r="V335" s="90" t="str">
        <f t="shared" ref="V335:V362" si="141">IF(SUM($G335)=0,"",SUM($M335:$U335))</f>
        <v/>
      </c>
      <c r="W335" s="90"/>
      <c r="X335" s="42" t="str">
        <f t="shared" ref="X335:X362" si="142">IF(OR(SUM($G335)=0,SUM($Q335)=0),"",ROUND(SUM($G335)*SUM($Q335),0))</f>
        <v/>
      </c>
      <c r="Y335" s="42" t="str">
        <f t="shared" ref="Y335:Y362" si="143">IF(SUM($X335)=0,"",IF(SUM($W335)=0,"ENTER YIELD",ROUND($X335/$W335,0)-$X335))</f>
        <v/>
      </c>
      <c r="Z335" s="90"/>
      <c r="AA335" s="42" t="str">
        <f t="shared" ref="AA335:AA362" si="144">IF(OR(SUM($G335)=0,SUM($R335)=0),"",ROUND(SUM($G335)*SUM($R335),0))</f>
        <v/>
      </c>
      <c r="AB335" s="42" t="str">
        <f t="shared" ref="AB335:AB362" si="145">IF(SUM($AA335)=0,"",IF(SUM($Z335)=0,"ENTER YIELD",ROUND($AA335/$Z335,0)-$AA335))</f>
        <v/>
      </c>
      <c r="AC335" s="90"/>
      <c r="AD335" s="42" t="str">
        <f t="shared" ref="AD335:AD362" si="146">IF(OR(SUM($G335)=0,SUM($S335)=0),"",ROUND(SUM($G335)*SUM($S335),0))</f>
        <v/>
      </c>
      <c r="AE335" s="42" t="str">
        <f t="shared" ref="AE335:AE362" si="147">IF(SUM($AD335)=0,"",IF(SUM($AC335)=0,"ENTER YIELD",ROUND($AD335/$AC335,0)-$AD335))</f>
        <v/>
      </c>
      <c r="AF335" s="90"/>
      <c r="AG335" s="42" t="str">
        <f t="shared" ref="AG335:AG362" si="148">IF(OR(SUM($G335)=0,SUM($T335)=0),"",ROUND(SUM($G335)*SUM($T335),0))</f>
        <v/>
      </c>
      <c r="AH335" s="42" t="str">
        <f t="shared" ref="AH335:AH362" si="149">IF(SUM($AG335)=0,"",IF(SUM($AF335)=0,"ENTER YIELD",ROUND($AG335/$AF335,0)-$AG335))</f>
        <v/>
      </c>
      <c r="AI335" s="90"/>
      <c r="AJ335" s="42" t="str">
        <f t="shared" ref="AJ335:AJ362" si="150">IF(OR(SUM($G335)=0,SUM($U335)=0),"",ROUND(SUM($G335)*SUM($U335),0))</f>
        <v/>
      </c>
      <c r="AK335" s="42" t="str">
        <f t="shared" ref="AK335:AK362" si="151">IF(SUM($AJ335)=0,"",IF(SUM($AI335)=0,"ENTER YIELD",ROUND($AJ335/$AI335,0)-$AJ335))</f>
        <v/>
      </c>
      <c r="AL335" s="14" t="str">
        <f t="shared" ref="AL335:AL362" si="152">IF(SUM($G335)=0,"",$G335)</f>
        <v/>
      </c>
      <c r="AM335" s="14" t="str">
        <f t="shared" ref="AM335:AM362" si="153">IFERROR(1/(1/SUM($H335:$K335,$X335,$AA335,$AD335,$AG335,$AJ335)),"")</f>
        <v/>
      </c>
      <c r="AN335" s="14" t="str">
        <f t="shared" ref="AN335:AN362" si="154">IF(AND(SUM($AM335)=0,SUM($AL335)=0),"",$AM335-$AL335)</f>
        <v/>
      </c>
      <c r="AO335" s="14" t="str">
        <f>IF(OR($C335="01-09",$D335="Male"),"",INDEX(PMTCT!$AD:$AD,MATCH($E335,PMTCT!$E:$E,0)))</f>
        <v/>
      </c>
      <c r="AP335" s="14" t="str">
        <f>IF(OR($C335="01-09",$D335="Male"),"",INDEX(PMTCT!$AT:$AT,MATCH($E335,PMTCT!$E:$E,0)))</f>
        <v/>
      </c>
      <c r="AQ335" s="14" t="str">
        <f>INDEX(TB!$Q:$Q,MATCH($E335,TB!$E:$E,0))</f>
        <v/>
      </c>
      <c r="AR335" s="14" t="str">
        <f>IF(OR($C335="01-09",$C335="10-14",$D335="Female"),"",INDEX(VMMC!$AB:$AB,MATCH($E335,VMMC!$E:$E,0)))</f>
        <v/>
      </c>
      <c r="AS335" s="14" t="str">
        <f>IF(OR($C335="01-09",$C335="10-14"),"",INDEX(PrEP!$Q:$Q,MATCH($E335,PrEP!$E:$E,0)))</f>
        <v/>
      </c>
      <c r="AT335" s="14" t="str">
        <f t="shared" ref="AT335:AT362" si="155">IFERROR(1/(1/SUM($Y335,$AB335,$AE335,$AH335,$AK335,$AO335:$AS335)),"")</f>
        <v/>
      </c>
      <c r="AU335" s="14" t="str">
        <f t="shared" ref="AU335:AU362" si="156">IFERROR(1/(1/SUM($AT335,$AM335)),"")</f>
        <v/>
      </c>
      <c r="AV335" s="90" t="str">
        <f t="shared" ref="AV335:AV362" si="157">IF(AND(SUM($AM335)=0,SUM($AU335)=0),"",$AM335/$AU335)</f>
        <v/>
      </c>
      <c r="AW335" s="14"/>
      <c r="AX335" s="90" t="str">
        <f t="shared" ref="AX335:AX362" si="158">IF(OR($C335="01-09",SUM($AW335)=0),"",0%)</f>
        <v/>
      </c>
      <c r="AY335" s="42" t="str">
        <f t="shared" ref="AY335:AY362" si="159">IF(OR($C335="01-09",SUM($AW335)=0),"",ROUND($AW335*(1+$AX335),0))</f>
        <v/>
      </c>
      <c r="AZ335" s="90">
        <f t="shared" ref="AZ335:AZ362" si="160">IF(OR($C335="01-09",$C335="10-14"),"",100%)</f>
        <v>1</v>
      </c>
      <c r="BA335" s="42" t="str">
        <f t="shared" ref="BA335:BA362" si="161">IF(OR(SUM($AM335)=0,$C335="01-09",$C335="10-14"),"",$AM335*$AZ335)</f>
        <v/>
      </c>
    </row>
    <row r="336" spans="1:53" x14ac:dyDescent="0.2">
      <c r="A336" t="str">
        <f>INDEX(Prioritization!$D:$D,MATCH($B336,Prioritization!$A:$A,0))</f>
        <v>INVALID</v>
      </c>
      <c r="B336" t="s">
        <v>219</v>
      </c>
      <c r="C336" t="s">
        <v>366</v>
      </c>
      <c r="D336" t="s">
        <v>47</v>
      </c>
      <c r="E336" t="str">
        <f t="shared" si="135"/>
        <v>Phalombe District [AZyWpGzhcaA]|35-49|Male</v>
      </c>
      <c r="F336" s="90">
        <f>IF(LEFT($B336,4)="_Mil","",INDEX(Cascade!$AA:$AA,MATCH($E336,Cascade!$E:$E,0)))</f>
        <v>1029</v>
      </c>
      <c r="G336" s="14">
        <f>INDEX(Cascade!$BH:$BH,MATCH($E336,Cascade!$E:$E,0))</f>
        <v>0</v>
      </c>
      <c r="H336" s="14" t="str">
        <f>IF(OR($C336="01-09",$D336="Male"),"",INDEX(PMTCT!$AC:$AC,MATCH($E336,PMTCT!$E:$E,0)))</f>
        <v/>
      </c>
      <c r="I336" s="14" t="str">
        <f>IF(OR($C336="01-09",$D336="Male"),"",INDEX(PMTCT!$AS:$AS,MATCH($E336,PMTCT!$E:$E,0)))</f>
        <v/>
      </c>
      <c r="J336" s="14" t="str">
        <f>INDEX(TB!$P:$P,MATCH($E336,TB!$E:$E,0))</f>
        <v/>
      </c>
      <c r="K336" s="14" t="str">
        <f>IF(OR($C336="01-09",$C336="10-14",$D336="Female"),"",INDEX(VMMC!$AA:$AA,MATCH($E336,VMMC!$E:$E,0)))</f>
        <v/>
      </c>
      <c r="L336" s="14">
        <f t="shared" si="136"/>
        <v>0</v>
      </c>
      <c r="M336" s="90" t="str">
        <f t="shared" si="137"/>
        <v/>
      </c>
      <c r="N336" s="90" t="str">
        <f t="shared" si="138"/>
        <v/>
      </c>
      <c r="O336" s="90" t="str">
        <f t="shared" si="139"/>
        <v/>
      </c>
      <c r="P336" s="90" t="str">
        <f t="shared" si="140"/>
        <v/>
      </c>
      <c r="Q336" s="90"/>
      <c r="R336" s="90"/>
      <c r="S336" s="90"/>
      <c r="T336" s="90"/>
      <c r="U336" s="90"/>
      <c r="V336" s="90" t="str">
        <f t="shared" si="141"/>
        <v/>
      </c>
      <c r="W336" s="90"/>
      <c r="X336" s="42" t="str">
        <f t="shared" si="142"/>
        <v/>
      </c>
      <c r="Y336" s="42" t="str">
        <f t="shared" si="143"/>
        <v/>
      </c>
      <c r="Z336" s="90"/>
      <c r="AA336" s="42" t="str">
        <f t="shared" si="144"/>
        <v/>
      </c>
      <c r="AB336" s="42" t="str">
        <f t="shared" si="145"/>
        <v/>
      </c>
      <c r="AC336" s="90"/>
      <c r="AD336" s="42" t="str">
        <f t="shared" si="146"/>
        <v/>
      </c>
      <c r="AE336" s="42" t="str">
        <f t="shared" si="147"/>
        <v/>
      </c>
      <c r="AF336" s="90"/>
      <c r="AG336" s="42" t="str">
        <f t="shared" si="148"/>
        <v/>
      </c>
      <c r="AH336" s="42" t="str">
        <f t="shared" si="149"/>
        <v/>
      </c>
      <c r="AI336" s="90"/>
      <c r="AJ336" s="42" t="str">
        <f t="shared" si="150"/>
        <v/>
      </c>
      <c r="AK336" s="42" t="str">
        <f t="shared" si="151"/>
        <v/>
      </c>
      <c r="AL336" s="14" t="str">
        <f t="shared" si="152"/>
        <v/>
      </c>
      <c r="AM336" s="14" t="str">
        <f t="shared" si="153"/>
        <v/>
      </c>
      <c r="AN336" s="14" t="str">
        <f t="shared" si="154"/>
        <v/>
      </c>
      <c r="AO336" s="14" t="str">
        <f>IF(OR($C336="01-09",$D336="Male"),"",INDEX(PMTCT!$AD:$AD,MATCH($E336,PMTCT!$E:$E,0)))</f>
        <v/>
      </c>
      <c r="AP336" s="14" t="str">
        <f>IF(OR($C336="01-09",$D336="Male"),"",INDEX(PMTCT!$AT:$AT,MATCH($E336,PMTCT!$E:$E,0)))</f>
        <v/>
      </c>
      <c r="AQ336" s="14" t="str">
        <f>INDEX(TB!$Q:$Q,MATCH($E336,TB!$E:$E,0))</f>
        <v/>
      </c>
      <c r="AR336" s="14" t="str">
        <f>IF(OR($C336="01-09",$C336="10-14",$D336="Female"),"",INDEX(VMMC!$AB:$AB,MATCH($E336,VMMC!$E:$E,0)))</f>
        <v/>
      </c>
      <c r="AS336" s="14" t="str">
        <f>IF(OR($C336="01-09",$C336="10-14"),"",INDEX(PrEP!$Q:$Q,MATCH($E336,PrEP!$E:$E,0)))</f>
        <v/>
      </c>
      <c r="AT336" s="14" t="str">
        <f t="shared" si="155"/>
        <v/>
      </c>
      <c r="AU336" s="14" t="str">
        <f t="shared" si="156"/>
        <v/>
      </c>
      <c r="AV336" s="90" t="str">
        <f t="shared" si="157"/>
        <v/>
      </c>
      <c r="AW336" s="14"/>
      <c r="AX336" s="90" t="str">
        <f t="shared" si="158"/>
        <v/>
      </c>
      <c r="AY336" s="42" t="str">
        <f t="shared" si="159"/>
        <v/>
      </c>
      <c r="AZ336" s="90">
        <f t="shared" si="160"/>
        <v>1</v>
      </c>
      <c r="BA336" s="42" t="str">
        <f t="shared" si="161"/>
        <v/>
      </c>
    </row>
    <row r="337" spans="1:53" x14ac:dyDescent="0.2">
      <c r="A337" t="str">
        <f>INDEX(Prioritization!$D:$D,MATCH($B337,Prioritization!$A:$A,0))</f>
        <v>INVALID</v>
      </c>
      <c r="B337" t="s">
        <v>219</v>
      </c>
      <c r="C337" t="s">
        <v>367</v>
      </c>
      <c r="D337" t="s">
        <v>29</v>
      </c>
      <c r="E337" t="str">
        <f t="shared" si="135"/>
        <v>Phalombe District [AZyWpGzhcaA]|50+|Female</v>
      </c>
      <c r="F337" s="90">
        <f>IF(LEFT($B337,4)="_Mil","",INDEX(Cascade!$AA:$AA,MATCH($E337,Cascade!$E:$E,0)))</f>
        <v>660</v>
      </c>
      <c r="G337" s="14">
        <f>INDEX(Cascade!$BH:$BH,MATCH($E337,Cascade!$E:$E,0))</f>
        <v>0</v>
      </c>
      <c r="H337" s="14" t="str">
        <f>IF(OR($C337="01-09",$D337="Male"),"",INDEX(PMTCT!$AC:$AC,MATCH($E337,PMTCT!$E:$E,0)))</f>
        <v/>
      </c>
      <c r="I337" s="14" t="str">
        <f>IF(OR($C337="01-09",$D337="Male"),"",INDEX(PMTCT!$AS:$AS,MATCH($E337,PMTCT!$E:$E,0)))</f>
        <v/>
      </c>
      <c r="J337" s="14" t="str">
        <f>INDEX(TB!$P:$P,MATCH($E337,TB!$E:$E,0))</f>
        <v/>
      </c>
      <c r="K337" s="14" t="str">
        <f>IF(OR($C337="01-09",$C337="10-14",$D337="Female"),"",INDEX(VMMC!$AA:$AA,MATCH($E337,VMMC!$E:$E,0)))</f>
        <v/>
      </c>
      <c r="L337" s="14">
        <f t="shared" si="136"/>
        <v>0</v>
      </c>
      <c r="M337" s="90" t="str">
        <f t="shared" si="137"/>
        <v/>
      </c>
      <c r="N337" s="90" t="str">
        <f t="shared" si="138"/>
        <v/>
      </c>
      <c r="O337" s="90" t="str">
        <f t="shared" si="139"/>
        <v/>
      </c>
      <c r="P337" s="90" t="str">
        <f t="shared" si="140"/>
        <v/>
      </c>
      <c r="Q337" s="90"/>
      <c r="R337" s="90"/>
      <c r="S337" s="90"/>
      <c r="T337" s="90"/>
      <c r="U337" s="90"/>
      <c r="V337" s="90" t="str">
        <f t="shared" si="141"/>
        <v/>
      </c>
      <c r="W337" s="90"/>
      <c r="X337" s="42" t="str">
        <f t="shared" si="142"/>
        <v/>
      </c>
      <c r="Y337" s="42" t="str">
        <f t="shared" si="143"/>
        <v/>
      </c>
      <c r="Z337" s="90"/>
      <c r="AA337" s="42" t="str">
        <f t="shared" si="144"/>
        <v/>
      </c>
      <c r="AB337" s="42" t="str">
        <f t="shared" si="145"/>
        <v/>
      </c>
      <c r="AC337" s="90"/>
      <c r="AD337" s="42" t="str">
        <f t="shared" si="146"/>
        <v/>
      </c>
      <c r="AE337" s="42" t="str">
        <f t="shared" si="147"/>
        <v/>
      </c>
      <c r="AF337" s="90"/>
      <c r="AG337" s="42" t="str">
        <f t="shared" si="148"/>
        <v/>
      </c>
      <c r="AH337" s="42" t="str">
        <f t="shared" si="149"/>
        <v/>
      </c>
      <c r="AI337" s="90">
        <v>5.4931336548179402E-2</v>
      </c>
      <c r="AJ337" s="42" t="str">
        <f t="shared" si="150"/>
        <v/>
      </c>
      <c r="AK337" s="42" t="str">
        <f t="shared" si="151"/>
        <v/>
      </c>
      <c r="AL337" s="14" t="str">
        <f t="shared" si="152"/>
        <v/>
      </c>
      <c r="AM337" s="14" t="str">
        <f t="shared" si="153"/>
        <v/>
      </c>
      <c r="AN337" s="14" t="str">
        <f t="shared" si="154"/>
        <v/>
      </c>
      <c r="AO337" s="14" t="str">
        <f>IF(OR($C337="01-09",$D337="Male"),"",INDEX(PMTCT!$AD:$AD,MATCH($E337,PMTCT!$E:$E,0)))</f>
        <v/>
      </c>
      <c r="AP337" s="14" t="str">
        <f>IF(OR($C337="01-09",$D337="Male"),"",INDEX(PMTCT!$AT:$AT,MATCH($E337,PMTCT!$E:$E,0)))</f>
        <v/>
      </c>
      <c r="AQ337" s="14" t="str">
        <f>INDEX(TB!$Q:$Q,MATCH($E337,TB!$E:$E,0))</f>
        <v/>
      </c>
      <c r="AR337" s="14" t="str">
        <f>IF(OR($C337="01-09",$C337="10-14",$D337="Female"),"",INDEX(VMMC!$AB:$AB,MATCH($E337,VMMC!$E:$E,0)))</f>
        <v/>
      </c>
      <c r="AS337" s="14" t="str">
        <f>IF(OR($C337="01-09",$C337="10-14"),"",INDEX(PrEP!$Q:$Q,MATCH($E337,PrEP!$E:$E,0)))</f>
        <v/>
      </c>
      <c r="AT337" s="14" t="str">
        <f t="shared" si="155"/>
        <v/>
      </c>
      <c r="AU337" s="14" t="str">
        <f t="shared" si="156"/>
        <v/>
      </c>
      <c r="AV337" s="90" t="str">
        <f t="shared" si="157"/>
        <v/>
      </c>
      <c r="AW337" s="14">
        <v>66</v>
      </c>
      <c r="AX337" s="90">
        <f t="shared" si="158"/>
        <v>0</v>
      </c>
      <c r="AY337" s="42">
        <f t="shared" si="159"/>
        <v>66</v>
      </c>
      <c r="AZ337" s="90">
        <f t="shared" si="160"/>
        <v>1</v>
      </c>
      <c r="BA337" s="42" t="str">
        <f t="shared" si="161"/>
        <v/>
      </c>
    </row>
    <row r="338" spans="1:53" x14ac:dyDescent="0.2">
      <c r="A338" t="str">
        <f>INDEX(Prioritization!$D:$D,MATCH($B338,Prioritization!$A:$A,0))</f>
        <v>INVALID</v>
      </c>
      <c r="B338" t="s">
        <v>219</v>
      </c>
      <c r="C338" t="s">
        <v>367</v>
      </c>
      <c r="D338" t="s">
        <v>47</v>
      </c>
      <c r="E338" t="str">
        <f t="shared" si="135"/>
        <v>Phalombe District [AZyWpGzhcaA]|50+|Male</v>
      </c>
      <c r="F338" s="90">
        <f>IF(LEFT($B338,4)="_Mil","",INDEX(Cascade!$AA:$AA,MATCH($E338,Cascade!$E:$E,0)))</f>
        <v>1796</v>
      </c>
      <c r="G338" s="14">
        <f>INDEX(Cascade!$BH:$BH,MATCH($E338,Cascade!$E:$E,0))</f>
        <v>0</v>
      </c>
      <c r="H338" s="14" t="str">
        <f>IF(OR($C338="01-09",$D338="Male"),"",INDEX(PMTCT!$AC:$AC,MATCH($E338,PMTCT!$E:$E,0)))</f>
        <v/>
      </c>
      <c r="I338" s="14" t="str">
        <f>IF(OR($C338="01-09",$D338="Male"),"",INDEX(PMTCT!$AS:$AS,MATCH($E338,PMTCT!$E:$E,0)))</f>
        <v/>
      </c>
      <c r="J338" s="14" t="str">
        <f>INDEX(TB!$P:$P,MATCH($E338,TB!$E:$E,0))</f>
        <v/>
      </c>
      <c r="K338" s="14" t="str">
        <f>IF(OR($C338="01-09",$C338="10-14",$D338="Female"),"",INDEX(VMMC!$AA:$AA,MATCH($E338,VMMC!$E:$E,0)))</f>
        <v/>
      </c>
      <c r="L338" s="14">
        <f t="shared" si="136"/>
        <v>0</v>
      </c>
      <c r="M338" s="90" t="str">
        <f t="shared" si="137"/>
        <v/>
      </c>
      <c r="N338" s="90" t="str">
        <f t="shared" si="138"/>
        <v/>
      </c>
      <c r="O338" s="90" t="str">
        <f t="shared" si="139"/>
        <v/>
      </c>
      <c r="P338" s="90" t="str">
        <f t="shared" si="140"/>
        <v/>
      </c>
      <c r="Q338" s="90"/>
      <c r="R338" s="90"/>
      <c r="S338" s="90"/>
      <c r="T338" s="90"/>
      <c r="U338" s="90">
        <v>0.791468192823231</v>
      </c>
      <c r="V338" s="90" t="str">
        <f t="shared" si="141"/>
        <v/>
      </c>
      <c r="W338" s="90"/>
      <c r="X338" s="42" t="str">
        <f t="shared" si="142"/>
        <v/>
      </c>
      <c r="Y338" s="42" t="str">
        <f t="shared" si="143"/>
        <v/>
      </c>
      <c r="Z338" s="90"/>
      <c r="AA338" s="42" t="str">
        <f t="shared" si="144"/>
        <v/>
      </c>
      <c r="AB338" s="42" t="str">
        <f t="shared" si="145"/>
        <v/>
      </c>
      <c r="AC338" s="90"/>
      <c r="AD338" s="42" t="str">
        <f t="shared" si="146"/>
        <v/>
      </c>
      <c r="AE338" s="42" t="str">
        <f t="shared" si="147"/>
        <v/>
      </c>
      <c r="AF338" s="90"/>
      <c r="AG338" s="42" t="str">
        <f t="shared" si="148"/>
        <v/>
      </c>
      <c r="AH338" s="42" t="str">
        <f t="shared" si="149"/>
        <v/>
      </c>
      <c r="AI338" s="90">
        <v>0.44450426055118403</v>
      </c>
      <c r="AJ338" s="42" t="str">
        <f t="shared" si="150"/>
        <v/>
      </c>
      <c r="AK338" s="42" t="str">
        <f t="shared" si="151"/>
        <v/>
      </c>
      <c r="AL338" s="14" t="str">
        <f t="shared" si="152"/>
        <v/>
      </c>
      <c r="AM338" s="14" t="str">
        <f t="shared" si="153"/>
        <v/>
      </c>
      <c r="AN338" s="14" t="str">
        <f t="shared" si="154"/>
        <v/>
      </c>
      <c r="AO338" s="14" t="str">
        <f>IF(OR($C338="01-09",$D338="Male"),"",INDEX(PMTCT!$AD:$AD,MATCH($E338,PMTCT!$E:$E,0)))</f>
        <v/>
      </c>
      <c r="AP338" s="14" t="str">
        <f>IF(OR($C338="01-09",$D338="Male"),"",INDEX(PMTCT!$AT:$AT,MATCH($E338,PMTCT!$E:$E,0)))</f>
        <v/>
      </c>
      <c r="AQ338" s="14" t="str">
        <f>INDEX(TB!$Q:$Q,MATCH($E338,TB!$E:$E,0))</f>
        <v/>
      </c>
      <c r="AR338" s="14" t="str">
        <f>IF(OR($C338="01-09",$C338="10-14",$D338="Female"),"",INDEX(VMMC!$AB:$AB,MATCH($E338,VMMC!$E:$E,0)))</f>
        <v/>
      </c>
      <c r="AS338" s="14" t="str">
        <f>IF(OR($C338="01-09",$C338="10-14"),"",INDEX(PrEP!$Q:$Q,MATCH($E338,PrEP!$E:$E,0)))</f>
        <v/>
      </c>
      <c r="AT338" s="14" t="str">
        <f t="shared" si="155"/>
        <v/>
      </c>
      <c r="AU338" s="14" t="str">
        <f t="shared" si="156"/>
        <v/>
      </c>
      <c r="AV338" s="90" t="str">
        <f t="shared" si="157"/>
        <v/>
      </c>
      <c r="AW338" s="14">
        <v>73</v>
      </c>
      <c r="AX338" s="90">
        <f t="shared" si="158"/>
        <v>0</v>
      </c>
      <c r="AY338" s="42">
        <f t="shared" si="159"/>
        <v>73</v>
      </c>
      <c r="AZ338" s="90">
        <f t="shared" si="160"/>
        <v>1</v>
      </c>
      <c r="BA338" s="42" t="str">
        <f t="shared" si="161"/>
        <v/>
      </c>
    </row>
    <row r="339" spans="1:53" x14ac:dyDescent="0.2">
      <c r="A339" t="str">
        <f>INDEX(Prioritization!$D:$D,MATCH($B339,Prioritization!$A:$A,0))</f>
        <v>1 - Scale-up: Saturation</v>
      </c>
      <c r="B339" t="s">
        <v>220</v>
      </c>
      <c r="C339" t="s">
        <v>362</v>
      </c>
      <c r="D339" t="s">
        <v>29</v>
      </c>
      <c r="E339" t="str">
        <f t="shared" si="135"/>
        <v>Thyolo District [ul0y9diGujK]|01-09|Female</v>
      </c>
      <c r="F339" s="90">
        <f>IF(LEFT($B339,4)="_Mil","",INDEX(Cascade!$AA:$AA,MATCH($E339,Cascade!$E:$E,0)))</f>
        <v>1921</v>
      </c>
      <c r="G339" s="14">
        <f>INDEX(Cascade!$BH:$BH,MATCH($E339,Cascade!$E:$E,0))</f>
        <v>0</v>
      </c>
      <c r="H339" s="14" t="str">
        <f>IF(OR($C339="01-09",$D339="Male"),"",INDEX(PMTCT!$AC:$AC,MATCH($E339,PMTCT!$E:$E,0)))</f>
        <v/>
      </c>
      <c r="I339" s="14" t="str">
        <f>IF(OR($C339="01-09",$D339="Male"),"",INDEX(PMTCT!$AS:$AS,MATCH($E339,PMTCT!$E:$E,0)))</f>
        <v/>
      </c>
      <c r="J339" s="14" t="str">
        <f>INDEX(TB!$P:$P,MATCH($E339,TB!$E:$E,0))</f>
        <v/>
      </c>
      <c r="K339" s="14" t="str">
        <f>IF(OR($C339="01-09",$C339="10-14",$D339="Female"),"",INDEX(VMMC!$AA:$AA,MATCH($E339,VMMC!$E:$E,0)))</f>
        <v/>
      </c>
      <c r="L339" s="14">
        <f t="shared" si="136"/>
        <v>0</v>
      </c>
      <c r="M339" s="90" t="str">
        <f t="shared" si="137"/>
        <v/>
      </c>
      <c r="N339" s="90" t="str">
        <f t="shared" si="138"/>
        <v/>
      </c>
      <c r="O339" s="90" t="str">
        <f t="shared" si="139"/>
        <v/>
      </c>
      <c r="P339" s="90" t="str">
        <f t="shared" si="140"/>
        <v/>
      </c>
      <c r="Q339" s="90"/>
      <c r="R339" s="90"/>
      <c r="S339" s="90"/>
      <c r="T339" s="90"/>
      <c r="U339" s="90"/>
      <c r="V339" s="90" t="str">
        <f t="shared" si="141"/>
        <v/>
      </c>
      <c r="W339" s="90"/>
      <c r="X339" s="42" t="str">
        <f t="shared" si="142"/>
        <v/>
      </c>
      <c r="Y339" s="42" t="str">
        <f t="shared" si="143"/>
        <v/>
      </c>
      <c r="Z339" s="90"/>
      <c r="AA339" s="42" t="str">
        <f t="shared" si="144"/>
        <v/>
      </c>
      <c r="AB339" s="42" t="str">
        <f t="shared" si="145"/>
        <v/>
      </c>
      <c r="AC339" s="90"/>
      <c r="AD339" s="42" t="str">
        <f t="shared" si="146"/>
        <v/>
      </c>
      <c r="AE339" s="42" t="str">
        <f t="shared" si="147"/>
        <v/>
      </c>
      <c r="AF339" s="90"/>
      <c r="AG339" s="42" t="str">
        <f t="shared" si="148"/>
        <v/>
      </c>
      <c r="AH339" s="42" t="str">
        <f t="shared" si="149"/>
        <v/>
      </c>
      <c r="AI339" s="90"/>
      <c r="AJ339" s="42" t="str">
        <f t="shared" si="150"/>
        <v/>
      </c>
      <c r="AK339" s="42" t="str">
        <f t="shared" si="151"/>
        <v/>
      </c>
      <c r="AL339" s="14" t="str">
        <f t="shared" si="152"/>
        <v/>
      </c>
      <c r="AM339" s="14" t="str">
        <f t="shared" si="153"/>
        <v/>
      </c>
      <c r="AN339" s="14" t="str">
        <f t="shared" si="154"/>
        <v/>
      </c>
      <c r="AO339" s="14" t="str">
        <f>IF(OR($C339="01-09",$D339="Male"),"",INDEX(PMTCT!$AD:$AD,MATCH($E339,PMTCT!$E:$E,0)))</f>
        <v/>
      </c>
      <c r="AP339" s="14" t="str">
        <f>IF(OR($C339="01-09",$D339="Male"),"",INDEX(PMTCT!$AT:$AT,MATCH($E339,PMTCT!$E:$E,0)))</f>
        <v/>
      </c>
      <c r="AQ339" s="14" t="str">
        <f>INDEX(TB!$Q:$Q,MATCH($E339,TB!$E:$E,0))</f>
        <v/>
      </c>
      <c r="AR339" s="14" t="str">
        <f>IF(OR($C339="01-09",$C339="10-14",$D339="Female"),"",INDEX(VMMC!$AB:$AB,MATCH($E339,VMMC!$E:$E,0)))</f>
        <v/>
      </c>
      <c r="AS339" s="14" t="str">
        <f>IF(OR($C339="01-09",$C339="10-14"),"",INDEX(PrEP!$Q:$Q,MATCH($E339,PrEP!$E:$E,0)))</f>
        <v/>
      </c>
      <c r="AT339" s="14" t="str">
        <f t="shared" si="155"/>
        <v/>
      </c>
      <c r="AU339" s="14" t="str">
        <f t="shared" si="156"/>
        <v/>
      </c>
      <c r="AV339" s="90" t="str">
        <f t="shared" si="157"/>
        <v/>
      </c>
      <c r="AW339" s="14"/>
      <c r="AX339" s="90" t="str">
        <f t="shared" si="158"/>
        <v/>
      </c>
      <c r="AY339" s="42" t="str">
        <f t="shared" si="159"/>
        <v/>
      </c>
      <c r="AZ339" s="90" t="str">
        <f t="shared" si="160"/>
        <v/>
      </c>
      <c r="BA339" s="42" t="str">
        <f t="shared" si="161"/>
        <v/>
      </c>
    </row>
    <row r="340" spans="1:53" x14ac:dyDescent="0.2">
      <c r="A340" t="str">
        <f>INDEX(Prioritization!$D:$D,MATCH($B340,Prioritization!$A:$A,0))</f>
        <v>1 - Scale-up: Saturation</v>
      </c>
      <c r="B340" t="s">
        <v>220</v>
      </c>
      <c r="C340" t="s">
        <v>362</v>
      </c>
      <c r="D340" t="s">
        <v>47</v>
      </c>
      <c r="E340" t="str">
        <f t="shared" si="135"/>
        <v>Thyolo District [ul0y9diGujK]|01-09|Male</v>
      </c>
      <c r="F340" s="90">
        <f>IF(LEFT($B340,4)="_Mil","",INDEX(Cascade!$AA:$AA,MATCH($E340,Cascade!$E:$E,0)))</f>
        <v>1426</v>
      </c>
      <c r="G340" s="14">
        <f>INDEX(Cascade!$BH:$BH,MATCH($E340,Cascade!$E:$E,0))</f>
        <v>0</v>
      </c>
      <c r="H340" s="14" t="str">
        <f>IF(OR($C340="01-09",$D340="Male"),"",INDEX(PMTCT!$AC:$AC,MATCH($E340,PMTCT!$E:$E,0)))</f>
        <v/>
      </c>
      <c r="I340" s="14" t="str">
        <f>IF(OR($C340="01-09",$D340="Male"),"",INDEX(PMTCT!$AS:$AS,MATCH($E340,PMTCT!$E:$E,0)))</f>
        <v/>
      </c>
      <c r="J340" s="14" t="str">
        <f>INDEX(TB!$P:$P,MATCH($E340,TB!$E:$E,0))</f>
        <v/>
      </c>
      <c r="K340" s="14" t="str">
        <f>IF(OR($C340="01-09",$C340="10-14",$D340="Female"),"",INDEX(VMMC!$AA:$AA,MATCH($E340,VMMC!$E:$E,0)))</f>
        <v/>
      </c>
      <c r="L340" s="14">
        <f t="shared" si="136"/>
        <v>0</v>
      </c>
      <c r="M340" s="90" t="str">
        <f t="shared" si="137"/>
        <v/>
      </c>
      <c r="N340" s="90" t="str">
        <f t="shared" si="138"/>
        <v/>
      </c>
      <c r="O340" s="90" t="str">
        <f t="shared" si="139"/>
        <v/>
      </c>
      <c r="P340" s="90" t="str">
        <f t="shared" si="140"/>
        <v/>
      </c>
      <c r="Q340" s="90"/>
      <c r="R340" s="90"/>
      <c r="S340" s="90"/>
      <c r="T340" s="90"/>
      <c r="U340" s="90"/>
      <c r="V340" s="90" t="str">
        <f t="shared" si="141"/>
        <v/>
      </c>
      <c r="W340" s="90"/>
      <c r="X340" s="42" t="str">
        <f t="shared" si="142"/>
        <v/>
      </c>
      <c r="Y340" s="42" t="str">
        <f t="shared" si="143"/>
        <v/>
      </c>
      <c r="Z340" s="90"/>
      <c r="AA340" s="42" t="str">
        <f t="shared" si="144"/>
        <v/>
      </c>
      <c r="AB340" s="42" t="str">
        <f t="shared" si="145"/>
        <v/>
      </c>
      <c r="AC340" s="90"/>
      <c r="AD340" s="42" t="str">
        <f t="shared" si="146"/>
        <v/>
      </c>
      <c r="AE340" s="42" t="str">
        <f t="shared" si="147"/>
        <v/>
      </c>
      <c r="AF340" s="90"/>
      <c r="AG340" s="42" t="str">
        <f t="shared" si="148"/>
        <v/>
      </c>
      <c r="AH340" s="42" t="str">
        <f t="shared" si="149"/>
        <v/>
      </c>
      <c r="AI340" s="90"/>
      <c r="AJ340" s="42" t="str">
        <f t="shared" si="150"/>
        <v/>
      </c>
      <c r="AK340" s="42" t="str">
        <f t="shared" si="151"/>
        <v/>
      </c>
      <c r="AL340" s="14" t="str">
        <f t="shared" si="152"/>
        <v/>
      </c>
      <c r="AM340" s="14" t="str">
        <f t="shared" si="153"/>
        <v/>
      </c>
      <c r="AN340" s="14" t="str">
        <f t="shared" si="154"/>
        <v/>
      </c>
      <c r="AO340" s="14" t="str">
        <f>IF(OR($C340="01-09",$D340="Male"),"",INDEX(PMTCT!$AD:$AD,MATCH($E340,PMTCT!$E:$E,0)))</f>
        <v/>
      </c>
      <c r="AP340" s="14" t="str">
        <f>IF(OR($C340="01-09",$D340="Male"),"",INDEX(PMTCT!$AT:$AT,MATCH($E340,PMTCT!$E:$E,0)))</f>
        <v/>
      </c>
      <c r="AQ340" s="14" t="str">
        <f>INDEX(TB!$Q:$Q,MATCH($E340,TB!$E:$E,0))</f>
        <v/>
      </c>
      <c r="AR340" s="14" t="str">
        <f>IF(OR($C340="01-09",$C340="10-14",$D340="Female"),"",INDEX(VMMC!$AB:$AB,MATCH($E340,VMMC!$E:$E,0)))</f>
        <v/>
      </c>
      <c r="AS340" s="14" t="str">
        <f>IF(OR($C340="01-09",$C340="10-14"),"",INDEX(PrEP!$Q:$Q,MATCH($E340,PrEP!$E:$E,0)))</f>
        <v/>
      </c>
      <c r="AT340" s="14" t="str">
        <f t="shared" si="155"/>
        <v/>
      </c>
      <c r="AU340" s="14" t="str">
        <f t="shared" si="156"/>
        <v/>
      </c>
      <c r="AV340" s="90" t="str">
        <f t="shared" si="157"/>
        <v/>
      </c>
      <c r="AW340" s="14"/>
      <c r="AX340" s="90" t="str">
        <f t="shared" si="158"/>
        <v/>
      </c>
      <c r="AY340" s="42" t="str">
        <f t="shared" si="159"/>
        <v/>
      </c>
      <c r="AZ340" s="90" t="str">
        <f t="shared" si="160"/>
        <v/>
      </c>
      <c r="BA340" s="42" t="str">
        <f t="shared" si="161"/>
        <v/>
      </c>
    </row>
    <row r="341" spans="1:53" x14ac:dyDescent="0.2">
      <c r="A341" t="str">
        <f>INDEX(Prioritization!$D:$D,MATCH($B341,Prioritization!$A:$A,0))</f>
        <v>1 - Scale-up: Saturation</v>
      </c>
      <c r="B341" t="s">
        <v>220</v>
      </c>
      <c r="C341" t="s">
        <v>363</v>
      </c>
      <c r="D341" t="s">
        <v>29</v>
      </c>
      <c r="E341" t="str">
        <f t="shared" si="135"/>
        <v>Thyolo District [ul0y9diGujK]|10-14|Female</v>
      </c>
      <c r="F341" s="90">
        <f>IF(LEFT($B341,4)="_Mil","",INDEX(Cascade!$AA:$AA,MATCH($E341,Cascade!$E:$E,0)))</f>
        <v>680</v>
      </c>
      <c r="G341" s="14">
        <f>INDEX(Cascade!$BH:$BH,MATCH($E341,Cascade!$E:$E,0))</f>
        <v>-102</v>
      </c>
      <c r="H341" s="14">
        <f>IF(OR($C341="01-09",$D341="Male"),"",INDEX(PMTCT!$AC:$AC,MATCH($E341,PMTCT!$E:$E,0)))</f>
        <v>0</v>
      </c>
      <c r="I341" s="14" t="str">
        <f>IF(OR($C341="01-09",$D341="Male"),"",INDEX(PMTCT!$AS:$AS,MATCH($E341,PMTCT!$E:$E,0)))</f>
        <v/>
      </c>
      <c r="J341" s="14" t="str">
        <f>INDEX(TB!$P:$P,MATCH($E341,TB!$E:$E,0))</f>
        <v/>
      </c>
      <c r="K341" s="14" t="str">
        <f>IF(OR($C341="01-09",$C341="10-14",$D341="Female"),"",INDEX(VMMC!$AA:$AA,MATCH($E341,VMMC!$E:$E,0)))</f>
        <v/>
      </c>
      <c r="L341" s="14">
        <f t="shared" si="136"/>
        <v>-102</v>
      </c>
      <c r="M341" s="90">
        <f t="shared" si="137"/>
        <v>0</v>
      </c>
      <c r="N341" s="90">
        <f t="shared" si="138"/>
        <v>0</v>
      </c>
      <c r="O341" s="90">
        <f t="shared" si="139"/>
        <v>0</v>
      </c>
      <c r="P341" s="90" t="str">
        <f t="shared" si="140"/>
        <v/>
      </c>
      <c r="Q341" s="90">
        <v>0.85149436071515106</v>
      </c>
      <c r="R341" s="90"/>
      <c r="S341" s="90"/>
      <c r="T341" s="90"/>
      <c r="U341" s="90">
        <v>0.31525385146960599</v>
      </c>
      <c r="V341" s="90">
        <f t="shared" si="141"/>
        <v>1.166748212184757</v>
      </c>
      <c r="W341" s="90"/>
      <c r="X341" s="42">
        <f t="shared" si="142"/>
        <v>-87</v>
      </c>
      <c r="Y341" s="42" t="str">
        <f t="shared" si="143"/>
        <v>ENTER YIELD</v>
      </c>
      <c r="Z341" s="90"/>
      <c r="AA341" s="42" t="str">
        <f t="shared" si="144"/>
        <v/>
      </c>
      <c r="AB341" s="42" t="str">
        <f t="shared" si="145"/>
        <v/>
      </c>
      <c r="AC341" s="90"/>
      <c r="AD341" s="42" t="str">
        <f t="shared" si="146"/>
        <v/>
      </c>
      <c r="AE341" s="42" t="str">
        <f t="shared" si="147"/>
        <v/>
      </c>
      <c r="AF341" s="90"/>
      <c r="AG341" s="42" t="str">
        <f t="shared" si="148"/>
        <v/>
      </c>
      <c r="AH341" s="42" t="str">
        <f t="shared" si="149"/>
        <v/>
      </c>
      <c r="AI341" s="90">
        <v>0.61646379833109699</v>
      </c>
      <c r="AJ341" s="42">
        <f t="shared" si="150"/>
        <v>-32</v>
      </c>
      <c r="AK341" s="42">
        <f t="shared" si="151"/>
        <v>-20</v>
      </c>
      <c r="AL341" s="14">
        <f t="shared" si="152"/>
        <v>-102</v>
      </c>
      <c r="AM341" s="14">
        <f t="shared" si="153"/>
        <v>-119</v>
      </c>
      <c r="AN341" s="14">
        <f t="shared" si="154"/>
        <v>-17</v>
      </c>
      <c r="AO341" s="14">
        <f>IF(OR($C341="01-09",$D341="Male"),"",INDEX(PMTCT!$AD:$AD,MATCH($E341,PMTCT!$E:$E,0)))</f>
        <v>0</v>
      </c>
      <c r="AP341" s="14" t="str">
        <f>IF(OR($C341="01-09",$D341="Male"),"",INDEX(PMTCT!$AT:$AT,MATCH($E341,PMTCT!$E:$E,0)))</f>
        <v/>
      </c>
      <c r="AQ341" s="14" t="str">
        <f>INDEX(TB!$Q:$Q,MATCH($E341,TB!$E:$E,0))</f>
        <v/>
      </c>
      <c r="AR341" s="14" t="str">
        <f>IF(OR($C341="01-09",$C341="10-14",$D341="Female"),"",INDEX(VMMC!$AB:$AB,MATCH($E341,VMMC!$E:$E,0)))</f>
        <v/>
      </c>
      <c r="AS341" s="14" t="str">
        <f>IF(OR($C341="01-09",$C341="10-14"),"",INDEX(PrEP!$Q:$Q,MATCH($E341,PrEP!$E:$E,0)))</f>
        <v/>
      </c>
      <c r="AT341" s="14">
        <f t="shared" si="155"/>
        <v>-20</v>
      </c>
      <c r="AU341" s="14">
        <f t="shared" si="156"/>
        <v>-139</v>
      </c>
      <c r="AV341" s="90">
        <f t="shared" si="157"/>
        <v>0.85611510791366907</v>
      </c>
      <c r="AW341" s="14"/>
      <c r="AX341" s="90" t="str">
        <f t="shared" si="158"/>
        <v/>
      </c>
      <c r="AY341" s="42" t="str">
        <f t="shared" si="159"/>
        <v/>
      </c>
      <c r="AZ341" s="90" t="str">
        <f t="shared" si="160"/>
        <v/>
      </c>
      <c r="BA341" s="42" t="str">
        <f t="shared" si="161"/>
        <v/>
      </c>
    </row>
    <row r="342" spans="1:53" x14ac:dyDescent="0.2">
      <c r="A342" t="str">
        <f>INDEX(Prioritization!$D:$D,MATCH($B342,Prioritization!$A:$A,0))</f>
        <v>1 - Scale-up: Saturation</v>
      </c>
      <c r="B342" t="s">
        <v>220</v>
      </c>
      <c r="C342" t="s">
        <v>363</v>
      </c>
      <c r="D342" t="s">
        <v>47</v>
      </c>
      <c r="E342" t="str">
        <f t="shared" si="135"/>
        <v>Thyolo District [ul0y9diGujK]|10-14|Male</v>
      </c>
      <c r="F342" s="90">
        <f>IF(LEFT($B342,4)="_Mil","",INDEX(Cascade!$AA:$AA,MATCH($E342,Cascade!$E:$E,0)))</f>
        <v>1575</v>
      </c>
      <c r="G342" s="14">
        <f>INDEX(Cascade!$BH:$BH,MATCH($E342,Cascade!$E:$E,0))</f>
        <v>-95</v>
      </c>
      <c r="H342" s="14" t="str">
        <f>IF(OR($C342="01-09",$D342="Male"),"",INDEX(PMTCT!$AC:$AC,MATCH($E342,PMTCT!$E:$E,0)))</f>
        <v/>
      </c>
      <c r="I342" s="14" t="str">
        <f>IF(OR($C342="01-09",$D342="Male"),"",INDEX(PMTCT!$AS:$AS,MATCH($E342,PMTCT!$E:$E,0)))</f>
        <v/>
      </c>
      <c r="J342" s="14" t="str">
        <f>INDEX(TB!$P:$P,MATCH($E342,TB!$E:$E,0))</f>
        <v>ENTER YIELD RATE</v>
      </c>
      <c r="K342" s="14" t="str">
        <f>IF(OR($C342="01-09",$C342="10-14",$D342="Female"),"",INDEX(VMMC!$AA:$AA,MATCH($E342,VMMC!$E:$E,0)))</f>
        <v/>
      </c>
      <c r="L342" s="14">
        <f t="shared" si="136"/>
        <v>-95</v>
      </c>
      <c r="M342" s="90" t="str">
        <f t="shared" si="137"/>
        <v/>
      </c>
      <c r="N342" s="90" t="str">
        <f t="shared" si="138"/>
        <v/>
      </c>
      <c r="O342" s="90">
        <f t="shared" si="139"/>
        <v>0</v>
      </c>
      <c r="P342" s="90" t="str">
        <f t="shared" si="140"/>
        <v/>
      </c>
      <c r="Q342" s="90">
        <v>0.21935015777125999</v>
      </c>
      <c r="R342" s="90"/>
      <c r="S342" s="90"/>
      <c r="T342" s="90"/>
      <c r="U342" s="90">
        <v>0.33372872998006597</v>
      </c>
      <c r="V342" s="90">
        <f t="shared" si="141"/>
        <v>0.55307888775132596</v>
      </c>
      <c r="W342" s="90"/>
      <c r="X342" s="42">
        <f t="shared" si="142"/>
        <v>-21</v>
      </c>
      <c r="Y342" s="42" t="str">
        <f t="shared" si="143"/>
        <v>ENTER YIELD</v>
      </c>
      <c r="Z342" s="90"/>
      <c r="AA342" s="42" t="str">
        <f t="shared" si="144"/>
        <v/>
      </c>
      <c r="AB342" s="42" t="str">
        <f t="shared" si="145"/>
        <v/>
      </c>
      <c r="AC342" s="90"/>
      <c r="AD342" s="42" t="str">
        <f t="shared" si="146"/>
        <v/>
      </c>
      <c r="AE342" s="42" t="str">
        <f t="shared" si="147"/>
        <v/>
      </c>
      <c r="AF342" s="90"/>
      <c r="AG342" s="42" t="str">
        <f t="shared" si="148"/>
        <v/>
      </c>
      <c r="AH342" s="42" t="str">
        <f t="shared" si="149"/>
        <v/>
      </c>
      <c r="AI342" s="90">
        <v>0.174589777598158</v>
      </c>
      <c r="AJ342" s="42">
        <f t="shared" si="150"/>
        <v>-32</v>
      </c>
      <c r="AK342" s="42">
        <f t="shared" si="151"/>
        <v>-151</v>
      </c>
      <c r="AL342" s="14">
        <f t="shared" si="152"/>
        <v>-95</v>
      </c>
      <c r="AM342" s="14">
        <f t="shared" si="153"/>
        <v>-53</v>
      </c>
      <c r="AN342" s="14">
        <f t="shared" si="154"/>
        <v>42</v>
      </c>
      <c r="AO342" s="14" t="str">
        <f>IF(OR($C342="01-09",$D342="Male"),"",INDEX(PMTCT!$AD:$AD,MATCH($E342,PMTCT!$E:$E,0)))</f>
        <v/>
      </c>
      <c r="AP342" s="14" t="str">
        <f>IF(OR($C342="01-09",$D342="Male"),"",INDEX(PMTCT!$AT:$AT,MATCH($E342,PMTCT!$E:$E,0)))</f>
        <v/>
      </c>
      <c r="AQ342" s="14">
        <f>INDEX(TB!$Q:$Q,MATCH($E342,TB!$E:$E,0))</f>
        <v>1</v>
      </c>
      <c r="AR342" s="14" t="str">
        <f>IF(OR($C342="01-09",$C342="10-14",$D342="Female"),"",INDEX(VMMC!$AB:$AB,MATCH($E342,VMMC!$E:$E,0)))</f>
        <v/>
      </c>
      <c r="AS342" s="14" t="str">
        <f>IF(OR($C342="01-09",$C342="10-14"),"",INDEX(PrEP!$Q:$Q,MATCH($E342,PrEP!$E:$E,0)))</f>
        <v/>
      </c>
      <c r="AT342" s="14">
        <f t="shared" si="155"/>
        <v>-150</v>
      </c>
      <c r="AU342" s="14">
        <f t="shared" si="156"/>
        <v>-203</v>
      </c>
      <c r="AV342" s="90">
        <f t="shared" si="157"/>
        <v>0.26108374384236455</v>
      </c>
      <c r="AW342" s="14"/>
      <c r="AX342" s="90" t="str">
        <f t="shared" si="158"/>
        <v/>
      </c>
      <c r="AY342" s="42" t="str">
        <f t="shared" si="159"/>
        <v/>
      </c>
      <c r="AZ342" s="90" t="str">
        <f t="shared" si="160"/>
        <v/>
      </c>
      <c r="BA342" s="42" t="str">
        <f t="shared" si="161"/>
        <v/>
      </c>
    </row>
    <row r="343" spans="1:53" x14ac:dyDescent="0.2">
      <c r="A343" t="str">
        <f>INDEX(Prioritization!$D:$D,MATCH($B343,Prioritization!$A:$A,0))</f>
        <v>1 - Scale-up: Saturation</v>
      </c>
      <c r="B343" t="s">
        <v>220</v>
      </c>
      <c r="C343" t="s">
        <v>364</v>
      </c>
      <c r="D343" t="s">
        <v>29</v>
      </c>
      <c r="E343" t="str">
        <f t="shared" si="135"/>
        <v>Thyolo District [ul0y9diGujK]|15-24|Female</v>
      </c>
      <c r="F343" s="90">
        <f>IF(LEFT($B343,4)="_Mil","",INDEX(Cascade!$AA:$AA,MATCH($E343,Cascade!$E:$E,0)))</f>
        <v>1462</v>
      </c>
      <c r="G343" s="14">
        <f>INDEX(Cascade!$BH:$BH,MATCH($E343,Cascade!$E:$E,0))</f>
        <v>0</v>
      </c>
      <c r="H343" s="14" t="str">
        <f>IF(OR($C343="01-09",$D343="Male"),"",INDEX(PMTCT!$AC:$AC,MATCH($E343,PMTCT!$E:$E,0)))</f>
        <v/>
      </c>
      <c r="I343" s="14" t="str">
        <f>IF(OR($C343="01-09",$D343="Male"),"",INDEX(PMTCT!$AS:$AS,MATCH($E343,PMTCT!$E:$E,0)))</f>
        <v/>
      </c>
      <c r="J343" s="14" t="str">
        <f>INDEX(TB!$P:$P,MATCH($E343,TB!$E:$E,0))</f>
        <v/>
      </c>
      <c r="K343" s="14" t="str">
        <f>IF(OR($C343="01-09",$C343="10-14",$D343="Female"),"",INDEX(VMMC!$AA:$AA,MATCH($E343,VMMC!$E:$E,0)))</f>
        <v/>
      </c>
      <c r="L343" s="14">
        <f t="shared" si="136"/>
        <v>0</v>
      </c>
      <c r="M343" s="90" t="str">
        <f t="shared" si="137"/>
        <v/>
      </c>
      <c r="N343" s="90" t="str">
        <f t="shared" si="138"/>
        <v/>
      </c>
      <c r="O343" s="90" t="str">
        <f t="shared" si="139"/>
        <v/>
      </c>
      <c r="P343" s="90" t="str">
        <f t="shared" si="140"/>
        <v/>
      </c>
      <c r="Q343" s="90"/>
      <c r="R343" s="90"/>
      <c r="S343" s="90"/>
      <c r="T343" s="90"/>
      <c r="U343" s="90"/>
      <c r="V343" s="90" t="str">
        <f t="shared" si="141"/>
        <v/>
      </c>
      <c r="W343" s="90"/>
      <c r="X343" s="42" t="str">
        <f t="shared" si="142"/>
        <v/>
      </c>
      <c r="Y343" s="42" t="str">
        <f t="shared" si="143"/>
        <v/>
      </c>
      <c r="Z343" s="90"/>
      <c r="AA343" s="42" t="str">
        <f t="shared" si="144"/>
        <v/>
      </c>
      <c r="AB343" s="42" t="str">
        <f t="shared" si="145"/>
        <v/>
      </c>
      <c r="AC343" s="90"/>
      <c r="AD343" s="42" t="str">
        <f t="shared" si="146"/>
        <v/>
      </c>
      <c r="AE343" s="42" t="str">
        <f t="shared" si="147"/>
        <v/>
      </c>
      <c r="AF343" s="90"/>
      <c r="AG343" s="42" t="str">
        <f t="shared" si="148"/>
        <v/>
      </c>
      <c r="AH343" s="42" t="str">
        <f t="shared" si="149"/>
        <v/>
      </c>
      <c r="AI343" s="90"/>
      <c r="AJ343" s="42" t="str">
        <f t="shared" si="150"/>
        <v/>
      </c>
      <c r="AK343" s="42" t="str">
        <f t="shared" si="151"/>
        <v/>
      </c>
      <c r="AL343" s="14" t="str">
        <f t="shared" si="152"/>
        <v/>
      </c>
      <c r="AM343" s="14" t="str">
        <f t="shared" si="153"/>
        <v/>
      </c>
      <c r="AN343" s="14" t="str">
        <f t="shared" si="154"/>
        <v/>
      </c>
      <c r="AO343" s="14" t="str">
        <f>IF(OR($C343="01-09",$D343="Male"),"",INDEX(PMTCT!$AD:$AD,MATCH($E343,PMTCT!$E:$E,0)))</f>
        <v/>
      </c>
      <c r="AP343" s="14" t="str">
        <f>IF(OR($C343="01-09",$D343="Male"),"",INDEX(PMTCT!$AT:$AT,MATCH($E343,PMTCT!$E:$E,0)))</f>
        <v/>
      </c>
      <c r="AQ343" s="14" t="str">
        <f>INDEX(TB!$Q:$Q,MATCH($E343,TB!$E:$E,0))</f>
        <v/>
      </c>
      <c r="AR343" s="14" t="str">
        <f>IF(OR($C343="01-09",$C343="10-14",$D343="Female"),"",INDEX(VMMC!$AB:$AB,MATCH($E343,VMMC!$E:$E,0)))</f>
        <v/>
      </c>
      <c r="AS343" s="14" t="str">
        <f>IF(OR($C343="01-09",$C343="10-14"),"",INDEX(PrEP!$Q:$Q,MATCH($E343,PrEP!$E:$E,0)))</f>
        <v/>
      </c>
      <c r="AT343" s="14" t="str">
        <f t="shared" si="155"/>
        <v/>
      </c>
      <c r="AU343" s="14" t="str">
        <f t="shared" si="156"/>
        <v/>
      </c>
      <c r="AV343" s="90" t="str">
        <f t="shared" si="157"/>
        <v/>
      </c>
      <c r="AW343" s="14"/>
      <c r="AX343" s="90" t="str">
        <f t="shared" si="158"/>
        <v/>
      </c>
      <c r="AY343" s="42" t="str">
        <f t="shared" si="159"/>
        <v/>
      </c>
      <c r="AZ343" s="90">
        <f t="shared" si="160"/>
        <v>1</v>
      </c>
      <c r="BA343" s="42" t="str">
        <f t="shared" si="161"/>
        <v/>
      </c>
    </row>
    <row r="344" spans="1:53" x14ac:dyDescent="0.2">
      <c r="A344" t="str">
        <f>INDEX(Prioritization!$D:$D,MATCH($B344,Prioritization!$A:$A,0))</f>
        <v>1 - Scale-up: Saturation</v>
      </c>
      <c r="B344" t="s">
        <v>220</v>
      </c>
      <c r="C344" t="s">
        <v>364</v>
      </c>
      <c r="D344" t="s">
        <v>47</v>
      </c>
      <c r="E344" t="str">
        <f t="shared" si="135"/>
        <v>Thyolo District [ul0y9diGujK]|15-24|Male</v>
      </c>
      <c r="F344" s="90">
        <f>IF(LEFT($B344,4)="_Mil","",INDEX(Cascade!$AA:$AA,MATCH($E344,Cascade!$E:$E,0)))</f>
        <v>1208</v>
      </c>
      <c r="G344" s="14">
        <f>INDEX(Cascade!$BH:$BH,MATCH($E344,Cascade!$E:$E,0))</f>
        <v>0</v>
      </c>
      <c r="H344" s="14" t="str">
        <f>IF(OR($C344="01-09",$D344="Male"),"",INDEX(PMTCT!$AC:$AC,MATCH($E344,PMTCT!$E:$E,0)))</f>
        <v/>
      </c>
      <c r="I344" s="14" t="str">
        <f>IF(OR($C344="01-09",$D344="Male"),"",INDEX(PMTCT!$AS:$AS,MATCH($E344,PMTCT!$E:$E,0)))</f>
        <v/>
      </c>
      <c r="J344" s="14" t="str">
        <f>INDEX(TB!$P:$P,MATCH($E344,TB!$E:$E,0))</f>
        <v/>
      </c>
      <c r="K344" s="14" t="str">
        <f>IF(OR($C344="01-09",$C344="10-14",$D344="Female"),"",INDEX(VMMC!$AA:$AA,MATCH($E344,VMMC!$E:$E,0)))</f>
        <v/>
      </c>
      <c r="L344" s="14">
        <f t="shared" si="136"/>
        <v>0</v>
      </c>
      <c r="M344" s="90" t="str">
        <f t="shared" si="137"/>
        <v/>
      </c>
      <c r="N344" s="90" t="str">
        <f t="shared" si="138"/>
        <v/>
      </c>
      <c r="O344" s="90" t="str">
        <f t="shared" si="139"/>
        <v/>
      </c>
      <c r="P344" s="90" t="str">
        <f t="shared" si="140"/>
        <v/>
      </c>
      <c r="Q344" s="90"/>
      <c r="R344" s="90"/>
      <c r="S344" s="90"/>
      <c r="T344" s="90"/>
      <c r="U344" s="90"/>
      <c r="V344" s="90" t="str">
        <f t="shared" si="141"/>
        <v/>
      </c>
      <c r="W344" s="90"/>
      <c r="X344" s="42" t="str">
        <f t="shared" si="142"/>
        <v/>
      </c>
      <c r="Y344" s="42" t="str">
        <f t="shared" si="143"/>
        <v/>
      </c>
      <c r="Z344" s="90"/>
      <c r="AA344" s="42" t="str">
        <f t="shared" si="144"/>
        <v/>
      </c>
      <c r="AB344" s="42" t="str">
        <f t="shared" si="145"/>
        <v/>
      </c>
      <c r="AC344" s="90"/>
      <c r="AD344" s="42" t="str">
        <f t="shared" si="146"/>
        <v/>
      </c>
      <c r="AE344" s="42" t="str">
        <f t="shared" si="147"/>
        <v/>
      </c>
      <c r="AF344" s="90"/>
      <c r="AG344" s="42" t="str">
        <f t="shared" si="148"/>
        <v/>
      </c>
      <c r="AH344" s="42" t="str">
        <f t="shared" si="149"/>
        <v/>
      </c>
      <c r="AI344" s="90"/>
      <c r="AJ344" s="42" t="str">
        <f t="shared" si="150"/>
        <v/>
      </c>
      <c r="AK344" s="42" t="str">
        <f t="shared" si="151"/>
        <v/>
      </c>
      <c r="AL344" s="14" t="str">
        <f t="shared" si="152"/>
        <v/>
      </c>
      <c r="AM344" s="14" t="str">
        <f t="shared" si="153"/>
        <v/>
      </c>
      <c r="AN344" s="14" t="str">
        <f t="shared" si="154"/>
        <v/>
      </c>
      <c r="AO344" s="14" t="str">
        <f>IF(OR($C344="01-09",$D344="Male"),"",INDEX(PMTCT!$AD:$AD,MATCH($E344,PMTCT!$E:$E,0)))</f>
        <v/>
      </c>
      <c r="AP344" s="14" t="str">
        <f>IF(OR($C344="01-09",$D344="Male"),"",INDEX(PMTCT!$AT:$AT,MATCH($E344,PMTCT!$E:$E,0)))</f>
        <v/>
      </c>
      <c r="AQ344" s="14" t="str">
        <f>INDEX(TB!$Q:$Q,MATCH($E344,TB!$E:$E,0))</f>
        <v/>
      </c>
      <c r="AR344" s="14" t="str">
        <f>IF(OR($C344="01-09",$C344="10-14",$D344="Female"),"",INDEX(VMMC!$AB:$AB,MATCH($E344,VMMC!$E:$E,0)))</f>
        <v/>
      </c>
      <c r="AS344" s="14" t="str">
        <f>IF(OR($C344="01-09",$C344="10-14"),"",INDEX(PrEP!$Q:$Q,MATCH($E344,PrEP!$E:$E,0)))</f>
        <v/>
      </c>
      <c r="AT344" s="14" t="str">
        <f t="shared" si="155"/>
        <v/>
      </c>
      <c r="AU344" s="14" t="str">
        <f t="shared" si="156"/>
        <v/>
      </c>
      <c r="AV344" s="90" t="str">
        <f t="shared" si="157"/>
        <v/>
      </c>
      <c r="AW344" s="14"/>
      <c r="AX344" s="90" t="str">
        <f t="shared" si="158"/>
        <v/>
      </c>
      <c r="AY344" s="42" t="str">
        <f t="shared" si="159"/>
        <v/>
      </c>
      <c r="AZ344" s="90">
        <f t="shared" si="160"/>
        <v>1</v>
      </c>
      <c r="BA344" s="42" t="str">
        <f t="shared" si="161"/>
        <v/>
      </c>
    </row>
    <row r="345" spans="1:53" x14ac:dyDescent="0.2">
      <c r="A345" t="str">
        <f>INDEX(Prioritization!$D:$D,MATCH($B345,Prioritization!$A:$A,0))</f>
        <v>1 - Scale-up: Saturation</v>
      </c>
      <c r="B345" t="s">
        <v>220</v>
      </c>
      <c r="C345" t="s">
        <v>365</v>
      </c>
      <c r="D345" t="s">
        <v>29</v>
      </c>
      <c r="E345" t="str">
        <f t="shared" si="135"/>
        <v>Thyolo District [ul0y9diGujK]|25-34|Female</v>
      </c>
      <c r="F345" s="90">
        <f>IF(LEFT($B345,4)="_Mil","",INDEX(Cascade!$AA:$AA,MATCH($E345,Cascade!$E:$E,0)))</f>
        <v>1158</v>
      </c>
      <c r="G345" s="14">
        <f>INDEX(Cascade!$BH:$BH,MATCH($E345,Cascade!$E:$E,0))</f>
        <v>0</v>
      </c>
      <c r="H345" s="14" t="str">
        <f>IF(OR($C345="01-09",$D345="Male"),"",INDEX(PMTCT!$AC:$AC,MATCH($E345,PMTCT!$E:$E,0)))</f>
        <v/>
      </c>
      <c r="I345" s="14" t="str">
        <f>IF(OR($C345="01-09",$D345="Male"),"",INDEX(PMTCT!$AS:$AS,MATCH($E345,PMTCT!$E:$E,0)))</f>
        <v/>
      </c>
      <c r="J345" s="14" t="str">
        <f>INDEX(TB!$P:$P,MATCH($E345,TB!$E:$E,0))</f>
        <v/>
      </c>
      <c r="K345" s="14" t="str">
        <f>IF(OR($C345="01-09",$C345="10-14",$D345="Female"),"",INDEX(VMMC!$AA:$AA,MATCH($E345,VMMC!$E:$E,0)))</f>
        <v/>
      </c>
      <c r="L345" s="14">
        <f t="shared" si="136"/>
        <v>0</v>
      </c>
      <c r="M345" s="90" t="str">
        <f t="shared" si="137"/>
        <v/>
      </c>
      <c r="N345" s="90" t="str">
        <f t="shared" si="138"/>
        <v/>
      </c>
      <c r="O345" s="90" t="str">
        <f t="shared" si="139"/>
        <v/>
      </c>
      <c r="P345" s="90" t="str">
        <f t="shared" si="140"/>
        <v/>
      </c>
      <c r="Q345" s="90"/>
      <c r="R345" s="90"/>
      <c r="S345" s="90"/>
      <c r="T345" s="90"/>
      <c r="U345" s="90"/>
      <c r="V345" s="90" t="str">
        <f t="shared" si="141"/>
        <v/>
      </c>
      <c r="W345" s="90"/>
      <c r="X345" s="42" t="str">
        <f t="shared" si="142"/>
        <v/>
      </c>
      <c r="Y345" s="42" t="str">
        <f t="shared" si="143"/>
        <v/>
      </c>
      <c r="Z345" s="90"/>
      <c r="AA345" s="42" t="str">
        <f t="shared" si="144"/>
        <v/>
      </c>
      <c r="AB345" s="42" t="str">
        <f t="shared" si="145"/>
        <v/>
      </c>
      <c r="AC345" s="90"/>
      <c r="AD345" s="42" t="str">
        <f t="shared" si="146"/>
        <v/>
      </c>
      <c r="AE345" s="42" t="str">
        <f t="shared" si="147"/>
        <v/>
      </c>
      <c r="AF345" s="90"/>
      <c r="AG345" s="42" t="str">
        <f t="shared" si="148"/>
        <v/>
      </c>
      <c r="AH345" s="42" t="str">
        <f t="shared" si="149"/>
        <v/>
      </c>
      <c r="AI345" s="90"/>
      <c r="AJ345" s="42" t="str">
        <f t="shared" si="150"/>
        <v/>
      </c>
      <c r="AK345" s="42" t="str">
        <f t="shared" si="151"/>
        <v/>
      </c>
      <c r="AL345" s="14" t="str">
        <f t="shared" si="152"/>
        <v/>
      </c>
      <c r="AM345" s="14" t="str">
        <f t="shared" si="153"/>
        <v/>
      </c>
      <c r="AN345" s="14" t="str">
        <f t="shared" si="154"/>
        <v/>
      </c>
      <c r="AO345" s="14" t="str">
        <f>IF(OR($C345="01-09",$D345="Male"),"",INDEX(PMTCT!$AD:$AD,MATCH($E345,PMTCT!$E:$E,0)))</f>
        <v/>
      </c>
      <c r="AP345" s="14" t="str">
        <f>IF(OR($C345="01-09",$D345="Male"),"",INDEX(PMTCT!$AT:$AT,MATCH($E345,PMTCT!$E:$E,0)))</f>
        <v/>
      </c>
      <c r="AQ345" s="14" t="str">
        <f>INDEX(TB!$Q:$Q,MATCH($E345,TB!$E:$E,0))</f>
        <v/>
      </c>
      <c r="AR345" s="14" t="str">
        <f>IF(OR($C345="01-09",$C345="10-14",$D345="Female"),"",INDEX(VMMC!$AB:$AB,MATCH($E345,VMMC!$E:$E,0)))</f>
        <v/>
      </c>
      <c r="AS345" s="14" t="str">
        <f>IF(OR($C345="01-09",$C345="10-14"),"",INDEX(PrEP!$Q:$Q,MATCH($E345,PrEP!$E:$E,0)))</f>
        <v/>
      </c>
      <c r="AT345" s="14" t="str">
        <f t="shared" si="155"/>
        <v/>
      </c>
      <c r="AU345" s="14" t="str">
        <f t="shared" si="156"/>
        <v/>
      </c>
      <c r="AV345" s="90" t="str">
        <f t="shared" si="157"/>
        <v/>
      </c>
      <c r="AW345" s="14"/>
      <c r="AX345" s="90" t="str">
        <f t="shared" si="158"/>
        <v/>
      </c>
      <c r="AY345" s="42" t="str">
        <f t="shared" si="159"/>
        <v/>
      </c>
      <c r="AZ345" s="90">
        <f t="shared" si="160"/>
        <v>1</v>
      </c>
      <c r="BA345" s="42" t="str">
        <f t="shared" si="161"/>
        <v/>
      </c>
    </row>
    <row r="346" spans="1:53" x14ac:dyDescent="0.2">
      <c r="A346" t="str">
        <f>INDEX(Prioritization!$D:$D,MATCH($B346,Prioritization!$A:$A,0))</f>
        <v>1 - Scale-up: Saturation</v>
      </c>
      <c r="B346" t="s">
        <v>220</v>
      </c>
      <c r="C346" t="s">
        <v>365</v>
      </c>
      <c r="D346" t="s">
        <v>47</v>
      </c>
      <c r="E346" t="str">
        <f t="shared" si="135"/>
        <v>Thyolo District [ul0y9diGujK]|25-34|Male</v>
      </c>
      <c r="F346" s="90">
        <f>IF(LEFT($B346,4)="_Mil","",INDEX(Cascade!$AA:$AA,MATCH($E346,Cascade!$E:$E,0)))</f>
        <v>1667.0000000000002</v>
      </c>
      <c r="G346" s="14">
        <f>INDEX(Cascade!$BH:$BH,MATCH($E346,Cascade!$E:$E,0))</f>
        <v>0</v>
      </c>
      <c r="H346" s="14" t="str">
        <f>IF(OR($C346="01-09",$D346="Male"),"",INDEX(PMTCT!$AC:$AC,MATCH($E346,PMTCT!$E:$E,0)))</f>
        <v/>
      </c>
      <c r="I346" s="14" t="str">
        <f>IF(OR($C346="01-09",$D346="Male"),"",INDEX(PMTCT!$AS:$AS,MATCH($E346,PMTCT!$E:$E,0)))</f>
        <v/>
      </c>
      <c r="J346" s="14" t="str">
        <f>INDEX(TB!$P:$P,MATCH($E346,TB!$E:$E,0))</f>
        <v/>
      </c>
      <c r="K346" s="14" t="str">
        <f>IF(OR($C346="01-09",$C346="10-14",$D346="Female"),"",INDEX(VMMC!$AA:$AA,MATCH($E346,VMMC!$E:$E,0)))</f>
        <v/>
      </c>
      <c r="L346" s="14">
        <f t="shared" si="136"/>
        <v>0</v>
      </c>
      <c r="M346" s="90" t="str">
        <f t="shared" si="137"/>
        <v/>
      </c>
      <c r="N346" s="90" t="str">
        <f t="shared" si="138"/>
        <v/>
      </c>
      <c r="O346" s="90" t="str">
        <f t="shared" si="139"/>
        <v/>
      </c>
      <c r="P346" s="90" t="str">
        <f t="shared" si="140"/>
        <v/>
      </c>
      <c r="Q346" s="90"/>
      <c r="R346" s="90"/>
      <c r="S346" s="90"/>
      <c r="T346" s="90"/>
      <c r="U346" s="90"/>
      <c r="V346" s="90" t="str">
        <f t="shared" si="141"/>
        <v/>
      </c>
      <c r="W346" s="90"/>
      <c r="X346" s="42" t="str">
        <f t="shared" si="142"/>
        <v/>
      </c>
      <c r="Y346" s="42" t="str">
        <f t="shared" si="143"/>
        <v/>
      </c>
      <c r="Z346" s="90"/>
      <c r="AA346" s="42" t="str">
        <f t="shared" si="144"/>
        <v/>
      </c>
      <c r="AB346" s="42" t="str">
        <f t="shared" si="145"/>
        <v/>
      </c>
      <c r="AC346" s="90"/>
      <c r="AD346" s="42" t="str">
        <f t="shared" si="146"/>
        <v/>
      </c>
      <c r="AE346" s="42" t="str">
        <f t="shared" si="147"/>
        <v/>
      </c>
      <c r="AF346" s="90"/>
      <c r="AG346" s="42" t="str">
        <f t="shared" si="148"/>
        <v/>
      </c>
      <c r="AH346" s="42" t="str">
        <f t="shared" si="149"/>
        <v/>
      </c>
      <c r="AI346" s="90"/>
      <c r="AJ346" s="42" t="str">
        <f t="shared" si="150"/>
        <v/>
      </c>
      <c r="AK346" s="42" t="str">
        <f t="shared" si="151"/>
        <v/>
      </c>
      <c r="AL346" s="14" t="str">
        <f t="shared" si="152"/>
        <v/>
      </c>
      <c r="AM346" s="14" t="str">
        <f t="shared" si="153"/>
        <v/>
      </c>
      <c r="AN346" s="14" t="str">
        <f t="shared" si="154"/>
        <v/>
      </c>
      <c r="AO346" s="14" t="str">
        <f>IF(OR($C346="01-09",$D346="Male"),"",INDEX(PMTCT!$AD:$AD,MATCH($E346,PMTCT!$E:$E,0)))</f>
        <v/>
      </c>
      <c r="AP346" s="14" t="str">
        <f>IF(OR($C346="01-09",$D346="Male"),"",INDEX(PMTCT!$AT:$AT,MATCH($E346,PMTCT!$E:$E,0)))</f>
        <v/>
      </c>
      <c r="AQ346" s="14" t="str">
        <f>INDEX(TB!$Q:$Q,MATCH($E346,TB!$E:$E,0))</f>
        <v/>
      </c>
      <c r="AR346" s="14" t="str">
        <f>IF(OR($C346="01-09",$C346="10-14",$D346="Female"),"",INDEX(VMMC!$AB:$AB,MATCH($E346,VMMC!$E:$E,0)))</f>
        <v/>
      </c>
      <c r="AS346" s="14" t="str">
        <f>IF(OR($C346="01-09",$C346="10-14"),"",INDEX(PrEP!$Q:$Q,MATCH($E346,PrEP!$E:$E,0)))</f>
        <v/>
      </c>
      <c r="AT346" s="14" t="str">
        <f t="shared" si="155"/>
        <v/>
      </c>
      <c r="AU346" s="14" t="str">
        <f t="shared" si="156"/>
        <v/>
      </c>
      <c r="AV346" s="90" t="str">
        <f t="shared" si="157"/>
        <v/>
      </c>
      <c r="AW346" s="14"/>
      <c r="AX346" s="90" t="str">
        <f t="shared" si="158"/>
        <v/>
      </c>
      <c r="AY346" s="42" t="str">
        <f t="shared" si="159"/>
        <v/>
      </c>
      <c r="AZ346" s="90">
        <f t="shared" si="160"/>
        <v>1</v>
      </c>
      <c r="BA346" s="42" t="str">
        <f t="shared" si="161"/>
        <v/>
      </c>
    </row>
    <row r="347" spans="1:53" x14ac:dyDescent="0.2">
      <c r="A347" t="str">
        <f>INDEX(Prioritization!$D:$D,MATCH($B347,Prioritization!$A:$A,0))</f>
        <v>1 - Scale-up: Saturation</v>
      </c>
      <c r="B347" t="s">
        <v>220</v>
      </c>
      <c r="C347" t="s">
        <v>366</v>
      </c>
      <c r="D347" t="s">
        <v>29</v>
      </c>
      <c r="E347" t="str">
        <f t="shared" si="135"/>
        <v>Thyolo District [ul0y9diGujK]|35-49|Female</v>
      </c>
      <c r="F347" s="90">
        <f>IF(LEFT($B347,4)="_Mil","",INDEX(Cascade!$AA:$AA,MATCH($E347,Cascade!$E:$E,0)))</f>
        <v>508</v>
      </c>
      <c r="G347" s="14">
        <f>INDEX(Cascade!$BH:$BH,MATCH($E347,Cascade!$E:$E,0))</f>
        <v>0</v>
      </c>
      <c r="H347" s="14" t="str">
        <f>IF(OR($C347="01-09",$D347="Male"),"",INDEX(PMTCT!$AC:$AC,MATCH($E347,PMTCT!$E:$E,0)))</f>
        <v/>
      </c>
      <c r="I347" s="14" t="str">
        <f>IF(OR($C347="01-09",$D347="Male"),"",INDEX(PMTCT!$AS:$AS,MATCH($E347,PMTCT!$E:$E,0)))</f>
        <v/>
      </c>
      <c r="J347" s="14" t="str">
        <f>INDEX(TB!$P:$P,MATCH($E347,TB!$E:$E,0))</f>
        <v/>
      </c>
      <c r="K347" s="14" t="str">
        <f>IF(OR($C347="01-09",$C347="10-14",$D347="Female"),"",INDEX(VMMC!$AA:$AA,MATCH($E347,VMMC!$E:$E,0)))</f>
        <v/>
      </c>
      <c r="L347" s="14">
        <f t="shared" si="136"/>
        <v>0</v>
      </c>
      <c r="M347" s="90" t="str">
        <f t="shared" si="137"/>
        <v/>
      </c>
      <c r="N347" s="90" t="str">
        <f t="shared" si="138"/>
        <v/>
      </c>
      <c r="O347" s="90" t="str">
        <f t="shared" si="139"/>
        <v/>
      </c>
      <c r="P347" s="90" t="str">
        <f t="shared" si="140"/>
        <v/>
      </c>
      <c r="Q347" s="90"/>
      <c r="R347" s="90"/>
      <c r="S347" s="90"/>
      <c r="T347" s="90"/>
      <c r="U347" s="90"/>
      <c r="V347" s="90" t="str">
        <f t="shared" si="141"/>
        <v/>
      </c>
      <c r="W347" s="90"/>
      <c r="X347" s="42" t="str">
        <f t="shared" si="142"/>
        <v/>
      </c>
      <c r="Y347" s="42" t="str">
        <f t="shared" si="143"/>
        <v/>
      </c>
      <c r="Z347" s="90"/>
      <c r="AA347" s="42" t="str">
        <f t="shared" si="144"/>
        <v/>
      </c>
      <c r="AB347" s="42" t="str">
        <f t="shared" si="145"/>
        <v/>
      </c>
      <c r="AC347" s="90"/>
      <c r="AD347" s="42" t="str">
        <f t="shared" si="146"/>
        <v/>
      </c>
      <c r="AE347" s="42" t="str">
        <f t="shared" si="147"/>
        <v/>
      </c>
      <c r="AF347" s="90"/>
      <c r="AG347" s="42" t="str">
        <f t="shared" si="148"/>
        <v/>
      </c>
      <c r="AH347" s="42" t="str">
        <f t="shared" si="149"/>
        <v/>
      </c>
      <c r="AI347" s="90"/>
      <c r="AJ347" s="42" t="str">
        <f t="shared" si="150"/>
        <v/>
      </c>
      <c r="AK347" s="42" t="str">
        <f t="shared" si="151"/>
        <v/>
      </c>
      <c r="AL347" s="14" t="str">
        <f t="shared" si="152"/>
        <v/>
      </c>
      <c r="AM347" s="14" t="str">
        <f t="shared" si="153"/>
        <v/>
      </c>
      <c r="AN347" s="14" t="str">
        <f t="shared" si="154"/>
        <v/>
      </c>
      <c r="AO347" s="14" t="str">
        <f>IF(OR($C347="01-09",$D347="Male"),"",INDEX(PMTCT!$AD:$AD,MATCH($E347,PMTCT!$E:$E,0)))</f>
        <v/>
      </c>
      <c r="AP347" s="14" t="str">
        <f>IF(OR($C347="01-09",$D347="Male"),"",INDEX(PMTCT!$AT:$AT,MATCH($E347,PMTCT!$E:$E,0)))</f>
        <v/>
      </c>
      <c r="AQ347" s="14" t="str">
        <f>INDEX(TB!$Q:$Q,MATCH($E347,TB!$E:$E,0))</f>
        <v/>
      </c>
      <c r="AR347" s="14" t="str">
        <f>IF(OR($C347="01-09",$C347="10-14",$D347="Female"),"",INDEX(VMMC!$AB:$AB,MATCH($E347,VMMC!$E:$E,0)))</f>
        <v/>
      </c>
      <c r="AS347" s="14" t="str">
        <f>IF(OR($C347="01-09",$C347="10-14"),"",INDEX(PrEP!$Q:$Q,MATCH($E347,PrEP!$E:$E,0)))</f>
        <v/>
      </c>
      <c r="AT347" s="14" t="str">
        <f t="shared" si="155"/>
        <v/>
      </c>
      <c r="AU347" s="14" t="str">
        <f t="shared" si="156"/>
        <v/>
      </c>
      <c r="AV347" s="90" t="str">
        <f t="shared" si="157"/>
        <v/>
      </c>
      <c r="AW347" s="14"/>
      <c r="AX347" s="90" t="str">
        <f t="shared" si="158"/>
        <v/>
      </c>
      <c r="AY347" s="42" t="str">
        <f t="shared" si="159"/>
        <v/>
      </c>
      <c r="AZ347" s="90">
        <f t="shared" si="160"/>
        <v>1</v>
      </c>
      <c r="BA347" s="42" t="str">
        <f t="shared" si="161"/>
        <v/>
      </c>
    </row>
    <row r="348" spans="1:53" x14ac:dyDescent="0.2">
      <c r="A348" t="str">
        <f>INDEX(Prioritization!$D:$D,MATCH($B348,Prioritization!$A:$A,0))</f>
        <v>1 - Scale-up: Saturation</v>
      </c>
      <c r="B348" t="s">
        <v>220</v>
      </c>
      <c r="C348" t="s">
        <v>366</v>
      </c>
      <c r="D348" t="s">
        <v>47</v>
      </c>
      <c r="E348" t="str">
        <f t="shared" si="135"/>
        <v>Thyolo District [ul0y9diGujK]|35-49|Male</v>
      </c>
      <c r="F348" s="90">
        <f>IF(LEFT($B348,4)="_Mil","",INDEX(Cascade!$AA:$AA,MATCH($E348,Cascade!$E:$E,0)))</f>
        <v>835</v>
      </c>
      <c r="G348" s="14">
        <f>INDEX(Cascade!$BH:$BH,MATCH($E348,Cascade!$E:$E,0))</f>
        <v>0</v>
      </c>
      <c r="H348" s="14" t="str">
        <f>IF(OR($C348="01-09",$D348="Male"),"",INDEX(PMTCT!$AC:$AC,MATCH($E348,PMTCT!$E:$E,0)))</f>
        <v/>
      </c>
      <c r="I348" s="14" t="str">
        <f>IF(OR($C348="01-09",$D348="Male"),"",INDEX(PMTCT!$AS:$AS,MATCH($E348,PMTCT!$E:$E,0)))</f>
        <v/>
      </c>
      <c r="J348" s="14" t="str">
        <f>INDEX(TB!$P:$P,MATCH($E348,TB!$E:$E,0))</f>
        <v/>
      </c>
      <c r="K348" s="14" t="str">
        <f>IF(OR($C348="01-09",$C348="10-14",$D348="Female"),"",INDEX(VMMC!$AA:$AA,MATCH($E348,VMMC!$E:$E,0)))</f>
        <v/>
      </c>
      <c r="L348" s="14">
        <f t="shared" si="136"/>
        <v>0</v>
      </c>
      <c r="M348" s="90" t="str">
        <f t="shared" si="137"/>
        <v/>
      </c>
      <c r="N348" s="90" t="str">
        <f t="shared" si="138"/>
        <v/>
      </c>
      <c r="O348" s="90" t="str">
        <f t="shared" si="139"/>
        <v/>
      </c>
      <c r="P348" s="90" t="str">
        <f t="shared" si="140"/>
        <v/>
      </c>
      <c r="Q348" s="90"/>
      <c r="R348" s="90"/>
      <c r="S348" s="90"/>
      <c r="T348" s="90"/>
      <c r="U348" s="90"/>
      <c r="V348" s="90" t="str">
        <f t="shared" si="141"/>
        <v/>
      </c>
      <c r="W348" s="90"/>
      <c r="X348" s="42" t="str">
        <f t="shared" si="142"/>
        <v/>
      </c>
      <c r="Y348" s="42" t="str">
        <f t="shared" si="143"/>
        <v/>
      </c>
      <c r="Z348" s="90"/>
      <c r="AA348" s="42" t="str">
        <f t="shared" si="144"/>
        <v/>
      </c>
      <c r="AB348" s="42" t="str">
        <f t="shared" si="145"/>
        <v/>
      </c>
      <c r="AC348" s="90"/>
      <c r="AD348" s="42" t="str">
        <f t="shared" si="146"/>
        <v/>
      </c>
      <c r="AE348" s="42" t="str">
        <f t="shared" si="147"/>
        <v/>
      </c>
      <c r="AF348" s="90"/>
      <c r="AG348" s="42" t="str">
        <f t="shared" si="148"/>
        <v/>
      </c>
      <c r="AH348" s="42" t="str">
        <f t="shared" si="149"/>
        <v/>
      </c>
      <c r="AI348" s="90"/>
      <c r="AJ348" s="42" t="str">
        <f t="shared" si="150"/>
        <v/>
      </c>
      <c r="AK348" s="42" t="str">
        <f t="shared" si="151"/>
        <v/>
      </c>
      <c r="AL348" s="14" t="str">
        <f t="shared" si="152"/>
        <v/>
      </c>
      <c r="AM348" s="14" t="str">
        <f t="shared" si="153"/>
        <v/>
      </c>
      <c r="AN348" s="14" t="str">
        <f t="shared" si="154"/>
        <v/>
      </c>
      <c r="AO348" s="14" t="str">
        <f>IF(OR($C348="01-09",$D348="Male"),"",INDEX(PMTCT!$AD:$AD,MATCH($E348,PMTCT!$E:$E,0)))</f>
        <v/>
      </c>
      <c r="AP348" s="14" t="str">
        <f>IF(OR($C348="01-09",$D348="Male"),"",INDEX(PMTCT!$AT:$AT,MATCH($E348,PMTCT!$E:$E,0)))</f>
        <v/>
      </c>
      <c r="AQ348" s="14" t="str">
        <f>INDEX(TB!$Q:$Q,MATCH($E348,TB!$E:$E,0))</f>
        <v/>
      </c>
      <c r="AR348" s="14" t="str">
        <f>IF(OR($C348="01-09",$C348="10-14",$D348="Female"),"",INDEX(VMMC!$AB:$AB,MATCH($E348,VMMC!$E:$E,0)))</f>
        <v/>
      </c>
      <c r="AS348" s="14" t="str">
        <f>IF(OR($C348="01-09",$C348="10-14"),"",INDEX(PrEP!$Q:$Q,MATCH($E348,PrEP!$E:$E,0)))</f>
        <v/>
      </c>
      <c r="AT348" s="14" t="str">
        <f t="shared" si="155"/>
        <v/>
      </c>
      <c r="AU348" s="14" t="str">
        <f t="shared" si="156"/>
        <v/>
      </c>
      <c r="AV348" s="90" t="str">
        <f t="shared" si="157"/>
        <v/>
      </c>
      <c r="AW348" s="14"/>
      <c r="AX348" s="90" t="str">
        <f t="shared" si="158"/>
        <v/>
      </c>
      <c r="AY348" s="42" t="str">
        <f t="shared" si="159"/>
        <v/>
      </c>
      <c r="AZ348" s="90">
        <f t="shared" si="160"/>
        <v>1</v>
      </c>
      <c r="BA348" s="42" t="str">
        <f t="shared" si="161"/>
        <v/>
      </c>
    </row>
    <row r="349" spans="1:53" x14ac:dyDescent="0.2">
      <c r="A349" t="str">
        <f>INDEX(Prioritization!$D:$D,MATCH($B349,Prioritization!$A:$A,0))</f>
        <v>1 - Scale-up: Saturation</v>
      </c>
      <c r="B349" t="s">
        <v>220</v>
      </c>
      <c r="C349" t="s">
        <v>367</v>
      </c>
      <c r="D349" t="s">
        <v>29</v>
      </c>
      <c r="E349" t="str">
        <f t="shared" si="135"/>
        <v>Thyolo District [ul0y9diGujK]|50+|Female</v>
      </c>
      <c r="F349" s="90">
        <f>IF(LEFT($B349,4)="_Mil","",INDEX(Cascade!$AA:$AA,MATCH($E349,Cascade!$E:$E,0)))</f>
        <v>574</v>
      </c>
      <c r="G349" s="14">
        <f>INDEX(Cascade!$BH:$BH,MATCH($E349,Cascade!$E:$E,0))</f>
        <v>0</v>
      </c>
      <c r="H349" s="14" t="str">
        <f>IF(OR($C349="01-09",$D349="Male"),"",INDEX(PMTCT!$AC:$AC,MATCH($E349,PMTCT!$E:$E,0)))</f>
        <v/>
      </c>
      <c r="I349" s="14" t="str">
        <f>IF(OR($C349="01-09",$D349="Male"),"",INDEX(PMTCT!$AS:$AS,MATCH($E349,PMTCT!$E:$E,0)))</f>
        <v/>
      </c>
      <c r="J349" s="14" t="str">
        <f>INDEX(TB!$P:$P,MATCH($E349,TB!$E:$E,0))</f>
        <v/>
      </c>
      <c r="K349" s="14" t="str">
        <f>IF(OR($C349="01-09",$C349="10-14",$D349="Female"),"",INDEX(VMMC!$AA:$AA,MATCH($E349,VMMC!$E:$E,0)))</f>
        <v/>
      </c>
      <c r="L349" s="14">
        <f t="shared" si="136"/>
        <v>0</v>
      </c>
      <c r="M349" s="90" t="str">
        <f t="shared" si="137"/>
        <v/>
      </c>
      <c r="N349" s="90" t="str">
        <f t="shared" si="138"/>
        <v/>
      </c>
      <c r="O349" s="90" t="str">
        <f t="shared" si="139"/>
        <v/>
      </c>
      <c r="P349" s="90" t="str">
        <f t="shared" si="140"/>
        <v/>
      </c>
      <c r="Q349" s="90"/>
      <c r="R349" s="90"/>
      <c r="S349" s="90"/>
      <c r="T349" s="90"/>
      <c r="U349" s="90">
        <v>0.20046184072271001</v>
      </c>
      <c r="V349" s="90" t="str">
        <f t="shared" si="141"/>
        <v/>
      </c>
      <c r="W349" s="90"/>
      <c r="X349" s="42" t="str">
        <f t="shared" si="142"/>
        <v/>
      </c>
      <c r="Y349" s="42" t="str">
        <f t="shared" si="143"/>
        <v/>
      </c>
      <c r="Z349" s="90"/>
      <c r="AA349" s="42" t="str">
        <f t="shared" si="144"/>
        <v/>
      </c>
      <c r="AB349" s="42" t="str">
        <f t="shared" si="145"/>
        <v/>
      </c>
      <c r="AC349" s="90"/>
      <c r="AD349" s="42" t="str">
        <f t="shared" si="146"/>
        <v/>
      </c>
      <c r="AE349" s="42" t="str">
        <f t="shared" si="147"/>
        <v/>
      </c>
      <c r="AF349" s="90"/>
      <c r="AG349" s="42" t="str">
        <f t="shared" si="148"/>
        <v/>
      </c>
      <c r="AH349" s="42" t="str">
        <f t="shared" si="149"/>
        <v/>
      </c>
      <c r="AI349" s="90">
        <v>8.4775301162153496E-2</v>
      </c>
      <c r="AJ349" s="42" t="str">
        <f t="shared" si="150"/>
        <v/>
      </c>
      <c r="AK349" s="42" t="str">
        <f t="shared" si="151"/>
        <v/>
      </c>
      <c r="AL349" s="14" t="str">
        <f t="shared" si="152"/>
        <v/>
      </c>
      <c r="AM349" s="14" t="str">
        <f t="shared" si="153"/>
        <v/>
      </c>
      <c r="AN349" s="14" t="str">
        <f t="shared" si="154"/>
        <v/>
      </c>
      <c r="AO349" s="14" t="str">
        <f>IF(OR($C349="01-09",$D349="Male"),"",INDEX(PMTCT!$AD:$AD,MATCH($E349,PMTCT!$E:$E,0)))</f>
        <v/>
      </c>
      <c r="AP349" s="14" t="str">
        <f>IF(OR($C349="01-09",$D349="Male"),"",INDEX(PMTCT!$AT:$AT,MATCH($E349,PMTCT!$E:$E,0)))</f>
        <v/>
      </c>
      <c r="AQ349" s="14" t="str">
        <f>INDEX(TB!$Q:$Q,MATCH($E349,TB!$E:$E,0))</f>
        <v/>
      </c>
      <c r="AR349" s="14" t="str">
        <f>IF(OR($C349="01-09",$C349="10-14",$D349="Female"),"",INDEX(VMMC!$AB:$AB,MATCH($E349,VMMC!$E:$E,0)))</f>
        <v/>
      </c>
      <c r="AS349" s="14" t="str">
        <f>IF(OR($C349="01-09",$C349="10-14"),"",INDEX(PrEP!$Q:$Q,MATCH($E349,PrEP!$E:$E,0)))</f>
        <v/>
      </c>
      <c r="AT349" s="14" t="str">
        <f t="shared" si="155"/>
        <v/>
      </c>
      <c r="AU349" s="14" t="str">
        <f t="shared" si="156"/>
        <v/>
      </c>
      <c r="AV349" s="90" t="str">
        <f t="shared" si="157"/>
        <v/>
      </c>
      <c r="AW349" s="14">
        <v>64</v>
      </c>
      <c r="AX349" s="90">
        <f t="shared" si="158"/>
        <v>0</v>
      </c>
      <c r="AY349" s="42">
        <f t="shared" si="159"/>
        <v>64</v>
      </c>
      <c r="AZ349" s="90">
        <f t="shared" si="160"/>
        <v>1</v>
      </c>
      <c r="BA349" s="42" t="str">
        <f t="shared" si="161"/>
        <v/>
      </c>
    </row>
    <row r="350" spans="1:53" x14ac:dyDescent="0.2">
      <c r="A350" t="str">
        <f>INDEX(Prioritization!$D:$D,MATCH($B350,Prioritization!$A:$A,0))</f>
        <v>1 - Scale-up: Saturation</v>
      </c>
      <c r="B350" t="s">
        <v>220</v>
      </c>
      <c r="C350" t="s">
        <v>367</v>
      </c>
      <c r="D350" t="s">
        <v>47</v>
      </c>
      <c r="E350" t="str">
        <f t="shared" si="135"/>
        <v>Thyolo District [ul0y9diGujK]|50+|Male</v>
      </c>
      <c r="F350" s="90">
        <f>IF(LEFT($B350,4)="_Mil","",INDEX(Cascade!$AA:$AA,MATCH($E350,Cascade!$E:$E,0)))</f>
        <v>1826</v>
      </c>
      <c r="G350" s="14">
        <f>INDEX(Cascade!$BH:$BH,MATCH($E350,Cascade!$E:$E,0))</f>
        <v>0</v>
      </c>
      <c r="H350" s="14" t="str">
        <f>IF(OR($C350="01-09",$D350="Male"),"",INDEX(PMTCT!$AC:$AC,MATCH($E350,PMTCT!$E:$E,0)))</f>
        <v/>
      </c>
      <c r="I350" s="14" t="str">
        <f>IF(OR($C350="01-09",$D350="Male"),"",INDEX(PMTCT!$AS:$AS,MATCH($E350,PMTCT!$E:$E,0)))</f>
        <v/>
      </c>
      <c r="J350" s="14" t="str">
        <f>INDEX(TB!$P:$P,MATCH($E350,TB!$E:$E,0))</f>
        <v/>
      </c>
      <c r="K350" s="14" t="str">
        <f>IF(OR($C350="01-09",$C350="10-14",$D350="Female"),"",INDEX(VMMC!$AA:$AA,MATCH($E350,VMMC!$E:$E,0)))</f>
        <v/>
      </c>
      <c r="L350" s="14">
        <f t="shared" si="136"/>
        <v>0</v>
      </c>
      <c r="M350" s="90" t="str">
        <f t="shared" si="137"/>
        <v/>
      </c>
      <c r="N350" s="90" t="str">
        <f t="shared" si="138"/>
        <v/>
      </c>
      <c r="O350" s="90" t="str">
        <f t="shared" si="139"/>
        <v/>
      </c>
      <c r="P350" s="90" t="str">
        <f t="shared" si="140"/>
        <v/>
      </c>
      <c r="Q350" s="90"/>
      <c r="R350" s="90"/>
      <c r="S350" s="90"/>
      <c r="T350" s="90"/>
      <c r="U350" s="90">
        <v>0.56061424221843503</v>
      </c>
      <c r="V350" s="90" t="str">
        <f t="shared" si="141"/>
        <v/>
      </c>
      <c r="W350" s="90"/>
      <c r="X350" s="42" t="str">
        <f t="shared" si="142"/>
        <v/>
      </c>
      <c r="Y350" s="42" t="str">
        <f t="shared" si="143"/>
        <v/>
      </c>
      <c r="Z350" s="90"/>
      <c r="AA350" s="42" t="str">
        <f t="shared" si="144"/>
        <v/>
      </c>
      <c r="AB350" s="42" t="str">
        <f t="shared" si="145"/>
        <v/>
      </c>
      <c r="AC350" s="90"/>
      <c r="AD350" s="42" t="str">
        <f t="shared" si="146"/>
        <v/>
      </c>
      <c r="AE350" s="42" t="str">
        <f t="shared" si="147"/>
        <v/>
      </c>
      <c r="AF350" s="90"/>
      <c r="AG350" s="42" t="str">
        <f t="shared" si="148"/>
        <v/>
      </c>
      <c r="AH350" s="42" t="str">
        <f t="shared" si="149"/>
        <v/>
      </c>
      <c r="AI350" s="90">
        <v>0.56424081674777005</v>
      </c>
      <c r="AJ350" s="42" t="str">
        <f t="shared" si="150"/>
        <v/>
      </c>
      <c r="AK350" s="42" t="str">
        <f t="shared" si="151"/>
        <v/>
      </c>
      <c r="AL350" s="14" t="str">
        <f t="shared" si="152"/>
        <v/>
      </c>
      <c r="AM350" s="14" t="str">
        <f t="shared" si="153"/>
        <v/>
      </c>
      <c r="AN350" s="14" t="str">
        <f t="shared" si="154"/>
        <v/>
      </c>
      <c r="AO350" s="14" t="str">
        <f>IF(OR($C350="01-09",$D350="Male"),"",INDEX(PMTCT!$AD:$AD,MATCH($E350,PMTCT!$E:$E,0)))</f>
        <v/>
      </c>
      <c r="AP350" s="14" t="str">
        <f>IF(OR($C350="01-09",$D350="Male"),"",INDEX(PMTCT!$AT:$AT,MATCH($E350,PMTCT!$E:$E,0)))</f>
        <v/>
      </c>
      <c r="AQ350" s="14" t="str">
        <f>INDEX(TB!$Q:$Q,MATCH($E350,TB!$E:$E,0))</f>
        <v/>
      </c>
      <c r="AR350" s="14" t="str">
        <f>IF(OR($C350="01-09",$C350="10-14",$D350="Female"),"",INDEX(VMMC!$AB:$AB,MATCH($E350,VMMC!$E:$E,0)))</f>
        <v/>
      </c>
      <c r="AS350" s="14" t="str">
        <f>IF(OR($C350="01-09",$C350="10-14"),"",INDEX(PrEP!$Q:$Q,MATCH($E350,PrEP!$E:$E,0)))</f>
        <v/>
      </c>
      <c r="AT350" s="14" t="str">
        <f t="shared" si="155"/>
        <v/>
      </c>
      <c r="AU350" s="14" t="str">
        <f t="shared" si="156"/>
        <v/>
      </c>
      <c r="AV350" s="90" t="str">
        <f t="shared" si="157"/>
        <v/>
      </c>
      <c r="AW350" s="14">
        <v>50</v>
      </c>
      <c r="AX350" s="90">
        <f t="shared" si="158"/>
        <v>0</v>
      </c>
      <c r="AY350" s="42">
        <f t="shared" si="159"/>
        <v>50</v>
      </c>
      <c r="AZ350" s="90">
        <f t="shared" si="160"/>
        <v>1</v>
      </c>
      <c r="BA350" s="42" t="str">
        <f t="shared" si="161"/>
        <v/>
      </c>
    </row>
    <row r="351" spans="1:53" x14ac:dyDescent="0.2">
      <c r="A351" t="str">
        <f>INDEX(Prioritization!$D:$D,MATCH($B351,Prioritization!$A:$A,0))</f>
        <v>1 - Scale-up: Saturation</v>
      </c>
      <c r="B351" t="s">
        <v>221</v>
      </c>
      <c r="C351" t="s">
        <v>362</v>
      </c>
      <c r="D351" t="s">
        <v>29</v>
      </c>
      <c r="E351" t="str">
        <f t="shared" si="135"/>
        <v>Zomba District [fyEoGEPERdI]|01-09|Female</v>
      </c>
      <c r="F351" s="90">
        <f>IF(LEFT($B351,4)="_Mil","",INDEX(Cascade!$AA:$AA,MATCH($E351,Cascade!$E:$E,0)))</f>
        <v>1618.0000000000002</v>
      </c>
      <c r="G351" s="14">
        <f>INDEX(Cascade!$BH:$BH,MATCH($E351,Cascade!$E:$E,0))</f>
        <v>0</v>
      </c>
      <c r="H351" s="14" t="str">
        <f>IF(OR($C351="01-09",$D351="Male"),"",INDEX(PMTCT!$AC:$AC,MATCH($E351,PMTCT!$E:$E,0)))</f>
        <v/>
      </c>
      <c r="I351" s="14" t="str">
        <f>IF(OR($C351="01-09",$D351="Male"),"",INDEX(PMTCT!$AS:$AS,MATCH($E351,PMTCT!$E:$E,0)))</f>
        <v/>
      </c>
      <c r="J351" s="14" t="str">
        <f>INDEX(TB!$P:$P,MATCH($E351,TB!$E:$E,0))</f>
        <v/>
      </c>
      <c r="K351" s="14" t="str">
        <f>IF(OR($C351="01-09",$C351="10-14",$D351="Female"),"",INDEX(VMMC!$AA:$AA,MATCH($E351,VMMC!$E:$E,0)))</f>
        <v/>
      </c>
      <c r="L351" s="14">
        <f t="shared" si="136"/>
        <v>0</v>
      </c>
      <c r="M351" s="90" t="str">
        <f t="shared" si="137"/>
        <v/>
      </c>
      <c r="N351" s="90" t="str">
        <f t="shared" si="138"/>
        <v/>
      </c>
      <c r="O351" s="90" t="str">
        <f t="shared" si="139"/>
        <v/>
      </c>
      <c r="P351" s="90" t="str">
        <f t="shared" si="140"/>
        <v/>
      </c>
      <c r="Q351" s="90"/>
      <c r="R351" s="90"/>
      <c r="S351" s="90"/>
      <c r="T351" s="90"/>
      <c r="U351" s="90"/>
      <c r="V351" s="90" t="str">
        <f t="shared" si="141"/>
        <v/>
      </c>
      <c r="W351" s="90"/>
      <c r="X351" s="42" t="str">
        <f t="shared" si="142"/>
        <v/>
      </c>
      <c r="Y351" s="42" t="str">
        <f t="shared" si="143"/>
        <v/>
      </c>
      <c r="Z351" s="90"/>
      <c r="AA351" s="42" t="str">
        <f t="shared" si="144"/>
        <v/>
      </c>
      <c r="AB351" s="42" t="str">
        <f t="shared" si="145"/>
        <v/>
      </c>
      <c r="AC351" s="90"/>
      <c r="AD351" s="42" t="str">
        <f t="shared" si="146"/>
        <v/>
      </c>
      <c r="AE351" s="42" t="str">
        <f t="shared" si="147"/>
        <v/>
      </c>
      <c r="AF351" s="90"/>
      <c r="AG351" s="42" t="str">
        <f t="shared" si="148"/>
        <v/>
      </c>
      <c r="AH351" s="42" t="str">
        <f t="shared" si="149"/>
        <v/>
      </c>
      <c r="AI351" s="90"/>
      <c r="AJ351" s="42" t="str">
        <f t="shared" si="150"/>
        <v/>
      </c>
      <c r="AK351" s="42" t="str">
        <f t="shared" si="151"/>
        <v/>
      </c>
      <c r="AL351" s="14" t="str">
        <f t="shared" si="152"/>
        <v/>
      </c>
      <c r="AM351" s="14" t="str">
        <f t="shared" si="153"/>
        <v/>
      </c>
      <c r="AN351" s="14" t="str">
        <f t="shared" si="154"/>
        <v/>
      </c>
      <c r="AO351" s="14" t="str">
        <f>IF(OR($C351="01-09",$D351="Male"),"",INDEX(PMTCT!$AD:$AD,MATCH($E351,PMTCT!$E:$E,0)))</f>
        <v/>
      </c>
      <c r="AP351" s="14" t="str">
        <f>IF(OR($C351="01-09",$D351="Male"),"",INDEX(PMTCT!$AT:$AT,MATCH($E351,PMTCT!$E:$E,0)))</f>
        <v/>
      </c>
      <c r="AQ351" s="14" t="str">
        <f>INDEX(TB!$Q:$Q,MATCH($E351,TB!$E:$E,0))</f>
        <v/>
      </c>
      <c r="AR351" s="14" t="str">
        <f>IF(OR($C351="01-09",$C351="10-14",$D351="Female"),"",INDEX(VMMC!$AB:$AB,MATCH($E351,VMMC!$E:$E,0)))</f>
        <v/>
      </c>
      <c r="AS351" s="14" t="str">
        <f>IF(OR($C351="01-09",$C351="10-14"),"",INDEX(PrEP!$Q:$Q,MATCH($E351,PrEP!$E:$E,0)))</f>
        <v/>
      </c>
      <c r="AT351" s="14" t="str">
        <f t="shared" si="155"/>
        <v/>
      </c>
      <c r="AU351" s="14" t="str">
        <f t="shared" si="156"/>
        <v/>
      </c>
      <c r="AV351" s="90" t="str">
        <f t="shared" si="157"/>
        <v/>
      </c>
      <c r="AW351" s="14"/>
      <c r="AX351" s="90" t="str">
        <f t="shared" si="158"/>
        <v/>
      </c>
      <c r="AY351" s="42" t="str">
        <f t="shared" si="159"/>
        <v/>
      </c>
      <c r="AZ351" s="90" t="str">
        <f t="shared" si="160"/>
        <v/>
      </c>
      <c r="BA351" s="42" t="str">
        <f t="shared" si="161"/>
        <v/>
      </c>
    </row>
    <row r="352" spans="1:53" x14ac:dyDescent="0.2">
      <c r="A352" t="str">
        <f>INDEX(Prioritization!$D:$D,MATCH($B352,Prioritization!$A:$A,0))</f>
        <v>1 - Scale-up: Saturation</v>
      </c>
      <c r="B352" t="s">
        <v>221</v>
      </c>
      <c r="C352" t="s">
        <v>362</v>
      </c>
      <c r="D352" t="s">
        <v>47</v>
      </c>
      <c r="E352" t="str">
        <f t="shared" si="135"/>
        <v>Zomba District [fyEoGEPERdI]|01-09|Male</v>
      </c>
      <c r="F352" s="90">
        <f>IF(LEFT($B352,4)="_Mil","",INDEX(Cascade!$AA:$AA,MATCH($E352,Cascade!$E:$E,0)))</f>
        <v>1864</v>
      </c>
      <c r="G352" s="14">
        <f>INDEX(Cascade!$BH:$BH,MATCH($E352,Cascade!$E:$E,0))</f>
        <v>0</v>
      </c>
      <c r="H352" s="14" t="str">
        <f>IF(OR($C352="01-09",$D352="Male"),"",INDEX(PMTCT!$AC:$AC,MATCH($E352,PMTCT!$E:$E,0)))</f>
        <v/>
      </c>
      <c r="I352" s="14" t="str">
        <f>IF(OR($C352="01-09",$D352="Male"),"",INDEX(PMTCT!$AS:$AS,MATCH($E352,PMTCT!$E:$E,0)))</f>
        <v/>
      </c>
      <c r="J352" s="14" t="str">
        <f>INDEX(TB!$P:$P,MATCH($E352,TB!$E:$E,0))</f>
        <v/>
      </c>
      <c r="K352" s="14" t="str">
        <f>IF(OR($C352="01-09",$C352="10-14",$D352="Female"),"",INDEX(VMMC!$AA:$AA,MATCH($E352,VMMC!$E:$E,0)))</f>
        <v/>
      </c>
      <c r="L352" s="14">
        <f t="shared" si="136"/>
        <v>0</v>
      </c>
      <c r="M352" s="90" t="str">
        <f t="shared" si="137"/>
        <v/>
      </c>
      <c r="N352" s="90" t="str">
        <f t="shared" si="138"/>
        <v/>
      </c>
      <c r="O352" s="90" t="str">
        <f t="shared" si="139"/>
        <v/>
      </c>
      <c r="P352" s="90" t="str">
        <f t="shared" si="140"/>
        <v/>
      </c>
      <c r="Q352" s="90"/>
      <c r="R352" s="90"/>
      <c r="S352" s="90"/>
      <c r="T352" s="90"/>
      <c r="U352" s="90"/>
      <c r="V352" s="90" t="str">
        <f t="shared" si="141"/>
        <v/>
      </c>
      <c r="W352" s="90"/>
      <c r="X352" s="42" t="str">
        <f t="shared" si="142"/>
        <v/>
      </c>
      <c r="Y352" s="42" t="str">
        <f t="shared" si="143"/>
        <v/>
      </c>
      <c r="Z352" s="90"/>
      <c r="AA352" s="42" t="str">
        <f t="shared" si="144"/>
        <v/>
      </c>
      <c r="AB352" s="42" t="str">
        <f t="shared" si="145"/>
        <v/>
      </c>
      <c r="AC352" s="90"/>
      <c r="AD352" s="42" t="str">
        <f t="shared" si="146"/>
        <v/>
      </c>
      <c r="AE352" s="42" t="str">
        <f t="shared" si="147"/>
        <v/>
      </c>
      <c r="AF352" s="90"/>
      <c r="AG352" s="42" t="str">
        <f t="shared" si="148"/>
        <v/>
      </c>
      <c r="AH352" s="42" t="str">
        <f t="shared" si="149"/>
        <v/>
      </c>
      <c r="AI352" s="90"/>
      <c r="AJ352" s="42" t="str">
        <f t="shared" si="150"/>
        <v/>
      </c>
      <c r="AK352" s="42" t="str">
        <f t="shared" si="151"/>
        <v/>
      </c>
      <c r="AL352" s="14" t="str">
        <f t="shared" si="152"/>
        <v/>
      </c>
      <c r="AM352" s="14" t="str">
        <f t="shared" si="153"/>
        <v/>
      </c>
      <c r="AN352" s="14" t="str">
        <f t="shared" si="154"/>
        <v/>
      </c>
      <c r="AO352" s="14" t="str">
        <f>IF(OR($C352="01-09",$D352="Male"),"",INDEX(PMTCT!$AD:$AD,MATCH($E352,PMTCT!$E:$E,0)))</f>
        <v/>
      </c>
      <c r="AP352" s="14" t="str">
        <f>IF(OR($C352="01-09",$D352="Male"),"",INDEX(PMTCT!$AT:$AT,MATCH($E352,PMTCT!$E:$E,0)))</f>
        <v/>
      </c>
      <c r="AQ352" s="14" t="str">
        <f>INDEX(TB!$Q:$Q,MATCH($E352,TB!$E:$E,0))</f>
        <v/>
      </c>
      <c r="AR352" s="14" t="str">
        <f>IF(OR($C352="01-09",$C352="10-14",$D352="Female"),"",INDEX(VMMC!$AB:$AB,MATCH($E352,VMMC!$E:$E,0)))</f>
        <v/>
      </c>
      <c r="AS352" s="14" t="str">
        <f>IF(OR($C352="01-09",$C352="10-14"),"",INDEX(PrEP!$Q:$Q,MATCH($E352,PrEP!$E:$E,0)))</f>
        <v/>
      </c>
      <c r="AT352" s="14" t="str">
        <f t="shared" si="155"/>
        <v/>
      </c>
      <c r="AU352" s="14" t="str">
        <f t="shared" si="156"/>
        <v/>
      </c>
      <c r="AV352" s="90" t="str">
        <f t="shared" si="157"/>
        <v/>
      </c>
      <c r="AW352" s="14"/>
      <c r="AX352" s="90" t="str">
        <f t="shared" si="158"/>
        <v/>
      </c>
      <c r="AY352" s="42" t="str">
        <f t="shared" si="159"/>
        <v/>
      </c>
      <c r="AZ352" s="90" t="str">
        <f t="shared" si="160"/>
        <v/>
      </c>
      <c r="BA352" s="42" t="str">
        <f t="shared" si="161"/>
        <v/>
      </c>
    </row>
    <row r="353" spans="1:53" x14ac:dyDescent="0.2">
      <c r="A353" t="str">
        <f>INDEX(Prioritization!$D:$D,MATCH($B353,Prioritization!$A:$A,0))</f>
        <v>1 - Scale-up: Saturation</v>
      </c>
      <c r="B353" t="s">
        <v>221</v>
      </c>
      <c r="C353" t="s">
        <v>363</v>
      </c>
      <c r="D353" t="s">
        <v>29</v>
      </c>
      <c r="E353" t="str">
        <f t="shared" si="135"/>
        <v>Zomba District [fyEoGEPERdI]|10-14|Female</v>
      </c>
      <c r="F353" s="90">
        <f>IF(LEFT($B353,4)="_Mil","",INDEX(Cascade!$AA:$AA,MATCH($E353,Cascade!$E:$E,0)))</f>
        <v>1522</v>
      </c>
      <c r="G353" s="14">
        <f>INDEX(Cascade!$BH:$BH,MATCH($E353,Cascade!$E:$E,0))</f>
        <v>-25</v>
      </c>
      <c r="H353" s="14">
        <f>IF(OR($C353="01-09",$D353="Male"),"",INDEX(PMTCT!$AC:$AC,MATCH($E353,PMTCT!$E:$E,0)))</f>
        <v>1</v>
      </c>
      <c r="I353" s="14" t="str">
        <f>IF(OR($C353="01-09",$D353="Male"),"",INDEX(PMTCT!$AS:$AS,MATCH($E353,PMTCT!$E:$E,0)))</f>
        <v/>
      </c>
      <c r="J353" s="14" t="str">
        <f>INDEX(TB!$P:$P,MATCH($E353,TB!$E:$E,0))</f>
        <v>ENTER YIELD RATE</v>
      </c>
      <c r="K353" s="14" t="str">
        <f>IF(OR($C353="01-09",$C353="10-14",$D353="Female"),"",INDEX(VMMC!$AA:$AA,MATCH($E353,VMMC!$E:$E,0)))</f>
        <v/>
      </c>
      <c r="L353" s="14">
        <f t="shared" si="136"/>
        <v>-26</v>
      </c>
      <c r="M353" s="90">
        <f t="shared" si="137"/>
        <v>-0.04</v>
      </c>
      <c r="N353" s="90">
        <f t="shared" si="138"/>
        <v>0</v>
      </c>
      <c r="O353" s="90">
        <f t="shared" si="139"/>
        <v>0</v>
      </c>
      <c r="P353" s="90" t="str">
        <f t="shared" si="140"/>
        <v/>
      </c>
      <c r="Q353" s="90">
        <v>0.80777729302644696</v>
      </c>
      <c r="R353" s="90"/>
      <c r="S353" s="90"/>
      <c r="T353" s="90"/>
      <c r="U353" s="90">
        <v>0.23941250727511901</v>
      </c>
      <c r="V353" s="90">
        <f t="shared" si="141"/>
        <v>1.007189800301566</v>
      </c>
      <c r="W353" s="90"/>
      <c r="X353" s="42">
        <f t="shared" si="142"/>
        <v>-20</v>
      </c>
      <c r="Y353" s="42" t="str">
        <f t="shared" si="143"/>
        <v>ENTER YIELD</v>
      </c>
      <c r="Z353" s="90"/>
      <c r="AA353" s="42" t="str">
        <f t="shared" si="144"/>
        <v/>
      </c>
      <c r="AB353" s="42" t="str">
        <f t="shared" si="145"/>
        <v/>
      </c>
      <c r="AC353" s="90"/>
      <c r="AD353" s="42" t="str">
        <f t="shared" si="146"/>
        <v/>
      </c>
      <c r="AE353" s="42" t="str">
        <f t="shared" si="147"/>
        <v/>
      </c>
      <c r="AF353" s="90"/>
      <c r="AG353" s="42" t="str">
        <f t="shared" si="148"/>
        <v/>
      </c>
      <c r="AH353" s="42" t="str">
        <f t="shared" si="149"/>
        <v/>
      </c>
      <c r="AI353" s="90">
        <v>0.99993420764803898</v>
      </c>
      <c r="AJ353" s="42">
        <f t="shared" si="150"/>
        <v>-6</v>
      </c>
      <c r="AK353" s="42">
        <f t="shared" si="151"/>
        <v>0</v>
      </c>
      <c r="AL353" s="14">
        <f t="shared" si="152"/>
        <v>-25</v>
      </c>
      <c r="AM353" s="14">
        <f t="shared" si="153"/>
        <v>-25</v>
      </c>
      <c r="AN353" s="14">
        <f t="shared" si="154"/>
        <v>0</v>
      </c>
      <c r="AO353" s="14">
        <f>IF(OR($C353="01-09",$D353="Male"),"",INDEX(PMTCT!$AD:$AD,MATCH($E353,PMTCT!$E:$E,0)))</f>
        <v>0</v>
      </c>
      <c r="AP353" s="14" t="str">
        <f>IF(OR($C353="01-09",$D353="Male"),"",INDEX(PMTCT!$AT:$AT,MATCH($E353,PMTCT!$E:$E,0)))</f>
        <v/>
      </c>
      <c r="AQ353" s="14">
        <f>INDEX(TB!$Q:$Q,MATCH($E353,TB!$E:$E,0))</f>
        <v>4</v>
      </c>
      <c r="AR353" s="14" t="str">
        <f>IF(OR($C353="01-09",$C353="10-14",$D353="Female"),"",INDEX(VMMC!$AB:$AB,MATCH($E353,VMMC!$E:$E,0)))</f>
        <v/>
      </c>
      <c r="AS353" s="14" t="str">
        <f>IF(OR($C353="01-09",$C353="10-14"),"",INDEX(PrEP!$Q:$Q,MATCH($E353,PrEP!$E:$E,0)))</f>
        <v/>
      </c>
      <c r="AT353" s="14">
        <f t="shared" si="155"/>
        <v>4</v>
      </c>
      <c r="AU353" s="14">
        <f t="shared" si="156"/>
        <v>-21</v>
      </c>
      <c r="AV353" s="90">
        <f t="shared" si="157"/>
        <v>1.1904761904761905</v>
      </c>
      <c r="AW353" s="14">
        <v>506</v>
      </c>
      <c r="AX353" s="90">
        <f t="shared" si="158"/>
        <v>0</v>
      </c>
      <c r="AY353" s="42">
        <f t="shared" si="159"/>
        <v>506</v>
      </c>
      <c r="AZ353" s="90" t="str">
        <f t="shared" si="160"/>
        <v/>
      </c>
      <c r="BA353" s="42" t="str">
        <f t="shared" si="161"/>
        <v/>
      </c>
    </row>
    <row r="354" spans="1:53" x14ac:dyDescent="0.2">
      <c r="A354" t="str">
        <f>INDEX(Prioritization!$D:$D,MATCH($B354,Prioritization!$A:$A,0))</f>
        <v>1 - Scale-up: Saturation</v>
      </c>
      <c r="B354" t="s">
        <v>221</v>
      </c>
      <c r="C354" t="s">
        <v>363</v>
      </c>
      <c r="D354" t="s">
        <v>47</v>
      </c>
      <c r="E354" t="str">
        <f t="shared" si="135"/>
        <v>Zomba District [fyEoGEPERdI]|10-14|Male</v>
      </c>
      <c r="F354" s="90">
        <f>IF(LEFT($B354,4)="_Mil","",INDEX(Cascade!$AA:$AA,MATCH($E354,Cascade!$E:$E,0)))</f>
        <v>1355</v>
      </c>
      <c r="G354" s="14">
        <f>INDEX(Cascade!$BH:$BH,MATCH($E354,Cascade!$E:$E,0))</f>
        <v>-53</v>
      </c>
      <c r="H354" s="14" t="str">
        <f>IF(OR($C354="01-09",$D354="Male"),"",INDEX(PMTCT!$AC:$AC,MATCH($E354,PMTCT!$E:$E,0)))</f>
        <v/>
      </c>
      <c r="I354" s="14" t="str">
        <f>IF(OR($C354="01-09",$D354="Male"),"",INDEX(PMTCT!$AS:$AS,MATCH($E354,PMTCT!$E:$E,0)))</f>
        <v/>
      </c>
      <c r="J354" s="14" t="str">
        <f>INDEX(TB!$P:$P,MATCH($E354,TB!$E:$E,0))</f>
        <v>ENTER YIELD RATE</v>
      </c>
      <c r="K354" s="14" t="str">
        <f>IF(OR($C354="01-09",$C354="10-14",$D354="Female"),"",INDEX(VMMC!$AA:$AA,MATCH($E354,VMMC!$E:$E,0)))</f>
        <v/>
      </c>
      <c r="L354" s="14">
        <f t="shared" si="136"/>
        <v>-53</v>
      </c>
      <c r="M354" s="90" t="str">
        <f t="shared" si="137"/>
        <v/>
      </c>
      <c r="N354" s="90" t="str">
        <f t="shared" si="138"/>
        <v/>
      </c>
      <c r="O354" s="90">
        <f t="shared" si="139"/>
        <v>0</v>
      </c>
      <c r="P354" s="90" t="str">
        <f t="shared" si="140"/>
        <v/>
      </c>
      <c r="Q354" s="90">
        <v>5.1684775622561602E-2</v>
      </c>
      <c r="R354" s="90"/>
      <c r="S354" s="90"/>
      <c r="T354" s="90"/>
      <c r="U354" s="90">
        <v>0.45715091470628999</v>
      </c>
      <c r="V354" s="90">
        <f t="shared" si="141"/>
        <v>0.50883569032885156</v>
      </c>
      <c r="W354" s="90"/>
      <c r="X354" s="42">
        <f t="shared" si="142"/>
        <v>-3</v>
      </c>
      <c r="Y354" s="42" t="str">
        <f t="shared" si="143"/>
        <v>ENTER YIELD</v>
      </c>
      <c r="Z354" s="90"/>
      <c r="AA354" s="42" t="str">
        <f t="shared" si="144"/>
        <v/>
      </c>
      <c r="AB354" s="42" t="str">
        <f t="shared" si="145"/>
        <v/>
      </c>
      <c r="AC354" s="90"/>
      <c r="AD354" s="42" t="str">
        <f t="shared" si="146"/>
        <v/>
      </c>
      <c r="AE354" s="42" t="str">
        <f t="shared" si="147"/>
        <v/>
      </c>
      <c r="AF354" s="90"/>
      <c r="AG354" s="42" t="str">
        <f t="shared" si="148"/>
        <v/>
      </c>
      <c r="AH354" s="42" t="str">
        <f t="shared" si="149"/>
        <v/>
      </c>
      <c r="AI354" s="90">
        <v>0.83660537726245798</v>
      </c>
      <c r="AJ354" s="42">
        <f t="shared" si="150"/>
        <v>-24</v>
      </c>
      <c r="AK354" s="42">
        <f t="shared" si="151"/>
        <v>-5</v>
      </c>
      <c r="AL354" s="14">
        <f t="shared" si="152"/>
        <v>-53</v>
      </c>
      <c r="AM354" s="14">
        <f t="shared" si="153"/>
        <v>-27</v>
      </c>
      <c r="AN354" s="14">
        <f t="shared" si="154"/>
        <v>26</v>
      </c>
      <c r="AO354" s="14" t="str">
        <f>IF(OR($C354="01-09",$D354="Male"),"",INDEX(PMTCT!$AD:$AD,MATCH($E354,PMTCT!$E:$E,0)))</f>
        <v/>
      </c>
      <c r="AP354" s="14" t="str">
        <f>IF(OR($C354="01-09",$D354="Male"),"",INDEX(PMTCT!$AT:$AT,MATCH($E354,PMTCT!$E:$E,0)))</f>
        <v/>
      </c>
      <c r="AQ354" s="14">
        <f>INDEX(TB!$Q:$Q,MATCH($E354,TB!$E:$E,0))</f>
        <v>5</v>
      </c>
      <c r="AR354" s="14" t="str">
        <f>IF(OR($C354="01-09",$C354="10-14",$D354="Female"),"",INDEX(VMMC!$AB:$AB,MATCH($E354,VMMC!$E:$E,0)))</f>
        <v/>
      </c>
      <c r="AS354" s="14" t="str">
        <f>IF(OR($C354="01-09",$C354="10-14"),"",INDEX(PrEP!$Q:$Q,MATCH($E354,PrEP!$E:$E,0)))</f>
        <v/>
      </c>
      <c r="AT354" s="14" t="str">
        <f t="shared" si="155"/>
        <v/>
      </c>
      <c r="AU354" s="14">
        <f t="shared" si="156"/>
        <v>-27</v>
      </c>
      <c r="AV354" s="90">
        <f t="shared" si="157"/>
        <v>1</v>
      </c>
      <c r="AW354" s="14"/>
      <c r="AX354" s="90" t="str">
        <f t="shared" si="158"/>
        <v/>
      </c>
      <c r="AY354" s="42" t="str">
        <f t="shared" si="159"/>
        <v/>
      </c>
      <c r="AZ354" s="90" t="str">
        <f t="shared" si="160"/>
        <v/>
      </c>
      <c r="BA354" s="42" t="str">
        <f t="shared" si="161"/>
        <v/>
      </c>
    </row>
    <row r="355" spans="1:53" x14ac:dyDescent="0.2">
      <c r="A355" t="str">
        <f>INDEX(Prioritization!$D:$D,MATCH($B355,Prioritization!$A:$A,0))</f>
        <v>1 - Scale-up: Saturation</v>
      </c>
      <c r="B355" t="s">
        <v>221</v>
      </c>
      <c r="C355" t="s">
        <v>364</v>
      </c>
      <c r="D355" t="s">
        <v>29</v>
      </c>
      <c r="E355" t="str">
        <f t="shared" si="135"/>
        <v>Zomba District [fyEoGEPERdI]|15-24|Female</v>
      </c>
      <c r="F355" s="90">
        <f>IF(LEFT($B355,4)="_Mil","",INDEX(Cascade!$AA:$AA,MATCH($E355,Cascade!$E:$E,0)))</f>
        <v>654</v>
      </c>
      <c r="G355" s="14">
        <f>INDEX(Cascade!$BH:$BH,MATCH($E355,Cascade!$E:$E,0))</f>
        <v>0</v>
      </c>
      <c r="H355" s="14" t="str">
        <f>IF(OR($C355="01-09",$D355="Male"),"",INDEX(PMTCT!$AC:$AC,MATCH($E355,PMTCT!$E:$E,0)))</f>
        <v/>
      </c>
      <c r="I355" s="14" t="str">
        <f>IF(OR($C355="01-09",$D355="Male"),"",INDEX(PMTCT!$AS:$AS,MATCH($E355,PMTCT!$E:$E,0)))</f>
        <v/>
      </c>
      <c r="J355" s="14" t="str">
        <f>INDEX(TB!$P:$P,MATCH($E355,TB!$E:$E,0))</f>
        <v/>
      </c>
      <c r="K355" s="14" t="str">
        <f>IF(OR($C355="01-09",$C355="10-14",$D355="Female"),"",INDEX(VMMC!$AA:$AA,MATCH($E355,VMMC!$E:$E,0)))</f>
        <v/>
      </c>
      <c r="L355" s="14">
        <f t="shared" si="136"/>
        <v>0</v>
      </c>
      <c r="M355" s="90" t="str">
        <f t="shared" si="137"/>
        <v/>
      </c>
      <c r="N355" s="90" t="str">
        <f t="shared" si="138"/>
        <v/>
      </c>
      <c r="O355" s="90" t="str">
        <f t="shared" si="139"/>
        <v/>
      </c>
      <c r="P355" s="90" t="str">
        <f t="shared" si="140"/>
        <v/>
      </c>
      <c r="Q355" s="90"/>
      <c r="R355" s="90"/>
      <c r="S355" s="90"/>
      <c r="T355" s="90"/>
      <c r="U355" s="90"/>
      <c r="V355" s="90" t="str">
        <f t="shared" si="141"/>
        <v/>
      </c>
      <c r="W355" s="90"/>
      <c r="X355" s="42" t="str">
        <f t="shared" si="142"/>
        <v/>
      </c>
      <c r="Y355" s="42" t="str">
        <f t="shared" si="143"/>
        <v/>
      </c>
      <c r="Z355" s="90"/>
      <c r="AA355" s="42" t="str">
        <f t="shared" si="144"/>
        <v/>
      </c>
      <c r="AB355" s="42" t="str">
        <f t="shared" si="145"/>
        <v/>
      </c>
      <c r="AC355" s="90"/>
      <c r="AD355" s="42" t="str">
        <f t="shared" si="146"/>
        <v/>
      </c>
      <c r="AE355" s="42" t="str">
        <f t="shared" si="147"/>
        <v/>
      </c>
      <c r="AF355" s="90"/>
      <c r="AG355" s="42" t="str">
        <f t="shared" si="148"/>
        <v/>
      </c>
      <c r="AH355" s="42" t="str">
        <f t="shared" si="149"/>
        <v/>
      </c>
      <c r="AI355" s="90"/>
      <c r="AJ355" s="42" t="str">
        <f t="shared" si="150"/>
        <v/>
      </c>
      <c r="AK355" s="42" t="str">
        <f t="shared" si="151"/>
        <v/>
      </c>
      <c r="AL355" s="14" t="str">
        <f t="shared" si="152"/>
        <v/>
      </c>
      <c r="AM355" s="14" t="str">
        <f t="shared" si="153"/>
        <v/>
      </c>
      <c r="AN355" s="14" t="str">
        <f t="shared" si="154"/>
        <v/>
      </c>
      <c r="AO355" s="14" t="str">
        <f>IF(OR($C355="01-09",$D355="Male"),"",INDEX(PMTCT!$AD:$AD,MATCH($E355,PMTCT!$E:$E,0)))</f>
        <v/>
      </c>
      <c r="AP355" s="14" t="str">
        <f>IF(OR($C355="01-09",$D355="Male"),"",INDEX(PMTCT!$AT:$AT,MATCH($E355,PMTCT!$E:$E,0)))</f>
        <v/>
      </c>
      <c r="AQ355" s="14" t="str">
        <f>INDEX(TB!$Q:$Q,MATCH($E355,TB!$E:$E,0))</f>
        <v/>
      </c>
      <c r="AR355" s="14" t="str">
        <f>IF(OR($C355="01-09",$C355="10-14",$D355="Female"),"",INDEX(VMMC!$AB:$AB,MATCH($E355,VMMC!$E:$E,0)))</f>
        <v/>
      </c>
      <c r="AS355" s="14" t="str">
        <f>IF(OR($C355="01-09",$C355="10-14"),"",INDEX(PrEP!$Q:$Q,MATCH($E355,PrEP!$E:$E,0)))</f>
        <v/>
      </c>
      <c r="AT355" s="14" t="str">
        <f t="shared" si="155"/>
        <v/>
      </c>
      <c r="AU355" s="14" t="str">
        <f t="shared" si="156"/>
        <v/>
      </c>
      <c r="AV355" s="90" t="str">
        <f t="shared" si="157"/>
        <v/>
      </c>
      <c r="AW355" s="14"/>
      <c r="AX355" s="90" t="str">
        <f t="shared" si="158"/>
        <v/>
      </c>
      <c r="AY355" s="42" t="str">
        <f t="shared" si="159"/>
        <v/>
      </c>
      <c r="AZ355" s="90">
        <f t="shared" si="160"/>
        <v>1</v>
      </c>
      <c r="BA355" s="42" t="str">
        <f t="shared" si="161"/>
        <v/>
      </c>
    </row>
    <row r="356" spans="1:53" x14ac:dyDescent="0.2">
      <c r="A356" t="str">
        <f>INDEX(Prioritization!$D:$D,MATCH($B356,Prioritization!$A:$A,0))</f>
        <v>1 - Scale-up: Saturation</v>
      </c>
      <c r="B356" t="s">
        <v>221</v>
      </c>
      <c r="C356" t="s">
        <v>364</v>
      </c>
      <c r="D356" t="s">
        <v>47</v>
      </c>
      <c r="E356" t="str">
        <f t="shared" si="135"/>
        <v>Zomba District [fyEoGEPERdI]|15-24|Male</v>
      </c>
      <c r="F356" s="90">
        <f>IF(LEFT($B356,4)="_Mil","",INDEX(Cascade!$AA:$AA,MATCH($E356,Cascade!$E:$E,0)))</f>
        <v>1449</v>
      </c>
      <c r="G356" s="14">
        <f>INDEX(Cascade!$BH:$BH,MATCH($E356,Cascade!$E:$E,0))</f>
        <v>0</v>
      </c>
      <c r="H356" s="14" t="str">
        <f>IF(OR($C356="01-09",$D356="Male"),"",INDEX(PMTCT!$AC:$AC,MATCH($E356,PMTCT!$E:$E,0)))</f>
        <v/>
      </c>
      <c r="I356" s="14" t="str">
        <f>IF(OR($C356="01-09",$D356="Male"),"",INDEX(PMTCT!$AS:$AS,MATCH($E356,PMTCT!$E:$E,0)))</f>
        <v/>
      </c>
      <c r="J356" s="14" t="str">
        <f>INDEX(TB!$P:$P,MATCH($E356,TB!$E:$E,0))</f>
        <v/>
      </c>
      <c r="K356" s="14" t="str">
        <f>IF(OR($C356="01-09",$C356="10-14",$D356="Female"),"",INDEX(VMMC!$AA:$AA,MATCH($E356,VMMC!$E:$E,0)))</f>
        <v/>
      </c>
      <c r="L356" s="14">
        <f t="shared" si="136"/>
        <v>0</v>
      </c>
      <c r="M356" s="90" t="str">
        <f t="shared" si="137"/>
        <v/>
      </c>
      <c r="N356" s="90" t="str">
        <f t="shared" si="138"/>
        <v/>
      </c>
      <c r="O356" s="90" t="str">
        <f t="shared" si="139"/>
        <v/>
      </c>
      <c r="P356" s="90" t="str">
        <f t="shared" si="140"/>
        <v/>
      </c>
      <c r="Q356" s="90"/>
      <c r="R356" s="90"/>
      <c r="S356" s="90"/>
      <c r="T356" s="90"/>
      <c r="U356" s="90"/>
      <c r="V356" s="90" t="str">
        <f t="shared" si="141"/>
        <v/>
      </c>
      <c r="W356" s="90"/>
      <c r="X356" s="42" t="str">
        <f t="shared" si="142"/>
        <v/>
      </c>
      <c r="Y356" s="42" t="str">
        <f t="shared" si="143"/>
        <v/>
      </c>
      <c r="Z356" s="90"/>
      <c r="AA356" s="42" t="str">
        <f t="shared" si="144"/>
        <v/>
      </c>
      <c r="AB356" s="42" t="str">
        <f t="shared" si="145"/>
        <v/>
      </c>
      <c r="AC356" s="90"/>
      <c r="AD356" s="42" t="str">
        <f t="shared" si="146"/>
        <v/>
      </c>
      <c r="AE356" s="42" t="str">
        <f t="shared" si="147"/>
        <v/>
      </c>
      <c r="AF356" s="90"/>
      <c r="AG356" s="42" t="str">
        <f t="shared" si="148"/>
        <v/>
      </c>
      <c r="AH356" s="42" t="str">
        <f t="shared" si="149"/>
        <v/>
      </c>
      <c r="AI356" s="90"/>
      <c r="AJ356" s="42" t="str">
        <f t="shared" si="150"/>
        <v/>
      </c>
      <c r="AK356" s="42" t="str">
        <f t="shared" si="151"/>
        <v/>
      </c>
      <c r="AL356" s="14" t="str">
        <f t="shared" si="152"/>
        <v/>
      </c>
      <c r="AM356" s="14" t="str">
        <f t="shared" si="153"/>
        <v/>
      </c>
      <c r="AN356" s="14" t="str">
        <f t="shared" si="154"/>
        <v/>
      </c>
      <c r="AO356" s="14" t="str">
        <f>IF(OR($C356="01-09",$D356="Male"),"",INDEX(PMTCT!$AD:$AD,MATCH($E356,PMTCT!$E:$E,0)))</f>
        <v/>
      </c>
      <c r="AP356" s="14" t="str">
        <f>IF(OR($C356="01-09",$D356="Male"),"",INDEX(PMTCT!$AT:$AT,MATCH($E356,PMTCT!$E:$E,0)))</f>
        <v/>
      </c>
      <c r="AQ356" s="14" t="str">
        <f>INDEX(TB!$Q:$Q,MATCH($E356,TB!$E:$E,0))</f>
        <v/>
      </c>
      <c r="AR356" s="14" t="str">
        <f>IF(OR($C356="01-09",$C356="10-14",$D356="Female"),"",INDEX(VMMC!$AB:$AB,MATCH($E356,VMMC!$E:$E,0)))</f>
        <v/>
      </c>
      <c r="AS356" s="14" t="str">
        <f>IF(OR($C356="01-09",$C356="10-14"),"",INDEX(PrEP!$Q:$Q,MATCH($E356,PrEP!$E:$E,0)))</f>
        <v/>
      </c>
      <c r="AT356" s="14" t="str">
        <f t="shared" si="155"/>
        <v/>
      </c>
      <c r="AU356" s="14" t="str">
        <f t="shared" si="156"/>
        <v/>
      </c>
      <c r="AV356" s="90" t="str">
        <f t="shared" si="157"/>
        <v/>
      </c>
      <c r="AW356" s="14"/>
      <c r="AX356" s="90" t="str">
        <f t="shared" si="158"/>
        <v/>
      </c>
      <c r="AY356" s="42" t="str">
        <f t="shared" si="159"/>
        <v/>
      </c>
      <c r="AZ356" s="90">
        <f t="shared" si="160"/>
        <v>1</v>
      </c>
      <c r="BA356" s="42" t="str">
        <f t="shared" si="161"/>
        <v/>
      </c>
    </row>
    <row r="357" spans="1:53" x14ac:dyDescent="0.2">
      <c r="A357" t="str">
        <f>INDEX(Prioritization!$D:$D,MATCH($B357,Prioritization!$A:$A,0))</f>
        <v>1 - Scale-up: Saturation</v>
      </c>
      <c r="B357" t="s">
        <v>221</v>
      </c>
      <c r="C357" t="s">
        <v>365</v>
      </c>
      <c r="D357" t="s">
        <v>29</v>
      </c>
      <c r="E357" t="str">
        <f t="shared" si="135"/>
        <v>Zomba District [fyEoGEPERdI]|25-34|Female</v>
      </c>
      <c r="F357" s="90">
        <f>IF(LEFT($B357,4)="_Mil","",INDEX(Cascade!$AA:$AA,MATCH($E357,Cascade!$E:$E,0)))</f>
        <v>1525</v>
      </c>
      <c r="G357" s="14">
        <f>INDEX(Cascade!$BH:$BH,MATCH($E357,Cascade!$E:$E,0))</f>
        <v>0</v>
      </c>
      <c r="H357" s="14" t="str">
        <f>IF(OR($C357="01-09",$D357="Male"),"",INDEX(PMTCT!$AC:$AC,MATCH($E357,PMTCT!$E:$E,0)))</f>
        <v/>
      </c>
      <c r="I357" s="14" t="str">
        <f>IF(OR($C357="01-09",$D357="Male"),"",INDEX(PMTCT!$AS:$AS,MATCH($E357,PMTCT!$E:$E,0)))</f>
        <v/>
      </c>
      <c r="J357" s="14" t="str">
        <f>INDEX(TB!$P:$P,MATCH($E357,TB!$E:$E,0))</f>
        <v/>
      </c>
      <c r="K357" s="14" t="str">
        <f>IF(OR($C357="01-09",$C357="10-14",$D357="Female"),"",INDEX(VMMC!$AA:$AA,MATCH($E357,VMMC!$E:$E,0)))</f>
        <v/>
      </c>
      <c r="L357" s="14">
        <f t="shared" si="136"/>
        <v>0</v>
      </c>
      <c r="M357" s="90" t="str">
        <f t="shared" si="137"/>
        <v/>
      </c>
      <c r="N357" s="90" t="str">
        <f t="shared" si="138"/>
        <v/>
      </c>
      <c r="O357" s="90" t="str">
        <f t="shared" si="139"/>
        <v/>
      </c>
      <c r="P357" s="90" t="str">
        <f t="shared" si="140"/>
        <v/>
      </c>
      <c r="Q357" s="90"/>
      <c r="R357" s="90"/>
      <c r="S357" s="90"/>
      <c r="T357" s="90"/>
      <c r="U357" s="90"/>
      <c r="V357" s="90" t="str">
        <f t="shared" si="141"/>
        <v/>
      </c>
      <c r="W357" s="90"/>
      <c r="X357" s="42" t="str">
        <f t="shared" si="142"/>
        <v/>
      </c>
      <c r="Y357" s="42" t="str">
        <f t="shared" si="143"/>
        <v/>
      </c>
      <c r="Z357" s="90"/>
      <c r="AA357" s="42" t="str">
        <f t="shared" si="144"/>
        <v/>
      </c>
      <c r="AB357" s="42" t="str">
        <f t="shared" si="145"/>
        <v/>
      </c>
      <c r="AC357" s="90"/>
      <c r="AD357" s="42" t="str">
        <f t="shared" si="146"/>
        <v/>
      </c>
      <c r="AE357" s="42" t="str">
        <f t="shared" si="147"/>
        <v/>
      </c>
      <c r="AF357" s="90"/>
      <c r="AG357" s="42" t="str">
        <f t="shared" si="148"/>
        <v/>
      </c>
      <c r="AH357" s="42" t="str">
        <f t="shared" si="149"/>
        <v/>
      </c>
      <c r="AI357" s="90"/>
      <c r="AJ357" s="42" t="str">
        <f t="shared" si="150"/>
        <v/>
      </c>
      <c r="AK357" s="42" t="str">
        <f t="shared" si="151"/>
        <v/>
      </c>
      <c r="AL357" s="14" t="str">
        <f t="shared" si="152"/>
        <v/>
      </c>
      <c r="AM357" s="14" t="str">
        <f t="shared" si="153"/>
        <v/>
      </c>
      <c r="AN357" s="14" t="str">
        <f t="shared" si="154"/>
        <v/>
      </c>
      <c r="AO357" s="14" t="str">
        <f>IF(OR($C357="01-09",$D357="Male"),"",INDEX(PMTCT!$AD:$AD,MATCH($E357,PMTCT!$E:$E,0)))</f>
        <v/>
      </c>
      <c r="AP357" s="14" t="str">
        <f>IF(OR($C357="01-09",$D357="Male"),"",INDEX(PMTCT!$AT:$AT,MATCH($E357,PMTCT!$E:$E,0)))</f>
        <v/>
      </c>
      <c r="AQ357" s="14" t="str">
        <f>INDEX(TB!$Q:$Q,MATCH($E357,TB!$E:$E,0))</f>
        <v/>
      </c>
      <c r="AR357" s="14" t="str">
        <f>IF(OR($C357="01-09",$C357="10-14",$D357="Female"),"",INDEX(VMMC!$AB:$AB,MATCH($E357,VMMC!$E:$E,0)))</f>
        <v/>
      </c>
      <c r="AS357" s="14" t="str">
        <f>IF(OR($C357="01-09",$C357="10-14"),"",INDEX(PrEP!$Q:$Q,MATCH($E357,PrEP!$E:$E,0)))</f>
        <v/>
      </c>
      <c r="AT357" s="14" t="str">
        <f t="shared" si="155"/>
        <v/>
      </c>
      <c r="AU357" s="14" t="str">
        <f t="shared" si="156"/>
        <v/>
      </c>
      <c r="AV357" s="90" t="str">
        <f t="shared" si="157"/>
        <v/>
      </c>
      <c r="AW357" s="14"/>
      <c r="AX357" s="90" t="str">
        <f t="shared" si="158"/>
        <v/>
      </c>
      <c r="AY357" s="42" t="str">
        <f t="shared" si="159"/>
        <v/>
      </c>
      <c r="AZ357" s="90">
        <f t="shared" si="160"/>
        <v>1</v>
      </c>
      <c r="BA357" s="42" t="str">
        <f t="shared" si="161"/>
        <v/>
      </c>
    </row>
    <row r="358" spans="1:53" x14ac:dyDescent="0.2">
      <c r="A358" t="str">
        <f>INDEX(Prioritization!$D:$D,MATCH($B358,Prioritization!$A:$A,0))</f>
        <v>1 - Scale-up: Saturation</v>
      </c>
      <c r="B358" t="s">
        <v>221</v>
      </c>
      <c r="C358" t="s">
        <v>365</v>
      </c>
      <c r="D358" t="s">
        <v>47</v>
      </c>
      <c r="E358" t="str">
        <f t="shared" si="135"/>
        <v>Zomba District [fyEoGEPERdI]|25-34|Male</v>
      </c>
      <c r="F358" s="90">
        <f>IF(LEFT($B358,4)="_Mil","",INDEX(Cascade!$AA:$AA,MATCH($E358,Cascade!$E:$E,0)))</f>
        <v>1332</v>
      </c>
      <c r="G358" s="14">
        <f>INDEX(Cascade!$BH:$BH,MATCH($E358,Cascade!$E:$E,0))</f>
        <v>0</v>
      </c>
      <c r="H358" s="14" t="str">
        <f>IF(OR($C358="01-09",$D358="Male"),"",INDEX(PMTCT!$AC:$AC,MATCH($E358,PMTCT!$E:$E,0)))</f>
        <v/>
      </c>
      <c r="I358" s="14" t="str">
        <f>IF(OR($C358="01-09",$D358="Male"),"",INDEX(PMTCT!$AS:$AS,MATCH($E358,PMTCT!$E:$E,0)))</f>
        <v/>
      </c>
      <c r="J358" s="14" t="str">
        <f>INDEX(TB!$P:$P,MATCH($E358,TB!$E:$E,0))</f>
        <v/>
      </c>
      <c r="K358" s="14" t="str">
        <f>IF(OR($C358="01-09",$C358="10-14",$D358="Female"),"",INDEX(VMMC!$AA:$AA,MATCH($E358,VMMC!$E:$E,0)))</f>
        <v/>
      </c>
      <c r="L358" s="14">
        <f t="shared" si="136"/>
        <v>0</v>
      </c>
      <c r="M358" s="90" t="str">
        <f t="shared" si="137"/>
        <v/>
      </c>
      <c r="N358" s="90" t="str">
        <f t="shared" si="138"/>
        <v/>
      </c>
      <c r="O358" s="90" t="str">
        <f t="shared" si="139"/>
        <v/>
      </c>
      <c r="P358" s="90" t="str">
        <f t="shared" si="140"/>
        <v/>
      </c>
      <c r="Q358" s="90"/>
      <c r="R358" s="90"/>
      <c r="S358" s="90"/>
      <c r="T358" s="90"/>
      <c r="U358" s="90"/>
      <c r="V358" s="90" t="str">
        <f t="shared" si="141"/>
        <v/>
      </c>
      <c r="W358" s="90"/>
      <c r="X358" s="42" t="str">
        <f t="shared" si="142"/>
        <v/>
      </c>
      <c r="Y358" s="42" t="str">
        <f t="shared" si="143"/>
        <v/>
      </c>
      <c r="Z358" s="90"/>
      <c r="AA358" s="42" t="str">
        <f t="shared" si="144"/>
        <v/>
      </c>
      <c r="AB358" s="42" t="str">
        <f t="shared" si="145"/>
        <v/>
      </c>
      <c r="AC358" s="90"/>
      <c r="AD358" s="42" t="str">
        <f t="shared" si="146"/>
        <v/>
      </c>
      <c r="AE358" s="42" t="str">
        <f t="shared" si="147"/>
        <v/>
      </c>
      <c r="AF358" s="90"/>
      <c r="AG358" s="42" t="str">
        <f t="shared" si="148"/>
        <v/>
      </c>
      <c r="AH358" s="42" t="str">
        <f t="shared" si="149"/>
        <v/>
      </c>
      <c r="AI358" s="90"/>
      <c r="AJ358" s="42" t="str">
        <f t="shared" si="150"/>
        <v/>
      </c>
      <c r="AK358" s="42" t="str">
        <f t="shared" si="151"/>
        <v/>
      </c>
      <c r="AL358" s="14" t="str">
        <f t="shared" si="152"/>
        <v/>
      </c>
      <c r="AM358" s="14" t="str">
        <f t="shared" si="153"/>
        <v/>
      </c>
      <c r="AN358" s="14" t="str">
        <f t="shared" si="154"/>
        <v/>
      </c>
      <c r="AO358" s="14" t="str">
        <f>IF(OR($C358="01-09",$D358="Male"),"",INDEX(PMTCT!$AD:$AD,MATCH($E358,PMTCT!$E:$E,0)))</f>
        <v/>
      </c>
      <c r="AP358" s="14" t="str">
        <f>IF(OR($C358="01-09",$D358="Male"),"",INDEX(PMTCT!$AT:$AT,MATCH($E358,PMTCT!$E:$E,0)))</f>
        <v/>
      </c>
      <c r="AQ358" s="14" t="str">
        <f>INDEX(TB!$Q:$Q,MATCH($E358,TB!$E:$E,0))</f>
        <v/>
      </c>
      <c r="AR358" s="14" t="str">
        <f>IF(OR($C358="01-09",$C358="10-14",$D358="Female"),"",INDEX(VMMC!$AB:$AB,MATCH($E358,VMMC!$E:$E,0)))</f>
        <v/>
      </c>
      <c r="AS358" s="14" t="str">
        <f>IF(OR($C358="01-09",$C358="10-14"),"",INDEX(PrEP!$Q:$Q,MATCH($E358,PrEP!$E:$E,0)))</f>
        <v/>
      </c>
      <c r="AT358" s="14" t="str">
        <f t="shared" si="155"/>
        <v/>
      </c>
      <c r="AU358" s="14" t="str">
        <f t="shared" si="156"/>
        <v/>
      </c>
      <c r="AV358" s="90" t="str">
        <f t="shared" si="157"/>
        <v/>
      </c>
      <c r="AW358" s="14"/>
      <c r="AX358" s="90" t="str">
        <f t="shared" si="158"/>
        <v/>
      </c>
      <c r="AY358" s="42" t="str">
        <f t="shared" si="159"/>
        <v/>
      </c>
      <c r="AZ358" s="90">
        <f t="shared" si="160"/>
        <v>1</v>
      </c>
      <c r="BA358" s="42" t="str">
        <f t="shared" si="161"/>
        <v/>
      </c>
    </row>
    <row r="359" spans="1:53" x14ac:dyDescent="0.2">
      <c r="A359" t="str">
        <f>INDEX(Prioritization!$D:$D,MATCH($B359,Prioritization!$A:$A,0))</f>
        <v>1 - Scale-up: Saturation</v>
      </c>
      <c r="B359" t="s">
        <v>221</v>
      </c>
      <c r="C359" t="s">
        <v>366</v>
      </c>
      <c r="D359" t="s">
        <v>29</v>
      </c>
      <c r="E359" t="str">
        <f t="shared" si="135"/>
        <v>Zomba District [fyEoGEPERdI]|35-49|Female</v>
      </c>
      <c r="F359" s="90">
        <f>IF(LEFT($B359,4)="_Mil","",INDEX(Cascade!$AA:$AA,MATCH($E359,Cascade!$E:$E,0)))</f>
        <v>1588</v>
      </c>
      <c r="G359" s="14">
        <f>INDEX(Cascade!$BH:$BH,MATCH($E359,Cascade!$E:$E,0))</f>
        <v>0</v>
      </c>
      <c r="H359" s="14" t="str">
        <f>IF(OR($C359="01-09",$D359="Male"),"",INDEX(PMTCT!$AC:$AC,MATCH($E359,PMTCT!$E:$E,0)))</f>
        <v/>
      </c>
      <c r="I359" s="14" t="str">
        <f>IF(OR($C359="01-09",$D359="Male"),"",INDEX(PMTCT!$AS:$AS,MATCH($E359,PMTCT!$E:$E,0)))</f>
        <v/>
      </c>
      <c r="J359" s="14" t="str">
        <f>INDEX(TB!$P:$P,MATCH($E359,TB!$E:$E,0))</f>
        <v/>
      </c>
      <c r="K359" s="14" t="str">
        <f>IF(OR($C359="01-09",$C359="10-14",$D359="Female"),"",INDEX(VMMC!$AA:$AA,MATCH($E359,VMMC!$E:$E,0)))</f>
        <v/>
      </c>
      <c r="L359" s="14">
        <f t="shared" si="136"/>
        <v>0</v>
      </c>
      <c r="M359" s="90" t="str">
        <f t="shared" si="137"/>
        <v/>
      </c>
      <c r="N359" s="90" t="str">
        <f t="shared" si="138"/>
        <v/>
      </c>
      <c r="O359" s="90" t="str">
        <f t="shared" si="139"/>
        <v/>
      </c>
      <c r="P359" s="90" t="str">
        <f t="shared" si="140"/>
        <v/>
      </c>
      <c r="Q359" s="90"/>
      <c r="R359" s="90"/>
      <c r="S359" s="90"/>
      <c r="T359" s="90"/>
      <c r="U359" s="90"/>
      <c r="V359" s="90" t="str">
        <f t="shared" si="141"/>
        <v/>
      </c>
      <c r="W359" s="90"/>
      <c r="X359" s="42" t="str">
        <f t="shared" si="142"/>
        <v/>
      </c>
      <c r="Y359" s="42" t="str">
        <f t="shared" si="143"/>
        <v/>
      </c>
      <c r="Z359" s="90"/>
      <c r="AA359" s="42" t="str">
        <f t="shared" si="144"/>
        <v/>
      </c>
      <c r="AB359" s="42" t="str">
        <f t="shared" si="145"/>
        <v/>
      </c>
      <c r="AC359" s="90"/>
      <c r="AD359" s="42" t="str">
        <f t="shared" si="146"/>
        <v/>
      </c>
      <c r="AE359" s="42" t="str">
        <f t="shared" si="147"/>
        <v/>
      </c>
      <c r="AF359" s="90"/>
      <c r="AG359" s="42" t="str">
        <f t="shared" si="148"/>
        <v/>
      </c>
      <c r="AH359" s="42" t="str">
        <f t="shared" si="149"/>
        <v/>
      </c>
      <c r="AI359" s="90"/>
      <c r="AJ359" s="42" t="str">
        <f t="shared" si="150"/>
        <v/>
      </c>
      <c r="AK359" s="42" t="str">
        <f t="shared" si="151"/>
        <v/>
      </c>
      <c r="AL359" s="14" t="str">
        <f t="shared" si="152"/>
        <v/>
      </c>
      <c r="AM359" s="14" t="str">
        <f t="shared" si="153"/>
        <v/>
      </c>
      <c r="AN359" s="14" t="str">
        <f t="shared" si="154"/>
        <v/>
      </c>
      <c r="AO359" s="14" t="str">
        <f>IF(OR($C359="01-09",$D359="Male"),"",INDEX(PMTCT!$AD:$AD,MATCH($E359,PMTCT!$E:$E,0)))</f>
        <v/>
      </c>
      <c r="AP359" s="14" t="str">
        <f>IF(OR($C359="01-09",$D359="Male"),"",INDEX(PMTCT!$AT:$AT,MATCH($E359,PMTCT!$E:$E,0)))</f>
        <v/>
      </c>
      <c r="AQ359" s="14" t="str">
        <f>INDEX(TB!$Q:$Q,MATCH($E359,TB!$E:$E,0))</f>
        <v/>
      </c>
      <c r="AR359" s="14" t="str">
        <f>IF(OR($C359="01-09",$C359="10-14",$D359="Female"),"",INDEX(VMMC!$AB:$AB,MATCH($E359,VMMC!$E:$E,0)))</f>
        <v/>
      </c>
      <c r="AS359" s="14" t="str">
        <f>IF(OR($C359="01-09",$C359="10-14"),"",INDEX(PrEP!$Q:$Q,MATCH($E359,PrEP!$E:$E,0)))</f>
        <v/>
      </c>
      <c r="AT359" s="14" t="str">
        <f t="shared" si="155"/>
        <v/>
      </c>
      <c r="AU359" s="14" t="str">
        <f t="shared" si="156"/>
        <v/>
      </c>
      <c r="AV359" s="90" t="str">
        <f t="shared" si="157"/>
        <v/>
      </c>
      <c r="AW359" s="14"/>
      <c r="AX359" s="90" t="str">
        <f t="shared" si="158"/>
        <v/>
      </c>
      <c r="AY359" s="42" t="str">
        <f t="shared" si="159"/>
        <v/>
      </c>
      <c r="AZ359" s="90">
        <f t="shared" si="160"/>
        <v>1</v>
      </c>
      <c r="BA359" s="42" t="str">
        <f t="shared" si="161"/>
        <v/>
      </c>
    </row>
    <row r="360" spans="1:53" x14ac:dyDescent="0.2">
      <c r="A360" t="str">
        <f>INDEX(Prioritization!$D:$D,MATCH($B360,Prioritization!$A:$A,0))</f>
        <v>1 - Scale-up: Saturation</v>
      </c>
      <c r="B360" t="s">
        <v>221</v>
      </c>
      <c r="C360" t="s">
        <v>366</v>
      </c>
      <c r="D360" t="s">
        <v>47</v>
      </c>
      <c r="E360" t="str">
        <f t="shared" si="135"/>
        <v>Zomba District [fyEoGEPERdI]|35-49|Male</v>
      </c>
      <c r="F360" s="90">
        <f>IF(LEFT($B360,4)="_Mil","",INDEX(Cascade!$AA:$AA,MATCH($E360,Cascade!$E:$E,0)))</f>
        <v>1946</v>
      </c>
      <c r="G360" s="14">
        <f>INDEX(Cascade!$BH:$BH,MATCH($E360,Cascade!$E:$E,0))</f>
        <v>0</v>
      </c>
      <c r="H360" s="14" t="str">
        <f>IF(OR($C360="01-09",$D360="Male"),"",INDEX(PMTCT!$AC:$AC,MATCH($E360,PMTCT!$E:$E,0)))</f>
        <v/>
      </c>
      <c r="I360" s="14" t="str">
        <f>IF(OR($C360="01-09",$D360="Male"),"",INDEX(PMTCT!$AS:$AS,MATCH($E360,PMTCT!$E:$E,0)))</f>
        <v/>
      </c>
      <c r="J360" s="14" t="str">
        <f>INDEX(TB!$P:$P,MATCH($E360,TB!$E:$E,0))</f>
        <v/>
      </c>
      <c r="K360" s="14" t="str">
        <f>IF(OR($C360="01-09",$C360="10-14",$D360="Female"),"",INDEX(VMMC!$AA:$AA,MATCH($E360,VMMC!$E:$E,0)))</f>
        <v/>
      </c>
      <c r="L360" s="14">
        <f t="shared" si="136"/>
        <v>0</v>
      </c>
      <c r="M360" s="90" t="str">
        <f t="shared" si="137"/>
        <v/>
      </c>
      <c r="N360" s="90" t="str">
        <f t="shared" si="138"/>
        <v/>
      </c>
      <c r="O360" s="90" t="str">
        <f t="shared" si="139"/>
        <v/>
      </c>
      <c r="P360" s="90" t="str">
        <f t="shared" si="140"/>
        <v/>
      </c>
      <c r="Q360" s="90"/>
      <c r="R360" s="90"/>
      <c r="S360" s="90"/>
      <c r="T360" s="90"/>
      <c r="U360" s="90"/>
      <c r="V360" s="90" t="str">
        <f t="shared" si="141"/>
        <v/>
      </c>
      <c r="W360" s="90"/>
      <c r="X360" s="42" t="str">
        <f t="shared" si="142"/>
        <v/>
      </c>
      <c r="Y360" s="42" t="str">
        <f t="shared" si="143"/>
        <v/>
      </c>
      <c r="Z360" s="90"/>
      <c r="AA360" s="42" t="str">
        <f t="shared" si="144"/>
        <v/>
      </c>
      <c r="AB360" s="42" t="str">
        <f t="shared" si="145"/>
        <v/>
      </c>
      <c r="AC360" s="90"/>
      <c r="AD360" s="42" t="str">
        <f t="shared" si="146"/>
        <v/>
      </c>
      <c r="AE360" s="42" t="str">
        <f t="shared" si="147"/>
        <v/>
      </c>
      <c r="AF360" s="90"/>
      <c r="AG360" s="42" t="str">
        <f t="shared" si="148"/>
        <v/>
      </c>
      <c r="AH360" s="42" t="str">
        <f t="shared" si="149"/>
        <v/>
      </c>
      <c r="AI360" s="90"/>
      <c r="AJ360" s="42" t="str">
        <f t="shared" si="150"/>
        <v/>
      </c>
      <c r="AK360" s="42" t="str">
        <f t="shared" si="151"/>
        <v/>
      </c>
      <c r="AL360" s="14" t="str">
        <f t="shared" si="152"/>
        <v/>
      </c>
      <c r="AM360" s="14" t="str">
        <f t="shared" si="153"/>
        <v/>
      </c>
      <c r="AN360" s="14" t="str">
        <f t="shared" si="154"/>
        <v/>
      </c>
      <c r="AO360" s="14" t="str">
        <f>IF(OR($C360="01-09",$D360="Male"),"",INDEX(PMTCT!$AD:$AD,MATCH($E360,PMTCT!$E:$E,0)))</f>
        <v/>
      </c>
      <c r="AP360" s="14" t="str">
        <f>IF(OR($C360="01-09",$D360="Male"),"",INDEX(PMTCT!$AT:$AT,MATCH($E360,PMTCT!$E:$E,0)))</f>
        <v/>
      </c>
      <c r="AQ360" s="14" t="str">
        <f>INDEX(TB!$Q:$Q,MATCH($E360,TB!$E:$E,0))</f>
        <v/>
      </c>
      <c r="AR360" s="14" t="str">
        <f>IF(OR($C360="01-09",$C360="10-14",$D360="Female"),"",INDEX(VMMC!$AB:$AB,MATCH($E360,VMMC!$E:$E,0)))</f>
        <v/>
      </c>
      <c r="AS360" s="14" t="str">
        <f>IF(OR($C360="01-09",$C360="10-14"),"",INDEX(PrEP!$Q:$Q,MATCH($E360,PrEP!$E:$E,0)))</f>
        <v/>
      </c>
      <c r="AT360" s="14" t="str">
        <f t="shared" si="155"/>
        <v/>
      </c>
      <c r="AU360" s="14" t="str">
        <f t="shared" si="156"/>
        <v/>
      </c>
      <c r="AV360" s="90" t="str">
        <f t="shared" si="157"/>
        <v/>
      </c>
      <c r="AW360" s="14"/>
      <c r="AX360" s="90" t="str">
        <f t="shared" si="158"/>
        <v/>
      </c>
      <c r="AY360" s="42" t="str">
        <f t="shared" si="159"/>
        <v/>
      </c>
      <c r="AZ360" s="90">
        <f t="shared" si="160"/>
        <v>1</v>
      </c>
      <c r="BA360" s="42" t="str">
        <f t="shared" si="161"/>
        <v/>
      </c>
    </row>
    <row r="361" spans="1:53" x14ac:dyDescent="0.2">
      <c r="A361" t="str">
        <f>INDEX(Prioritization!$D:$D,MATCH($B361,Prioritization!$A:$A,0))</f>
        <v>1 - Scale-up: Saturation</v>
      </c>
      <c r="B361" t="s">
        <v>221</v>
      </c>
      <c r="C361" t="s">
        <v>367</v>
      </c>
      <c r="D361" t="s">
        <v>29</v>
      </c>
      <c r="E361" t="str">
        <f t="shared" si="135"/>
        <v>Zomba District [fyEoGEPERdI]|50+|Female</v>
      </c>
      <c r="F361" s="90">
        <f>IF(LEFT($B361,4)="_Mil","",INDEX(Cascade!$AA:$AA,MATCH($E361,Cascade!$E:$E,0)))</f>
        <v>1194</v>
      </c>
      <c r="G361" s="14">
        <f>INDEX(Cascade!$BH:$BH,MATCH($E361,Cascade!$E:$E,0))</f>
        <v>0</v>
      </c>
      <c r="H361" s="14" t="str">
        <f>IF(OR($C361="01-09",$D361="Male"),"",INDEX(PMTCT!$AC:$AC,MATCH($E361,PMTCT!$E:$E,0)))</f>
        <v/>
      </c>
      <c r="I361" s="14" t="str">
        <f>IF(OR($C361="01-09",$D361="Male"),"",INDEX(PMTCT!$AS:$AS,MATCH($E361,PMTCT!$E:$E,0)))</f>
        <v/>
      </c>
      <c r="J361" s="14" t="str">
        <f>INDEX(TB!$P:$P,MATCH($E361,TB!$E:$E,0))</f>
        <v/>
      </c>
      <c r="K361" s="14" t="str">
        <f>IF(OR($C361="01-09",$C361="10-14",$D361="Female"),"",INDEX(VMMC!$AA:$AA,MATCH($E361,VMMC!$E:$E,0)))</f>
        <v/>
      </c>
      <c r="L361" s="14">
        <f t="shared" si="136"/>
        <v>0</v>
      </c>
      <c r="M361" s="90" t="str">
        <f t="shared" si="137"/>
        <v/>
      </c>
      <c r="N361" s="90" t="str">
        <f t="shared" si="138"/>
        <v/>
      </c>
      <c r="O361" s="90" t="str">
        <f t="shared" si="139"/>
        <v/>
      </c>
      <c r="P361" s="90" t="str">
        <f t="shared" si="140"/>
        <v/>
      </c>
      <c r="Q361" s="90"/>
      <c r="R361" s="90"/>
      <c r="S361" s="90"/>
      <c r="T361" s="90"/>
      <c r="U361" s="90">
        <v>0.30461652157828201</v>
      </c>
      <c r="V361" s="90" t="str">
        <f t="shared" si="141"/>
        <v/>
      </c>
      <c r="W361" s="90"/>
      <c r="X361" s="42" t="str">
        <f t="shared" si="142"/>
        <v/>
      </c>
      <c r="Y361" s="42" t="str">
        <f t="shared" si="143"/>
        <v/>
      </c>
      <c r="Z361" s="90"/>
      <c r="AA361" s="42" t="str">
        <f t="shared" si="144"/>
        <v/>
      </c>
      <c r="AB361" s="42" t="str">
        <f t="shared" si="145"/>
        <v/>
      </c>
      <c r="AC361" s="90"/>
      <c r="AD361" s="42" t="str">
        <f t="shared" si="146"/>
        <v/>
      </c>
      <c r="AE361" s="42" t="str">
        <f t="shared" si="147"/>
        <v/>
      </c>
      <c r="AF361" s="90"/>
      <c r="AG361" s="42" t="str">
        <f t="shared" si="148"/>
        <v/>
      </c>
      <c r="AH361" s="42" t="str">
        <f t="shared" si="149"/>
        <v/>
      </c>
      <c r="AI361" s="90">
        <v>0.44896041229367301</v>
      </c>
      <c r="AJ361" s="42" t="str">
        <f t="shared" si="150"/>
        <v/>
      </c>
      <c r="AK361" s="42" t="str">
        <f t="shared" si="151"/>
        <v/>
      </c>
      <c r="AL361" s="14" t="str">
        <f t="shared" si="152"/>
        <v/>
      </c>
      <c r="AM361" s="14" t="str">
        <f t="shared" si="153"/>
        <v/>
      </c>
      <c r="AN361" s="14" t="str">
        <f t="shared" si="154"/>
        <v/>
      </c>
      <c r="AO361" s="14" t="str">
        <f>IF(OR($C361="01-09",$D361="Male"),"",INDEX(PMTCT!$AD:$AD,MATCH($E361,PMTCT!$E:$E,0)))</f>
        <v/>
      </c>
      <c r="AP361" s="14" t="str">
        <f>IF(OR($C361="01-09",$D361="Male"),"",INDEX(PMTCT!$AT:$AT,MATCH($E361,PMTCT!$E:$E,0)))</f>
        <v/>
      </c>
      <c r="AQ361" s="14" t="str">
        <f>INDEX(TB!$Q:$Q,MATCH($E361,TB!$E:$E,0))</f>
        <v/>
      </c>
      <c r="AR361" s="14" t="str">
        <f>IF(OR($C361="01-09",$C361="10-14",$D361="Female"),"",INDEX(VMMC!$AB:$AB,MATCH($E361,VMMC!$E:$E,0)))</f>
        <v/>
      </c>
      <c r="AS361" s="14" t="str">
        <f>IF(OR($C361="01-09",$C361="10-14"),"",INDEX(PrEP!$Q:$Q,MATCH($E361,PrEP!$E:$E,0)))</f>
        <v/>
      </c>
      <c r="AT361" s="14" t="str">
        <f t="shared" si="155"/>
        <v/>
      </c>
      <c r="AU361" s="14" t="str">
        <f t="shared" si="156"/>
        <v/>
      </c>
      <c r="AV361" s="90" t="str">
        <f t="shared" si="157"/>
        <v/>
      </c>
      <c r="AW361" s="14">
        <v>48</v>
      </c>
      <c r="AX361" s="90">
        <f t="shared" si="158"/>
        <v>0</v>
      </c>
      <c r="AY361" s="42">
        <f t="shared" si="159"/>
        <v>48</v>
      </c>
      <c r="AZ361" s="90">
        <f t="shared" si="160"/>
        <v>1</v>
      </c>
      <c r="BA361" s="42" t="str">
        <f t="shared" si="161"/>
        <v/>
      </c>
    </row>
    <row r="362" spans="1:53" x14ac:dyDescent="0.2">
      <c r="A362" t="str">
        <f>INDEX(Prioritization!$D:$D,MATCH($B362,Prioritization!$A:$A,0))</f>
        <v>1 - Scale-up: Saturation</v>
      </c>
      <c r="B362" t="s">
        <v>221</v>
      </c>
      <c r="C362" t="s">
        <v>367</v>
      </c>
      <c r="D362" t="s">
        <v>47</v>
      </c>
      <c r="E362" t="str">
        <f t="shared" si="135"/>
        <v>Zomba District [fyEoGEPERdI]|50+|Male</v>
      </c>
      <c r="F362" s="90">
        <f>IF(LEFT($B362,4)="_Mil","",INDEX(Cascade!$AA:$AA,MATCH($E362,Cascade!$E:$E,0)))</f>
        <v>794</v>
      </c>
      <c r="G362" s="14">
        <f>INDEX(Cascade!$BH:$BH,MATCH($E362,Cascade!$E:$E,0))</f>
        <v>0</v>
      </c>
      <c r="H362" s="14" t="str">
        <f>IF(OR($C362="01-09",$D362="Male"),"",INDEX(PMTCT!$AC:$AC,MATCH($E362,PMTCT!$E:$E,0)))</f>
        <v/>
      </c>
      <c r="I362" s="14" t="str">
        <f>IF(OR($C362="01-09",$D362="Male"),"",INDEX(PMTCT!$AS:$AS,MATCH($E362,PMTCT!$E:$E,0)))</f>
        <v/>
      </c>
      <c r="J362" s="14" t="str">
        <f>INDEX(TB!$P:$P,MATCH($E362,TB!$E:$E,0))</f>
        <v/>
      </c>
      <c r="K362" s="14" t="str">
        <f>IF(OR($C362="01-09",$C362="10-14",$D362="Female"),"",INDEX(VMMC!$AA:$AA,MATCH($E362,VMMC!$E:$E,0)))</f>
        <v/>
      </c>
      <c r="L362" s="14">
        <f t="shared" si="136"/>
        <v>0</v>
      </c>
      <c r="M362" s="90" t="str">
        <f t="shared" si="137"/>
        <v/>
      </c>
      <c r="N362" s="90" t="str">
        <f t="shared" si="138"/>
        <v/>
      </c>
      <c r="O362" s="90" t="str">
        <f t="shared" si="139"/>
        <v/>
      </c>
      <c r="P362" s="90" t="str">
        <f t="shared" si="140"/>
        <v/>
      </c>
      <c r="Q362" s="90"/>
      <c r="R362" s="90"/>
      <c r="S362" s="90"/>
      <c r="T362" s="90"/>
      <c r="U362" s="90">
        <v>0.48223932273685899</v>
      </c>
      <c r="V362" s="90" t="str">
        <f t="shared" si="141"/>
        <v/>
      </c>
      <c r="W362" s="90"/>
      <c r="X362" s="42" t="str">
        <f t="shared" si="142"/>
        <v/>
      </c>
      <c r="Y362" s="42" t="str">
        <f t="shared" si="143"/>
        <v/>
      </c>
      <c r="Z362" s="90"/>
      <c r="AA362" s="42" t="str">
        <f t="shared" si="144"/>
        <v/>
      </c>
      <c r="AB362" s="42" t="str">
        <f t="shared" si="145"/>
        <v/>
      </c>
      <c r="AC362" s="90"/>
      <c r="AD362" s="42" t="str">
        <f t="shared" si="146"/>
        <v/>
      </c>
      <c r="AE362" s="42" t="str">
        <f t="shared" si="147"/>
        <v/>
      </c>
      <c r="AF362" s="90"/>
      <c r="AG362" s="42" t="str">
        <f t="shared" si="148"/>
        <v/>
      </c>
      <c r="AH362" s="42" t="str">
        <f t="shared" si="149"/>
        <v/>
      </c>
      <c r="AI362" s="90">
        <v>0.43345770402811501</v>
      </c>
      <c r="AJ362" s="42" t="str">
        <f t="shared" si="150"/>
        <v/>
      </c>
      <c r="AK362" s="42" t="str">
        <f t="shared" si="151"/>
        <v/>
      </c>
      <c r="AL362" s="14" t="str">
        <f t="shared" si="152"/>
        <v/>
      </c>
      <c r="AM362" s="14" t="str">
        <f t="shared" si="153"/>
        <v/>
      </c>
      <c r="AN362" s="14" t="str">
        <f t="shared" si="154"/>
        <v/>
      </c>
      <c r="AO362" s="14" t="str">
        <f>IF(OR($C362="01-09",$D362="Male"),"",INDEX(PMTCT!$AD:$AD,MATCH($E362,PMTCT!$E:$E,0)))</f>
        <v/>
      </c>
      <c r="AP362" s="14" t="str">
        <f>IF(OR($C362="01-09",$D362="Male"),"",INDEX(PMTCT!$AT:$AT,MATCH($E362,PMTCT!$E:$E,0)))</f>
        <v/>
      </c>
      <c r="AQ362" s="14" t="str">
        <f>INDEX(TB!$Q:$Q,MATCH($E362,TB!$E:$E,0))</f>
        <v/>
      </c>
      <c r="AR362" s="14" t="str">
        <f>IF(OR($C362="01-09",$C362="10-14",$D362="Female"),"",INDEX(VMMC!$AB:$AB,MATCH($E362,VMMC!$E:$E,0)))</f>
        <v/>
      </c>
      <c r="AS362" s="14" t="str">
        <f>IF(OR($C362="01-09",$C362="10-14"),"",INDEX(PrEP!$Q:$Q,MATCH($E362,PrEP!$E:$E,0)))</f>
        <v/>
      </c>
      <c r="AT362" s="14" t="str">
        <f t="shared" si="155"/>
        <v/>
      </c>
      <c r="AU362" s="14" t="str">
        <f t="shared" si="156"/>
        <v/>
      </c>
      <c r="AV362" s="90" t="str">
        <f t="shared" si="157"/>
        <v/>
      </c>
      <c r="AW362" s="14">
        <v>56</v>
      </c>
      <c r="AX362" s="90">
        <f t="shared" si="158"/>
        <v>0</v>
      </c>
      <c r="AY362" s="42">
        <f t="shared" si="159"/>
        <v>56</v>
      </c>
      <c r="AZ362" s="90">
        <f t="shared" si="160"/>
        <v>1</v>
      </c>
      <c r="BA362" s="42" t="str">
        <f t="shared" si="161"/>
        <v/>
      </c>
    </row>
  </sheetData>
  <mergeCells count="1">
    <mergeCell ref="A2:B3"/>
  </mergeCells>
  <conditionalFormatting sqref="K1:K1048576 P1:P1048576 AR1:AR1048576">
    <cfRule type="expression" dxfId="73" priority="2">
      <formula>OR($D1="Female",$C1="01-09",$C1="10-14")</formula>
    </cfRule>
  </conditionalFormatting>
  <conditionalFormatting sqref="AW1:AY1048576">
    <cfRule type="expression" dxfId="72" priority="3">
      <formula>OR($C1="01-09")</formula>
    </cfRule>
  </conditionalFormatting>
  <conditionalFormatting sqref="H1:I1048576 M1:N1048576 AO1:AP1048576">
    <cfRule type="expression" dxfId="71" priority="4">
      <formula>OR($D1="Male",$C1="01-09")</formula>
    </cfRule>
  </conditionalFormatting>
  <conditionalFormatting sqref="AN1:AN1048576">
    <cfRule type="expression" dxfId="70" priority="5">
      <formula>AND(ISNUMBER($AN1),ROUND(SUM($AN1),0)&lt;&gt;0)</formula>
    </cfRule>
  </conditionalFormatting>
  <conditionalFormatting sqref="Y1:Y1048576 AB1:AB1048576 AE1:AE1048576 AH1:AH1048576 AK1:AK1048576">
    <cfRule type="containsText" dxfId="69" priority="6" operator="containsText" text="ENTER YIELD">
      <formula>NOT(ISERROR(SEARCH("ENTER YIELD",Y1)))</formula>
    </cfRule>
  </conditionalFormatting>
  <conditionalFormatting sqref="F1:F1048576">
    <cfRule type="expression" dxfId="68" priority="7">
      <formula>LEFT($B1,4)="_Mil"</formula>
    </cfRule>
  </conditionalFormatting>
  <conditionalFormatting sqref="F1:AW1048576 AY1:BA1048576">
    <cfRule type="expression" dxfId="67" priority="8">
      <formula>AND(ISNUMBER(F1),F1&lt;0)</formula>
    </cfRule>
  </conditionalFormatting>
  <conditionalFormatting sqref="AZ1:AZ1048576">
    <cfRule type="expression" dxfId="66" priority="9">
      <formula>AND(ISNUMBER(AZ1),AZ1&lt;1)</formula>
    </cfRule>
  </conditionalFormatting>
  <conditionalFormatting sqref="M1:V1048576">
    <cfRule type="expression" dxfId="65" priority="10">
      <formula>AND(OR(ISNUMBER($V1),ROW($V1)&gt;14),IF(SUM($G1)=0,SUM($V1)&lt;&gt;0,ROUND($V1,2)&lt;&gt;1))</formula>
    </cfRule>
  </conditionalFormatting>
  <conditionalFormatting sqref="AS1:AS1048576 AZ1:BA1048576">
    <cfRule type="expression" dxfId="64" priority="11">
      <formula>OR($C1="01-09",$C1="10-14")</formula>
    </cfRule>
  </conditionalFormatting>
  <conditionalFormatting sqref="M1:W1048576 Z1:Z1048576 AC1:AC1048576 AF1:AF1048576 AI1:AI1048576 AV1:AV1048576 AZ1:AZ1048576">
    <cfRule type="expression" dxfId="63" priority="12">
      <formula>AND(ISNUMBER(M1),M1&gt;1)</formula>
    </cfRule>
  </conditionalFormatting>
  <hyperlinks>
    <hyperlink ref="F3" location="Cascade!Z:Z" display="P.C. Est. ART Coverage (ART/PLHIV) (FY23) (%)" xr:uid="{00000000-0004-0000-0B00-000000000000}"/>
    <hyperlink ref="G3" location="Cascade!BE:BE" display="Total HTS_TST_POS (FY24)" xr:uid="{00000000-0004-0000-0B00-000001000000}"/>
    <hyperlink ref="H3" location="PMTCT!AC:AC" display="PMTCT_STAT New Positives (FY24)" xr:uid="{00000000-0004-0000-0B00-000002000000}"/>
    <hyperlink ref="I3" location="PMTCT!AS:AS" display="HTS_TST Post ANC1 New Positives (FY24)" xr:uid="{00000000-0004-0000-0B00-000003000000}"/>
    <hyperlink ref="J3" location="TB!P:P" display="TB_STAT New Positives (FY24)" xr:uid="{00000000-0004-0000-0B00-000004000000}"/>
    <hyperlink ref="K3" location="VMMC!AA:AA" display="VMMC_CIRC New Positives (FY24)" xr:uid="{00000000-0004-0000-0B00-000005000000}"/>
    <hyperlink ref="M3" location="HTS!H:H" display="PMTCT_STAT: New Positive (%)" xr:uid="{00000000-0004-0000-0B00-000006000000}"/>
    <hyperlink ref="N3" location="HTS!I:I" display="PMTCT Post ANC1: Positive (%)" xr:uid="{00000000-0004-0000-0B00-000007000000}"/>
    <hyperlink ref="O3" location="HTS!J:J" display="TB_STAT: New Positive (%)" xr:uid="{00000000-0004-0000-0B00-000008000000}"/>
    <hyperlink ref="P3" location="HTS!K:K" display="VMMC: New Positive (%)" xr:uid="{00000000-0004-0000-0B00-000009000000}"/>
    <hyperlink ref="Q3" location="HTS!X:X" display="Active Index (%)" xr:uid="{00000000-0004-0000-0B00-00000A000000}"/>
    <hyperlink ref="R3" location="HTS!AA:AA" display="Active SNS (%)" xr:uid="{00000000-0004-0000-0B00-00000B000000}"/>
    <hyperlink ref="S3" location="HTS!AD:AD" display="Active Other (%)" xr:uid="{00000000-0004-0000-0B00-00000C000000}"/>
    <hyperlink ref="T3" location="HTS!AG:AG" display="STI Clinic (%)" xr:uid="{00000000-0004-0000-0B00-00000D000000}"/>
    <hyperlink ref="U3" location="HTS!AJ:AJ" display="Other Facility (%)" xr:uid="{00000000-0004-0000-0B00-00000E000000}"/>
    <hyperlink ref="X3" location="HTS!Q:Q" display="Positive" xr:uid="{00000000-0004-0000-0B00-00000F000000}"/>
    <hyperlink ref="AA3" location="HTS!R:R" display="Positive" xr:uid="{00000000-0004-0000-0B00-000010000000}"/>
    <hyperlink ref="AD3" location="HTS!S:S" display="Positive" xr:uid="{00000000-0004-0000-0B00-000011000000}"/>
    <hyperlink ref="AG3" location="HTS!T:T" display="Positive" xr:uid="{00000000-0004-0000-0B00-000012000000}"/>
    <hyperlink ref="AJ3" location="HTS!U:U" display="Positive" xr:uid="{00000000-0004-0000-0B00-000013000000}"/>
    <hyperlink ref="AL3" location="HTS!G:G" display="Original HTS_TST_POS (FY24)" xr:uid="{00000000-0004-0000-0B00-000014000000}"/>
    <hyperlink ref="AO3" location="PMTCT!AD:AD" display="PMTCT_STAT New Negatives (FY24)" xr:uid="{00000000-0004-0000-0B00-000015000000}"/>
    <hyperlink ref="AP3" location="PMTCT!AT:AT" display="HTS_TST Post ANC1 Negatives (FY24)" xr:uid="{00000000-0004-0000-0B00-000016000000}"/>
    <hyperlink ref="AQ3" location="TB!Q:Q" display="TB_STAT New Negatives (FY24)" xr:uid="{00000000-0004-0000-0B00-000017000000}"/>
    <hyperlink ref="AR3" location="VMMC!AB:AB" display="VMMC_CIRC New Negatives (FY24)" xr:uid="{00000000-0004-0000-0B00-000018000000}"/>
    <hyperlink ref="AS3" location="PrEP!Q:Q" display="PrEP_CT Total (FY24)" xr:uid="{00000000-0004-0000-0B00-000019000000}"/>
  </hyperlinks>
  <pageMargins left="0.7" right="0.7" top="0.75" bottom="0.75" header="0.511811023622047" footer="0.511811023622047"/>
  <pageSetup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72"/>
  <sheetViews>
    <sheetView zoomScaleNormal="100" workbookViewId="0">
      <pane xSplit="5" ySplit="14" topLeftCell="F15" activePane="bottomRight" state="frozen"/>
      <selection pane="topRight" activeCell="F1" sqref="F1"/>
      <selection pane="bottomLeft" activeCell="A15" sqref="A15"/>
      <selection pane="bottomRight"/>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10" width="11.83203125" customWidth="1"/>
    <col min="11" max="12" width="12" customWidth="1"/>
    <col min="13" max="13" width="11.83203125" customWidth="1"/>
  </cols>
  <sheetData>
    <row r="1" spans="1:13" ht="30.75" customHeight="1" x14ac:dyDescent="0.2">
      <c r="A1" s="44" t="s">
        <v>1149</v>
      </c>
      <c r="B1" s="18"/>
      <c r="C1" s="18"/>
      <c r="D1" s="18"/>
      <c r="E1" s="18"/>
      <c r="F1" s="45" t="s">
        <v>490</v>
      </c>
      <c r="G1" s="46"/>
      <c r="H1" s="46"/>
      <c r="I1" s="46"/>
      <c r="J1" s="50"/>
      <c r="K1" s="50"/>
      <c r="L1" s="50"/>
      <c r="M1" s="46"/>
    </row>
    <row r="2" spans="1:13" ht="18.75" customHeight="1" x14ac:dyDescent="0.25">
      <c r="A2" s="1" t="s">
        <v>1150</v>
      </c>
      <c r="B2" s="1"/>
      <c r="C2" s="22"/>
      <c r="D2" s="22"/>
      <c r="E2" s="22"/>
      <c r="F2" s="52"/>
      <c r="G2" s="25"/>
      <c r="H2" s="25"/>
      <c r="I2" s="25"/>
      <c r="J2" s="54"/>
      <c r="K2" s="54"/>
      <c r="L2" s="54"/>
      <c r="M2" s="24" t="s">
        <v>176</v>
      </c>
    </row>
    <row r="3" spans="1:13" ht="117" customHeight="1" x14ac:dyDescent="0.2">
      <c r="A3" s="1"/>
      <c r="B3" s="1"/>
      <c r="C3" s="26"/>
      <c r="D3" s="26"/>
      <c r="E3" s="26"/>
      <c r="F3" s="27" t="s">
        <v>1151</v>
      </c>
      <c r="G3" s="71" t="s">
        <v>1152</v>
      </c>
      <c r="H3" s="139" t="s">
        <v>1153</v>
      </c>
      <c r="I3" s="139" t="s">
        <v>274</v>
      </c>
      <c r="J3" s="162" t="s">
        <v>1154</v>
      </c>
      <c r="K3" s="160" t="s">
        <v>1155</v>
      </c>
      <c r="L3" s="160" t="s">
        <v>1156</v>
      </c>
      <c r="M3" s="74" t="s">
        <v>583</v>
      </c>
    </row>
    <row r="4" spans="1:13" x14ac:dyDescent="0.2">
      <c r="A4" s="75"/>
      <c r="B4" s="30"/>
      <c r="C4" s="30"/>
      <c r="D4" s="30" t="s">
        <v>287</v>
      </c>
      <c r="E4" s="30"/>
      <c r="F4" s="76">
        <f>SUBTOTAL(109,F$15:INDEX(F:F,COUNTA($B:$B)+14-COUNTA($B$1:$B$14)))</f>
        <v>0</v>
      </c>
      <c r="G4" s="75">
        <f>SUBTOTAL(109,G$15:INDEX(G:G,COUNTA($B:$B)+14-COUNTA($B$1:$B$14)))</f>
        <v>0</v>
      </c>
      <c r="H4" s="75">
        <f>SUBTOTAL(109,H$15:INDEX(H:H,COUNTA($B:$B)+14-COUNTA($B$1:$B$14)))</f>
        <v>0</v>
      </c>
      <c r="I4" s="75">
        <f>SUBTOTAL(109,I$15:INDEX(I:I,COUNTA($B:$B)+14-COUNTA($B$1:$B$14)))</f>
        <v>0</v>
      </c>
      <c r="J4" s="86"/>
      <c r="K4" s="86"/>
      <c r="L4" s="86"/>
      <c r="M4" s="84">
        <f>SUBTOTAL(109,M$15:INDEX(M:M,COUNTA($B:$B)+14-COUNTA($B$1:$B$14)))</f>
        <v>0</v>
      </c>
    </row>
    <row r="5" spans="1:13" x14ac:dyDescent="0.2">
      <c r="A5" t="s">
        <v>180</v>
      </c>
      <c r="B5" s="13" t="s">
        <v>180</v>
      </c>
      <c r="C5" s="13" t="s">
        <v>180</v>
      </c>
      <c r="D5" s="13" t="s">
        <v>180</v>
      </c>
      <c r="E5" s="13" t="s">
        <v>180</v>
      </c>
      <c r="F5" s="87" t="s">
        <v>288</v>
      </c>
      <c r="G5" s="14" t="s">
        <v>288</v>
      </c>
      <c r="H5" s="14" t="s">
        <v>180</v>
      </c>
      <c r="I5" s="14" t="s">
        <v>180</v>
      </c>
      <c r="J5" s="90" t="s">
        <v>180</v>
      </c>
      <c r="K5" s="90" t="s">
        <v>180</v>
      </c>
      <c r="L5" s="90" t="s">
        <v>180</v>
      </c>
      <c r="M5" s="9" t="s">
        <v>288</v>
      </c>
    </row>
    <row r="6" spans="1:13" x14ac:dyDescent="0.2">
      <c r="A6" t="s">
        <v>182</v>
      </c>
      <c r="B6" s="13" t="s">
        <v>182</v>
      </c>
      <c r="C6" s="13" t="s">
        <v>182</v>
      </c>
      <c r="D6" s="13" t="s">
        <v>182</v>
      </c>
      <c r="E6" s="13" t="s">
        <v>182</v>
      </c>
      <c r="F6" s="87" t="s">
        <v>183</v>
      </c>
      <c r="G6" s="14" t="s">
        <v>183</v>
      </c>
      <c r="H6" s="14" t="s">
        <v>185</v>
      </c>
      <c r="I6" s="14" t="s">
        <v>185</v>
      </c>
      <c r="J6" s="90" t="s">
        <v>291</v>
      </c>
      <c r="K6" s="90" t="s">
        <v>290</v>
      </c>
      <c r="L6" s="90" t="s">
        <v>290</v>
      </c>
      <c r="M6" s="9" t="s">
        <v>184</v>
      </c>
    </row>
    <row r="7" spans="1:13" x14ac:dyDescent="0.2">
      <c r="A7" t="s">
        <v>186</v>
      </c>
      <c r="B7" s="13" t="s">
        <v>186</v>
      </c>
      <c r="C7" s="13" t="s">
        <v>186</v>
      </c>
      <c r="D7" s="13" t="s">
        <v>186</v>
      </c>
      <c r="E7" s="13" t="s">
        <v>186</v>
      </c>
      <c r="F7" s="87" t="s">
        <v>187</v>
      </c>
      <c r="G7" s="14" t="s">
        <v>187</v>
      </c>
      <c r="H7" s="14" t="s">
        <v>187</v>
      </c>
      <c r="I7" s="14" t="s">
        <v>187</v>
      </c>
      <c r="J7" s="90" t="s">
        <v>293</v>
      </c>
      <c r="K7" s="90" t="s">
        <v>293</v>
      </c>
      <c r="L7" s="90" t="s">
        <v>293</v>
      </c>
      <c r="M7" s="9" t="s">
        <v>187</v>
      </c>
    </row>
    <row r="8" spans="1:13" x14ac:dyDescent="0.2">
      <c r="F8" s="95" t="s">
        <v>1157</v>
      </c>
      <c r="G8" s="96" t="s">
        <v>656</v>
      </c>
      <c r="H8" s="14"/>
      <c r="I8" s="14"/>
      <c r="J8" s="90"/>
      <c r="K8" s="90"/>
      <c r="L8" s="90"/>
      <c r="M8" s="99" t="s">
        <v>656</v>
      </c>
    </row>
    <row r="9" spans="1:13" x14ac:dyDescent="0.2">
      <c r="F9" s="95" t="s">
        <v>1158</v>
      </c>
      <c r="G9" s="96" t="s">
        <v>1159</v>
      </c>
      <c r="H9" s="14"/>
      <c r="I9" s="14"/>
      <c r="J9" s="90"/>
      <c r="K9" s="90"/>
      <c r="L9" s="90"/>
      <c r="M9" s="99" t="s">
        <v>1159</v>
      </c>
    </row>
    <row r="10" spans="1:13" x14ac:dyDescent="0.2">
      <c r="F10" s="95" t="s">
        <v>311</v>
      </c>
      <c r="G10" s="96" t="s">
        <v>311</v>
      </c>
      <c r="H10" s="14"/>
      <c r="I10" s="14"/>
      <c r="J10" s="90"/>
      <c r="K10" s="90"/>
      <c r="L10" s="90"/>
      <c r="M10" s="99" t="s">
        <v>311</v>
      </c>
    </row>
    <row r="11" spans="1:13" x14ac:dyDescent="0.2">
      <c r="F11" s="87" t="s">
        <v>684</v>
      </c>
      <c r="G11" s="14" t="s">
        <v>684</v>
      </c>
      <c r="H11" s="14" t="s">
        <v>684</v>
      </c>
      <c r="I11" s="14" t="s">
        <v>684</v>
      </c>
      <c r="J11" s="90" t="s">
        <v>684</v>
      </c>
      <c r="K11" s="90" t="s">
        <v>684</v>
      </c>
      <c r="L11" s="90" t="s">
        <v>684</v>
      </c>
      <c r="M11" s="9" t="s">
        <v>684</v>
      </c>
    </row>
    <row r="12" spans="1:13" x14ac:dyDescent="0.2">
      <c r="F12" s="87" t="s">
        <v>689</v>
      </c>
      <c r="G12" s="14" t="s">
        <v>689</v>
      </c>
      <c r="H12" s="14" t="s">
        <v>689</v>
      </c>
      <c r="I12" s="14" t="s">
        <v>689</v>
      </c>
      <c r="J12" s="90" t="s">
        <v>689</v>
      </c>
      <c r="K12" s="90" t="s">
        <v>689</v>
      </c>
      <c r="L12" s="90" t="s">
        <v>689</v>
      </c>
      <c r="M12" s="9" t="s">
        <v>689</v>
      </c>
    </row>
    <row r="14" spans="1:13" x14ac:dyDescent="0.2">
      <c r="A14" s="102" t="s">
        <v>175</v>
      </c>
      <c r="B14" s="36" t="s">
        <v>189</v>
      </c>
      <c r="C14" s="36" t="s">
        <v>317</v>
      </c>
      <c r="D14" s="36" t="s">
        <v>318</v>
      </c>
      <c r="E14" s="36" t="s">
        <v>19</v>
      </c>
      <c r="F14" s="103" t="s">
        <v>1160</v>
      </c>
      <c r="G14" s="39" t="s">
        <v>1161</v>
      </c>
      <c r="H14" s="39" t="s">
        <v>327</v>
      </c>
      <c r="I14" s="39" t="s">
        <v>343</v>
      </c>
      <c r="J14" s="105" t="s">
        <v>1162</v>
      </c>
      <c r="K14" s="105" t="s">
        <v>1163</v>
      </c>
      <c r="L14" s="105" t="s">
        <v>1164</v>
      </c>
      <c r="M14" s="109" t="s">
        <v>754</v>
      </c>
    </row>
    <row r="15" spans="1:13" x14ac:dyDescent="0.2">
      <c r="A15" t="str">
        <f>INDEX(Prioritization!$D:$D,MATCH($B15,Prioritization!$A:$A,0))</f>
        <v>Military</v>
      </c>
      <c r="B15" t="s">
        <v>193</v>
      </c>
      <c r="C15" t="s">
        <v>365</v>
      </c>
      <c r="D15" t="s">
        <v>29</v>
      </c>
      <c r="E15" s="13" t="str">
        <f t="shared" ref="E15:E46" si="0">B15&amp;"|"&amp;C15&amp;"|"&amp;D15</f>
        <v>_Military Malawi [PQZgU9dagaH]|25-34|Female</v>
      </c>
      <c r="F15" s="14"/>
      <c r="G15" s="14"/>
      <c r="H15" s="14" t="str">
        <f>IFERROR(1/(1/INDEX(Cascade!$O:$O,MATCH($E15,Cascade!$E:$E,0))),"")</f>
        <v/>
      </c>
      <c r="I15" s="14" t="str">
        <f>IFERROR(1/(1/INDEX(Cascade!$AV:$AV,MATCH($E15,Cascade!$E:$E,0))),"")</f>
        <v/>
      </c>
      <c r="J15" s="90"/>
      <c r="K15" s="90">
        <f t="shared" ref="K15:K46" si="1">1/3</f>
        <v>0.33333333333333331</v>
      </c>
      <c r="L15" s="90">
        <f>1</f>
        <v>1</v>
      </c>
      <c r="M15" s="9" t="str">
        <f t="shared" ref="M15:M46" si="2">IF(SUM($H15)=0,"",ROUND($H15*$K15+$I15*$L15,0))</f>
        <v/>
      </c>
    </row>
    <row r="16" spans="1:13" x14ac:dyDescent="0.2">
      <c r="A16" t="str">
        <f>INDEX(Prioritization!$D:$D,MATCH($B16,Prioritization!$A:$A,0))</f>
        <v>Military</v>
      </c>
      <c r="B16" t="s">
        <v>193</v>
      </c>
      <c r="C16" t="s">
        <v>366</v>
      </c>
      <c r="D16" t="s">
        <v>29</v>
      </c>
      <c r="E16" t="str">
        <f t="shared" si="0"/>
        <v>_Military Malawi [PQZgU9dagaH]|35-49|Female</v>
      </c>
      <c r="F16" s="14"/>
      <c r="G16" s="14"/>
      <c r="H16" s="14" t="str">
        <f>IFERROR(1/(1/INDEX(Cascade!$O:$O,MATCH($E16,Cascade!$E:$E,0))),"")</f>
        <v/>
      </c>
      <c r="I16" s="14" t="str">
        <f>IFERROR(1/(1/INDEX(Cascade!$AV:$AV,MATCH($E16,Cascade!$E:$E,0))),"")</f>
        <v/>
      </c>
      <c r="J16" s="90"/>
      <c r="K16" s="90">
        <f t="shared" si="1"/>
        <v>0.33333333333333331</v>
      </c>
      <c r="L16" s="90">
        <f>1</f>
        <v>1</v>
      </c>
      <c r="M16" s="42" t="str">
        <f t="shared" si="2"/>
        <v/>
      </c>
    </row>
    <row r="17" spans="1:13" x14ac:dyDescent="0.2">
      <c r="A17" t="str">
        <f>INDEX(Prioritization!$D:$D,MATCH($B17,Prioritization!$A:$A,0))</f>
        <v>1 - Scale-up: Saturation</v>
      </c>
      <c r="B17" t="s">
        <v>194</v>
      </c>
      <c r="C17" t="s">
        <v>365</v>
      </c>
      <c r="D17" t="s">
        <v>29</v>
      </c>
      <c r="E17" t="str">
        <f t="shared" si="0"/>
        <v>Dedza District [PekKUkKHAzY]|25-34|Female</v>
      </c>
      <c r="F17" s="14"/>
      <c r="G17" s="14"/>
      <c r="H17" s="14" t="str">
        <f>IFERROR(1/(1/INDEX(Cascade!$O:$O,MATCH($E17,Cascade!$E:$E,0))),"")</f>
        <v/>
      </c>
      <c r="I17" s="14" t="str">
        <f>IFERROR(1/(1/INDEX(Cascade!$AV:$AV,MATCH($E17,Cascade!$E:$E,0))),"")</f>
        <v/>
      </c>
      <c r="J17" s="90"/>
      <c r="K17" s="90">
        <f t="shared" si="1"/>
        <v>0.33333333333333331</v>
      </c>
      <c r="L17" s="90">
        <f>1</f>
        <v>1</v>
      </c>
      <c r="M17" s="42" t="str">
        <f t="shared" si="2"/>
        <v/>
      </c>
    </row>
    <row r="18" spans="1:13" x14ac:dyDescent="0.2">
      <c r="A18" t="str">
        <f>INDEX(Prioritization!$D:$D,MATCH($B18,Prioritization!$A:$A,0))</f>
        <v>1 - Scale-up: Saturation</v>
      </c>
      <c r="B18" t="s">
        <v>194</v>
      </c>
      <c r="C18" t="s">
        <v>366</v>
      </c>
      <c r="D18" t="s">
        <v>29</v>
      </c>
      <c r="E18" t="str">
        <f t="shared" si="0"/>
        <v>Dedza District [PekKUkKHAzY]|35-49|Female</v>
      </c>
      <c r="F18" s="14"/>
      <c r="G18" s="14"/>
      <c r="H18" s="14" t="str">
        <f>IFERROR(1/(1/INDEX(Cascade!$O:$O,MATCH($E18,Cascade!$E:$E,0))),"")</f>
        <v/>
      </c>
      <c r="I18" s="14" t="str">
        <f>IFERROR(1/(1/INDEX(Cascade!$AV:$AV,MATCH($E18,Cascade!$E:$E,0))),"")</f>
        <v/>
      </c>
      <c r="J18" s="90"/>
      <c r="K18" s="90">
        <f t="shared" si="1"/>
        <v>0.33333333333333331</v>
      </c>
      <c r="L18" s="90">
        <f>1</f>
        <v>1</v>
      </c>
      <c r="M18" s="42" t="str">
        <f t="shared" si="2"/>
        <v/>
      </c>
    </row>
    <row r="19" spans="1:13" x14ac:dyDescent="0.2">
      <c r="A19" t="str">
        <f>INDEX(Prioritization!$D:$D,MATCH($B19,Prioritization!$A:$A,0))</f>
        <v>1 - Scale-up: Saturation</v>
      </c>
      <c r="B19" t="s">
        <v>195</v>
      </c>
      <c r="C19" t="s">
        <v>365</v>
      </c>
      <c r="D19" t="s">
        <v>29</v>
      </c>
      <c r="E19" t="str">
        <f t="shared" si="0"/>
        <v>Dowa District [zphK9WV8JB4]|25-34|Female</v>
      </c>
      <c r="F19" s="14"/>
      <c r="G19" s="14"/>
      <c r="H19" s="14" t="str">
        <f>IFERROR(1/(1/INDEX(Cascade!$O:$O,MATCH($E19,Cascade!$E:$E,0))),"")</f>
        <v/>
      </c>
      <c r="I19" s="14" t="str">
        <f>IFERROR(1/(1/INDEX(Cascade!$AV:$AV,MATCH($E19,Cascade!$E:$E,0))),"")</f>
        <v/>
      </c>
      <c r="J19" s="90"/>
      <c r="K19" s="90">
        <f t="shared" si="1"/>
        <v>0.33333333333333331</v>
      </c>
      <c r="L19" s="90">
        <f>1</f>
        <v>1</v>
      </c>
      <c r="M19" s="42" t="str">
        <f t="shared" si="2"/>
        <v/>
      </c>
    </row>
    <row r="20" spans="1:13" x14ac:dyDescent="0.2">
      <c r="A20" t="str">
        <f>INDEX(Prioritization!$D:$D,MATCH($B20,Prioritization!$A:$A,0))</f>
        <v>1 - Scale-up: Saturation</v>
      </c>
      <c r="B20" t="s">
        <v>195</v>
      </c>
      <c r="C20" t="s">
        <v>366</v>
      </c>
      <c r="D20" t="s">
        <v>29</v>
      </c>
      <c r="E20" t="str">
        <f t="shared" si="0"/>
        <v>Dowa District [zphK9WV8JB4]|35-49|Female</v>
      </c>
      <c r="F20" s="14"/>
      <c r="G20" s="14"/>
      <c r="H20" s="14" t="str">
        <f>IFERROR(1/(1/INDEX(Cascade!$O:$O,MATCH($E20,Cascade!$E:$E,0))),"")</f>
        <v/>
      </c>
      <c r="I20" s="14" t="str">
        <f>IFERROR(1/(1/INDEX(Cascade!$AV:$AV,MATCH($E20,Cascade!$E:$E,0))),"")</f>
        <v/>
      </c>
      <c r="J20" s="90"/>
      <c r="K20" s="90">
        <f t="shared" si="1"/>
        <v>0.33333333333333331</v>
      </c>
      <c r="L20" s="90">
        <f>1</f>
        <v>1</v>
      </c>
      <c r="M20" s="42" t="str">
        <f t="shared" si="2"/>
        <v/>
      </c>
    </row>
    <row r="21" spans="1:13" x14ac:dyDescent="0.2">
      <c r="A21" t="str">
        <f>INDEX(Prioritization!$D:$D,MATCH($B21,Prioritization!$A:$A,0))</f>
        <v>INVALID</v>
      </c>
      <c r="B21" t="s">
        <v>196</v>
      </c>
      <c r="C21" t="s">
        <v>365</v>
      </c>
      <c r="D21" t="s">
        <v>29</v>
      </c>
      <c r="E21" t="str">
        <f t="shared" si="0"/>
        <v>Kasungu District [JQKLKuVuY61]|25-34|Female</v>
      </c>
      <c r="F21" s="14"/>
      <c r="G21" s="14"/>
      <c r="H21" s="14" t="str">
        <f>IFERROR(1/(1/INDEX(Cascade!$O:$O,MATCH($E21,Cascade!$E:$E,0))),"")</f>
        <v/>
      </c>
      <c r="I21" s="14" t="str">
        <f>IFERROR(1/(1/INDEX(Cascade!$AV:$AV,MATCH($E21,Cascade!$E:$E,0))),"")</f>
        <v/>
      </c>
      <c r="J21" s="90"/>
      <c r="K21" s="90">
        <f t="shared" si="1"/>
        <v>0.33333333333333331</v>
      </c>
      <c r="L21" s="90">
        <f>1</f>
        <v>1</v>
      </c>
      <c r="M21" s="42" t="str">
        <f t="shared" si="2"/>
        <v/>
      </c>
    </row>
    <row r="22" spans="1:13" x14ac:dyDescent="0.2">
      <c r="A22" t="str">
        <f>INDEX(Prioritization!$D:$D,MATCH($B22,Prioritization!$A:$A,0))</f>
        <v>INVALID</v>
      </c>
      <c r="B22" t="s">
        <v>196</v>
      </c>
      <c r="C22" t="s">
        <v>366</v>
      </c>
      <c r="D22" t="s">
        <v>29</v>
      </c>
      <c r="E22" t="str">
        <f t="shared" si="0"/>
        <v>Kasungu District [JQKLKuVuY61]|35-49|Female</v>
      </c>
      <c r="F22" s="14"/>
      <c r="G22" s="14"/>
      <c r="H22" s="14" t="str">
        <f>IFERROR(1/(1/INDEX(Cascade!$O:$O,MATCH($E22,Cascade!$E:$E,0))),"")</f>
        <v/>
      </c>
      <c r="I22" s="14" t="str">
        <f>IFERROR(1/(1/INDEX(Cascade!$AV:$AV,MATCH($E22,Cascade!$E:$E,0))),"")</f>
        <v/>
      </c>
      <c r="J22" s="90"/>
      <c r="K22" s="90">
        <f t="shared" si="1"/>
        <v>0.33333333333333331</v>
      </c>
      <c r="L22" s="90">
        <f>1</f>
        <v>1</v>
      </c>
      <c r="M22" s="42" t="str">
        <f t="shared" si="2"/>
        <v/>
      </c>
    </row>
    <row r="23" spans="1:13" x14ac:dyDescent="0.2">
      <c r="A23" t="str">
        <f>INDEX(Prioritization!$D:$D,MATCH($B23,Prioritization!$A:$A,0))</f>
        <v>1 - Scale-up: Saturation</v>
      </c>
      <c r="B23" t="s">
        <v>197</v>
      </c>
      <c r="C23" t="s">
        <v>365</v>
      </c>
      <c r="D23" t="s">
        <v>29</v>
      </c>
      <c r="E23" t="str">
        <f t="shared" si="0"/>
        <v>Lilongwe District [ScR9iFKAasW]|25-34|Female</v>
      </c>
      <c r="F23" s="14"/>
      <c r="G23" s="14"/>
      <c r="H23" s="14" t="str">
        <f>IFERROR(1/(1/INDEX(Cascade!$O:$O,MATCH($E23,Cascade!$E:$E,0))),"")</f>
        <v/>
      </c>
      <c r="I23" s="14" t="str">
        <f>IFERROR(1/(1/INDEX(Cascade!$AV:$AV,MATCH($E23,Cascade!$E:$E,0))),"")</f>
        <v/>
      </c>
      <c r="J23" s="90"/>
      <c r="K23" s="90">
        <f t="shared" si="1"/>
        <v>0.33333333333333331</v>
      </c>
      <c r="L23" s="90">
        <f>1</f>
        <v>1</v>
      </c>
      <c r="M23" s="42" t="str">
        <f t="shared" si="2"/>
        <v/>
      </c>
    </row>
    <row r="24" spans="1:13" x14ac:dyDescent="0.2">
      <c r="A24" t="str">
        <f>INDEX(Prioritization!$D:$D,MATCH($B24,Prioritization!$A:$A,0))</f>
        <v>1 - Scale-up: Saturation</v>
      </c>
      <c r="B24" t="s">
        <v>197</v>
      </c>
      <c r="C24" t="s">
        <v>366</v>
      </c>
      <c r="D24" t="s">
        <v>29</v>
      </c>
      <c r="E24" t="str">
        <f t="shared" si="0"/>
        <v>Lilongwe District [ScR9iFKAasW]|35-49|Female</v>
      </c>
      <c r="F24" s="14"/>
      <c r="G24" s="14"/>
      <c r="H24" s="14" t="str">
        <f>IFERROR(1/(1/INDEX(Cascade!$O:$O,MATCH($E24,Cascade!$E:$E,0))),"")</f>
        <v/>
      </c>
      <c r="I24" s="14" t="str">
        <f>IFERROR(1/(1/INDEX(Cascade!$AV:$AV,MATCH($E24,Cascade!$E:$E,0))),"")</f>
        <v/>
      </c>
      <c r="J24" s="90"/>
      <c r="K24" s="90">
        <f t="shared" si="1"/>
        <v>0.33333333333333331</v>
      </c>
      <c r="L24" s="90">
        <f>1</f>
        <v>1</v>
      </c>
      <c r="M24" s="42" t="str">
        <f t="shared" si="2"/>
        <v/>
      </c>
    </row>
    <row r="25" spans="1:13" x14ac:dyDescent="0.2">
      <c r="A25" t="str">
        <f>INDEX(Prioritization!$D:$D,MATCH($B25,Prioritization!$A:$A,0))</f>
        <v>1 - Scale-up: Saturation</v>
      </c>
      <c r="B25" t="s">
        <v>198</v>
      </c>
      <c r="C25" t="s">
        <v>365</v>
      </c>
      <c r="D25" t="s">
        <v>29</v>
      </c>
      <c r="E25" t="str">
        <f t="shared" si="0"/>
        <v>Mchinji District [kxuuIFpOXyO]|25-34|Female</v>
      </c>
      <c r="F25" s="14"/>
      <c r="G25" s="14"/>
      <c r="H25" s="14" t="str">
        <f>IFERROR(1/(1/INDEX(Cascade!$O:$O,MATCH($E25,Cascade!$E:$E,0))),"")</f>
        <v/>
      </c>
      <c r="I25" s="14" t="str">
        <f>IFERROR(1/(1/INDEX(Cascade!$AV:$AV,MATCH($E25,Cascade!$E:$E,0))),"")</f>
        <v/>
      </c>
      <c r="J25" s="90"/>
      <c r="K25" s="90">
        <f t="shared" si="1"/>
        <v>0.33333333333333331</v>
      </c>
      <c r="L25" s="90">
        <f>1</f>
        <v>1</v>
      </c>
      <c r="M25" s="42" t="str">
        <f t="shared" si="2"/>
        <v/>
      </c>
    </row>
    <row r="26" spans="1:13" x14ac:dyDescent="0.2">
      <c r="A26" t="str">
        <f>INDEX(Prioritization!$D:$D,MATCH($B26,Prioritization!$A:$A,0))</f>
        <v>1 - Scale-up: Saturation</v>
      </c>
      <c r="B26" t="s">
        <v>198</v>
      </c>
      <c r="C26" t="s">
        <v>366</v>
      </c>
      <c r="D26" t="s">
        <v>29</v>
      </c>
      <c r="E26" t="str">
        <f t="shared" si="0"/>
        <v>Mchinji District [kxuuIFpOXyO]|35-49|Female</v>
      </c>
      <c r="F26" s="14"/>
      <c r="G26" s="14"/>
      <c r="H26" s="14" t="str">
        <f>IFERROR(1/(1/INDEX(Cascade!$O:$O,MATCH($E26,Cascade!$E:$E,0))),"")</f>
        <v/>
      </c>
      <c r="I26" s="14" t="str">
        <f>IFERROR(1/(1/INDEX(Cascade!$AV:$AV,MATCH($E26,Cascade!$E:$E,0))),"")</f>
        <v/>
      </c>
      <c r="J26" s="90"/>
      <c r="K26" s="90">
        <f t="shared" si="1"/>
        <v>0.33333333333333331</v>
      </c>
      <c r="L26" s="90">
        <f>1</f>
        <v>1</v>
      </c>
      <c r="M26" s="42" t="str">
        <f t="shared" si="2"/>
        <v/>
      </c>
    </row>
    <row r="27" spans="1:13" x14ac:dyDescent="0.2">
      <c r="A27" t="str">
        <f>INDEX(Prioritization!$D:$D,MATCH($B27,Prioritization!$A:$A,0))</f>
        <v>1 - Scale-up: Saturation</v>
      </c>
      <c r="B27" t="s">
        <v>199</v>
      </c>
      <c r="C27" t="s">
        <v>365</v>
      </c>
      <c r="D27" t="s">
        <v>29</v>
      </c>
      <c r="E27" t="str">
        <f t="shared" si="0"/>
        <v>Nkhotakota District [YCKiBAp8QAg]|25-34|Female</v>
      </c>
      <c r="F27" s="14"/>
      <c r="G27" s="14"/>
      <c r="H27" s="14" t="str">
        <f>IFERROR(1/(1/INDEX(Cascade!$O:$O,MATCH($E27,Cascade!$E:$E,0))),"")</f>
        <v/>
      </c>
      <c r="I27" s="14" t="str">
        <f>IFERROR(1/(1/INDEX(Cascade!$AV:$AV,MATCH($E27,Cascade!$E:$E,0))),"")</f>
        <v/>
      </c>
      <c r="J27" s="90"/>
      <c r="K27" s="90">
        <f t="shared" si="1"/>
        <v>0.33333333333333331</v>
      </c>
      <c r="L27" s="90">
        <f>1</f>
        <v>1</v>
      </c>
      <c r="M27" s="42" t="str">
        <f t="shared" si="2"/>
        <v/>
      </c>
    </row>
    <row r="28" spans="1:13" x14ac:dyDescent="0.2">
      <c r="A28" t="str">
        <f>INDEX(Prioritization!$D:$D,MATCH($B28,Prioritization!$A:$A,0))</f>
        <v>1 - Scale-up: Saturation</v>
      </c>
      <c r="B28" t="s">
        <v>199</v>
      </c>
      <c r="C28" t="s">
        <v>366</v>
      </c>
      <c r="D28" t="s">
        <v>29</v>
      </c>
      <c r="E28" t="str">
        <f t="shared" si="0"/>
        <v>Nkhotakota District [YCKiBAp8QAg]|35-49|Female</v>
      </c>
      <c r="F28" s="14"/>
      <c r="G28" s="14"/>
      <c r="H28" s="14" t="str">
        <f>IFERROR(1/(1/INDEX(Cascade!$O:$O,MATCH($E28,Cascade!$E:$E,0))),"")</f>
        <v/>
      </c>
      <c r="I28" s="14" t="str">
        <f>IFERROR(1/(1/INDEX(Cascade!$AV:$AV,MATCH($E28,Cascade!$E:$E,0))),"")</f>
        <v/>
      </c>
      <c r="J28" s="90"/>
      <c r="K28" s="90">
        <f t="shared" si="1"/>
        <v>0.33333333333333331</v>
      </c>
      <c r="L28" s="90">
        <f>1</f>
        <v>1</v>
      </c>
      <c r="M28" s="42" t="str">
        <f t="shared" si="2"/>
        <v/>
      </c>
    </row>
    <row r="29" spans="1:13" x14ac:dyDescent="0.2">
      <c r="A29" t="str">
        <f>INDEX(Prioritization!$D:$D,MATCH($B29,Prioritization!$A:$A,0))</f>
        <v>INVALID</v>
      </c>
      <c r="B29" t="s">
        <v>200</v>
      </c>
      <c r="C29" t="s">
        <v>365</v>
      </c>
      <c r="D29" t="s">
        <v>29</v>
      </c>
      <c r="E29" t="str">
        <f t="shared" si="0"/>
        <v>Ntcheu District [am530wpaGvr]|25-34|Female</v>
      </c>
      <c r="F29" s="14"/>
      <c r="G29" s="14"/>
      <c r="H29" s="14" t="str">
        <f>IFERROR(1/(1/INDEX(Cascade!$O:$O,MATCH($E29,Cascade!$E:$E,0))),"")</f>
        <v/>
      </c>
      <c r="I29" s="14" t="str">
        <f>IFERROR(1/(1/INDEX(Cascade!$AV:$AV,MATCH($E29,Cascade!$E:$E,0))),"")</f>
        <v/>
      </c>
      <c r="J29" s="90"/>
      <c r="K29" s="90">
        <f t="shared" si="1"/>
        <v>0.33333333333333331</v>
      </c>
      <c r="L29" s="90">
        <f>1</f>
        <v>1</v>
      </c>
      <c r="M29" s="42" t="str">
        <f t="shared" si="2"/>
        <v/>
      </c>
    </row>
    <row r="30" spans="1:13" x14ac:dyDescent="0.2">
      <c r="A30" t="str">
        <f>INDEX(Prioritization!$D:$D,MATCH($B30,Prioritization!$A:$A,0))</f>
        <v>INVALID</v>
      </c>
      <c r="B30" t="s">
        <v>200</v>
      </c>
      <c r="C30" t="s">
        <v>366</v>
      </c>
      <c r="D30" t="s">
        <v>29</v>
      </c>
      <c r="E30" t="str">
        <f t="shared" si="0"/>
        <v>Ntcheu District [am530wpaGvr]|35-49|Female</v>
      </c>
      <c r="F30" s="14"/>
      <c r="G30" s="14"/>
      <c r="H30" s="14" t="str">
        <f>IFERROR(1/(1/INDEX(Cascade!$O:$O,MATCH($E30,Cascade!$E:$E,0))),"")</f>
        <v/>
      </c>
      <c r="I30" s="14" t="str">
        <f>IFERROR(1/(1/INDEX(Cascade!$AV:$AV,MATCH($E30,Cascade!$E:$E,0))),"")</f>
        <v/>
      </c>
      <c r="J30" s="90"/>
      <c r="K30" s="90">
        <f t="shared" si="1"/>
        <v>0.33333333333333331</v>
      </c>
      <c r="L30" s="90">
        <f>1</f>
        <v>1</v>
      </c>
      <c r="M30" s="42" t="str">
        <f t="shared" si="2"/>
        <v/>
      </c>
    </row>
    <row r="31" spans="1:13" x14ac:dyDescent="0.2">
      <c r="A31" t="str">
        <f>INDEX(Prioritization!$D:$D,MATCH($B31,Prioritization!$A:$A,0))</f>
        <v>INVALID</v>
      </c>
      <c r="B31" t="s">
        <v>201</v>
      </c>
      <c r="C31" t="s">
        <v>365</v>
      </c>
      <c r="D31" t="s">
        <v>29</v>
      </c>
      <c r="E31" t="str">
        <f t="shared" si="0"/>
        <v>Ntchisi District [fiRkU6gEjLz]|25-34|Female</v>
      </c>
      <c r="F31" s="14"/>
      <c r="G31" s="14"/>
      <c r="H31" s="14" t="str">
        <f>IFERROR(1/(1/INDEX(Cascade!$O:$O,MATCH($E31,Cascade!$E:$E,0))),"")</f>
        <v/>
      </c>
      <c r="I31" s="14" t="str">
        <f>IFERROR(1/(1/INDEX(Cascade!$AV:$AV,MATCH($E31,Cascade!$E:$E,0))),"")</f>
        <v/>
      </c>
      <c r="J31" s="90"/>
      <c r="K31" s="90">
        <f t="shared" si="1"/>
        <v>0.33333333333333331</v>
      </c>
      <c r="L31" s="90">
        <f>1</f>
        <v>1</v>
      </c>
      <c r="M31" s="42" t="str">
        <f t="shared" si="2"/>
        <v/>
      </c>
    </row>
    <row r="32" spans="1:13" x14ac:dyDescent="0.2">
      <c r="A32" t="str">
        <f>INDEX(Prioritization!$D:$D,MATCH($B32,Prioritization!$A:$A,0))</f>
        <v>INVALID</v>
      </c>
      <c r="B32" t="s">
        <v>201</v>
      </c>
      <c r="C32" t="s">
        <v>366</v>
      </c>
      <c r="D32" t="s">
        <v>29</v>
      </c>
      <c r="E32" t="str">
        <f t="shared" si="0"/>
        <v>Ntchisi District [fiRkU6gEjLz]|35-49|Female</v>
      </c>
      <c r="F32" s="14"/>
      <c r="G32" s="14"/>
      <c r="H32" s="14" t="str">
        <f>IFERROR(1/(1/INDEX(Cascade!$O:$O,MATCH($E32,Cascade!$E:$E,0))),"")</f>
        <v/>
      </c>
      <c r="I32" s="14" t="str">
        <f>IFERROR(1/(1/INDEX(Cascade!$AV:$AV,MATCH($E32,Cascade!$E:$E,0))),"")</f>
        <v/>
      </c>
      <c r="J32" s="90"/>
      <c r="K32" s="90">
        <f t="shared" si="1"/>
        <v>0.33333333333333331</v>
      </c>
      <c r="L32" s="90">
        <f>1</f>
        <v>1</v>
      </c>
      <c r="M32" s="42" t="str">
        <f t="shared" si="2"/>
        <v/>
      </c>
    </row>
    <row r="33" spans="1:13" x14ac:dyDescent="0.2">
      <c r="A33" t="str">
        <f>INDEX(Prioritization!$D:$D,MATCH($B33,Prioritization!$A:$A,0))</f>
        <v>INVALID</v>
      </c>
      <c r="B33" t="s">
        <v>202</v>
      </c>
      <c r="C33" t="s">
        <v>365</v>
      </c>
      <c r="D33" t="s">
        <v>29</v>
      </c>
      <c r="E33" t="str">
        <f t="shared" si="0"/>
        <v>Salima District [msW2zpIN7up]|25-34|Female</v>
      </c>
      <c r="F33" s="14"/>
      <c r="G33" s="14"/>
      <c r="H33" s="14" t="str">
        <f>IFERROR(1/(1/INDEX(Cascade!$O:$O,MATCH($E33,Cascade!$E:$E,0))),"")</f>
        <v/>
      </c>
      <c r="I33" s="14" t="str">
        <f>IFERROR(1/(1/INDEX(Cascade!$AV:$AV,MATCH($E33,Cascade!$E:$E,0))),"")</f>
        <v/>
      </c>
      <c r="J33" s="90"/>
      <c r="K33" s="90">
        <f t="shared" si="1"/>
        <v>0.33333333333333331</v>
      </c>
      <c r="L33" s="90">
        <f>1</f>
        <v>1</v>
      </c>
      <c r="M33" s="42" t="str">
        <f t="shared" si="2"/>
        <v/>
      </c>
    </row>
    <row r="34" spans="1:13" x14ac:dyDescent="0.2">
      <c r="A34" t="str">
        <f>INDEX(Prioritization!$D:$D,MATCH($B34,Prioritization!$A:$A,0))</f>
        <v>INVALID</v>
      </c>
      <c r="B34" t="s">
        <v>202</v>
      </c>
      <c r="C34" t="s">
        <v>366</v>
      </c>
      <c r="D34" t="s">
        <v>29</v>
      </c>
      <c r="E34" t="str">
        <f t="shared" si="0"/>
        <v>Salima District [msW2zpIN7up]|35-49|Female</v>
      </c>
      <c r="F34" s="14"/>
      <c r="G34" s="14"/>
      <c r="H34" s="14" t="str">
        <f>IFERROR(1/(1/INDEX(Cascade!$O:$O,MATCH($E34,Cascade!$E:$E,0))),"")</f>
        <v/>
      </c>
      <c r="I34" s="14" t="str">
        <f>IFERROR(1/(1/INDEX(Cascade!$AV:$AV,MATCH($E34,Cascade!$E:$E,0))),"")</f>
        <v/>
      </c>
      <c r="J34" s="90"/>
      <c r="K34" s="90">
        <f t="shared" si="1"/>
        <v>0.33333333333333331</v>
      </c>
      <c r="L34" s="90">
        <f>1</f>
        <v>1</v>
      </c>
      <c r="M34" s="42" t="str">
        <f t="shared" si="2"/>
        <v/>
      </c>
    </row>
    <row r="35" spans="1:13" x14ac:dyDescent="0.2">
      <c r="A35" t="str">
        <f>INDEX(Prioritization!$D:$D,MATCH($B35,Prioritization!$A:$A,0))</f>
        <v>1 - Scale-up: Saturation</v>
      </c>
      <c r="B35" t="s">
        <v>203</v>
      </c>
      <c r="C35" t="s">
        <v>365</v>
      </c>
      <c r="D35" t="s">
        <v>29</v>
      </c>
      <c r="E35" t="str">
        <f t="shared" si="0"/>
        <v>Chitipa District [GkIwZrXy1h2]|25-34|Female</v>
      </c>
      <c r="F35" s="14"/>
      <c r="G35" s="14"/>
      <c r="H35" s="14" t="str">
        <f>IFERROR(1/(1/INDEX(Cascade!$O:$O,MATCH($E35,Cascade!$E:$E,0))),"")</f>
        <v/>
      </c>
      <c r="I35" s="14" t="str">
        <f>IFERROR(1/(1/INDEX(Cascade!$AV:$AV,MATCH($E35,Cascade!$E:$E,0))),"")</f>
        <v/>
      </c>
      <c r="J35" s="90"/>
      <c r="K35" s="90">
        <f t="shared" si="1"/>
        <v>0.33333333333333331</v>
      </c>
      <c r="L35" s="90">
        <f>1</f>
        <v>1</v>
      </c>
      <c r="M35" s="42" t="str">
        <f t="shared" si="2"/>
        <v/>
      </c>
    </row>
    <row r="36" spans="1:13" x14ac:dyDescent="0.2">
      <c r="A36" t="str">
        <f>INDEX(Prioritization!$D:$D,MATCH($B36,Prioritization!$A:$A,0))</f>
        <v>1 - Scale-up: Saturation</v>
      </c>
      <c r="B36" t="s">
        <v>203</v>
      </c>
      <c r="C36" t="s">
        <v>366</v>
      </c>
      <c r="D36" t="s">
        <v>29</v>
      </c>
      <c r="E36" t="str">
        <f t="shared" si="0"/>
        <v>Chitipa District [GkIwZrXy1h2]|35-49|Female</v>
      </c>
      <c r="F36" s="14"/>
      <c r="G36" s="14"/>
      <c r="H36" s="14" t="str">
        <f>IFERROR(1/(1/INDEX(Cascade!$O:$O,MATCH($E36,Cascade!$E:$E,0))),"")</f>
        <v/>
      </c>
      <c r="I36" s="14" t="str">
        <f>IFERROR(1/(1/INDEX(Cascade!$AV:$AV,MATCH($E36,Cascade!$E:$E,0))),"")</f>
        <v/>
      </c>
      <c r="J36" s="90"/>
      <c r="K36" s="90">
        <f t="shared" si="1"/>
        <v>0.33333333333333331</v>
      </c>
      <c r="L36" s="90">
        <f>1</f>
        <v>1</v>
      </c>
      <c r="M36" s="42" t="str">
        <f t="shared" si="2"/>
        <v/>
      </c>
    </row>
    <row r="37" spans="1:13" x14ac:dyDescent="0.2">
      <c r="A37" t="str">
        <f>INDEX(Prioritization!$D:$D,MATCH($B37,Prioritization!$A:$A,0))</f>
        <v>INVALID</v>
      </c>
      <c r="B37" t="s">
        <v>204</v>
      </c>
      <c r="C37" t="s">
        <v>365</v>
      </c>
      <c r="D37" t="s">
        <v>29</v>
      </c>
      <c r="E37" t="str">
        <f t="shared" si="0"/>
        <v>Karonga District [cPtvxaZqXIH]|25-34|Female</v>
      </c>
      <c r="F37" s="14"/>
      <c r="G37" s="14"/>
      <c r="H37" s="14" t="str">
        <f>IFERROR(1/(1/INDEX(Cascade!$O:$O,MATCH($E37,Cascade!$E:$E,0))),"")</f>
        <v/>
      </c>
      <c r="I37" s="14" t="str">
        <f>IFERROR(1/(1/INDEX(Cascade!$AV:$AV,MATCH($E37,Cascade!$E:$E,0))),"")</f>
        <v/>
      </c>
      <c r="J37" s="90"/>
      <c r="K37" s="90">
        <f t="shared" si="1"/>
        <v>0.33333333333333331</v>
      </c>
      <c r="L37" s="90">
        <f>1</f>
        <v>1</v>
      </c>
      <c r="M37" s="42" t="str">
        <f t="shared" si="2"/>
        <v/>
      </c>
    </row>
    <row r="38" spans="1:13" x14ac:dyDescent="0.2">
      <c r="A38" t="str">
        <f>INDEX(Prioritization!$D:$D,MATCH($B38,Prioritization!$A:$A,0))</f>
        <v>INVALID</v>
      </c>
      <c r="B38" t="s">
        <v>204</v>
      </c>
      <c r="C38" t="s">
        <v>366</v>
      </c>
      <c r="D38" t="s">
        <v>29</v>
      </c>
      <c r="E38" t="str">
        <f t="shared" si="0"/>
        <v>Karonga District [cPtvxaZqXIH]|35-49|Female</v>
      </c>
      <c r="F38" s="14"/>
      <c r="G38" s="14"/>
      <c r="H38" s="14" t="str">
        <f>IFERROR(1/(1/INDEX(Cascade!$O:$O,MATCH($E38,Cascade!$E:$E,0))),"")</f>
        <v/>
      </c>
      <c r="I38" s="14" t="str">
        <f>IFERROR(1/(1/INDEX(Cascade!$AV:$AV,MATCH($E38,Cascade!$E:$E,0))),"")</f>
        <v/>
      </c>
      <c r="J38" s="90"/>
      <c r="K38" s="90">
        <f t="shared" si="1"/>
        <v>0.33333333333333331</v>
      </c>
      <c r="L38" s="90">
        <f>1</f>
        <v>1</v>
      </c>
      <c r="M38" s="42" t="str">
        <f t="shared" si="2"/>
        <v/>
      </c>
    </row>
    <row r="39" spans="1:13" x14ac:dyDescent="0.2">
      <c r="A39" t="str">
        <f>INDEX(Prioritization!$D:$D,MATCH($B39,Prioritization!$A:$A,0))</f>
        <v>INVALID</v>
      </c>
      <c r="B39" t="s">
        <v>205</v>
      </c>
      <c r="C39" t="s">
        <v>365</v>
      </c>
      <c r="D39" t="s">
        <v>29</v>
      </c>
      <c r="E39" t="str">
        <f t="shared" si="0"/>
        <v>Likoma District [ZCjuwgaMB9u]|25-34|Female</v>
      </c>
      <c r="F39" s="14"/>
      <c r="G39" s="14"/>
      <c r="H39" s="14" t="str">
        <f>IFERROR(1/(1/INDEX(Cascade!$O:$O,MATCH($E39,Cascade!$E:$E,0))),"")</f>
        <v/>
      </c>
      <c r="I39" s="14" t="str">
        <f>IFERROR(1/(1/INDEX(Cascade!$AV:$AV,MATCH($E39,Cascade!$E:$E,0))),"")</f>
        <v/>
      </c>
      <c r="J39" s="90"/>
      <c r="K39" s="90">
        <f t="shared" si="1"/>
        <v>0.33333333333333331</v>
      </c>
      <c r="L39" s="90">
        <f>1</f>
        <v>1</v>
      </c>
      <c r="M39" s="42" t="str">
        <f t="shared" si="2"/>
        <v/>
      </c>
    </row>
    <row r="40" spans="1:13" x14ac:dyDescent="0.2">
      <c r="A40" t="str">
        <f>INDEX(Prioritization!$D:$D,MATCH($B40,Prioritization!$A:$A,0))</f>
        <v>INVALID</v>
      </c>
      <c r="B40" t="s">
        <v>205</v>
      </c>
      <c r="C40" t="s">
        <v>366</v>
      </c>
      <c r="D40" t="s">
        <v>29</v>
      </c>
      <c r="E40" t="str">
        <f t="shared" si="0"/>
        <v>Likoma District [ZCjuwgaMB9u]|35-49|Female</v>
      </c>
      <c r="F40" s="14"/>
      <c r="G40" s="14"/>
      <c r="H40" s="14" t="str">
        <f>IFERROR(1/(1/INDEX(Cascade!$O:$O,MATCH($E40,Cascade!$E:$E,0))),"")</f>
        <v/>
      </c>
      <c r="I40" s="14" t="str">
        <f>IFERROR(1/(1/INDEX(Cascade!$AV:$AV,MATCH($E40,Cascade!$E:$E,0))),"")</f>
        <v/>
      </c>
      <c r="J40" s="90"/>
      <c r="K40" s="90">
        <f t="shared" si="1"/>
        <v>0.33333333333333331</v>
      </c>
      <c r="L40" s="90">
        <f>1</f>
        <v>1</v>
      </c>
      <c r="M40" s="42" t="str">
        <f t="shared" si="2"/>
        <v/>
      </c>
    </row>
    <row r="41" spans="1:13" x14ac:dyDescent="0.2">
      <c r="A41" t="str">
        <f>INDEX(Prioritization!$D:$D,MATCH($B41,Prioritization!$A:$A,0))</f>
        <v>1 - Scale-up: Saturation</v>
      </c>
      <c r="B41" t="s">
        <v>206</v>
      </c>
      <c r="C41" t="s">
        <v>365</v>
      </c>
      <c r="D41" t="s">
        <v>29</v>
      </c>
      <c r="E41" t="str">
        <f t="shared" si="0"/>
        <v>Mzimba District [vA4NcHxfMBq]|25-34|Female</v>
      </c>
      <c r="F41" s="14"/>
      <c r="G41" s="14"/>
      <c r="H41" s="14" t="str">
        <f>IFERROR(1/(1/INDEX(Cascade!$O:$O,MATCH($E41,Cascade!$E:$E,0))),"")</f>
        <v/>
      </c>
      <c r="I41" s="14" t="str">
        <f>IFERROR(1/(1/INDEX(Cascade!$AV:$AV,MATCH($E41,Cascade!$E:$E,0))),"")</f>
        <v/>
      </c>
      <c r="J41" s="90"/>
      <c r="K41" s="90">
        <f t="shared" si="1"/>
        <v>0.33333333333333331</v>
      </c>
      <c r="L41" s="90">
        <f>1</f>
        <v>1</v>
      </c>
      <c r="M41" s="42" t="str">
        <f t="shared" si="2"/>
        <v/>
      </c>
    </row>
    <row r="42" spans="1:13" x14ac:dyDescent="0.2">
      <c r="A42" t="str">
        <f>INDEX(Prioritization!$D:$D,MATCH($B42,Prioritization!$A:$A,0))</f>
        <v>1 - Scale-up: Saturation</v>
      </c>
      <c r="B42" t="s">
        <v>206</v>
      </c>
      <c r="C42" t="s">
        <v>366</v>
      </c>
      <c r="D42" t="s">
        <v>29</v>
      </c>
      <c r="E42" t="str">
        <f t="shared" si="0"/>
        <v>Mzimba District [vA4NcHxfMBq]|35-49|Female</v>
      </c>
      <c r="F42" s="14"/>
      <c r="G42" s="14"/>
      <c r="H42" s="14" t="str">
        <f>IFERROR(1/(1/INDEX(Cascade!$O:$O,MATCH($E42,Cascade!$E:$E,0))),"")</f>
        <v/>
      </c>
      <c r="I42" s="14" t="str">
        <f>IFERROR(1/(1/INDEX(Cascade!$AV:$AV,MATCH($E42,Cascade!$E:$E,0))),"")</f>
        <v/>
      </c>
      <c r="J42" s="90"/>
      <c r="K42" s="90">
        <f t="shared" si="1"/>
        <v>0.33333333333333331</v>
      </c>
      <c r="L42" s="90">
        <f>1</f>
        <v>1</v>
      </c>
      <c r="M42" s="42" t="str">
        <f t="shared" si="2"/>
        <v/>
      </c>
    </row>
    <row r="43" spans="1:13" x14ac:dyDescent="0.2">
      <c r="A43" t="str">
        <f>INDEX(Prioritization!$D:$D,MATCH($B43,Prioritization!$A:$A,0))</f>
        <v>INVALID</v>
      </c>
      <c r="B43" t="s">
        <v>207</v>
      </c>
      <c r="C43" t="s">
        <v>365</v>
      </c>
      <c r="D43" t="s">
        <v>29</v>
      </c>
      <c r="E43" t="str">
        <f t="shared" si="0"/>
        <v>Nkhata Bay District [E7zpfyBt7Tw]|25-34|Female</v>
      </c>
      <c r="F43" s="14"/>
      <c r="G43" s="14"/>
      <c r="H43" s="14" t="str">
        <f>IFERROR(1/(1/INDEX(Cascade!$O:$O,MATCH($E43,Cascade!$E:$E,0))),"")</f>
        <v/>
      </c>
      <c r="I43" s="14" t="str">
        <f>IFERROR(1/(1/INDEX(Cascade!$AV:$AV,MATCH($E43,Cascade!$E:$E,0))),"")</f>
        <v/>
      </c>
      <c r="J43" s="90"/>
      <c r="K43" s="90">
        <f t="shared" si="1"/>
        <v>0.33333333333333331</v>
      </c>
      <c r="L43" s="90">
        <f>1</f>
        <v>1</v>
      </c>
      <c r="M43" s="42" t="str">
        <f t="shared" si="2"/>
        <v/>
      </c>
    </row>
    <row r="44" spans="1:13" x14ac:dyDescent="0.2">
      <c r="A44" t="str">
        <f>INDEX(Prioritization!$D:$D,MATCH($B44,Prioritization!$A:$A,0))</f>
        <v>INVALID</v>
      </c>
      <c r="B44" t="s">
        <v>207</v>
      </c>
      <c r="C44" t="s">
        <v>366</v>
      </c>
      <c r="D44" t="s">
        <v>29</v>
      </c>
      <c r="E44" t="str">
        <f t="shared" si="0"/>
        <v>Nkhata Bay District [E7zpfyBt7Tw]|35-49|Female</v>
      </c>
      <c r="F44" s="14"/>
      <c r="G44" s="14"/>
      <c r="H44" s="14" t="str">
        <f>IFERROR(1/(1/INDEX(Cascade!$O:$O,MATCH($E44,Cascade!$E:$E,0))),"")</f>
        <v/>
      </c>
      <c r="I44" s="14" t="str">
        <f>IFERROR(1/(1/INDEX(Cascade!$AV:$AV,MATCH($E44,Cascade!$E:$E,0))),"")</f>
        <v/>
      </c>
      <c r="J44" s="90"/>
      <c r="K44" s="90">
        <f t="shared" si="1"/>
        <v>0.33333333333333331</v>
      </c>
      <c r="L44" s="90">
        <f>1</f>
        <v>1</v>
      </c>
      <c r="M44" s="42" t="str">
        <f t="shared" si="2"/>
        <v/>
      </c>
    </row>
    <row r="45" spans="1:13" x14ac:dyDescent="0.2">
      <c r="A45" t="str">
        <f>INDEX(Prioritization!$D:$D,MATCH($B45,Prioritization!$A:$A,0))</f>
        <v>INVALID</v>
      </c>
      <c r="B45" t="s">
        <v>208</v>
      </c>
      <c r="C45" t="s">
        <v>365</v>
      </c>
      <c r="D45" t="s">
        <v>29</v>
      </c>
      <c r="E45" t="str">
        <f t="shared" si="0"/>
        <v>Rumphi District [lPTyjLi4w3d]|25-34|Female</v>
      </c>
      <c r="F45" s="14"/>
      <c r="G45" s="14"/>
      <c r="H45" s="14" t="str">
        <f>IFERROR(1/(1/INDEX(Cascade!$O:$O,MATCH($E45,Cascade!$E:$E,0))),"")</f>
        <v/>
      </c>
      <c r="I45" s="14" t="str">
        <f>IFERROR(1/(1/INDEX(Cascade!$AV:$AV,MATCH($E45,Cascade!$E:$E,0))),"")</f>
        <v/>
      </c>
      <c r="J45" s="90"/>
      <c r="K45" s="90">
        <f t="shared" si="1"/>
        <v>0.33333333333333331</v>
      </c>
      <c r="L45" s="90">
        <f>1</f>
        <v>1</v>
      </c>
      <c r="M45" s="42" t="str">
        <f t="shared" si="2"/>
        <v/>
      </c>
    </row>
    <row r="46" spans="1:13" x14ac:dyDescent="0.2">
      <c r="A46" t="str">
        <f>INDEX(Prioritization!$D:$D,MATCH($B46,Prioritization!$A:$A,0))</f>
        <v>INVALID</v>
      </c>
      <c r="B46" t="s">
        <v>208</v>
      </c>
      <c r="C46" t="s">
        <v>366</v>
      </c>
      <c r="D46" t="s">
        <v>29</v>
      </c>
      <c r="E46" t="str">
        <f t="shared" si="0"/>
        <v>Rumphi District [lPTyjLi4w3d]|35-49|Female</v>
      </c>
      <c r="F46" s="14"/>
      <c r="G46" s="14"/>
      <c r="H46" s="14" t="str">
        <f>IFERROR(1/(1/INDEX(Cascade!$O:$O,MATCH($E46,Cascade!$E:$E,0))),"")</f>
        <v/>
      </c>
      <c r="I46" s="14" t="str">
        <f>IFERROR(1/(1/INDEX(Cascade!$AV:$AV,MATCH($E46,Cascade!$E:$E,0))),"")</f>
        <v/>
      </c>
      <c r="J46" s="90"/>
      <c r="K46" s="90">
        <f t="shared" si="1"/>
        <v>0.33333333333333331</v>
      </c>
      <c r="L46" s="90">
        <f>1</f>
        <v>1</v>
      </c>
      <c r="M46" s="42" t="str">
        <f t="shared" si="2"/>
        <v/>
      </c>
    </row>
    <row r="47" spans="1:13" x14ac:dyDescent="0.2">
      <c r="A47" t="str">
        <f>INDEX(Prioritization!$D:$D,MATCH($B47,Prioritization!$A:$A,0))</f>
        <v>1 - Scale-up: Saturation</v>
      </c>
      <c r="B47" t="s">
        <v>209</v>
      </c>
      <c r="C47" t="s">
        <v>365</v>
      </c>
      <c r="D47" t="s">
        <v>29</v>
      </c>
      <c r="E47" t="str">
        <f t="shared" ref="E47:E78" si="3">B47&amp;"|"&amp;C47&amp;"|"&amp;D47</f>
        <v>Balaka District [ir8wuHHzoSs]|25-34|Female</v>
      </c>
      <c r="F47" s="14"/>
      <c r="G47" s="14"/>
      <c r="H47" s="14" t="str">
        <f>IFERROR(1/(1/INDEX(Cascade!$O:$O,MATCH($E47,Cascade!$E:$E,0))),"")</f>
        <v/>
      </c>
      <c r="I47" s="14" t="str">
        <f>IFERROR(1/(1/INDEX(Cascade!$AV:$AV,MATCH($E47,Cascade!$E:$E,0))),"")</f>
        <v/>
      </c>
      <c r="J47" s="90"/>
      <c r="K47" s="90">
        <f t="shared" ref="K47:K72" si="4">1/3</f>
        <v>0.33333333333333331</v>
      </c>
      <c r="L47" s="90">
        <f>1</f>
        <v>1</v>
      </c>
      <c r="M47" s="42" t="str">
        <f t="shared" ref="M47:M72" si="5">IF(SUM($H47)=0,"",ROUND($H47*$K47+$I47*$L47,0))</f>
        <v/>
      </c>
    </row>
    <row r="48" spans="1:13" x14ac:dyDescent="0.2">
      <c r="A48" t="str">
        <f>INDEX(Prioritization!$D:$D,MATCH($B48,Prioritization!$A:$A,0))</f>
        <v>1 - Scale-up: Saturation</v>
      </c>
      <c r="B48" t="s">
        <v>209</v>
      </c>
      <c r="C48" t="s">
        <v>366</v>
      </c>
      <c r="D48" t="s">
        <v>29</v>
      </c>
      <c r="E48" t="str">
        <f t="shared" si="3"/>
        <v>Balaka District [ir8wuHHzoSs]|35-49|Female</v>
      </c>
      <c r="F48" s="14"/>
      <c r="G48" s="14"/>
      <c r="H48" s="14" t="str">
        <f>IFERROR(1/(1/INDEX(Cascade!$O:$O,MATCH($E48,Cascade!$E:$E,0))),"")</f>
        <v/>
      </c>
      <c r="I48" s="14" t="str">
        <f>IFERROR(1/(1/INDEX(Cascade!$AV:$AV,MATCH($E48,Cascade!$E:$E,0))),"")</f>
        <v/>
      </c>
      <c r="J48" s="90"/>
      <c r="K48" s="90">
        <f t="shared" si="4"/>
        <v>0.33333333333333331</v>
      </c>
      <c r="L48" s="90">
        <f>1</f>
        <v>1</v>
      </c>
      <c r="M48" s="42" t="str">
        <f t="shared" si="5"/>
        <v/>
      </c>
    </row>
    <row r="49" spans="1:13" x14ac:dyDescent="0.2">
      <c r="A49" t="str">
        <f>INDEX(Prioritization!$D:$D,MATCH($B49,Prioritization!$A:$A,0))</f>
        <v>1 - Scale-up: Saturation</v>
      </c>
      <c r="B49" t="s">
        <v>210</v>
      </c>
      <c r="C49" t="s">
        <v>365</v>
      </c>
      <c r="D49" t="s">
        <v>29</v>
      </c>
      <c r="E49" t="str">
        <f t="shared" si="3"/>
        <v>Blantyre District [mxqa3CDFmIT]|25-34|Female</v>
      </c>
      <c r="F49" s="14"/>
      <c r="G49" s="14"/>
      <c r="H49" s="14" t="str">
        <f>IFERROR(1/(1/INDEX(Cascade!$O:$O,MATCH($E49,Cascade!$E:$E,0))),"")</f>
        <v/>
      </c>
      <c r="I49" s="14" t="str">
        <f>IFERROR(1/(1/INDEX(Cascade!$AV:$AV,MATCH($E49,Cascade!$E:$E,0))),"")</f>
        <v/>
      </c>
      <c r="J49" s="90"/>
      <c r="K49" s="90">
        <f t="shared" si="4"/>
        <v>0.33333333333333331</v>
      </c>
      <c r="L49" s="90">
        <f>1</f>
        <v>1</v>
      </c>
      <c r="M49" s="42" t="str">
        <f t="shared" si="5"/>
        <v/>
      </c>
    </row>
    <row r="50" spans="1:13" x14ac:dyDescent="0.2">
      <c r="A50" t="str">
        <f>INDEX(Prioritization!$D:$D,MATCH($B50,Prioritization!$A:$A,0))</f>
        <v>1 - Scale-up: Saturation</v>
      </c>
      <c r="B50" t="s">
        <v>210</v>
      </c>
      <c r="C50" t="s">
        <v>366</v>
      </c>
      <c r="D50" t="s">
        <v>29</v>
      </c>
      <c r="E50" t="str">
        <f t="shared" si="3"/>
        <v>Blantyre District [mxqa3CDFmIT]|35-49|Female</v>
      </c>
      <c r="F50" s="14"/>
      <c r="G50" s="14"/>
      <c r="H50" s="14" t="str">
        <f>IFERROR(1/(1/INDEX(Cascade!$O:$O,MATCH($E50,Cascade!$E:$E,0))),"")</f>
        <v/>
      </c>
      <c r="I50" s="14" t="str">
        <f>IFERROR(1/(1/INDEX(Cascade!$AV:$AV,MATCH($E50,Cascade!$E:$E,0))),"")</f>
        <v/>
      </c>
      <c r="J50" s="90"/>
      <c r="K50" s="90">
        <f t="shared" si="4"/>
        <v>0.33333333333333331</v>
      </c>
      <c r="L50" s="90">
        <f>1</f>
        <v>1</v>
      </c>
      <c r="M50" s="42" t="str">
        <f t="shared" si="5"/>
        <v/>
      </c>
    </row>
    <row r="51" spans="1:13" x14ac:dyDescent="0.2">
      <c r="A51" t="str">
        <f>INDEX(Prioritization!$D:$D,MATCH($B51,Prioritization!$A:$A,0))</f>
        <v>1 - Scale-up: Saturation</v>
      </c>
      <c r="B51" t="s">
        <v>211</v>
      </c>
      <c r="C51" t="s">
        <v>365</v>
      </c>
      <c r="D51" t="s">
        <v>29</v>
      </c>
      <c r="E51" t="str">
        <f t="shared" si="3"/>
        <v>Chikwawa District [U8c0so51kT6]|25-34|Female</v>
      </c>
      <c r="F51" s="14"/>
      <c r="G51" s="14"/>
      <c r="H51" s="14" t="str">
        <f>IFERROR(1/(1/INDEX(Cascade!$O:$O,MATCH($E51,Cascade!$E:$E,0))),"")</f>
        <v/>
      </c>
      <c r="I51" s="14" t="str">
        <f>IFERROR(1/(1/INDEX(Cascade!$AV:$AV,MATCH($E51,Cascade!$E:$E,0))),"")</f>
        <v/>
      </c>
      <c r="J51" s="90"/>
      <c r="K51" s="90">
        <f t="shared" si="4"/>
        <v>0.33333333333333331</v>
      </c>
      <c r="L51" s="90">
        <f>1</f>
        <v>1</v>
      </c>
      <c r="M51" s="42" t="str">
        <f t="shared" si="5"/>
        <v/>
      </c>
    </row>
    <row r="52" spans="1:13" x14ac:dyDescent="0.2">
      <c r="A52" t="str">
        <f>INDEX(Prioritization!$D:$D,MATCH($B52,Prioritization!$A:$A,0))</f>
        <v>1 - Scale-up: Saturation</v>
      </c>
      <c r="B52" t="s">
        <v>211</v>
      </c>
      <c r="C52" t="s">
        <v>366</v>
      </c>
      <c r="D52" t="s">
        <v>29</v>
      </c>
      <c r="E52" t="str">
        <f t="shared" si="3"/>
        <v>Chikwawa District [U8c0so51kT6]|35-49|Female</v>
      </c>
      <c r="F52" s="14"/>
      <c r="G52" s="14"/>
      <c r="H52" s="14" t="str">
        <f>IFERROR(1/(1/INDEX(Cascade!$O:$O,MATCH($E52,Cascade!$E:$E,0))),"")</f>
        <v/>
      </c>
      <c r="I52" s="14" t="str">
        <f>IFERROR(1/(1/INDEX(Cascade!$AV:$AV,MATCH($E52,Cascade!$E:$E,0))),"")</f>
        <v/>
      </c>
      <c r="J52" s="90"/>
      <c r="K52" s="90">
        <f t="shared" si="4"/>
        <v>0.33333333333333331</v>
      </c>
      <c r="L52" s="90">
        <f>1</f>
        <v>1</v>
      </c>
      <c r="M52" s="42" t="str">
        <f t="shared" si="5"/>
        <v/>
      </c>
    </row>
    <row r="53" spans="1:13" x14ac:dyDescent="0.2">
      <c r="A53" t="str">
        <f>INDEX(Prioritization!$D:$D,MATCH($B53,Prioritization!$A:$A,0))</f>
        <v>1 - Scale-up: Saturation</v>
      </c>
      <c r="B53" t="s">
        <v>212</v>
      </c>
      <c r="C53" t="s">
        <v>365</v>
      </c>
      <c r="D53" t="s">
        <v>29</v>
      </c>
      <c r="E53" t="str">
        <f t="shared" si="3"/>
        <v>Chiradzulu District [oiPR2CiVJbf]|25-34|Female</v>
      </c>
      <c r="F53" s="14"/>
      <c r="G53" s="14"/>
      <c r="H53" s="14" t="str">
        <f>IFERROR(1/(1/INDEX(Cascade!$O:$O,MATCH($E53,Cascade!$E:$E,0))),"")</f>
        <v/>
      </c>
      <c r="I53" s="14" t="str">
        <f>IFERROR(1/(1/INDEX(Cascade!$AV:$AV,MATCH($E53,Cascade!$E:$E,0))),"")</f>
        <v/>
      </c>
      <c r="J53" s="90"/>
      <c r="K53" s="90">
        <f t="shared" si="4"/>
        <v>0.33333333333333331</v>
      </c>
      <c r="L53" s="90">
        <f>1</f>
        <v>1</v>
      </c>
      <c r="M53" s="42" t="str">
        <f t="shared" si="5"/>
        <v/>
      </c>
    </row>
    <row r="54" spans="1:13" x14ac:dyDescent="0.2">
      <c r="A54" t="str">
        <f>INDEX(Prioritization!$D:$D,MATCH($B54,Prioritization!$A:$A,0))</f>
        <v>1 - Scale-up: Saturation</v>
      </c>
      <c r="B54" t="s">
        <v>212</v>
      </c>
      <c r="C54" t="s">
        <v>366</v>
      </c>
      <c r="D54" t="s">
        <v>29</v>
      </c>
      <c r="E54" t="str">
        <f t="shared" si="3"/>
        <v>Chiradzulu District [oiPR2CiVJbf]|35-49|Female</v>
      </c>
      <c r="F54" s="14"/>
      <c r="G54" s="14"/>
      <c r="H54" s="14" t="str">
        <f>IFERROR(1/(1/INDEX(Cascade!$O:$O,MATCH($E54,Cascade!$E:$E,0))),"")</f>
        <v/>
      </c>
      <c r="I54" s="14" t="str">
        <f>IFERROR(1/(1/INDEX(Cascade!$AV:$AV,MATCH($E54,Cascade!$E:$E,0))),"")</f>
        <v/>
      </c>
      <c r="J54" s="90"/>
      <c r="K54" s="90">
        <f t="shared" si="4"/>
        <v>0.33333333333333331</v>
      </c>
      <c r="L54" s="90">
        <f>1</f>
        <v>1</v>
      </c>
      <c r="M54" s="42" t="str">
        <f t="shared" si="5"/>
        <v/>
      </c>
    </row>
    <row r="55" spans="1:13" x14ac:dyDescent="0.2">
      <c r="A55" t="str">
        <f>INDEX(Prioritization!$D:$D,MATCH($B55,Prioritization!$A:$A,0))</f>
        <v>1 - Scale-up: Saturation</v>
      </c>
      <c r="B55" t="s">
        <v>213</v>
      </c>
      <c r="C55" t="s">
        <v>365</v>
      </c>
      <c r="D55" t="s">
        <v>29</v>
      </c>
      <c r="E55" t="str">
        <f t="shared" si="3"/>
        <v>Machinga District [TYnMSwzko3z]|25-34|Female</v>
      </c>
      <c r="F55" s="14"/>
      <c r="G55" s="14"/>
      <c r="H55" s="14" t="str">
        <f>IFERROR(1/(1/INDEX(Cascade!$O:$O,MATCH($E55,Cascade!$E:$E,0))),"")</f>
        <v/>
      </c>
      <c r="I55" s="14" t="str">
        <f>IFERROR(1/(1/INDEX(Cascade!$AV:$AV,MATCH($E55,Cascade!$E:$E,0))),"")</f>
        <v/>
      </c>
      <c r="J55" s="90"/>
      <c r="K55" s="90">
        <f t="shared" si="4"/>
        <v>0.33333333333333331</v>
      </c>
      <c r="L55" s="90">
        <f>1</f>
        <v>1</v>
      </c>
      <c r="M55" s="42" t="str">
        <f t="shared" si="5"/>
        <v/>
      </c>
    </row>
    <row r="56" spans="1:13" x14ac:dyDescent="0.2">
      <c r="A56" t="str">
        <f>INDEX(Prioritization!$D:$D,MATCH($B56,Prioritization!$A:$A,0))</f>
        <v>1 - Scale-up: Saturation</v>
      </c>
      <c r="B56" t="s">
        <v>213</v>
      </c>
      <c r="C56" t="s">
        <v>366</v>
      </c>
      <c r="D56" t="s">
        <v>29</v>
      </c>
      <c r="E56" t="str">
        <f t="shared" si="3"/>
        <v>Machinga District [TYnMSwzko3z]|35-49|Female</v>
      </c>
      <c r="F56" s="14"/>
      <c r="G56" s="14"/>
      <c r="H56" s="14" t="str">
        <f>IFERROR(1/(1/INDEX(Cascade!$O:$O,MATCH($E56,Cascade!$E:$E,0))),"")</f>
        <v/>
      </c>
      <c r="I56" s="14" t="str">
        <f>IFERROR(1/(1/INDEX(Cascade!$AV:$AV,MATCH($E56,Cascade!$E:$E,0))),"")</f>
        <v/>
      </c>
      <c r="J56" s="90"/>
      <c r="K56" s="90">
        <f t="shared" si="4"/>
        <v>0.33333333333333331</v>
      </c>
      <c r="L56" s="90">
        <f>1</f>
        <v>1</v>
      </c>
      <c r="M56" s="42" t="str">
        <f t="shared" si="5"/>
        <v/>
      </c>
    </row>
    <row r="57" spans="1:13" x14ac:dyDescent="0.2">
      <c r="A57" t="str">
        <f>INDEX(Prioritization!$D:$D,MATCH($B57,Prioritization!$A:$A,0))</f>
        <v>INVALID</v>
      </c>
      <c r="B57" t="s">
        <v>214</v>
      </c>
      <c r="C57" t="s">
        <v>365</v>
      </c>
      <c r="D57" t="s">
        <v>29</v>
      </c>
      <c r="E57" t="str">
        <f t="shared" si="3"/>
        <v>Mangochi District [lLDyBx5XyUi]|25-34|Female</v>
      </c>
      <c r="F57" s="14"/>
      <c r="G57" s="14"/>
      <c r="H57" s="14" t="str">
        <f>IFERROR(1/(1/INDEX(Cascade!$O:$O,MATCH($E57,Cascade!$E:$E,0))),"")</f>
        <v/>
      </c>
      <c r="I57" s="14" t="str">
        <f>IFERROR(1/(1/INDEX(Cascade!$AV:$AV,MATCH($E57,Cascade!$E:$E,0))),"")</f>
        <v/>
      </c>
      <c r="J57" s="90"/>
      <c r="K57" s="90">
        <f t="shared" si="4"/>
        <v>0.33333333333333331</v>
      </c>
      <c r="L57" s="90">
        <f>1</f>
        <v>1</v>
      </c>
      <c r="M57" s="42" t="str">
        <f t="shared" si="5"/>
        <v/>
      </c>
    </row>
    <row r="58" spans="1:13" x14ac:dyDescent="0.2">
      <c r="A58" t="str">
        <f>INDEX(Prioritization!$D:$D,MATCH($B58,Prioritization!$A:$A,0))</f>
        <v>INVALID</v>
      </c>
      <c r="B58" t="s">
        <v>214</v>
      </c>
      <c r="C58" t="s">
        <v>366</v>
      </c>
      <c r="D58" t="s">
        <v>29</v>
      </c>
      <c r="E58" t="str">
        <f t="shared" si="3"/>
        <v>Mangochi District [lLDyBx5XyUi]|35-49|Female</v>
      </c>
      <c r="F58" s="14"/>
      <c r="G58" s="14"/>
      <c r="H58" s="14" t="str">
        <f>IFERROR(1/(1/INDEX(Cascade!$O:$O,MATCH($E58,Cascade!$E:$E,0))),"")</f>
        <v/>
      </c>
      <c r="I58" s="14" t="str">
        <f>IFERROR(1/(1/INDEX(Cascade!$AV:$AV,MATCH($E58,Cascade!$E:$E,0))),"")</f>
        <v/>
      </c>
      <c r="J58" s="90"/>
      <c r="K58" s="90">
        <f t="shared" si="4"/>
        <v>0.33333333333333331</v>
      </c>
      <c r="L58" s="90">
        <f>1</f>
        <v>1</v>
      </c>
      <c r="M58" s="42" t="str">
        <f t="shared" si="5"/>
        <v/>
      </c>
    </row>
    <row r="59" spans="1:13" x14ac:dyDescent="0.2">
      <c r="A59" t="str">
        <f>INDEX(Prioritization!$D:$D,MATCH($B59,Prioritization!$A:$A,0))</f>
        <v>INVALID</v>
      </c>
      <c r="B59" t="s">
        <v>215</v>
      </c>
      <c r="C59" t="s">
        <v>365</v>
      </c>
      <c r="D59" t="s">
        <v>29</v>
      </c>
      <c r="E59" t="str">
        <f t="shared" si="3"/>
        <v>Mulanje District [umc2n1Z4wNv]|25-34|Female</v>
      </c>
      <c r="F59" s="14"/>
      <c r="G59" s="14"/>
      <c r="H59" s="14" t="str">
        <f>IFERROR(1/(1/INDEX(Cascade!$O:$O,MATCH($E59,Cascade!$E:$E,0))),"")</f>
        <v/>
      </c>
      <c r="I59" s="14" t="str">
        <f>IFERROR(1/(1/INDEX(Cascade!$AV:$AV,MATCH($E59,Cascade!$E:$E,0))),"")</f>
        <v/>
      </c>
      <c r="J59" s="90"/>
      <c r="K59" s="90">
        <f t="shared" si="4"/>
        <v>0.33333333333333331</v>
      </c>
      <c r="L59" s="90">
        <f>1</f>
        <v>1</v>
      </c>
      <c r="M59" s="42" t="str">
        <f t="shared" si="5"/>
        <v/>
      </c>
    </row>
    <row r="60" spans="1:13" x14ac:dyDescent="0.2">
      <c r="A60" t="str">
        <f>INDEX(Prioritization!$D:$D,MATCH($B60,Prioritization!$A:$A,0))</f>
        <v>INVALID</v>
      </c>
      <c r="B60" t="s">
        <v>215</v>
      </c>
      <c r="C60" t="s">
        <v>366</v>
      </c>
      <c r="D60" t="s">
        <v>29</v>
      </c>
      <c r="E60" t="str">
        <f t="shared" si="3"/>
        <v>Mulanje District [umc2n1Z4wNv]|35-49|Female</v>
      </c>
      <c r="F60" s="14"/>
      <c r="G60" s="14"/>
      <c r="H60" s="14" t="str">
        <f>IFERROR(1/(1/INDEX(Cascade!$O:$O,MATCH($E60,Cascade!$E:$E,0))),"")</f>
        <v/>
      </c>
      <c r="I60" s="14" t="str">
        <f>IFERROR(1/(1/INDEX(Cascade!$AV:$AV,MATCH($E60,Cascade!$E:$E,0))),"")</f>
        <v/>
      </c>
      <c r="J60" s="90"/>
      <c r="K60" s="90">
        <f t="shared" si="4"/>
        <v>0.33333333333333331</v>
      </c>
      <c r="L60" s="90">
        <f>1</f>
        <v>1</v>
      </c>
      <c r="M60" s="42" t="str">
        <f t="shared" si="5"/>
        <v/>
      </c>
    </row>
    <row r="61" spans="1:13" x14ac:dyDescent="0.2">
      <c r="A61" t="str">
        <f>INDEX(Prioritization!$D:$D,MATCH($B61,Prioritization!$A:$A,0))</f>
        <v>INVALID</v>
      </c>
      <c r="B61" t="s">
        <v>216</v>
      </c>
      <c r="C61" t="s">
        <v>365</v>
      </c>
      <c r="D61" t="s">
        <v>29</v>
      </c>
      <c r="E61" t="str">
        <f t="shared" si="3"/>
        <v>Mwanza District [wNqJp8oRIcF]|25-34|Female</v>
      </c>
      <c r="F61" s="14"/>
      <c r="G61" s="14"/>
      <c r="H61" s="14" t="str">
        <f>IFERROR(1/(1/INDEX(Cascade!$O:$O,MATCH($E61,Cascade!$E:$E,0))),"")</f>
        <v/>
      </c>
      <c r="I61" s="14" t="str">
        <f>IFERROR(1/(1/INDEX(Cascade!$AV:$AV,MATCH($E61,Cascade!$E:$E,0))),"")</f>
        <v/>
      </c>
      <c r="J61" s="90"/>
      <c r="K61" s="90">
        <f t="shared" si="4"/>
        <v>0.33333333333333331</v>
      </c>
      <c r="L61" s="90">
        <f>1</f>
        <v>1</v>
      </c>
      <c r="M61" s="42" t="str">
        <f t="shared" si="5"/>
        <v/>
      </c>
    </row>
    <row r="62" spans="1:13" x14ac:dyDescent="0.2">
      <c r="A62" t="str">
        <f>INDEX(Prioritization!$D:$D,MATCH($B62,Prioritization!$A:$A,0))</f>
        <v>INVALID</v>
      </c>
      <c r="B62" t="s">
        <v>216</v>
      </c>
      <c r="C62" t="s">
        <v>366</v>
      </c>
      <c r="D62" t="s">
        <v>29</v>
      </c>
      <c r="E62" t="str">
        <f t="shared" si="3"/>
        <v>Mwanza District [wNqJp8oRIcF]|35-49|Female</v>
      </c>
      <c r="F62" s="14"/>
      <c r="G62" s="14"/>
      <c r="H62" s="14" t="str">
        <f>IFERROR(1/(1/INDEX(Cascade!$O:$O,MATCH($E62,Cascade!$E:$E,0))),"")</f>
        <v/>
      </c>
      <c r="I62" s="14" t="str">
        <f>IFERROR(1/(1/INDEX(Cascade!$AV:$AV,MATCH($E62,Cascade!$E:$E,0))),"")</f>
        <v/>
      </c>
      <c r="J62" s="90"/>
      <c r="K62" s="90">
        <f t="shared" si="4"/>
        <v>0.33333333333333331</v>
      </c>
      <c r="L62" s="90">
        <f>1</f>
        <v>1</v>
      </c>
      <c r="M62" s="42" t="str">
        <f t="shared" si="5"/>
        <v/>
      </c>
    </row>
    <row r="63" spans="1:13" x14ac:dyDescent="0.2">
      <c r="A63" t="str">
        <f>INDEX(Prioritization!$D:$D,MATCH($B63,Prioritization!$A:$A,0))</f>
        <v>INVALID</v>
      </c>
      <c r="B63" t="s">
        <v>217</v>
      </c>
      <c r="C63" t="s">
        <v>365</v>
      </c>
      <c r="D63" t="s">
        <v>29</v>
      </c>
      <c r="E63" t="str">
        <f t="shared" si="3"/>
        <v>Neno District [gwVYinjBAe9]|25-34|Female</v>
      </c>
      <c r="F63" s="14"/>
      <c r="G63" s="14"/>
      <c r="H63" s="14" t="str">
        <f>IFERROR(1/(1/INDEX(Cascade!$O:$O,MATCH($E63,Cascade!$E:$E,0))),"")</f>
        <v/>
      </c>
      <c r="I63" s="14" t="str">
        <f>IFERROR(1/(1/INDEX(Cascade!$AV:$AV,MATCH($E63,Cascade!$E:$E,0))),"")</f>
        <v/>
      </c>
      <c r="J63" s="90"/>
      <c r="K63" s="90">
        <f t="shared" si="4"/>
        <v>0.33333333333333331</v>
      </c>
      <c r="L63" s="90">
        <f>1</f>
        <v>1</v>
      </c>
      <c r="M63" s="42" t="str">
        <f t="shared" si="5"/>
        <v/>
      </c>
    </row>
    <row r="64" spans="1:13" x14ac:dyDescent="0.2">
      <c r="A64" t="str">
        <f>INDEX(Prioritization!$D:$D,MATCH($B64,Prioritization!$A:$A,0))</f>
        <v>INVALID</v>
      </c>
      <c r="B64" t="s">
        <v>217</v>
      </c>
      <c r="C64" t="s">
        <v>366</v>
      </c>
      <c r="D64" t="s">
        <v>29</v>
      </c>
      <c r="E64" t="str">
        <f t="shared" si="3"/>
        <v>Neno District [gwVYinjBAe9]|35-49|Female</v>
      </c>
      <c r="F64" s="14"/>
      <c r="G64" s="14"/>
      <c r="H64" s="14" t="str">
        <f>IFERROR(1/(1/INDEX(Cascade!$O:$O,MATCH($E64,Cascade!$E:$E,0))),"")</f>
        <v/>
      </c>
      <c r="I64" s="14" t="str">
        <f>IFERROR(1/(1/INDEX(Cascade!$AV:$AV,MATCH($E64,Cascade!$E:$E,0))),"")</f>
        <v/>
      </c>
      <c r="J64" s="90"/>
      <c r="K64" s="90">
        <f t="shared" si="4"/>
        <v>0.33333333333333331</v>
      </c>
      <c r="L64" s="90">
        <f>1</f>
        <v>1</v>
      </c>
      <c r="M64" s="42" t="str">
        <f t="shared" si="5"/>
        <v/>
      </c>
    </row>
    <row r="65" spans="1:13" x14ac:dyDescent="0.2">
      <c r="A65" t="str">
        <f>INDEX(Prioritization!$D:$D,MATCH($B65,Prioritization!$A:$A,0))</f>
        <v>INVALID</v>
      </c>
      <c r="B65" t="s">
        <v>218</v>
      </c>
      <c r="C65" t="s">
        <v>365</v>
      </c>
      <c r="D65" t="s">
        <v>29</v>
      </c>
      <c r="E65" t="str">
        <f t="shared" si="3"/>
        <v>Nsanje District [rpw540fmNUz]|25-34|Female</v>
      </c>
      <c r="F65" s="14"/>
      <c r="G65" s="14"/>
      <c r="H65" s="14" t="str">
        <f>IFERROR(1/(1/INDEX(Cascade!$O:$O,MATCH($E65,Cascade!$E:$E,0))),"")</f>
        <v/>
      </c>
      <c r="I65" s="14" t="str">
        <f>IFERROR(1/(1/INDEX(Cascade!$AV:$AV,MATCH($E65,Cascade!$E:$E,0))),"")</f>
        <v/>
      </c>
      <c r="J65" s="90"/>
      <c r="K65" s="90">
        <f t="shared" si="4"/>
        <v>0.33333333333333331</v>
      </c>
      <c r="L65" s="90">
        <f>1</f>
        <v>1</v>
      </c>
      <c r="M65" s="42" t="str">
        <f t="shared" si="5"/>
        <v/>
      </c>
    </row>
    <row r="66" spans="1:13" x14ac:dyDescent="0.2">
      <c r="A66" t="str">
        <f>INDEX(Prioritization!$D:$D,MATCH($B66,Prioritization!$A:$A,0))</f>
        <v>INVALID</v>
      </c>
      <c r="B66" t="s">
        <v>218</v>
      </c>
      <c r="C66" t="s">
        <v>366</v>
      </c>
      <c r="D66" t="s">
        <v>29</v>
      </c>
      <c r="E66" t="str">
        <f t="shared" si="3"/>
        <v>Nsanje District [rpw540fmNUz]|35-49|Female</v>
      </c>
      <c r="F66" s="14"/>
      <c r="G66" s="14"/>
      <c r="H66" s="14" t="str">
        <f>IFERROR(1/(1/INDEX(Cascade!$O:$O,MATCH($E66,Cascade!$E:$E,0))),"")</f>
        <v/>
      </c>
      <c r="I66" s="14" t="str">
        <f>IFERROR(1/(1/INDEX(Cascade!$AV:$AV,MATCH($E66,Cascade!$E:$E,0))),"")</f>
        <v/>
      </c>
      <c r="J66" s="90"/>
      <c r="K66" s="90">
        <f t="shared" si="4"/>
        <v>0.33333333333333331</v>
      </c>
      <c r="L66" s="90">
        <f>1</f>
        <v>1</v>
      </c>
      <c r="M66" s="42" t="str">
        <f t="shared" si="5"/>
        <v/>
      </c>
    </row>
    <row r="67" spans="1:13" x14ac:dyDescent="0.2">
      <c r="A67" t="str">
        <f>INDEX(Prioritization!$D:$D,MATCH($B67,Prioritization!$A:$A,0))</f>
        <v>INVALID</v>
      </c>
      <c r="B67" t="s">
        <v>219</v>
      </c>
      <c r="C67" t="s">
        <v>365</v>
      </c>
      <c r="D67" t="s">
        <v>29</v>
      </c>
      <c r="E67" t="str">
        <f t="shared" si="3"/>
        <v>Phalombe District [AZyWpGzhcaA]|25-34|Female</v>
      </c>
      <c r="F67" s="14"/>
      <c r="G67" s="14"/>
      <c r="H67" s="14" t="str">
        <f>IFERROR(1/(1/INDEX(Cascade!$O:$O,MATCH($E67,Cascade!$E:$E,0))),"")</f>
        <v/>
      </c>
      <c r="I67" s="14" t="str">
        <f>IFERROR(1/(1/INDEX(Cascade!$AV:$AV,MATCH($E67,Cascade!$E:$E,0))),"")</f>
        <v/>
      </c>
      <c r="J67" s="90"/>
      <c r="K67" s="90">
        <f t="shared" si="4"/>
        <v>0.33333333333333331</v>
      </c>
      <c r="L67" s="90">
        <f>1</f>
        <v>1</v>
      </c>
      <c r="M67" s="42" t="str">
        <f t="shared" si="5"/>
        <v/>
      </c>
    </row>
    <row r="68" spans="1:13" x14ac:dyDescent="0.2">
      <c r="A68" t="str">
        <f>INDEX(Prioritization!$D:$D,MATCH($B68,Prioritization!$A:$A,0))</f>
        <v>INVALID</v>
      </c>
      <c r="B68" t="s">
        <v>219</v>
      </c>
      <c r="C68" t="s">
        <v>366</v>
      </c>
      <c r="D68" t="s">
        <v>29</v>
      </c>
      <c r="E68" t="str">
        <f t="shared" si="3"/>
        <v>Phalombe District [AZyWpGzhcaA]|35-49|Female</v>
      </c>
      <c r="F68" s="14"/>
      <c r="G68" s="14"/>
      <c r="H68" s="14" t="str">
        <f>IFERROR(1/(1/INDEX(Cascade!$O:$O,MATCH($E68,Cascade!$E:$E,0))),"")</f>
        <v/>
      </c>
      <c r="I68" s="14" t="str">
        <f>IFERROR(1/(1/INDEX(Cascade!$AV:$AV,MATCH($E68,Cascade!$E:$E,0))),"")</f>
        <v/>
      </c>
      <c r="J68" s="90"/>
      <c r="K68" s="90">
        <f t="shared" si="4"/>
        <v>0.33333333333333331</v>
      </c>
      <c r="L68" s="90">
        <f>1</f>
        <v>1</v>
      </c>
      <c r="M68" s="42" t="str">
        <f t="shared" si="5"/>
        <v/>
      </c>
    </row>
    <row r="69" spans="1:13" x14ac:dyDescent="0.2">
      <c r="A69" t="str">
        <f>INDEX(Prioritization!$D:$D,MATCH($B69,Prioritization!$A:$A,0))</f>
        <v>1 - Scale-up: Saturation</v>
      </c>
      <c r="B69" t="s">
        <v>220</v>
      </c>
      <c r="C69" t="s">
        <v>365</v>
      </c>
      <c r="D69" t="s">
        <v>29</v>
      </c>
      <c r="E69" t="str">
        <f t="shared" si="3"/>
        <v>Thyolo District [ul0y9diGujK]|25-34|Female</v>
      </c>
      <c r="F69" s="14"/>
      <c r="G69" s="14"/>
      <c r="H69" s="14" t="str">
        <f>IFERROR(1/(1/INDEX(Cascade!$O:$O,MATCH($E69,Cascade!$E:$E,0))),"")</f>
        <v/>
      </c>
      <c r="I69" s="14" t="str">
        <f>IFERROR(1/(1/INDEX(Cascade!$AV:$AV,MATCH($E69,Cascade!$E:$E,0))),"")</f>
        <v/>
      </c>
      <c r="J69" s="90"/>
      <c r="K69" s="90">
        <f t="shared" si="4"/>
        <v>0.33333333333333331</v>
      </c>
      <c r="L69" s="90">
        <f>1</f>
        <v>1</v>
      </c>
      <c r="M69" s="42" t="str">
        <f t="shared" si="5"/>
        <v/>
      </c>
    </row>
    <row r="70" spans="1:13" x14ac:dyDescent="0.2">
      <c r="A70" t="str">
        <f>INDEX(Prioritization!$D:$D,MATCH($B70,Prioritization!$A:$A,0))</f>
        <v>1 - Scale-up: Saturation</v>
      </c>
      <c r="B70" t="s">
        <v>220</v>
      </c>
      <c r="C70" t="s">
        <v>366</v>
      </c>
      <c r="D70" t="s">
        <v>29</v>
      </c>
      <c r="E70" t="str">
        <f t="shared" si="3"/>
        <v>Thyolo District [ul0y9diGujK]|35-49|Female</v>
      </c>
      <c r="F70" s="14"/>
      <c r="G70" s="14"/>
      <c r="H70" s="14" t="str">
        <f>IFERROR(1/(1/INDEX(Cascade!$O:$O,MATCH($E70,Cascade!$E:$E,0))),"")</f>
        <v/>
      </c>
      <c r="I70" s="14" t="str">
        <f>IFERROR(1/(1/INDEX(Cascade!$AV:$AV,MATCH($E70,Cascade!$E:$E,0))),"")</f>
        <v/>
      </c>
      <c r="J70" s="90"/>
      <c r="K70" s="90">
        <f t="shared" si="4"/>
        <v>0.33333333333333331</v>
      </c>
      <c r="L70" s="90">
        <f>1</f>
        <v>1</v>
      </c>
      <c r="M70" s="42" t="str">
        <f t="shared" si="5"/>
        <v/>
      </c>
    </row>
    <row r="71" spans="1:13" x14ac:dyDescent="0.2">
      <c r="A71" t="str">
        <f>INDEX(Prioritization!$D:$D,MATCH($B71,Prioritization!$A:$A,0))</f>
        <v>1 - Scale-up: Saturation</v>
      </c>
      <c r="B71" t="s">
        <v>221</v>
      </c>
      <c r="C71" t="s">
        <v>365</v>
      </c>
      <c r="D71" t="s">
        <v>29</v>
      </c>
      <c r="E71" t="str">
        <f t="shared" si="3"/>
        <v>Zomba District [fyEoGEPERdI]|25-34|Female</v>
      </c>
      <c r="F71" s="14"/>
      <c r="G71" s="14"/>
      <c r="H71" s="14" t="str">
        <f>IFERROR(1/(1/INDEX(Cascade!$O:$O,MATCH($E71,Cascade!$E:$E,0))),"")</f>
        <v/>
      </c>
      <c r="I71" s="14" t="str">
        <f>IFERROR(1/(1/INDEX(Cascade!$AV:$AV,MATCH($E71,Cascade!$E:$E,0))),"")</f>
        <v/>
      </c>
      <c r="J71" s="90"/>
      <c r="K71" s="90">
        <f t="shared" si="4"/>
        <v>0.33333333333333331</v>
      </c>
      <c r="L71" s="90">
        <f>1</f>
        <v>1</v>
      </c>
      <c r="M71" s="42" t="str">
        <f t="shared" si="5"/>
        <v/>
      </c>
    </row>
    <row r="72" spans="1:13" x14ac:dyDescent="0.2">
      <c r="A72" t="str">
        <f>INDEX(Prioritization!$D:$D,MATCH($B72,Prioritization!$A:$A,0))</f>
        <v>1 - Scale-up: Saturation</v>
      </c>
      <c r="B72" t="s">
        <v>221</v>
      </c>
      <c r="C72" t="s">
        <v>366</v>
      </c>
      <c r="D72" t="s">
        <v>29</v>
      </c>
      <c r="E72" t="str">
        <f t="shared" si="3"/>
        <v>Zomba District [fyEoGEPERdI]|35-49|Female</v>
      </c>
      <c r="F72" s="14"/>
      <c r="G72" s="14"/>
      <c r="H72" s="14" t="str">
        <f>IFERROR(1/(1/INDEX(Cascade!$O:$O,MATCH($E72,Cascade!$E:$E,0))),"")</f>
        <v/>
      </c>
      <c r="I72" s="14" t="str">
        <f>IFERROR(1/(1/INDEX(Cascade!$AV:$AV,MATCH($E72,Cascade!$E:$E,0))),"")</f>
        <v/>
      </c>
      <c r="J72" s="90"/>
      <c r="K72" s="90">
        <f t="shared" si="4"/>
        <v>0.33333333333333331</v>
      </c>
      <c r="L72" s="90">
        <f>1</f>
        <v>1</v>
      </c>
      <c r="M72" s="42" t="str">
        <f t="shared" si="5"/>
        <v/>
      </c>
    </row>
  </sheetData>
  <mergeCells count="1">
    <mergeCell ref="A2:B3"/>
  </mergeCells>
  <conditionalFormatting sqref="K1:K1048576">
    <cfRule type="expression" dxfId="62" priority="2">
      <formula>AND(ISNUMBER($K1),$K1&lt;33%)</formula>
    </cfRule>
  </conditionalFormatting>
  <conditionalFormatting sqref="J1:L1048576">
    <cfRule type="expression" dxfId="61" priority="3">
      <formula>AND(ISNUMBER(J1),J1&gt;1)</formula>
    </cfRule>
  </conditionalFormatting>
  <conditionalFormatting sqref="F1:M1048576">
    <cfRule type="expression" dxfId="60" priority="4">
      <formula>AND(ISNUMBER(F1),F1&lt;0)</formula>
    </cfRule>
  </conditionalFormatting>
  <conditionalFormatting sqref="L1:L1048576">
    <cfRule type="expression" dxfId="59" priority="5">
      <formula>AND(ISNUMBER($L1),$L1&lt;100%)</formula>
    </cfRule>
  </conditionalFormatting>
  <hyperlinks>
    <hyperlink ref="H3" location="Cascade!O:O" display="TX_CURR (FY23)" xr:uid="{00000000-0004-0000-0C00-000000000000}"/>
    <hyperlink ref="I3" location="Cascade!AS:AS" display="Initiated on ART (FY24)" xr:uid="{00000000-0004-0000-0C00-000001000000}"/>
  </hyperlinks>
  <pageMargins left="0.7" right="0.7" top="0.75" bottom="0.75" header="0.511811023622047" footer="0.511811023622047"/>
  <pageSetup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130"/>
  <sheetViews>
    <sheetView zoomScaleNormal="100" workbookViewId="0">
      <pane xSplit="5" ySplit="14" topLeftCell="Y15" activePane="bottomRight" state="frozen"/>
      <selection pane="topRight" activeCell="Y1" sqref="Y1"/>
      <selection pane="bottomLeft" activeCell="A15" sqref="A15"/>
      <selection pane="bottomRight"/>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29" width="11.83203125" customWidth="1"/>
  </cols>
  <sheetData>
    <row r="1" spans="1:29" ht="30.75" customHeight="1" x14ac:dyDescent="0.2">
      <c r="A1" s="44" t="s">
        <v>1165</v>
      </c>
      <c r="B1" s="18"/>
      <c r="C1" s="18"/>
      <c r="D1" s="18"/>
      <c r="E1" s="18"/>
      <c r="F1" s="45" t="s">
        <v>1166</v>
      </c>
      <c r="G1" s="46"/>
      <c r="H1" s="50"/>
      <c r="I1" s="50"/>
      <c r="J1" s="50"/>
      <c r="K1" s="50"/>
      <c r="L1" s="46"/>
      <c r="M1" s="46"/>
      <c r="N1" s="46"/>
      <c r="O1" s="46"/>
      <c r="P1" s="45" t="s">
        <v>492</v>
      </c>
      <c r="Q1" s="46"/>
      <c r="R1" s="46"/>
      <c r="S1" s="46"/>
      <c r="T1" s="50"/>
      <c r="U1" s="50"/>
      <c r="V1" s="50"/>
      <c r="W1" s="46"/>
      <c r="X1" s="46"/>
      <c r="Y1" s="51" t="s">
        <v>493</v>
      </c>
      <c r="Z1" s="46"/>
      <c r="AA1" s="46"/>
      <c r="AB1" s="48"/>
      <c r="AC1" s="48"/>
    </row>
    <row r="2" spans="1:29" ht="18.75" customHeight="1" x14ac:dyDescent="0.25">
      <c r="A2" s="25"/>
      <c r="B2" s="22"/>
      <c r="C2" s="22"/>
      <c r="D2" s="22"/>
      <c r="E2" s="22"/>
      <c r="F2" s="52"/>
      <c r="G2" s="25"/>
      <c r="H2" s="54"/>
      <c r="I2" s="54"/>
      <c r="J2" s="54"/>
      <c r="K2" s="54"/>
      <c r="L2" s="24" t="s">
        <v>176</v>
      </c>
      <c r="M2" s="24" t="s">
        <v>176</v>
      </c>
      <c r="N2" s="24" t="s">
        <v>176</v>
      </c>
      <c r="O2" s="24" t="s">
        <v>176</v>
      </c>
      <c r="P2" s="52"/>
      <c r="Q2" s="25"/>
      <c r="R2" s="25"/>
      <c r="S2" s="25"/>
      <c r="T2" s="54"/>
      <c r="U2" s="54"/>
      <c r="V2" s="54"/>
      <c r="W2" s="24" t="s">
        <v>176</v>
      </c>
      <c r="X2" s="24" t="s">
        <v>176</v>
      </c>
      <c r="Y2" s="56"/>
      <c r="Z2" s="24" t="s">
        <v>176</v>
      </c>
      <c r="AA2" s="24" t="s">
        <v>176</v>
      </c>
      <c r="AB2" s="54"/>
      <c r="AC2" s="54"/>
    </row>
    <row r="3" spans="1:29" ht="117" customHeight="1" x14ac:dyDescent="0.2">
      <c r="A3" s="61"/>
      <c r="B3" s="26"/>
      <c r="C3" s="26"/>
      <c r="D3" s="26"/>
      <c r="E3" s="26"/>
      <c r="F3" s="138" t="s">
        <v>1153</v>
      </c>
      <c r="G3" s="139" t="s">
        <v>1167</v>
      </c>
      <c r="H3" s="160" t="s">
        <v>1168</v>
      </c>
      <c r="I3" s="160" t="s">
        <v>1169</v>
      </c>
      <c r="J3" s="160" t="s">
        <v>1170</v>
      </c>
      <c r="K3" s="160" t="s">
        <v>1171</v>
      </c>
      <c r="L3" s="74" t="s">
        <v>1172</v>
      </c>
      <c r="M3" s="74" t="s">
        <v>1173</v>
      </c>
      <c r="N3" s="74" t="s">
        <v>1174</v>
      </c>
      <c r="O3" s="74" t="s">
        <v>1175</v>
      </c>
      <c r="P3" s="27" t="s">
        <v>1176</v>
      </c>
      <c r="Q3" s="71" t="s">
        <v>1177</v>
      </c>
      <c r="R3" s="71" t="s">
        <v>1178</v>
      </c>
      <c r="S3" s="69" t="s">
        <v>1179</v>
      </c>
      <c r="T3" s="160" t="s">
        <v>1180</v>
      </c>
      <c r="U3" s="160" t="s">
        <v>1181</v>
      </c>
      <c r="V3" s="160" t="s">
        <v>1182</v>
      </c>
      <c r="W3" s="74" t="s">
        <v>550</v>
      </c>
      <c r="X3" s="74" t="s">
        <v>551</v>
      </c>
      <c r="Y3" s="170" t="s">
        <v>1183</v>
      </c>
      <c r="Z3" s="74" t="s">
        <v>550</v>
      </c>
      <c r="AA3" s="74" t="s">
        <v>551</v>
      </c>
      <c r="AB3" s="162" t="s">
        <v>1184</v>
      </c>
      <c r="AC3" s="162" t="s">
        <v>1185</v>
      </c>
    </row>
    <row r="4" spans="1:29" x14ac:dyDescent="0.2">
      <c r="A4" s="75"/>
      <c r="B4" s="30"/>
      <c r="C4" s="30"/>
      <c r="D4" s="30" t="s">
        <v>287</v>
      </c>
      <c r="E4" s="30"/>
      <c r="F4" s="76">
        <f>SUBTOTAL(109,F$15:INDEX(F:F,COUNTA($B:$B)+14-COUNTA($B$1:$B$14)))</f>
        <v>151</v>
      </c>
      <c r="G4" s="75">
        <f>SUBTOTAL(109,G$15:INDEX(G:G,COUNTA($B:$B)+14-COUNTA($B$1:$B$14)))</f>
        <v>34</v>
      </c>
      <c r="H4" s="86">
        <f>IF(SUM($F$4)=0,"",SUM($L$4,$M$4)/$F$4)</f>
        <v>1</v>
      </c>
      <c r="I4" s="86">
        <f>IF(SUM($G$4)=0,"",SUM($N$4,$O$4)/$G$4)</f>
        <v>1</v>
      </c>
      <c r="J4" s="86">
        <f>IF(SUM($L$4,$M$4)=0,"",$L$4/SUM($L$4,$M$4))</f>
        <v>0</v>
      </c>
      <c r="K4" s="86">
        <f>IF(SUM($N$4,$O$4)=0,"",$N$4/SUM($N$4,$O$4))</f>
        <v>0</v>
      </c>
      <c r="L4" s="84">
        <f>SUBTOTAL(109,L$15:INDEX(L:L,COUNTA($B:$B)+14-COUNTA($B$1:$B$14)))</f>
        <v>0</v>
      </c>
      <c r="M4" s="84">
        <f>SUBTOTAL(109,M$15:INDEX(M:M,COUNTA($B:$B)+14-COUNTA($B$1:$B$14)))</f>
        <v>151</v>
      </c>
      <c r="N4" s="84">
        <f>SUBTOTAL(109,N$15:INDEX(N:N,COUNTA($B:$B)+14-COUNTA($B$1:$B$14)))</f>
        <v>0</v>
      </c>
      <c r="O4" s="84">
        <f>SUBTOTAL(109,O$15:INDEX(O:O,COUNTA($B:$B)+14-COUNTA($B$1:$B$14)))</f>
        <v>34</v>
      </c>
      <c r="P4" s="76">
        <f>SUBTOTAL(109,P$15:INDEX(P:P,COUNTA($B:$B)+14-COUNTA($B$1:$B$14)))</f>
        <v>48536</v>
      </c>
      <c r="Q4" s="75">
        <f>SUBTOTAL(109,Q$15:INDEX(Q:Q,COUNTA($B:$B)+14-COUNTA($B$1:$B$14)))</f>
        <v>0</v>
      </c>
      <c r="R4" s="75">
        <f>SUBTOTAL(109,R$15:INDEX(R:R,COUNTA($B:$B)+14-COUNTA($B$1:$B$14)))</f>
        <v>6232</v>
      </c>
      <c r="S4" s="75">
        <f>SUBTOTAL(109,S$15:INDEX(S:S,COUNTA($B:$B)+14-COUNTA($B$1:$B$14)))</f>
        <v>54768</v>
      </c>
      <c r="T4" s="90">
        <f>IF(SUM($F4)=0,"",MIN($S4/$F4,1))</f>
        <v>1</v>
      </c>
      <c r="U4" s="86" t="e">
        <f>IF(SUM($M$4)*SUM($T$4)=0,"",SUM($W$4)/(SUM($M$4)*SUM($T$4)))</f>
        <v>#VALUE!</v>
      </c>
      <c r="V4" s="86">
        <f>IF(SUM($O$4)=0,"",$X$4/$O$4)</f>
        <v>1</v>
      </c>
      <c r="W4" s="84" t="e">
        <f>SUBTOTAL(109,W$15:INDEX(W:W,COUNTA($B:$B)+14-COUNTA($B$1:$B$14)))</f>
        <v>#VALUE!</v>
      </c>
      <c r="X4" s="84">
        <f>SUBTOTAL(109,X$15:INDEX(X:X,COUNTA($B:$B)+14-COUNTA($B$1:$B$14)))</f>
        <v>34</v>
      </c>
      <c r="Y4" s="85" t="e">
        <f>IF(SUM($X$4,$W$4)=0,"",SUM($AA$4,$Z$4)/SUM($X$4,$W$4))</f>
        <v>#VALUE!</v>
      </c>
      <c r="Z4" s="84" t="e">
        <f>SUBTOTAL(109,Z$15:INDEX(Z:Z,COUNTA($B:$B)+14-COUNTA($B$1:$B$14)))</f>
        <v>#VALUE!</v>
      </c>
      <c r="AA4" s="84">
        <f>SUBTOTAL(109,AA$15:INDEX(AA:AA,COUNTA($B:$B)+14-COUNTA($B$1:$B$14)))</f>
        <v>32</v>
      </c>
      <c r="AB4" s="86" t="str">
        <f>IF(SUM($Q4)=0,"",(SUM($Z4)-$Q4)/$Q4)</f>
        <v/>
      </c>
      <c r="AC4" s="86">
        <f>IF(SUM($R4)=0,"",(SUM($AA4)-$R4)/$R4)</f>
        <v>-0.99486521181001286</v>
      </c>
    </row>
    <row r="5" spans="1:29" x14ac:dyDescent="0.2">
      <c r="A5" t="s">
        <v>180</v>
      </c>
      <c r="B5" s="13" t="s">
        <v>180</v>
      </c>
      <c r="C5" s="13" t="s">
        <v>180</v>
      </c>
      <c r="D5" s="13" t="s">
        <v>180</v>
      </c>
      <c r="E5" s="13" t="s">
        <v>180</v>
      </c>
      <c r="F5" s="87" t="s">
        <v>180</v>
      </c>
      <c r="G5" s="14" t="s">
        <v>180</v>
      </c>
      <c r="H5" s="90" t="s">
        <v>180</v>
      </c>
      <c r="I5" s="90" t="s">
        <v>180</v>
      </c>
      <c r="J5" s="90" t="s">
        <v>180</v>
      </c>
      <c r="K5" s="90" t="s">
        <v>180</v>
      </c>
      <c r="L5" s="9" t="s">
        <v>288</v>
      </c>
      <c r="M5" s="9" t="s">
        <v>288</v>
      </c>
      <c r="N5" s="9" t="s">
        <v>288</v>
      </c>
      <c r="O5" s="9" t="s">
        <v>288</v>
      </c>
      <c r="P5" s="87" t="s">
        <v>180</v>
      </c>
      <c r="Q5" s="14" t="s">
        <v>288</v>
      </c>
      <c r="R5" s="14" t="s">
        <v>288</v>
      </c>
      <c r="S5" s="14" t="s">
        <v>180</v>
      </c>
      <c r="T5" s="90" t="s">
        <v>180</v>
      </c>
      <c r="U5" s="90" t="s">
        <v>180</v>
      </c>
      <c r="V5" s="90" t="s">
        <v>180</v>
      </c>
      <c r="W5" s="9" t="s">
        <v>288</v>
      </c>
      <c r="X5" s="9" t="s">
        <v>288</v>
      </c>
      <c r="Y5" s="94" t="s">
        <v>180</v>
      </c>
      <c r="Z5" s="9" t="s">
        <v>288</v>
      </c>
      <c r="AA5" s="9" t="s">
        <v>288</v>
      </c>
      <c r="AB5" s="90" t="s">
        <v>180</v>
      </c>
      <c r="AC5" s="90" t="s">
        <v>180</v>
      </c>
    </row>
    <row r="6" spans="1:29" x14ac:dyDescent="0.2">
      <c r="A6" t="s">
        <v>182</v>
      </c>
      <c r="B6" s="13" t="s">
        <v>182</v>
      </c>
      <c r="C6" s="13" t="s">
        <v>182</v>
      </c>
      <c r="D6" s="13" t="s">
        <v>182</v>
      </c>
      <c r="E6" s="13" t="s">
        <v>182</v>
      </c>
      <c r="F6" s="87" t="s">
        <v>185</v>
      </c>
      <c r="G6" s="14" t="s">
        <v>185</v>
      </c>
      <c r="H6" s="90" t="s">
        <v>290</v>
      </c>
      <c r="I6" s="90" t="s">
        <v>290</v>
      </c>
      <c r="J6" s="90" t="s">
        <v>291</v>
      </c>
      <c r="K6" s="90" t="s">
        <v>291</v>
      </c>
      <c r="L6" s="9" t="s">
        <v>184</v>
      </c>
      <c r="M6" s="9" t="s">
        <v>184</v>
      </c>
      <c r="N6" s="9" t="s">
        <v>184</v>
      </c>
      <c r="O6" s="9" t="s">
        <v>184</v>
      </c>
      <c r="P6" s="87" t="s">
        <v>291</v>
      </c>
      <c r="Q6" s="14" t="s">
        <v>183</v>
      </c>
      <c r="R6" s="14" t="s">
        <v>183</v>
      </c>
      <c r="S6" s="14" t="s">
        <v>290</v>
      </c>
      <c r="T6" s="90" t="s">
        <v>290</v>
      </c>
      <c r="U6" s="90" t="s">
        <v>290</v>
      </c>
      <c r="V6" s="90" t="s">
        <v>290</v>
      </c>
      <c r="W6" s="9" t="s">
        <v>184</v>
      </c>
      <c r="X6" s="9" t="s">
        <v>184</v>
      </c>
      <c r="Y6" s="94" t="s">
        <v>290</v>
      </c>
      <c r="Z6" s="9" t="s">
        <v>184</v>
      </c>
      <c r="AA6" s="9" t="s">
        <v>184</v>
      </c>
      <c r="AB6" s="90" t="s">
        <v>185</v>
      </c>
      <c r="AC6" s="90" t="s">
        <v>185</v>
      </c>
    </row>
    <row r="7" spans="1:29" x14ac:dyDescent="0.2">
      <c r="A7" t="s">
        <v>186</v>
      </c>
      <c r="B7" s="13" t="s">
        <v>186</v>
      </c>
      <c r="C7" s="13" t="s">
        <v>186</v>
      </c>
      <c r="D7" s="13" t="s">
        <v>186</v>
      </c>
      <c r="E7" s="13" t="s">
        <v>186</v>
      </c>
      <c r="F7" s="87" t="s">
        <v>187</v>
      </c>
      <c r="G7" s="14" t="s">
        <v>187</v>
      </c>
      <c r="H7" s="90" t="s">
        <v>293</v>
      </c>
      <c r="I7" s="90" t="s">
        <v>293</v>
      </c>
      <c r="J7" s="90" t="s">
        <v>293</v>
      </c>
      <c r="K7" s="90" t="s">
        <v>293</v>
      </c>
      <c r="L7" s="9" t="s">
        <v>187</v>
      </c>
      <c r="M7" s="9" t="s">
        <v>187</v>
      </c>
      <c r="N7" s="9" t="s">
        <v>187</v>
      </c>
      <c r="O7" s="9" t="s">
        <v>187</v>
      </c>
      <c r="P7" s="87" t="s">
        <v>187</v>
      </c>
      <c r="Q7" s="14" t="s">
        <v>187</v>
      </c>
      <c r="R7" s="14" t="s">
        <v>187</v>
      </c>
      <c r="S7" s="14" t="s">
        <v>187</v>
      </c>
      <c r="T7" s="90" t="s">
        <v>293</v>
      </c>
      <c r="U7" s="90" t="s">
        <v>293</v>
      </c>
      <c r="V7" s="90" t="s">
        <v>293</v>
      </c>
      <c r="W7" s="9" t="s">
        <v>187</v>
      </c>
      <c r="X7" s="9" t="s">
        <v>187</v>
      </c>
      <c r="Y7" s="94" t="s">
        <v>293</v>
      </c>
      <c r="Z7" s="9" t="s">
        <v>187</v>
      </c>
      <c r="AA7" s="9" t="s">
        <v>187</v>
      </c>
      <c r="AB7" s="90" t="s">
        <v>293</v>
      </c>
      <c r="AC7" s="90" t="s">
        <v>293</v>
      </c>
    </row>
    <row r="8" spans="1:29" x14ac:dyDescent="0.2">
      <c r="L8" s="99" t="s">
        <v>657</v>
      </c>
      <c r="M8" s="99" t="s">
        <v>657</v>
      </c>
      <c r="N8" s="99" t="s">
        <v>657</v>
      </c>
      <c r="O8" s="99" t="s">
        <v>657</v>
      </c>
      <c r="Q8" s="96" t="s">
        <v>659</v>
      </c>
      <c r="R8" s="96" t="s">
        <v>659</v>
      </c>
      <c r="S8" s="14"/>
      <c r="T8" s="90"/>
      <c r="U8" s="90"/>
      <c r="V8" s="90"/>
      <c r="W8" s="99" t="s">
        <v>658</v>
      </c>
      <c r="X8" s="99" t="s">
        <v>658</v>
      </c>
      <c r="Y8" s="94"/>
      <c r="Z8" s="99" t="s">
        <v>659</v>
      </c>
      <c r="AA8" s="99" t="s">
        <v>659</v>
      </c>
      <c r="AB8" s="90"/>
      <c r="AC8" s="90"/>
    </row>
    <row r="9" spans="1:29" x14ac:dyDescent="0.2">
      <c r="L9" s="99" t="s">
        <v>1186</v>
      </c>
      <c r="M9" s="99" t="s">
        <v>1186</v>
      </c>
      <c r="N9" s="99" t="s">
        <v>1186</v>
      </c>
      <c r="O9" s="99" t="s">
        <v>1186</v>
      </c>
      <c r="Q9" s="96" t="s">
        <v>1187</v>
      </c>
      <c r="R9" s="96" t="s">
        <v>1187</v>
      </c>
      <c r="S9" s="14"/>
      <c r="T9" s="90"/>
      <c r="U9" s="90"/>
      <c r="V9" s="90"/>
      <c r="W9" s="99" t="s">
        <v>1188</v>
      </c>
      <c r="X9" s="99" t="s">
        <v>1188</v>
      </c>
      <c r="Y9" s="94"/>
      <c r="Z9" s="99" t="s">
        <v>1187</v>
      </c>
      <c r="AA9" s="99" t="s">
        <v>1187</v>
      </c>
      <c r="AB9" s="90"/>
      <c r="AC9" s="90"/>
    </row>
    <row r="10" spans="1:29" x14ac:dyDescent="0.2">
      <c r="L10" s="99" t="s">
        <v>674</v>
      </c>
      <c r="M10" s="99" t="s">
        <v>675</v>
      </c>
      <c r="N10" s="99" t="s">
        <v>676</v>
      </c>
      <c r="O10" s="99" t="s">
        <v>677</v>
      </c>
      <c r="Q10" s="96" t="s">
        <v>672</v>
      </c>
      <c r="R10" s="96" t="s">
        <v>673</v>
      </c>
      <c r="S10" s="14"/>
      <c r="T10" s="90"/>
      <c r="U10" s="90"/>
      <c r="V10" s="90"/>
      <c r="W10" s="99" t="s">
        <v>672</v>
      </c>
      <c r="X10" s="99" t="s">
        <v>673</v>
      </c>
      <c r="Y10" s="94"/>
      <c r="Z10" s="99" t="s">
        <v>672</v>
      </c>
      <c r="AA10" s="99" t="s">
        <v>673</v>
      </c>
      <c r="AB10" s="90"/>
      <c r="AC10" s="90"/>
    </row>
    <row r="11" spans="1:29" x14ac:dyDescent="0.2">
      <c r="F11" s="87" t="s">
        <v>685</v>
      </c>
      <c r="G11" s="14" t="s">
        <v>685</v>
      </c>
      <c r="H11" s="90" t="s">
        <v>685</v>
      </c>
      <c r="I11" s="90" t="s">
        <v>685</v>
      </c>
      <c r="J11" s="90" t="s">
        <v>685</v>
      </c>
      <c r="K11" s="90" t="s">
        <v>685</v>
      </c>
      <c r="L11" s="9" t="s">
        <v>685</v>
      </c>
      <c r="M11" s="9" t="s">
        <v>685</v>
      </c>
      <c r="N11" s="9" t="s">
        <v>685</v>
      </c>
      <c r="O11" s="9" t="s">
        <v>685</v>
      </c>
      <c r="P11" s="87" t="s">
        <v>685</v>
      </c>
      <c r="Q11" s="14" t="s">
        <v>685</v>
      </c>
      <c r="R11" s="14" t="s">
        <v>685</v>
      </c>
      <c r="S11" s="14" t="s">
        <v>685</v>
      </c>
      <c r="T11" s="90" t="s">
        <v>685</v>
      </c>
      <c r="U11" s="90" t="s">
        <v>685</v>
      </c>
      <c r="V11" s="90" t="s">
        <v>685</v>
      </c>
      <c r="W11" s="9" t="s">
        <v>685</v>
      </c>
      <c r="X11" s="9" t="s">
        <v>685</v>
      </c>
      <c r="Y11" s="94" t="s">
        <v>685</v>
      </c>
      <c r="Z11" s="9" t="s">
        <v>685</v>
      </c>
      <c r="AA11" s="9" t="s">
        <v>685</v>
      </c>
      <c r="AB11" s="90" t="s">
        <v>685</v>
      </c>
      <c r="AC11" s="90" t="s">
        <v>685</v>
      </c>
    </row>
    <row r="12" spans="1:29" x14ac:dyDescent="0.2">
      <c r="F12" s="87" t="s">
        <v>316</v>
      </c>
      <c r="G12" s="14" t="s">
        <v>316</v>
      </c>
      <c r="H12" s="90" t="s">
        <v>316</v>
      </c>
      <c r="I12" s="90" t="s">
        <v>316</v>
      </c>
      <c r="J12" s="90" t="s">
        <v>316</v>
      </c>
      <c r="K12" s="90" t="s">
        <v>316</v>
      </c>
      <c r="L12" s="9" t="s">
        <v>316</v>
      </c>
      <c r="M12" s="9" t="s">
        <v>316</v>
      </c>
      <c r="N12" s="9" t="s">
        <v>316</v>
      </c>
      <c r="O12" s="9" t="s">
        <v>316</v>
      </c>
      <c r="P12" s="87" t="s">
        <v>316</v>
      </c>
      <c r="Q12" s="14" t="s">
        <v>316</v>
      </c>
      <c r="R12" s="14" t="s">
        <v>316</v>
      </c>
      <c r="S12" s="14" t="s">
        <v>316</v>
      </c>
      <c r="T12" s="90" t="s">
        <v>316</v>
      </c>
      <c r="U12" s="90" t="s">
        <v>316</v>
      </c>
      <c r="V12" s="90" t="s">
        <v>316</v>
      </c>
      <c r="W12" s="9" t="s">
        <v>316</v>
      </c>
      <c r="X12" s="9" t="s">
        <v>316</v>
      </c>
      <c r="Y12" s="94" t="s">
        <v>316</v>
      </c>
      <c r="Z12" s="9" t="s">
        <v>316</v>
      </c>
      <c r="AA12" s="9" t="s">
        <v>316</v>
      </c>
      <c r="AB12" s="90" t="s">
        <v>316</v>
      </c>
      <c r="AC12" s="90" t="s">
        <v>316</v>
      </c>
    </row>
    <row r="14" spans="1:29" x14ac:dyDescent="0.2">
      <c r="A14" s="102" t="s">
        <v>175</v>
      </c>
      <c r="B14" s="36" t="s">
        <v>189</v>
      </c>
      <c r="C14" s="36" t="s">
        <v>317</v>
      </c>
      <c r="D14" s="36" t="s">
        <v>318</v>
      </c>
      <c r="E14" s="36" t="s">
        <v>19</v>
      </c>
      <c r="F14" s="103" t="s">
        <v>327</v>
      </c>
      <c r="G14" s="39" t="s">
        <v>351</v>
      </c>
      <c r="H14" s="105" t="s">
        <v>1189</v>
      </c>
      <c r="I14" s="105" t="s">
        <v>1190</v>
      </c>
      <c r="J14" s="105" t="s">
        <v>1191</v>
      </c>
      <c r="K14" s="105" t="s">
        <v>1192</v>
      </c>
      <c r="L14" s="109" t="s">
        <v>1193</v>
      </c>
      <c r="M14" s="109" t="s">
        <v>1194</v>
      </c>
      <c r="N14" s="109" t="s">
        <v>1195</v>
      </c>
      <c r="O14" s="109" t="s">
        <v>1196</v>
      </c>
      <c r="P14" s="103" t="s">
        <v>1197</v>
      </c>
      <c r="Q14" s="39" t="s">
        <v>1198</v>
      </c>
      <c r="R14" s="39" t="s">
        <v>1199</v>
      </c>
      <c r="S14" s="39" t="s">
        <v>1200</v>
      </c>
      <c r="T14" s="105" t="s">
        <v>1201</v>
      </c>
      <c r="U14" s="105" t="s">
        <v>1202</v>
      </c>
      <c r="V14" s="105" t="s">
        <v>1203</v>
      </c>
      <c r="W14" s="109" t="s">
        <v>1204</v>
      </c>
      <c r="X14" s="109" t="s">
        <v>1205</v>
      </c>
      <c r="Y14" s="107" t="s">
        <v>1206</v>
      </c>
      <c r="Z14" s="109" t="s">
        <v>1207</v>
      </c>
      <c r="AA14" s="109" t="s">
        <v>1208</v>
      </c>
      <c r="AB14" s="105" t="s">
        <v>1209</v>
      </c>
      <c r="AC14" s="105" t="s">
        <v>1210</v>
      </c>
    </row>
    <row r="15" spans="1:29" x14ac:dyDescent="0.2">
      <c r="A15" t="str">
        <f>INDEX(Prioritization!$D:$D,MATCH($B15,Prioritization!$A:$A,0))</f>
        <v>Military</v>
      </c>
      <c r="B15" t="s">
        <v>193</v>
      </c>
      <c r="C15" t="s">
        <v>806</v>
      </c>
      <c r="D15" t="s">
        <v>29</v>
      </c>
      <c r="E15" s="13" t="str">
        <f t="shared" ref="E15:E46" si="0">B15&amp;"|"&amp;C15&amp;"|"&amp;D15</f>
        <v>_Military Malawi [PQZgU9dagaH]|&lt;15|Female</v>
      </c>
      <c r="F15" s="87">
        <f>IFERROR(1/(1/SUM(SUMIFS(Cascade!$O:$O,Cascade!$B:$B,$B15,Cascade!$C:$C,IF($C15="&lt;15",{"=&lt;01","01-09","10-14"},{"15-24","25-34","35-49","50+"}),Cascade!$D:$D,$D15))),"")</f>
        <v>1</v>
      </c>
      <c r="G15" s="14" t="str">
        <f>IFERROR(1/(1/SUM(SUMIFS(Cascade!$AX:$AX,Cascade!$B:$B,$B15,Cascade!$C:$C,IF($C15="&lt;15",{"=&lt;01","01-09","10-14"},{"15-24","25-34","35-49","50+"}),Cascade!$D:$D,$D15))),"")</f>
        <v/>
      </c>
      <c r="H15" s="90">
        <f>1</f>
        <v>1</v>
      </c>
      <c r="I15" s="90">
        <f>1</f>
        <v>1</v>
      </c>
      <c r="J15" s="90"/>
      <c r="K15" s="90"/>
      <c r="L15" s="9">
        <f t="shared" ref="L15:L46" si="1">IF(SUM($F15)=0,"",ROUND($F15*$H15*$J15,0))</f>
        <v>0</v>
      </c>
      <c r="M15" s="9">
        <f t="shared" ref="M15:M46" si="2">IF(SUM($F15)=0,"",ROUND($F15*$H15,0)-$L15)</f>
        <v>1</v>
      </c>
      <c r="N15" s="9" t="str">
        <f t="shared" ref="N15:N46" si="3">IF(SUM($G15)=0,"",ROUND($G15*$I15*$K15,0))</f>
        <v/>
      </c>
      <c r="O15" s="9" t="str">
        <f t="shared" ref="O15:O46" si="4">IF(SUM($G15)=0,"",ROUND($G15*$I15,0)-$N15)</f>
        <v/>
      </c>
      <c r="P15" s="14">
        <v>8</v>
      </c>
      <c r="Q15" s="14"/>
      <c r="R15" s="14">
        <v>10</v>
      </c>
      <c r="S15" s="14">
        <f t="shared" ref="S15:S46" si="5">IFERROR(1/(1/SUM($P15,$R15,$Q15)),"")</f>
        <v>18</v>
      </c>
      <c r="T15" s="90">
        <f t="shared" ref="T15:T46" si="6">IF(SUM($F15)=0,"",MIN($S15/$F15,1))</f>
        <v>1</v>
      </c>
      <c r="U15" s="90">
        <f>1</f>
        <v>1</v>
      </c>
      <c r="V15" s="90">
        <f>1</f>
        <v>1</v>
      </c>
      <c r="W15" s="9">
        <f t="shared" ref="W15:W46" si="7">IF(SUM($M15)=0,"",IF($T15="","ENTER ELIGIBILITY RATE",IF($U15 = "","ENTER INITIATION RATE",ROUND($M15*$T15*$U15,0))))</f>
        <v>1</v>
      </c>
      <c r="X15" s="9" t="str">
        <f t="shared" ref="X15:X46" si="8">IF(SUM($O15)=0,"",IF($V15="","ENTER INITIATION RATE",ROUND($O15*$V15,0)))</f>
        <v/>
      </c>
      <c r="Y15" s="94">
        <f t="shared" ref="Y15:Y46" si="9">0.9</f>
        <v>0.9</v>
      </c>
      <c r="Z15" s="9">
        <f t="shared" ref="Z15:Z46" si="10">IF(SUM($W15)=0,"",IF($Y15="","ENTER COMPLETION RATE",ROUND($W15*$Y15,0)))</f>
        <v>1</v>
      </c>
      <c r="AA15" s="9" t="str">
        <f t="shared" ref="AA15:AA46" si="11">IF(SUM($X15)=0,"",IF($X15="","ENTER COMPLETION RATE",ROUND($X15*$Y15,0)))</f>
        <v/>
      </c>
      <c r="AB15" s="90" t="str">
        <f t="shared" ref="AB15:AB46" si="12">IF(SUM($Q15)=0,"",(SUM($Z15)-$Q15)/$Q15)</f>
        <v/>
      </c>
      <c r="AC15" s="90">
        <f t="shared" ref="AC15:AC46" si="13">IF(SUM($R15)=0,"",(SUM($AA15)-$R15)/$R15)</f>
        <v>-1</v>
      </c>
    </row>
    <row r="16" spans="1:29" x14ac:dyDescent="0.2">
      <c r="A16" t="str">
        <f>INDEX(Prioritization!$D:$D,MATCH($B16,Prioritization!$A:$A,0))</f>
        <v>Military</v>
      </c>
      <c r="B16" t="s">
        <v>193</v>
      </c>
      <c r="C16" t="s">
        <v>806</v>
      </c>
      <c r="D16" t="s">
        <v>47</v>
      </c>
      <c r="E16" t="str">
        <f t="shared" si="0"/>
        <v>_Military Malawi [PQZgU9dagaH]|&lt;15|Male</v>
      </c>
      <c r="F16" s="14" t="str">
        <f>IFERROR(1/(1/SUM(SUMIFS(Cascade!$O:$O,Cascade!$B:$B,$B16,Cascade!$C:$C,IF($C16="&lt;15",{"=&lt;01","01-09","10-14"},{"15-24","25-34","35-49","50+"}),Cascade!$D:$D,$D16))),"")</f>
        <v/>
      </c>
      <c r="G16" s="14" t="str">
        <f>IFERROR(1/(1/SUM(SUMIFS(Cascade!$AX:$AX,Cascade!$B:$B,$B16,Cascade!$C:$C,IF($C16="&lt;15",{"=&lt;01","01-09","10-14"},{"15-24","25-34","35-49","50+"}),Cascade!$D:$D,$D16))),"")</f>
        <v/>
      </c>
      <c r="H16" s="90">
        <f>1</f>
        <v>1</v>
      </c>
      <c r="I16" s="90">
        <f>1</f>
        <v>1</v>
      </c>
      <c r="J16" s="90">
        <v>1.36183016002178E-2</v>
      </c>
      <c r="K16" s="90"/>
      <c r="L16" s="42" t="str">
        <f t="shared" si="1"/>
        <v/>
      </c>
      <c r="M16" s="42" t="str">
        <f t="shared" si="2"/>
        <v/>
      </c>
      <c r="N16" s="42" t="str">
        <f t="shared" si="3"/>
        <v/>
      </c>
      <c r="O16" s="42" t="str">
        <f t="shared" si="4"/>
        <v/>
      </c>
      <c r="P16" s="14">
        <v>0</v>
      </c>
      <c r="Q16" s="14"/>
      <c r="R16" s="14">
        <v>3</v>
      </c>
      <c r="S16" s="14">
        <f t="shared" si="5"/>
        <v>3</v>
      </c>
      <c r="T16" s="90" t="str">
        <f t="shared" si="6"/>
        <v/>
      </c>
      <c r="U16" s="90">
        <f>1</f>
        <v>1</v>
      </c>
      <c r="V16" s="90">
        <f>1</f>
        <v>1</v>
      </c>
      <c r="W16" s="42" t="str">
        <f t="shared" si="7"/>
        <v/>
      </c>
      <c r="X16" s="42" t="str">
        <f t="shared" si="8"/>
        <v/>
      </c>
      <c r="Y16" s="90">
        <f t="shared" si="9"/>
        <v>0.9</v>
      </c>
      <c r="Z16" s="42" t="str">
        <f t="shared" si="10"/>
        <v/>
      </c>
      <c r="AA16" s="42" t="str">
        <f t="shared" si="11"/>
        <v/>
      </c>
      <c r="AB16" s="90" t="str">
        <f t="shared" si="12"/>
        <v/>
      </c>
      <c r="AC16" s="90">
        <f t="shared" si="13"/>
        <v>-1</v>
      </c>
    </row>
    <row r="17" spans="1:29" x14ac:dyDescent="0.2">
      <c r="A17" t="str">
        <f>INDEX(Prioritization!$D:$D,MATCH($B17,Prioritization!$A:$A,0))</f>
        <v>Military</v>
      </c>
      <c r="B17" t="s">
        <v>193</v>
      </c>
      <c r="C17" t="s">
        <v>807</v>
      </c>
      <c r="D17" t="s">
        <v>29</v>
      </c>
      <c r="E17" t="str">
        <f t="shared" si="0"/>
        <v>_Military Malawi [PQZgU9dagaH]|15+|Female</v>
      </c>
      <c r="F17" s="14" t="str">
        <f>IFERROR(1/(1/SUM(SUMIFS(Cascade!$O:$O,Cascade!$B:$B,$B17,Cascade!$C:$C,IF($C17="&lt;15",{"=&lt;01","01-09","10-14"},{"15-24","25-34","35-49","50+"}),Cascade!$D:$D,$D17))),"")</f>
        <v/>
      </c>
      <c r="G17" s="14" t="str">
        <f>IFERROR(1/(1/SUM(SUMIFS(Cascade!$AX:$AX,Cascade!$B:$B,$B17,Cascade!$C:$C,IF($C17="&lt;15",{"=&lt;01","01-09","10-14"},{"15-24","25-34","35-49","50+"}),Cascade!$D:$D,$D17))),"")</f>
        <v/>
      </c>
      <c r="H17" s="90">
        <f>1</f>
        <v>1</v>
      </c>
      <c r="I17" s="90">
        <f>1</f>
        <v>1</v>
      </c>
      <c r="J17" s="90"/>
      <c r="K17" s="90"/>
      <c r="L17" s="42" t="str">
        <f t="shared" si="1"/>
        <v/>
      </c>
      <c r="M17" s="42" t="str">
        <f t="shared" si="2"/>
        <v/>
      </c>
      <c r="N17" s="42" t="str">
        <f t="shared" si="3"/>
        <v/>
      </c>
      <c r="O17" s="42" t="str">
        <f t="shared" si="4"/>
        <v/>
      </c>
      <c r="P17" s="14">
        <v>43</v>
      </c>
      <c r="Q17" s="14"/>
      <c r="R17" s="14">
        <v>26</v>
      </c>
      <c r="S17" s="14">
        <f t="shared" si="5"/>
        <v>69</v>
      </c>
      <c r="T17" s="90" t="str">
        <f t="shared" si="6"/>
        <v/>
      </c>
      <c r="U17" s="90">
        <f>1</f>
        <v>1</v>
      </c>
      <c r="V17" s="90">
        <f>1</f>
        <v>1</v>
      </c>
      <c r="W17" s="42" t="str">
        <f t="shared" si="7"/>
        <v/>
      </c>
      <c r="X17" s="42" t="str">
        <f t="shared" si="8"/>
        <v/>
      </c>
      <c r="Y17" s="90">
        <f t="shared" si="9"/>
        <v>0.9</v>
      </c>
      <c r="Z17" s="42" t="str">
        <f t="shared" si="10"/>
        <v/>
      </c>
      <c r="AA17" s="42" t="str">
        <f t="shared" si="11"/>
        <v/>
      </c>
      <c r="AB17" s="90" t="str">
        <f t="shared" si="12"/>
        <v/>
      </c>
      <c r="AC17" s="90">
        <f t="shared" si="13"/>
        <v>-1</v>
      </c>
    </row>
    <row r="18" spans="1:29" x14ac:dyDescent="0.2">
      <c r="A18" t="str">
        <f>INDEX(Prioritization!$D:$D,MATCH($B18,Prioritization!$A:$A,0))</f>
        <v>Military</v>
      </c>
      <c r="B18" t="s">
        <v>193</v>
      </c>
      <c r="C18" t="s">
        <v>807</v>
      </c>
      <c r="D18" t="s">
        <v>47</v>
      </c>
      <c r="E18" t="str">
        <f t="shared" si="0"/>
        <v>_Military Malawi [PQZgU9dagaH]|15+|Male</v>
      </c>
      <c r="F18" s="14" t="str">
        <f>IFERROR(1/(1/SUM(SUMIFS(Cascade!$O:$O,Cascade!$B:$B,$B18,Cascade!$C:$C,IF($C18="&lt;15",{"=&lt;01","01-09","10-14"},{"15-24","25-34","35-49","50+"}),Cascade!$D:$D,$D18))),"")</f>
        <v/>
      </c>
      <c r="G18" s="14" t="str">
        <f>IFERROR(1/(1/SUM(SUMIFS(Cascade!$AX:$AX,Cascade!$B:$B,$B18,Cascade!$C:$C,IF($C18="&lt;15",{"=&lt;01","01-09","10-14"},{"15-24","25-34","35-49","50+"}),Cascade!$D:$D,$D18))),"")</f>
        <v/>
      </c>
      <c r="H18" s="90">
        <f>1</f>
        <v>1</v>
      </c>
      <c r="I18" s="90">
        <f>1</f>
        <v>1</v>
      </c>
      <c r="J18" s="90"/>
      <c r="K18" s="90"/>
      <c r="L18" s="42" t="str">
        <f t="shared" si="1"/>
        <v/>
      </c>
      <c r="M18" s="42" t="str">
        <f t="shared" si="2"/>
        <v/>
      </c>
      <c r="N18" s="42" t="str">
        <f t="shared" si="3"/>
        <v/>
      </c>
      <c r="O18" s="42" t="str">
        <f t="shared" si="4"/>
        <v/>
      </c>
      <c r="P18" s="14">
        <v>33</v>
      </c>
      <c r="Q18" s="14"/>
      <c r="R18" s="14">
        <v>46</v>
      </c>
      <c r="S18" s="14">
        <f t="shared" si="5"/>
        <v>79</v>
      </c>
      <c r="T18" s="90" t="str">
        <f t="shared" si="6"/>
        <v/>
      </c>
      <c r="U18" s="90">
        <f>1</f>
        <v>1</v>
      </c>
      <c r="V18" s="90">
        <f>1</f>
        <v>1</v>
      </c>
      <c r="W18" s="42" t="str">
        <f t="shared" si="7"/>
        <v/>
      </c>
      <c r="X18" s="42" t="str">
        <f t="shared" si="8"/>
        <v/>
      </c>
      <c r="Y18" s="90">
        <f t="shared" si="9"/>
        <v>0.9</v>
      </c>
      <c r="Z18" s="42" t="str">
        <f t="shared" si="10"/>
        <v/>
      </c>
      <c r="AA18" s="42" t="str">
        <f t="shared" si="11"/>
        <v/>
      </c>
      <c r="AB18" s="90" t="str">
        <f t="shared" si="12"/>
        <v/>
      </c>
      <c r="AC18" s="90">
        <f t="shared" si="13"/>
        <v>-1</v>
      </c>
    </row>
    <row r="19" spans="1:29" x14ac:dyDescent="0.2">
      <c r="A19" t="str">
        <f>INDEX(Prioritization!$D:$D,MATCH($B19,Prioritization!$A:$A,0))</f>
        <v>1 - Scale-up: Saturation</v>
      </c>
      <c r="B19" t="s">
        <v>194</v>
      </c>
      <c r="C19" t="s">
        <v>806</v>
      </c>
      <c r="D19" t="s">
        <v>29</v>
      </c>
      <c r="E19" t="str">
        <f t="shared" si="0"/>
        <v>Dedza District [PekKUkKHAzY]|&lt;15|Female</v>
      </c>
      <c r="F19" s="14">
        <f>IFERROR(1/(1/SUM(SUMIFS(Cascade!$O:$O,Cascade!$B:$B,$B19,Cascade!$C:$C,IF($C19="&lt;15",{"=&lt;01","01-09","10-14"},{"15-24","25-34","35-49","50+"}),Cascade!$D:$D,$D19))),"")</f>
        <v>1</v>
      </c>
      <c r="G19" s="14" t="str">
        <f>IFERROR(1/(1/SUM(SUMIFS(Cascade!$AX:$AX,Cascade!$B:$B,$B19,Cascade!$C:$C,IF($C19="&lt;15",{"=&lt;01","01-09","10-14"},{"15-24","25-34","35-49","50+"}),Cascade!$D:$D,$D19))),"")</f>
        <v/>
      </c>
      <c r="H19" s="90">
        <f>1</f>
        <v>1</v>
      </c>
      <c r="I19" s="90">
        <f>1</f>
        <v>1</v>
      </c>
      <c r="J19" s="90"/>
      <c r="K19" s="90"/>
      <c r="L19" s="42">
        <f t="shared" si="1"/>
        <v>0</v>
      </c>
      <c r="M19" s="42">
        <f t="shared" si="2"/>
        <v>1</v>
      </c>
      <c r="N19" s="42" t="str">
        <f t="shared" si="3"/>
        <v/>
      </c>
      <c r="O19" s="42" t="str">
        <f t="shared" si="4"/>
        <v/>
      </c>
      <c r="P19" s="14">
        <v>3</v>
      </c>
      <c r="Q19" s="14"/>
      <c r="R19" s="14">
        <v>6</v>
      </c>
      <c r="S19" s="14">
        <f t="shared" si="5"/>
        <v>9</v>
      </c>
      <c r="T19" s="90">
        <f t="shared" si="6"/>
        <v>1</v>
      </c>
      <c r="U19" s="90">
        <f>1</f>
        <v>1</v>
      </c>
      <c r="V19" s="90">
        <f>1</f>
        <v>1</v>
      </c>
      <c r="W19" s="42">
        <f t="shared" si="7"/>
        <v>1</v>
      </c>
      <c r="X19" s="42" t="str">
        <f t="shared" si="8"/>
        <v/>
      </c>
      <c r="Y19" s="90">
        <f t="shared" si="9"/>
        <v>0.9</v>
      </c>
      <c r="Z19" s="42">
        <f t="shared" si="10"/>
        <v>1</v>
      </c>
      <c r="AA19" s="42" t="str">
        <f t="shared" si="11"/>
        <v/>
      </c>
      <c r="AB19" s="90" t="str">
        <f t="shared" si="12"/>
        <v/>
      </c>
      <c r="AC19" s="90">
        <f t="shared" si="13"/>
        <v>-1</v>
      </c>
    </row>
    <row r="20" spans="1:29" x14ac:dyDescent="0.2">
      <c r="A20" t="str">
        <f>INDEX(Prioritization!$D:$D,MATCH($B20,Prioritization!$A:$A,0))</f>
        <v>1 - Scale-up: Saturation</v>
      </c>
      <c r="B20" t="s">
        <v>194</v>
      </c>
      <c r="C20" t="s">
        <v>806</v>
      </c>
      <c r="D20" t="s">
        <v>47</v>
      </c>
      <c r="E20" t="str">
        <f t="shared" si="0"/>
        <v>Dedza District [PekKUkKHAzY]|&lt;15|Male</v>
      </c>
      <c r="F20" s="14">
        <f>IFERROR(1/(1/SUM(SUMIFS(Cascade!$O:$O,Cascade!$B:$B,$B20,Cascade!$C:$C,IF($C20="&lt;15",{"=&lt;01","01-09","10-14"},{"15-24","25-34","35-49","50+"}),Cascade!$D:$D,$D20))),"")</f>
        <v>1</v>
      </c>
      <c r="G20" s="14" t="str">
        <f>IFERROR(1/(1/SUM(SUMIFS(Cascade!$AX:$AX,Cascade!$B:$B,$B20,Cascade!$C:$C,IF($C20="&lt;15",{"=&lt;01","01-09","10-14"},{"15-24","25-34","35-49","50+"}),Cascade!$D:$D,$D20))),"")</f>
        <v/>
      </c>
      <c r="H20" s="90">
        <f>1</f>
        <v>1</v>
      </c>
      <c r="I20" s="90">
        <f>1</f>
        <v>1</v>
      </c>
      <c r="J20" s="90"/>
      <c r="K20" s="90"/>
      <c r="L20" s="42">
        <f t="shared" si="1"/>
        <v>0</v>
      </c>
      <c r="M20" s="42">
        <f t="shared" si="2"/>
        <v>1</v>
      </c>
      <c r="N20" s="42" t="str">
        <f t="shared" si="3"/>
        <v/>
      </c>
      <c r="O20" s="42" t="str">
        <f t="shared" si="4"/>
        <v/>
      </c>
      <c r="P20" s="14">
        <v>6</v>
      </c>
      <c r="Q20" s="14"/>
      <c r="R20" s="14">
        <v>6</v>
      </c>
      <c r="S20" s="14">
        <f t="shared" si="5"/>
        <v>12</v>
      </c>
      <c r="T20" s="90">
        <f t="shared" si="6"/>
        <v>1</v>
      </c>
      <c r="U20" s="90">
        <f>1</f>
        <v>1</v>
      </c>
      <c r="V20" s="90">
        <f>1</f>
        <v>1</v>
      </c>
      <c r="W20" s="42">
        <f t="shared" si="7"/>
        <v>1</v>
      </c>
      <c r="X20" s="42" t="str">
        <f t="shared" si="8"/>
        <v/>
      </c>
      <c r="Y20" s="90">
        <f t="shared" si="9"/>
        <v>0.9</v>
      </c>
      <c r="Z20" s="42">
        <f t="shared" si="10"/>
        <v>1</v>
      </c>
      <c r="AA20" s="42" t="str">
        <f t="shared" si="11"/>
        <v/>
      </c>
      <c r="AB20" s="90" t="str">
        <f t="shared" si="12"/>
        <v/>
      </c>
      <c r="AC20" s="90">
        <f t="shared" si="13"/>
        <v>-1</v>
      </c>
    </row>
    <row r="21" spans="1:29" x14ac:dyDescent="0.2">
      <c r="A21" t="str">
        <f>INDEX(Prioritization!$D:$D,MATCH($B21,Prioritization!$A:$A,0))</f>
        <v>1 - Scale-up: Saturation</v>
      </c>
      <c r="B21" t="s">
        <v>194</v>
      </c>
      <c r="C21" t="s">
        <v>807</v>
      </c>
      <c r="D21" t="s">
        <v>29</v>
      </c>
      <c r="E21" t="str">
        <f t="shared" si="0"/>
        <v>Dedza District [PekKUkKHAzY]|15+|Female</v>
      </c>
      <c r="F21" s="14" t="str">
        <f>IFERROR(1/(1/SUM(SUMIFS(Cascade!$O:$O,Cascade!$B:$B,$B21,Cascade!$C:$C,IF($C21="&lt;15",{"=&lt;01","01-09","10-14"},{"15-24","25-34","35-49","50+"}),Cascade!$D:$D,$D21))),"")</f>
        <v/>
      </c>
      <c r="G21" s="14" t="str">
        <f>IFERROR(1/(1/SUM(SUMIFS(Cascade!$AX:$AX,Cascade!$B:$B,$B21,Cascade!$C:$C,IF($C21="&lt;15",{"=&lt;01","01-09","10-14"},{"15-24","25-34","35-49","50+"}),Cascade!$D:$D,$D21))),"")</f>
        <v/>
      </c>
      <c r="H21" s="90">
        <f>1</f>
        <v>1</v>
      </c>
      <c r="I21" s="90">
        <f>1</f>
        <v>1</v>
      </c>
      <c r="J21" s="90"/>
      <c r="K21" s="90"/>
      <c r="L21" s="42" t="str">
        <f t="shared" si="1"/>
        <v/>
      </c>
      <c r="M21" s="42" t="str">
        <f t="shared" si="2"/>
        <v/>
      </c>
      <c r="N21" s="42" t="str">
        <f t="shared" si="3"/>
        <v/>
      </c>
      <c r="O21" s="42" t="str">
        <f t="shared" si="4"/>
        <v/>
      </c>
      <c r="P21" s="14">
        <v>49</v>
      </c>
      <c r="Q21" s="14"/>
      <c r="R21" s="14">
        <v>10</v>
      </c>
      <c r="S21" s="14">
        <f t="shared" si="5"/>
        <v>59</v>
      </c>
      <c r="T21" s="90" t="str">
        <f t="shared" si="6"/>
        <v/>
      </c>
      <c r="U21" s="90">
        <f>1</f>
        <v>1</v>
      </c>
      <c r="V21" s="90">
        <f>1</f>
        <v>1</v>
      </c>
      <c r="W21" s="42" t="str">
        <f t="shared" si="7"/>
        <v/>
      </c>
      <c r="X21" s="42" t="str">
        <f t="shared" si="8"/>
        <v/>
      </c>
      <c r="Y21" s="90">
        <f t="shared" si="9"/>
        <v>0.9</v>
      </c>
      <c r="Z21" s="42" t="str">
        <f t="shared" si="10"/>
        <v/>
      </c>
      <c r="AA21" s="42" t="str">
        <f t="shared" si="11"/>
        <v/>
      </c>
      <c r="AB21" s="90" t="str">
        <f t="shared" si="12"/>
        <v/>
      </c>
      <c r="AC21" s="90">
        <f t="shared" si="13"/>
        <v>-1</v>
      </c>
    </row>
    <row r="22" spans="1:29" x14ac:dyDescent="0.2">
      <c r="A22" t="str">
        <f>INDEX(Prioritization!$D:$D,MATCH($B22,Prioritization!$A:$A,0))</f>
        <v>1 - Scale-up: Saturation</v>
      </c>
      <c r="B22" t="s">
        <v>194</v>
      </c>
      <c r="C22" t="s">
        <v>807</v>
      </c>
      <c r="D22" t="s">
        <v>47</v>
      </c>
      <c r="E22" t="str">
        <f t="shared" si="0"/>
        <v>Dedza District [PekKUkKHAzY]|15+|Male</v>
      </c>
      <c r="F22" s="14" t="str">
        <f>IFERROR(1/(1/SUM(SUMIFS(Cascade!$O:$O,Cascade!$B:$B,$B22,Cascade!$C:$C,IF($C22="&lt;15",{"=&lt;01","01-09","10-14"},{"15-24","25-34","35-49","50+"}),Cascade!$D:$D,$D22))),"")</f>
        <v/>
      </c>
      <c r="G22" s="14" t="str">
        <f>IFERROR(1/(1/SUM(SUMIFS(Cascade!$AX:$AX,Cascade!$B:$B,$B22,Cascade!$C:$C,IF($C22="&lt;15",{"=&lt;01","01-09","10-14"},{"15-24","25-34","35-49","50+"}),Cascade!$D:$D,$D22))),"")</f>
        <v/>
      </c>
      <c r="H22" s="90">
        <f>1</f>
        <v>1</v>
      </c>
      <c r="I22" s="90">
        <f>1</f>
        <v>1</v>
      </c>
      <c r="J22" s="90"/>
      <c r="K22" s="90"/>
      <c r="L22" s="42" t="str">
        <f t="shared" si="1"/>
        <v/>
      </c>
      <c r="M22" s="42" t="str">
        <f t="shared" si="2"/>
        <v/>
      </c>
      <c r="N22" s="42" t="str">
        <f t="shared" si="3"/>
        <v/>
      </c>
      <c r="O22" s="42" t="str">
        <f t="shared" si="4"/>
        <v/>
      </c>
      <c r="P22" s="14">
        <v>12</v>
      </c>
      <c r="Q22" s="14"/>
      <c r="R22" s="14">
        <v>94</v>
      </c>
      <c r="S22" s="14">
        <f t="shared" si="5"/>
        <v>106</v>
      </c>
      <c r="T22" s="90" t="str">
        <f t="shared" si="6"/>
        <v/>
      </c>
      <c r="U22" s="90">
        <f>1</f>
        <v>1</v>
      </c>
      <c r="V22" s="90">
        <f>1</f>
        <v>1</v>
      </c>
      <c r="W22" s="42" t="str">
        <f t="shared" si="7"/>
        <v/>
      </c>
      <c r="X22" s="42" t="str">
        <f t="shared" si="8"/>
        <v/>
      </c>
      <c r="Y22" s="90">
        <f t="shared" si="9"/>
        <v>0.9</v>
      </c>
      <c r="Z22" s="42" t="str">
        <f t="shared" si="10"/>
        <v/>
      </c>
      <c r="AA22" s="42" t="str">
        <f t="shared" si="11"/>
        <v/>
      </c>
      <c r="AB22" s="90" t="str">
        <f t="shared" si="12"/>
        <v/>
      </c>
      <c r="AC22" s="90">
        <f t="shared" si="13"/>
        <v>-1</v>
      </c>
    </row>
    <row r="23" spans="1:29" x14ac:dyDescent="0.2">
      <c r="A23" t="str">
        <f>INDEX(Prioritization!$D:$D,MATCH($B23,Prioritization!$A:$A,0))</f>
        <v>1 - Scale-up: Saturation</v>
      </c>
      <c r="B23" t="s">
        <v>195</v>
      </c>
      <c r="C23" t="s">
        <v>806</v>
      </c>
      <c r="D23" t="s">
        <v>29</v>
      </c>
      <c r="E23" t="str">
        <f t="shared" si="0"/>
        <v>Dowa District [zphK9WV8JB4]|&lt;15|Female</v>
      </c>
      <c r="F23" s="14" t="str">
        <f>IFERROR(1/(1/SUM(SUMIFS(Cascade!$O:$O,Cascade!$B:$B,$B23,Cascade!$C:$C,IF($C23="&lt;15",{"=&lt;01","01-09","10-14"},{"15-24","25-34","35-49","50+"}),Cascade!$D:$D,$D23))),"")</f>
        <v/>
      </c>
      <c r="G23" s="14" t="str">
        <f>IFERROR(1/(1/SUM(SUMIFS(Cascade!$AX:$AX,Cascade!$B:$B,$B23,Cascade!$C:$C,IF($C23="&lt;15",{"=&lt;01","01-09","10-14"},{"15-24","25-34","35-49","50+"}),Cascade!$D:$D,$D23))),"")</f>
        <v/>
      </c>
      <c r="H23" s="90">
        <f>1</f>
        <v>1</v>
      </c>
      <c r="I23" s="90">
        <f>1</f>
        <v>1</v>
      </c>
      <c r="J23" s="90"/>
      <c r="K23" s="90"/>
      <c r="L23" s="42" t="str">
        <f t="shared" si="1"/>
        <v/>
      </c>
      <c r="M23" s="42" t="str">
        <f t="shared" si="2"/>
        <v/>
      </c>
      <c r="N23" s="42" t="str">
        <f t="shared" si="3"/>
        <v/>
      </c>
      <c r="O23" s="42" t="str">
        <f t="shared" si="4"/>
        <v/>
      </c>
      <c r="P23" s="14">
        <v>0</v>
      </c>
      <c r="Q23" s="14"/>
      <c r="R23" s="14">
        <v>6</v>
      </c>
      <c r="S23" s="14">
        <f t="shared" si="5"/>
        <v>6</v>
      </c>
      <c r="T23" s="90" t="str">
        <f t="shared" si="6"/>
        <v/>
      </c>
      <c r="U23" s="90">
        <f>1</f>
        <v>1</v>
      </c>
      <c r="V23" s="90">
        <f>1</f>
        <v>1</v>
      </c>
      <c r="W23" s="42" t="str">
        <f t="shared" si="7"/>
        <v/>
      </c>
      <c r="X23" s="42" t="str">
        <f t="shared" si="8"/>
        <v/>
      </c>
      <c r="Y23" s="90">
        <f t="shared" si="9"/>
        <v>0.9</v>
      </c>
      <c r="Z23" s="42" t="str">
        <f t="shared" si="10"/>
        <v/>
      </c>
      <c r="AA23" s="42" t="str">
        <f t="shared" si="11"/>
        <v/>
      </c>
      <c r="AB23" s="90" t="str">
        <f t="shared" si="12"/>
        <v/>
      </c>
      <c r="AC23" s="90">
        <f t="shared" si="13"/>
        <v>-1</v>
      </c>
    </row>
    <row r="24" spans="1:29" x14ac:dyDescent="0.2">
      <c r="A24" t="str">
        <f>INDEX(Prioritization!$D:$D,MATCH($B24,Prioritization!$A:$A,0))</f>
        <v>1 - Scale-up: Saturation</v>
      </c>
      <c r="B24" t="s">
        <v>195</v>
      </c>
      <c r="C24" t="s">
        <v>806</v>
      </c>
      <c r="D24" t="s">
        <v>47</v>
      </c>
      <c r="E24" t="str">
        <f t="shared" si="0"/>
        <v>Dowa District [zphK9WV8JB4]|&lt;15|Male</v>
      </c>
      <c r="F24" s="14">
        <f>IFERROR(1/(1/SUM(SUMIFS(Cascade!$O:$O,Cascade!$B:$B,$B24,Cascade!$C:$C,IF($C24="&lt;15",{"=&lt;01","01-09","10-14"},{"15-24","25-34","35-49","50+"}),Cascade!$D:$D,$D24))),"")</f>
        <v>1</v>
      </c>
      <c r="G24" s="14" t="str">
        <f>IFERROR(1/(1/SUM(SUMIFS(Cascade!$AX:$AX,Cascade!$B:$B,$B24,Cascade!$C:$C,IF($C24="&lt;15",{"=&lt;01","01-09","10-14"},{"15-24","25-34","35-49","50+"}),Cascade!$D:$D,$D24))),"")</f>
        <v/>
      </c>
      <c r="H24" s="90">
        <f>1</f>
        <v>1</v>
      </c>
      <c r="I24" s="90">
        <f>1</f>
        <v>1</v>
      </c>
      <c r="J24" s="90"/>
      <c r="K24" s="90"/>
      <c r="L24" s="42">
        <f t="shared" si="1"/>
        <v>0</v>
      </c>
      <c r="M24" s="42">
        <f t="shared" si="2"/>
        <v>1</v>
      </c>
      <c r="N24" s="42" t="str">
        <f t="shared" si="3"/>
        <v/>
      </c>
      <c r="O24" s="42" t="str">
        <f t="shared" si="4"/>
        <v/>
      </c>
      <c r="P24" s="14">
        <v>8</v>
      </c>
      <c r="Q24" s="14"/>
      <c r="R24" s="14">
        <v>2</v>
      </c>
      <c r="S24" s="14">
        <f t="shared" si="5"/>
        <v>10</v>
      </c>
      <c r="T24" s="90">
        <f t="shared" si="6"/>
        <v>1</v>
      </c>
      <c r="U24" s="90">
        <f>1</f>
        <v>1</v>
      </c>
      <c r="V24" s="90">
        <f>1</f>
        <v>1</v>
      </c>
      <c r="W24" s="42">
        <f t="shared" si="7"/>
        <v>1</v>
      </c>
      <c r="X24" s="42" t="str">
        <f t="shared" si="8"/>
        <v/>
      </c>
      <c r="Y24" s="90">
        <f t="shared" si="9"/>
        <v>0.9</v>
      </c>
      <c r="Z24" s="42">
        <f t="shared" si="10"/>
        <v>1</v>
      </c>
      <c r="AA24" s="42" t="str">
        <f t="shared" si="11"/>
        <v/>
      </c>
      <c r="AB24" s="90" t="str">
        <f t="shared" si="12"/>
        <v/>
      </c>
      <c r="AC24" s="90">
        <f t="shared" si="13"/>
        <v>-1</v>
      </c>
    </row>
    <row r="25" spans="1:29" x14ac:dyDescent="0.2">
      <c r="A25" t="str">
        <f>INDEX(Prioritization!$D:$D,MATCH($B25,Prioritization!$A:$A,0))</f>
        <v>1 - Scale-up: Saturation</v>
      </c>
      <c r="B25" t="s">
        <v>195</v>
      </c>
      <c r="C25" t="s">
        <v>807</v>
      </c>
      <c r="D25" t="s">
        <v>29</v>
      </c>
      <c r="E25" t="str">
        <f t="shared" si="0"/>
        <v>Dowa District [zphK9WV8JB4]|15+|Female</v>
      </c>
      <c r="F25" s="14" t="str">
        <f>IFERROR(1/(1/SUM(SUMIFS(Cascade!$O:$O,Cascade!$B:$B,$B25,Cascade!$C:$C,IF($C25="&lt;15",{"=&lt;01","01-09","10-14"},{"15-24","25-34","35-49","50+"}),Cascade!$D:$D,$D25))),"")</f>
        <v/>
      </c>
      <c r="G25" s="14" t="str">
        <f>IFERROR(1/(1/SUM(SUMIFS(Cascade!$AX:$AX,Cascade!$B:$B,$B25,Cascade!$C:$C,IF($C25="&lt;15",{"=&lt;01","01-09","10-14"},{"15-24","25-34","35-49","50+"}),Cascade!$D:$D,$D25))),"")</f>
        <v/>
      </c>
      <c r="H25" s="90">
        <f>1</f>
        <v>1</v>
      </c>
      <c r="I25" s="90">
        <f>1</f>
        <v>1</v>
      </c>
      <c r="J25" s="90"/>
      <c r="K25" s="90"/>
      <c r="L25" s="42" t="str">
        <f t="shared" si="1"/>
        <v/>
      </c>
      <c r="M25" s="42" t="str">
        <f t="shared" si="2"/>
        <v/>
      </c>
      <c r="N25" s="42" t="str">
        <f t="shared" si="3"/>
        <v/>
      </c>
      <c r="O25" s="42" t="str">
        <f t="shared" si="4"/>
        <v/>
      </c>
      <c r="P25" s="14">
        <v>66</v>
      </c>
      <c r="Q25" s="14"/>
      <c r="R25" s="14">
        <v>55</v>
      </c>
      <c r="S25" s="14">
        <f t="shared" si="5"/>
        <v>121</v>
      </c>
      <c r="T25" s="90" t="str">
        <f t="shared" si="6"/>
        <v/>
      </c>
      <c r="U25" s="90">
        <f>1</f>
        <v>1</v>
      </c>
      <c r="V25" s="90">
        <f>1</f>
        <v>1</v>
      </c>
      <c r="W25" s="42" t="str">
        <f t="shared" si="7"/>
        <v/>
      </c>
      <c r="X25" s="42" t="str">
        <f t="shared" si="8"/>
        <v/>
      </c>
      <c r="Y25" s="90">
        <f t="shared" si="9"/>
        <v>0.9</v>
      </c>
      <c r="Z25" s="42" t="str">
        <f t="shared" si="10"/>
        <v/>
      </c>
      <c r="AA25" s="42" t="str">
        <f t="shared" si="11"/>
        <v/>
      </c>
      <c r="AB25" s="90" t="str">
        <f t="shared" si="12"/>
        <v/>
      </c>
      <c r="AC25" s="90">
        <f t="shared" si="13"/>
        <v>-1</v>
      </c>
    </row>
    <row r="26" spans="1:29" x14ac:dyDescent="0.2">
      <c r="A26" t="str">
        <f>INDEX(Prioritization!$D:$D,MATCH($B26,Prioritization!$A:$A,0))</f>
        <v>1 - Scale-up: Saturation</v>
      </c>
      <c r="B26" t="s">
        <v>195</v>
      </c>
      <c r="C26" t="s">
        <v>807</v>
      </c>
      <c r="D26" t="s">
        <v>47</v>
      </c>
      <c r="E26" t="str">
        <f t="shared" si="0"/>
        <v>Dowa District [zphK9WV8JB4]|15+|Male</v>
      </c>
      <c r="F26" s="14" t="str">
        <f>IFERROR(1/(1/SUM(SUMIFS(Cascade!$O:$O,Cascade!$B:$B,$B26,Cascade!$C:$C,IF($C26="&lt;15",{"=&lt;01","01-09","10-14"},{"15-24","25-34","35-49","50+"}),Cascade!$D:$D,$D26))),"")</f>
        <v/>
      </c>
      <c r="G26" s="14" t="str">
        <f>IFERROR(1/(1/SUM(SUMIFS(Cascade!$AX:$AX,Cascade!$B:$B,$B26,Cascade!$C:$C,IF($C26="&lt;15",{"=&lt;01","01-09","10-14"},{"15-24","25-34","35-49","50+"}),Cascade!$D:$D,$D26))),"")</f>
        <v/>
      </c>
      <c r="H26" s="90">
        <f>1</f>
        <v>1</v>
      </c>
      <c r="I26" s="90">
        <f>1</f>
        <v>1</v>
      </c>
      <c r="J26" s="90"/>
      <c r="K26" s="90"/>
      <c r="L26" s="42" t="str">
        <f t="shared" si="1"/>
        <v/>
      </c>
      <c r="M26" s="42" t="str">
        <f t="shared" si="2"/>
        <v/>
      </c>
      <c r="N26" s="42" t="str">
        <f t="shared" si="3"/>
        <v/>
      </c>
      <c r="O26" s="42" t="str">
        <f t="shared" si="4"/>
        <v/>
      </c>
      <c r="P26" s="14">
        <v>35</v>
      </c>
      <c r="Q26" s="14"/>
      <c r="R26" s="14">
        <v>91</v>
      </c>
      <c r="S26" s="14">
        <f t="shared" si="5"/>
        <v>126</v>
      </c>
      <c r="T26" s="90" t="str">
        <f t="shared" si="6"/>
        <v/>
      </c>
      <c r="U26" s="90">
        <f>1</f>
        <v>1</v>
      </c>
      <c r="V26" s="90">
        <f>1</f>
        <v>1</v>
      </c>
      <c r="W26" s="42" t="str">
        <f t="shared" si="7"/>
        <v/>
      </c>
      <c r="X26" s="42" t="str">
        <f t="shared" si="8"/>
        <v/>
      </c>
      <c r="Y26" s="90">
        <f t="shared" si="9"/>
        <v>0.9</v>
      </c>
      <c r="Z26" s="42" t="str">
        <f t="shared" si="10"/>
        <v/>
      </c>
      <c r="AA26" s="42" t="str">
        <f t="shared" si="11"/>
        <v/>
      </c>
      <c r="AB26" s="90" t="str">
        <f t="shared" si="12"/>
        <v/>
      </c>
      <c r="AC26" s="90">
        <f t="shared" si="13"/>
        <v>-1</v>
      </c>
    </row>
    <row r="27" spans="1:29" x14ac:dyDescent="0.2">
      <c r="A27" t="str">
        <f>INDEX(Prioritization!$D:$D,MATCH($B27,Prioritization!$A:$A,0))</f>
        <v>INVALID</v>
      </c>
      <c r="B27" t="s">
        <v>196</v>
      </c>
      <c r="C27" t="s">
        <v>806</v>
      </c>
      <c r="D27" t="s">
        <v>29</v>
      </c>
      <c r="E27" t="str">
        <f t="shared" si="0"/>
        <v>Kasungu District [JQKLKuVuY61]|&lt;15|Female</v>
      </c>
      <c r="F27" s="14">
        <f>IFERROR(1/(1/SUM(SUMIFS(Cascade!$O:$O,Cascade!$B:$B,$B27,Cascade!$C:$C,IF($C27="&lt;15",{"=&lt;01","01-09","10-14"},{"15-24","25-34","35-49","50+"}),Cascade!$D:$D,$D27))),"")</f>
        <v>1</v>
      </c>
      <c r="G27" s="14" t="str">
        <f>IFERROR(1/(1/SUM(SUMIFS(Cascade!$AX:$AX,Cascade!$B:$B,$B27,Cascade!$C:$C,IF($C27="&lt;15",{"=&lt;01","01-09","10-14"},{"15-24","25-34","35-49","50+"}),Cascade!$D:$D,$D27))),"")</f>
        <v/>
      </c>
      <c r="H27" s="90">
        <f>1</f>
        <v>1</v>
      </c>
      <c r="I27" s="90">
        <f>1</f>
        <v>1</v>
      </c>
      <c r="J27" s="90"/>
      <c r="K27" s="90"/>
      <c r="L27" s="42">
        <f t="shared" si="1"/>
        <v>0</v>
      </c>
      <c r="M27" s="42">
        <f t="shared" si="2"/>
        <v>1</v>
      </c>
      <c r="N27" s="42" t="str">
        <f t="shared" si="3"/>
        <v/>
      </c>
      <c r="O27" s="42" t="str">
        <f t="shared" si="4"/>
        <v/>
      </c>
      <c r="P27" s="14">
        <v>3</v>
      </c>
      <c r="Q27" s="14"/>
      <c r="R27" s="14">
        <v>9</v>
      </c>
      <c r="S27" s="14">
        <f t="shared" si="5"/>
        <v>12</v>
      </c>
      <c r="T27" s="90">
        <f t="shared" si="6"/>
        <v>1</v>
      </c>
      <c r="U27" s="90">
        <f>1</f>
        <v>1</v>
      </c>
      <c r="V27" s="90">
        <f>1</f>
        <v>1</v>
      </c>
      <c r="W27" s="42">
        <f t="shared" si="7"/>
        <v>1</v>
      </c>
      <c r="X27" s="42" t="str">
        <f t="shared" si="8"/>
        <v/>
      </c>
      <c r="Y27" s="90">
        <f t="shared" si="9"/>
        <v>0.9</v>
      </c>
      <c r="Z27" s="42">
        <f t="shared" si="10"/>
        <v>1</v>
      </c>
      <c r="AA27" s="42" t="str">
        <f t="shared" si="11"/>
        <v/>
      </c>
      <c r="AB27" s="90" t="str">
        <f t="shared" si="12"/>
        <v/>
      </c>
      <c r="AC27" s="90">
        <f t="shared" si="13"/>
        <v>-1</v>
      </c>
    </row>
    <row r="28" spans="1:29" x14ac:dyDescent="0.2">
      <c r="A28" t="str">
        <f>INDEX(Prioritization!$D:$D,MATCH($B28,Prioritization!$A:$A,0))</f>
        <v>INVALID</v>
      </c>
      <c r="B28" t="s">
        <v>196</v>
      </c>
      <c r="C28" t="s">
        <v>806</v>
      </c>
      <c r="D28" t="s">
        <v>47</v>
      </c>
      <c r="E28" t="str">
        <f t="shared" si="0"/>
        <v>Kasungu District [JQKLKuVuY61]|&lt;15|Male</v>
      </c>
      <c r="F28" s="14">
        <f>IFERROR(1/(1/SUM(SUMIFS(Cascade!$O:$O,Cascade!$B:$B,$B28,Cascade!$C:$C,IF($C28="&lt;15",{"=&lt;01","01-09","10-14"},{"15-24","25-34","35-49","50+"}),Cascade!$D:$D,$D28))),"")</f>
        <v>1</v>
      </c>
      <c r="G28" s="14" t="str">
        <f>IFERROR(1/(1/SUM(SUMIFS(Cascade!$AX:$AX,Cascade!$B:$B,$B28,Cascade!$C:$C,IF($C28="&lt;15",{"=&lt;01","01-09","10-14"},{"15-24","25-34","35-49","50+"}),Cascade!$D:$D,$D28))),"")</f>
        <v/>
      </c>
      <c r="H28" s="90">
        <f>1</f>
        <v>1</v>
      </c>
      <c r="I28" s="90">
        <f>1</f>
        <v>1</v>
      </c>
      <c r="J28" s="90"/>
      <c r="K28" s="90"/>
      <c r="L28" s="42">
        <f t="shared" si="1"/>
        <v>0</v>
      </c>
      <c r="M28" s="42">
        <f t="shared" si="2"/>
        <v>1</v>
      </c>
      <c r="N28" s="42" t="str">
        <f t="shared" si="3"/>
        <v/>
      </c>
      <c r="O28" s="42" t="str">
        <f t="shared" si="4"/>
        <v/>
      </c>
      <c r="P28" s="14">
        <v>10</v>
      </c>
      <c r="Q28" s="14"/>
      <c r="R28" s="14">
        <v>8</v>
      </c>
      <c r="S28" s="14">
        <f t="shared" si="5"/>
        <v>18</v>
      </c>
      <c r="T28" s="90">
        <f t="shared" si="6"/>
        <v>1</v>
      </c>
      <c r="U28" s="90">
        <f>1</f>
        <v>1</v>
      </c>
      <c r="V28" s="90">
        <f>1</f>
        <v>1</v>
      </c>
      <c r="W28" s="42">
        <f t="shared" si="7"/>
        <v>1</v>
      </c>
      <c r="X28" s="42" t="str">
        <f t="shared" si="8"/>
        <v/>
      </c>
      <c r="Y28" s="90">
        <f t="shared" si="9"/>
        <v>0.9</v>
      </c>
      <c r="Z28" s="42">
        <f t="shared" si="10"/>
        <v>1</v>
      </c>
      <c r="AA28" s="42" t="str">
        <f t="shared" si="11"/>
        <v/>
      </c>
      <c r="AB28" s="90" t="str">
        <f t="shared" si="12"/>
        <v/>
      </c>
      <c r="AC28" s="90">
        <f t="shared" si="13"/>
        <v>-1</v>
      </c>
    </row>
    <row r="29" spans="1:29" x14ac:dyDescent="0.2">
      <c r="A29" t="str">
        <f>INDEX(Prioritization!$D:$D,MATCH($B29,Prioritization!$A:$A,0))</f>
        <v>INVALID</v>
      </c>
      <c r="B29" t="s">
        <v>196</v>
      </c>
      <c r="C29" t="s">
        <v>807</v>
      </c>
      <c r="D29" t="s">
        <v>29</v>
      </c>
      <c r="E29" t="str">
        <f t="shared" si="0"/>
        <v>Kasungu District [JQKLKuVuY61]|15+|Female</v>
      </c>
      <c r="F29" s="14" t="str">
        <f>IFERROR(1/(1/SUM(SUMIFS(Cascade!$O:$O,Cascade!$B:$B,$B29,Cascade!$C:$C,IF($C29="&lt;15",{"=&lt;01","01-09","10-14"},{"15-24","25-34","35-49","50+"}),Cascade!$D:$D,$D29))),"")</f>
        <v/>
      </c>
      <c r="G29" s="14" t="str">
        <f>IFERROR(1/(1/SUM(SUMIFS(Cascade!$AX:$AX,Cascade!$B:$B,$B29,Cascade!$C:$C,IF($C29="&lt;15",{"=&lt;01","01-09","10-14"},{"15-24","25-34","35-49","50+"}),Cascade!$D:$D,$D29))),"")</f>
        <v/>
      </c>
      <c r="H29" s="90">
        <f>1</f>
        <v>1</v>
      </c>
      <c r="I29" s="90">
        <f>1</f>
        <v>1</v>
      </c>
      <c r="J29" s="90"/>
      <c r="K29" s="90"/>
      <c r="L29" s="42" t="str">
        <f t="shared" si="1"/>
        <v/>
      </c>
      <c r="M29" s="42" t="str">
        <f t="shared" si="2"/>
        <v/>
      </c>
      <c r="N29" s="42" t="str">
        <f t="shared" si="3"/>
        <v/>
      </c>
      <c r="O29" s="42" t="str">
        <f t="shared" si="4"/>
        <v/>
      </c>
      <c r="P29" s="14">
        <v>982</v>
      </c>
      <c r="Q29" s="14"/>
      <c r="R29" s="14">
        <v>55</v>
      </c>
      <c r="S29" s="14">
        <f t="shared" si="5"/>
        <v>1037</v>
      </c>
      <c r="T29" s="90" t="str">
        <f t="shared" si="6"/>
        <v/>
      </c>
      <c r="U29" s="90">
        <f>1</f>
        <v>1</v>
      </c>
      <c r="V29" s="90">
        <f>1</f>
        <v>1</v>
      </c>
      <c r="W29" s="42" t="str">
        <f t="shared" si="7"/>
        <v/>
      </c>
      <c r="X29" s="42" t="str">
        <f t="shared" si="8"/>
        <v/>
      </c>
      <c r="Y29" s="90">
        <f t="shared" si="9"/>
        <v>0.9</v>
      </c>
      <c r="Z29" s="42" t="str">
        <f t="shared" si="10"/>
        <v/>
      </c>
      <c r="AA29" s="42" t="str">
        <f t="shared" si="11"/>
        <v/>
      </c>
      <c r="AB29" s="90" t="str">
        <f t="shared" si="12"/>
        <v/>
      </c>
      <c r="AC29" s="90">
        <f t="shared" si="13"/>
        <v>-1</v>
      </c>
    </row>
    <row r="30" spans="1:29" x14ac:dyDescent="0.2">
      <c r="A30" t="str">
        <f>INDEX(Prioritization!$D:$D,MATCH($B30,Prioritization!$A:$A,0))</f>
        <v>INVALID</v>
      </c>
      <c r="B30" t="s">
        <v>196</v>
      </c>
      <c r="C30" t="s">
        <v>807</v>
      </c>
      <c r="D30" t="s">
        <v>47</v>
      </c>
      <c r="E30" t="str">
        <f t="shared" si="0"/>
        <v>Kasungu District [JQKLKuVuY61]|15+|Male</v>
      </c>
      <c r="F30" s="14" t="str">
        <f>IFERROR(1/(1/SUM(SUMIFS(Cascade!$O:$O,Cascade!$B:$B,$B30,Cascade!$C:$C,IF($C30="&lt;15",{"=&lt;01","01-09","10-14"},{"15-24","25-34","35-49","50+"}),Cascade!$D:$D,$D30))),"")</f>
        <v/>
      </c>
      <c r="G30" s="14" t="str">
        <f>IFERROR(1/(1/SUM(SUMIFS(Cascade!$AX:$AX,Cascade!$B:$B,$B30,Cascade!$C:$C,IF($C30="&lt;15",{"=&lt;01","01-09","10-14"},{"15-24","25-34","35-49","50+"}),Cascade!$D:$D,$D30))),"")</f>
        <v/>
      </c>
      <c r="H30" s="90">
        <f>1</f>
        <v>1</v>
      </c>
      <c r="I30" s="90">
        <f>1</f>
        <v>1</v>
      </c>
      <c r="J30" s="90"/>
      <c r="K30" s="90"/>
      <c r="L30" s="42" t="str">
        <f t="shared" si="1"/>
        <v/>
      </c>
      <c r="M30" s="42" t="str">
        <f t="shared" si="2"/>
        <v/>
      </c>
      <c r="N30" s="42" t="str">
        <f t="shared" si="3"/>
        <v/>
      </c>
      <c r="O30" s="42" t="str">
        <f t="shared" si="4"/>
        <v/>
      </c>
      <c r="P30" s="14">
        <v>97</v>
      </c>
      <c r="Q30" s="14"/>
      <c r="R30" s="14">
        <v>58</v>
      </c>
      <c r="S30" s="14">
        <f t="shared" si="5"/>
        <v>155</v>
      </c>
      <c r="T30" s="90" t="str">
        <f t="shared" si="6"/>
        <v/>
      </c>
      <c r="U30" s="90">
        <f>1</f>
        <v>1</v>
      </c>
      <c r="V30" s="90">
        <f>1</f>
        <v>1</v>
      </c>
      <c r="W30" s="42" t="str">
        <f t="shared" si="7"/>
        <v/>
      </c>
      <c r="X30" s="42" t="str">
        <f t="shared" si="8"/>
        <v/>
      </c>
      <c r="Y30" s="90">
        <f t="shared" si="9"/>
        <v>0.9</v>
      </c>
      <c r="Z30" s="42" t="str">
        <f t="shared" si="10"/>
        <v/>
      </c>
      <c r="AA30" s="42" t="str">
        <f t="shared" si="11"/>
        <v/>
      </c>
      <c r="AB30" s="90" t="str">
        <f t="shared" si="12"/>
        <v/>
      </c>
      <c r="AC30" s="90">
        <f t="shared" si="13"/>
        <v>-1</v>
      </c>
    </row>
    <row r="31" spans="1:29" x14ac:dyDescent="0.2">
      <c r="A31" t="str">
        <f>INDEX(Prioritization!$D:$D,MATCH($B31,Prioritization!$A:$A,0))</f>
        <v>1 - Scale-up: Saturation</v>
      </c>
      <c r="B31" t="s">
        <v>197</v>
      </c>
      <c r="C31" t="s">
        <v>806</v>
      </c>
      <c r="D31" t="s">
        <v>29</v>
      </c>
      <c r="E31" t="str">
        <f t="shared" si="0"/>
        <v>Lilongwe District [ScR9iFKAasW]|&lt;15|Female</v>
      </c>
      <c r="F31" s="14">
        <f>IFERROR(1/(1/SUM(SUMIFS(Cascade!$O:$O,Cascade!$B:$B,$B31,Cascade!$C:$C,IF($C31="&lt;15",{"=&lt;01","01-09","10-14"},{"15-24","25-34","35-49","50+"}),Cascade!$D:$D,$D31))),"")</f>
        <v>8</v>
      </c>
      <c r="G31" s="14">
        <f>IFERROR(1/(1/SUM(SUMIFS(Cascade!$AX:$AX,Cascade!$B:$B,$B31,Cascade!$C:$C,IF($C31="&lt;15",{"=&lt;01","01-09","10-14"},{"15-24","25-34","35-49","50+"}),Cascade!$D:$D,$D31))),"")</f>
        <v>6</v>
      </c>
      <c r="H31" s="90">
        <f>1</f>
        <v>1</v>
      </c>
      <c r="I31" s="90">
        <f>1</f>
        <v>1</v>
      </c>
      <c r="J31" s="90"/>
      <c r="K31" s="90"/>
      <c r="L31" s="42">
        <f t="shared" si="1"/>
        <v>0</v>
      </c>
      <c r="M31" s="42">
        <f t="shared" si="2"/>
        <v>8</v>
      </c>
      <c r="N31" s="42">
        <f t="shared" si="3"/>
        <v>0</v>
      </c>
      <c r="O31" s="42">
        <f t="shared" si="4"/>
        <v>6</v>
      </c>
      <c r="P31" s="14">
        <v>208</v>
      </c>
      <c r="Q31" s="14"/>
      <c r="R31" s="14">
        <v>85</v>
      </c>
      <c r="S31" s="14">
        <f t="shared" si="5"/>
        <v>293</v>
      </c>
      <c r="T31" s="90">
        <f t="shared" si="6"/>
        <v>1</v>
      </c>
      <c r="U31" s="90">
        <f>1</f>
        <v>1</v>
      </c>
      <c r="V31" s="90">
        <f>1</f>
        <v>1</v>
      </c>
      <c r="W31" s="42">
        <f t="shared" si="7"/>
        <v>8</v>
      </c>
      <c r="X31" s="42">
        <f t="shared" si="8"/>
        <v>6</v>
      </c>
      <c r="Y31" s="90">
        <f t="shared" si="9"/>
        <v>0.9</v>
      </c>
      <c r="Z31" s="42">
        <f t="shared" si="10"/>
        <v>7</v>
      </c>
      <c r="AA31" s="42">
        <f t="shared" si="11"/>
        <v>5</v>
      </c>
      <c r="AB31" s="90" t="str">
        <f t="shared" si="12"/>
        <v/>
      </c>
      <c r="AC31" s="90">
        <f t="shared" si="13"/>
        <v>-0.94117647058823528</v>
      </c>
    </row>
    <row r="32" spans="1:29" x14ac:dyDescent="0.2">
      <c r="A32" t="str">
        <f>INDEX(Prioritization!$D:$D,MATCH($B32,Prioritization!$A:$A,0))</f>
        <v>1 - Scale-up: Saturation</v>
      </c>
      <c r="B32" t="s">
        <v>197</v>
      </c>
      <c r="C32" t="s">
        <v>806</v>
      </c>
      <c r="D32" t="s">
        <v>47</v>
      </c>
      <c r="E32" t="str">
        <f t="shared" si="0"/>
        <v>Lilongwe District [ScR9iFKAasW]|&lt;15|Male</v>
      </c>
      <c r="F32" s="14">
        <f>IFERROR(1/(1/SUM(SUMIFS(Cascade!$O:$O,Cascade!$B:$B,$B32,Cascade!$C:$C,IF($C32="&lt;15",{"=&lt;01","01-09","10-14"},{"15-24","25-34","35-49","50+"}),Cascade!$D:$D,$D32))),"")</f>
        <v>6</v>
      </c>
      <c r="G32" s="14">
        <f>IFERROR(1/(1/SUM(SUMIFS(Cascade!$AX:$AX,Cascade!$B:$B,$B32,Cascade!$C:$C,IF($C32="&lt;15",{"=&lt;01","01-09","10-14"},{"15-24","25-34","35-49","50+"}),Cascade!$D:$D,$D32))),"")</f>
        <v>6</v>
      </c>
      <c r="H32" s="90">
        <f>1</f>
        <v>1</v>
      </c>
      <c r="I32" s="90">
        <f>1</f>
        <v>1</v>
      </c>
      <c r="J32" s="90"/>
      <c r="K32" s="90"/>
      <c r="L32" s="42">
        <f t="shared" si="1"/>
        <v>0</v>
      </c>
      <c r="M32" s="42">
        <f t="shared" si="2"/>
        <v>6</v>
      </c>
      <c r="N32" s="42">
        <f t="shared" si="3"/>
        <v>0</v>
      </c>
      <c r="O32" s="42">
        <f t="shared" si="4"/>
        <v>6</v>
      </c>
      <c r="P32" s="14">
        <v>966</v>
      </c>
      <c r="Q32" s="14"/>
      <c r="R32" s="14">
        <v>95</v>
      </c>
      <c r="S32" s="14">
        <f t="shared" si="5"/>
        <v>1061</v>
      </c>
      <c r="T32" s="90">
        <f t="shared" si="6"/>
        <v>1</v>
      </c>
      <c r="U32" s="90">
        <f>1</f>
        <v>1</v>
      </c>
      <c r="V32" s="90">
        <f>1</f>
        <v>1</v>
      </c>
      <c r="W32" s="42">
        <f t="shared" si="7"/>
        <v>6</v>
      </c>
      <c r="X32" s="42">
        <f t="shared" si="8"/>
        <v>6</v>
      </c>
      <c r="Y32" s="90">
        <f t="shared" si="9"/>
        <v>0.9</v>
      </c>
      <c r="Z32" s="42">
        <f t="shared" si="10"/>
        <v>5</v>
      </c>
      <c r="AA32" s="42">
        <f t="shared" si="11"/>
        <v>5</v>
      </c>
      <c r="AB32" s="90" t="str">
        <f t="shared" si="12"/>
        <v/>
      </c>
      <c r="AC32" s="90">
        <f t="shared" si="13"/>
        <v>-0.94736842105263153</v>
      </c>
    </row>
    <row r="33" spans="1:29" x14ac:dyDescent="0.2">
      <c r="A33" t="str">
        <f>INDEX(Prioritization!$D:$D,MATCH($B33,Prioritization!$A:$A,0))</f>
        <v>1 - Scale-up: Saturation</v>
      </c>
      <c r="B33" t="s">
        <v>197</v>
      </c>
      <c r="C33" t="s">
        <v>807</v>
      </c>
      <c r="D33" t="s">
        <v>29</v>
      </c>
      <c r="E33" t="str">
        <f t="shared" si="0"/>
        <v>Lilongwe District [ScR9iFKAasW]|15+|Female</v>
      </c>
      <c r="F33" s="14" t="str">
        <f>IFERROR(1/(1/SUM(SUMIFS(Cascade!$O:$O,Cascade!$B:$B,$B33,Cascade!$C:$C,IF($C33="&lt;15",{"=&lt;01","01-09","10-14"},{"15-24","25-34","35-49","50+"}),Cascade!$D:$D,$D33))),"")</f>
        <v/>
      </c>
      <c r="G33" s="14" t="str">
        <f>IFERROR(1/(1/SUM(SUMIFS(Cascade!$AX:$AX,Cascade!$B:$B,$B33,Cascade!$C:$C,IF($C33="&lt;15",{"=&lt;01","01-09","10-14"},{"15-24","25-34","35-49","50+"}),Cascade!$D:$D,$D33))),"")</f>
        <v/>
      </c>
      <c r="H33" s="90">
        <f>1</f>
        <v>1</v>
      </c>
      <c r="I33" s="90">
        <f>1</f>
        <v>1</v>
      </c>
      <c r="J33" s="90"/>
      <c r="K33" s="90"/>
      <c r="L33" s="42" t="str">
        <f t="shared" si="1"/>
        <v/>
      </c>
      <c r="M33" s="42" t="str">
        <f t="shared" si="2"/>
        <v/>
      </c>
      <c r="N33" s="42" t="str">
        <f t="shared" si="3"/>
        <v/>
      </c>
      <c r="O33" s="42" t="str">
        <f t="shared" si="4"/>
        <v/>
      </c>
      <c r="P33" s="14">
        <v>2373</v>
      </c>
      <c r="Q33" s="14"/>
      <c r="R33" s="14">
        <v>318</v>
      </c>
      <c r="S33" s="14">
        <f t="shared" si="5"/>
        <v>2691</v>
      </c>
      <c r="T33" s="90" t="str">
        <f t="shared" si="6"/>
        <v/>
      </c>
      <c r="U33" s="90">
        <f>1</f>
        <v>1</v>
      </c>
      <c r="V33" s="90">
        <f>1</f>
        <v>1</v>
      </c>
      <c r="W33" s="42" t="str">
        <f t="shared" si="7"/>
        <v/>
      </c>
      <c r="X33" s="42" t="str">
        <f t="shared" si="8"/>
        <v/>
      </c>
      <c r="Y33" s="90">
        <f t="shared" si="9"/>
        <v>0.9</v>
      </c>
      <c r="Z33" s="42" t="str">
        <f t="shared" si="10"/>
        <v/>
      </c>
      <c r="AA33" s="42" t="str">
        <f t="shared" si="11"/>
        <v/>
      </c>
      <c r="AB33" s="90" t="str">
        <f t="shared" si="12"/>
        <v/>
      </c>
      <c r="AC33" s="90">
        <f t="shared" si="13"/>
        <v>-1</v>
      </c>
    </row>
    <row r="34" spans="1:29" x14ac:dyDescent="0.2">
      <c r="A34" t="str">
        <f>INDEX(Prioritization!$D:$D,MATCH($B34,Prioritization!$A:$A,0))</f>
        <v>1 - Scale-up: Saturation</v>
      </c>
      <c r="B34" t="s">
        <v>197</v>
      </c>
      <c r="C34" t="s">
        <v>807</v>
      </c>
      <c r="D34" t="s">
        <v>47</v>
      </c>
      <c r="E34" t="str">
        <f t="shared" si="0"/>
        <v>Lilongwe District [ScR9iFKAasW]|15+|Male</v>
      </c>
      <c r="F34" s="14" t="str">
        <f>IFERROR(1/(1/SUM(SUMIFS(Cascade!$O:$O,Cascade!$B:$B,$B34,Cascade!$C:$C,IF($C34="&lt;15",{"=&lt;01","01-09","10-14"},{"15-24","25-34","35-49","50+"}),Cascade!$D:$D,$D34))),"")</f>
        <v/>
      </c>
      <c r="G34" s="14" t="str">
        <f>IFERROR(1/(1/SUM(SUMIFS(Cascade!$AX:$AX,Cascade!$B:$B,$B34,Cascade!$C:$C,IF($C34="&lt;15",{"=&lt;01","01-09","10-14"},{"15-24","25-34","35-49","50+"}),Cascade!$D:$D,$D34))),"")</f>
        <v/>
      </c>
      <c r="H34" s="90">
        <f>1</f>
        <v>1</v>
      </c>
      <c r="I34" s="90">
        <f>1</f>
        <v>1</v>
      </c>
      <c r="J34" s="90"/>
      <c r="K34" s="90"/>
      <c r="L34" s="42" t="str">
        <f t="shared" si="1"/>
        <v/>
      </c>
      <c r="M34" s="42" t="str">
        <f t="shared" si="2"/>
        <v/>
      </c>
      <c r="N34" s="42" t="str">
        <f t="shared" si="3"/>
        <v/>
      </c>
      <c r="O34" s="42" t="str">
        <f t="shared" si="4"/>
        <v/>
      </c>
      <c r="P34" s="14">
        <v>2595</v>
      </c>
      <c r="Q34" s="14"/>
      <c r="R34" s="14">
        <v>62</v>
      </c>
      <c r="S34" s="14">
        <f t="shared" si="5"/>
        <v>2657</v>
      </c>
      <c r="T34" s="90" t="str">
        <f t="shared" si="6"/>
        <v/>
      </c>
      <c r="U34" s="90">
        <f>1</f>
        <v>1</v>
      </c>
      <c r="V34" s="90">
        <f>1</f>
        <v>1</v>
      </c>
      <c r="W34" s="42" t="str">
        <f t="shared" si="7"/>
        <v/>
      </c>
      <c r="X34" s="42" t="str">
        <f t="shared" si="8"/>
        <v/>
      </c>
      <c r="Y34" s="90">
        <f t="shared" si="9"/>
        <v>0.9</v>
      </c>
      <c r="Z34" s="42" t="str">
        <f t="shared" si="10"/>
        <v/>
      </c>
      <c r="AA34" s="42" t="str">
        <f t="shared" si="11"/>
        <v/>
      </c>
      <c r="AB34" s="90" t="str">
        <f t="shared" si="12"/>
        <v/>
      </c>
      <c r="AC34" s="90">
        <f t="shared" si="13"/>
        <v>-1</v>
      </c>
    </row>
    <row r="35" spans="1:29" x14ac:dyDescent="0.2">
      <c r="A35" t="str">
        <f>INDEX(Prioritization!$D:$D,MATCH($B35,Prioritization!$A:$A,0))</f>
        <v>1 - Scale-up: Saturation</v>
      </c>
      <c r="B35" t="s">
        <v>198</v>
      </c>
      <c r="C35" t="s">
        <v>806</v>
      </c>
      <c r="D35" t="s">
        <v>29</v>
      </c>
      <c r="E35" t="str">
        <f t="shared" si="0"/>
        <v>Mchinji District [kxuuIFpOXyO]|&lt;15|Female</v>
      </c>
      <c r="F35" s="14">
        <f>IFERROR(1/(1/SUM(SUMIFS(Cascade!$O:$O,Cascade!$B:$B,$B35,Cascade!$C:$C,IF($C35="&lt;15",{"=&lt;01","01-09","10-14"},{"15-24","25-34","35-49","50+"}),Cascade!$D:$D,$D35))),"")</f>
        <v>1</v>
      </c>
      <c r="G35" s="14" t="str">
        <f>IFERROR(1/(1/SUM(SUMIFS(Cascade!$AX:$AX,Cascade!$B:$B,$B35,Cascade!$C:$C,IF($C35="&lt;15",{"=&lt;01","01-09","10-14"},{"15-24","25-34","35-49","50+"}),Cascade!$D:$D,$D35))),"")</f>
        <v/>
      </c>
      <c r="H35" s="90">
        <f>1</f>
        <v>1</v>
      </c>
      <c r="I35" s="90">
        <f>1</f>
        <v>1</v>
      </c>
      <c r="J35" s="90"/>
      <c r="K35" s="90"/>
      <c r="L35" s="42">
        <f t="shared" si="1"/>
        <v>0</v>
      </c>
      <c r="M35" s="42">
        <f t="shared" si="2"/>
        <v>1</v>
      </c>
      <c r="N35" s="42" t="str">
        <f t="shared" si="3"/>
        <v/>
      </c>
      <c r="O35" s="42" t="str">
        <f t="shared" si="4"/>
        <v/>
      </c>
      <c r="P35" s="14">
        <v>1</v>
      </c>
      <c r="Q35" s="14"/>
      <c r="R35" s="14">
        <v>7</v>
      </c>
      <c r="S35" s="14">
        <f t="shared" si="5"/>
        <v>8</v>
      </c>
      <c r="T35" s="90">
        <f t="shared" si="6"/>
        <v>1</v>
      </c>
      <c r="U35" s="90">
        <f>1</f>
        <v>1</v>
      </c>
      <c r="V35" s="90">
        <f>1</f>
        <v>1</v>
      </c>
      <c r="W35" s="42">
        <f t="shared" si="7"/>
        <v>1</v>
      </c>
      <c r="X35" s="42" t="str">
        <f t="shared" si="8"/>
        <v/>
      </c>
      <c r="Y35" s="90">
        <f t="shared" si="9"/>
        <v>0.9</v>
      </c>
      <c r="Z35" s="42">
        <f t="shared" si="10"/>
        <v>1</v>
      </c>
      <c r="AA35" s="42" t="str">
        <f t="shared" si="11"/>
        <v/>
      </c>
      <c r="AB35" s="90" t="str">
        <f t="shared" si="12"/>
        <v/>
      </c>
      <c r="AC35" s="90">
        <f t="shared" si="13"/>
        <v>-1</v>
      </c>
    </row>
    <row r="36" spans="1:29" x14ac:dyDescent="0.2">
      <c r="A36" t="str">
        <f>INDEX(Prioritization!$D:$D,MATCH($B36,Prioritization!$A:$A,0))</f>
        <v>1 - Scale-up: Saturation</v>
      </c>
      <c r="B36" t="s">
        <v>198</v>
      </c>
      <c r="C36" t="s">
        <v>806</v>
      </c>
      <c r="D36" t="s">
        <v>47</v>
      </c>
      <c r="E36" t="str">
        <f t="shared" si="0"/>
        <v>Mchinji District [kxuuIFpOXyO]|&lt;15|Male</v>
      </c>
      <c r="F36" s="14">
        <f>IFERROR(1/(1/SUM(SUMIFS(Cascade!$O:$O,Cascade!$B:$B,$B36,Cascade!$C:$C,IF($C36="&lt;15",{"=&lt;01","01-09","10-14"},{"15-24","25-34","35-49","50+"}),Cascade!$D:$D,$D36))),"")</f>
        <v>1</v>
      </c>
      <c r="G36" s="14" t="str">
        <f>IFERROR(1/(1/SUM(SUMIFS(Cascade!$AX:$AX,Cascade!$B:$B,$B36,Cascade!$C:$C,IF($C36="&lt;15",{"=&lt;01","01-09","10-14"},{"15-24","25-34","35-49","50+"}),Cascade!$D:$D,$D36))),"")</f>
        <v/>
      </c>
      <c r="H36" s="90">
        <f>1</f>
        <v>1</v>
      </c>
      <c r="I36" s="90">
        <f>1</f>
        <v>1</v>
      </c>
      <c r="J36" s="90"/>
      <c r="K36" s="90"/>
      <c r="L36" s="42">
        <f t="shared" si="1"/>
        <v>0</v>
      </c>
      <c r="M36" s="42">
        <f t="shared" si="2"/>
        <v>1</v>
      </c>
      <c r="N36" s="42" t="str">
        <f t="shared" si="3"/>
        <v/>
      </c>
      <c r="O36" s="42" t="str">
        <f t="shared" si="4"/>
        <v/>
      </c>
      <c r="P36" s="14">
        <v>1</v>
      </c>
      <c r="Q36" s="14"/>
      <c r="R36" s="14">
        <v>3</v>
      </c>
      <c r="S36" s="14">
        <f t="shared" si="5"/>
        <v>4</v>
      </c>
      <c r="T36" s="90">
        <f t="shared" si="6"/>
        <v>1</v>
      </c>
      <c r="U36" s="90">
        <f>1</f>
        <v>1</v>
      </c>
      <c r="V36" s="90">
        <f>1</f>
        <v>1</v>
      </c>
      <c r="W36" s="42">
        <f t="shared" si="7"/>
        <v>1</v>
      </c>
      <c r="X36" s="42" t="str">
        <f t="shared" si="8"/>
        <v/>
      </c>
      <c r="Y36" s="90">
        <f t="shared" si="9"/>
        <v>0.9</v>
      </c>
      <c r="Z36" s="42">
        <f t="shared" si="10"/>
        <v>1</v>
      </c>
      <c r="AA36" s="42" t="str">
        <f t="shared" si="11"/>
        <v/>
      </c>
      <c r="AB36" s="90" t="str">
        <f t="shared" si="12"/>
        <v/>
      </c>
      <c r="AC36" s="90">
        <f t="shared" si="13"/>
        <v>-1</v>
      </c>
    </row>
    <row r="37" spans="1:29" x14ac:dyDescent="0.2">
      <c r="A37" t="str">
        <f>INDEX(Prioritization!$D:$D,MATCH($B37,Prioritization!$A:$A,0))</f>
        <v>1 - Scale-up: Saturation</v>
      </c>
      <c r="B37" t="s">
        <v>198</v>
      </c>
      <c r="C37" t="s">
        <v>807</v>
      </c>
      <c r="D37" t="s">
        <v>29</v>
      </c>
      <c r="E37" t="str">
        <f t="shared" si="0"/>
        <v>Mchinji District [kxuuIFpOXyO]|15+|Female</v>
      </c>
      <c r="F37" s="14" t="str">
        <f>IFERROR(1/(1/SUM(SUMIFS(Cascade!$O:$O,Cascade!$B:$B,$B37,Cascade!$C:$C,IF($C37="&lt;15",{"=&lt;01","01-09","10-14"},{"15-24","25-34","35-49","50+"}),Cascade!$D:$D,$D37))),"")</f>
        <v/>
      </c>
      <c r="G37" s="14" t="str">
        <f>IFERROR(1/(1/SUM(SUMIFS(Cascade!$AX:$AX,Cascade!$B:$B,$B37,Cascade!$C:$C,IF($C37="&lt;15",{"=&lt;01","01-09","10-14"},{"15-24","25-34","35-49","50+"}),Cascade!$D:$D,$D37))),"")</f>
        <v/>
      </c>
      <c r="H37" s="90">
        <f>1</f>
        <v>1</v>
      </c>
      <c r="I37" s="90">
        <f>1</f>
        <v>1</v>
      </c>
      <c r="J37" s="90"/>
      <c r="K37" s="90"/>
      <c r="L37" s="42" t="str">
        <f t="shared" si="1"/>
        <v/>
      </c>
      <c r="M37" s="42" t="str">
        <f t="shared" si="2"/>
        <v/>
      </c>
      <c r="N37" s="42" t="str">
        <f t="shared" si="3"/>
        <v/>
      </c>
      <c r="O37" s="42" t="str">
        <f t="shared" si="4"/>
        <v/>
      </c>
      <c r="P37" s="14">
        <v>90</v>
      </c>
      <c r="Q37" s="14"/>
      <c r="R37" s="14">
        <v>87</v>
      </c>
      <c r="S37" s="14">
        <f t="shared" si="5"/>
        <v>177</v>
      </c>
      <c r="T37" s="90" t="str">
        <f t="shared" si="6"/>
        <v/>
      </c>
      <c r="U37" s="90">
        <f>1</f>
        <v>1</v>
      </c>
      <c r="V37" s="90">
        <f>1</f>
        <v>1</v>
      </c>
      <c r="W37" s="42" t="str">
        <f t="shared" si="7"/>
        <v/>
      </c>
      <c r="X37" s="42" t="str">
        <f t="shared" si="8"/>
        <v/>
      </c>
      <c r="Y37" s="90">
        <f t="shared" si="9"/>
        <v>0.9</v>
      </c>
      <c r="Z37" s="42" t="str">
        <f t="shared" si="10"/>
        <v/>
      </c>
      <c r="AA37" s="42" t="str">
        <f t="shared" si="11"/>
        <v/>
      </c>
      <c r="AB37" s="90" t="str">
        <f t="shared" si="12"/>
        <v/>
      </c>
      <c r="AC37" s="90">
        <f t="shared" si="13"/>
        <v>-1</v>
      </c>
    </row>
    <row r="38" spans="1:29" x14ac:dyDescent="0.2">
      <c r="A38" t="str">
        <f>INDEX(Prioritization!$D:$D,MATCH($B38,Prioritization!$A:$A,0))</f>
        <v>1 - Scale-up: Saturation</v>
      </c>
      <c r="B38" t="s">
        <v>198</v>
      </c>
      <c r="C38" t="s">
        <v>807</v>
      </c>
      <c r="D38" t="s">
        <v>47</v>
      </c>
      <c r="E38" t="str">
        <f t="shared" si="0"/>
        <v>Mchinji District [kxuuIFpOXyO]|15+|Male</v>
      </c>
      <c r="F38" s="14" t="str">
        <f>IFERROR(1/(1/SUM(SUMIFS(Cascade!$O:$O,Cascade!$B:$B,$B38,Cascade!$C:$C,IF($C38="&lt;15",{"=&lt;01","01-09","10-14"},{"15-24","25-34","35-49","50+"}),Cascade!$D:$D,$D38))),"")</f>
        <v/>
      </c>
      <c r="G38" s="14" t="str">
        <f>IFERROR(1/(1/SUM(SUMIFS(Cascade!$AX:$AX,Cascade!$B:$B,$B38,Cascade!$C:$C,IF($C38="&lt;15",{"=&lt;01","01-09","10-14"},{"15-24","25-34","35-49","50+"}),Cascade!$D:$D,$D38))),"")</f>
        <v/>
      </c>
      <c r="H38" s="90">
        <f>1</f>
        <v>1</v>
      </c>
      <c r="I38" s="90">
        <f>1</f>
        <v>1</v>
      </c>
      <c r="J38" s="90"/>
      <c r="K38" s="90"/>
      <c r="L38" s="42" t="str">
        <f t="shared" si="1"/>
        <v/>
      </c>
      <c r="M38" s="42" t="str">
        <f t="shared" si="2"/>
        <v/>
      </c>
      <c r="N38" s="42" t="str">
        <f t="shared" si="3"/>
        <v/>
      </c>
      <c r="O38" s="42" t="str">
        <f t="shared" si="4"/>
        <v/>
      </c>
      <c r="P38" s="14">
        <v>95</v>
      </c>
      <c r="Q38" s="14"/>
      <c r="R38" s="14">
        <v>89</v>
      </c>
      <c r="S38" s="14">
        <f t="shared" si="5"/>
        <v>184</v>
      </c>
      <c r="T38" s="90" t="str">
        <f t="shared" si="6"/>
        <v/>
      </c>
      <c r="U38" s="90">
        <f>1</f>
        <v>1</v>
      </c>
      <c r="V38" s="90">
        <f>1</f>
        <v>1</v>
      </c>
      <c r="W38" s="42" t="str">
        <f t="shared" si="7"/>
        <v/>
      </c>
      <c r="X38" s="42" t="str">
        <f t="shared" si="8"/>
        <v/>
      </c>
      <c r="Y38" s="90">
        <f t="shared" si="9"/>
        <v>0.9</v>
      </c>
      <c r="Z38" s="42" t="str">
        <f t="shared" si="10"/>
        <v/>
      </c>
      <c r="AA38" s="42" t="str">
        <f t="shared" si="11"/>
        <v/>
      </c>
      <c r="AB38" s="90" t="str">
        <f t="shared" si="12"/>
        <v/>
      </c>
      <c r="AC38" s="90">
        <f t="shared" si="13"/>
        <v>-1</v>
      </c>
    </row>
    <row r="39" spans="1:29" x14ac:dyDescent="0.2">
      <c r="A39" t="str">
        <f>INDEX(Prioritization!$D:$D,MATCH($B39,Prioritization!$A:$A,0))</f>
        <v>1 - Scale-up: Saturation</v>
      </c>
      <c r="B39" t="s">
        <v>199</v>
      </c>
      <c r="C39" t="s">
        <v>806</v>
      </c>
      <c r="D39" t="s">
        <v>29</v>
      </c>
      <c r="E39" t="str">
        <f t="shared" si="0"/>
        <v>Nkhotakota District [YCKiBAp8QAg]|&lt;15|Female</v>
      </c>
      <c r="F39" s="14">
        <f>IFERROR(1/(1/SUM(SUMIFS(Cascade!$O:$O,Cascade!$B:$B,$B39,Cascade!$C:$C,IF($C39="&lt;15",{"=&lt;01","01-09","10-14"},{"15-24","25-34","35-49","50+"}),Cascade!$D:$D,$D39))),"")</f>
        <v>1</v>
      </c>
      <c r="G39" s="14" t="str">
        <f>IFERROR(1/(1/SUM(SUMIFS(Cascade!$AX:$AX,Cascade!$B:$B,$B39,Cascade!$C:$C,IF($C39="&lt;15",{"=&lt;01","01-09","10-14"},{"15-24","25-34","35-49","50+"}),Cascade!$D:$D,$D39))),"")</f>
        <v/>
      </c>
      <c r="H39" s="90">
        <f>1</f>
        <v>1</v>
      </c>
      <c r="I39" s="90">
        <f>1</f>
        <v>1</v>
      </c>
      <c r="J39" s="90"/>
      <c r="K39" s="90"/>
      <c r="L39" s="42">
        <f t="shared" si="1"/>
        <v>0</v>
      </c>
      <c r="M39" s="42">
        <f t="shared" si="2"/>
        <v>1</v>
      </c>
      <c r="N39" s="42" t="str">
        <f t="shared" si="3"/>
        <v/>
      </c>
      <c r="O39" s="42" t="str">
        <f t="shared" si="4"/>
        <v/>
      </c>
      <c r="P39" s="14">
        <v>8</v>
      </c>
      <c r="Q39" s="14"/>
      <c r="R39" s="14">
        <v>8</v>
      </c>
      <c r="S39" s="14">
        <f t="shared" si="5"/>
        <v>16</v>
      </c>
      <c r="T39" s="90">
        <f t="shared" si="6"/>
        <v>1</v>
      </c>
      <c r="U39" s="90">
        <f>1</f>
        <v>1</v>
      </c>
      <c r="V39" s="90">
        <f>1</f>
        <v>1</v>
      </c>
      <c r="W39" s="42">
        <f t="shared" si="7"/>
        <v>1</v>
      </c>
      <c r="X39" s="42" t="str">
        <f t="shared" si="8"/>
        <v/>
      </c>
      <c r="Y39" s="90">
        <f t="shared" si="9"/>
        <v>0.9</v>
      </c>
      <c r="Z39" s="42">
        <f t="shared" si="10"/>
        <v>1</v>
      </c>
      <c r="AA39" s="42" t="str">
        <f t="shared" si="11"/>
        <v/>
      </c>
      <c r="AB39" s="90" t="str">
        <f t="shared" si="12"/>
        <v/>
      </c>
      <c r="AC39" s="90">
        <f t="shared" si="13"/>
        <v>-1</v>
      </c>
    </row>
    <row r="40" spans="1:29" x14ac:dyDescent="0.2">
      <c r="A40" t="str">
        <f>INDEX(Prioritization!$D:$D,MATCH($B40,Prioritization!$A:$A,0))</f>
        <v>1 - Scale-up: Saturation</v>
      </c>
      <c r="B40" t="s">
        <v>199</v>
      </c>
      <c r="C40" t="s">
        <v>806</v>
      </c>
      <c r="D40" t="s">
        <v>47</v>
      </c>
      <c r="E40" t="str">
        <f t="shared" si="0"/>
        <v>Nkhotakota District [YCKiBAp8QAg]|&lt;15|Male</v>
      </c>
      <c r="F40" s="14">
        <f>IFERROR(1/(1/SUM(SUMIFS(Cascade!$O:$O,Cascade!$B:$B,$B40,Cascade!$C:$C,IF($C40="&lt;15",{"=&lt;01","01-09","10-14"},{"15-24","25-34","35-49","50+"}),Cascade!$D:$D,$D40))),"")</f>
        <v>1</v>
      </c>
      <c r="G40" s="14" t="str">
        <f>IFERROR(1/(1/SUM(SUMIFS(Cascade!$AX:$AX,Cascade!$B:$B,$B40,Cascade!$C:$C,IF($C40="&lt;15",{"=&lt;01","01-09","10-14"},{"15-24","25-34","35-49","50+"}),Cascade!$D:$D,$D40))),"")</f>
        <v/>
      </c>
      <c r="H40" s="90">
        <f>1</f>
        <v>1</v>
      </c>
      <c r="I40" s="90">
        <f>1</f>
        <v>1</v>
      </c>
      <c r="J40" s="90"/>
      <c r="K40" s="90"/>
      <c r="L40" s="42">
        <f t="shared" si="1"/>
        <v>0</v>
      </c>
      <c r="M40" s="42">
        <f t="shared" si="2"/>
        <v>1</v>
      </c>
      <c r="N40" s="42" t="str">
        <f t="shared" si="3"/>
        <v/>
      </c>
      <c r="O40" s="42" t="str">
        <f t="shared" si="4"/>
        <v/>
      </c>
      <c r="P40" s="14">
        <v>8</v>
      </c>
      <c r="Q40" s="14"/>
      <c r="R40" s="14">
        <v>1</v>
      </c>
      <c r="S40" s="14">
        <f t="shared" si="5"/>
        <v>9</v>
      </c>
      <c r="T40" s="90">
        <f t="shared" si="6"/>
        <v>1</v>
      </c>
      <c r="U40" s="90">
        <f>1</f>
        <v>1</v>
      </c>
      <c r="V40" s="90">
        <f>1</f>
        <v>1</v>
      </c>
      <c r="W40" s="42">
        <f t="shared" si="7"/>
        <v>1</v>
      </c>
      <c r="X40" s="42" t="str">
        <f t="shared" si="8"/>
        <v/>
      </c>
      <c r="Y40" s="90">
        <f t="shared" si="9"/>
        <v>0.9</v>
      </c>
      <c r="Z40" s="42">
        <f t="shared" si="10"/>
        <v>1</v>
      </c>
      <c r="AA40" s="42" t="str">
        <f t="shared" si="11"/>
        <v/>
      </c>
      <c r="AB40" s="90" t="str">
        <f t="shared" si="12"/>
        <v/>
      </c>
      <c r="AC40" s="90">
        <f t="shared" si="13"/>
        <v>-1</v>
      </c>
    </row>
    <row r="41" spans="1:29" x14ac:dyDescent="0.2">
      <c r="A41" t="str">
        <f>INDEX(Prioritization!$D:$D,MATCH($B41,Prioritization!$A:$A,0))</f>
        <v>1 - Scale-up: Saturation</v>
      </c>
      <c r="B41" t="s">
        <v>199</v>
      </c>
      <c r="C41" t="s">
        <v>807</v>
      </c>
      <c r="D41" t="s">
        <v>29</v>
      </c>
      <c r="E41" t="str">
        <f t="shared" si="0"/>
        <v>Nkhotakota District [YCKiBAp8QAg]|15+|Female</v>
      </c>
      <c r="F41" s="14" t="str">
        <f>IFERROR(1/(1/SUM(SUMIFS(Cascade!$O:$O,Cascade!$B:$B,$B41,Cascade!$C:$C,IF($C41="&lt;15",{"=&lt;01","01-09","10-14"},{"15-24","25-34","35-49","50+"}),Cascade!$D:$D,$D41))),"")</f>
        <v/>
      </c>
      <c r="G41" s="14" t="str">
        <f>IFERROR(1/(1/SUM(SUMIFS(Cascade!$AX:$AX,Cascade!$B:$B,$B41,Cascade!$C:$C,IF($C41="&lt;15",{"=&lt;01","01-09","10-14"},{"15-24","25-34","35-49","50+"}),Cascade!$D:$D,$D41))),"")</f>
        <v/>
      </c>
      <c r="H41" s="90">
        <f>1</f>
        <v>1</v>
      </c>
      <c r="I41" s="90">
        <f>1</f>
        <v>1</v>
      </c>
      <c r="J41" s="90"/>
      <c r="K41" s="90"/>
      <c r="L41" s="42" t="str">
        <f t="shared" si="1"/>
        <v/>
      </c>
      <c r="M41" s="42" t="str">
        <f t="shared" si="2"/>
        <v/>
      </c>
      <c r="N41" s="42" t="str">
        <f t="shared" si="3"/>
        <v/>
      </c>
      <c r="O41" s="42" t="str">
        <f t="shared" si="4"/>
        <v/>
      </c>
      <c r="P41" s="14">
        <v>91</v>
      </c>
      <c r="Q41" s="14"/>
      <c r="R41" s="14">
        <v>25</v>
      </c>
      <c r="S41" s="14">
        <f t="shared" si="5"/>
        <v>116</v>
      </c>
      <c r="T41" s="90" t="str">
        <f t="shared" si="6"/>
        <v/>
      </c>
      <c r="U41" s="90">
        <f>1</f>
        <v>1</v>
      </c>
      <c r="V41" s="90">
        <f>1</f>
        <v>1</v>
      </c>
      <c r="W41" s="42" t="str">
        <f t="shared" si="7"/>
        <v/>
      </c>
      <c r="X41" s="42" t="str">
        <f t="shared" si="8"/>
        <v/>
      </c>
      <c r="Y41" s="90">
        <f t="shared" si="9"/>
        <v>0.9</v>
      </c>
      <c r="Z41" s="42" t="str">
        <f t="shared" si="10"/>
        <v/>
      </c>
      <c r="AA41" s="42" t="str">
        <f t="shared" si="11"/>
        <v/>
      </c>
      <c r="AB41" s="90" t="str">
        <f t="shared" si="12"/>
        <v/>
      </c>
      <c r="AC41" s="90">
        <f t="shared" si="13"/>
        <v>-1</v>
      </c>
    </row>
    <row r="42" spans="1:29" x14ac:dyDescent="0.2">
      <c r="A42" t="str">
        <f>INDEX(Prioritization!$D:$D,MATCH($B42,Prioritization!$A:$A,0))</f>
        <v>1 - Scale-up: Saturation</v>
      </c>
      <c r="B42" t="s">
        <v>199</v>
      </c>
      <c r="C42" t="s">
        <v>807</v>
      </c>
      <c r="D42" t="s">
        <v>47</v>
      </c>
      <c r="E42" t="str">
        <f t="shared" si="0"/>
        <v>Nkhotakota District [YCKiBAp8QAg]|15+|Male</v>
      </c>
      <c r="F42" s="14" t="str">
        <f>IFERROR(1/(1/SUM(SUMIFS(Cascade!$O:$O,Cascade!$B:$B,$B42,Cascade!$C:$C,IF($C42="&lt;15",{"=&lt;01","01-09","10-14"},{"15-24","25-34","35-49","50+"}),Cascade!$D:$D,$D42))),"")</f>
        <v/>
      </c>
      <c r="G42" s="14" t="str">
        <f>IFERROR(1/(1/SUM(SUMIFS(Cascade!$AX:$AX,Cascade!$B:$B,$B42,Cascade!$C:$C,IF($C42="&lt;15",{"=&lt;01","01-09","10-14"},{"15-24","25-34","35-49","50+"}),Cascade!$D:$D,$D42))),"")</f>
        <v/>
      </c>
      <c r="H42" s="90">
        <f>1</f>
        <v>1</v>
      </c>
      <c r="I42" s="90">
        <f>1</f>
        <v>1</v>
      </c>
      <c r="J42" s="90"/>
      <c r="K42" s="90"/>
      <c r="L42" s="42" t="str">
        <f t="shared" si="1"/>
        <v/>
      </c>
      <c r="M42" s="42" t="str">
        <f t="shared" si="2"/>
        <v/>
      </c>
      <c r="N42" s="42" t="str">
        <f t="shared" si="3"/>
        <v/>
      </c>
      <c r="O42" s="42" t="str">
        <f t="shared" si="4"/>
        <v/>
      </c>
      <c r="P42" s="14">
        <v>53</v>
      </c>
      <c r="Q42" s="14"/>
      <c r="R42" s="14">
        <v>11</v>
      </c>
      <c r="S42" s="14">
        <f t="shared" si="5"/>
        <v>64</v>
      </c>
      <c r="T42" s="90" t="str">
        <f t="shared" si="6"/>
        <v/>
      </c>
      <c r="U42" s="90">
        <f>1</f>
        <v>1</v>
      </c>
      <c r="V42" s="90">
        <f>1</f>
        <v>1</v>
      </c>
      <c r="W42" s="42" t="str">
        <f t="shared" si="7"/>
        <v/>
      </c>
      <c r="X42" s="42" t="str">
        <f t="shared" si="8"/>
        <v/>
      </c>
      <c r="Y42" s="90">
        <f t="shared" si="9"/>
        <v>0.9</v>
      </c>
      <c r="Z42" s="42" t="str">
        <f t="shared" si="10"/>
        <v/>
      </c>
      <c r="AA42" s="42" t="str">
        <f t="shared" si="11"/>
        <v/>
      </c>
      <c r="AB42" s="90" t="str">
        <f t="shared" si="12"/>
        <v/>
      </c>
      <c r="AC42" s="90">
        <f t="shared" si="13"/>
        <v>-1</v>
      </c>
    </row>
    <row r="43" spans="1:29" x14ac:dyDescent="0.2">
      <c r="A43" t="str">
        <f>INDEX(Prioritization!$D:$D,MATCH($B43,Prioritization!$A:$A,0))</f>
        <v>INVALID</v>
      </c>
      <c r="B43" t="s">
        <v>200</v>
      </c>
      <c r="C43" t="s">
        <v>806</v>
      </c>
      <c r="D43" t="s">
        <v>29</v>
      </c>
      <c r="E43" t="str">
        <f t="shared" si="0"/>
        <v>Ntcheu District [am530wpaGvr]|&lt;15|Female</v>
      </c>
      <c r="F43" s="14" t="str">
        <f>IFERROR(1/(1/SUM(SUMIFS(Cascade!$O:$O,Cascade!$B:$B,$B43,Cascade!$C:$C,IF($C43="&lt;15",{"=&lt;01","01-09","10-14"},{"15-24","25-34","35-49","50+"}),Cascade!$D:$D,$D43))),"")</f>
        <v/>
      </c>
      <c r="G43" s="14" t="str">
        <f>IFERROR(1/(1/SUM(SUMIFS(Cascade!$AX:$AX,Cascade!$B:$B,$B43,Cascade!$C:$C,IF($C43="&lt;15",{"=&lt;01","01-09","10-14"},{"15-24","25-34","35-49","50+"}),Cascade!$D:$D,$D43))),"")</f>
        <v/>
      </c>
      <c r="H43" s="90">
        <f>1</f>
        <v>1</v>
      </c>
      <c r="I43" s="90">
        <f>1</f>
        <v>1</v>
      </c>
      <c r="J43" s="90"/>
      <c r="K43" s="90"/>
      <c r="L43" s="42" t="str">
        <f t="shared" si="1"/>
        <v/>
      </c>
      <c r="M43" s="42" t="str">
        <f t="shared" si="2"/>
        <v/>
      </c>
      <c r="N43" s="42" t="str">
        <f t="shared" si="3"/>
        <v/>
      </c>
      <c r="O43" s="42" t="str">
        <f t="shared" si="4"/>
        <v/>
      </c>
      <c r="P43" s="14">
        <v>5</v>
      </c>
      <c r="Q43" s="14"/>
      <c r="R43" s="14">
        <v>10</v>
      </c>
      <c r="S43" s="14">
        <f t="shared" si="5"/>
        <v>15</v>
      </c>
      <c r="T43" s="90" t="str">
        <f t="shared" si="6"/>
        <v/>
      </c>
      <c r="U43" s="90">
        <f>1</f>
        <v>1</v>
      </c>
      <c r="V43" s="90">
        <f>1</f>
        <v>1</v>
      </c>
      <c r="W43" s="42" t="str">
        <f t="shared" si="7"/>
        <v/>
      </c>
      <c r="X43" s="42" t="str">
        <f t="shared" si="8"/>
        <v/>
      </c>
      <c r="Y43" s="90">
        <f t="shared" si="9"/>
        <v>0.9</v>
      </c>
      <c r="Z43" s="42" t="str">
        <f t="shared" si="10"/>
        <v/>
      </c>
      <c r="AA43" s="42" t="str">
        <f t="shared" si="11"/>
        <v/>
      </c>
      <c r="AB43" s="90" t="str">
        <f t="shared" si="12"/>
        <v/>
      </c>
      <c r="AC43" s="90">
        <f t="shared" si="13"/>
        <v>-1</v>
      </c>
    </row>
    <row r="44" spans="1:29" x14ac:dyDescent="0.2">
      <c r="A44" t="str">
        <f>INDEX(Prioritization!$D:$D,MATCH($B44,Prioritization!$A:$A,0))</f>
        <v>INVALID</v>
      </c>
      <c r="B44" t="s">
        <v>200</v>
      </c>
      <c r="C44" t="s">
        <v>806</v>
      </c>
      <c r="D44" t="s">
        <v>47</v>
      </c>
      <c r="E44" t="str">
        <f t="shared" si="0"/>
        <v>Ntcheu District [am530wpaGvr]|&lt;15|Male</v>
      </c>
      <c r="F44" s="14">
        <f>IFERROR(1/(1/SUM(SUMIFS(Cascade!$O:$O,Cascade!$B:$B,$B44,Cascade!$C:$C,IF($C44="&lt;15",{"=&lt;01","01-09","10-14"},{"15-24","25-34","35-49","50+"}),Cascade!$D:$D,$D44))),"")</f>
        <v>1</v>
      </c>
      <c r="G44" s="14" t="str">
        <f>IFERROR(1/(1/SUM(SUMIFS(Cascade!$AX:$AX,Cascade!$B:$B,$B44,Cascade!$C:$C,IF($C44="&lt;15",{"=&lt;01","01-09","10-14"},{"15-24","25-34","35-49","50+"}),Cascade!$D:$D,$D44))),"")</f>
        <v/>
      </c>
      <c r="H44" s="90">
        <f>1</f>
        <v>1</v>
      </c>
      <c r="I44" s="90">
        <f>1</f>
        <v>1</v>
      </c>
      <c r="J44" s="90"/>
      <c r="K44" s="90"/>
      <c r="L44" s="42">
        <f t="shared" si="1"/>
        <v>0</v>
      </c>
      <c r="M44" s="42">
        <f t="shared" si="2"/>
        <v>1</v>
      </c>
      <c r="N44" s="42" t="str">
        <f t="shared" si="3"/>
        <v/>
      </c>
      <c r="O44" s="42" t="str">
        <f t="shared" si="4"/>
        <v/>
      </c>
      <c r="P44" s="14">
        <v>2</v>
      </c>
      <c r="Q44" s="14"/>
      <c r="R44" s="14">
        <v>4</v>
      </c>
      <c r="S44" s="14">
        <f t="shared" si="5"/>
        <v>6</v>
      </c>
      <c r="T44" s="90">
        <f t="shared" si="6"/>
        <v>1</v>
      </c>
      <c r="U44" s="90">
        <f>1</f>
        <v>1</v>
      </c>
      <c r="V44" s="90">
        <f>1</f>
        <v>1</v>
      </c>
      <c r="W44" s="42">
        <f t="shared" si="7"/>
        <v>1</v>
      </c>
      <c r="X44" s="42" t="str">
        <f t="shared" si="8"/>
        <v/>
      </c>
      <c r="Y44" s="90">
        <f t="shared" si="9"/>
        <v>0.9</v>
      </c>
      <c r="Z44" s="42">
        <f t="shared" si="10"/>
        <v>1</v>
      </c>
      <c r="AA44" s="42" t="str">
        <f t="shared" si="11"/>
        <v/>
      </c>
      <c r="AB44" s="90" t="str">
        <f t="shared" si="12"/>
        <v/>
      </c>
      <c r="AC44" s="90">
        <f t="shared" si="13"/>
        <v>-1</v>
      </c>
    </row>
    <row r="45" spans="1:29" x14ac:dyDescent="0.2">
      <c r="A45" t="str">
        <f>INDEX(Prioritization!$D:$D,MATCH($B45,Prioritization!$A:$A,0))</f>
        <v>INVALID</v>
      </c>
      <c r="B45" t="s">
        <v>200</v>
      </c>
      <c r="C45" t="s">
        <v>807</v>
      </c>
      <c r="D45" t="s">
        <v>29</v>
      </c>
      <c r="E45" t="str">
        <f t="shared" si="0"/>
        <v>Ntcheu District [am530wpaGvr]|15+|Female</v>
      </c>
      <c r="F45" s="14" t="str">
        <f>IFERROR(1/(1/SUM(SUMIFS(Cascade!$O:$O,Cascade!$B:$B,$B45,Cascade!$C:$C,IF($C45="&lt;15",{"=&lt;01","01-09","10-14"},{"15-24","25-34","35-49","50+"}),Cascade!$D:$D,$D45))),"")</f>
        <v/>
      </c>
      <c r="G45" s="14" t="str">
        <f>IFERROR(1/(1/SUM(SUMIFS(Cascade!$AX:$AX,Cascade!$B:$B,$B45,Cascade!$C:$C,IF($C45="&lt;15",{"=&lt;01","01-09","10-14"},{"15-24","25-34","35-49","50+"}),Cascade!$D:$D,$D45))),"")</f>
        <v/>
      </c>
      <c r="H45" s="90">
        <f>1</f>
        <v>1</v>
      </c>
      <c r="I45" s="90">
        <f>1</f>
        <v>1</v>
      </c>
      <c r="J45" s="90"/>
      <c r="K45" s="90"/>
      <c r="L45" s="42" t="str">
        <f t="shared" si="1"/>
        <v/>
      </c>
      <c r="M45" s="42" t="str">
        <f t="shared" si="2"/>
        <v/>
      </c>
      <c r="N45" s="42" t="str">
        <f t="shared" si="3"/>
        <v/>
      </c>
      <c r="O45" s="42" t="str">
        <f t="shared" si="4"/>
        <v/>
      </c>
      <c r="P45" s="14">
        <v>42</v>
      </c>
      <c r="Q45" s="14"/>
      <c r="R45" s="14">
        <v>84</v>
      </c>
      <c r="S45" s="14">
        <f t="shared" si="5"/>
        <v>126</v>
      </c>
      <c r="T45" s="90" t="str">
        <f t="shared" si="6"/>
        <v/>
      </c>
      <c r="U45" s="90">
        <f>1</f>
        <v>1</v>
      </c>
      <c r="V45" s="90">
        <f>1</f>
        <v>1</v>
      </c>
      <c r="W45" s="42" t="str">
        <f t="shared" si="7"/>
        <v/>
      </c>
      <c r="X45" s="42" t="str">
        <f t="shared" si="8"/>
        <v/>
      </c>
      <c r="Y45" s="90">
        <f t="shared" si="9"/>
        <v>0.9</v>
      </c>
      <c r="Z45" s="42" t="str">
        <f t="shared" si="10"/>
        <v/>
      </c>
      <c r="AA45" s="42" t="str">
        <f t="shared" si="11"/>
        <v/>
      </c>
      <c r="AB45" s="90" t="str">
        <f t="shared" si="12"/>
        <v/>
      </c>
      <c r="AC45" s="90">
        <f t="shared" si="13"/>
        <v>-1</v>
      </c>
    </row>
    <row r="46" spans="1:29" x14ac:dyDescent="0.2">
      <c r="A46" t="str">
        <f>INDEX(Prioritization!$D:$D,MATCH($B46,Prioritization!$A:$A,0))</f>
        <v>INVALID</v>
      </c>
      <c r="B46" t="s">
        <v>200</v>
      </c>
      <c r="C46" t="s">
        <v>807</v>
      </c>
      <c r="D46" t="s">
        <v>47</v>
      </c>
      <c r="E46" t="str">
        <f t="shared" si="0"/>
        <v>Ntcheu District [am530wpaGvr]|15+|Male</v>
      </c>
      <c r="F46" s="14" t="str">
        <f>IFERROR(1/(1/SUM(SUMIFS(Cascade!$O:$O,Cascade!$B:$B,$B46,Cascade!$C:$C,IF($C46="&lt;15",{"=&lt;01","01-09","10-14"},{"15-24","25-34","35-49","50+"}),Cascade!$D:$D,$D46))),"")</f>
        <v/>
      </c>
      <c r="G46" s="14" t="str">
        <f>IFERROR(1/(1/SUM(SUMIFS(Cascade!$AX:$AX,Cascade!$B:$B,$B46,Cascade!$C:$C,IF($C46="&lt;15",{"=&lt;01","01-09","10-14"},{"15-24","25-34","35-49","50+"}),Cascade!$D:$D,$D46))),"")</f>
        <v/>
      </c>
      <c r="H46" s="90">
        <f>1</f>
        <v>1</v>
      </c>
      <c r="I46" s="90">
        <f>1</f>
        <v>1</v>
      </c>
      <c r="J46" s="90"/>
      <c r="K46" s="90"/>
      <c r="L46" s="42" t="str">
        <f t="shared" si="1"/>
        <v/>
      </c>
      <c r="M46" s="42" t="str">
        <f t="shared" si="2"/>
        <v/>
      </c>
      <c r="N46" s="42" t="str">
        <f t="shared" si="3"/>
        <v/>
      </c>
      <c r="O46" s="42" t="str">
        <f t="shared" si="4"/>
        <v/>
      </c>
      <c r="P46" s="14">
        <v>61</v>
      </c>
      <c r="Q46" s="14"/>
      <c r="R46" s="14">
        <v>94</v>
      </c>
      <c r="S46" s="14">
        <f t="shared" si="5"/>
        <v>155</v>
      </c>
      <c r="T46" s="90" t="str">
        <f t="shared" si="6"/>
        <v/>
      </c>
      <c r="U46" s="90">
        <f>1</f>
        <v>1</v>
      </c>
      <c r="V46" s="90">
        <f>1</f>
        <v>1</v>
      </c>
      <c r="W46" s="42" t="str">
        <f t="shared" si="7"/>
        <v/>
      </c>
      <c r="X46" s="42" t="str">
        <f t="shared" si="8"/>
        <v/>
      </c>
      <c r="Y46" s="90">
        <f t="shared" si="9"/>
        <v>0.9</v>
      </c>
      <c r="Z46" s="42" t="str">
        <f t="shared" si="10"/>
        <v/>
      </c>
      <c r="AA46" s="42" t="str">
        <f t="shared" si="11"/>
        <v/>
      </c>
      <c r="AB46" s="90" t="str">
        <f t="shared" si="12"/>
        <v/>
      </c>
      <c r="AC46" s="90">
        <f t="shared" si="13"/>
        <v>-1</v>
      </c>
    </row>
    <row r="47" spans="1:29" x14ac:dyDescent="0.2">
      <c r="A47" t="str">
        <f>INDEX(Prioritization!$D:$D,MATCH($B47,Prioritization!$A:$A,0))</f>
        <v>INVALID</v>
      </c>
      <c r="B47" t="s">
        <v>201</v>
      </c>
      <c r="C47" t="s">
        <v>806</v>
      </c>
      <c r="D47" t="s">
        <v>29</v>
      </c>
      <c r="E47" t="str">
        <f t="shared" ref="E47:E78" si="14">B47&amp;"|"&amp;C47&amp;"|"&amp;D47</f>
        <v>Ntchisi District [fiRkU6gEjLz]|&lt;15|Female</v>
      </c>
      <c r="F47" s="14">
        <f>IFERROR(1/(1/SUM(SUMIFS(Cascade!$O:$O,Cascade!$B:$B,$B47,Cascade!$C:$C,IF($C47="&lt;15",{"=&lt;01","01-09","10-14"},{"15-24","25-34","35-49","50+"}),Cascade!$D:$D,$D47))),"")</f>
        <v>1</v>
      </c>
      <c r="G47" s="14" t="str">
        <f>IFERROR(1/(1/SUM(SUMIFS(Cascade!$AX:$AX,Cascade!$B:$B,$B47,Cascade!$C:$C,IF($C47="&lt;15",{"=&lt;01","01-09","10-14"},{"15-24","25-34","35-49","50+"}),Cascade!$D:$D,$D47))),"")</f>
        <v/>
      </c>
      <c r="H47" s="90">
        <f>1</f>
        <v>1</v>
      </c>
      <c r="I47" s="90">
        <f>1</f>
        <v>1</v>
      </c>
      <c r="J47" s="90"/>
      <c r="K47" s="90"/>
      <c r="L47" s="42">
        <f t="shared" ref="L47:L78" si="15">IF(SUM($F47)=0,"",ROUND($F47*$H47*$J47,0))</f>
        <v>0</v>
      </c>
      <c r="M47" s="42">
        <f t="shared" ref="M47:M78" si="16">IF(SUM($F47)=0,"",ROUND($F47*$H47,0)-$L47)</f>
        <v>1</v>
      </c>
      <c r="N47" s="42" t="str">
        <f t="shared" ref="N47:N78" si="17">IF(SUM($G47)=0,"",ROUND($G47*$I47*$K47,0))</f>
        <v/>
      </c>
      <c r="O47" s="42" t="str">
        <f t="shared" ref="O47:O78" si="18">IF(SUM($G47)=0,"",ROUND($G47*$I47,0)-$N47)</f>
        <v/>
      </c>
      <c r="P47" s="14">
        <v>1</v>
      </c>
      <c r="Q47" s="14"/>
      <c r="R47" s="14">
        <v>2</v>
      </c>
      <c r="S47" s="14">
        <f t="shared" ref="S47:S78" si="19">IFERROR(1/(1/SUM($P47,$R47,$Q47)),"")</f>
        <v>3</v>
      </c>
      <c r="T47" s="90">
        <f t="shared" ref="T47:T78" si="20">IF(SUM($F47)=0,"",MIN($S47/$F47,1))</f>
        <v>1</v>
      </c>
      <c r="U47" s="90">
        <f>1</f>
        <v>1</v>
      </c>
      <c r="V47" s="90">
        <f>1</f>
        <v>1</v>
      </c>
      <c r="W47" s="42">
        <f t="shared" ref="W47:W78" si="21">IF(SUM($M47)=0,"",IF($T47="","ENTER ELIGIBILITY RATE",IF($U47 = "","ENTER INITIATION RATE",ROUND($M47*$T47*$U47,0))))</f>
        <v>1</v>
      </c>
      <c r="X47" s="42" t="str">
        <f t="shared" ref="X47:X78" si="22">IF(SUM($O47)=0,"",IF($V47="","ENTER INITIATION RATE",ROUND($O47*$V47,0)))</f>
        <v/>
      </c>
      <c r="Y47" s="90">
        <f t="shared" ref="Y47:Y78" si="23">0.9</f>
        <v>0.9</v>
      </c>
      <c r="Z47" s="42">
        <f t="shared" ref="Z47:Z78" si="24">IF(SUM($W47)=0,"",IF($Y47="","ENTER COMPLETION RATE",ROUND($W47*$Y47,0)))</f>
        <v>1</v>
      </c>
      <c r="AA47" s="42" t="str">
        <f t="shared" ref="AA47:AA78" si="25">IF(SUM($X47)=0,"",IF($X47="","ENTER COMPLETION RATE",ROUND($X47*$Y47,0)))</f>
        <v/>
      </c>
      <c r="AB47" s="90" t="str">
        <f t="shared" ref="AB47:AB78" si="26">IF(SUM($Q47)=0,"",(SUM($Z47)-$Q47)/$Q47)</f>
        <v/>
      </c>
      <c r="AC47" s="90">
        <f t="shared" ref="AC47:AC78" si="27">IF(SUM($R47)=0,"",(SUM($AA47)-$R47)/$R47)</f>
        <v>-1</v>
      </c>
    </row>
    <row r="48" spans="1:29" x14ac:dyDescent="0.2">
      <c r="A48" t="str">
        <f>INDEX(Prioritization!$D:$D,MATCH($B48,Prioritization!$A:$A,0))</f>
        <v>INVALID</v>
      </c>
      <c r="B48" t="s">
        <v>201</v>
      </c>
      <c r="C48" t="s">
        <v>806</v>
      </c>
      <c r="D48" t="s">
        <v>47</v>
      </c>
      <c r="E48" t="str">
        <f t="shared" si="14"/>
        <v>Ntchisi District [fiRkU6gEjLz]|&lt;15|Male</v>
      </c>
      <c r="F48" s="14">
        <f>IFERROR(1/(1/SUM(SUMIFS(Cascade!$O:$O,Cascade!$B:$B,$B48,Cascade!$C:$C,IF($C48="&lt;15",{"=&lt;01","01-09","10-14"},{"15-24","25-34","35-49","50+"}),Cascade!$D:$D,$D48))),"")</f>
        <v>1</v>
      </c>
      <c r="G48" s="14" t="str">
        <f>IFERROR(1/(1/SUM(SUMIFS(Cascade!$AX:$AX,Cascade!$B:$B,$B48,Cascade!$C:$C,IF($C48="&lt;15",{"=&lt;01","01-09","10-14"},{"15-24","25-34","35-49","50+"}),Cascade!$D:$D,$D48))),"")</f>
        <v/>
      </c>
      <c r="H48" s="90">
        <f>1</f>
        <v>1</v>
      </c>
      <c r="I48" s="90">
        <f>1</f>
        <v>1</v>
      </c>
      <c r="J48" s="90"/>
      <c r="K48" s="90"/>
      <c r="L48" s="42">
        <f t="shared" si="15"/>
        <v>0</v>
      </c>
      <c r="M48" s="42">
        <f t="shared" si="16"/>
        <v>1</v>
      </c>
      <c r="N48" s="42" t="str">
        <f t="shared" si="17"/>
        <v/>
      </c>
      <c r="O48" s="42" t="str">
        <f t="shared" si="18"/>
        <v/>
      </c>
      <c r="P48" s="14">
        <v>1</v>
      </c>
      <c r="Q48" s="14"/>
      <c r="R48" s="14">
        <v>6</v>
      </c>
      <c r="S48" s="14">
        <f t="shared" si="19"/>
        <v>7</v>
      </c>
      <c r="T48" s="90">
        <f t="shared" si="20"/>
        <v>1</v>
      </c>
      <c r="U48" s="90">
        <f>1</f>
        <v>1</v>
      </c>
      <c r="V48" s="90">
        <f>1</f>
        <v>1</v>
      </c>
      <c r="W48" s="42">
        <f t="shared" si="21"/>
        <v>1</v>
      </c>
      <c r="X48" s="42" t="str">
        <f t="shared" si="22"/>
        <v/>
      </c>
      <c r="Y48" s="90">
        <f t="shared" si="23"/>
        <v>0.9</v>
      </c>
      <c r="Z48" s="42">
        <f t="shared" si="24"/>
        <v>1</v>
      </c>
      <c r="AA48" s="42" t="str">
        <f t="shared" si="25"/>
        <v/>
      </c>
      <c r="AB48" s="90" t="str">
        <f t="shared" si="26"/>
        <v/>
      </c>
      <c r="AC48" s="90">
        <f t="shared" si="27"/>
        <v>-1</v>
      </c>
    </row>
    <row r="49" spans="1:29" x14ac:dyDescent="0.2">
      <c r="A49" t="str">
        <f>INDEX(Prioritization!$D:$D,MATCH($B49,Prioritization!$A:$A,0))</f>
        <v>INVALID</v>
      </c>
      <c r="B49" t="s">
        <v>201</v>
      </c>
      <c r="C49" t="s">
        <v>807</v>
      </c>
      <c r="D49" t="s">
        <v>29</v>
      </c>
      <c r="E49" t="str">
        <f t="shared" si="14"/>
        <v>Ntchisi District [fiRkU6gEjLz]|15+|Female</v>
      </c>
      <c r="F49" s="14" t="str">
        <f>IFERROR(1/(1/SUM(SUMIFS(Cascade!$O:$O,Cascade!$B:$B,$B49,Cascade!$C:$C,IF($C49="&lt;15",{"=&lt;01","01-09","10-14"},{"15-24","25-34","35-49","50+"}),Cascade!$D:$D,$D49))),"")</f>
        <v/>
      </c>
      <c r="G49" s="14" t="str">
        <f>IFERROR(1/(1/SUM(SUMIFS(Cascade!$AX:$AX,Cascade!$B:$B,$B49,Cascade!$C:$C,IF($C49="&lt;15",{"=&lt;01","01-09","10-14"},{"15-24","25-34","35-49","50+"}),Cascade!$D:$D,$D49))),"")</f>
        <v/>
      </c>
      <c r="H49" s="90">
        <f>1</f>
        <v>1</v>
      </c>
      <c r="I49" s="90">
        <f>1</f>
        <v>1</v>
      </c>
      <c r="J49" s="90"/>
      <c r="K49" s="90"/>
      <c r="L49" s="42" t="str">
        <f t="shared" si="15"/>
        <v/>
      </c>
      <c r="M49" s="42" t="str">
        <f t="shared" si="16"/>
        <v/>
      </c>
      <c r="N49" s="42" t="str">
        <f t="shared" si="17"/>
        <v/>
      </c>
      <c r="O49" s="42" t="str">
        <f t="shared" si="18"/>
        <v/>
      </c>
      <c r="P49" s="14">
        <v>40</v>
      </c>
      <c r="Q49" s="14"/>
      <c r="R49" s="14">
        <v>80</v>
      </c>
      <c r="S49" s="14">
        <f t="shared" si="19"/>
        <v>120</v>
      </c>
      <c r="T49" s="90" t="str">
        <f t="shared" si="20"/>
        <v/>
      </c>
      <c r="U49" s="90">
        <f>1</f>
        <v>1</v>
      </c>
      <c r="V49" s="90">
        <f>1</f>
        <v>1</v>
      </c>
      <c r="W49" s="42" t="str">
        <f t="shared" si="21"/>
        <v/>
      </c>
      <c r="X49" s="42" t="str">
        <f t="shared" si="22"/>
        <v/>
      </c>
      <c r="Y49" s="90">
        <f t="shared" si="23"/>
        <v>0.9</v>
      </c>
      <c r="Z49" s="42" t="str">
        <f t="shared" si="24"/>
        <v/>
      </c>
      <c r="AA49" s="42" t="str">
        <f t="shared" si="25"/>
        <v/>
      </c>
      <c r="AB49" s="90" t="str">
        <f t="shared" si="26"/>
        <v/>
      </c>
      <c r="AC49" s="90">
        <f t="shared" si="27"/>
        <v>-1</v>
      </c>
    </row>
    <row r="50" spans="1:29" x14ac:dyDescent="0.2">
      <c r="A50" t="str">
        <f>INDEX(Prioritization!$D:$D,MATCH($B50,Prioritization!$A:$A,0))</f>
        <v>INVALID</v>
      </c>
      <c r="B50" t="s">
        <v>201</v>
      </c>
      <c r="C50" t="s">
        <v>807</v>
      </c>
      <c r="D50" t="s">
        <v>47</v>
      </c>
      <c r="E50" t="str">
        <f t="shared" si="14"/>
        <v>Ntchisi District [fiRkU6gEjLz]|15+|Male</v>
      </c>
      <c r="F50" s="14" t="str">
        <f>IFERROR(1/(1/SUM(SUMIFS(Cascade!$O:$O,Cascade!$B:$B,$B50,Cascade!$C:$C,IF($C50="&lt;15",{"=&lt;01","01-09","10-14"},{"15-24","25-34","35-49","50+"}),Cascade!$D:$D,$D50))),"")</f>
        <v/>
      </c>
      <c r="G50" s="14" t="str">
        <f>IFERROR(1/(1/SUM(SUMIFS(Cascade!$AX:$AX,Cascade!$B:$B,$B50,Cascade!$C:$C,IF($C50="&lt;15",{"=&lt;01","01-09","10-14"},{"15-24","25-34","35-49","50+"}),Cascade!$D:$D,$D50))),"")</f>
        <v/>
      </c>
      <c r="H50" s="90">
        <f>1</f>
        <v>1</v>
      </c>
      <c r="I50" s="90">
        <f>1</f>
        <v>1</v>
      </c>
      <c r="J50" s="90"/>
      <c r="K50" s="90"/>
      <c r="L50" s="42" t="str">
        <f t="shared" si="15"/>
        <v/>
      </c>
      <c r="M50" s="42" t="str">
        <f t="shared" si="16"/>
        <v/>
      </c>
      <c r="N50" s="42" t="str">
        <f t="shared" si="17"/>
        <v/>
      </c>
      <c r="O50" s="42" t="str">
        <f t="shared" si="18"/>
        <v/>
      </c>
      <c r="P50" s="14">
        <v>86</v>
      </c>
      <c r="Q50" s="14"/>
      <c r="R50" s="14">
        <v>33</v>
      </c>
      <c r="S50" s="14">
        <f t="shared" si="19"/>
        <v>119</v>
      </c>
      <c r="T50" s="90" t="str">
        <f t="shared" si="20"/>
        <v/>
      </c>
      <c r="U50" s="90">
        <f>1</f>
        <v>1</v>
      </c>
      <c r="V50" s="90">
        <f>1</f>
        <v>1</v>
      </c>
      <c r="W50" s="42" t="str">
        <f t="shared" si="21"/>
        <v/>
      </c>
      <c r="X50" s="42" t="str">
        <f t="shared" si="22"/>
        <v/>
      </c>
      <c r="Y50" s="90">
        <f t="shared" si="23"/>
        <v>0.9</v>
      </c>
      <c r="Z50" s="42" t="str">
        <f t="shared" si="24"/>
        <v/>
      </c>
      <c r="AA50" s="42" t="str">
        <f t="shared" si="25"/>
        <v/>
      </c>
      <c r="AB50" s="90" t="str">
        <f t="shared" si="26"/>
        <v/>
      </c>
      <c r="AC50" s="90">
        <f t="shared" si="27"/>
        <v>-1</v>
      </c>
    </row>
    <row r="51" spans="1:29" x14ac:dyDescent="0.2">
      <c r="A51" t="str">
        <f>INDEX(Prioritization!$D:$D,MATCH($B51,Prioritization!$A:$A,0))</f>
        <v>INVALID</v>
      </c>
      <c r="B51" t="s">
        <v>202</v>
      </c>
      <c r="C51" t="s">
        <v>806</v>
      </c>
      <c r="D51" t="s">
        <v>29</v>
      </c>
      <c r="E51" t="str">
        <f t="shared" si="14"/>
        <v>Salima District [msW2zpIN7up]|&lt;15|Female</v>
      </c>
      <c r="F51" s="14">
        <f>IFERROR(1/(1/SUM(SUMIFS(Cascade!$O:$O,Cascade!$B:$B,$B51,Cascade!$C:$C,IF($C51="&lt;15",{"=&lt;01","01-09","10-14"},{"15-24","25-34","35-49","50+"}),Cascade!$D:$D,$D51))),"")</f>
        <v>6</v>
      </c>
      <c r="G51" s="14" t="str">
        <f>IFERROR(1/(1/SUM(SUMIFS(Cascade!$AX:$AX,Cascade!$B:$B,$B51,Cascade!$C:$C,IF($C51="&lt;15",{"=&lt;01","01-09","10-14"},{"15-24","25-34","35-49","50+"}),Cascade!$D:$D,$D51))),"")</f>
        <v/>
      </c>
      <c r="H51" s="90">
        <f>1</f>
        <v>1</v>
      </c>
      <c r="I51" s="90">
        <f>1</f>
        <v>1</v>
      </c>
      <c r="J51" s="90"/>
      <c r="K51" s="90"/>
      <c r="L51" s="42">
        <f t="shared" si="15"/>
        <v>0</v>
      </c>
      <c r="M51" s="42">
        <f t="shared" si="16"/>
        <v>6</v>
      </c>
      <c r="N51" s="42" t="str">
        <f t="shared" si="17"/>
        <v/>
      </c>
      <c r="O51" s="42" t="str">
        <f t="shared" si="18"/>
        <v/>
      </c>
      <c r="P51" s="14">
        <v>1</v>
      </c>
      <c r="Q51" s="14"/>
      <c r="R51" s="14">
        <v>0</v>
      </c>
      <c r="S51" s="14">
        <f t="shared" si="19"/>
        <v>1</v>
      </c>
      <c r="T51" s="90">
        <f t="shared" si="20"/>
        <v>0.16666666666666666</v>
      </c>
      <c r="U51" s="90">
        <f>1</f>
        <v>1</v>
      </c>
      <c r="V51" s="90">
        <f>1</f>
        <v>1</v>
      </c>
      <c r="W51" s="42">
        <f t="shared" si="21"/>
        <v>1</v>
      </c>
      <c r="X51" s="42" t="str">
        <f t="shared" si="22"/>
        <v/>
      </c>
      <c r="Y51" s="90">
        <f t="shared" si="23"/>
        <v>0.9</v>
      </c>
      <c r="Z51" s="42">
        <f t="shared" si="24"/>
        <v>1</v>
      </c>
      <c r="AA51" s="42" t="str">
        <f t="shared" si="25"/>
        <v/>
      </c>
      <c r="AB51" s="90" t="str">
        <f t="shared" si="26"/>
        <v/>
      </c>
      <c r="AC51" s="90" t="str">
        <f t="shared" si="27"/>
        <v/>
      </c>
    </row>
    <row r="52" spans="1:29" x14ac:dyDescent="0.2">
      <c r="A52" t="str">
        <f>INDEX(Prioritization!$D:$D,MATCH($B52,Prioritization!$A:$A,0))</f>
        <v>INVALID</v>
      </c>
      <c r="B52" t="s">
        <v>202</v>
      </c>
      <c r="C52" t="s">
        <v>806</v>
      </c>
      <c r="D52" t="s">
        <v>47</v>
      </c>
      <c r="E52" t="str">
        <f t="shared" si="14"/>
        <v>Salima District [msW2zpIN7up]|&lt;15|Male</v>
      </c>
      <c r="F52" s="14">
        <f>IFERROR(1/(1/SUM(SUMIFS(Cascade!$O:$O,Cascade!$B:$B,$B52,Cascade!$C:$C,IF($C52="&lt;15",{"=&lt;01","01-09","10-14"},{"15-24","25-34","35-49","50+"}),Cascade!$D:$D,$D52))),"")</f>
        <v>8</v>
      </c>
      <c r="G52" s="14" t="str">
        <f>IFERROR(1/(1/SUM(SUMIFS(Cascade!$AX:$AX,Cascade!$B:$B,$B52,Cascade!$C:$C,IF($C52="&lt;15",{"=&lt;01","01-09","10-14"},{"15-24","25-34","35-49","50+"}),Cascade!$D:$D,$D52))),"")</f>
        <v/>
      </c>
      <c r="H52" s="90">
        <f>1</f>
        <v>1</v>
      </c>
      <c r="I52" s="90">
        <f>1</f>
        <v>1</v>
      </c>
      <c r="J52" s="90"/>
      <c r="K52" s="90"/>
      <c r="L52" s="42">
        <f t="shared" si="15"/>
        <v>0</v>
      </c>
      <c r="M52" s="42">
        <f t="shared" si="16"/>
        <v>8</v>
      </c>
      <c r="N52" s="42" t="str">
        <f t="shared" si="17"/>
        <v/>
      </c>
      <c r="O52" s="42" t="str">
        <f t="shared" si="18"/>
        <v/>
      </c>
      <c r="P52" s="14">
        <v>7</v>
      </c>
      <c r="Q52" s="14"/>
      <c r="R52" s="14">
        <v>1</v>
      </c>
      <c r="S52" s="14">
        <f t="shared" si="19"/>
        <v>8</v>
      </c>
      <c r="T52" s="90">
        <f t="shared" si="20"/>
        <v>1</v>
      </c>
      <c r="U52" s="90">
        <f>1</f>
        <v>1</v>
      </c>
      <c r="V52" s="90">
        <f>1</f>
        <v>1</v>
      </c>
      <c r="W52" s="42">
        <f t="shared" si="21"/>
        <v>8</v>
      </c>
      <c r="X52" s="42" t="str">
        <f t="shared" si="22"/>
        <v/>
      </c>
      <c r="Y52" s="90">
        <f t="shared" si="23"/>
        <v>0.9</v>
      </c>
      <c r="Z52" s="42">
        <f t="shared" si="24"/>
        <v>7</v>
      </c>
      <c r="AA52" s="42" t="str">
        <f t="shared" si="25"/>
        <v/>
      </c>
      <c r="AB52" s="90" t="str">
        <f t="shared" si="26"/>
        <v/>
      </c>
      <c r="AC52" s="90">
        <f t="shared" si="27"/>
        <v>-1</v>
      </c>
    </row>
    <row r="53" spans="1:29" x14ac:dyDescent="0.2">
      <c r="A53" t="str">
        <f>INDEX(Prioritization!$D:$D,MATCH($B53,Prioritization!$A:$A,0))</f>
        <v>INVALID</v>
      </c>
      <c r="B53" t="s">
        <v>202</v>
      </c>
      <c r="C53" t="s">
        <v>807</v>
      </c>
      <c r="D53" t="s">
        <v>29</v>
      </c>
      <c r="E53" t="str">
        <f t="shared" si="14"/>
        <v>Salima District [msW2zpIN7up]|15+|Female</v>
      </c>
      <c r="F53" s="14" t="str">
        <f>IFERROR(1/(1/SUM(SUMIFS(Cascade!$O:$O,Cascade!$B:$B,$B53,Cascade!$C:$C,IF($C53="&lt;15",{"=&lt;01","01-09","10-14"},{"15-24","25-34","35-49","50+"}),Cascade!$D:$D,$D53))),"")</f>
        <v/>
      </c>
      <c r="G53" s="14" t="str">
        <f>IFERROR(1/(1/SUM(SUMIFS(Cascade!$AX:$AX,Cascade!$B:$B,$B53,Cascade!$C:$C,IF($C53="&lt;15",{"=&lt;01","01-09","10-14"},{"15-24","25-34","35-49","50+"}),Cascade!$D:$D,$D53))),"")</f>
        <v/>
      </c>
      <c r="H53" s="90">
        <f>1</f>
        <v>1</v>
      </c>
      <c r="I53" s="90">
        <f>1</f>
        <v>1</v>
      </c>
      <c r="J53" s="90"/>
      <c r="K53" s="90"/>
      <c r="L53" s="42" t="str">
        <f t="shared" si="15"/>
        <v/>
      </c>
      <c r="M53" s="42" t="str">
        <f t="shared" si="16"/>
        <v/>
      </c>
      <c r="N53" s="42" t="str">
        <f t="shared" si="17"/>
        <v/>
      </c>
      <c r="O53" s="42" t="str">
        <f t="shared" si="18"/>
        <v/>
      </c>
      <c r="P53" s="14">
        <v>42</v>
      </c>
      <c r="Q53" s="14"/>
      <c r="R53" s="14">
        <v>19</v>
      </c>
      <c r="S53" s="14">
        <f t="shared" si="19"/>
        <v>61</v>
      </c>
      <c r="T53" s="90" t="str">
        <f t="shared" si="20"/>
        <v/>
      </c>
      <c r="U53" s="90">
        <f>1</f>
        <v>1</v>
      </c>
      <c r="V53" s="90">
        <f>1</f>
        <v>1</v>
      </c>
      <c r="W53" s="42" t="str">
        <f t="shared" si="21"/>
        <v/>
      </c>
      <c r="X53" s="42" t="str">
        <f t="shared" si="22"/>
        <v/>
      </c>
      <c r="Y53" s="90">
        <f t="shared" si="23"/>
        <v>0.9</v>
      </c>
      <c r="Z53" s="42" t="str">
        <f t="shared" si="24"/>
        <v/>
      </c>
      <c r="AA53" s="42" t="str">
        <f t="shared" si="25"/>
        <v/>
      </c>
      <c r="AB53" s="90" t="str">
        <f t="shared" si="26"/>
        <v/>
      </c>
      <c r="AC53" s="90">
        <f t="shared" si="27"/>
        <v>-1</v>
      </c>
    </row>
    <row r="54" spans="1:29" x14ac:dyDescent="0.2">
      <c r="A54" t="str">
        <f>INDEX(Prioritization!$D:$D,MATCH($B54,Prioritization!$A:$A,0))</f>
        <v>INVALID</v>
      </c>
      <c r="B54" t="s">
        <v>202</v>
      </c>
      <c r="C54" t="s">
        <v>807</v>
      </c>
      <c r="D54" t="s">
        <v>47</v>
      </c>
      <c r="E54" t="str">
        <f t="shared" si="14"/>
        <v>Salima District [msW2zpIN7up]|15+|Male</v>
      </c>
      <c r="F54" s="14" t="str">
        <f>IFERROR(1/(1/SUM(SUMIFS(Cascade!$O:$O,Cascade!$B:$B,$B54,Cascade!$C:$C,IF($C54="&lt;15",{"=&lt;01","01-09","10-14"},{"15-24","25-34","35-49","50+"}),Cascade!$D:$D,$D54))),"")</f>
        <v/>
      </c>
      <c r="G54" s="14" t="str">
        <f>IFERROR(1/(1/SUM(SUMIFS(Cascade!$AX:$AX,Cascade!$B:$B,$B54,Cascade!$C:$C,IF($C54="&lt;15",{"=&lt;01","01-09","10-14"},{"15-24","25-34","35-49","50+"}),Cascade!$D:$D,$D54))),"")</f>
        <v/>
      </c>
      <c r="H54" s="90">
        <f>1</f>
        <v>1</v>
      </c>
      <c r="I54" s="90">
        <f>1</f>
        <v>1</v>
      </c>
      <c r="J54" s="90"/>
      <c r="K54" s="90"/>
      <c r="L54" s="42" t="str">
        <f t="shared" si="15"/>
        <v/>
      </c>
      <c r="M54" s="42" t="str">
        <f t="shared" si="16"/>
        <v/>
      </c>
      <c r="N54" s="42" t="str">
        <f t="shared" si="17"/>
        <v/>
      </c>
      <c r="O54" s="42" t="str">
        <f t="shared" si="18"/>
        <v/>
      </c>
      <c r="P54" s="14">
        <v>76</v>
      </c>
      <c r="Q54" s="14"/>
      <c r="R54" s="14">
        <v>73</v>
      </c>
      <c r="S54" s="14">
        <f t="shared" si="19"/>
        <v>149</v>
      </c>
      <c r="T54" s="90" t="str">
        <f t="shared" si="20"/>
        <v/>
      </c>
      <c r="U54" s="90">
        <f>1</f>
        <v>1</v>
      </c>
      <c r="V54" s="90">
        <f>1</f>
        <v>1</v>
      </c>
      <c r="W54" s="42" t="str">
        <f t="shared" si="21"/>
        <v/>
      </c>
      <c r="X54" s="42" t="str">
        <f t="shared" si="22"/>
        <v/>
      </c>
      <c r="Y54" s="90">
        <f t="shared" si="23"/>
        <v>0.9</v>
      </c>
      <c r="Z54" s="42" t="str">
        <f t="shared" si="24"/>
        <v/>
      </c>
      <c r="AA54" s="42" t="str">
        <f t="shared" si="25"/>
        <v/>
      </c>
      <c r="AB54" s="90" t="str">
        <f t="shared" si="26"/>
        <v/>
      </c>
      <c r="AC54" s="90">
        <f t="shared" si="27"/>
        <v>-1</v>
      </c>
    </row>
    <row r="55" spans="1:29" x14ac:dyDescent="0.2">
      <c r="A55" t="str">
        <f>INDEX(Prioritization!$D:$D,MATCH($B55,Prioritization!$A:$A,0))</f>
        <v>1 - Scale-up: Saturation</v>
      </c>
      <c r="B55" t="s">
        <v>203</v>
      </c>
      <c r="C55" t="s">
        <v>806</v>
      </c>
      <c r="D55" t="s">
        <v>29</v>
      </c>
      <c r="E55" t="str">
        <f t="shared" si="14"/>
        <v>Chitipa District [GkIwZrXy1h2]|&lt;15|Female</v>
      </c>
      <c r="F55" s="14">
        <f>IFERROR(1/(1/SUM(SUMIFS(Cascade!$O:$O,Cascade!$B:$B,$B55,Cascade!$C:$C,IF($C55="&lt;15",{"=&lt;01","01-09","10-14"},{"15-24","25-34","35-49","50+"}),Cascade!$D:$D,$D55))),"")</f>
        <v>1</v>
      </c>
      <c r="G55" s="14" t="str">
        <f>IFERROR(1/(1/SUM(SUMIFS(Cascade!$AX:$AX,Cascade!$B:$B,$B55,Cascade!$C:$C,IF($C55="&lt;15",{"=&lt;01","01-09","10-14"},{"15-24","25-34","35-49","50+"}),Cascade!$D:$D,$D55))),"")</f>
        <v/>
      </c>
      <c r="H55" s="90">
        <f>1</f>
        <v>1</v>
      </c>
      <c r="I55" s="90">
        <f>1</f>
        <v>1</v>
      </c>
      <c r="J55" s="90"/>
      <c r="K55" s="90"/>
      <c r="L55" s="42">
        <f t="shared" si="15"/>
        <v>0</v>
      </c>
      <c r="M55" s="42">
        <f t="shared" si="16"/>
        <v>1</v>
      </c>
      <c r="N55" s="42" t="str">
        <f t="shared" si="17"/>
        <v/>
      </c>
      <c r="O55" s="42" t="str">
        <f t="shared" si="18"/>
        <v/>
      </c>
      <c r="P55" s="14">
        <v>0</v>
      </c>
      <c r="Q55" s="14"/>
      <c r="R55" s="14">
        <v>0</v>
      </c>
      <c r="S55" s="14" t="str">
        <f t="shared" si="19"/>
        <v/>
      </c>
      <c r="T55" s="90" t="e">
        <f t="shared" si="20"/>
        <v>#VALUE!</v>
      </c>
      <c r="U55" s="90">
        <f>1</f>
        <v>1</v>
      </c>
      <c r="V55" s="90">
        <f>1</f>
        <v>1</v>
      </c>
      <c r="W55" s="42" t="e">
        <f t="shared" si="21"/>
        <v>#VALUE!</v>
      </c>
      <c r="X55" s="42" t="str">
        <f t="shared" si="22"/>
        <v/>
      </c>
      <c r="Y55" s="90">
        <f t="shared" si="23"/>
        <v>0.9</v>
      </c>
      <c r="Z55" s="42" t="e">
        <f t="shared" si="24"/>
        <v>#VALUE!</v>
      </c>
      <c r="AA55" s="42" t="str">
        <f t="shared" si="25"/>
        <v/>
      </c>
      <c r="AB55" s="90" t="str">
        <f t="shared" si="26"/>
        <v/>
      </c>
      <c r="AC55" s="90" t="str">
        <f t="shared" si="27"/>
        <v/>
      </c>
    </row>
    <row r="56" spans="1:29" x14ac:dyDescent="0.2">
      <c r="A56" t="str">
        <f>INDEX(Prioritization!$D:$D,MATCH($B56,Prioritization!$A:$A,0))</f>
        <v>1 - Scale-up: Saturation</v>
      </c>
      <c r="B56" t="s">
        <v>203</v>
      </c>
      <c r="C56" t="s">
        <v>806</v>
      </c>
      <c r="D56" t="s">
        <v>47</v>
      </c>
      <c r="E56" t="str">
        <f t="shared" si="14"/>
        <v>Chitipa District [GkIwZrXy1h2]|&lt;15|Male</v>
      </c>
      <c r="F56" s="14">
        <f>IFERROR(1/(1/SUM(SUMIFS(Cascade!$O:$O,Cascade!$B:$B,$B56,Cascade!$C:$C,IF($C56="&lt;15",{"=&lt;01","01-09","10-14"},{"15-24","25-34","35-49","50+"}),Cascade!$D:$D,$D56))),"")</f>
        <v>1</v>
      </c>
      <c r="G56" s="14" t="str">
        <f>IFERROR(1/(1/SUM(SUMIFS(Cascade!$AX:$AX,Cascade!$B:$B,$B56,Cascade!$C:$C,IF($C56="&lt;15",{"=&lt;01","01-09","10-14"},{"15-24","25-34","35-49","50+"}),Cascade!$D:$D,$D56))),"")</f>
        <v/>
      </c>
      <c r="H56" s="90">
        <f>1</f>
        <v>1</v>
      </c>
      <c r="I56" s="90">
        <f>1</f>
        <v>1</v>
      </c>
      <c r="J56" s="90"/>
      <c r="K56" s="90"/>
      <c r="L56" s="42">
        <f t="shared" si="15"/>
        <v>0</v>
      </c>
      <c r="M56" s="42">
        <f t="shared" si="16"/>
        <v>1</v>
      </c>
      <c r="N56" s="42" t="str">
        <f t="shared" si="17"/>
        <v/>
      </c>
      <c r="O56" s="42" t="str">
        <f t="shared" si="18"/>
        <v/>
      </c>
      <c r="P56" s="14">
        <v>0</v>
      </c>
      <c r="Q56" s="14"/>
      <c r="R56" s="14">
        <v>0</v>
      </c>
      <c r="S56" s="14" t="str">
        <f t="shared" si="19"/>
        <v/>
      </c>
      <c r="T56" s="90" t="e">
        <f t="shared" si="20"/>
        <v>#VALUE!</v>
      </c>
      <c r="U56" s="90">
        <f>1</f>
        <v>1</v>
      </c>
      <c r="V56" s="90">
        <f>1</f>
        <v>1</v>
      </c>
      <c r="W56" s="42" t="e">
        <f t="shared" si="21"/>
        <v>#VALUE!</v>
      </c>
      <c r="X56" s="42" t="str">
        <f t="shared" si="22"/>
        <v/>
      </c>
      <c r="Y56" s="90">
        <f t="shared" si="23"/>
        <v>0.9</v>
      </c>
      <c r="Z56" s="42" t="e">
        <f t="shared" si="24"/>
        <v>#VALUE!</v>
      </c>
      <c r="AA56" s="42" t="str">
        <f t="shared" si="25"/>
        <v/>
      </c>
      <c r="AB56" s="90" t="str">
        <f t="shared" si="26"/>
        <v/>
      </c>
      <c r="AC56" s="90" t="str">
        <f t="shared" si="27"/>
        <v/>
      </c>
    </row>
    <row r="57" spans="1:29" x14ac:dyDescent="0.2">
      <c r="A57" t="str">
        <f>INDEX(Prioritization!$D:$D,MATCH($B57,Prioritization!$A:$A,0))</f>
        <v>1 - Scale-up: Saturation</v>
      </c>
      <c r="B57" t="s">
        <v>203</v>
      </c>
      <c r="C57" t="s">
        <v>807</v>
      </c>
      <c r="D57" t="s">
        <v>29</v>
      </c>
      <c r="E57" t="str">
        <f t="shared" si="14"/>
        <v>Chitipa District [GkIwZrXy1h2]|15+|Female</v>
      </c>
      <c r="F57" s="14" t="str">
        <f>IFERROR(1/(1/SUM(SUMIFS(Cascade!$O:$O,Cascade!$B:$B,$B57,Cascade!$C:$C,IF($C57="&lt;15",{"=&lt;01","01-09","10-14"},{"15-24","25-34","35-49","50+"}),Cascade!$D:$D,$D57))),"")</f>
        <v/>
      </c>
      <c r="G57" s="14" t="str">
        <f>IFERROR(1/(1/SUM(SUMIFS(Cascade!$AX:$AX,Cascade!$B:$B,$B57,Cascade!$C:$C,IF($C57="&lt;15",{"=&lt;01","01-09","10-14"},{"15-24","25-34","35-49","50+"}),Cascade!$D:$D,$D57))),"")</f>
        <v/>
      </c>
      <c r="H57" s="90">
        <f>1</f>
        <v>1</v>
      </c>
      <c r="I57" s="90">
        <f>1</f>
        <v>1</v>
      </c>
      <c r="J57" s="90"/>
      <c r="K57" s="90"/>
      <c r="L57" s="42" t="str">
        <f t="shared" si="15"/>
        <v/>
      </c>
      <c r="M57" s="42" t="str">
        <f t="shared" si="16"/>
        <v/>
      </c>
      <c r="N57" s="42" t="str">
        <f t="shared" si="17"/>
        <v/>
      </c>
      <c r="O57" s="42" t="str">
        <f t="shared" si="18"/>
        <v/>
      </c>
      <c r="P57" s="14">
        <v>14</v>
      </c>
      <c r="Q57" s="14"/>
      <c r="R57" s="14">
        <v>8</v>
      </c>
      <c r="S57" s="14">
        <f t="shared" si="19"/>
        <v>22</v>
      </c>
      <c r="T57" s="90" t="str">
        <f t="shared" si="20"/>
        <v/>
      </c>
      <c r="U57" s="90">
        <f>1</f>
        <v>1</v>
      </c>
      <c r="V57" s="90">
        <f>1</f>
        <v>1</v>
      </c>
      <c r="W57" s="42" t="str">
        <f t="shared" si="21"/>
        <v/>
      </c>
      <c r="X57" s="42" t="str">
        <f t="shared" si="22"/>
        <v/>
      </c>
      <c r="Y57" s="90">
        <f t="shared" si="23"/>
        <v>0.9</v>
      </c>
      <c r="Z57" s="42" t="str">
        <f t="shared" si="24"/>
        <v/>
      </c>
      <c r="AA57" s="42" t="str">
        <f t="shared" si="25"/>
        <v/>
      </c>
      <c r="AB57" s="90" t="str">
        <f t="shared" si="26"/>
        <v/>
      </c>
      <c r="AC57" s="90">
        <f t="shared" si="27"/>
        <v>-1</v>
      </c>
    </row>
    <row r="58" spans="1:29" x14ac:dyDescent="0.2">
      <c r="A58" t="str">
        <f>INDEX(Prioritization!$D:$D,MATCH($B58,Prioritization!$A:$A,0))</f>
        <v>1 - Scale-up: Saturation</v>
      </c>
      <c r="B58" t="s">
        <v>203</v>
      </c>
      <c r="C58" t="s">
        <v>807</v>
      </c>
      <c r="D58" t="s">
        <v>47</v>
      </c>
      <c r="E58" t="str">
        <f t="shared" si="14"/>
        <v>Chitipa District [GkIwZrXy1h2]|15+|Male</v>
      </c>
      <c r="F58" s="14" t="str">
        <f>IFERROR(1/(1/SUM(SUMIFS(Cascade!$O:$O,Cascade!$B:$B,$B58,Cascade!$C:$C,IF($C58="&lt;15",{"=&lt;01","01-09","10-14"},{"15-24","25-34","35-49","50+"}),Cascade!$D:$D,$D58))),"")</f>
        <v/>
      </c>
      <c r="G58" s="14" t="str">
        <f>IFERROR(1/(1/SUM(SUMIFS(Cascade!$AX:$AX,Cascade!$B:$B,$B58,Cascade!$C:$C,IF($C58="&lt;15",{"=&lt;01","01-09","10-14"},{"15-24","25-34","35-49","50+"}),Cascade!$D:$D,$D58))),"")</f>
        <v/>
      </c>
      <c r="H58" s="90">
        <f>1</f>
        <v>1</v>
      </c>
      <c r="I58" s="90">
        <f>1</f>
        <v>1</v>
      </c>
      <c r="J58" s="90"/>
      <c r="K58" s="90"/>
      <c r="L58" s="42" t="str">
        <f t="shared" si="15"/>
        <v/>
      </c>
      <c r="M58" s="42" t="str">
        <f t="shared" si="16"/>
        <v/>
      </c>
      <c r="N58" s="42" t="str">
        <f t="shared" si="17"/>
        <v/>
      </c>
      <c r="O58" s="42" t="str">
        <f t="shared" si="18"/>
        <v/>
      </c>
      <c r="P58" s="14">
        <v>20</v>
      </c>
      <c r="Q58" s="14"/>
      <c r="R58" s="14">
        <v>2</v>
      </c>
      <c r="S58" s="14">
        <f t="shared" si="19"/>
        <v>22</v>
      </c>
      <c r="T58" s="90" t="str">
        <f t="shared" si="20"/>
        <v/>
      </c>
      <c r="U58" s="90">
        <f>1</f>
        <v>1</v>
      </c>
      <c r="V58" s="90">
        <f>1</f>
        <v>1</v>
      </c>
      <c r="W58" s="42" t="str">
        <f t="shared" si="21"/>
        <v/>
      </c>
      <c r="X58" s="42" t="str">
        <f t="shared" si="22"/>
        <v/>
      </c>
      <c r="Y58" s="90">
        <f t="shared" si="23"/>
        <v>0.9</v>
      </c>
      <c r="Z58" s="42" t="str">
        <f t="shared" si="24"/>
        <v/>
      </c>
      <c r="AA58" s="42" t="str">
        <f t="shared" si="25"/>
        <v/>
      </c>
      <c r="AB58" s="90" t="str">
        <f t="shared" si="26"/>
        <v/>
      </c>
      <c r="AC58" s="90">
        <f t="shared" si="27"/>
        <v>-1</v>
      </c>
    </row>
    <row r="59" spans="1:29" x14ac:dyDescent="0.2">
      <c r="A59" t="str">
        <f>INDEX(Prioritization!$D:$D,MATCH($B59,Prioritization!$A:$A,0))</f>
        <v>INVALID</v>
      </c>
      <c r="B59" t="s">
        <v>204</v>
      </c>
      <c r="C59" t="s">
        <v>806</v>
      </c>
      <c r="D59" t="s">
        <v>29</v>
      </c>
      <c r="E59" t="str">
        <f t="shared" si="14"/>
        <v>Karonga District [cPtvxaZqXIH]|&lt;15|Female</v>
      </c>
      <c r="F59" s="14">
        <f>IFERROR(1/(1/SUM(SUMIFS(Cascade!$O:$O,Cascade!$B:$B,$B59,Cascade!$C:$C,IF($C59="&lt;15",{"=&lt;01","01-09","10-14"},{"15-24","25-34","35-49","50+"}),Cascade!$D:$D,$D59))),"")</f>
        <v>1</v>
      </c>
      <c r="G59" s="14" t="str">
        <f>IFERROR(1/(1/SUM(SUMIFS(Cascade!$AX:$AX,Cascade!$B:$B,$B59,Cascade!$C:$C,IF($C59="&lt;15",{"=&lt;01","01-09","10-14"},{"15-24","25-34","35-49","50+"}),Cascade!$D:$D,$D59))),"")</f>
        <v/>
      </c>
      <c r="H59" s="90">
        <f>1</f>
        <v>1</v>
      </c>
      <c r="I59" s="90">
        <f>1</f>
        <v>1</v>
      </c>
      <c r="J59" s="90"/>
      <c r="K59" s="90"/>
      <c r="L59" s="42">
        <f t="shared" si="15"/>
        <v>0</v>
      </c>
      <c r="M59" s="42">
        <f t="shared" si="16"/>
        <v>1</v>
      </c>
      <c r="N59" s="42" t="str">
        <f t="shared" si="17"/>
        <v/>
      </c>
      <c r="O59" s="42" t="str">
        <f t="shared" si="18"/>
        <v/>
      </c>
      <c r="P59" s="14">
        <v>1</v>
      </c>
      <c r="Q59" s="14"/>
      <c r="R59" s="14">
        <v>1</v>
      </c>
      <c r="S59" s="14">
        <f t="shared" si="19"/>
        <v>2</v>
      </c>
      <c r="T59" s="90">
        <f t="shared" si="20"/>
        <v>1</v>
      </c>
      <c r="U59" s="90">
        <f>1</f>
        <v>1</v>
      </c>
      <c r="V59" s="90">
        <f>1</f>
        <v>1</v>
      </c>
      <c r="W59" s="42">
        <f t="shared" si="21"/>
        <v>1</v>
      </c>
      <c r="X59" s="42" t="str">
        <f t="shared" si="22"/>
        <v/>
      </c>
      <c r="Y59" s="90">
        <f t="shared" si="23"/>
        <v>0.9</v>
      </c>
      <c r="Z59" s="42">
        <f t="shared" si="24"/>
        <v>1</v>
      </c>
      <c r="AA59" s="42" t="str">
        <f t="shared" si="25"/>
        <v/>
      </c>
      <c r="AB59" s="90" t="str">
        <f t="shared" si="26"/>
        <v/>
      </c>
      <c r="AC59" s="90">
        <f t="shared" si="27"/>
        <v>-1</v>
      </c>
    </row>
    <row r="60" spans="1:29" x14ac:dyDescent="0.2">
      <c r="A60" t="str">
        <f>INDEX(Prioritization!$D:$D,MATCH($B60,Prioritization!$A:$A,0))</f>
        <v>INVALID</v>
      </c>
      <c r="B60" t="s">
        <v>204</v>
      </c>
      <c r="C60" t="s">
        <v>806</v>
      </c>
      <c r="D60" t="s">
        <v>47</v>
      </c>
      <c r="E60" t="str">
        <f t="shared" si="14"/>
        <v>Karonga District [cPtvxaZqXIH]|&lt;15|Male</v>
      </c>
      <c r="F60" s="14" t="str">
        <f>IFERROR(1/(1/SUM(SUMIFS(Cascade!$O:$O,Cascade!$B:$B,$B60,Cascade!$C:$C,IF($C60="&lt;15",{"=&lt;01","01-09","10-14"},{"15-24","25-34","35-49","50+"}),Cascade!$D:$D,$D60))),"")</f>
        <v/>
      </c>
      <c r="G60" s="14" t="str">
        <f>IFERROR(1/(1/SUM(SUMIFS(Cascade!$AX:$AX,Cascade!$B:$B,$B60,Cascade!$C:$C,IF($C60="&lt;15",{"=&lt;01","01-09","10-14"},{"15-24","25-34","35-49","50+"}),Cascade!$D:$D,$D60))),"")</f>
        <v/>
      </c>
      <c r="H60" s="90">
        <f>1</f>
        <v>1</v>
      </c>
      <c r="I60" s="90">
        <f>1</f>
        <v>1</v>
      </c>
      <c r="J60" s="90"/>
      <c r="K60" s="90"/>
      <c r="L60" s="42" t="str">
        <f t="shared" si="15"/>
        <v/>
      </c>
      <c r="M60" s="42" t="str">
        <f t="shared" si="16"/>
        <v/>
      </c>
      <c r="N60" s="42" t="str">
        <f t="shared" si="17"/>
        <v/>
      </c>
      <c r="O60" s="42" t="str">
        <f t="shared" si="18"/>
        <v/>
      </c>
      <c r="P60" s="14">
        <v>0</v>
      </c>
      <c r="Q60" s="14"/>
      <c r="R60" s="14">
        <v>5</v>
      </c>
      <c r="S60" s="14">
        <f t="shared" si="19"/>
        <v>5</v>
      </c>
      <c r="T60" s="90" t="str">
        <f t="shared" si="20"/>
        <v/>
      </c>
      <c r="U60" s="90">
        <f>1</f>
        <v>1</v>
      </c>
      <c r="V60" s="90">
        <f>1</f>
        <v>1</v>
      </c>
      <c r="W60" s="42" t="str">
        <f t="shared" si="21"/>
        <v/>
      </c>
      <c r="X60" s="42" t="str">
        <f t="shared" si="22"/>
        <v/>
      </c>
      <c r="Y60" s="90">
        <f t="shared" si="23"/>
        <v>0.9</v>
      </c>
      <c r="Z60" s="42" t="str">
        <f t="shared" si="24"/>
        <v/>
      </c>
      <c r="AA60" s="42" t="str">
        <f t="shared" si="25"/>
        <v/>
      </c>
      <c r="AB60" s="90" t="str">
        <f t="shared" si="26"/>
        <v/>
      </c>
      <c r="AC60" s="90">
        <f t="shared" si="27"/>
        <v>-1</v>
      </c>
    </row>
    <row r="61" spans="1:29" x14ac:dyDescent="0.2">
      <c r="A61" t="str">
        <f>INDEX(Prioritization!$D:$D,MATCH($B61,Prioritization!$A:$A,0))</f>
        <v>INVALID</v>
      </c>
      <c r="B61" t="s">
        <v>204</v>
      </c>
      <c r="C61" t="s">
        <v>807</v>
      </c>
      <c r="D61" t="s">
        <v>29</v>
      </c>
      <c r="E61" t="str">
        <f t="shared" si="14"/>
        <v>Karonga District [cPtvxaZqXIH]|15+|Female</v>
      </c>
      <c r="F61" s="14" t="str">
        <f>IFERROR(1/(1/SUM(SUMIFS(Cascade!$O:$O,Cascade!$B:$B,$B61,Cascade!$C:$C,IF($C61="&lt;15",{"=&lt;01","01-09","10-14"},{"15-24","25-34","35-49","50+"}),Cascade!$D:$D,$D61))),"")</f>
        <v/>
      </c>
      <c r="G61" s="14" t="str">
        <f>IFERROR(1/(1/SUM(SUMIFS(Cascade!$AX:$AX,Cascade!$B:$B,$B61,Cascade!$C:$C,IF($C61="&lt;15",{"=&lt;01","01-09","10-14"},{"15-24","25-34","35-49","50+"}),Cascade!$D:$D,$D61))),"")</f>
        <v/>
      </c>
      <c r="H61" s="90">
        <f>1</f>
        <v>1</v>
      </c>
      <c r="I61" s="90">
        <f>1</f>
        <v>1</v>
      </c>
      <c r="J61" s="90"/>
      <c r="K61" s="90"/>
      <c r="L61" s="42" t="str">
        <f t="shared" si="15"/>
        <v/>
      </c>
      <c r="M61" s="42" t="str">
        <f t="shared" si="16"/>
        <v/>
      </c>
      <c r="N61" s="42" t="str">
        <f t="shared" si="17"/>
        <v/>
      </c>
      <c r="O61" s="42" t="str">
        <f t="shared" si="18"/>
        <v/>
      </c>
      <c r="P61" s="14">
        <v>9</v>
      </c>
      <c r="Q61" s="14"/>
      <c r="R61" s="14">
        <v>20</v>
      </c>
      <c r="S61" s="14">
        <f t="shared" si="19"/>
        <v>29</v>
      </c>
      <c r="T61" s="90" t="str">
        <f t="shared" si="20"/>
        <v/>
      </c>
      <c r="U61" s="90">
        <f>1</f>
        <v>1</v>
      </c>
      <c r="V61" s="90">
        <f>1</f>
        <v>1</v>
      </c>
      <c r="W61" s="42" t="str">
        <f t="shared" si="21"/>
        <v/>
      </c>
      <c r="X61" s="42" t="str">
        <f t="shared" si="22"/>
        <v/>
      </c>
      <c r="Y61" s="90">
        <f t="shared" si="23"/>
        <v>0.9</v>
      </c>
      <c r="Z61" s="42" t="str">
        <f t="shared" si="24"/>
        <v/>
      </c>
      <c r="AA61" s="42" t="str">
        <f t="shared" si="25"/>
        <v/>
      </c>
      <c r="AB61" s="90" t="str">
        <f t="shared" si="26"/>
        <v/>
      </c>
      <c r="AC61" s="90">
        <f t="shared" si="27"/>
        <v>-1</v>
      </c>
    </row>
    <row r="62" spans="1:29" x14ac:dyDescent="0.2">
      <c r="A62" t="str">
        <f>INDEX(Prioritization!$D:$D,MATCH($B62,Prioritization!$A:$A,0))</f>
        <v>INVALID</v>
      </c>
      <c r="B62" t="s">
        <v>204</v>
      </c>
      <c r="C62" t="s">
        <v>807</v>
      </c>
      <c r="D62" t="s">
        <v>47</v>
      </c>
      <c r="E62" t="str">
        <f t="shared" si="14"/>
        <v>Karonga District [cPtvxaZqXIH]|15+|Male</v>
      </c>
      <c r="F62" s="14" t="str">
        <f>IFERROR(1/(1/SUM(SUMIFS(Cascade!$O:$O,Cascade!$B:$B,$B62,Cascade!$C:$C,IF($C62="&lt;15",{"=&lt;01","01-09","10-14"},{"15-24","25-34","35-49","50+"}),Cascade!$D:$D,$D62))),"")</f>
        <v/>
      </c>
      <c r="G62" s="14" t="str">
        <f>IFERROR(1/(1/SUM(SUMIFS(Cascade!$AX:$AX,Cascade!$B:$B,$B62,Cascade!$C:$C,IF($C62="&lt;15",{"=&lt;01","01-09","10-14"},{"15-24","25-34","35-49","50+"}),Cascade!$D:$D,$D62))),"")</f>
        <v/>
      </c>
      <c r="H62" s="90">
        <f>1</f>
        <v>1</v>
      </c>
      <c r="I62" s="90">
        <f>1</f>
        <v>1</v>
      </c>
      <c r="J62" s="90"/>
      <c r="K62" s="90"/>
      <c r="L62" s="42" t="str">
        <f t="shared" si="15"/>
        <v/>
      </c>
      <c r="M62" s="42" t="str">
        <f t="shared" si="16"/>
        <v/>
      </c>
      <c r="N62" s="42" t="str">
        <f t="shared" si="17"/>
        <v/>
      </c>
      <c r="O62" s="42" t="str">
        <f t="shared" si="18"/>
        <v/>
      </c>
      <c r="P62" s="14">
        <v>4</v>
      </c>
      <c r="Q62" s="14"/>
      <c r="R62" s="14">
        <v>81</v>
      </c>
      <c r="S62" s="14">
        <f t="shared" si="19"/>
        <v>85</v>
      </c>
      <c r="T62" s="90" t="str">
        <f t="shared" si="20"/>
        <v/>
      </c>
      <c r="U62" s="90">
        <f>1</f>
        <v>1</v>
      </c>
      <c r="V62" s="90">
        <f>1</f>
        <v>1</v>
      </c>
      <c r="W62" s="42" t="str">
        <f t="shared" si="21"/>
        <v/>
      </c>
      <c r="X62" s="42" t="str">
        <f t="shared" si="22"/>
        <v/>
      </c>
      <c r="Y62" s="90">
        <f t="shared" si="23"/>
        <v>0.9</v>
      </c>
      <c r="Z62" s="42" t="str">
        <f t="shared" si="24"/>
        <v/>
      </c>
      <c r="AA62" s="42" t="str">
        <f t="shared" si="25"/>
        <v/>
      </c>
      <c r="AB62" s="90" t="str">
        <f t="shared" si="26"/>
        <v/>
      </c>
      <c r="AC62" s="90">
        <f t="shared" si="27"/>
        <v>-1</v>
      </c>
    </row>
    <row r="63" spans="1:29" x14ac:dyDescent="0.2">
      <c r="A63" t="str">
        <f>INDEX(Prioritization!$D:$D,MATCH($B63,Prioritization!$A:$A,0))</f>
        <v>INVALID</v>
      </c>
      <c r="B63" t="s">
        <v>205</v>
      </c>
      <c r="C63" t="s">
        <v>806</v>
      </c>
      <c r="D63" t="s">
        <v>29</v>
      </c>
      <c r="E63" t="str">
        <f t="shared" si="14"/>
        <v>Likoma District [ZCjuwgaMB9u]|&lt;15|Female</v>
      </c>
      <c r="F63" s="14" t="str">
        <f>IFERROR(1/(1/SUM(SUMIFS(Cascade!$O:$O,Cascade!$B:$B,$B63,Cascade!$C:$C,IF($C63="&lt;15",{"=&lt;01","01-09","10-14"},{"15-24","25-34","35-49","50+"}),Cascade!$D:$D,$D63))),"")</f>
        <v/>
      </c>
      <c r="G63" s="14" t="str">
        <f>IFERROR(1/(1/SUM(SUMIFS(Cascade!$AX:$AX,Cascade!$B:$B,$B63,Cascade!$C:$C,IF($C63="&lt;15",{"=&lt;01","01-09","10-14"},{"15-24","25-34","35-49","50+"}),Cascade!$D:$D,$D63))),"")</f>
        <v/>
      </c>
      <c r="H63" s="90">
        <f>1</f>
        <v>1</v>
      </c>
      <c r="I63" s="90">
        <f>1</f>
        <v>1</v>
      </c>
      <c r="J63" s="90"/>
      <c r="K63" s="90"/>
      <c r="L63" s="42" t="str">
        <f t="shared" si="15"/>
        <v/>
      </c>
      <c r="M63" s="42" t="str">
        <f t="shared" si="16"/>
        <v/>
      </c>
      <c r="N63" s="42" t="str">
        <f t="shared" si="17"/>
        <v/>
      </c>
      <c r="O63" s="42" t="str">
        <f t="shared" si="18"/>
        <v/>
      </c>
      <c r="P63" s="14"/>
      <c r="Q63" s="14"/>
      <c r="R63" s="14">
        <v>1</v>
      </c>
      <c r="S63" s="14">
        <f t="shared" si="19"/>
        <v>1</v>
      </c>
      <c r="T63" s="90" t="str">
        <f t="shared" si="20"/>
        <v/>
      </c>
      <c r="U63" s="90">
        <f>1</f>
        <v>1</v>
      </c>
      <c r="V63" s="90">
        <f>1</f>
        <v>1</v>
      </c>
      <c r="W63" s="42" t="str">
        <f t="shared" si="21"/>
        <v/>
      </c>
      <c r="X63" s="42" t="str">
        <f t="shared" si="22"/>
        <v/>
      </c>
      <c r="Y63" s="90">
        <f t="shared" si="23"/>
        <v>0.9</v>
      </c>
      <c r="Z63" s="42" t="str">
        <f t="shared" si="24"/>
        <v/>
      </c>
      <c r="AA63" s="42" t="str">
        <f t="shared" si="25"/>
        <v/>
      </c>
      <c r="AB63" s="90" t="str">
        <f t="shared" si="26"/>
        <v/>
      </c>
      <c r="AC63" s="90">
        <f t="shared" si="27"/>
        <v>-1</v>
      </c>
    </row>
    <row r="64" spans="1:29" x14ac:dyDescent="0.2">
      <c r="A64" t="str">
        <f>INDEX(Prioritization!$D:$D,MATCH($B64,Prioritization!$A:$A,0))</f>
        <v>INVALID</v>
      </c>
      <c r="B64" t="s">
        <v>205</v>
      </c>
      <c r="C64" t="s">
        <v>806</v>
      </c>
      <c r="D64" t="s">
        <v>47</v>
      </c>
      <c r="E64" t="str">
        <f t="shared" si="14"/>
        <v>Likoma District [ZCjuwgaMB9u]|&lt;15|Male</v>
      </c>
      <c r="F64" s="14" t="str">
        <f>IFERROR(1/(1/SUM(SUMIFS(Cascade!$O:$O,Cascade!$B:$B,$B64,Cascade!$C:$C,IF($C64="&lt;15",{"=&lt;01","01-09","10-14"},{"15-24","25-34","35-49","50+"}),Cascade!$D:$D,$D64))),"")</f>
        <v/>
      </c>
      <c r="G64" s="14" t="str">
        <f>IFERROR(1/(1/SUM(SUMIFS(Cascade!$AX:$AX,Cascade!$B:$B,$B64,Cascade!$C:$C,IF($C64="&lt;15",{"=&lt;01","01-09","10-14"},{"15-24","25-34","35-49","50+"}),Cascade!$D:$D,$D64))),"")</f>
        <v/>
      </c>
      <c r="H64" s="90">
        <f>1</f>
        <v>1</v>
      </c>
      <c r="I64" s="90">
        <f>1</f>
        <v>1</v>
      </c>
      <c r="J64" s="90"/>
      <c r="K64" s="90"/>
      <c r="L64" s="42" t="str">
        <f t="shared" si="15"/>
        <v/>
      </c>
      <c r="M64" s="42" t="str">
        <f t="shared" si="16"/>
        <v/>
      </c>
      <c r="N64" s="42" t="str">
        <f t="shared" si="17"/>
        <v/>
      </c>
      <c r="O64" s="42" t="str">
        <f t="shared" si="18"/>
        <v/>
      </c>
      <c r="P64" s="14"/>
      <c r="Q64" s="14"/>
      <c r="R64" s="14">
        <v>1</v>
      </c>
      <c r="S64" s="14">
        <f t="shared" si="19"/>
        <v>1</v>
      </c>
      <c r="T64" s="90" t="str">
        <f t="shared" si="20"/>
        <v/>
      </c>
      <c r="U64" s="90">
        <f>1</f>
        <v>1</v>
      </c>
      <c r="V64" s="90">
        <f>1</f>
        <v>1</v>
      </c>
      <c r="W64" s="42" t="str">
        <f t="shared" si="21"/>
        <v/>
      </c>
      <c r="X64" s="42" t="str">
        <f t="shared" si="22"/>
        <v/>
      </c>
      <c r="Y64" s="90">
        <f t="shared" si="23"/>
        <v>0.9</v>
      </c>
      <c r="Z64" s="42" t="str">
        <f t="shared" si="24"/>
        <v/>
      </c>
      <c r="AA64" s="42" t="str">
        <f t="shared" si="25"/>
        <v/>
      </c>
      <c r="AB64" s="90" t="str">
        <f t="shared" si="26"/>
        <v/>
      </c>
      <c r="AC64" s="90">
        <f t="shared" si="27"/>
        <v>-1</v>
      </c>
    </row>
    <row r="65" spans="1:29" x14ac:dyDescent="0.2">
      <c r="A65" t="str">
        <f>INDEX(Prioritization!$D:$D,MATCH($B65,Prioritization!$A:$A,0))</f>
        <v>INVALID</v>
      </c>
      <c r="B65" t="s">
        <v>205</v>
      </c>
      <c r="C65" t="s">
        <v>807</v>
      </c>
      <c r="D65" t="s">
        <v>29</v>
      </c>
      <c r="E65" t="str">
        <f t="shared" si="14"/>
        <v>Likoma District [ZCjuwgaMB9u]|15+|Female</v>
      </c>
      <c r="F65" s="14" t="str">
        <f>IFERROR(1/(1/SUM(SUMIFS(Cascade!$O:$O,Cascade!$B:$B,$B65,Cascade!$C:$C,IF($C65="&lt;15",{"=&lt;01","01-09","10-14"},{"15-24","25-34","35-49","50+"}),Cascade!$D:$D,$D65))),"")</f>
        <v/>
      </c>
      <c r="G65" s="14" t="str">
        <f>IFERROR(1/(1/SUM(SUMIFS(Cascade!$AX:$AX,Cascade!$B:$B,$B65,Cascade!$C:$C,IF($C65="&lt;15",{"=&lt;01","01-09","10-14"},{"15-24","25-34","35-49","50+"}),Cascade!$D:$D,$D65))),"")</f>
        <v/>
      </c>
      <c r="H65" s="90">
        <f>1</f>
        <v>1</v>
      </c>
      <c r="I65" s="90">
        <f>1</f>
        <v>1</v>
      </c>
      <c r="J65" s="90"/>
      <c r="K65" s="90"/>
      <c r="L65" s="42" t="str">
        <f t="shared" si="15"/>
        <v/>
      </c>
      <c r="M65" s="42" t="str">
        <f t="shared" si="16"/>
        <v/>
      </c>
      <c r="N65" s="42" t="str">
        <f t="shared" si="17"/>
        <v/>
      </c>
      <c r="O65" s="42" t="str">
        <f t="shared" si="18"/>
        <v/>
      </c>
      <c r="P65" s="14">
        <v>0</v>
      </c>
      <c r="Q65" s="14"/>
      <c r="R65" s="14">
        <v>9</v>
      </c>
      <c r="S65" s="14">
        <f t="shared" si="19"/>
        <v>9</v>
      </c>
      <c r="T65" s="90" t="str">
        <f t="shared" si="20"/>
        <v/>
      </c>
      <c r="U65" s="90">
        <f>1</f>
        <v>1</v>
      </c>
      <c r="V65" s="90">
        <f>1</f>
        <v>1</v>
      </c>
      <c r="W65" s="42" t="str">
        <f t="shared" si="21"/>
        <v/>
      </c>
      <c r="X65" s="42" t="str">
        <f t="shared" si="22"/>
        <v/>
      </c>
      <c r="Y65" s="90">
        <f t="shared" si="23"/>
        <v>0.9</v>
      </c>
      <c r="Z65" s="42" t="str">
        <f t="shared" si="24"/>
        <v/>
      </c>
      <c r="AA65" s="42" t="str">
        <f t="shared" si="25"/>
        <v/>
      </c>
      <c r="AB65" s="90" t="str">
        <f t="shared" si="26"/>
        <v/>
      </c>
      <c r="AC65" s="90">
        <f t="shared" si="27"/>
        <v>-1</v>
      </c>
    </row>
    <row r="66" spans="1:29" x14ac:dyDescent="0.2">
      <c r="A66" t="str">
        <f>INDEX(Prioritization!$D:$D,MATCH($B66,Prioritization!$A:$A,0))</f>
        <v>INVALID</v>
      </c>
      <c r="B66" t="s">
        <v>205</v>
      </c>
      <c r="C66" t="s">
        <v>807</v>
      </c>
      <c r="D66" t="s">
        <v>47</v>
      </c>
      <c r="E66" t="str">
        <f t="shared" si="14"/>
        <v>Likoma District [ZCjuwgaMB9u]|15+|Male</v>
      </c>
      <c r="F66" s="14" t="str">
        <f>IFERROR(1/(1/SUM(SUMIFS(Cascade!$O:$O,Cascade!$B:$B,$B66,Cascade!$C:$C,IF($C66="&lt;15",{"=&lt;01","01-09","10-14"},{"15-24","25-34","35-49","50+"}),Cascade!$D:$D,$D66))),"")</f>
        <v/>
      </c>
      <c r="G66" s="14" t="str">
        <f>IFERROR(1/(1/SUM(SUMIFS(Cascade!$AX:$AX,Cascade!$B:$B,$B66,Cascade!$C:$C,IF($C66="&lt;15",{"=&lt;01","01-09","10-14"},{"15-24","25-34","35-49","50+"}),Cascade!$D:$D,$D66))),"")</f>
        <v/>
      </c>
      <c r="H66" s="90">
        <f>1</f>
        <v>1</v>
      </c>
      <c r="I66" s="90">
        <f>1</f>
        <v>1</v>
      </c>
      <c r="J66" s="90"/>
      <c r="K66" s="90"/>
      <c r="L66" s="42" t="str">
        <f t="shared" si="15"/>
        <v/>
      </c>
      <c r="M66" s="42" t="str">
        <f t="shared" si="16"/>
        <v/>
      </c>
      <c r="N66" s="42" t="str">
        <f t="shared" si="17"/>
        <v/>
      </c>
      <c r="O66" s="42" t="str">
        <f t="shared" si="18"/>
        <v/>
      </c>
      <c r="P66" s="14">
        <v>1</v>
      </c>
      <c r="Q66" s="14"/>
      <c r="R66" s="14">
        <v>4</v>
      </c>
      <c r="S66" s="14">
        <f t="shared" si="19"/>
        <v>5</v>
      </c>
      <c r="T66" s="90" t="str">
        <f t="shared" si="20"/>
        <v/>
      </c>
      <c r="U66" s="90">
        <f>1</f>
        <v>1</v>
      </c>
      <c r="V66" s="90">
        <f>1</f>
        <v>1</v>
      </c>
      <c r="W66" s="42" t="str">
        <f t="shared" si="21"/>
        <v/>
      </c>
      <c r="X66" s="42" t="str">
        <f t="shared" si="22"/>
        <v/>
      </c>
      <c r="Y66" s="90">
        <f t="shared" si="23"/>
        <v>0.9</v>
      </c>
      <c r="Z66" s="42" t="str">
        <f t="shared" si="24"/>
        <v/>
      </c>
      <c r="AA66" s="42" t="str">
        <f t="shared" si="25"/>
        <v/>
      </c>
      <c r="AB66" s="90" t="str">
        <f t="shared" si="26"/>
        <v/>
      </c>
      <c r="AC66" s="90">
        <f t="shared" si="27"/>
        <v>-1</v>
      </c>
    </row>
    <row r="67" spans="1:29" x14ac:dyDescent="0.2">
      <c r="A67" t="str">
        <f>INDEX(Prioritization!$D:$D,MATCH($B67,Prioritization!$A:$A,0))</f>
        <v>1 - Scale-up: Saturation</v>
      </c>
      <c r="B67" t="s">
        <v>206</v>
      </c>
      <c r="C67" t="s">
        <v>806</v>
      </c>
      <c r="D67" t="s">
        <v>29</v>
      </c>
      <c r="E67" t="str">
        <f t="shared" si="14"/>
        <v>Mzimba District [vA4NcHxfMBq]|&lt;15|Female</v>
      </c>
      <c r="F67" s="14">
        <f>IFERROR(1/(1/SUM(SUMIFS(Cascade!$O:$O,Cascade!$B:$B,$B67,Cascade!$C:$C,IF($C67="&lt;15",{"=&lt;01","01-09","10-14"},{"15-24","25-34","35-49","50+"}),Cascade!$D:$D,$D67))),"")</f>
        <v>7</v>
      </c>
      <c r="G67" s="14" t="str">
        <f>IFERROR(1/(1/SUM(SUMIFS(Cascade!$AX:$AX,Cascade!$B:$B,$B67,Cascade!$C:$C,IF($C67="&lt;15",{"=&lt;01","01-09","10-14"},{"15-24","25-34","35-49","50+"}),Cascade!$D:$D,$D67))),"")</f>
        <v/>
      </c>
      <c r="H67" s="90">
        <f>1</f>
        <v>1</v>
      </c>
      <c r="I67" s="90">
        <f>1</f>
        <v>1</v>
      </c>
      <c r="J67" s="90"/>
      <c r="K67" s="90"/>
      <c r="L67" s="42">
        <f t="shared" si="15"/>
        <v>0</v>
      </c>
      <c r="M67" s="42">
        <f t="shared" si="16"/>
        <v>7</v>
      </c>
      <c r="N67" s="42" t="str">
        <f t="shared" si="17"/>
        <v/>
      </c>
      <c r="O67" s="42" t="str">
        <f t="shared" si="18"/>
        <v/>
      </c>
      <c r="P67" s="14">
        <v>49</v>
      </c>
      <c r="Q67" s="14"/>
      <c r="R67" s="14">
        <v>3</v>
      </c>
      <c r="S67" s="14">
        <f t="shared" si="19"/>
        <v>52</v>
      </c>
      <c r="T67" s="90">
        <f t="shared" si="20"/>
        <v>1</v>
      </c>
      <c r="U67" s="90">
        <f>1</f>
        <v>1</v>
      </c>
      <c r="V67" s="90">
        <f>1</f>
        <v>1</v>
      </c>
      <c r="W67" s="42">
        <f t="shared" si="21"/>
        <v>7</v>
      </c>
      <c r="X67" s="42" t="str">
        <f t="shared" si="22"/>
        <v/>
      </c>
      <c r="Y67" s="90">
        <f t="shared" si="23"/>
        <v>0.9</v>
      </c>
      <c r="Z67" s="42">
        <f t="shared" si="24"/>
        <v>6</v>
      </c>
      <c r="AA67" s="42" t="str">
        <f t="shared" si="25"/>
        <v/>
      </c>
      <c r="AB67" s="90" t="str">
        <f t="shared" si="26"/>
        <v/>
      </c>
      <c r="AC67" s="90">
        <f t="shared" si="27"/>
        <v>-1</v>
      </c>
    </row>
    <row r="68" spans="1:29" x14ac:dyDescent="0.2">
      <c r="A68" t="str">
        <f>INDEX(Prioritization!$D:$D,MATCH($B68,Prioritization!$A:$A,0))</f>
        <v>1 - Scale-up: Saturation</v>
      </c>
      <c r="B68" t="s">
        <v>206</v>
      </c>
      <c r="C68" t="s">
        <v>806</v>
      </c>
      <c r="D68" t="s">
        <v>47</v>
      </c>
      <c r="E68" t="str">
        <f t="shared" si="14"/>
        <v>Mzimba District [vA4NcHxfMBq]|&lt;15|Male</v>
      </c>
      <c r="F68" s="14">
        <f>IFERROR(1/(1/SUM(SUMIFS(Cascade!$O:$O,Cascade!$B:$B,$B68,Cascade!$C:$C,IF($C68="&lt;15",{"=&lt;01","01-09","10-14"},{"15-24","25-34","35-49","50+"}),Cascade!$D:$D,$D68))),"")</f>
        <v>10</v>
      </c>
      <c r="G68" s="14" t="str">
        <f>IFERROR(1/(1/SUM(SUMIFS(Cascade!$AX:$AX,Cascade!$B:$B,$B68,Cascade!$C:$C,IF($C68="&lt;15",{"=&lt;01","01-09","10-14"},{"15-24","25-34","35-49","50+"}),Cascade!$D:$D,$D68))),"")</f>
        <v/>
      </c>
      <c r="H68" s="90">
        <f>1</f>
        <v>1</v>
      </c>
      <c r="I68" s="90">
        <f>1</f>
        <v>1</v>
      </c>
      <c r="J68" s="90"/>
      <c r="K68" s="90"/>
      <c r="L68" s="42">
        <f t="shared" si="15"/>
        <v>0</v>
      </c>
      <c r="M68" s="42">
        <f t="shared" si="16"/>
        <v>10</v>
      </c>
      <c r="N68" s="42" t="str">
        <f t="shared" si="17"/>
        <v/>
      </c>
      <c r="O68" s="42" t="str">
        <f t="shared" si="18"/>
        <v/>
      </c>
      <c r="P68" s="14">
        <v>20</v>
      </c>
      <c r="Q68" s="14"/>
      <c r="R68" s="14">
        <v>8</v>
      </c>
      <c r="S68" s="14">
        <f t="shared" si="19"/>
        <v>28</v>
      </c>
      <c r="T68" s="90">
        <f t="shared" si="20"/>
        <v>1</v>
      </c>
      <c r="U68" s="90">
        <f>1</f>
        <v>1</v>
      </c>
      <c r="V68" s="90">
        <f>1</f>
        <v>1</v>
      </c>
      <c r="W68" s="42">
        <f t="shared" si="21"/>
        <v>10</v>
      </c>
      <c r="X68" s="42" t="str">
        <f t="shared" si="22"/>
        <v/>
      </c>
      <c r="Y68" s="90">
        <f t="shared" si="23"/>
        <v>0.9</v>
      </c>
      <c r="Z68" s="42">
        <f t="shared" si="24"/>
        <v>9</v>
      </c>
      <c r="AA68" s="42" t="str">
        <f t="shared" si="25"/>
        <v/>
      </c>
      <c r="AB68" s="90" t="str">
        <f t="shared" si="26"/>
        <v/>
      </c>
      <c r="AC68" s="90">
        <f t="shared" si="27"/>
        <v>-1</v>
      </c>
    </row>
    <row r="69" spans="1:29" x14ac:dyDescent="0.2">
      <c r="A69" t="str">
        <f>INDEX(Prioritization!$D:$D,MATCH($B69,Prioritization!$A:$A,0))</f>
        <v>1 - Scale-up: Saturation</v>
      </c>
      <c r="B69" t="s">
        <v>206</v>
      </c>
      <c r="C69" t="s">
        <v>807</v>
      </c>
      <c r="D69" t="s">
        <v>29</v>
      </c>
      <c r="E69" t="str">
        <f t="shared" si="14"/>
        <v>Mzimba District [vA4NcHxfMBq]|15+|Female</v>
      </c>
      <c r="F69" s="14" t="str">
        <f>IFERROR(1/(1/SUM(SUMIFS(Cascade!$O:$O,Cascade!$B:$B,$B69,Cascade!$C:$C,IF($C69="&lt;15",{"=&lt;01","01-09","10-14"},{"15-24","25-34","35-49","50+"}),Cascade!$D:$D,$D69))),"")</f>
        <v/>
      </c>
      <c r="G69" s="14" t="str">
        <f>IFERROR(1/(1/SUM(SUMIFS(Cascade!$AX:$AX,Cascade!$B:$B,$B69,Cascade!$C:$C,IF($C69="&lt;15",{"=&lt;01","01-09","10-14"},{"15-24","25-34","35-49","50+"}),Cascade!$D:$D,$D69))),"")</f>
        <v/>
      </c>
      <c r="H69" s="90">
        <f>1</f>
        <v>1</v>
      </c>
      <c r="I69" s="90">
        <f>1</f>
        <v>1</v>
      </c>
      <c r="J69" s="90"/>
      <c r="K69" s="90"/>
      <c r="L69" s="42" t="str">
        <f t="shared" si="15"/>
        <v/>
      </c>
      <c r="M69" s="42" t="str">
        <f t="shared" si="16"/>
        <v/>
      </c>
      <c r="N69" s="42" t="str">
        <f t="shared" si="17"/>
        <v/>
      </c>
      <c r="O69" s="42" t="str">
        <f t="shared" si="18"/>
        <v/>
      </c>
      <c r="P69" s="14">
        <v>155</v>
      </c>
      <c r="Q69" s="14"/>
      <c r="R69" s="14">
        <v>18</v>
      </c>
      <c r="S69" s="14">
        <f t="shared" si="19"/>
        <v>173</v>
      </c>
      <c r="T69" s="90" t="str">
        <f t="shared" si="20"/>
        <v/>
      </c>
      <c r="U69" s="90">
        <f>1</f>
        <v>1</v>
      </c>
      <c r="V69" s="90">
        <f>1</f>
        <v>1</v>
      </c>
      <c r="W69" s="42" t="str">
        <f t="shared" si="21"/>
        <v/>
      </c>
      <c r="X69" s="42" t="str">
        <f t="shared" si="22"/>
        <v/>
      </c>
      <c r="Y69" s="90">
        <f t="shared" si="23"/>
        <v>0.9</v>
      </c>
      <c r="Z69" s="42" t="str">
        <f t="shared" si="24"/>
        <v/>
      </c>
      <c r="AA69" s="42" t="str">
        <f t="shared" si="25"/>
        <v/>
      </c>
      <c r="AB69" s="90" t="str">
        <f t="shared" si="26"/>
        <v/>
      </c>
      <c r="AC69" s="90">
        <f t="shared" si="27"/>
        <v>-1</v>
      </c>
    </row>
    <row r="70" spans="1:29" x14ac:dyDescent="0.2">
      <c r="A70" t="str">
        <f>INDEX(Prioritization!$D:$D,MATCH($B70,Prioritization!$A:$A,0))</f>
        <v>1 - Scale-up: Saturation</v>
      </c>
      <c r="B70" t="s">
        <v>206</v>
      </c>
      <c r="C70" t="s">
        <v>807</v>
      </c>
      <c r="D70" t="s">
        <v>47</v>
      </c>
      <c r="E70" t="str">
        <f t="shared" si="14"/>
        <v>Mzimba District [vA4NcHxfMBq]|15+|Male</v>
      </c>
      <c r="F70" s="14" t="str">
        <f>IFERROR(1/(1/SUM(SUMIFS(Cascade!$O:$O,Cascade!$B:$B,$B70,Cascade!$C:$C,IF($C70="&lt;15",{"=&lt;01","01-09","10-14"},{"15-24","25-34","35-49","50+"}),Cascade!$D:$D,$D70))),"")</f>
        <v/>
      </c>
      <c r="G70" s="14" t="str">
        <f>IFERROR(1/(1/SUM(SUMIFS(Cascade!$AX:$AX,Cascade!$B:$B,$B70,Cascade!$C:$C,IF($C70="&lt;15",{"=&lt;01","01-09","10-14"},{"15-24","25-34","35-49","50+"}),Cascade!$D:$D,$D70))),"")</f>
        <v/>
      </c>
      <c r="H70" s="90">
        <f>1</f>
        <v>1</v>
      </c>
      <c r="I70" s="90">
        <f>1</f>
        <v>1</v>
      </c>
      <c r="J70" s="90"/>
      <c r="K70" s="90"/>
      <c r="L70" s="42" t="str">
        <f t="shared" si="15"/>
        <v/>
      </c>
      <c r="M70" s="42" t="str">
        <f t="shared" si="16"/>
        <v/>
      </c>
      <c r="N70" s="42" t="str">
        <f t="shared" si="17"/>
        <v/>
      </c>
      <c r="O70" s="42" t="str">
        <f t="shared" si="18"/>
        <v/>
      </c>
      <c r="P70" s="14">
        <v>603</v>
      </c>
      <c r="Q70" s="14"/>
      <c r="R70" s="14">
        <v>26</v>
      </c>
      <c r="S70" s="14">
        <f t="shared" si="19"/>
        <v>629</v>
      </c>
      <c r="T70" s="90" t="str">
        <f t="shared" si="20"/>
        <v/>
      </c>
      <c r="U70" s="90">
        <f>1</f>
        <v>1</v>
      </c>
      <c r="V70" s="90">
        <f>1</f>
        <v>1</v>
      </c>
      <c r="W70" s="42" t="str">
        <f t="shared" si="21"/>
        <v/>
      </c>
      <c r="X70" s="42" t="str">
        <f t="shared" si="22"/>
        <v/>
      </c>
      <c r="Y70" s="90">
        <f t="shared" si="23"/>
        <v>0.9</v>
      </c>
      <c r="Z70" s="42" t="str">
        <f t="shared" si="24"/>
        <v/>
      </c>
      <c r="AA70" s="42" t="str">
        <f t="shared" si="25"/>
        <v/>
      </c>
      <c r="AB70" s="90" t="str">
        <f t="shared" si="26"/>
        <v/>
      </c>
      <c r="AC70" s="90">
        <f t="shared" si="27"/>
        <v>-1</v>
      </c>
    </row>
    <row r="71" spans="1:29" x14ac:dyDescent="0.2">
      <c r="A71" t="str">
        <f>INDEX(Prioritization!$D:$D,MATCH($B71,Prioritization!$A:$A,0))</f>
        <v>INVALID</v>
      </c>
      <c r="B71" t="s">
        <v>207</v>
      </c>
      <c r="C71" t="s">
        <v>806</v>
      </c>
      <c r="D71" t="s">
        <v>29</v>
      </c>
      <c r="E71" t="str">
        <f t="shared" si="14"/>
        <v>Nkhata Bay District [E7zpfyBt7Tw]|&lt;15|Female</v>
      </c>
      <c r="F71" s="14" t="str">
        <f>IFERROR(1/(1/SUM(SUMIFS(Cascade!$O:$O,Cascade!$B:$B,$B71,Cascade!$C:$C,IF($C71="&lt;15",{"=&lt;01","01-09","10-14"},{"15-24","25-34","35-49","50+"}),Cascade!$D:$D,$D71))),"")</f>
        <v/>
      </c>
      <c r="G71" s="14" t="str">
        <f>IFERROR(1/(1/SUM(SUMIFS(Cascade!$AX:$AX,Cascade!$B:$B,$B71,Cascade!$C:$C,IF($C71="&lt;15",{"=&lt;01","01-09","10-14"},{"15-24","25-34","35-49","50+"}),Cascade!$D:$D,$D71))),"")</f>
        <v/>
      </c>
      <c r="H71" s="90">
        <f>1</f>
        <v>1</v>
      </c>
      <c r="I71" s="90">
        <f>1</f>
        <v>1</v>
      </c>
      <c r="J71" s="90"/>
      <c r="K71" s="90"/>
      <c r="L71" s="42" t="str">
        <f t="shared" si="15"/>
        <v/>
      </c>
      <c r="M71" s="42" t="str">
        <f t="shared" si="16"/>
        <v/>
      </c>
      <c r="N71" s="42" t="str">
        <f t="shared" si="17"/>
        <v/>
      </c>
      <c r="O71" s="42" t="str">
        <f t="shared" si="18"/>
        <v/>
      </c>
      <c r="P71" s="14">
        <v>10</v>
      </c>
      <c r="Q71" s="14"/>
      <c r="R71" s="14">
        <v>1</v>
      </c>
      <c r="S71" s="14">
        <f t="shared" si="19"/>
        <v>11</v>
      </c>
      <c r="T71" s="90" t="str">
        <f t="shared" si="20"/>
        <v/>
      </c>
      <c r="U71" s="90">
        <f>1</f>
        <v>1</v>
      </c>
      <c r="V71" s="90">
        <f>1</f>
        <v>1</v>
      </c>
      <c r="W71" s="42" t="str">
        <f t="shared" si="21"/>
        <v/>
      </c>
      <c r="X71" s="42" t="str">
        <f t="shared" si="22"/>
        <v/>
      </c>
      <c r="Y71" s="90">
        <f t="shared" si="23"/>
        <v>0.9</v>
      </c>
      <c r="Z71" s="42" t="str">
        <f t="shared" si="24"/>
        <v/>
      </c>
      <c r="AA71" s="42" t="str">
        <f t="shared" si="25"/>
        <v/>
      </c>
      <c r="AB71" s="90" t="str">
        <f t="shared" si="26"/>
        <v/>
      </c>
      <c r="AC71" s="90">
        <f t="shared" si="27"/>
        <v>-1</v>
      </c>
    </row>
    <row r="72" spans="1:29" x14ac:dyDescent="0.2">
      <c r="A72" t="str">
        <f>INDEX(Prioritization!$D:$D,MATCH($B72,Prioritization!$A:$A,0))</f>
        <v>INVALID</v>
      </c>
      <c r="B72" t="s">
        <v>207</v>
      </c>
      <c r="C72" t="s">
        <v>806</v>
      </c>
      <c r="D72" t="s">
        <v>47</v>
      </c>
      <c r="E72" t="str">
        <f t="shared" si="14"/>
        <v>Nkhata Bay District [E7zpfyBt7Tw]|&lt;15|Male</v>
      </c>
      <c r="F72" s="14" t="str">
        <f>IFERROR(1/(1/SUM(SUMIFS(Cascade!$O:$O,Cascade!$B:$B,$B72,Cascade!$C:$C,IF($C72="&lt;15",{"=&lt;01","01-09","10-14"},{"15-24","25-34","35-49","50+"}),Cascade!$D:$D,$D72))),"")</f>
        <v/>
      </c>
      <c r="G72" s="14" t="str">
        <f>IFERROR(1/(1/SUM(SUMIFS(Cascade!$AX:$AX,Cascade!$B:$B,$B72,Cascade!$C:$C,IF($C72="&lt;15",{"=&lt;01","01-09","10-14"},{"15-24","25-34","35-49","50+"}),Cascade!$D:$D,$D72))),"")</f>
        <v/>
      </c>
      <c r="H72" s="90">
        <f>1</f>
        <v>1</v>
      </c>
      <c r="I72" s="90">
        <f>1</f>
        <v>1</v>
      </c>
      <c r="J72" s="90"/>
      <c r="K72" s="90"/>
      <c r="L72" s="42" t="str">
        <f t="shared" si="15"/>
        <v/>
      </c>
      <c r="M72" s="42" t="str">
        <f t="shared" si="16"/>
        <v/>
      </c>
      <c r="N72" s="42" t="str">
        <f t="shared" si="17"/>
        <v/>
      </c>
      <c r="O72" s="42" t="str">
        <f t="shared" si="18"/>
        <v/>
      </c>
      <c r="P72" s="14">
        <v>10</v>
      </c>
      <c r="Q72" s="14"/>
      <c r="R72" s="14">
        <v>6</v>
      </c>
      <c r="S72" s="14">
        <f t="shared" si="19"/>
        <v>16</v>
      </c>
      <c r="T72" s="90" t="str">
        <f t="shared" si="20"/>
        <v/>
      </c>
      <c r="U72" s="90">
        <f>1</f>
        <v>1</v>
      </c>
      <c r="V72" s="90">
        <f>1</f>
        <v>1</v>
      </c>
      <c r="W72" s="42" t="str">
        <f t="shared" si="21"/>
        <v/>
      </c>
      <c r="X72" s="42" t="str">
        <f t="shared" si="22"/>
        <v/>
      </c>
      <c r="Y72" s="90">
        <f t="shared" si="23"/>
        <v>0.9</v>
      </c>
      <c r="Z72" s="42" t="str">
        <f t="shared" si="24"/>
        <v/>
      </c>
      <c r="AA72" s="42" t="str">
        <f t="shared" si="25"/>
        <v/>
      </c>
      <c r="AB72" s="90" t="str">
        <f t="shared" si="26"/>
        <v/>
      </c>
      <c r="AC72" s="90">
        <f t="shared" si="27"/>
        <v>-1</v>
      </c>
    </row>
    <row r="73" spans="1:29" x14ac:dyDescent="0.2">
      <c r="A73" t="str">
        <f>INDEX(Prioritization!$D:$D,MATCH($B73,Prioritization!$A:$A,0))</f>
        <v>INVALID</v>
      </c>
      <c r="B73" t="s">
        <v>207</v>
      </c>
      <c r="C73" t="s">
        <v>807</v>
      </c>
      <c r="D73" t="s">
        <v>29</v>
      </c>
      <c r="E73" t="str">
        <f t="shared" si="14"/>
        <v>Nkhata Bay District [E7zpfyBt7Tw]|15+|Female</v>
      </c>
      <c r="F73" s="14" t="str">
        <f>IFERROR(1/(1/SUM(SUMIFS(Cascade!$O:$O,Cascade!$B:$B,$B73,Cascade!$C:$C,IF($C73="&lt;15",{"=&lt;01","01-09","10-14"},{"15-24","25-34","35-49","50+"}),Cascade!$D:$D,$D73))),"")</f>
        <v/>
      </c>
      <c r="G73" s="14" t="str">
        <f>IFERROR(1/(1/SUM(SUMIFS(Cascade!$AX:$AX,Cascade!$B:$B,$B73,Cascade!$C:$C,IF($C73="&lt;15",{"=&lt;01","01-09","10-14"},{"15-24","25-34","35-49","50+"}),Cascade!$D:$D,$D73))),"")</f>
        <v/>
      </c>
      <c r="H73" s="90">
        <f>1</f>
        <v>1</v>
      </c>
      <c r="I73" s="90">
        <f>1</f>
        <v>1</v>
      </c>
      <c r="J73" s="90"/>
      <c r="K73" s="90"/>
      <c r="L73" s="42" t="str">
        <f t="shared" si="15"/>
        <v/>
      </c>
      <c r="M73" s="42" t="str">
        <f t="shared" si="16"/>
        <v/>
      </c>
      <c r="N73" s="42" t="str">
        <f t="shared" si="17"/>
        <v/>
      </c>
      <c r="O73" s="42" t="str">
        <f t="shared" si="18"/>
        <v/>
      </c>
      <c r="P73" s="14">
        <v>423</v>
      </c>
      <c r="Q73" s="14"/>
      <c r="R73" s="14">
        <v>100</v>
      </c>
      <c r="S73" s="14">
        <f t="shared" si="19"/>
        <v>523</v>
      </c>
      <c r="T73" s="90" t="str">
        <f t="shared" si="20"/>
        <v/>
      </c>
      <c r="U73" s="90">
        <f>1</f>
        <v>1</v>
      </c>
      <c r="V73" s="90">
        <f>1</f>
        <v>1</v>
      </c>
      <c r="W73" s="42" t="str">
        <f t="shared" si="21"/>
        <v/>
      </c>
      <c r="X73" s="42" t="str">
        <f t="shared" si="22"/>
        <v/>
      </c>
      <c r="Y73" s="90">
        <f t="shared" si="23"/>
        <v>0.9</v>
      </c>
      <c r="Z73" s="42" t="str">
        <f t="shared" si="24"/>
        <v/>
      </c>
      <c r="AA73" s="42" t="str">
        <f t="shared" si="25"/>
        <v/>
      </c>
      <c r="AB73" s="90" t="str">
        <f t="shared" si="26"/>
        <v/>
      </c>
      <c r="AC73" s="90">
        <f t="shared" si="27"/>
        <v>-1</v>
      </c>
    </row>
    <row r="74" spans="1:29" x14ac:dyDescent="0.2">
      <c r="A74" t="str">
        <f>INDEX(Prioritization!$D:$D,MATCH($B74,Prioritization!$A:$A,0))</f>
        <v>INVALID</v>
      </c>
      <c r="B74" t="s">
        <v>207</v>
      </c>
      <c r="C74" t="s">
        <v>807</v>
      </c>
      <c r="D74" t="s">
        <v>47</v>
      </c>
      <c r="E74" t="str">
        <f t="shared" si="14"/>
        <v>Nkhata Bay District [E7zpfyBt7Tw]|15+|Male</v>
      </c>
      <c r="F74" s="14" t="str">
        <f>IFERROR(1/(1/SUM(SUMIFS(Cascade!$O:$O,Cascade!$B:$B,$B74,Cascade!$C:$C,IF($C74="&lt;15",{"=&lt;01","01-09","10-14"},{"15-24","25-34","35-49","50+"}),Cascade!$D:$D,$D74))),"")</f>
        <v/>
      </c>
      <c r="G74" s="14" t="str">
        <f>IFERROR(1/(1/SUM(SUMIFS(Cascade!$AX:$AX,Cascade!$B:$B,$B74,Cascade!$C:$C,IF($C74="&lt;15",{"=&lt;01","01-09","10-14"},{"15-24","25-34","35-49","50+"}),Cascade!$D:$D,$D74))),"")</f>
        <v/>
      </c>
      <c r="H74" s="90">
        <f>1</f>
        <v>1</v>
      </c>
      <c r="I74" s="90">
        <f>1</f>
        <v>1</v>
      </c>
      <c r="J74" s="90"/>
      <c r="K74" s="90"/>
      <c r="L74" s="42" t="str">
        <f t="shared" si="15"/>
        <v/>
      </c>
      <c r="M74" s="42" t="str">
        <f t="shared" si="16"/>
        <v/>
      </c>
      <c r="N74" s="42" t="str">
        <f t="shared" si="17"/>
        <v/>
      </c>
      <c r="O74" s="42" t="str">
        <f t="shared" si="18"/>
        <v/>
      </c>
      <c r="P74" s="14">
        <v>88</v>
      </c>
      <c r="Q74" s="14"/>
      <c r="R74" s="14">
        <v>41</v>
      </c>
      <c r="S74" s="14">
        <f t="shared" si="19"/>
        <v>129</v>
      </c>
      <c r="T74" s="90" t="str">
        <f t="shared" si="20"/>
        <v/>
      </c>
      <c r="U74" s="90">
        <f>1</f>
        <v>1</v>
      </c>
      <c r="V74" s="90">
        <f>1</f>
        <v>1</v>
      </c>
      <c r="W74" s="42" t="str">
        <f t="shared" si="21"/>
        <v/>
      </c>
      <c r="X74" s="42" t="str">
        <f t="shared" si="22"/>
        <v/>
      </c>
      <c r="Y74" s="90">
        <f t="shared" si="23"/>
        <v>0.9</v>
      </c>
      <c r="Z74" s="42" t="str">
        <f t="shared" si="24"/>
        <v/>
      </c>
      <c r="AA74" s="42" t="str">
        <f t="shared" si="25"/>
        <v/>
      </c>
      <c r="AB74" s="90" t="str">
        <f t="shared" si="26"/>
        <v/>
      </c>
      <c r="AC74" s="90">
        <f t="shared" si="27"/>
        <v>-1</v>
      </c>
    </row>
    <row r="75" spans="1:29" x14ac:dyDescent="0.2">
      <c r="A75" t="str">
        <f>INDEX(Prioritization!$D:$D,MATCH($B75,Prioritization!$A:$A,0))</f>
        <v>INVALID</v>
      </c>
      <c r="B75" t="s">
        <v>208</v>
      </c>
      <c r="C75" t="s">
        <v>806</v>
      </c>
      <c r="D75" t="s">
        <v>29</v>
      </c>
      <c r="E75" t="str">
        <f t="shared" si="14"/>
        <v>Rumphi District [lPTyjLi4w3d]|&lt;15|Female</v>
      </c>
      <c r="F75" s="14">
        <f>IFERROR(1/(1/SUM(SUMIFS(Cascade!$O:$O,Cascade!$B:$B,$B75,Cascade!$C:$C,IF($C75="&lt;15",{"=&lt;01","01-09","10-14"},{"15-24","25-34","35-49","50+"}),Cascade!$D:$D,$D75))),"")</f>
        <v>1</v>
      </c>
      <c r="G75" s="14" t="str">
        <f>IFERROR(1/(1/SUM(SUMIFS(Cascade!$AX:$AX,Cascade!$B:$B,$B75,Cascade!$C:$C,IF($C75="&lt;15",{"=&lt;01","01-09","10-14"},{"15-24","25-34","35-49","50+"}),Cascade!$D:$D,$D75))),"")</f>
        <v/>
      </c>
      <c r="H75" s="90">
        <f>1</f>
        <v>1</v>
      </c>
      <c r="I75" s="90">
        <f>1</f>
        <v>1</v>
      </c>
      <c r="J75" s="90"/>
      <c r="K75" s="90"/>
      <c r="L75" s="42">
        <f t="shared" si="15"/>
        <v>0</v>
      </c>
      <c r="M75" s="42">
        <f t="shared" si="16"/>
        <v>1</v>
      </c>
      <c r="N75" s="42" t="str">
        <f t="shared" si="17"/>
        <v/>
      </c>
      <c r="O75" s="42" t="str">
        <f t="shared" si="18"/>
        <v/>
      </c>
      <c r="P75" s="14">
        <v>1</v>
      </c>
      <c r="Q75" s="14"/>
      <c r="R75" s="14">
        <v>10</v>
      </c>
      <c r="S75" s="14">
        <f t="shared" si="19"/>
        <v>11</v>
      </c>
      <c r="T75" s="90">
        <f t="shared" si="20"/>
        <v>1</v>
      </c>
      <c r="U75" s="90">
        <f>1</f>
        <v>1</v>
      </c>
      <c r="V75" s="90">
        <f>1</f>
        <v>1</v>
      </c>
      <c r="W75" s="42">
        <f t="shared" si="21"/>
        <v>1</v>
      </c>
      <c r="X75" s="42" t="str">
        <f t="shared" si="22"/>
        <v/>
      </c>
      <c r="Y75" s="90">
        <f t="shared" si="23"/>
        <v>0.9</v>
      </c>
      <c r="Z75" s="42">
        <f t="shared" si="24"/>
        <v>1</v>
      </c>
      <c r="AA75" s="42" t="str">
        <f t="shared" si="25"/>
        <v/>
      </c>
      <c r="AB75" s="90" t="str">
        <f t="shared" si="26"/>
        <v/>
      </c>
      <c r="AC75" s="90">
        <f t="shared" si="27"/>
        <v>-1</v>
      </c>
    </row>
    <row r="76" spans="1:29" x14ac:dyDescent="0.2">
      <c r="A76" t="str">
        <f>INDEX(Prioritization!$D:$D,MATCH($B76,Prioritization!$A:$A,0))</f>
        <v>INVALID</v>
      </c>
      <c r="B76" t="s">
        <v>208</v>
      </c>
      <c r="C76" t="s">
        <v>806</v>
      </c>
      <c r="D76" t="s">
        <v>47</v>
      </c>
      <c r="E76" t="str">
        <f t="shared" si="14"/>
        <v>Rumphi District [lPTyjLi4w3d]|&lt;15|Male</v>
      </c>
      <c r="F76" s="14">
        <f>IFERROR(1/(1/SUM(SUMIFS(Cascade!$O:$O,Cascade!$B:$B,$B76,Cascade!$C:$C,IF($C76="&lt;15",{"=&lt;01","01-09","10-14"},{"15-24","25-34","35-49","50+"}),Cascade!$D:$D,$D76))),"")</f>
        <v>1</v>
      </c>
      <c r="G76" s="14" t="str">
        <f>IFERROR(1/(1/SUM(SUMIFS(Cascade!$AX:$AX,Cascade!$B:$B,$B76,Cascade!$C:$C,IF($C76="&lt;15",{"=&lt;01","01-09","10-14"},{"15-24","25-34","35-49","50+"}),Cascade!$D:$D,$D76))),"")</f>
        <v/>
      </c>
      <c r="H76" s="90">
        <f>1</f>
        <v>1</v>
      </c>
      <c r="I76" s="90">
        <f>1</f>
        <v>1</v>
      </c>
      <c r="J76" s="90"/>
      <c r="K76" s="90"/>
      <c r="L76" s="42">
        <f t="shared" si="15"/>
        <v>0</v>
      </c>
      <c r="M76" s="42">
        <f t="shared" si="16"/>
        <v>1</v>
      </c>
      <c r="N76" s="42" t="str">
        <f t="shared" si="17"/>
        <v/>
      </c>
      <c r="O76" s="42" t="str">
        <f t="shared" si="18"/>
        <v/>
      </c>
      <c r="P76" s="14">
        <v>7</v>
      </c>
      <c r="Q76" s="14"/>
      <c r="R76" s="14">
        <v>2</v>
      </c>
      <c r="S76" s="14">
        <f t="shared" si="19"/>
        <v>9</v>
      </c>
      <c r="T76" s="90">
        <f t="shared" si="20"/>
        <v>1</v>
      </c>
      <c r="U76" s="90">
        <f>1</f>
        <v>1</v>
      </c>
      <c r="V76" s="90">
        <f>1</f>
        <v>1</v>
      </c>
      <c r="W76" s="42">
        <f t="shared" si="21"/>
        <v>1</v>
      </c>
      <c r="X76" s="42" t="str">
        <f t="shared" si="22"/>
        <v/>
      </c>
      <c r="Y76" s="90">
        <f t="shared" si="23"/>
        <v>0.9</v>
      </c>
      <c r="Z76" s="42">
        <f t="shared" si="24"/>
        <v>1</v>
      </c>
      <c r="AA76" s="42" t="str">
        <f t="shared" si="25"/>
        <v/>
      </c>
      <c r="AB76" s="90" t="str">
        <f t="shared" si="26"/>
        <v/>
      </c>
      <c r="AC76" s="90">
        <f t="shared" si="27"/>
        <v>-1</v>
      </c>
    </row>
    <row r="77" spans="1:29" x14ac:dyDescent="0.2">
      <c r="A77" t="str">
        <f>INDEX(Prioritization!$D:$D,MATCH($B77,Prioritization!$A:$A,0))</f>
        <v>INVALID</v>
      </c>
      <c r="B77" t="s">
        <v>208</v>
      </c>
      <c r="C77" t="s">
        <v>807</v>
      </c>
      <c r="D77" t="s">
        <v>29</v>
      </c>
      <c r="E77" t="str">
        <f t="shared" si="14"/>
        <v>Rumphi District [lPTyjLi4w3d]|15+|Female</v>
      </c>
      <c r="F77" s="14" t="str">
        <f>IFERROR(1/(1/SUM(SUMIFS(Cascade!$O:$O,Cascade!$B:$B,$B77,Cascade!$C:$C,IF($C77="&lt;15",{"=&lt;01","01-09","10-14"},{"15-24","25-34","35-49","50+"}),Cascade!$D:$D,$D77))),"")</f>
        <v/>
      </c>
      <c r="G77" s="14" t="str">
        <f>IFERROR(1/(1/SUM(SUMIFS(Cascade!$AX:$AX,Cascade!$B:$B,$B77,Cascade!$C:$C,IF($C77="&lt;15",{"=&lt;01","01-09","10-14"},{"15-24","25-34","35-49","50+"}),Cascade!$D:$D,$D77))),"")</f>
        <v/>
      </c>
      <c r="H77" s="90">
        <f>1</f>
        <v>1</v>
      </c>
      <c r="I77" s="90">
        <f>1</f>
        <v>1</v>
      </c>
      <c r="J77" s="90"/>
      <c r="K77" s="90"/>
      <c r="L77" s="42" t="str">
        <f t="shared" si="15"/>
        <v/>
      </c>
      <c r="M77" s="42" t="str">
        <f t="shared" si="16"/>
        <v/>
      </c>
      <c r="N77" s="42" t="str">
        <f t="shared" si="17"/>
        <v/>
      </c>
      <c r="O77" s="42" t="str">
        <f t="shared" si="18"/>
        <v/>
      </c>
      <c r="P77" s="14">
        <v>23</v>
      </c>
      <c r="Q77" s="14"/>
      <c r="R77" s="14">
        <v>3</v>
      </c>
      <c r="S77" s="14">
        <f t="shared" si="19"/>
        <v>26</v>
      </c>
      <c r="T77" s="90" t="str">
        <f t="shared" si="20"/>
        <v/>
      </c>
      <c r="U77" s="90">
        <f>1</f>
        <v>1</v>
      </c>
      <c r="V77" s="90">
        <f>1</f>
        <v>1</v>
      </c>
      <c r="W77" s="42" t="str">
        <f t="shared" si="21"/>
        <v/>
      </c>
      <c r="X77" s="42" t="str">
        <f t="shared" si="22"/>
        <v/>
      </c>
      <c r="Y77" s="90">
        <f t="shared" si="23"/>
        <v>0.9</v>
      </c>
      <c r="Z77" s="42" t="str">
        <f t="shared" si="24"/>
        <v/>
      </c>
      <c r="AA77" s="42" t="str">
        <f t="shared" si="25"/>
        <v/>
      </c>
      <c r="AB77" s="90" t="str">
        <f t="shared" si="26"/>
        <v/>
      </c>
      <c r="AC77" s="90">
        <f t="shared" si="27"/>
        <v>-1</v>
      </c>
    </row>
    <row r="78" spans="1:29" x14ac:dyDescent="0.2">
      <c r="A78" t="str">
        <f>INDEX(Prioritization!$D:$D,MATCH($B78,Prioritization!$A:$A,0))</f>
        <v>INVALID</v>
      </c>
      <c r="B78" t="s">
        <v>208</v>
      </c>
      <c r="C78" t="s">
        <v>807</v>
      </c>
      <c r="D78" t="s">
        <v>47</v>
      </c>
      <c r="E78" t="str">
        <f t="shared" si="14"/>
        <v>Rumphi District [lPTyjLi4w3d]|15+|Male</v>
      </c>
      <c r="F78" s="14" t="str">
        <f>IFERROR(1/(1/SUM(SUMIFS(Cascade!$O:$O,Cascade!$B:$B,$B78,Cascade!$C:$C,IF($C78="&lt;15",{"=&lt;01","01-09","10-14"},{"15-24","25-34","35-49","50+"}),Cascade!$D:$D,$D78))),"")</f>
        <v/>
      </c>
      <c r="G78" s="14" t="str">
        <f>IFERROR(1/(1/SUM(SUMIFS(Cascade!$AX:$AX,Cascade!$B:$B,$B78,Cascade!$C:$C,IF($C78="&lt;15",{"=&lt;01","01-09","10-14"},{"15-24","25-34","35-49","50+"}),Cascade!$D:$D,$D78))),"")</f>
        <v/>
      </c>
      <c r="H78" s="90">
        <f>1</f>
        <v>1</v>
      </c>
      <c r="I78" s="90">
        <f>1</f>
        <v>1</v>
      </c>
      <c r="J78" s="90"/>
      <c r="K78" s="90"/>
      <c r="L78" s="42" t="str">
        <f t="shared" si="15"/>
        <v/>
      </c>
      <c r="M78" s="42" t="str">
        <f t="shared" si="16"/>
        <v/>
      </c>
      <c r="N78" s="42" t="str">
        <f t="shared" si="17"/>
        <v/>
      </c>
      <c r="O78" s="42" t="str">
        <f t="shared" si="18"/>
        <v/>
      </c>
      <c r="P78" s="14">
        <v>26</v>
      </c>
      <c r="Q78" s="14"/>
      <c r="R78" s="14">
        <v>4</v>
      </c>
      <c r="S78" s="14">
        <f t="shared" si="19"/>
        <v>30</v>
      </c>
      <c r="T78" s="90" t="str">
        <f t="shared" si="20"/>
        <v/>
      </c>
      <c r="U78" s="90">
        <f>1</f>
        <v>1</v>
      </c>
      <c r="V78" s="90">
        <f>1</f>
        <v>1</v>
      </c>
      <c r="W78" s="42" t="str">
        <f t="shared" si="21"/>
        <v/>
      </c>
      <c r="X78" s="42" t="str">
        <f t="shared" si="22"/>
        <v/>
      </c>
      <c r="Y78" s="90">
        <f t="shared" si="23"/>
        <v>0.9</v>
      </c>
      <c r="Z78" s="42" t="str">
        <f t="shared" si="24"/>
        <v/>
      </c>
      <c r="AA78" s="42" t="str">
        <f t="shared" si="25"/>
        <v/>
      </c>
      <c r="AB78" s="90" t="str">
        <f t="shared" si="26"/>
        <v/>
      </c>
      <c r="AC78" s="90">
        <f t="shared" si="27"/>
        <v>-1</v>
      </c>
    </row>
    <row r="79" spans="1:29" x14ac:dyDescent="0.2">
      <c r="A79" t="str">
        <f>INDEX(Prioritization!$D:$D,MATCH($B79,Prioritization!$A:$A,0))</f>
        <v>1 - Scale-up: Saturation</v>
      </c>
      <c r="B79" t="s">
        <v>209</v>
      </c>
      <c r="C79" t="s">
        <v>806</v>
      </c>
      <c r="D79" t="s">
        <v>29</v>
      </c>
      <c r="E79" t="str">
        <f t="shared" ref="E79:E110" si="28">B79&amp;"|"&amp;C79&amp;"|"&amp;D79</f>
        <v>Balaka District [ir8wuHHzoSs]|&lt;15|Female</v>
      </c>
      <c r="F79" s="14">
        <f>IFERROR(1/(1/SUM(SUMIFS(Cascade!$O:$O,Cascade!$B:$B,$B79,Cascade!$C:$C,IF($C79="&lt;15",{"=&lt;01","01-09","10-14"},{"15-24","25-34","35-49","50+"}),Cascade!$D:$D,$D79))),"")</f>
        <v>1</v>
      </c>
      <c r="G79" s="14">
        <f>IFERROR(1/(1/SUM(SUMIFS(Cascade!$AX:$AX,Cascade!$B:$B,$B79,Cascade!$C:$C,IF($C79="&lt;15",{"=&lt;01","01-09","10-14"},{"15-24","25-34","35-49","50+"}),Cascade!$D:$D,$D79))),"")</f>
        <v>1</v>
      </c>
      <c r="H79" s="90">
        <f>1</f>
        <v>1</v>
      </c>
      <c r="I79" s="90">
        <f>1</f>
        <v>1</v>
      </c>
      <c r="J79" s="90"/>
      <c r="K79" s="90"/>
      <c r="L79" s="42">
        <f t="shared" ref="L79:L110" si="29">IF(SUM($F79)=0,"",ROUND($F79*$H79*$J79,0))</f>
        <v>0</v>
      </c>
      <c r="M79" s="42">
        <f t="shared" ref="M79:M110" si="30">IF(SUM($F79)=0,"",ROUND($F79*$H79,0)-$L79)</f>
        <v>1</v>
      </c>
      <c r="N79" s="42">
        <f t="shared" ref="N79:N110" si="31">IF(SUM($G79)=0,"",ROUND($G79*$I79*$K79,0))</f>
        <v>0</v>
      </c>
      <c r="O79" s="42">
        <f t="shared" ref="O79:O110" si="32">IF(SUM($G79)=0,"",ROUND($G79*$I79,0)-$N79)</f>
        <v>1</v>
      </c>
      <c r="P79" s="14">
        <v>8</v>
      </c>
      <c r="Q79" s="14"/>
      <c r="R79" s="14">
        <v>9</v>
      </c>
      <c r="S79" s="14">
        <f t="shared" ref="S79:S110" si="33">IFERROR(1/(1/SUM($P79,$R79,$Q79)),"")</f>
        <v>17</v>
      </c>
      <c r="T79" s="90">
        <f t="shared" ref="T79:T110" si="34">IF(SUM($F79)=0,"",MIN($S79/$F79,1))</f>
        <v>1</v>
      </c>
      <c r="U79" s="90">
        <f>1</f>
        <v>1</v>
      </c>
      <c r="V79" s="90">
        <f>1</f>
        <v>1</v>
      </c>
      <c r="W79" s="42">
        <f t="shared" ref="W79:W110" si="35">IF(SUM($M79)=0,"",IF($T79="","ENTER ELIGIBILITY RATE",IF($U79 = "","ENTER INITIATION RATE",ROUND($M79*$T79*$U79,0))))</f>
        <v>1</v>
      </c>
      <c r="X79" s="42">
        <f t="shared" ref="X79:X110" si="36">IF(SUM($O79)=0,"",IF($V79="","ENTER INITIATION RATE",ROUND($O79*$V79,0)))</f>
        <v>1</v>
      </c>
      <c r="Y79" s="90">
        <f t="shared" ref="Y79:Y110" si="37">0.9</f>
        <v>0.9</v>
      </c>
      <c r="Z79" s="42">
        <f t="shared" ref="Z79:Z110" si="38">IF(SUM($W79)=0,"",IF($Y79="","ENTER COMPLETION RATE",ROUND($W79*$Y79,0)))</f>
        <v>1</v>
      </c>
      <c r="AA79" s="42">
        <f t="shared" ref="AA79:AA110" si="39">IF(SUM($X79)=0,"",IF($X79="","ENTER COMPLETION RATE",ROUND($X79*$Y79,0)))</f>
        <v>1</v>
      </c>
      <c r="AB79" s="90" t="str">
        <f t="shared" ref="AB79:AB110" si="40">IF(SUM($Q79)=0,"",(SUM($Z79)-$Q79)/$Q79)</f>
        <v/>
      </c>
      <c r="AC79" s="90">
        <f t="shared" ref="AC79:AC110" si="41">IF(SUM($R79)=0,"",(SUM($AA79)-$R79)/$R79)</f>
        <v>-0.88888888888888884</v>
      </c>
    </row>
    <row r="80" spans="1:29" x14ac:dyDescent="0.2">
      <c r="A80" t="str">
        <f>INDEX(Prioritization!$D:$D,MATCH($B80,Prioritization!$A:$A,0))</f>
        <v>1 - Scale-up: Saturation</v>
      </c>
      <c r="B80" t="s">
        <v>209</v>
      </c>
      <c r="C80" t="s">
        <v>806</v>
      </c>
      <c r="D80" t="s">
        <v>47</v>
      </c>
      <c r="E80" t="str">
        <f t="shared" si="28"/>
        <v>Balaka District [ir8wuHHzoSs]|&lt;15|Male</v>
      </c>
      <c r="F80" s="14">
        <f>IFERROR(1/(1/SUM(SUMIFS(Cascade!$O:$O,Cascade!$B:$B,$B80,Cascade!$C:$C,IF($C80="&lt;15",{"=&lt;01","01-09","10-14"},{"15-24","25-34","35-49","50+"}),Cascade!$D:$D,$D80))),"")</f>
        <v>1</v>
      </c>
      <c r="G80" s="14">
        <f>IFERROR(1/(1/SUM(SUMIFS(Cascade!$AX:$AX,Cascade!$B:$B,$B80,Cascade!$C:$C,IF($C80="&lt;15",{"=&lt;01","01-09","10-14"},{"15-24","25-34","35-49","50+"}),Cascade!$D:$D,$D80))),"")</f>
        <v>1</v>
      </c>
      <c r="H80" s="90">
        <f>1</f>
        <v>1</v>
      </c>
      <c r="I80" s="90">
        <f>1</f>
        <v>1</v>
      </c>
      <c r="J80" s="90"/>
      <c r="K80" s="90"/>
      <c r="L80" s="42">
        <f t="shared" si="29"/>
        <v>0</v>
      </c>
      <c r="M80" s="42">
        <f t="shared" si="30"/>
        <v>1</v>
      </c>
      <c r="N80" s="42">
        <f t="shared" si="31"/>
        <v>0</v>
      </c>
      <c r="O80" s="42">
        <f t="shared" si="32"/>
        <v>1</v>
      </c>
      <c r="P80" s="14">
        <v>6</v>
      </c>
      <c r="Q80" s="14"/>
      <c r="R80" s="14">
        <v>0</v>
      </c>
      <c r="S80" s="14">
        <f t="shared" si="33"/>
        <v>6</v>
      </c>
      <c r="T80" s="90">
        <f t="shared" si="34"/>
        <v>1</v>
      </c>
      <c r="U80" s="90">
        <f>1</f>
        <v>1</v>
      </c>
      <c r="V80" s="90">
        <f>1</f>
        <v>1</v>
      </c>
      <c r="W80" s="42">
        <f t="shared" si="35"/>
        <v>1</v>
      </c>
      <c r="X80" s="42">
        <f t="shared" si="36"/>
        <v>1</v>
      </c>
      <c r="Y80" s="90">
        <f t="shared" si="37"/>
        <v>0.9</v>
      </c>
      <c r="Z80" s="42">
        <f t="shared" si="38"/>
        <v>1</v>
      </c>
      <c r="AA80" s="42">
        <f t="shared" si="39"/>
        <v>1</v>
      </c>
      <c r="AB80" s="90" t="str">
        <f t="shared" si="40"/>
        <v/>
      </c>
      <c r="AC80" s="90" t="str">
        <f t="shared" si="41"/>
        <v/>
      </c>
    </row>
    <row r="81" spans="1:29" x14ac:dyDescent="0.2">
      <c r="A81" t="str">
        <f>INDEX(Prioritization!$D:$D,MATCH($B81,Prioritization!$A:$A,0))</f>
        <v>1 - Scale-up: Saturation</v>
      </c>
      <c r="B81" t="s">
        <v>209</v>
      </c>
      <c r="C81" t="s">
        <v>807</v>
      </c>
      <c r="D81" t="s">
        <v>29</v>
      </c>
      <c r="E81" t="str">
        <f t="shared" si="28"/>
        <v>Balaka District [ir8wuHHzoSs]|15+|Female</v>
      </c>
      <c r="F81" s="14" t="str">
        <f>IFERROR(1/(1/SUM(SUMIFS(Cascade!$O:$O,Cascade!$B:$B,$B81,Cascade!$C:$C,IF($C81="&lt;15",{"=&lt;01","01-09","10-14"},{"15-24","25-34","35-49","50+"}),Cascade!$D:$D,$D81))),"")</f>
        <v/>
      </c>
      <c r="G81" s="14" t="str">
        <f>IFERROR(1/(1/SUM(SUMIFS(Cascade!$AX:$AX,Cascade!$B:$B,$B81,Cascade!$C:$C,IF($C81="&lt;15",{"=&lt;01","01-09","10-14"},{"15-24","25-34","35-49","50+"}),Cascade!$D:$D,$D81))),"")</f>
        <v/>
      </c>
      <c r="H81" s="90">
        <f>1</f>
        <v>1</v>
      </c>
      <c r="I81" s="90">
        <f>1</f>
        <v>1</v>
      </c>
      <c r="J81" s="90"/>
      <c r="K81" s="90"/>
      <c r="L81" s="42" t="str">
        <f t="shared" si="29"/>
        <v/>
      </c>
      <c r="M81" s="42" t="str">
        <f t="shared" si="30"/>
        <v/>
      </c>
      <c r="N81" s="42" t="str">
        <f t="shared" si="31"/>
        <v/>
      </c>
      <c r="O81" s="42" t="str">
        <f t="shared" si="32"/>
        <v/>
      </c>
      <c r="P81" s="14">
        <v>56</v>
      </c>
      <c r="Q81" s="14"/>
      <c r="R81" s="14">
        <v>20</v>
      </c>
      <c r="S81" s="14">
        <f t="shared" si="33"/>
        <v>76</v>
      </c>
      <c r="T81" s="90" t="str">
        <f t="shared" si="34"/>
        <v/>
      </c>
      <c r="U81" s="90">
        <f>1</f>
        <v>1</v>
      </c>
      <c r="V81" s="90">
        <f>1</f>
        <v>1</v>
      </c>
      <c r="W81" s="42" t="str">
        <f t="shared" si="35"/>
        <v/>
      </c>
      <c r="X81" s="42" t="str">
        <f t="shared" si="36"/>
        <v/>
      </c>
      <c r="Y81" s="90">
        <f t="shared" si="37"/>
        <v>0.9</v>
      </c>
      <c r="Z81" s="42" t="str">
        <f t="shared" si="38"/>
        <v/>
      </c>
      <c r="AA81" s="42" t="str">
        <f t="shared" si="39"/>
        <v/>
      </c>
      <c r="AB81" s="90" t="str">
        <f t="shared" si="40"/>
        <v/>
      </c>
      <c r="AC81" s="90">
        <f t="shared" si="41"/>
        <v>-1</v>
      </c>
    </row>
    <row r="82" spans="1:29" x14ac:dyDescent="0.2">
      <c r="A82" t="str">
        <f>INDEX(Prioritization!$D:$D,MATCH($B82,Prioritization!$A:$A,0))</f>
        <v>1 - Scale-up: Saturation</v>
      </c>
      <c r="B82" t="s">
        <v>209</v>
      </c>
      <c r="C82" t="s">
        <v>807</v>
      </c>
      <c r="D82" t="s">
        <v>47</v>
      </c>
      <c r="E82" t="str">
        <f t="shared" si="28"/>
        <v>Balaka District [ir8wuHHzoSs]|15+|Male</v>
      </c>
      <c r="F82" s="14" t="str">
        <f>IFERROR(1/(1/SUM(SUMIFS(Cascade!$O:$O,Cascade!$B:$B,$B82,Cascade!$C:$C,IF($C82="&lt;15",{"=&lt;01","01-09","10-14"},{"15-24","25-34","35-49","50+"}),Cascade!$D:$D,$D82))),"")</f>
        <v/>
      </c>
      <c r="G82" s="14" t="str">
        <f>IFERROR(1/(1/SUM(SUMIFS(Cascade!$AX:$AX,Cascade!$B:$B,$B82,Cascade!$C:$C,IF($C82="&lt;15",{"=&lt;01","01-09","10-14"},{"15-24","25-34","35-49","50+"}),Cascade!$D:$D,$D82))),"")</f>
        <v/>
      </c>
      <c r="H82" s="90">
        <f>1</f>
        <v>1</v>
      </c>
      <c r="I82" s="90">
        <f>1</f>
        <v>1</v>
      </c>
      <c r="J82" s="90"/>
      <c r="K82" s="90"/>
      <c r="L82" s="42" t="str">
        <f t="shared" si="29"/>
        <v/>
      </c>
      <c r="M82" s="42" t="str">
        <f t="shared" si="30"/>
        <v/>
      </c>
      <c r="N82" s="42" t="str">
        <f t="shared" si="31"/>
        <v/>
      </c>
      <c r="O82" s="42" t="str">
        <f t="shared" si="32"/>
        <v/>
      </c>
      <c r="P82" s="14">
        <v>70</v>
      </c>
      <c r="Q82" s="14"/>
      <c r="R82" s="14">
        <v>81</v>
      </c>
      <c r="S82" s="14">
        <f t="shared" si="33"/>
        <v>151</v>
      </c>
      <c r="T82" s="90" t="str">
        <f t="shared" si="34"/>
        <v/>
      </c>
      <c r="U82" s="90">
        <f>1</f>
        <v>1</v>
      </c>
      <c r="V82" s="90">
        <f>1</f>
        <v>1</v>
      </c>
      <c r="W82" s="42" t="str">
        <f t="shared" si="35"/>
        <v/>
      </c>
      <c r="X82" s="42" t="str">
        <f t="shared" si="36"/>
        <v/>
      </c>
      <c r="Y82" s="90">
        <f t="shared" si="37"/>
        <v>0.9</v>
      </c>
      <c r="Z82" s="42" t="str">
        <f t="shared" si="38"/>
        <v/>
      </c>
      <c r="AA82" s="42" t="str">
        <f t="shared" si="39"/>
        <v/>
      </c>
      <c r="AB82" s="90" t="str">
        <f t="shared" si="40"/>
        <v/>
      </c>
      <c r="AC82" s="90">
        <f t="shared" si="41"/>
        <v>-1</v>
      </c>
    </row>
    <row r="83" spans="1:29" x14ac:dyDescent="0.2">
      <c r="A83" t="str">
        <f>INDEX(Prioritization!$D:$D,MATCH($B83,Prioritization!$A:$A,0))</f>
        <v>1 - Scale-up: Saturation</v>
      </c>
      <c r="B83" t="s">
        <v>210</v>
      </c>
      <c r="C83" t="s">
        <v>806</v>
      </c>
      <c r="D83" t="s">
        <v>29</v>
      </c>
      <c r="E83" t="str">
        <f t="shared" si="28"/>
        <v>Blantyre District [mxqa3CDFmIT]|&lt;15|Female</v>
      </c>
      <c r="F83" s="14">
        <f>IFERROR(1/(1/SUM(SUMIFS(Cascade!$O:$O,Cascade!$B:$B,$B83,Cascade!$C:$C,IF($C83="&lt;15",{"=&lt;01","01-09","10-14"},{"15-24","25-34","35-49","50+"}),Cascade!$D:$D,$D83))),"")</f>
        <v>5</v>
      </c>
      <c r="G83" s="14">
        <f>IFERROR(1/(1/SUM(SUMIFS(Cascade!$AX:$AX,Cascade!$B:$B,$B83,Cascade!$C:$C,IF($C83="&lt;15",{"=&lt;01","01-09","10-14"},{"15-24","25-34","35-49","50+"}),Cascade!$D:$D,$D83))),"")</f>
        <v>1</v>
      </c>
      <c r="H83" s="90">
        <f>1</f>
        <v>1</v>
      </c>
      <c r="I83" s="90">
        <f>1</f>
        <v>1</v>
      </c>
      <c r="J83" s="90"/>
      <c r="K83" s="90"/>
      <c r="L83" s="42">
        <f t="shared" si="29"/>
        <v>0</v>
      </c>
      <c r="M83" s="42">
        <f t="shared" si="30"/>
        <v>5</v>
      </c>
      <c r="N83" s="42">
        <f t="shared" si="31"/>
        <v>0</v>
      </c>
      <c r="O83" s="42">
        <f t="shared" si="32"/>
        <v>1</v>
      </c>
      <c r="P83" s="14">
        <v>912</v>
      </c>
      <c r="Q83" s="14"/>
      <c r="R83" s="14">
        <v>94</v>
      </c>
      <c r="S83" s="14">
        <f t="shared" si="33"/>
        <v>1006.0000000000001</v>
      </c>
      <c r="T83" s="90">
        <f t="shared" si="34"/>
        <v>1</v>
      </c>
      <c r="U83" s="90">
        <f>1</f>
        <v>1</v>
      </c>
      <c r="V83" s="90">
        <f>1</f>
        <v>1</v>
      </c>
      <c r="W83" s="42">
        <f t="shared" si="35"/>
        <v>5</v>
      </c>
      <c r="X83" s="42">
        <f t="shared" si="36"/>
        <v>1</v>
      </c>
      <c r="Y83" s="90">
        <f t="shared" si="37"/>
        <v>0.9</v>
      </c>
      <c r="Z83" s="42">
        <f t="shared" si="38"/>
        <v>5</v>
      </c>
      <c r="AA83" s="42">
        <f t="shared" si="39"/>
        <v>1</v>
      </c>
      <c r="AB83" s="90" t="str">
        <f t="shared" si="40"/>
        <v/>
      </c>
      <c r="AC83" s="90">
        <f t="shared" si="41"/>
        <v>-0.98936170212765961</v>
      </c>
    </row>
    <row r="84" spans="1:29" x14ac:dyDescent="0.2">
      <c r="A84" t="str">
        <f>INDEX(Prioritization!$D:$D,MATCH($B84,Prioritization!$A:$A,0))</f>
        <v>1 - Scale-up: Saturation</v>
      </c>
      <c r="B84" t="s">
        <v>210</v>
      </c>
      <c r="C84" t="s">
        <v>806</v>
      </c>
      <c r="D84" t="s">
        <v>47</v>
      </c>
      <c r="E84" t="str">
        <f t="shared" si="28"/>
        <v>Blantyre District [mxqa3CDFmIT]|&lt;15|Male</v>
      </c>
      <c r="F84" s="14">
        <f>IFERROR(1/(1/SUM(SUMIFS(Cascade!$O:$O,Cascade!$B:$B,$B84,Cascade!$C:$C,IF($C84="&lt;15",{"=&lt;01","01-09","10-14"},{"15-24","25-34","35-49","50+"}),Cascade!$D:$D,$D84))),"")</f>
        <v>5</v>
      </c>
      <c r="G84" s="14">
        <f>IFERROR(1/(1/SUM(SUMIFS(Cascade!$AX:$AX,Cascade!$B:$B,$B84,Cascade!$C:$C,IF($C84="&lt;15",{"=&lt;01","01-09","10-14"},{"15-24","25-34","35-49","50+"}),Cascade!$D:$D,$D84))),"")</f>
        <v>1</v>
      </c>
      <c r="H84" s="90">
        <f>1</f>
        <v>1</v>
      </c>
      <c r="I84" s="90">
        <f>1</f>
        <v>1</v>
      </c>
      <c r="J84" s="90"/>
      <c r="K84" s="90"/>
      <c r="L84" s="42">
        <f t="shared" si="29"/>
        <v>0</v>
      </c>
      <c r="M84" s="42">
        <f t="shared" si="30"/>
        <v>5</v>
      </c>
      <c r="N84" s="42">
        <f t="shared" si="31"/>
        <v>0</v>
      </c>
      <c r="O84" s="42">
        <f t="shared" si="32"/>
        <v>1</v>
      </c>
      <c r="P84" s="14">
        <v>949</v>
      </c>
      <c r="Q84" s="14"/>
      <c r="R84" s="14">
        <v>49</v>
      </c>
      <c r="S84" s="14">
        <f t="shared" si="33"/>
        <v>998.00000000000011</v>
      </c>
      <c r="T84" s="90">
        <f t="shared" si="34"/>
        <v>1</v>
      </c>
      <c r="U84" s="90">
        <f>1</f>
        <v>1</v>
      </c>
      <c r="V84" s="90">
        <f>1</f>
        <v>1</v>
      </c>
      <c r="W84" s="42">
        <f t="shared" si="35"/>
        <v>5</v>
      </c>
      <c r="X84" s="42">
        <f t="shared" si="36"/>
        <v>1</v>
      </c>
      <c r="Y84" s="90">
        <f t="shared" si="37"/>
        <v>0.9</v>
      </c>
      <c r="Z84" s="42">
        <f t="shared" si="38"/>
        <v>5</v>
      </c>
      <c r="AA84" s="42">
        <f t="shared" si="39"/>
        <v>1</v>
      </c>
      <c r="AB84" s="90" t="str">
        <f t="shared" si="40"/>
        <v/>
      </c>
      <c r="AC84" s="90">
        <f t="shared" si="41"/>
        <v>-0.97959183673469385</v>
      </c>
    </row>
    <row r="85" spans="1:29" x14ac:dyDescent="0.2">
      <c r="A85" t="str">
        <f>INDEX(Prioritization!$D:$D,MATCH($B85,Prioritization!$A:$A,0))</f>
        <v>1 - Scale-up: Saturation</v>
      </c>
      <c r="B85" t="s">
        <v>210</v>
      </c>
      <c r="C85" t="s">
        <v>807</v>
      </c>
      <c r="D85" t="s">
        <v>29</v>
      </c>
      <c r="E85" t="str">
        <f t="shared" si="28"/>
        <v>Blantyre District [mxqa3CDFmIT]|15+|Female</v>
      </c>
      <c r="F85" s="14" t="str">
        <f>IFERROR(1/(1/SUM(SUMIFS(Cascade!$O:$O,Cascade!$B:$B,$B85,Cascade!$C:$C,IF($C85="&lt;15",{"=&lt;01","01-09","10-14"},{"15-24","25-34","35-49","50+"}),Cascade!$D:$D,$D85))),"")</f>
        <v/>
      </c>
      <c r="G85" s="14" t="str">
        <f>IFERROR(1/(1/SUM(SUMIFS(Cascade!$AX:$AX,Cascade!$B:$B,$B85,Cascade!$C:$C,IF($C85="&lt;15",{"=&lt;01","01-09","10-14"},{"15-24","25-34","35-49","50+"}),Cascade!$D:$D,$D85))),"")</f>
        <v/>
      </c>
      <c r="H85" s="90">
        <f>1</f>
        <v>1</v>
      </c>
      <c r="I85" s="90">
        <f>1</f>
        <v>1</v>
      </c>
      <c r="J85" s="90"/>
      <c r="K85" s="90"/>
      <c r="L85" s="42" t="str">
        <f t="shared" si="29"/>
        <v/>
      </c>
      <c r="M85" s="42" t="str">
        <f t="shared" si="30"/>
        <v/>
      </c>
      <c r="N85" s="42" t="str">
        <f t="shared" si="31"/>
        <v/>
      </c>
      <c r="O85" s="42" t="str">
        <f t="shared" si="32"/>
        <v/>
      </c>
      <c r="P85" s="14">
        <v>5982</v>
      </c>
      <c r="Q85" s="14"/>
      <c r="R85" s="14">
        <v>722</v>
      </c>
      <c r="S85" s="14">
        <f t="shared" si="33"/>
        <v>6704</v>
      </c>
      <c r="T85" s="90" t="str">
        <f t="shared" si="34"/>
        <v/>
      </c>
      <c r="U85" s="90">
        <f>1</f>
        <v>1</v>
      </c>
      <c r="V85" s="90">
        <f>1</f>
        <v>1</v>
      </c>
      <c r="W85" s="42" t="str">
        <f t="shared" si="35"/>
        <v/>
      </c>
      <c r="X85" s="42" t="str">
        <f t="shared" si="36"/>
        <v/>
      </c>
      <c r="Y85" s="90">
        <f t="shared" si="37"/>
        <v>0.9</v>
      </c>
      <c r="Z85" s="42" t="str">
        <f t="shared" si="38"/>
        <v/>
      </c>
      <c r="AA85" s="42" t="str">
        <f t="shared" si="39"/>
        <v/>
      </c>
      <c r="AB85" s="90" t="str">
        <f t="shared" si="40"/>
        <v/>
      </c>
      <c r="AC85" s="90">
        <f t="shared" si="41"/>
        <v>-1</v>
      </c>
    </row>
    <row r="86" spans="1:29" x14ac:dyDescent="0.2">
      <c r="A86" t="str">
        <f>INDEX(Prioritization!$D:$D,MATCH($B86,Prioritization!$A:$A,0))</f>
        <v>1 - Scale-up: Saturation</v>
      </c>
      <c r="B86" t="s">
        <v>210</v>
      </c>
      <c r="C86" t="s">
        <v>807</v>
      </c>
      <c r="D86" t="s">
        <v>47</v>
      </c>
      <c r="E86" t="str">
        <f t="shared" si="28"/>
        <v>Blantyre District [mxqa3CDFmIT]|15+|Male</v>
      </c>
      <c r="F86" s="14" t="str">
        <f>IFERROR(1/(1/SUM(SUMIFS(Cascade!$O:$O,Cascade!$B:$B,$B86,Cascade!$C:$C,IF($C86="&lt;15",{"=&lt;01","01-09","10-14"},{"15-24","25-34","35-49","50+"}),Cascade!$D:$D,$D86))),"")</f>
        <v/>
      </c>
      <c r="G86" s="14" t="str">
        <f>IFERROR(1/(1/SUM(SUMIFS(Cascade!$AX:$AX,Cascade!$B:$B,$B86,Cascade!$C:$C,IF($C86="&lt;15",{"=&lt;01","01-09","10-14"},{"15-24","25-34","35-49","50+"}),Cascade!$D:$D,$D86))),"")</f>
        <v/>
      </c>
      <c r="H86" s="90">
        <f>1</f>
        <v>1</v>
      </c>
      <c r="I86" s="90">
        <f>1</f>
        <v>1</v>
      </c>
      <c r="J86" s="90"/>
      <c r="K86" s="90"/>
      <c r="L86" s="42" t="str">
        <f t="shared" si="29"/>
        <v/>
      </c>
      <c r="M86" s="42" t="str">
        <f t="shared" si="30"/>
        <v/>
      </c>
      <c r="N86" s="42" t="str">
        <f t="shared" si="31"/>
        <v/>
      </c>
      <c r="O86" s="42" t="str">
        <f t="shared" si="32"/>
        <v/>
      </c>
      <c r="P86" s="14">
        <v>3848</v>
      </c>
      <c r="Q86" s="14"/>
      <c r="R86" s="14">
        <v>155</v>
      </c>
      <c r="S86" s="14">
        <f t="shared" si="33"/>
        <v>4003</v>
      </c>
      <c r="T86" s="90" t="str">
        <f t="shared" si="34"/>
        <v/>
      </c>
      <c r="U86" s="90">
        <f>1</f>
        <v>1</v>
      </c>
      <c r="V86" s="90">
        <f>1</f>
        <v>1</v>
      </c>
      <c r="W86" s="42" t="str">
        <f t="shared" si="35"/>
        <v/>
      </c>
      <c r="X86" s="42" t="str">
        <f t="shared" si="36"/>
        <v/>
      </c>
      <c r="Y86" s="90">
        <f t="shared" si="37"/>
        <v>0.9</v>
      </c>
      <c r="Z86" s="42" t="str">
        <f t="shared" si="38"/>
        <v/>
      </c>
      <c r="AA86" s="42" t="str">
        <f t="shared" si="39"/>
        <v/>
      </c>
      <c r="AB86" s="90" t="str">
        <f t="shared" si="40"/>
        <v/>
      </c>
      <c r="AC86" s="90">
        <f t="shared" si="41"/>
        <v>-1</v>
      </c>
    </row>
    <row r="87" spans="1:29" x14ac:dyDescent="0.2">
      <c r="A87" t="str">
        <f>INDEX(Prioritization!$D:$D,MATCH($B87,Prioritization!$A:$A,0))</f>
        <v>1 - Scale-up: Saturation</v>
      </c>
      <c r="B87" t="s">
        <v>211</v>
      </c>
      <c r="C87" t="s">
        <v>806</v>
      </c>
      <c r="D87" t="s">
        <v>29</v>
      </c>
      <c r="E87" t="str">
        <f t="shared" si="28"/>
        <v>Chikwawa District [U8c0so51kT6]|&lt;15|Female</v>
      </c>
      <c r="F87" s="14">
        <f>IFERROR(1/(1/SUM(SUMIFS(Cascade!$O:$O,Cascade!$B:$B,$B87,Cascade!$C:$C,IF($C87="&lt;15",{"=&lt;01","01-09","10-14"},{"15-24","25-34","35-49","50+"}),Cascade!$D:$D,$D87))),"")</f>
        <v>1</v>
      </c>
      <c r="G87" s="14">
        <f>IFERROR(1/(1/SUM(SUMIFS(Cascade!$AX:$AX,Cascade!$B:$B,$B87,Cascade!$C:$C,IF($C87="&lt;15",{"=&lt;01","01-09","10-14"},{"15-24","25-34","35-49","50+"}),Cascade!$D:$D,$D87))),"")</f>
        <v>4</v>
      </c>
      <c r="H87" s="90">
        <f>1</f>
        <v>1</v>
      </c>
      <c r="I87" s="90">
        <f>1</f>
        <v>1</v>
      </c>
      <c r="J87" s="90"/>
      <c r="K87" s="90"/>
      <c r="L87" s="42">
        <f t="shared" si="29"/>
        <v>0</v>
      </c>
      <c r="M87" s="42">
        <f t="shared" si="30"/>
        <v>1</v>
      </c>
      <c r="N87" s="42">
        <f t="shared" si="31"/>
        <v>0</v>
      </c>
      <c r="O87" s="42">
        <f t="shared" si="32"/>
        <v>4</v>
      </c>
      <c r="P87" s="14">
        <v>2</v>
      </c>
      <c r="Q87" s="14"/>
      <c r="R87" s="14">
        <v>3</v>
      </c>
      <c r="S87" s="14">
        <f t="shared" si="33"/>
        <v>5</v>
      </c>
      <c r="T87" s="90">
        <f t="shared" si="34"/>
        <v>1</v>
      </c>
      <c r="U87" s="90">
        <f>1</f>
        <v>1</v>
      </c>
      <c r="V87" s="90">
        <f>1</f>
        <v>1</v>
      </c>
      <c r="W87" s="42">
        <f t="shared" si="35"/>
        <v>1</v>
      </c>
      <c r="X87" s="42">
        <f t="shared" si="36"/>
        <v>4</v>
      </c>
      <c r="Y87" s="90">
        <f t="shared" si="37"/>
        <v>0.9</v>
      </c>
      <c r="Z87" s="42">
        <f t="shared" si="38"/>
        <v>1</v>
      </c>
      <c r="AA87" s="42">
        <f t="shared" si="39"/>
        <v>4</v>
      </c>
      <c r="AB87" s="90" t="str">
        <f t="shared" si="40"/>
        <v/>
      </c>
      <c r="AC87" s="90">
        <f t="shared" si="41"/>
        <v>0.33333333333333331</v>
      </c>
    </row>
    <row r="88" spans="1:29" x14ac:dyDescent="0.2">
      <c r="A88" t="str">
        <f>INDEX(Prioritization!$D:$D,MATCH($B88,Prioritization!$A:$A,0))</f>
        <v>1 - Scale-up: Saturation</v>
      </c>
      <c r="B88" t="s">
        <v>211</v>
      </c>
      <c r="C88" t="s">
        <v>806</v>
      </c>
      <c r="D88" t="s">
        <v>47</v>
      </c>
      <c r="E88" t="str">
        <f t="shared" si="28"/>
        <v>Chikwawa District [U8c0so51kT6]|&lt;15|Male</v>
      </c>
      <c r="F88" s="14">
        <f>IFERROR(1/(1/SUM(SUMIFS(Cascade!$O:$O,Cascade!$B:$B,$B88,Cascade!$C:$C,IF($C88="&lt;15",{"=&lt;01","01-09","10-14"},{"15-24","25-34","35-49","50+"}),Cascade!$D:$D,$D88))),"")</f>
        <v>5</v>
      </c>
      <c r="G88" s="14">
        <f>IFERROR(1/(1/SUM(SUMIFS(Cascade!$AX:$AX,Cascade!$B:$B,$B88,Cascade!$C:$C,IF($C88="&lt;15",{"=&lt;01","01-09","10-14"},{"15-24","25-34","35-49","50+"}),Cascade!$D:$D,$D88))),"")</f>
        <v>4</v>
      </c>
      <c r="H88" s="90">
        <f>1</f>
        <v>1</v>
      </c>
      <c r="I88" s="90">
        <f>1</f>
        <v>1</v>
      </c>
      <c r="J88" s="90"/>
      <c r="K88" s="90"/>
      <c r="L88" s="42">
        <f t="shared" si="29"/>
        <v>0</v>
      </c>
      <c r="M88" s="42">
        <f t="shared" si="30"/>
        <v>5</v>
      </c>
      <c r="N88" s="42">
        <f t="shared" si="31"/>
        <v>0</v>
      </c>
      <c r="O88" s="42">
        <f t="shared" si="32"/>
        <v>4</v>
      </c>
      <c r="P88" s="14">
        <v>4</v>
      </c>
      <c r="Q88" s="14"/>
      <c r="R88" s="14">
        <v>6</v>
      </c>
      <c r="S88" s="14">
        <f t="shared" si="33"/>
        <v>10</v>
      </c>
      <c r="T88" s="90">
        <f t="shared" si="34"/>
        <v>1</v>
      </c>
      <c r="U88" s="90">
        <f>1</f>
        <v>1</v>
      </c>
      <c r="V88" s="90">
        <f>1</f>
        <v>1</v>
      </c>
      <c r="W88" s="42">
        <f t="shared" si="35"/>
        <v>5</v>
      </c>
      <c r="X88" s="42">
        <f t="shared" si="36"/>
        <v>4</v>
      </c>
      <c r="Y88" s="90">
        <f t="shared" si="37"/>
        <v>0.9</v>
      </c>
      <c r="Z88" s="42">
        <f t="shared" si="38"/>
        <v>5</v>
      </c>
      <c r="AA88" s="42">
        <f t="shared" si="39"/>
        <v>4</v>
      </c>
      <c r="AB88" s="90" t="str">
        <f t="shared" si="40"/>
        <v/>
      </c>
      <c r="AC88" s="90">
        <f t="shared" si="41"/>
        <v>-0.33333333333333331</v>
      </c>
    </row>
    <row r="89" spans="1:29" x14ac:dyDescent="0.2">
      <c r="A89" t="str">
        <f>INDEX(Prioritization!$D:$D,MATCH($B89,Prioritization!$A:$A,0))</f>
        <v>1 - Scale-up: Saturation</v>
      </c>
      <c r="B89" t="s">
        <v>211</v>
      </c>
      <c r="C89" t="s">
        <v>807</v>
      </c>
      <c r="D89" t="s">
        <v>29</v>
      </c>
      <c r="E89" t="str">
        <f t="shared" si="28"/>
        <v>Chikwawa District [U8c0so51kT6]|15+|Female</v>
      </c>
      <c r="F89" s="14" t="str">
        <f>IFERROR(1/(1/SUM(SUMIFS(Cascade!$O:$O,Cascade!$B:$B,$B89,Cascade!$C:$C,IF($C89="&lt;15",{"=&lt;01","01-09","10-14"},{"15-24","25-34","35-49","50+"}),Cascade!$D:$D,$D89))),"")</f>
        <v/>
      </c>
      <c r="G89" s="14" t="str">
        <f>IFERROR(1/(1/SUM(SUMIFS(Cascade!$AX:$AX,Cascade!$B:$B,$B89,Cascade!$C:$C,IF($C89="&lt;15",{"=&lt;01","01-09","10-14"},{"15-24","25-34","35-49","50+"}),Cascade!$D:$D,$D89))),"")</f>
        <v/>
      </c>
      <c r="H89" s="90">
        <f>1</f>
        <v>1</v>
      </c>
      <c r="I89" s="90">
        <f>1</f>
        <v>1</v>
      </c>
      <c r="J89" s="90"/>
      <c r="K89" s="90"/>
      <c r="L89" s="42" t="str">
        <f t="shared" si="29"/>
        <v/>
      </c>
      <c r="M89" s="42" t="str">
        <f t="shared" si="30"/>
        <v/>
      </c>
      <c r="N89" s="42" t="str">
        <f t="shared" si="31"/>
        <v/>
      </c>
      <c r="O89" s="42" t="str">
        <f t="shared" si="32"/>
        <v/>
      </c>
      <c r="P89" s="14">
        <v>497</v>
      </c>
      <c r="Q89" s="14"/>
      <c r="R89" s="14">
        <v>17</v>
      </c>
      <c r="S89" s="14">
        <f t="shared" si="33"/>
        <v>514</v>
      </c>
      <c r="T89" s="90" t="str">
        <f t="shared" si="34"/>
        <v/>
      </c>
      <c r="U89" s="90">
        <f>1</f>
        <v>1</v>
      </c>
      <c r="V89" s="90">
        <f>1</f>
        <v>1</v>
      </c>
      <c r="W89" s="42" t="str">
        <f t="shared" si="35"/>
        <v/>
      </c>
      <c r="X89" s="42" t="str">
        <f t="shared" si="36"/>
        <v/>
      </c>
      <c r="Y89" s="90">
        <f t="shared" si="37"/>
        <v>0.9</v>
      </c>
      <c r="Z89" s="42" t="str">
        <f t="shared" si="38"/>
        <v/>
      </c>
      <c r="AA89" s="42" t="str">
        <f t="shared" si="39"/>
        <v/>
      </c>
      <c r="AB89" s="90" t="str">
        <f t="shared" si="40"/>
        <v/>
      </c>
      <c r="AC89" s="90">
        <f t="shared" si="41"/>
        <v>-1</v>
      </c>
    </row>
    <row r="90" spans="1:29" x14ac:dyDescent="0.2">
      <c r="A90" t="str">
        <f>INDEX(Prioritization!$D:$D,MATCH($B90,Prioritization!$A:$A,0))</f>
        <v>1 - Scale-up: Saturation</v>
      </c>
      <c r="B90" t="s">
        <v>211</v>
      </c>
      <c r="C90" t="s">
        <v>807</v>
      </c>
      <c r="D90" t="s">
        <v>47</v>
      </c>
      <c r="E90" t="str">
        <f t="shared" si="28"/>
        <v>Chikwawa District [U8c0so51kT6]|15+|Male</v>
      </c>
      <c r="F90" s="14" t="str">
        <f>IFERROR(1/(1/SUM(SUMIFS(Cascade!$O:$O,Cascade!$B:$B,$B90,Cascade!$C:$C,IF($C90="&lt;15",{"=&lt;01","01-09","10-14"},{"15-24","25-34","35-49","50+"}),Cascade!$D:$D,$D90))),"")</f>
        <v/>
      </c>
      <c r="G90" s="14" t="str">
        <f>IFERROR(1/(1/SUM(SUMIFS(Cascade!$AX:$AX,Cascade!$B:$B,$B90,Cascade!$C:$C,IF($C90="&lt;15",{"=&lt;01","01-09","10-14"},{"15-24","25-34","35-49","50+"}),Cascade!$D:$D,$D90))),"")</f>
        <v/>
      </c>
      <c r="H90" s="90">
        <f>1</f>
        <v>1</v>
      </c>
      <c r="I90" s="90">
        <f>1</f>
        <v>1</v>
      </c>
      <c r="J90" s="90"/>
      <c r="K90" s="90"/>
      <c r="L90" s="42" t="str">
        <f t="shared" si="29"/>
        <v/>
      </c>
      <c r="M90" s="42" t="str">
        <f t="shared" si="30"/>
        <v/>
      </c>
      <c r="N90" s="42" t="str">
        <f t="shared" si="31"/>
        <v/>
      </c>
      <c r="O90" s="42" t="str">
        <f t="shared" si="32"/>
        <v/>
      </c>
      <c r="P90" s="14">
        <v>905</v>
      </c>
      <c r="Q90" s="14"/>
      <c r="R90" s="14">
        <v>89</v>
      </c>
      <c r="S90" s="14">
        <f t="shared" si="33"/>
        <v>993.99999999999989</v>
      </c>
      <c r="T90" s="90" t="str">
        <f t="shared" si="34"/>
        <v/>
      </c>
      <c r="U90" s="90">
        <f>1</f>
        <v>1</v>
      </c>
      <c r="V90" s="90">
        <f>1</f>
        <v>1</v>
      </c>
      <c r="W90" s="42" t="str">
        <f t="shared" si="35"/>
        <v/>
      </c>
      <c r="X90" s="42" t="str">
        <f t="shared" si="36"/>
        <v/>
      </c>
      <c r="Y90" s="90">
        <f t="shared" si="37"/>
        <v>0.9</v>
      </c>
      <c r="Z90" s="42" t="str">
        <f t="shared" si="38"/>
        <v/>
      </c>
      <c r="AA90" s="42" t="str">
        <f t="shared" si="39"/>
        <v/>
      </c>
      <c r="AB90" s="90" t="str">
        <f t="shared" si="40"/>
        <v/>
      </c>
      <c r="AC90" s="90">
        <f t="shared" si="41"/>
        <v>-1</v>
      </c>
    </row>
    <row r="91" spans="1:29" x14ac:dyDescent="0.2">
      <c r="A91" t="str">
        <f>INDEX(Prioritization!$D:$D,MATCH($B91,Prioritization!$A:$A,0))</f>
        <v>1 - Scale-up: Saturation</v>
      </c>
      <c r="B91" t="s">
        <v>212</v>
      </c>
      <c r="C91" t="s">
        <v>806</v>
      </c>
      <c r="D91" t="s">
        <v>29</v>
      </c>
      <c r="E91" t="str">
        <f t="shared" si="28"/>
        <v>Chiradzulu District [oiPR2CiVJbf]|&lt;15|Female</v>
      </c>
      <c r="F91" s="14">
        <f>IFERROR(1/(1/SUM(SUMIFS(Cascade!$O:$O,Cascade!$B:$B,$B91,Cascade!$C:$C,IF($C91="&lt;15",{"=&lt;01","01-09","10-14"},{"15-24","25-34","35-49","50+"}),Cascade!$D:$D,$D91))),"")</f>
        <v>1</v>
      </c>
      <c r="G91" s="14" t="str">
        <f>IFERROR(1/(1/SUM(SUMIFS(Cascade!$AX:$AX,Cascade!$B:$B,$B91,Cascade!$C:$C,IF($C91="&lt;15",{"=&lt;01","01-09","10-14"},{"15-24","25-34","35-49","50+"}),Cascade!$D:$D,$D91))),"")</f>
        <v/>
      </c>
      <c r="H91" s="90">
        <f>1</f>
        <v>1</v>
      </c>
      <c r="I91" s="90">
        <f>1</f>
        <v>1</v>
      </c>
      <c r="J91" s="90"/>
      <c r="K91" s="90"/>
      <c r="L91" s="42">
        <f t="shared" si="29"/>
        <v>0</v>
      </c>
      <c r="M91" s="42">
        <f t="shared" si="30"/>
        <v>1</v>
      </c>
      <c r="N91" s="42" t="str">
        <f t="shared" si="31"/>
        <v/>
      </c>
      <c r="O91" s="42" t="str">
        <f t="shared" si="32"/>
        <v/>
      </c>
      <c r="P91" s="14">
        <v>26</v>
      </c>
      <c r="Q91" s="14"/>
      <c r="R91" s="14">
        <v>7</v>
      </c>
      <c r="S91" s="14">
        <f t="shared" si="33"/>
        <v>33</v>
      </c>
      <c r="T91" s="90">
        <f t="shared" si="34"/>
        <v>1</v>
      </c>
      <c r="U91" s="90">
        <f>1</f>
        <v>1</v>
      </c>
      <c r="V91" s="90">
        <f>1</f>
        <v>1</v>
      </c>
      <c r="W91" s="42">
        <f t="shared" si="35"/>
        <v>1</v>
      </c>
      <c r="X91" s="42" t="str">
        <f t="shared" si="36"/>
        <v/>
      </c>
      <c r="Y91" s="90">
        <f t="shared" si="37"/>
        <v>0.9</v>
      </c>
      <c r="Z91" s="42">
        <f t="shared" si="38"/>
        <v>1</v>
      </c>
      <c r="AA91" s="42" t="str">
        <f t="shared" si="39"/>
        <v/>
      </c>
      <c r="AB91" s="90" t="str">
        <f t="shared" si="40"/>
        <v/>
      </c>
      <c r="AC91" s="90">
        <f t="shared" si="41"/>
        <v>-1</v>
      </c>
    </row>
    <row r="92" spans="1:29" x14ac:dyDescent="0.2">
      <c r="A92" t="str">
        <f>INDEX(Prioritization!$D:$D,MATCH($B92,Prioritization!$A:$A,0))</f>
        <v>1 - Scale-up: Saturation</v>
      </c>
      <c r="B92" t="s">
        <v>212</v>
      </c>
      <c r="C92" t="s">
        <v>806</v>
      </c>
      <c r="D92" t="s">
        <v>47</v>
      </c>
      <c r="E92" t="str">
        <f t="shared" si="28"/>
        <v>Chiradzulu District [oiPR2CiVJbf]|&lt;15|Male</v>
      </c>
      <c r="F92" s="14">
        <f>IFERROR(1/(1/SUM(SUMIFS(Cascade!$O:$O,Cascade!$B:$B,$B92,Cascade!$C:$C,IF($C92="&lt;15",{"=&lt;01","01-09","10-14"},{"15-24","25-34","35-49","50+"}),Cascade!$D:$D,$D92))),"")</f>
        <v>1</v>
      </c>
      <c r="G92" s="14" t="str">
        <f>IFERROR(1/(1/SUM(SUMIFS(Cascade!$AX:$AX,Cascade!$B:$B,$B92,Cascade!$C:$C,IF($C92="&lt;15",{"=&lt;01","01-09","10-14"},{"15-24","25-34","35-49","50+"}),Cascade!$D:$D,$D92))),"")</f>
        <v/>
      </c>
      <c r="H92" s="90">
        <f>1</f>
        <v>1</v>
      </c>
      <c r="I92" s="90">
        <f>1</f>
        <v>1</v>
      </c>
      <c r="J92" s="90"/>
      <c r="K92" s="90"/>
      <c r="L92" s="42">
        <f t="shared" si="29"/>
        <v>0</v>
      </c>
      <c r="M92" s="42">
        <f t="shared" si="30"/>
        <v>1</v>
      </c>
      <c r="N92" s="42" t="str">
        <f t="shared" si="31"/>
        <v/>
      </c>
      <c r="O92" s="42" t="str">
        <f t="shared" si="32"/>
        <v/>
      </c>
      <c r="P92" s="14">
        <v>82</v>
      </c>
      <c r="Q92" s="14"/>
      <c r="R92" s="14">
        <v>10</v>
      </c>
      <c r="S92" s="14">
        <f t="shared" si="33"/>
        <v>92</v>
      </c>
      <c r="T92" s="90">
        <f t="shared" si="34"/>
        <v>1</v>
      </c>
      <c r="U92" s="90">
        <f>1</f>
        <v>1</v>
      </c>
      <c r="V92" s="90">
        <f>1</f>
        <v>1</v>
      </c>
      <c r="W92" s="42">
        <f t="shared" si="35"/>
        <v>1</v>
      </c>
      <c r="X92" s="42" t="str">
        <f t="shared" si="36"/>
        <v/>
      </c>
      <c r="Y92" s="90">
        <f t="shared" si="37"/>
        <v>0.9</v>
      </c>
      <c r="Z92" s="42">
        <f t="shared" si="38"/>
        <v>1</v>
      </c>
      <c r="AA92" s="42" t="str">
        <f t="shared" si="39"/>
        <v/>
      </c>
      <c r="AB92" s="90" t="str">
        <f t="shared" si="40"/>
        <v/>
      </c>
      <c r="AC92" s="90">
        <f t="shared" si="41"/>
        <v>-1</v>
      </c>
    </row>
    <row r="93" spans="1:29" x14ac:dyDescent="0.2">
      <c r="A93" t="str">
        <f>INDEX(Prioritization!$D:$D,MATCH($B93,Prioritization!$A:$A,0))</f>
        <v>1 - Scale-up: Saturation</v>
      </c>
      <c r="B93" t="s">
        <v>212</v>
      </c>
      <c r="C93" t="s">
        <v>807</v>
      </c>
      <c r="D93" t="s">
        <v>29</v>
      </c>
      <c r="E93" t="str">
        <f t="shared" si="28"/>
        <v>Chiradzulu District [oiPR2CiVJbf]|15+|Female</v>
      </c>
      <c r="F93" s="14" t="str">
        <f>IFERROR(1/(1/SUM(SUMIFS(Cascade!$O:$O,Cascade!$B:$B,$B93,Cascade!$C:$C,IF($C93="&lt;15",{"=&lt;01","01-09","10-14"},{"15-24","25-34","35-49","50+"}),Cascade!$D:$D,$D93))),"")</f>
        <v/>
      </c>
      <c r="G93" s="14" t="str">
        <f>IFERROR(1/(1/SUM(SUMIFS(Cascade!$AX:$AX,Cascade!$B:$B,$B93,Cascade!$C:$C,IF($C93="&lt;15",{"=&lt;01","01-09","10-14"},{"15-24","25-34","35-49","50+"}),Cascade!$D:$D,$D93))),"")</f>
        <v/>
      </c>
      <c r="H93" s="90">
        <f>1</f>
        <v>1</v>
      </c>
      <c r="I93" s="90">
        <f>1</f>
        <v>1</v>
      </c>
      <c r="J93" s="90"/>
      <c r="K93" s="90"/>
      <c r="L93" s="42" t="str">
        <f t="shared" si="29"/>
        <v/>
      </c>
      <c r="M93" s="42" t="str">
        <f t="shared" si="30"/>
        <v/>
      </c>
      <c r="N93" s="42" t="str">
        <f t="shared" si="31"/>
        <v/>
      </c>
      <c r="O93" s="42" t="str">
        <f t="shared" si="32"/>
        <v/>
      </c>
      <c r="P93" s="14">
        <v>9709</v>
      </c>
      <c r="Q93" s="14"/>
      <c r="R93" s="14">
        <v>45</v>
      </c>
      <c r="S93" s="14">
        <f t="shared" si="33"/>
        <v>9754</v>
      </c>
      <c r="T93" s="90" t="str">
        <f t="shared" si="34"/>
        <v/>
      </c>
      <c r="U93" s="90">
        <f>1</f>
        <v>1</v>
      </c>
      <c r="V93" s="90">
        <f>1</f>
        <v>1</v>
      </c>
      <c r="W93" s="42" t="str">
        <f t="shared" si="35"/>
        <v/>
      </c>
      <c r="X93" s="42" t="str">
        <f t="shared" si="36"/>
        <v/>
      </c>
      <c r="Y93" s="90">
        <f t="shared" si="37"/>
        <v>0.9</v>
      </c>
      <c r="Z93" s="42" t="str">
        <f t="shared" si="38"/>
        <v/>
      </c>
      <c r="AA93" s="42" t="str">
        <f t="shared" si="39"/>
        <v/>
      </c>
      <c r="AB93" s="90" t="str">
        <f t="shared" si="40"/>
        <v/>
      </c>
      <c r="AC93" s="90">
        <f t="shared" si="41"/>
        <v>-1</v>
      </c>
    </row>
    <row r="94" spans="1:29" x14ac:dyDescent="0.2">
      <c r="A94" t="str">
        <f>INDEX(Prioritization!$D:$D,MATCH($B94,Prioritization!$A:$A,0))</f>
        <v>1 - Scale-up: Saturation</v>
      </c>
      <c r="B94" t="s">
        <v>212</v>
      </c>
      <c r="C94" t="s">
        <v>807</v>
      </c>
      <c r="D94" t="s">
        <v>47</v>
      </c>
      <c r="E94" t="str">
        <f t="shared" si="28"/>
        <v>Chiradzulu District [oiPR2CiVJbf]|15+|Male</v>
      </c>
      <c r="F94" s="14" t="str">
        <f>IFERROR(1/(1/SUM(SUMIFS(Cascade!$O:$O,Cascade!$B:$B,$B94,Cascade!$C:$C,IF($C94="&lt;15",{"=&lt;01","01-09","10-14"},{"15-24","25-34","35-49","50+"}),Cascade!$D:$D,$D94))),"")</f>
        <v/>
      </c>
      <c r="G94" s="14" t="str">
        <f>IFERROR(1/(1/SUM(SUMIFS(Cascade!$AX:$AX,Cascade!$B:$B,$B94,Cascade!$C:$C,IF($C94="&lt;15",{"=&lt;01","01-09","10-14"},{"15-24","25-34","35-49","50+"}),Cascade!$D:$D,$D94))),"")</f>
        <v/>
      </c>
      <c r="H94" s="90">
        <f>1</f>
        <v>1</v>
      </c>
      <c r="I94" s="90">
        <f>1</f>
        <v>1</v>
      </c>
      <c r="J94" s="90"/>
      <c r="K94" s="90"/>
      <c r="L94" s="42" t="str">
        <f t="shared" si="29"/>
        <v/>
      </c>
      <c r="M94" s="42" t="str">
        <f t="shared" si="30"/>
        <v/>
      </c>
      <c r="N94" s="42" t="str">
        <f t="shared" si="31"/>
        <v/>
      </c>
      <c r="O94" s="42" t="str">
        <f t="shared" si="32"/>
        <v/>
      </c>
      <c r="P94" s="14">
        <v>187</v>
      </c>
      <c r="Q94" s="14"/>
      <c r="R94" s="14">
        <v>12</v>
      </c>
      <c r="S94" s="14">
        <f t="shared" si="33"/>
        <v>199</v>
      </c>
      <c r="T94" s="90" t="str">
        <f t="shared" si="34"/>
        <v/>
      </c>
      <c r="U94" s="90">
        <f>1</f>
        <v>1</v>
      </c>
      <c r="V94" s="90">
        <f>1</f>
        <v>1</v>
      </c>
      <c r="W94" s="42" t="str">
        <f t="shared" si="35"/>
        <v/>
      </c>
      <c r="X94" s="42" t="str">
        <f t="shared" si="36"/>
        <v/>
      </c>
      <c r="Y94" s="90">
        <f t="shared" si="37"/>
        <v>0.9</v>
      </c>
      <c r="Z94" s="42" t="str">
        <f t="shared" si="38"/>
        <v/>
      </c>
      <c r="AA94" s="42" t="str">
        <f t="shared" si="39"/>
        <v/>
      </c>
      <c r="AB94" s="90" t="str">
        <f t="shared" si="40"/>
        <v/>
      </c>
      <c r="AC94" s="90">
        <f t="shared" si="41"/>
        <v>-1</v>
      </c>
    </row>
    <row r="95" spans="1:29" x14ac:dyDescent="0.2">
      <c r="A95" t="str">
        <f>INDEX(Prioritization!$D:$D,MATCH($B95,Prioritization!$A:$A,0))</f>
        <v>1 - Scale-up: Saturation</v>
      </c>
      <c r="B95" t="s">
        <v>213</v>
      </c>
      <c r="C95" t="s">
        <v>806</v>
      </c>
      <c r="D95" t="s">
        <v>29</v>
      </c>
      <c r="E95" t="str">
        <f t="shared" si="28"/>
        <v>Machinga District [TYnMSwzko3z]|&lt;15|Female</v>
      </c>
      <c r="F95" s="14">
        <f>IFERROR(1/(1/SUM(SUMIFS(Cascade!$O:$O,Cascade!$B:$B,$B95,Cascade!$C:$C,IF($C95="&lt;15",{"=&lt;01","01-09","10-14"},{"15-24","25-34","35-49","50+"}),Cascade!$D:$D,$D95))),"")</f>
        <v>8</v>
      </c>
      <c r="G95" s="14" t="str">
        <f>IFERROR(1/(1/SUM(SUMIFS(Cascade!$AX:$AX,Cascade!$B:$B,$B95,Cascade!$C:$C,IF($C95="&lt;15",{"=&lt;01","01-09","10-14"},{"15-24","25-34","35-49","50+"}),Cascade!$D:$D,$D95))),"")</f>
        <v/>
      </c>
      <c r="H95" s="90">
        <f>1</f>
        <v>1</v>
      </c>
      <c r="I95" s="90">
        <f>1</f>
        <v>1</v>
      </c>
      <c r="J95" s="90"/>
      <c r="K95" s="90"/>
      <c r="L95" s="42">
        <f t="shared" si="29"/>
        <v>0</v>
      </c>
      <c r="M95" s="42">
        <f t="shared" si="30"/>
        <v>8</v>
      </c>
      <c r="N95" s="42" t="str">
        <f t="shared" si="31"/>
        <v/>
      </c>
      <c r="O95" s="42" t="str">
        <f t="shared" si="32"/>
        <v/>
      </c>
      <c r="P95" s="14">
        <v>1</v>
      </c>
      <c r="Q95" s="14"/>
      <c r="R95" s="14">
        <v>8</v>
      </c>
      <c r="S95" s="14">
        <f t="shared" si="33"/>
        <v>9</v>
      </c>
      <c r="T95" s="90">
        <f t="shared" si="34"/>
        <v>1</v>
      </c>
      <c r="U95" s="90">
        <f>1</f>
        <v>1</v>
      </c>
      <c r="V95" s="90">
        <f>1</f>
        <v>1</v>
      </c>
      <c r="W95" s="42">
        <f t="shared" si="35"/>
        <v>8</v>
      </c>
      <c r="X95" s="42" t="str">
        <f t="shared" si="36"/>
        <v/>
      </c>
      <c r="Y95" s="90">
        <f t="shared" si="37"/>
        <v>0.9</v>
      </c>
      <c r="Z95" s="42">
        <f t="shared" si="38"/>
        <v>7</v>
      </c>
      <c r="AA95" s="42" t="str">
        <f t="shared" si="39"/>
        <v/>
      </c>
      <c r="AB95" s="90" t="str">
        <f t="shared" si="40"/>
        <v/>
      </c>
      <c r="AC95" s="90">
        <f t="shared" si="41"/>
        <v>-1</v>
      </c>
    </row>
    <row r="96" spans="1:29" x14ac:dyDescent="0.2">
      <c r="A96" t="str">
        <f>INDEX(Prioritization!$D:$D,MATCH($B96,Prioritization!$A:$A,0))</f>
        <v>1 - Scale-up: Saturation</v>
      </c>
      <c r="B96" t="s">
        <v>213</v>
      </c>
      <c r="C96" t="s">
        <v>806</v>
      </c>
      <c r="D96" t="s">
        <v>47</v>
      </c>
      <c r="E96" t="str">
        <f t="shared" si="28"/>
        <v>Machinga District [TYnMSwzko3z]|&lt;15|Male</v>
      </c>
      <c r="F96" s="14">
        <f>IFERROR(1/(1/SUM(SUMIFS(Cascade!$O:$O,Cascade!$B:$B,$B96,Cascade!$C:$C,IF($C96="&lt;15",{"=&lt;01","01-09","10-14"},{"15-24","25-34","35-49","50+"}),Cascade!$D:$D,$D96))),"")</f>
        <v>8</v>
      </c>
      <c r="G96" s="14" t="str">
        <f>IFERROR(1/(1/SUM(SUMIFS(Cascade!$AX:$AX,Cascade!$B:$B,$B96,Cascade!$C:$C,IF($C96="&lt;15",{"=&lt;01","01-09","10-14"},{"15-24","25-34","35-49","50+"}),Cascade!$D:$D,$D96))),"")</f>
        <v/>
      </c>
      <c r="H96" s="90">
        <f>1</f>
        <v>1</v>
      </c>
      <c r="I96" s="90">
        <f>1</f>
        <v>1</v>
      </c>
      <c r="J96" s="90"/>
      <c r="K96" s="90"/>
      <c r="L96" s="42">
        <f t="shared" si="29"/>
        <v>0</v>
      </c>
      <c r="M96" s="42">
        <f t="shared" si="30"/>
        <v>8</v>
      </c>
      <c r="N96" s="42" t="str">
        <f t="shared" si="31"/>
        <v/>
      </c>
      <c r="O96" s="42" t="str">
        <f t="shared" si="32"/>
        <v/>
      </c>
      <c r="P96" s="14">
        <v>0</v>
      </c>
      <c r="Q96" s="14"/>
      <c r="R96" s="14">
        <v>3</v>
      </c>
      <c r="S96" s="14">
        <f t="shared" si="33"/>
        <v>3</v>
      </c>
      <c r="T96" s="90">
        <f t="shared" si="34"/>
        <v>0.375</v>
      </c>
      <c r="U96" s="90">
        <f>1</f>
        <v>1</v>
      </c>
      <c r="V96" s="90">
        <f>1</f>
        <v>1</v>
      </c>
      <c r="W96" s="42">
        <f t="shared" si="35"/>
        <v>3</v>
      </c>
      <c r="X96" s="42" t="str">
        <f t="shared" si="36"/>
        <v/>
      </c>
      <c r="Y96" s="90">
        <f t="shared" si="37"/>
        <v>0.9</v>
      </c>
      <c r="Z96" s="42">
        <f t="shared" si="38"/>
        <v>3</v>
      </c>
      <c r="AA96" s="42" t="str">
        <f t="shared" si="39"/>
        <v/>
      </c>
      <c r="AB96" s="90" t="str">
        <f t="shared" si="40"/>
        <v/>
      </c>
      <c r="AC96" s="90">
        <f t="shared" si="41"/>
        <v>-1</v>
      </c>
    </row>
    <row r="97" spans="1:29" x14ac:dyDescent="0.2">
      <c r="A97" t="str">
        <f>INDEX(Prioritization!$D:$D,MATCH($B97,Prioritization!$A:$A,0))</f>
        <v>1 - Scale-up: Saturation</v>
      </c>
      <c r="B97" t="s">
        <v>213</v>
      </c>
      <c r="C97" t="s">
        <v>807</v>
      </c>
      <c r="D97" t="s">
        <v>29</v>
      </c>
      <c r="E97" t="str">
        <f t="shared" si="28"/>
        <v>Machinga District [TYnMSwzko3z]|15+|Female</v>
      </c>
      <c r="F97" s="14" t="str">
        <f>IFERROR(1/(1/SUM(SUMIFS(Cascade!$O:$O,Cascade!$B:$B,$B97,Cascade!$C:$C,IF($C97="&lt;15",{"=&lt;01","01-09","10-14"},{"15-24","25-34","35-49","50+"}),Cascade!$D:$D,$D97))),"")</f>
        <v/>
      </c>
      <c r="G97" s="14" t="str">
        <f>IFERROR(1/(1/SUM(SUMIFS(Cascade!$AX:$AX,Cascade!$B:$B,$B97,Cascade!$C:$C,IF($C97="&lt;15",{"=&lt;01","01-09","10-14"},{"15-24","25-34","35-49","50+"}),Cascade!$D:$D,$D97))),"")</f>
        <v/>
      </c>
      <c r="H97" s="90">
        <f>1</f>
        <v>1</v>
      </c>
      <c r="I97" s="90">
        <f>1</f>
        <v>1</v>
      </c>
      <c r="J97" s="90"/>
      <c r="K97" s="90"/>
      <c r="L97" s="42" t="str">
        <f t="shared" si="29"/>
        <v/>
      </c>
      <c r="M97" s="42" t="str">
        <f t="shared" si="30"/>
        <v/>
      </c>
      <c r="N97" s="42" t="str">
        <f t="shared" si="31"/>
        <v/>
      </c>
      <c r="O97" s="42" t="str">
        <f t="shared" si="32"/>
        <v/>
      </c>
      <c r="P97" s="14">
        <v>53</v>
      </c>
      <c r="Q97" s="14"/>
      <c r="R97" s="14">
        <v>60</v>
      </c>
      <c r="S97" s="14">
        <f t="shared" si="33"/>
        <v>113</v>
      </c>
      <c r="T97" s="90" t="str">
        <f t="shared" si="34"/>
        <v/>
      </c>
      <c r="U97" s="90">
        <f>1</f>
        <v>1</v>
      </c>
      <c r="V97" s="90">
        <f>1</f>
        <v>1</v>
      </c>
      <c r="W97" s="42" t="str">
        <f t="shared" si="35"/>
        <v/>
      </c>
      <c r="X97" s="42" t="str">
        <f t="shared" si="36"/>
        <v/>
      </c>
      <c r="Y97" s="90">
        <f t="shared" si="37"/>
        <v>0.9</v>
      </c>
      <c r="Z97" s="42" t="str">
        <f t="shared" si="38"/>
        <v/>
      </c>
      <c r="AA97" s="42" t="str">
        <f t="shared" si="39"/>
        <v/>
      </c>
      <c r="AB97" s="90" t="str">
        <f t="shared" si="40"/>
        <v/>
      </c>
      <c r="AC97" s="90">
        <f t="shared" si="41"/>
        <v>-1</v>
      </c>
    </row>
    <row r="98" spans="1:29" x14ac:dyDescent="0.2">
      <c r="A98" t="str">
        <f>INDEX(Prioritization!$D:$D,MATCH($B98,Prioritization!$A:$A,0))</f>
        <v>1 - Scale-up: Saturation</v>
      </c>
      <c r="B98" t="s">
        <v>213</v>
      </c>
      <c r="C98" t="s">
        <v>807</v>
      </c>
      <c r="D98" t="s">
        <v>47</v>
      </c>
      <c r="E98" t="str">
        <f t="shared" si="28"/>
        <v>Machinga District [TYnMSwzko3z]|15+|Male</v>
      </c>
      <c r="F98" s="14" t="str">
        <f>IFERROR(1/(1/SUM(SUMIFS(Cascade!$O:$O,Cascade!$B:$B,$B98,Cascade!$C:$C,IF($C98="&lt;15",{"=&lt;01","01-09","10-14"},{"15-24","25-34","35-49","50+"}),Cascade!$D:$D,$D98))),"")</f>
        <v/>
      </c>
      <c r="G98" s="14" t="str">
        <f>IFERROR(1/(1/SUM(SUMIFS(Cascade!$AX:$AX,Cascade!$B:$B,$B98,Cascade!$C:$C,IF($C98="&lt;15",{"=&lt;01","01-09","10-14"},{"15-24","25-34","35-49","50+"}),Cascade!$D:$D,$D98))),"")</f>
        <v/>
      </c>
      <c r="H98" s="90">
        <f>1</f>
        <v>1</v>
      </c>
      <c r="I98" s="90">
        <f>1</f>
        <v>1</v>
      </c>
      <c r="J98" s="90"/>
      <c r="K98" s="90"/>
      <c r="L98" s="42" t="str">
        <f t="shared" si="29"/>
        <v/>
      </c>
      <c r="M98" s="42" t="str">
        <f t="shared" si="30"/>
        <v/>
      </c>
      <c r="N98" s="42" t="str">
        <f t="shared" si="31"/>
        <v/>
      </c>
      <c r="O98" s="42" t="str">
        <f t="shared" si="32"/>
        <v/>
      </c>
      <c r="P98" s="14">
        <v>10</v>
      </c>
      <c r="Q98" s="14"/>
      <c r="R98" s="14">
        <v>95</v>
      </c>
      <c r="S98" s="14">
        <f t="shared" si="33"/>
        <v>104.99999999999999</v>
      </c>
      <c r="T98" s="90" t="str">
        <f t="shared" si="34"/>
        <v/>
      </c>
      <c r="U98" s="90">
        <f>1</f>
        <v>1</v>
      </c>
      <c r="V98" s="90">
        <f>1</f>
        <v>1</v>
      </c>
      <c r="W98" s="42" t="str">
        <f t="shared" si="35"/>
        <v/>
      </c>
      <c r="X98" s="42" t="str">
        <f t="shared" si="36"/>
        <v/>
      </c>
      <c r="Y98" s="90">
        <f t="shared" si="37"/>
        <v>0.9</v>
      </c>
      <c r="Z98" s="42" t="str">
        <f t="shared" si="38"/>
        <v/>
      </c>
      <c r="AA98" s="42" t="str">
        <f t="shared" si="39"/>
        <v/>
      </c>
      <c r="AB98" s="90" t="str">
        <f t="shared" si="40"/>
        <v/>
      </c>
      <c r="AC98" s="90">
        <f t="shared" si="41"/>
        <v>-1</v>
      </c>
    </row>
    <row r="99" spans="1:29" x14ac:dyDescent="0.2">
      <c r="A99" t="str">
        <f>INDEX(Prioritization!$D:$D,MATCH($B99,Prioritization!$A:$A,0))</f>
        <v>INVALID</v>
      </c>
      <c r="B99" t="s">
        <v>214</v>
      </c>
      <c r="C99" t="s">
        <v>806</v>
      </c>
      <c r="D99" t="s">
        <v>29</v>
      </c>
      <c r="E99" t="str">
        <f t="shared" si="28"/>
        <v>Mangochi District [lLDyBx5XyUi]|&lt;15|Female</v>
      </c>
      <c r="F99" s="14">
        <f>IFERROR(1/(1/SUM(SUMIFS(Cascade!$O:$O,Cascade!$B:$B,$B99,Cascade!$C:$C,IF($C99="&lt;15",{"=&lt;01","01-09","10-14"},{"15-24","25-34","35-49","50+"}),Cascade!$D:$D,$D99))),"")</f>
        <v>7</v>
      </c>
      <c r="G99" s="14">
        <f>IFERROR(1/(1/SUM(SUMIFS(Cascade!$AX:$AX,Cascade!$B:$B,$B99,Cascade!$C:$C,IF($C99="&lt;15",{"=&lt;01","01-09","10-14"},{"15-24","25-34","35-49","50+"}),Cascade!$D:$D,$D99))),"")</f>
        <v>1</v>
      </c>
      <c r="H99" s="90">
        <f>1</f>
        <v>1</v>
      </c>
      <c r="I99" s="90">
        <f>1</f>
        <v>1</v>
      </c>
      <c r="J99" s="90"/>
      <c r="K99" s="90"/>
      <c r="L99" s="42">
        <f t="shared" si="29"/>
        <v>0</v>
      </c>
      <c r="M99" s="42">
        <f t="shared" si="30"/>
        <v>7</v>
      </c>
      <c r="N99" s="42">
        <f t="shared" si="31"/>
        <v>0</v>
      </c>
      <c r="O99" s="42">
        <f t="shared" si="32"/>
        <v>1</v>
      </c>
      <c r="P99" s="14">
        <v>2</v>
      </c>
      <c r="Q99" s="14"/>
      <c r="R99" s="14">
        <v>3</v>
      </c>
      <c r="S99" s="14">
        <f t="shared" si="33"/>
        <v>5</v>
      </c>
      <c r="T99" s="90">
        <f t="shared" si="34"/>
        <v>0.7142857142857143</v>
      </c>
      <c r="U99" s="90">
        <f>1</f>
        <v>1</v>
      </c>
      <c r="V99" s="90">
        <f>1</f>
        <v>1</v>
      </c>
      <c r="W99" s="42">
        <f t="shared" si="35"/>
        <v>5</v>
      </c>
      <c r="X99" s="42">
        <f t="shared" si="36"/>
        <v>1</v>
      </c>
      <c r="Y99" s="90">
        <f t="shared" si="37"/>
        <v>0.9</v>
      </c>
      <c r="Z99" s="42">
        <f t="shared" si="38"/>
        <v>5</v>
      </c>
      <c r="AA99" s="42">
        <f t="shared" si="39"/>
        <v>1</v>
      </c>
      <c r="AB99" s="90" t="str">
        <f t="shared" si="40"/>
        <v/>
      </c>
      <c r="AC99" s="90">
        <f t="shared" si="41"/>
        <v>-0.66666666666666663</v>
      </c>
    </row>
    <row r="100" spans="1:29" x14ac:dyDescent="0.2">
      <c r="A100" t="str">
        <f>INDEX(Prioritization!$D:$D,MATCH($B100,Prioritization!$A:$A,0))</f>
        <v>INVALID</v>
      </c>
      <c r="B100" t="s">
        <v>214</v>
      </c>
      <c r="C100" t="s">
        <v>806</v>
      </c>
      <c r="D100" t="s">
        <v>47</v>
      </c>
      <c r="E100" t="str">
        <f t="shared" si="28"/>
        <v>Mangochi District [lLDyBx5XyUi]|&lt;15|Male</v>
      </c>
      <c r="F100" s="14">
        <f>IFERROR(1/(1/SUM(SUMIFS(Cascade!$O:$O,Cascade!$B:$B,$B100,Cascade!$C:$C,IF($C100="&lt;15",{"=&lt;01","01-09","10-14"},{"15-24","25-34","35-49","50+"}),Cascade!$D:$D,$D100))),"")</f>
        <v>6</v>
      </c>
      <c r="G100" s="14">
        <f>IFERROR(1/(1/SUM(SUMIFS(Cascade!$AX:$AX,Cascade!$B:$B,$B100,Cascade!$C:$C,IF($C100="&lt;15",{"=&lt;01","01-09","10-14"},{"15-24","25-34","35-49","50+"}),Cascade!$D:$D,$D100))),"")</f>
        <v>1</v>
      </c>
      <c r="H100" s="90">
        <f>1</f>
        <v>1</v>
      </c>
      <c r="I100" s="90">
        <f>1</f>
        <v>1</v>
      </c>
      <c r="J100" s="90"/>
      <c r="K100" s="90"/>
      <c r="L100" s="42">
        <f t="shared" si="29"/>
        <v>0</v>
      </c>
      <c r="M100" s="42">
        <f t="shared" si="30"/>
        <v>6</v>
      </c>
      <c r="N100" s="42">
        <f t="shared" si="31"/>
        <v>0</v>
      </c>
      <c r="O100" s="42">
        <f t="shared" si="32"/>
        <v>1</v>
      </c>
      <c r="P100" s="14">
        <v>9</v>
      </c>
      <c r="Q100" s="14"/>
      <c r="R100" s="14">
        <v>1</v>
      </c>
      <c r="S100" s="14">
        <f t="shared" si="33"/>
        <v>10</v>
      </c>
      <c r="T100" s="90">
        <f t="shared" si="34"/>
        <v>1</v>
      </c>
      <c r="U100" s="90">
        <f>1</f>
        <v>1</v>
      </c>
      <c r="V100" s="90">
        <f>1</f>
        <v>1</v>
      </c>
      <c r="W100" s="42">
        <f t="shared" si="35"/>
        <v>6</v>
      </c>
      <c r="X100" s="42">
        <f t="shared" si="36"/>
        <v>1</v>
      </c>
      <c r="Y100" s="90">
        <f t="shared" si="37"/>
        <v>0.9</v>
      </c>
      <c r="Z100" s="42">
        <f t="shared" si="38"/>
        <v>5</v>
      </c>
      <c r="AA100" s="42">
        <f t="shared" si="39"/>
        <v>1</v>
      </c>
      <c r="AB100" s="90" t="str">
        <f t="shared" si="40"/>
        <v/>
      </c>
      <c r="AC100" s="90">
        <f t="shared" si="41"/>
        <v>0</v>
      </c>
    </row>
    <row r="101" spans="1:29" x14ac:dyDescent="0.2">
      <c r="A101" t="str">
        <f>INDEX(Prioritization!$D:$D,MATCH($B101,Prioritization!$A:$A,0))</f>
        <v>INVALID</v>
      </c>
      <c r="B101" t="s">
        <v>214</v>
      </c>
      <c r="C101" t="s">
        <v>807</v>
      </c>
      <c r="D101" t="s">
        <v>29</v>
      </c>
      <c r="E101" t="str">
        <f t="shared" si="28"/>
        <v>Mangochi District [lLDyBx5XyUi]|15+|Female</v>
      </c>
      <c r="F101" s="14" t="str">
        <f>IFERROR(1/(1/SUM(SUMIFS(Cascade!$O:$O,Cascade!$B:$B,$B101,Cascade!$C:$C,IF($C101="&lt;15",{"=&lt;01","01-09","10-14"},{"15-24","25-34","35-49","50+"}),Cascade!$D:$D,$D101))),"")</f>
        <v/>
      </c>
      <c r="G101" s="14" t="str">
        <f>IFERROR(1/(1/SUM(SUMIFS(Cascade!$AX:$AX,Cascade!$B:$B,$B101,Cascade!$C:$C,IF($C101="&lt;15",{"=&lt;01","01-09","10-14"},{"15-24","25-34","35-49","50+"}),Cascade!$D:$D,$D101))),"")</f>
        <v/>
      </c>
      <c r="H101" s="90">
        <f>1</f>
        <v>1</v>
      </c>
      <c r="I101" s="90">
        <f>1</f>
        <v>1</v>
      </c>
      <c r="J101" s="90"/>
      <c r="K101" s="90"/>
      <c r="L101" s="42" t="str">
        <f t="shared" si="29"/>
        <v/>
      </c>
      <c r="M101" s="42" t="str">
        <f t="shared" si="30"/>
        <v/>
      </c>
      <c r="N101" s="42" t="str">
        <f t="shared" si="31"/>
        <v/>
      </c>
      <c r="O101" s="42" t="str">
        <f t="shared" si="32"/>
        <v/>
      </c>
      <c r="P101" s="14">
        <v>119</v>
      </c>
      <c r="Q101" s="14"/>
      <c r="R101" s="14">
        <v>78</v>
      </c>
      <c r="S101" s="14">
        <f t="shared" si="33"/>
        <v>197.00000000000003</v>
      </c>
      <c r="T101" s="90" t="str">
        <f t="shared" si="34"/>
        <v/>
      </c>
      <c r="U101" s="90">
        <f>1</f>
        <v>1</v>
      </c>
      <c r="V101" s="90">
        <f>1</f>
        <v>1</v>
      </c>
      <c r="W101" s="42" t="str">
        <f t="shared" si="35"/>
        <v/>
      </c>
      <c r="X101" s="42" t="str">
        <f t="shared" si="36"/>
        <v/>
      </c>
      <c r="Y101" s="90">
        <f t="shared" si="37"/>
        <v>0.9</v>
      </c>
      <c r="Z101" s="42" t="str">
        <f t="shared" si="38"/>
        <v/>
      </c>
      <c r="AA101" s="42" t="str">
        <f t="shared" si="39"/>
        <v/>
      </c>
      <c r="AB101" s="90" t="str">
        <f t="shared" si="40"/>
        <v/>
      </c>
      <c r="AC101" s="90">
        <f t="shared" si="41"/>
        <v>-1</v>
      </c>
    </row>
    <row r="102" spans="1:29" x14ac:dyDescent="0.2">
      <c r="A102" t="str">
        <f>INDEX(Prioritization!$D:$D,MATCH($B102,Prioritization!$A:$A,0))</f>
        <v>INVALID</v>
      </c>
      <c r="B102" t="s">
        <v>214</v>
      </c>
      <c r="C102" t="s">
        <v>807</v>
      </c>
      <c r="D102" t="s">
        <v>47</v>
      </c>
      <c r="E102" t="str">
        <f t="shared" si="28"/>
        <v>Mangochi District [lLDyBx5XyUi]|15+|Male</v>
      </c>
      <c r="F102" s="14" t="str">
        <f>IFERROR(1/(1/SUM(SUMIFS(Cascade!$O:$O,Cascade!$B:$B,$B102,Cascade!$C:$C,IF($C102="&lt;15",{"=&lt;01","01-09","10-14"},{"15-24","25-34","35-49","50+"}),Cascade!$D:$D,$D102))),"")</f>
        <v/>
      </c>
      <c r="G102" s="14" t="str">
        <f>IFERROR(1/(1/SUM(SUMIFS(Cascade!$AX:$AX,Cascade!$B:$B,$B102,Cascade!$C:$C,IF($C102="&lt;15",{"=&lt;01","01-09","10-14"},{"15-24","25-34","35-49","50+"}),Cascade!$D:$D,$D102))),"")</f>
        <v/>
      </c>
      <c r="H102" s="90">
        <f>1</f>
        <v>1</v>
      </c>
      <c r="I102" s="90">
        <f>1</f>
        <v>1</v>
      </c>
      <c r="J102" s="90"/>
      <c r="K102" s="90"/>
      <c r="L102" s="42" t="str">
        <f t="shared" si="29"/>
        <v/>
      </c>
      <c r="M102" s="42" t="str">
        <f t="shared" si="30"/>
        <v/>
      </c>
      <c r="N102" s="42" t="str">
        <f t="shared" si="31"/>
        <v/>
      </c>
      <c r="O102" s="42" t="str">
        <f t="shared" si="32"/>
        <v/>
      </c>
      <c r="P102" s="14">
        <v>986</v>
      </c>
      <c r="Q102" s="14"/>
      <c r="R102" s="14">
        <v>19</v>
      </c>
      <c r="S102" s="14">
        <f t="shared" si="33"/>
        <v>1005.0000000000001</v>
      </c>
      <c r="T102" s="90" t="str">
        <f t="shared" si="34"/>
        <v/>
      </c>
      <c r="U102" s="90">
        <f>1</f>
        <v>1</v>
      </c>
      <c r="V102" s="90">
        <f>1</f>
        <v>1</v>
      </c>
      <c r="W102" s="42" t="str">
        <f t="shared" si="35"/>
        <v/>
      </c>
      <c r="X102" s="42" t="str">
        <f t="shared" si="36"/>
        <v/>
      </c>
      <c r="Y102" s="90">
        <f t="shared" si="37"/>
        <v>0.9</v>
      </c>
      <c r="Z102" s="42" t="str">
        <f t="shared" si="38"/>
        <v/>
      </c>
      <c r="AA102" s="42" t="str">
        <f t="shared" si="39"/>
        <v/>
      </c>
      <c r="AB102" s="90" t="str">
        <f t="shared" si="40"/>
        <v/>
      </c>
      <c r="AC102" s="90">
        <f t="shared" si="41"/>
        <v>-1</v>
      </c>
    </row>
    <row r="103" spans="1:29" x14ac:dyDescent="0.2">
      <c r="A103" t="str">
        <f>INDEX(Prioritization!$D:$D,MATCH($B103,Prioritization!$A:$A,0))</f>
        <v>INVALID</v>
      </c>
      <c r="B103" t="s">
        <v>215</v>
      </c>
      <c r="C103" t="s">
        <v>806</v>
      </c>
      <c r="D103" t="s">
        <v>29</v>
      </c>
      <c r="E103" t="str">
        <f t="shared" si="28"/>
        <v>Mulanje District [umc2n1Z4wNv]|&lt;15|Female</v>
      </c>
      <c r="F103" s="14">
        <f>IFERROR(1/(1/SUM(SUMIFS(Cascade!$O:$O,Cascade!$B:$B,$B103,Cascade!$C:$C,IF($C103="&lt;15",{"=&lt;01","01-09","10-14"},{"15-24","25-34","35-49","50+"}),Cascade!$D:$D,$D103))),"")</f>
        <v>5</v>
      </c>
      <c r="G103" s="14">
        <f>IFERROR(1/(1/SUM(SUMIFS(Cascade!$AX:$AX,Cascade!$B:$B,$B103,Cascade!$C:$C,IF($C103="&lt;15",{"=&lt;01","01-09","10-14"},{"15-24","25-34","35-49","50+"}),Cascade!$D:$D,$D103))),"")</f>
        <v>2</v>
      </c>
      <c r="H103" s="90">
        <f>1</f>
        <v>1</v>
      </c>
      <c r="I103" s="90">
        <f>1</f>
        <v>1</v>
      </c>
      <c r="J103" s="90"/>
      <c r="K103" s="90"/>
      <c r="L103" s="42">
        <f t="shared" si="29"/>
        <v>0</v>
      </c>
      <c r="M103" s="42">
        <f t="shared" si="30"/>
        <v>5</v>
      </c>
      <c r="N103" s="42">
        <f t="shared" si="31"/>
        <v>0</v>
      </c>
      <c r="O103" s="42">
        <f t="shared" si="32"/>
        <v>2</v>
      </c>
      <c r="P103" s="14">
        <v>2</v>
      </c>
      <c r="Q103" s="14"/>
      <c r="R103" s="14">
        <v>64</v>
      </c>
      <c r="S103" s="14">
        <f t="shared" si="33"/>
        <v>66</v>
      </c>
      <c r="T103" s="90">
        <f t="shared" si="34"/>
        <v>1</v>
      </c>
      <c r="U103" s="90">
        <f>1</f>
        <v>1</v>
      </c>
      <c r="V103" s="90">
        <f>1</f>
        <v>1</v>
      </c>
      <c r="W103" s="42">
        <f t="shared" si="35"/>
        <v>5</v>
      </c>
      <c r="X103" s="42">
        <f t="shared" si="36"/>
        <v>2</v>
      </c>
      <c r="Y103" s="90">
        <f t="shared" si="37"/>
        <v>0.9</v>
      </c>
      <c r="Z103" s="42">
        <f t="shared" si="38"/>
        <v>5</v>
      </c>
      <c r="AA103" s="42">
        <f t="shared" si="39"/>
        <v>2</v>
      </c>
      <c r="AB103" s="90" t="str">
        <f t="shared" si="40"/>
        <v/>
      </c>
      <c r="AC103" s="90">
        <f t="shared" si="41"/>
        <v>-0.96875</v>
      </c>
    </row>
    <row r="104" spans="1:29" x14ac:dyDescent="0.2">
      <c r="A104" t="str">
        <f>INDEX(Prioritization!$D:$D,MATCH($B104,Prioritization!$A:$A,0))</f>
        <v>INVALID</v>
      </c>
      <c r="B104" t="s">
        <v>215</v>
      </c>
      <c r="C104" t="s">
        <v>806</v>
      </c>
      <c r="D104" t="s">
        <v>47</v>
      </c>
      <c r="E104" t="str">
        <f t="shared" si="28"/>
        <v>Mulanje District [umc2n1Z4wNv]|&lt;15|Male</v>
      </c>
      <c r="F104" s="14">
        <f>IFERROR(1/(1/SUM(SUMIFS(Cascade!$O:$O,Cascade!$B:$B,$B104,Cascade!$C:$C,IF($C104="&lt;15",{"=&lt;01","01-09","10-14"},{"15-24","25-34","35-49","50+"}),Cascade!$D:$D,$D104))),"")</f>
        <v>7</v>
      </c>
      <c r="G104" s="14">
        <f>IFERROR(1/(1/SUM(SUMIFS(Cascade!$AX:$AX,Cascade!$B:$B,$B104,Cascade!$C:$C,IF($C104="&lt;15",{"=&lt;01","01-09","10-14"},{"15-24","25-34","35-49","50+"}),Cascade!$D:$D,$D104))),"")</f>
        <v>2</v>
      </c>
      <c r="H104" s="90">
        <f>1</f>
        <v>1</v>
      </c>
      <c r="I104" s="90">
        <f>1</f>
        <v>1</v>
      </c>
      <c r="J104" s="90"/>
      <c r="K104" s="90"/>
      <c r="L104" s="42">
        <f t="shared" si="29"/>
        <v>0</v>
      </c>
      <c r="M104" s="42">
        <f t="shared" si="30"/>
        <v>7</v>
      </c>
      <c r="N104" s="42">
        <f t="shared" si="31"/>
        <v>0</v>
      </c>
      <c r="O104" s="42">
        <f t="shared" si="32"/>
        <v>2</v>
      </c>
      <c r="P104" s="14">
        <v>8</v>
      </c>
      <c r="Q104" s="14"/>
      <c r="R104" s="14">
        <v>98</v>
      </c>
      <c r="S104" s="14">
        <f t="shared" si="33"/>
        <v>106</v>
      </c>
      <c r="T104" s="90">
        <f t="shared" si="34"/>
        <v>1</v>
      </c>
      <c r="U104" s="90">
        <f>1</f>
        <v>1</v>
      </c>
      <c r="V104" s="90">
        <f>1</f>
        <v>1</v>
      </c>
      <c r="W104" s="42">
        <f t="shared" si="35"/>
        <v>7</v>
      </c>
      <c r="X104" s="42">
        <f t="shared" si="36"/>
        <v>2</v>
      </c>
      <c r="Y104" s="90">
        <f t="shared" si="37"/>
        <v>0.9</v>
      </c>
      <c r="Z104" s="42">
        <f t="shared" si="38"/>
        <v>6</v>
      </c>
      <c r="AA104" s="42">
        <f t="shared" si="39"/>
        <v>2</v>
      </c>
      <c r="AB104" s="90" t="str">
        <f t="shared" si="40"/>
        <v/>
      </c>
      <c r="AC104" s="90">
        <f t="shared" si="41"/>
        <v>-0.97959183673469385</v>
      </c>
    </row>
    <row r="105" spans="1:29" x14ac:dyDescent="0.2">
      <c r="A105" t="str">
        <f>INDEX(Prioritization!$D:$D,MATCH($B105,Prioritization!$A:$A,0))</f>
        <v>INVALID</v>
      </c>
      <c r="B105" t="s">
        <v>215</v>
      </c>
      <c r="C105" t="s">
        <v>807</v>
      </c>
      <c r="D105" t="s">
        <v>29</v>
      </c>
      <c r="E105" t="str">
        <f t="shared" si="28"/>
        <v>Mulanje District [umc2n1Z4wNv]|15+|Female</v>
      </c>
      <c r="F105" s="14" t="str">
        <f>IFERROR(1/(1/SUM(SUMIFS(Cascade!$O:$O,Cascade!$B:$B,$B105,Cascade!$C:$C,IF($C105="&lt;15",{"=&lt;01","01-09","10-14"},{"15-24","25-34","35-49","50+"}),Cascade!$D:$D,$D105))),"")</f>
        <v/>
      </c>
      <c r="G105" s="14" t="str">
        <f>IFERROR(1/(1/SUM(SUMIFS(Cascade!$AX:$AX,Cascade!$B:$B,$B105,Cascade!$C:$C,IF($C105="&lt;15",{"=&lt;01","01-09","10-14"},{"15-24","25-34","35-49","50+"}),Cascade!$D:$D,$D105))),"")</f>
        <v/>
      </c>
      <c r="H105" s="90">
        <f>1</f>
        <v>1</v>
      </c>
      <c r="I105" s="90">
        <f>1</f>
        <v>1</v>
      </c>
      <c r="J105" s="90"/>
      <c r="K105" s="90"/>
      <c r="L105" s="42" t="str">
        <f t="shared" si="29"/>
        <v/>
      </c>
      <c r="M105" s="42" t="str">
        <f t="shared" si="30"/>
        <v/>
      </c>
      <c r="N105" s="42" t="str">
        <f t="shared" si="31"/>
        <v/>
      </c>
      <c r="O105" s="42" t="str">
        <f t="shared" si="32"/>
        <v/>
      </c>
      <c r="P105" s="14">
        <v>250</v>
      </c>
      <c r="Q105" s="14"/>
      <c r="R105" s="14">
        <v>824</v>
      </c>
      <c r="S105" s="14">
        <f t="shared" si="33"/>
        <v>1074</v>
      </c>
      <c r="T105" s="90" t="str">
        <f t="shared" si="34"/>
        <v/>
      </c>
      <c r="U105" s="90">
        <f>1</f>
        <v>1</v>
      </c>
      <c r="V105" s="90">
        <f>1</f>
        <v>1</v>
      </c>
      <c r="W105" s="42" t="str">
        <f t="shared" si="35"/>
        <v/>
      </c>
      <c r="X105" s="42" t="str">
        <f t="shared" si="36"/>
        <v/>
      </c>
      <c r="Y105" s="90">
        <f t="shared" si="37"/>
        <v>0.9</v>
      </c>
      <c r="Z105" s="42" t="str">
        <f t="shared" si="38"/>
        <v/>
      </c>
      <c r="AA105" s="42" t="str">
        <f t="shared" si="39"/>
        <v/>
      </c>
      <c r="AB105" s="90" t="str">
        <f t="shared" si="40"/>
        <v/>
      </c>
      <c r="AC105" s="90">
        <f t="shared" si="41"/>
        <v>-1</v>
      </c>
    </row>
    <row r="106" spans="1:29" x14ac:dyDescent="0.2">
      <c r="A106" t="str">
        <f>INDEX(Prioritization!$D:$D,MATCH($B106,Prioritization!$A:$A,0))</f>
        <v>INVALID</v>
      </c>
      <c r="B106" t="s">
        <v>215</v>
      </c>
      <c r="C106" t="s">
        <v>807</v>
      </c>
      <c r="D106" t="s">
        <v>47</v>
      </c>
      <c r="E106" t="str">
        <f t="shared" si="28"/>
        <v>Mulanje District [umc2n1Z4wNv]|15+|Male</v>
      </c>
      <c r="F106" s="14" t="str">
        <f>IFERROR(1/(1/SUM(SUMIFS(Cascade!$O:$O,Cascade!$B:$B,$B106,Cascade!$C:$C,IF($C106="&lt;15",{"=&lt;01","01-09","10-14"},{"15-24","25-34","35-49","50+"}),Cascade!$D:$D,$D106))),"")</f>
        <v/>
      </c>
      <c r="G106" s="14" t="str">
        <f>IFERROR(1/(1/SUM(SUMIFS(Cascade!$AX:$AX,Cascade!$B:$B,$B106,Cascade!$C:$C,IF($C106="&lt;15",{"=&lt;01","01-09","10-14"},{"15-24","25-34","35-49","50+"}),Cascade!$D:$D,$D106))),"")</f>
        <v/>
      </c>
      <c r="H106" s="90">
        <f>1</f>
        <v>1</v>
      </c>
      <c r="I106" s="90">
        <f>1</f>
        <v>1</v>
      </c>
      <c r="J106" s="90"/>
      <c r="K106" s="90"/>
      <c r="L106" s="42" t="str">
        <f t="shared" si="29"/>
        <v/>
      </c>
      <c r="M106" s="42" t="str">
        <f t="shared" si="30"/>
        <v/>
      </c>
      <c r="N106" s="42" t="str">
        <f t="shared" si="31"/>
        <v/>
      </c>
      <c r="O106" s="42" t="str">
        <f t="shared" si="32"/>
        <v/>
      </c>
      <c r="P106" s="14">
        <v>15</v>
      </c>
      <c r="Q106" s="14"/>
      <c r="R106" s="14">
        <v>816</v>
      </c>
      <c r="S106" s="14">
        <f t="shared" si="33"/>
        <v>831</v>
      </c>
      <c r="T106" s="90" t="str">
        <f t="shared" si="34"/>
        <v/>
      </c>
      <c r="U106" s="90">
        <f>1</f>
        <v>1</v>
      </c>
      <c r="V106" s="90">
        <f>1</f>
        <v>1</v>
      </c>
      <c r="W106" s="42" t="str">
        <f t="shared" si="35"/>
        <v/>
      </c>
      <c r="X106" s="42" t="str">
        <f t="shared" si="36"/>
        <v/>
      </c>
      <c r="Y106" s="90">
        <f t="shared" si="37"/>
        <v>0.9</v>
      </c>
      <c r="Z106" s="42" t="str">
        <f t="shared" si="38"/>
        <v/>
      </c>
      <c r="AA106" s="42" t="str">
        <f t="shared" si="39"/>
        <v/>
      </c>
      <c r="AB106" s="90" t="str">
        <f t="shared" si="40"/>
        <v/>
      </c>
      <c r="AC106" s="90">
        <f t="shared" si="41"/>
        <v>-1</v>
      </c>
    </row>
    <row r="107" spans="1:29" x14ac:dyDescent="0.2">
      <c r="A107" t="str">
        <f>INDEX(Prioritization!$D:$D,MATCH($B107,Prioritization!$A:$A,0))</f>
        <v>INVALID</v>
      </c>
      <c r="B107" t="s">
        <v>216</v>
      </c>
      <c r="C107" t="s">
        <v>806</v>
      </c>
      <c r="D107" t="s">
        <v>29</v>
      </c>
      <c r="E107" t="str">
        <f t="shared" si="28"/>
        <v>Mwanza District [wNqJp8oRIcF]|&lt;15|Female</v>
      </c>
      <c r="F107" s="14">
        <f>IFERROR(1/(1/SUM(SUMIFS(Cascade!$O:$O,Cascade!$B:$B,$B107,Cascade!$C:$C,IF($C107="&lt;15",{"=&lt;01","01-09","10-14"},{"15-24","25-34","35-49","50+"}),Cascade!$D:$D,$D107))),"")</f>
        <v>1</v>
      </c>
      <c r="G107" s="14" t="str">
        <f>IFERROR(1/(1/SUM(SUMIFS(Cascade!$AX:$AX,Cascade!$B:$B,$B107,Cascade!$C:$C,IF($C107="&lt;15",{"=&lt;01","01-09","10-14"},{"15-24","25-34","35-49","50+"}),Cascade!$D:$D,$D107))),"")</f>
        <v/>
      </c>
      <c r="H107" s="90">
        <f>1</f>
        <v>1</v>
      </c>
      <c r="I107" s="90">
        <f>1</f>
        <v>1</v>
      </c>
      <c r="J107" s="90"/>
      <c r="K107" s="90"/>
      <c r="L107" s="42">
        <f t="shared" si="29"/>
        <v>0</v>
      </c>
      <c r="M107" s="42">
        <f t="shared" si="30"/>
        <v>1</v>
      </c>
      <c r="N107" s="42" t="str">
        <f t="shared" si="31"/>
        <v/>
      </c>
      <c r="O107" s="42" t="str">
        <f t="shared" si="32"/>
        <v/>
      </c>
      <c r="P107" s="14">
        <v>0</v>
      </c>
      <c r="Q107" s="14"/>
      <c r="R107" s="14">
        <v>7</v>
      </c>
      <c r="S107" s="14">
        <f t="shared" si="33"/>
        <v>7</v>
      </c>
      <c r="T107" s="90">
        <f t="shared" si="34"/>
        <v>1</v>
      </c>
      <c r="U107" s="90">
        <f>1</f>
        <v>1</v>
      </c>
      <c r="V107" s="90">
        <f>1</f>
        <v>1</v>
      </c>
      <c r="W107" s="42">
        <f t="shared" si="35"/>
        <v>1</v>
      </c>
      <c r="X107" s="42" t="str">
        <f t="shared" si="36"/>
        <v/>
      </c>
      <c r="Y107" s="90">
        <f t="shared" si="37"/>
        <v>0.9</v>
      </c>
      <c r="Z107" s="42">
        <f t="shared" si="38"/>
        <v>1</v>
      </c>
      <c r="AA107" s="42" t="str">
        <f t="shared" si="39"/>
        <v/>
      </c>
      <c r="AB107" s="90" t="str">
        <f t="shared" si="40"/>
        <v/>
      </c>
      <c r="AC107" s="90">
        <f t="shared" si="41"/>
        <v>-1</v>
      </c>
    </row>
    <row r="108" spans="1:29" x14ac:dyDescent="0.2">
      <c r="A108" t="str">
        <f>INDEX(Prioritization!$D:$D,MATCH($B108,Prioritization!$A:$A,0))</f>
        <v>INVALID</v>
      </c>
      <c r="B108" t="s">
        <v>216</v>
      </c>
      <c r="C108" t="s">
        <v>806</v>
      </c>
      <c r="D108" t="s">
        <v>47</v>
      </c>
      <c r="E108" t="str">
        <f t="shared" si="28"/>
        <v>Mwanza District [wNqJp8oRIcF]|&lt;15|Male</v>
      </c>
      <c r="F108" s="14">
        <f>IFERROR(1/(1/SUM(SUMIFS(Cascade!$O:$O,Cascade!$B:$B,$B108,Cascade!$C:$C,IF($C108="&lt;15",{"=&lt;01","01-09","10-14"},{"15-24","25-34","35-49","50+"}),Cascade!$D:$D,$D108))),"")</f>
        <v>1</v>
      </c>
      <c r="G108" s="14" t="str">
        <f>IFERROR(1/(1/SUM(SUMIFS(Cascade!$AX:$AX,Cascade!$B:$B,$B108,Cascade!$C:$C,IF($C108="&lt;15",{"=&lt;01","01-09","10-14"},{"15-24","25-34","35-49","50+"}),Cascade!$D:$D,$D108))),"")</f>
        <v/>
      </c>
      <c r="H108" s="90">
        <f>1</f>
        <v>1</v>
      </c>
      <c r="I108" s="90">
        <f>1</f>
        <v>1</v>
      </c>
      <c r="J108" s="90"/>
      <c r="K108" s="90"/>
      <c r="L108" s="42">
        <f t="shared" si="29"/>
        <v>0</v>
      </c>
      <c r="M108" s="42">
        <f t="shared" si="30"/>
        <v>1</v>
      </c>
      <c r="N108" s="42" t="str">
        <f t="shared" si="31"/>
        <v/>
      </c>
      <c r="O108" s="42" t="str">
        <f t="shared" si="32"/>
        <v/>
      </c>
      <c r="P108" s="14">
        <v>0</v>
      </c>
      <c r="Q108" s="14"/>
      <c r="R108" s="14">
        <v>5</v>
      </c>
      <c r="S108" s="14">
        <f t="shared" si="33"/>
        <v>5</v>
      </c>
      <c r="T108" s="90">
        <f t="shared" si="34"/>
        <v>1</v>
      </c>
      <c r="U108" s="90">
        <f>1</f>
        <v>1</v>
      </c>
      <c r="V108" s="90">
        <f>1</f>
        <v>1</v>
      </c>
      <c r="W108" s="42">
        <f t="shared" si="35"/>
        <v>1</v>
      </c>
      <c r="X108" s="42" t="str">
        <f t="shared" si="36"/>
        <v/>
      </c>
      <c r="Y108" s="90">
        <f t="shared" si="37"/>
        <v>0.9</v>
      </c>
      <c r="Z108" s="42">
        <f t="shared" si="38"/>
        <v>1</v>
      </c>
      <c r="AA108" s="42" t="str">
        <f t="shared" si="39"/>
        <v/>
      </c>
      <c r="AB108" s="90" t="str">
        <f t="shared" si="40"/>
        <v/>
      </c>
      <c r="AC108" s="90">
        <f t="shared" si="41"/>
        <v>-1</v>
      </c>
    </row>
    <row r="109" spans="1:29" x14ac:dyDescent="0.2">
      <c r="A109" t="str">
        <f>INDEX(Prioritization!$D:$D,MATCH($B109,Prioritization!$A:$A,0))</f>
        <v>INVALID</v>
      </c>
      <c r="B109" t="s">
        <v>216</v>
      </c>
      <c r="C109" t="s">
        <v>807</v>
      </c>
      <c r="D109" t="s">
        <v>29</v>
      </c>
      <c r="E109" t="str">
        <f t="shared" si="28"/>
        <v>Mwanza District [wNqJp8oRIcF]|15+|Female</v>
      </c>
      <c r="F109" s="14" t="str">
        <f>IFERROR(1/(1/SUM(SUMIFS(Cascade!$O:$O,Cascade!$B:$B,$B109,Cascade!$C:$C,IF($C109="&lt;15",{"=&lt;01","01-09","10-14"},{"15-24","25-34","35-49","50+"}),Cascade!$D:$D,$D109))),"")</f>
        <v/>
      </c>
      <c r="G109" s="14" t="str">
        <f>IFERROR(1/(1/SUM(SUMIFS(Cascade!$AX:$AX,Cascade!$B:$B,$B109,Cascade!$C:$C,IF($C109="&lt;15",{"=&lt;01","01-09","10-14"},{"15-24","25-34","35-49","50+"}),Cascade!$D:$D,$D109))),"")</f>
        <v/>
      </c>
      <c r="H109" s="90">
        <f>1</f>
        <v>1</v>
      </c>
      <c r="I109" s="90">
        <f>1</f>
        <v>1</v>
      </c>
      <c r="J109" s="90"/>
      <c r="K109" s="90"/>
      <c r="L109" s="42" t="str">
        <f t="shared" si="29"/>
        <v/>
      </c>
      <c r="M109" s="42" t="str">
        <f t="shared" si="30"/>
        <v/>
      </c>
      <c r="N109" s="42" t="str">
        <f t="shared" si="31"/>
        <v/>
      </c>
      <c r="O109" s="42" t="str">
        <f t="shared" si="32"/>
        <v/>
      </c>
      <c r="P109" s="14">
        <v>98</v>
      </c>
      <c r="Q109" s="14"/>
      <c r="R109" s="14">
        <v>96</v>
      </c>
      <c r="S109" s="14">
        <f t="shared" si="33"/>
        <v>194</v>
      </c>
      <c r="T109" s="90" t="str">
        <f t="shared" si="34"/>
        <v/>
      </c>
      <c r="U109" s="90">
        <f>1</f>
        <v>1</v>
      </c>
      <c r="V109" s="90">
        <f>1</f>
        <v>1</v>
      </c>
      <c r="W109" s="42" t="str">
        <f t="shared" si="35"/>
        <v/>
      </c>
      <c r="X109" s="42" t="str">
        <f t="shared" si="36"/>
        <v/>
      </c>
      <c r="Y109" s="90">
        <f t="shared" si="37"/>
        <v>0.9</v>
      </c>
      <c r="Z109" s="42" t="str">
        <f t="shared" si="38"/>
        <v/>
      </c>
      <c r="AA109" s="42" t="str">
        <f t="shared" si="39"/>
        <v/>
      </c>
      <c r="AB109" s="90" t="str">
        <f t="shared" si="40"/>
        <v/>
      </c>
      <c r="AC109" s="90">
        <f t="shared" si="41"/>
        <v>-1</v>
      </c>
    </row>
    <row r="110" spans="1:29" x14ac:dyDescent="0.2">
      <c r="A110" t="str">
        <f>INDEX(Prioritization!$D:$D,MATCH($B110,Prioritization!$A:$A,0))</f>
        <v>INVALID</v>
      </c>
      <c r="B110" t="s">
        <v>216</v>
      </c>
      <c r="C110" t="s">
        <v>807</v>
      </c>
      <c r="D110" t="s">
        <v>47</v>
      </c>
      <c r="E110" t="str">
        <f t="shared" si="28"/>
        <v>Mwanza District [wNqJp8oRIcF]|15+|Male</v>
      </c>
      <c r="F110" s="14" t="str">
        <f>IFERROR(1/(1/SUM(SUMIFS(Cascade!$O:$O,Cascade!$B:$B,$B110,Cascade!$C:$C,IF($C110="&lt;15",{"=&lt;01","01-09","10-14"},{"15-24","25-34","35-49","50+"}),Cascade!$D:$D,$D110))),"")</f>
        <v/>
      </c>
      <c r="G110" s="14" t="str">
        <f>IFERROR(1/(1/SUM(SUMIFS(Cascade!$AX:$AX,Cascade!$B:$B,$B110,Cascade!$C:$C,IF($C110="&lt;15",{"=&lt;01","01-09","10-14"},{"15-24","25-34","35-49","50+"}),Cascade!$D:$D,$D110))),"")</f>
        <v/>
      </c>
      <c r="H110" s="90">
        <f>1</f>
        <v>1</v>
      </c>
      <c r="I110" s="90">
        <f>1</f>
        <v>1</v>
      </c>
      <c r="J110" s="90"/>
      <c r="K110" s="90"/>
      <c r="L110" s="42" t="str">
        <f t="shared" si="29"/>
        <v/>
      </c>
      <c r="M110" s="42" t="str">
        <f t="shared" si="30"/>
        <v/>
      </c>
      <c r="N110" s="42" t="str">
        <f t="shared" si="31"/>
        <v/>
      </c>
      <c r="O110" s="42" t="str">
        <f t="shared" si="32"/>
        <v/>
      </c>
      <c r="P110" s="14">
        <v>3</v>
      </c>
      <c r="Q110" s="14"/>
      <c r="R110" s="14">
        <v>9</v>
      </c>
      <c r="S110" s="14">
        <f t="shared" si="33"/>
        <v>12</v>
      </c>
      <c r="T110" s="90" t="str">
        <f t="shared" si="34"/>
        <v/>
      </c>
      <c r="U110" s="90">
        <f>1</f>
        <v>1</v>
      </c>
      <c r="V110" s="90">
        <f>1</f>
        <v>1</v>
      </c>
      <c r="W110" s="42" t="str">
        <f t="shared" si="35"/>
        <v/>
      </c>
      <c r="X110" s="42" t="str">
        <f t="shared" si="36"/>
        <v/>
      </c>
      <c r="Y110" s="90">
        <f t="shared" si="37"/>
        <v>0.9</v>
      </c>
      <c r="Z110" s="42" t="str">
        <f t="shared" si="38"/>
        <v/>
      </c>
      <c r="AA110" s="42" t="str">
        <f t="shared" si="39"/>
        <v/>
      </c>
      <c r="AB110" s="90" t="str">
        <f t="shared" si="40"/>
        <v/>
      </c>
      <c r="AC110" s="90">
        <f t="shared" si="41"/>
        <v>-1</v>
      </c>
    </row>
    <row r="111" spans="1:29" x14ac:dyDescent="0.2">
      <c r="A111" t="str">
        <f>INDEX(Prioritization!$D:$D,MATCH($B111,Prioritization!$A:$A,0))</f>
        <v>INVALID</v>
      </c>
      <c r="B111" t="s">
        <v>217</v>
      </c>
      <c r="C111" t="s">
        <v>806</v>
      </c>
      <c r="D111" t="s">
        <v>29</v>
      </c>
      <c r="E111" t="str">
        <f t="shared" ref="E111:E142" si="42">B111&amp;"|"&amp;C111&amp;"|"&amp;D111</f>
        <v>Neno District [gwVYinjBAe9]|&lt;15|Female</v>
      </c>
      <c r="F111" s="14">
        <f>IFERROR(1/(1/SUM(SUMIFS(Cascade!$O:$O,Cascade!$B:$B,$B111,Cascade!$C:$C,IF($C111="&lt;15",{"=&lt;01","01-09","10-14"},{"15-24","25-34","35-49","50+"}),Cascade!$D:$D,$D111))),"")</f>
        <v>5</v>
      </c>
      <c r="G111" s="14" t="str">
        <f>IFERROR(1/(1/SUM(SUMIFS(Cascade!$AX:$AX,Cascade!$B:$B,$B111,Cascade!$C:$C,IF($C111="&lt;15",{"=&lt;01","01-09","10-14"},{"15-24","25-34","35-49","50+"}),Cascade!$D:$D,$D111))),"")</f>
        <v/>
      </c>
      <c r="H111" s="90">
        <f>1</f>
        <v>1</v>
      </c>
      <c r="I111" s="90">
        <f>1</f>
        <v>1</v>
      </c>
      <c r="J111" s="90"/>
      <c r="K111" s="90"/>
      <c r="L111" s="42">
        <f t="shared" ref="L111:L130" si="43">IF(SUM($F111)=0,"",ROUND($F111*$H111*$J111,0))</f>
        <v>0</v>
      </c>
      <c r="M111" s="42">
        <f t="shared" ref="M111:M130" si="44">IF(SUM($F111)=0,"",ROUND($F111*$H111,0)-$L111)</f>
        <v>5</v>
      </c>
      <c r="N111" s="42" t="str">
        <f t="shared" ref="N111:N130" si="45">IF(SUM($G111)=0,"",ROUND($G111*$I111*$K111,0))</f>
        <v/>
      </c>
      <c r="O111" s="42" t="str">
        <f t="shared" ref="O111:O130" si="46">IF(SUM($G111)=0,"",ROUND($G111*$I111,0)-$N111)</f>
        <v/>
      </c>
      <c r="P111" s="14">
        <v>0</v>
      </c>
      <c r="Q111" s="14"/>
      <c r="R111" s="14">
        <v>1</v>
      </c>
      <c r="S111" s="14">
        <f t="shared" ref="S111:S130" si="47">IFERROR(1/(1/SUM($P111,$R111,$Q111)),"")</f>
        <v>1</v>
      </c>
      <c r="T111" s="90">
        <f t="shared" ref="T111:T130" si="48">IF(SUM($F111)=0,"",MIN($S111/$F111,1))</f>
        <v>0.2</v>
      </c>
      <c r="U111" s="90">
        <f>1</f>
        <v>1</v>
      </c>
      <c r="V111" s="90">
        <f>1</f>
        <v>1</v>
      </c>
      <c r="W111" s="42">
        <f t="shared" ref="W111:W130" si="49">IF(SUM($M111)=0,"",IF($T111="","ENTER ELIGIBILITY RATE",IF($U111 = "","ENTER INITIATION RATE",ROUND($M111*$T111*$U111,0))))</f>
        <v>1</v>
      </c>
      <c r="X111" s="42" t="str">
        <f t="shared" ref="X111:X130" si="50">IF(SUM($O111)=0,"",IF($V111="","ENTER INITIATION RATE",ROUND($O111*$V111,0)))</f>
        <v/>
      </c>
      <c r="Y111" s="90">
        <f t="shared" ref="Y111:Y130" si="51">0.9</f>
        <v>0.9</v>
      </c>
      <c r="Z111" s="42">
        <f t="shared" ref="Z111:Z130" si="52">IF(SUM($W111)=0,"",IF($Y111="","ENTER COMPLETION RATE",ROUND($W111*$Y111,0)))</f>
        <v>1</v>
      </c>
      <c r="AA111" s="42" t="str">
        <f t="shared" ref="AA111:AA130" si="53">IF(SUM($X111)=0,"",IF($X111="","ENTER COMPLETION RATE",ROUND($X111*$Y111,0)))</f>
        <v/>
      </c>
      <c r="AB111" s="90" t="str">
        <f t="shared" ref="AB111:AB130" si="54">IF(SUM($Q111)=0,"",(SUM($Z111)-$Q111)/$Q111)</f>
        <v/>
      </c>
      <c r="AC111" s="90">
        <f t="shared" ref="AC111:AC130" si="55">IF(SUM($R111)=0,"",(SUM($AA111)-$R111)/$R111)</f>
        <v>-1</v>
      </c>
    </row>
    <row r="112" spans="1:29" x14ac:dyDescent="0.2">
      <c r="A112" t="str">
        <f>INDEX(Prioritization!$D:$D,MATCH($B112,Prioritization!$A:$A,0))</f>
        <v>INVALID</v>
      </c>
      <c r="B112" t="s">
        <v>217</v>
      </c>
      <c r="C112" t="s">
        <v>806</v>
      </c>
      <c r="D112" t="s">
        <v>47</v>
      </c>
      <c r="E112" t="str">
        <f t="shared" si="42"/>
        <v>Neno District [gwVYinjBAe9]|&lt;15|Male</v>
      </c>
      <c r="F112" s="14">
        <f>IFERROR(1/(1/SUM(SUMIFS(Cascade!$O:$O,Cascade!$B:$B,$B112,Cascade!$C:$C,IF($C112="&lt;15",{"=&lt;01","01-09","10-14"},{"15-24","25-34","35-49","50+"}),Cascade!$D:$D,$D112))),"")</f>
        <v>4</v>
      </c>
      <c r="G112" s="14" t="str">
        <f>IFERROR(1/(1/SUM(SUMIFS(Cascade!$AX:$AX,Cascade!$B:$B,$B112,Cascade!$C:$C,IF($C112="&lt;15",{"=&lt;01","01-09","10-14"},{"15-24","25-34","35-49","50+"}),Cascade!$D:$D,$D112))),"")</f>
        <v/>
      </c>
      <c r="H112" s="90">
        <f>1</f>
        <v>1</v>
      </c>
      <c r="I112" s="90">
        <f>1</f>
        <v>1</v>
      </c>
      <c r="J112" s="90"/>
      <c r="K112" s="90"/>
      <c r="L112" s="42">
        <f t="shared" si="43"/>
        <v>0</v>
      </c>
      <c r="M112" s="42">
        <f t="shared" si="44"/>
        <v>4</v>
      </c>
      <c r="N112" s="42" t="str">
        <f t="shared" si="45"/>
        <v/>
      </c>
      <c r="O112" s="42" t="str">
        <f t="shared" si="46"/>
        <v/>
      </c>
      <c r="P112" s="14">
        <v>0</v>
      </c>
      <c r="Q112" s="14"/>
      <c r="R112" s="14">
        <v>1</v>
      </c>
      <c r="S112" s="14">
        <f t="shared" si="47"/>
        <v>1</v>
      </c>
      <c r="T112" s="90">
        <f t="shared" si="48"/>
        <v>0.25</v>
      </c>
      <c r="U112" s="90">
        <f>1</f>
        <v>1</v>
      </c>
      <c r="V112" s="90">
        <f>1</f>
        <v>1</v>
      </c>
      <c r="W112" s="42">
        <f t="shared" si="49"/>
        <v>1</v>
      </c>
      <c r="X112" s="42" t="str">
        <f t="shared" si="50"/>
        <v/>
      </c>
      <c r="Y112" s="90">
        <f t="shared" si="51"/>
        <v>0.9</v>
      </c>
      <c r="Z112" s="42">
        <f t="shared" si="52"/>
        <v>1</v>
      </c>
      <c r="AA112" s="42" t="str">
        <f t="shared" si="53"/>
        <v/>
      </c>
      <c r="AB112" s="90" t="str">
        <f t="shared" si="54"/>
        <v/>
      </c>
      <c r="AC112" s="90">
        <f t="shared" si="55"/>
        <v>-1</v>
      </c>
    </row>
    <row r="113" spans="1:29" x14ac:dyDescent="0.2">
      <c r="A113" t="str">
        <f>INDEX(Prioritization!$D:$D,MATCH($B113,Prioritization!$A:$A,0))</f>
        <v>INVALID</v>
      </c>
      <c r="B113" t="s">
        <v>217</v>
      </c>
      <c r="C113" t="s">
        <v>807</v>
      </c>
      <c r="D113" t="s">
        <v>29</v>
      </c>
      <c r="E113" t="str">
        <f t="shared" si="42"/>
        <v>Neno District [gwVYinjBAe9]|15+|Female</v>
      </c>
      <c r="F113" s="14" t="str">
        <f>IFERROR(1/(1/SUM(SUMIFS(Cascade!$O:$O,Cascade!$B:$B,$B113,Cascade!$C:$C,IF($C113="&lt;15",{"=&lt;01","01-09","10-14"},{"15-24","25-34","35-49","50+"}),Cascade!$D:$D,$D113))),"")</f>
        <v/>
      </c>
      <c r="G113" s="14" t="str">
        <f>IFERROR(1/(1/SUM(SUMIFS(Cascade!$AX:$AX,Cascade!$B:$B,$B113,Cascade!$C:$C,IF($C113="&lt;15",{"=&lt;01","01-09","10-14"},{"15-24","25-34","35-49","50+"}),Cascade!$D:$D,$D113))),"")</f>
        <v/>
      </c>
      <c r="H113" s="90">
        <f>1</f>
        <v>1</v>
      </c>
      <c r="I113" s="90">
        <f>1</f>
        <v>1</v>
      </c>
      <c r="J113" s="90"/>
      <c r="K113" s="90"/>
      <c r="L113" s="42" t="str">
        <f t="shared" si="43"/>
        <v/>
      </c>
      <c r="M113" s="42" t="str">
        <f t="shared" si="44"/>
        <v/>
      </c>
      <c r="N113" s="42" t="str">
        <f t="shared" si="45"/>
        <v/>
      </c>
      <c r="O113" s="42" t="str">
        <f t="shared" si="46"/>
        <v/>
      </c>
      <c r="P113" s="14">
        <v>8</v>
      </c>
      <c r="Q113" s="14"/>
      <c r="R113" s="14">
        <v>4</v>
      </c>
      <c r="S113" s="14">
        <f t="shared" si="47"/>
        <v>12</v>
      </c>
      <c r="T113" s="90" t="str">
        <f t="shared" si="48"/>
        <v/>
      </c>
      <c r="U113" s="90">
        <f>1</f>
        <v>1</v>
      </c>
      <c r="V113" s="90">
        <f>1</f>
        <v>1</v>
      </c>
      <c r="W113" s="42" t="str">
        <f t="shared" si="49"/>
        <v/>
      </c>
      <c r="X113" s="42" t="str">
        <f t="shared" si="50"/>
        <v/>
      </c>
      <c r="Y113" s="90">
        <f t="shared" si="51"/>
        <v>0.9</v>
      </c>
      <c r="Z113" s="42" t="str">
        <f t="shared" si="52"/>
        <v/>
      </c>
      <c r="AA113" s="42" t="str">
        <f t="shared" si="53"/>
        <v/>
      </c>
      <c r="AB113" s="90" t="str">
        <f t="shared" si="54"/>
        <v/>
      </c>
      <c r="AC113" s="90">
        <f t="shared" si="55"/>
        <v>-1</v>
      </c>
    </row>
    <row r="114" spans="1:29" x14ac:dyDescent="0.2">
      <c r="A114" t="str">
        <f>INDEX(Prioritization!$D:$D,MATCH($B114,Prioritization!$A:$A,0))</f>
        <v>INVALID</v>
      </c>
      <c r="B114" t="s">
        <v>217</v>
      </c>
      <c r="C114" t="s">
        <v>807</v>
      </c>
      <c r="D114" t="s">
        <v>47</v>
      </c>
      <c r="E114" t="str">
        <f t="shared" si="42"/>
        <v>Neno District [gwVYinjBAe9]|15+|Male</v>
      </c>
      <c r="F114" s="14" t="str">
        <f>IFERROR(1/(1/SUM(SUMIFS(Cascade!$O:$O,Cascade!$B:$B,$B114,Cascade!$C:$C,IF($C114="&lt;15",{"=&lt;01","01-09","10-14"},{"15-24","25-34","35-49","50+"}),Cascade!$D:$D,$D114))),"")</f>
        <v/>
      </c>
      <c r="G114" s="14" t="str">
        <f>IFERROR(1/(1/SUM(SUMIFS(Cascade!$AX:$AX,Cascade!$B:$B,$B114,Cascade!$C:$C,IF($C114="&lt;15",{"=&lt;01","01-09","10-14"},{"15-24","25-34","35-49","50+"}),Cascade!$D:$D,$D114))),"")</f>
        <v/>
      </c>
      <c r="H114" s="90">
        <f>1</f>
        <v>1</v>
      </c>
      <c r="I114" s="90">
        <f>1</f>
        <v>1</v>
      </c>
      <c r="J114" s="90"/>
      <c r="K114" s="90"/>
      <c r="L114" s="42" t="str">
        <f t="shared" si="43"/>
        <v/>
      </c>
      <c r="M114" s="42" t="str">
        <f t="shared" si="44"/>
        <v/>
      </c>
      <c r="N114" s="42" t="str">
        <f t="shared" si="45"/>
        <v/>
      </c>
      <c r="O114" s="42" t="str">
        <f t="shared" si="46"/>
        <v/>
      </c>
      <c r="P114" s="14">
        <v>1</v>
      </c>
      <c r="Q114" s="14"/>
      <c r="R114" s="14">
        <v>1</v>
      </c>
      <c r="S114" s="14">
        <f t="shared" si="47"/>
        <v>2</v>
      </c>
      <c r="T114" s="90" t="str">
        <f t="shared" si="48"/>
        <v/>
      </c>
      <c r="U114" s="90">
        <f>1</f>
        <v>1</v>
      </c>
      <c r="V114" s="90">
        <f>1</f>
        <v>1</v>
      </c>
      <c r="W114" s="42" t="str">
        <f t="shared" si="49"/>
        <v/>
      </c>
      <c r="X114" s="42" t="str">
        <f t="shared" si="50"/>
        <v/>
      </c>
      <c r="Y114" s="90">
        <f t="shared" si="51"/>
        <v>0.9</v>
      </c>
      <c r="Z114" s="42" t="str">
        <f t="shared" si="52"/>
        <v/>
      </c>
      <c r="AA114" s="42" t="str">
        <f t="shared" si="53"/>
        <v/>
      </c>
      <c r="AB114" s="90" t="str">
        <f t="shared" si="54"/>
        <v/>
      </c>
      <c r="AC114" s="90">
        <f t="shared" si="55"/>
        <v>-1</v>
      </c>
    </row>
    <row r="115" spans="1:29" x14ac:dyDescent="0.2">
      <c r="A115" t="str">
        <f>INDEX(Prioritization!$D:$D,MATCH($B115,Prioritization!$A:$A,0))</f>
        <v>INVALID</v>
      </c>
      <c r="B115" t="s">
        <v>218</v>
      </c>
      <c r="C115" t="s">
        <v>806</v>
      </c>
      <c r="D115" t="s">
        <v>29</v>
      </c>
      <c r="E115" t="str">
        <f t="shared" si="42"/>
        <v>Nsanje District [rpw540fmNUz]|&lt;15|Female</v>
      </c>
      <c r="F115" s="14">
        <f>IFERROR(1/(1/SUM(SUMIFS(Cascade!$O:$O,Cascade!$B:$B,$B115,Cascade!$C:$C,IF($C115="&lt;15",{"=&lt;01","01-09","10-14"},{"15-24","25-34","35-49","50+"}),Cascade!$D:$D,$D115))),"")</f>
        <v>1</v>
      </c>
      <c r="G115" s="14" t="str">
        <f>IFERROR(1/(1/SUM(SUMIFS(Cascade!$AX:$AX,Cascade!$B:$B,$B115,Cascade!$C:$C,IF($C115="&lt;15",{"=&lt;01","01-09","10-14"},{"15-24","25-34","35-49","50+"}),Cascade!$D:$D,$D115))),"")</f>
        <v/>
      </c>
      <c r="H115" s="90">
        <f>1</f>
        <v>1</v>
      </c>
      <c r="I115" s="90">
        <f>1</f>
        <v>1</v>
      </c>
      <c r="J115" s="90"/>
      <c r="K115" s="90"/>
      <c r="L115" s="42">
        <f t="shared" si="43"/>
        <v>0</v>
      </c>
      <c r="M115" s="42">
        <f t="shared" si="44"/>
        <v>1</v>
      </c>
      <c r="N115" s="42" t="str">
        <f t="shared" si="45"/>
        <v/>
      </c>
      <c r="O115" s="42" t="str">
        <f t="shared" si="46"/>
        <v/>
      </c>
      <c r="P115" s="14">
        <v>2</v>
      </c>
      <c r="Q115" s="14"/>
      <c r="R115" s="14">
        <v>1</v>
      </c>
      <c r="S115" s="14">
        <f t="shared" si="47"/>
        <v>3</v>
      </c>
      <c r="T115" s="90">
        <f t="shared" si="48"/>
        <v>1</v>
      </c>
      <c r="U115" s="90">
        <f>1</f>
        <v>1</v>
      </c>
      <c r="V115" s="90">
        <f>1</f>
        <v>1</v>
      </c>
      <c r="W115" s="42">
        <f t="shared" si="49"/>
        <v>1</v>
      </c>
      <c r="X115" s="42" t="str">
        <f t="shared" si="50"/>
        <v/>
      </c>
      <c r="Y115" s="90">
        <f t="shared" si="51"/>
        <v>0.9</v>
      </c>
      <c r="Z115" s="42">
        <f t="shared" si="52"/>
        <v>1</v>
      </c>
      <c r="AA115" s="42" t="str">
        <f t="shared" si="53"/>
        <v/>
      </c>
      <c r="AB115" s="90" t="str">
        <f t="shared" si="54"/>
        <v/>
      </c>
      <c r="AC115" s="90">
        <f t="shared" si="55"/>
        <v>-1</v>
      </c>
    </row>
    <row r="116" spans="1:29" x14ac:dyDescent="0.2">
      <c r="A116" t="str">
        <f>INDEX(Prioritization!$D:$D,MATCH($B116,Prioritization!$A:$A,0))</f>
        <v>INVALID</v>
      </c>
      <c r="B116" t="s">
        <v>218</v>
      </c>
      <c r="C116" t="s">
        <v>806</v>
      </c>
      <c r="D116" t="s">
        <v>47</v>
      </c>
      <c r="E116" t="str">
        <f t="shared" si="42"/>
        <v>Nsanje District [rpw540fmNUz]|&lt;15|Male</v>
      </c>
      <c r="F116" s="14">
        <f>IFERROR(1/(1/SUM(SUMIFS(Cascade!$O:$O,Cascade!$B:$B,$B116,Cascade!$C:$C,IF($C116="&lt;15",{"=&lt;01","01-09","10-14"},{"15-24","25-34","35-49","50+"}),Cascade!$D:$D,$D116))),"")</f>
        <v>1</v>
      </c>
      <c r="G116" s="14" t="str">
        <f>IFERROR(1/(1/SUM(SUMIFS(Cascade!$AX:$AX,Cascade!$B:$B,$B116,Cascade!$C:$C,IF($C116="&lt;15",{"=&lt;01","01-09","10-14"},{"15-24","25-34","35-49","50+"}),Cascade!$D:$D,$D116))),"")</f>
        <v/>
      </c>
      <c r="H116" s="90">
        <f>1</f>
        <v>1</v>
      </c>
      <c r="I116" s="90">
        <f>1</f>
        <v>1</v>
      </c>
      <c r="J116" s="90"/>
      <c r="K116" s="90"/>
      <c r="L116" s="42">
        <f t="shared" si="43"/>
        <v>0</v>
      </c>
      <c r="M116" s="42">
        <f t="shared" si="44"/>
        <v>1</v>
      </c>
      <c r="N116" s="42" t="str">
        <f t="shared" si="45"/>
        <v/>
      </c>
      <c r="O116" s="42" t="str">
        <f t="shared" si="46"/>
        <v/>
      </c>
      <c r="P116" s="14">
        <v>9</v>
      </c>
      <c r="Q116" s="14"/>
      <c r="R116" s="14">
        <v>1</v>
      </c>
      <c r="S116" s="14">
        <f t="shared" si="47"/>
        <v>10</v>
      </c>
      <c r="T116" s="90">
        <f t="shared" si="48"/>
        <v>1</v>
      </c>
      <c r="U116" s="90">
        <f>1</f>
        <v>1</v>
      </c>
      <c r="V116" s="90">
        <f>1</f>
        <v>1</v>
      </c>
      <c r="W116" s="42">
        <f t="shared" si="49"/>
        <v>1</v>
      </c>
      <c r="X116" s="42" t="str">
        <f t="shared" si="50"/>
        <v/>
      </c>
      <c r="Y116" s="90">
        <f t="shared" si="51"/>
        <v>0.9</v>
      </c>
      <c r="Z116" s="42">
        <f t="shared" si="52"/>
        <v>1</v>
      </c>
      <c r="AA116" s="42" t="str">
        <f t="shared" si="53"/>
        <v/>
      </c>
      <c r="AB116" s="90" t="str">
        <f t="shared" si="54"/>
        <v/>
      </c>
      <c r="AC116" s="90">
        <f t="shared" si="55"/>
        <v>-1</v>
      </c>
    </row>
    <row r="117" spans="1:29" x14ac:dyDescent="0.2">
      <c r="A117" t="str">
        <f>INDEX(Prioritization!$D:$D,MATCH($B117,Prioritization!$A:$A,0))</f>
        <v>INVALID</v>
      </c>
      <c r="B117" t="s">
        <v>218</v>
      </c>
      <c r="C117" t="s">
        <v>807</v>
      </c>
      <c r="D117" t="s">
        <v>29</v>
      </c>
      <c r="E117" t="str">
        <f t="shared" si="42"/>
        <v>Nsanje District [rpw540fmNUz]|15+|Female</v>
      </c>
      <c r="F117" s="14" t="str">
        <f>IFERROR(1/(1/SUM(SUMIFS(Cascade!$O:$O,Cascade!$B:$B,$B117,Cascade!$C:$C,IF($C117="&lt;15",{"=&lt;01","01-09","10-14"},{"15-24","25-34","35-49","50+"}),Cascade!$D:$D,$D117))),"")</f>
        <v/>
      </c>
      <c r="G117" s="14" t="str">
        <f>IFERROR(1/(1/SUM(SUMIFS(Cascade!$AX:$AX,Cascade!$B:$B,$B117,Cascade!$C:$C,IF($C117="&lt;15",{"=&lt;01","01-09","10-14"},{"15-24","25-34","35-49","50+"}),Cascade!$D:$D,$D117))),"")</f>
        <v/>
      </c>
      <c r="H117" s="90">
        <f>1</f>
        <v>1</v>
      </c>
      <c r="I117" s="90">
        <f>1</f>
        <v>1</v>
      </c>
      <c r="J117" s="90"/>
      <c r="K117" s="90"/>
      <c r="L117" s="42" t="str">
        <f t="shared" si="43"/>
        <v/>
      </c>
      <c r="M117" s="42" t="str">
        <f t="shared" si="44"/>
        <v/>
      </c>
      <c r="N117" s="42" t="str">
        <f t="shared" si="45"/>
        <v/>
      </c>
      <c r="O117" s="42" t="str">
        <f t="shared" si="46"/>
        <v/>
      </c>
      <c r="P117" s="14">
        <v>847</v>
      </c>
      <c r="Q117" s="14"/>
      <c r="R117" s="14">
        <v>50</v>
      </c>
      <c r="S117" s="14">
        <f t="shared" si="47"/>
        <v>897</v>
      </c>
      <c r="T117" s="90" t="str">
        <f t="shared" si="48"/>
        <v/>
      </c>
      <c r="U117" s="90">
        <f>1</f>
        <v>1</v>
      </c>
      <c r="V117" s="90">
        <f>1</f>
        <v>1</v>
      </c>
      <c r="W117" s="42" t="str">
        <f t="shared" si="49"/>
        <v/>
      </c>
      <c r="X117" s="42" t="str">
        <f t="shared" si="50"/>
        <v/>
      </c>
      <c r="Y117" s="90">
        <f t="shared" si="51"/>
        <v>0.9</v>
      </c>
      <c r="Z117" s="42" t="str">
        <f t="shared" si="52"/>
        <v/>
      </c>
      <c r="AA117" s="42" t="str">
        <f t="shared" si="53"/>
        <v/>
      </c>
      <c r="AB117" s="90" t="str">
        <f t="shared" si="54"/>
        <v/>
      </c>
      <c r="AC117" s="90">
        <f t="shared" si="55"/>
        <v>-1</v>
      </c>
    </row>
    <row r="118" spans="1:29" x14ac:dyDescent="0.2">
      <c r="A118" t="str">
        <f>INDEX(Prioritization!$D:$D,MATCH($B118,Prioritization!$A:$A,0))</f>
        <v>INVALID</v>
      </c>
      <c r="B118" t="s">
        <v>218</v>
      </c>
      <c r="C118" t="s">
        <v>807</v>
      </c>
      <c r="D118" t="s">
        <v>47</v>
      </c>
      <c r="E118" t="str">
        <f t="shared" si="42"/>
        <v>Nsanje District [rpw540fmNUz]|15+|Male</v>
      </c>
      <c r="F118" s="14" t="str">
        <f>IFERROR(1/(1/SUM(SUMIFS(Cascade!$O:$O,Cascade!$B:$B,$B118,Cascade!$C:$C,IF($C118="&lt;15",{"=&lt;01","01-09","10-14"},{"15-24","25-34","35-49","50+"}),Cascade!$D:$D,$D118))),"")</f>
        <v/>
      </c>
      <c r="G118" s="14" t="str">
        <f>IFERROR(1/(1/SUM(SUMIFS(Cascade!$AX:$AX,Cascade!$B:$B,$B118,Cascade!$C:$C,IF($C118="&lt;15",{"=&lt;01","01-09","10-14"},{"15-24","25-34","35-49","50+"}),Cascade!$D:$D,$D118))),"")</f>
        <v/>
      </c>
      <c r="H118" s="90">
        <f>1</f>
        <v>1</v>
      </c>
      <c r="I118" s="90">
        <f>1</f>
        <v>1</v>
      </c>
      <c r="J118" s="90"/>
      <c r="K118" s="90"/>
      <c r="L118" s="42" t="str">
        <f t="shared" si="43"/>
        <v/>
      </c>
      <c r="M118" s="42" t="str">
        <f t="shared" si="44"/>
        <v/>
      </c>
      <c r="N118" s="42" t="str">
        <f t="shared" si="45"/>
        <v/>
      </c>
      <c r="O118" s="42" t="str">
        <f t="shared" si="46"/>
        <v/>
      </c>
      <c r="P118" s="14">
        <v>77</v>
      </c>
      <c r="Q118" s="14"/>
      <c r="R118" s="14">
        <v>30</v>
      </c>
      <c r="S118" s="14">
        <f t="shared" si="47"/>
        <v>107.00000000000001</v>
      </c>
      <c r="T118" s="90" t="str">
        <f t="shared" si="48"/>
        <v/>
      </c>
      <c r="U118" s="90">
        <f>1</f>
        <v>1</v>
      </c>
      <c r="V118" s="90">
        <f>1</f>
        <v>1</v>
      </c>
      <c r="W118" s="42" t="str">
        <f t="shared" si="49"/>
        <v/>
      </c>
      <c r="X118" s="42" t="str">
        <f t="shared" si="50"/>
        <v/>
      </c>
      <c r="Y118" s="90">
        <f t="shared" si="51"/>
        <v>0.9</v>
      </c>
      <c r="Z118" s="42" t="str">
        <f t="shared" si="52"/>
        <v/>
      </c>
      <c r="AA118" s="42" t="str">
        <f t="shared" si="53"/>
        <v/>
      </c>
      <c r="AB118" s="90" t="str">
        <f t="shared" si="54"/>
        <v/>
      </c>
      <c r="AC118" s="90">
        <f t="shared" si="55"/>
        <v>-1</v>
      </c>
    </row>
    <row r="119" spans="1:29" x14ac:dyDescent="0.2">
      <c r="A119" t="str">
        <f>INDEX(Prioritization!$D:$D,MATCH($B119,Prioritization!$A:$A,0))</f>
        <v>INVALID</v>
      </c>
      <c r="B119" t="s">
        <v>219</v>
      </c>
      <c r="C119" t="s">
        <v>806</v>
      </c>
      <c r="D119" t="s">
        <v>29</v>
      </c>
      <c r="E119" t="str">
        <f t="shared" si="42"/>
        <v>Phalombe District [AZyWpGzhcaA]|&lt;15|Female</v>
      </c>
      <c r="F119" s="14">
        <f>IFERROR(1/(1/SUM(SUMIFS(Cascade!$O:$O,Cascade!$B:$B,$B119,Cascade!$C:$C,IF($C119="&lt;15",{"=&lt;01","01-09","10-14"},{"15-24","25-34","35-49","50+"}),Cascade!$D:$D,$D119))),"")</f>
        <v>1</v>
      </c>
      <c r="G119" s="14">
        <f>IFERROR(1/(1/SUM(SUMIFS(Cascade!$AX:$AX,Cascade!$B:$B,$B119,Cascade!$C:$C,IF($C119="&lt;15",{"=&lt;01","01-09","10-14"},{"15-24","25-34","35-49","50+"}),Cascade!$D:$D,$D119))),"")</f>
        <v>1</v>
      </c>
      <c r="H119" s="90">
        <f>1</f>
        <v>1</v>
      </c>
      <c r="I119" s="90">
        <f>1</f>
        <v>1</v>
      </c>
      <c r="J119" s="90"/>
      <c r="K119" s="90"/>
      <c r="L119" s="42">
        <f t="shared" si="43"/>
        <v>0</v>
      </c>
      <c r="M119" s="42">
        <f t="shared" si="44"/>
        <v>1</v>
      </c>
      <c r="N119" s="42">
        <f t="shared" si="45"/>
        <v>0</v>
      </c>
      <c r="O119" s="42">
        <f t="shared" si="46"/>
        <v>1</v>
      </c>
      <c r="P119" s="14">
        <v>0</v>
      </c>
      <c r="Q119" s="14"/>
      <c r="R119" s="14">
        <v>4</v>
      </c>
      <c r="S119" s="14">
        <f t="shared" si="47"/>
        <v>4</v>
      </c>
      <c r="T119" s="90">
        <f t="shared" si="48"/>
        <v>1</v>
      </c>
      <c r="U119" s="90">
        <f>1</f>
        <v>1</v>
      </c>
      <c r="V119" s="90">
        <f>1</f>
        <v>1</v>
      </c>
      <c r="W119" s="42">
        <f t="shared" si="49"/>
        <v>1</v>
      </c>
      <c r="X119" s="42">
        <f t="shared" si="50"/>
        <v>1</v>
      </c>
      <c r="Y119" s="90">
        <f t="shared" si="51"/>
        <v>0.9</v>
      </c>
      <c r="Z119" s="42">
        <f t="shared" si="52"/>
        <v>1</v>
      </c>
      <c r="AA119" s="42">
        <f t="shared" si="53"/>
        <v>1</v>
      </c>
      <c r="AB119" s="90" t="str">
        <f t="shared" si="54"/>
        <v/>
      </c>
      <c r="AC119" s="90">
        <f t="shared" si="55"/>
        <v>-0.75</v>
      </c>
    </row>
    <row r="120" spans="1:29" x14ac:dyDescent="0.2">
      <c r="A120" t="str">
        <f>INDEX(Prioritization!$D:$D,MATCH($B120,Prioritization!$A:$A,0))</f>
        <v>INVALID</v>
      </c>
      <c r="B120" t="s">
        <v>219</v>
      </c>
      <c r="C120" t="s">
        <v>806</v>
      </c>
      <c r="D120" t="s">
        <v>47</v>
      </c>
      <c r="E120" t="str">
        <f t="shared" si="42"/>
        <v>Phalombe District [AZyWpGzhcaA]|&lt;15|Male</v>
      </c>
      <c r="F120" s="14">
        <f>IFERROR(1/(1/SUM(SUMIFS(Cascade!$O:$O,Cascade!$B:$B,$B120,Cascade!$C:$C,IF($C120="&lt;15",{"=&lt;01","01-09","10-14"},{"15-24","25-34","35-49","50+"}),Cascade!$D:$D,$D120))),"")</f>
        <v>1</v>
      </c>
      <c r="G120" s="14">
        <f>IFERROR(1/(1/SUM(SUMIFS(Cascade!$AX:$AX,Cascade!$B:$B,$B120,Cascade!$C:$C,IF($C120="&lt;15",{"=&lt;01","01-09","10-14"},{"15-24","25-34","35-49","50+"}),Cascade!$D:$D,$D120))),"")</f>
        <v>1</v>
      </c>
      <c r="H120" s="90">
        <f>1</f>
        <v>1</v>
      </c>
      <c r="I120" s="90">
        <f>1</f>
        <v>1</v>
      </c>
      <c r="J120" s="90"/>
      <c r="K120" s="90"/>
      <c r="L120" s="42">
        <f t="shared" si="43"/>
        <v>0</v>
      </c>
      <c r="M120" s="42">
        <f t="shared" si="44"/>
        <v>1</v>
      </c>
      <c r="N120" s="42">
        <f t="shared" si="45"/>
        <v>0</v>
      </c>
      <c r="O120" s="42">
        <f t="shared" si="46"/>
        <v>1</v>
      </c>
      <c r="P120" s="14">
        <v>0</v>
      </c>
      <c r="Q120" s="14"/>
      <c r="R120" s="14">
        <v>0</v>
      </c>
      <c r="S120" s="14" t="str">
        <f t="shared" si="47"/>
        <v/>
      </c>
      <c r="T120" s="90" t="e">
        <f t="shared" si="48"/>
        <v>#VALUE!</v>
      </c>
      <c r="U120" s="90">
        <f>1</f>
        <v>1</v>
      </c>
      <c r="V120" s="90">
        <f>1</f>
        <v>1</v>
      </c>
      <c r="W120" s="42" t="e">
        <f t="shared" si="49"/>
        <v>#VALUE!</v>
      </c>
      <c r="X120" s="42">
        <f t="shared" si="50"/>
        <v>1</v>
      </c>
      <c r="Y120" s="90">
        <f t="shared" si="51"/>
        <v>0.9</v>
      </c>
      <c r="Z120" s="42" t="e">
        <f t="shared" si="52"/>
        <v>#VALUE!</v>
      </c>
      <c r="AA120" s="42">
        <f t="shared" si="53"/>
        <v>1</v>
      </c>
      <c r="AB120" s="90" t="str">
        <f t="shared" si="54"/>
        <v/>
      </c>
      <c r="AC120" s="90" t="str">
        <f t="shared" si="55"/>
        <v/>
      </c>
    </row>
    <row r="121" spans="1:29" x14ac:dyDescent="0.2">
      <c r="A121" t="str">
        <f>INDEX(Prioritization!$D:$D,MATCH($B121,Prioritization!$A:$A,0))</f>
        <v>INVALID</v>
      </c>
      <c r="B121" t="s">
        <v>219</v>
      </c>
      <c r="C121" t="s">
        <v>807</v>
      </c>
      <c r="D121" t="s">
        <v>29</v>
      </c>
      <c r="E121" t="str">
        <f t="shared" si="42"/>
        <v>Phalombe District [AZyWpGzhcaA]|15+|Female</v>
      </c>
      <c r="F121" s="14" t="str">
        <f>IFERROR(1/(1/SUM(SUMIFS(Cascade!$O:$O,Cascade!$B:$B,$B121,Cascade!$C:$C,IF($C121="&lt;15",{"=&lt;01","01-09","10-14"},{"15-24","25-34","35-49","50+"}),Cascade!$D:$D,$D121))),"")</f>
        <v/>
      </c>
      <c r="G121" s="14" t="str">
        <f>IFERROR(1/(1/SUM(SUMIFS(Cascade!$AX:$AX,Cascade!$B:$B,$B121,Cascade!$C:$C,IF($C121="&lt;15",{"=&lt;01","01-09","10-14"},{"15-24","25-34","35-49","50+"}),Cascade!$D:$D,$D121))),"")</f>
        <v/>
      </c>
      <c r="H121" s="90">
        <f>1</f>
        <v>1</v>
      </c>
      <c r="I121" s="90">
        <f>1</f>
        <v>1</v>
      </c>
      <c r="J121" s="90"/>
      <c r="K121" s="90"/>
      <c r="L121" s="42" t="str">
        <f t="shared" si="43"/>
        <v/>
      </c>
      <c r="M121" s="42" t="str">
        <f t="shared" si="44"/>
        <v/>
      </c>
      <c r="N121" s="42" t="str">
        <f t="shared" si="45"/>
        <v/>
      </c>
      <c r="O121" s="42" t="str">
        <f t="shared" si="46"/>
        <v/>
      </c>
      <c r="P121" s="14">
        <v>96</v>
      </c>
      <c r="Q121" s="14"/>
      <c r="R121" s="14">
        <v>65</v>
      </c>
      <c r="S121" s="14">
        <f t="shared" si="47"/>
        <v>161</v>
      </c>
      <c r="T121" s="90" t="str">
        <f t="shared" si="48"/>
        <v/>
      </c>
      <c r="U121" s="90">
        <f>1</f>
        <v>1</v>
      </c>
      <c r="V121" s="90">
        <f>1</f>
        <v>1</v>
      </c>
      <c r="W121" s="42" t="str">
        <f t="shared" si="49"/>
        <v/>
      </c>
      <c r="X121" s="42" t="str">
        <f t="shared" si="50"/>
        <v/>
      </c>
      <c r="Y121" s="90">
        <f t="shared" si="51"/>
        <v>0.9</v>
      </c>
      <c r="Z121" s="42" t="str">
        <f t="shared" si="52"/>
        <v/>
      </c>
      <c r="AA121" s="42" t="str">
        <f t="shared" si="53"/>
        <v/>
      </c>
      <c r="AB121" s="90" t="str">
        <f t="shared" si="54"/>
        <v/>
      </c>
      <c r="AC121" s="90">
        <f t="shared" si="55"/>
        <v>-1</v>
      </c>
    </row>
    <row r="122" spans="1:29" x14ac:dyDescent="0.2">
      <c r="A122" t="str">
        <f>INDEX(Prioritization!$D:$D,MATCH($B122,Prioritization!$A:$A,0))</f>
        <v>INVALID</v>
      </c>
      <c r="B122" t="s">
        <v>219</v>
      </c>
      <c r="C122" t="s">
        <v>807</v>
      </c>
      <c r="D122" t="s">
        <v>47</v>
      </c>
      <c r="E122" t="str">
        <f t="shared" si="42"/>
        <v>Phalombe District [AZyWpGzhcaA]|15+|Male</v>
      </c>
      <c r="F122" s="14" t="str">
        <f>IFERROR(1/(1/SUM(SUMIFS(Cascade!$O:$O,Cascade!$B:$B,$B122,Cascade!$C:$C,IF($C122="&lt;15",{"=&lt;01","01-09","10-14"},{"15-24","25-34","35-49","50+"}),Cascade!$D:$D,$D122))),"")</f>
        <v/>
      </c>
      <c r="G122" s="14" t="str">
        <f>IFERROR(1/(1/SUM(SUMIFS(Cascade!$AX:$AX,Cascade!$B:$B,$B122,Cascade!$C:$C,IF($C122="&lt;15",{"=&lt;01","01-09","10-14"},{"15-24","25-34","35-49","50+"}),Cascade!$D:$D,$D122))),"")</f>
        <v/>
      </c>
      <c r="H122" s="90">
        <f>1</f>
        <v>1</v>
      </c>
      <c r="I122" s="90">
        <f>1</f>
        <v>1</v>
      </c>
      <c r="J122" s="90"/>
      <c r="K122" s="90"/>
      <c r="L122" s="42" t="str">
        <f t="shared" si="43"/>
        <v/>
      </c>
      <c r="M122" s="42" t="str">
        <f t="shared" si="44"/>
        <v/>
      </c>
      <c r="N122" s="42" t="str">
        <f t="shared" si="45"/>
        <v/>
      </c>
      <c r="O122" s="42" t="str">
        <f t="shared" si="46"/>
        <v/>
      </c>
      <c r="P122" s="14">
        <v>2</v>
      </c>
      <c r="Q122" s="14"/>
      <c r="R122" s="14">
        <v>40</v>
      </c>
      <c r="S122" s="14">
        <f t="shared" si="47"/>
        <v>42</v>
      </c>
      <c r="T122" s="90" t="str">
        <f t="shared" si="48"/>
        <v/>
      </c>
      <c r="U122" s="90">
        <f>1</f>
        <v>1</v>
      </c>
      <c r="V122" s="90">
        <f>1</f>
        <v>1</v>
      </c>
      <c r="W122" s="42" t="str">
        <f t="shared" si="49"/>
        <v/>
      </c>
      <c r="X122" s="42" t="str">
        <f t="shared" si="50"/>
        <v/>
      </c>
      <c r="Y122" s="90">
        <f t="shared" si="51"/>
        <v>0.9</v>
      </c>
      <c r="Z122" s="42" t="str">
        <f t="shared" si="52"/>
        <v/>
      </c>
      <c r="AA122" s="42" t="str">
        <f t="shared" si="53"/>
        <v/>
      </c>
      <c r="AB122" s="90" t="str">
        <f t="shared" si="54"/>
        <v/>
      </c>
      <c r="AC122" s="90">
        <f t="shared" si="55"/>
        <v>-1</v>
      </c>
    </row>
    <row r="123" spans="1:29" x14ac:dyDescent="0.2">
      <c r="A123" t="str">
        <f>INDEX(Prioritization!$D:$D,MATCH($B123,Prioritization!$A:$A,0))</f>
        <v>1 - Scale-up: Saturation</v>
      </c>
      <c r="B123" t="s">
        <v>220</v>
      </c>
      <c r="C123" t="s">
        <v>806</v>
      </c>
      <c r="D123" t="s">
        <v>29</v>
      </c>
      <c r="E123" t="str">
        <f t="shared" si="42"/>
        <v>Thyolo District [ul0y9diGujK]|&lt;15|Female</v>
      </c>
      <c r="F123" s="14">
        <f>IFERROR(1/(1/SUM(SUMIFS(Cascade!$O:$O,Cascade!$B:$B,$B123,Cascade!$C:$C,IF($C123="&lt;15",{"=&lt;01","01-09","10-14"},{"15-24","25-34","35-49","50+"}),Cascade!$D:$D,$D123))),"")</f>
        <v>1</v>
      </c>
      <c r="G123" s="14">
        <f>IFERROR(1/(1/SUM(SUMIFS(Cascade!$AX:$AX,Cascade!$B:$B,$B123,Cascade!$C:$C,IF($C123="&lt;15",{"=&lt;01","01-09","10-14"},{"15-24","25-34","35-49","50+"}),Cascade!$D:$D,$D123))),"")</f>
        <v>1</v>
      </c>
      <c r="H123" s="90">
        <f>1</f>
        <v>1</v>
      </c>
      <c r="I123" s="90">
        <f>1</f>
        <v>1</v>
      </c>
      <c r="J123" s="90"/>
      <c r="K123" s="90"/>
      <c r="L123" s="42">
        <f t="shared" si="43"/>
        <v>0</v>
      </c>
      <c r="M123" s="42">
        <f t="shared" si="44"/>
        <v>1</v>
      </c>
      <c r="N123" s="42">
        <f t="shared" si="45"/>
        <v>0</v>
      </c>
      <c r="O123" s="42">
        <f t="shared" si="46"/>
        <v>1</v>
      </c>
      <c r="P123" s="14">
        <v>42</v>
      </c>
      <c r="Q123" s="14"/>
      <c r="R123" s="14">
        <v>92</v>
      </c>
      <c r="S123" s="14">
        <f t="shared" si="47"/>
        <v>134</v>
      </c>
      <c r="T123" s="90">
        <f t="shared" si="48"/>
        <v>1</v>
      </c>
      <c r="U123" s="90">
        <f>1</f>
        <v>1</v>
      </c>
      <c r="V123" s="90">
        <f>1</f>
        <v>1</v>
      </c>
      <c r="W123" s="42">
        <f t="shared" si="49"/>
        <v>1</v>
      </c>
      <c r="X123" s="42">
        <f t="shared" si="50"/>
        <v>1</v>
      </c>
      <c r="Y123" s="90">
        <f t="shared" si="51"/>
        <v>0.9</v>
      </c>
      <c r="Z123" s="42">
        <f t="shared" si="52"/>
        <v>1</v>
      </c>
      <c r="AA123" s="42">
        <f t="shared" si="53"/>
        <v>1</v>
      </c>
      <c r="AB123" s="90" t="str">
        <f t="shared" si="54"/>
        <v/>
      </c>
      <c r="AC123" s="90">
        <f t="shared" si="55"/>
        <v>-0.98913043478260865</v>
      </c>
    </row>
    <row r="124" spans="1:29" x14ac:dyDescent="0.2">
      <c r="A124" t="str">
        <f>INDEX(Prioritization!$D:$D,MATCH($B124,Prioritization!$A:$A,0))</f>
        <v>1 - Scale-up: Saturation</v>
      </c>
      <c r="B124" t="s">
        <v>220</v>
      </c>
      <c r="C124" t="s">
        <v>806</v>
      </c>
      <c r="D124" t="s">
        <v>47</v>
      </c>
      <c r="E124" t="str">
        <f t="shared" si="42"/>
        <v>Thyolo District [ul0y9diGujK]|&lt;15|Male</v>
      </c>
      <c r="F124" s="14">
        <f>IFERROR(1/(1/SUM(SUMIFS(Cascade!$O:$O,Cascade!$B:$B,$B124,Cascade!$C:$C,IF($C124="&lt;15",{"=&lt;01","01-09","10-14"},{"15-24","25-34","35-49","50+"}),Cascade!$D:$D,$D124))),"")</f>
        <v>1</v>
      </c>
      <c r="G124" s="14">
        <f>IFERROR(1/(1/SUM(SUMIFS(Cascade!$AX:$AX,Cascade!$B:$B,$B124,Cascade!$C:$C,IF($C124="&lt;15",{"=&lt;01","01-09","10-14"},{"15-24","25-34","35-49","50+"}),Cascade!$D:$D,$D124))),"")</f>
        <v>1</v>
      </c>
      <c r="H124" s="90">
        <f>1</f>
        <v>1</v>
      </c>
      <c r="I124" s="90">
        <f>1</f>
        <v>1</v>
      </c>
      <c r="J124" s="90"/>
      <c r="K124" s="90"/>
      <c r="L124" s="42">
        <f t="shared" si="43"/>
        <v>0</v>
      </c>
      <c r="M124" s="42">
        <f t="shared" si="44"/>
        <v>1</v>
      </c>
      <c r="N124" s="42">
        <f t="shared" si="45"/>
        <v>0</v>
      </c>
      <c r="O124" s="42">
        <f t="shared" si="46"/>
        <v>1</v>
      </c>
      <c r="P124" s="14">
        <v>93</v>
      </c>
      <c r="Q124" s="14"/>
      <c r="R124" s="14">
        <v>87</v>
      </c>
      <c r="S124" s="14">
        <f t="shared" si="47"/>
        <v>180</v>
      </c>
      <c r="T124" s="90">
        <f t="shared" si="48"/>
        <v>1</v>
      </c>
      <c r="U124" s="90">
        <f>1</f>
        <v>1</v>
      </c>
      <c r="V124" s="90">
        <f>1</f>
        <v>1</v>
      </c>
      <c r="W124" s="42">
        <f t="shared" si="49"/>
        <v>1</v>
      </c>
      <c r="X124" s="42">
        <f t="shared" si="50"/>
        <v>1</v>
      </c>
      <c r="Y124" s="90">
        <f t="shared" si="51"/>
        <v>0.9</v>
      </c>
      <c r="Z124" s="42">
        <f t="shared" si="52"/>
        <v>1</v>
      </c>
      <c r="AA124" s="42">
        <f t="shared" si="53"/>
        <v>1</v>
      </c>
      <c r="AB124" s="90" t="str">
        <f t="shared" si="54"/>
        <v/>
      </c>
      <c r="AC124" s="90">
        <f t="shared" si="55"/>
        <v>-0.9885057471264368</v>
      </c>
    </row>
    <row r="125" spans="1:29" x14ac:dyDescent="0.2">
      <c r="A125" t="str">
        <f>INDEX(Prioritization!$D:$D,MATCH($B125,Prioritization!$A:$A,0))</f>
        <v>1 - Scale-up: Saturation</v>
      </c>
      <c r="B125" t="s">
        <v>220</v>
      </c>
      <c r="C125" t="s">
        <v>807</v>
      </c>
      <c r="D125" t="s">
        <v>29</v>
      </c>
      <c r="E125" t="str">
        <f t="shared" si="42"/>
        <v>Thyolo District [ul0y9diGujK]|15+|Female</v>
      </c>
      <c r="F125" s="14" t="str">
        <f>IFERROR(1/(1/SUM(SUMIFS(Cascade!$O:$O,Cascade!$B:$B,$B125,Cascade!$C:$C,IF($C125="&lt;15",{"=&lt;01","01-09","10-14"},{"15-24","25-34","35-49","50+"}),Cascade!$D:$D,$D125))),"")</f>
        <v/>
      </c>
      <c r="G125" s="14" t="str">
        <f>IFERROR(1/(1/SUM(SUMIFS(Cascade!$AX:$AX,Cascade!$B:$B,$B125,Cascade!$C:$C,IF($C125="&lt;15",{"=&lt;01","01-09","10-14"},{"15-24","25-34","35-49","50+"}),Cascade!$D:$D,$D125))),"")</f>
        <v/>
      </c>
      <c r="H125" s="90">
        <f>1</f>
        <v>1</v>
      </c>
      <c r="I125" s="90">
        <f>1</f>
        <v>1</v>
      </c>
      <c r="J125" s="90"/>
      <c r="K125" s="90"/>
      <c r="L125" s="42" t="str">
        <f t="shared" si="43"/>
        <v/>
      </c>
      <c r="M125" s="42" t="str">
        <f t="shared" si="44"/>
        <v/>
      </c>
      <c r="N125" s="42" t="str">
        <f t="shared" si="45"/>
        <v/>
      </c>
      <c r="O125" s="42" t="str">
        <f t="shared" si="46"/>
        <v/>
      </c>
      <c r="P125" s="14">
        <v>2584</v>
      </c>
      <c r="Q125" s="14"/>
      <c r="R125" s="14">
        <v>15</v>
      </c>
      <c r="S125" s="14">
        <f t="shared" si="47"/>
        <v>2599</v>
      </c>
      <c r="T125" s="90" t="str">
        <f t="shared" si="48"/>
        <v/>
      </c>
      <c r="U125" s="90">
        <f>1</f>
        <v>1</v>
      </c>
      <c r="V125" s="90">
        <f>1</f>
        <v>1</v>
      </c>
      <c r="W125" s="42" t="str">
        <f t="shared" si="49"/>
        <v/>
      </c>
      <c r="X125" s="42" t="str">
        <f t="shared" si="50"/>
        <v/>
      </c>
      <c r="Y125" s="90">
        <f t="shared" si="51"/>
        <v>0.9</v>
      </c>
      <c r="Z125" s="42" t="str">
        <f t="shared" si="52"/>
        <v/>
      </c>
      <c r="AA125" s="42" t="str">
        <f t="shared" si="53"/>
        <v/>
      </c>
      <c r="AB125" s="90" t="str">
        <f t="shared" si="54"/>
        <v/>
      </c>
      <c r="AC125" s="90">
        <f t="shared" si="55"/>
        <v>-1</v>
      </c>
    </row>
    <row r="126" spans="1:29" x14ac:dyDescent="0.2">
      <c r="A126" t="str">
        <f>INDEX(Prioritization!$D:$D,MATCH($B126,Prioritization!$A:$A,0))</f>
        <v>1 - Scale-up: Saturation</v>
      </c>
      <c r="B126" t="s">
        <v>220</v>
      </c>
      <c r="C126" t="s">
        <v>807</v>
      </c>
      <c r="D126" t="s">
        <v>47</v>
      </c>
      <c r="E126" t="str">
        <f t="shared" si="42"/>
        <v>Thyolo District [ul0y9diGujK]|15+|Male</v>
      </c>
      <c r="F126" s="14" t="str">
        <f>IFERROR(1/(1/SUM(SUMIFS(Cascade!$O:$O,Cascade!$B:$B,$B126,Cascade!$C:$C,IF($C126="&lt;15",{"=&lt;01","01-09","10-14"},{"15-24","25-34","35-49","50+"}),Cascade!$D:$D,$D126))),"")</f>
        <v/>
      </c>
      <c r="G126" s="14" t="str">
        <f>IFERROR(1/(1/SUM(SUMIFS(Cascade!$AX:$AX,Cascade!$B:$B,$B126,Cascade!$C:$C,IF($C126="&lt;15",{"=&lt;01","01-09","10-14"},{"15-24","25-34","35-49","50+"}),Cascade!$D:$D,$D126))),"")</f>
        <v/>
      </c>
      <c r="H126" s="90">
        <f>1</f>
        <v>1</v>
      </c>
      <c r="I126" s="90">
        <f>1</f>
        <v>1</v>
      </c>
      <c r="J126" s="90"/>
      <c r="K126" s="90"/>
      <c r="L126" s="42" t="str">
        <f t="shared" si="43"/>
        <v/>
      </c>
      <c r="M126" s="42" t="str">
        <f t="shared" si="44"/>
        <v/>
      </c>
      <c r="N126" s="42" t="str">
        <f t="shared" si="45"/>
        <v/>
      </c>
      <c r="O126" s="42" t="str">
        <f t="shared" si="46"/>
        <v/>
      </c>
      <c r="P126" s="14">
        <v>5103</v>
      </c>
      <c r="Q126" s="14"/>
      <c r="R126" s="14">
        <v>100</v>
      </c>
      <c r="S126" s="14">
        <f t="shared" si="47"/>
        <v>5203</v>
      </c>
      <c r="T126" s="90" t="str">
        <f t="shared" si="48"/>
        <v/>
      </c>
      <c r="U126" s="90">
        <f>1</f>
        <v>1</v>
      </c>
      <c r="V126" s="90">
        <f>1</f>
        <v>1</v>
      </c>
      <c r="W126" s="42" t="str">
        <f t="shared" si="49"/>
        <v/>
      </c>
      <c r="X126" s="42" t="str">
        <f t="shared" si="50"/>
        <v/>
      </c>
      <c r="Y126" s="90">
        <f t="shared" si="51"/>
        <v>0.9</v>
      </c>
      <c r="Z126" s="42" t="str">
        <f t="shared" si="52"/>
        <v/>
      </c>
      <c r="AA126" s="42" t="str">
        <f t="shared" si="53"/>
        <v/>
      </c>
      <c r="AB126" s="90" t="str">
        <f t="shared" si="54"/>
        <v/>
      </c>
      <c r="AC126" s="90">
        <f t="shared" si="55"/>
        <v>-1</v>
      </c>
    </row>
    <row r="127" spans="1:29" x14ac:dyDescent="0.2">
      <c r="A127" t="str">
        <f>INDEX(Prioritization!$D:$D,MATCH($B127,Prioritization!$A:$A,0))</f>
        <v>1 - Scale-up: Saturation</v>
      </c>
      <c r="B127" t="s">
        <v>221</v>
      </c>
      <c r="C127" t="s">
        <v>806</v>
      </c>
      <c r="D127" t="s">
        <v>29</v>
      </c>
      <c r="E127" t="str">
        <f t="shared" si="42"/>
        <v>Zomba District [fyEoGEPERdI]|&lt;15|Female</v>
      </c>
      <c r="F127" s="14">
        <f>IFERROR(1/(1/SUM(SUMIFS(Cascade!$O:$O,Cascade!$B:$B,$B127,Cascade!$C:$C,IF($C127="&lt;15",{"=&lt;01","01-09","10-14"},{"15-24","25-34","35-49","50+"}),Cascade!$D:$D,$D127))),"")</f>
        <v>7</v>
      </c>
      <c r="G127" s="14" t="str">
        <f>IFERROR(1/(1/SUM(SUMIFS(Cascade!$AX:$AX,Cascade!$B:$B,$B127,Cascade!$C:$C,IF($C127="&lt;15",{"=&lt;01","01-09","10-14"},{"15-24","25-34","35-49","50+"}),Cascade!$D:$D,$D127))),"")</f>
        <v/>
      </c>
      <c r="H127" s="90">
        <f>1</f>
        <v>1</v>
      </c>
      <c r="I127" s="90">
        <f>1</f>
        <v>1</v>
      </c>
      <c r="J127" s="90"/>
      <c r="K127" s="90"/>
      <c r="L127" s="42">
        <f t="shared" si="43"/>
        <v>0</v>
      </c>
      <c r="M127" s="42">
        <f t="shared" si="44"/>
        <v>7</v>
      </c>
      <c r="N127" s="42" t="str">
        <f t="shared" si="45"/>
        <v/>
      </c>
      <c r="O127" s="42" t="str">
        <f t="shared" si="46"/>
        <v/>
      </c>
      <c r="P127" s="14">
        <v>31</v>
      </c>
      <c r="Q127" s="14"/>
      <c r="R127" s="14">
        <v>39</v>
      </c>
      <c r="S127" s="14">
        <f t="shared" si="47"/>
        <v>70</v>
      </c>
      <c r="T127" s="90">
        <f t="shared" si="48"/>
        <v>1</v>
      </c>
      <c r="U127" s="90">
        <f>1</f>
        <v>1</v>
      </c>
      <c r="V127" s="90">
        <f>1</f>
        <v>1</v>
      </c>
      <c r="W127" s="42">
        <f t="shared" si="49"/>
        <v>7</v>
      </c>
      <c r="X127" s="42" t="str">
        <f t="shared" si="50"/>
        <v/>
      </c>
      <c r="Y127" s="90">
        <f t="shared" si="51"/>
        <v>0.9</v>
      </c>
      <c r="Z127" s="42">
        <f t="shared" si="52"/>
        <v>6</v>
      </c>
      <c r="AA127" s="42" t="str">
        <f t="shared" si="53"/>
        <v/>
      </c>
      <c r="AB127" s="90" t="str">
        <f t="shared" si="54"/>
        <v/>
      </c>
      <c r="AC127" s="90">
        <f t="shared" si="55"/>
        <v>-1</v>
      </c>
    </row>
    <row r="128" spans="1:29" x14ac:dyDescent="0.2">
      <c r="A128" t="str">
        <f>INDEX(Prioritization!$D:$D,MATCH($B128,Prioritization!$A:$A,0))</f>
        <v>1 - Scale-up: Saturation</v>
      </c>
      <c r="B128" t="s">
        <v>221</v>
      </c>
      <c r="C128" t="s">
        <v>806</v>
      </c>
      <c r="D128" t="s">
        <v>47</v>
      </c>
      <c r="E128" t="str">
        <f t="shared" si="42"/>
        <v>Zomba District [fyEoGEPERdI]|&lt;15|Male</v>
      </c>
      <c r="F128" s="14">
        <f>IFERROR(1/(1/SUM(SUMIFS(Cascade!$O:$O,Cascade!$B:$B,$B128,Cascade!$C:$C,IF($C128="&lt;15",{"=&lt;01","01-09","10-14"},{"15-24","25-34","35-49","50+"}),Cascade!$D:$D,$D128))),"")</f>
        <v>3</v>
      </c>
      <c r="G128" s="14" t="str">
        <f>IFERROR(1/(1/SUM(SUMIFS(Cascade!$AX:$AX,Cascade!$B:$B,$B128,Cascade!$C:$C,IF($C128="&lt;15",{"=&lt;01","01-09","10-14"},{"15-24","25-34","35-49","50+"}),Cascade!$D:$D,$D128))),"")</f>
        <v/>
      </c>
      <c r="H128" s="90">
        <f>1</f>
        <v>1</v>
      </c>
      <c r="I128" s="90">
        <f>1</f>
        <v>1</v>
      </c>
      <c r="J128" s="90"/>
      <c r="K128" s="90"/>
      <c r="L128" s="42">
        <f t="shared" si="43"/>
        <v>0</v>
      </c>
      <c r="M128" s="42">
        <f t="shared" si="44"/>
        <v>3</v>
      </c>
      <c r="N128" s="42" t="str">
        <f t="shared" si="45"/>
        <v/>
      </c>
      <c r="O128" s="42" t="str">
        <f t="shared" si="46"/>
        <v/>
      </c>
      <c r="P128" s="14">
        <v>57</v>
      </c>
      <c r="Q128" s="14"/>
      <c r="R128" s="14">
        <v>17</v>
      </c>
      <c r="S128" s="14">
        <f t="shared" si="47"/>
        <v>74</v>
      </c>
      <c r="T128" s="90">
        <f t="shared" si="48"/>
        <v>1</v>
      </c>
      <c r="U128" s="90">
        <f>1</f>
        <v>1</v>
      </c>
      <c r="V128" s="90">
        <f>1</f>
        <v>1</v>
      </c>
      <c r="W128" s="42">
        <f t="shared" si="49"/>
        <v>3</v>
      </c>
      <c r="X128" s="42" t="str">
        <f t="shared" si="50"/>
        <v/>
      </c>
      <c r="Y128" s="90">
        <f t="shared" si="51"/>
        <v>0.9</v>
      </c>
      <c r="Z128" s="42">
        <f t="shared" si="52"/>
        <v>3</v>
      </c>
      <c r="AA128" s="42" t="str">
        <f t="shared" si="53"/>
        <v/>
      </c>
      <c r="AB128" s="90" t="str">
        <f t="shared" si="54"/>
        <v/>
      </c>
      <c r="AC128" s="90">
        <f t="shared" si="55"/>
        <v>-1</v>
      </c>
    </row>
    <row r="129" spans="1:29" x14ac:dyDescent="0.2">
      <c r="A129" t="str">
        <f>INDEX(Prioritization!$D:$D,MATCH($B129,Prioritization!$A:$A,0))</f>
        <v>1 - Scale-up: Saturation</v>
      </c>
      <c r="B129" t="s">
        <v>221</v>
      </c>
      <c r="C129" t="s">
        <v>807</v>
      </c>
      <c r="D129" t="s">
        <v>29</v>
      </c>
      <c r="E129" t="str">
        <f t="shared" si="42"/>
        <v>Zomba District [fyEoGEPERdI]|15+|Female</v>
      </c>
      <c r="F129" s="14" t="str">
        <f>IFERROR(1/(1/SUM(SUMIFS(Cascade!$O:$O,Cascade!$B:$B,$B129,Cascade!$C:$C,IF($C129="&lt;15",{"=&lt;01","01-09","10-14"},{"15-24","25-34","35-49","50+"}),Cascade!$D:$D,$D129))),"")</f>
        <v/>
      </c>
      <c r="G129" s="14" t="str">
        <f>IFERROR(1/(1/SUM(SUMIFS(Cascade!$AX:$AX,Cascade!$B:$B,$B129,Cascade!$C:$C,IF($C129="&lt;15",{"=&lt;01","01-09","10-14"},{"15-24","25-34","35-49","50+"}),Cascade!$D:$D,$D129))),"")</f>
        <v/>
      </c>
      <c r="H129" s="90">
        <f>1</f>
        <v>1</v>
      </c>
      <c r="I129" s="90">
        <f>1</f>
        <v>1</v>
      </c>
      <c r="J129" s="90"/>
      <c r="K129" s="90"/>
      <c r="L129" s="42" t="str">
        <f t="shared" si="43"/>
        <v/>
      </c>
      <c r="M129" s="42" t="str">
        <f t="shared" si="44"/>
        <v/>
      </c>
      <c r="N129" s="42" t="str">
        <f t="shared" si="45"/>
        <v/>
      </c>
      <c r="O129" s="42" t="str">
        <f t="shared" si="46"/>
        <v/>
      </c>
      <c r="P129" s="14">
        <v>1820</v>
      </c>
      <c r="Q129" s="14"/>
      <c r="R129" s="14">
        <v>69</v>
      </c>
      <c r="S129" s="14">
        <f t="shared" si="47"/>
        <v>1889</v>
      </c>
      <c r="T129" s="90" t="str">
        <f t="shared" si="48"/>
        <v/>
      </c>
      <c r="U129" s="90">
        <f>1</f>
        <v>1</v>
      </c>
      <c r="V129" s="90">
        <f>1</f>
        <v>1</v>
      </c>
      <c r="W129" s="42" t="str">
        <f t="shared" si="49"/>
        <v/>
      </c>
      <c r="X129" s="42" t="str">
        <f t="shared" si="50"/>
        <v/>
      </c>
      <c r="Y129" s="90">
        <f t="shared" si="51"/>
        <v>0.9</v>
      </c>
      <c r="Z129" s="42" t="str">
        <f t="shared" si="52"/>
        <v/>
      </c>
      <c r="AA129" s="42" t="str">
        <f t="shared" si="53"/>
        <v/>
      </c>
      <c r="AB129" s="90" t="str">
        <f t="shared" si="54"/>
        <v/>
      </c>
      <c r="AC129" s="90">
        <f t="shared" si="55"/>
        <v>-1</v>
      </c>
    </row>
    <row r="130" spans="1:29" x14ac:dyDescent="0.2">
      <c r="A130" t="str">
        <f>INDEX(Prioritization!$D:$D,MATCH($B130,Prioritization!$A:$A,0))</f>
        <v>1 - Scale-up: Saturation</v>
      </c>
      <c r="B130" t="s">
        <v>221</v>
      </c>
      <c r="C130" t="s">
        <v>807</v>
      </c>
      <c r="D130" t="s">
        <v>47</v>
      </c>
      <c r="E130" t="str">
        <f t="shared" si="42"/>
        <v>Zomba District [fyEoGEPERdI]|15+|Male</v>
      </c>
      <c r="F130" s="14" t="str">
        <f>IFERROR(1/(1/SUM(SUMIFS(Cascade!$O:$O,Cascade!$B:$B,$B130,Cascade!$C:$C,IF($C130="&lt;15",{"=&lt;01","01-09","10-14"},{"15-24","25-34","35-49","50+"}),Cascade!$D:$D,$D130))),"")</f>
        <v/>
      </c>
      <c r="G130" s="14" t="str">
        <f>IFERROR(1/(1/SUM(SUMIFS(Cascade!$AX:$AX,Cascade!$B:$B,$B130,Cascade!$C:$C,IF($C130="&lt;15",{"=&lt;01","01-09","10-14"},{"15-24","25-34","35-49","50+"}),Cascade!$D:$D,$D130))),"")</f>
        <v/>
      </c>
      <c r="H130" s="90">
        <f>1</f>
        <v>1</v>
      </c>
      <c r="I130" s="90">
        <f>1</f>
        <v>1</v>
      </c>
      <c r="J130" s="90"/>
      <c r="K130" s="90"/>
      <c r="L130" s="42" t="str">
        <f t="shared" si="43"/>
        <v/>
      </c>
      <c r="M130" s="42" t="str">
        <f t="shared" si="44"/>
        <v/>
      </c>
      <c r="N130" s="42" t="str">
        <f t="shared" si="45"/>
        <v/>
      </c>
      <c r="O130" s="42" t="str">
        <f t="shared" si="46"/>
        <v/>
      </c>
      <c r="P130" s="14">
        <v>3293</v>
      </c>
      <c r="Q130" s="14"/>
      <c r="R130" s="14">
        <v>74</v>
      </c>
      <c r="S130" s="14">
        <f t="shared" si="47"/>
        <v>3367.0000000000005</v>
      </c>
      <c r="T130" s="90" t="str">
        <f t="shared" si="48"/>
        <v/>
      </c>
      <c r="U130" s="90">
        <f>1</f>
        <v>1</v>
      </c>
      <c r="V130" s="90">
        <f>1</f>
        <v>1</v>
      </c>
      <c r="W130" s="42" t="str">
        <f t="shared" si="49"/>
        <v/>
      </c>
      <c r="X130" s="42" t="str">
        <f t="shared" si="50"/>
        <v/>
      </c>
      <c r="Y130" s="90">
        <f t="shared" si="51"/>
        <v>0.9</v>
      </c>
      <c r="Z130" s="42" t="str">
        <f t="shared" si="52"/>
        <v/>
      </c>
      <c r="AA130" s="42" t="str">
        <f t="shared" si="53"/>
        <v/>
      </c>
      <c r="AB130" s="90" t="str">
        <f t="shared" si="54"/>
        <v/>
      </c>
      <c r="AC130" s="90">
        <f t="shared" si="55"/>
        <v>-1</v>
      </c>
    </row>
  </sheetData>
  <conditionalFormatting sqref="Y1:Y1048576">
    <cfRule type="expression" dxfId="58" priority="2">
      <formula>OR(Z1="ENTER COMPLETION RATE",AA1="ENTER COMPLETION RATE")</formula>
    </cfRule>
    <cfRule type="expression" dxfId="57" priority="3">
      <formula>AND(ISNUMBER(Y1),ROUND(SUM(Y1),2)&lt;90%)</formula>
    </cfRule>
  </conditionalFormatting>
  <conditionalFormatting sqref="H1:K1048576 T1:V1048576 Y1:Y1048576">
    <cfRule type="expression" dxfId="56" priority="4">
      <formula>AND(ISNUMBER(H1),H1&gt;1)</formula>
    </cfRule>
  </conditionalFormatting>
  <conditionalFormatting sqref="H1:H1048576 J1:J1048576">
    <cfRule type="expression" dxfId="55" priority="5">
      <formula>AND(SUM($F1)&gt;0,H1="",ROW(H1)&gt;14)</formula>
    </cfRule>
  </conditionalFormatting>
  <conditionalFormatting sqref="H1:I1048576 U1:V1048576">
    <cfRule type="expression" dxfId="54" priority="6">
      <formula>AND(ISNUMBER(H1),ROUND(SUM(H1),2)&lt;100%)</formula>
    </cfRule>
  </conditionalFormatting>
  <conditionalFormatting sqref="F1:AA1048576">
    <cfRule type="expression" dxfId="53" priority="7">
      <formula>AND(ISNUMBER(F1),F1&lt;0)</formula>
    </cfRule>
  </conditionalFormatting>
  <conditionalFormatting sqref="U1:V1048576">
    <cfRule type="expression" dxfId="52" priority="8">
      <formula>W1="ENTER INITIATION RATE"</formula>
    </cfRule>
  </conditionalFormatting>
  <conditionalFormatting sqref="T1:T1048576">
    <cfRule type="expression" dxfId="51" priority="9">
      <formula>W1="ENTER ELIGIBILITY RATE"</formula>
    </cfRule>
  </conditionalFormatting>
  <conditionalFormatting sqref="K1:K1048576 I1:I1048576">
    <cfRule type="expression" dxfId="50" priority="10">
      <formula>AND(SUM($G1)&lt;&gt;0,I1="",ROW(I1)&gt;14)</formula>
    </cfRule>
  </conditionalFormatting>
  <hyperlinks>
    <hyperlink ref="F3" location="Cascade!O:O" display="TX_CURR (FY23)" xr:uid="{00000000-0004-0000-0D00-000000000000}"/>
    <hyperlink ref="G3" location="Cascade!AU:AU" display="TX_NEW (FY24)" xr:uid="{00000000-0004-0000-0D00-000001000000}"/>
  </hyperlinks>
  <pageMargins left="0.7" right="0.7" top="0.75" bottom="0.75" header="0.511811023622047" footer="0.511811023622047"/>
  <pageSetup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04"/>
  <sheetViews>
    <sheetView zoomScaleNormal="100" workbookViewId="0">
      <pane xSplit="5" ySplit="14" topLeftCell="F15" activePane="bottomRight" state="frozen"/>
      <selection pane="topRight" activeCell="F1" sqref="F1"/>
      <selection pane="bottomLeft" activeCell="A15" sqref="A15"/>
      <selection pane="bottomRight"/>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8" width="11.83203125" customWidth="1"/>
  </cols>
  <sheetData>
    <row r="1" spans="1:8" ht="30.75" customHeight="1" x14ac:dyDescent="0.2">
      <c r="A1" s="44" t="s">
        <v>1211</v>
      </c>
      <c r="B1" s="18"/>
      <c r="C1" s="18"/>
      <c r="D1" s="18"/>
      <c r="E1" s="18"/>
      <c r="F1" s="45" t="s">
        <v>489</v>
      </c>
      <c r="G1" s="50"/>
      <c r="H1" s="46"/>
    </row>
    <row r="2" spans="1:8" ht="18.75" customHeight="1" x14ac:dyDescent="0.25">
      <c r="A2" s="25"/>
      <c r="B2" s="22"/>
      <c r="C2" s="22"/>
      <c r="D2" s="22"/>
      <c r="E2" s="22"/>
      <c r="F2" s="52"/>
      <c r="G2" s="54"/>
      <c r="H2" s="24" t="s">
        <v>176</v>
      </c>
    </row>
    <row r="3" spans="1:8" ht="117" customHeight="1" x14ac:dyDescent="0.2">
      <c r="A3" s="61"/>
      <c r="B3" s="26"/>
      <c r="C3" s="26"/>
      <c r="D3" s="26"/>
      <c r="E3" s="26"/>
      <c r="F3" s="27" t="s">
        <v>1212</v>
      </c>
      <c r="G3" s="160" t="s">
        <v>1213</v>
      </c>
      <c r="H3" s="74" t="s">
        <v>578</v>
      </c>
    </row>
    <row r="4" spans="1:8" x14ac:dyDescent="0.2">
      <c r="A4" s="75"/>
      <c r="B4" s="30"/>
      <c r="C4" s="30"/>
      <c r="D4" s="30" t="s">
        <v>287</v>
      </c>
      <c r="E4" s="30"/>
      <c r="F4" s="76">
        <f>SUBTOTAL(109,F$15:INDEX(F:F,COUNTA($B:$B)+14-COUNTA($B$1:$B$14)))</f>
        <v>517</v>
      </c>
      <c r="G4" s="86">
        <f>IF($F$4=0,"",$H$4/$F$4-1)</f>
        <v>0</v>
      </c>
      <c r="H4" s="84">
        <f>SUBTOTAL(109,H$15:INDEX(H:H,COUNTA($B:$B)+14-COUNTA($B$1:$B$14)))</f>
        <v>517</v>
      </c>
    </row>
    <row r="5" spans="1:8" x14ac:dyDescent="0.2">
      <c r="A5" t="s">
        <v>180</v>
      </c>
      <c r="B5" s="13" t="s">
        <v>180</v>
      </c>
      <c r="C5" s="13" t="s">
        <v>180</v>
      </c>
      <c r="D5" s="13" t="s">
        <v>180</v>
      </c>
      <c r="E5" s="13" t="s">
        <v>180</v>
      </c>
      <c r="F5" s="87" t="s">
        <v>288</v>
      </c>
      <c r="G5" s="90" t="s">
        <v>180</v>
      </c>
      <c r="H5" s="9" t="s">
        <v>288</v>
      </c>
    </row>
    <row r="6" spans="1:8" x14ac:dyDescent="0.2">
      <c r="A6" t="s">
        <v>182</v>
      </c>
      <c r="B6" s="13" t="s">
        <v>182</v>
      </c>
      <c r="C6" s="13" t="s">
        <v>182</v>
      </c>
      <c r="D6" s="13" t="s">
        <v>182</v>
      </c>
      <c r="E6" s="13" t="s">
        <v>182</v>
      </c>
      <c r="F6" s="87" t="s">
        <v>183</v>
      </c>
      <c r="G6" s="90" t="s">
        <v>290</v>
      </c>
      <c r="H6" s="9" t="s">
        <v>184</v>
      </c>
    </row>
    <row r="7" spans="1:8" x14ac:dyDescent="0.2">
      <c r="A7" t="s">
        <v>186</v>
      </c>
      <c r="B7" s="13" t="s">
        <v>186</v>
      </c>
      <c r="C7" s="13" t="s">
        <v>186</v>
      </c>
      <c r="D7" s="13" t="s">
        <v>186</v>
      </c>
      <c r="E7" s="13" t="s">
        <v>186</v>
      </c>
      <c r="F7" s="87" t="s">
        <v>187</v>
      </c>
      <c r="G7" s="90" t="s">
        <v>293</v>
      </c>
      <c r="H7" s="9" t="s">
        <v>187</v>
      </c>
    </row>
    <row r="8" spans="1:8" x14ac:dyDescent="0.2">
      <c r="F8" s="95" t="s">
        <v>655</v>
      </c>
      <c r="G8" s="90"/>
      <c r="H8" s="99" t="s">
        <v>655</v>
      </c>
    </row>
    <row r="9" spans="1:8" x14ac:dyDescent="0.2">
      <c r="F9" s="95" t="s">
        <v>1214</v>
      </c>
      <c r="G9" s="90"/>
      <c r="H9" s="99" t="s">
        <v>1214</v>
      </c>
    </row>
    <row r="10" spans="1:8" x14ac:dyDescent="0.2">
      <c r="F10" s="95"/>
      <c r="G10" s="90"/>
      <c r="H10" s="99"/>
    </row>
    <row r="11" spans="1:8" x14ac:dyDescent="0.2">
      <c r="F11" s="87" t="s">
        <v>682</v>
      </c>
      <c r="G11" s="90" t="s">
        <v>682</v>
      </c>
      <c r="H11" s="9" t="s">
        <v>682</v>
      </c>
    </row>
    <row r="12" spans="1:8" x14ac:dyDescent="0.2">
      <c r="F12" s="87" t="s">
        <v>316</v>
      </c>
      <c r="G12" s="90" t="s">
        <v>316</v>
      </c>
      <c r="H12" s="9" t="s">
        <v>316</v>
      </c>
    </row>
    <row r="14" spans="1:8" x14ac:dyDescent="0.2">
      <c r="A14" s="102" t="s">
        <v>175</v>
      </c>
      <c r="B14" s="36" t="s">
        <v>189</v>
      </c>
      <c r="C14" s="36" t="s">
        <v>317</v>
      </c>
      <c r="D14" s="36" t="s">
        <v>318</v>
      </c>
      <c r="E14" s="36" t="s">
        <v>19</v>
      </c>
      <c r="F14" s="103" t="s">
        <v>1215</v>
      </c>
      <c r="G14" s="105" t="s">
        <v>1216</v>
      </c>
      <c r="H14" s="109" t="s">
        <v>749</v>
      </c>
    </row>
    <row r="15" spans="1:8" x14ac:dyDescent="0.2">
      <c r="A15" t="str">
        <f>INDEX(Prioritization!$D:$D,MATCH($B15,Prioritization!$A:$A,0))</f>
        <v>Military</v>
      </c>
      <c r="B15" t="s">
        <v>193</v>
      </c>
      <c r="C15" t="s">
        <v>363</v>
      </c>
      <c r="D15" t="s">
        <v>29</v>
      </c>
      <c r="E15" s="13" t="str">
        <f t="shared" ref="E15:E78" si="0">B15&amp;"|"&amp;C15&amp;"|"&amp;D15</f>
        <v>_Military Malawi [PQZgU9dagaH]|10-14|Female</v>
      </c>
      <c r="F15" s="14">
        <v>260</v>
      </c>
      <c r="G15" s="90">
        <f t="shared" ref="G15:G78" si="1">IF(SUM($F15)=0,"",0%)</f>
        <v>0</v>
      </c>
      <c r="H15" s="9">
        <f t="shared" ref="H15:H78" si="2">IF(SUM($F15)=0,"",ROUND($F15*(1+$G15),0))</f>
        <v>260</v>
      </c>
    </row>
    <row r="16" spans="1:8" x14ac:dyDescent="0.2">
      <c r="A16" t="str">
        <f>INDEX(Prioritization!$D:$D,MATCH($B16,Prioritization!$A:$A,0))</f>
        <v>Military</v>
      </c>
      <c r="B16" t="s">
        <v>193</v>
      </c>
      <c r="C16" t="s">
        <v>363</v>
      </c>
      <c r="D16" t="s">
        <v>47</v>
      </c>
      <c r="E16" t="str">
        <f t="shared" si="0"/>
        <v>_Military Malawi [PQZgU9dagaH]|10-14|Male</v>
      </c>
      <c r="F16" s="14"/>
      <c r="G16" s="90" t="str">
        <f t="shared" si="1"/>
        <v/>
      </c>
      <c r="H16" s="42" t="str">
        <f t="shared" si="2"/>
        <v/>
      </c>
    </row>
    <row r="17" spans="1:8" x14ac:dyDescent="0.2">
      <c r="A17" t="str">
        <f>INDEX(Prioritization!$D:$D,MATCH($B17,Prioritization!$A:$A,0))</f>
        <v>Military</v>
      </c>
      <c r="B17" t="s">
        <v>193</v>
      </c>
      <c r="C17" t="s">
        <v>364</v>
      </c>
      <c r="D17" t="s">
        <v>29</v>
      </c>
      <c r="E17" t="str">
        <f t="shared" si="0"/>
        <v>_Military Malawi [PQZgU9dagaH]|15-24|Female</v>
      </c>
      <c r="F17" s="14"/>
      <c r="G17" s="90" t="str">
        <f t="shared" si="1"/>
        <v/>
      </c>
      <c r="H17" s="42" t="str">
        <f t="shared" si="2"/>
        <v/>
      </c>
    </row>
    <row r="18" spans="1:8" x14ac:dyDescent="0.2">
      <c r="A18" t="str">
        <f>INDEX(Prioritization!$D:$D,MATCH($B18,Prioritization!$A:$A,0))</f>
        <v>Military</v>
      </c>
      <c r="B18" t="s">
        <v>193</v>
      </c>
      <c r="C18" t="s">
        <v>364</v>
      </c>
      <c r="D18" t="s">
        <v>47</v>
      </c>
      <c r="E18" t="str">
        <f t="shared" si="0"/>
        <v>_Military Malawi [PQZgU9dagaH]|15-24|Male</v>
      </c>
      <c r="F18" s="14"/>
      <c r="G18" s="90" t="str">
        <f t="shared" si="1"/>
        <v/>
      </c>
      <c r="H18" s="42" t="str">
        <f t="shared" si="2"/>
        <v/>
      </c>
    </row>
    <row r="19" spans="1:8" x14ac:dyDescent="0.2">
      <c r="A19" t="str">
        <f>INDEX(Prioritization!$D:$D,MATCH($B19,Prioritization!$A:$A,0))</f>
        <v>Military</v>
      </c>
      <c r="B19" t="s">
        <v>193</v>
      </c>
      <c r="C19" t="s">
        <v>365</v>
      </c>
      <c r="D19" t="s">
        <v>29</v>
      </c>
      <c r="E19" t="str">
        <f t="shared" si="0"/>
        <v>_Military Malawi [PQZgU9dagaH]|25-34|Female</v>
      </c>
      <c r="F19" s="14"/>
      <c r="G19" s="90" t="str">
        <f t="shared" si="1"/>
        <v/>
      </c>
      <c r="H19" s="42" t="str">
        <f t="shared" si="2"/>
        <v/>
      </c>
    </row>
    <row r="20" spans="1:8" x14ac:dyDescent="0.2">
      <c r="A20" t="str">
        <f>INDEX(Prioritization!$D:$D,MATCH($B20,Prioritization!$A:$A,0))</f>
        <v>Military</v>
      </c>
      <c r="B20" t="s">
        <v>193</v>
      </c>
      <c r="C20" t="s">
        <v>365</v>
      </c>
      <c r="D20" t="s">
        <v>47</v>
      </c>
      <c r="E20" t="str">
        <f t="shared" si="0"/>
        <v>_Military Malawi [PQZgU9dagaH]|25-34|Male</v>
      </c>
      <c r="F20" s="14"/>
      <c r="G20" s="90" t="str">
        <f t="shared" si="1"/>
        <v/>
      </c>
      <c r="H20" s="42" t="str">
        <f t="shared" si="2"/>
        <v/>
      </c>
    </row>
    <row r="21" spans="1:8" x14ac:dyDescent="0.2">
      <c r="A21" t="str">
        <f>INDEX(Prioritization!$D:$D,MATCH($B21,Prioritization!$A:$A,0))</f>
        <v>Military</v>
      </c>
      <c r="B21" t="s">
        <v>193</v>
      </c>
      <c r="C21" t="s">
        <v>366</v>
      </c>
      <c r="D21" t="s">
        <v>29</v>
      </c>
      <c r="E21" t="str">
        <f t="shared" si="0"/>
        <v>_Military Malawi [PQZgU9dagaH]|35-49|Female</v>
      </c>
      <c r="F21" s="14"/>
      <c r="G21" s="90" t="str">
        <f t="shared" si="1"/>
        <v/>
      </c>
      <c r="H21" s="42" t="str">
        <f t="shared" si="2"/>
        <v/>
      </c>
    </row>
    <row r="22" spans="1:8" x14ac:dyDescent="0.2">
      <c r="A22" t="str">
        <f>INDEX(Prioritization!$D:$D,MATCH($B22,Prioritization!$A:$A,0))</f>
        <v>Military</v>
      </c>
      <c r="B22" t="s">
        <v>193</v>
      </c>
      <c r="C22" t="s">
        <v>366</v>
      </c>
      <c r="D22" t="s">
        <v>47</v>
      </c>
      <c r="E22" t="str">
        <f t="shared" si="0"/>
        <v>_Military Malawi [PQZgU9dagaH]|35-49|Male</v>
      </c>
      <c r="F22" s="14"/>
      <c r="G22" s="90" t="str">
        <f t="shared" si="1"/>
        <v/>
      </c>
      <c r="H22" s="42" t="str">
        <f t="shared" si="2"/>
        <v/>
      </c>
    </row>
    <row r="23" spans="1:8" x14ac:dyDescent="0.2">
      <c r="A23" t="str">
        <f>INDEX(Prioritization!$D:$D,MATCH($B23,Prioritization!$A:$A,0))</f>
        <v>Military</v>
      </c>
      <c r="B23" t="s">
        <v>193</v>
      </c>
      <c r="C23" t="s">
        <v>367</v>
      </c>
      <c r="D23" t="s">
        <v>29</v>
      </c>
      <c r="E23" t="str">
        <f t="shared" si="0"/>
        <v>_Military Malawi [PQZgU9dagaH]|50+|Female</v>
      </c>
      <c r="F23" s="14">
        <v>7</v>
      </c>
      <c r="G23" s="90">
        <f t="shared" si="1"/>
        <v>0</v>
      </c>
      <c r="H23" s="42">
        <f t="shared" si="2"/>
        <v>7</v>
      </c>
    </row>
    <row r="24" spans="1:8" x14ac:dyDescent="0.2">
      <c r="A24" t="str">
        <f>INDEX(Prioritization!$D:$D,MATCH($B24,Prioritization!$A:$A,0))</f>
        <v>Military</v>
      </c>
      <c r="B24" t="s">
        <v>193</v>
      </c>
      <c r="C24" t="s">
        <v>367</v>
      </c>
      <c r="D24" t="s">
        <v>47</v>
      </c>
      <c r="E24" t="str">
        <f t="shared" si="0"/>
        <v>_Military Malawi [PQZgU9dagaH]|50+|Male</v>
      </c>
      <c r="F24" s="14"/>
      <c r="G24" s="90" t="str">
        <f t="shared" si="1"/>
        <v/>
      </c>
      <c r="H24" s="42" t="str">
        <f t="shared" si="2"/>
        <v/>
      </c>
    </row>
    <row r="25" spans="1:8" x14ac:dyDescent="0.2">
      <c r="A25" t="str">
        <f>INDEX(Prioritization!$D:$D,MATCH($B25,Prioritization!$A:$A,0))</f>
        <v>1 - Scale-up: Saturation</v>
      </c>
      <c r="B25" t="s">
        <v>194</v>
      </c>
      <c r="C25" t="s">
        <v>363</v>
      </c>
      <c r="D25" t="s">
        <v>29</v>
      </c>
      <c r="E25" t="str">
        <f t="shared" si="0"/>
        <v>Dedza District [PekKUkKHAzY]|10-14|Female</v>
      </c>
      <c r="F25" s="14"/>
      <c r="G25" s="90" t="str">
        <f t="shared" si="1"/>
        <v/>
      </c>
      <c r="H25" s="42" t="str">
        <f t="shared" si="2"/>
        <v/>
      </c>
    </row>
    <row r="26" spans="1:8" x14ac:dyDescent="0.2">
      <c r="A26" t="str">
        <f>INDEX(Prioritization!$D:$D,MATCH($B26,Prioritization!$A:$A,0))</f>
        <v>1 - Scale-up: Saturation</v>
      </c>
      <c r="B26" t="s">
        <v>194</v>
      </c>
      <c r="C26" t="s">
        <v>363</v>
      </c>
      <c r="D26" t="s">
        <v>47</v>
      </c>
      <c r="E26" t="str">
        <f t="shared" si="0"/>
        <v>Dedza District [PekKUkKHAzY]|10-14|Male</v>
      </c>
      <c r="F26" s="14"/>
      <c r="G26" s="90" t="str">
        <f t="shared" si="1"/>
        <v/>
      </c>
      <c r="H26" s="42" t="str">
        <f t="shared" si="2"/>
        <v/>
      </c>
    </row>
    <row r="27" spans="1:8" x14ac:dyDescent="0.2">
      <c r="A27" t="str">
        <f>INDEX(Prioritization!$D:$D,MATCH($B27,Prioritization!$A:$A,0))</f>
        <v>1 - Scale-up: Saturation</v>
      </c>
      <c r="B27" t="s">
        <v>194</v>
      </c>
      <c r="C27" t="s">
        <v>364</v>
      </c>
      <c r="D27" t="s">
        <v>29</v>
      </c>
      <c r="E27" t="str">
        <f t="shared" si="0"/>
        <v>Dedza District [PekKUkKHAzY]|15-24|Female</v>
      </c>
      <c r="F27" s="14"/>
      <c r="G27" s="90" t="str">
        <f t="shared" si="1"/>
        <v/>
      </c>
      <c r="H27" s="42" t="str">
        <f t="shared" si="2"/>
        <v/>
      </c>
    </row>
    <row r="28" spans="1:8" x14ac:dyDescent="0.2">
      <c r="A28" t="str">
        <f>INDEX(Prioritization!$D:$D,MATCH($B28,Prioritization!$A:$A,0))</f>
        <v>1 - Scale-up: Saturation</v>
      </c>
      <c r="B28" t="s">
        <v>194</v>
      </c>
      <c r="C28" t="s">
        <v>364</v>
      </c>
      <c r="D28" t="s">
        <v>47</v>
      </c>
      <c r="E28" t="str">
        <f t="shared" si="0"/>
        <v>Dedza District [PekKUkKHAzY]|15-24|Male</v>
      </c>
      <c r="F28" s="14"/>
      <c r="G28" s="90" t="str">
        <f t="shared" si="1"/>
        <v/>
      </c>
      <c r="H28" s="42" t="str">
        <f t="shared" si="2"/>
        <v/>
      </c>
    </row>
    <row r="29" spans="1:8" x14ac:dyDescent="0.2">
      <c r="A29" t="str">
        <f>INDEX(Prioritization!$D:$D,MATCH($B29,Prioritization!$A:$A,0))</f>
        <v>1 - Scale-up: Saturation</v>
      </c>
      <c r="B29" t="s">
        <v>194</v>
      </c>
      <c r="C29" t="s">
        <v>365</v>
      </c>
      <c r="D29" t="s">
        <v>29</v>
      </c>
      <c r="E29" t="str">
        <f t="shared" si="0"/>
        <v>Dedza District [PekKUkKHAzY]|25-34|Female</v>
      </c>
      <c r="F29" s="14"/>
      <c r="G29" s="90" t="str">
        <f t="shared" si="1"/>
        <v/>
      </c>
      <c r="H29" s="42" t="str">
        <f t="shared" si="2"/>
        <v/>
      </c>
    </row>
    <row r="30" spans="1:8" x14ac:dyDescent="0.2">
      <c r="A30" t="str">
        <f>INDEX(Prioritization!$D:$D,MATCH($B30,Prioritization!$A:$A,0))</f>
        <v>1 - Scale-up: Saturation</v>
      </c>
      <c r="B30" t="s">
        <v>194</v>
      </c>
      <c r="C30" t="s">
        <v>365</v>
      </c>
      <c r="D30" t="s">
        <v>47</v>
      </c>
      <c r="E30" t="str">
        <f t="shared" si="0"/>
        <v>Dedza District [PekKUkKHAzY]|25-34|Male</v>
      </c>
      <c r="F30" s="14"/>
      <c r="G30" s="90" t="str">
        <f t="shared" si="1"/>
        <v/>
      </c>
      <c r="H30" s="42" t="str">
        <f t="shared" si="2"/>
        <v/>
      </c>
    </row>
    <row r="31" spans="1:8" x14ac:dyDescent="0.2">
      <c r="A31" t="str">
        <f>INDEX(Prioritization!$D:$D,MATCH($B31,Prioritization!$A:$A,0))</f>
        <v>1 - Scale-up: Saturation</v>
      </c>
      <c r="B31" t="s">
        <v>194</v>
      </c>
      <c r="C31" t="s">
        <v>366</v>
      </c>
      <c r="D31" t="s">
        <v>29</v>
      </c>
      <c r="E31" t="str">
        <f t="shared" si="0"/>
        <v>Dedza District [PekKUkKHAzY]|35-49|Female</v>
      </c>
      <c r="F31" s="14"/>
      <c r="G31" s="90" t="str">
        <f t="shared" si="1"/>
        <v/>
      </c>
      <c r="H31" s="42" t="str">
        <f t="shared" si="2"/>
        <v/>
      </c>
    </row>
    <row r="32" spans="1:8" x14ac:dyDescent="0.2">
      <c r="A32" t="str">
        <f>INDEX(Prioritization!$D:$D,MATCH($B32,Prioritization!$A:$A,0))</f>
        <v>1 - Scale-up: Saturation</v>
      </c>
      <c r="B32" t="s">
        <v>194</v>
      </c>
      <c r="C32" t="s">
        <v>366</v>
      </c>
      <c r="D32" t="s">
        <v>47</v>
      </c>
      <c r="E32" t="str">
        <f t="shared" si="0"/>
        <v>Dedza District [PekKUkKHAzY]|35-49|Male</v>
      </c>
      <c r="F32" s="14"/>
      <c r="G32" s="90" t="str">
        <f t="shared" si="1"/>
        <v/>
      </c>
      <c r="H32" s="42" t="str">
        <f t="shared" si="2"/>
        <v/>
      </c>
    </row>
    <row r="33" spans="1:8" x14ac:dyDescent="0.2">
      <c r="A33" t="str">
        <f>INDEX(Prioritization!$D:$D,MATCH($B33,Prioritization!$A:$A,0))</f>
        <v>1 - Scale-up: Saturation</v>
      </c>
      <c r="B33" t="s">
        <v>194</v>
      </c>
      <c r="C33" t="s">
        <v>367</v>
      </c>
      <c r="D33" t="s">
        <v>29</v>
      </c>
      <c r="E33" t="str">
        <f t="shared" si="0"/>
        <v>Dedza District [PekKUkKHAzY]|50+|Female</v>
      </c>
      <c r="F33" s="14"/>
      <c r="G33" s="90" t="str">
        <f t="shared" si="1"/>
        <v/>
      </c>
      <c r="H33" s="42" t="str">
        <f t="shared" si="2"/>
        <v/>
      </c>
    </row>
    <row r="34" spans="1:8" x14ac:dyDescent="0.2">
      <c r="A34" t="str">
        <f>INDEX(Prioritization!$D:$D,MATCH($B34,Prioritization!$A:$A,0))</f>
        <v>1 - Scale-up: Saturation</v>
      </c>
      <c r="B34" t="s">
        <v>194</v>
      </c>
      <c r="C34" t="s">
        <v>367</v>
      </c>
      <c r="D34" t="s">
        <v>47</v>
      </c>
      <c r="E34" t="str">
        <f t="shared" si="0"/>
        <v>Dedza District [PekKUkKHAzY]|50+|Male</v>
      </c>
      <c r="F34" s="14"/>
      <c r="G34" s="90" t="str">
        <f t="shared" si="1"/>
        <v/>
      </c>
      <c r="H34" s="42" t="str">
        <f t="shared" si="2"/>
        <v/>
      </c>
    </row>
    <row r="35" spans="1:8" x14ac:dyDescent="0.2">
      <c r="A35" t="str">
        <f>INDEX(Prioritization!$D:$D,MATCH($B35,Prioritization!$A:$A,0))</f>
        <v>1 - Scale-up: Saturation</v>
      </c>
      <c r="B35" t="s">
        <v>195</v>
      </c>
      <c r="C35" t="s">
        <v>363</v>
      </c>
      <c r="D35" t="s">
        <v>29</v>
      </c>
      <c r="E35" t="str">
        <f t="shared" si="0"/>
        <v>Dowa District [zphK9WV8JB4]|10-14|Female</v>
      </c>
      <c r="F35" s="14"/>
      <c r="G35" s="90" t="str">
        <f t="shared" si="1"/>
        <v/>
      </c>
      <c r="H35" s="42" t="str">
        <f t="shared" si="2"/>
        <v/>
      </c>
    </row>
    <row r="36" spans="1:8" x14ac:dyDescent="0.2">
      <c r="A36" t="str">
        <f>INDEX(Prioritization!$D:$D,MATCH($B36,Prioritization!$A:$A,0))</f>
        <v>1 - Scale-up: Saturation</v>
      </c>
      <c r="B36" t="s">
        <v>195</v>
      </c>
      <c r="C36" t="s">
        <v>363</v>
      </c>
      <c r="D36" t="s">
        <v>47</v>
      </c>
      <c r="E36" t="str">
        <f t="shared" si="0"/>
        <v>Dowa District [zphK9WV8JB4]|10-14|Male</v>
      </c>
      <c r="F36" s="14"/>
      <c r="G36" s="90" t="str">
        <f t="shared" si="1"/>
        <v/>
      </c>
      <c r="H36" s="42" t="str">
        <f t="shared" si="2"/>
        <v/>
      </c>
    </row>
    <row r="37" spans="1:8" x14ac:dyDescent="0.2">
      <c r="A37" t="str">
        <f>INDEX(Prioritization!$D:$D,MATCH($B37,Prioritization!$A:$A,0))</f>
        <v>1 - Scale-up: Saturation</v>
      </c>
      <c r="B37" t="s">
        <v>195</v>
      </c>
      <c r="C37" t="s">
        <v>364</v>
      </c>
      <c r="D37" t="s">
        <v>29</v>
      </c>
      <c r="E37" t="str">
        <f t="shared" si="0"/>
        <v>Dowa District [zphK9WV8JB4]|15-24|Female</v>
      </c>
      <c r="F37" s="14"/>
      <c r="G37" s="90" t="str">
        <f t="shared" si="1"/>
        <v/>
      </c>
      <c r="H37" s="42" t="str">
        <f t="shared" si="2"/>
        <v/>
      </c>
    </row>
    <row r="38" spans="1:8" x14ac:dyDescent="0.2">
      <c r="A38" t="str">
        <f>INDEX(Prioritization!$D:$D,MATCH($B38,Prioritization!$A:$A,0))</f>
        <v>1 - Scale-up: Saturation</v>
      </c>
      <c r="B38" t="s">
        <v>195</v>
      </c>
      <c r="C38" t="s">
        <v>364</v>
      </c>
      <c r="D38" t="s">
        <v>47</v>
      </c>
      <c r="E38" t="str">
        <f t="shared" si="0"/>
        <v>Dowa District [zphK9WV8JB4]|15-24|Male</v>
      </c>
      <c r="F38" s="14"/>
      <c r="G38" s="90" t="str">
        <f t="shared" si="1"/>
        <v/>
      </c>
      <c r="H38" s="42" t="str">
        <f t="shared" si="2"/>
        <v/>
      </c>
    </row>
    <row r="39" spans="1:8" x14ac:dyDescent="0.2">
      <c r="A39" t="str">
        <f>INDEX(Prioritization!$D:$D,MATCH($B39,Prioritization!$A:$A,0))</f>
        <v>1 - Scale-up: Saturation</v>
      </c>
      <c r="B39" t="s">
        <v>195</v>
      </c>
      <c r="C39" t="s">
        <v>365</v>
      </c>
      <c r="D39" t="s">
        <v>29</v>
      </c>
      <c r="E39" t="str">
        <f t="shared" si="0"/>
        <v>Dowa District [zphK9WV8JB4]|25-34|Female</v>
      </c>
      <c r="F39" s="14"/>
      <c r="G39" s="90" t="str">
        <f t="shared" si="1"/>
        <v/>
      </c>
      <c r="H39" s="42" t="str">
        <f t="shared" si="2"/>
        <v/>
      </c>
    </row>
    <row r="40" spans="1:8" x14ac:dyDescent="0.2">
      <c r="A40" t="str">
        <f>INDEX(Prioritization!$D:$D,MATCH($B40,Prioritization!$A:$A,0))</f>
        <v>1 - Scale-up: Saturation</v>
      </c>
      <c r="B40" t="s">
        <v>195</v>
      </c>
      <c r="C40" t="s">
        <v>365</v>
      </c>
      <c r="D40" t="s">
        <v>47</v>
      </c>
      <c r="E40" t="str">
        <f t="shared" si="0"/>
        <v>Dowa District [zphK9WV8JB4]|25-34|Male</v>
      </c>
      <c r="F40" s="14"/>
      <c r="G40" s="90" t="str">
        <f t="shared" si="1"/>
        <v/>
      </c>
      <c r="H40" s="42" t="str">
        <f t="shared" si="2"/>
        <v/>
      </c>
    </row>
    <row r="41" spans="1:8" x14ac:dyDescent="0.2">
      <c r="A41" t="str">
        <f>INDEX(Prioritization!$D:$D,MATCH($B41,Prioritization!$A:$A,0))</f>
        <v>1 - Scale-up: Saturation</v>
      </c>
      <c r="B41" t="s">
        <v>195</v>
      </c>
      <c r="C41" t="s">
        <v>366</v>
      </c>
      <c r="D41" t="s">
        <v>29</v>
      </c>
      <c r="E41" t="str">
        <f t="shared" si="0"/>
        <v>Dowa District [zphK9WV8JB4]|35-49|Female</v>
      </c>
      <c r="F41" s="14"/>
      <c r="G41" s="90" t="str">
        <f t="shared" si="1"/>
        <v/>
      </c>
      <c r="H41" s="42" t="str">
        <f t="shared" si="2"/>
        <v/>
      </c>
    </row>
    <row r="42" spans="1:8" x14ac:dyDescent="0.2">
      <c r="A42" t="str">
        <f>INDEX(Prioritization!$D:$D,MATCH($B42,Prioritization!$A:$A,0))</f>
        <v>1 - Scale-up: Saturation</v>
      </c>
      <c r="B42" t="s">
        <v>195</v>
      </c>
      <c r="C42" t="s">
        <v>366</v>
      </c>
      <c r="D42" t="s">
        <v>47</v>
      </c>
      <c r="E42" t="str">
        <f t="shared" si="0"/>
        <v>Dowa District [zphK9WV8JB4]|35-49|Male</v>
      </c>
      <c r="F42" s="14"/>
      <c r="G42" s="90" t="str">
        <f t="shared" si="1"/>
        <v/>
      </c>
      <c r="H42" s="42" t="str">
        <f t="shared" si="2"/>
        <v/>
      </c>
    </row>
    <row r="43" spans="1:8" x14ac:dyDescent="0.2">
      <c r="A43" t="str">
        <f>INDEX(Prioritization!$D:$D,MATCH($B43,Prioritization!$A:$A,0))</f>
        <v>1 - Scale-up: Saturation</v>
      </c>
      <c r="B43" t="s">
        <v>195</v>
      </c>
      <c r="C43" t="s">
        <v>367</v>
      </c>
      <c r="D43" t="s">
        <v>29</v>
      </c>
      <c r="E43" t="str">
        <f t="shared" si="0"/>
        <v>Dowa District [zphK9WV8JB4]|50+|Female</v>
      </c>
      <c r="F43" s="14"/>
      <c r="G43" s="90" t="str">
        <f t="shared" si="1"/>
        <v/>
      </c>
      <c r="H43" s="42" t="str">
        <f t="shared" si="2"/>
        <v/>
      </c>
    </row>
    <row r="44" spans="1:8" x14ac:dyDescent="0.2">
      <c r="A44" t="str">
        <f>INDEX(Prioritization!$D:$D,MATCH($B44,Prioritization!$A:$A,0))</f>
        <v>1 - Scale-up: Saturation</v>
      </c>
      <c r="B44" t="s">
        <v>195</v>
      </c>
      <c r="C44" t="s">
        <v>367</v>
      </c>
      <c r="D44" t="s">
        <v>47</v>
      </c>
      <c r="E44" t="str">
        <f t="shared" si="0"/>
        <v>Dowa District [zphK9WV8JB4]|50+|Male</v>
      </c>
      <c r="F44" s="14"/>
      <c r="G44" s="90" t="str">
        <f t="shared" si="1"/>
        <v/>
      </c>
      <c r="H44" s="42" t="str">
        <f t="shared" si="2"/>
        <v/>
      </c>
    </row>
    <row r="45" spans="1:8" x14ac:dyDescent="0.2">
      <c r="A45" t="str">
        <f>INDEX(Prioritization!$D:$D,MATCH($B45,Prioritization!$A:$A,0))</f>
        <v>INVALID</v>
      </c>
      <c r="B45" t="s">
        <v>196</v>
      </c>
      <c r="C45" t="s">
        <v>363</v>
      </c>
      <c r="D45" t="s">
        <v>29</v>
      </c>
      <c r="E45" t="str">
        <f t="shared" si="0"/>
        <v>Kasungu District [JQKLKuVuY61]|10-14|Female</v>
      </c>
      <c r="F45" s="14"/>
      <c r="G45" s="90" t="str">
        <f t="shared" si="1"/>
        <v/>
      </c>
      <c r="H45" s="42" t="str">
        <f t="shared" si="2"/>
        <v/>
      </c>
    </row>
    <row r="46" spans="1:8" x14ac:dyDescent="0.2">
      <c r="A46" t="str">
        <f>INDEX(Prioritization!$D:$D,MATCH($B46,Prioritization!$A:$A,0))</f>
        <v>INVALID</v>
      </c>
      <c r="B46" t="s">
        <v>196</v>
      </c>
      <c r="C46" t="s">
        <v>363</v>
      </c>
      <c r="D46" t="s">
        <v>47</v>
      </c>
      <c r="E46" t="str">
        <f t="shared" si="0"/>
        <v>Kasungu District [JQKLKuVuY61]|10-14|Male</v>
      </c>
      <c r="F46" s="14"/>
      <c r="G46" s="90" t="str">
        <f t="shared" si="1"/>
        <v/>
      </c>
      <c r="H46" s="42" t="str">
        <f t="shared" si="2"/>
        <v/>
      </c>
    </row>
    <row r="47" spans="1:8" x14ac:dyDescent="0.2">
      <c r="A47" t="str">
        <f>INDEX(Prioritization!$D:$D,MATCH($B47,Prioritization!$A:$A,0))</f>
        <v>INVALID</v>
      </c>
      <c r="B47" t="s">
        <v>196</v>
      </c>
      <c r="C47" t="s">
        <v>364</v>
      </c>
      <c r="D47" t="s">
        <v>29</v>
      </c>
      <c r="E47" t="str">
        <f t="shared" si="0"/>
        <v>Kasungu District [JQKLKuVuY61]|15-24|Female</v>
      </c>
      <c r="F47" s="14"/>
      <c r="G47" s="90" t="str">
        <f t="shared" si="1"/>
        <v/>
      </c>
      <c r="H47" s="42" t="str">
        <f t="shared" si="2"/>
        <v/>
      </c>
    </row>
    <row r="48" spans="1:8" x14ac:dyDescent="0.2">
      <c r="A48" t="str">
        <f>INDEX(Prioritization!$D:$D,MATCH($B48,Prioritization!$A:$A,0))</f>
        <v>INVALID</v>
      </c>
      <c r="B48" t="s">
        <v>196</v>
      </c>
      <c r="C48" t="s">
        <v>364</v>
      </c>
      <c r="D48" t="s">
        <v>47</v>
      </c>
      <c r="E48" t="str">
        <f t="shared" si="0"/>
        <v>Kasungu District [JQKLKuVuY61]|15-24|Male</v>
      </c>
      <c r="F48" s="14"/>
      <c r="G48" s="90" t="str">
        <f t="shared" si="1"/>
        <v/>
      </c>
      <c r="H48" s="42" t="str">
        <f t="shared" si="2"/>
        <v/>
      </c>
    </row>
    <row r="49" spans="1:8" x14ac:dyDescent="0.2">
      <c r="A49" t="str">
        <f>INDEX(Prioritization!$D:$D,MATCH($B49,Prioritization!$A:$A,0))</f>
        <v>INVALID</v>
      </c>
      <c r="B49" t="s">
        <v>196</v>
      </c>
      <c r="C49" t="s">
        <v>365</v>
      </c>
      <c r="D49" t="s">
        <v>29</v>
      </c>
      <c r="E49" t="str">
        <f t="shared" si="0"/>
        <v>Kasungu District [JQKLKuVuY61]|25-34|Female</v>
      </c>
      <c r="F49" s="14"/>
      <c r="G49" s="90" t="str">
        <f t="shared" si="1"/>
        <v/>
      </c>
      <c r="H49" s="42" t="str">
        <f t="shared" si="2"/>
        <v/>
      </c>
    </row>
    <row r="50" spans="1:8" x14ac:dyDescent="0.2">
      <c r="A50" t="str">
        <f>INDEX(Prioritization!$D:$D,MATCH($B50,Prioritization!$A:$A,0))</f>
        <v>INVALID</v>
      </c>
      <c r="B50" t="s">
        <v>196</v>
      </c>
      <c r="C50" t="s">
        <v>365</v>
      </c>
      <c r="D50" t="s">
        <v>47</v>
      </c>
      <c r="E50" t="str">
        <f t="shared" si="0"/>
        <v>Kasungu District [JQKLKuVuY61]|25-34|Male</v>
      </c>
      <c r="F50" s="14"/>
      <c r="G50" s="90" t="str">
        <f t="shared" si="1"/>
        <v/>
      </c>
      <c r="H50" s="42" t="str">
        <f t="shared" si="2"/>
        <v/>
      </c>
    </row>
    <row r="51" spans="1:8" x14ac:dyDescent="0.2">
      <c r="A51" t="str">
        <f>INDEX(Prioritization!$D:$D,MATCH($B51,Prioritization!$A:$A,0))</f>
        <v>INVALID</v>
      </c>
      <c r="B51" t="s">
        <v>196</v>
      </c>
      <c r="C51" t="s">
        <v>366</v>
      </c>
      <c r="D51" t="s">
        <v>29</v>
      </c>
      <c r="E51" t="str">
        <f t="shared" si="0"/>
        <v>Kasungu District [JQKLKuVuY61]|35-49|Female</v>
      </c>
      <c r="F51" s="14"/>
      <c r="G51" s="90" t="str">
        <f t="shared" si="1"/>
        <v/>
      </c>
      <c r="H51" s="42" t="str">
        <f t="shared" si="2"/>
        <v/>
      </c>
    </row>
    <row r="52" spans="1:8" x14ac:dyDescent="0.2">
      <c r="A52" t="str">
        <f>INDEX(Prioritization!$D:$D,MATCH($B52,Prioritization!$A:$A,0))</f>
        <v>INVALID</v>
      </c>
      <c r="B52" t="s">
        <v>196</v>
      </c>
      <c r="C52" t="s">
        <v>366</v>
      </c>
      <c r="D52" t="s">
        <v>47</v>
      </c>
      <c r="E52" t="str">
        <f t="shared" si="0"/>
        <v>Kasungu District [JQKLKuVuY61]|35-49|Male</v>
      </c>
      <c r="F52" s="14"/>
      <c r="G52" s="90" t="str">
        <f t="shared" si="1"/>
        <v/>
      </c>
      <c r="H52" s="42" t="str">
        <f t="shared" si="2"/>
        <v/>
      </c>
    </row>
    <row r="53" spans="1:8" x14ac:dyDescent="0.2">
      <c r="A53" t="str">
        <f>INDEX(Prioritization!$D:$D,MATCH($B53,Prioritization!$A:$A,0))</f>
        <v>INVALID</v>
      </c>
      <c r="B53" t="s">
        <v>196</v>
      </c>
      <c r="C53" t="s">
        <v>367</v>
      </c>
      <c r="D53" t="s">
        <v>29</v>
      </c>
      <c r="E53" t="str">
        <f t="shared" si="0"/>
        <v>Kasungu District [JQKLKuVuY61]|50+|Female</v>
      </c>
      <c r="F53" s="14"/>
      <c r="G53" s="90" t="str">
        <f t="shared" si="1"/>
        <v/>
      </c>
      <c r="H53" s="42" t="str">
        <f t="shared" si="2"/>
        <v/>
      </c>
    </row>
    <row r="54" spans="1:8" x14ac:dyDescent="0.2">
      <c r="A54" t="str">
        <f>INDEX(Prioritization!$D:$D,MATCH($B54,Prioritization!$A:$A,0))</f>
        <v>INVALID</v>
      </c>
      <c r="B54" t="s">
        <v>196</v>
      </c>
      <c r="C54" t="s">
        <v>367</v>
      </c>
      <c r="D54" t="s">
        <v>47</v>
      </c>
      <c r="E54" t="str">
        <f t="shared" si="0"/>
        <v>Kasungu District [JQKLKuVuY61]|50+|Male</v>
      </c>
      <c r="F54" s="14"/>
      <c r="G54" s="90" t="str">
        <f t="shared" si="1"/>
        <v/>
      </c>
      <c r="H54" s="42" t="str">
        <f t="shared" si="2"/>
        <v/>
      </c>
    </row>
    <row r="55" spans="1:8" x14ac:dyDescent="0.2">
      <c r="A55" t="str">
        <f>INDEX(Prioritization!$D:$D,MATCH($B55,Prioritization!$A:$A,0))</f>
        <v>1 - Scale-up: Saturation</v>
      </c>
      <c r="B55" t="s">
        <v>197</v>
      </c>
      <c r="C55" t="s">
        <v>363</v>
      </c>
      <c r="D55" t="s">
        <v>29</v>
      </c>
      <c r="E55" t="str">
        <f t="shared" si="0"/>
        <v>Lilongwe District [ScR9iFKAasW]|10-14|Female</v>
      </c>
      <c r="F55" s="14"/>
      <c r="G55" s="90" t="str">
        <f t="shared" si="1"/>
        <v/>
      </c>
      <c r="H55" s="42" t="str">
        <f t="shared" si="2"/>
        <v/>
      </c>
    </row>
    <row r="56" spans="1:8" x14ac:dyDescent="0.2">
      <c r="A56" t="str">
        <f>INDEX(Prioritization!$D:$D,MATCH($B56,Prioritization!$A:$A,0))</f>
        <v>1 - Scale-up: Saturation</v>
      </c>
      <c r="B56" t="s">
        <v>197</v>
      </c>
      <c r="C56" t="s">
        <v>363</v>
      </c>
      <c r="D56" t="s">
        <v>47</v>
      </c>
      <c r="E56" t="str">
        <f t="shared" si="0"/>
        <v>Lilongwe District [ScR9iFKAasW]|10-14|Male</v>
      </c>
      <c r="F56" s="14"/>
      <c r="G56" s="90" t="str">
        <f t="shared" si="1"/>
        <v/>
      </c>
      <c r="H56" s="42" t="str">
        <f t="shared" si="2"/>
        <v/>
      </c>
    </row>
    <row r="57" spans="1:8" x14ac:dyDescent="0.2">
      <c r="A57" t="str">
        <f>INDEX(Prioritization!$D:$D,MATCH($B57,Prioritization!$A:$A,0))</f>
        <v>1 - Scale-up: Saturation</v>
      </c>
      <c r="B57" t="s">
        <v>197</v>
      </c>
      <c r="C57" t="s">
        <v>364</v>
      </c>
      <c r="D57" t="s">
        <v>29</v>
      </c>
      <c r="E57" t="str">
        <f t="shared" si="0"/>
        <v>Lilongwe District [ScR9iFKAasW]|15-24|Female</v>
      </c>
      <c r="F57" s="14"/>
      <c r="G57" s="90" t="str">
        <f t="shared" si="1"/>
        <v/>
      </c>
      <c r="H57" s="42" t="str">
        <f t="shared" si="2"/>
        <v/>
      </c>
    </row>
    <row r="58" spans="1:8" x14ac:dyDescent="0.2">
      <c r="A58" t="str">
        <f>INDEX(Prioritization!$D:$D,MATCH($B58,Prioritization!$A:$A,0))</f>
        <v>1 - Scale-up: Saturation</v>
      </c>
      <c r="B58" t="s">
        <v>197</v>
      </c>
      <c r="C58" t="s">
        <v>364</v>
      </c>
      <c r="D58" t="s">
        <v>47</v>
      </c>
      <c r="E58" t="str">
        <f t="shared" si="0"/>
        <v>Lilongwe District [ScR9iFKAasW]|15-24|Male</v>
      </c>
      <c r="F58" s="14"/>
      <c r="G58" s="90" t="str">
        <f t="shared" si="1"/>
        <v/>
      </c>
      <c r="H58" s="42" t="str">
        <f t="shared" si="2"/>
        <v/>
      </c>
    </row>
    <row r="59" spans="1:8" x14ac:dyDescent="0.2">
      <c r="A59" t="str">
        <f>INDEX(Prioritization!$D:$D,MATCH($B59,Prioritization!$A:$A,0))</f>
        <v>1 - Scale-up: Saturation</v>
      </c>
      <c r="B59" t="s">
        <v>197</v>
      </c>
      <c r="C59" t="s">
        <v>365</v>
      </c>
      <c r="D59" t="s">
        <v>29</v>
      </c>
      <c r="E59" t="str">
        <f t="shared" si="0"/>
        <v>Lilongwe District [ScR9iFKAasW]|25-34|Female</v>
      </c>
      <c r="F59" s="14"/>
      <c r="G59" s="90" t="str">
        <f t="shared" si="1"/>
        <v/>
      </c>
      <c r="H59" s="42" t="str">
        <f t="shared" si="2"/>
        <v/>
      </c>
    </row>
    <row r="60" spans="1:8" x14ac:dyDescent="0.2">
      <c r="A60" t="str">
        <f>INDEX(Prioritization!$D:$D,MATCH($B60,Prioritization!$A:$A,0))</f>
        <v>1 - Scale-up: Saturation</v>
      </c>
      <c r="B60" t="s">
        <v>197</v>
      </c>
      <c r="C60" t="s">
        <v>365</v>
      </c>
      <c r="D60" t="s">
        <v>47</v>
      </c>
      <c r="E60" t="str">
        <f t="shared" si="0"/>
        <v>Lilongwe District [ScR9iFKAasW]|25-34|Male</v>
      </c>
      <c r="F60" s="14"/>
      <c r="G60" s="90" t="str">
        <f t="shared" si="1"/>
        <v/>
      </c>
      <c r="H60" s="42" t="str">
        <f t="shared" si="2"/>
        <v/>
      </c>
    </row>
    <row r="61" spans="1:8" x14ac:dyDescent="0.2">
      <c r="A61" t="str">
        <f>INDEX(Prioritization!$D:$D,MATCH($B61,Prioritization!$A:$A,0))</f>
        <v>1 - Scale-up: Saturation</v>
      </c>
      <c r="B61" t="s">
        <v>197</v>
      </c>
      <c r="C61" t="s">
        <v>366</v>
      </c>
      <c r="D61" t="s">
        <v>29</v>
      </c>
      <c r="E61" t="str">
        <f t="shared" si="0"/>
        <v>Lilongwe District [ScR9iFKAasW]|35-49|Female</v>
      </c>
      <c r="F61" s="14"/>
      <c r="G61" s="90" t="str">
        <f t="shared" si="1"/>
        <v/>
      </c>
      <c r="H61" s="42" t="str">
        <f t="shared" si="2"/>
        <v/>
      </c>
    </row>
    <row r="62" spans="1:8" x14ac:dyDescent="0.2">
      <c r="A62" t="str">
        <f>INDEX(Prioritization!$D:$D,MATCH($B62,Prioritization!$A:$A,0))</f>
        <v>1 - Scale-up: Saturation</v>
      </c>
      <c r="B62" t="s">
        <v>197</v>
      </c>
      <c r="C62" t="s">
        <v>366</v>
      </c>
      <c r="D62" t="s">
        <v>47</v>
      </c>
      <c r="E62" t="str">
        <f t="shared" si="0"/>
        <v>Lilongwe District [ScR9iFKAasW]|35-49|Male</v>
      </c>
      <c r="F62" s="14"/>
      <c r="G62" s="90" t="str">
        <f t="shared" si="1"/>
        <v/>
      </c>
      <c r="H62" s="42" t="str">
        <f t="shared" si="2"/>
        <v/>
      </c>
    </row>
    <row r="63" spans="1:8" x14ac:dyDescent="0.2">
      <c r="A63" t="str">
        <f>INDEX(Prioritization!$D:$D,MATCH($B63,Prioritization!$A:$A,0))</f>
        <v>1 - Scale-up: Saturation</v>
      </c>
      <c r="B63" t="s">
        <v>197</v>
      </c>
      <c r="C63" t="s">
        <v>367</v>
      </c>
      <c r="D63" t="s">
        <v>29</v>
      </c>
      <c r="E63" t="str">
        <f t="shared" si="0"/>
        <v>Lilongwe District [ScR9iFKAasW]|50+|Female</v>
      </c>
      <c r="F63" s="14"/>
      <c r="G63" s="90" t="str">
        <f t="shared" si="1"/>
        <v/>
      </c>
      <c r="H63" s="42" t="str">
        <f t="shared" si="2"/>
        <v/>
      </c>
    </row>
    <row r="64" spans="1:8" x14ac:dyDescent="0.2">
      <c r="A64" t="str">
        <f>INDEX(Prioritization!$D:$D,MATCH($B64,Prioritization!$A:$A,0))</f>
        <v>1 - Scale-up: Saturation</v>
      </c>
      <c r="B64" t="s">
        <v>197</v>
      </c>
      <c r="C64" t="s">
        <v>367</v>
      </c>
      <c r="D64" t="s">
        <v>47</v>
      </c>
      <c r="E64" t="str">
        <f t="shared" si="0"/>
        <v>Lilongwe District [ScR9iFKAasW]|50+|Male</v>
      </c>
      <c r="F64" s="14"/>
      <c r="G64" s="90" t="str">
        <f t="shared" si="1"/>
        <v/>
      </c>
      <c r="H64" s="42" t="str">
        <f t="shared" si="2"/>
        <v/>
      </c>
    </row>
    <row r="65" spans="1:8" x14ac:dyDescent="0.2">
      <c r="A65" t="str">
        <f>INDEX(Prioritization!$D:$D,MATCH($B65,Prioritization!$A:$A,0))</f>
        <v>1 - Scale-up: Saturation</v>
      </c>
      <c r="B65" t="s">
        <v>198</v>
      </c>
      <c r="C65" t="s">
        <v>363</v>
      </c>
      <c r="D65" t="s">
        <v>29</v>
      </c>
      <c r="E65" t="str">
        <f t="shared" si="0"/>
        <v>Mchinji District [kxuuIFpOXyO]|10-14|Female</v>
      </c>
      <c r="F65" s="14"/>
      <c r="G65" s="90" t="str">
        <f t="shared" si="1"/>
        <v/>
      </c>
      <c r="H65" s="42" t="str">
        <f t="shared" si="2"/>
        <v/>
      </c>
    </row>
    <row r="66" spans="1:8" x14ac:dyDescent="0.2">
      <c r="A66" t="str">
        <f>INDEX(Prioritization!$D:$D,MATCH($B66,Prioritization!$A:$A,0))</f>
        <v>1 - Scale-up: Saturation</v>
      </c>
      <c r="B66" t="s">
        <v>198</v>
      </c>
      <c r="C66" t="s">
        <v>363</v>
      </c>
      <c r="D66" t="s">
        <v>47</v>
      </c>
      <c r="E66" t="str">
        <f t="shared" si="0"/>
        <v>Mchinji District [kxuuIFpOXyO]|10-14|Male</v>
      </c>
      <c r="F66" s="14"/>
      <c r="G66" s="90" t="str">
        <f t="shared" si="1"/>
        <v/>
      </c>
      <c r="H66" s="42" t="str">
        <f t="shared" si="2"/>
        <v/>
      </c>
    </row>
    <row r="67" spans="1:8" x14ac:dyDescent="0.2">
      <c r="A67" t="str">
        <f>INDEX(Prioritization!$D:$D,MATCH($B67,Prioritization!$A:$A,0))</f>
        <v>1 - Scale-up: Saturation</v>
      </c>
      <c r="B67" t="s">
        <v>198</v>
      </c>
      <c r="C67" t="s">
        <v>364</v>
      </c>
      <c r="D67" t="s">
        <v>29</v>
      </c>
      <c r="E67" t="str">
        <f t="shared" si="0"/>
        <v>Mchinji District [kxuuIFpOXyO]|15-24|Female</v>
      </c>
      <c r="F67" s="14"/>
      <c r="G67" s="90" t="str">
        <f t="shared" si="1"/>
        <v/>
      </c>
      <c r="H67" s="42" t="str">
        <f t="shared" si="2"/>
        <v/>
      </c>
    </row>
    <row r="68" spans="1:8" x14ac:dyDescent="0.2">
      <c r="A68" t="str">
        <f>INDEX(Prioritization!$D:$D,MATCH($B68,Prioritization!$A:$A,0))</f>
        <v>1 - Scale-up: Saturation</v>
      </c>
      <c r="B68" t="s">
        <v>198</v>
      </c>
      <c r="C68" t="s">
        <v>364</v>
      </c>
      <c r="D68" t="s">
        <v>47</v>
      </c>
      <c r="E68" t="str">
        <f t="shared" si="0"/>
        <v>Mchinji District [kxuuIFpOXyO]|15-24|Male</v>
      </c>
      <c r="F68" s="14"/>
      <c r="G68" s="90" t="str">
        <f t="shared" si="1"/>
        <v/>
      </c>
      <c r="H68" s="42" t="str">
        <f t="shared" si="2"/>
        <v/>
      </c>
    </row>
    <row r="69" spans="1:8" x14ac:dyDescent="0.2">
      <c r="A69" t="str">
        <f>INDEX(Prioritization!$D:$D,MATCH($B69,Prioritization!$A:$A,0))</f>
        <v>1 - Scale-up: Saturation</v>
      </c>
      <c r="B69" t="s">
        <v>198</v>
      </c>
      <c r="C69" t="s">
        <v>365</v>
      </c>
      <c r="D69" t="s">
        <v>29</v>
      </c>
      <c r="E69" t="str">
        <f t="shared" si="0"/>
        <v>Mchinji District [kxuuIFpOXyO]|25-34|Female</v>
      </c>
      <c r="F69" s="14"/>
      <c r="G69" s="90" t="str">
        <f t="shared" si="1"/>
        <v/>
      </c>
      <c r="H69" s="42" t="str">
        <f t="shared" si="2"/>
        <v/>
      </c>
    </row>
    <row r="70" spans="1:8" x14ac:dyDescent="0.2">
      <c r="A70" t="str">
        <f>INDEX(Prioritization!$D:$D,MATCH($B70,Prioritization!$A:$A,0))</f>
        <v>1 - Scale-up: Saturation</v>
      </c>
      <c r="B70" t="s">
        <v>198</v>
      </c>
      <c r="C70" t="s">
        <v>365</v>
      </c>
      <c r="D70" t="s">
        <v>47</v>
      </c>
      <c r="E70" t="str">
        <f t="shared" si="0"/>
        <v>Mchinji District [kxuuIFpOXyO]|25-34|Male</v>
      </c>
      <c r="F70" s="14"/>
      <c r="G70" s="90" t="str">
        <f t="shared" si="1"/>
        <v/>
      </c>
      <c r="H70" s="42" t="str">
        <f t="shared" si="2"/>
        <v/>
      </c>
    </row>
    <row r="71" spans="1:8" x14ac:dyDescent="0.2">
      <c r="A71" t="str">
        <f>INDEX(Prioritization!$D:$D,MATCH($B71,Prioritization!$A:$A,0))</f>
        <v>1 - Scale-up: Saturation</v>
      </c>
      <c r="B71" t="s">
        <v>198</v>
      </c>
      <c r="C71" t="s">
        <v>366</v>
      </c>
      <c r="D71" t="s">
        <v>29</v>
      </c>
      <c r="E71" t="str">
        <f t="shared" si="0"/>
        <v>Mchinji District [kxuuIFpOXyO]|35-49|Female</v>
      </c>
      <c r="F71" s="14"/>
      <c r="G71" s="90" t="str">
        <f t="shared" si="1"/>
        <v/>
      </c>
      <c r="H71" s="42" t="str">
        <f t="shared" si="2"/>
        <v/>
      </c>
    </row>
    <row r="72" spans="1:8" x14ac:dyDescent="0.2">
      <c r="A72" t="str">
        <f>INDEX(Prioritization!$D:$D,MATCH($B72,Prioritization!$A:$A,0))</f>
        <v>1 - Scale-up: Saturation</v>
      </c>
      <c r="B72" t="s">
        <v>198</v>
      </c>
      <c r="C72" t="s">
        <v>366</v>
      </c>
      <c r="D72" t="s">
        <v>47</v>
      </c>
      <c r="E72" t="str">
        <f t="shared" si="0"/>
        <v>Mchinji District [kxuuIFpOXyO]|35-49|Male</v>
      </c>
      <c r="F72" s="14"/>
      <c r="G72" s="90" t="str">
        <f t="shared" si="1"/>
        <v/>
      </c>
      <c r="H72" s="42" t="str">
        <f t="shared" si="2"/>
        <v/>
      </c>
    </row>
    <row r="73" spans="1:8" x14ac:dyDescent="0.2">
      <c r="A73" t="str">
        <f>INDEX(Prioritization!$D:$D,MATCH($B73,Prioritization!$A:$A,0))</f>
        <v>1 - Scale-up: Saturation</v>
      </c>
      <c r="B73" t="s">
        <v>198</v>
      </c>
      <c r="C73" t="s">
        <v>367</v>
      </c>
      <c r="D73" t="s">
        <v>29</v>
      </c>
      <c r="E73" t="str">
        <f t="shared" si="0"/>
        <v>Mchinji District [kxuuIFpOXyO]|50+|Female</v>
      </c>
      <c r="F73" s="14"/>
      <c r="G73" s="90" t="str">
        <f t="shared" si="1"/>
        <v/>
      </c>
      <c r="H73" s="42" t="str">
        <f t="shared" si="2"/>
        <v/>
      </c>
    </row>
    <row r="74" spans="1:8" x14ac:dyDescent="0.2">
      <c r="A74" t="str">
        <f>INDEX(Prioritization!$D:$D,MATCH($B74,Prioritization!$A:$A,0))</f>
        <v>1 - Scale-up: Saturation</v>
      </c>
      <c r="B74" t="s">
        <v>198</v>
      </c>
      <c r="C74" t="s">
        <v>367</v>
      </c>
      <c r="D74" t="s">
        <v>47</v>
      </c>
      <c r="E74" t="str">
        <f t="shared" si="0"/>
        <v>Mchinji District [kxuuIFpOXyO]|50+|Male</v>
      </c>
      <c r="F74" s="14"/>
      <c r="G74" s="90" t="str">
        <f t="shared" si="1"/>
        <v/>
      </c>
      <c r="H74" s="42" t="str">
        <f t="shared" si="2"/>
        <v/>
      </c>
    </row>
    <row r="75" spans="1:8" x14ac:dyDescent="0.2">
      <c r="A75" t="str">
        <f>INDEX(Prioritization!$D:$D,MATCH($B75,Prioritization!$A:$A,0))</f>
        <v>1 - Scale-up: Saturation</v>
      </c>
      <c r="B75" t="s">
        <v>199</v>
      </c>
      <c r="C75" t="s">
        <v>363</v>
      </c>
      <c r="D75" t="s">
        <v>29</v>
      </c>
      <c r="E75" t="str">
        <f t="shared" si="0"/>
        <v>Nkhotakota District [YCKiBAp8QAg]|10-14|Female</v>
      </c>
      <c r="F75" s="14"/>
      <c r="G75" s="90" t="str">
        <f t="shared" si="1"/>
        <v/>
      </c>
      <c r="H75" s="42" t="str">
        <f t="shared" si="2"/>
        <v/>
      </c>
    </row>
    <row r="76" spans="1:8" x14ac:dyDescent="0.2">
      <c r="A76" t="str">
        <f>INDEX(Prioritization!$D:$D,MATCH($B76,Prioritization!$A:$A,0))</f>
        <v>1 - Scale-up: Saturation</v>
      </c>
      <c r="B76" t="s">
        <v>199</v>
      </c>
      <c r="C76" t="s">
        <v>363</v>
      </c>
      <c r="D76" t="s">
        <v>47</v>
      </c>
      <c r="E76" t="str">
        <f t="shared" si="0"/>
        <v>Nkhotakota District [YCKiBAp8QAg]|10-14|Male</v>
      </c>
      <c r="F76" s="14"/>
      <c r="G76" s="90" t="str">
        <f t="shared" si="1"/>
        <v/>
      </c>
      <c r="H76" s="42" t="str">
        <f t="shared" si="2"/>
        <v/>
      </c>
    </row>
    <row r="77" spans="1:8" x14ac:dyDescent="0.2">
      <c r="A77" t="str">
        <f>INDEX(Prioritization!$D:$D,MATCH($B77,Prioritization!$A:$A,0))</f>
        <v>1 - Scale-up: Saturation</v>
      </c>
      <c r="B77" t="s">
        <v>199</v>
      </c>
      <c r="C77" t="s">
        <v>364</v>
      </c>
      <c r="D77" t="s">
        <v>29</v>
      </c>
      <c r="E77" t="str">
        <f t="shared" si="0"/>
        <v>Nkhotakota District [YCKiBAp8QAg]|15-24|Female</v>
      </c>
      <c r="F77" s="14"/>
      <c r="G77" s="90" t="str">
        <f t="shared" si="1"/>
        <v/>
      </c>
      <c r="H77" s="42" t="str">
        <f t="shared" si="2"/>
        <v/>
      </c>
    </row>
    <row r="78" spans="1:8" x14ac:dyDescent="0.2">
      <c r="A78" t="str">
        <f>INDEX(Prioritization!$D:$D,MATCH($B78,Prioritization!$A:$A,0))</f>
        <v>1 - Scale-up: Saturation</v>
      </c>
      <c r="B78" t="s">
        <v>199</v>
      </c>
      <c r="C78" t="s">
        <v>364</v>
      </c>
      <c r="D78" t="s">
        <v>47</v>
      </c>
      <c r="E78" t="str">
        <f t="shared" si="0"/>
        <v>Nkhotakota District [YCKiBAp8QAg]|15-24|Male</v>
      </c>
      <c r="F78" s="14"/>
      <c r="G78" s="90" t="str">
        <f t="shared" si="1"/>
        <v/>
      </c>
      <c r="H78" s="42" t="str">
        <f t="shared" si="2"/>
        <v/>
      </c>
    </row>
    <row r="79" spans="1:8" x14ac:dyDescent="0.2">
      <c r="A79" t="str">
        <f>INDEX(Prioritization!$D:$D,MATCH($B79,Prioritization!$A:$A,0))</f>
        <v>1 - Scale-up: Saturation</v>
      </c>
      <c r="B79" t="s">
        <v>199</v>
      </c>
      <c r="C79" t="s">
        <v>365</v>
      </c>
      <c r="D79" t="s">
        <v>29</v>
      </c>
      <c r="E79" t="str">
        <f t="shared" ref="E79:E142" si="3">B79&amp;"|"&amp;C79&amp;"|"&amp;D79</f>
        <v>Nkhotakota District [YCKiBAp8QAg]|25-34|Female</v>
      </c>
      <c r="F79" s="14"/>
      <c r="G79" s="90" t="str">
        <f t="shared" ref="G79:G142" si="4">IF(SUM($F79)=0,"",0%)</f>
        <v/>
      </c>
      <c r="H79" s="42" t="str">
        <f t="shared" ref="H79:H142" si="5">IF(SUM($F79)=0,"",ROUND($F79*(1+$G79),0))</f>
        <v/>
      </c>
    </row>
    <row r="80" spans="1:8" x14ac:dyDescent="0.2">
      <c r="A80" t="str">
        <f>INDEX(Prioritization!$D:$D,MATCH($B80,Prioritization!$A:$A,0))</f>
        <v>1 - Scale-up: Saturation</v>
      </c>
      <c r="B80" t="s">
        <v>199</v>
      </c>
      <c r="C80" t="s">
        <v>365</v>
      </c>
      <c r="D80" t="s">
        <v>47</v>
      </c>
      <c r="E80" t="str">
        <f t="shared" si="3"/>
        <v>Nkhotakota District [YCKiBAp8QAg]|25-34|Male</v>
      </c>
      <c r="F80" s="14"/>
      <c r="G80" s="90" t="str">
        <f t="shared" si="4"/>
        <v/>
      </c>
      <c r="H80" s="42" t="str">
        <f t="shared" si="5"/>
        <v/>
      </c>
    </row>
    <row r="81" spans="1:8" x14ac:dyDescent="0.2">
      <c r="A81" t="str">
        <f>INDEX(Prioritization!$D:$D,MATCH($B81,Prioritization!$A:$A,0))</f>
        <v>1 - Scale-up: Saturation</v>
      </c>
      <c r="B81" t="s">
        <v>199</v>
      </c>
      <c r="C81" t="s">
        <v>366</v>
      </c>
      <c r="D81" t="s">
        <v>29</v>
      </c>
      <c r="E81" t="str">
        <f t="shared" si="3"/>
        <v>Nkhotakota District [YCKiBAp8QAg]|35-49|Female</v>
      </c>
      <c r="F81" s="14"/>
      <c r="G81" s="90" t="str">
        <f t="shared" si="4"/>
        <v/>
      </c>
      <c r="H81" s="42" t="str">
        <f t="shared" si="5"/>
        <v/>
      </c>
    </row>
    <row r="82" spans="1:8" x14ac:dyDescent="0.2">
      <c r="A82" t="str">
        <f>INDEX(Prioritization!$D:$D,MATCH($B82,Prioritization!$A:$A,0))</f>
        <v>1 - Scale-up: Saturation</v>
      </c>
      <c r="B82" t="s">
        <v>199</v>
      </c>
      <c r="C82" t="s">
        <v>366</v>
      </c>
      <c r="D82" t="s">
        <v>47</v>
      </c>
      <c r="E82" t="str">
        <f t="shared" si="3"/>
        <v>Nkhotakota District [YCKiBAp8QAg]|35-49|Male</v>
      </c>
      <c r="F82" s="14"/>
      <c r="G82" s="90" t="str">
        <f t="shared" si="4"/>
        <v/>
      </c>
      <c r="H82" s="42" t="str">
        <f t="shared" si="5"/>
        <v/>
      </c>
    </row>
    <row r="83" spans="1:8" x14ac:dyDescent="0.2">
      <c r="A83" t="str">
        <f>INDEX(Prioritization!$D:$D,MATCH($B83,Prioritization!$A:$A,0))</f>
        <v>1 - Scale-up: Saturation</v>
      </c>
      <c r="B83" t="s">
        <v>199</v>
      </c>
      <c r="C83" t="s">
        <v>367</v>
      </c>
      <c r="D83" t="s">
        <v>29</v>
      </c>
      <c r="E83" t="str">
        <f t="shared" si="3"/>
        <v>Nkhotakota District [YCKiBAp8QAg]|50+|Female</v>
      </c>
      <c r="F83" s="14"/>
      <c r="G83" s="90" t="str">
        <f t="shared" si="4"/>
        <v/>
      </c>
      <c r="H83" s="42" t="str">
        <f t="shared" si="5"/>
        <v/>
      </c>
    </row>
    <row r="84" spans="1:8" x14ac:dyDescent="0.2">
      <c r="A84" t="str">
        <f>INDEX(Prioritization!$D:$D,MATCH($B84,Prioritization!$A:$A,0))</f>
        <v>1 - Scale-up: Saturation</v>
      </c>
      <c r="B84" t="s">
        <v>199</v>
      </c>
      <c r="C84" t="s">
        <v>367</v>
      </c>
      <c r="D84" t="s">
        <v>47</v>
      </c>
      <c r="E84" t="str">
        <f t="shared" si="3"/>
        <v>Nkhotakota District [YCKiBAp8QAg]|50+|Male</v>
      </c>
      <c r="F84" s="14"/>
      <c r="G84" s="90" t="str">
        <f t="shared" si="4"/>
        <v/>
      </c>
      <c r="H84" s="42" t="str">
        <f t="shared" si="5"/>
        <v/>
      </c>
    </row>
    <row r="85" spans="1:8" x14ac:dyDescent="0.2">
      <c r="A85" t="str">
        <f>INDEX(Prioritization!$D:$D,MATCH($B85,Prioritization!$A:$A,0))</f>
        <v>INVALID</v>
      </c>
      <c r="B85" t="s">
        <v>200</v>
      </c>
      <c r="C85" t="s">
        <v>363</v>
      </c>
      <c r="D85" t="s">
        <v>29</v>
      </c>
      <c r="E85" t="str">
        <f t="shared" si="3"/>
        <v>Ntcheu District [am530wpaGvr]|10-14|Female</v>
      </c>
      <c r="F85" s="14"/>
      <c r="G85" s="90" t="str">
        <f t="shared" si="4"/>
        <v/>
      </c>
      <c r="H85" s="42" t="str">
        <f t="shared" si="5"/>
        <v/>
      </c>
    </row>
    <row r="86" spans="1:8" x14ac:dyDescent="0.2">
      <c r="A86" t="str">
        <f>INDEX(Prioritization!$D:$D,MATCH($B86,Prioritization!$A:$A,0))</f>
        <v>INVALID</v>
      </c>
      <c r="B86" t="s">
        <v>200</v>
      </c>
      <c r="C86" t="s">
        <v>363</v>
      </c>
      <c r="D86" t="s">
        <v>47</v>
      </c>
      <c r="E86" t="str">
        <f t="shared" si="3"/>
        <v>Ntcheu District [am530wpaGvr]|10-14|Male</v>
      </c>
      <c r="F86" s="14"/>
      <c r="G86" s="90" t="str">
        <f t="shared" si="4"/>
        <v/>
      </c>
      <c r="H86" s="42" t="str">
        <f t="shared" si="5"/>
        <v/>
      </c>
    </row>
    <row r="87" spans="1:8" x14ac:dyDescent="0.2">
      <c r="A87" t="str">
        <f>INDEX(Prioritization!$D:$D,MATCH($B87,Prioritization!$A:$A,0))</f>
        <v>INVALID</v>
      </c>
      <c r="B87" t="s">
        <v>200</v>
      </c>
      <c r="C87" t="s">
        <v>364</v>
      </c>
      <c r="D87" t="s">
        <v>29</v>
      </c>
      <c r="E87" t="str">
        <f t="shared" si="3"/>
        <v>Ntcheu District [am530wpaGvr]|15-24|Female</v>
      </c>
      <c r="F87" s="14"/>
      <c r="G87" s="90" t="str">
        <f t="shared" si="4"/>
        <v/>
      </c>
      <c r="H87" s="42" t="str">
        <f t="shared" si="5"/>
        <v/>
      </c>
    </row>
    <row r="88" spans="1:8" x14ac:dyDescent="0.2">
      <c r="A88" t="str">
        <f>INDEX(Prioritization!$D:$D,MATCH($B88,Prioritization!$A:$A,0))</f>
        <v>INVALID</v>
      </c>
      <c r="B88" t="s">
        <v>200</v>
      </c>
      <c r="C88" t="s">
        <v>364</v>
      </c>
      <c r="D88" t="s">
        <v>47</v>
      </c>
      <c r="E88" t="str">
        <f t="shared" si="3"/>
        <v>Ntcheu District [am530wpaGvr]|15-24|Male</v>
      </c>
      <c r="F88" s="14"/>
      <c r="G88" s="90" t="str">
        <f t="shared" si="4"/>
        <v/>
      </c>
      <c r="H88" s="42" t="str">
        <f t="shared" si="5"/>
        <v/>
      </c>
    </row>
    <row r="89" spans="1:8" x14ac:dyDescent="0.2">
      <c r="A89" t="str">
        <f>INDEX(Prioritization!$D:$D,MATCH($B89,Prioritization!$A:$A,0))</f>
        <v>INVALID</v>
      </c>
      <c r="B89" t="s">
        <v>200</v>
      </c>
      <c r="C89" t="s">
        <v>365</v>
      </c>
      <c r="D89" t="s">
        <v>29</v>
      </c>
      <c r="E89" t="str">
        <f t="shared" si="3"/>
        <v>Ntcheu District [am530wpaGvr]|25-34|Female</v>
      </c>
      <c r="F89" s="14"/>
      <c r="G89" s="90" t="str">
        <f t="shared" si="4"/>
        <v/>
      </c>
      <c r="H89" s="42" t="str">
        <f t="shared" si="5"/>
        <v/>
      </c>
    </row>
    <row r="90" spans="1:8" x14ac:dyDescent="0.2">
      <c r="A90" t="str">
        <f>INDEX(Prioritization!$D:$D,MATCH($B90,Prioritization!$A:$A,0))</f>
        <v>INVALID</v>
      </c>
      <c r="B90" t="s">
        <v>200</v>
      </c>
      <c r="C90" t="s">
        <v>365</v>
      </c>
      <c r="D90" t="s">
        <v>47</v>
      </c>
      <c r="E90" t="str">
        <f t="shared" si="3"/>
        <v>Ntcheu District [am530wpaGvr]|25-34|Male</v>
      </c>
      <c r="F90" s="14"/>
      <c r="G90" s="90" t="str">
        <f t="shared" si="4"/>
        <v/>
      </c>
      <c r="H90" s="42" t="str">
        <f t="shared" si="5"/>
        <v/>
      </c>
    </row>
    <row r="91" spans="1:8" x14ac:dyDescent="0.2">
      <c r="A91" t="str">
        <f>INDEX(Prioritization!$D:$D,MATCH($B91,Prioritization!$A:$A,0))</f>
        <v>INVALID</v>
      </c>
      <c r="B91" t="s">
        <v>200</v>
      </c>
      <c r="C91" t="s">
        <v>366</v>
      </c>
      <c r="D91" t="s">
        <v>29</v>
      </c>
      <c r="E91" t="str">
        <f t="shared" si="3"/>
        <v>Ntcheu District [am530wpaGvr]|35-49|Female</v>
      </c>
      <c r="F91" s="14"/>
      <c r="G91" s="90" t="str">
        <f t="shared" si="4"/>
        <v/>
      </c>
      <c r="H91" s="42" t="str">
        <f t="shared" si="5"/>
        <v/>
      </c>
    </row>
    <row r="92" spans="1:8" x14ac:dyDescent="0.2">
      <c r="A92" t="str">
        <f>INDEX(Prioritization!$D:$D,MATCH($B92,Prioritization!$A:$A,0))</f>
        <v>INVALID</v>
      </c>
      <c r="B92" t="s">
        <v>200</v>
      </c>
      <c r="C92" t="s">
        <v>366</v>
      </c>
      <c r="D92" t="s">
        <v>47</v>
      </c>
      <c r="E92" t="str">
        <f t="shared" si="3"/>
        <v>Ntcheu District [am530wpaGvr]|35-49|Male</v>
      </c>
      <c r="F92" s="14"/>
      <c r="G92" s="90" t="str">
        <f t="shared" si="4"/>
        <v/>
      </c>
      <c r="H92" s="42" t="str">
        <f t="shared" si="5"/>
        <v/>
      </c>
    </row>
    <row r="93" spans="1:8" x14ac:dyDescent="0.2">
      <c r="A93" t="str">
        <f>INDEX(Prioritization!$D:$D,MATCH($B93,Prioritization!$A:$A,0))</f>
        <v>INVALID</v>
      </c>
      <c r="B93" t="s">
        <v>200</v>
      </c>
      <c r="C93" t="s">
        <v>367</v>
      </c>
      <c r="D93" t="s">
        <v>29</v>
      </c>
      <c r="E93" t="str">
        <f t="shared" si="3"/>
        <v>Ntcheu District [am530wpaGvr]|50+|Female</v>
      </c>
      <c r="F93" s="14"/>
      <c r="G93" s="90" t="str">
        <f t="shared" si="4"/>
        <v/>
      </c>
      <c r="H93" s="42" t="str">
        <f t="shared" si="5"/>
        <v/>
      </c>
    </row>
    <row r="94" spans="1:8" x14ac:dyDescent="0.2">
      <c r="A94" t="str">
        <f>INDEX(Prioritization!$D:$D,MATCH($B94,Prioritization!$A:$A,0))</f>
        <v>INVALID</v>
      </c>
      <c r="B94" t="s">
        <v>200</v>
      </c>
      <c r="C94" t="s">
        <v>367</v>
      </c>
      <c r="D94" t="s">
        <v>47</v>
      </c>
      <c r="E94" t="str">
        <f t="shared" si="3"/>
        <v>Ntcheu District [am530wpaGvr]|50+|Male</v>
      </c>
      <c r="F94" s="14"/>
      <c r="G94" s="90" t="str">
        <f t="shared" si="4"/>
        <v/>
      </c>
      <c r="H94" s="42" t="str">
        <f t="shared" si="5"/>
        <v/>
      </c>
    </row>
    <row r="95" spans="1:8" x14ac:dyDescent="0.2">
      <c r="A95" t="str">
        <f>INDEX(Prioritization!$D:$D,MATCH($B95,Prioritization!$A:$A,0))</f>
        <v>INVALID</v>
      </c>
      <c r="B95" t="s">
        <v>201</v>
      </c>
      <c r="C95" t="s">
        <v>363</v>
      </c>
      <c r="D95" t="s">
        <v>29</v>
      </c>
      <c r="E95" t="str">
        <f t="shared" si="3"/>
        <v>Ntchisi District [fiRkU6gEjLz]|10-14|Female</v>
      </c>
      <c r="F95" s="14"/>
      <c r="G95" s="90" t="str">
        <f t="shared" si="4"/>
        <v/>
      </c>
      <c r="H95" s="42" t="str">
        <f t="shared" si="5"/>
        <v/>
      </c>
    </row>
    <row r="96" spans="1:8" x14ac:dyDescent="0.2">
      <c r="A96" t="str">
        <f>INDEX(Prioritization!$D:$D,MATCH($B96,Prioritization!$A:$A,0))</f>
        <v>INVALID</v>
      </c>
      <c r="B96" t="s">
        <v>201</v>
      </c>
      <c r="C96" t="s">
        <v>363</v>
      </c>
      <c r="D96" t="s">
        <v>47</v>
      </c>
      <c r="E96" t="str">
        <f t="shared" si="3"/>
        <v>Ntchisi District [fiRkU6gEjLz]|10-14|Male</v>
      </c>
      <c r="F96" s="14"/>
      <c r="G96" s="90" t="str">
        <f t="shared" si="4"/>
        <v/>
      </c>
      <c r="H96" s="42" t="str">
        <f t="shared" si="5"/>
        <v/>
      </c>
    </row>
    <row r="97" spans="1:8" x14ac:dyDescent="0.2">
      <c r="A97" t="str">
        <f>INDEX(Prioritization!$D:$D,MATCH($B97,Prioritization!$A:$A,0))</f>
        <v>INVALID</v>
      </c>
      <c r="B97" t="s">
        <v>201</v>
      </c>
      <c r="C97" t="s">
        <v>364</v>
      </c>
      <c r="D97" t="s">
        <v>29</v>
      </c>
      <c r="E97" t="str">
        <f t="shared" si="3"/>
        <v>Ntchisi District [fiRkU6gEjLz]|15-24|Female</v>
      </c>
      <c r="F97" s="14"/>
      <c r="G97" s="90" t="str">
        <f t="shared" si="4"/>
        <v/>
      </c>
      <c r="H97" s="42" t="str">
        <f t="shared" si="5"/>
        <v/>
      </c>
    </row>
    <row r="98" spans="1:8" x14ac:dyDescent="0.2">
      <c r="A98" t="str">
        <f>INDEX(Prioritization!$D:$D,MATCH($B98,Prioritization!$A:$A,0))</f>
        <v>INVALID</v>
      </c>
      <c r="B98" t="s">
        <v>201</v>
      </c>
      <c r="C98" t="s">
        <v>364</v>
      </c>
      <c r="D98" t="s">
        <v>47</v>
      </c>
      <c r="E98" t="str">
        <f t="shared" si="3"/>
        <v>Ntchisi District [fiRkU6gEjLz]|15-24|Male</v>
      </c>
      <c r="F98" s="14"/>
      <c r="G98" s="90" t="str">
        <f t="shared" si="4"/>
        <v/>
      </c>
      <c r="H98" s="42" t="str">
        <f t="shared" si="5"/>
        <v/>
      </c>
    </row>
    <row r="99" spans="1:8" x14ac:dyDescent="0.2">
      <c r="A99" t="str">
        <f>INDEX(Prioritization!$D:$D,MATCH($B99,Prioritization!$A:$A,0))</f>
        <v>INVALID</v>
      </c>
      <c r="B99" t="s">
        <v>201</v>
      </c>
      <c r="C99" t="s">
        <v>365</v>
      </c>
      <c r="D99" t="s">
        <v>29</v>
      </c>
      <c r="E99" t="str">
        <f t="shared" si="3"/>
        <v>Ntchisi District [fiRkU6gEjLz]|25-34|Female</v>
      </c>
      <c r="F99" s="14"/>
      <c r="G99" s="90" t="str">
        <f t="shared" si="4"/>
        <v/>
      </c>
      <c r="H99" s="42" t="str">
        <f t="shared" si="5"/>
        <v/>
      </c>
    </row>
    <row r="100" spans="1:8" x14ac:dyDescent="0.2">
      <c r="A100" t="str">
        <f>INDEX(Prioritization!$D:$D,MATCH($B100,Prioritization!$A:$A,0))</f>
        <v>INVALID</v>
      </c>
      <c r="B100" t="s">
        <v>201</v>
      </c>
      <c r="C100" t="s">
        <v>365</v>
      </c>
      <c r="D100" t="s">
        <v>47</v>
      </c>
      <c r="E100" t="str">
        <f t="shared" si="3"/>
        <v>Ntchisi District [fiRkU6gEjLz]|25-34|Male</v>
      </c>
      <c r="F100" s="14"/>
      <c r="G100" s="90" t="str">
        <f t="shared" si="4"/>
        <v/>
      </c>
      <c r="H100" s="42" t="str">
        <f t="shared" si="5"/>
        <v/>
      </c>
    </row>
    <row r="101" spans="1:8" x14ac:dyDescent="0.2">
      <c r="A101" t="str">
        <f>INDEX(Prioritization!$D:$D,MATCH($B101,Prioritization!$A:$A,0))</f>
        <v>INVALID</v>
      </c>
      <c r="B101" t="s">
        <v>201</v>
      </c>
      <c r="C101" t="s">
        <v>366</v>
      </c>
      <c r="D101" t="s">
        <v>29</v>
      </c>
      <c r="E101" t="str">
        <f t="shared" si="3"/>
        <v>Ntchisi District [fiRkU6gEjLz]|35-49|Female</v>
      </c>
      <c r="F101" s="14"/>
      <c r="G101" s="90" t="str">
        <f t="shared" si="4"/>
        <v/>
      </c>
      <c r="H101" s="42" t="str">
        <f t="shared" si="5"/>
        <v/>
      </c>
    </row>
    <row r="102" spans="1:8" x14ac:dyDescent="0.2">
      <c r="A102" t="str">
        <f>INDEX(Prioritization!$D:$D,MATCH($B102,Prioritization!$A:$A,0))</f>
        <v>INVALID</v>
      </c>
      <c r="B102" t="s">
        <v>201</v>
      </c>
      <c r="C102" t="s">
        <v>366</v>
      </c>
      <c r="D102" t="s">
        <v>47</v>
      </c>
      <c r="E102" t="str">
        <f t="shared" si="3"/>
        <v>Ntchisi District [fiRkU6gEjLz]|35-49|Male</v>
      </c>
      <c r="F102" s="14"/>
      <c r="G102" s="90" t="str">
        <f t="shared" si="4"/>
        <v/>
      </c>
      <c r="H102" s="42" t="str">
        <f t="shared" si="5"/>
        <v/>
      </c>
    </row>
    <row r="103" spans="1:8" x14ac:dyDescent="0.2">
      <c r="A103" t="str">
        <f>INDEX(Prioritization!$D:$D,MATCH($B103,Prioritization!$A:$A,0))</f>
        <v>INVALID</v>
      </c>
      <c r="B103" t="s">
        <v>201</v>
      </c>
      <c r="C103" t="s">
        <v>367</v>
      </c>
      <c r="D103" t="s">
        <v>29</v>
      </c>
      <c r="E103" t="str">
        <f t="shared" si="3"/>
        <v>Ntchisi District [fiRkU6gEjLz]|50+|Female</v>
      </c>
      <c r="F103" s="14"/>
      <c r="G103" s="90" t="str">
        <f t="shared" si="4"/>
        <v/>
      </c>
      <c r="H103" s="42" t="str">
        <f t="shared" si="5"/>
        <v/>
      </c>
    </row>
    <row r="104" spans="1:8" x14ac:dyDescent="0.2">
      <c r="A104" t="str">
        <f>INDEX(Prioritization!$D:$D,MATCH($B104,Prioritization!$A:$A,0))</f>
        <v>INVALID</v>
      </c>
      <c r="B104" t="s">
        <v>201</v>
      </c>
      <c r="C104" t="s">
        <v>367</v>
      </c>
      <c r="D104" t="s">
        <v>47</v>
      </c>
      <c r="E104" t="str">
        <f t="shared" si="3"/>
        <v>Ntchisi District [fiRkU6gEjLz]|50+|Male</v>
      </c>
      <c r="F104" s="14"/>
      <c r="G104" s="90" t="str">
        <f t="shared" si="4"/>
        <v/>
      </c>
      <c r="H104" s="42" t="str">
        <f t="shared" si="5"/>
        <v/>
      </c>
    </row>
    <row r="105" spans="1:8" x14ac:dyDescent="0.2">
      <c r="A105" t="str">
        <f>INDEX(Prioritization!$D:$D,MATCH($B105,Prioritization!$A:$A,0))</f>
        <v>INVALID</v>
      </c>
      <c r="B105" t="s">
        <v>202</v>
      </c>
      <c r="C105" t="s">
        <v>363</v>
      </c>
      <c r="D105" t="s">
        <v>29</v>
      </c>
      <c r="E105" t="str">
        <f t="shared" si="3"/>
        <v>Salima District [msW2zpIN7up]|10-14|Female</v>
      </c>
      <c r="F105" s="14"/>
      <c r="G105" s="90" t="str">
        <f t="shared" si="4"/>
        <v/>
      </c>
      <c r="H105" s="42" t="str">
        <f t="shared" si="5"/>
        <v/>
      </c>
    </row>
    <row r="106" spans="1:8" x14ac:dyDescent="0.2">
      <c r="A106" t="str">
        <f>INDEX(Prioritization!$D:$D,MATCH($B106,Prioritization!$A:$A,0))</f>
        <v>INVALID</v>
      </c>
      <c r="B106" t="s">
        <v>202</v>
      </c>
      <c r="C106" t="s">
        <v>363</v>
      </c>
      <c r="D106" t="s">
        <v>47</v>
      </c>
      <c r="E106" t="str">
        <f t="shared" si="3"/>
        <v>Salima District [msW2zpIN7up]|10-14|Male</v>
      </c>
      <c r="F106" s="14"/>
      <c r="G106" s="90" t="str">
        <f t="shared" si="4"/>
        <v/>
      </c>
      <c r="H106" s="42" t="str">
        <f t="shared" si="5"/>
        <v/>
      </c>
    </row>
    <row r="107" spans="1:8" x14ac:dyDescent="0.2">
      <c r="A107" t="str">
        <f>INDEX(Prioritization!$D:$D,MATCH($B107,Prioritization!$A:$A,0))</f>
        <v>INVALID</v>
      </c>
      <c r="B107" t="s">
        <v>202</v>
      </c>
      <c r="C107" t="s">
        <v>364</v>
      </c>
      <c r="D107" t="s">
        <v>29</v>
      </c>
      <c r="E107" t="str">
        <f t="shared" si="3"/>
        <v>Salima District [msW2zpIN7up]|15-24|Female</v>
      </c>
      <c r="F107" s="14"/>
      <c r="G107" s="90" t="str">
        <f t="shared" si="4"/>
        <v/>
      </c>
      <c r="H107" s="42" t="str">
        <f t="shared" si="5"/>
        <v/>
      </c>
    </row>
    <row r="108" spans="1:8" x14ac:dyDescent="0.2">
      <c r="A108" t="str">
        <f>INDEX(Prioritization!$D:$D,MATCH($B108,Prioritization!$A:$A,0))</f>
        <v>INVALID</v>
      </c>
      <c r="B108" t="s">
        <v>202</v>
      </c>
      <c r="C108" t="s">
        <v>364</v>
      </c>
      <c r="D108" t="s">
        <v>47</v>
      </c>
      <c r="E108" t="str">
        <f t="shared" si="3"/>
        <v>Salima District [msW2zpIN7up]|15-24|Male</v>
      </c>
      <c r="F108" s="14"/>
      <c r="G108" s="90" t="str">
        <f t="shared" si="4"/>
        <v/>
      </c>
      <c r="H108" s="42" t="str">
        <f t="shared" si="5"/>
        <v/>
      </c>
    </row>
    <row r="109" spans="1:8" x14ac:dyDescent="0.2">
      <c r="A109" t="str">
        <f>INDEX(Prioritization!$D:$D,MATCH($B109,Prioritization!$A:$A,0))</f>
        <v>INVALID</v>
      </c>
      <c r="B109" t="s">
        <v>202</v>
      </c>
      <c r="C109" t="s">
        <v>365</v>
      </c>
      <c r="D109" t="s">
        <v>29</v>
      </c>
      <c r="E109" t="str">
        <f t="shared" si="3"/>
        <v>Salima District [msW2zpIN7up]|25-34|Female</v>
      </c>
      <c r="F109" s="14"/>
      <c r="G109" s="90" t="str">
        <f t="shared" si="4"/>
        <v/>
      </c>
      <c r="H109" s="42" t="str">
        <f t="shared" si="5"/>
        <v/>
      </c>
    </row>
    <row r="110" spans="1:8" x14ac:dyDescent="0.2">
      <c r="A110" t="str">
        <f>INDEX(Prioritization!$D:$D,MATCH($B110,Prioritization!$A:$A,0))</f>
        <v>INVALID</v>
      </c>
      <c r="B110" t="s">
        <v>202</v>
      </c>
      <c r="C110" t="s">
        <v>365</v>
      </c>
      <c r="D110" t="s">
        <v>47</v>
      </c>
      <c r="E110" t="str">
        <f t="shared" si="3"/>
        <v>Salima District [msW2zpIN7up]|25-34|Male</v>
      </c>
      <c r="F110" s="14"/>
      <c r="G110" s="90" t="str">
        <f t="shared" si="4"/>
        <v/>
      </c>
      <c r="H110" s="42" t="str">
        <f t="shared" si="5"/>
        <v/>
      </c>
    </row>
    <row r="111" spans="1:8" x14ac:dyDescent="0.2">
      <c r="A111" t="str">
        <f>INDEX(Prioritization!$D:$D,MATCH($B111,Prioritization!$A:$A,0))</f>
        <v>INVALID</v>
      </c>
      <c r="B111" t="s">
        <v>202</v>
      </c>
      <c r="C111" t="s">
        <v>366</v>
      </c>
      <c r="D111" t="s">
        <v>29</v>
      </c>
      <c r="E111" t="str">
        <f t="shared" si="3"/>
        <v>Salima District [msW2zpIN7up]|35-49|Female</v>
      </c>
      <c r="F111" s="14"/>
      <c r="G111" s="90" t="str">
        <f t="shared" si="4"/>
        <v/>
      </c>
      <c r="H111" s="42" t="str">
        <f t="shared" si="5"/>
        <v/>
      </c>
    </row>
    <row r="112" spans="1:8" x14ac:dyDescent="0.2">
      <c r="A112" t="str">
        <f>INDEX(Prioritization!$D:$D,MATCH($B112,Prioritization!$A:$A,0))</f>
        <v>INVALID</v>
      </c>
      <c r="B112" t="s">
        <v>202</v>
      </c>
      <c r="C112" t="s">
        <v>366</v>
      </c>
      <c r="D112" t="s">
        <v>47</v>
      </c>
      <c r="E112" t="str">
        <f t="shared" si="3"/>
        <v>Salima District [msW2zpIN7up]|35-49|Male</v>
      </c>
      <c r="F112" s="14"/>
      <c r="G112" s="90" t="str">
        <f t="shared" si="4"/>
        <v/>
      </c>
      <c r="H112" s="42" t="str">
        <f t="shared" si="5"/>
        <v/>
      </c>
    </row>
    <row r="113" spans="1:8" x14ac:dyDescent="0.2">
      <c r="A113" t="str">
        <f>INDEX(Prioritization!$D:$D,MATCH($B113,Prioritization!$A:$A,0))</f>
        <v>INVALID</v>
      </c>
      <c r="B113" t="s">
        <v>202</v>
      </c>
      <c r="C113" t="s">
        <v>367</v>
      </c>
      <c r="D113" t="s">
        <v>29</v>
      </c>
      <c r="E113" t="str">
        <f t="shared" si="3"/>
        <v>Salima District [msW2zpIN7up]|50+|Female</v>
      </c>
      <c r="F113" s="14"/>
      <c r="G113" s="90" t="str">
        <f t="shared" si="4"/>
        <v/>
      </c>
      <c r="H113" s="42" t="str">
        <f t="shared" si="5"/>
        <v/>
      </c>
    </row>
    <row r="114" spans="1:8" x14ac:dyDescent="0.2">
      <c r="A114" t="str">
        <f>INDEX(Prioritization!$D:$D,MATCH($B114,Prioritization!$A:$A,0))</f>
        <v>INVALID</v>
      </c>
      <c r="B114" t="s">
        <v>202</v>
      </c>
      <c r="C114" t="s">
        <v>367</v>
      </c>
      <c r="D114" t="s">
        <v>47</v>
      </c>
      <c r="E114" t="str">
        <f t="shared" si="3"/>
        <v>Salima District [msW2zpIN7up]|50+|Male</v>
      </c>
      <c r="F114" s="14"/>
      <c r="G114" s="90" t="str">
        <f t="shared" si="4"/>
        <v/>
      </c>
      <c r="H114" s="42" t="str">
        <f t="shared" si="5"/>
        <v/>
      </c>
    </row>
    <row r="115" spans="1:8" x14ac:dyDescent="0.2">
      <c r="A115" t="str">
        <f>INDEX(Prioritization!$D:$D,MATCH($B115,Prioritization!$A:$A,0))</f>
        <v>1 - Scale-up: Saturation</v>
      </c>
      <c r="B115" t="s">
        <v>203</v>
      </c>
      <c r="C115" t="s">
        <v>363</v>
      </c>
      <c r="D115" t="s">
        <v>29</v>
      </c>
      <c r="E115" t="str">
        <f t="shared" si="3"/>
        <v>Chitipa District [GkIwZrXy1h2]|10-14|Female</v>
      </c>
      <c r="F115" s="14"/>
      <c r="G115" s="90" t="str">
        <f t="shared" si="4"/>
        <v/>
      </c>
      <c r="H115" s="42" t="str">
        <f t="shared" si="5"/>
        <v/>
      </c>
    </row>
    <row r="116" spans="1:8" x14ac:dyDescent="0.2">
      <c r="A116" t="str">
        <f>INDEX(Prioritization!$D:$D,MATCH($B116,Prioritization!$A:$A,0))</f>
        <v>1 - Scale-up: Saturation</v>
      </c>
      <c r="B116" t="s">
        <v>203</v>
      </c>
      <c r="C116" t="s">
        <v>363</v>
      </c>
      <c r="D116" t="s">
        <v>47</v>
      </c>
      <c r="E116" t="str">
        <f t="shared" si="3"/>
        <v>Chitipa District [GkIwZrXy1h2]|10-14|Male</v>
      </c>
      <c r="F116" s="14"/>
      <c r="G116" s="90" t="str">
        <f t="shared" si="4"/>
        <v/>
      </c>
      <c r="H116" s="42" t="str">
        <f t="shared" si="5"/>
        <v/>
      </c>
    </row>
    <row r="117" spans="1:8" x14ac:dyDescent="0.2">
      <c r="A117" t="str">
        <f>INDEX(Prioritization!$D:$D,MATCH($B117,Prioritization!$A:$A,0))</f>
        <v>1 - Scale-up: Saturation</v>
      </c>
      <c r="B117" t="s">
        <v>203</v>
      </c>
      <c r="C117" t="s">
        <v>364</v>
      </c>
      <c r="D117" t="s">
        <v>29</v>
      </c>
      <c r="E117" t="str">
        <f t="shared" si="3"/>
        <v>Chitipa District [GkIwZrXy1h2]|15-24|Female</v>
      </c>
      <c r="F117" s="14"/>
      <c r="G117" s="90" t="str">
        <f t="shared" si="4"/>
        <v/>
      </c>
      <c r="H117" s="42" t="str">
        <f t="shared" si="5"/>
        <v/>
      </c>
    </row>
    <row r="118" spans="1:8" x14ac:dyDescent="0.2">
      <c r="A118" t="str">
        <f>INDEX(Prioritization!$D:$D,MATCH($B118,Prioritization!$A:$A,0))</f>
        <v>1 - Scale-up: Saturation</v>
      </c>
      <c r="B118" t="s">
        <v>203</v>
      </c>
      <c r="C118" t="s">
        <v>364</v>
      </c>
      <c r="D118" t="s">
        <v>47</v>
      </c>
      <c r="E118" t="str">
        <f t="shared" si="3"/>
        <v>Chitipa District [GkIwZrXy1h2]|15-24|Male</v>
      </c>
      <c r="F118" s="14"/>
      <c r="G118" s="90" t="str">
        <f t="shared" si="4"/>
        <v/>
      </c>
      <c r="H118" s="42" t="str">
        <f t="shared" si="5"/>
        <v/>
      </c>
    </row>
    <row r="119" spans="1:8" x14ac:dyDescent="0.2">
      <c r="A119" t="str">
        <f>INDEX(Prioritization!$D:$D,MATCH($B119,Prioritization!$A:$A,0))</f>
        <v>1 - Scale-up: Saturation</v>
      </c>
      <c r="B119" t="s">
        <v>203</v>
      </c>
      <c r="C119" t="s">
        <v>365</v>
      </c>
      <c r="D119" t="s">
        <v>29</v>
      </c>
      <c r="E119" t="str">
        <f t="shared" si="3"/>
        <v>Chitipa District [GkIwZrXy1h2]|25-34|Female</v>
      </c>
      <c r="F119" s="14"/>
      <c r="G119" s="90" t="str">
        <f t="shared" si="4"/>
        <v/>
      </c>
      <c r="H119" s="42" t="str">
        <f t="shared" si="5"/>
        <v/>
      </c>
    </row>
    <row r="120" spans="1:8" x14ac:dyDescent="0.2">
      <c r="A120" t="str">
        <f>INDEX(Prioritization!$D:$D,MATCH($B120,Prioritization!$A:$A,0))</f>
        <v>1 - Scale-up: Saturation</v>
      </c>
      <c r="B120" t="s">
        <v>203</v>
      </c>
      <c r="C120" t="s">
        <v>365</v>
      </c>
      <c r="D120" t="s">
        <v>47</v>
      </c>
      <c r="E120" t="str">
        <f t="shared" si="3"/>
        <v>Chitipa District [GkIwZrXy1h2]|25-34|Male</v>
      </c>
      <c r="F120" s="14"/>
      <c r="G120" s="90" t="str">
        <f t="shared" si="4"/>
        <v/>
      </c>
      <c r="H120" s="42" t="str">
        <f t="shared" si="5"/>
        <v/>
      </c>
    </row>
    <row r="121" spans="1:8" x14ac:dyDescent="0.2">
      <c r="A121" t="str">
        <f>INDEX(Prioritization!$D:$D,MATCH($B121,Prioritization!$A:$A,0))</f>
        <v>1 - Scale-up: Saturation</v>
      </c>
      <c r="B121" t="s">
        <v>203</v>
      </c>
      <c r="C121" t="s">
        <v>366</v>
      </c>
      <c r="D121" t="s">
        <v>29</v>
      </c>
      <c r="E121" t="str">
        <f t="shared" si="3"/>
        <v>Chitipa District [GkIwZrXy1h2]|35-49|Female</v>
      </c>
      <c r="F121" s="14"/>
      <c r="G121" s="90" t="str">
        <f t="shared" si="4"/>
        <v/>
      </c>
      <c r="H121" s="42" t="str">
        <f t="shared" si="5"/>
        <v/>
      </c>
    </row>
    <row r="122" spans="1:8" x14ac:dyDescent="0.2">
      <c r="A122" t="str">
        <f>INDEX(Prioritization!$D:$D,MATCH($B122,Prioritization!$A:$A,0))</f>
        <v>1 - Scale-up: Saturation</v>
      </c>
      <c r="B122" t="s">
        <v>203</v>
      </c>
      <c r="C122" t="s">
        <v>366</v>
      </c>
      <c r="D122" t="s">
        <v>47</v>
      </c>
      <c r="E122" t="str">
        <f t="shared" si="3"/>
        <v>Chitipa District [GkIwZrXy1h2]|35-49|Male</v>
      </c>
      <c r="F122" s="14"/>
      <c r="G122" s="90" t="str">
        <f t="shared" si="4"/>
        <v/>
      </c>
      <c r="H122" s="42" t="str">
        <f t="shared" si="5"/>
        <v/>
      </c>
    </row>
    <row r="123" spans="1:8" x14ac:dyDescent="0.2">
      <c r="A123" t="str">
        <f>INDEX(Prioritization!$D:$D,MATCH($B123,Prioritization!$A:$A,0))</f>
        <v>1 - Scale-up: Saturation</v>
      </c>
      <c r="B123" t="s">
        <v>203</v>
      </c>
      <c r="C123" t="s">
        <v>367</v>
      </c>
      <c r="D123" t="s">
        <v>29</v>
      </c>
      <c r="E123" t="str">
        <f t="shared" si="3"/>
        <v>Chitipa District [GkIwZrXy1h2]|50+|Female</v>
      </c>
      <c r="F123" s="14"/>
      <c r="G123" s="90" t="str">
        <f t="shared" si="4"/>
        <v/>
      </c>
      <c r="H123" s="42" t="str">
        <f t="shared" si="5"/>
        <v/>
      </c>
    </row>
    <row r="124" spans="1:8" x14ac:dyDescent="0.2">
      <c r="A124" t="str">
        <f>INDEX(Prioritization!$D:$D,MATCH($B124,Prioritization!$A:$A,0))</f>
        <v>1 - Scale-up: Saturation</v>
      </c>
      <c r="B124" t="s">
        <v>203</v>
      </c>
      <c r="C124" t="s">
        <v>367</v>
      </c>
      <c r="D124" t="s">
        <v>47</v>
      </c>
      <c r="E124" t="str">
        <f t="shared" si="3"/>
        <v>Chitipa District [GkIwZrXy1h2]|50+|Male</v>
      </c>
      <c r="F124" s="14"/>
      <c r="G124" s="90" t="str">
        <f t="shared" si="4"/>
        <v/>
      </c>
      <c r="H124" s="42" t="str">
        <f t="shared" si="5"/>
        <v/>
      </c>
    </row>
    <row r="125" spans="1:8" x14ac:dyDescent="0.2">
      <c r="A125" t="str">
        <f>INDEX(Prioritization!$D:$D,MATCH($B125,Prioritization!$A:$A,0))</f>
        <v>INVALID</v>
      </c>
      <c r="B125" t="s">
        <v>204</v>
      </c>
      <c r="C125" t="s">
        <v>363</v>
      </c>
      <c r="D125" t="s">
        <v>29</v>
      </c>
      <c r="E125" t="str">
        <f t="shared" si="3"/>
        <v>Karonga District [cPtvxaZqXIH]|10-14|Female</v>
      </c>
      <c r="F125" s="14"/>
      <c r="G125" s="90" t="str">
        <f t="shared" si="4"/>
        <v/>
      </c>
      <c r="H125" s="42" t="str">
        <f t="shared" si="5"/>
        <v/>
      </c>
    </row>
    <row r="126" spans="1:8" x14ac:dyDescent="0.2">
      <c r="A126" t="str">
        <f>INDEX(Prioritization!$D:$D,MATCH($B126,Prioritization!$A:$A,0))</f>
        <v>INVALID</v>
      </c>
      <c r="B126" t="s">
        <v>204</v>
      </c>
      <c r="C126" t="s">
        <v>363</v>
      </c>
      <c r="D126" t="s">
        <v>47</v>
      </c>
      <c r="E126" t="str">
        <f t="shared" si="3"/>
        <v>Karonga District [cPtvxaZqXIH]|10-14|Male</v>
      </c>
      <c r="F126" s="14"/>
      <c r="G126" s="90" t="str">
        <f t="shared" si="4"/>
        <v/>
      </c>
      <c r="H126" s="42" t="str">
        <f t="shared" si="5"/>
        <v/>
      </c>
    </row>
    <row r="127" spans="1:8" x14ac:dyDescent="0.2">
      <c r="A127" t="str">
        <f>INDEX(Prioritization!$D:$D,MATCH($B127,Prioritization!$A:$A,0))</f>
        <v>INVALID</v>
      </c>
      <c r="B127" t="s">
        <v>204</v>
      </c>
      <c r="C127" t="s">
        <v>364</v>
      </c>
      <c r="D127" t="s">
        <v>29</v>
      </c>
      <c r="E127" t="str">
        <f t="shared" si="3"/>
        <v>Karonga District [cPtvxaZqXIH]|15-24|Female</v>
      </c>
      <c r="F127" s="14"/>
      <c r="G127" s="90" t="str">
        <f t="shared" si="4"/>
        <v/>
      </c>
      <c r="H127" s="42" t="str">
        <f t="shared" si="5"/>
        <v/>
      </c>
    </row>
    <row r="128" spans="1:8" x14ac:dyDescent="0.2">
      <c r="A128" t="str">
        <f>INDEX(Prioritization!$D:$D,MATCH($B128,Prioritization!$A:$A,0))</f>
        <v>INVALID</v>
      </c>
      <c r="B128" t="s">
        <v>204</v>
      </c>
      <c r="C128" t="s">
        <v>364</v>
      </c>
      <c r="D128" t="s">
        <v>47</v>
      </c>
      <c r="E128" t="str">
        <f t="shared" si="3"/>
        <v>Karonga District [cPtvxaZqXIH]|15-24|Male</v>
      </c>
      <c r="F128" s="14"/>
      <c r="G128" s="90" t="str">
        <f t="shared" si="4"/>
        <v/>
      </c>
      <c r="H128" s="42" t="str">
        <f t="shared" si="5"/>
        <v/>
      </c>
    </row>
    <row r="129" spans="1:8" x14ac:dyDescent="0.2">
      <c r="A129" t="str">
        <f>INDEX(Prioritization!$D:$D,MATCH($B129,Prioritization!$A:$A,0))</f>
        <v>INVALID</v>
      </c>
      <c r="B129" t="s">
        <v>204</v>
      </c>
      <c r="C129" t="s">
        <v>365</v>
      </c>
      <c r="D129" t="s">
        <v>29</v>
      </c>
      <c r="E129" t="str">
        <f t="shared" si="3"/>
        <v>Karonga District [cPtvxaZqXIH]|25-34|Female</v>
      </c>
      <c r="F129" s="14"/>
      <c r="G129" s="90" t="str">
        <f t="shared" si="4"/>
        <v/>
      </c>
      <c r="H129" s="42" t="str">
        <f t="shared" si="5"/>
        <v/>
      </c>
    </row>
    <row r="130" spans="1:8" x14ac:dyDescent="0.2">
      <c r="A130" t="str">
        <f>INDEX(Prioritization!$D:$D,MATCH($B130,Prioritization!$A:$A,0))</f>
        <v>INVALID</v>
      </c>
      <c r="B130" t="s">
        <v>204</v>
      </c>
      <c r="C130" t="s">
        <v>365</v>
      </c>
      <c r="D130" t="s">
        <v>47</v>
      </c>
      <c r="E130" t="str">
        <f t="shared" si="3"/>
        <v>Karonga District [cPtvxaZqXIH]|25-34|Male</v>
      </c>
      <c r="F130" s="14"/>
      <c r="G130" s="90" t="str">
        <f t="shared" si="4"/>
        <v/>
      </c>
      <c r="H130" s="42" t="str">
        <f t="shared" si="5"/>
        <v/>
      </c>
    </row>
    <row r="131" spans="1:8" x14ac:dyDescent="0.2">
      <c r="A131" t="str">
        <f>INDEX(Prioritization!$D:$D,MATCH($B131,Prioritization!$A:$A,0))</f>
        <v>INVALID</v>
      </c>
      <c r="B131" t="s">
        <v>204</v>
      </c>
      <c r="C131" t="s">
        <v>366</v>
      </c>
      <c r="D131" t="s">
        <v>29</v>
      </c>
      <c r="E131" t="str">
        <f t="shared" si="3"/>
        <v>Karonga District [cPtvxaZqXIH]|35-49|Female</v>
      </c>
      <c r="F131" s="14"/>
      <c r="G131" s="90" t="str">
        <f t="shared" si="4"/>
        <v/>
      </c>
      <c r="H131" s="42" t="str">
        <f t="shared" si="5"/>
        <v/>
      </c>
    </row>
    <row r="132" spans="1:8" x14ac:dyDescent="0.2">
      <c r="A132" t="str">
        <f>INDEX(Prioritization!$D:$D,MATCH($B132,Prioritization!$A:$A,0))</f>
        <v>INVALID</v>
      </c>
      <c r="B132" t="s">
        <v>204</v>
      </c>
      <c r="C132" t="s">
        <v>366</v>
      </c>
      <c r="D132" t="s">
        <v>47</v>
      </c>
      <c r="E132" t="str">
        <f t="shared" si="3"/>
        <v>Karonga District [cPtvxaZqXIH]|35-49|Male</v>
      </c>
      <c r="F132" s="14"/>
      <c r="G132" s="90" t="str">
        <f t="shared" si="4"/>
        <v/>
      </c>
      <c r="H132" s="42" t="str">
        <f t="shared" si="5"/>
        <v/>
      </c>
    </row>
    <row r="133" spans="1:8" x14ac:dyDescent="0.2">
      <c r="A133" t="str">
        <f>INDEX(Prioritization!$D:$D,MATCH($B133,Prioritization!$A:$A,0))</f>
        <v>INVALID</v>
      </c>
      <c r="B133" t="s">
        <v>204</v>
      </c>
      <c r="C133" t="s">
        <v>367</v>
      </c>
      <c r="D133" t="s">
        <v>29</v>
      </c>
      <c r="E133" t="str">
        <f t="shared" si="3"/>
        <v>Karonga District [cPtvxaZqXIH]|50+|Female</v>
      </c>
      <c r="F133" s="14"/>
      <c r="G133" s="90" t="str">
        <f t="shared" si="4"/>
        <v/>
      </c>
      <c r="H133" s="42" t="str">
        <f t="shared" si="5"/>
        <v/>
      </c>
    </row>
    <row r="134" spans="1:8" x14ac:dyDescent="0.2">
      <c r="A134" t="str">
        <f>INDEX(Prioritization!$D:$D,MATCH($B134,Prioritization!$A:$A,0))</f>
        <v>INVALID</v>
      </c>
      <c r="B134" t="s">
        <v>204</v>
      </c>
      <c r="C134" t="s">
        <v>367</v>
      </c>
      <c r="D134" t="s">
        <v>47</v>
      </c>
      <c r="E134" t="str">
        <f t="shared" si="3"/>
        <v>Karonga District [cPtvxaZqXIH]|50+|Male</v>
      </c>
      <c r="F134" s="14"/>
      <c r="G134" s="90" t="str">
        <f t="shared" si="4"/>
        <v/>
      </c>
      <c r="H134" s="42" t="str">
        <f t="shared" si="5"/>
        <v/>
      </c>
    </row>
    <row r="135" spans="1:8" x14ac:dyDescent="0.2">
      <c r="A135" t="str">
        <f>INDEX(Prioritization!$D:$D,MATCH($B135,Prioritization!$A:$A,0))</f>
        <v>INVALID</v>
      </c>
      <c r="B135" t="s">
        <v>205</v>
      </c>
      <c r="C135" t="s">
        <v>363</v>
      </c>
      <c r="D135" t="s">
        <v>29</v>
      </c>
      <c r="E135" t="str">
        <f t="shared" si="3"/>
        <v>Likoma District [ZCjuwgaMB9u]|10-14|Female</v>
      </c>
      <c r="F135" s="14"/>
      <c r="G135" s="90" t="str">
        <f t="shared" si="4"/>
        <v/>
      </c>
      <c r="H135" s="42" t="str">
        <f t="shared" si="5"/>
        <v/>
      </c>
    </row>
    <row r="136" spans="1:8" x14ac:dyDescent="0.2">
      <c r="A136" t="str">
        <f>INDEX(Prioritization!$D:$D,MATCH($B136,Prioritization!$A:$A,0))</f>
        <v>INVALID</v>
      </c>
      <c r="B136" t="s">
        <v>205</v>
      </c>
      <c r="C136" t="s">
        <v>363</v>
      </c>
      <c r="D136" t="s">
        <v>47</v>
      </c>
      <c r="E136" t="str">
        <f t="shared" si="3"/>
        <v>Likoma District [ZCjuwgaMB9u]|10-14|Male</v>
      </c>
      <c r="F136" s="14"/>
      <c r="G136" s="90" t="str">
        <f t="shared" si="4"/>
        <v/>
      </c>
      <c r="H136" s="42" t="str">
        <f t="shared" si="5"/>
        <v/>
      </c>
    </row>
    <row r="137" spans="1:8" x14ac:dyDescent="0.2">
      <c r="A137" t="str">
        <f>INDEX(Prioritization!$D:$D,MATCH($B137,Prioritization!$A:$A,0))</f>
        <v>INVALID</v>
      </c>
      <c r="B137" t="s">
        <v>205</v>
      </c>
      <c r="C137" t="s">
        <v>364</v>
      </c>
      <c r="D137" t="s">
        <v>29</v>
      </c>
      <c r="E137" t="str">
        <f t="shared" si="3"/>
        <v>Likoma District [ZCjuwgaMB9u]|15-24|Female</v>
      </c>
      <c r="F137" s="14"/>
      <c r="G137" s="90" t="str">
        <f t="shared" si="4"/>
        <v/>
      </c>
      <c r="H137" s="42" t="str">
        <f t="shared" si="5"/>
        <v/>
      </c>
    </row>
    <row r="138" spans="1:8" x14ac:dyDescent="0.2">
      <c r="A138" t="str">
        <f>INDEX(Prioritization!$D:$D,MATCH($B138,Prioritization!$A:$A,0))</f>
        <v>INVALID</v>
      </c>
      <c r="B138" t="s">
        <v>205</v>
      </c>
      <c r="C138" t="s">
        <v>364</v>
      </c>
      <c r="D138" t="s">
        <v>47</v>
      </c>
      <c r="E138" t="str">
        <f t="shared" si="3"/>
        <v>Likoma District [ZCjuwgaMB9u]|15-24|Male</v>
      </c>
      <c r="F138" s="14"/>
      <c r="G138" s="90" t="str">
        <f t="shared" si="4"/>
        <v/>
      </c>
      <c r="H138" s="42" t="str">
        <f t="shared" si="5"/>
        <v/>
      </c>
    </row>
    <row r="139" spans="1:8" x14ac:dyDescent="0.2">
      <c r="A139" t="str">
        <f>INDEX(Prioritization!$D:$D,MATCH($B139,Prioritization!$A:$A,0))</f>
        <v>INVALID</v>
      </c>
      <c r="B139" t="s">
        <v>205</v>
      </c>
      <c r="C139" t="s">
        <v>365</v>
      </c>
      <c r="D139" t="s">
        <v>29</v>
      </c>
      <c r="E139" t="str">
        <f t="shared" si="3"/>
        <v>Likoma District [ZCjuwgaMB9u]|25-34|Female</v>
      </c>
      <c r="F139" s="14"/>
      <c r="G139" s="90" t="str">
        <f t="shared" si="4"/>
        <v/>
      </c>
      <c r="H139" s="42" t="str">
        <f t="shared" si="5"/>
        <v/>
      </c>
    </row>
    <row r="140" spans="1:8" x14ac:dyDescent="0.2">
      <c r="A140" t="str">
        <f>INDEX(Prioritization!$D:$D,MATCH($B140,Prioritization!$A:$A,0))</f>
        <v>INVALID</v>
      </c>
      <c r="B140" t="s">
        <v>205</v>
      </c>
      <c r="C140" t="s">
        <v>365</v>
      </c>
      <c r="D140" t="s">
        <v>47</v>
      </c>
      <c r="E140" t="str">
        <f t="shared" si="3"/>
        <v>Likoma District [ZCjuwgaMB9u]|25-34|Male</v>
      </c>
      <c r="F140" s="14"/>
      <c r="G140" s="90" t="str">
        <f t="shared" si="4"/>
        <v/>
      </c>
      <c r="H140" s="42" t="str">
        <f t="shared" si="5"/>
        <v/>
      </c>
    </row>
    <row r="141" spans="1:8" x14ac:dyDescent="0.2">
      <c r="A141" t="str">
        <f>INDEX(Prioritization!$D:$D,MATCH($B141,Prioritization!$A:$A,0))</f>
        <v>INVALID</v>
      </c>
      <c r="B141" t="s">
        <v>205</v>
      </c>
      <c r="C141" t="s">
        <v>366</v>
      </c>
      <c r="D141" t="s">
        <v>29</v>
      </c>
      <c r="E141" t="str">
        <f t="shared" si="3"/>
        <v>Likoma District [ZCjuwgaMB9u]|35-49|Female</v>
      </c>
      <c r="F141" s="14"/>
      <c r="G141" s="90" t="str">
        <f t="shared" si="4"/>
        <v/>
      </c>
      <c r="H141" s="42" t="str">
        <f t="shared" si="5"/>
        <v/>
      </c>
    </row>
    <row r="142" spans="1:8" x14ac:dyDescent="0.2">
      <c r="A142" t="str">
        <f>INDEX(Prioritization!$D:$D,MATCH($B142,Prioritization!$A:$A,0))</f>
        <v>INVALID</v>
      </c>
      <c r="B142" t="s">
        <v>205</v>
      </c>
      <c r="C142" t="s">
        <v>366</v>
      </c>
      <c r="D142" t="s">
        <v>47</v>
      </c>
      <c r="E142" t="str">
        <f t="shared" si="3"/>
        <v>Likoma District [ZCjuwgaMB9u]|35-49|Male</v>
      </c>
      <c r="F142" s="14"/>
      <c r="G142" s="90" t="str">
        <f t="shared" si="4"/>
        <v/>
      </c>
      <c r="H142" s="42" t="str">
        <f t="shared" si="5"/>
        <v/>
      </c>
    </row>
    <row r="143" spans="1:8" x14ac:dyDescent="0.2">
      <c r="A143" t="str">
        <f>INDEX(Prioritization!$D:$D,MATCH($B143,Prioritization!$A:$A,0))</f>
        <v>INVALID</v>
      </c>
      <c r="B143" t="s">
        <v>205</v>
      </c>
      <c r="C143" t="s">
        <v>367</v>
      </c>
      <c r="D143" t="s">
        <v>29</v>
      </c>
      <c r="E143" t="str">
        <f t="shared" ref="E143:E206" si="6">B143&amp;"|"&amp;C143&amp;"|"&amp;D143</f>
        <v>Likoma District [ZCjuwgaMB9u]|50+|Female</v>
      </c>
      <c r="F143" s="14"/>
      <c r="G143" s="90" t="str">
        <f t="shared" ref="G143:G206" si="7">IF(SUM($F143)=0,"",0%)</f>
        <v/>
      </c>
      <c r="H143" s="42" t="str">
        <f t="shared" ref="H143:H206" si="8">IF(SUM($F143)=0,"",ROUND($F143*(1+$G143),0))</f>
        <v/>
      </c>
    </row>
    <row r="144" spans="1:8" x14ac:dyDescent="0.2">
      <c r="A144" t="str">
        <f>INDEX(Prioritization!$D:$D,MATCH($B144,Prioritization!$A:$A,0))</f>
        <v>INVALID</v>
      </c>
      <c r="B144" t="s">
        <v>205</v>
      </c>
      <c r="C144" t="s">
        <v>367</v>
      </c>
      <c r="D144" t="s">
        <v>47</v>
      </c>
      <c r="E144" t="str">
        <f t="shared" si="6"/>
        <v>Likoma District [ZCjuwgaMB9u]|50+|Male</v>
      </c>
      <c r="F144" s="14"/>
      <c r="G144" s="90" t="str">
        <f t="shared" si="7"/>
        <v/>
      </c>
      <c r="H144" s="42" t="str">
        <f t="shared" si="8"/>
        <v/>
      </c>
    </row>
    <row r="145" spans="1:8" x14ac:dyDescent="0.2">
      <c r="A145" t="str">
        <f>INDEX(Prioritization!$D:$D,MATCH($B145,Prioritization!$A:$A,0))</f>
        <v>1 - Scale-up: Saturation</v>
      </c>
      <c r="B145" t="s">
        <v>206</v>
      </c>
      <c r="C145" t="s">
        <v>363</v>
      </c>
      <c r="D145" t="s">
        <v>29</v>
      </c>
      <c r="E145" t="str">
        <f t="shared" si="6"/>
        <v>Mzimba District [vA4NcHxfMBq]|10-14|Female</v>
      </c>
      <c r="F145" s="14"/>
      <c r="G145" s="90" t="str">
        <f t="shared" si="7"/>
        <v/>
      </c>
      <c r="H145" s="42" t="str">
        <f t="shared" si="8"/>
        <v/>
      </c>
    </row>
    <row r="146" spans="1:8" x14ac:dyDescent="0.2">
      <c r="A146" t="str">
        <f>INDEX(Prioritization!$D:$D,MATCH($B146,Prioritization!$A:$A,0))</f>
        <v>1 - Scale-up: Saturation</v>
      </c>
      <c r="B146" t="s">
        <v>206</v>
      </c>
      <c r="C146" t="s">
        <v>363</v>
      </c>
      <c r="D146" t="s">
        <v>47</v>
      </c>
      <c r="E146" t="str">
        <f t="shared" si="6"/>
        <v>Mzimba District [vA4NcHxfMBq]|10-14|Male</v>
      </c>
      <c r="F146" s="14"/>
      <c r="G146" s="90" t="str">
        <f t="shared" si="7"/>
        <v/>
      </c>
      <c r="H146" s="42" t="str">
        <f t="shared" si="8"/>
        <v/>
      </c>
    </row>
    <row r="147" spans="1:8" x14ac:dyDescent="0.2">
      <c r="A147" t="str">
        <f>INDEX(Prioritization!$D:$D,MATCH($B147,Prioritization!$A:$A,0))</f>
        <v>1 - Scale-up: Saturation</v>
      </c>
      <c r="B147" t="s">
        <v>206</v>
      </c>
      <c r="C147" t="s">
        <v>364</v>
      </c>
      <c r="D147" t="s">
        <v>29</v>
      </c>
      <c r="E147" t="str">
        <f t="shared" si="6"/>
        <v>Mzimba District [vA4NcHxfMBq]|15-24|Female</v>
      </c>
      <c r="F147" s="14"/>
      <c r="G147" s="90" t="str">
        <f t="shared" si="7"/>
        <v/>
      </c>
      <c r="H147" s="42" t="str">
        <f t="shared" si="8"/>
        <v/>
      </c>
    </row>
    <row r="148" spans="1:8" x14ac:dyDescent="0.2">
      <c r="A148" t="str">
        <f>INDEX(Prioritization!$D:$D,MATCH($B148,Prioritization!$A:$A,0))</f>
        <v>1 - Scale-up: Saturation</v>
      </c>
      <c r="B148" t="s">
        <v>206</v>
      </c>
      <c r="C148" t="s">
        <v>364</v>
      </c>
      <c r="D148" t="s">
        <v>47</v>
      </c>
      <c r="E148" t="str">
        <f t="shared" si="6"/>
        <v>Mzimba District [vA4NcHxfMBq]|15-24|Male</v>
      </c>
      <c r="F148" s="14"/>
      <c r="G148" s="90" t="str">
        <f t="shared" si="7"/>
        <v/>
      </c>
      <c r="H148" s="42" t="str">
        <f t="shared" si="8"/>
        <v/>
      </c>
    </row>
    <row r="149" spans="1:8" x14ac:dyDescent="0.2">
      <c r="A149" t="str">
        <f>INDEX(Prioritization!$D:$D,MATCH($B149,Prioritization!$A:$A,0))</f>
        <v>1 - Scale-up: Saturation</v>
      </c>
      <c r="B149" t="s">
        <v>206</v>
      </c>
      <c r="C149" t="s">
        <v>365</v>
      </c>
      <c r="D149" t="s">
        <v>29</v>
      </c>
      <c r="E149" t="str">
        <f t="shared" si="6"/>
        <v>Mzimba District [vA4NcHxfMBq]|25-34|Female</v>
      </c>
      <c r="F149" s="14"/>
      <c r="G149" s="90" t="str">
        <f t="shared" si="7"/>
        <v/>
      </c>
      <c r="H149" s="42" t="str">
        <f t="shared" si="8"/>
        <v/>
      </c>
    </row>
    <row r="150" spans="1:8" x14ac:dyDescent="0.2">
      <c r="A150" t="str">
        <f>INDEX(Prioritization!$D:$D,MATCH($B150,Prioritization!$A:$A,0))</f>
        <v>1 - Scale-up: Saturation</v>
      </c>
      <c r="B150" t="s">
        <v>206</v>
      </c>
      <c r="C150" t="s">
        <v>365</v>
      </c>
      <c r="D150" t="s">
        <v>47</v>
      </c>
      <c r="E150" t="str">
        <f t="shared" si="6"/>
        <v>Mzimba District [vA4NcHxfMBq]|25-34|Male</v>
      </c>
      <c r="F150" s="14"/>
      <c r="G150" s="90" t="str">
        <f t="shared" si="7"/>
        <v/>
      </c>
      <c r="H150" s="42" t="str">
        <f t="shared" si="8"/>
        <v/>
      </c>
    </row>
    <row r="151" spans="1:8" x14ac:dyDescent="0.2">
      <c r="A151" t="str">
        <f>INDEX(Prioritization!$D:$D,MATCH($B151,Prioritization!$A:$A,0))</f>
        <v>1 - Scale-up: Saturation</v>
      </c>
      <c r="B151" t="s">
        <v>206</v>
      </c>
      <c r="C151" t="s">
        <v>366</v>
      </c>
      <c r="D151" t="s">
        <v>29</v>
      </c>
      <c r="E151" t="str">
        <f t="shared" si="6"/>
        <v>Mzimba District [vA4NcHxfMBq]|35-49|Female</v>
      </c>
      <c r="F151" s="14"/>
      <c r="G151" s="90" t="str">
        <f t="shared" si="7"/>
        <v/>
      </c>
      <c r="H151" s="42" t="str">
        <f t="shared" si="8"/>
        <v/>
      </c>
    </row>
    <row r="152" spans="1:8" x14ac:dyDescent="0.2">
      <c r="A152" t="str">
        <f>INDEX(Prioritization!$D:$D,MATCH($B152,Prioritization!$A:$A,0))</f>
        <v>1 - Scale-up: Saturation</v>
      </c>
      <c r="B152" t="s">
        <v>206</v>
      </c>
      <c r="C152" t="s">
        <v>366</v>
      </c>
      <c r="D152" t="s">
        <v>47</v>
      </c>
      <c r="E152" t="str">
        <f t="shared" si="6"/>
        <v>Mzimba District [vA4NcHxfMBq]|35-49|Male</v>
      </c>
      <c r="F152" s="14"/>
      <c r="G152" s="90" t="str">
        <f t="shared" si="7"/>
        <v/>
      </c>
      <c r="H152" s="42" t="str">
        <f t="shared" si="8"/>
        <v/>
      </c>
    </row>
    <row r="153" spans="1:8" x14ac:dyDescent="0.2">
      <c r="A153" t="str">
        <f>INDEX(Prioritization!$D:$D,MATCH($B153,Prioritization!$A:$A,0))</f>
        <v>1 - Scale-up: Saturation</v>
      </c>
      <c r="B153" t="s">
        <v>206</v>
      </c>
      <c r="C153" t="s">
        <v>367</v>
      </c>
      <c r="D153" t="s">
        <v>29</v>
      </c>
      <c r="E153" t="str">
        <f t="shared" si="6"/>
        <v>Mzimba District [vA4NcHxfMBq]|50+|Female</v>
      </c>
      <c r="F153" s="14"/>
      <c r="G153" s="90" t="str">
        <f t="shared" si="7"/>
        <v/>
      </c>
      <c r="H153" s="42" t="str">
        <f t="shared" si="8"/>
        <v/>
      </c>
    </row>
    <row r="154" spans="1:8" x14ac:dyDescent="0.2">
      <c r="A154" t="str">
        <f>INDEX(Prioritization!$D:$D,MATCH($B154,Prioritization!$A:$A,0))</f>
        <v>1 - Scale-up: Saturation</v>
      </c>
      <c r="B154" t="s">
        <v>206</v>
      </c>
      <c r="C154" t="s">
        <v>367</v>
      </c>
      <c r="D154" t="s">
        <v>47</v>
      </c>
      <c r="E154" t="str">
        <f t="shared" si="6"/>
        <v>Mzimba District [vA4NcHxfMBq]|50+|Male</v>
      </c>
      <c r="F154" s="14"/>
      <c r="G154" s="90" t="str">
        <f t="shared" si="7"/>
        <v/>
      </c>
      <c r="H154" s="42" t="str">
        <f t="shared" si="8"/>
        <v/>
      </c>
    </row>
    <row r="155" spans="1:8" x14ac:dyDescent="0.2">
      <c r="A155" t="str">
        <f>INDEX(Prioritization!$D:$D,MATCH($B155,Prioritization!$A:$A,0))</f>
        <v>INVALID</v>
      </c>
      <c r="B155" t="s">
        <v>207</v>
      </c>
      <c r="C155" t="s">
        <v>363</v>
      </c>
      <c r="D155" t="s">
        <v>29</v>
      </c>
      <c r="E155" t="str">
        <f t="shared" si="6"/>
        <v>Nkhata Bay District [E7zpfyBt7Tw]|10-14|Female</v>
      </c>
      <c r="F155" s="14"/>
      <c r="G155" s="90" t="str">
        <f t="shared" si="7"/>
        <v/>
      </c>
      <c r="H155" s="42" t="str">
        <f t="shared" si="8"/>
        <v/>
      </c>
    </row>
    <row r="156" spans="1:8" x14ac:dyDescent="0.2">
      <c r="A156" t="str">
        <f>INDEX(Prioritization!$D:$D,MATCH($B156,Prioritization!$A:$A,0))</f>
        <v>INVALID</v>
      </c>
      <c r="B156" t="s">
        <v>207</v>
      </c>
      <c r="C156" t="s">
        <v>363</v>
      </c>
      <c r="D156" t="s">
        <v>47</v>
      </c>
      <c r="E156" t="str">
        <f t="shared" si="6"/>
        <v>Nkhata Bay District [E7zpfyBt7Tw]|10-14|Male</v>
      </c>
      <c r="F156" s="14"/>
      <c r="G156" s="90" t="str">
        <f t="shared" si="7"/>
        <v/>
      </c>
      <c r="H156" s="42" t="str">
        <f t="shared" si="8"/>
        <v/>
      </c>
    </row>
    <row r="157" spans="1:8" x14ac:dyDescent="0.2">
      <c r="A157" t="str">
        <f>INDEX(Prioritization!$D:$D,MATCH($B157,Prioritization!$A:$A,0))</f>
        <v>INVALID</v>
      </c>
      <c r="B157" t="s">
        <v>207</v>
      </c>
      <c r="C157" t="s">
        <v>364</v>
      </c>
      <c r="D157" t="s">
        <v>29</v>
      </c>
      <c r="E157" t="str">
        <f t="shared" si="6"/>
        <v>Nkhata Bay District [E7zpfyBt7Tw]|15-24|Female</v>
      </c>
      <c r="F157" s="14"/>
      <c r="G157" s="90" t="str">
        <f t="shared" si="7"/>
        <v/>
      </c>
      <c r="H157" s="42" t="str">
        <f t="shared" si="8"/>
        <v/>
      </c>
    </row>
    <row r="158" spans="1:8" x14ac:dyDescent="0.2">
      <c r="A158" t="str">
        <f>INDEX(Prioritization!$D:$D,MATCH($B158,Prioritization!$A:$A,0))</f>
        <v>INVALID</v>
      </c>
      <c r="B158" t="s">
        <v>207</v>
      </c>
      <c r="C158" t="s">
        <v>364</v>
      </c>
      <c r="D158" t="s">
        <v>47</v>
      </c>
      <c r="E158" t="str">
        <f t="shared" si="6"/>
        <v>Nkhata Bay District [E7zpfyBt7Tw]|15-24|Male</v>
      </c>
      <c r="F158" s="14"/>
      <c r="G158" s="90" t="str">
        <f t="shared" si="7"/>
        <v/>
      </c>
      <c r="H158" s="42" t="str">
        <f t="shared" si="8"/>
        <v/>
      </c>
    </row>
    <row r="159" spans="1:8" x14ac:dyDescent="0.2">
      <c r="A159" t="str">
        <f>INDEX(Prioritization!$D:$D,MATCH($B159,Prioritization!$A:$A,0))</f>
        <v>INVALID</v>
      </c>
      <c r="B159" t="s">
        <v>207</v>
      </c>
      <c r="C159" t="s">
        <v>365</v>
      </c>
      <c r="D159" t="s">
        <v>29</v>
      </c>
      <c r="E159" t="str">
        <f t="shared" si="6"/>
        <v>Nkhata Bay District [E7zpfyBt7Tw]|25-34|Female</v>
      </c>
      <c r="F159" s="14"/>
      <c r="G159" s="90" t="str">
        <f t="shared" si="7"/>
        <v/>
      </c>
      <c r="H159" s="42" t="str">
        <f t="shared" si="8"/>
        <v/>
      </c>
    </row>
    <row r="160" spans="1:8" x14ac:dyDescent="0.2">
      <c r="A160" t="str">
        <f>INDEX(Prioritization!$D:$D,MATCH($B160,Prioritization!$A:$A,0))</f>
        <v>INVALID</v>
      </c>
      <c r="B160" t="s">
        <v>207</v>
      </c>
      <c r="C160" t="s">
        <v>365</v>
      </c>
      <c r="D160" t="s">
        <v>47</v>
      </c>
      <c r="E160" t="str">
        <f t="shared" si="6"/>
        <v>Nkhata Bay District [E7zpfyBt7Tw]|25-34|Male</v>
      </c>
      <c r="F160" s="14"/>
      <c r="G160" s="90" t="str">
        <f t="shared" si="7"/>
        <v/>
      </c>
      <c r="H160" s="42" t="str">
        <f t="shared" si="8"/>
        <v/>
      </c>
    </row>
    <row r="161" spans="1:8" x14ac:dyDescent="0.2">
      <c r="A161" t="str">
        <f>INDEX(Prioritization!$D:$D,MATCH($B161,Prioritization!$A:$A,0))</f>
        <v>INVALID</v>
      </c>
      <c r="B161" t="s">
        <v>207</v>
      </c>
      <c r="C161" t="s">
        <v>366</v>
      </c>
      <c r="D161" t="s">
        <v>29</v>
      </c>
      <c r="E161" t="str">
        <f t="shared" si="6"/>
        <v>Nkhata Bay District [E7zpfyBt7Tw]|35-49|Female</v>
      </c>
      <c r="F161" s="14"/>
      <c r="G161" s="90" t="str">
        <f t="shared" si="7"/>
        <v/>
      </c>
      <c r="H161" s="42" t="str">
        <f t="shared" si="8"/>
        <v/>
      </c>
    </row>
    <row r="162" spans="1:8" x14ac:dyDescent="0.2">
      <c r="A162" t="str">
        <f>INDEX(Prioritization!$D:$D,MATCH($B162,Prioritization!$A:$A,0))</f>
        <v>INVALID</v>
      </c>
      <c r="B162" t="s">
        <v>207</v>
      </c>
      <c r="C162" t="s">
        <v>366</v>
      </c>
      <c r="D162" t="s">
        <v>47</v>
      </c>
      <c r="E162" t="str">
        <f t="shared" si="6"/>
        <v>Nkhata Bay District [E7zpfyBt7Tw]|35-49|Male</v>
      </c>
      <c r="F162" s="14"/>
      <c r="G162" s="90" t="str">
        <f t="shared" si="7"/>
        <v/>
      </c>
      <c r="H162" s="42" t="str">
        <f t="shared" si="8"/>
        <v/>
      </c>
    </row>
    <row r="163" spans="1:8" x14ac:dyDescent="0.2">
      <c r="A163" t="str">
        <f>INDEX(Prioritization!$D:$D,MATCH($B163,Prioritization!$A:$A,0))</f>
        <v>INVALID</v>
      </c>
      <c r="B163" t="s">
        <v>207</v>
      </c>
      <c r="C163" t="s">
        <v>367</v>
      </c>
      <c r="D163" t="s">
        <v>29</v>
      </c>
      <c r="E163" t="str">
        <f t="shared" si="6"/>
        <v>Nkhata Bay District [E7zpfyBt7Tw]|50+|Female</v>
      </c>
      <c r="F163" s="14"/>
      <c r="G163" s="90" t="str">
        <f t="shared" si="7"/>
        <v/>
      </c>
      <c r="H163" s="42" t="str">
        <f t="shared" si="8"/>
        <v/>
      </c>
    </row>
    <row r="164" spans="1:8" x14ac:dyDescent="0.2">
      <c r="A164" t="str">
        <f>INDEX(Prioritization!$D:$D,MATCH($B164,Prioritization!$A:$A,0))</f>
        <v>INVALID</v>
      </c>
      <c r="B164" t="s">
        <v>207</v>
      </c>
      <c r="C164" t="s">
        <v>367</v>
      </c>
      <c r="D164" t="s">
        <v>47</v>
      </c>
      <c r="E164" t="str">
        <f t="shared" si="6"/>
        <v>Nkhata Bay District [E7zpfyBt7Tw]|50+|Male</v>
      </c>
      <c r="F164" s="14"/>
      <c r="G164" s="90" t="str">
        <f t="shared" si="7"/>
        <v/>
      </c>
      <c r="H164" s="42" t="str">
        <f t="shared" si="8"/>
        <v/>
      </c>
    </row>
    <row r="165" spans="1:8" x14ac:dyDescent="0.2">
      <c r="A165" t="str">
        <f>INDEX(Prioritization!$D:$D,MATCH($B165,Prioritization!$A:$A,0))</f>
        <v>INVALID</v>
      </c>
      <c r="B165" t="s">
        <v>208</v>
      </c>
      <c r="C165" t="s">
        <v>363</v>
      </c>
      <c r="D165" t="s">
        <v>29</v>
      </c>
      <c r="E165" t="str">
        <f t="shared" si="6"/>
        <v>Rumphi District [lPTyjLi4w3d]|10-14|Female</v>
      </c>
      <c r="F165" s="14"/>
      <c r="G165" s="90" t="str">
        <f t="shared" si="7"/>
        <v/>
      </c>
      <c r="H165" s="42" t="str">
        <f t="shared" si="8"/>
        <v/>
      </c>
    </row>
    <row r="166" spans="1:8" x14ac:dyDescent="0.2">
      <c r="A166" t="str">
        <f>INDEX(Prioritization!$D:$D,MATCH($B166,Prioritization!$A:$A,0))</f>
        <v>INVALID</v>
      </c>
      <c r="B166" t="s">
        <v>208</v>
      </c>
      <c r="C166" t="s">
        <v>363</v>
      </c>
      <c r="D166" t="s">
        <v>47</v>
      </c>
      <c r="E166" t="str">
        <f t="shared" si="6"/>
        <v>Rumphi District [lPTyjLi4w3d]|10-14|Male</v>
      </c>
      <c r="F166" s="14"/>
      <c r="G166" s="90" t="str">
        <f t="shared" si="7"/>
        <v/>
      </c>
      <c r="H166" s="42" t="str">
        <f t="shared" si="8"/>
        <v/>
      </c>
    </row>
    <row r="167" spans="1:8" x14ac:dyDescent="0.2">
      <c r="A167" t="str">
        <f>INDEX(Prioritization!$D:$D,MATCH($B167,Prioritization!$A:$A,0))</f>
        <v>INVALID</v>
      </c>
      <c r="B167" t="s">
        <v>208</v>
      </c>
      <c r="C167" t="s">
        <v>364</v>
      </c>
      <c r="D167" t="s">
        <v>29</v>
      </c>
      <c r="E167" t="str">
        <f t="shared" si="6"/>
        <v>Rumphi District [lPTyjLi4w3d]|15-24|Female</v>
      </c>
      <c r="F167" s="14"/>
      <c r="G167" s="90" t="str">
        <f t="shared" si="7"/>
        <v/>
      </c>
      <c r="H167" s="42" t="str">
        <f t="shared" si="8"/>
        <v/>
      </c>
    </row>
    <row r="168" spans="1:8" x14ac:dyDescent="0.2">
      <c r="A168" t="str">
        <f>INDEX(Prioritization!$D:$D,MATCH($B168,Prioritization!$A:$A,0))</f>
        <v>INVALID</v>
      </c>
      <c r="B168" t="s">
        <v>208</v>
      </c>
      <c r="C168" t="s">
        <v>364</v>
      </c>
      <c r="D168" t="s">
        <v>47</v>
      </c>
      <c r="E168" t="str">
        <f t="shared" si="6"/>
        <v>Rumphi District [lPTyjLi4w3d]|15-24|Male</v>
      </c>
      <c r="F168" s="14"/>
      <c r="G168" s="90" t="str">
        <f t="shared" si="7"/>
        <v/>
      </c>
      <c r="H168" s="42" t="str">
        <f t="shared" si="8"/>
        <v/>
      </c>
    </row>
    <row r="169" spans="1:8" x14ac:dyDescent="0.2">
      <c r="A169" t="str">
        <f>INDEX(Prioritization!$D:$D,MATCH($B169,Prioritization!$A:$A,0))</f>
        <v>INVALID</v>
      </c>
      <c r="B169" t="s">
        <v>208</v>
      </c>
      <c r="C169" t="s">
        <v>365</v>
      </c>
      <c r="D169" t="s">
        <v>29</v>
      </c>
      <c r="E169" t="str">
        <f t="shared" si="6"/>
        <v>Rumphi District [lPTyjLi4w3d]|25-34|Female</v>
      </c>
      <c r="F169" s="14"/>
      <c r="G169" s="90" t="str">
        <f t="shared" si="7"/>
        <v/>
      </c>
      <c r="H169" s="42" t="str">
        <f t="shared" si="8"/>
        <v/>
      </c>
    </row>
    <row r="170" spans="1:8" x14ac:dyDescent="0.2">
      <c r="A170" t="str">
        <f>INDEX(Prioritization!$D:$D,MATCH($B170,Prioritization!$A:$A,0))</f>
        <v>INVALID</v>
      </c>
      <c r="B170" t="s">
        <v>208</v>
      </c>
      <c r="C170" t="s">
        <v>365</v>
      </c>
      <c r="D170" t="s">
        <v>47</v>
      </c>
      <c r="E170" t="str">
        <f t="shared" si="6"/>
        <v>Rumphi District [lPTyjLi4w3d]|25-34|Male</v>
      </c>
      <c r="F170" s="14"/>
      <c r="G170" s="90" t="str">
        <f t="shared" si="7"/>
        <v/>
      </c>
      <c r="H170" s="42" t="str">
        <f t="shared" si="8"/>
        <v/>
      </c>
    </row>
    <row r="171" spans="1:8" x14ac:dyDescent="0.2">
      <c r="A171" t="str">
        <f>INDEX(Prioritization!$D:$D,MATCH($B171,Prioritization!$A:$A,0))</f>
        <v>INVALID</v>
      </c>
      <c r="B171" t="s">
        <v>208</v>
      </c>
      <c r="C171" t="s">
        <v>366</v>
      </c>
      <c r="D171" t="s">
        <v>29</v>
      </c>
      <c r="E171" t="str">
        <f t="shared" si="6"/>
        <v>Rumphi District [lPTyjLi4w3d]|35-49|Female</v>
      </c>
      <c r="F171" s="14"/>
      <c r="G171" s="90" t="str">
        <f t="shared" si="7"/>
        <v/>
      </c>
      <c r="H171" s="42" t="str">
        <f t="shared" si="8"/>
        <v/>
      </c>
    </row>
    <row r="172" spans="1:8" x14ac:dyDescent="0.2">
      <c r="A172" t="str">
        <f>INDEX(Prioritization!$D:$D,MATCH($B172,Prioritization!$A:$A,0))</f>
        <v>INVALID</v>
      </c>
      <c r="B172" t="s">
        <v>208</v>
      </c>
      <c r="C172" t="s">
        <v>366</v>
      </c>
      <c r="D172" t="s">
        <v>47</v>
      </c>
      <c r="E172" t="str">
        <f t="shared" si="6"/>
        <v>Rumphi District [lPTyjLi4w3d]|35-49|Male</v>
      </c>
      <c r="F172" s="14"/>
      <c r="G172" s="90" t="str">
        <f t="shared" si="7"/>
        <v/>
      </c>
      <c r="H172" s="42" t="str">
        <f t="shared" si="8"/>
        <v/>
      </c>
    </row>
    <row r="173" spans="1:8" x14ac:dyDescent="0.2">
      <c r="A173" t="str">
        <f>INDEX(Prioritization!$D:$D,MATCH($B173,Prioritization!$A:$A,0))</f>
        <v>INVALID</v>
      </c>
      <c r="B173" t="s">
        <v>208</v>
      </c>
      <c r="C173" t="s">
        <v>367</v>
      </c>
      <c r="D173" t="s">
        <v>29</v>
      </c>
      <c r="E173" t="str">
        <f t="shared" si="6"/>
        <v>Rumphi District [lPTyjLi4w3d]|50+|Female</v>
      </c>
      <c r="F173" s="14"/>
      <c r="G173" s="90" t="str">
        <f t="shared" si="7"/>
        <v/>
      </c>
      <c r="H173" s="42" t="str">
        <f t="shared" si="8"/>
        <v/>
      </c>
    </row>
    <row r="174" spans="1:8" x14ac:dyDescent="0.2">
      <c r="A174" t="str">
        <f>INDEX(Prioritization!$D:$D,MATCH($B174,Prioritization!$A:$A,0))</f>
        <v>INVALID</v>
      </c>
      <c r="B174" t="s">
        <v>208</v>
      </c>
      <c r="C174" t="s">
        <v>367</v>
      </c>
      <c r="D174" t="s">
        <v>47</v>
      </c>
      <c r="E174" t="str">
        <f t="shared" si="6"/>
        <v>Rumphi District [lPTyjLi4w3d]|50+|Male</v>
      </c>
      <c r="F174" s="14"/>
      <c r="G174" s="90" t="str">
        <f t="shared" si="7"/>
        <v/>
      </c>
      <c r="H174" s="42" t="str">
        <f t="shared" si="8"/>
        <v/>
      </c>
    </row>
    <row r="175" spans="1:8" x14ac:dyDescent="0.2">
      <c r="A175" t="str">
        <f>INDEX(Prioritization!$D:$D,MATCH($B175,Prioritization!$A:$A,0))</f>
        <v>1 - Scale-up: Saturation</v>
      </c>
      <c r="B175" t="s">
        <v>209</v>
      </c>
      <c r="C175" t="s">
        <v>363</v>
      </c>
      <c r="D175" t="s">
        <v>29</v>
      </c>
      <c r="E175" t="str">
        <f t="shared" si="6"/>
        <v>Balaka District [ir8wuHHzoSs]|10-14|Female</v>
      </c>
      <c r="F175" s="14"/>
      <c r="G175" s="90" t="str">
        <f t="shared" si="7"/>
        <v/>
      </c>
      <c r="H175" s="42" t="str">
        <f t="shared" si="8"/>
        <v/>
      </c>
    </row>
    <row r="176" spans="1:8" x14ac:dyDescent="0.2">
      <c r="A176" t="str">
        <f>INDEX(Prioritization!$D:$D,MATCH($B176,Prioritization!$A:$A,0))</f>
        <v>1 - Scale-up: Saturation</v>
      </c>
      <c r="B176" t="s">
        <v>209</v>
      </c>
      <c r="C176" t="s">
        <v>363</v>
      </c>
      <c r="D176" t="s">
        <v>47</v>
      </c>
      <c r="E176" t="str">
        <f t="shared" si="6"/>
        <v>Balaka District [ir8wuHHzoSs]|10-14|Male</v>
      </c>
      <c r="F176" s="14"/>
      <c r="G176" s="90" t="str">
        <f t="shared" si="7"/>
        <v/>
      </c>
      <c r="H176" s="42" t="str">
        <f t="shared" si="8"/>
        <v/>
      </c>
    </row>
    <row r="177" spans="1:8" x14ac:dyDescent="0.2">
      <c r="A177" t="str">
        <f>INDEX(Prioritization!$D:$D,MATCH($B177,Prioritization!$A:$A,0))</f>
        <v>1 - Scale-up: Saturation</v>
      </c>
      <c r="B177" t="s">
        <v>209</v>
      </c>
      <c r="C177" t="s">
        <v>364</v>
      </c>
      <c r="D177" t="s">
        <v>29</v>
      </c>
      <c r="E177" t="str">
        <f t="shared" si="6"/>
        <v>Balaka District [ir8wuHHzoSs]|15-24|Female</v>
      </c>
      <c r="F177" s="14"/>
      <c r="G177" s="90" t="str">
        <f t="shared" si="7"/>
        <v/>
      </c>
      <c r="H177" s="42" t="str">
        <f t="shared" si="8"/>
        <v/>
      </c>
    </row>
    <row r="178" spans="1:8" x14ac:dyDescent="0.2">
      <c r="A178" t="str">
        <f>INDEX(Prioritization!$D:$D,MATCH($B178,Prioritization!$A:$A,0))</f>
        <v>1 - Scale-up: Saturation</v>
      </c>
      <c r="B178" t="s">
        <v>209</v>
      </c>
      <c r="C178" t="s">
        <v>364</v>
      </c>
      <c r="D178" t="s">
        <v>47</v>
      </c>
      <c r="E178" t="str">
        <f t="shared" si="6"/>
        <v>Balaka District [ir8wuHHzoSs]|15-24|Male</v>
      </c>
      <c r="F178" s="14"/>
      <c r="G178" s="90" t="str">
        <f t="shared" si="7"/>
        <v/>
      </c>
      <c r="H178" s="42" t="str">
        <f t="shared" si="8"/>
        <v/>
      </c>
    </row>
    <row r="179" spans="1:8" x14ac:dyDescent="0.2">
      <c r="A179" t="str">
        <f>INDEX(Prioritization!$D:$D,MATCH($B179,Prioritization!$A:$A,0))</f>
        <v>1 - Scale-up: Saturation</v>
      </c>
      <c r="B179" t="s">
        <v>209</v>
      </c>
      <c r="C179" t="s">
        <v>365</v>
      </c>
      <c r="D179" t="s">
        <v>29</v>
      </c>
      <c r="E179" t="str">
        <f t="shared" si="6"/>
        <v>Balaka District [ir8wuHHzoSs]|25-34|Female</v>
      </c>
      <c r="F179" s="14"/>
      <c r="G179" s="90" t="str">
        <f t="shared" si="7"/>
        <v/>
      </c>
      <c r="H179" s="42" t="str">
        <f t="shared" si="8"/>
        <v/>
      </c>
    </row>
    <row r="180" spans="1:8" x14ac:dyDescent="0.2">
      <c r="A180" t="str">
        <f>INDEX(Prioritization!$D:$D,MATCH($B180,Prioritization!$A:$A,0))</f>
        <v>1 - Scale-up: Saturation</v>
      </c>
      <c r="B180" t="s">
        <v>209</v>
      </c>
      <c r="C180" t="s">
        <v>365</v>
      </c>
      <c r="D180" t="s">
        <v>47</v>
      </c>
      <c r="E180" t="str">
        <f t="shared" si="6"/>
        <v>Balaka District [ir8wuHHzoSs]|25-34|Male</v>
      </c>
      <c r="F180" s="14"/>
      <c r="G180" s="90" t="str">
        <f t="shared" si="7"/>
        <v/>
      </c>
      <c r="H180" s="42" t="str">
        <f t="shared" si="8"/>
        <v/>
      </c>
    </row>
    <row r="181" spans="1:8" x14ac:dyDescent="0.2">
      <c r="A181" t="str">
        <f>INDEX(Prioritization!$D:$D,MATCH($B181,Prioritization!$A:$A,0))</f>
        <v>1 - Scale-up: Saturation</v>
      </c>
      <c r="B181" t="s">
        <v>209</v>
      </c>
      <c r="C181" t="s">
        <v>366</v>
      </c>
      <c r="D181" t="s">
        <v>29</v>
      </c>
      <c r="E181" t="str">
        <f t="shared" si="6"/>
        <v>Balaka District [ir8wuHHzoSs]|35-49|Female</v>
      </c>
      <c r="F181" s="14"/>
      <c r="G181" s="90" t="str">
        <f t="shared" si="7"/>
        <v/>
      </c>
      <c r="H181" s="42" t="str">
        <f t="shared" si="8"/>
        <v/>
      </c>
    </row>
    <row r="182" spans="1:8" x14ac:dyDescent="0.2">
      <c r="A182" t="str">
        <f>INDEX(Prioritization!$D:$D,MATCH($B182,Prioritization!$A:$A,0))</f>
        <v>1 - Scale-up: Saturation</v>
      </c>
      <c r="B182" t="s">
        <v>209</v>
      </c>
      <c r="C182" t="s">
        <v>366</v>
      </c>
      <c r="D182" t="s">
        <v>47</v>
      </c>
      <c r="E182" t="str">
        <f t="shared" si="6"/>
        <v>Balaka District [ir8wuHHzoSs]|35-49|Male</v>
      </c>
      <c r="F182" s="14"/>
      <c r="G182" s="90" t="str">
        <f t="shared" si="7"/>
        <v/>
      </c>
      <c r="H182" s="42" t="str">
        <f t="shared" si="8"/>
        <v/>
      </c>
    </row>
    <row r="183" spans="1:8" x14ac:dyDescent="0.2">
      <c r="A183" t="str">
        <f>INDEX(Prioritization!$D:$D,MATCH($B183,Prioritization!$A:$A,0))</f>
        <v>1 - Scale-up: Saturation</v>
      </c>
      <c r="B183" t="s">
        <v>209</v>
      </c>
      <c r="C183" t="s">
        <v>367</v>
      </c>
      <c r="D183" t="s">
        <v>29</v>
      </c>
      <c r="E183" t="str">
        <f t="shared" si="6"/>
        <v>Balaka District [ir8wuHHzoSs]|50+|Female</v>
      </c>
      <c r="F183" s="14"/>
      <c r="G183" s="90" t="str">
        <f t="shared" si="7"/>
        <v/>
      </c>
      <c r="H183" s="42" t="str">
        <f t="shared" si="8"/>
        <v/>
      </c>
    </row>
    <row r="184" spans="1:8" x14ac:dyDescent="0.2">
      <c r="A184" t="str">
        <f>INDEX(Prioritization!$D:$D,MATCH($B184,Prioritization!$A:$A,0))</f>
        <v>1 - Scale-up: Saturation</v>
      </c>
      <c r="B184" t="s">
        <v>209</v>
      </c>
      <c r="C184" t="s">
        <v>367</v>
      </c>
      <c r="D184" t="s">
        <v>47</v>
      </c>
      <c r="E184" t="str">
        <f t="shared" si="6"/>
        <v>Balaka District [ir8wuHHzoSs]|50+|Male</v>
      </c>
      <c r="F184" s="14"/>
      <c r="G184" s="90" t="str">
        <f t="shared" si="7"/>
        <v/>
      </c>
      <c r="H184" s="42" t="str">
        <f t="shared" si="8"/>
        <v/>
      </c>
    </row>
    <row r="185" spans="1:8" x14ac:dyDescent="0.2">
      <c r="A185" t="str">
        <f>INDEX(Prioritization!$D:$D,MATCH($B185,Prioritization!$A:$A,0))</f>
        <v>1 - Scale-up: Saturation</v>
      </c>
      <c r="B185" t="s">
        <v>210</v>
      </c>
      <c r="C185" t="s">
        <v>363</v>
      </c>
      <c r="D185" t="s">
        <v>29</v>
      </c>
      <c r="E185" t="str">
        <f t="shared" si="6"/>
        <v>Blantyre District [mxqa3CDFmIT]|10-14|Female</v>
      </c>
      <c r="F185" s="14"/>
      <c r="G185" s="90" t="str">
        <f t="shared" si="7"/>
        <v/>
      </c>
      <c r="H185" s="42" t="str">
        <f t="shared" si="8"/>
        <v/>
      </c>
    </row>
    <row r="186" spans="1:8" x14ac:dyDescent="0.2">
      <c r="A186" t="str">
        <f>INDEX(Prioritization!$D:$D,MATCH($B186,Prioritization!$A:$A,0))</f>
        <v>1 - Scale-up: Saturation</v>
      </c>
      <c r="B186" t="s">
        <v>210</v>
      </c>
      <c r="C186" t="s">
        <v>363</v>
      </c>
      <c r="D186" t="s">
        <v>47</v>
      </c>
      <c r="E186" t="str">
        <f t="shared" si="6"/>
        <v>Blantyre District [mxqa3CDFmIT]|10-14|Male</v>
      </c>
      <c r="F186" s="14"/>
      <c r="G186" s="90" t="str">
        <f t="shared" si="7"/>
        <v/>
      </c>
      <c r="H186" s="42" t="str">
        <f t="shared" si="8"/>
        <v/>
      </c>
    </row>
    <row r="187" spans="1:8" x14ac:dyDescent="0.2">
      <c r="A187" t="str">
        <f>INDEX(Prioritization!$D:$D,MATCH($B187,Prioritization!$A:$A,0))</f>
        <v>1 - Scale-up: Saturation</v>
      </c>
      <c r="B187" t="s">
        <v>210</v>
      </c>
      <c r="C187" t="s">
        <v>364</v>
      </c>
      <c r="D187" t="s">
        <v>29</v>
      </c>
      <c r="E187" t="str">
        <f t="shared" si="6"/>
        <v>Blantyre District [mxqa3CDFmIT]|15-24|Female</v>
      </c>
      <c r="F187" s="14"/>
      <c r="G187" s="90" t="str">
        <f t="shared" si="7"/>
        <v/>
      </c>
      <c r="H187" s="42" t="str">
        <f t="shared" si="8"/>
        <v/>
      </c>
    </row>
    <row r="188" spans="1:8" x14ac:dyDescent="0.2">
      <c r="A188" t="str">
        <f>INDEX(Prioritization!$D:$D,MATCH($B188,Prioritization!$A:$A,0))</f>
        <v>1 - Scale-up: Saturation</v>
      </c>
      <c r="B188" t="s">
        <v>210</v>
      </c>
      <c r="C188" t="s">
        <v>364</v>
      </c>
      <c r="D188" t="s">
        <v>47</v>
      </c>
      <c r="E188" t="str">
        <f t="shared" si="6"/>
        <v>Blantyre District [mxqa3CDFmIT]|15-24|Male</v>
      </c>
      <c r="F188" s="14"/>
      <c r="G188" s="90" t="str">
        <f t="shared" si="7"/>
        <v/>
      </c>
      <c r="H188" s="42" t="str">
        <f t="shared" si="8"/>
        <v/>
      </c>
    </row>
    <row r="189" spans="1:8" x14ac:dyDescent="0.2">
      <c r="A189" t="str">
        <f>INDEX(Prioritization!$D:$D,MATCH($B189,Prioritization!$A:$A,0))</f>
        <v>1 - Scale-up: Saturation</v>
      </c>
      <c r="B189" t="s">
        <v>210</v>
      </c>
      <c r="C189" t="s">
        <v>365</v>
      </c>
      <c r="D189" t="s">
        <v>29</v>
      </c>
      <c r="E189" t="str">
        <f t="shared" si="6"/>
        <v>Blantyre District [mxqa3CDFmIT]|25-34|Female</v>
      </c>
      <c r="F189" s="14"/>
      <c r="G189" s="90" t="str">
        <f t="shared" si="7"/>
        <v/>
      </c>
      <c r="H189" s="42" t="str">
        <f t="shared" si="8"/>
        <v/>
      </c>
    </row>
    <row r="190" spans="1:8" x14ac:dyDescent="0.2">
      <c r="A190" t="str">
        <f>INDEX(Prioritization!$D:$D,MATCH($B190,Prioritization!$A:$A,0))</f>
        <v>1 - Scale-up: Saturation</v>
      </c>
      <c r="B190" t="s">
        <v>210</v>
      </c>
      <c r="C190" t="s">
        <v>365</v>
      </c>
      <c r="D190" t="s">
        <v>47</v>
      </c>
      <c r="E190" t="str">
        <f t="shared" si="6"/>
        <v>Blantyre District [mxqa3CDFmIT]|25-34|Male</v>
      </c>
      <c r="F190" s="14"/>
      <c r="G190" s="90" t="str">
        <f t="shared" si="7"/>
        <v/>
      </c>
      <c r="H190" s="42" t="str">
        <f t="shared" si="8"/>
        <v/>
      </c>
    </row>
    <row r="191" spans="1:8" x14ac:dyDescent="0.2">
      <c r="A191" t="str">
        <f>INDEX(Prioritization!$D:$D,MATCH($B191,Prioritization!$A:$A,0))</f>
        <v>1 - Scale-up: Saturation</v>
      </c>
      <c r="B191" t="s">
        <v>210</v>
      </c>
      <c r="C191" t="s">
        <v>366</v>
      </c>
      <c r="D191" t="s">
        <v>29</v>
      </c>
      <c r="E191" t="str">
        <f t="shared" si="6"/>
        <v>Blantyre District [mxqa3CDFmIT]|35-49|Female</v>
      </c>
      <c r="F191" s="14"/>
      <c r="G191" s="90" t="str">
        <f t="shared" si="7"/>
        <v/>
      </c>
      <c r="H191" s="42" t="str">
        <f t="shared" si="8"/>
        <v/>
      </c>
    </row>
    <row r="192" spans="1:8" x14ac:dyDescent="0.2">
      <c r="A192" t="str">
        <f>INDEX(Prioritization!$D:$D,MATCH($B192,Prioritization!$A:$A,0))</f>
        <v>1 - Scale-up: Saturation</v>
      </c>
      <c r="B192" t="s">
        <v>210</v>
      </c>
      <c r="C192" t="s">
        <v>366</v>
      </c>
      <c r="D192" t="s">
        <v>47</v>
      </c>
      <c r="E192" t="str">
        <f t="shared" si="6"/>
        <v>Blantyre District [mxqa3CDFmIT]|35-49|Male</v>
      </c>
      <c r="F192" s="14"/>
      <c r="G192" s="90" t="str">
        <f t="shared" si="7"/>
        <v/>
      </c>
      <c r="H192" s="42" t="str">
        <f t="shared" si="8"/>
        <v/>
      </c>
    </row>
    <row r="193" spans="1:8" x14ac:dyDescent="0.2">
      <c r="A193" t="str">
        <f>INDEX(Prioritization!$D:$D,MATCH($B193,Prioritization!$A:$A,0))</f>
        <v>1 - Scale-up: Saturation</v>
      </c>
      <c r="B193" t="s">
        <v>210</v>
      </c>
      <c r="C193" t="s">
        <v>367</v>
      </c>
      <c r="D193" t="s">
        <v>29</v>
      </c>
      <c r="E193" t="str">
        <f t="shared" si="6"/>
        <v>Blantyre District [mxqa3CDFmIT]|50+|Female</v>
      </c>
      <c r="F193" s="14">
        <v>91</v>
      </c>
      <c r="G193" s="90">
        <f t="shared" si="7"/>
        <v>0</v>
      </c>
      <c r="H193" s="42">
        <f t="shared" si="8"/>
        <v>91</v>
      </c>
    </row>
    <row r="194" spans="1:8" x14ac:dyDescent="0.2">
      <c r="A194" t="str">
        <f>INDEX(Prioritization!$D:$D,MATCH($B194,Prioritization!$A:$A,0))</f>
        <v>1 - Scale-up: Saturation</v>
      </c>
      <c r="B194" t="s">
        <v>210</v>
      </c>
      <c r="C194" t="s">
        <v>367</v>
      </c>
      <c r="D194" t="s">
        <v>47</v>
      </c>
      <c r="E194" t="str">
        <f t="shared" si="6"/>
        <v>Blantyre District [mxqa3CDFmIT]|50+|Male</v>
      </c>
      <c r="F194" s="14">
        <v>19</v>
      </c>
      <c r="G194" s="90">
        <f t="shared" si="7"/>
        <v>0</v>
      </c>
      <c r="H194" s="42">
        <f t="shared" si="8"/>
        <v>19</v>
      </c>
    </row>
    <row r="195" spans="1:8" x14ac:dyDescent="0.2">
      <c r="A195" t="str">
        <f>INDEX(Prioritization!$D:$D,MATCH($B195,Prioritization!$A:$A,0))</f>
        <v>1 - Scale-up: Saturation</v>
      </c>
      <c r="B195" t="s">
        <v>211</v>
      </c>
      <c r="C195" t="s">
        <v>363</v>
      </c>
      <c r="D195" t="s">
        <v>29</v>
      </c>
      <c r="E195" t="str">
        <f t="shared" si="6"/>
        <v>Chikwawa District [U8c0so51kT6]|10-14|Female</v>
      </c>
      <c r="F195" s="14"/>
      <c r="G195" s="90" t="str">
        <f t="shared" si="7"/>
        <v/>
      </c>
      <c r="H195" s="42" t="str">
        <f t="shared" si="8"/>
        <v/>
      </c>
    </row>
    <row r="196" spans="1:8" x14ac:dyDescent="0.2">
      <c r="A196" t="str">
        <f>INDEX(Prioritization!$D:$D,MATCH($B196,Prioritization!$A:$A,0))</f>
        <v>1 - Scale-up: Saturation</v>
      </c>
      <c r="B196" t="s">
        <v>211</v>
      </c>
      <c r="C196" t="s">
        <v>363</v>
      </c>
      <c r="D196" t="s">
        <v>47</v>
      </c>
      <c r="E196" t="str">
        <f t="shared" si="6"/>
        <v>Chikwawa District [U8c0so51kT6]|10-14|Male</v>
      </c>
      <c r="F196" s="14"/>
      <c r="G196" s="90" t="str">
        <f t="shared" si="7"/>
        <v/>
      </c>
      <c r="H196" s="42" t="str">
        <f t="shared" si="8"/>
        <v/>
      </c>
    </row>
    <row r="197" spans="1:8" x14ac:dyDescent="0.2">
      <c r="A197" t="str">
        <f>INDEX(Prioritization!$D:$D,MATCH($B197,Prioritization!$A:$A,0))</f>
        <v>1 - Scale-up: Saturation</v>
      </c>
      <c r="B197" t="s">
        <v>211</v>
      </c>
      <c r="C197" t="s">
        <v>364</v>
      </c>
      <c r="D197" t="s">
        <v>29</v>
      </c>
      <c r="E197" t="str">
        <f t="shared" si="6"/>
        <v>Chikwawa District [U8c0so51kT6]|15-24|Female</v>
      </c>
      <c r="F197" s="14"/>
      <c r="G197" s="90" t="str">
        <f t="shared" si="7"/>
        <v/>
      </c>
      <c r="H197" s="42" t="str">
        <f t="shared" si="8"/>
        <v/>
      </c>
    </row>
    <row r="198" spans="1:8" x14ac:dyDescent="0.2">
      <c r="A198" t="str">
        <f>INDEX(Prioritization!$D:$D,MATCH($B198,Prioritization!$A:$A,0))</f>
        <v>1 - Scale-up: Saturation</v>
      </c>
      <c r="B198" t="s">
        <v>211</v>
      </c>
      <c r="C198" t="s">
        <v>364</v>
      </c>
      <c r="D198" t="s">
        <v>47</v>
      </c>
      <c r="E198" t="str">
        <f t="shared" si="6"/>
        <v>Chikwawa District [U8c0so51kT6]|15-24|Male</v>
      </c>
      <c r="F198" s="14"/>
      <c r="G198" s="90" t="str">
        <f t="shared" si="7"/>
        <v/>
      </c>
      <c r="H198" s="42" t="str">
        <f t="shared" si="8"/>
        <v/>
      </c>
    </row>
    <row r="199" spans="1:8" x14ac:dyDescent="0.2">
      <c r="A199" t="str">
        <f>INDEX(Prioritization!$D:$D,MATCH($B199,Prioritization!$A:$A,0))</f>
        <v>1 - Scale-up: Saturation</v>
      </c>
      <c r="B199" t="s">
        <v>211</v>
      </c>
      <c r="C199" t="s">
        <v>365</v>
      </c>
      <c r="D199" t="s">
        <v>29</v>
      </c>
      <c r="E199" t="str">
        <f t="shared" si="6"/>
        <v>Chikwawa District [U8c0so51kT6]|25-34|Female</v>
      </c>
      <c r="F199" s="14"/>
      <c r="G199" s="90" t="str">
        <f t="shared" si="7"/>
        <v/>
      </c>
      <c r="H199" s="42" t="str">
        <f t="shared" si="8"/>
        <v/>
      </c>
    </row>
    <row r="200" spans="1:8" x14ac:dyDescent="0.2">
      <c r="A200" t="str">
        <f>INDEX(Prioritization!$D:$D,MATCH($B200,Prioritization!$A:$A,0))</f>
        <v>1 - Scale-up: Saturation</v>
      </c>
      <c r="B200" t="s">
        <v>211</v>
      </c>
      <c r="C200" t="s">
        <v>365</v>
      </c>
      <c r="D200" t="s">
        <v>47</v>
      </c>
      <c r="E200" t="str">
        <f t="shared" si="6"/>
        <v>Chikwawa District [U8c0so51kT6]|25-34|Male</v>
      </c>
      <c r="F200" s="14"/>
      <c r="G200" s="90" t="str">
        <f t="shared" si="7"/>
        <v/>
      </c>
      <c r="H200" s="42" t="str">
        <f t="shared" si="8"/>
        <v/>
      </c>
    </row>
    <row r="201" spans="1:8" x14ac:dyDescent="0.2">
      <c r="A201" t="str">
        <f>INDEX(Prioritization!$D:$D,MATCH($B201,Prioritization!$A:$A,0))</f>
        <v>1 - Scale-up: Saturation</v>
      </c>
      <c r="B201" t="s">
        <v>211</v>
      </c>
      <c r="C201" t="s">
        <v>366</v>
      </c>
      <c r="D201" t="s">
        <v>29</v>
      </c>
      <c r="E201" t="str">
        <f t="shared" si="6"/>
        <v>Chikwawa District [U8c0so51kT6]|35-49|Female</v>
      </c>
      <c r="F201" s="14"/>
      <c r="G201" s="90" t="str">
        <f t="shared" si="7"/>
        <v/>
      </c>
      <c r="H201" s="42" t="str">
        <f t="shared" si="8"/>
        <v/>
      </c>
    </row>
    <row r="202" spans="1:8" x14ac:dyDescent="0.2">
      <c r="A202" t="str">
        <f>INDEX(Prioritization!$D:$D,MATCH($B202,Prioritization!$A:$A,0))</f>
        <v>1 - Scale-up: Saturation</v>
      </c>
      <c r="B202" t="s">
        <v>211</v>
      </c>
      <c r="C202" t="s">
        <v>366</v>
      </c>
      <c r="D202" t="s">
        <v>47</v>
      </c>
      <c r="E202" t="str">
        <f t="shared" si="6"/>
        <v>Chikwawa District [U8c0so51kT6]|35-49|Male</v>
      </c>
      <c r="F202" s="14"/>
      <c r="G202" s="90" t="str">
        <f t="shared" si="7"/>
        <v/>
      </c>
      <c r="H202" s="42" t="str">
        <f t="shared" si="8"/>
        <v/>
      </c>
    </row>
    <row r="203" spans="1:8" x14ac:dyDescent="0.2">
      <c r="A203" t="str">
        <f>INDEX(Prioritization!$D:$D,MATCH($B203,Prioritization!$A:$A,0))</f>
        <v>1 - Scale-up: Saturation</v>
      </c>
      <c r="B203" t="s">
        <v>211</v>
      </c>
      <c r="C203" t="s">
        <v>367</v>
      </c>
      <c r="D203" t="s">
        <v>29</v>
      </c>
      <c r="E203" t="str">
        <f t="shared" si="6"/>
        <v>Chikwawa District [U8c0so51kT6]|50+|Female</v>
      </c>
      <c r="F203" s="14"/>
      <c r="G203" s="90" t="str">
        <f t="shared" si="7"/>
        <v/>
      </c>
      <c r="H203" s="42" t="str">
        <f t="shared" si="8"/>
        <v/>
      </c>
    </row>
    <row r="204" spans="1:8" x14ac:dyDescent="0.2">
      <c r="A204" t="str">
        <f>INDEX(Prioritization!$D:$D,MATCH($B204,Prioritization!$A:$A,0))</f>
        <v>1 - Scale-up: Saturation</v>
      </c>
      <c r="B204" t="s">
        <v>211</v>
      </c>
      <c r="C204" t="s">
        <v>367</v>
      </c>
      <c r="D204" t="s">
        <v>47</v>
      </c>
      <c r="E204" t="str">
        <f t="shared" si="6"/>
        <v>Chikwawa District [U8c0so51kT6]|50+|Male</v>
      </c>
      <c r="F204" s="14"/>
      <c r="G204" s="90" t="str">
        <f t="shared" si="7"/>
        <v/>
      </c>
      <c r="H204" s="42" t="str">
        <f t="shared" si="8"/>
        <v/>
      </c>
    </row>
    <row r="205" spans="1:8" x14ac:dyDescent="0.2">
      <c r="A205" t="str">
        <f>INDEX(Prioritization!$D:$D,MATCH($B205,Prioritization!$A:$A,0))</f>
        <v>1 - Scale-up: Saturation</v>
      </c>
      <c r="B205" t="s">
        <v>212</v>
      </c>
      <c r="C205" t="s">
        <v>363</v>
      </c>
      <c r="D205" t="s">
        <v>29</v>
      </c>
      <c r="E205" t="str">
        <f t="shared" si="6"/>
        <v>Chiradzulu District [oiPR2CiVJbf]|10-14|Female</v>
      </c>
      <c r="F205" s="14"/>
      <c r="G205" s="90" t="str">
        <f t="shared" si="7"/>
        <v/>
      </c>
      <c r="H205" s="42" t="str">
        <f t="shared" si="8"/>
        <v/>
      </c>
    </row>
    <row r="206" spans="1:8" x14ac:dyDescent="0.2">
      <c r="A206" t="str">
        <f>INDEX(Prioritization!$D:$D,MATCH($B206,Prioritization!$A:$A,0))</f>
        <v>1 - Scale-up: Saturation</v>
      </c>
      <c r="B206" t="s">
        <v>212</v>
      </c>
      <c r="C206" t="s">
        <v>363</v>
      </c>
      <c r="D206" t="s">
        <v>47</v>
      </c>
      <c r="E206" t="str">
        <f t="shared" si="6"/>
        <v>Chiradzulu District [oiPR2CiVJbf]|10-14|Male</v>
      </c>
      <c r="F206" s="14"/>
      <c r="G206" s="90" t="str">
        <f t="shared" si="7"/>
        <v/>
      </c>
      <c r="H206" s="42" t="str">
        <f t="shared" si="8"/>
        <v/>
      </c>
    </row>
    <row r="207" spans="1:8" x14ac:dyDescent="0.2">
      <c r="A207" t="str">
        <f>INDEX(Prioritization!$D:$D,MATCH($B207,Prioritization!$A:$A,0))</f>
        <v>1 - Scale-up: Saturation</v>
      </c>
      <c r="B207" t="s">
        <v>212</v>
      </c>
      <c r="C207" t="s">
        <v>364</v>
      </c>
      <c r="D207" t="s">
        <v>29</v>
      </c>
      <c r="E207" t="str">
        <f t="shared" ref="E207:E270" si="9">B207&amp;"|"&amp;C207&amp;"|"&amp;D207</f>
        <v>Chiradzulu District [oiPR2CiVJbf]|15-24|Female</v>
      </c>
      <c r="F207" s="14"/>
      <c r="G207" s="90" t="str">
        <f t="shared" ref="G207:G270" si="10">IF(SUM($F207)=0,"",0%)</f>
        <v/>
      </c>
      <c r="H207" s="42" t="str">
        <f t="shared" ref="H207:H270" si="11">IF(SUM($F207)=0,"",ROUND($F207*(1+$G207),0))</f>
        <v/>
      </c>
    </row>
    <row r="208" spans="1:8" x14ac:dyDescent="0.2">
      <c r="A208" t="str">
        <f>INDEX(Prioritization!$D:$D,MATCH($B208,Prioritization!$A:$A,0))</f>
        <v>1 - Scale-up: Saturation</v>
      </c>
      <c r="B208" t="s">
        <v>212</v>
      </c>
      <c r="C208" t="s">
        <v>364</v>
      </c>
      <c r="D208" t="s">
        <v>47</v>
      </c>
      <c r="E208" t="str">
        <f t="shared" si="9"/>
        <v>Chiradzulu District [oiPR2CiVJbf]|15-24|Male</v>
      </c>
      <c r="F208" s="14"/>
      <c r="G208" s="90" t="str">
        <f t="shared" si="10"/>
        <v/>
      </c>
      <c r="H208" s="42" t="str">
        <f t="shared" si="11"/>
        <v/>
      </c>
    </row>
    <row r="209" spans="1:8" x14ac:dyDescent="0.2">
      <c r="A209" t="str">
        <f>INDEX(Prioritization!$D:$D,MATCH($B209,Prioritization!$A:$A,0))</f>
        <v>1 - Scale-up: Saturation</v>
      </c>
      <c r="B209" t="s">
        <v>212</v>
      </c>
      <c r="C209" t="s">
        <v>365</v>
      </c>
      <c r="D209" t="s">
        <v>29</v>
      </c>
      <c r="E209" t="str">
        <f t="shared" si="9"/>
        <v>Chiradzulu District [oiPR2CiVJbf]|25-34|Female</v>
      </c>
      <c r="F209" s="14"/>
      <c r="G209" s="90" t="str">
        <f t="shared" si="10"/>
        <v/>
      </c>
      <c r="H209" s="42" t="str">
        <f t="shared" si="11"/>
        <v/>
      </c>
    </row>
    <row r="210" spans="1:8" x14ac:dyDescent="0.2">
      <c r="A210" t="str">
        <f>INDEX(Prioritization!$D:$D,MATCH($B210,Prioritization!$A:$A,0))</f>
        <v>1 - Scale-up: Saturation</v>
      </c>
      <c r="B210" t="s">
        <v>212</v>
      </c>
      <c r="C210" t="s">
        <v>365</v>
      </c>
      <c r="D210" t="s">
        <v>47</v>
      </c>
      <c r="E210" t="str">
        <f t="shared" si="9"/>
        <v>Chiradzulu District [oiPR2CiVJbf]|25-34|Male</v>
      </c>
      <c r="F210" s="14"/>
      <c r="G210" s="90" t="str">
        <f t="shared" si="10"/>
        <v/>
      </c>
      <c r="H210" s="42" t="str">
        <f t="shared" si="11"/>
        <v/>
      </c>
    </row>
    <row r="211" spans="1:8" x14ac:dyDescent="0.2">
      <c r="A211" t="str">
        <f>INDEX(Prioritization!$D:$D,MATCH($B211,Prioritization!$A:$A,0))</f>
        <v>1 - Scale-up: Saturation</v>
      </c>
      <c r="B211" t="s">
        <v>212</v>
      </c>
      <c r="C211" t="s">
        <v>366</v>
      </c>
      <c r="D211" t="s">
        <v>29</v>
      </c>
      <c r="E211" t="str">
        <f t="shared" si="9"/>
        <v>Chiradzulu District [oiPR2CiVJbf]|35-49|Female</v>
      </c>
      <c r="F211" s="14"/>
      <c r="G211" s="90" t="str">
        <f t="shared" si="10"/>
        <v/>
      </c>
      <c r="H211" s="42" t="str">
        <f t="shared" si="11"/>
        <v/>
      </c>
    </row>
    <row r="212" spans="1:8" x14ac:dyDescent="0.2">
      <c r="A212" t="str">
        <f>INDEX(Prioritization!$D:$D,MATCH($B212,Prioritization!$A:$A,0))</f>
        <v>1 - Scale-up: Saturation</v>
      </c>
      <c r="B212" t="s">
        <v>212</v>
      </c>
      <c r="C212" t="s">
        <v>366</v>
      </c>
      <c r="D212" t="s">
        <v>47</v>
      </c>
      <c r="E212" t="str">
        <f t="shared" si="9"/>
        <v>Chiradzulu District [oiPR2CiVJbf]|35-49|Male</v>
      </c>
      <c r="F212" s="14"/>
      <c r="G212" s="90" t="str">
        <f t="shared" si="10"/>
        <v/>
      </c>
      <c r="H212" s="42" t="str">
        <f t="shared" si="11"/>
        <v/>
      </c>
    </row>
    <row r="213" spans="1:8" x14ac:dyDescent="0.2">
      <c r="A213" t="str">
        <f>INDEX(Prioritization!$D:$D,MATCH($B213,Prioritization!$A:$A,0))</f>
        <v>1 - Scale-up: Saturation</v>
      </c>
      <c r="B213" t="s">
        <v>212</v>
      </c>
      <c r="C213" t="s">
        <v>367</v>
      </c>
      <c r="D213" t="s">
        <v>29</v>
      </c>
      <c r="E213" t="str">
        <f t="shared" si="9"/>
        <v>Chiradzulu District [oiPR2CiVJbf]|50+|Female</v>
      </c>
      <c r="F213" s="14"/>
      <c r="G213" s="90" t="str">
        <f t="shared" si="10"/>
        <v/>
      </c>
      <c r="H213" s="42" t="str">
        <f t="shared" si="11"/>
        <v/>
      </c>
    </row>
    <row r="214" spans="1:8" x14ac:dyDescent="0.2">
      <c r="A214" t="str">
        <f>INDEX(Prioritization!$D:$D,MATCH($B214,Prioritization!$A:$A,0))</f>
        <v>1 - Scale-up: Saturation</v>
      </c>
      <c r="B214" t="s">
        <v>212</v>
      </c>
      <c r="C214" t="s">
        <v>367</v>
      </c>
      <c r="D214" t="s">
        <v>47</v>
      </c>
      <c r="E214" t="str">
        <f t="shared" si="9"/>
        <v>Chiradzulu District [oiPR2CiVJbf]|50+|Male</v>
      </c>
      <c r="F214" s="14"/>
      <c r="G214" s="90" t="str">
        <f t="shared" si="10"/>
        <v/>
      </c>
      <c r="H214" s="42" t="str">
        <f t="shared" si="11"/>
        <v/>
      </c>
    </row>
    <row r="215" spans="1:8" x14ac:dyDescent="0.2">
      <c r="A215" t="str">
        <f>INDEX(Prioritization!$D:$D,MATCH($B215,Prioritization!$A:$A,0))</f>
        <v>1 - Scale-up: Saturation</v>
      </c>
      <c r="B215" t="s">
        <v>213</v>
      </c>
      <c r="C215" t="s">
        <v>363</v>
      </c>
      <c r="D215" t="s">
        <v>29</v>
      </c>
      <c r="E215" t="str">
        <f t="shared" si="9"/>
        <v>Machinga District [TYnMSwzko3z]|10-14|Female</v>
      </c>
      <c r="F215" s="14"/>
      <c r="G215" s="90" t="str">
        <f t="shared" si="10"/>
        <v/>
      </c>
      <c r="H215" s="42" t="str">
        <f t="shared" si="11"/>
        <v/>
      </c>
    </row>
    <row r="216" spans="1:8" x14ac:dyDescent="0.2">
      <c r="A216" t="str">
        <f>INDEX(Prioritization!$D:$D,MATCH($B216,Prioritization!$A:$A,0))</f>
        <v>1 - Scale-up: Saturation</v>
      </c>
      <c r="B216" t="s">
        <v>213</v>
      </c>
      <c r="C216" t="s">
        <v>363</v>
      </c>
      <c r="D216" t="s">
        <v>47</v>
      </c>
      <c r="E216" t="str">
        <f t="shared" si="9"/>
        <v>Machinga District [TYnMSwzko3z]|10-14|Male</v>
      </c>
      <c r="F216" s="14"/>
      <c r="G216" s="90" t="str">
        <f t="shared" si="10"/>
        <v/>
      </c>
      <c r="H216" s="42" t="str">
        <f t="shared" si="11"/>
        <v/>
      </c>
    </row>
    <row r="217" spans="1:8" x14ac:dyDescent="0.2">
      <c r="A217" t="str">
        <f>INDEX(Prioritization!$D:$D,MATCH($B217,Prioritization!$A:$A,0))</f>
        <v>1 - Scale-up: Saturation</v>
      </c>
      <c r="B217" t="s">
        <v>213</v>
      </c>
      <c r="C217" t="s">
        <v>364</v>
      </c>
      <c r="D217" t="s">
        <v>29</v>
      </c>
      <c r="E217" t="str">
        <f t="shared" si="9"/>
        <v>Machinga District [TYnMSwzko3z]|15-24|Female</v>
      </c>
      <c r="F217" s="14"/>
      <c r="G217" s="90" t="str">
        <f t="shared" si="10"/>
        <v/>
      </c>
      <c r="H217" s="42" t="str">
        <f t="shared" si="11"/>
        <v/>
      </c>
    </row>
    <row r="218" spans="1:8" x14ac:dyDescent="0.2">
      <c r="A218" t="str">
        <f>INDEX(Prioritization!$D:$D,MATCH($B218,Prioritization!$A:$A,0))</f>
        <v>1 - Scale-up: Saturation</v>
      </c>
      <c r="B218" t="s">
        <v>213</v>
      </c>
      <c r="C218" t="s">
        <v>364</v>
      </c>
      <c r="D218" t="s">
        <v>47</v>
      </c>
      <c r="E218" t="str">
        <f t="shared" si="9"/>
        <v>Machinga District [TYnMSwzko3z]|15-24|Male</v>
      </c>
      <c r="F218" s="14"/>
      <c r="G218" s="90" t="str">
        <f t="shared" si="10"/>
        <v/>
      </c>
      <c r="H218" s="42" t="str">
        <f t="shared" si="11"/>
        <v/>
      </c>
    </row>
    <row r="219" spans="1:8" x14ac:dyDescent="0.2">
      <c r="A219" t="str">
        <f>INDEX(Prioritization!$D:$D,MATCH($B219,Prioritization!$A:$A,0))</f>
        <v>1 - Scale-up: Saturation</v>
      </c>
      <c r="B219" t="s">
        <v>213</v>
      </c>
      <c r="C219" t="s">
        <v>365</v>
      </c>
      <c r="D219" t="s">
        <v>29</v>
      </c>
      <c r="E219" t="str">
        <f t="shared" si="9"/>
        <v>Machinga District [TYnMSwzko3z]|25-34|Female</v>
      </c>
      <c r="F219" s="14"/>
      <c r="G219" s="90" t="str">
        <f t="shared" si="10"/>
        <v/>
      </c>
      <c r="H219" s="42" t="str">
        <f t="shared" si="11"/>
        <v/>
      </c>
    </row>
    <row r="220" spans="1:8" x14ac:dyDescent="0.2">
      <c r="A220" t="str">
        <f>INDEX(Prioritization!$D:$D,MATCH($B220,Prioritization!$A:$A,0))</f>
        <v>1 - Scale-up: Saturation</v>
      </c>
      <c r="B220" t="s">
        <v>213</v>
      </c>
      <c r="C220" t="s">
        <v>365</v>
      </c>
      <c r="D220" t="s">
        <v>47</v>
      </c>
      <c r="E220" t="str">
        <f t="shared" si="9"/>
        <v>Machinga District [TYnMSwzko3z]|25-34|Male</v>
      </c>
      <c r="F220" s="14"/>
      <c r="G220" s="90" t="str">
        <f t="shared" si="10"/>
        <v/>
      </c>
      <c r="H220" s="42" t="str">
        <f t="shared" si="11"/>
        <v/>
      </c>
    </row>
    <row r="221" spans="1:8" x14ac:dyDescent="0.2">
      <c r="A221" t="str">
        <f>INDEX(Prioritization!$D:$D,MATCH($B221,Prioritization!$A:$A,0))</f>
        <v>1 - Scale-up: Saturation</v>
      </c>
      <c r="B221" t="s">
        <v>213</v>
      </c>
      <c r="C221" t="s">
        <v>366</v>
      </c>
      <c r="D221" t="s">
        <v>29</v>
      </c>
      <c r="E221" t="str">
        <f t="shared" si="9"/>
        <v>Machinga District [TYnMSwzko3z]|35-49|Female</v>
      </c>
      <c r="F221" s="14"/>
      <c r="G221" s="90" t="str">
        <f t="shared" si="10"/>
        <v/>
      </c>
      <c r="H221" s="42" t="str">
        <f t="shared" si="11"/>
        <v/>
      </c>
    </row>
    <row r="222" spans="1:8" x14ac:dyDescent="0.2">
      <c r="A222" t="str">
        <f>INDEX(Prioritization!$D:$D,MATCH($B222,Prioritization!$A:$A,0))</f>
        <v>1 - Scale-up: Saturation</v>
      </c>
      <c r="B222" t="s">
        <v>213</v>
      </c>
      <c r="C222" t="s">
        <v>366</v>
      </c>
      <c r="D222" t="s">
        <v>47</v>
      </c>
      <c r="E222" t="str">
        <f t="shared" si="9"/>
        <v>Machinga District [TYnMSwzko3z]|35-49|Male</v>
      </c>
      <c r="F222" s="14"/>
      <c r="G222" s="90" t="str">
        <f t="shared" si="10"/>
        <v/>
      </c>
      <c r="H222" s="42" t="str">
        <f t="shared" si="11"/>
        <v/>
      </c>
    </row>
    <row r="223" spans="1:8" x14ac:dyDescent="0.2">
      <c r="A223" t="str">
        <f>INDEX(Prioritization!$D:$D,MATCH($B223,Prioritization!$A:$A,0))</f>
        <v>1 - Scale-up: Saturation</v>
      </c>
      <c r="B223" t="s">
        <v>213</v>
      </c>
      <c r="C223" t="s">
        <v>367</v>
      </c>
      <c r="D223" t="s">
        <v>29</v>
      </c>
      <c r="E223" t="str">
        <f t="shared" si="9"/>
        <v>Machinga District [TYnMSwzko3z]|50+|Female</v>
      </c>
      <c r="F223" s="14">
        <v>21</v>
      </c>
      <c r="G223" s="90">
        <f t="shared" si="10"/>
        <v>0</v>
      </c>
      <c r="H223" s="42">
        <f t="shared" si="11"/>
        <v>21</v>
      </c>
    </row>
    <row r="224" spans="1:8" x14ac:dyDescent="0.2">
      <c r="A224" t="str">
        <f>INDEX(Prioritization!$D:$D,MATCH($B224,Prioritization!$A:$A,0))</f>
        <v>1 - Scale-up: Saturation</v>
      </c>
      <c r="B224" t="s">
        <v>213</v>
      </c>
      <c r="C224" t="s">
        <v>367</v>
      </c>
      <c r="D224" t="s">
        <v>47</v>
      </c>
      <c r="E224" t="str">
        <f t="shared" si="9"/>
        <v>Machinga District [TYnMSwzko3z]|50+|Male</v>
      </c>
      <c r="F224" s="14">
        <v>69</v>
      </c>
      <c r="G224" s="90">
        <f t="shared" si="10"/>
        <v>0</v>
      </c>
      <c r="H224" s="42">
        <f t="shared" si="11"/>
        <v>69</v>
      </c>
    </row>
    <row r="225" spans="1:8" x14ac:dyDescent="0.2">
      <c r="A225" t="str">
        <f>INDEX(Prioritization!$D:$D,MATCH($B225,Prioritization!$A:$A,0))</f>
        <v>INVALID</v>
      </c>
      <c r="B225" t="s">
        <v>214</v>
      </c>
      <c r="C225" t="s">
        <v>363</v>
      </c>
      <c r="D225" t="s">
        <v>29</v>
      </c>
      <c r="E225" t="str">
        <f t="shared" si="9"/>
        <v>Mangochi District [lLDyBx5XyUi]|10-14|Female</v>
      </c>
      <c r="F225" s="14"/>
      <c r="G225" s="90" t="str">
        <f t="shared" si="10"/>
        <v/>
      </c>
      <c r="H225" s="42" t="str">
        <f t="shared" si="11"/>
        <v/>
      </c>
    </row>
    <row r="226" spans="1:8" x14ac:dyDescent="0.2">
      <c r="A226" t="str">
        <f>INDEX(Prioritization!$D:$D,MATCH($B226,Prioritization!$A:$A,0))</f>
        <v>INVALID</v>
      </c>
      <c r="B226" t="s">
        <v>214</v>
      </c>
      <c r="C226" t="s">
        <v>363</v>
      </c>
      <c r="D226" t="s">
        <v>47</v>
      </c>
      <c r="E226" t="str">
        <f t="shared" si="9"/>
        <v>Mangochi District [lLDyBx5XyUi]|10-14|Male</v>
      </c>
      <c r="F226" s="14"/>
      <c r="G226" s="90" t="str">
        <f t="shared" si="10"/>
        <v/>
      </c>
      <c r="H226" s="42" t="str">
        <f t="shared" si="11"/>
        <v/>
      </c>
    </row>
    <row r="227" spans="1:8" x14ac:dyDescent="0.2">
      <c r="A227" t="str">
        <f>INDEX(Prioritization!$D:$D,MATCH($B227,Prioritization!$A:$A,0))</f>
        <v>INVALID</v>
      </c>
      <c r="B227" t="s">
        <v>214</v>
      </c>
      <c r="C227" t="s">
        <v>364</v>
      </c>
      <c r="D227" t="s">
        <v>29</v>
      </c>
      <c r="E227" t="str">
        <f t="shared" si="9"/>
        <v>Mangochi District [lLDyBx5XyUi]|15-24|Female</v>
      </c>
      <c r="F227" s="14"/>
      <c r="G227" s="90" t="str">
        <f t="shared" si="10"/>
        <v/>
      </c>
      <c r="H227" s="42" t="str">
        <f t="shared" si="11"/>
        <v/>
      </c>
    </row>
    <row r="228" spans="1:8" x14ac:dyDescent="0.2">
      <c r="A228" t="str">
        <f>INDEX(Prioritization!$D:$D,MATCH($B228,Prioritization!$A:$A,0))</f>
        <v>INVALID</v>
      </c>
      <c r="B228" t="s">
        <v>214</v>
      </c>
      <c r="C228" t="s">
        <v>364</v>
      </c>
      <c r="D228" t="s">
        <v>47</v>
      </c>
      <c r="E228" t="str">
        <f t="shared" si="9"/>
        <v>Mangochi District [lLDyBx5XyUi]|15-24|Male</v>
      </c>
      <c r="F228" s="14"/>
      <c r="G228" s="90" t="str">
        <f t="shared" si="10"/>
        <v/>
      </c>
      <c r="H228" s="42" t="str">
        <f t="shared" si="11"/>
        <v/>
      </c>
    </row>
    <row r="229" spans="1:8" x14ac:dyDescent="0.2">
      <c r="A229" t="str">
        <f>INDEX(Prioritization!$D:$D,MATCH($B229,Prioritization!$A:$A,0))</f>
        <v>INVALID</v>
      </c>
      <c r="B229" t="s">
        <v>214</v>
      </c>
      <c r="C229" t="s">
        <v>365</v>
      </c>
      <c r="D229" t="s">
        <v>29</v>
      </c>
      <c r="E229" t="str">
        <f t="shared" si="9"/>
        <v>Mangochi District [lLDyBx5XyUi]|25-34|Female</v>
      </c>
      <c r="F229" s="14"/>
      <c r="G229" s="90" t="str">
        <f t="shared" si="10"/>
        <v/>
      </c>
      <c r="H229" s="42" t="str">
        <f t="shared" si="11"/>
        <v/>
      </c>
    </row>
    <row r="230" spans="1:8" x14ac:dyDescent="0.2">
      <c r="A230" t="str">
        <f>INDEX(Prioritization!$D:$D,MATCH($B230,Prioritization!$A:$A,0))</f>
        <v>INVALID</v>
      </c>
      <c r="B230" t="s">
        <v>214</v>
      </c>
      <c r="C230" t="s">
        <v>365</v>
      </c>
      <c r="D230" t="s">
        <v>47</v>
      </c>
      <c r="E230" t="str">
        <f t="shared" si="9"/>
        <v>Mangochi District [lLDyBx5XyUi]|25-34|Male</v>
      </c>
      <c r="F230" s="14"/>
      <c r="G230" s="90" t="str">
        <f t="shared" si="10"/>
        <v/>
      </c>
      <c r="H230" s="42" t="str">
        <f t="shared" si="11"/>
        <v/>
      </c>
    </row>
    <row r="231" spans="1:8" x14ac:dyDescent="0.2">
      <c r="A231" t="str">
        <f>INDEX(Prioritization!$D:$D,MATCH($B231,Prioritization!$A:$A,0))</f>
        <v>INVALID</v>
      </c>
      <c r="B231" t="s">
        <v>214</v>
      </c>
      <c r="C231" t="s">
        <v>366</v>
      </c>
      <c r="D231" t="s">
        <v>29</v>
      </c>
      <c r="E231" t="str">
        <f t="shared" si="9"/>
        <v>Mangochi District [lLDyBx5XyUi]|35-49|Female</v>
      </c>
      <c r="F231" s="14"/>
      <c r="G231" s="90" t="str">
        <f t="shared" si="10"/>
        <v/>
      </c>
      <c r="H231" s="42" t="str">
        <f t="shared" si="11"/>
        <v/>
      </c>
    </row>
    <row r="232" spans="1:8" x14ac:dyDescent="0.2">
      <c r="A232" t="str">
        <f>INDEX(Prioritization!$D:$D,MATCH($B232,Prioritization!$A:$A,0))</f>
        <v>INVALID</v>
      </c>
      <c r="B232" t="s">
        <v>214</v>
      </c>
      <c r="C232" t="s">
        <v>366</v>
      </c>
      <c r="D232" t="s">
        <v>47</v>
      </c>
      <c r="E232" t="str">
        <f t="shared" si="9"/>
        <v>Mangochi District [lLDyBx5XyUi]|35-49|Male</v>
      </c>
      <c r="F232" s="14"/>
      <c r="G232" s="90" t="str">
        <f t="shared" si="10"/>
        <v/>
      </c>
      <c r="H232" s="42" t="str">
        <f t="shared" si="11"/>
        <v/>
      </c>
    </row>
    <row r="233" spans="1:8" x14ac:dyDescent="0.2">
      <c r="A233" t="str">
        <f>INDEX(Prioritization!$D:$D,MATCH($B233,Prioritization!$A:$A,0))</f>
        <v>INVALID</v>
      </c>
      <c r="B233" t="s">
        <v>214</v>
      </c>
      <c r="C233" t="s">
        <v>367</v>
      </c>
      <c r="D233" t="s">
        <v>29</v>
      </c>
      <c r="E233" t="str">
        <f t="shared" si="9"/>
        <v>Mangochi District [lLDyBx5XyUi]|50+|Female</v>
      </c>
      <c r="F233" s="14"/>
      <c r="G233" s="90" t="str">
        <f t="shared" si="10"/>
        <v/>
      </c>
      <c r="H233" s="42" t="str">
        <f t="shared" si="11"/>
        <v/>
      </c>
    </row>
    <row r="234" spans="1:8" x14ac:dyDescent="0.2">
      <c r="A234" t="str">
        <f>INDEX(Prioritization!$D:$D,MATCH($B234,Prioritization!$A:$A,0))</f>
        <v>INVALID</v>
      </c>
      <c r="B234" t="s">
        <v>214</v>
      </c>
      <c r="C234" t="s">
        <v>367</v>
      </c>
      <c r="D234" t="s">
        <v>47</v>
      </c>
      <c r="E234" t="str">
        <f t="shared" si="9"/>
        <v>Mangochi District [lLDyBx5XyUi]|50+|Male</v>
      </c>
      <c r="F234" s="14"/>
      <c r="G234" s="90" t="str">
        <f t="shared" si="10"/>
        <v/>
      </c>
      <c r="H234" s="42" t="str">
        <f t="shared" si="11"/>
        <v/>
      </c>
    </row>
    <row r="235" spans="1:8" x14ac:dyDescent="0.2">
      <c r="A235" t="str">
        <f>INDEX(Prioritization!$D:$D,MATCH($B235,Prioritization!$A:$A,0))</f>
        <v>INVALID</v>
      </c>
      <c r="B235" t="s">
        <v>215</v>
      </c>
      <c r="C235" t="s">
        <v>363</v>
      </c>
      <c r="D235" t="s">
        <v>29</v>
      </c>
      <c r="E235" t="str">
        <f t="shared" si="9"/>
        <v>Mulanje District [umc2n1Z4wNv]|10-14|Female</v>
      </c>
      <c r="F235" s="14"/>
      <c r="G235" s="90" t="str">
        <f t="shared" si="10"/>
        <v/>
      </c>
      <c r="H235" s="42" t="str">
        <f t="shared" si="11"/>
        <v/>
      </c>
    </row>
    <row r="236" spans="1:8" x14ac:dyDescent="0.2">
      <c r="A236" t="str">
        <f>INDEX(Prioritization!$D:$D,MATCH($B236,Prioritization!$A:$A,0))</f>
        <v>INVALID</v>
      </c>
      <c r="B236" t="s">
        <v>215</v>
      </c>
      <c r="C236" t="s">
        <v>363</v>
      </c>
      <c r="D236" t="s">
        <v>47</v>
      </c>
      <c r="E236" t="str">
        <f t="shared" si="9"/>
        <v>Mulanje District [umc2n1Z4wNv]|10-14|Male</v>
      </c>
      <c r="F236" s="14"/>
      <c r="G236" s="90" t="str">
        <f t="shared" si="10"/>
        <v/>
      </c>
      <c r="H236" s="42" t="str">
        <f t="shared" si="11"/>
        <v/>
      </c>
    </row>
    <row r="237" spans="1:8" x14ac:dyDescent="0.2">
      <c r="A237" t="str">
        <f>INDEX(Prioritization!$D:$D,MATCH($B237,Prioritization!$A:$A,0))</f>
        <v>INVALID</v>
      </c>
      <c r="B237" t="s">
        <v>215</v>
      </c>
      <c r="C237" t="s">
        <v>364</v>
      </c>
      <c r="D237" t="s">
        <v>29</v>
      </c>
      <c r="E237" t="str">
        <f t="shared" si="9"/>
        <v>Mulanje District [umc2n1Z4wNv]|15-24|Female</v>
      </c>
      <c r="F237" s="14"/>
      <c r="G237" s="90" t="str">
        <f t="shared" si="10"/>
        <v/>
      </c>
      <c r="H237" s="42" t="str">
        <f t="shared" si="11"/>
        <v/>
      </c>
    </row>
    <row r="238" spans="1:8" x14ac:dyDescent="0.2">
      <c r="A238" t="str">
        <f>INDEX(Prioritization!$D:$D,MATCH($B238,Prioritization!$A:$A,0))</f>
        <v>INVALID</v>
      </c>
      <c r="B238" t="s">
        <v>215</v>
      </c>
      <c r="C238" t="s">
        <v>364</v>
      </c>
      <c r="D238" t="s">
        <v>47</v>
      </c>
      <c r="E238" t="str">
        <f t="shared" si="9"/>
        <v>Mulanje District [umc2n1Z4wNv]|15-24|Male</v>
      </c>
      <c r="F238" s="14"/>
      <c r="G238" s="90" t="str">
        <f t="shared" si="10"/>
        <v/>
      </c>
      <c r="H238" s="42" t="str">
        <f t="shared" si="11"/>
        <v/>
      </c>
    </row>
    <row r="239" spans="1:8" x14ac:dyDescent="0.2">
      <c r="A239" t="str">
        <f>INDEX(Prioritization!$D:$D,MATCH($B239,Prioritization!$A:$A,0))</f>
        <v>INVALID</v>
      </c>
      <c r="B239" t="s">
        <v>215</v>
      </c>
      <c r="C239" t="s">
        <v>365</v>
      </c>
      <c r="D239" t="s">
        <v>29</v>
      </c>
      <c r="E239" t="str">
        <f t="shared" si="9"/>
        <v>Mulanje District [umc2n1Z4wNv]|25-34|Female</v>
      </c>
      <c r="F239" s="14"/>
      <c r="G239" s="90" t="str">
        <f t="shared" si="10"/>
        <v/>
      </c>
      <c r="H239" s="42" t="str">
        <f t="shared" si="11"/>
        <v/>
      </c>
    </row>
    <row r="240" spans="1:8" x14ac:dyDescent="0.2">
      <c r="A240" t="str">
        <f>INDEX(Prioritization!$D:$D,MATCH($B240,Prioritization!$A:$A,0))</f>
        <v>INVALID</v>
      </c>
      <c r="B240" t="s">
        <v>215</v>
      </c>
      <c r="C240" t="s">
        <v>365</v>
      </c>
      <c r="D240" t="s">
        <v>47</v>
      </c>
      <c r="E240" t="str">
        <f t="shared" si="9"/>
        <v>Mulanje District [umc2n1Z4wNv]|25-34|Male</v>
      </c>
      <c r="F240" s="14"/>
      <c r="G240" s="90" t="str">
        <f t="shared" si="10"/>
        <v/>
      </c>
      <c r="H240" s="42" t="str">
        <f t="shared" si="11"/>
        <v/>
      </c>
    </row>
    <row r="241" spans="1:8" x14ac:dyDescent="0.2">
      <c r="A241" t="str">
        <f>INDEX(Prioritization!$D:$D,MATCH($B241,Prioritization!$A:$A,0))</f>
        <v>INVALID</v>
      </c>
      <c r="B241" t="s">
        <v>215</v>
      </c>
      <c r="C241" t="s">
        <v>366</v>
      </c>
      <c r="D241" t="s">
        <v>29</v>
      </c>
      <c r="E241" t="str">
        <f t="shared" si="9"/>
        <v>Mulanje District [umc2n1Z4wNv]|35-49|Female</v>
      </c>
      <c r="F241" s="14"/>
      <c r="G241" s="90" t="str">
        <f t="shared" si="10"/>
        <v/>
      </c>
      <c r="H241" s="42" t="str">
        <f t="shared" si="11"/>
        <v/>
      </c>
    </row>
    <row r="242" spans="1:8" x14ac:dyDescent="0.2">
      <c r="A242" t="str">
        <f>INDEX(Prioritization!$D:$D,MATCH($B242,Prioritization!$A:$A,0))</f>
        <v>INVALID</v>
      </c>
      <c r="B242" t="s">
        <v>215</v>
      </c>
      <c r="C242" t="s">
        <v>366</v>
      </c>
      <c r="D242" t="s">
        <v>47</v>
      </c>
      <c r="E242" t="str">
        <f t="shared" si="9"/>
        <v>Mulanje District [umc2n1Z4wNv]|35-49|Male</v>
      </c>
      <c r="F242" s="14"/>
      <c r="G242" s="90" t="str">
        <f t="shared" si="10"/>
        <v/>
      </c>
      <c r="H242" s="42" t="str">
        <f t="shared" si="11"/>
        <v/>
      </c>
    </row>
    <row r="243" spans="1:8" x14ac:dyDescent="0.2">
      <c r="A243" t="str">
        <f>INDEX(Prioritization!$D:$D,MATCH($B243,Prioritization!$A:$A,0))</f>
        <v>INVALID</v>
      </c>
      <c r="B243" t="s">
        <v>215</v>
      </c>
      <c r="C243" t="s">
        <v>367</v>
      </c>
      <c r="D243" t="s">
        <v>29</v>
      </c>
      <c r="E243" t="str">
        <f t="shared" si="9"/>
        <v>Mulanje District [umc2n1Z4wNv]|50+|Female</v>
      </c>
      <c r="F243" s="14"/>
      <c r="G243" s="90" t="str">
        <f t="shared" si="10"/>
        <v/>
      </c>
      <c r="H243" s="42" t="str">
        <f t="shared" si="11"/>
        <v/>
      </c>
    </row>
    <row r="244" spans="1:8" x14ac:dyDescent="0.2">
      <c r="A244" t="str">
        <f>INDEX(Prioritization!$D:$D,MATCH($B244,Prioritization!$A:$A,0))</f>
        <v>INVALID</v>
      </c>
      <c r="B244" t="s">
        <v>215</v>
      </c>
      <c r="C244" t="s">
        <v>367</v>
      </c>
      <c r="D244" t="s">
        <v>47</v>
      </c>
      <c r="E244" t="str">
        <f t="shared" si="9"/>
        <v>Mulanje District [umc2n1Z4wNv]|50+|Male</v>
      </c>
      <c r="F244" s="14"/>
      <c r="G244" s="90" t="str">
        <f t="shared" si="10"/>
        <v/>
      </c>
      <c r="H244" s="42" t="str">
        <f t="shared" si="11"/>
        <v/>
      </c>
    </row>
    <row r="245" spans="1:8" x14ac:dyDescent="0.2">
      <c r="A245" t="str">
        <f>INDEX(Prioritization!$D:$D,MATCH($B245,Prioritization!$A:$A,0))</f>
        <v>INVALID</v>
      </c>
      <c r="B245" t="s">
        <v>216</v>
      </c>
      <c r="C245" t="s">
        <v>363</v>
      </c>
      <c r="D245" t="s">
        <v>29</v>
      </c>
      <c r="E245" t="str">
        <f t="shared" si="9"/>
        <v>Mwanza District [wNqJp8oRIcF]|10-14|Female</v>
      </c>
      <c r="F245" s="14"/>
      <c r="G245" s="90" t="str">
        <f t="shared" si="10"/>
        <v/>
      </c>
      <c r="H245" s="42" t="str">
        <f t="shared" si="11"/>
        <v/>
      </c>
    </row>
    <row r="246" spans="1:8" x14ac:dyDescent="0.2">
      <c r="A246" t="str">
        <f>INDEX(Prioritization!$D:$D,MATCH($B246,Prioritization!$A:$A,0))</f>
        <v>INVALID</v>
      </c>
      <c r="B246" t="s">
        <v>216</v>
      </c>
      <c r="C246" t="s">
        <v>363</v>
      </c>
      <c r="D246" t="s">
        <v>47</v>
      </c>
      <c r="E246" t="str">
        <f t="shared" si="9"/>
        <v>Mwanza District [wNqJp8oRIcF]|10-14|Male</v>
      </c>
      <c r="F246" s="14"/>
      <c r="G246" s="90" t="str">
        <f t="shared" si="10"/>
        <v/>
      </c>
      <c r="H246" s="42" t="str">
        <f t="shared" si="11"/>
        <v/>
      </c>
    </row>
    <row r="247" spans="1:8" x14ac:dyDescent="0.2">
      <c r="A247" t="str">
        <f>INDEX(Prioritization!$D:$D,MATCH($B247,Prioritization!$A:$A,0))</f>
        <v>INVALID</v>
      </c>
      <c r="B247" t="s">
        <v>216</v>
      </c>
      <c r="C247" t="s">
        <v>364</v>
      </c>
      <c r="D247" t="s">
        <v>29</v>
      </c>
      <c r="E247" t="str">
        <f t="shared" si="9"/>
        <v>Mwanza District [wNqJp8oRIcF]|15-24|Female</v>
      </c>
      <c r="F247" s="14"/>
      <c r="G247" s="90" t="str">
        <f t="shared" si="10"/>
        <v/>
      </c>
      <c r="H247" s="42" t="str">
        <f t="shared" si="11"/>
        <v/>
      </c>
    </row>
    <row r="248" spans="1:8" x14ac:dyDescent="0.2">
      <c r="A248" t="str">
        <f>INDEX(Prioritization!$D:$D,MATCH($B248,Prioritization!$A:$A,0))</f>
        <v>INVALID</v>
      </c>
      <c r="B248" t="s">
        <v>216</v>
      </c>
      <c r="C248" t="s">
        <v>364</v>
      </c>
      <c r="D248" t="s">
        <v>47</v>
      </c>
      <c r="E248" t="str">
        <f t="shared" si="9"/>
        <v>Mwanza District [wNqJp8oRIcF]|15-24|Male</v>
      </c>
      <c r="F248" s="14"/>
      <c r="G248" s="90" t="str">
        <f t="shared" si="10"/>
        <v/>
      </c>
      <c r="H248" s="42" t="str">
        <f t="shared" si="11"/>
        <v/>
      </c>
    </row>
    <row r="249" spans="1:8" x14ac:dyDescent="0.2">
      <c r="A249" t="str">
        <f>INDEX(Prioritization!$D:$D,MATCH($B249,Prioritization!$A:$A,0))</f>
        <v>INVALID</v>
      </c>
      <c r="B249" t="s">
        <v>216</v>
      </c>
      <c r="C249" t="s">
        <v>365</v>
      </c>
      <c r="D249" t="s">
        <v>29</v>
      </c>
      <c r="E249" t="str">
        <f t="shared" si="9"/>
        <v>Mwanza District [wNqJp8oRIcF]|25-34|Female</v>
      </c>
      <c r="F249" s="14"/>
      <c r="G249" s="90" t="str">
        <f t="shared" si="10"/>
        <v/>
      </c>
      <c r="H249" s="42" t="str">
        <f t="shared" si="11"/>
        <v/>
      </c>
    </row>
    <row r="250" spans="1:8" x14ac:dyDescent="0.2">
      <c r="A250" t="str">
        <f>INDEX(Prioritization!$D:$D,MATCH($B250,Prioritization!$A:$A,0))</f>
        <v>INVALID</v>
      </c>
      <c r="B250" t="s">
        <v>216</v>
      </c>
      <c r="C250" t="s">
        <v>365</v>
      </c>
      <c r="D250" t="s">
        <v>47</v>
      </c>
      <c r="E250" t="str">
        <f t="shared" si="9"/>
        <v>Mwanza District [wNqJp8oRIcF]|25-34|Male</v>
      </c>
      <c r="F250" s="14"/>
      <c r="G250" s="90" t="str">
        <f t="shared" si="10"/>
        <v/>
      </c>
      <c r="H250" s="42" t="str">
        <f t="shared" si="11"/>
        <v/>
      </c>
    </row>
    <row r="251" spans="1:8" x14ac:dyDescent="0.2">
      <c r="A251" t="str">
        <f>INDEX(Prioritization!$D:$D,MATCH($B251,Prioritization!$A:$A,0))</f>
        <v>INVALID</v>
      </c>
      <c r="B251" t="s">
        <v>216</v>
      </c>
      <c r="C251" t="s">
        <v>366</v>
      </c>
      <c r="D251" t="s">
        <v>29</v>
      </c>
      <c r="E251" t="str">
        <f t="shared" si="9"/>
        <v>Mwanza District [wNqJp8oRIcF]|35-49|Female</v>
      </c>
      <c r="F251" s="14"/>
      <c r="G251" s="90" t="str">
        <f t="shared" si="10"/>
        <v/>
      </c>
      <c r="H251" s="42" t="str">
        <f t="shared" si="11"/>
        <v/>
      </c>
    </row>
    <row r="252" spans="1:8" x14ac:dyDescent="0.2">
      <c r="A252" t="str">
        <f>INDEX(Prioritization!$D:$D,MATCH($B252,Prioritization!$A:$A,0))</f>
        <v>INVALID</v>
      </c>
      <c r="B252" t="s">
        <v>216</v>
      </c>
      <c r="C252" t="s">
        <v>366</v>
      </c>
      <c r="D252" t="s">
        <v>47</v>
      </c>
      <c r="E252" t="str">
        <f t="shared" si="9"/>
        <v>Mwanza District [wNqJp8oRIcF]|35-49|Male</v>
      </c>
      <c r="F252" s="14"/>
      <c r="G252" s="90" t="str">
        <f t="shared" si="10"/>
        <v/>
      </c>
      <c r="H252" s="42" t="str">
        <f t="shared" si="11"/>
        <v/>
      </c>
    </row>
    <row r="253" spans="1:8" x14ac:dyDescent="0.2">
      <c r="A253" t="str">
        <f>INDEX(Prioritization!$D:$D,MATCH($B253,Prioritization!$A:$A,0))</f>
        <v>INVALID</v>
      </c>
      <c r="B253" t="s">
        <v>216</v>
      </c>
      <c r="C253" t="s">
        <v>367</v>
      </c>
      <c r="D253" t="s">
        <v>29</v>
      </c>
      <c r="E253" t="str">
        <f t="shared" si="9"/>
        <v>Mwanza District [wNqJp8oRIcF]|50+|Female</v>
      </c>
      <c r="F253" s="14"/>
      <c r="G253" s="90" t="str">
        <f t="shared" si="10"/>
        <v/>
      </c>
      <c r="H253" s="42" t="str">
        <f t="shared" si="11"/>
        <v/>
      </c>
    </row>
    <row r="254" spans="1:8" x14ac:dyDescent="0.2">
      <c r="A254" t="str">
        <f>INDEX(Prioritization!$D:$D,MATCH($B254,Prioritization!$A:$A,0))</f>
        <v>INVALID</v>
      </c>
      <c r="B254" t="s">
        <v>216</v>
      </c>
      <c r="C254" t="s">
        <v>367</v>
      </c>
      <c r="D254" t="s">
        <v>47</v>
      </c>
      <c r="E254" t="str">
        <f t="shared" si="9"/>
        <v>Mwanza District [wNqJp8oRIcF]|50+|Male</v>
      </c>
      <c r="F254" s="14"/>
      <c r="G254" s="90" t="str">
        <f t="shared" si="10"/>
        <v/>
      </c>
      <c r="H254" s="42" t="str">
        <f t="shared" si="11"/>
        <v/>
      </c>
    </row>
    <row r="255" spans="1:8" x14ac:dyDescent="0.2">
      <c r="A255" t="str">
        <f>INDEX(Prioritization!$D:$D,MATCH($B255,Prioritization!$A:$A,0))</f>
        <v>INVALID</v>
      </c>
      <c r="B255" t="s">
        <v>217</v>
      </c>
      <c r="C255" t="s">
        <v>363</v>
      </c>
      <c r="D255" t="s">
        <v>29</v>
      </c>
      <c r="E255" t="str">
        <f t="shared" si="9"/>
        <v>Neno District [gwVYinjBAe9]|10-14|Female</v>
      </c>
      <c r="F255" s="14"/>
      <c r="G255" s="90" t="str">
        <f t="shared" si="10"/>
        <v/>
      </c>
      <c r="H255" s="42" t="str">
        <f t="shared" si="11"/>
        <v/>
      </c>
    </row>
    <row r="256" spans="1:8" x14ac:dyDescent="0.2">
      <c r="A256" t="str">
        <f>INDEX(Prioritization!$D:$D,MATCH($B256,Prioritization!$A:$A,0))</f>
        <v>INVALID</v>
      </c>
      <c r="B256" t="s">
        <v>217</v>
      </c>
      <c r="C256" t="s">
        <v>363</v>
      </c>
      <c r="D256" t="s">
        <v>47</v>
      </c>
      <c r="E256" t="str">
        <f t="shared" si="9"/>
        <v>Neno District [gwVYinjBAe9]|10-14|Male</v>
      </c>
      <c r="F256" s="14"/>
      <c r="G256" s="90" t="str">
        <f t="shared" si="10"/>
        <v/>
      </c>
      <c r="H256" s="42" t="str">
        <f t="shared" si="11"/>
        <v/>
      </c>
    </row>
    <row r="257" spans="1:8" x14ac:dyDescent="0.2">
      <c r="A257" t="str">
        <f>INDEX(Prioritization!$D:$D,MATCH($B257,Prioritization!$A:$A,0))</f>
        <v>INVALID</v>
      </c>
      <c r="B257" t="s">
        <v>217</v>
      </c>
      <c r="C257" t="s">
        <v>364</v>
      </c>
      <c r="D257" t="s">
        <v>29</v>
      </c>
      <c r="E257" t="str">
        <f t="shared" si="9"/>
        <v>Neno District [gwVYinjBAe9]|15-24|Female</v>
      </c>
      <c r="F257" s="14"/>
      <c r="G257" s="90" t="str">
        <f t="shared" si="10"/>
        <v/>
      </c>
      <c r="H257" s="42" t="str">
        <f t="shared" si="11"/>
        <v/>
      </c>
    </row>
    <row r="258" spans="1:8" x14ac:dyDescent="0.2">
      <c r="A258" t="str">
        <f>INDEX(Prioritization!$D:$D,MATCH($B258,Prioritization!$A:$A,0))</f>
        <v>INVALID</v>
      </c>
      <c r="B258" t="s">
        <v>217</v>
      </c>
      <c r="C258" t="s">
        <v>364</v>
      </c>
      <c r="D258" t="s">
        <v>47</v>
      </c>
      <c r="E258" t="str">
        <f t="shared" si="9"/>
        <v>Neno District [gwVYinjBAe9]|15-24|Male</v>
      </c>
      <c r="F258" s="14"/>
      <c r="G258" s="90" t="str">
        <f t="shared" si="10"/>
        <v/>
      </c>
      <c r="H258" s="42" t="str">
        <f t="shared" si="11"/>
        <v/>
      </c>
    </row>
    <row r="259" spans="1:8" x14ac:dyDescent="0.2">
      <c r="A259" t="str">
        <f>INDEX(Prioritization!$D:$D,MATCH($B259,Prioritization!$A:$A,0))</f>
        <v>INVALID</v>
      </c>
      <c r="B259" t="s">
        <v>217</v>
      </c>
      <c r="C259" t="s">
        <v>365</v>
      </c>
      <c r="D259" t="s">
        <v>29</v>
      </c>
      <c r="E259" t="str">
        <f t="shared" si="9"/>
        <v>Neno District [gwVYinjBAe9]|25-34|Female</v>
      </c>
      <c r="F259" s="14"/>
      <c r="G259" s="90" t="str">
        <f t="shared" si="10"/>
        <v/>
      </c>
      <c r="H259" s="42" t="str">
        <f t="shared" si="11"/>
        <v/>
      </c>
    </row>
    <row r="260" spans="1:8" x14ac:dyDescent="0.2">
      <c r="A260" t="str">
        <f>INDEX(Prioritization!$D:$D,MATCH($B260,Prioritization!$A:$A,0))</f>
        <v>INVALID</v>
      </c>
      <c r="B260" t="s">
        <v>217</v>
      </c>
      <c r="C260" t="s">
        <v>365</v>
      </c>
      <c r="D260" t="s">
        <v>47</v>
      </c>
      <c r="E260" t="str">
        <f t="shared" si="9"/>
        <v>Neno District [gwVYinjBAe9]|25-34|Male</v>
      </c>
      <c r="F260" s="14"/>
      <c r="G260" s="90" t="str">
        <f t="shared" si="10"/>
        <v/>
      </c>
      <c r="H260" s="42" t="str">
        <f t="shared" si="11"/>
        <v/>
      </c>
    </row>
    <row r="261" spans="1:8" x14ac:dyDescent="0.2">
      <c r="A261" t="str">
        <f>INDEX(Prioritization!$D:$D,MATCH($B261,Prioritization!$A:$A,0))</f>
        <v>INVALID</v>
      </c>
      <c r="B261" t="s">
        <v>217</v>
      </c>
      <c r="C261" t="s">
        <v>366</v>
      </c>
      <c r="D261" t="s">
        <v>29</v>
      </c>
      <c r="E261" t="str">
        <f t="shared" si="9"/>
        <v>Neno District [gwVYinjBAe9]|35-49|Female</v>
      </c>
      <c r="F261" s="14"/>
      <c r="G261" s="90" t="str">
        <f t="shared" si="10"/>
        <v/>
      </c>
      <c r="H261" s="42" t="str">
        <f t="shared" si="11"/>
        <v/>
      </c>
    </row>
    <row r="262" spans="1:8" x14ac:dyDescent="0.2">
      <c r="A262" t="str">
        <f>INDEX(Prioritization!$D:$D,MATCH($B262,Prioritization!$A:$A,0))</f>
        <v>INVALID</v>
      </c>
      <c r="B262" t="s">
        <v>217</v>
      </c>
      <c r="C262" t="s">
        <v>366</v>
      </c>
      <c r="D262" t="s">
        <v>47</v>
      </c>
      <c r="E262" t="str">
        <f t="shared" si="9"/>
        <v>Neno District [gwVYinjBAe9]|35-49|Male</v>
      </c>
      <c r="F262" s="14"/>
      <c r="G262" s="90" t="str">
        <f t="shared" si="10"/>
        <v/>
      </c>
      <c r="H262" s="42" t="str">
        <f t="shared" si="11"/>
        <v/>
      </c>
    </row>
    <row r="263" spans="1:8" x14ac:dyDescent="0.2">
      <c r="A263" t="str">
        <f>INDEX(Prioritization!$D:$D,MATCH($B263,Prioritization!$A:$A,0))</f>
        <v>INVALID</v>
      </c>
      <c r="B263" t="s">
        <v>217</v>
      </c>
      <c r="C263" t="s">
        <v>367</v>
      </c>
      <c r="D263" t="s">
        <v>29</v>
      </c>
      <c r="E263" t="str">
        <f t="shared" si="9"/>
        <v>Neno District [gwVYinjBAe9]|50+|Female</v>
      </c>
      <c r="F263" s="14"/>
      <c r="G263" s="90" t="str">
        <f t="shared" si="10"/>
        <v/>
      </c>
      <c r="H263" s="42" t="str">
        <f t="shared" si="11"/>
        <v/>
      </c>
    </row>
    <row r="264" spans="1:8" x14ac:dyDescent="0.2">
      <c r="A264" t="str">
        <f>INDEX(Prioritization!$D:$D,MATCH($B264,Prioritization!$A:$A,0))</f>
        <v>INVALID</v>
      </c>
      <c r="B264" t="s">
        <v>217</v>
      </c>
      <c r="C264" t="s">
        <v>367</v>
      </c>
      <c r="D264" t="s">
        <v>47</v>
      </c>
      <c r="E264" t="str">
        <f t="shared" si="9"/>
        <v>Neno District [gwVYinjBAe9]|50+|Male</v>
      </c>
      <c r="F264" s="14"/>
      <c r="G264" s="90" t="str">
        <f t="shared" si="10"/>
        <v/>
      </c>
      <c r="H264" s="42" t="str">
        <f t="shared" si="11"/>
        <v/>
      </c>
    </row>
    <row r="265" spans="1:8" x14ac:dyDescent="0.2">
      <c r="A265" t="str">
        <f>INDEX(Prioritization!$D:$D,MATCH($B265,Prioritization!$A:$A,0))</f>
        <v>INVALID</v>
      </c>
      <c r="B265" t="s">
        <v>218</v>
      </c>
      <c r="C265" t="s">
        <v>363</v>
      </c>
      <c r="D265" t="s">
        <v>29</v>
      </c>
      <c r="E265" t="str">
        <f t="shared" si="9"/>
        <v>Nsanje District [rpw540fmNUz]|10-14|Female</v>
      </c>
      <c r="F265" s="14"/>
      <c r="G265" s="90" t="str">
        <f t="shared" si="10"/>
        <v/>
      </c>
      <c r="H265" s="42" t="str">
        <f t="shared" si="11"/>
        <v/>
      </c>
    </row>
    <row r="266" spans="1:8" x14ac:dyDescent="0.2">
      <c r="A266" t="str">
        <f>INDEX(Prioritization!$D:$D,MATCH($B266,Prioritization!$A:$A,0))</f>
        <v>INVALID</v>
      </c>
      <c r="B266" t="s">
        <v>218</v>
      </c>
      <c r="C266" t="s">
        <v>363</v>
      </c>
      <c r="D266" t="s">
        <v>47</v>
      </c>
      <c r="E266" t="str">
        <f t="shared" si="9"/>
        <v>Nsanje District [rpw540fmNUz]|10-14|Male</v>
      </c>
      <c r="F266" s="14"/>
      <c r="G266" s="90" t="str">
        <f t="shared" si="10"/>
        <v/>
      </c>
      <c r="H266" s="42" t="str">
        <f t="shared" si="11"/>
        <v/>
      </c>
    </row>
    <row r="267" spans="1:8" x14ac:dyDescent="0.2">
      <c r="A267" t="str">
        <f>INDEX(Prioritization!$D:$D,MATCH($B267,Prioritization!$A:$A,0))</f>
        <v>INVALID</v>
      </c>
      <c r="B267" t="s">
        <v>218</v>
      </c>
      <c r="C267" t="s">
        <v>364</v>
      </c>
      <c r="D267" t="s">
        <v>29</v>
      </c>
      <c r="E267" t="str">
        <f t="shared" si="9"/>
        <v>Nsanje District [rpw540fmNUz]|15-24|Female</v>
      </c>
      <c r="F267" s="14"/>
      <c r="G267" s="90" t="str">
        <f t="shared" si="10"/>
        <v/>
      </c>
      <c r="H267" s="42" t="str">
        <f t="shared" si="11"/>
        <v/>
      </c>
    </row>
    <row r="268" spans="1:8" x14ac:dyDescent="0.2">
      <c r="A268" t="str">
        <f>INDEX(Prioritization!$D:$D,MATCH($B268,Prioritization!$A:$A,0))</f>
        <v>INVALID</v>
      </c>
      <c r="B268" t="s">
        <v>218</v>
      </c>
      <c r="C268" t="s">
        <v>364</v>
      </c>
      <c r="D268" t="s">
        <v>47</v>
      </c>
      <c r="E268" t="str">
        <f t="shared" si="9"/>
        <v>Nsanje District [rpw540fmNUz]|15-24|Male</v>
      </c>
      <c r="F268" s="14"/>
      <c r="G268" s="90" t="str">
        <f t="shared" si="10"/>
        <v/>
      </c>
      <c r="H268" s="42" t="str">
        <f t="shared" si="11"/>
        <v/>
      </c>
    </row>
    <row r="269" spans="1:8" x14ac:dyDescent="0.2">
      <c r="A269" t="str">
        <f>INDEX(Prioritization!$D:$D,MATCH($B269,Prioritization!$A:$A,0))</f>
        <v>INVALID</v>
      </c>
      <c r="B269" t="s">
        <v>218</v>
      </c>
      <c r="C269" t="s">
        <v>365</v>
      </c>
      <c r="D269" t="s">
        <v>29</v>
      </c>
      <c r="E269" t="str">
        <f t="shared" si="9"/>
        <v>Nsanje District [rpw540fmNUz]|25-34|Female</v>
      </c>
      <c r="F269" s="14"/>
      <c r="G269" s="90" t="str">
        <f t="shared" si="10"/>
        <v/>
      </c>
      <c r="H269" s="42" t="str">
        <f t="shared" si="11"/>
        <v/>
      </c>
    </row>
    <row r="270" spans="1:8" x14ac:dyDescent="0.2">
      <c r="A270" t="str">
        <f>INDEX(Prioritization!$D:$D,MATCH($B270,Prioritization!$A:$A,0))</f>
        <v>INVALID</v>
      </c>
      <c r="B270" t="s">
        <v>218</v>
      </c>
      <c r="C270" t="s">
        <v>365</v>
      </c>
      <c r="D270" t="s">
        <v>47</v>
      </c>
      <c r="E270" t="str">
        <f t="shared" si="9"/>
        <v>Nsanje District [rpw540fmNUz]|25-34|Male</v>
      </c>
      <c r="F270" s="14"/>
      <c r="G270" s="90" t="str">
        <f t="shared" si="10"/>
        <v/>
      </c>
      <c r="H270" s="42" t="str">
        <f t="shared" si="11"/>
        <v/>
      </c>
    </row>
    <row r="271" spans="1:8" x14ac:dyDescent="0.2">
      <c r="A271" t="str">
        <f>INDEX(Prioritization!$D:$D,MATCH($B271,Prioritization!$A:$A,0))</f>
        <v>INVALID</v>
      </c>
      <c r="B271" t="s">
        <v>218</v>
      </c>
      <c r="C271" t="s">
        <v>366</v>
      </c>
      <c r="D271" t="s">
        <v>29</v>
      </c>
      <c r="E271" t="str">
        <f t="shared" ref="E271:E334" si="12">B271&amp;"|"&amp;C271&amp;"|"&amp;D271</f>
        <v>Nsanje District [rpw540fmNUz]|35-49|Female</v>
      </c>
      <c r="F271" s="14"/>
      <c r="G271" s="90" t="str">
        <f t="shared" ref="G271:G304" si="13">IF(SUM($F271)=0,"",0%)</f>
        <v/>
      </c>
      <c r="H271" s="42" t="str">
        <f t="shared" ref="H271:H304" si="14">IF(SUM($F271)=0,"",ROUND($F271*(1+$G271),0))</f>
        <v/>
      </c>
    </row>
    <row r="272" spans="1:8" x14ac:dyDescent="0.2">
      <c r="A272" t="str">
        <f>INDEX(Prioritization!$D:$D,MATCH($B272,Prioritization!$A:$A,0))</f>
        <v>INVALID</v>
      </c>
      <c r="B272" t="s">
        <v>218</v>
      </c>
      <c r="C272" t="s">
        <v>366</v>
      </c>
      <c r="D272" t="s">
        <v>47</v>
      </c>
      <c r="E272" t="str">
        <f t="shared" si="12"/>
        <v>Nsanje District [rpw540fmNUz]|35-49|Male</v>
      </c>
      <c r="F272" s="14"/>
      <c r="G272" s="90" t="str">
        <f t="shared" si="13"/>
        <v/>
      </c>
      <c r="H272" s="42" t="str">
        <f t="shared" si="14"/>
        <v/>
      </c>
    </row>
    <row r="273" spans="1:8" x14ac:dyDescent="0.2">
      <c r="A273" t="str">
        <f>INDEX(Prioritization!$D:$D,MATCH($B273,Prioritization!$A:$A,0))</f>
        <v>INVALID</v>
      </c>
      <c r="B273" t="s">
        <v>218</v>
      </c>
      <c r="C273" t="s">
        <v>367</v>
      </c>
      <c r="D273" t="s">
        <v>29</v>
      </c>
      <c r="E273" t="str">
        <f t="shared" si="12"/>
        <v>Nsanje District [rpw540fmNUz]|50+|Female</v>
      </c>
      <c r="F273" s="14"/>
      <c r="G273" s="90" t="str">
        <f t="shared" si="13"/>
        <v/>
      </c>
      <c r="H273" s="42" t="str">
        <f t="shared" si="14"/>
        <v/>
      </c>
    </row>
    <row r="274" spans="1:8" x14ac:dyDescent="0.2">
      <c r="A274" t="str">
        <f>INDEX(Prioritization!$D:$D,MATCH($B274,Prioritization!$A:$A,0))</f>
        <v>INVALID</v>
      </c>
      <c r="B274" t="s">
        <v>218</v>
      </c>
      <c r="C274" t="s">
        <v>367</v>
      </c>
      <c r="D274" t="s">
        <v>47</v>
      </c>
      <c r="E274" t="str">
        <f t="shared" si="12"/>
        <v>Nsanje District [rpw540fmNUz]|50+|Male</v>
      </c>
      <c r="F274" s="14"/>
      <c r="G274" s="90" t="str">
        <f t="shared" si="13"/>
        <v/>
      </c>
      <c r="H274" s="42" t="str">
        <f t="shared" si="14"/>
        <v/>
      </c>
    </row>
    <row r="275" spans="1:8" x14ac:dyDescent="0.2">
      <c r="A275" t="str">
        <f>INDEX(Prioritization!$D:$D,MATCH($B275,Prioritization!$A:$A,0))</f>
        <v>INVALID</v>
      </c>
      <c r="B275" t="s">
        <v>219</v>
      </c>
      <c r="C275" t="s">
        <v>363</v>
      </c>
      <c r="D275" t="s">
        <v>29</v>
      </c>
      <c r="E275" t="str">
        <f t="shared" si="12"/>
        <v>Phalombe District [AZyWpGzhcaA]|10-14|Female</v>
      </c>
      <c r="F275" s="14"/>
      <c r="G275" s="90" t="str">
        <f t="shared" si="13"/>
        <v/>
      </c>
      <c r="H275" s="42" t="str">
        <f t="shared" si="14"/>
        <v/>
      </c>
    </row>
    <row r="276" spans="1:8" x14ac:dyDescent="0.2">
      <c r="A276" t="str">
        <f>INDEX(Prioritization!$D:$D,MATCH($B276,Prioritization!$A:$A,0))</f>
        <v>INVALID</v>
      </c>
      <c r="B276" t="s">
        <v>219</v>
      </c>
      <c r="C276" t="s">
        <v>363</v>
      </c>
      <c r="D276" t="s">
        <v>47</v>
      </c>
      <c r="E276" t="str">
        <f t="shared" si="12"/>
        <v>Phalombe District [AZyWpGzhcaA]|10-14|Male</v>
      </c>
      <c r="F276" s="14"/>
      <c r="G276" s="90" t="str">
        <f t="shared" si="13"/>
        <v/>
      </c>
      <c r="H276" s="42" t="str">
        <f t="shared" si="14"/>
        <v/>
      </c>
    </row>
    <row r="277" spans="1:8" x14ac:dyDescent="0.2">
      <c r="A277" t="str">
        <f>INDEX(Prioritization!$D:$D,MATCH($B277,Prioritization!$A:$A,0))</f>
        <v>INVALID</v>
      </c>
      <c r="B277" t="s">
        <v>219</v>
      </c>
      <c r="C277" t="s">
        <v>364</v>
      </c>
      <c r="D277" t="s">
        <v>29</v>
      </c>
      <c r="E277" t="str">
        <f t="shared" si="12"/>
        <v>Phalombe District [AZyWpGzhcaA]|15-24|Female</v>
      </c>
      <c r="F277" s="14"/>
      <c r="G277" s="90" t="str">
        <f t="shared" si="13"/>
        <v/>
      </c>
      <c r="H277" s="42" t="str">
        <f t="shared" si="14"/>
        <v/>
      </c>
    </row>
    <row r="278" spans="1:8" x14ac:dyDescent="0.2">
      <c r="A278" t="str">
        <f>INDEX(Prioritization!$D:$D,MATCH($B278,Prioritization!$A:$A,0))</f>
        <v>INVALID</v>
      </c>
      <c r="B278" t="s">
        <v>219</v>
      </c>
      <c r="C278" t="s">
        <v>364</v>
      </c>
      <c r="D278" t="s">
        <v>47</v>
      </c>
      <c r="E278" t="str">
        <f t="shared" si="12"/>
        <v>Phalombe District [AZyWpGzhcaA]|15-24|Male</v>
      </c>
      <c r="F278" s="14"/>
      <c r="G278" s="90" t="str">
        <f t="shared" si="13"/>
        <v/>
      </c>
      <c r="H278" s="42" t="str">
        <f t="shared" si="14"/>
        <v/>
      </c>
    </row>
    <row r="279" spans="1:8" x14ac:dyDescent="0.2">
      <c r="A279" t="str">
        <f>INDEX(Prioritization!$D:$D,MATCH($B279,Prioritization!$A:$A,0))</f>
        <v>INVALID</v>
      </c>
      <c r="B279" t="s">
        <v>219</v>
      </c>
      <c r="C279" t="s">
        <v>365</v>
      </c>
      <c r="D279" t="s">
        <v>29</v>
      </c>
      <c r="E279" t="str">
        <f t="shared" si="12"/>
        <v>Phalombe District [AZyWpGzhcaA]|25-34|Female</v>
      </c>
      <c r="F279" s="14"/>
      <c r="G279" s="90" t="str">
        <f t="shared" si="13"/>
        <v/>
      </c>
      <c r="H279" s="42" t="str">
        <f t="shared" si="14"/>
        <v/>
      </c>
    </row>
    <row r="280" spans="1:8" x14ac:dyDescent="0.2">
      <c r="A280" t="str">
        <f>INDEX(Prioritization!$D:$D,MATCH($B280,Prioritization!$A:$A,0))</f>
        <v>INVALID</v>
      </c>
      <c r="B280" t="s">
        <v>219</v>
      </c>
      <c r="C280" t="s">
        <v>365</v>
      </c>
      <c r="D280" t="s">
        <v>47</v>
      </c>
      <c r="E280" t="str">
        <f t="shared" si="12"/>
        <v>Phalombe District [AZyWpGzhcaA]|25-34|Male</v>
      </c>
      <c r="F280" s="14"/>
      <c r="G280" s="90" t="str">
        <f t="shared" si="13"/>
        <v/>
      </c>
      <c r="H280" s="42" t="str">
        <f t="shared" si="14"/>
        <v/>
      </c>
    </row>
    <row r="281" spans="1:8" x14ac:dyDescent="0.2">
      <c r="A281" t="str">
        <f>INDEX(Prioritization!$D:$D,MATCH($B281,Prioritization!$A:$A,0))</f>
        <v>INVALID</v>
      </c>
      <c r="B281" t="s">
        <v>219</v>
      </c>
      <c r="C281" t="s">
        <v>366</v>
      </c>
      <c r="D281" t="s">
        <v>29</v>
      </c>
      <c r="E281" t="str">
        <f t="shared" si="12"/>
        <v>Phalombe District [AZyWpGzhcaA]|35-49|Female</v>
      </c>
      <c r="F281" s="14"/>
      <c r="G281" s="90" t="str">
        <f t="shared" si="13"/>
        <v/>
      </c>
      <c r="H281" s="42" t="str">
        <f t="shared" si="14"/>
        <v/>
      </c>
    </row>
    <row r="282" spans="1:8" x14ac:dyDescent="0.2">
      <c r="A282" t="str">
        <f>INDEX(Prioritization!$D:$D,MATCH($B282,Prioritization!$A:$A,0))</f>
        <v>INVALID</v>
      </c>
      <c r="B282" t="s">
        <v>219</v>
      </c>
      <c r="C282" t="s">
        <v>366</v>
      </c>
      <c r="D282" t="s">
        <v>47</v>
      </c>
      <c r="E282" t="str">
        <f t="shared" si="12"/>
        <v>Phalombe District [AZyWpGzhcaA]|35-49|Male</v>
      </c>
      <c r="F282" s="14"/>
      <c r="G282" s="90" t="str">
        <f t="shared" si="13"/>
        <v/>
      </c>
      <c r="H282" s="42" t="str">
        <f t="shared" si="14"/>
        <v/>
      </c>
    </row>
    <row r="283" spans="1:8" x14ac:dyDescent="0.2">
      <c r="A283" t="str">
        <f>INDEX(Prioritization!$D:$D,MATCH($B283,Prioritization!$A:$A,0))</f>
        <v>INVALID</v>
      </c>
      <c r="B283" t="s">
        <v>219</v>
      </c>
      <c r="C283" t="s">
        <v>367</v>
      </c>
      <c r="D283" t="s">
        <v>29</v>
      </c>
      <c r="E283" t="str">
        <f t="shared" si="12"/>
        <v>Phalombe District [AZyWpGzhcaA]|50+|Female</v>
      </c>
      <c r="F283" s="14"/>
      <c r="G283" s="90" t="str">
        <f t="shared" si="13"/>
        <v/>
      </c>
      <c r="H283" s="42" t="str">
        <f t="shared" si="14"/>
        <v/>
      </c>
    </row>
    <row r="284" spans="1:8" x14ac:dyDescent="0.2">
      <c r="A284" t="str">
        <f>INDEX(Prioritization!$D:$D,MATCH($B284,Prioritization!$A:$A,0))</f>
        <v>INVALID</v>
      </c>
      <c r="B284" t="s">
        <v>219</v>
      </c>
      <c r="C284" t="s">
        <v>367</v>
      </c>
      <c r="D284" t="s">
        <v>47</v>
      </c>
      <c r="E284" t="str">
        <f t="shared" si="12"/>
        <v>Phalombe District [AZyWpGzhcaA]|50+|Male</v>
      </c>
      <c r="F284" s="14"/>
      <c r="G284" s="90" t="str">
        <f t="shared" si="13"/>
        <v/>
      </c>
      <c r="H284" s="42" t="str">
        <f t="shared" si="14"/>
        <v/>
      </c>
    </row>
    <row r="285" spans="1:8" x14ac:dyDescent="0.2">
      <c r="A285" t="str">
        <f>INDEX(Prioritization!$D:$D,MATCH($B285,Prioritization!$A:$A,0))</f>
        <v>1 - Scale-up: Saturation</v>
      </c>
      <c r="B285" t="s">
        <v>220</v>
      </c>
      <c r="C285" t="s">
        <v>363</v>
      </c>
      <c r="D285" t="s">
        <v>29</v>
      </c>
      <c r="E285" t="str">
        <f t="shared" si="12"/>
        <v>Thyolo District [ul0y9diGujK]|10-14|Female</v>
      </c>
      <c r="F285" s="14"/>
      <c r="G285" s="90" t="str">
        <f t="shared" si="13"/>
        <v/>
      </c>
      <c r="H285" s="42" t="str">
        <f t="shared" si="14"/>
        <v/>
      </c>
    </row>
    <row r="286" spans="1:8" x14ac:dyDescent="0.2">
      <c r="A286" t="str">
        <f>INDEX(Prioritization!$D:$D,MATCH($B286,Prioritization!$A:$A,0))</f>
        <v>1 - Scale-up: Saturation</v>
      </c>
      <c r="B286" t="s">
        <v>220</v>
      </c>
      <c r="C286" t="s">
        <v>363</v>
      </c>
      <c r="D286" t="s">
        <v>47</v>
      </c>
      <c r="E286" t="str">
        <f t="shared" si="12"/>
        <v>Thyolo District [ul0y9diGujK]|10-14|Male</v>
      </c>
      <c r="F286" s="14"/>
      <c r="G286" s="90" t="str">
        <f t="shared" si="13"/>
        <v/>
      </c>
      <c r="H286" s="42" t="str">
        <f t="shared" si="14"/>
        <v/>
      </c>
    </row>
    <row r="287" spans="1:8" x14ac:dyDescent="0.2">
      <c r="A287" t="str">
        <f>INDEX(Prioritization!$D:$D,MATCH($B287,Prioritization!$A:$A,0))</f>
        <v>1 - Scale-up: Saturation</v>
      </c>
      <c r="B287" t="s">
        <v>220</v>
      </c>
      <c r="C287" t="s">
        <v>364</v>
      </c>
      <c r="D287" t="s">
        <v>29</v>
      </c>
      <c r="E287" t="str">
        <f t="shared" si="12"/>
        <v>Thyolo District [ul0y9diGujK]|15-24|Female</v>
      </c>
      <c r="F287" s="14"/>
      <c r="G287" s="90" t="str">
        <f t="shared" si="13"/>
        <v/>
      </c>
      <c r="H287" s="42" t="str">
        <f t="shared" si="14"/>
        <v/>
      </c>
    </row>
    <row r="288" spans="1:8" x14ac:dyDescent="0.2">
      <c r="A288" t="str">
        <f>INDEX(Prioritization!$D:$D,MATCH($B288,Prioritization!$A:$A,0))</f>
        <v>1 - Scale-up: Saturation</v>
      </c>
      <c r="B288" t="s">
        <v>220</v>
      </c>
      <c r="C288" t="s">
        <v>364</v>
      </c>
      <c r="D288" t="s">
        <v>47</v>
      </c>
      <c r="E288" t="str">
        <f t="shared" si="12"/>
        <v>Thyolo District [ul0y9diGujK]|15-24|Male</v>
      </c>
      <c r="F288" s="14"/>
      <c r="G288" s="90" t="str">
        <f t="shared" si="13"/>
        <v/>
      </c>
      <c r="H288" s="42" t="str">
        <f t="shared" si="14"/>
        <v/>
      </c>
    </row>
    <row r="289" spans="1:8" x14ac:dyDescent="0.2">
      <c r="A289" t="str">
        <f>INDEX(Prioritization!$D:$D,MATCH($B289,Prioritization!$A:$A,0))</f>
        <v>1 - Scale-up: Saturation</v>
      </c>
      <c r="B289" t="s">
        <v>220</v>
      </c>
      <c r="C289" t="s">
        <v>365</v>
      </c>
      <c r="D289" t="s">
        <v>29</v>
      </c>
      <c r="E289" t="str">
        <f t="shared" si="12"/>
        <v>Thyolo District [ul0y9diGujK]|25-34|Female</v>
      </c>
      <c r="F289" s="14"/>
      <c r="G289" s="90" t="str">
        <f t="shared" si="13"/>
        <v/>
      </c>
      <c r="H289" s="42" t="str">
        <f t="shared" si="14"/>
        <v/>
      </c>
    </row>
    <row r="290" spans="1:8" x14ac:dyDescent="0.2">
      <c r="A290" t="str">
        <f>INDEX(Prioritization!$D:$D,MATCH($B290,Prioritization!$A:$A,0))</f>
        <v>1 - Scale-up: Saturation</v>
      </c>
      <c r="B290" t="s">
        <v>220</v>
      </c>
      <c r="C290" t="s">
        <v>365</v>
      </c>
      <c r="D290" t="s">
        <v>47</v>
      </c>
      <c r="E290" t="str">
        <f t="shared" si="12"/>
        <v>Thyolo District [ul0y9diGujK]|25-34|Male</v>
      </c>
      <c r="F290" s="14"/>
      <c r="G290" s="90" t="str">
        <f t="shared" si="13"/>
        <v/>
      </c>
      <c r="H290" s="42" t="str">
        <f t="shared" si="14"/>
        <v/>
      </c>
    </row>
    <row r="291" spans="1:8" x14ac:dyDescent="0.2">
      <c r="A291" t="str">
        <f>INDEX(Prioritization!$D:$D,MATCH($B291,Prioritization!$A:$A,0))</f>
        <v>1 - Scale-up: Saturation</v>
      </c>
      <c r="B291" t="s">
        <v>220</v>
      </c>
      <c r="C291" t="s">
        <v>366</v>
      </c>
      <c r="D291" t="s">
        <v>29</v>
      </c>
      <c r="E291" t="str">
        <f t="shared" si="12"/>
        <v>Thyolo District [ul0y9diGujK]|35-49|Female</v>
      </c>
      <c r="F291" s="14"/>
      <c r="G291" s="90" t="str">
        <f t="shared" si="13"/>
        <v/>
      </c>
      <c r="H291" s="42" t="str">
        <f t="shared" si="14"/>
        <v/>
      </c>
    </row>
    <row r="292" spans="1:8" x14ac:dyDescent="0.2">
      <c r="A292" t="str">
        <f>INDEX(Prioritization!$D:$D,MATCH($B292,Prioritization!$A:$A,0))</f>
        <v>1 - Scale-up: Saturation</v>
      </c>
      <c r="B292" t="s">
        <v>220</v>
      </c>
      <c r="C292" t="s">
        <v>366</v>
      </c>
      <c r="D292" t="s">
        <v>47</v>
      </c>
      <c r="E292" t="str">
        <f t="shared" si="12"/>
        <v>Thyolo District [ul0y9diGujK]|35-49|Male</v>
      </c>
      <c r="F292" s="14"/>
      <c r="G292" s="90" t="str">
        <f t="shared" si="13"/>
        <v/>
      </c>
      <c r="H292" s="42" t="str">
        <f t="shared" si="14"/>
        <v/>
      </c>
    </row>
    <row r="293" spans="1:8" x14ac:dyDescent="0.2">
      <c r="A293" t="str">
        <f>INDEX(Prioritization!$D:$D,MATCH($B293,Prioritization!$A:$A,0))</f>
        <v>1 - Scale-up: Saturation</v>
      </c>
      <c r="B293" t="s">
        <v>220</v>
      </c>
      <c r="C293" t="s">
        <v>367</v>
      </c>
      <c r="D293" t="s">
        <v>29</v>
      </c>
      <c r="E293" t="str">
        <f t="shared" si="12"/>
        <v>Thyolo District [ul0y9diGujK]|50+|Female</v>
      </c>
      <c r="F293" s="14"/>
      <c r="G293" s="90" t="str">
        <f t="shared" si="13"/>
        <v/>
      </c>
      <c r="H293" s="42" t="str">
        <f t="shared" si="14"/>
        <v/>
      </c>
    </row>
    <row r="294" spans="1:8" x14ac:dyDescent="0.2">
      <c r="A294" t="str">
        <f>INDEX(Prioritization!$D:$D,MATCH($B294,Prioritization!$A:$A,0))</f>
        <v>1 - Scale-up: Saturation</v>
      </c>
      <c r="B294" t="s">
        <v>220</v>
      </c>
      <c r="C294" t="s">
        <v>367</v>
      </c>
      <c r="D294" t="s">
        <v>47</v>
      </c>
      <c r="E294" t="str">
        <f t="shared" si="12"/>
        <v>Thyolo District [ul0y9diGujK]|50+|Male</v>
      </c>
      <c r="F294" s="14"/>
      <c r="G294" s="90" t="str">
        <f t="shared" si="13"/>
        <v/>
      </c>
      <c r="H294" s="42" t="str">
        <f t="shared" si="14"/>
        <v/>
      </c>
    </row>
    <row r="295" spans="1:8" x14ac:dyDescent="0.2">
      <c r="A295" t="str">
        <f>INDEX(Prioritization!$D:$D,MATCH($B295,Prioritization!$A:$A,0))</f>
        <v>1 - Scale-up: Saturation</v>
      </c>
      <c r="B295" t="s">
        <v>221</v>
      </c>
      <c r="C295" t="s">
        <v>363</v>
      </c>
      <c r="D295" t="s">
        <v>29</v>
      </c>
      <c r="E295" t="str">
        <f t="shared" si="12"/>
        <v>Zomba District [fyEoGEPERdI]|10-14|Female</v>
      </c>
      <c r="F295" s="14"/>
      <c r="G295" s="90" t="str">
        <f t="shared" si="13"/>
        <v/>
      </c>
      <c r="H295" s="42" t="str">
        <f t="shared" si="14"/>
        <v/>
      </c>
    </row>
    <row r="296" spans="1:8" x14ac:dyDescent="0.2">
      <c r="A296" t="str">
        <f>INDEX(Prioritization!$D:$D,MATCH($B296,Prioritization!$A:$A,0))</f>
        <v>1 - Scale-up: Saturation</v>
      </c>
      <c r="B296" t="s">
        <v>221</v>
      </c>
      <c r="C296" t="s">
        <v>363</v>
      </c>
      <c r="D296" t="s">
        <v>47</v>
      </c>
      <c r="E296" t="str">
        <f t="shared" si="12"/>
        <v>Zomba District [fyEoGEPERdI]|10-14|Male</v>
      </c>
      <c r="F296" s="14"/>
      <c r="G296" s="90" t="str">
        <f t="shared" si="13"/>
        <v/>
      </c>
      <c r="H296" s="42" t="str">
        <f t="shared" si="14"/>
        <v/>
      </c>
    </row>
    <row r="297" spans="1:8" x14ac:dyDescent="0.2">
      <c r="A297" t="str">
        <f>INDEX(Prioritization!$D:$D,MATCH($B297,Prioritization!$A:$A,0))</f>
        <v>1 - Scale-up: Saturation</v>
      </c>
      <c r="B297" t="s">
        <v>221</v>
      </c>
      <c r="C297" t="s">
        <v>364</v>
      </c>
      <c r="D297" t="s">
        <v>29</v>
      </c>
      <c r="E297" t="str">
        <f t="shared" si="12"/>
        <v>Zomba District [fyEoGEPERdI]|15-24|Female</v>
      </c>
      <c r="F297" s="14"/>
      <c r="G297" s="90" t="str">
        <f t="shared" si="13"/>
        <v/>
      </c>
      <c r="H297" s="42" t="str">
        <f t="shared" si="14"/>
        <v/>
      </c>
    </row>
    <row r="298" spans="1:8" x14ac:dyDescent="0.2">
      <c r="A298" t="str">
        <f>INDEX(Prioritization!$D:$D,MATCH($B298,Prioritization!$A:$A,0))</f>
        <v>1 - Scale-up: Saturation</v>
      </c>
      <c r="B298" t="s">
        <v>221</v>
      </c>
      <c r="C298" t="s">
        <v>364</v>
      </c>
      <c r="D298" t="s">
        <v>47</v>
      </c>
      <c r="E298" t="str">
        <f t="shared" si="12"/>
        <v>Zomba District [fyEoGEPERdI]|15-24|Male</v>
      </c>
      <c r="F298" s="14"/>
      <c r="G298" s="90" t="str">
        <f t="shared" si="13"/>
        <v/>
      </c>
      <c r="H298" s="42" t="str">
        <f t="shared" si="14"/>
        <v/>
      </c>
    </row>
    <row r="299" spans="1:8" x14ac:dyDescent="0.2">
      <c r="A299" t="str">
        <f>INDEX(Prioritization!$D:$D,MATCH($B299,Prioritization!$A:$A,0))</f>
        <v>1 - Scale-up: Saturation</v>
      </c>
      <c r="B299" t="s">
        <v>221</v>
      </c>
      <c r="C299" t="s">
        <v>365</v>
      </c>
      <c r="D299" t="s">
        <v>29</v>
      </c>
      <c r="E299" t="str">
        <f t="shared" si="12"/>
        <v>Zomba District [fyEoGEPERdI]|25-34|Female</v>
      </c>
      <c r="F299" s="14"/>
      <c r="G299" s="90" t="str">
        <f t="shared" si="13"/>
        <v/>
      </c>
      <c r="H299" s="42" t="str">
        <f t="shared" si="14"/>
        <v/>
      </c>
    </row>
    <row r="300" spans="1:8" x14ac:dyDescent="0.2">
      <c r="A300" t="str">
        <f>INDEX(Prioritization!$D:$D,MATCH($B300,Prioritization!$A:$A,0))</f>
        <v>1 - Scale-up: Saturation</v>
      </c>
      <c r="B300" t="s">
        <v>221</v>
      </c>
      <c r="C300" t="s">
        <v>365</v>
      </c>
      <c r="D300" t="s">
        <v>47</v>
      </c>
      <c r="E300" t="str">
        <f t="shared" si="12"/>
        <v>Zomba District [fyEoGEPERdI]|25-34|Male</v>
      </c>
      <c r="F300" s="14"/>
      <c r="G300" s="90" t="str">
        <f t="shared" si="13"/>
        <v/>
      </c>
      <c r="H300" s="42" t="str">
        <f t="shared" si="14"/>
        <v/>
      </c>
    </row>
    <row r="301" spans="1:8" x14ac:dyDescent="0.2">
      <c r="A301" t="str">
        <f>INDEX(Prioritization!$D:$D,MATCH($B301,Prioritization!$A:$A,0))</f>
        <v>1 - Scale-up: Saturation</v>
      </c>
      <c r="B301" t="s">
        <v>221</v>
      </c>
      <c r="C301" t="s">
        <v>366</v>
      </c>
      <c r="D301" t="s">
        <v>29</v>
      </c>
      <c r="E301" t="str">
        <f t="shared" si="12"/>
        <v>Zomba District [fyEoGEPERdI]|35-49|Female</v>
      </c>
      <c r="F301" s="14"/>
      <c r="G301" s="90" t="str">
        <f t="shared" si="13"/>
        <v/>
      </c>
      <c r="H301" s="42" t="str">
        <f t="shared" si="14"/>
        <v/>
      </c>
    </row>
    <row r="302" spans="1:8" x14ac:dyDescent="0.2">
      <c r="A302" t="str">
        <f>INDEX(Prioritization!$D:$D,MATCH($B302,Prioritization!$A:$A,0))</f>
        <v>1 - Scale-up: Saturation</v>
      </c>
      <c r="B302" t="s">
        <v>221</v>
      </c>
      <c r="C302" t="s">
        <v>366</v>
      </c>
      <c r="D302" t="s">
        <v>47</v>
      </c>
      <c r="E302" t="str">
        <f t="shared" si="12"/>
        <v>Zomba District [fyEoGEPERdI]|35-49|Male</v>
      </c>
      <c r="F302" s="14"/>
      <c r="G302" s="90" t="str">
        <f t="shared" si="13"/>
        <v/>
      </c>
      <c r="H302" s="42" t="str">
        <f t="shared" si="14"/>
        <v/>
      </c>
    </row>
    <row r="303" spans="1:8" x14ac:dyDescent="0.2">
      <c r="A303" t="str">
        <f>INDEX(Prioritization!$D:$D,MATCH($B303,Prioritization!$A:$A,0))</f>
        <v>1 - Scale-up: Saturation</v>
      </c>
      <c r="B303" t="s">
        <v>221</v>
      </c>
      <c r="C303" t="s">
        <v>367</v>
      </c>
      <c r="D303" t="s">
        <v>29</v>
      </c>
      <c r="E303" t="str">
        <f t="shared" si="12"/>
        <v>Zomba District [fyEoGEPERdI]|50+|Female</v>
      </c>
      <c r="F303" s="14">
        <v>36</v>
      </c>
      <c r="G303" s="90">
        <f t="shared" si="13"/>
        <v>0</v>
      </c>
      <c r="H303" s="42">
        <f t="shared" si="14"/>
        <v>36</v>
      </c>
    </row>
    <row r="304" spans="1:8" x14ac:dyDescent="0.2">
      <c r="A304" t="str">
        <f>INDEX(Prioritization!$D:$D,MATCH($B304,Prioritization!$A:$A,0))</f>
        <v>1 - Scale-up: Saturation</v>
      </c>
      <c r="B304" t="s">
        <v>221</v>
      </c>
      <c r="C304" t="s">
        <v>367</v>
      </c>
      <c r="D304" t="s">
        <v>47</v>
      </c>
      <c r="E304" t="str">
        <f t="shared" si="12"/>
        <v>Zomba District [fyEoGEPERdI]|50+|Male</v>
      </c>
      <c r="F304" s="14">
        <v>14</v>
      </c>
      <c r="G304" s="90">
        <f t="shared" si="13"/>
        <v>0</v>
      </c>
      <c r="H304" s="42">
        <f t="shared" si="14"/>
        <v>14</v>
      </c>
    </row>
  </sheetData>
  <conditionalFormatting sqref="F1:F1048576 H1:H1048576">
    <cfRule type="expression" dxfId="49" priority="2">
      <formula>AND(ISNUMBER(D1),F1&lt;0)</formula>
    </cfRule>
  </conditionalFormatting>
  <pageMargins left="0.7" right="0.7" top="0.75" bottom="0.75"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20"/>
  <sheetViews>
    <sheetView zoomScaleNormal="100" workbookViewId="0">
      <pane xSplit="5" ySplit="14" topLeftCell="F15" activePane="bottomRight" state="frozen"/>
      <selection pane="topRight" activeCell="F1" sqref="F1"/>
      <selection pane="bottomLeft" activeCell="A15" sqref="A15"/>
      <selection pane="bottomRight" activeCell="F1" sqref="F1"/>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 hidden="1" customWidth="1"/>
    <col min="6" max="20" width="11.83203125" customWidth="1"/>
  </cols>
  <sheetData>
    <row r="1" spans="1:20" ht="30.75" customHeight="1" x14ac:dyDescent="0.2">
      <c r="A1" s="44" t="s">
        <v>808</v>
      </c>
      <c r="B1" s="18"/>
      <c r="C1" s="18"/>
      <c r="D1" s="18"/>
      <c r="E1" s="44"/>
      <c r="F1" s="20" t="s">
        <v>494</v>
      </c>
      <c r="G1" s="20"/>
      <c r="H1" s="46"/>
      <c r="I1" s="50"/>
      <c r="J1" s="50"/>
      <c r="K1" s="50"/>
      <c r="L1" s="50"/>
      <c r="M1" s="50"/>
      <c r="N1" s="46"/>
      <c r="O1" s="46"/>
      <c r="P1" s="46"/>
      <c r="Q1" s="46"/>
      <c r="R1" s="46"/>
      <c r="S1" s="51" t="s">
        <v>495</v>
      </c>
      <c r="T1" s="46"/>
    </row>
    <row r="2" spans="1:20" ht="18.75" customHeight="1" x14ac:dyDescent="0.25">
      <c r="A2" s="25"/>
      <c r="B2" s="22"/>
      <c r="C2" s="22"/>
      <c r="D2" s="22"/>
      <c r="E2" s="25"/>
      <c r="F2" s="171"/>
      <c r="G2" s="171"/>
      <c r="H2" s="25"/>
      <c r="I2" s="54"/>
      <c r="J2" s="54"/>
      <c r="K2" s="54"/>
      <c r="L2" s="54"/>
      <c r="M2" s="54"/>
      <c r="N2" s="134"/>
      <c r="O2" s="24" t="s">
        <v>176</v>
      </c>
      <c r="P2" s="24" t="s">
        <v>176</v>
      </c>
      <c r="Q2" s="24" t="s">
        <v>176</v>
      </c>
      <c r="R2" s="24" t="s">
        <v>176</v>
      </c>
      <c r="S2" s="56"/>
      <c r="T2" s="24" t="s">
        <v>176</v>
      </c>
    </row>
    <row r="3" spans="1:20" ht="117" customHeight="1" x14ac:dyDescent="0.2">
      <c r="A3" s="61"/>
      <c r="B3" s="26"/>
      <c r="C3" s="26"/>
      <c r="D3" s="26"/>
      <c r="E3" s="61"/>
      <c r="F3" s="71" t="s">
        <v>1217</v>
      </c>
      <c r="G3" s="71" t="s">
        <v>1218</v>
      </c>
      <c r="H3" s="71" t="s">
        <v>1219</v>
      </c>
      <c r="I3" s="160" t="s">
        <v>1220</v>
      </c>
      <c r="J3" s="160" t="s">
        <v>1221</v>
      </c>
      <c r="K3" s="160" t="s">
        <v>1222</v>
      </c>
      <c r="L3" s="162" t="s">
        <v>1223</v>
      </c>
      <c r="M3" s="160" t="s">
        <v>1224</v>
      </c>
      <c r="N3" s="28" t="s">
        <v>1225</v>
      </c>
      <c r="O3" s="28" t="s">
        <v>608</v>
      </c>
      <c r="P3" s="28" t="s">
        <v>609</v>
      </c>
      <c r="Q3" s="28" t="s">
        <v>610</v>
      </c>
      <c r="R3" s="28" t="s">
        <v>611</v>
      </c>
      <c r="S3" s="170" t="s">
        <v>620</v>
      </c>
      <c r="T3" s="74" t="s">
        <v>621</v>
      </c>
    </row>
    <row r="4" spans="1:20" x14ac:dyDescent="0.2">
      <c r="A4" s="75"/>
      <c r="B4" s="30"/>
      <c r="C4" s="30"/>
      <c r="D4" s="30" t="s">
        <v>287</v>
      </c>
      <c r="E4" s="75"/>
      <c r="F4" s="33"/>
      <c r="G4" s="75">
        <f>SUBTOTAL(109,G$15:INDEX(G:G,COUNTA($B:$B)+14-COUNTA($B$1:$B$14)))</f>
        <v>41254</v>
      </c>
      <c r="H4" s="75">
        <f>SUBTOTAL(109,H$15:INDEX(H:H,COUNTA($B:$B)+14-COUNTA($B$1:$B$14)))</f>
        <v>37115</v>
      </c>
      <c r="I4" s="86">
        <f>IF($H$4=0,"",$N$4/$H$4-1)</f>
        <v>0</v>
      </c>
      <c r="J4" s="86">
        <f>IF($N$4=0,"",$O$4/$N$4)</f>
        <v>0</v>
      </c>
      <c r="K4" s="86">
        <f>IF($N$4=0,"",$P$4/$N$4)</f>
        <v>0</v>
      </c>
      <c r="L4" s="86">
        <f>IF($N$4=0,"",SUM($Q$4,$R$4)/$N$4)</f>
        <v>0.99967668058736359</v>
      </c>
      <c r="M4" s="86">
        <f>IF(SUM($Q$4,$R$4)=0,"",$Q$4/SUM($Q$4,$R$4))</f>
        <v>0.20022639678732179</v>
      </c>
      <c r="N4" s="84">
        <f>SUBTOTAL(109,N$15:INDEX(N:N,COUNTA($B:$B)+14-COUNTA($B$1:$B$14)))</f>
        <v>37115</v>
      </c>
      <c r="O4" s="84">
        <f>SUBTOTAL(109,O$15:INDEX(O:O,COUNTA($B:$B)+14-COUNTA($B$1:$B$14)))</f>
        <v>0</v>
      </c>
      <c r="P4" s="84">
        <f>SUBTOTAL(109,P$15:INDEX(P:P,COUNTA($B:$B)+14-COUNTA($B$1:$B$14)))</f>
        <v>0</v>
      </c>
      <c r="Q4" s="84">
        <f>SUBTOTAL(109,Q$15:INDEX(Q:Q,COUNTA($B:$B)+14-COUNTA($B$1:$B$14)))</f>
        <v>7429</v>
      </c>
      <c r="R4" s="84">
        <f>SUBTOTAL(109,R$15:INDEX(R:R,COUNTA($B:$B)+14-COUNTA($B$1:$B$14)))</f>
        <v>29674</v>
      </c>
      <c r="S4" s="85">
        <f>IF(SUM($Q$4,$R$4)=0,"",$T$4/SUM($Q$4,$R$4))</f>
        <v>0.85790906395709243</v>
      </c>
      <c r="T4" s="84">
        <f>SUBTOTAL(109,T$15:INDEX(T:T,COUNTA($B:$B)+14-COUNTA($B$1:$B$14)))</f>
        <v>31831</v>
      </c>
    </row>
    <row r="5" spans="1:20" x14ac:dyDescent="0.2">
      <c r="A5" t="s">
        <v>180</v>
      </c>
      <c r="B5" s="13" t="s">
        <v>180</v>
      </c>
      <c r="C5" s="13" t="s">
        <v>180</v>
      </c>
      <c r="D5" s="13" t="s">
        <v>180</v>
      </c>
      <c r="E5" t="s">
        <v>180</v>
      </c>
      <c r="F5" s="41" t="s">
        <v>180</v>
      </c>
      <c r="G5" s="41" t="s">
        <v>288</v>
      </c>
      <c r="H5" s="41" t="s">
        <v>288</v>
      </c>
      <c r="I5" s="90" t="s">
        <v>180</v>
      </c>
      <c r="J5" s="90" t="s">
        <v>180</v>
      </c>
      <c r="K5" s="90" t="s">
        <v>180</v>
      </c>
      <c r="L5" s="90" t="s">
        <v>180</v>
      </c>
      <c r="M5" s="90" t="s">
        <v>180</v>
      </c>
      <c r="N5" s="9" t="s">
        <v>180</v>
      </c>
      <c r="O5" s="9" t="s">
        <v>288</v>
      </c>
      <c r="P5" s="9" t="s">
        <v>288</v>
      </c>
      <c r="Q5" s="9" t="s">
        <v>288</v>
      </c>
      <c r="R5" s="9" t="s">
        <v>288</v>
      </c>
      <c r="S5" s="94" t="s">
        <v>180</v>
      </c>
      <c r="T5" s="9" t="s">
        <v>288</v>
      </c>
    </row>
    <row r="6" spans="1:20" x14ac:dyDescent="0.2">
      <c r="A6" t="s">
        <v>182</v>
      </c>
      <c r="B6" s="13" t="s">
        <v>182</v>
      </c>
      <c r="C6" s="13" t="s">
        <v>182</v>
      </c>
      <c r="D6" s="13" t="s">
        <v>182</v>
      </c>
      <c r="E6" t="s">
        <v>182</v>
      </c>
      <c r="F6" s="41" t="s">
        <v>291</v>
      </c>
      <c r="G6" s="41" t="s">
        <v>183</v>
      </c>
      <c r="H6" s="41" t="s">
        <v>183</v>
      </c>
      <c r="I6" s="90" t="s">
        <v>290</v>
      </c>
      <c r="J6" s="90" t="s">
        <v>290</v>
      </c>
      <c r="K6" s="90" t="s">
        <v>290</v>
      </c>
      <c r="L6" s="90" t="s">
        <v>290</v>
      </c>
      <c r="M6" s="90" t="s">
        <v>290</v>
      </c>
      <c r="N6" s="9" t="s">
        <v>290</v>
      </c>
      <c r="O6" s="9" t="s">
        <v>184</v>
      </c>
      <c r="P6" s="9" t="s">
        <v>184</v>
      </c>
      <c r="Q6" s="9" t="s">
        <v>184</v>
      </c>
      <c r="R6" s="9" t="s">
        <v>184</v>
      </c>
      <c r="S6" s="94" t="s">
        <v>290</v>
      </c>
      <c r="T6" s="9" t="s">
        <v>184</v>
      </c>
    </row>
    <row r="7" spans="1:20" x14ac:dyDescent="0.2">
      <c r="A7" t="s">
        <v>186</v>
      </c>
      <c r="B7" s="13" t="s">
        <v>186</v>
      </c>
      <c r="C7" s="13" t="s">
        <v>186</v>
      </c>
      <c r="D7" s="13" t="s">
        <v>186</v>
      </c>
      <c r="E7" t="s">
        <v>186</v>
      </c>
      <c r="F7" s="41" t="s">
        <v>186</v>
      </c>
      <c r="G7" s="41" t="s">
        <v>187</v>
      </c>
      <c r="H7" s="14" t="s">
        <v>187</v>
      </c>
      <c r="I7" s="90" t="s">
        <v>293</v>
      </c>
      <c r="J7" s="90" t="s">
        <v>293</v>
      </c>
      <c r="K7" s="90" t="s">
        <v>293</v>
      </c>
      <c r="L7" s="90" t="s">
        <v>293</v>
      </c>
      <c r="M7" s="90" t="s">
        <v>293</v>
      </c>
      <c r="N7" s="9" t="s">
        <v>187</v>
      </c>
      <c r="O7" s="9" t="s">
        <v>187</v>
      </c>
      <c r="P7" s="9" t="s">
        <v>187</v>
      </c>
      <c r="Q7" s="9" t="s">
        <v>187</v>
      </c>
      <c r="R7" s="9" t="s">
        <v>187</v>
      </c>
      <c r="S7" s="94" t="s">
        <v>293</v>
      </c>
      <c r="T7" s="9" t="s">
        <v>187</v>
      </c>
    </row>
    <row r="8" spans="1:20" x14ac:dyDescent="0.2">
      <c r="B8" s="13"/>
      <c r="C8" s="13"/>
      <c r="D8" s="13"/>
      <c r="F8" s="33"/>
      <c r="G8" s="172" t="s">
        <v>1226</v>
      </c>
      <c r="H8" s="128" t="s">
        <v>662</v>
      </c>
      <c r="I8" s="90"/>
      <c r="J8" s="90"/>
      <c r="K8" s="90"/>
      <c r="L8" s="90"/>
      <c r="M8" s="90"/>
      <c r="N8" s="9"/>
      <c r="O8" s="99" t="s">
        <v>660</v>
      </c>
      <c r="P8" s="99" t="s">
        <v>661</v>
      </c>
      <c r="Q8" s="99" t="s">
        <v>662</v>
      </c>
      <c r="R8" s="99" t="s">
        <v>662</v>
      </c>
      <c r="S8" s="94"/>
      <c r="T8" s="99" t="s">
        <v>663</v>
      </c>
    </row>
    <row r="9" spans="1:20" x14ac:dyDescent="0.2">
      <c r="B9" s="13"/>
      <c r="C9" s="13"/>
      <c r="D9" s="13"/>
      <c r="F9" s="33"/>
      <c r="G9" s="172" t="s">
        <v>1227</v>
      </c>
      <c r="H9" s="128" t="s">
        <v>1228</v>
      </c>
      <c r="I9" s="90"/>
      <c r="J9" s="90"/>
      <c r="K9" s="90"/>
      <c r="L9" s="90"/>
      <c r="M9" s="90"/>
      <c r="N9" s="9"/>
      <c r="O9" s="99" t="s">
        <v>1229</v>
      </c>
      <c r="P9" s="99" t="s">
        <v>1230</v>
      </c>
      <c r="Q9" s="99" t="s">
        <v>1228</v>
      </c>
      <c r="R9" s="99" t="s">
        <v>1228</v>
      </c>
      <c r="S9" s="94"/>
      <c r="T9" s="99" t="s">
        <v>1231</v>
      </c>
    </row>
    <row r="10" spans="1:20" x14ac:dyDescent="0.2">
      <c r="B10" s="13"/>
      <c r="C10" s="13"/>
      <c r="D10" s="13"/>
      <c r="F10" s="33"/>
      <c r="G10" s="173"/>
      <c r="H10" s="96"/>
      <c r="I10" s="90"/>
      <c r="J10" s="90"/>
      <c r="K10" s="90"/>
      <c r="L10" s="90"/>
      <c r="M10" s="90"/>
      <c r="N10" s="9"/>
      <c r="O10" s="99"/>
      <c r="P10" s="99"/>
      <c r="Q10" s="99" t="s">
        <v>678</v>
      </c>
      <c r="R10" s="99" t="s">
        <v>679</v>
      </c>
      <c r="S10" s="94"/>
      <c r="T10" s="99"/>
    </row>
    <row r="11" spans="1:20" x14ac:dyDescent="0.2">
      <c r="B11" s="13"/>
      <c r="C11" s="13"/>
      <c r="D11" s="13"/>
      <c r="F11" s="33"/>
      <c r="G11" s="41" t="s">
        <v>686</v>
      </c>
      <c r="H11" s="14" t="s">
        <v>686</v>
      </c>
      <c r="I11" s="90" t="s">
        <v>686</v>
      </c>
      <c r="J11" s="90" t="s">
        <v>1232</v>
      </c>
      <c r="K11" s="90" t="s">
        <v>1233</v>
      </c>
      <c r="L11" s="90" t="s">
        <v>686</v>
      </c>
      <c r="M11" s="90" t="s">
        <v>686</v>
      </c>
      <c r="N11" s="9" t="s">
        <v>686</v>
      </c>
      <c r="O11" s="9" t="s">
        <v>1232</v>
      </c>
      <c r="P11" s="9" t="s">
        <v>1233</v>
      </c>
      <c r="Q11" s="9" t="s">
        <v>686</v>
      </c>
      <c r="R11" s="9" t="s">
        <v>686</v>
      </c>
      <c r="S11" s="94" t="s">
        <v>687</v>
      </c>
      <c r="T11" s="9" t="s">
        <v>687</v>
      </c>
    </row>
    <row r="12" spans="1:20" x14ac:dyDescent="0.2">
      <c r="B12" s="13"/>
      <c r="C12" s="13"/>
      <c r="D12" s="13"/>
      <c r="F12" s="33"/>
      <c r="G12" s="41" t="s">
        <v>316</v>
      </c>
      <c r="H12" s="14" t="s">
        <v>316</v>
      </c>
      <c r="I12" s="90" t="s">
        <v>316</v>
      </c>
      <c r="J12" s="90" t="s">
        <v>689</v>
      </c>
      <c r="K12" s="90" t="s">
        <v>316</v>
      </c>
      <c r="L12" s="90" t="s">
        <v>316</v>
      </c>
      <c r="M12" s="90" t="s">
        <v>316</v>
      </c>
      <c r="N12" s="9" t="s">
        <v>316</v>
      </c>
      <c r="O12" s="9" t="s">
        <v>689</v>
      </c>
      <c r="P12" s="9" t="s">
        <v>316</v>
      </c>
      <c r="Q12" s="9" t="s">
        <v>316</v>
      </c>
      <c r="R12" s="9" t="s">
        <v>316</v>
      </c>
      <c r="S12" s="94" t="s">
        <v>316</v>
      </c>
      <c r="T12" s="9" t="s">
        <v>316</v>
      </c>
    </row>
    <row r="13" spans="1:20" x14ac:dyDescent="0.2">
      <c r="B13" s="13"/>
      <c r="C13" s="13"/>
      <c r="D13" s="13"/>
      <c r="F13" s="33"/>
      <c r="G13" s="41"/>
      <c r="I13" s="90"/>
      <c r="J13" s="90"/>
      <c r="K13" s="90"/>
      <c r="L13" s="90"/>
      <c r="M13" s="90"/>
      <c r="N13" s="9"/>
      <c r="O13" s="9"/>
      <c r="P13" s="9"/>
      <c r="Q13" s="9"/>
      <c r="R13" s="9"/>
      <c r="S13" s="94"/>
      <c r="T13" s="9"/>
    </row>
    <row r="14" spans="1:20" x14ac:dyDescent="0.2">
      <c r="A14" s="102" t="s">
        <v>175</v>
      </c>
      <c r="B14" s="36" t="s">
        <v>189</v>
      </c>
      <c r="C14" s="36" t="s">
        <v>317</v>
      </c>
      <c r="D14" s="36" t="s">
        <v>318</v>
      </c>
      <c r="E14" s="102" t="s">
        <v>19</v>
      </c>
      <c r="F14" s="174" t="s">
        <v>1234</v>
      </c>
      <c r="G14" s="112" t="s">
        <v>1235</v>
      </c>
      <c r="H14" s="39" t="s">
        <v>1236</v>
      </c>
      <c r="I14" s="105" t="s">
        <v>1237</v>
      </c>
      <c r="J14" s="105" t="s">
        <v>1238</v>
      </c>
      <c r="K14" s="105" t="s">
        <v>1239</v>
      </c>
      <c r="L14" s="105" t="s">
        <v>1240</v>
      </c>
      <c r="M14" s="105" t="s">
        <v>1241</v>
      </c>
      <c r="N14" s="109" t="s">
        <v>1242</v>
      </c>
      <c r="O14" s="109" t="s">
        <v>779</v>
      </c>
      <c r="P14" s="109" t="s">
        <v>780</v>
      </c>
      <c r="Q14" s="109" t="s">
        <v>781</v>
      </c>
      <c r="R14" s="109" t="s">
        <v>782</v>
      </c>
      <c r="S14" s="107" t="s">
        <v>1243</v>
      </c>
      <c r="T14" s="109" t="s">
        <v>1244</v>
      </c>
    </row>
    <row r="15" spans="1:20" x14ac:dyDescent="0.2">
      <c r="A15" t="str">
        <f>INDEX(Prioritization!$D:$D,MATCH($B15,Prioritization!$A:$A,0))</f>
        <v>Military</v>
      </c>
      <c r="B15" s="13" t="s">
        <v>193</v>
      </c>
      <c r="C15" s="13" t="s">
        <v>315</v>
      </c>
      <c r="D15" s="13" t="s">
        <v>29</v>
      </c>
      <c r="E15" t="str">
        <f t="shared" ref="E15:E78" si="0">$B15&amp;"|"&amp;$C15&amp;"|"&amp;$D15</f>
        <v>_Military Malawi [PQZgU9dagaH]|&lt;01|Female</v>
      </c>
      <c r="F15" s="33"/>
      <c r="G15" s="33"/>
      <c r="H15" s="14"/>
      <c r="I15" s="90" t="str">
        <f t="shared" ref="I15:I78" si="1">IF(SUM($H15)=0,"",0%)</f>
        <v/>
      </c>
      <c r="J15" s="90"/>
      <c r="K15" s="90"/>
      <c r="L15" s="90">
        <f t="shared" ref="L15:L78" si="2">1-IF(NOT(AND($D15="Female",OR($C15="10-14",$C15="15-17",$F15="Y"))),0,$J15)-IF(NOT(OR($C15="05-09",$C15="10-14")),0,$K15)</f>
        <v>1</v>
      </c>
      <c r="M15" s="90">
        <f t="shared" ref="M15:M78" si="3">IF(SUM($L15)=0,"",20%)</f>
        <v>0.2</v>
      </c>
      <c r="N15" s="9" t="str">
        <f t="shared" ref="N15:N78" si="4">IF(SUM($H15)=0,"",ROUND($H15*(1+$I15),0))</f>
        <v/>
      </c>
      <c r="O15" s="9" t="str">
        <f t="shared" ref="O15:O78" si="5">IF(OR(SUM($N15)=0,SUM($J15)=0,NOT(AND($D15="Female",$F15="Y",OR($C15="10-14",$C15="15-17")))),"",ROUND($N15*$J15,0))</f>
        <v/>
      </c>
      <c r="P15" s="9" t="str">
        <f t="shared" ref="P15:P78" si="6">IF(OR(SUM($N15)=0,SUM($K15)=0,NOT(OR($C15="10-14",$C15="05-09"))),"",ROUND($N15*$K15,0))</f>
        <v/>
      </c>
      <c r="Q15" s="9" t="str">
        <f t="shared" ref="Q15:Q78" si="7">IFERROR(1/(1/ROUND($N15*$L15*$M15,0)),"")</f>
        <v/>
      </c>
      <c r="R15" s="9" t="str">
        <f t="shared" ref="R15:R78" si="8">IFERROR(1/(1/(ROUND($N15*$L15,0)-$Q15)),"")</f>
        <v/>
      </c>
      <c r="S15" s="94" t="str">
        <f t="shared" ref="S15:S78" si="9">IF(OR($C15="18+",$C15="18-20",SUM($Q15,$R15)=0),"",100%)</f>
        <v/>
      </c>
      <c r="T15" s="9" t="str">
        <f t="shared" ref="T15:T78" si="10">IF(OR($C15="18+",$C15="18-20",SUM($Q15,$R15)=0),"",ROUND(SUM($Q15,$R15)*$S15,0))</f>
        <v/>
      </c>
    </row>
    <row r="16" spans="1:20" x14ac:dyDescent="0.2">
      <c r="A16" t="str">
        <f>INDEX(Prioritization!$D:$D,MATCH($B16,Prioritization!$A:$A,0))</f>
        <v>Military</v>
      </c>
      <c r="B16" t="s">
        <v>193</v>
      </c>
      <c r="C16" t="s">
        <v>315</v>
      </c>
      <c r="D16" t="s">
        <v>47</v>
      </c>
      <c r="E16" t="str">
        <f t="shared" si="0"/>
        <v>_Military Malawi [PQZgU9dagaH]|&lt;01|Male</v>
      </c>
      <c r="G16" s="14"/>
      <c r="H16" s="14"/>
      <c r="I16" s="90" t="str">
        <f t="shared" si="1"/>
        <v/>
      </c>
      <c r="J16" s="90"/>
      <c r="K16" s="90"/>
      <c r="L16" s="90">
        <f t="shared" si="2"/>
        <v>1</v>
      </c>
      <c r="M16" s="90">
        <f t="shared" si="3"/>
        <v>0.2</v>
      </c>
      <c r="N16" s="14" t="str">
        <f t="shared" si="4"/>
        <v/>
      </c>
      <c r="O16" s="42" t="str">
        <f t="shared" si="5"/>
        <v/>
      </c>
      <c r="P16" s="42" t="str">
        <f t="shared" si="6"/>
        <v/>
      </c>
      <c r="Q16" s="42" t="str">
        <f t="shared" si="7"/>
        <v/>
      </c>
      <c r="R16" s="42" t="str">
        <f t="shared" si="8"/>
        <v/>
      </c>
      <c r="S16" s="90" t="str">
        <f t="shared" si="9"/>
        <v/>
      </c>
      <c r="T16" s="42" t="str">
        <f t="shared" si="10"/>
        <v/>
      </c>
    </row>
    <row r="17" spans="1:20" x14ac:dyDescent="0.2">
      <c r="A17" t="str">
        <f>INDEX(Prioritization!$D:$D,MATCH($B17,Prioritization!$A:$A,0))</f>
        <v>Military</v>
      </c>
      <c r="B17" t="s">
        <v>193</v>
      </c>
      <c r="C17" t="s">
        <v>809</v>
      </c>
      <c r="D17" t="s">
        <v>29</v>
      </c>
      <c r="E17" t="str">
        <f t="shared" si="0"/>
        <v>_Military Malawi [PQZgU9dagaH]|01-04|Female</v>
      </c>
      <c r="G17" s="14"/>
      <c r="H17" s="14"/>
      <c r="I17" s="90" t="str">
        <f t="shared" si="1"/>
        <v/>
      </c>
      <c r="J17" s="90"/>
      <c r="K17" s="90"/>
      <c r="L17" s="90">
        <f t="shared" si="2"/>
        <v>1</v>
      </c>
      <c r="M17" s="90">
        <f t="shared" si="3"/>
        <v>0.2</v>
      </c>
      <c r="N17" s="14" t="str">
        <f t="shared" si="4"/>
        <v/>
      </c>
      <c r="O17" s="42" t="str">
        <f t="shared" si="5"/>
        <v/>
      </c>
      <c r="P17" s="42" t="str">
        <f t="shared" si="6"/>
        <v/>
      </c>
      <c r="Q17" s="42" t="str">
        <f t="shared" si="7"/>
        <v/>
      </c>
      <c r="R17" s="42" t="str">
        <f t="shared" si="8"/>
        <v/>
      </c>
      <c r="S17" s="90" t="str">
        <f t="shared" si="9"/>
        <v/>
      </c>
      <c r="T17" s="42" t="str">
        <f t="shared" si="10"/>
        <v/>
      </c>
    </row>
    <row r="18" spans="1:20" x14ac:dyDescent="0.2">
      <c r="A18" t="str">
        <f>INDEX(Prioritization!$D:$D,MATCH($B18,Prioritization!$A:$A,0))</f>
        <v>Military</v>
      </c>
      <c r="B18" t="s">
        <v>193</v>
      </c>
      <c r="C18" t="s">
        <v>809</v>
      </c>
      <c r="D18" t="s">
        <v>47</v>
      </c>
      <c r="E18" t="str">
        <f t="shared" si="0"/>
        <v>_Military Malawi [PQZgU9dagaH]|01-04|Male</v>
      </c>
      <c r="G18" s="14"/>
      <c r="H18" s="14"/>
      <c r="I18" s="90" t="str">
        <f t="shared" si="1"/>
        <v/>
      </c>
      <c r="J18" s="90"/>
      <c r="K18" s="90"/>
      <c r="L18" s="90">
        <f t="shared" si="2"/>
        <v>1</v>
      </c>
      <c r="M18" s="90">
        <f t="shared" si="3"/>
        <v>0.2</v>
      </c>
      <c r="N18" s="14" t="str">
        <f t="shared" si="4"/>
        <v/>
      </c>
      <c r="O18" s="42" t="str">
        <f t="shared" si="5"/>
        <v/>
      </c>
      <c r="P18" s="42" t="str">
        <f t="shared" si="6"/>
        <v/>
      </c>
      <c r="Q18" s="42" t="str">
        <f t="shared" si="7"/>
        <v/>
      </c>
      <c r="R18" s="42" t="str">
        <f t="shared" si="8"/>
        <v/>
      </c>
      <c r="S18" s="90" t="str">
        <f t="shared" si="9"/>
        <v/>
      </c>
      <c r="T18" s="42" t="str">
        <f t="shared" si="10"/>
        <v/>
      </c>
    </row>
    <row r="19" spans="1:20" x14ac:dyDescent="0.2">
      <c r="A19" t="str">
        <f>INDEX(Prioritization!$D:$D,MATCH($B19,Prioritization!$A:$A,0))</f>
        <v>Military</v>
      </c>
      <c r="B19" t="s">
        <v>193</v>
      </c>
      <c r="C19" t="s">
        <v>810</v>
      </c>
      <c r="D19" t="s">
        <v>29</v>
      </c>
      <c r="E19" t="str">
        <f t="shared" si="0"/>
        <v>_Military Malawi [PQZgU9dagaH]|05-09|Female</v>
      </c>
      <c r="G19" s="14"/>
      <c r="H19" s="14"/>
      <c r="I19" s="90" t="str">
        <f t="shared" si="1"/>
        <v/>
      </c>
      <c r="J19" s="90"/>
      <c r="K19" s="90"/>
      <c r="L19" s="90">
        <f t="shared" si="2"/>
        <v>1</v>
      </c>
      <c r="M19" s="90">
        <f t="shared" si="3"/>
        <v>0.2</v>
      </c>
      <c r="N19" s="14" t="str">
        <f t="shared" si="4"/>
        <v/>
      </c>
      <c r="O19" s="42" t="str">
        <f t="shared" si="5"/>
        <v/>
      </c>
      <c r="P19" s="42" t="str">
        <f t="shared" si="6"/>
        <v/>
      </c>
      <c r="Q19" s="42" t="str">
        <f t="shared" si="7"/>
        <v/>
      </c>
      <c r="R19" s="42" t="str">
        <f t="shared" si="8"/>
        <v/>
      </c>
      <c r="S19" s="90" t="str">
        <f t="shared" si="9"/>
        <v/>
      </c>
      <c r="T19" s="42" t="str">
        <f t="shared" si="10"/>
        <v/>
      </c>
    </row>
    <row r="20" spans="1:20" x14ac:dyDescent="0.2">
      <c r="A20" t="str">
        <f>INDEX(Prioritization!$D:$D,MATCH($B20,Prioritization!$A:$A,0))</f>
        <v>Military</v>
      </c>
      <c r="B20" t="s">
        <v>193</v>
      </c>
      <c r="C20" t="s">
        <v>810</v>
      </c>
      <c r="D20" t="s">
        <v>47</v>
      </c>
      <c r="E20" t="str">
        <f t="shared" si="0"/>
        <v>_Military Malawi [PQZgU9dagaH]|05-09|Male</v>
      </c>
      <c r="G20" s="14"/>
      <c r="H20" s="14"/>
      <c r="I20" s="90" t="str">
        <f t="shared" si="1"/>
        <v/>
      </c>
      <c r="J20" s="90"/>
      <c r="K20" s="90"/>
      <c r="L20" s="90">
        <f t="shared" si="2"/>
        <v>1</v>
      </c>
      <c r="M20" s="90">
        <f t="shared" si="3"/>
        <v>0.2</v>
      </c>
      <c r="N20" s="14" t="str">
        <f t="shared" si="4"/>
        <v/>
      </c>
      <c r="O20" s="42" t="str">
        <f t="shared" si="5"/>
        <v/>
      </c>
      <c r="P20" s="42" t="str">
        <f t="shared" si="6"/>
        <v/>
      </c>
      <c r="Q20" s="42" t="str">
        <f t="shared" si="7"/>
        <v/>
      </c>
      <c r="R20" s="42" t="str">
        <f t="shared" si="8"/>
        <v/>
      </c>
      <c r="S20" s="90" t="str">
        <f t="shared" si="9"/>
        <v/>
      </c>
      <c r="T20" s="42" t="str">
        <f t="shared" si="10"/>
        <v/>
      </c>
    </row>
    <row r="21" spans="1:20" x14ac:dyDescent="0.2">
      <c r="A21" t="str">
        <f>INDEX(Prioritization!$D:$D,MATCH($B21,Prioritization!$A:$A,0))</f>
        <v>Military</v>
      </c>
      <c r="B21" t="s">
        <v>193</v>
      </c>
      <c r="C21" t="s">
        <v>363</v>
      </c>
      <c r="D21" t="s">
        <v>29</v>
      </c>
      <c r="E21" t="str">
        <f t="shared" si="0"/>
        <v>_Military Malawi [PQZgU9dagaH]|10-14|Female</v>
      </c>
      <c r="G21" s="14"/>
      <c r="H21" s="14"/>
      <c r="I21" s="90" t="str">
        <f t="shared" si="1"/>
        <v/>
      </c>
      <c r="J21" s="90"/>
      <c r="K21" s="90"/>
      <c r="L21" s="90">
        <f t="shared" si="2"/>
        <v>1</v>
      </c>
      <c r="M21" s="90">
        <f t="shared" si="3"/>
        <v>0.2</v>
      </c>
      <c r="N21" s="14" t="str">
        <f t="shared" si="4"/>
        <v/>
      </c>
      <c r="O21" s="42" t="str">
        <f t="shared" si="5"/>
        <v/>
      </c>
      <c r="P21" s="42" t="str">
        <f t="shared" si="6"/>
        <v/>
      </c>
      <c r="Q21" s="42" t="str">
        <f t="shared" si="7"/>
        <v/>
      </c>
      <c r="R21" s="42" t="str">
        <f t="shared" si="8"/>
        <v/>
      </c>
      <c r="S21" s="90" t="str">
        <f t="shared" si="9"/>
        <v/>
      </c>
      <c r="T21" s="42" t="str">
        <f t="shared" si="10"/>
        <v/>
      </c>
    </row>
    <row r="22" spans="1:20" x14ac:dyDescent="0.2">
      <c r="A22" t="str">
        <f>INDEX(Prioritization!$D:$D,MATCH($B22,Prioritization!$A:$A,0))</f>
        <v>Military</v>
      </c>
      <c r="B22" t="s">
        <v>193</v>
      </c>
      <c r="C22" t="s">
        <v>363</v>
      </c>
      <c r="D22" t="s">
        <v>47</v>
      </c>
      <c r="E22" t="str">
        <f t="shared" si="0"/>
        <v>_Military Malawi [PQZgU9dagaH]|10-14|Male</v>
      </c>
      <c r="G22" s="14"/>
      <c r="H22" s="14"/>
      <c r="I22" s="90" t="str">
        <f t="shared" si="1"/>
        <v/>
      </c>
      <c r="J22" s="90"/>
      <c r="K22" s="90"/>
      <c r="L22" s="90">
        <f t="shared" si="2"/>
        <v>1</v>
      </c>
      <c r="M22" s="90">
        <f t="shared" si="3"/>
        <v>0.2</v>
      </c>
      <c r="N22" s="14" t="str">
        <f t="shared" si="4"/>
        <v/>
      </c>
      <c r="O22" s="42" t="str">
        <f t="shared" si="5"/>
        <v/>
      </c>
      <c r="P22" s="42" t="str">
        <f t="shared" si="6"/>
        <v/>
      </c>
      <c r="Q22" s="42" t="str">
        <f t="shared" si="7"/>
        <v/>
      </c>
      <c r="R22" s="42" t="str">
        <f t="shared" si="8"/>
        <v/>
      </c>
      <c r="S22" s="90" t="str">
        <f t="shared" si="9"/>
        <v/>
      </c>
      <c r="T22" s="42" t="str">
        <f t="shared" si="10"/>
        <v/>
      </c>
    </row>
    <row r="23" spans="1:20" x14ac:dyDescent="0.2">
      <c r="A23" t="str">
        <f>INDEX(Prioritization!$D:$D,MATCH($B23,Prioritization!$A:$A,0))</f>
        <v>Military</v>
      </c>
      <c r="B23" t="s">
        <v>193</v>
      </c>
      <c r="C23" t="s">
        <v>811</v>
      </c>
      <c r="D23" t="s">
        <v>29</v>
      </c>
      <c r="E23" t="str">
        <f t="shared" si="0"/>
        <v>_Military Malawi [PQZgU9dagaH]|15-17|Female</v>
      </c>
      <c r="G23" s="14"/>
      <c r="H23" s="14"/>
      <c r="I23" s="90" t="str">
        <f t="shared" si="1"/>
        <v/>
      </c>
      <c r="J23" s="90"/>
      <c r="K23" s="90"/>
      <c r="L23" s="90">
        <f t="shared" si="2"/>
        <v>1</v>
      </c>
      <c r="M23" s="90">
        <f t="shared" si="3"/>
        <v>0.2</v>
      </c>
      <c r="N23" s="14" t="str">
        <f t="shared" si="4"/>
        <v/>
      </c>
      <c r="O23" s="42" t="str">
        <f t="shared" si="5"/>
        <v/>
      </c>
      <c r="P23" s="42" t="str">
        <f t="shared" si="6"/>
        <v/>
      </c>
      <c r="Q23" s="42" t="str">
        <f t="shared" si="7"/>
        <v/>
      </c>
      <c r="R23" s="42" t="str">
        <f t="shared" si="8"/>
        <v/>
      </c>
      <c r="S23" s="90" t="str">
        <f t="shared" si="9"/>
        <v/>
      </c>
      <c r="T23" s="42" t="str">
        <f t="shared" si="10"/>
        <v/>
      </c>
    </row>
    <row r="24" spans="1:20" x14ac:dyDescent="0.2">
      <c r="A24" t="str">
        <f>INDEX(Prioritization!$D:$D,MATCH($B24,Prioritization!$A:$A,0))</f>
        <v>Military</v>
      </c>
      <c r="B24" t="s">
        <v>193</v>
      </c>
      <c r="C24" t="s">
        <v>811</v>
      </c>
      <c r="D24" t="s">
        <v>47</v>
      </c>
      <c r="E24" t="str">
        <f t="shared" si="0"/>
        <v>_Military Malawi [PQZgU9dagaH]|15-17|Male</v>
      </c>
      <c r="G24" s="14"/>
      <c r="H24" s="14"/>
      <c r="I24" s="90" t="str">
        <f t="shared" si="1"/>
        <v/>
      </c>
      <c r="J24" s="90"/>
      <c r="K24" s="90"/>
      <c r="L24" s="90">
        <f t="shared" si="2"/>
        <v>1</v>
      </c>
      <c r="M24" s="90">
        <f t="shared" si="3"/>
        <v>0.2</v>
      </c>
      <c r="N24" s="14" t="str">
        <f t="shared" si="4"/>
        <v/>
      </c>
      <c r="O24" s="42" t="str">
        <f t="shared" si="5"/>
        <v/>
      </c>
      <c r="P24" s="42" t="str">
        <f t="shared" si="6"/>
        <v/>
      </c>
      <c r="Q24" s="42" t="str">
        <f t="shared" si="7"/>
        <v/>
      </c>
      <c r="R24" s="42" t="str">
        <f t="shared" si="8"/>
        <v/>
      </c>
      <c r="S24" s="90" t="str">
        <f t="shared" si="9"/>
        <v/>
      </c>
      <c r="T24" s="42" t="str">
        <f t="shared" si="10"/>
        <v/>
      </c>
    </row>
    <row r="25" spans="1:20" x14ac:dyDescent="0.2">
      <c r="A25" t="str">
        <f>INDEX(Prioritization!$D:$D,MATCH($B25,Prioritization!$A:$A,0))</f>
        <v>Military</v>
      </c>
      <c r="B25" t="s">
        <v>193</v>
      </c>
      <c r="C25" t="s">
        <v>812</v>
      </c>
      <c r="D25" t="s">
        <v>29</v>
      </c>
      <c r="E25" t="str">
        <f t="shared" si="0"/>
        <v>_Military Malawi [PQZgU9dagaH]|18-20|Female</v>
      </c>
      <c r="G25" s="14"/>
      <c r="H25" s="14"/>
      <c r="I25" s="90" t="str">
        <f t="shared" si="1"/>
        <v/>
      </c>
      <c r="J25" s="90"/>
      <c r="K25" s="90"/>
      <c r="L25" s="90">
        <f t="shared" si="2"/>
        <v>1</v>
      </c>
      <c r="M25" s="90">
        <f t="shared" si="3"/>
        <v>0.2</v>
      </c>
      <c r="N25" s="14" t="str">
        <f t="shared" si="4"/>
        <v/>
      </c>
      <c r="O25" s="42" t="str">
        <f t="shared" si="5"/>
        <v/>
      </c>
      <c r="P25" s="42" t="str">
        <f t="shared" si="6"/>
        <v/>
      </c>
      <c r="Q25" s="42" t="str">
        <f t="shared" si="7"/>
        <v/>
      </c>
      <c r="R25" s="42" t="str">
        <f t="shared" si="8"/>
        <v/>
      </c>
      <c r="S25" s="90" t="str">
        <f t="shared" si="9"/>
        <v/>
      </c>
      <c r="T25" s="42" t="str">
        <f t="shared" si="10"/>
        <v/>
      </c>
    </row>
    <row r="26" spans="1:20" x14ac:dyDescent="0.2">
      <c r="A26" t="str">
        <f>INDEX(Prioritization!$D:$D,MATCH($B26,Prioritization!$A:$A,0))</f>
        <v>Military</v>
      </c>
      <c r="B26" t="s">
        <v>193</v>
      </c>
      <c r="C26" t="s">
        <v>812</v>
      </c>
      <c r="D26" t="s">
        <v>47</v>
      </c>
      <c r="E26" t="str">
        <f t="shared" si="0"/>
        <v>_Military Malawi [PQZgU9dagaH]|18-20|Male</v>
      </c>
      <c r="G26" s="14"/>
      <c r="H26" s="14"/>
      <c r="I26" s="90" t="str">
        <f t="shared" si="1"/>
        <v/>
      </c>
      <c r="J26" s="90"/>
      <c r="K26" s="90"/>
      <c r="L26" s="90">
        <f t="shared" si="2"/>
        <v>1</v>
      </c>
      <c r="M26" s="90">
        <f t="shared" si="3"/>
        <v>0.2</v>
      </c>
      <c r="N26" s="14" t="str">
        <f t="shared" si="4"/>
        <v/>
      </c>
      <c r="O26" s="42" t="str">
        <f t="shared" si="5"/>
        <v/>
      </c>
      <c r="P26" s="42" t="str">
        <f t="shared" si="6"/>
        <v/>
      </c>
      <c r="Q26" s="42" t="str">
        <f t="shared" si="7"/>
        <v/>
      </c>
      <c r="R26" s="42" t="str">
        <f t="shared" si="8"/>
        <v/>
      </c>
      <c r="S26" s="90" t="str">
        <f t="shared" si="9"/>
        <v/>
      </c>
      <c r="T26" s="42" t="str">
        <f t="shared" si="10"/>
        <v/>
      </c>
    </row>
    <row r="27" spans="1:20" x14ac:dyDescent="0.2">
      <c r="A27" t="str">
        <f>INDEX(Prioritization!$D:$D,MATCH($B27,Prioritization!$A:$A,0))</f>
        <v>Military</v>
      </c>
      <c r="B27" t="s">
        <v>193</v>
      </c>
      <c r="C27" t="s">
        <v>813</v>
      </c>
      <c r="D27" t="s">
        <v>29</v>
      </c>
      <c r="E27" t="str">
        <f t="shared" si="0"/>
        <v>_Military Malawi [PQZgU9dagaH]|18+|Female</v>
      </c>
      <c r="G27" s="14"/>
      <c r="H27" s="14"/>
      <c r="I27" s="90" t="str">
        <f t="shared" si="1"/>
        <v/>
      </c>
      <c r="J27" s="90"/>
      <c r="K27" s="90"/>
      <c r="L27" s="90">
        <f t="shared" si="2"/>
        <v>1</v>
      </c>
      <c r="M27" s="90">
        <f t="shared" si="3"/>
        <v>0.2</v>
      </c>
      <c r="N27" s="14" t="str">
        <f t="shared" si="4"/>
        <v/>
      </c>
      <c r="O27" s="42" t="str">
        <f t="shared" si="5"/>
        <v/>
      </c>
      <c r="P27" s="42" t="str">
        <f t="shared" si="6"/>
        <v/>
      </c>
      <c r="Q27" s="42" t="str">
        <f t="shared" si="7"/>
        <v/>
      </c>
      <c r="R27" s="42" t="str">
        <f t="shared" si="8"/>
        <v/>
      </c>
      <c r="S27" s="90" t="str">
        <f t="shared" si="9"/>
        <v/>
      </c>
      <c r="T27" s="42" t="str">
        <f t="shared" si="10"/>
        <v/>
      </c>
    </row>
    <row r="28" spans="1:20" x14ac:dyDescent="0.2">
      <c r="A28" t="str">
        <f>INDEX(Prioritization!$D:$D,MATCH($B28,Prioritization!$A:$A,0))</f>
        <v>Military</v>
      </c>
      <c r="B28" t="s">
        <v>193</v>
      </c>
      <c r="C28" t="s">
        <v>813</v>
      </c>
      <c r="D28" t="s">
        <v>47</v>
      </c>
      <c r="E28" t="str">
        <f t="shared" si="0"/>
        <v>_Military Malawi [PQZgU9dagaH]|18+|Male</v>
      </c>
      <c r="G28" s="14"/>
      <c r="H28" s="14"/>
      <c r="I28" s="90" t="str">
        <f t="shared" si="1"/>
        <v/>
      </c>
      <c r="J28" s="90"/>
      <c r="K28" s="90"/>
      <c r="L28" s="90">
        <f t="shared" si="2"/>
        <v>1</v>
      </c>
      <c r="M28" s="90">
        <f t="shared" si="3"/>
        <v>0.2</v>
      </c>
      <c r="N28" s="14" t="str">
        <f t="shared" si="4"/>
        <v/>
      </c>
      <c r="O28" s="42" t="str">
        <f t="shared" si="5"/>
        <v/>
      </c>
      <c r="P28" s="42" t="str">
        <f t="shared" si="6"/>
        <v/>
      </c>
      <c r="Q28" s="42" t="str">
        <f t="shared" si="7"/>
        <v/>
      </c>
      <c r="R28" s="42" t="str">
        <f t="shared" si="8"/>
        <v/>
      </c>
      <c r="S28" s="90" t="str">
        <f t="shared" si="9"/>
        <v/>
      </c>
      <c r="T28" s="42" t="str">
        <f t="shared" si="10"/>
        <v/>
      </c>
    </row>
    <row r="29" spans="1:20" x14ac:dyDescent="0.2">
      <c r="A29" t="str">
        <f>INDEX(Prioritization!$D:$D,MATCH($B29,Prioritization!$A:$A,0))</f>
        <v>1 - Scale-up: Saturation</v>
      </c>
      <c r="B29" t="s">
        <v>194</v>
      </c>
      <c r="C29" t="s">
        <v>315</v>
      </c>
      <c r="D29" t="s">
        <v>29</v>
      </c>
      <c r="E29" t="str">
        <f t="shared" si="0"/>
        <v>Dedza District [PekKUkKHAzY]|&lt;01|Female</v>
      </c>
      <c r="G29" s="14"/>
      <c r="H29" s="14"/>
      <c r="I29" s="90" t="str">
        <f t="shared" si="1"/>
        <v/>
      </c>
      <c r="J29" s="90"/>
      <c r="K29" s="90"/>
      <c r="L29" s="90">
        <f t="shared" si="2"/>
        <v>1</v>
      </c>
      <c r="M29" s="90">
        <f t="shared" si="3"/>
        <v>0.2</v>
      </c>
      <c r="N29" s="14" t="str">
        <f t="shared" si="4"/>
        <v/>
      </c>
      <c r="O29" s="42" t="str">
        <f t="shared" si="5"/>
        <v/>
      </c>
      <c r="P29" s="42" t="str">
        <f t="shared" si="6"/>
        <v/>
      </c>
      <c r="Q29" s="42" t="str">
        <f t="shared" si="7"/>
        <v/>
      </c>
      <c r="R29" s="42" t="str">
        <f t="shared" si="8"/>
        <v/>
      </c>
      <c r="S29" s="90" t="str">
        <f t="shared" si="9"/>
        <v/>
      </c>
      <c r="T29" s="42" t="str">
        <f t="shared" si="10"/>
        <v/>
      </c>
    </row>
    <row r="30" spans="1:20" x14ac:dyDescent="0.2">
      <c r="A30" t="str">
        <f>INDEX(Prioritization!$D:$D,MATCH($B30,Prioritization!$A:$A,0))</f>
        <v>1 - Scale-up: Saturation</v>
      </c>
      <c r="B30" t="s">
        <v>194</v>
      </c>
      <c r="C30" t="s">
        <v>315</v>
      </c>
      <c r="D30" t="s">
        <v>47</v>
      </c>
      <c r="E30" t="str">
        <f t="shared" si="0"/>
        <v>Dedza District [PekKUkKHAzY]|&lt;01|Male</v>
      </c>
      <c r="G30" s="14"/>
      <c r="H30" s="14"/>
      <c r="I30" s="90" t="str">
        <f t="shared" si="1"/>
        <v/>
      </c>
      <c r="J30" s="90"/>
      <c r="K30" s="90"/>
      <c r="L30" s="90">
        <f t="shared" si="2"/>
        <v>1</v>
      </c>
      <c r="M30" s="90">
        <f t="shared" si="3"/>
        <v>0.2</v>
      </c>
      <c r="N30" s="14" t="str">
        <f t="shared" si="4"/>
        <v/>
      </c>
      <c r="O30" s="42" t="str">
        <f t="shared" si="5"/>
        <v/>
      </c>
      <c r="P30" s="42" t="str">
        <f t="shared" si="6"/>
        <v/>
      </c>
      <c r="Q30" s="42" t="str">
        <f t="shared" si="7"/>
        <v/>
      </c>
      <c r="R30" s="42" t="str">
        <f t="shared" si="8"/>
        <v/>
      </c>
      <c r="S30" s="90" t="str">
        <f t="shared" si="9"/>
        <v/>
      </c>
      <c r="T30" s="42" t="str">
        <f t="shared" si="10"/>
        <v/>
      </c>
    </row>
    <row r="31" spans="1:20" x14ac:dyDescent="0.2">
      <c r="A31" t="str">
        <f>INDEX(Prioritization!$D:$D,MATCH($B31,Prioritization!$A:$A,0))</f>
        <v>1 - Scale-up: Saturation</v>
      </c>
      <c r="B31" t="s">
        <v>194</v>
      </c>
      <c r="C31" t="s">
        <v>809</v>
      </c>
      <c r="D31" t="s">
        <v>29</v>
      </c>
      <c r="E31" t="str">
        <f t="shared" si="0"/>
        <v>Dedza District [PekKUkKHAzY]|01-04|Female</v>
      </c>
      <c r="G31" s="14"/>
      <c r="H31" s="14"/>
      <c r="I31" s="90" t="str">
        <f t="shared" si="1"/>
        <v/>
      </c>
      <c r="J31" s="90"/>
      <c r="K31" s="90"/>
      <c r="L31" s="90">
        <f t="shared" si="2"/>
        <v>1</v>
      </c>
      <c r="M31" s="90">
        <f t="shared" si="3"/>
        <v>0.2</v>
      </c>
      <c r="N31" s="14" t="str">
        <f t="shared" si="4"/>
        <v/>
      </c>
      <c r="O31" s="42" t="str">
        <f t="shared" si="5"/>
        <v/>
      </c>
      <c r="P31" s="42" t="str">
        <f t="shared" si="6"/>
        <v/>
      </c>
      <c r="Q31" s="42" t="str">
        <f t="shared" si="7"/>
        <v/>
      </c>
      <c r="R31" s="42" t="str">
        <f t="shared" si="8"/>
        <v/>
      </c>
      <c r="S31" s="90" t="str">
        <f t="shared" si="9"/>
        <v/>
      </c>
      <c r="T31" s="42" t="str">
        <f t="shared" si="10"/>
        <v/>
      </c>
    </row>
    <row r="32" spans="1:20" x14ac:dyDescent="0.2">
      <c r="A32" t="str">
        <f>INDEX(Prioritization!$D:$D,MATCH($B32,Prioritization!$A:$A,0))</f>
        <v>1 - Scale-up: Saturation</v>
      </c>
      <c r="B32" t="s">
        <v>194</v>
      </c>
      <c r="C32" t="s">
        <v>809</v>
      </c>
      <c r="D32" t="s">
        <v>47</v>
      </c>
      <c r="E32" t="str">
        <f t="shared" si="0"/>
        <v>Dedza District [PekKUkKHAzY]|01-04|Male</v>
      </c>
      <c r="G32" s="14"/>
      <c r="H32" s="14"/>
      <c r="I32" s="90" t="str">
        <f t="shared" si="1"/>
        <v/>
      </c>
      <c r="J32" s="90"/>
      <c r="K32" s="90"/>
      <c r="L32" s="90">
        <f t="shared" si="2"/>
        <v>1</v>
      </c>
      <c r="M32" s="90">
        <f t="shared" si="3"/>
        <v>0.2</v>
      </c>
      <c r="N32" s="14" t="str">
        <f t="shared" si="4"/>
        <v/>
      </c>
      <c r="O32" s="42" t="str">
        <f t="shared" si="5"/>
        <v/>
      </c>
      <c r="P32" s="42" t="str">
        <f t="shared" si="6"/>
        <v/>
      </c>
      <c r="Q32" s="42" t="str">
        <f t="shared" si="7"/>
        <v/>
      </c>
      <c r="R32" s="42" t="str">
        <f t="shared" si="8"/>
        <v/>
      </c>
      <c r="S32" s="90" t="str">
        <f t="shared" si="9"/>
        <v/>
      </c>
      <c r="T32" s="42" t="str">
        <f t="shared" si="10"/>
        <v/>
      </c>
    </row>
    <row r="33" spans="1:20" x14ac:dyDescent="0.2">
      <c r="A33" t="str">
        <f>INDEX(Prioritization!$D:$D,MATCH($B33,Prioritization!$A:$A,0))</f>
        <v>1 - Scale-up: Saturation</v>
      </c>
      <c r="B33" t="s">
        <v>194</v>
      </c>
      <c r="C33" t="s">
        <v>810</v>
      </c>
      <c r="D33" t="s">
        <v>29</v>
      </c>
      <c r="E33" t="str">
        <f t="shared" si="0"/>
        <v>Dedza District [PekKUkKHAzY]|05-09|Female</v>
      </c>
      <c r="G33" s="14"/>
      <c r="H33" s="14"/>
      <c r="I33" s="90" t="str">
        <f t="shared" si="1"/>
        <v/>
      </c>
      <c r="J33" s="90"/>
      <c r="K33" s="90"/>
      <c r="L33" s="90">
        <f t="shared" si="2"/>
        <v>1</v>
      </c>
      <c r="M33" s="90">
        <f t="shared" si="3"/>
        <v>0.2</v>
      </c>
      <c r="N33" s="14" t="str">
        <f t="shared" si="4"/>
        <v/>
      </c>
      <c r="O33" s="42" t="str">
        <f t="shared" si="5"/>
        <v/>
      </c>
      <c r="P33" s="42" t="str">
        <f t="shared" si="6"/>
        <v/>
      </c>
      <c r="Q33" s="42" t="str">
        <f t="shared" si="7"/>
        <v/>
      </c>
      <c r="R33" s="42" t="str">
        <f t="shared" si="8"/>
        <v/>
      </c>
      <c r="S33" s="90" t="str">
        <f t="shared" si="9"/>
        <v/>
      </c>
      <c r="T33" s="42" t="str">
        <f t="shared" si="10"/>
        <v/>
      </c>
    </row>
    <row r="34" spans="1:20" x14ac:dyDescent="0.2">
      <c r="A34" t="str">
        <f>INDEX(Prioritization!$D:$D,MATCH($B34,Prioritization!$A:$A,0))</f>
        <v>1 - Scale-up: Saturation</v>
      </c>
      <c r="B34" t="s">
        <v>194</v>
      </c>
      <c r="C34" t="s">
        <v>810</v>
      </c>
      <c r="D34" t="s">
        <v>47</v>
      </c>
      <c r="E34" t="str">
        <f t="shared" si="0"/>
        <v>Dedza District [PekKUkKHAzY]|05-09|Male</v>
      </c>
      <c r="G34" s="14"/>
      <c r="H34" s="14"/>
      <c r="I34" s="90" t="str">
        <f t="shared" si="1"/>
        <v/>
      </c>
      <c r="J34" s="90"/>
      <c r="K34" s="90"/>
      <c r="L34" s="90">
        <f t="shared" si="2"/>
        <v>1</v>
      </c>
      <c r="M34" s="90">
        <f t="shared" si="3"/>
        <v>0.2</v>
      </c>
      <c r="N34" s="14" t="str">
        <f t="shared" si="4"/>
        <v/>
      </c>
      <c r="O34" s="42" t="str">
        <f t="shared" si="5"/>
        <v/>
      </c>
      <c r="P34" s="42" t="str">
        <f t="shared" si="6"/>
        <v/>
      </c>
      <c r="Q34" s="42" t="str">
        <f t="shared" si="7"/>
        <v/>
      </c>
      <c r="R34" s="42" t="str">
        <f t="shared" si="8"/>
        <v/>
      </c>
      <c r="S34" s="90" t="str">
        <f t="shared" si="9"/>
        <v/>
      </c>
      <c r="T34" s="42" t="str">
        <f t="shared" si="10"/>
        <v/>
      </c>
    </row>
    <row r="35" spans="1:20" x14ac:dyDescent="0.2">
      <c r="A35" t="str">
        <f>INDEX(Prioritization!$D:$D,MATCH($B35,Prioritization!$A:$A,0))</f>
        <v>1 - Scale-up: Saturation</v>
      </c>
      <c r="B35" t="s">
        <v>194</v>
      </c>
      <c r="C35" t="s">
        <v>363</v>
      </c>
      <c r="D35" t="s">
        <v>29</v>
      </c>
      <c r="E35" t="str">
        <f t="shared" si="0"/>
        <v>Dedza District [PekKUkKHAzY]|10-14|Female</v>
      </c>
      <c r="G35" s="14"/>
      <c r="H35" s="14">
        <v>10</v>
      </c>
      <c r="I35" s="90">
        <f t="shared" si="1"/>
        <v>0</v>
      </c>
      <c r="J35" s="90"/>
      <c r="K35" s="90"/>
      <c r="L35" s="90">
        <f t="shared" si="2"/>
        <v>1</v>
      </c>
      <c r="M35" s="90">
        <f t="shared" si="3"/>
        <v>0.2</v>
      </c>
      <c r="N35" s="14">
        <f t="shared" si="4"/>
        <v>10</v>
      </c>
      <c r="O35" s="42" t="str">
        <f t="shared" si="5"/>
        <v/>
      </c>
      <c r="P35" s="42" t="str">
        <f t="shared" si="6"/>
        <v/>
      </c>
      <c r="Q35" s="42">
        <f t="shared" si="7"/>
        <v>2</v>
      </c>
      <c r="R35" s="42">
        <f t="shared" si="8"/>
        <v>8</v>
      </c>
      <c r="S35" s="90">
        <f t="shared" si="9"/>
        <v>1</v>
      </c>
      <c r="T35" s="42">
        <f t="shared" si="10"/>
        <v>10</v>
      </c>
    </row>
    <row r="36" spans="1:20" x14ac:dyDescent="0.2">
      <c r="A36" t="str">
        <f>INDEX(Prioritization!$D:$D,MATCH($B36,Prioritization!$A:$A,0))</f>
        <v>1 - Scale-up: Saturation</v>
      </c>
      <c r="B36" t="s">
        <v>194</v>
      </c>
      <c r="C36" t="s">
        <v>363</v>
      </c>
      <c r="D36" t="s">
        <v>47</v>
      </c>
      <c r="E36" t="str">
        <f t="shared" si="0"/>
        <v>Dedza District [PekKUkKHAzY]|10-14|Male</v>
      </c>
      <c r="G36" s="14"/>
      <c r="H36" s="14">
        <v>1</v>
      </c>
      <c r="I36" s="90">
        <f t="shared" si="1"/>
        <v>0</v>
      </c>
      <c r="J36" s="90"/>
      <c r="K36" s="90"/>
      <c r="L36" s="90">
        <f t="shared" si="2"/>
        <v>1</v>
      </c>
      <c r="M36" s="90">
        <f t="shared" si="3"/>
        <v>0.2</v>
      </c>
      <c r="N36" s="14">
        <f t="shared" si="4"/>
        <v>1</v>
      </c>
      <c r="O36" s="42" t="str">
        <f t="shared" si="5"/>
        <v/>
      </c>
      <c r="P36" s="42" t="str">
        <f t="shared" si="6"/>
        <v/>
      </c>
      <c r="Q36" s="42" t="str">
        <f t="shared" si="7"/>
        <v/>
      </c>
      <c r="R36" s="42" t="str">
        <f t="shared" si="8"/>
        <v/>
      </c>
      <c r="S36" s="90" t="str">
        <f t="shared" si="9"/>
        <v/>
      </c>
      <c r="T36" s="42" t="str">
        <f t="shared" si="10"/>
        <v/>
      </c>
    </row>
    <row r="37" spans="1:20" x14ac:dyDescent="0.2">
      <c r="A37" t="str">
        <f>INDEX(Prioritization!$D:$D,MATCH($B37,Prioritization!$A:$A,0))</f>
        <v>1 - Scale-up: Saturation</v>
      </c>
      <c r="B37" t="s">
        <v>194</v>
      </c>
      <c r="C37" t="s">
        <v>811</v>
      </c>
      <c r="D37" t="s">
        <v>29</v>
      </c>
      <c r="E37" t="str">
        <f t="shared" si="0"/>
        <v>Dedza District [PekKUkKHAzY]|15-17|Female</v>
      </c>
      <c r="G37" s="14"/>
      <c r="H37" s="14"/>
      <c r="I37" s="90" t="str">
        <f t="shared" si="1"/>
        <v/>
      </c>
      <c r="J37" s="90"/>
      <c r="K37" s="90"/>
      <c r="L37" s="90">
        <f t="shared" si="2"/>
        <v>1</v>
      </c>
      <c r="M37" s="90">
        <f t="shared" si="3"/>
        <v>0.2</v>
      </c>
      <c r="N37" s="14" t="str">
        <f t="shared" si="4"/>
        <v/>
      </c>
      <c r="O37" s="42" t="str">
        <f t="shared" si="5"/>
        <v/>
      </c>
      <c r="P37" s="42" t="str">
        <f t="shared" si="6"/>
        <v/>
      </c>
      <c r="Q37" s="42" t="str">
        <f t="shared" si="7"/>
        <v/>
      </c>
      <c r="R37" s="42" t="str">
        <f t="shared" si="8"/>
        <v/>
      </c>
      <c r="S37" s="90" t="str">
        <f t="shared" si="9"/>
        <v/>
      </c>
      <c r="T37" s="42" t="str">
        <f t="shared" si="10"/>
        <v/>
      </c>
    </row>
    <row r="38" spans="1:20" x14ac:dyDescent="0.2">
      <c r="A38" t="str">
        <f>INDEX(Prioritization!$D:$D,MATCH($B38,Prioritization!$A:$A,0))</f>
        <v>1 - Scale-up: Saturation</v>
      </c>
      <c r="B38" t="s">
        <v>194</v>
      </c>
      <c r="C38" t="s">
        <v>811</v>
      </c>
      <c r="D38" t="s">
        <v>47</v>
      </c>
      <c r="E38" t="str">
        <f t="shared" si="0"/>
        <v>Dedza District [PekKUkKHAzY]|15-17|Male</v>
      </c>
      <c r="G38" s="14"/>
      <c r="H38" s="14"/>
      <c r="I38" s="90" t="str">
        <f t="shared" si="1"/>
        <v/>
      </c>
      <c r="J38" s="90"/>
      <c r="K38" s="90"/>
      <c r="L38" s="90">
        <f t="shared" si="2"/>
        <v>1</v>
      </c>
      <c r="M38" s="90">
        <f t="shared" si="3"/>
        <v>0.2</v>
      </c>
      <c r="N38" s="14" t="str">
        <f t="shared" si="4"/>
        <v/>
      </c>
      <c r="O38" s="42" t="str">
        <f t="shared" si="5"/>
        <v/>
      </c>
      <c r="P38" s="42" t="str">
        <f t="shared" si="6"/>
        <v/>
      </c>
      <c r="Q38" s="42" t="str">
        <f t="shared" si="7"/>
        <v/>
      </c>
      <c r="R38" s="42" t="str">
        <f t="shared" si="8"/>
        <v/>
      </c>
      <c r="S38" s="90" t="str">
        <f t="shared" si="9"/>
        <v/>
      </c>
      <c r="T38" s="42" t="str">
        <f t="shared" si="10"/>
        <v/>
      </c>
    </row>
    <row r="39" spans="1:20" x14ac:dyDescent="0.2">
      <c r="A39" t="str">
        <f>INDEX(Prioritization!$D:$D,MATCH($B39,Prioritization!$A:$A,0))</f>
        <v>1 - Scale-up: Saturation</v>
      </c>
      <c r="B39" t="s">
        <v>194</v>
      </c>
      <c r="C39" t="s">
        <v>812</v>
      </c>
      <c r="D39" t="s">
        <v>29</v>
      </c>
      <c r="E39" t="str">
        <f t="shared" si="0"/>
        <v>Dedza District [PekKUkKHAzY]|18-20|Female</v>
      </c>
      <c r="G39" s="14"/>
      <c r="H39" s="14"/>
      <c r="I39" s="90" t="str">
        <f t="shared" si="1"/>
        <v/>
      </c>
      <c r="J39" s="90"/>
      <c r="K39" s="90"/>
      <c r="L39" s="90">
        <f t="shared" si="2"/>
        <v>1</v>
      </c>
      <c r="M39" s="90">
        <f t="shared" si="3"/>
        <v>0.2</v>
      </c>
      <c r="N39" s="14" t="str">
        <f t="shared" si="4"/>
        <v/>
      </c>
      <c r="O39" s="42" t="str">
        <f t="shared" si="5"/>
        <v/>
      </c>
      <c r="P39" s="42" t="str">
        <f t="shared" si="6"/>
        <v/>
      </c>
      <c r="Q39" s="42" t="str">
        <f t="shared" si="7"/>
        <v/>
      </c>
      <c r="R39" s="42" t="str">
        <f t="shared" si="8"/>
        <v/>
      </c>
      <c r="S39" s="90" t="str">
        <f t="shared" si="9"/>
        <v/>
      </c>
      <c r="T39" s="42" t="str">
        <f t="shared" si="10"/>
        <v/>
      </c>
    </row>
    <row r="40" spans="1:20" x14ac:dyDescent="0.2">
      <c r="A40" t="str">
        <f>INDEX(Prioritization!$D:$D,MATCH($B40,Prioritization!$A:$A,0))</f>
        <v>1 - Scale-up: Saturation</v>
      </c>
      <c r="B40" t="s">
        <v>194</v>
      </c>
      <c r="C40" t="s">
        <v>812</v>
      </c>
      <c r="D40" t="s">
        <v>47</v>
      </c>
      <c r="E40" t="str">
        <f t="shared" si="0"/>
        <v>Dedza District [PekKUkKHAzY]|18-20|Male</v>
      </c>
      <c r="G40" s="14"/>
      <c r="H40" s="14"/>
      <c r="I40" s="90" t="str">
        <f t="shared" si="1"/>
        <v/>
      </c>
      <c r="J40" s="90"/>
      <c r="K40" s="90"/>
      <c r="L40" s="90">
        <f t="shared" si="2"/>
        <v>1</v>
      </c>
      <c r="M40" s="90">
        <f t="shared" si="3"/>
        <v>0.2</v>
      </c>
      <c r="N40" s="14" t="str">
        <f t="shared" si="4"/>
        <v/>
      </c>
      <c r="O40" s="42" t="str">
        <f t="shared" si="5"/>
        <v/>
      </c>
      <c r="P40" s="42" t="str">
        <f t="shared" si="6"/>
        <v/>
      </c>
      <c r="Q40" s="42" t="str">
        <f t="shared" si="7"/>
        <v/>
      </c>
      <c r="R40" s="42" t="str">
        <f t="shared" si="8"/>
        <v/>
      </c>
      <c r="S40" s="90" t="str">
        <f t="shared" si="9"/>
        <v/>
      </c>
      <c r="T40" s="42" t="str">
        <f t="shared" si="10"/>
        <v/>
      </c>
    </row>
    <row r="41" spans="1:20" x14ac:dyDescent="0.2">
      <c r="A41" t="str">
        <f>INDEX(Prioritization!$D:$D,MATCH($B41,Prioritization!$A:$A,0))</f>
        <v>1 - Scale-up: Saturation</v>
      </c>
      <c r="B41" t="s">
        <v>194</v>
      </c>
      <c r="C41" t="s">
        <v>813</v>
      </c>
      <c r="D41" t="s">
        <v>29</v>
      </c>
      <c r="E41" t="str">
        <f t="shared" si="0"/>
        <v>Dedza District [PekKUkKHAzY]|18+|Female</v>
      </c>
      <c r="G41" s="14"/>
      <c r="H41" s="14"/>
      <c r="I41" s="90" t="str">
        <f t="shared" si="1"/>
        <v/>
      </c>
      <c r="J41" s="90"/>
      <c r="K41" s="90"/>
      <c r="L41" s="90">
        <f t="shared" si="2"/>
        <v>1</v>
      </c>
      <c r="M41" s="90">
        <f t="shared" si="3"/>
        <v>0.2</v>
      </c>
      <c r="N41" s="14" t="str">
        <f t="shared" si="4"/>
        <v/>
      </c>
      <c r="O41" s="42" t="str">
        <f t="shared" si="5"/>
        <v/>
      </c>
      <c r="P41" s="42" t="str">
        <f t="shared" si="6"/>
        <v/>
      </c>
      <c r="Q41" s="42" t="str">
        <f t="shared" si="7"/>
        <v/>
      </c>
      <c r="R41" s="42" t="str">
        <f t="shared" si="8"/>
        <v/>
      </c>
      <c r="S41" s="90" t="str">
        <f t="shared" si="9"/>
        <v/>
      </c>
      <c r="T41" s="42" t="str">
        <f t="shared" si="10"/>
        <v/>
      </c>
    </row>
    <row r="42" spans="1:20" x14ac:dyDescent="0.2">
      <c r="A42" t="str">
        <f>INDEX(Prioritization!$D:$D,MATCH($B42,Prioritization!$A:$A,0))</f>
        <v>1 - Scale-up: Saturation</v>
      </c>
      <c r="B42" t="s">
        <v>194</v>
      </c>
      <c r="C42" t="s">
        <v>813</v>
      </c>
      <c r="D42" t="s">
        <v>47</v>
      </c>
      <c r="E42" t="str">
        <f t="shared" si="0"/>
        <v>Dedza District [PekKUkKHAzY]|18+|Male</v>
      </c>
      <c r="G42" s="14"/>
      <c r="H42" s="14"/>
      <c r="I42" s="90" t="str">
        <f t="shared" si="1"/>
        <v/>
      </c>
      <c r="J42" s="90"/>
      <c r="K42" s="90"/>
      <c r="L42" s="90">
        <f t="shared" si="2"/>
        <v>1</v>
      </c>
      <c r="M42" s="90">
        <f t="shared" si="3"/>
        <v>0.2</v>
      </c>
      <c r="N42" s="14" t="str">
        <f t="shared" si="4"/>
        <v/>
      </c>
      <c r="O42" s="42" t="str">
        <f t="shared" si="5"/>
        <v/>
      </c>
      <c r="P42" s="42" t="str">
        <f t="shared" si="6"/>
        <v/>
      </c>
      <c r="Q42" s="42" t="str">
        <f t="shared" si="7"/>
        <v/>
      </c>
      <c r="R42" s="42" t="str">
        <f t="shared" si="8"/>
        <v/>
      </c>
      <c r="S42" s="90" t="str">
        <f t="shared" si="9"/>
        <v/>
      </c>
      <c r="T42" s="42" t="str">
        <f t="shared" si="10"/>
        <v/>
      </c>
    </row>
    <row r="43" spans="1:20" x14ac:dyDescent="0.2">
      <c r="A43" t="str">
        <f>INDEX(Prioritization!$D:$D,MATCH($B43,Prioritization!$A:$A,0))</f>
        <v>1 - Scale-up: Saturation</v>
      </c>
      <c r="B43" t="s">
        <v>195</v>
      </c>
      <c r="C43" t="s">
        <v>315</v>
      </c>
      <c r="D43" t="s">
        <v>29</v>
      </c>
      <c r="E43" t="str">
        <f t="shared" si="0"/>
        <v>Dowa District [zphK9WV8JB4]|&lt;01|Female</v>
      </c>
      <c r="G43" s="14"/>
      <c r="H43" s="14"/>
      <c r="I43" s="90" t="str">
        <f t="shared" si="1"/>
        <v/>
      </c>
      <c r="J43" s="90"/>
      <c r="K43" s="90"/>
      <c r="L43" s="90">
        <f t="shared" si="2"/>
        <v>1</v>
      </c>
      <c r="M43" s="90">
        <f t="shared" si="3"/>
        <v>0.2</v>
      </c>
      <c r="N43" s="14" t="str">
        <f t="shared" si="4"/>
        <v/>
      </c>
      <c r="O43" s="42" t="str">
        <f t="shared" si="5"/>
        <v/>
      </c>
      <c r="P43" s="42" t="str">
        <f t="shared" si="6"/>
        <v/>
      </c>
      <c r="Q43" s="42" t="str">
        <f t="shared" si="7"/>
        <v/>
      </c>
      <c r="R43" s="42" t="str">
        <f t="shared" si="8"/>
        <v/>
      </c>
      <c r="S43" s="90" t="str">
        <f t="shared" si="9"/>
        <v/>
      </c>
      <c r="T43" s="42" t="str">
        <f t="shared" si="10"/>
        <v/>
      </c>
    </row>
    <row r="44" spans="1:20" x14ac:dyDescent="0.2">
      <c r="A44" t="str">
        <f>INDEX(Prioritization!$D:$D,MATCH($B44,Prioritization!$A:$A,0))</f>
        <v>1 - Scale-up: Saturation</v>
      </c>
      <c r="B44" t="s">
        <v>195</v>
      </c>
      <c r="C44" t="s">
        <v>315</v>
      </c>
      <c r="D44" t="s">
        <v>47</v>
      </c>
      <c r="E44" t="str">
        <f t="shared" si="0"/>
        <v>Dowa District [zphK9WV8JB4]|&lt;01|Male</v>
      </c>
      <c r="G44" s="14"/>
      <c r="H44" s="14"/>
      <c r="I44" s="90" t="str">
        <f t="shared" si="1"/>
        <v/>
      </c>
      <c r="J44" s="90"/>
      <c r="K44" s="90"/>
      <c r="L44" s="90">
        <f t="shared" si="2"/>
        <v>1</v>
      </c>
      <c r="M44" s="90">
        <f t="shared" si="3"/>
        <v>0.2</v>
      </c>
      <c r="N44" s="14" t="str">
        <f t="shared" si="4"/>
        <v/>
      </c>
      <c r="O44" s="42" t="str">
        <f t="shared" si="5"/>
        <v/>
      </c>
      <c r="P44" s="42" t="str">
        <f t="shared" si="6"/>
        <v/>
      </c>
      <c r="Q44" s="42" t="str">
        <f t="shared" si="7"/>
        <v/>
      </c>
      <c r="R44" s="42" t="str">
        <f t="shared" si="8"/>
        <v/>
      </c>
      <c r="S44" s="90" t="str">
        <f t="shared" si="9"/>
        <v/>
      </c>
      <c r="T44" s="42" t="str">
        <f t="shared" si="10"/>
        <v/>
      </c>
    </row>
    <row r="45" spans="1:20" x14ac:dyDescent="0.2">
      <c r="A45" t="str">
        <f>INDEX(Prioritization!$D:$D,MATCH($B45,Prioritization!$A:$A,0))</f>
        <v>1 - Scale-up: Saturation</v>
      </c>
      <c r="B45" t="s">
        <v>195</v>
      </c>
      <c r="C45" t="s">
        <v>809</v>
      </c>
      <c r="D45" t="s">
        <v>29</v>
      </c>
      <c r="E45" t="str">
        <f t="shared" si="0"/>
        <v>Dowa District [zphK9WV8JB4]|01-04|Female</v>
      </c>
      <c r="G45" s="14"/>
      <c r="H45" s="14"/>
      <c r="I45" s="90" t="str">
        <f t="shared" si="1"/>
        <v/>
      </c>
      <c r="J45" s="90"/>
      <c r="K45" s="90"/>
      <c r="L45" s="90">
        <f t="shared" si="2"/>
        <v>1</v>
      </c>
      <c r="M45" s="90">
        <f t="shared" si="3"/>
        <v>0.2</v>
      </c>
      <c r="N45" s="14" t="str">
        <f t="shared" si="4"/>
        <v/>
      </c>
      <c r="O45" s="42" t="str">
        <f t="shared" si="5"/>
        <v/>
      </c>
      <c r="P45" s="42" t="str">
        <f t="shared" si="6"/>
        <v/>
      </c>
      <c r="Q45" s="42" t="str">
        <f t="shared" si="7"/>
        <v/>
      </c>
      <c r="R45" s="42" t="str">
        <f t="shared" si="8"/>
        <v/>
      </c>
      <c r="S45" s="90" t="str">
        <f t="shared" si="9"/>
        <v/>
      </c>
      <c r="T45" s="42" t="str">
        <f t="shared" si="10"/>
        <v/>
      </c>
    </row>
    <row r="46" spans="1:20" x14ac:dyDescent="0.2">
      <c r="A46" t="str">
        <f>INDEX(Prioritization!$D:$D,MATCH($B46,Prioritization!$A:$A,0))</f>
        <v>1 - Scale-up: Saturation</v>
      </c>
      <c r="B46" t="s">
        <v>195</v>
      </c>
      <c r="C46" t="s">
        <v>809</v>
      </c>
      <c r="D46" t="s">
        <v>47</v>
      </c>
      <c r="E46" t="str">
        <f t="shared" si="0"/>
        <v>Dowa District [zphK9WV8JB4]|01-04|Male</v>
      </c>
      <c r="G46" s="14"/>
      <c r="H46" s="14"/>
      <c r="I46" s="90" t="str">
        <f t="shared" si="1"/>
        <v/>
      </c>
      <c r="J46" s="90"/>
      <c r="K46" s="90"/>
      <c r="L46" s="90">
        <f t="shared" si="2"/>
        <v>1</v>
      </c>
      <c r="M46" s="90">
        <f t="shared" si="3"/>
        <v>0.2</v>
      </c>
      <c r="N46" s="14" t="str">
        <f t="shared" si="4"/>
        <v/>
      </c>
      <c r="O46" s="42" t="str">
        <f t="shared" si="5"/>
        <v/>
      </c>
      <c r="P46" s="42" t="str">
        <f t="shared" si="6"/>
        <v/>
      </c>
      <c r="Q46" s="42" t="str">
        <f t="shared" si="7"/>
        <v/>
      </c>
      <c r="R46" s="42" t="str">
        <f t="shared" si="8"/>
        <v/>
      </c>
      <c r="S46" s="90" t="str">
        <f t="shared" si="9"/>
        <v/>
      </c>
      <c r="T46" s="42" t="str">
        <f t="shared" si="10"/>
        <v/>
      </c>
    </row>
    <row r="47" spans="1:20" x14ac:dyDescent="0.2">
      <c r="A47" t="str">
        <f>INDEX(Prioritization!$D:$D,MATCH($B47,Prioritization!$A:$A,0))</f>
        <v>1 - Scale-up: Saturation</v>
      </c>
      <c r="B47" t="s">
        <v>195</v>
      </c>
      <c r="C47" t="s">
        <v>810</v>
      </c>
      <c r="D47" t="s">
        <v>29</v>
      </c>
      <c r="E47" t="str">
        <f t="shared" si="0"/>
        <v>Dowa District [zphK9WV8JB4]|05-09|Female</v>
      </c>
      <c r="G47" s="14"/>
      <c r="H47" s="14"/>
      <c r="I47" s="90" t="str">
        <f t="shared" si="1"/>
        <v/>
      </c>
      <c r="J47" s="90"/>
      <c r="K47" s="90"/>
      <c r="L47" s="90">
        <f t="shared" si="2"/>
        <v>1</v>
      </c>
      <c r="M47" s="90">
        <f t="shared" si="3"/>
        <v>0.2</v>
      </c>
      <c r="N47" s="14" t="str">
        <f t="shared" si="4"/>
        <v/>
      </c>
      <c r="O47" s="42" t="str">
        <f t="shared" si="5"/>
        <v/>
      </c>
      <c r="P47" s="42" t="str">
        <f t="shared" si="6"/>
        <v/>
      </c>
      <c r="Q47" s="42" t="str">
        <f t="shared" si="7"/>
        <v/>
      </c>
      <c r="R47" s="42" t="str">
        <f t="shared" si="8"/>
        <v/>
      </c>
      <c r="S47" s="90" t="str">
        <f t="shared" si="9"/>
        <v/>
      </c>
      <c r="T47" s="42" t="str">
        <f t="shared" si="10"/>
        <v/>
      </c>
    </row>
    <row r="48" spans="1:20" x14ac:dyDescent="0.2">
      <c r="A48" t="str">
        <f>INDEX(Prioritization!$D:$D,MATCH($B48,Prioritization!$A:$A,0))</f>
        <v>1 - Scale-up: Saturation</v>
      </c>
      <c r="B48" t="s">
        <v>195</v>
      </c>
      <c r="C48" t="s">
        <v>810</v>
      </c>
      <c r="D48" t="s">
        <v>47</v>
      </c>
      <c r="E48" t="str">
        <f t="shared" si="0"/>
        <v>Dowa District [zphK9WV8JB4]|05-09|Male</v>
      </c>
      <c r="G48" s="14"/>
      <c r="H48" s="14"/>
      <c r="I48" s="90" t="str">
        <f t="shared" si="1"/>
        <v/>
      </c>
      <c r="J48" s="90"/>
      <c r="K48" s="90"/>
      <c r="L48" s="90">
        <f t="shared" si="2"/>
        <v>1</v>
      </c>
      <c r="M48" s="90">
        <f t="shared" si="3"/>
        <v>0.2</v>
      </c>
      <c r="N48" s="14" t="str">
        <f t="shared" si="4"/>
        <v/>
      </c>
      <c r="O48" s="42" t="str">
        <f t="shared" si="5"/>
        <v/>
      </c>
      <c r="P48" s="42" t="str">
        <f t="shared" si="6"/>
        <v/>
      </c>
      <c r="Q48" s="42" t="str">
        <f t="shared" si="7"/>
        <v/>
      </c>
      <c r="R48" s="42" t="str">
        <f t="shared" si="8"/>
        <v/>
      </c>
      <c r="S48" s="90" t="str">
        <f t="shared" si="9"/>
        <v/>
      </c>
      <c r="T48" s="42" t="str">
        <f t="shared" si="10"/>
        <v/>
      </c>
    </row>
    <row r="49" spans="1:20" x14ac:dyDescent="0.2">
      <c r="A49" t="str">
        <f>INDEX(Prioritization!$D:$D,MATCH($B49,Prioritization!$A:$A,0))</f>
        <v>1 - Scale-up: Saturation</v>
      </c>
      <c r="B49" t="s">
        <v>195</v>
      </c>
      <c r="C49" t="s">
        <v>363</v>
      </c>
      <c r="D49" t="s">
        <v>29</v>
      </c>
      <c r="E49" t="str">
        <f t="shared" si="0"/>
        <v>Dowa District [zphK9WV8JB4]|10-14|Female</v>
      </c>
      <c r="G49" s="14"/>
      <c r="H49" s="14"/>
      <c r="I49" s="90" t="str">
        <f t="shared" si="1"/>
        <v/>
      </c>
      <c r="J49" s="90"/>
      <c r="K49" s="90"/>
      <c r="L49" s="90">
        <f t="shared" si="2"/>
        <v>1</v>
      </c>
      <c r="M49" s="90">
        <f t="shared" si="3"/>
        <v>0.2</v>
      </c>
      <c r="N49" s="14" t="str">
        <f t="shared" si="4"/>
        <v/>
      </c>
      <c r="O49" s="42" t="str">
        <f t="shared" si="5"/>
        <v/>
      </c>
      <c r="P49" s="42" t="str">
        <f t="shared" si="6"/>
        <v/>
      </c>
      <c r="Q49" s="42" t="str">
        <f t="shared" si="7"/>
        <v/>
      </c>
      <c r="R49" s="42" t="str">
        <f t="shared" si="8"/>
        <v/>
      </c>
      <c r="S49" s="90" t="str">
        <f t="shared" si="9"/>
        <v/>
      </c>
      <c r="T49" s="42" t="str">
        <f t="shared" si="10"/>
        <v/>
      </c>
    </row>
    <row r="50" spans="1:20" x14ac:dyDescent="0.2">
      <c r="A50" t="str">
        <f>INDEX(Prioritization!$D:$D,MATCH($B50,Prioritization!$A:$A,0))</f>
        <v>1 - Scale-up: Saturation</v>
      </c>
      <c r="B50" t="s">
        <v>195</v>
      </c>
      <c r="C50" t="s">
        <v>363</v>
      </c>
      <c r="D50" t="s">
        <v>47</v>
      </c>
      <c r="E50" t="str">
        <f t="shared" si="0"/>
        <v>Dowa District [zphK9WV8JB4]|10-14|Male</v>
      </c>
      <c r="G50" s="14"/>
      <c r="H50" s="14"/>
      <c r="I50" s="90" t="str">
        <f t="shared" si="1"/>
        <v/>
      </c>
      <c r="J50" s="90"/>
      <c r="K50" s="90"/>
      <c r="L50" s="90">
        <f t="shared" si="2"/>
        <v>1</v>
      </c>
      <c r="M50" s="90">
        <f t="shared" si="3"/>
        <v>0.2</v>
      </c>
      <c r="N50" s="14" t="str">
        <f t="shared" si="4"/>
        <v/>
      </c>
      <c r="O50" s="42" t="str">
        <f t="shared" si="5"/>
        <v/>
      </c>
      <c r="P50" s="42" t="str">
        <f t="shared" si="6"/>
        <v/>
      </c>
      <c r="Q50" s="42" t="str">
        <f t="shared" si="7"/>
        <v/>
      </c>
      <c r="R50" s="42" t="str">
        <f t="shared" si="8"/>
        <v/>
      </c>
      <c r="S50" s="90" t="str">
        <f t="shared" si="9"/>
        <v/>
      </c>
      <c r="T50" s="42" t="str">
        <f t="shared" si="10"/>
        <v/>
      </c>
    </row>
    <row r="51" spans="1:20" x14ac:dyDescent="0.2">
      <c r="A51" t="str">
        <f>INDEX(Prioritization!$D:$D,MATCH($B51,Prioritization!$A:$A,0))</f>
        <v>1 - Scale-up: Saturation</v>
      </c>
      <c r="B51" t="s">
        <v>195</v>
      </c>
      <c r="C51" t="s">
        <v>811</v>
      </c>
      <c r="D51" t="s">
        <v>29</v>
      </c>
      <c r="E51" t="str">
        <f t="shared" si="0"/>
        <v>Dowa District [zphK9WV8JB4]|15-17|Female</v>
      </c>
      <c r="G51" s="14"/>
      <c r="H51" s="14"/>
      <c r="I51" s="90" t="str">
        <f t="shared" si="1"/>
        <v/>
      </c>
      <c r="J51" s="90"/>
      <c r="K51" s="90"/>
      <c r="L51" s="90">
        <f t="shared" si="2"/>
        <v>1</v>
      </c>
      <c r="M51" s="90">
        <f t="shared" si="3"/>
        <v>0.2</v>
      </c>
      <c r="N51" s="14" t="str">
        <f t="shared" si="4"/>
        <v/>
      </c>
      <c r="O51" s="42" t="str">
        <f t="shared" si="5"/>
        <v/>
      </c>
      <c r="P51" s="42" t="str">
        <f t="shared" si="6"/>
        <v/>
      </c>
      <c r="Q51" s="42" t="str">
        <f t="shared" si="7"/>
        <v/>
      </c>
      <c r="R51" s="42" t="str">
        <f t="shared" si="8"/>
        <v/>
      </c>
      <c r="S51" s="90" t="str">
        <f t="shared" si="9"/>
        <v/>
      </c>
      <c r="T51" s="42" t="str">
        <f t="shared" si="10"/>
        <v/>
      </c>
    </row>
    <row r="52" spans="1:20" x14ac:dyDescent="0.2">
      <c r="A52" t="str">
        <f>INDEX(Prioritization!$D:$D,MATCH($B52,Prioritization!$A:$A,0))</f>
        <v>1 - Scale-up: Saturation</v>
      </c>
      <c r="B52" t="s">
        <v>195</v>
      </c>
      <c r="C52" t="s">
        <v>811</v>
      </c>
      <c r="D52" t="s">
        <v>47</v>
      </c>
      <c r="E52" t="str">
        <f t="shared" si="0"/>
        <v>Dowa District [zphK9WV8JB4]|15-17|Male</v>
      </c>
      <c r="G52" s="14"/>
      <c r="H52" s="14"/>
      <c r="I52" s="90" t="str">
        <f t="shared" si="1"/>
        <v/>
      </c>
      <c r="J52" s="90"/>
      <c r="K52" s="90"/>
      <c r="L52" s="90">
        <f t="shared" si="2"/>
        <v>1</v>
      </c>
      <c r="M52" s="90">
        <f t="shared" si="3"/>
        <v>0.2</v>
      </c>
      <c r="N52" s="14" t="str">
        <f t="shared" si="4"/>
        <v/>
      </c>
      <c r="O52" s="42" t="str">
        <f t="shared" si="5"/>
        <v/>
      </c>
      <c r="P52" s="42" t="str">
        <f t="shared" si="6"/>
        <v/>
      </c>
      <c r="Q52" s="42" t="str">
        <f t="shared" si="7"/>
        <v/>
      </c>
      <c r="R52" s="42" t="str">
        <f t="shared" si="8"/>
        <v/>
      </c>
      <c r="S52" s="90" t="str">
        <f t="shared" si="9"/>
        <v/>
      </c>
      <c r="T52" s="42" t="str">
        <f t="shared" si="10"/>
        <v/>
      </c>
    </row>
    <row r="53" spans="1:20" x14ac:dyDescent="0.2">
      <c r="A53" t="str">
        <f>INDEX(Prioritization!$D:$D,MATCH($B53,Prioritization!$A:$A,0))</f>
        <v>1 - Scale-up: Saturation</v>
      </c>
      <c r="B53" t="s">
        <v>195</v>
      </c>
      <c r="C53" t="s">
        <v>812</v>
      </c>
      <c r="D53" t="s">
        <v>29</v>
      </c>
      <c r="E53" t="str">
        <f t="shared" si="0"/>
        <v>Dowa District [zphK9WV8JB4]|18-20|Female</v>
      </c>
      <c r="G53" s="14"/>
      <c r="H53" s="14"/>
      <c r="I53" s="90" t="str">
        <f t="shared" si="1"/>
        <v/>
      </c>
      <c r="J53" s="90"/>
      <c r="K53" s="90"/>
      <c r="L53" s="90">
        <f t="shared" si="2"/>
        <v>1</v>
      </c>
      <c r="M53" s="90">
        <f t="shared" si="3"/>
        <v>0.2</v>
      </c>
      <c r="N53" s="14" t="str">
        <f t="shared" si="4"/>
        <v/>
      </c>
      <c r="O53" s="42" t="str">
        <f t="shared" si="5"/>
        <v/>
      </c>
      <c r="P53" s="42" t="str">
        <f t="shared" si="6"/>
        <v/>
      </c>
      <c r="Q53" s="42" t="str">
        <f t="shared" si="7"/>
        <v/>
      </c>
      <c r="R53" s="42" t="str">
        <f t="shared" si="8"/>
        <v/>
      </c>
      <c r="S53" s="90" t="str">
        <f t="shared" si="9"/>
        <v/>
      </c>
      <c r="T53" s="42" t="str">
        <f t="shared" si="10"/>
        <v/>
      </c>
    </row>
    <row r="54" spans="1:20" x14ac:dyDescent="0.2">
      <c r="A54" t="str">
        <f>INDEX(Prioritization!$D:$D,MATCH($B54,Prioritization!$A:$A,0))</f>
        <v>1 - Scale-up: Saturation</v>
      </c>
      <c r="B54" t="s">
        <v>195</v>
      </c>
      <c r="C54" t="s">
        <v>812</v>
      </c>
      <c r="D54" t="s">
        <v>47</v>
      </c>
      <c r="E54" t="str">
        <f t="shared" si="0"/>
        <v>Dowa District [zphK9WV8JB4]|18-20|Male</v>
      </c>
      <c r="G54" s="14"/>
      <c r="H54" s="14"/>
      <c r="I54" s="90" t="str">
        <f t="shared" si="1"/>
        <v/>
      </c>
      <c r="J54" s="90"/>
      <c r="K54" s="90"/>
      <c r="L54" s="90">
        <f t="shared" si="2"/>
        <v>1</v>
      </c>
      <c r="M54" s="90">
        <f t="shared" si="3"/>
        <v>0.2</v>
      </c>
      <c r="N54" s="14" t="str">
        <f t="shared" si="4"/>
        <v/>
      </c>
      <c r="O54" s="42" t="str">
        <f t="shared" si="5"/>
        <v/>
      </c>
      <c r="P54" s="42" t="str">
        <f t="shared" si="6"/>
        <v/>
      </c>
      <c r="Q54" s="42" t="str">
        <f t="shared" si="7"/>
        <v/>
      </c>
      <c r="R54" s="42" t="str">
        <f t="shared" si="8"/>
        <v/>
      </c>
      <c r="S54" s="90" t="str">
        <f t="shared" si="9"/>
        <v/>
      </c>
      <c r="T54" s="42" t="str">
        <f t="shared" si="10"/>
        <v/>
      </c>
    </row>
    <row r="55" spans="1:20" x14ac:dyDescent="0.2">
      <c r="A55" t="str">
        <f>INDEX(Prioritization!$D:$D,MATCH($B55,Prioritization!$A:$A,0))</f>
        <v>1 - Scale-up: Saturation</v>
      </c>
      <c r="B55" t="s">
        <v>195</v>
      </c>
      <c r="C55" t="s">
        <v>813</v>
      </c>
      <c r="D55" t="s">
        <v>29</v>
      </c>
      <c r="E55" t="str">
        <f t="shared" si="0"/>
        <v>Dowa District [zphK9WV8JB4]|18+|Female</v>
      </c>
      <c r="G55" s="14"/>
      <c r="H55" s="14"/>
      <c r="I55" s="90" t="str">
        <f t="shared" si="1"/>
        <v/>
      </c>
      <c r="J55" s="90"/>
      <c r="K55" s="90"/>
      <c r="L55" s="90">
        <f t="shared" si="2"/>
        <v>1</v>
      </c>
      <c r="M55" s="90">
        <f t="shared" si="3"/>
        <v>0.2</v>
      </c>
      <c r="N55" s="14" t="str">
        <f t="shared" si="4"/>
        <v/>
      </c>
      <c r="O55" s="42" t="str">
        <f t="shared" si="5"/>
        <v/>
      </c>
      <c r="P55" s="42" t="str">
        <f t="shared" si="6"/>
        <v/>
      </c>
      <c r="Q55" s="42" t="str">
        <f t="shared" si="7"/>
        <v/>
      </c>
      <c r="R55" s="42" t="str">
        <f t="shared" si="8"/>
        <v/>
      </c>
      <c r="S55" s="90" t="str">
        <f t="shared" si="9"/>
        <v/>
      </c>
      <c r="T55" s="42" t="str">
        <f t="shared" si="10"/>
        <v/>
      </c>
    </row>
    <row r="56" spans="1:20" x14ac:dyDescent="0.2">
      <c r="A56" t="str">
        <f>INDEX(Prioritization!$D:$D,MATCH($B56,Prioritization!$A:$A,0))</f>
        <v>1 - Scale-up: Saturation</v>
      </c>
      <c r="B56" t="s">
        <v>195</v>
      </c>
      <c r="C56" t="s">
        <v>813</v>
      </c>
      <c r="D56" t="s">
        <v>47</v>
      </c>
      <c r="E56" t="str">
        <f t="shared" si="0"/>
        <v>Dowa District [zphK9WV8JB4]|18+|Male</v>
      </c>
      <c r="G56" s="14"/>
      <c r="H56" s="14"/>
      <c r="I56" s="90" t="str">
        <f t="shared" si="1"/>
        <v/>
      </c>
      <c r="J56" s="90"/>
      <c r="K56" s="90"/>
      <c r="L56" s="90">
        <f t="shared" si="2"/>
        <v>1</v>
      </c>
      <c r="M56" s="90">
        <f t="shared" si="3"/>
        <v>0.2</v>
      </c>
      <c r="N56" s="14" t="str">
        <f t="shared" si="4"/>
        <v/>
      </c>
      <c r="O56" s="42" t="str">
        <f t="shared" si="5"/>
        <v/>
      </c>
      <c r="P56" s="42" t="str">
        <f t="shared" si="6"/>
        <v/>
      </c>
      <c r="Q56" s="42" t="str">
        <f t="shared" si="7"/>
        <v/>
      </c>
      <c r="R56" s="42" t="str">
        <f t="shared" si="8"/>
        <v/>
      </c>
      <c r="S56" s="90" t="str">
        <f t="shared" si="9"/>
        <v/>
      </c>
      <c r="T56" s="42" t="str">
        <f t="shared" si="10"/>
        <v/>
      </c>
    </row>
    <row r="57" spans="1:20" x14ac:dyDescent="0.2">
      <c r="A57" t="str">
        <f>INDEX(Prioritization!$D:$D,MATCH($B57,Prioritization!$A:$A,0))</f>
        <v>INVALID</v>
      </c>
      <c r="B57" t="s">
        <v>196</v>
      </c>
      <c r="C57" t="s">
        <v>315</v>
      </c>
      <c r="D57" t="s">
        <v>29</v>
      </c>
      <c r="E57" t="str">
        <f t="shared" si="0"/>
        <v>Kasungu District [JQKLKuVuY61]|&lt;01|Female</v>
      </c>
      <c r="G57" s="14"/>
      <c r="H57" s="14"/>
      <c r="I57" s="90" t="str">
        <f t="shared" si="1"/>
        <v/>
      </c>
      <c r="J57" s="90"/>
      <c r="K57" s="90"/>
      <c r="L57" s="90">
        <f t="shared" si="2"/>
        <v>1</v>
      </c>
      <c r="M57" s="90">
        <f t="shared" si="3"/>
        <v>0.2</v>
      </c>
      <c r="N57" s="14" t="str">
        <f t="shared" si="4"/>
        <v/>
      </c>
      <c r="O57" s="42" t="str">
        <f t="shared" si="5"/>
        <v/>
      </c>
      <c r="P57" s="42" t="str">
        <f t="shared" si="6"/>
        <v/>
      </c>
      <c r="Q57" s="42" t="str">
        <f t="shared" si="7"/>
        <v/>
      </c>
      <c r="R57" s="42" t="str">
        <f t="shared" si="8"/>
        <v/>
      </c>
      <c r="S57" s="90" t="str">
        <f t="shared" si="9"/>
        <v/>
      </c>
      <c r="T57" s="42" t="str">
        <f t="shared" si="10"/>
        <v/>
      </c>
    </row>
    <row r="58" spans="1:20" x14ac:dyDescent="0.2">
      <c r="A58" t="str">
        <f>INDEX(Prioritization!$D:$D,MATCH($B58,Prioritization!$A:$A,0))</f>
        <v>INVALID</v>
      </c>
      <c r="B58" t="s">
        <v>196</v>
      </c>
      <c r="C58" t="s">
        <v>315</v>
      </c>
      <c r="D58" t="s">
        <v>47</v>
      </c>
      <c r="E58" t="str">
        <f t="shared" si="0"/>
        <v>Kasungu District [JQKLKuVuY61]|&lt;01|Male</v>
      </c>
      <c r="G58" s="14"/>
      <c r="H58" s="14"/>
      <c r="I58" s="90" t="str">
        <f t="shared" si="1"/>
        <v/>
      </c>
      <c r="J58" s="90"/>
      <c r="K58" s="90"/>
      <c r="L58" s="90">
        <f t="shared" si="2"/>
        <v>1</v>
      </c>
      <c r="M58" s="90">
        <f t="shared" si="3"/>
        <v>0.2</v>
      </c>
      <c r="N58" s="14" t="str">
        <f t="shared" si="4"/>
        <v/>
      </c>
      <c r="O58" s="42" t="str">
        <f t="shared" si="5"/>
        <v/>
      </c>
      <c r="P58" s="42" t="str">
        <f t="shared" si="6"/>
        <v/>
      </c>
      <c r="Q58" s="42" t="str">
        <f t="shared" si="7"/>
        <v/>
      </c>
      <c r="R58" s="42" t="str">
        <f t="shared" si="8"/>
        <v/>
      </c>
      <c r="S58" s="90" t="str">
        <f t="shared" si="9"/>
        <v/>
      </c>
      <c r="T58" s="42" t="str">
        <f t="shared" si="10"/>
        <v/>
      </c>
    </row>
    <row r="59" spans="1:20" x14ac:dyDescent="0.2">
      <c r="A59" t="str">
        <f>INDEX(Prioritization!$D:$D,MATCH($B59,Prioritization!$A:$A,0))</f>
        <v>INVALID</v>
      </c>
      <c r="B59" t="s">
        <v>196</v>
      </c>
      <c r="C59" t="s">
        <v>809</v>
      </c>
      <c r="D59" t="s">
        <v>29</v>
      </c>
      <c r="E59" t="str">
        <f t="shared" si="0"/>
        <v>Kasungu District [JQKLKuVuY61]|01-04|Female</v>
      </c>
      <c r="G59" s="14"/>
      <c r="H59" s="14"/>
      <c r="I59" s="90" t="str">
        <f t="shared" si="1"/>
        <v/>
      </c>
      <c r="J59" s="90"/>
      <c r="K59" s="90"/>
      <c r="L59" s="90">
        <f t="shared" si="2"/>
        <v>1</v>
      </c>
      <c r="M59" s="90">
        <f t="shared" si="3"/>
        <v>0.2</v>
      </c>
      <c r="N59" s="14" t="str">
        <f t="shared" si="4"/>
        <v/>
      </c>
      <c r="O59" s="42" t="str">
        <f t="shared" si="5"/>
        <v/>
      </c>
      <c r="P59" s="42" t="str">
        <f t="shared" si="6"/>
        <v/>
      </c>
      <c r="Q59" s="42" t="str">
        <f t="shared" si="7"/>
        <v/>
      </c>
      <c r="R59" s="42" t="str">
        <f t="shared" si="8"/>
        <v/>
      </c>
      <c r="S59" s="90" t="str">
        <f t="shared" si="9"/>
        <v/>
      </c>
      <c r="T59" s="42" t="str">
        <f t="shared" si="10"/>
        <v/>
      </c>
    </row>
    <row r="60" spans="1:20" x14ac:dyDescent="0.2">
      <c r="A60" t="str">
        <f>INDEX(Prioritization!$D:$D,MATCH($B60,Prioritization!$A:$A,0))</f>
        <v>INVALID</v>
      </c>
      <c r="B60" t="s">
        <v>196</v>
      </c>
      <c r="C60" t="s">
        <v>809</v>
      </c>
      <c r="D60" t="s">
        <v>47</v>
      </c>
      <c r="E60" t="str">
        <f t="shared" si="0"/>
        <v>Kasungu District [JQKLKuVuY61]|01-04|Male</v>
      </c>
      <c r="G60" s="14"/>
      <c r="H60" s="14"/>
      <c r="I60" s="90" t="str">
        <f t="shared" si="1"/>
        <v/>
      </c>
      <c r="J60" s="90"/>
      <c r="K60" s="90"/>
      <c r="L60" s="90">
        <f t="shared" si="2"/>
        <v>1</v>
      </c>
      <c r="M60" s="90">
        <f t="shared" si="3"/>
        <v>0.2</v>
      </c>
      <c r="N60" s="14" t="str">
        <f t="shared" si="4"/>
        <v/>
      </c>
      <c r="O60" s="42" t="str">
        <f t="shared" si="5"/>
        <v/>
      </c>
      <c r="P60" s="42" t="str">
        <f t="shared" si="6"/>
        <v/>
      </c>
      <c r="Q60" s="42" t="str">
        <f t="shared" si="7"/>
        <v/>
      </c>
      <c r="R60" s="42" t="str">
        <f t="shared" si="8"/>
        <v/>
      </c>
      <c r="S60" s="90" t="str">
        <f t="shared" si="9"/>
        <v/>
      </c>
      <c r="T60" s="42" t="str">
        <f t="shared" si="10"/>
        <v/>
      </c>
    </row>
    <row r="61" spans="1:20" x14ac:dyDescent="0.2">
      <c r="A61" t="str">
        <f>INDEX(Prioritization!$D:$D,MATCH($B61,Prioritization!$A:$A,0))</f>
        <v>INVALID</v>
      </c>
      <c r="B61" t="s">
        <v>196</v>
      </c>
      <c r="C61" t="s">
        <v>810</v>
      </c>
      <c r="D61" t="s">
        <v>29</v>
      </c>
      <c r="E61" t="str">
        <f t="shared" si="0"/>
        <v>Kasungu District [JQKLKuVuY61]|05-09|Female</v>
      </c>
      <c r="G61" s="14"/>
      <c r="H61" s="14"/>
      <c r="I61" s="90" t="str">
        <f t="shared" si="1"/>
        <v/>
      </c>
      <c r="J61" s="90"/>
      <c r="K61" s="90"/>
      <c r="L61" s="90">
        <f t="shared" si="2"/>
        <v>1</v>
      </c>
      <c r="M61" s="90">
        <f t="shared" si="3"/>
        <v>0.2</v>
      </c>
      <c r="N61" s="14" t="str">
        <f t="shared" si="4"/>
        <v/>
      </c>
      <c r="O61" s="42" t="str">
        <f t="shared" si="5"/>
        <v/>
      </c>
      <c r="P61" s="42" t="str">
        <f t="shared" si="6"/>
        <v/>
      </c>
      <c r="Q61" s="42" t="str">
        <f t="shared" si="7"/>
        <v/>
      </c>
      <c r="R61" s="42" t="str">
        <f t="shared" si="8"/>
        <v/>
      </c>
      <c r="S61" s="90" t="str">
        <f t="shared" si="9"/>
        <v/>
      </c>
      <c r="T61" s="42" t="str">
        <f t="shared" si="10"/>
        <v/>
      </c>
    </row>
    <row r="62" spans="1:20" x14ac:dyDescent="0.2">
      <c r="A62" t="str">
        <f>INDEX(Prioritization!$D:$D,MATCH($B62,Prioritization!$A:$A,0))</f>
        <v>INVALID</v>
      </c>
      <c r="B62" t="s">
        <v>196</v>
      </c>
      <c r="C62" t="s">
        <v>810</v>
      </c>
      <c r="D62" t="s">
        <v>47</v>
      </c>
      <c r="E62" t="str">
        <f t="shared" si="0"/>
        <v>Kasungu District [JQKLKuVuY61]|05-09|Male</v>
      </c>
      <c r="G62" s="14"/>
      <c r="H62" s="14"/>
      <c r="I62" s="90" t="str">
        <f t="shared" si="1"/>
        <v/>
      </c>
      <c r="J62" s="90"/>
      <c r="K62" s="90"/>
      <c r="L62" s="90">
        <f t="shared" si="2"/>
        <v>1</v>
      </c>
      <c r="M62" s="90">
        <f t="shared" si="3"/>
        <v>0.2</v>
      </c>
      <c r="N62" s="14" t="str">
        <f t="shared" si="4"/>
        <v/>
      </c>
      <c r="O62" s="42" t="str">
        <f t="shared" si="5"/>
        <v/>
      </c>
      <c r="P62" s="42" t="str">
        <f t="shared" si="6"/>
        <v/>
      </c>
      <c r="Q62" s="42" t="str">
        <f t="shared" si="7"/>
        <v/>
      </c>
      <c r="R62" s="42" t="str">
        <f t="shared" si="8"/>
        <v/>
      </c>
      <c r="S62" s="90" t="str">
        <f t="shared" si="9"/>
        <v/>
      </c>
      <c r="T62" s="42" t="str">
        <f t="shared" si="10"/>
        <v/>
      </c>
    </row>
    <row r="63" spans="1:20" x14ac:dyDescent="0.2">
      <c r="A63" t="str">
        <f>INDEX(Prioritization!$D:$D,MATCH($B63,Prioritization!$A:$A,0))</f>
        <v>INVALID</v>
      </c>
      <c r="B63" t="s">
        <v>196</v>
      </c>
      <c r="C63" t="s">
        <v>363</v>
      </c>
      <c r="D63" t="s">
        <v>29</v>
      </c>
      <c r="E63" t="str">
        <f t="shared" si="0"/>
        <v>Kasungu District [JQKLKuVuY61]|10-14|Female</v>
      </c>
      <c r="G63" s="14"/>
      <c r="H63" s="14"/>
      <c r="I63" s="90" t="str">
        <f t="shared" si="1"/>
        <v/>
      </c>
      <c r="J63" s="90"/>
      <c r="K63" s="90"/>
      <c r="L63" s="90">
        <f t="shared" si="2"/>
        <v>1</v>
      </c>
      <c r="M63" s="90">
        <f t="shared" si="3"/>
        <v>0.2</v>
      </c>
      <c r="N63" s="14" t="str">
        <f t="shared" si="4"/>
        <v/>
      </c>
      <c r="O63" s="42" t="str">
        <f t="shared" si="5"/>
        <v/>
      </c>
      <c r="P63" s="42" t="str">
        <f t="shared" si="6"/>
        <v/>
      </c>
      <c r="Q63" s="42" t="str">
        <f t="shared" si="7"/>
        <v/>
      </c>
      <c r="R63" s="42" t="str">
        <f t="shared" si="8"/>
        <v/>
      </c>
      <c r="S63" s="90" t="str">
        <f t="shared" si="9"/>
        <v/>
      </c>
      <c r="T63" s="42" t="str">
        <f t="shared" si="10"/>
        <v/>
      </c>
    </row>
    <row r="64" spans="1:20" x14ac:dyDescent="0.2">
      <c r="A64" t="str">
        <f>INDEX(Prioritization!$D:$D,MATCH($B64,Prioritization!$A:$A,0))</f>
        <v>INVALID</v>
      </c>
      <c r="B64" t="s">
        <v>196</v>
      </c>
      <c r="C64" t="s">
        <v>363</v>
      </c>
      <c r="D64" t="s">
        <v>47</v>
      </c>
      <c r="E64" t="str">
        <f t="shared" si="0"/>
        <v>Kasungu District [JQKLKuVuY61]|10-14|Male</v>
      </c>
      <c r="G64" s="14"/>
      <c r="H64" s="14"/>
      <c r="I64" s="90" t="str">
        <f t="shared" si="1"/>
        <v/>
      </c>
      <c r="J64" s="90"/>
      <c r="K64" s="90"/>
      <c r="L64" s="90">
        <f t="shared" si="2"/>
        <v>1</v>
      </c>
      <c r="M64" s="90">
        <f t="shared" si="3"/>
        <v>0.2</v>
      </c>
      <c r="N64" s="14" t="str">
        <f t="shared" si="4"/>
        <v/>
      </c>
      <c r="O64" s="42" t="str">
        <f t="shared" si="5"/>
        <v/>
      </c>
      <c r="P64" s="42" t="str">
        <f t="shared" si="6"/>
        <v/>
      </c>
      <c r="Q64" s="42" t="str">
        <f t="shared" si="7"/>
        <v/>
      </c>
      <c r="R64" s="42" t="str">
        <f t="shared" si="8"/>
        <v/>
      </c>
      <c r="S64" s="90" t="str">
        <f t="shared" si="9"/>
        <v/>
      </c>
      <c r="T64" s="42" t="str">
        <f t="shared" si="10"/>
        <v/>
      </c>
    </row>
    <row r="65" spans="1:20" x14ac:dyDescent="0.2">
      <c r="A65" t="str">
        <f>INDEX(Prioritization!$D:$D,MATCH($B65,Prioritization!$A:$A,0))</f>
        <v>INVALID</v>
      </c>
      <c r="B65" t="s">
        <v>196</v>
      </c>
      <c r="C65" t="s">
        <v>811</v>
      </c>
      <c r="D65" t="s">
        <v>29</v>
      </c>
      <c r="E65" t="str">
        <f t="shared" si="0"/>
        <v>Kasungu District [JQKLKuVuY61]|15-17|Female</v>
      </c>
      <c r="G65" s="14"/>
      <c r="H65" s="14"/>
      <c r="I65" s="90" t="str">
        <f t="shared" si="1"/>
        <v/>
      </c>
      <c r="J65" s="90"/>
      <c r="K65" s="90"/>
      <c r="L65" s="90">
        <f t="shared" si="2"/>
        <v>1</v>
      </c>
      <c r="M65" s="90">
        <f t="shared" si="3"/>
        <v>0.2</v>
      </c>
      <c r="N65" s="14" t="str">
        <f t="shared" si="4"/>
        <v/>
      </c>
      <c r="O65" s="42" t="str">
        <f t="shared" si="5"/>
        <v/>
      </c>
      <c r="P65" s="42" t="str">
        <f t="shared" si="6"/>
        <v/>
      </c>
      <c r="Q65" s="42" t="str">
        <f t="shared" si="7"/>
        <v/>
      </c>
      <c r="R65" s="42" t="str">
        <f t="shared" si="8"/>
        <v/>
      </c>
      <c r="S65" s="90" t="str">
        <f t="shared" si="9"/>
        <v/>
      </c>
      <c r="T65" s="42" t="str">
        <f t="shared" si="10"/>
        <v/>
      </c>
    </row>
    <row r="66" spans="1:20" x14ac:dyDescent="0.2">
      <c r="A66" t="str">
        <f>INDEX(Prioritization!$D:$D,MATCH($B66,Prioritization!$A:$A,0))</f>
        <v>INVALID</v>
      </c>
      <c r="B66" t="s">
        <v>196</v>
      </c>
      <c r="C66" t="s">
        <v>811</v>
      </c>
      <c r="D66" t="s">
        <v>47</v>
      </c>
      <c r="E66" t="str">
        <f t="shared" si="0"/>
        <v>Kasungu District [JQKLKuVuY61]|15-17|Male</v>
      </c>
      <c r="G66" s="14"/>
      <c r="H66" s="14"/>
      <c r="I66" s="90" t="str">
        <f t="shared" si="1"/>
        <v/>
      </c>
      <c r="J66" s="90"/>
      <c r="K66" s="90"/>
      <c r="L66" s="90">
        <f t="shared" si="2"/>
        <v>1</v>
      </c>
      <c r="M66" s="90">
        <f t="shared" si="3"/>
        <v>0.2</v>
      </c>
      <c r="N66" s="14" t="str">
        <f t="shared" si="4"/>
        <v/>
      </c>
      <c r="O66" s="42" t="str">
        <f t="shared" si="5"/>
        <v/>
      </c>
      <c r="P66" s="42" t="str">
        <f t="shared" si="6"/>
        <v/>
      </c>
      <c r="Q66" s="42" t="str">
        <f t="shared" si="7"/>
        <v/>
      </c>
      <c r="R66" s="42" t="str">
        <f t="shared" si="8"/>
        <v/>
      </c>
      <c r="S66" s="90" t="str">
        <f t="shared" si="9"/>
        <v/>
      </c>
      <c r="T66" s="42" t="str">
        <f t="shared" si="10"/>
        <v/>
      </c>
    </row>
    <row r="67" spans="1:20" x14ac:dyDescent="0.2">
      <c r="A67" t="str">
        <f>INDEX(Prioritization!$D:$D,MATCH($B67,Prioritization!$A:$A,0))</f>
        <v>INVALID</v>
      </c>
      <c r="B67" t="s">
        <v>196</v>
      </c>
      <c r="C67" t="s">
        <v>812</v>
      </c>
      <c r="D67" t="s">
        <v>29</v>
      </c>
      <c r="E67" t="str">
        <f t="shared" si="0"/>
        <v>Kasungu District [JQKLKuVuY61]|18-20|Female</v>
      </c>
      <c r="G67" s="14"/>
      <c r="H67" s="14"/>
      <c r="I67" s="90" t="str">
        <f t="shared" si="1"/>
        <v/>
      </c>
      <c r="J67" s="90"/>
      <c r="K67" s="90"/>
      <c r="L67" s="90">
        <f t="shared" si="2"/>
        <v>1</v>
      </c>
      <c r="M67" s="90">
        <f t="shared" si="3"/>
        <v>0.2</v>
      </c>
      <c r="N67" s="14" t="str">
        <f t="shared" si="4"/>
        <v/>
      </c>
      <c r="O67" s="42" t="str">
        <f t="shared" si="5"/>
        <v/>
      </c>
      <c r="P67" s="42" t="str">
        <f t="shared" si="6"/>
        <v/>
      </c>
      <c r="Q67" s="42" t="str">
        <f t="shared" si="7"/>
        <v/>
      </c>
      <c r="R67" s="42" t="str">
        <f t="shared" si="8"/>
        <v/>
      </c>
      <c r="S67" s="90" t="str">
        <f t="shared" si="9"/>
        <v/>
      </c>
      <c r="T67" s="42" t="str">
        <f t="shared" si="10"/>
        <v/>
      </c>
    </row>
    <row r="68" spans="1:20" x14ac:dyDescent="0.2">
      <c r="A68" t="str">
        <f>INDEX(Prioritization!$D:$D,MATCH($B68,Prioritization!$A:$A,0))</f>
        <v>INVALID</v>
      </c>
      <c r="B68" t="s">
        <v>196</v>
      </c>
      <c r="C68" t="s">
        <v>812</v>
      </c>
      <c r="D68" t="s">
        <v>47</v>
      </c>
      <c r="E68" t="str">
        <f t="shared" si="0"/>
        <v>Kasungu District [JQKLKuVuY61]|18-20|Male</v>
      </c>
      <c r="G68" s="14"/>
      <c r="H68" s="14"/>
      <c r="I68" s="90" t="str">
        <f t="shared" si="1"/>
        <v/>
      </c>
      <c r="J68" s="90"/>
      <c r="K68" s="90"/>
      <c r="L68" s="90">
        <f t="shared" si="2"/>
        <v>1</v>
      </c>
      <c r="M68" s="90">
        <f t="shared" si="3"/>
        <v>0.2</v>
      </c>
      <c r="N68" s="14" t="str">
        <f t="shared" si="4"/>
        <v/>
      </c>
      <c r="O68" s="42" t="str">
        <f t="shared" si="5"/>
        <v/>
      </c>
      <c r="P68" s="42" t="str">
        <f t="shared" si="6"/>
        <v/>
      </c>
      <c r="Q68" s="42" t="str">
        <f t="shared" si="7"/>
        <v/>
      </c>
      <c r="R68" s="42" t="str">
        <f t="shared" si="8"/>
        <v/>
      </c>
      <c r="S68" s="90" t="str">
        <f t="shared" si="9"/>
        <v/>
      </c>
      <c r="T68" s="42" t="str">
        <f t="shared" si="10"/>
        <v/>
      </c>
    </row>
    <row r="69" spans="1:20" x14ac:dyDescent="0.2">
      <c r="A69" t="str">
        <f>INDEX(Prioritization!$D:$D,MATCH($B69,Prioritization!$A:$A,0))</f>
        <v>INVALID</v>
      </c>
      <c r="B69" t="s">
        <v>196</v>
      </c>
      <c r="C69" t="s">
        <v>813</v>
      </c>
      <c r="D69" t="s">
        <v>29</v>
      </c>
      <c r="E69" t="str">
        <f t="shared" si="0"/>
        <v>Kasungu District [JQKLKuVuY61]|18+|Female</v>
      </c>
      <c r="G69" s="14"/>
      <c r="H69" s="14"/>
      <c r="I69" s="90" t="str">
        <f t="shared" si="1"/>
        <v/>
      </c>
      <c r="J69" s="90"/>
      <c r="K69" s="90"/>
      <c r="L69" s="90">
        <f t="shared" si="2"/>
        <v>1</v>
      </c>
      <c r="M69" s="90">
        <f t="shared" si="3"/>
        <v>0.2</v>
      </c>
      <c r="N69" s="14" t="str">
        <f t="shared" si="4"/>
        <v/>
      </c>
      <c r="O69" s="42" t="str">
        <f t="shared" si="5"/>
        <v/>
      </c>
      <c r="P69" s="42" t="str">
        <f t="shared" si="6"/>
        <v/>
      </c>
      <c r="Q69" s="42" t="str">
        <f t="shared" si="7"/>
        <v/>
      </c>
      <c r="R69" s="42" t="str">
        <f t="shared" si="8"/>
        <v/>
      </c>
      <c r="S69" s="90" t="str">
        <f t="shared" si="9"/>
        <v/>
      </c>
      <c r="T69" s="42" t="str">
        <f t="shared" si="10"/>
        <v/>
      </c>
    </row>
    <row r="70" spans="1:20" x14ac:dyDescent="0.2">
      <c r="A70" t="str">
        <f>INDEX(Prioritization!$D:$D,MATCH($B70,Prioritization!$A:$A,0))</f>
        <v>INVALID</v>
      </c>
      <c r="B70" t="s">
        <v>196</v>
      </c>
      <c r="C70" t="s">
        <v>813</v>
      </c>
      <c r="D70" t="s">
        <v>47</v>
      </c>
      <c r="E70" t="str">
        <f t="shared" si="0"/>
        <v>Kasungu District [JQKLKuVuY61]|18+|Male</v>
      </c>
      <c r="G70" s="14"/>
      <c r="H70" s="14"/>
      <c r="I70" s="90" t="str">
        <f t="shared" si="1"/>
        <v/>
      </c>
      <c r="J70" s="90"/>
      <c r="K70" s="90"/>
      <c r="L70" s="90">
        <f t="shared" si="2"/>
        <v>1</v>
      </c>
      <c r="M70" s="90">
        <f t="shared" si="3"/>
        <v>0.2</v>
      </c>
      <c r="N70" s="14" t="str">
        <f t="shared" si="4"/>
        <v/>
      </c>
      <c r="O70" s="42" t="str">
        <f t="shared" si="5"/>
        <v/>
      </c>
      <c r="P70" s="42" t="str">
        <f t="shared" si="6"/>
        <v/>
      </c>
      <c r="Q70" s="42" t="str">
        <f t="shared" si="7"/>
        <v/>
      </c>
      <c r="R70" s="42" t="str">
        <f t="shared" si="8"/>
        <v/>
      </c>
      <c r="S70" s="90" t="str">
        <f t="shared" si="9"/>
        <v/>
      </c>
      <c r="T70" s="42" t="str">
        <f t="shared" si="10"/>
        <v/>
      </c>
    </row>
    <row r="71" spans="1:20" x14ac:dyDescent="0.2">
      <c r="A71" t="str">
        <f>INDEX(Prioritization!$D:$D,MATCH($B71,Prioritization!$A:$A,0))</f>
        <v>1 - Scale-up: Saturation</v>
      </c>
      <c r="B71" t="s">
        <v>197</v>
      </c>
      <c r="C71" t="s">
        <v>315</v>
      </c>
      <c r="D71" t="s">
        <v>29</v>
      </c>
      <c r="E71" t="str">
        <f t="shared" si="0"/>
        <v>Lilongwe District [ScR9iFKAasW]|&lt;01|Female</v>
      </c>
      <c r="G71" s="14">
        <v>56</v>
      </c>
      <c r="H71" s="14">
        <v>20</v>
      </c>
      <c r="I71" s="90">
        <f t="shared" si="1"/>
        <v>0</v>
      </c>
      <c r="J71" s="90"/>
      <c r="K71" s="90"/>
      <c r="L71" s="90">
        <f t="shared" si="2"/>
        <v>1</v>
      </c>
      <c r="M71" s="90">
        <f t="shared" si="3"/>
        <v>0.2</v>
      </c>
      <c r="N71" s="14">
        <f t="shared" si="4"/>
        <v>20</v>
      </c>
      <c r="O71" s="42" t="str">
        <f t="shared" si="5"/>
        <v/>
      </c>
      <c r="P71" s="42" t="str">
        <f t="shared" si="6"/>
        <v/>
      </c>
      <c r="Q71" s="42">
        <f t="shared" si="7"/>
        <v>4</v>
      </c>
      <c r="R71" s="42">
        <f t="shared" si="8"/>
        <v>16</v>
      </c>
      <c r="S71" s="90">
        <f t="shared" si="9"/>
        <v>1</v>
      </c>
      <c r="T71" s="42">
        <f t="shared" si="10"/>
        <v>20</v>
      </c>
    </row>
    <row r="72" spans="1:20" x14ac:dyDescent="0.2">
      <c r="A72" t="str">
        <f>INDEX(Prioritization!$D:$D,MATCH($B72,Prioritization!$A:$A,0))</f>
        <v>1 - Scale-up: Saturation</v>
      </c>
      <c r="B72" t="s">
        <v>197</v>
      </c>
      <c r="C72" t="s">
        <v>315</v>
      </c>
      <c r="D72" t="s">
        <v>47</v>
      </c>
      <c r="E72" t="str">
        <f t="shared" si="0"/>
        <v>Lilongwe District [ScR9iFKAasW]|&lt;01|Male</v>
      </c>
      <c r="G72" s="14">
        <v>35</v>
      </c>
      <c r="H72" s="14">
        <v>73</v>
      </c>
      <c r="I72" s="90">
        <f t="shared" si="1"/>
        <v>0</v>
      </c>
      <c r="J72" s="90"/>
      <c r="K72" s="90"/>
      <c r="L72" s="90">
        <f t="shared" si="2"/>
        <v>1</v>
      </c>
      <c r="M72" s="90">
        <f t="shared" si="3"/>
        <v>0.2</v>
      </c>
      <c r="N72" s="14">
        <f t="shared" si="4"/>
        <v>73</v>
      </c>
      <c r="O72" s="42" t="str">
        <f t="shared" si="5"/>
        <v/>
      </c>
      <c r="P72" s="42" t="str">
        <f t="shared" si="6"/>
        <v/>
      </c>
      <c r="Q72" s="42">
        <f t="shared" si="7"/>
        <v>15</v>
      </c>
      <c r="R72" s="42">
        <f t="shared" si="8"/>
        <v>58</v>
      </c>
      <c r="S72" s="90">
        <f t="shared" si="9"/>
        <v>1</v>
      </c>
      <c r="T72" s="42">
        <f t="shared" si="10"/>
        <v>73</v>
      </c>
    </row>
    <row r="73" spans="1:20" x14ac:dyDescent="0.2">
      <c r="A73" t="str">
        <f>INDEX(Prioritization!$D:$D,MATCH($B73,Prioritization!$A:$A,0))</f>
        <v>1 - Scale-up: Saturation</v>
      </c>
      <c r="B73" t="s">
        <v>197</v>
      </c>
      <c r="C73" t="s">
        <v>809</v>
      </c>
      <c r="D73" t="s">
        <v>29</v>
      </c>
      <c r="E73" t="str">
        <f t="shared" si="0"/>
        <v>Lilongwe District [ScR9iFKAasW]|01-04|Female</v>
      </c>
      <c r="G73" s="14">
        <v>509</v>
      </c>
      <c r="H73" s="14">
        <v>898</v>
      </c>
      <c r="I73" s="90">
        <f t="shared" si="1"/>
        <v>0</v>
      </c>
      <c r="J73" s="90"/>
      <c r="K73" s="90"/>
      <c r="L73" s="90">
        <f t="shared" si="2"/>
        <v>1</v>
      </c>
      <c r="M73" s="90">
        <f t="shared" si="3"/>
        <v>0.2</v>
      </c>
      <c r="N73" s="14">
        <f t="shared" si="4"/>
        <v>898</v>
      </c>
      <c r="O73" s="42" t="str">
        <f t="shared" si="5"/>
        <v/>
      </c>
      <c r="P73" s="42" t="str">
        <f t="shared" si="6"/>
        <v/>
      </c>
      <c r="Q73" s="42">
        <f t="shared" si="7"/>
        <v>180</v>
      </c>
      <c r="R73" s="42">
        <f t="shared" si="8"/>
        <v>718</v>
      </c>
      <c r="S73" s="90">
        <f t="shared" si="9"/>
        <v>1</v>
      </c>
      <c r="T73" s="42">
        <f t="shared" si="10"/>
        <v>898</v>
      </c>
    </row>
    <row r="74" spans="1:20" x14ac:dyDescent="0.2">
      <c r="A74" t="str">
        <f>INDEX(Prioritization!$D:$D,MATCH($B74,Prioritization!$A:$A,0))</f>
        <v>1 - Scale-up: Saturation</v>
      </c>
      <c r="B74" t="s">
        <v>197</v>
      </c>
      <c r="C74" t="s">
        <v>809</v>
      </c>
      <c r="D74" t="s">
        <v>47</v>
      </c>
      <c r="E74" t="str">
        <f t="shared" si="0"/>
        <v>Lilongwe District [ScR9iFKAasW]|01-04|Male</v>
      </c>
      <c r="G74" s="14">
        <v>32</v>
      </c>
      <c r="H74" s="14">
        <v>746</v>
      </c>
      <c r="I74" s="90">
        <f t="shared" si="1"/>
        <v>0</v>
      </c>
      <c r="J74" s="90"/>
      <c r="K74" s="90"/>
      <c r="L74" s="90">
        <f t="shared" si="2"/>
        <v>1</v>
      </c>
      <c r="M74" s="90">
        <f t="shared" si="3"/>
        <v>0.2</v>
      </c>
      <c r="N74" s="14">
        <f t="shared" si="4"/>
        <v>746</v>
      </c>
      <c r="O74" s="42" t="str">
        <f t="shared" si="5"/>
        <v/>
      </c>
      <c r="P74" s="42" t="str">
        <f t="shared" si="6"/>
        <v/>
      </c>
      <c r="Q74" s="42">
        <f t="shared" si="7"/>
        <v>149</v>
      </c>
      <c r="R74" s="42">
        <f t="shared" si="8"/>
        <v>597</v>
      </c>
      <c r="S74" s="90">
        <f t="shared" si="9"/>
        <v>1</v>
      </c>
      <c r="T74" s="42">
        <f t="shared" si="10"/>
        <v>746</v>
      </c>
    </row>
    <row r="75" spans="1:20" x14ac:dyDescent="0.2">
      <c r="A75" t="str">
        <f>INDEX(Prioritization!$D:$D,MATCH($B75,Prioritization!$A:$A,0))</f>
        <v>1 - Scale-up: Saturation</v>
      </c>
      <c r="B75" t="s">
        <v>197</v>
      </c>
      <c r="C75" t="s">
        <v>810</v>
      </c>
      <c r="D75" t="s">
        <v>29</v>
      </c>
      <c r="E75" t="str">
        <f t="shared" si="0"/>
        <v>Lilongwe District [ScR9iFKAasW]|05-09|Female</v>
      </c>
      <c r="G75" s="14">
        <v>880</v>
      </c>
      <c r="H75" s="14">
        <v>767</v>
      </c>
      <c r="I75" s="90">
        <f t="shared" si="1"/>
        <v>0</v>
      </c>
      <c r="J75" s="90"/>
      <c r="K75" s="90"/>
      <c r="L75" s="90">
        <f t="shared" si="2"/>
        <v>1</v>
      </c>
      <c r="M75" s="90">
        <f t="shared" si="3"/>
        <v>0.2</v>
      </c>
      <c r="N75" s="14">
        <f t="shared" si="4"/>
        <v>767</v>
      </c>
      <c r="O75" s="42" t="str">
        <f t="shared" si="5"/>
        <v/>
      </c>
      <c r="P75" s="42" t="str">
        <f t="shared" si="6"/>
        <v/>
      </c>
      <c r="Q75" s="42">
        <f t="shared" si="7"/>
        <v>153</v>
      </c>
      <c r="R75" s="42">
        <f t="shared" si="8"/>
        <v>614</v>
      </c>
      <c r="S75" s="90">
        <f t="shared" si="9"/>
        <v>1</v>
      </c>
      <c r="T75" s="42">
        <f t="shared" si="10"/>
        <v>767</v>
      </c>
    </row>
    <row r="76" spans="1:20" x14ac:dyDescent="0.2">
      <c r="A76" t="str">
        <f>INDEX(Prioritization!$D:$D,MATCH($B76,Prioritization!$A:$A,0))</f>
        <v>1 - Scale-up: Saturation</v>
      </c>
      <c r="B76" t="s">
        <v>197</v>
      </c>
      <c r="C76" t="s">
        <v>810</v>
      </c>
      <c r="D76" t="s">
        <v>47</v>
      </c>
      <c r="E76" t="str">
        <f t="shared" si="0"/>
        <v>Lilongwe District [ScR9iFKAasW]|05-09|Male</v>
      </c>
      <c r="G76" s="14">
        <v>721</v>
      </c>
      <c r="H76" s="14">
        <v>767</v>
      </c>
      <c r="I76" s="90">
        <f t="shared" si="1"/>
        <v>0</v>
      </c>
      <c r="J76" s="90"/>
      <c r="K76" s="90"/>
      <c r="L76" s="90">
        <f t="shared" si="2"/>
        <v>1</v>
      </c>
      <c r="M76" s="90">
        <f t="shared" si="3"/>
        <v>0.2</v>
      </c>
      <c r="N76" s="14">
        <f t="shared" si="4"/>
        <v>767</v>
      </c>
      <c r="O76" s="42" t="str">
        <f t="shared" si="5"/>
        <v/>
      </c>
      <c r="P76" s="42" t="str">
        <f t="shared" si="6"/>
        <v/>
      </c>
      <c r="Q76" s="42">
        <f t="shared" si="7"/>
        <v>153</v>
      </c>
      <c r="R76" s="42">
        <f t="shared" si="8"/>
        <v>614</v>
      </c>
      <c r="S76" s="90">
        <f t="shared" si="9"/>
        <v>1</v>
      </c>
      <c r="T76" s="42">
        <f t="shared" si="10"/>
        <v>767</v>
      </c>
    </row>
    <row r="77" spans="1:20" x14ac:dyDescent="0.2">
      <c r="A77" t="str">
        <f>INDEX(Prioritization!$D:$D,MATCH($B77,Prioritization!$A:$A,0))</f>
        <v>1 - Scale-up: Saturation</v>
      </c>
      <c r="B77" t="s">
        <v>197</v>
      </c>
      <c r="C77" t="s">
        <v>363</v>
      </c>
      <c r="D77" t="s">
        <v>29</v>
      </c>
      <c r="E77" t="str">
        <f t="shared" si="0"/>
        <v>Lilongwe District [ScR9iFKAasW]|10-14|Female</v>
      </c>
      <c r="G77" s="14">
        <v>7205</v>
      </c>
      <c r="H77" s="14">
        <v>318</v>
      </c>
      <c r="I77" s="90">
        <f t="shared" si="1"/>
        <v>0</v>
      </c>
      <c r="J77" s="90"/>
      <c r="K77" s="90"/>
      <c r="L77" s="90">
        <f t="shared" si="2"/>
        <v>1</v>
      </c>
      <c r="M77" s="90">
        <f t="shared" si="3"/>
        <v>0.2</v>
      </c>
      <c r="N77" s="14">
        <f t="shared" si="4"/>
        <v>318</v>
      </c>
      <c r="O77" s="42" t="str">
        <f t="shared" si="5"/>
        <v/>
      </c>
      <c r="P77" s="42" t="str">
        <f t="shared" si="6"/>
        <v/>
      </c>
      <c r="Q77" s="42">
        <f t="shared" si="7"/>
        <v>64</v>
      </c>
      <c r="R77" s="42">
        <f t="shared" si="8"/>
        <v>254</v>
      </c>
      <c r="S77" s="90">
        <f t="shared" si="9"/>
        <v>1</v>
      </c>
      <c r="T77" s="42">
        <f t="shared" si="10"/>
        <v>318</v>
      </c>
    </row>
    <row r="78" spans="1:20" x14ac:dyDescent="0.2">
      <c r="A78" t="str">
        <f>INDEX(Prioritization!$D:$D,MATCH($B78,Prioritization!$A:$A,0))</f>
        <v>1 - Scale-up: Saturation</v>
      </c>
      <c r="B78" t="s">
        <v>197</v>
      </c>
      <c r="C78" t="s">
        <v>363</v>
      </c>
      <c r="D78" t="s">
        <v>47</v>
      </c>
      <c r="E78" t="str">
        <f t="shared" si="0"/>
        <v>Lilongwe District [ScR9iFKAasW]|10-14|Male</v>
      </c>
      <c r="G78" s="14">
        <v>493</v>
      </c>
      <c r="H78" s="14">
        <v>504</v>
      </c>
      <c r="I78" s="90">
        <f t="shared" si="1"/>
        <v>0</v>
      </c>
      <c r="J78" s="90"/>
      <c r="K78" s="90"/>
      <c r="L78" s="90">
        <f t="shared" si="2"/>
        <v>1</v>
      </c>
      <c r="M78" s="90">
        <f t="shared" si="3"/>
        <v>0.2</v>
      </c>
      <c r="N78" s="14">
        <f t="shared" si="4"/>
        <v>504</v>
      </c>
      <c r="O78" s="42" t="str">
        <f t="shared" si="5"/>
        <v/>
      </c>
      <c r="P78" s="42" t="str">
        <f t="shared" si="6"/>
        <v/>
      </c>
      <c r="Q78" s="42">
        <f t="shared" si="7"/>
        <v>101</v>
      </c>
      <c r="R78" s="42">
        <f t="shared" si="8"/>
        <v>403</v>
      </c>
      <c r="S78" s="90">
        <f t="shared" si="9"/>
        <v>1</v>
      </c>
      <c r="T78" s="42">
        <f t="shared" si="10"/>
        <v>504</v>
      </c>
    </row>
    <row r="79" spans="1:20" x14ac:dyDescent="0.2">
      <c r="A79" t="str">
        <f>INDEX(Prioritization!$D:$D,MATCH($B79,Prioritization!$A:$A,0))</f>
        <v>1 - Scale-up: Saturation</v>
      </c>
      <c r="B79" t="s">
        <v>197</v>
      </c>
      <c r="C79" t="s">
        <v>811</v>
      </c>
      <c r="D79" t="s">
        <v>29</v>
      </c>
      <c r="E79" t="str">
        <f t="shared" ref="E79:E142" si="11">$B79&amp;"|"&amp;$C79&amp;"|"&amp;$D79</f>
        <v>Lilongwe District [ScR9iFKAasW]|15-17|Female</v>
      </c>
      <c r="G79" s="14">
        <v>840</v>
      </c>
      <c r="H79" s="14">
        <v>266</v>
      </c>
      <c r="I79" s="90">
        <f t="shared" ref="I79:I142" si="12">IF(SUM($H79)=0,"",0%)</f>
        <v>0</v>
      </c>
      <c r="J79" s="90"/>
      <c r="K79" s="90"/>
      <c r="L79" s="90">
        <f t="shared" ref="L79:L142" si="13">1-IF(NOT(AND($D79="Female",OR($C79="10-14",$C79="15-17",$F79="Y"))),0,$J79)-IF(NOT(OR($C79="05-09",$C79="10-14")),0,$K79)</f>
        <v>1</v>
      </c>
      <c r="M79" s="90">
        <f t="shared" ref="M79:M142" si="14">IF(SUM($L79)=0,"",20%)</f>
        <v>0.2</v>
      </c>
      <c r="N79" s="14">
        <f t="shared" ref="N79:N142" si="15">IF(SUM($H79)=0,"",ROUND($H79*(1+$I79),0))</f>
        <v>266</v>
      </c>
      <c r="O79" s="42" t="str">
        <f t="shared" ref="O79:O142" si="16">IF(OR(SUM($N79)=0,SUM($J79)=0,NOT(AND($D79="Female",$F79="Y",OR($C79="10-14",$C79="15-17")))),"",ROUND($N79*$J79,0))</f>
        <v/>
      </c>
      <c r="P79" s="42" t="str">
        <f t="shared" ref="P79:P142" si="17">IF(OR(SUM($N79)=0,SUM($K79)=0,NOT(OR($C79="10-14",$C79="05-09"))),"",ROUND($N79*$K79,0))</f>
        <v/>
      </c>
      <c r="Q79" s="42">
        <f t="shared" ref="Q79:Q142" si="18">IFERROR(1/(1/ROUND($N79*$L79*$M79,0)),"")</f>
        <v>53</v>
      </c>
      <c r="R79" s="42">
        <f t="shared" ref="R79:R142" si="19">IFERROR(1/(1/(ROUND($N79*$L79,0)-$Q79)),"")</f>
        <v>213</v>
      </c>
      <c r="S79" s="90">
        <f t="shared" ref="S79:S142" si="20">IF(OR($C79="18+",$C79="18-20",SUM($Q79,$R79)=0),"",100%)</f>
        <v>1</v>
      </c>
      <c r="T79" s="42">
        <f t="shared" ref="T79:T142" si="21">IF(OR($C79="18+",$C79="18-20",SUM($Q79,$R79)=0),"",ROUND(SUM($Q79,$R79)*$S79,0))</f>
        <v>266</v>
      </c>
    </row>
    <row r="80" spans="1:20" x14ac:dyDescent="0.2">
      <c r="A80" t="str">
        <f>INDEX(Prioritization!$D:$D,MATCH($B80,Prioritization!$A:$A,0))</f>
        <v>1 - Scale-up: Saturation</v>
      </c>
      <c r="B80" t="s">
        <v>197</v>
      </c>
      <c r="C80" t="s">
        <v>811</v>
      </c>
      <c r="D80" t="s">
        <v>47</v>
      </c>
      <c r="E80" t="str">
        <f t="shared" si="11"/>
        <v>Lilongwe District [ScR9iFKAasW]|15-17|Male</v>
      </c>
      <c r="G80" s="14">
        <v>452</v>
      </c>
      <c r="H80" s="14">
        <v>205</v>
      </c>
      <c r="I80" s="90">
        <f t="shared" si="12"/>
        <v>0</v>
      </c>
      <c r="J80" s="90"/>
      <c r="K80" s="90"/>
      <c r="L80" s="90">
        <f t="shared" si="13"/>
        <v>1</v>
      </c>
      <c r="M80" s="90">
        <f t="shared" si="14"/>
        <v>0.2</v>
      </c>
      <c r="N80" s="14">
        <f t="shared" si="15"/>
        <v>205</v>
      </c>
      <c r="O80" s="42" t="str">
        <f t="shared" si="16"/>
        <v/>
      </c>
      <c r="P80" s="42" t="str">
        <f t="shared" si="17"/>
        <v/>
      </c>
      <c r="Q80" s="42">
        <f t="shared" si="18"/>
        <v>41</v>
      </c>
      <c r="R80" s="42">
        <f t="shared" si="19"/>
        <v>164</v>
      </c>
      <c r="S80" s="90">
        <f t="shared" si="20"/>
        <v>1</v>
      </c>
      <c r="T80" s="42">
        <f t="shared" si="21"/>
        <v>205</v>
      </c>
    </row>
    <row r="81" spans="1:20" x14ac:dyDescent="0.2">
      <c r="A81" t="str">
        <f>INDEX(Prioritization!$D:$D,MATCH($B81,Prioritization!$A:$A,0))</f>
        <v>1 - Scale-up: Saturation</v>
      </c>
      <c r="B81" t="s">
        <v>197</v>
      </c>
      <c r="C81" t="s">
        <v>812</v>
      </c>
      <c r="D81" t="s">
        <v>29</v>
      </c>
      <c r="E81" t="str">
        <f t="shared" si="11"/>
        <v>Lilongwe District [ScR9iFKAasW]|18-20|Female</v>
      </c>
      <c r="G81" s="14"/>
      <c r="H81" s="14">
        <v>9</v>
      </c>
      <c r="I81" s="90">
        <f t="shared" si="12"/>
        <v>0</v>
      </c>
      <c r="J81" s="90"/>
      <c r="K81" s="90"/>
      <c r="L81" s="90">
        <f t="shared" si="13"/>
        <v>1</v>
      </c>
      <c r="M81" s="90">
        <f t="shared" si="14"/>
        <v>0.2</v>
      </c>
      <c r="N81" s="14">
        <f t="shared" si="15"/>
        <v>9</v>
      </c>
      <c r="O81" s="42" t="str">
        <f t="shared" si="16"/>
        <v/>
      </c>
      <c r="P81" s="42" t="str">
        <f t="shared" si="17"/>
        <v/>
      </c>
      <c r="Q81" s="42">
        <f t="shared" si="18"/>
        <v>2</v>
      </c>
      <c r="R81" s="42">
        <f t="shared" si="19"/>
        <v>7</v>
      </c>
      <c r="S81" s="90" t="str">
        <f t="shared" si="20"/>
        <v/>
      </c>
      <c r="T81" s="42" t="str">
        <f t="shared" si="21"/>
        <v/>
      </c>
    </row>
    <row r="82" spans="1:20" x14ac:dyDescent="0.2">
      <c r="A82" t="str">
        <f>INDEX(Prioritization!$D:$D,MATCH($B82,Prioritization!$A:$A,0))</f>
        <v>1 - Scale-up: Saturation</v>
      </c>
      <c r="B82" t="s">
        <v>197</v>
      </c>
      <c r="C82" t="s">
        <v>812</v>
      </c>
      <c r="D82" t="s">
        <v>47</v>
      </c>
      <c r="E82" t="str">
        <f t="shared" si="11"/>
        <v>Lilongwe District [ScR9iFKAasW]|18-20|Male</v>
      </c>
      <c r="G82" s="14"/>
      <c r="H82" s="14">
        <v>5</v>
      </c>
      <c r="I82" s="90">
        <f t="shared" si="12"/>
        <v>0</v>
      </c>
      <c r="J82" s="90"/>
      <c r="K82" s="90"/>
      <c r="L82" s="90">
        <f t="shared" si="13"/>
        <v>1</v>
      </c>
      <c r="M82" s="90">
        <f t="shared" si="14"/>
        <v>0.2</v>
      </c>
      <c r="N82" s="14">
        <f t="shared" si="15"/>
        <v>5</v>
      </c>
      <c r="O82" s="42" t="str">
        <f t="shared" si="16"/>
        <v/>
      </c>
      <c r="P82" s="42" t="str">
        <f t="shared" si="17"/>
        <v/>
      </c>
      <c r="Q82" s="42">
        <f t="shared" si="18"/>
        <v>1</v>
      </c>
      <c r="R82" s="42">
        <f t="shared" si="19"/>
        <v>4</v>
      </c>
      <c r="S82" s="90" t="str">
        <f t="shared" si="20"/>
        <v/>
      </c>
      <c r="T82" s="42" t="str">
        <f t="shared" si="21"/>
        <v/>
      </c>
    </row>
    <row r="83" spans="1:20" x14ac:dyDescent="0.2">
      <c r="A83" t="str">
        <f>INDEX(Prioritization!$D:$D,MATCH($B83,Prioritization!$A:$A,0))</f>
        <v>1 - Scale-up: Saturation</v>
      </c>
      <c r="B83" t="s">
        <v>197</v>
      </c>
      <c r="C83" t="s">
        <v>813</v>
      </c>
      <c r="D83" t="s">
        <v>29</v>
      </c>
      <c r="E83" t="str">
        <f t="shared" si="11"/>
        <v>Lilongwe District [ScR9iFKAasW]|18+|Female</v>
      </c>
      <c r="G83" s="14">
        <v>453</v>
      </c>
      <c r="H83" s="14">
        <v>161</v>
      </c>
      <c r="I83" s="90">
        <f t="shared" si="12"/>
        <v>0</v>
      </c>
      <c r="J83" s="90"/>
      <c r="K83" s="90"/>
      <c r="L83" s="90">
        <f t="shared" si="13"/>
        <v>1</v>
      </c>
      <c r="M83" s="90">
        <f t="shared" si="14"/>
        <v>0.2</v>
      </c>
      <c r="N83" s="14">
        <f t="shared" si="15"/>
        <v>161</v>
      </c>
      <c r="O83" s="42" t="str">
        <f t="shared" si="16"/>
        <v/>
      </c>
      <c r="P83" s="42" t="str">
        <f t="shared" si="17"/>
        <v/>
      </c>
      <c r="Q83" s="42">
        <f t="shared" si="18"/>
        <v>32</v>
      </c>
      <c r="R83" s="42">
        <f t="shared" si="19"/>
        <v>129</v>
      </c>
      <c r="S83" s="90" t="str">
        <f t="shared" si="20"/>
        <v/>
      </c>
      <c r="T83" s="42" t="str">
        <f t="shared" si="21"/>
        <v/>
      </c>
    </row>
    <row r="84" spans="1:20" x14ac:dyDescent="0.2">
      <c r="A84" t="str">
        <f>INDEX(Prioritization!$D:$D,MATCH($B84,Prioritization!$A:$A,0))</f>
        <v>1 - Scale-up: Saturation</v>
      </c>
      <c r="B84" t="s">
        <v>197</v>
      </c>
      <c r="C84" t="s">
        <v>813</v>
      </c>
      <c r="D84" t="s">
        <v>47</v>
      </c>
      <c r="E84" t="str">
        <f t="shared" si="11"/>
        <v>Lilongwe District [ScR9iFKAasW]|18+|Male</v>
      </c>
      <c r="G84" s="14">
        <v>78</v>
      </c>
      <c r="H84" s="14">
        <v>65</v>
      </c>
      <c r="I84" s="90">
        <f t="shared" si="12"/>
        <v>0</v>
      </c>
      <c r="J84" s="90"/>
      <c r="K84" s="90"/>
      <c r="L84" s="90">
        <f t="shared" si="13"/>
        <v>1</v>
      </c>
      <c r="M84" s="90">
        <f t="shared" si="14"/>
        <v>0.2</v>
      </c>
      <c r="N84" s="14">
        <f t="shared" si="15"/>
        <v>65</v>
      </c>
      <c r="O84" s="42" t="str">
        <f t="shared" si="16"/>
        <v/>
      </c>
      <c r="P84" s="42" t="str">
        <f t="shared" si="17"/>
        <v/>
      </c>
      <c r="Q84" s="42">
        <f t="shared" si="18"/>
        <v>13</v>
      </c>
      <c r="R84" s="42">
        <f t="shared" si="19"/>
        <v>52</v>
      </c>
      <c r="S84" s="90" t="str">
        <f t="shared" si="20"/>
        <v/>
      </c>
      <c r="T84" s="42" t="str">
        <f t="shared" si="21"/>
        <v/>
      </c>
    </row>
    <row r="85" spans="1:20" x14ac:dyDescent="0.2">
      <c r="A85" t="str">
        <f>INDEX(Prioritization!$D:$D,MATCH($B85,Prioritization!$A:$A,0))</f>
        <v>1 - Scale-up: Saturation</v>
      </c>
      <c r="B85" t="s">
        <v>198</v>
      </c>
      <c r="C85" t="s">
        <v>315</v>
      </c>
      <c r="D85" t="s">
        <v>29</v>
      </c>
      <c r="E85" t="str">
        <f t="shared" si="11"/>
        <v>Mchinji District [kxuuIFpOXyO]|&lt;01|Female</v>
      </c>
      <c r="G85" s="14"/>
      <c r="H85" s="14"/>
      <c r="I85" s="90" t="str">
        <f t="shared" si="12"/>
        <v/>
      </c>
      <c r="J85" s="90"/>
      <c r="K85" s="90"/>
      <c r="L85" s="90">
        <f t="shared" si="13"/>
        <v>1</v>
      </c>
      <c r="M85" s="90">
        <f t="shared" si="14"/>
        <v>0.2</v>
      </c>
      <c r="N85" s="14" t="str">
        <f t="shared" si="15"/>
        <v/>
      </c>
      <c r="O85" s="42" t="str">
        <f t="shared" si="16"/>
        <v/>
      </c>
      <c r="P85" s="42" t="str">
        <f t="shared" si="17"/>
        <v/>
      </c>
      <c r="Q85" s="42" t="str">
        <f t="shared" si="18"/>
        <v/>
      </c>
      <c r="R85" s="42" t="str">
        <f t="shared" si="19"/>
        <v/>
      </c>
      <c r="S85" s="90" t="str">
        <f t="shared" si="20"/>
        <v/>
      </c>
      <c r="T85" s="42" t="str">
        <f t="shared" si="21"/>
        <v/>
      </c>
    </row>
    <row r="86" spans="1:20" x14ac:dyDescent="0.2">
      <c r="A86" t="str">
        <f>INDEX(Prioritization!$D:$D,MATCH($B86,Prioritization!$A:$A,0))</f>
        <v>1 - Scale-up: Saturation</v>
      </c>
      <c r="B86" t="s">
        <v>198</v>
      </c>
      <c r="C86" t="s">
        <v>315</v>
      </c>
      <c r="D86" t="s">
        <v>47</v>
      </c>
      <c r="E86" t="str">
        <f t="shared" si="11"/>
        <v>Mchinji District [kxuuIFpOXyO]|&lt;01|Male</v>
      </c>
      <c r="G86" s="14"/>
      <c r="H86" s="14"/>
      <c r="I86" s="90" t="str">
        <f t="shared" si="12"/>
        <v/>
      </c>
      <c r="J86" s="90"/>
      <c r="K86" s="90"/>
      <c r="L86" s="90">
        <f t="shared" si="13"/>
        <v>1</v>
      </c>
      <c r="M86" s="90">
        <f t="shared" si="14"/>
        <v>0.2</v>
      </c>
      <c r="N86" s="14" t="str">
        <f t="shared" si="15"/>
        <v/>
      </c>
      <c r="O86" s="42" t="str">
        <f t="shared" si="16"/>
        <v/>
      </c>
      <c r="P86" s="42" t="str">
        <f t="shared" si="17"/>
        <v/>
      </c>
      <c r="Q86" s="42" t="str">
        <f t="shared" si="18"/>
        <v/>
      </c>
      <c r="R86" s="42" t="str">
        <f t="shared" si="19"/>
        <v/>
      </c>
      <c r="S86" s="90" t="str">
        <f t="shared" si="20"/>
        <v/>
      </c>
      <c r="T86" s="42" t="str">
        <f t="shared" si="21"/>
        <v/>
      </c>
    </row>
    <row r="87" spans="1:20" x14ac:dyDescent="0.2">
      <c r="A87" t="str">
        <f>INDEX(Prioritization!$D:$D,MATCH($B87,Prioritization!$A:$A,0))</f>
        <v>1 - Scale-up: Saturation</v>
      </c>
      <c r="B87" t="s">
        <v>198</v>
      </c>
      <c r="C87" t="s">
        <v>809</v>
      </c>
      <c r="D87" t="s">
        <v>29</v>
      </c>
      <c r="E87" t="str">
        <f t="shared" si="11"/>
        <v>Mchinji District [kxuuIFpOXyO]|01-04|Female</v>
      </c>
      <c r="G87" s="14"/>
      <c r="H87" s="14"/>
      <c r="I87" s="90" t="str">
        <f t="shared" si="12"/>
        <v/>
      </c>
      <c r="J87" s="90"/>
      <c r="K87" s="90"/>
      <c r="L87" s="90">
        <f t="shared" si="13"/>
        <v>1</v>
      </c>
      <c r="M87" s="90">
        <f t="shared" si="14"/>
        <v>0.2</v>
      </c>
      <c r="N87" s="14" t="str">
        <f t="shared" si="15"/>
        <v/>
      </c>
      <c r="O87" s="42" t="str">
        <f t="shared" si="16"/>
        <v/>
      </c>
      <c r="P87" s="42" t="str">
        <f t="shared" si="17"/>
        <v/>
      </c>
      <c r="Q87" s="42" t="str">
        <f t="shared" si="18"/>
        <v/>
      </c>
      <c r="R87" s="42" t="str">
        <f t="shared" si="19"/>
        <v/>
      </c>
      <c r="S87" s="90" t="str">
        <f t="shared" si="20"/>
        <v/>
      </c>
      <c r="T87" s="42" t="str">
        <f t="shared" si="21"/>
        <v/>
      </c>
    </row>
    <row r="88" spans="1:20" x14ac:dyDescent="0.2">
      <c r="A88" t="str">
        <f>INDEX(Prioritization!$D:$D,MATCH($B88,Prioritization!$A:$A,0))</f>
        <v>1 - Scale-up: Saturation</v>
      </c>
      <c r="B88" t="s">
        <v>198</v>
      </c>
      <c r="C88" t="s">
        <v>809</v>
      </c>
      <c r="D88" t="s">
        <v>47</v>
      </c>
      <c r="E88" t="str">
        <f t="shared" si="11"/>
        <v>Mchinji District [kxuuIFpOXyO]|01-04|Male</v>
      </c>
      <c r="G88" s="14"/>
      <c r="H88" s="14"/>
      <c r="I88" s="90" t="str">
        <f t="shared" si="12"/>
        <v/>
      </c>
      <c r="J88" s="90"/>
      <c r="K88" s="90"/>
      <c r="L88" s="90">
        <f t="shared" si="13"/>
        <v>1</v>
      </c>
      <c r="M88" s="90">
        <f t="shared" si="14"/>
        <v>0.2</v>
      </c>
      <c r="N88" s="14" t="str">
        <f t="shared" si="15"/>
        <v/>
      </c>
      <c r="O88" s="42" t="str">
        <f t="shared" si="16"/>
        <v/>
      </c>
      <c r="P88" s="42" t="str">
        <f t="shared" si="17"/>
        <v/>
      </c>
      <c r="Q88" s="42" t="str">
        <f t="shared" si="18"/>
        <v/>
      </c>
      <c r="R88" s="42" t="str">
        <f t="shared" si="19"/>
        <v/>
      </c>
      <c r="S88" s="90" t="str">
        <f t="shared" si="20"/>
        <v/>
      </c>
      <c r="T88" s="42" t="str">
        <f t="shared" si="21"/>
        <v/>
      </c>
    </row>
    <row r="89" spans="1:20" x14ac:dyDescent="0.2">
      <c r="A89" t="str">
        <f>INDEX(Prioritization!$D:$D,MATCH($B89,Prioritization!$A:$A,0))</f>
        <v>1 - Scale-up: Saturation</v>
      </c>
      <c r="B89" t="s">
        <v>198</v>
      </c>
      <c r="C89" t="s">
        <v>810</v>
      </c>
      <c r="D89" t="s">
        <v>29</v>
      </c>
      <c r="E89" t="str">
        <f t="shared" si="11"/>
        <v>Mchinji District [kxuuIFpOXyO]|05-09|Female</v>
      </c>
      <c r="G89" s="14"/>
      <c r="H89" s="14"/>
      <c r="I89" s="90" t="str">
        <f t="shared" si="12"/>
        <v/>
      </c>
      <c r="J89" s="90"/>
      <c r="K89" s="90"/>
      <c r="L89" s="90">
        <f t="shared" si="13"/>
        <v>1</v>
      </c>
      <c r="M89" s="90">
        <f t="shared" si="14"/>
        <v>0.2</v>
      </c>
      <c r="N89" s="14" t="str">
        <f t="shared" si="15"/>
        <v/>
      </c>
      <c r="O89" s="42" t="str">
        <f t="shared" si="16"/>
        <v/>
      </c>
      <c r="P89" s="42" t="str">
        <f t="shared" si="17"/>
        <v/>
      </c>
      <c r="Q89" s="42" t="str">
        <f t="shared" si="18"/>
        <v/>
      </c>
      <c r="R89" s="42" t="str">
        <f t="shared" si="19"/>
        <v/>
      </c>
      <c r="S89" s="90" t="str">
        <f t="shared" si="20"/>
        <v/>
      </c>
      <c r="T89" s="42" t="str">
        <f t="shared" si="21"/>
        <v/>
      </c>
    </row>
    <row r="90" spans="1:20" x14ac:dyDescent="0.2">
      <c r="A90" t="str">
        <f>INDEX(Prioritization!$D:$D,MATCH($B90,Prioritization!$A:$A,0))</f>
        <v>1 - Scale-up: Saturation</v>
      </c>
      <c r="B90" t="s">
        <v>198</v>
      </c>
      <c r="C90" t="s">
        <v>810</v>
      </c>
      <c r="D90" t="s">
        <v>47</v>
      </c>
      <c r="E90" t="str">
        <f t="shared" si="11"/>
        <v>Mchinji District [kxuuIFpOXyO]|05-09|Male</v>
      </c>
      <c r="G90" s="14"/>
      <c r="H90" s="14"/>
      <c r="I90" s="90" t="str">
        <f t="shared" si="12"/>
        <v/>
      </c>
      <c r="J90" s="90"/>
      <c r="K90" s="90"/>
      <c r="L90" s="90">
        <f t="shared" si="13"/>
        <v>1</v>
      </c>
      <c r="M90" s="90">
        <f t="shared" si="14"/>
        <v>0.2</v>
      </c>
      <c r="N90" s="14" t="str">
        <f t="shared" si="15"/>
        <v/>
      </c>
      <c r="O90" s="42" t="str">
        <f t="shared" si="16"/>
        <v/>
      </c>
      <c r="P90" s="42" t="str">
        <f t="shared" si="17"/>
        <v/>
      </c>
      <c r="Q90" s="42" t="str">
        <f t="shared" si="18"/>
        <v/>
      </c>
      <c r="R90" s="42" t="str">
        <f t="shared" si="19"/>
        <v/>
      </c>
      <c r="S90" s="90" t="str">
        <f t="shared" si="20"/>
        <v/>
      </c>
      <c r="T90" s="42" t="str">
        <f t="shared" si="21"/>
        <v/>
      </c>
    </row>
    <row r="91" spans="1:20" x14ac:dyDescent="0.2">
      <c r="A91" t="str">
        <f>INDEX(Prioritization!$D:$D,MATCH($B91,Prioritization!$A:$A,0))</f>
        <v>1 - Scale-up: Saturation</v>
      </c>
      <c r="B91" t="s">
        <v>198</v>
      </c>
      <c r="C91" t="s">
        <v>363</v>
      </c>
      <c r="D91" t="s">
        <v>29</v>
      </c>
      <c r="E91" t="str">
        <f t="shared" si="11"/>
        <v>Mchinji District [kxuuIFpOXyO]|10-14|Female</v>
      </c>
      <c r="G91" s="14">
        <v>5</v>
      </c>
      <c r="H91" s="14"/>
      <c r="I91" s="90" t="str">
        <f t="shared" si="12"/>
        <v/>
      </c>
      <c r="J91" s="90"/>
      <c r="K91" s="90"/>
      <c r="L91" s="90">
        <f t="shared" si="13"/>
        <v>1</v>
      </c>
      <c r="M91" s="90">
        <f t="shared" si="14"/>
        <v>0.2</v>
      </c>
      <c r="N91" s="14" t="str">
        <f t="shared" si="15"/>
        <v/>
      </c>
      <c r="O91" s="42" t="str">
        <f t="shared" si="16"/>
        <v/>
      </c>
      <c r="P91" s="42" t="str">
        <f t="shared" si="17"/>
        <v/>
      </c>
      <c r="Q91" s="42" t="str">
        <f t="shared" si="18"/>
        <v/>
      </c>
      <c r="R91" s="42" t="str">
        <f t="shared" si="19"/>
        <v/>
      </c>
      <c r="S91" s="90" t="str">
        <f t="shared" si="20"/>
        <v/>
      </c>
      <c r="T91" s="42" t="str">
        <f t="shared" si="21"/>
        <v/>
      </c>
    </row>
    <row r="92" spans="1:20" x14ac:dyDescent="0.2">
      <c r="A92" t="str">
        <f>INDEX(Prioritization!$D:$D,MATCH($B92,Prioritization!$A:$A,0))</f>
        <v>1 - Scale-up: Saturation</v>
      </c>
      <c r="B92" t="s">
        <v>198</v>
      </c>
      <c r="C92" t="s">
        <v>363</v>
      </c>
      <c r="D92" t="s">
        <v>47</v>
      </c>
      <c r="E92" t="str">
        <f t="shared" si="11"/>
        <v>Mchinji District [kxuuIFpOXyO]|10-14|Male</v>
      </c>
      <c r="G92" s="14">
        <v>1</v>
      </c>
      <c r="H92" s="14"/>
      <c r="I92" s="90" t="str">
        <f t="shared" si="12"/>
        <v/>
      </c>
      <c r="J92" s="90"/>
      <c r="K92" s="90"/>
      <c r="L92" s="90">
        <f t="shared" si="13"/>
        <v>1</v>
      </c>
      <c r="M92" s="90">
        <f t="shared" si="14"/>
        <v>0.2</v>
      </c>
      <c r="N92" s="14" t="str">
        <f t="shared" si="15"/>
        <v/>
      </c>
      <c r="O92" s="42" t="str">
        <f t="shared" si="16"/>
        <v/>
      </c>
      <c r="P92" s="42" t="str">
        <f t="shared" si="17"/>
        <v/>
      </c>
      <c r="Q92" s="42" t="str">
        <f t="shared" si="18"/>
        <v/>
      </c>
      <c r="R92" s="42" t="str">
        <f t="shared" si="19"/>
        <v/>
      </c>
      <c r="S92" s="90" t="str">
        <f t="shared" si="20"/>
        <v/>
      </c>
      <c r="T92" s="42" t="str">
        <f t="shared" si="21"/>
        <v/>
      </c>
    </row>
    <row r="93" spans="1:20" x14ac:dyDescent="0.2">
      <c r="A93" t="str">
        <f>INDEX(Prioritization!$D:$D,MATCH($B93,Prioritization!$A:$A,0))</f>
        <v>1 - Scale-up: Saturation</v>
      </c>
      <c r="B93" t="s">
        <v>198</v>
      </c>
      <c r="C93" t="s">
        <v>811</v>
      </c>
      <c r="D93" t="s">
        <v>29</v>
      </c>
      <c r="E93" t="str">
        <f t="shared" si="11"/>
        <v>Mchinji District [kxuuIFpOXyO]|15-17|Female</v>
      </c>
      <c r="G93" s="14"/>
      <c r="H93" s="14"/>
      <c r="I93" s="90" t="str">
        <f t="shared" si="12"/>
        <v/>
      </c>
      <c r="J93" s="90"/>
      <c r="K93" s="90"/>
      <c r="L93" s="90">
        <f t="shared" si="13"/>
        <v>1</v>
      </c>
      <c r="M93" s="90">
        <f t="shared" si="14"/>
        <v>0.2</v>
      </c>
      <c r="N93" s="14" t="str">
        <f t="shared" si="15"/>
        <v/>
      </c>
      <c r="O93" s="42" t="str">
        <f t="shared" si="16"/>
        <v/>
      </c>
      <c r="P93" s="42" t="str">
        <f t="shared" si="17"/>
        <v/>
      </c>
      <c r="Q93" s="42" t="str">
        <f t="shared" si="18"/>
        <v/>
      </c>
      <c r="R93" s="42" t="str">
        <f t="shared" si="19"/>
        <v/>
      </c>
      <c r="S93" s="90" t="str">
        <f t="shared" si="20"/>
        <v/>
      </c>
      <c r="T93" s="42" t="str">
        <f t="shared" si="21"/>
        <v/>
      </c>
    </row>
    <row r="94" spans="1:20" x14ac:dyDescent="0.2">
      <c r="A94" t="str">
        <f>INDEX(Prioritization!$D:$D,MATCH($B94,Prioritization!$A:$A,0))</f>
        <v>1 - Scale-up: Saturation</v>
      </c>
      <c r="B94" t="s">
        <v>198</v>
      </c>
      <c r="C94" t="s">
        <v>811</v>
      </c>
      <c r="D94" t="s">
        <v>47</v>
      </c>
      <c r="E94" t="str">
        <f t="shared" si="11"/>
        <v>Mchinji District [kxuuIFpOXyO]|15-17|Male</v>
      </c>
      <c r="G94" s="14"/>
      <c r="H94" s="14"/>
      <c r="I94" s="90" t="str">
        <f t="shared" si="12"/>
        <v/>
      </c>
      <c r="J94" s="90"/>
      <c r="K94" s="90"/>
      <c r="L94" s="90">
        <f t="shared" si="13"/>
        <v>1</v>
      </c>
      <c r="M94" s="90">
        <f t="shared" si="14"/>
        <v>0.2</v>
      </c>
      <c r="N94" s="14" t="str">
        <f t="shared" si="15"/>
        <v/>
      </c>
      <c r="O94" s="42" t="str">
        <f t="shared" si="16"/>
        <v/>
      </c>
      <c r="P94" s="42" t="str">
        <f t="shared" si="17"/>
        <v/>
      </c>
      <c r="Q94" s="42" t="str">
        <f t="shared" si="18"/>
        <v/>
      </c>
      <c r="R94" s="42" t="str">
        <f t="shared" si="19"/>
        <v/>
      </c>
      <c r="S94" s="90" t="str">
        <f t="shared" si="20"/>
        <v/>
      </c>
      <c r="T94" s="42" t="str">
        <f t="shared" si="21"/>
        <v/>
      </c>
    </row>
    <row r="95" spans="1:20" x14ac:dyDescent="0.2">
      <c r="A95" t="str">
        <f>INDEX(Prioritization!$D:$D,MATCH($B95,Prioritization!$A:$A,0))</f>
        <v>1 - Scale-up: Saturation</v>
      </c>
      <c r="B95" t="s">
        <v>198</v>
      </c>
      <c r="C95" t="s">
        <v>812</v>
      </c>
      <c r="D95" t="s">
        <v>29</v>
      </c>
      <c r="E95" t="str">
        <f t="shared" si="11"/>
        <v>Mchinji District [kxuuIFpOXyO]|18-20|Female</v>
      </c>
      <c r="G95" s="14"/>
      <c r="H95" s="14"/>
      <c r="I95" s="90" t="str">
        <f t="shared" si="12"/>
        <v/>
      </c>
      <c r="J95" s="90"/>
      <c r="K95" s="90"/>
      <c r="L95" s="90">
        <f t="shared" si="13"/>
        <v>1</v>
      </c>
      <c r="M95" s="90">
        <f t="shared" si="14"/>
        <v>0.2</v>
      </c>
      <c r="N95" s="14" t="str">
        <f t="shared" si="15"/>
        <v/>
      </c>
      <c r="O95" s="42" t="str">
        <f t="shared" si="16"/>
        <v/>
      </c>
      <c r="P95" s="42" t="str">
        <f t="shared" si="17"/>
        <v/>
      </c>
      <c r="Q95" s="42" t="str">
        <f t="shared" si="18"/>
        <v/>
      </c>
      <c r="R95" s="42" t="str">
        <f t="shared" si="19"/>
        <v/>
      </c>
      <c r="S95" s="90" t="str">
        <f t="shared" si="20"/>
        <v/>
      </c>
      <c r="T95" s="42" t="str">
        <f t="shared" si="21"/>
        <v/>
      </c>
    </row>
    <row r="96" spans="1:20" x14ac:dyDescent="0.2">
      <c r="A96" t="str">
        <f>INDEX(Prioritization!$D:$D,MATCH($B96,Prioritization!$A:$A,0))</f>
        <v>1 - Scale-up: Saturation</v>
      </c>
      <c r="B96" t="s">
        <v>198</v>
      </c>
      <c r="C96" t="s">
        <v>812</v>
      </c>
      <c r="D96" t="s">
        <v>47</v>
      </c>
      <c r="E96" t="str">
        <f t="shared" si="11"/>
        <v>Mchinji District [kxuuIFpOXyO]|18-20|Male</v>
      </c>
      <c r="G96" s="14"/>
      <c r="H96" s="14"/>
      <c r="I96" s="90" t="str">
        <f t="shared" si="12"/>
        <v/>
      </c>
      <c r="J96" s="90"/>
      <c r="K96" s="90"/>
      <c r="L96" s="90">
        <f t="shared" si="13"/>
        <v>1</v>
      </c>
      <c r="M96" s="90">
        <f t="shared" si="14"/>
        <v>0.2</v>
      </c>
      <c r="N96" s="14" t="str">
        <f t="shared" si="15"/>
        <v/>
      </c>
      <c r="O96" s="42" t="str">
        <f t="shared" si="16"/>
        <v/>
      </c>
      <c r="P96" s="42" t="str">
        <f t="shared" si="17"/>
        <v/>
      </c>
      <c r="Q96" s="42" t="str">
        <f t="shared" si="18"/>
        <v/>
      </c>
      <c r="R96" s="42" t="str">
        <f t="shared" si="19"/>
        <v/>
      </c>
      <c r="S96" s="90" t="str">
        <f t="shared" si="20"/>
        <v/>
      </c>
      <c r="T96" s="42" t="str">
        <f t="shared" si="21"/>
        <v/>
      </c>
    </row>
    <row r="97" spans="1:20" x14ac:dyDescent="0.2">
      <c r="A97" t="str">
        <f>INDEX(Prioritization!$D:$D,MATCH($B97,Prioritization!$A:$A,0))</f>
        <v>1 - Scale-up: Saturation</v>
      </c>
      <c r="B97" t="s">
        <v>198</v>
      </c>
      <c r="C97" t="s">
        <v>813</v>
      </c>
      <c r="D97" t="s">
        <v>29</v>
      </c>
      <c r="E97" t="str">
        <f t="shared" si="11"/>
        <v>Mchinji District [kxuuIFpOXyO]|18+|Female</v>
      </c>
      <c r="G97" s="14"/>
      <c r="H97" s="14"/>
      <c r="I97" s="90" t="str">
        <f t="shared" si="12"/>
        <v/>
      </c>
      <c r="J97" s="90"/>
      <c r="K97" s="90"/>
      <c r="L97" s="90">
        <f t="shared" si="13"/>
        <v>1</v>
      </c>
      <c r="M97" s="90">
        <f t="shared" si="14"/>
        <v>0.2</v>
      </c>
      <c r="N97" s="14" t="str">
        <f t="shared" si="15"/>
        <v/>
      </c>
      <c r="O97" s="42" t="str">
        <f t="shared" si="16"/>
        <v/>
      </c>
      <c r="P97" s="42" t="str">
        <f t="shared" si="17"/>
        <v/>
      </c>
      <c r="Q97" s="42" t="str">
        <f t="shared" si="18"/>
        <v/>
      </c>
      <c r="R97" s="42" t="str">
        <f t="shared" si="19"/>
        <v/>
      </c>
      <c r="S97" s="90" t="str">
        <f t="shared" si="20"/>
        <v/>
      </c>
      <c r="T97" s="42" t="str">
        <f t="shared" si="21"/>
        <v/>
      </c>
    </row>
    <row r="98" spans="1:20" x14ac:dyDescent="0.2">
      <c r="A98" t="str">
        <f>INDEX(Prioritization!$D:$D,MATCH($B98,Prioritization!$A:$A,0))</f>
        <v>1 - Scale-up: Saturation</v>
      </c>
      <c r="B98" t="s">
        <v>198</v>
      </c>
      <c r="C98" t="s">
        <v>813</v>
      </c>
      <c r="D98" t="s">
        <v>47</v>
      </c>
      <c r="E98" t="str">
        <f t="shared" si="11"/>
        <v>Mchinji District [kxuuIFpOXyO]|18+|Male</v>
      </c>
      <c r="G98" s="14"/>
      <c r="H98" s="14"/>
      <c r="I98" s="90" t="str">
        <f t="shared" si="12"/>
        <v/>
      </c>
      <c r="J98" s="90"/>
      <c r="K98" s="90"/>
      <c r="L98" s="90">
        <f t="shared" si="13"/>
        <v>1</v>
      </c>
      <c r="M98" s="90">
        <f t="shared" si="14"/>
        <v>0.2</v>
      </c>
      <c r="N98" s="14" t="str">
        <f t="shared" si="15"/>
        <v/>
      </c>
      <c r="O98" s="42" t="str">
        <f t="shared" si="16"/>
        <v/>
      </c>
      <c r="P98" s="42" t="str">
        <f t="shared" si="17"/>
        <v/>
      </c>
      <c r="Q98" s="42" t="str">
        <f t="shared" si="18"/>
        <v/>
      </c>
      <c r="R98" s="42" t="str">
        <f t="shared" si="19"/>
        <v/>
      </c>
      <c r="S98" s="90" t="str">
        <f t="shared" si="20"/>
        <v/>
      </c>
      <c r="T98" s="42" t="str">
        <f t="shared" si="21"/>
        <v/>
      </c>
    </row>
    <row r="99" spans="1:20" x14ac:dyDescent="0.2">
      <c r="A99" t="str">
        <f>INDEX(Prioritization!$D:$D,MATCH($B99,Prioritization!$A:$A,0))</f>
        <v>1 - Scale-up: Saturation</v>
      </c>
      <c r="B99" t="s">
        <v>199</v>
      </c>
      <c r="C99" t="s">
        <v>315</v>
      </c>
      <c r="D99" t="s">
        <v>29</v>
      </c>
      <c r="E99" t="str">
        <f t="shared" si="11"/>
        <v>Nkhotakota District [YCKiBAp8QAg]|&lt;01|Female</v>
      </c>
      <c r="G99" s="14"/>
      <c r="H99" s="14"/>
      <c r="I99" s="90" t="str">
        <f t="shared" si="12"/>
        <v/>
      </c>
      <c r="J99" s="90"/>
      <c r="K99" s="90"/>
      <c r="L99" s="90">
        <f t="shared" si="13"/>
        <v>1</v>
      </c>
      <c r="M99" s="90">
        <f t="shared" si="14"/>
        <v>0.2</v>
      </c>
      <c r="N99" s="14" t="str">
        <f t="shared" si="15"/>
        <v/>
      </c>
      <c r="O99" s="42" t="str">
        <f t="shared" si="16"/>
        <v/>
      </c>
      <c r="P99" s="42" t="str">
        <f t="shared" si="17"/>
        <v/>
      </c>
      <c r="Q99" s="42" t="str">
        <f t="shared" si="18"/>
        <v/>
      </c>
      <c r="R99" s="42" t="str">
        <f t="shared" si="19"/>
        <v/>
      </c>
      <c r="S99" s="90" t="str">
        <f t="shared" si="20"/>
        <v/>
      </c>
      <c r="T99" s="42" t="str">
        <f t="shared" si="21"/>
        <v/>
      </c>
    </row>
    <row r="100" spans="1:20" x14ac:dyDescent="0.2">
      <c r="A100" t="str">
        <f>INDEX(Prioritization!$D:$D,MATCH($B100,Prioritization!$A:$A,0))</f>
        <v>1 - Scale-up: Saturation</v>
      </c>
      <c r="B100" t="s">
        <v>199</v>
      </c>
      <c r="C100" t="s">
        <v>315</v>
      </c>
      <c r="D100" t="s">
        <v>47</v>
      </c>
      <c r="E100" t="str">
        <f t="shared" si="11"/>
        <v>Nkhotakota District [YCKiBAp8QAg]|&lt;01|Male</v>
      </c>
      <c r="G100" s="14"/>
      <c r="H100" s="14"/>
      <c r="I100" s="90" t="str">
        <f t="shared" si="12"/>
        <v/>
      </c>
      <c r="J100" s="90"/>
      <c r="K100" s="90"/>
      <c r="L100" s="90">
        <f t="shared" si="13"/>
        <v>1</v>
      </c>
      <c r="M100" s="90">
        <f t="shared" si="14"/>
        <v>0.2</v>
      </c>
      <c r="N100" s="14" t="str">
        <f t="shared" si="15"/>
        <v/>
      </c>
      <c r="O100" s="42" t="str">
        <f t="shared" si="16"/>
        <v/>
      </c>
      <c r="P100" s="42" t="str">
        <f t="shared" si="17"/>
        <v/>
      </c>
      <c r="Q100" s="42" t="str">
        <f t="shared" si="18"/>
        <v/>
      </c>
      <c r="R100" s="42" t="str">
        <f t="shared" si="19"/>
        <v/>
      </c>
      <c r="S100" s="90" t="str">
        <f t="shared" si="20"/>
        <v/>
      </c>
      <c r="T100" s="42" t="str">
        <f t="shared" si="21"/>
        <v/>
      </c>
    </row>
    <row r="101" spans="1:20" x14ac:dyDescent="0.2">
      <c r="A101" t="str">
        <f>INDEX(Prioritization!$D:$D,MATCH($B101,Prioritization!$A:$A,0))</f>
        <v>1 - Scale-up: Saturation</v>
      </c>
      <c r="B101" t="s">
        <v>199</v>
      </c>
      <c r="C101" t="s">
        <v>809</v>
      </c>
      <c r="D101" t="s">
        <v>29</v>
      </c>
      <c r="E101" t="str">
        <f t="shared" si="11"/>
        <v>Nkhotakota District [YCKiBAp8QAg]|01-04|Female</v>
      </c>
      <c r="G101" s="14"/>
      <c r="H101" s="14"/>
      <c r="I101" s="90" t="str">
        <f t="shared" si="12"/>
        <v/>
      </c>
      <c r="J101" s="90"/>
      <c r="K101" s="90"/>
      <c r="L101" s="90">
        <f t="shared" si="13"/>
        <v>1</v>
      </c>
      <c r="M101" s="90">
        <f t="shared" si="14"/>
        <v>0.2</v>
      </c>
      <c r="N101" s="14" t="str">
        <f t="shared" si="15"/>
        <v/>
      </c>
      <c r="O101" s="42" t="str">
        <f t="shared" si="16"/>
        <v/>
      </c>
      <c r="P101" s="42" t="str">
        <f t="shared" si="17"/>
        <v/>
      </c>
      <c r="Q101" s="42" t="str">
        <f t="shared" si="18"/>
        <v/>
      </c>
      <c r="R101" s="42" t="str">
        <f t="shared" si="19"/>
        <v/>
      </c>
      <c r="S101" s="90" t="str">
        <f t="shared" si="20"/>
        <v/>
      </c>
      <c r="T101" s="42" t="str">
        <f t="shared" si="21"/>
        <v/>
      </c>
    </row>
    <row r="102" spans="1:20" x14ac:dyDescent="0.2">
      <c r="A102" t="str">
        <f>INDEX(Prioritization!$D:$D,MATCH($B102,Prioritization!$A:$A,0))</f>
        <v>1 - Scale-up: Saturation</v>
      </c>
      <c r="B102" t="s">
        <v>199</v>
      </c>
      <c r="C102" t="s">
        <v>809</v>
      </c>
      <c r="D102" t="s">
        <v>47</v>
      </c>
      <c r="E102" t="str">
        <f t="shared" si="11"/>
        <v>Nkhotakota District [YCKiBAp8QAg]|01-04|Male</v>
      </c>
      <c r="G102" s="14"/>
      <c r="H102" s="14"/>
      <c r="I102" s="90" t="str">
        <f t="shared" si="12"/>
        <v/>
      </c>
      <c r="J102" s="90"/>
      <c r="K102" s="90"/>
      <c r="L102" s="90">
        <f t="shared" si="13"/>
        <v>1</v>
      </c>
      <c r="M102" s="90">
        <f t="shared" si="14"/>
        <v>0.2</v>
      </c>
      <c r="N102" s="14" t="str">
        <f t="shared" si="15"/>
        <v/>
      </c>
      <c r="O102" s="42" t="str">
        <f t="shared" si="16"/>
        <v/>
      </c>
      <c r="P102" s="42" t="str">
        <f t="shared" si="17"/>
        <v/>
      </c>
      <c r="Q102" s="42" t="str">
        <f t="shared" si="18"/>
        <v/>
      </c>
      <c r="R102" s="42" t="str">
        <f t="shared" si="19"/>
        <v/>
      </c>
      <c r="S102" s="90" t="str">
        <f t="shared" si="20"/>
        <v/>
      </c>
      <c r="T102" s="42" t="str">
        <f t="shared" si="21"/>
        <v/>
      </c>
    </row>
    <row r="103" spans="1:20" x14ac:dyDescent="0.2">
      <c r="A103" t="str">
        <f>INDEX(Prioritization!$D:$D,MATCH($B103,Prioritization!$A:$A,0))</f>
        <v>1 - Scale-up: Saturation</v>
      </c>
      <c r="B103" t="s">
        <v>199</v>
      </c>
      <c r="C103" t="s">
        <v>810</v>
      </c>
      <c r="D103" t="s">
        <v>29</v>
      </c>
      <c r="E103" t="str">
        <f t="shared" si="11"/>
        <v>Nkhotakota District [YCKiBAp8QAg]|05-09|Female</v>
      </c>
      <c r="G103" s="14"/>
      <c r="H103" s="14"/>
      <c r="I103" s="90" t="str">
        <f t="shared" si="12"/>
        <v/>
      </c>
      <c r="J103" s="90"/>
      <c r="K103" s="90"/>
      <c r="L103" s="90">
        <f t="shared" si="13"/>
        <v>1</v>
      </c>
      <c r="M103" s="90">
        <f t="shared" si="14"/>
        <v>0.2</v>
      </c>
      <c r="N103" s="14" t="str">
        <f t="shared" si="15"/>
        <v/>
      </c>
      <c r="O103" s="42" t="str">
        <f t="shared" si="16"/>
        <v/>
      </c>
      <c r="P103" s="42" t="str">
        <f t="shared" si="17"/>
        <v/>
      </c>
      <c r="Q103" s="42" t="str">
        <f t="shared" si="18"/>
        <v/>
      </c>
      <c r="R103" s="42" t="str">
        <f t="shared" si="19"/>
        <v/>
      </c>
      <c r="S103" s="90" t="str">
        <f t="shared" si="20"/>
        <v/>
      </c>
      <c r="T103" s="42" t="str">
        <f t="shared" si="21"/>
        <v/>
      </c>
    </row>
    <row r="104" spans="1:20" x14ac:dyDescent="0.2">
      <c r="A104" t="str">
        <f>INDEX(Prioritization!$D:$D,MATCH($B104,Prioritization!$A:$A,0))</f>
        <v>1 - Scale-up: Saturation</v>
      </c>
      <c r="B104" t="s">
        <v>199</v>
      </c>
      <c r="C104" t="s">
        <v>810</v>
      </c>
      <c r="D104" t="s">
        <v>47</v>
      </c>
      <c r="E104" t="str">
        <f t="shared" si="11"/>
        <v>Nkhotakota District [YCKiBAp8QAg]|05-09|Male</v>
      </c>
      <c r="G104" s="14"/>
      <c r="H104" s="14"/>
      <c r="I104" s="90" t="str">
        <f t="shared" si="12"/>
        <v/>
      </c>
      <c r="J104" s="90"/>
      <c r="K104" s="90"/>
      <c r="L104" s="90">
        <f t="shared" si="13"/>
        <v>1</v>
      </c>
      <c r="M104" s="90">
        <f t="shared" si="14"/>
        <v>0.2</v>
      </c>
      <c r="N104" s="14" t="str">
        <f t="shared" si="15"/>
        <v/>
      </c>
      <c r="O104" s="42" t="str">
        <f t="shared" si="16"/>
        <v/>
      </c>
      <c r="P104" s="42" t="str">
        <f t="shared" si="17"/>
        <v/>
      </c>
      <c r="Q104" s="42" t="str">
        <f t="shared" si="18"/>
        <v/>
      </c>
      <c r="R104" s="42" t="str">
        <f t="shared" si="19"/>
        <v/>
      </c>
      <c r="S104" s="90" t="str">
        <f t="shared" si="20"/>
        <v/>
      </c>
      <c r="T104" s="42" t="str">
        <f t="shared" si="21"/>
        <v/>
      </c>
    </row>
    <row r="105" spans="1:20" x14ac:dyDescent="0.2">
      <c r="A105" t="str">
        <f>INDEX(Prioritization!$D:$D,MATCH($B105,Prioritization!$A:$A,0))</f>
        <v>1 - Scale-up: Saturation</v>
      </c>
      <c r="B105" t="s">
        <v>199</v>
      </c>
      <c r="C105" t="s">
        <v>363</v>
      </c>
      <c r="D105" t="s">
        <v>29</v>
      </c>
      <c r="E105" t="str">
        <f t="shared" si="11"/>
        <v>Nkhotakota District [YCKiBAp8QAg]|10-14|Female</v>
      </c>
      <c r="G105" s="14"/>
      <c r="H105" s="14"/>
      <c r="I105" s="90" t="str">
        <f t="shared" si="12"/>
        <v/>
      </c>
      <c r="J105" s="90"/>
      <c r="K105" s="90"/>
      <c r="L105" s="90">
        <f t="shared" si="13"/>
        <v>1</v>
      </c>
      <c r="M105" s="90">
        <f t="shared" si="14"/>
        <v>0.2</v>
      </c>
      <c r="N105" s="14" t="str">
        <f t="shared" si="15"/>
        <v/>
      </c>
      <c r="O105" s="42" t="str">
        <f t="shared" si="16"/>
        <v/>
      </c>
      <c r="P105" s="42" t="str">
        <f t="shared" si="17"/>
        <v/>
      </c>
      <c r="Q105" s="42" t="str">
        <f t="shared" si="18"/>
        <v/>
      </c>
      <c r="R105" s="42" t="str">
        <f t="shared" si="19"/>
        <v/>
      </c>
      <c r="S105" s="90" t="str">
        <f t="shared" si="20"/>
        <v/>
      </c>
      <c r="T105" s="42" t="str">
        <f t="shared" si="21"/>
        <v/>
      </c>
    </row>
    <row r="106" spans="1:20" x14ac:dyDescent="0.2">
      <c r="A106" t="str">
        <f>INDEX(Prioritization!$D:$D,MATCH($B106,Prioritization!$A:$A,0))</f>
        <v>1 - Scale-up: Saturation</v>
      </c>
      <c r="B106" t="s">
        <v>199</v>
      </c>
      <c r="C106" t="s">
        <v>363</v>
      </c>
      <c r="D106" t="s">
        <v>47</v>
      </c>
      <c r="E106" t="str">
        <f t="shared" si="11"/>
        <v>Nkhotakota District [YCKiBAp8QAg]|10-14|Male</v>
      </c>
      <c r="G106" s="14"/>
      <c r="H106" s="14"/>
      <c r="I106" s="90" t="str">
        <f t="shared" si="12"/>
        <v/>
      </c>
      <c r="J106" s="90"/>
      <c r="K106" s="90"/>
      <c r="L106" s="90">
        <f t="shared" si="13"/>
        <v>1</v>
      </c>
      <c r="M106" s="90">
        <f t="shared" si="14"/>
        <v>0.2</v>
      </c>
      <c r="N106" s="14" t="str">
        <f t="shared" si="15"/>
        <v/>
      </c>
      <c r="O106" s="42" t="str">
        <f t="shared" si="16"/>
        <v/>
      </c>
      <c r="P106" s="42" t="str">
        <f t="shared" si="17"/>
        <v/>
      </c>
      <c r="Q106" s="42" t="str">
        <f t="shared" si="18"/>
        <v/>
      </c>
      <c r="R106" s="42" t="str">
        <f t="shared" si="19"/>
        <v/>
      </c>
      <c r="S106" s="90" t="str">
        <f t="shared" si="20"/>
        <v/>
      </c>
      <c r="T106" s="42" t="str">
        <f t="shared" si="21"/>
        <v/>
      </c>
    </row>
    <row r="107" spans="1:20" x14ac:dyDescent="0.2">
      <c r="A107" t="str">
        <f>INDEX(Prioritization!$D:$D,MATCH($B107,Prioritization!$A:$A,0))</f>
        <v>1 - Scale-up: Saturation</v>
      </c>
      <c r="B107" t="s">
        <v>199</v>
      </c>
      <c r="C107" t="s">
        <v>811</v>
      </c>
      <c r="D107" t="s">
        <v>29</v>
      </c>
      <c r="E107" t="str">
        <f t="shared" si="11"/>
        <v>Nkhotakota District [YCKiBAp8QAg]|15-17|Female</v>
      </c>
      <c r="G107" s="14"/>
      <c r="H107" s="14"/>
      <c r="I107" s="90" t="str">
        <f t="shared" si="12"/>
        <v/>
      </c>
      <c r="J107" s="90"/>
      <c r="K107" s="90"/>
      <c r="L107" s="90">
        <f t="shared" si="13"/>
        <v>1</v>
      </c>
      <c r="M107" s="90">
        <f t="shared" si="14"/>
        <v>0.2</v>
      </c>
      <c r="N107" s="14" t="str">
        <f t="shared" si="15"/>
        <v/>
      </c>
      <c r="O107" s="42" t="str">
        <f t="shared" si="16"/>
        <v/>
      </c>
      <c r="P107" s="42" t="str">
        <f t="shared" si="17"/>
        <v/>
      </c>
      <c r="Q107" s="42" t="str">
        <f t="shared" si="18"/>
        <v/>
      </c>
      <c r="R107" s="42" t="str">
        <f t="shared" si="19"/>
        <v/>
      </c>
      <c r="S107" s="90" t="str">
        <f t="shared" si="20"/>
        <v/>
      </c>
      <c r="T107" s="42" t="str">
        <f t="shared" si="21"/>
        <v/>
      </c>
    </row>
    <row r="108" spans="1:20" x14ac:dyDescent="0.2">
      <c r="A108" t="str">
        <f>INDEX(Prioritization!$D:$D,MATCH($B108,Prioritization!$A:$A,0))</f>
        <v>1 - Scale-up: Saturation</v>
      </c>
      <c r="B108" t="s">
        <v>199</v>
      </c>
      <c r="C108" t="s">
        <v>811</v>
      </c>
      <c r="D108" t="s">
        <v>47</v>
      </c>
      <c r="E108" t="str">
        <f t="shared" si="11"/>
        <v>Nkhotakota District [YCKiBAp8QAg]|15-17|Male</v>
      </c>
      <c r="G108" s="14"/>
      <c r="H108" s="14"/>
      <c r="I108" s="90" t="str">
        <f t="shared" si="12"/>
        <v/>
      </c>
      <c r="J108" s="90"/>
      <c r="K108" s="90"/>
      <c r="L108" s="90">
        <f t="shared" si="13"/>
        <v>1</v>
      </c>
      <c r="M108" s="90">
        <f t="shared" si="14"/>
        <v>0.2</v>
      </c>
      <c r="N108" s="14" t="str">
        <f t="shared" si="15"/>
        <v/>
      </c>
      <c r="O108" s="42" t="str">
        <f t="shared" si="16"/>
        <v/>
      </c>
      <c r="P108" s="42" t="str">
        <f t="shared" si="17"/>
        <v/>
      </c>
      <c r="Q108" s="42" t="str">
        <f t="shared" si="18"/>
        <v/>
      </c>
      <c r="R108" s="42" t="str">
        <f t="shared" si="19"/>
        <v/>
      </c>
      <c r="S108" s="90" t="str">
        <f t="shared" si="20"/>
        <v/>
      </c>
      <c r="T108" s="42" t="str">
        <f t="shared" si="21"/>
        <v/>
      </c>
    </row>
    <row r="109" spans="1:20" x14ac:dyDescent="0.2">
      <c r="A109" t="str">
        <f>INDEX(Prioritization!$D:$D,MATCH($B109,Prioritization!$A:$A,0))</f>
        <v>1 - Scale-up: Saturation</v>
      </c>
      <c r="B109" t="s">
        <v>199</v>
      </c>
      <c r="C109" t="s">
        <v>812</v>
      </c>
      <c r="D109" t="s">
        <v>29</v>
      </c>
      <c r="E109" t="str">
        <f t="shared" si="11"/>
        <v>Nkhotakota District [YCKiBAp8QAg]|18-20|Female</v>
      </c>
      <c r="G109" s="14"/>
      <c r="H109" s="14"/>
      <c r="I109" s="90" t="str">
        <f t="shared" si="12"/>
        <v/>
      </c>
      <c r="J109" s="90"/>
      <c r="K109" s="90"/>
      <c r="L109" s="90">
        <f t="shared" si="13"/>
        <v>1</v>
      </c>
      <c r="M109" s="90">
        <f t="shared" si="14"/>
        <v>0.2</v>
      </c>
      <c r="N109" s="14" t="str">
        <f t="shared" si="15"/>
        <v/>
      </c>
      <c r="O109" s="42" t="str">
        <f t="shared" si="16"/>
        <v/>
      </c>
      <c r="P109" s="42" t="str">
        <f t="shared" si="17"/>
        <v/>
      </c>
      <c r="Q109" s="42" t="str">
        <f t="shared" si="18"/>
        <v/>
      </c>
      <c r="R109" s="42" t="str">
        <f t="shared" si="19"/>
        <v/>
      </c>
      <c r="S109" s="90" t="str">
        <f t="shared" si="20"/>
        <v/>
      </c>
      <c r="T109" s="42" t="str">
        <f t="shared" si="21"/>
        <v/>
      </c>
    </row>
    <row r="110" spans="1:20" x14ac:dyDescent="0.2">
      <c r="A110" t="str">
        <f>INDEX(Prioritization!$D:$D,MATCH($B110,Prioritization!$A:$A,0))</f>
        <v>1 - Scale-up: Saturation</v>
      </c>
      <c r="B110" t="s">
        <v>199</v>
      </c>
      <c r="C110" t="s">
        <v>812</v>
      </c>
      <c r="D110" t="s">
        <v>47</v>
      </c>
      <c r="E110" t="str">
        <f t="shared" si="11"/>
        <v>Nkhotakota District [YCKiBAp8QAg]|18-20|Male</v>
      </c>
      <c r="G110" s="14"/>
      <c r="H110" s="14"/>
      <c r="I110" s="90" t="str">
        <f t="shared" si="12"/>
        <v/>
      </c>
      <c r="J110" s="90"/>
      <c r="K110" s="90"/>
      <c r="L110" s="90">
        <f t="shared" si="13"/>
        <v>1</v>
      </c>
      <c r="M110" s="90">
        <f t="shared" si="14"/>
        <v>0.2</v>
      </c>
      <c r="N110" s="14" t="str">
        <f t="shared" si="15"/>
        <v/>
      </c>
      <c r="O110" s="42" t="str">
        <f t="shared" si="16"/>
        <v/>
      </c>
      <c r="P110" s="42" t="str">
        <f t="shared" si="17"/>
        <v/>
      </c>
      <c r="Q110" s="42" t="str">
        <f t="shared" si="18"/>
        <v/>
      </c>
      <c r="R110" s="42" t="str">
        <f t="shared" si="19"/>
        <v/>
      </c>
      <c r="S110" s="90" t="str">
        <f t="shared" si="20"/>
        <v/>
      </c>
      <c r="T110" s="42" t="str">
        <f t="shared" si="21"/>
        <v/>
      </c>
    </row>
    <row r="111" spans="1:20" x14ac:dyDescent="0.2">
      <c r="A111" t="str">
        <f>INDEX(Prioritization!$D:$D,MATCH($B111,Prioritization!$A:$A,0))</f>
        <v>1 - Scale-up: Saturation</v>
      </c>
      <c r="B111" t="s">
        <v>199</v>
      </c>
      <c r="C111" t="s">
        <v>813</v>
      </c>
      <c r="D111" t="s">
        <v>29</v>
      </c>
      <c r="E111" t="str">
        <f t="shared" si="11"/>
        <v>Nkhotakota District [YCKiBAp8QAg]|18+|Female</v>
      </c>
      <c r="G111" s="14"/>
      <c r="H111" s="14"/>
      <c r="I111" s="90" t="str">
        <f t="shared" si="12"/>
        <v/>
      </c>
      <c r="J111" s="90"/>
      <c r="K111" s="90"/>
      <c r="L111" s="90">
        <f t="shared" si="13"/>
        <v>1</v>
      </c>
      <c r="M111" s="90">
        <f t="shared" si="14"/>
        <v>0.2</v>
      </c>
      <c r="N111" s="14" t="str">
        <f t="shared" si="15"/>
        <v/>
      </c>
      <c r="O111" s="42" t="str">
        <f t="shared" si="16"/>
        <v/>
      </c>
      <c r="P111" s="42" t="str">
        <f t="shared" si="17"/>
        <v/>
      </c>
      <c r="Q111" s="42" t="str">
        <f t="shared" si="18"/>
        <v/>
      </c>
      <c r="R111" s="42" t="str">
        <f t="shared" si="19"/>
        <v/>
      </c>
      <c r="S111" s="90" t="str">
        <f t="shared" si="20"/>
        <v/>
      </c>
      <c r="T111" s="42" t="str">
        <f t="shared" si="21"/>
        <v/>
      </c>
    </row>
    <row r="112" spans="1:20" x14ac:dyDescent="0.2">
      <c r="A112" t="str">
        <f>INDEX(Prioritization!$D:$D,MATCH($B112,Prioritization!$A:$A,0))</f>
        <v>1 - Scale-up: Saturation</v>
      </c>
      <c r="B112" t="s">
        <v>199</v>
      </c>
      <c r="C112" t="s">
        <v>813</v>
      </c>
      <c r="D112" t="s">
        <v>47</v>
      </c>
      <c r="E112" t="str">
        <f t="shared" si="11"/>
        <v>Nkhotakota District [YCKiBAp8QAg]|18+|Male</v>
      </c>
      <c r="G112" s="14"/>
      <c r="H112" s="14"/>
      <c r="I112" s="90" t="str">
        <f t="shared" si="12"/>
        <v/>
      </c>
      <c r="J112" s="90"/>
      <c r="K112" s="90"/>
      <c r="L112" s="90">
        <f t="shared" si="13"/>
        <v>1</v>
      </c>
      <c r="M112" s="90">
        <f t="shared" si="14"/>
        <v>0.2</v>
      </c>
      <c r="N112" s="14" t="str">
        <f t="shared" si="15"/>
        <v/>
      </c>
      <c r="O112" s="42" t="str">
        <f t="shared" si="16"/>
        <v/>
      </c>
      <c r="P112" s="42" t="str">
        <f t="shared" si="17"/>
        <v/>
      </c>
      <c r="Q112" s="42" t="str">
        <f t="shared" si="18"/>
        <v/>
      </c>
      <c r="R112" s="42" t="str">
        <f t="shared" si="19"/>
        <v/>
      </c>
      <c r="S112" s="90" t="str">
        <f t="shared" si="20"/>
        <v/>
      </c>
      <c r="T112" s="42" t="str">
        <f t="shared" si="21"/>
        <v/>
      </c>
    </row>
    <row r="113" spans="1:20" x14ac:dyDescent="0.2">
      <c r="A113" t="str">
        <f>INDEX(Prioritization!$D:$D,MATCH($B113,Prioritization!$A:$A,0))</f>
        <v>INVALID</v>
      </c>
      <c r="B113" t="s">
        <v>200</v>
      </c>
      <c r="C113" t="s">
        <v>315</v>
      </c>
      <c r="D113" t="s">
        <v>29</v>
      </c>
      <c r="E113" t="str">
        <f t="shared" si="11"/>
        <v>Ntcheu District [am530wpaGvr]|&lt;01|Female</v>
      </c>
      <c r="G113" s="14"/>
      <c r="H113" s="14"/>
      <c r="I113" s="90" t="str">
        <f t="shared" si="12"/>
        <v/>
      </c>
      <c r="J113" s="90"/>
      <c r="K113" s="90"/>
      <c r="L113" s="90">
        <f t="shared" si="13"/>
        <v>1</v>
      </c>
      <c r="M113" s="90">
        <f t="shared" si="14"/>
        <v>0.2</v>
      </c>
      <c r="N113" s="14" t="str">
        <f t="shared" si="15"/>
        <v/>
      </c>
      <c r="O113" s="42" t="str">
        <f t="shared" si="16"/>
        <v/>
      </c>
      <c r="P113" s="42" t="str">
        <f t="shared" si="17"/>
        <v/>
      </c>
      <c r="Q113" s="42" t="str">
        <f t="shared" si="18"/>
        <v/>
      </c>
      <c r="R113" s="42" t="str">
        <f t="shared" si="19"/>
        <v/>
      </c>
      <c r="S113" s="90" t="str">
        <f t="shared" si="20"/>
        <v/>
      </c>
      <c r="T113" s="42" t="str">
        <f t="shared" si="21"/>
        <v/>
      </c>
    </row>
    <row r="114" spans="1:20" x14ac:dyDescent="0.2">
      <c r="A114" t="str">
        <f>INDEX(Prioritization!$D:$D,MATCH($B114,Prioritization!$A:$A,0))</f>
        <v>INVALID</v>
      </c>
      <c r="B114" t="s">
        <v>200</v>
      </c>
      <c r="C114" t="s">
        <v>315</v>
      </c>
      <c r="D114" t="s">
        <v>47</v>
      </c>
      <c r="E114" t="str">
        <f t="shared" si="11"/>
        <v>Ntcheu District [am530wpaGvr]|&lt;01|Male</v>
      </c>
      <c r="G114" s="14"/>
      <c r="H114" s="14"/>
      <c r="I114" s="90" t="str">
        <f t="shared" si="12"/>
        <v/>
      </c>
      <c r="J114" s="90"/>
      <c r="K114" s="90"/>
      <c r="L114" s="90">
        <f t="shared" si="13"/>
        <v>1</v>
      </c>
      <c r="M114" s="90">
        <f t="shared" si="14"/>
        <v>0.2</v>
      </c>
      <c r="N114" s="14" t="str">
        <f t="shared" si="15"/>
        <v/>
      </c>
      <c r="O114" s="42" t="str">
        <f t="shared" si="16"/>
        <v/>
      </c>
      <c r="P114" s="42" t="str">
        <f t="shared" si="17"/>
        <v/>
      </c>
      <c r="Q114" s="42" t="str">
        <f t="shared" si="18"/>
        <v/>
      </c>
      <c r="R114" s="42" t="str">
        <f t="shared" si="19"/>
        <v/>
      </c>
      <c r="S114" s="90" t="str">
        <f t="shared" si="20"/>
        <v/>
      </c>
      <c r="T114" s="42" t="str">
        <f t="shared" si="21"/>
        <v/>
      </c>
    </row>
    <row r="115" spans="1:20" x14ac:dyDescent="0.2">
      <c r="A115" t="str">
        <f>INDEX(Prioritization!$D:$D,MATCH($B115,Prioritization!$A:$A,0))</f>
        <v>INVALID</v>
      </c>
      <c r="B115" t="s">
        <v>200</v>
      </c>
      <c r="C115" t="s">
        <v>809</v>
      </c>
      <c r="D115" t="s">
        <v>29</v>
      </c>
      <c r="E115" t="str">
        <f t="shared" si="11"/>
        <v>Ntcheu District [am530wpaGvr]|01-04|Female</v>
      </c>
      <c r="G115" s="14"/>
      <c r="H115" s="14"/>
      <c r="I115" s="90" t="str">
        <f t="shared" si="12"/>
        <v/>
      </c>
      <c r="J115" s="90"/>
      <c r="K115" s="90"/>
      <c r="L115" s="90">
        <f t="shared" si="13"/>
        <v>1</v>
      </c>
      <c r="M115" s="90">
        <f t="shared" si="14"/>
        <v>0.2</v>
      </c>
      <c r="N115" s="14" t="str">
        <f t="shared" si="15"/>
        <v/>
      </c>
      <c r="O115" s="42" t="str">
        <f t="shared" si="16"/>
        <v/>
      </c>
      <c r="P115" s="42" t="str">
        <f t="shared" si="17"/>
        <v/>
      </c>
      <c r="Q115" s="42" t="str">
        <f t="shared" si="18"/>
        <v/>
      </c>
      <c r="R115" s="42" t="str">
        <f t="shared" si="19"/>
        <v/>
      </c>
      <c r="S115" s="90" t="str">
        <f t="shared" si="20"/>
        <v/>
      </c>
      <c r="T115" s="42" t="str">
        <f t="shared" si="21"/>
        <v/>
      </c>
    </row>
    <row r="116" spans="1:20" x14ac:dyDescent="0.2">
      <c r="A116" t="str">
        <f>INDEX(Prioritization!$D:$D,MATCH($B116,Prioritization!$A:$A,0))</f>
        <v>INVALID</v>
      </c>
      <c r="B116" t="s">
        <v>200</v>
      </c>
      <c r="C116" t="s">
        <v>809</v>
      </c>
      <c r="D116" t="s">
        <v>47</v>
      </c>
      <c r="E116" t="str">
        <f t="shared" si="11"/>
        <v>Ntcheu District [am530wpaGvr]|01-04|Male</v>
      </c>
      <c r="G116" s="14"/>
      <c r="H116" s="14"/>
      <c r="I116" s="90" t="str">
        <f t="shared" si="12"/>
        <v/>
      </c>
      <c r="J116" s="90"/>
      <c r="K116" s="90"/>
      <c r="L116" s="90">
        <f t="shared" si="13"/>
        <v>1</v>
      </c>
      <c r="M116" s="90">
        <f t="shared" si="14"/>
        <v>0.2</v>
      </c>
      <c r="N116" s="14" t="str">
        <f t="shared" si="15"/>
        <v/>
      </c>
      <c r="O116" s="42" t="str">
        <f t="shared" si="16"/>
        <v/>
      </c>
      <c r="P116" s="42" t="str">
        <f t="shared" si="17"/>
        <v/>
      </c>
      <c r="Q116" s="42" t="str">
        <f t="shared" si="18"/>
        <v/>
      </c>
      <c r="R116" s="42" t="str">
        <f t="shared" si="19"/>
        <v/>
      </c>
      <c r="S116" s="90" t="str">
        <f t="shared" si="20"/>
        <v/>
      </c>
      <c r="T116" s="42" t="str">
        <f t="shared" si="21"/>
        <v/>
      </c>
    </row>
    <row r="117" spans="1:20" x14ac:dyDescent="0.2">
      <c r="A117" t="str">
        <f>INDEX(Prioritization!$D:$D,MATCH($B117,Prioritization!$A:$A,0))</f>
        <v>INVALID</v>
      </c>
      <c r="B117" t="s">
        <v>200</v>
      </c>
      <c r="C117" t="s">
        <v>810</v>
      </c>
      <c r="D117" t="s">
        <v>29</v>
      </c>
      <c r="E117" t="str">
        <f t="shared" si="11"/>
        <v>Ntcheu District [am530wpaGvr]|05-09|Female</v>
      </c>
      <c r="G117" s="14"/>
      <c r="H117" s="14"/>
      <c r="I117" s="90" t="str">
        <f t="shared" si="12"/>
        <v/>
      </c>
      <c r="J117" s="90"/>
      <c r="K117" s="90"/>
      <c r="L117" s="90">
        <f t="shared" si="13"/>
        <v>1</v>
      </c>
      <c r="M117" s="90">
        <f t="shared" si="14"/>
        <v>0.2</v>
      </c>
      <c r="N117" s="14" t="str">
        <f t="shared" si="15"/>
        <v/>
      </c>
      <c r="O117" s="42" t="str">
        <f t="shared" si="16"/>
        <v/>
      </c>
      <c r="P117" s="42" t="str">
        <f t="shared" si="17"/>
        <v/>
      </c>
      <c r="Q117" s="42" t="str">
        <f t="shared" si="18"/>
        <v/>
      </c>
      <c r="R117" s="42" t="str">
        <f t="shared" si="19"/>
        <v/>
      </c>
      <c r="S117" s="90" t="str">
        <f t="shared" si="20"/>
        <v/>
      </c>
      <c r="T117" s="42" t="str">
        <f t="shared" si="21"/>
        <v/>
      </c>
    </row>
    <row r="118" spans="1:20" x14ac:dyDescent="0.2">
      <c r="A118" t="str">
        <f>INDEX(Prioritization!$D:$D,MATCH($B118,Prioritization!$A:$A,0))</f>
        <v>INVALID</v>
      </c>
      <c r="B118" t="s">
        <v>200</v>
      </c>
      <c r="C118" t="s">
        <v>810</v>
      </c>
      <c r="D118" t="s">
        <v>47</v>
      </c>
      <c r="E118" t="str">
        <f t="shared" si="11"/>
        <v>Ntcheu District [am530wpaGvr]|05-09|Male</v>
      </c>
      <c r="G118" s="14"/>
      <c r="H118" s="14"/>
      <c r="I118" s="90" t="str">
        <f t="shared" si="12"/>
        <v/>
      </c>
      <c r="J118" s="90"/>
      <c r="K118" s="90"/>
      <c r="L118" s="90">
        <f t="shared" si="13"/>
        <v>1</v>
      </c>
      <c r="M118" s="90">
        <f t="shared" si="14"/>
        <v>0.2</v>
      </c>
      <c r="N118" s="14" t="str">
        <f t="shared" si="15"/>
        <v/>
      </c>
      <c r="O118" s="42" t="str">
        <f t="shared" si="16"/>
        <v/>
      </c>
      <c r="P118" s="42" t="str">
        <f t="shared" si="17"/>
        <v/>
      </c>
      <c r="Q118" s="42" t="str">
        <f t="shared" si="18"/>
        <v/>
      </c>
      <c r="R118" s="42" t="str">
        <f t="shared" si="19"/>
        <v/>
      </c>
      <c r="S118" s="90" t="str">
        <f t="shared" si="20"/>
        <v/>
      </c>
      <c r="T118" s="42" t="str">
        <f t="shared" si="21"/>
        <v/>
      </c>
    </row>
    <row r="119" spans="1:20" x14ac:dyDescent="0.2">
      <c r="A119" t="str">
        <f>INDEX(Prioritization!$D:$D,MATCH($B119,Prioritization!$A:$A,0))</f>
        <v>INVALID</v>
      </c>
      <c r="B119" t="s">
        <v>200</v>
      </c>
      <c r="C119" t="s">
        <v>363</v>
      </c>
      <c r="D119" t="s">
        <v>29</v>
      </c>
      <c r="E119" t="str">
        <f t="shared" si="11"/>
        <v>Ntcheu District [am530wpaGvr]|10-14|Female</v>
      </c>
      <c r="G119" s="14"/>
      <c r="H119" s="14">
        <v>3</v>
      </c>
      <c r="I119" s="90">
        <f t="shared" si="12"/>
        <v>0</v>
      </c>
      <c r="J119" s="90"/>
      <c r="K119" s="90"/>
      <c r="L119" s="90">
        <f t="shared" si="13"/>
        <v>1</v>
      </c>
      <c r="M119" s="90">
        <f t="shared" si="14"/>
        <v>0.2</v>
      </c>
      <c r="N119" s="14">
        <f t="shared" si="15"/>
        <v>3</v>
      </c>
      <c r="O119" s="42" t="str">
        <f t="shared" si="16"/>
        <v/>
      </c>
      <c r="P119" s="42" t="str">
        <f t="shared" si="17"/>
        <v/>
      </c>
      <c r="Q119" s="42">
        <f t="shared" si="18"/>
        <v>1</v>
      </c>
      <c r="R119" s="42">
        <f t="shared" si="19"/>
        <v>2</v>
      </c>
      <c r="S119" s="90">
        <f t="shared" si="20"/>
        <v>1</v>
      </c>
      <c r="T119" s="42">
        <f t="shared" si="21"/>
        <v>3</v>
      </c>
    </row>
    <row r="120" spans="1:20" x14ac:dyDescent="0.2">
      <c r="A120" t="str">
        <f>INDEX(Prioritization!$D:$D,MATCH($B120,Prioritization!$A:$A,0))</f>
        <v>INVALID</v>
      </c>
      <c r="B120" t="s">
        <v>200</v>
      </c>
      <c r="C120" t="s">
        <v>363</v>
      </c>
      <c r="D120" t="s">
        <v>47</v>
      </c>
      <c r="E120" t="str">
        <f t="shared" si="11"/>
        <v>Ntcheu District [am530wpaGvr]|10-14|Male</v>
      </c>
      <c r="G120" s="14"/>
      <c r="H120" s="14">
        <v>5</v>
      </c>
      <c r="I120" s="90">
        <f t="shared" si="12"/>
        <v>0</v>
      </c>
      <c r="J120" s="90"/>
      <c r="K120" s="90"/>
      <c r="L120" s="90">
        <f t="shared" si="13"/>
        <v>1</v>
      </c>
      <c r="M120" s="90">
        <f t="shared" si="14"/>
        <v>0.2</v>
      </c>
      <c r="N120" s="14">
        <f t="shared" si="15"/>
        <v>5</v>
      </c>
      <c r="O120" s="42" t="str">
        <f t="shared" si="16"/>
        <v/>
      </c>
      <c r="P120" s="42" t="str">
        <f t="shared" si="17"/>
        <v/>
      </c>
      <c r="Q120" s="42">
        <f t="shared" si="18"/>
        <v>1</v>
      </c>
      <c r="R120" s="42">
        <f t="shared" si="19"/>
        <v>4</v>
      </c>
      <c r="S120" s="90">
        <f t="shared" si="20"/>
        <v>1</v>
      </c>
      <c r="T120" s="42">
        <f t="shared" si="21"/>
        <v>5</v>
      </c>
    </row>
    <row r="121" spans="1:20" x14ac:dyDescent="0.2">
      <c r="A121" t="str">
        <f>INDEX(Prioritization!$D:$D,MATCH($B121,Prioritization!$A:$A,0))</f>
        <v>INVALID</v>
      </c>
      <c r="B121" t="s">
        <v>200</v>
      </c>
      <c r="C121" t="s">
        <v>811</v>
      </c>
      <c r="D121" t="s">
        <v>29</v>
      </c>
      <c r="E121" t="str">
        <f t="shared" si="11"/>
        <v>Ntcheu District [am530wpaGvr]|15-17|Female</v>
      </c>
      <c r="G121" s="14"/>
      <c r="H121" s="14"/>
      <c r="I121" s="90" t="str">
        <f t="shared" si="12"/>
        <v/>
      </c>
      <c r="J121" s="90"/>
      <c r="K121" s="90"/>
      <c r="L121" s="90">
        <f t="shared" si="13"/>
        <v>1</v>
      </c>
      <c r="M121" s="90">
        <f t="shared" si="14"/>
        <v>0.2</v>
      </c>
      <c r="N121" s="14" t="str">
        <f t="shared" si="15"/>
        <v/>
      </c>
      <c r="O121" s="42" t="str">
        <f t="shared" si="16"/>
        <v/>
      </c>
      <c r="P121" s="42" t="str">
        <f t="shared" si="17"/>
        <v/>
      </c>
      <c r="Q121" s="42" t="str">
        <f t="shared" si="18"/>
        <v/>
      </c>
      <c r="R121" s="42" t="str">
        <f t="shared" si="19"/>
        <v/>
      </c>
      <c r="S121" s="90" t="str">
        <f t="shared" si="20"/>
        <v/>
      </c>
      <c r="T121" s="42" t="str">
        <f t="shared" si="21"/>
        <v/>
      </c>
    </row>
    <row r="122" spans="1:20" x14ac:dyDescent="0.2">
      <c r="A122" t="str">
        <f>INDEX(Prioritization!$D:$D,MATCH($B122,Prioritization!$A:$A,0))</f>
        <v>INVALID</v>
      </c>
      <c r="B122" t="s">
        <v>200</v>
      </c>
      <c r="C122" t="s">
        <v>811</v>
      </c>
      <c r="D122" t="s">
        <v>47</v>
      </c>
      <c r="E122" t="str">
        <f t="shared" si="11"/>
        <v>Ntcheu District [am530wpaGvr]|15-17|Male</v>
      </c>
      <c r="G122" s="14"/>
      <c r="H122" s="14"/>
      <c r="I122" s="90" t="str">
        <f t="shared" si="12"/>
        <v/>
      </c>
      <c r="J122" s="90"/>
      <c r="K122" s="90"/>
      <c r="L122" s="90">
        <f t="shared" si="13"/>
        <v>1</v>
      </c>
      <c r="M122" s="90">
        <f t="shared" si="14"/>
        <v>0.2</v>
      </c>
      <c r="N122" s="14" t="str">
        <f t="shared" si="15"/>
        <v/>
      </c>
      <c r="O122" s="42" t="str">
        <f t="shared" si="16"/>
        <v/>
      </c>
      <c r="P122" s="42" t="str">
        <f t="shared" si="17"/>
        <v/>
      </c>
      <c r="Q122" s="42" t="str">
        <f t="shared" si="18"/>
        <v/>
      </c>
      <c r="R122" s="42" t="str">
        <f t="shared" si="19"/>
        <v/>
      </c>
      <c r="S122" s="90" t="str">
        <f t="shared" si="20"/>
        <v/>
      </c>
      <c r="T122" s="42" t="str">
        <f t="shared" si="21"/>
        <v/>
      </c>
    </row>
    <row r="123" spans="1:20" x14ac:dyDescent="0.2">
      <c r="A123" t="str">
        <f>INDEX(Prioritization!$D:$D,MATCH($B123,Prioritization!$A:$A,0))</f>
        <v>INVALID</v>
      </c>
      <c r="B123" t="s">
        <v>200</v>
      </c>
      <c r="C123" t="s">
        <v>812</v>
      </c>
      <c r="D123" t="s">
        <v>29</v>
      </c>
      <c r="E123" t="str">
        <f t="shared" si="11"/>
        <v>Ntcheu District [am530wpaGvr]|18-20|Female</v>
      </c>
      <c r="G123" s="14"/>
      <c r="H123" s="14"/>
      <c r="I123" s="90" t="str">
        <f t="shared" si="12"/>
        <v/>
      </c>
      <c r="J123" s="90"/>
      <c r="K123" s="90"/>
      <c r="L123" s="90">
        <f t="shared" si="13"/>
        <v>1</v>
      </c>
      <c r="M123" s="90">
        <f t="shared" si="14"/>
        <v>0.2</v>
      </c>
      <c r="N123" s="14" t="str">
        <f t="shared" si="15"/>
        <v/>
      </c>
      <c r="O123" s="42" t="str">
        <f t="shared" si="16"/>
        <v/>
      </c>
      <c r="P123" s="42" t="str">
        <f t="shared" si="17"/>
        <v/>
      </c>
      <c r="Q123" s="42" t="str">
        <f t="shared" si="18"/>
        <v/>
      </c>
      <c r="R123" s="42" t="str">
        <f t="shared" si="19"/>
        <v/>
      </c>
      <c r="S123" s="90" t="str">
        <f t="shared" si="20"/>
        <v/>
      </c>
      <c r="T123" s="42" t="str">
        <f t="shared" si="21"/>
        <v/>
      </c>
    </row>
    <row r="124" spans="1:20" x14ac:dyDescent="0.2">
      <c r="A124" t="str">
        <f>INDEX(Prioritization!$D:$D,MATCH($B124,Prioritization!$A:$A,0))</f>
        <v>INVALID</v>
      </c>
      <c r="B124" t="s">
        <v>200</v>
      </c>
      <c r="C124" t="s">
        <v>812</v>
      </c>
      <c r="D124" t="s">
        <v>47</v>
      </c>
      <c r="E124" t="str">
        <f t="shared" si="11"/>
        <v>Ntcheu District [am530wpaGvr]|18-20|Male</v>
      </c>
      <c r="G124" s="14"/>
      <c r="H124" s="14"/>
      <c r="I124" s="90" t="str">
        <f t="shared" si="12"/>
        <v/>
      </c>
      <c r="J124" s="90"/>
      <c r="K124" s="90"/>
      <c r="L124" s="90">
        <f t="shared" si="13"/>
        <v>1</v>
      </c>
      <c r="M124" s="90">
        <f t="shared" si="14"/>
        <v>0.2</v>
      </c>
      <c r="N124" s="14" t="str">
        <f t="shared" si="15"/>
        <v/>
      </c>
      <c r="O124" s="42" t="str">
        <f t="shared" si="16"/>
        <v/>
      </c>
      <c r="P124" s="42" t="str">
        <f t="shared" si="17"/>
        <v/>
      </c>
      <c r="Q124" s="42" t="str">
        <f t="shared" si="18"/>
        <v/>
      </c>
      <c r="R124" s="42" t="str">
        <f t="shared" si="19"/>
        <v/>
      </c>
      <c r="S124" s="90" t="str">
        <f t="shared" si="20"/>
        <v/>
      </c>
      <c r="T124" s="42" t="str">
        <f t="shared" si="21"/>
        <v/>
      </c>
    </row>
    <row r="125" spans="1:20" x14ac:dyDescent="0.2">
      <c r="A125" t="str">
        <f>INDEX(Prioritization!$D:$D,MATCH($B125,Prioritization!$A:$A,0))</f>
        <v>INVALID</v>
      </c>
      <c r="B125" t="s">
        <v>200</v>
      </c>
      <c r="C125" t="s">
        <v>813</v>
      </c>
      <c r="D125" t="s">
        <v>29</v>
      </c>
      <c r="E125" t="str">
        <f t="shared" si="11"/>
        <v>Ntcheu District [am530wpaGvr]|18+|Female</v>
      </c>
      <c r="G125" s="14"/>
      <c r="H125" s="14"/>
      <c r="I125" s="90" t="str">
        <f t="shared" si="12"/>
        <v/>
      </c>
      <c r="J125" s="90"/>
      <c r="K125" s="90"/>
      <c r="L125" s="90">
        <f t="shared" si="13"/>
        <v>1</v>
      </c>
      <c r="M125" s="90">
        <f t="shared" si="14"/>
        <v>0.2</v>
      </c>
      <c r="N125" s="14" t="str">
        <f t="shared" si="15"/>
        <v/>
      </c>
      <c r="O125" s="42" t="str">
        <f t="shared" si="16"/>
        <v/>
      </c>
      <c r="P125" s="42" t="str">
        <f t="shared" si="17"/>
        <v/>
      </c>
      <c r="Q125" s="42" t="str">
        <f t="shared" si="18"/>
        <v/>
      </c>
      <c r="R125" s="42" t="str">
        <f t="shared" si="19"/>
        <v/>
      </c>
      <c r="S125" s="90" t="str">
        <f t="shared" si="20"/>
        <v/>
      </c>
      <c r="T125" s="42" t="str">
        <f t="shared" si="21"/>
        <v/>
      </c>
    </row>
    <row r="126" spans="1:20" x14ac:dyDescent="0.2">
      <c r="A126" t="str">
        <f>INDEX(Prioritization!$D:$D,MATCH($B126,Prioritization!$A:$A,0))</f>
        <v>INVALID</v>
      </c>
      <c r="B126" t="s">
        <v>200</v>
      </c>
      <c r="C126" t="s">
        <v>813</v>
      </c>
      <c r="D126" t="s">
        <v>47</v>
      </c>
      <c r="E126" t="str">
        <f t="shared" si="11"/>
        <v>Ntcheu District [am530wpaGvr]|18+|Male</v>
      </c>
      <c r="G126" s="14"/>
      <c r="H126" s="14"/>
      <c r="I126" s="90" t="str">
        <f t="shared" si="12"/>
        <v/>
      </c>
      <c r="J126" s="90"/>
      <c r="K126" s="90"/>
      <c r="L126" s="90">
        <f t="shared" si="13"/>
        <v>1</v>
      </c>
      <c r="M126" s="90">
        <f t="shared" si="14"/>
        <v>0.2</v>
      </c>
      <c r="N126" s="14" t="str">
        <f t="shared" si="15"/>
        <v/>
      </c>
      <c r="O126" s="42" t="str">
        <f t="shared" si="16"/>
        <v/>
      </c>
      <c r="P126" s="42" t="str">
        <f t="shared" si="17"/>
        <v/>
      </c>
      <c r="Q126" s="42" t="str">
        <f t="shared" si="18"/>
        <v/>
      </c>
      <c r="R126" s="42" t="str">
        <f t="shared" si="19"/>
        <v/>
      </c>
      <c r="S126" s="90" t="str">
        <f t="shared" si="20"/>
        <v/>
      </c>
      <c r="T126" s="42" t="str">
        <f t="shared" si="21"/>
        <v/>
      </c>
    </row>
    <row r="127" spans="1:20" x14ac:dyDescent="0.2">
      <c r="A127" t="str">
        <f>INDEX(Prioritization!$D:$D,MATCH($B127,Prioritization!$A:$A,0))</f>
        <v>INVALID</v>
      </c>
      <c r="B127" t="s">
        <v>201</v>
      </c>
      <c r="C127" t="s">
        <v>315</v>
      </c>
      <c r="D127" t="s">
        <v>29</v>
      </c>
      <c r="E127" t="str">
        <f t="shared" si="11"/>
        <v>Ntchisi District [fiRkU6gEjLz]|&lt;01|Female</v>
      </c>
      <c r="G127" s="14"/>
      <c r="H127" s="14"/>
      <c r="I127" s="90" t="str">
        <f t="shared" si="12"/>
        <v/>
      </c>
      <c r="J127" s="90"/>
      <c r="K127" s="90"/>
      <c r="L127" s="90">
        <f t="shared" si="13"/>
        <v>1</v>
      </c>
      <c r="M127" s="90">
        <f t="shared" si="14"/>
        <v>0.2</v>
      </c>
      <c r="N127" s="14" t="str">
        <f t="shared" si="15"/>
        <v/>
      </c>
      <c r="O127" s="42" t="str">
        <f t="shared" si="16"/>
        <v/>
      </c>
      <c r="P127" s="42" t="str">
        <f t="shared" si="17"/>
        <v/>
      </c>
      <c r="Q127" s="42" t="str">
        <f t="shared" si="18"/>
        <v/>
      </c>
      <c r="R127" s="42" t="str">
        <f t="shared" si="19"/>
        <v/>
      </c>
      <c r="S127" s="90" t="str">
        <f t="shared" si="20"/>
        <v/>
      </c>
      <c r="T127" s="42" t="str">
        <f t="shared" si="21"/>
        <v/>
      </c>
    </row>
    <row r="128" spans="1:20" x14ac:dyDescent="0.2">
      <c r="A128" t="str">
        <f>INDEX(Prioritization!$D:$D,MATCH($B128,Prioritization!$A:$A,0))</f>
        <v>INVALID</v>
      </c>
      <c r="B128" t="s">
        <v>201</v>
      </c>
      <c r="C128" t="s">
        <v>315</v>
      </c>
      <c r="D128" t="s">
        <v>47</v>
      </c>
      <c r="E128" t="str">
        <f t="shared" si="11"/>
        <v>Ntchisi District [fiRkU6gEjLz]|&lt;01|Male</v>
      </c>
      <c r="G128" s="14"/>
      <c r="H128" s="14"/>
      <c r="I128" s="90" t="str">
        <f t="shared" si="12"/>
        <v/>
      </c>
      <c r="J128" s="90"/>
      <c r="K128" s="90"/>
      <c r="L128" s="90">
        <f t="shared" si="13"/>
        <v>1</v>
      </c>
      <c r="M128" s="90">
        <f t="shared" si="14"/>
        <v>0.2</v>
      </c>
      <c r="N128" s="14" t="str">
        <f t="shared" si="15"/>
        <v/>
      </c>
      <c r="O128" s="42" t="str">
        <f t="shared" si="16"/>
        <v/>
      </c>
      <c r="P128" s="42" t="str">
        <f t="shared" si="17"/>
        <v/>
      </c>
      <c r="Q128" s="42" t="str">
        <f t="shared" si="18"/>
        <v/>
      </c>
      <c r="R128" s="42" t="str">
        <f t="shared" si="19"/>
        <v/>
      </c>
      <c r="S128" s="90" t="str">
        <f t="shared" si="20"/>
        <v/>
      </c>
      <c r="T128" s="42" t="str">
        <f t="shared" si="21"/>
        <v/>
      </c>
    </row>
    <row r="129" spans="1:20" x14ac:dyDescent="0.2">
      <c r="A129" t="str">
        <f>INDEX(Prioritization!$D:$D,MATCH($B129,Prioritization!$A:$A,0))</f>
        <v>INVALID</v>
      </c>
      <c r="B129" t="s">
        <v>201</v>
      </c>
      <c r="C129" t="s">
        <v>809</v>
      </c>
      <c r="D129" t="s">
        <v>29</v>
      </c>
      <c r="E129" t="str">
        <f t="shared" si="11"/>
        <v>Ntchisi District [fiRkU6gEjLz]|01-04|Female</v>
      </c>
      <c r="G129" s="14"/>
      <c r="H129" s="14"/>
      <c r="I129" s="90" t="str">
        <f t="shared" si="12"/>
        <v/>
      </c>
      <c r="J129" s="90"/>
      <c r="K129" s="90"/>
      <c r="L129" s="90">
        <f t="shared" si="13"/>
        <v>1</v>
      </c>
      <c r="M129" s="90">
        <f t="shared" si="14"/>
        <v>0.2</v>
      </c>
      <c r="N129" s="14" t="str">
        <f t="shared" si="15"/>
        <v/>
      </c>
      <c r="O129" s="42" t="str">
        <f t="shared" si="16"/>
        <v/>
      </c>
      <c r="P129" s="42" t="str">
        <f t="shared" si="17"/>
        <v/>
      </c>
      <c r="Q129" s="42" t="str">
        <f t="shared" si="18"/>
        <v/>
      </c>
      <c r="R129" s="42" t="str">
        <f t="shared" si="19"/>
        <v/>
      </c>
      <c r="S129" s="90" t="str">
        <f t="shared" si="20"/>
        <v/>
      </c>
      <c r="T129" s="42" t="str">
        <f t="shared" si="21"/>
        <v/>
      </c>
    </row>
    <row r="130" spans="1:20" x14ac:dyDescent="0.2">
      <c r="A130" t="str">
        <f>INDEX(Prioritization!$D:$D,MATCH($B130,Prioritization!$A:$A,0))</f>
        <v>INVALID</v>
      </c>
      <c r="B130" t="s">
        <v>201</v>
      </c>
      <c r="C130" t="s">
        <v>809</v>
      </c>
      <c r="D130" t="s">
        <v>47</v>
      </c>
      <c r="E130" t="str">
        <f t="shared" si="11"/>
        <v>Ntchisi District [fiRkU6gEjLz]|01-04|Male</v>
      </c>
      <c r="G130" s="14"/>
      <c r="H130" s="14"/>
      <c r="I130" s="90" t="str">
        <f t="shared" si="12"/>
        <v/>
      </c>
      <c r="J130" s="90"/>
      <c r="K130" s="90"/>
      <c r="L130" s="90">
        <f t="shared" si="13"/>
        <v>1</v>
      </c>
      <c r="M130" s="90">
        <f t="shared" si="14"/>
        <v>0.2</v>
      </c>
      <c r="N130" s="14" t="str">
        <f t="shared" si="15"/>
        <v/>
      </c>
      <c r="O130" s="42" t="str">
        <f t="shared" si="16"/>
        <v/>
      </c>
      <c r="P130" s="42" t="str">
        <f t="shared" si="17"/>
        <v/>
      </c>
      <c r="Q130" s="42" t="str">
        <f t="shared" si="18"/>
        <v/>
      </c>
      <c r="R130" s="42" t="str">
        <f t="shared" si="19"/>
        <v/>
      </c>
      <c r="S130" s="90" t="str">
        <f t="shared" si="20"/>
        <v/>
      </c>
      <c r="T130" s="42" t="str">
        <f t="shared" si="21"/>
        <v/>
      </c>
    </row>
    <row r="131" spans="1:20" x14ac:dyDescent="0.2">
      <c r="A131" t="str">
        <f>INDEX(Prioritization!$D:$D,MATCH($B131,Prioritization!$A:$A,0))</f>
        <v>INVALID</v>
      </c>
      <c r="B131" t="s">
        <v>201</v>
      </c>
      <c r="C131" t="s">
        <v>810</v>
      </c>
      <c r="D131" t="s">
        <v>29</v>
      </c>
      <c r="E131" t="str">
        <f t="shared" si="11"/>
        <v>Ntchisi District [fiRkU6gEjLz]|05-09|Female</v>
      </c>
      <c r="G131" s="14"/>
      <c r="H131" s="14"/>
      <c r="I131" s="90" t="str">
        <f t="shared" si="12"/>
        <v/>
      </c>
      <c r="J131" s="90"/>
      <c r="K131" s="90"/>
      <c r="L131" s="90">
        <f t="shared" si="13"/>
        <v>1</v>
      </c>
      <c r="M131" s="90">
        <f t="shared" si="14"/>
        <v>0.2</v>
      </c>
      <c r="N131" s="14" t="str">
        <f t="shared" si="15"/>
        <v/>
      </c>
      <c r="O131" s="42" t="str">
        <f t="shared" si="16"/>
        <v/>
      </c>
      <c r="P131" s="42" t="str">
        <f t="shared" si="17"/>
        <v/>
      </c>
      <c r="Q131" s="42" t="str">
        <f t="shared" si="18"/>
        <v/>
      </c>
      <c r="R131" s="42" t="str">
        <f t="shared" si="19"/>
        <v/>
      </c>
      <c r="S131" s="90" t="str">
        <f t="shared" si="20"/>
        <v/>
      </c>
      <c r="T131" s="42" t="str">
        <f t="shared" si="21"/>
        <v/>
      </c>
    </row>
    <row r="132" spans="1:20" x14ac:dyDescent="0.2">
      <c r="A132" t="str">
        <f>INDEX(Prioritization!$D:$D,MATCH($B132,Prioritization!$A:$A,0))</f>
        <v>INVALID</v>
      </c>
      <c r="B132" t="s">
        <v>201</v>
      </c>
      <c r="C132" t="s">
        <v>810</v>
      </c>
      <c r="D132" t="s">
        <v>47</v>
      </c>
      <c r="E132" t="str">
        <f t="shared" si="11"/>
        <v>Ntchisi District [fiRkU6gEjLz]|05-09|Male</v>
      </c>
      <c r="G132" s="14"/>
      <c r="H132" s="14"/>
      <c r="I132" s="90" t="str">
        <f t="shared" si="12"/>
        <v/>
      </c>
      <c r="J132" s="90"/>
      <c r="K132" s="90"/>
      <c r="L132" s="90">
        <f t="shared" si="13"/>
        <v>1</v>
      </c>
      <c r="M132" s="90">
        <f t="shared" si="14"/>
        <v>0.2</v>
      </c>
      <c r="N132" s="14" t="str">
        <f t="shared" si="15"/>
        <v/>
      </c>
      <c r="O132" s="42" t="str">
        <f t="shared" si="16"/>
        <v/>
      </c>
      <c r="P132" s="42" t="str">
        <f t="shared" si="17"/>
        <v/>
      </c>
      <c r="Q132" s="42" t="str">
        <f t="shared" si="18"/>
        <v/>
      </c>
      <c r="R132" s="42" t="str">
        <f t="shared" si="19"/>
        <v/>
      </c>
      <c r="S132" s="90" t="str">
        <f t="shared" si="20"/>
        <v/>
      </c>
      <c r="T132" s="42" t="str">
        <f t="shared" si="21"/>
        <v/>
      </c>
    </row>
    <row r="133" spans="1:20" x14ac:dyDescent="0.2">
      <c r="A133" t="str">
        <f>INDEX(Prioritization!$D:$D,MATCH($B133,Prioritization!$A:$A,0))</f>
        <v>INVALID</v>
      </c>
      <c r="B133" t="s">
        <v>201</v>
      </c>
      <c r="C133" t="s">
        <v>363</v>
      </c>
      <c r="D133" t="s">
        <v>29</v>
      </c>
      <c r="E133" t="str">
        <f t="shared" si="11"/>
        <v>Ntchisi District [fiRkU6gEjLz]|10-14|Female</v>
      </c>
      <c r="G133" s="14"/>
      <c r="H133" s="14"/>
      <c r="I133" s="90" t="str">
        <f t="shared" si="12"/>
        <v/>
      </c>
      <c r="J133" s="90"/>
      <c r="K133" s="90"/>
      <c r="L133" s="90">
        <f t="shared" si="13"/>
        <v>1</v>
      </c>
      <c r="M133" s="90">
        <f t="shared" si="14"/>
        <v>0.2</v>
      </c>
      <c r="N133" s="14" t="str">
        <f t="shared" si="15"/>
        <v/>
      </c>
      <c r="O133" s="42" t="str">
        <f t="shared" si="16"/>
        <v/>
      </c>
      <c r="P133" s="42" t="str">
        <f t="shared" si="17"/>
        <v/>
      </c>
      <c r="Q133" s="42" t="str">
        <f t="shared" si="18"/>
        <v/>
      </c>
      <c r="R133" s="42" t="str">
        <f t="shared" si="19"/>
        <v/>
      </c>
      <c r="S133" s="90" t="str">
        <f t="shared" si="20"/>
        <v/>
      </c>
      <c r="T133" s="42" t="str">
        <f t="shared" si="21"/>
        <v/>
      </c>
    </row>
    <row r="134" spans="1:20" x14ac:dyDescent="0.2">
      <c r="A134" t="str">
        <f>INDEX(Prioritization!$D:$D,MATCH($B134,Prioritization!$A:$A,0))</f>
        <v>INVALID</v>
      </c>
      <c r="B134" t="s">
        <v>201</v>
      </c>
      <c r="C134" t="s">
        <v>363</v>
      </c>
      <c r="D134" t="s">
        <v>47</v>
      </c>
      <c r="E134" t="str">
        <f t="shared" si="11"/>
        <v>Ntchisi District [fiRkU6gEjLz]|10-14|Male</v>
      </c>
      <c r="G134" s="14"/>
      <c r="H134" s="14"/>
      <c r="I134" s="90" t="str">
        <f t="shared" si="12"/>
        <v/>
      </c>
      <c r="J134" s="90"/>
      <c r="K134" s="90"/>
      <c r="L134" s="90">
        <f t="shared" si="13"/>
        <v>1</v>
      </c>
      <c r="M134" s="90">
        <f t="shared" si="14"/>
        <v>0.2</v>
      </c>
      <c r="N134" s="14" t="str">
        <f t="shared" si="15"/>
        <v/>
      </c>
      <c r="O134" s="42" t="str">
        <f t="shared" si="16"/>
        <v/>
      </c>
      <c r="P134" s="42" t="str">
        <f t="shared" si="17"/>
        <v/>
      </c>
      <c r="Q134" s="42" t="str">
        <f t="shared" si="18"/>
        <v/>
      </c>
      <c r="R134" s="42" t="str">
        <f t="shared" si="19"/>
        <v/>
      </c>
      <c r="S134" s="90" t="str">
        <f t="shared" si="20"/>
        <v/>
      </c>
      <c r="T134" s="42" t="str">
        <f t="shared" si="21"/>
        <v/>
      </c>
    </row>
    <row r="135" spans="1:20" x14ac:dyDescent="0.2">
      <c r="A135" t="str">
        <f>INDEX(Prioritization!$D:$D,MATCH($B135,Prioritization!$A:$A,0))</f>
        <v>INVALID</v>
      </c>
      <c r="B135" t="s">
        <v>201</v>
      </c>
      <c r="C135" t="s">
        <v>811</v>
      </c>
      <c r="D135" t="s">
        <v>29</v>
      </c>
      <c r="E135" t="str">
        <f t="shared" si="11"/>
        <v>Ntchisi District [fiRkU6gEjLz]|15-17|Female</v>
      </c>
      <c r="G135" s="14"/>
      <c r="H135" s="14"/>
      <c r="I135" s="90" t="str">
        <f t="shared" si="12"/>
        <v/>
      </c>
      <c r="J135" s="90"/>
      <c r="K135" s="90"/>
      <c r="L135" s="90">
        <f t="shared" si="13"/>
        <v>1</v>
      </c>
      <c r="M135" s="90">
        <f t="shared" si="14"/>
        <v>0.2</v>
      </c>
      <c r="N135" s="14" t="str">
        <f t="shared" si="15"/>
        <v/>
      </c>
      <c r="O135" s="42" t="str">
        <f t="shared" si="16"/>
        <v/>
      </c>
      <c r="P135" s="42" t="str">
        <f t="shared" si="17"/>
        <v/>
      </c>
      <c r="Q135" s="42" t="str">
        <f t="shared" si="18"/>
        <v/>
      </c>
      <c r="R135" s="42" t="str">
        <f t="shared" si="19"/>
        <v/>
      </c>
      <c r="S135" s="90" t="str">
        <f t="shared" si="20"/>
        <v/>
      </c>
      <c r="T135" s="42" t="str">
        <f t="shared" si="21"/>
        <v/>
      </c>
    </row>
    <row r="136" spans="1:20" x14ac:dyDescent="0.2">
      <c r="A136" t="str">
        <f>INDEX(Prioritization!$D:$D,MATCH($B136,Prioritization!$A:$A,0))</f>
        <v>INVALID</v>
      </c>
      <c r="B136" t="s">
        <v>201</v>
      </c>
      <c r="C136" t="s">
        <v>811</v>
      </c>
      <c r="D136" t="s">
        <v>47</v>
      </c>
      <c r="E136" t="str">
        <f t="shared" si="11"/>
        <v>Ntchisi District [fiRkU6gEjLz]|15-17|Male</v>
      </c>
      <c r="G136" s="14"/>
      <c r="H136" s="14"/>
      <c r="I136" s="90" t="str">
        <f t="shared" si="12"/>
        <v/>
      </c>
      <c r="J136" s="90"/>
      <c r="K136" s="90"/>
      <c r="L136" s="90">
        <f t="shared" si="13"/>
        <v>1</v>
      </c>
      <c r="M136" s="90">
        <f t="shared" si="14"/>
        <v>0.2</v>
      </c>
      <c r="N136" s="14" t="str">
        <f t="shared" si="15"/>
        <v/>
      </c>
      <c r="O136" s="42" t="str">
        <f t="shared" si="16"/>
        <v/>
      </c>
      <c r="P136" s="42" t="str">
        <f t="shared" si="17"/>
        <v/>
      </c>
      <c r="Q136" s="42" t="str">
        <f t="shared" si="18"/>
        <v/>
      </c>
      <c r="R136" s="42" t="str">
        <f t="shared" si="19"/>
        <v/>
      </c>
      <c r="S136" s="90" t="str">
        <f t="shared" si="20"/>
        <v/>
      </c>
      <c r="T136" s="42" t="str">
        <f t="shared" si="21"/>
        <v/>
      </c>
    </row>
    <row r="137" spans="1:20" x14ac:dyDescent="0.2">
      <c r="A137" t="str">
        <f>INDEX(Prioritization!$D:$D,MATCH($B137,Prioritization!$A:$A,0))</f>
        <v>INVALID</v>
      </c>
      <c r="B137" t="s">
        <v>201</v>
      </c>
      <c r="C137" t="s">
        <v>812</v>
      </c>
      <c r="D137" t="s">
        <v>29</v>
      </c>
      <c r="E137" t="str">
        <f t="shared" si="11"/>
        <v>Ntchisi District [fiRkU6gEjLz]|18-20|Female</v>
      </c>
      <c r="G137" s="14"/>
      <c r="H137" s="14"/>
      <c r="I137" s="90" t="str">
        <f t="shared" si="12"/>
        <v/>
      </c>
      <c r="J137" s="90"/>
      <c r="K137" s="90"/>
      <c r="L137" s="90">
        <f t="shared" si="13"/>
        <v>1</v>
      </c>
      <c r="M137" s="90">
        <f t="shared" si="14"/>
        <v>0.2</v>
      </c>
      <c r="N137" s="14" t="str">
        <f t="shared" si="15"/>
        <v/>
      </c>
      <c r="O137" s="42" t="str">
        <f t="shared" si="16"/>
        <v/>
      </c>
      <c r="P137" s="42" t="str">
        <f t="shared" si="17"/>
        <v/>
      </c>
      <c r="Q137" s="42" t="str">
        <f t="shared" si="18"/>
        <v/>
      </c>
      <c r="R137" s="42" t="str">
        <f t="shared" si="19"/>
        <v/>
      </c>
      <c r="S137" s="90" t="str">
        <f t="shared" si="20"/>
        <v/>
      </c>
      <c r="T137" s="42" t="str">
        <f t="shared" si="21"/>
        <v/>
      </c>
    </row>
    <row r="138" spans="1:20" x14ac:dyDescent="0.2">
      <c r="A138" t="str">
        <f>INDEX(Prioritization!$D:$D,MATCH($B138,Prioritization!$A:$A,0))</f>
        <v>INVALID</v>
      </c>
      <c r="B138" t="s">
        <v>201</v>
      </c>
      <c r="C138" t="s">
        <v>812</v>
      </c>
      <c r="D138" t="s">
        <v>47</v>
      </c>
      <c r="E138" t="str">
        <f t="shared" si="11"/>
        <v>Ntchisi District [fiRkU6gEjLz]|18-20|Male</v>
      </c>
      <c r="G138" s="14"/>
      <c r="H138" s="14"/>
      <c r="I138" s="90" t="str">
        <f t="shared" si="12"/>
        <v/>
      </c>
      <c r="J138" s="90"/>
      <c r="K138" s="90"/>
      <c r="L138" s="90">
        <f t="shared" si="13"/>
        <v>1</v>
      </c>
      <c r="M138" s="90">
        <f t="shared" si="14"/>
        <v>0.2</v>
      </c>
      <c r="N138" s="14" t="str">
        <f t="shared" si="15"/>
        <v/>
      </c>
      <c r="O138" s="42" t="str">
        <f t="shared" si="16"/>
        <v/>
      </c>
      <c r="P138" s="42" t="str">
        <f t="shared" si="17"/>
        <v/>
      </c>
      <c r="Q138" s="42" t="str">
        <f t="shared" si="18"/>
        <v/>
      </c>
      <c r="R138" s="42" t="str">
        <f t="shared" si="19"/>
        <v/>
      </c>
      <c r="S138" s="90" t="str">
        <f t="shared" si="20"/>
        <v/>
      </c>
      <c r="T138" s="42" t="str">
        <f t="shared" si="21"/>
        <v/>
      </c>
    </row>
    <row r="139" spans="1:20" x14ac:dyDescent="0.2">
      <c r="A139" t="str">
        <f>INDEX(Prioritization!$D:$D,MATCH($B139,Prioritization!$A:$A,0))</f>
        <v>INVALID</v>
      </c>
      <c r="B139" t="s">
        <v>201</v>
      </c>
      <c r="C139" t="s">
        <v>813</v>
      </c>
      <c r="D139" t="s">
        <v>29</v>
      </c>
      <c r="E139" t="str">
        <f t="shared" si="11"/>
        <v>Ntchisi District [fiRkU6gEjLz]|18+|Female</v>
      </c>
      <c r="G139" s="14"/>
      <c r="H139" s="14"/>
      <c r="I139" s="90" t="str">
        <f t="shared" si="12"/>
        <v/>
      </c>
      <c r="J139" s="90"/>
      <c r="K139" s="90"/>
      <c r="L139" s="90">
        <f t="shared" si="13"/>
        <v>1</v>
      </c>
      <c r="M139" s="90">
        <f t="shared" si="14"/>
        <v>0.2</v>
      </c>
      <c r="N139" s="14" t="str">
        <f t="shared" si="15"/>
        <v/>
      </c>
      <c r="O139" s="42" t="str">
        <f t="shared" si="16"/>
        <v/>
      </c>
      <c r="P139" s="42" t="str">
        <f t="shared" si="17"/>
        <v/>
      </c>
      <c r="Q139" s="42" t="str">
        <f t="shared" si="18"/>
        <v/>
      </c>
      <c r="R139" s="42" t="str">
        <f t="shared" si="19"/>
        <v/>
      </c>
      <c r="S139" s="90" t="str">
        <f t="shared" si="20"/>
        <v/>
      </c>
      <c r="T139" s="42" t="str">
        <f t="shared" si="21"/>
        <v/>
      </c>
    </row>
    <row r="140" spans="1:20" x14ac:dyDescent="0.2">
      <c r="A140" t="str">
        <f>INDEX(Prioritization!$D:$D,MATCH($B140,Prioritization!$A:$A,0))</f>
        <v>INVALID</v>
      </c>
      <c r="B140" t="s">
        <v>201</v>
      </c>
      <c r="C140" t="s">
        <v>813</v>
      </c>
      <c r="D140" t="s">
        <v>47</v>
      </c>
      <c r="E140" t="str">
        <f t="shared" si="11"/>
        <v>Ntchisi District [fiRkU6gEjLz]|18+|Male</v>
      </c>
      <c r="G140" s="14"/>
      <c r="H140" s="14"/>
      <c r="I140" s="90" t="str">
        <f t="shared" si="12"/>
        <v/>
      </c>
      <c r="J140" s="90"/>
      <c r="K140" s="90"/>
      <c r="L140" s="90">
        <f t="shared" si="13"/>
        <v>1</v>
      </c>
      <c r="M140" s="90">
        <f t="shared" si="14"/>
        <v>0.2</v>
      </c>
      <c r="N140" s="14" t="str">
        <f t="shared" si="15"/>
        <v/>
      </c>
      <c r="O140" s="42" t="str">
        <f t="shared" si="16"/>
        <v/>
      </c>
      <c r="P140" s="42" t="str">
        <f t="shared" si="17"/>
        <v/>
      </c>
      <c r="Q140" s="42" t="str">
        <f t="shared" si="18"/>
        <v/>
      </c>
      <c r="R140" s="42" t="str">
        <f t="shared" si="19"/>
        <v/>
      </c>
      <c r="S140" s="90" t="str">
        <f t="shared" si="20"/>
        <v/>
      </c>
      <c r="T140" s="42" t="str">
        <f t="shared" si="21"/>
        <v/>
      </c>
    </row>
    <row r="141" spans="1:20" x14ac:dyDescent="0.2">
      <c r="A141" t="str">
        <f>INDEX(Prioritization!$D:$D,MATCH($B141,Prioritization!$A:$A,0))</f>
        <v>INVALID</v>
      </c>
      <c r="B141" t="s">
        <v>202</v>
      </c>
      <c r="C141" t="s">
        <v>315</v>
      </c>
      <c r="D141" t="s">
        <v>29</v>
      </c>
      <c r="E141" t="str">
        <f t="shared" si="11"/>
        <v>Salima District [msW2zpIN7up]|&lt;01|Female</v>
      </c>
      <c r="G141" s="14"/>
      <c r="H141" s="14"/>
      <c r="I141" s="90" t="str">
        <f t="shared" si="12"/>
        <v/>
      </c>
      <c r="J141" s="90"/>
      <c r="K141" s="90"/>
      <c r="L141" s="90">
        <f t="shared" si="13"/>
        <v>1</v>
      </c>
      <c r="M141" s="90">
        <f t="shared" si="14"/>
        <v>0.2</v>
      </c>
      <c r="N141" s="14" t="str">
        <f t="shared" si="15"/>
        <v/>
      </c>
      <c r="O141" s="42" t="str">
        <f t="shared" si="16"/>
        <v/>
      </c>
      <c r="P141" s="42" t="str">
        <f t="shared" si="17"/>
        <v/>
      </c>
      <c r="Q141" s="42" t="str">
        <f t="shared" si="18"/>
        <v/>
      </c>
      <c r="R141" s="42" t="str">
        <f t="shared" si="19"/>
        <v/>
      </c>
      <c r="S141" s="90" t="str">
        <f t="shared" si="20"/>
        <v/>
      </c>
      <c r="T141" s="42" t="str">
        <f t="shared" si="21"/>
        <v/>
      </c>
    </row>
    <row r="142" spans="1:20" x14ac:dyDescent="0.2">
      <c r="A142" t="str">
        <f>INDEX(Prioritization!$D:$D,MATCH($B142,Prioritization!$A:$A,0))</f>
        <v>INVALID</v>
      </c>
      <c r="B142" t="s">
        <v>202</v>
      </c>
      <c r="C142" t="s">
        <v>315</v>
      </c>
      <c r="D142" t="s">
        <v>47</v>
      </c>
      <c r="E142" t="str">
        <f t="shared" si="11"/>
        <v>Salima District [msW2zpIN7up]|&lt;01|Male</v>
      </c>
      <c r="G142" s="14"/>
      <c r="H142" s="14"/>
      <c r="I142" s="90" t="str">
        <f t="shared" si="12"/>
        <v/>
      </c>
      <c r="J142" s="90"/>
      <c r="K142" s="90"/>
      <c r="L142" s="90">
        <f t="shared" si="13"/>
        <v>1</v>
      </c>
      <c r="M142" s="90">
        <f t="shared" si="14"/>
        <v>0.2</v>
      </c>
      <c r="N142" s="14" t="str">
        <f t="shared" si="15"/>
        <v/>
      </c>
      <c r="O142" s="42" t="str">
        <f t="shared" si="16"/>
        <v/>
      </c>
      <c r="P142" s="42" t="str">
        <f t="shared" si="17"/>
        <v/>
      </c>
      <c r="Q142" s="42" t="str">
        <f t="shared" si="18"/>
        <v/>
      </c>
      <c r="R142" s="42" t="str">
        <f t="shared" si="19"/>
        <v/>
      </c>
      <c r="S142" s="90" t="str">
        <f t="shared" si="20"/>
        <v/>
      </c>
      <c r="T142" s="42" t="str">
        <f t="shared" si="21"/>
        <v/>
      </c>
    </row>
    <row r="143" spans="1:20" x14ac:dyDescent="0.2">
      <c r="A143" t="str">
        <f>INDEX(Prioritization!$D:$D,MATCH($B143,Prioritization!$A:$A,0))</f>
        <v>INVALID</v>
      </c>
      <c r="B143" t="s">
        <v>202</v>
      </c>
      <c r="C143" t="s">
        <v>809</v>
      </c>
      <c r="D143" t="s">
        <v>29</v>
      </c>
      <c r="E143" t="str">
        <f t="shared" ref="E143:E206" si="22">$B143&amp;"|"&amp;$C143&amp;"|"&amp;$D143</f>
        <v>Salima District [msW2zpIN7up]|01-04|Female</v>
      </c>
      <c r="G143" s="14"/>
      <c r="H143" s="14"/>
      <c r="I143" s="90" t="str">
        <f t="shared" ref="I143:I206" si="23">IF(SUM($H143)=0,"",0%)</f>
        <v/>
      </c>
      <c r="J143" s="90"/>
      <c r="K143" s="90"/>
      <c r="L143" s="90">
        <f t="shared" ref="L143:L206" si="24">1-IF(NOT(AND($D143="Female",OR($C143="10-14",$C143="15-17",$F143="Y"))),0,$J143)-IF(NOT(OR($C143="05-09",$C143="10-14")),0,$K143)</f>
        <v>1</v>
      </c>
      <c r="M143" s="90">
        <f t="shared" ref="M143:M206" si="25">IF(SUM($L143)=0,"",20%)</f>
        <v>0.2</v>
      </c>
      <c r="N143" s="14" t="str">
        <f t="shared" ref="N143:N206" si="26">IF(SUM($H143)=0,"",ROUND($H143*(1+$I143),0))</f>
        <v/>
      </c>
      <c r="O143" s="42" t="str">
        <f t="shared" ref="O143:O206" si="27">IF(OR(SUM($N143)=0,SUM($J143)=0,NOT(AND($D143="Female",$F143="Y",OR($C143="10-14",$C143="15-17")))),"",ROUND($N143*$J143,0))</f>
        <v/>
      </c>
      <c r="P143" s="42" t="str">
        <f t="shared" ref="P143:P206" si="28">IF(OR(SUM($N143)=0,SUM($K143)=0,NOT(OR($C143="10-14",$C143="05-09"))),"",ROUND($N143*$K143,0))</f>
        <v/>
      </c>
      <c r="Q143" s="42" t="str">
        <f t="shared" ref="Q143:Q206" si="29">IFERROR(1/(1/ROUND($N143*$L143*$M143,0)),"")</f>
        <v/>
      </c>
      <c r="R143" s="42" t="str">
        <f t="shared" ref="R143:R206" si="30">IFERROR(1/(1/(ROUND($N143*$L143,0)-$Q143)),"")</f>
        <v/>
      </c>
      <c r="S143" s="90" t="str">
        <f t="shared" ref="S143:S206" si="31">IF(OR($C143="18+",$C143="18-20",SUM($Q143,$R143)=0),"",100%)</f>
        <v/>
      </c>
      <c r="T143" s="42" t="str">
        <f t="shared" ref="T143:T206" si="32">IF(OR($C143="18+",$C143="18-20",SUM($Q143,$R143)=0),"",ROUND(SUM($Q143,$R143)*$S143,0))</f>
        <v/>
      </c>
    </row>
    <row r="144" spans="1:20" x14ac:dyDescent="0.2">
      <c r="A144" t="str">
        <f>INDEX(Prioritization!$D:$D,MATCH($B144,Prioritization!$A:$A,0))</f>
        <v>INVALID</v>
      </c>
      <c r="B144" t="s">
        <v>202</v>
      </c>
      <c r="C144" t="s">
        <v>809</v>
      </c>
      <c r="D144" t="s">
        <v>47</v>
      </c>
      <c r="E144" t="str">
        <f t="shared" si="22"/>
        <v>Salima District [msW2zpIN7up]|01-04|Male</v>
      </c>
      <c r="G144" s="14"/>
      <c r="H144" s="14"/>
      <c r="I144" s="90" t="str">
        <f t="shared" si="23"/>
        <v/>
      </c>
      <c r="J144" s="90"/>
      <c r="K144" s="90"/>
      <c r="L144" s="90">
        <f t="shared" si="24"/>
        <v>1</v>
      </c>
      <c r="M144" s="90">
        <f t="shared" si="25"/>
        <v>0.2</v>
      </c>
      <c r="N144" s="14" t="str">
        <f t="shared" si="26"/>
        <v/>
      </c>
      <c r="O144" s="42" t="str">
        <f t="shared" si="27"/>
        <v/>
      </c>
      <c r="P144" s="42" t="str">
        <f t="shared" si="28"/>
        <v/>
      </c>
      <c r="Q144" s="42" t="str">
        <f t="shared" si="29"/>
        <v/>
      </c>
      <c r="R144" s="42" t="str">
        <f t="shared" si="30"/>
        <v/>
      </c>
      <c r="S144" s="90" t="str">
        <f t="shared" si="31"/>
        <v/>
      </c>
      <c r="T144" s="42" t="str">
        <f t="shared" si="32"/>
        <v/>
      </c>
    </row>
    <row r="145" spans="1:20" x14ac:dyDescent="0.2">
      <c r="A145" t="str">
        <f>INDEX(Prioritization!$D:$D,MATCH($B145,Prioritization!$A:$A,0))</f>
        <v>INVALID</v>
      </c>
      <c r="B145" t="s">
        <v>202</v>
      </c>
      <c r="C145" t="s">
        <v>810</v>
      </c>
      <c r="D145" t="s">
        <v>29</v>
      </c>
      <c r="E145" t="str">
        <f t="shared" si="22"/>
        <v>Salima District [msW2zpIN7up]|05-09|Female</v>
      </c>
      <c r="G145" s="14"/>
      <c r="H145" s="14"/>
      <c r="I145" s="90" t="str">
        <f t="shared" si="23"/>
        <v/>
      </c>
      <c r="J145" s="90"/>
      <c r="K145" s="90"/>
      <c r="L145" s="90">
        <f t="shared" si="24"/>
        <v>1</v>
      </c>
      <c r="M145" s="90">
        <f t="shared" si="25"/>
        <v>0.2</v>
      </c>
      <c r="N145" s="14" t="str">
        <f t="shared" si="26"/>
        <v/>
      </c>
      <c r="O145" s="42" t="str">
        <f t="shared" si="27"/>
        <v/>
      </c>
      <c r="P145" s="42" t="str">
        <f t="shared" si="28"/>
        <v/>
      </c>
      <c r="Q145" s="42" t="str">
        <f t="shared" si="29"/>
        <v/>
      </c>
      <c r="R145" s="42" t="str">
        <f t="shared" si="30"/>
        <v/>
      </c>
      <c r="S145" s="90" t="str">
        <f t="shared" si="31"/>
        <v/>
      </c>
      <c r="T145" s="42" t="str">
        <f t="shared" si="32"/>
        <v/>
      </c>
    </row>
    <row r="146" spans="1:20" x14ac:dyDescent="0.2">
      <c r="A146" t="str">
        <f>INDEX(Prioritization!$D:$D,MATCH($B146,Prioritization!$A:$A,0))</f>
        <v>INVALID</v>
      </c>
      <c r="B146" t="s">
        <v>202</v>
      </c>
      <c r="C146" t="s">
        <v>810</v>
      </c>
      <c r="D146" t="s">
        <v>47</v>
      </c>
      <c r="E146" t="str">
        <f t="shared" si="22"/>
        <v>Salima District [msW2zpIN7up]|05-09|Male</v>
      </c>
      <c r="G146" s="14"/>
      <c r="H146" s="14"/>
      <c r="I146" s="90" t="str">
        <f t="shared" si="23"/>
        <v/>
      </c>
      <c r="J146" s="90"/>
      <c r="K146" s="90"/>
      <c r="L146" s="90">
        <f t="shared" si="24"/>
        <v>1</v>
      </c>
      <c r="M146" s="90">
        <f t="shared" si="25"/>
        <v>0.2</v>
      </c>
      <c r="N146" s="14" t="str">
        <f t="shared" si="26"/>
        <v/>
      </c>
      <c r="O146" s="42" t="str">
        <f t="shared" si="27"/>
        <v/>
      </c>
      <c r="P146" s="42" t="str">
        <f t="shared" si="28"/>
        <v/>
      </c>
      <c r="Q146" s="42" t="str">
        <f t="shared" si="29"/>
        <v/>
      </c>
      <c r="R146" s="42" t="str">
        <f t="shared" si="30"/>
        <v/>
      </c>
      <c r="S146" s="90" t="str">
        <f t="shared" si="31"/>
        <v/>
      </c>
      <c r="T146" s="42" t="str">
        <f t="shared" si="32"/>
        <v/>
      </c>
    </row>
    <row r="147" spans="1:20" x14ac:dyDescent="0.2">
      <c r="A147" t="str">
        <f>INDEX(Prioritization!$D:$D,MATCH($B147,Prioritization!$A:$A,0))</f>
        <v>INVALID</v>
      </c>
      <c r="B147" t="s">
        <v>202</v>
      </c>
      <c r="C147" t="s">
        <v>363</v>
      </c>
      <c r="D147" t="s">
        <v>29</v>
      </c>
      <c r="E147" t="str">
        <f t="shared" si="22"/>
        <v>Salima District [msW2zpIN7up]|10-14|Female</v>
      </c>
      <c r="G147" s="14"/>
      <c r="H147" s="14">
        <v>3</v>
      </c>
      <c r="I147" s="90">
        <f t="shared" si="23"/>
        <v>0</v>
      </c>
      <c r="J147" s="90"/>
      <c r="K147" s="90"/>
      <c r="L147" s="90">
        <f t="shared" si="24"/>
        <v>1</v>
      </c>
      <c r="M147" s="90">
        <f t="shared" si="25"/>
        <v>0.2</v>
      </c>
      <c r="N147" s="14">
        <f t="shared" si="26"/>
        <v>3</v>
      </c>
      <c r="O147" s="42" t="str">
        <f t="shared" si="27"/>
        <v/>
      </c>
      <c r="P147" s="42" t="str">
        <f t="shared" si="28"/>
        <v/>
      </c>
      <c r="Q147" s="42">
        <f t="shared" si="29"/>
        <v>1</v>
      </c>
      <c r="R147" s="42">
        <f t="shared" si="30"/>
        <v>2</v>
      </c>
      <c r="S147" s="90">
        <f t="shared" si="31"/>
        <v>1</v>
      </c>
      <c r="T147" s="42">
        <f t="shared" si="32"/>
        <v>3</v>
      </c>
    </row>
    <row r="148" spans="1:20" x14ac:dyDescent="0.2">
      <c r="A148" t="str">
        <f>INDEX(Prioritization!$D:$D,MATCH($B148,Prioritization!$A:$A,0))</f>
        <v>INVALID</v>
      </c>
      <c r="B148" t="s">
        <v>202</v>
      </c>
      <c r="C148" t="s">
        <v>363</v>
      </c>
      <c r="D148" t="s">
        <v>47</v>
      </c>
      <c r="E148" t="str">
        <f t="shared" si="22"/>
        <v>Salima District [msW2zpIN7up]|10-14|Male</v>
      </c>
      <c r="G148" s="14"/>
      <c r="H148" s="14">
        <v>2</v>
      </c>
      <c r="I148" s="90">
        <f t="shared" si="23"/>
        <v>0</v>
      </c>
      <c r="J148" s="90"/>
      <c r="K148" s="90"/>
      <c r="L148" s="90">
        <f t="shared" si="24"/>
        <v>1</v>
      </c>
      <c r="M148" s="90">
        <f t="shared" si="25"/>
        <v>0.2</v>
      </c>
      <c r="N148" s="14">
        <f t="shared" si="26"/>
        <v>2</v>
      </c>
      <c r="O148" s="42" t="str">
        <f t="shared" si="27"/>
        <v/>
      </c>
      <c r="P148" s="42" t="str">
        <f t="shared" si="28"/>
        <v/>
      </c>
      <c r="Q148" s="42" t="str">
        <f t="shared" si="29"/>
        <v/>
      </c>
      <c r="R148" s="42" t="str">
        <f t="shared" si="30"/>
        <v/>
      </c>
      <c r="S148" s="90" t="str">
        <f t="shared" si="31"/>
        <v/>
      </c>
      <c r="T148" s="42" t="str">
        <f t="shared" si="32"/>
        <v/>
      </c>
    </row>
    <row r="149" spans="1:20" x14ac:dyDescent="0.2">
      <c r="A149" t="str">
        <f>INDEX(Prioritization!$D:$D,MATCH($B149,Prioritization!$A:$A,0))</f>
        <v>INVALID</v>
      </c>
      <c r="B149" t="s">
        <v>202</v>
      </c>
      <c r="C149" t="s">
        <v>811</v>
      </c>
      <c r="D149" t="s">
        <v>29</v>
      </c>
      <c r="E149" t="str">
        <f t="shared" si="22"/>
        <v>Salima District [msW2zpIN7up]|15-17|Female</v>
      </c>
      <c r="G149" s="14"/>
      <c r="H149" s="14"/>
      <c r="I149" s="90" t="str">
        <f t="shared" si="23"/>
        <v/>
      </c>
      <c r="J149" s="90"/>
      <c r="K149" s="90"/>
      <c r="L149" s="90">
        <f t="shared" si="24"/>
        <v>1</v>
      </c>
      <c r="M149" s="90">
        <f t="shared" si="25"/>
        <v>0.2</v>
      </c>
      <c r="N149" s="14" t="str">
        <f t="shared" si="26"/>
        <v/>
      </c>
      <c r="O149" s="42" t="str">
        <f t="shared" si="27"/>
        <v/>
      </c>
      <c r="P149" s="42" t="str">
        <f t="shared" si="28"/>
        <v/>
      </c>
      <c r="Q149" s="42" t="str">
        <f t="shared" si="29"/>
        <v/>
      </c>
      <c r="R149" s="42" t="str">
        <f t="shared" si="30"/>
        <v/>
      </c>
      <c r="S149" s="90" t="str">
        <f t="shared" si="31"/>
        <v/>
      </c>
      <c r="T149" s="42" t="str">
        <f t="shared" si="32"/>
        <v/>
      </c>
    </row>
    <row r="150" spans="1:20" x14ac:dyDescent="0.2">
      <c r="A150" t="str">
        <f>INDEX(Prioritization!$D:$D,MATCH($B150,Prioritization!$A:$A,0))</f>
        <v>INVALID</v>
      </c>
      <c r="B150" t="s">
        <v>202</v>
      </c>
      <c r="C150" t="s">
        <v>811</v>
      </c>
      <c r="D150" t="s">
        <v>47</v>
      </c>
      <c r="E150" t="str">
        <f t="shared" si="22"/>
        <v>Salima District [msW2zpIN7up]|15-17|Male</v>
      </c>
      <c r="G150" s="14"/>
      <c r="H150" s="14"/>
      <c r="I150" s="90" t="str">
        <f t="shared" si="23"/>
        <v/>
      </c>
      <c r="J150" s="90"/>
      <c r="K150" s="90"/>
      <c r="L150" s="90">
        <f t="shared" si="24"/>
        <v>1</v>
      </c>
      <c r="M150" s="90">
        <f t="shared" si="25"/>
        <v>0.2</v>
      </c>
      <c r="N150" s="14" t="str">
        <f t="shared" si="26"/>
        <v/>
      </c>
      <c r="O150" s="42" t="str">
        <f t="shared" si="27"/>
        <v/>
      </c>
      <c r="P150" s="42" t="str">
        <f t="shared" si="28"/>
        <v/>
      </c>
      <c r="Q150" s="42" t="str">
        <f t="shared" si="29"/>
        <v/>
      </c>
      <c r="R150" s="42" t="str">
        <f t="shared" si="30"/>
        <v/>
      </c>
      <c r="S150" s="90" t="str">
        <f t="shared" si="31"/>
        <v/>
      </c>
      <c r="T150" s="42" t="str">
        <f t="shared" si="32"/>
        <v/>
      </c>
    </row>
    <row r="151" spans="1:20" x14ac:dyDescent="0.2">
      <c r="A151" t="str">
        <f>INDEX(Prioritization!$D:$D,MATCH($B151,Prioritization!$A:$A,0))</f>
        <v>INVALID</v>
      </c>
      <c r="B151" t="s">
        <v>202</v>
      </c>
      <c r="C151" t="s">
        <v>812</v>
      </c>
      <c r="D151" t="s">
        <v>29</v>
      </c>
      <c r="E151" t="str">
        <f t="shared" si="22"/>
        <v>Salima District [msW2zpIN7up]|18-20|Female</v>
      </c>
      <c r="G151" s="14"/>
      <c r="H151" s="14"/>
      <c r="I151" s="90" t="str">
        <f t="shared" si="23"/>
        <v/>
      </c>
      <c r="J151" s="90"/>
      <c r="K151" s="90"/>
      <c r="L151" s="90">
        <f t="shared" si="24"/>
        <v>1</v>
      </c>
      <c r="M151" s="90">
        <f t="shared" si="25"/>
        <v>0.2</v>
      </c>
      <c r="N151" s="14" t="str">
        <f t="shared" si="26"/>
        <v/>
      </c>
      <c r="O151" s="42" t="str">
        <f t="shared" si="27"/>
        <v/>
      </c>
      <c r="P151" s="42" t="str">
        <f t="shared" si="28"/>
        <v/>
      </c>
      <c r="Q151" s="42" t="str">
        <f t="shared" si="29"/>
        <v/>
      </c>
      <c r="R151" s="42" t="str">
        <f t="shared" si="30"/>
        <v/>
      </c>
      <c r="S151" s="90" t="str">
        <f t="shared" si="31"/>
        <v/>
      </c>
      <c r="T151" s="42" t="str">
        <f t="shared" si="32"/>
        <v/>
      </c>
    </row>
    <row r="152" spans="1:20" x14ac:dyDescent="0.2">
      <c r="A152" t="str">
        <f>INDEX(Prioritization!$D:$D,MATCH($B152,Prioritization!$A:$A,0))</f>
        <v>INVALID</v>
      </c>
      <c r="B152" t="s">
        <v>202</v>
      </c>
      <c r="C152" t="s">
        <v>812</v>
      </c>
      <c r="D152" t="s">
        <v>47</v>
      </c>
      <c r="E152" t="str">
        <f t="shared" si="22"/>
        <v>Salima District [msW2zpIN7up]|18-20|Male</v>
      </c>
      <c r="G152" s="14"/>
      <c r="H152" s="14"/>
      <c r="I152" s="90" t="str">
        <f t="shared" si="23"/>
        <v/>
      </c>
      <c r="J152" s="90"/>
      <c r="K152" s="90"/>
      <c r="L152" s="90">
        <f t="shared" si="24"/>
        <v>1</v>
      </c>
      <c r="M152" s="90">
        <f t="shared" si="25"/>
        <v>0.2</v>
      </c>
      <c r="N152" s="14" t="str">
        <f t="shared" si="26"/>
        <v/>
      </c>
      <c r="O152" s="42" t="str">
        <f t="shared" si="27"/>
        <v/>
      </c>
      <c r="P152" s="42" t="str">
        <f t="shared" si="28"/>
        <v/>
      </c>
      <c r="Q152" s="42" t="str">
        <f t="shared" si="29"/>
        <v/>
      </c>
      <c r="R152" s="42" t="str">
        <f t="shared" si="30"/>
        <v/>
      </c>
      <c r="S152" s="90" t="str">
        <f t="shared" si="31"/>
        <v/>
      </c>
      <c r="T152" s="42" t="str">
        <f t="shared" si="32"/>
        <v/>
      </c>
    </row>
    <row r="153" spans="1:20" x14ac:dyDescent="0.2">
      <c r="A153" t="str">
        <f>INDEX(Prioritization!$D:$D,MATCH($B153,Prioritization!$A:$A,0))</f>
        <v>INVALID</v>
      </c>
      <c r="B153" t="s">
        <v>202</v>
      </c>
      <c r="C153" t="s">
        <v>813</v>
      </c>
      <c r="D153" t="s">
        <v>29</v>
      </c>
      <c r="E153" t="str">
        <f t="shared" si="22"/>
        <v>Salima District [msW2zpIN7up]|18+|Female</v>
      </c>
      <c r="G153" s="14"/>
      <c r="H153" s="14"/>
      <c r="I153" s="90" t="str">
        <f t="shared" si="23"/>
        <v/>
      </c>
      <c r="J153" s="90"/>
      <c r="K153" s="90"/>
      <c r="L153" s="90">
        <f t="shared" si="24"/>
        <v>1</v>
      </c>
      <c r="M153" s="90">
        <f t="shared" si="25"/>
        <v>0.2</v>
      </c>
      <c r="N153" s="14" t="str">
        <f t="shared" si="26"/>
        <v/>
      </c>
      <c r="O153" s="42" t="str">
        <f t="shared" si="27"/>
        <v/>
      </c>
      <c r="P153" s="42" t="str">
        <f t="shared" si="28"/>
        <v/>
      </c>
      <c r="Q153" s="42" t="str">
        <f t="shared" si="29"/>
        <v/>
      </c>
      <c r="R153" s="42" t="str">
        <f t="shared" si="30"/>
        <v/>
      </c>
      <c r="S153" s="90" t="str">
        <f t="shared" si="31"/>
        <v/>
      </c>
      <c r="T153" s="42" t="str">
        <f t="shared" si="32"/>
        <v/>
      </c>
    </row>
    <row r="154" spans="1:20" x14ac:dyDescent="0.2">
      <c r="A154" t="str">
        <f>INDEX(Prioritization!$D:$D,MATCH($B154,Prioritization!$A:$A,0))</f>
        <v>INVALID</v>
      </c>
      <c r="B154" t="s">
        <v>202</v>
      </c>
      <c r="C154" t="s">
        <v>813</v>
      </c>
      <c r="D154" t="s">
        <v>47</v>
      </c>
      <c r="E154" t="str">
        <f t="shared" si="22"/>
        <v>Salima District [msW2zpIN7up]|18+|Male</v>
      </c>
      <c r="G154" s="14"/>
      <c r="H154" s="14"/>
      <c r="I154" s="90" t="str">
        <f t="shared" si="23"/>
        <v/>
      </c>
      <c r="J154" s="90"/>
      <c r="K154" s="90"/>
      <c r="L154" s="90">
        <f t="shared" si="24"/>
        <v>1</v>
      </c>
      <c r="M154" s="90">
        <f t="shared" si="25"/>
        <v>0.2</v>
      </c>
      <c r="N154" s="14" t="str">
        <f t="shared" si="26"/>
        <v/>
      </c>
      <c r="O154" s="42" t="str">
        <f t="shared" si="27"/>
        <v/>
      </c>
      <c r="P154" s="42" t="str">
        <f t="shared" si="28"/>
        <v/>
      </c>
      <c r="Q154" s="42" t="str">
        <f t="shared" si="29"/>
        <v/>
      </c>
      <c r="R154" s="42" t="str">
        <f t="shared" si="30"/>
        <v/>
      </c>
      <c r="S154" s="90" t="str">
        <f t="shared" si="31"/>
        <v/>
      </c>
      <c r="T154" s="42" t="str">
        <f t="shared" si="32"/>
        <v/>
      </c>
    </row>
    <row r="155" spans="1:20" x14ac:dyDescent="0.2">
      <c r="A155" t="str">
        <f>INDEX(Prioritization!$D:$D,MATCH($B155,Prioritization!$A:$A,0))</f>
        <v>1 - Scale-up: Saturation</v>
      </c>
      <c r="B155" t="s">
        <v>203</v>
      </c>
      <c r="C155" t="s">
        <v>315</v>
      </c>
      <c r="D155" t="s">
        <v>29</v>
      </c>
      <c r="E155" t="str">
        <f t="shared" si="22"/>
        <v>Chitipa District [GkIwZrXy1h2]|&lt;01|Female</v>
      </c>
      <c r="G155" s="14"/>
      <c r="H155" s="14"/>
      <c r="I155" s="90" t="str">
        <f t="shared" si="23"/>
        <v/>
      </c>
      <c r="J155" s="90"/>
      <c r="K155" s="90"/>
      <c r="L155" s="90">
        <f t="shared" si="24"/>
        <v>1</v>
      </c>
      <c r="M155" s="90">
        <f t="shared" si="25"/>
        <v>0.2</v>
      </c>
      <c r="N155" s="14" t="str">
        <f t="shared" si="26"/>
        <v/>
      </c>
      <c r="O155" s="42" t="str">
        <f t="shared" si="27"/>
        <v/>
      </c>
      <c r="P155" s="42" t="str">
        <f t="shared" si="28"/>
        <v/>
      </c>
      <c r="Q155" s="42" t="str">
        <f t="shared" si="29"/>
        <v/>
      </c>
      <c r="R155" s="42" t="str">
        <f t="shared" si="30"/>
        <v/>
      </c>
      <c r="S155" s="90" t="str">
        <f t="shared" si="31"/>
        <v/>
      </c>
      <c r="T155" s="42" t="str">
        <f t="shared" si="32"/>
        <v/>
      </c>
    </row>
    <row r="156" spans="1:20" x14ac:dyDescent="0.2">
      <c r="A156" t="str">
        <f>INDEX(Prioritization!$D:$D,MATCH($B156,Prioritization!$A:$A,0))</f>
        <v>1 - Scale-up: Saturation</v>
      </c>
      <c r="B156" t="s">
        <v>203</v>
      </c>
      <c r="C156" t="s">
        <v>315</v>
      </c>
      <c r="D156" t="s">
        <v>47</v>
      </c>
      <c r="E156" t="str">
        <f t="shared" si="22"/>
        <v>Chitipa District [GkIwZrXy1h2]|&lt;01|Male</v>
      </c>
      <c r="G156" s="14"/>
      <c r="H156" s="14"/>
      <c r="I156" s="90" t="str">
        <f t="shared" si="23"/>
        <v/>
      </c>
      <c r="J156" s="90"/>
      <c r="K156" s="90"/>
      <c r="L156" s="90">
        <f t="shared" si="24"/>
        <v>1</v>
      </c>
      <c r="M156" s="90">
        <f t="shared" si="25"/>
        <v>0.2</v>
      </c>
      <c r="N156" s="14" t="str">
        <f t="shared" si="26"/>
        <v/>
      </c>
      <c r="O156" s="42" t="str">
        <f t="shared" si="27"/>
        <v/>
      </c>
      <c r="P156" s="42" t="str">
        <f t="shared" si="28"/>
        <v/>
      </c>
      <c r="Q156" s="42" t="str">
        <f t="shared" si="29"/>
        <v/>
      </c>
      <c r="R156" s="42" t="str">
        <f t="shared" si="30"/>
        <v/>
      </c>
      <c r="S156" s="90" t="str">
        <f t="shared" si="31"/>
        <v/>
      </c>
      <c r="T156" s="42" t="str">
        <f t="shared" si="32"/>
        <v/>
      </c>
    </row>
    <row r="157" spans="1:20" x14ac:dyDescent="0.2">
      <c r="A157" t="str">
        <f>INDEX(Prioritization!$D:$D,MATCH($B157,Prioritization!$A:$A,0))</f>
        <v>1 - Scale-up: Saturation</v>
      </c>
      <c r="B157" t="s">
        <v>203</v>
      </c>
      <c r="C157" t="s">
        <v>809</v>
      </c>
      <c r="D157" t="s">
        <v>29</v>
      </c>
      <c r="E157" t="str">
        <f t="shared" si="22"/>
        <v>Chitipa District [GkIwZrXy1h2]|01-04|Female</v>
      </c>
      <c r="G157" s="14"/>
      <c r="H157" s="14"/>
      <c r="I157" s="90" t="str">
        <f t="shared" si="23"/>
        <v/>
      </c>
      <c r="J157" s="90"/>
      <c r="K157" s="90"/>
      <c r="L157" s="90">
        <f t="shared" si="24"/>
        <v>1</v>
      </c>
      <c r="M157" s="90">
        <f t="shared" si="25"/>
        <v>0.2</v>
      </c>
      <c r="N157" s="14" t="str">
        <f t="shared" si="26"/>
        <v/>
      </c>
      <c r="O157" s="42" t="str">
        <f t="shared" si="27"/>
        <v/>
      </c>
      <c r="P157" s="42" t="str">
        <f t="shared" si="28"/>
        <v/>
      </c>
      <c r="Q157" s="42" t="str">
        <f t="shared" si="29"/>
        <v/>
      </c>
      <c r="R157" s="42" t="str">
        <f t="shared" si="30"/>
        <v/>
      </c>
      <c r="S157" s="90" t="str">
        <f t="shared" si="31"/>
        <v/>
      </c>
      <c r="T157" s="42" t="str">
        <f t="shared" si="32"/>
        <v/>
      </c>
    </row>
    <row r="158" spans="1:20" x14ac:dyDescent="0.2">
      <c r="A158" t="str">
        <f>INDEX(Prioritization!$D:$D,MATCH($B158,Prioritization!$A:$A,0))</f>
        <v>1 - Scale-up: Saturation</v>
      </c>
      <c r="B158" t="s">
        <v>203</v>
      </c>
      <c r="C158" t="s">
        <v>809</v>
      </c>
      <c r="D158" t="s">
        <v>47</v>
      </c>
      <c r="E158" t="str">
        <f t="shared" si="22"/>
        <v>Chitipa District [GkIwZrXy1h2]|01-04|Male</v>
      </c>
      <c r="G158" s="14"/>
      <c r="H158" s="14"/>
      <c r="I158" s="90" t="str">
        <f t="shared" si="23"/>
        <v/>
      </c>
      <c r="J158" s="90"/>
      <c r="K158" s="90"/>
      <c r="L158" s="90">
        <f t="shared" si="24"/>
        <v>1</v>
      </c>
      <c r="M158" s="90">
        <f t="shared" si="25"/>
        <v>0.2</v>
      </c>
      <c r="N158" s="14" t="str">
        <f t="shared" si="26"/>
        <v/>
      </c>
      <c r="O158" s="42" t="str">
        <f t="shared" si="27"/>
        <v/>
      </c>
      <c r="P158" s="42" t="str">
        <f t="shared" si="28"/>
        <v/>
      </c>
      <c r="Q158" s="42" t="str">
        <f t="shared" si="29"/>
        <v/>
      </c>
      <c r="R158" s="42" t="str">
        <f t="shared" si="30"/>
        <v/>
      </c>
      <c r="S158" s="90" t="str">
        <f t="shared" si="31"/>
        <v/>
      </c>
      <c r="T158" s="42" t="str">
        <f t="shared" si="32"/>
        <v/>
      </c>
    </row>
    <row r="159" spans="1:20" x14ac:dyDescent="0.2">
      <c r="A159" t="str">
        <f>INDEX(Prioritization!$D:$D,MATCH($B159,Prioritization!$A:$A,0))</f>
        <v>1 - Scale-up: Saturation</v>
      </c>
      <c r="B159" t="s">
        <v>203</v>
      </c>
      <c r="C159" t="s">
        <v>810</v>
      </c>
      <c r="D159" t="s">
        <v>29</v>
      </c>
      <c r="E159" t="str">
        <f t="shared" si="22"/>
        <v>Chitipa District [GkIwZrXy1h2]|05-09|Female</v>
      </c>
      <c r="G159" s="14"/>
      <c r="H159" s="14"/>
      <c r="I159" s="90" t="str">
        <f t="shared" si="23"/>
        <v/>
      </c>
      <c r="J159" s="90"/>
      <c r="K159" s="90"/>
      <c r="L159" s="90">
        <f t="shared" si="24"/>
        <v>1</v>
      </c>
      <c r="M159" s="90">
        <f t="shared" si="25"/>
        <v>0.2</v>
      </c>
      <c r="N159" s="14" t="str">
        <f t="shared" si="26"/>
        <v/>
      </c>
      <c r="O159" s="42" t="str">
        <f t="shared" si="27"/>
        <v/>
      </c>
      <c r="P159" s="42" t="str">
        <f t="shared" si="28"/>
        <v/>
      </c>
      <c r="Q159" s="42" t="str">
        <f t="shared" si="29"/>
        <v/>
      </c>
      <c r="R159" s="42" t="str">
        <f t="shared" si="30"/>
        <v/>
      </c>
      <c r="S159" s="90" t="str">
        <f t="shared" si="31"/>
        <v/>
      </c>
      <c r="T159" s="42" t="str">
        <f t="shared" si="32"/>
        <v/>
      </c>
    </row>
    <row r="160" spans="1:20" x14ac:dyDescent="0.2">
      <c r="A160" t="str">
        <f>INDEX(Prioritization!$D:$D,MATCH($B160,Prioritization!$A:$A,0))</f>
        <v>1 - Scale-up: Saturation</v>
      </c>
      <c r="B160" t="s">
        <v>203</v>
      </c>
      <c r="C160" t="s">
        <v>810</v>
      </c>
      <c r="D160" t="s">
        <v>47</v>
      </c>
      <c r="E160" t="str">
        <f t="shared" si="22"/>
        <v>Chitipa District [GkIwZrXy1h2]|05-09|Male</v>
      </c>
      <c r="G160" s="14"/>
      <c r="H160" s="14"/>
      <c r="I160" s="90" t="str">
        <f t="shared" si="23"/>
        <v/>
      </c>
      <c r="J160" s="90"/>
      <c r="K160" s="90"/>
      <c r="L160" s="90">
        <f t="shared" si="24"/>
        <v>1</v>
      </c>
      <c r="M160" s="90">
        <f t="shared" si="25"/>
        <v>0.2</v>
      </c>
      <c r="N160" s="14" t="str">
        <f t="shared" si="26"/>
        <v/>
      </c>
      <c r="O160" s="42" t="str">
        <f t="shared" si="27"/>
        <v/>
      </c>
      <c r="P160" s="42" t="str">
        <f t="shared" si="28"/>
        <v/>
      </c>
      <c r="Q160" s="42" t="str">
        <f t="shared" si="29"/>
        <v/>
      </c>
      <c r="R160" s="42" t="str">
        <f t="shared" si="30"/>
        <v/>
      </c>
      <c r="S160" s="90" t="str">
        <f t="shared" si="31"/>
        <v/>
      </c>
      <c r="T160" s="42" t="str">
        <f t="shared" si="32"/>
        <v/>
      </c>
    </row>
    <row r="161" spans="1:20" x14ac:dyDescent="0.2">
      <c r="A161" t="str">
        <f>INDEX(Prioritization!$D:$D,MATCH($B161,Prioritization!$A:$A,0))</f>
        <v>1 - Scale-up: Saturation</v>
      </c>
      <c r="B161" t="s">
        <v>203</v>
      </c>
      <c r="C161" t="s">
        <v>363</v>
      </c>
      <c r="D161" t="s">
        <v>29</v>
      </c>
      <c r="E161" t="str">
        <f t="shared" si="22"/>
        <v>Chitipa District [GkIwZrXy1h2]|10-14|Female</v>
      </c>
      <c r="G161" s="14"/>
      <c r="H161" s="14"/>
      <c r="I161" s="90" t="str">
        <f t="shared" si="23"/>
        <v/>
      </c>
      <c r="J161" s="90"/>
      <c r="K161" s="90"/>
      <c r="L161" s="90">
        <f t="shared" si="24"/>
        <v>1</v>
      </c>
      <c r="M161" s="90">
        <f t="shared" si="25"/>
        <v>0.2</v>
      </c>
      <c r="N161" s="14" t="str">
        <f t="shared" si="26"/>
        <v/>
      </c>
      <c r="O161" s="42" t="str">
        <f t="shared" si="27"/>
        <v/>
      </c>
      <c r="P161" s="42" t="str">
        <f t="shared" si="28"/>
        <v/>
      </c>
      <c r="Q161" s="42" t="str">
        <f t="shared" si="29"/>
        <v/>
      </c>
      <c r="R161" s="42" t="str">
        <f t="shared" si="30"/>
        <v/>
      </c>
      <c r="S161" s="90" t="str">
        <f t="shared" si="31"/>
        <v/>
      </c>
      <c r="T161" s="42" t="str">
        <f t="shared" si="32"/>
        <v/>
      </c>
    </row>
    <row r="162" spans="1:20" x14ac:dyDescent="0.2">
      <c r="A162" t="str">
        <f>INDEX(Prioritization!$D:$D,MATCH($B162,Prioritization!$A:$A,0))</f>
        <v>1 - Scale-up: Saturation</v>
      </c>
      <c r="B162" t="s">
        <v>203</v>
      </c>
      <c r="C162" t="s">
        <v>363</v>
      </c>
      <c r="D162" t="s">
        <v>47</v>
      </c>
      <c r="E162" t="str">
        <f t="shared" si="22"/>
        <v>Chitipa District [GkIwZrXy1h2]|10-14|Male</v>
      </c>
      <c r="G162" s="14"/>
      <c r="H162" s="14"/>
      <c r="I162" s="90" t="str">
        <f t="shared" si="23"/>
        <v/>
      </c>
      <c r="J162" s="90"/>
      <c r="K162" s="90"/>
      <c r="L162" s="90">
        <f t="shared" si="24"/>
        <v>1</v>
      </c>
      <c r="M162" s="90">
        <f t="shared" si="25"/>
        <v>0.2</v>
      </c>
      <c r="N162" s="14" t="str">
        <f t="shared" si="26"/>
        <v/>
      </c>
      <c r="O162" s="42" t="str">
        <f t="shared" si="27"/>
        <v/>
      </c>
      <c r="P162" s="42" t="str">
        <f t="shared" si="28"/>
        <v/>
      </c>
      <c r="Q162" s="42" t="str">
        <f t="shared" si="29"/>
        <v/>
      </c>
      <c r="R162" s="42" t="str">
        <f t="shared" si="30"/>
        <v/>
      </c>
      <c r="S162" s="90" t="str">
        <f t="shared" si="31"/>
        <v/>
      </c>
      <c r="T162" s="42" t="str">
        <f t="shared" si="32"/>
        <v/>
      </c>
    </row>
    <row r="163" spans="1:20" x14ac:dyDescent="0.2">
      <c r="A163" t="str">
        <f>INDEX(Prioritization!$D:$D,MATCH($B163,Prioritization!$A:$A,0))</f>
        <v>1 - Scale-up: Saturation</v>
      </c>
      <c r="B163" t="s">
        <v>203</v>
      </c>
      <c r="C163" t="s">
        <v>811</v>
      </c>
      <c r="D163" t="s">
        <v>29</v>
      </c>
      <c r="E163" t="str">
        <f t="shared" si="22"/>
        <v>Chitipa District [GkIwZrXy1h2]|15-17|Female</v>
      </c>
      <c r="G163" s="14"/>
      <c r="H163" s="14"/>
      <c r="I163" s="90" t="str">
        <f t="shared" si="23"/>
        <v/>
      </c>
      <c r="J163" s="90"/>
      <c r="K163" s="90"/>
      <c r="L163" s="90">
        <f t="shared" si="24"/>
        <v>1</v>
      </c>
      <c r="M163" s="90">
        <f t="shared" si="25"/>
        <v>0.2</v>
      </c>
      <c r="N163" s="14" t="str">
        <f t="shared" si="26"/>
        <v/>
      </c>
      <c r="O163" s="42" t="str">
        <f t="shared" si="27"/>
        <v/>
      </c>
      <c r="P163" s="42" t="str">
        <f t="shared" si="28"/>
        <v/>
      </c>
      <c r="Q163" s="42" t="str">
        <f t="shared" si="29"/>
        <v/>
      </c>
      <c r="R163" s="42" t="str">
        <f t="shared" si="30"/>
        <v/>
      </c>
      <c r="S163" s="90" t="str">
        <f t="shared" si="31"/>
        <v/>
      </c>
      <c r="T163" s="42" t="str">
        <f t="shared" si="32"/>
        <v/>
      </c>
    </row>
    <row r="164" spans="1:20" x14ac:dyDescent="0.2">
      <c r="A164" t="str">
        <f>INDEX(Prioritization!$D:$D,MATCH($B164,Prioritization!$A:$A,0))</f>
        <v>1 - Scale-up: Saturation</v>
      </c>
      <c r="B164" t="s">
        <v>203</v>
      </c>
      <c r="C164" t="s">
        <v>811</v>
      </c>
      <c r="D164" t="s">
        <v>47</v>
      </c>
      <c r="E164" t="str">
        <f t="shared" si="22"/>
        <v>Chitipa District [GkIwZrXy1h2]|15-17|Male</v>
      </c>
      <c r="G164" s="14"/>
      <c r="H164" s="14"/>
      <c r="I164" s="90" t="str">
        <f t="shared" si="23"/>
        <v/>
      </c>
      <c r="J164" s="90"/>
      <c r="K164" s="90"/>
      <c r="L164" s="90">
        <f t="shared" si="24"/>
        <v>1</v>
      </c>
      <c r="M164" s="90">
        <f t="shared" si="25"/>
        <v>0.2</v>
      </c>
      <c r="N164" s="14" t="str">
        <f t="shared" si="26"/>
        <v/>
      </c>
      <c r="O164" s="42" t="str">
        <f t="shared" si="27"/>
        <v/>
      </c>
      <c r="P164" s="42" t="str">
        <f t="shared" si="28"/>
        <v/>
      </c>
      <c r="Q164" s="42" t="str">
        <f t="shared" si="29"/>
        <v/>
      </c>
      <c r="R164" s="42" t="str">
        <f t="shared" si="30"/>
        <v/>
      </c>
      <c r="S164" s="90" t="str">
        <f t="shared" si="31"/>
        <v/>
      </c>
      <c r="T164" s="42" t="str">
        <f t="shared" si="32"/>
        <v/>
      </c>
    </row>
    <row r="165" spans="1:20" x14ac:dyDescent="0.2">
      <c r="A165" t="str">
        <f>INDEX(Prioritization!$D:$D,MATCH($B165,Prioritization!$A:$A,0))</f>
        <v>1 - Scale-up: Saturation</v>
      </c>
      <c r="B165" t="s">
        <v>203</v>
      </c>
      <c r="C165" t="s">
        <v>812</v>
      </c>
      <c r="D165" t="s">
        <v>29</v>
      </c>
      <c r="E165" t="str">
        <f t="shared" si="22"/>
        <v>Chitipa District [GkIwZrXy1h2]|18-20|Female</v>
      </c>
      <c r="G165" s="14"/>
      <c r="H165" s="14"/>
      <c r="I165" s="90" t="str">
        <f t="shared" si="23"/>
        <v/>
      </c>
      <c r="J165" s="90"/>
      <c r="K165" s="90"/>
      <c r="L165" s="90">
        <f t="shared" si="24"/>
        <v>1</v>
      </c>
      <c r="M165" s="90">
        <f t="shared" si="25"/>
        <v>0.2</v>
      </c>
      <c r="N165" s="14" t="str">
        <f t="shared" si="26"/>
        <v/>
      </c>
      <c r="O165" s="42" t="str">
        <f t="shared" si="27"/>
        <v/>
      </c>
      <c r="P165" s="42" t="str">
        <f t="shared" si="28"/>
        <v/>
      </c>
      <c r="Q165" s="42" t="str">
        <f t="shared" si="29"/>
        <v/>
      </c>
      <c r="R165" s="42" t="str">
        <f t="shared" si="30"/>
        <v/>
      </c>
      <c r="S165" s="90" t="str">
        <f t="shared" si="31"/>
        <v/>
      </c>
      <c r="T165" s="42" t="str">
        <f t="shared" si="32"/>
        <v/>
      </c>
    </row>
    <row r="166" spans="1:20" x14ac:dyDescent="0.2">
      <c r="A166" t="str">
        <f>INDEX(Prioritization!$D:$D,MATCH($B166,Prioritization!$A:$A,0))</f>
        <v>1 - Scale-up: Saturation</v>
      </c>
      <c r="B166" t="s">
        <v>203</v>
      </c>
      <c r="C166" t="s">
        <v>812</v>
      </c>
      <c r="D166" t="s">
        <v>47</v>
      </c>
      <c r="E166" t="str">
        <f t="shared" si="22"/>
        <v>Chitipa District [GkIwZrXy1h2]|18-20|Male</v>
      </c>
      <c r="G166" s="14"/>
      <c r="H166" s="14"/>
      <c r="I166" s="90" t="str">
        <f t="shared" si="23"/>
        <v/>
      </c>
      <c r="J166" s="90"/>
      <c r="K166" s="90"/>
      <c r="L166" s="90">
        <f t="shared" si="24"/>
        <v>1</v>
      </c>
      <c r="M166" s="90">
        <f t="shared" si="25"/>
        <v>0.2</v>
      </c>
      <c r="N166" s="14" t="str">
        <f t="shared" si="26"/>
        <v/>
      </c>
      <c r="O166" s="42" t="str">
        <f t="shared" si="27"/>
        <v/>
      </c>
      <c r="P166" s="42" t="str">
        <f t="shared" si="28"/>
        <v/>
      </c>
      <c r="Q166" s="42" t="str">
        <f t="shared" si="29"/>
        <v/>
      </c>
      <c r="R166" s="42" t="str">
        <f t="shared" si="30"/>
        <v/>
      </c>
      <c r="S166" s="90" t="str">
        <f t="shared" si="31"/>
        <v/>
      </c>
      <c r="T166" s="42" t="str">
        <f t="shared" si="32"/>
        <v/>
      </c>
    </row>
    <row r="167" spans="1:20" x14ac:dyDescent="0.2">
      <c r="A167" t="str">
        <f>INDEX(Prioritization!$D:$D,MATCH($B167,Prioritization!$A:$A,0))</f>
        <v>1 - Scale-up: Saturation</v>
      </c>
      <c r="B167" t="s">
        <v>203</v>
      </c>
      <c r="C167" t="s">
        <v>813</v>
      </c>
      <c r="D167" t="s">
        <v>29</v>
      </c>
      <c r="E167" t="str">
        <f t="shared" si="22"/>
        <v>Chitipa District [GkIwZrXy1h2]|18+|Female</v>
      </c>
      <c r="G167" s="14"/>
      <c r="H167" s="14"/>
      <c r="I167" s="90" t="str">
        <f t="shared" si="23"/>
        <v/>
      </c>
      <c r="J167" s="90"/>
      <c r="K167" s="90"/>
      <c r="L167" s="90">
        <f t="shared" si="24"/>
        <v>1</v>
      </c>
      <c r="M167" s="90">
        <f t="shared" si="25"/>
        <v>0.2</v>
      </c>
      <c r="N167" s="14" t="str">
        <f t="shared" si="26"/>
        <v/>
      </c>
      <c r="O167" s="42" t="str">
        <f t="shared" si="27"/>
        <v/>
      </c>
      <c r="P167" s="42" t="str">
        <f t="shared" si="28"/>
        <v/>
      </c>
      <c r="Q167" s="42" t="str">
        <f t="shared" si="29"/>
        <v/>
      </c>
      <c r="R167" s="42" t="str">
        <f t="shared" si="30"/>
        <v/>
      </c>
      <c r="S167" s="90" t="str">
        <f t="shared" si="31"/>
        <v/>
      </c>
      <c r="T167" s="42" t="str">
        <f t="shared" si="32"/>
        <v/>
      </c>
    </row>
    <row r="168" spans="1:20" x14ac:dyDescent="0.2">
      <c r="A168" t="str">
        <f>INDEX(Prioritization!$D:$D,MATCH($B168,Prioritization!$A:$A,0))</f>
        <v>1 - Scale-up: Saturation</v>
      </c>
      <c r="B168" t="s">
        <v>203</v>
      </c>
      <c r="C168" t="s">
        <v>813</v>
      </c>
      <c r="D168" t="s">
        <v>47</v>
      </c>
      <c r="E168" t="str">
        <f t="shared" si="22"/>
        <v>Chitipa District [GkIwZrXy1h2]|18+|Male</v>
      </c>
      <c r="G168" s="14"/>
      <c r="H168" s="14"/>
      <c r="I168" s="90" t="str">
        <f t="shared" si="23"/>
        <v/>
      </c>
      <c r="J168" s="90"/>
      <c r="K168" s="90"/>
      <c r="L168" s="90">
        <f t="shared" si="24"/>
        <v>1</v>
      </c>
      <c r="M168" s="90">
        <f t="shared" si="25"/>
        <v>0.2</v>
      </c>
      <c r="N168" s="14" t="str">
        <f t="shared" si="26"/>
        <v/>
      </c>
      <c r="O168" s="42" t="str">
        <f t="shared" si="27"/>
        <v/>
      </c>
      <c r="P168" s="42" t="str">
        <f t="shared" si="28"/>
        <v/>
      </c>
      <c r="Q168" s="42" t="str">
        <f t="shared" si="29"/>
        <v/>
      </c>
      <c r="R168" s="42" t="str">
        <f t="shared" si="30"/>
        <v/>
      </c>
      <c r="S168" s="90" t="str">
        <f t="shared" si="31"/>
        <v/>
      </c>
      <c r="T168" s="42" t="str">
        <f t="shared" si="32"/>
        <v/>
      </c>
    </row>
    <row r="169" spans="1:20" x14ac:dyDescent="0.2">
      <c r="A169" t="str">
        <f>INDEX(Prioritization!$D:$D,MATCH($B169,Prioritization!$A:$A,0))</f>
        <v>INVALID</v>
      </c>
      <c r="B169" t="s">
        <v>204</v>
      </c>
      <c r="C169" t="s">
        <v>315</v>
      </c>
      <c r="D169" t="s">
        <v>29</v>
      </c>
      <c r="E169" t="str">
        <f t="shared" si="22"/>
        <v>Karonga District [cPtvxaZqXIH]|&lt;01|Female</v>
      </c>
      <c r="G169" s="14"/>
      <c r="H169" s="14"/>
      <c r="I169" s="90" t="str">
        <f t="shared" si="23"/>
        <v/>
      </c>
      <c r="J169" s="90"/>
      <c r="K169" s="90"/>
      <c r="L169" s="90">
        <f t="shared" si="24"/>
        <v>1</v>
      </c>
      <c r="M169" s="90">
        <f t="shared" si="25"/>
        <v>0.2</v>
      </c>
      <c r="N169" s="14" t="str">
        <f t="shared" si="26"/>
        <v/>
      </c>
      <c r="O169" s="42" t="str">
        <f t="shared" si="27"/>
        <v/>
      </c>
      <c r="P169" s="42" t="str">
        <f t="shared" si="28"/>
        <v/>
      </c>
      <c r="Q169" s="42" t="str">
        <f t="shared" si="29"/>
        <v/>
      </c>
      <c r="R169" s="42" t="str">
        <f t="shared" si="30"/>
        <v/>
      </c>
      <c r="S169" s="90" t="str">
        <f t="shared" si="31"/>
        <v/>
      </c>
      <c r="T169" s="42" t="str">
        <f t="shared" si="32"/>
        <v/>
      </c>
    </row>
    <row r="170" spans="1:20" x14ac:dyDescent="0.2">
      <c r="A170" t="str">
        <f>INDEX(Prioritization!$D:$D,MATCH($B170,Prioritization!$A:$A,0))</f>
        <v>INVALID</v>
      </c>
      <c r="B170" t="s">
        <v>204</v>
      </c>
      <c r="C170" t="s">
        <v>315</v>
      </c>
      <c r="D170" t="s">
        <v>47</v>
      </c>
      <c r="E170" t="str">
        <f t="shared" si="22"/>
        <v>Karonga District [cPtvxaZqXIH]|&lt;01|Male</v>
      </c>
      <c r="G170" s="14"/>
      <c r="H170" s="14"/>
      <c r="I170" s="90" t="str">
        <f t="shared" si="23"/>
        <v/>
      </c>
      <c r="J170" s="90"/>
      <c r="K170" s="90"/>
      <c r="L170" s="90">
        <f t="shared" si="24"/>
        <v>1</v>
      </c>
      <c r="M170" s="90">
        <f t="shared" si="25"/>
        <v>0.2</v>
      </c>
      <c r="N170" s="14" t="str">
        <f t="shared" si="26"/>
        <v/>
      </c>
      <c r="O170" s="42" t="str">
        <f t="shared" si="27"/>
        <v/>
      </c>
      <c r="P170" s="42" t="str">
        <f t="shared" si="28"/>
        <v/>
      </c>
      <c r="Q170" s="42" t="str">
        <f t="shared" si="29"/>
        <v/>
      </c>
      <c r="R170" s="42" t="str">
        <f t="shared" si="30"/>
        <v/>
      </c>
      <c r="S170" s="90" t="str">
        <f t="shared" si="31"/>
        <v/>
      </c>
      <c r="T170" s="42" t="str">
        <f t="shared" si="32"/>
        <v/>
      </c>
    </row>
    <row r="171" spans="1:20" x14ac:dyDescent="0.2">
      <c r="A171" t="str">
        <f>INDEX(Prioritization!$D:$D,MATCH($B171,Prioritization!$A:$A,0))</f>
        <v>INVALID</v>
      </c>
      <c r="B171" t="s">
        <v>204</v>
      </c>
      <c r="C171" t="s">
        <v>809</v>
      </c>
      <c r="D171" t="s">
        <v>29</v>
      </c>
      <c r="E171" t="str">
        <f t="shared" si="22"/>
        <v>Karonga District [cPtvxaZqXIH]|01-04|Female</v>
      </c>
      <c r="G171" s="14"/>
      <c r="H171" s="14"/>
      <c r="I171" s="90" t="str">
        <f t="shared" si="23"/>
        <v/>
      </c>
      <c r="J171" s="90"/>
      <c r="K171" s="90"/>
      <c r="L171" s="90">
        <f t="shared" si="24"/>
        <v>1</v>
      </c>
      <c r="M171" s="90">
        <f t="shared" si="25"/>
        <v>0.2</v>
      </c>
      <c r="N171" s="14" t="str">
        <f t="shared" si="26"/>
        <v/>
      </c>
      <c r="O171" s="42" t="str">
        <f t="shared" si="27"/>
        <v/>
      </c>
      <c r="P171" s="42" t="str">
        <f t="shared" si="28"/>
        <v/>
      </c>
      <c r="Q171" s="42" t="str">
        <f t="shared" si="29"/>
        <v/>
      </c>
      <c r="R171" s="42" t="str">
        <f t="shared" si="30"/>
        <v/>
      </c>
      <c r="S171" s="90" t="str">
        <f t="shared" si="31"/>
        <v/>
      </c>
      <c r="T171" s="42" t="str">
        <f t="shared" si="32"/>
        <v/>
      </c>
    </row>
    <row r="172" spans="1:20" x14ac:dyDescent="0.2">
      <c r="A172" t="str">
        <f>INDEX(Prioritization!$D:$D,MATCH($B172,Prioritization!$A:$A,0))</f>
        <v>INVALID</v>
      </c>
      <c r="B172" t="s">
        <v>204</v>
      </c>
      <c r="C172" t="s">
        <v>809</v>
      </c>
      <c r="D172" t="s">
        <v>47</v>
      </c>
      <c r="E172" t="str">
        <f t="shared" si="22"/>
        <v>Karonga District [cPtvxaZqXIH]|01-04|Male</v>
      </c>
      <c r="G172" s="14"/>
      <c r="H172" s="14"/>
      <c r="I172" s="90" t="str">
        <f t="shared" si="23"/>
        <v/>
      </c>
      <c r="J172" s="90"/>
      <c r="K172" s="90"/>
      <c r="L172" s="90">
        <f t="shared" si="24"/>
        <v>1</v>
      </c>
      <c r="M172" s="90">
        <f t="shared" si="25"/>
        <v>0.2</v>
      </c>
      <c r="N172" s="14" t="str">
        <f t="shared" si="26"/>
        <v/>
      </c>
      <c r="O172" s="42" t="str">
        <f t="shared" si="27"/>
        <v/>
      </c>
      <c r="P172" s="42" t="str">
        <f t="shared" si="28"/>
        <v/>
      </c>
      <c r="Q172" s="42" t="str">
        <f t="shared" si="29"/>
        <v/>
      </c>
      <c r="R172" s="42" t="str">
        <f t="shared" si="30"/>
        <v/>
      </c>
      <c r="S172" s="90" t="str">
        <f t="shared" si="31"/>
        <v/>
      </c>
      <c r="T172" s="42" t="str">
        <f t="shared" si="32"/>
        <v/>
      </c>
    </row>
    <row r="173" spans="1:20" x14ac:dyDescent="0.2">
      <c r="A173" t="str">
        <f>INDEX(Prioritization!$D:$D,MATCH($B173,Prioritization!$A:$A,0))</f>
        <v>INVALID</v>
      </c>
      <c r="B173" t="s">
        <v>204</v>
      </c>
      <c r="C173" t="s">
        <v>810</v>
      </c>
      <c r="D173" t="s">
        <v>29</v>
      </c>
      <c r="E173" t="str">
        <f t="shared" si="22"/>
        <v>Karonga District [cPtvxaZqXIH]|05-09|Female</v>
      </c>
      <c r="G173" s="14"/>
      <c r="H173" s="14"/>
      <c r="I173" s="90" t="str">
        <f t="shared" si="23"/>
        <v/>
      </c>
      <c r="J173" s="90"/>
      <c r="K173" s="90"/>
      <c r="L173" s="90">
        <f t="shared" si="24"/>
        <v>1</v>
      </c>
      <c r="M173" s="90">
        <f t="shared" si="25"/>
        <v>0.2</v>
      </c>
      <c r="N173" s="14" t="str">
        <f t="shared" si="26"/>
        <v/>
      </c>
      <c r="O173" s="42" t="str">
        <f t="shared" si="27"/>
        <v/>
      </c>
      <c r="P173" s="42" t="str">
        <f t="shared" si="28"/>
        <v/>
      </c>
      <c r="Q173" s="42" t="str">
        <f t="shared" si="29"/>
        <v/>
      </c>
      <c r="R173" s="42" t="str">
        <f t="shared" si="30"/>
        <v/>
      </c>
      <c r="S173" s="90" t="str">
        <f t="shared" si="31"/>
        <v/>
      </c>
      <c r="T173" s="42" t="str">
        <f t="shared" si="32"/>
        <v/>
      </c>
    </row>
    <row r="174" spans="1:20" x14ac:dyDescent="0.2">
      <c r="A174" t="str">
        <f>INDEX(Prioritization!$D:$D,MATCH($B174,Prioritization!$A:$A,0))</f>
        <v>INVALID</v>
      </c>
      <c r="B174" t="s">
        <v>204</v>
      </c>
      <c r="C174" t="s">
        <v>810</v>
      </c>
      <c r="D174" t="s">
        <v>47</v>
      </c>
      <c r="E174" t="str">
        <f t="shared" si="22"/>
        <v>Karonga District [cPtvxaZqXIH]|05-09|Male</v>
      </c>
      <c r="G174" s="14"/>
      <c r="H174" s="14"/>
      <c r="I174" s="90" t="str">
        <f t="shared" si="23"/>
        <v/>
      </c>
      <c r="J174" s="90"/>
      <c r="K174" s="90"/>
      <c r="L174" s="90">
        <f t="shared" si="24"/>
        <v>1</v>
      </c>
      <c r="M174" s="90">
        <f t="shared" si="25"/>
        <v>0.2</v>
      </c>
      <c r="N174" s="14" t="str">
        <f t="shared" si="26"/>
        <v/>
      </c>
      <c r="O174" s="42" t="str">
        <f t="shared" si="27"/>
        <v/>
      </c>
      <c r="P174" s="42" t="str">
        <f t="shared" si="28"/>
        <v/>
      </c>
      <c r="Q174" s="42" t="str">
        <f t="shared" si="29"/>
        <v/>
      </c>
      <c r="R174" s="42" t="str">
        <f t="shared" si="30"/>
        <v/>
      </c>
      <c r="S174" s="90" t="str">
        <f t="shared" si="31"/>
        <v/>
      </c>
      <c r="T174" s="42" t="str">
        <f t="shared" si="32"/>
        <v/>
      </c>
    </row>
    <row r="175" spans="1:20" x14ac:dyDescent="0.2">
      <c r="A175" t="str">
        <f>INDEX(Prioritization!$D:$D,MATCH($B175,Prioritization!$A:$A,0))</f>
        <v>INVALID</v>
      </c>
      <c r="B175" t="s">
        <v>204</v>
      </c>
      <c r="C175" t="s">
        <v>363</v>
      </c>
      <c r="D175" t="s">
        <v>29</v>
      </c>
      <c r="E175" t="str">
        <f t="shared" si="22"/>
        <v>Karonga District [cPtvxaZqXIH]|10-14|Female</v>
      </c>
      <c r="G175" s="14"/>
      <c r="H175" s="14"/>
      <c r="I175" s="90" t="str">
        <f t="shared" si="23"/>
        <v/>
      </c>
      <c r="J175" s="90"/>
      <c r="K175" s="90"/>
      <c r="L175" s="90">
        <f t="shared" si="24"/>
        <v>1</v>
      </c>
      <c r="M175" s="90">
        <f t="shared" si="25"/>
        <v>0.2</v>
      </c>
      <c r="N175" s="14" t="str">
        <f t="shared" si="26"/>
        <v/>
      </c>
      <c r="O175" s="42" t="str">
        <f t="shared" si="27"/>
        <v/>
      </c>
      <c r="P175" s="42" t="str">
        <f t="shared" si="28"/>
        <v/>
      </c>
      <c r="Q175" s="42" t="str">
        <f t="shared" si="29"/>
        <v/>
      </c>
      <c r="R175" s="42" t="str">
        <f t="shared" si="30"/>
        <v/>
      </c>
      <c r="S175" s="90" t="str">
        <f t="shared" si="31"/>
        <v/>
      </c>
      <c r="T175" s="42" t="str">
        <f t="shared" si="32"/>
        <v/>
      </c>
    </row>
    <row r="176" spans="1:20" x14ac:dyDescent="0.2">
      <c r="A176" t="str">
        <f>INDEX(Prioritization!$D:$D,MATCH($B176,Prioritization!$A:$A,0))</f>
        <v>INVALID</v>
      </c>
      <c r="B176" t="s">
        <v>204</v>
      </c>
      <c r="C176" t="s">
        <v>363</v>
      </c>
      <c r="D176" t="s">
        <v>47</v>
      </c>
      <c r="E176" t="str">
        <f t="shared" si="22"/>
        <v>Karonga District [cPtvxaZqXIH]|10-14|Male</v>
      </c>
      <c r="G176" s="14"/>
      <c r="H176" s="14"/>
      <c r="I176" s="90" t="str">
        <f t="shared" si="23"/>
        <v/>
      </c>
      <c r="J176" s="90"/>
      <c r="K176" s="90"/>
      <c r="L176" s="90">
        <f t="shared" si="24"/>
        <v>1</v>
      </c>
      <c r="M176" s="90">
        <f t="shared" si="25"/>
        <v>0.2</v>
      </c>
      <c r="N176" s="14" t="str">
        <f t="shared" si="26"/>
        <v/>
      </c>
      <c r="O176" s="42" t="str">
        <f t="shared" si="27"/>
        <v/>
      </c>
      <c r="P176" s="42" t="str">
        <f t="shared" si="28"/>
        <v/>
      </c>
      <c r="Q176" s="42" t="str">
        <f t="shared" si="29"/>
        <v/>
      </c>
      <c r="R176" s="42" t="str">
        <f t="shared" si="30"/>
        <v/>
      </c>
      <c r="S176" s="90" t="str">
        <f t="shared" si="31"/>
        <v/>
      </c>
      <c r="T176" s="42" t="str">
        <f t="shared" si="32"/>
        <v/>
      </c>
    </row>
    <row r="177" spans="1:20" x14ac:dyDescent="0.2">
      <c r="A177" t="str">
        <f>INDEX(Prioritization!$D:$D,MATCH($B177,Prioritization!$A:$A,0))</f>
        <v>INVALID</v>
      </c>
      <c r="B177" t="s">
        <v>204</v>
      </c>
      <c r="C177" t="s">
        <v>811</v>
      </c>
      <c r="D177" t="s">
        <v>29</v>
      </c>
      <c r="E177" t="str">
        <f t="shared" si="22"/>
        <v>Karonga District [cPtvxaZqXIH]|15-17|Female</v>
      </c>
      <c r="G177" s="14"/>
      <c r="H177" s="14"/>
      <c r="I177" s="90" t="str">
        <f t="shared" si="23"/>
        <v/>
      </c>
      <c r="J177" s="90"/>
      <c r="K177" s="90"/>
      <c r="L177" s="90">
        <f t="shared" si="24"/>
        <v>1</v>
      </c>
      <c r="M177" s="90">
        <f t="shared" si="25"/>
        <v>0.2</v>
      </c>
      <c r="N177" s="14" t="str">
        <f t="shared" si="26"/>
        <v/>
      </c>
      <c r="O177" s="42" t="str">
        <f t="shared" si="27"/>
        <v/>
      </c>
      <c r="P177" s="42" t="str">
        <f t="shared" si="28"/>
        <v/>
      </c>
      <c r="Q177" s="42" t="str">
        <f t="shared" si="29"/>
        <v/>
      </c>
      <c r="R177" s="42" t="str">
        <f t="shared" si="30"/>
        <v/>
      </c>
      <c r="S177" s="90" t="str">
        <f t="shared" si="31"/>
        <v/>
      </c>
      <c r="T177" s="42" t="str">
        <f t="shared" si="32"/>
        <v/>
      </c>
    </row>
    <row r="178" spans="1:20" x14ac:dyDescent="0.2">
      <c r="A178" t="str">
        <f>INDEX(Prioritization!$D:$D,MATCH($B178,Prioritization!$A:$A,0))</f>
        <v>INVALID</v>
      </c>
      <c r="B178" t="s">
        <v>204</v>
      </c>
      <c r="C178" t="s">
        <v>811</v>
      </c>
      <c r="D178" t="s">
        <v>47</v>
      </c>
      <c r="E178" t="str">
        <f t="shared" si="22"/>
        <v>Karonga District [cPtvxaZqXIH]|15-17|Male</v>
      </c>
      <c r="G178" s="14"/>
      <c r="H178" s="14"/>
      <c r="I178" s="90" t="str">
        <f t="shared" si="23"/>
        <v/>
      </c>
      <c r="J178" s="90"/>
      <c r="K178" s="90"/>
      <c r="L178" s="90">
        <f t="shared" si="24"/>
        <v>1</v>
      </c>
      <c r="M178" s="90">
        <f t="shared" si="25"/>
        <v>0.2</v>
      </c>
      <c r="N178" s="14" t="str">
        <f t="shared" si="26"/>
        <v/>
      </c>
      <c r="O178" s="42" t="str">
        <f t="shared" si="27"/>
        <v/>
      </c>
      <c r="P178" s="42" t="str">
        <f t="shared" si="28"/>
        <v/>
      </c>
      <c r="Q178" s="42" t="str">
        <f t="shared" si="29"/>
        <v/>
      </c>
      <c r="R178" s="42" t="str">
        <f t="shared" si="30"/>
        <v/>
      </c>
      <c r="S178" s="90" t="str">
        <f t="shared" si="31"/>
        <v/>
      </c>
      <c r="T178" s="42" t="str">
        <f t="shared" si="32"/>
        <v/>
      </c>
    </row>
    <row r="179" spans="1:20" x14ac:dyDescent="0.2">
      <c r="A179" t="str">
        <f>INDEX(Prioritization!$D:$D,MATCH($B179,Prioritization!$A:$A,0))</f>
        <v>INVALID</v>
      </c>
      <c r="B179" t="s">
        <v>204</v>
      </c>
      <c r="C179" t="s">
        <v>812</v>
      </c>
      <c r="D179" t="s">
        <v>29</v>
      </c>
      <c r="E179" t="str">
        <f t="shared" si="22"/>
        <v>Karonga District [cPtvxaZqXIH]|18-20|Female</v>
      </c>
      <c r="G179" s="14"/>
      <c r="H179" s="14"/>
      <c r="I179" s="90" t="str">
        <f t="shared" si="23"/>
        <v/>
      </c>
      <c r="J179" s="90"/>
      <c r="K179" s="90"/>
      <c r="L179" s="90">
        <f t="shared" si="24"/>
        <v>1</v>
      </c>
      <c r="M179" s="90">
        <f t="shared" si="25"/>
        <v>0.2</v>
      </c>
      <c r="N179" s="14" t="str">
        <f t="shared" si="26"/>
        <v/>
      </c>
      <c r="O179" s="42" t="str">
        <f t="shared" si="27"/>
        <v/>
      </c>
      <c r="P179" s="42" t="str">
        <f t="shared" si="28"/>
        <v/>
      </c>
      <c r="Q179" s="42" t="str">
        <f t="shared" si="29"/>
        <v/>
      </c>
      <c r="R179" s="42" t="str">
        <f t="shared" si="30"/>
        <v/>
      </c>
      <c r="S179" s="90" t="str">
        <f t="shared" si="31"/>
        <v/>
      </c>
      <c r="T179" s="42" t="str">
        <f t="shared" si="32"/>
        <v/>
      </c>
    </row>
    <row r="180" spans="1:20" x14ac:dyDescent="0.2">
      <c r="A180" t="str">
        <f>INDEX(Prioritization!$D:$D,MATCH($B180,Prioritization!$A:$A,0))</f>
        <v>INVALID</v>
      </c>
      <c r="B180" t="s">
        <v>204</v>
      </c>
      <c r="C180" t="s">
        <v>812</v>
      </c>
      <c r="D180" t="s">
        <v>47</v>
      </c>
      <c r="E180" t="str">
        <f t="shared" si="22"/>
        <v>Karonga District [cPtvxaZqXIH]|18-20|Male</v>
      </c>
      <c r="G180" s="14"/>
      <c r="H180" s="14"/>
      <c r="I180" s="90" t="str">
        <f t="shared" si="23"/>
        <v/>
      </c>
      <c r="J180" s="90"/>
      <c r="K180" s="90"/>
      <c r="L180" s="90">
        <f t="shared" si="24"/>
        <v>1</v>
      </c>
      <c r="M180" s="90">
        <f t="shared" si="25"/>
        <v>0.2</v>
      </c>
      <c r="N180" s="14" t="str">
        <f t="shared" si="26"/>
        <v/>
      </c>
      <c r="O180" s="42" t="str">
        <f t="shared" si="27"/>
        <v/>
      </c>
      <c r="P180" s="42" t="str">
        <f t="shared" si="28"/>
        <v/>
      </c>
      <c r="Q180" s="42" t="str">
        <f t="shared" si="29"/>
        <v/>
      </c>
      <c r="R180" s="42" t="str">
        <f t="shared" si="30"/>
        <v/>
      </c>
      <c r="S180" s="90" t="str">
        <f t="shared" si="31"/>
        <v/>
      </c>
      <c r="T180" s="42" t="str">
        <f t="shared" si="32"/>
        <v/>
      </c>
    </row>
    <row r="181" spans="1:20" x14ac:dyDescent="0.2">
      <c r="A181" t="str">
        <f>INDEX(Prioritization!$D:$D,MATCH($B181,Prioritization!$A:$A,0))</f>
        <v>INVALID</v>
      </c>
      <c r="B181" t="s">
        <v>204</v>
      </c>
      <c r="C181" t="s">
        <v>813</v>
      </c>
      <c r="D181" t="s">
        <v>29</v>
      </c>
      <c r="E181" t="str">
        <f t="shared" si="22"/>
        <v>Karonga District [cPtvxaZqXIH]|18+|Female</v>
      </c>
      <c r="G181" s="14"/>
      <c r="H181" s="14"/>
      <c r="I181" s="90" t="str">
        <f t="shared" si="23"/>
        <v/>
      </c>
      <c r="J181" s="90"/>
      <c r="K181" s="90"/>
      <c r="L181" s="90">
        <f t="shared" si="24"/>
        <v>1</v>
      </c>
      <c r="M181" s="90">
        <f t="shared" si="25"/>
        <v>0.2</v>
      </c>
      <c r="N181" s="14" t="str">
        <f t="shared" si="26"/>
        <v/>
      </c>
      <c r="O181" s="42" t="str">
        <f t="shared" si="27"/>
        <v/>
      </c>
      <c r="P181" s="42" t="str">
        <f t="shared" si="28"/>
        <v/>
      </c>
      <c r="Q181" s="42" t="str">
        <f t="shared" si="29"/>
        <v/>
      </c>
      <c r="R181" s="42" t="str">
        <f t="shared" si="30"/>
        <v/>
      </c>
      <c r="S181" s="90" t="str">
        <f t="shared" si="31"/>
        <v/>
      </c>
      <c r="T181" s="42" t="str">
        <f t="shared" si="32"/>
        <v/>
      </c>
    </row>
    <row r="182" spans="1:20" x14ac:dyDescent="0.2">
      <c r="A182" t="str">
        <f>INDEX(Prioritization!$D:$D,MATCH($B182,Prioritization!$A:$A,0))</f>
        <v>INVALID</v>
      </c>
      <c r="B182" t="s">
        <v>204</v>
      </c>
      <c r="C182" t="s">
        <v>813</v>
      </c>
      <c r="D182" t="s">
        <v>47</v>
      </c>
      <c r="E182" t="str">
        <f t="shared" si="22"/>
        <v>Karonga District [cPtvxaZqXIH]|18+|Male</v>
      </c>
      <c r="G182" s="14"/>
      <c r="H182" s="14"/>
      <c r="I182" s="90" t="str">
        <f t="shared" si="23"/>
        <v/>
      </c>
      <c r="J182" s="90"/>
      <c r="K182" s="90"/>
      <c r="L182" s="90">
        <f t="shared" si="24"/>
        <v>1</v>
      </c>
      <c r="M182" s="90">
        <f t="shared" si="25"/>
        <v>0.2</v>
      </c>
      <c r="N182" s="14" t="str">
        <f t="shared" si="26"/>
        <v/>
      </c>
      <c r="O182" s="42" t="str">
        <f t="shared" si="27"/>
        <v/>
      </c>
      <c r="P182" s="42" t="str">
        <f t="shared" si="28"/>
        <v/>
      </c>
      <c r="Q182" s="42" t="str">
        <f t="shared" si="29"/>
        <v/>
      </c>
      <c r="R182" s="42" t="str">
        <f t="shared" si="30"/>
        <v/>
      </c>
      <c r="S182" s="90" t="str">
        <f t="shared" si="31"/>
        <v/>
      </c>
      <c r="T182" s="42" t="str">
        <f t="shared" si="32"/>
        <v/>
      </c>
    </row>
    <row r="183" spans="1:20" x14ac:dyDescent="0.2">
      <c r="A183" t="str">
        <f>INDEX(Prioritization!$D:$D,MATCH($B183,Prioritization!$A:$A,0))</f>
        <v>INVALID</v>
      </c>
      <c r="B183" t="s">
        <v>205</v>
      </c>
      <c r="C183" t="s">
        <v>315</v>
      </c>
      <c r="D183" t="s">
        <v>29</v>
      </c>
      <c r="E183" t="str">
        <f t="shared" si="22"/>
        <v>Likoma District [ZCjuwgaMB9u]|&lt;01|Female</v>
      </c>
      <c r="G183" s="14"/>
      <c r="H183" s="14"/>
      <c r="I183" s="90" t="str">
        <f t="shared" si="23"/>
        <v/>
      </c>
      <c r="J183" s="90"/>
      <c r="K183" s="90"/>
      <c r="L183" s="90">
        <f t="shared" si="24"/>
        <v>1</v>
      </c>
      <c r="M183" s="90">
        <f t="shared" si="25"/>
        <v>0.2</v>
      </c>
      <c r="N183" s="14" t="str">
        <f t="shared" si="26"/>
        <v/>
      </c>
      <c r="O183" s="42" t="str">
        <f t="shared" si="27"/>
        <v/>
      </c>
      <c r="P183" s="42" t="str">
        <f t="shared" si="28"/>
        <v/>
      </c>
      <c r="Q183" s="42" t="str">
        <f t="shared" si="29"/>
        <v/>
      </c>
      <c r="R183" s="42" t="str">
        <f t="shared" si="30"/>
        <v/>
      </c>
      <c r="S183" s="90" t="str">
        <f t="shared" si="31"/>
        <v/>
      </c>
      <c r="T183" s="42" t="str">
        <f t="shared" si="32"/>
        <v/>
      </c>
    </row>
    <row r="184" spans="1:20" x14ac:dyDescent="0.2">
      <c r="A184" t="str">
        <f>INDEX(Prioritization!$D:$D,MATCH($B184,Prioritization!$A:$A,0))</f>
        <v>INVALID</v>
      </c>
      <c r="B184" t="s">
        <v>205</v>
      </c>
      <c r="C184" t="s">
        <v>315</v>
      </c>
      <c r="D184" t="s">
        <v>47</v>
      </c>
      <c r="E184" t="str">
        <f t="shared" si="22"/>
        <v>Likoma District [ZCjuwgaMB9u]|&lt;01|Male</v>
      </c>
      <c r="G184" s="14"/>
      <c r="H184" s="14"/>
      <c r="I184" s="90" t="str">
        <f t="shared" si="23"/>
        <v/>
      </c>
      <c r="J184" s="90"/>
      <c r="K184" s="90"/>
      <c r="L184" s="90">
        <f t="shared" si="24"/>
        <v>1</v>
      </c>
      <c r="M184" s="90">
        <f t="shared" si="25"/>
        <v>0.2</v>
      </c>
      <c r="N184" s="14" t="str">
        <f t="shared" si="26"/>
        <v/>
      </c>
      <c r="O184" s="42" t="str">
        <f t="shared" si="27"/>
        <v/>
      </c>
      <c r="P184" s="42" t="str">
        <f t="shared" si="28"/>
        <v/>
      </c>
      <c r="Q184" s="42" t="str">
        <f t="shared" si="29"/>
        <v/>
      </c>
      <c r="R184" s="42" t="str">
        <f t="shared" si="30"/>
        <v/>
      </c>
      <c r="S184" s="90" t="str">
        <f t="shared" si="31"/>
        <v/>
      </c>
      <c r="T184" s="42" t="str">
        <f t="shared" si="32"/>
        <v/>
      </c>
    </row>
    <row r="185" spans="1:20" x14ac:dyDescent="0.2">
      <c r="A185" t="str">
        <f>INDEX(Prioritization!$D:$D,MATCH($B185,Prioritization!$A:$A,0))</f>
        <v>INVALID</v>
      </c>
      <c r="B185" t="s">
        <v>205</v>
      </c>
      <c r="C185" t="s">
        <v>809</v>
      </c>
      <c r="D185" t="s">
        <v>29</v>
      </c>
      <c r="E185" t="str">
        <f t="shared" si="22"/>
        <v>Likoma District [ZCjuwgaMB9u]|01-04|Female</v>
      </c>
      <c r="G185" s="14"/>
      <c r="H185" s="14"/>
      <c r="I185" s="90" t="str">
        <f t="shared" si="23"/>
        <v/>
      </c>
      <c r="J185" s="90"/>
      <c r="K185" s="90"/>
      <c r="L185" s="90">
        <f t="shared" si="24"/>
        <v>1</v>
      </c>
      <c r="M185" s="90">
        <f t="shared" si="25"/>
        <v>0.2</v>
      </c>
      <c r="N185" s="14" t="str">
        <f t="shared" si="26"/>
        <v/>
      </c>
      <c r="O185" s="42" t="str">
        <f t="shared" si="27"/>
        <v/>
      </c>
      <c r="P185" s="42" t="str">
        <f t="shared" si="28"/>
        <v/>
      </c>
      <c r="Q185" s="42" t="str">
        <f t="shared" si="29"/>
        <v/>
      </c>
      <c r="R185" s="42" t="str">
        <f t="shared" si="30"/>
        <v/>
      </c>
      <c r="S185" s="90" t="str">
        <f t="shared" si="31"/>
        <v/>
      </c>
      <c r="T185" s="42" t="str">
        <f t="shared" si="32"/>
        <v/>
      </c>
    </row>
    <row r="186" spans="1:20" x14ac:dyDescent="0.2">
      <c r="A186" t="str">
        <f>INDEX(Prioritization!$D:$D,MATCH($B186,Prioritization!$A:$A,0))</f>
        <v>INVALID</v>
      </c>
      <c r="B186" t="s">
        <v>205</v>
      </c>
      <c r="C186" t="s">
        <v>809</v>
      </c>
      <c r="D186" t="s">
        <v>47</v>
      </c>
      <c r="E186" t="str">
        <f t="shared" si="22"/>
        <v>Likoma District [ZCjuwgaMB9u]|01-04|Male</v>
      </c>
      <c r="G186" s="14"/>
      <c r="H186" s="14"/>
      <c r="I186" s="90" t="str">
        <f t="shared" si="23"/>
        <v/>
      </c>
      <c r="J186" s="90"/>
      <c r="K186" s="90"/>
      <c r="L186" s="90">
        <f t="shared" si="24"/>
        <v>1</v>
      </c>
      <c r="M186" s="90">
        <f t="shared" si="25"/>
        <v>0.2</v>
      </c>
      <c r="N186" s="14" t="str">
        <f t="shared" si="26"/>
        <v/>
      </c>
      <c r="O186" s="42" t="str">
        <f t="shared" si="27"/>
        <v/>
      </c>
      <c r="P186" s="42" t="str">
        <f t="shared" si="28"/>
        <v/>
      </c>
      <c r="Q186" s="42" t="str">
        <f t="shared" si="29"/>
        <v/>
      </c>
      <c r="R186" s="42" t="str">
        <f t="shared" si="30"/>
        <v/>
      </c>
      <c r="S186" s="90" t="str">
        <f t="shared" si="31"/>
        <v/>
      </c>
      <c r="T186" s="42" t="str">
        <f t="shared" si="32"/>
        <v/>
      </c>
    </row>
    <row r="187" spans="1:20" x14ac:dyDescent="0.2">
      <c r="A187" t="str">
        <f>INDEX(Prioritization!$D:$D,MATCH($B187,Prioritization!$A:$A,0))</f>
        <v>INVALID</v>
      </c>
      <c r="B187" t="s">
        <v>205</v>
      </c>
      <c r="C187" t="s">
        <v>810</v>
      </c>
      <c r="D187" t="s">
        <v>29</v>
      </c>
      <c r="E187" t="str">
        <f t="shared" si="22"/>
        <v>Likoma District [ZCjuwgaMB9u]|05-09|Female</v>
      </c>
      <c r="G187" s="14"/>
      <c r="H187" s="14"/>
      <c r="I187" s="90" t="str">
        <f t="shared" si="23"/>
        <v/>
      </c>
      <c r="J187" s="90"/>
      <c r="K187" s="90"/>
      <c r="L187" s="90">
        <f t="shared" si="24"/>
        <v>1</v>
      </c>
      <c r="M187" s="90">
        <f t="shared" si="25"/>
        <v>0.2</v>
      </c>
      <c r="N187" s="14" t="str">
        <f t="shared" si="26"/>
        <v/>
      </c>
      <c r="O187" s="42" t="str">
        <f t="shared" si="27"/>
        <v/>
      </c>
      <c r="P187" s="42" t="str">
        <f t="shared" si="28"/>
        <v/>
      </c>
      <c r="Q187" s="42" t="str">
        <f t="shared" si="29"/>
        <v/>
      </c>
      <c r="R187" s="42" t="str">
        <f t="shared" si="30"/>
        <v/>
      </c>
      <c r="S187" s="90" t="str">
        <f t="shared" si="31"/>
        <v/>
      </c>
      <c r="T187" s="42" t="str">
        <f t="shared" si="32"/>
        <v/>
      </c>
    </row>
    <row r="188" spans="1:20" x14ac:dyDescent="0.2">
      <c r="A188" t="str">
        <f>INDEX(Prioritization!$D:$D,MATCH($B188,Prioritization!$A:$A,0))</f>
        <v>INVALID</v>
      </c>
      <c r="B188" t="s">
        <v>205</v>
      </c>
      <c r="C188" t="s">
        <v>810</v>
      </c>
      <c r="D188" t="s">
        <v>47</v>
      </c>
      <c r="E188" t="str">
        <f t="shared" si="22"/>
        <v>Likoma District [ZCjuwgaMB9u]|05-09|Male</v>
      </c>
      <c r="G188" s="14"/>
      <c r="H188" s="14"/>
      <c r="I188" s="90" t="str">
        <f t="shared" si="23"/>
        <v/>
      </c>
      <c r="J188" s="90"/>
      <c r="K188" s="90"/>
      <c r="L188" s="90">
        <f t="shared" si="24"/>
        <v>1</v>
      </c>
      <c r="M188" s="90">
        <f t="shared" si="25"/>
        <v>0.2</v>
      </c>
      <c r="N188" s="14" t="str">
        <f t="shared" si="26"/>
        <v/>
      </c>
      <c r="O188" s="42" t="str">
        <f t="shared" si="27"/>
        <v/>
      </c>
      <c r="P188" s="42" t="str">
        <f t="shared" si="28"/>
        <v/>
      </c>
      <c r="Q188" s="42" t="str">
        <f t="shared" si="29"/>
        <v/>
      </c>
      <c r="R188" s="42" t="str">
        <f t="shared" si="30"/>
        <v/>
      </c>
      <c r="S188" s="90" t="str">
        <f t="shared" si="31"/>
        <v/>
      </c>
      <c r="T188" s="42" t="str">
        <f t="shared" si="32"/>
        <v/>
      </c>
    </row>
    <row r="189" spans="1:20" x14ac:dyDescent="0.2">
      <c r="A189" t="str">
        <f>INDEX(Prioritization!$D:$D,MATCH($B189,Prioritization!$A:$A,0))</f>
        <v>INVALID</v>
      </c>
      <c r="B189" t="s">
        <v>205</v>
      </c>
      <c r="C189" t="s">
        <v>363</v>
      </c>
      <c r="D189" t="s">
        <v>29</v>
      </c>
      <c r="E189" t="str">
        <f t="shared" si="22"/>
        <v>Likoma District [ZCjuwgaMB9u]|10-14|Female</v>
      </c>
      <c r="G189" s="14"/>
      <c r="H189" s="14"/>
      <c r="I189" s="90" t="str">
        <f t="shared" si="23"/>
        <v/>
      </c>
      <c r="J189" s="90"/>
      <c r="K189" s="90"/>
      <c r="L189" s="90">
        <f t="shared" si="24"/>
        <v>1</v>
      </c>
      <c r="M189" s="90">
        <f t="shared" si="25"/>
        <v>0.2</v>
      </c>
      <c r="N189" s="14" t="str">
        <f t="shared" si="26"/>
        <v/>
      </c>
      <c r="O189" s="42" t="str">
        <f t="shared" si="27"/>
        <v/>
      </c>
      <c r="P189" s="42" t="str">
        <f t="shared" si="28"/>
        <v/>
      </c>
      <c r="Q189" s="42" t="str">
        <f t="shared" si="29"/>
        <v/>
      </c>
      <c r="R189" s="42" t="str">
        <f t="shared" si="30"/>
        <v/>
      </c>
      <c r="S189" s="90" t="str">
        <f t="shared" si="31"/>
        <v/>
      </c>
      <c r="T189" s="42" t="str">
        <f t="shared" si="32"/>
        <v/>
      </c>
    </row>
    <row r="190" spans="1:20" x14ac:dyDescent="0.2">
      <c r="A190" t="str">
        <f>INDEX(Prioritization!$D:$D,MATCH($B190,Prioritization!$A:$A,0))</f>
        <v>INVALID</v>
      </c>
      <c r="B190" t="s">
        <v>205</v>
      </c>
      <c r="C190" t="s">
        <v>363</v>
      </c>
      <c r="D190" t="s">
        <v>47</v>
      </c>
      <c r="E190" t="str">
        <f t="shared" si="22"/>
        <v>Likoma District [ZCjuwgaMB9u]|10-14|Male</v>
      </c>
      <c r="G190" s="14"/>
      <c r="H190" s="14"/>
      <c r="I190" s="90" t="str">
        <f t="shared" si="23"/>
        <v/>
      </c>
      <c r="J190" s="90"/>
      <c r="K190" s="90"/>
      <c r="L190" s="90">
        <f t="shared" si="24"/>
        <v>1</v>
      </c>
      <c r="M190" s="90">
        <f t="shared" si="25"/>
        <v>0.2</v>
      </c>
      <c r="N190" s="14" t="str">
        <f t="shared" si="26"/>
        <v/>
      </c>
      <c r="O190" s="42" t="str">
        <f t="shared" si="27"/>
        <v/>
      </c>
      <c r="P190" s="42" t="str">
        <f t="shared" si="28"/>
        <v/>
      </c>
      <c r="Q190" s="42" t="str">
        <f t="shared" si="29"/>
        <v/>
      </c>
      <c r="R190" s="42" t="str">
        <f t="shared" si="30"/>
        <v/>
      </c>
      <c r="S190" s="90" t="str">
        <f t="shared" si="31"/>
        <v/>
      </c>
      <c r="T190" s="42" t="str">
        <f t="shared" si="32"/>
        <v/>
      </c>
    </row>
    <row r="191" spans="1:20" x14ac:dyDescent="0.2">
      <c r="A191" t="str">
        <f>INDEX(Prioritization!$D:$D,MATCH($B191,Prioritization!$A:$A,0))</f>
        <v>INVALID</v>
      </c>
      <c r="B191" t="s">
        <v>205</v>
      </c>
      <c r="C191" t="s">
        <v>811</v>
      </c>
      <c r="D191" t="s">
        <v>29</v>
      </c>
      <c r="E191" t="str">
        <f t="shared" si="22"/>
        <v>Likoma District [ZCjuwgaMB9u]|15-17|Female</v>
      </c>
      <c r="G191" s="14"/>
      <c r="H191" s="14"/>
      <c r="I191" s="90" t="str">
        <f t="shared" si="23"/>
        <v/>
      </c>
      <c r="J191" s="90"/>
      <c r="K191" s="90"/>
      <c r="L191" s="90">
        <f t="shared" si="24"/>
        <v>1</v>
      </c>
      <c r="M191" s="90">
        <f t="shared" si="25"/>
        <v>0.2</v>
      </c>
      <c r="N191" s="14" t="str">
        <f t="shared" si="26"/>
        <v/>
      </c>
      <c r="O191" s="42" t="str">
        <f t="shared" si="27"/>
        <v/>
      </c>
      <c r="P191" s="42" t="str">
        <f t="shared" si="28"/>
        <v/>
      </c>
      <c r="Q191" s="42" t="str">
        <f t="shared" si="29"/>
        <v/>
      </c>
      <c r="R191" s="42" t="str">
        <f t="shared" si="30"/>
        <v/>
      </c>
      <c r="S191" s="90" t="str">
        <f t="shared" si="31"/>
        <v/>
      </c>
      <c r="T191" s="42" t="str">
        <f t="shared" si="32"/>
        <v/>
      </c>
    </row>
    <row r="192" spans="1:20" x14ac:dyDescent="0.2">
      <c r="A192" t="str">
        <f>INDEX(Prioritization!$D:$D,MATCH($B192,Prioritization!$A:$A,0))</f>
        <v>INVALID</v>
      </c>
      <c r="B192" t="s">
        <v>205</v>
      </c>
      <c r="C192" t="s">
        <v>811</v>
      </c>
      <c r="D192" t="s">
        <v>47</v>
      </c>
      <c r="E192" t="str">
        <f t="shared" si="22"/>
        <v>Likoma District [ZCjuwgaMB9u]|15-17|Male</v>
      </c>
      <c r="G192" s="14"/>
      <c r="H192" s="14"/>
      <c r="I192" s="90" t="str">
        <f t="shared" si="23"/>
        <v/>
      </c>
      <c r="J192" s="90"/>
      <c r="K192" s="90"/>
      <c r="L192" s="90">
        <f t="shared" si="24"/>
        <v>1</v>
      </c>
      <c r="M192" s="90">
        <f t="shared" si="25"/>
        <v>0.2</v>
      </c>
      <c r="N192" s="14" t="str">
        <f t="shared" si="26"/>
        <v/>
      </c>
      <c r="O192" s="42" t="str">
        <f t="shared" si="27"/>
        <v/>
      </c>
      <c r="P192" s="42" t="str">
        <f t="shared" si="28"/>
        <v/>
      </c>
      <c r="Q192" s="42" t="str">
        <f t="shared" si="29"/>
        <v/>
      </c>
      <c r="R192" s="42" t="str">
        <f t="shared" si="30"/>
        <v/>
      </c>
      <c r="S192" s="90" t="str">
        <f t="shared" si="31"/>
        <v/>
      </c>
      <c r="T192" s="42" t="str">
        <f t="shared" si="32"/>
        <v/>
      </c>
    </row>
    <row r="193" spans="1:20" x14ac:dyDescent="0.2">
      <c r="A193" t="str">
        <f>INDEX(Prioritization!$D:$D,MATCH($B193,Prioritization!$A:$A,0))</f>
        <v>INVALID</v>
      </c>
      <c r="B193" t="s">
        <v>205</v>
      </c>
      <c r="C193" t="s">
        <v>812</v>
      </c>
      <c r="D193" t="s">
        <v>29</v>
      </c>
      <c r="E193" t="str">
        <f t="shared" si="22"/>
        <v>Likoma District [ZCjuwgaMB9u]|18-20|Female</v>
      </c>
      <c r="G193" s="14"/>
      <c r="H193" s="14"/>
      <c r="I193" s="90" t="str">
        <f t="shared" si="23"/>
        <v/>
      </c>
      <c r="J193" s="90"/>
      <c r="K193" s="90"/>
      <c r="L193" s="90">
        <f t="shared" si="24"/>
        <v>1</v>
      </c>
      <c r="M193" s="90">
        <f t="shared" si="25"/>
        <v>0.2</v>
      </c>
      <c r="N193" s="14" t="str">
        <f t="shared" si="26"/>
        <v/>
      </c>
      <c r="O193" s="42" t="str">
        <f t="shared" si="27"/>
        <v/>
      </c>
      <c r="P193" s="42" t="str">
        <f t="shared" si="28"/>
        <v/>
      </c>
      <c r="Q193" s="42" t="str">
        <f t="shared" si="29"/>
        <v/>
      </c>
      <c r="R193" s="42" t="str">
        <f t="shared" si="30"/>
        <v/>
      </c>
      <c r="S193" s="90" t="str">
        <f t="shared" si="31"/>
        <v/>
      </c>
      <c r="T193" s="42" t="str">
        <f t="shared" si="32"/>
        <v/>
      </c>
    </row>
    <row r="194" spans="1:20" x14ac:dyDescent="0.2">
      <c r="A194" t="str">
        <f>INDEX(Prioritization!$D:$D,MATCH($B194,Prioritization!$A:$A,0))</f>
        <v>INVALID</v>
      </c>
      <c r="B194" t="s">
        <v>205</v>
      </c>
      <c r="C194" t="s">
        <v>812</v>
      </c>
      <c r="D194" t="s">
        <v>47</v>
      </c>
      <c r="E194" t="str">
        <f t="shared" si="22"/>
        <v>Likoma District [ZCjuwgaMB9u]|18-20|Male</v>
      </c>
      <c r="G194" s="14"/>
      <c r="H194" s="14"/>
      <c r="I194" s="90" t="str">
        <f t="shared" si="23"/>
        <v/>
      </c>
      <c r="J194" s="90"/>
      <c r="K194" s="90"/>
      <c r="L194" s="90">
        <f t="shared" si="24"/>
        <v>1</v>
      </c>
      <c r="M194" s="90">
        <f t="shared" si="25"/>
        <v>0.2</v>
      </c>
      <c r="N194" s="14" t="str">
        <f t="shared" si="26"/>
        <v/>
      </c>
      <c r="O194" s="42" t="str">
        <f t="shared" si="27"/>
        <v/>
      </c>
      <c r="P194" s="42" t="str">
        <f t="shared" si="28"/>
        <v/>
      </c>
      <c r="Q194" s="42" t="str">
        <f t="shared" si="29"/>
        <v/>
      </c>
      <c r="R194" s="42" t="str">
        <f t="shared" si="30"/>
        <v/>
      </c>
      <c r="S194" s="90" t="str">
        <f t="shared" si="31"/>
        <v/>
      </c>
      <c r="T194" s="42" t="str">
        <f t="shared" si="32"/>
        <v/>
      </c>
    </row>
    <row r="195" spans="1:20" x14ac:dyDescent="0.2">
      <c r="A195" t="str">
        <f>INDEX(Prioritization!$D:$D,MATCH($B195,Prioritization!$A:$A,0))</f>
        <v>INVALID</v>
      </c>
      <c r="B195" t="s">
        <v>205</v>
      </c>
      <c r="C195" t="s">
        <v>813</v>
      </c>
      <c r="D195" t="s">
        <v>29</v>
      </c>
      <c r="E195" t="str">
        <f t="shared" si="22"/>
        <v>Likoma District [ZCjuwgaMB9u]|18+|Female</v>
      </c>
      <c r="G195" s="14"/>
      <c r="H195" s="14"/>
      <c r="I195" s="90" t="str">
        <f t="shared" si="23"/>
        <v/>
      </c>
      <c r="J195" s="90"/>
      <c r="K195" s="90"/>
      <c r="L195" s="90">
        <f t="shared" si="24"/>
        <v>1</v>
      </c>
      <c r="M195" s="90">
        <f t="shared" si="25"/>
        <v>0.2</v>
      </c>
      <c r="N195" s="14" t="str">
        <f t="shared" si="26"/>
        <v/>
      </c>
      <c r="O195" s="42" t="str">
        <f t="shared" si="27"/>
        <v/>
      </c>
      <c r="P195" s="42" t="str">
        <f t="shared" si="28"/>
        <v/>
      </c>
      <c r="Q195" s="42" t="str">
        <f t="shared" si="29"/>
        <v/>
      </c>
      <c r="R195" s="42" t="str">
        <f t="shared" si="30"/>
        <v/>
      </c>
      <c r="S195" s="90" t="str">
        <f t="shared" si="31"/>
        <v/>
      </c>
      <c r="T195" s="42" t="str">
        <f t="shared" si="32"/>
        <v/>
      </c>
    </row>
    <row r="196" spans="1:20" x14ac:dyDescent="0.2">
      <c r="A196" t="str">
        <f>INDEX(Prioritization!$D:$D,MATCH($B196,Prioritization!$A:$A,0))</f>
        <v>INVALID</v>
      </c>
      <c r="B196" t="s">
        <v>205</v>
      </c>
      <c r="C196" t="s">
        <v>813</v>
      </c>
      <c r="D196" t="s">
        <v>47</v>
      </c>
      <c r="E196" t="str">
        <f t="shared" si="22"/>
        <v>Likoma District [ZCjuwgaMB9u]|18+|Male</v>
      </c>
      <c r="G196" s="14"/>
      <c r="H196" s="14"/>
      <c r="I196" s="90" t="str">
        <f t="shared" si="23"/>
        <v/>
      </c>
      <c r="J196" s="90"/>
      <c r="K196" s="90"/>
      <c r="L196" s="90">
        <f t="shared" si="24"/>
        <v>1</v>
      </c>
      <c r="M196" s="90">
        <f t="shared" si="25"/>
        <v>0.2</v>
      </c>
      <c r="N196" s="14" t="str">
        <f t="shared" si="26"/>
        <v/>
      </c>
      <c r="O196" s="42" t="str">
        <f t="shared" si="27"/>
        <v/>
      </c>
      <c r="P196" s="42" t="str">
        <f t="shared" si="28"/>
        <v/>
      </c>
      <c r="Q196" s="42" t="str">
        <f t="shared" si="29"/>
        <v/>
      </c>
      <c r="R196" s="42" t="str">
        <f t="shared" si="30"/>
        <v/>
      </c>
      <c r="S196" s="90" t="str">
        <f t="shared" si="31"/>
        <v/>
      </c>
      <c r="T196" s="42" t="str">
        <f t="shared" si="32"/>
        <v/>
      </c>
    </row>
    <row r="197" spans="1:20" x14ac:dyDescent="0.2">
      <c r="A197" t="str">
        <f>INDEX(Prioritization!$D:$D,MATCH($B197,Prioritization!$A:$A,0))</f>
        <v>1 - Scale-up: Saturation</v>
      </c>
      <c r="B197" t="s">
        <v>206</v>
      </c>
      <c r="C197" t="s">
        <v>315</v>
      </c>
      <c r="D197" t="s">
        <v>29</v>
      </c>
      <c r="E197" t="str">
        <f t="shared" si="22"/>
        <v>Mzimba District [vA4NcHxfMBq]|&lt;01|Female</v>
      </c>
      <c r="G197" s="14"/>
      <c r="H197" s="14"/>
      <c r="I197" s="90" t="str">
        <f t="shared" si="23"/>
        <v/>
      </c>
      <c r="J197" s="90"/>
      <c r="K197" s="90"/>
      <c r="L197" s="90">
        <f t="shared" si="24"/>
        <v>1</v>
      </c>
      <c r="M197" s="90">
        <f t="shared" si="25"/>
        <v>0.2</v>
      </c>
      <c r="N197" s="14" t="str">
        <f t="shared" si="26"/>
        <v/>
      </c>
      <c r="O197" s="42" t="str">
        <f t="shared" si="27"/>
        <v/>
      </c>
      <c r="P197" s="42" t="str">
        <f t="shared" si="28"/>
        <v/>
      </c>
      <c r="Q197" s="42" t="str">
        <f t="shared" si="29"/>
        <v/>
      </c>
      <c r="R197" s="42" t="str">
        <f t="shared" si="30"/>
        <v/>
      </c>
      <c r="S197" s="90" t="str">
        <f t="shared" si="31"/>
        <v/>
      </c>
      <c r="T197" s="42" t="str">
        <f t="shared" si="32"/>
        <v/>
      </c>
    </row>
    <row r="198" spans="1:20" x14ac:dyDescent="0.2">
      <c r="A198" t="str">
        <f>INDEX(Prioritization!$D:$D,MATCH($B198,Prioritization!$A:$A,0))</f>
        <v>1 - Scale-up: Saturation</v>
      </c>
      <c r="B198" t="s">
        <v>206</v>
      </c>
      <c r="C198" t="s">
        <v>315</v>
      </c>
      <c r="D198" t="s">
        <v>47</v>
      </c>
      <c r="E198" t="str">
        <f t="shared" si="22"/>
        <v>Mzimba District [vA4NcHxfMBq]|&lt;01|Male</v>
      </c>
      <c r="G198" s="14"/>
      <c r="H198" s="14"/>
      <c r="I198" s="90" t="str">
        <f t="shared" si="23"/>
        <v/>
      </c>
      <c r="J198" s="90"/>
      <c r="K198" s="90"/>
      <c r="L198" s="90">
        <f t="shared" si="24"/>
        <v>1</v>
      </c>
      <c r="M198" s="90">
        <f t="shared" si="25"/>
        <v>0.2</v>
      </c>
      <c r="N198" s="14" t="str">
        <f t="shared" si="26"/>
        <v/>
      </c>
      <c r="O198" s="42" t="str">
        <f t="shared" si="27"/>
        <v/>
      </c>
      <c r="P198" s="42" t="str">
        <f t="shared" si="28"/>
        <v/>
      </c>
      <c r="Q198" s="42" t="str">
        <f t="shared" si="29"/>
        <v/>
      </c>
      <c r="R198" s="42" t="str">
        <f t="shared" si="30"/>
        <v/>
      </c>
      <c r="S198" s="90" t="str">
        <f t="shared" si="31"/>
        <v/>
      </c>
      <c r="T198" s="42" t="str">
        <f t="shared" si="32"/>
        <v/>
      </c>
    </row>
    <row r="199" spans="1:20" x14ac:dyDescent="0.2">
      <c r="A199" t="str">
        <f>INDEX(Prioritization!$D:$D,MATCH($B199,Prioritization!$A:$A,0))</f>
        <v>1 - Scale-up: Saturation</v>
      </c>
      <c r="B199" t="s">
        <v>206</v>
      </c>
      <c r="C199" t="s">
        <v>809</v>
      </c>
      <c r="D199" t="s">
        <v>29</v>
      </c>
      <c r="E199" t="str">
        <f t="shared" si="22"/>
        <v>Mzimba District [vA4NcHxfMBq]|01-04|Female</v>
      </c>
      <c r="G199" s="14"/>
      <c r="H199" s="14"/>
      <c r="I199" s="90" t="str">
        <f t="shared" si="23"/>
        <v/>
      </c>
      <c r="J199" s="90"/>
      <c r="K199" s="90"/>
      <c r="L199" s="90">
        <f t="shared" si="24"/>
        <v>1</v>
      </c>
      <c r="M199" s="90">
        <f t="shared" si="25"/>
        <v>0.2</v>
      </c>
      <c r="N199" s="14" t="str">
        <f t="shared" si="26"/>
        <v/>
      </c>
      <c r="O199" s="42" t="str">
        <f t="shared" si="27"/>
        <v/>
      </c>
      <c r="P199" s="42" t="str">
        <f t="shared" si="28"/>
        <v/>
      </c>
      <c r="Q199" s="42" t="str">
        <f t="shared" si="29"/>
        <v/>
      </c>
      <c r="R199" s="42" t="str">
        <f t="shared" si="30"/>
        <v/>
      </c>
      <c r="S199" s="90" t="str">
        <f t="shared" si="31"/>
        <v/>
      </c>
      <c r="T199" s="42" t="str">
        <f t="shared" si="32"/>
        <v/>
      </c>
    </row>
    <row r="200" spans="1:20" x14ac:dyDescent="0.2">
      <c r="A200" t="str">
        <f>INDEX(Prioritization!$D:$D,MATCH($B200,Prioritization!$A:$A,0))</f>
        <v>1 - Scale-up: Saturation</v>
      </c>
      <c r="B200" t="s">
        <v>206</v>
      </c>
      <c r="C200" t="s">
        <v>809</v>
      </c>
      <c r="D200" t="s">
        <v>47</v>
      </c>
      <c r="E200" t="str">
        <f t="shared" si="22"/>
        <v>Mzimba District [vA4NcHxfMBq]|01-04|Male</v>
      </c>
      <c r="G200" s="14"/>
      <c r="H200" s="14"/>
      <c r="I200" s="90" t="str">
        <f t="shared" si="23"/>
        <v/>
      </c>
      <c r="J200" s="90"/>
      <c r="K200" s="90"/>
      <c r="L200" s="90">
        <f t="shared" si="24"/>
        <v>1</v>
      </c>
      <c r="M200" s="90">
        <f t="shared" si="25"/>
        <v>0.2</v>
      </c>
      <c r="N200" s="14" t="str">
        <f t="shared" si="26"/>
        <v/>
      </c>
      <c r="O200" s="42" t="str">
        <f t="shared" si="27"/>
        <v/>
      </c>
      <c r="P200" s="42" t="str">
        <f t="shared" si="28"/>
        <v/>
      </c>
      <c r="Q200" s="42" t="str">
        <f t="shared" si="29"/>
        <v/>
      </c>
      <c r="R200" s="42" t="str">
        <f t="shared" si="30"/>
        <v/>
      </c>
      <c r="S200" s="90" t="str">
        <f t="shared" si="31"/>
        <v/>
      </c>
      <c r="T200" s="42" t="str">
        <f t="shared" si="32"/>
        <v/>
      </c>
    </row>
    <row r="201" spans="1:20" x14ac:dyDescent="0.2">
      <c r="A201" t="str">
        <f>INDEX(Prioritization!$D:$D,MATCH($B201,Prioritization!$A:$A,0))</f>
        <v>1 - Scale-up: Saturation</v>
      </c>
      <c r="B201" t="s">
        <v>206</v>
      </c>
      <c r="C201" t="s">
        <v>810</v>
      </c>
      <c r="D201" t="s">
        <v>29</v>
      </c>
      <c r="E201" t="str">
        <f t="shared" si="22"/>
        <v>Mzimba District [vA4NcHxfMBq]|05-09|Female</v>
      </c>
      <c r="G201" s="14"/>
      <c r="H201" s="14"/>
      <c r="I201" s="90" t="str">
        <f t="shared" si="23"/>
        <v/>
      </c>
      <c r="J201" s="90"/>
      <c r="K201" s="90"/>
      <c r="L201" s="90">
        <f t="shared" si="24"/>
        <v>1</v>
      </c>
      <c r="M201" s="90">
        <f t="shared" si="25"/>
        <v>0.2</v>
      </c>
      <c r="N201" s="14" t="str">
        <f t="shared" si="26"/>
        <v/>
      </c>
      <c r="O201" s="42" t="str">
        <f t="shared" si="27"/>
        <v/>
      </c>
      <c r="P201" s="42" t="str">
        <f t="shared" si="28"/>
        <v/>
      </c>
      <c r="Q201" s="42" t="str">
        <f t="shared" si="29"/>
        <v/>
      </c>
      <c r="R201" s="42" t="str">
        <f t="shared" si="30"/>
        <v/>
      </c>
      <c r="S201" s="90" t="str">
        <f t="shared" si="31"/>
        <v/>
      </c>
      <c r="T201" s="42" t="str">
        <f t="shared" si="32"/>
        <v/>
      </c>
    </row>
    <row r="202" spans="1:20" x14ac:dyDescent="0.2">
      <c r="A202" t="str">
        <f>INDEX(Prioritization!$D:$D,MATCH($B202,Prioritization!$A:$A,0))</f>
        <v>1 - Scale-up: Saturation</v>
      </c>
      <c r="B202" t="s">
        <v>206</v>
      </c>
      <c r="C202" t="s">
        <v>810</v>
      </c>
      <c r="D202" t="s">
        <v>47</v>
      </c>
      <c r="E202" t="str">
        <f t="shared" si="22"/>
        <v>Mzimba District [vA4NcHxfMBq]|05-09|Male</v>
      </c>
      <c r="G202" s="14"/>
      <c r="H202" s="14"/>
      <c r="I202" s="90" t="str">
        <f t="shared" si="23"/>
        <v/>
      </c>
      <c r="J202" s="90"/>
      <c r="K202" s="90"/>
      <c r="L202" s="90">
        <f t="shared" si="24"/>
        <v>1</v>
      </c>
      <c r="M202" s="90">
        <f t="shared" si="25"/>
        <v>0.2</v>
      </c>
      <c r="N202" s="14" t="str">
        <f t="shared" si="26"/>
        <v/>
      </c>
      <c r="O202" s="42" t="str">
        <f t="shared" si="27"/>
        <v/>
      </c>
      <c r="P202" s="42" t="str">
        <f t="shared" si="28"/>
        <v/>
      </c>
      <c r="Q202" s="42" t="str">
        <f t="shared" si="29"/>
        <v/>
      </c>
      <c r="R202" s="42" t="str">
        <f t="shared" si="30"/>
        <v/>
      </c>
      <c r="S202" s="90" t="str">
        <f t="shared" si="31"/>
        <v/>
      </c>
      <c r="T202" s="42" t="str">
        <f t="shared" si="32"/>
        <v/>
      </c>
    </row>
    <row r="203" spans="1:20" x14ac:dyDescent="0.2">
      <c r="A203" t="str">
        <f>INDEX(Prioritization!$D:$D,MATCH($B203,Prioritization!$A:$A,0))</f>
        <v>1 - Scale-up: Saturation</v>
      </c>
      <c r="B203" t="s">
        <v>206</v>
      </c>
      <c r="C203" t="s">
        <v>363</v>
      </c>
      <c r="D203" t="s">
        <v>29</v>
      </c>
      <c r="E203" t="str">
        <f t="shared" si="22"/>
        <v>Mzimba District [vA4NcHxfMBq]|10-14|Female</v>
      </c>
      <c r="G203" s="14">
        <v>9</v>
      </c>
      <c r="H203" s="14"/>
      <c r="I203" s="90" t="str">
        <f t="shared" si="23"/>
        <v/>
      </c>
      <c r="J203" s="90"/>
      <c r="K203" s="90"/>
      <c r="L203" s="90">
        <f t="shared" si="24"/>
        <v>1</v>
      </c>
      <c r="M203" s="90">
        <f t="shared" si="25"/>
        <v>0.2</v>
      </c>
      <c r="N203" s="14" t="str">
        <f t="shared" si="26"/>
        <v/>
      </c>
      <c r="O203" s="42" t="str">
        <f t="shared" si="27"/>
        <v/>
      </c>
      <c r="P203" s="42" t="str">
        <f t="shared" si="28"/>
        <v/>
      </c>
      <c r="Q203" s="42" t="str">
        <f t="shared" si="29"/>
        <v/>
      </c>
      <c r="R203" s="42" t="str">
        <f t="shared" si="30"/>
        <v/>
      </c>
      <c r="S203" s="90" t="str">
        <f t="shared" si="31"/>
        <v/>
      </c>
      <c r="T203" s="42" t="str">
        <f t="shared" si="32"/>
        <v/>
      </c>
    </row>
    <row r="204" spans="1:20" x14ac:dyDescent="0.2">
      <c r="A204" t="str">
        <f>INDEX(Prioritization!$D:$D,MATCH($B204,Prioritization!$A:$A,0))</f>
        <v>1 - Scale-up: Saturation</v>
      </c>
      <c r="B204" t="s">
        <v>206</v>
      </c>
      <c r="C204" t="s">
        <v>363</v>
      </c>
      <c r="D204" t="s">
        <v>47</v>
      </c>
      <c r="E204" t="str">
        <f t="shared" si="22"/>
        <v>Mzimba District [vA4NcHxfMBq]|10-14|Male</v>
      </c>
      <c r="G204" s="14">
        <v>5</v>
      </c>
      <c r="H204" s="14"/>
      <c r="I204" s="90" t="str">
        <f t="shared" si="23"/>
        <v/>
      </c>
      <c r="J204" s="90"/>
      <c r="K204" s="90"/>
      <c r="L204" s="90">
        <f t="shared" si="24"/>
        <v>1</v>
      </c>
      <c r="M204" s="90">
        <f t="shared" si="25"/>
        <v>0.2</v>
      </c>
      <c r="N204" s="14" t="str">
        <f t="shared" si="26"/>
        <v/>
      </c>
      <c r="O204" s="42" t="str">
        <f t="shared" si="27"/>
        <v/>
      </c>
      <c r="P204" s="42" t="str">
        <f t="shared" si="28"/>
        <v/>
      </c>
      <c r="Q204" s="42" t="str">
        <f t="shared" si="29"/>
        <v/>
      </c>
      <c r="R204" s="42" t="str">
        <f t="shared" si="30"/>
        <v/>
      </c>
      <c r="S204" s="90" t="str">
        <f t="shared" si="31"/>
        <v/>
      </c>
      <c r="T204" s="42" t="str">
        <f t="shared" si="32"/>
        <v/>
      </c>
    </row>
    <row r="205" spans="1:20" x14ac:dyDescent="0.2">
      <c r="A205" t="str">
        <f>INDEX(Prioritization!$D:$D,MATCH($B205,Prioritization!$A:$A,0))</f>
        <v>1 - Scale-up: Saturation</v>
      </c>
      <c r="B205" t="s">
        <v>206</v>
      </c>
      <c r="C205" t="s">
        <v>811</v>
      </c>
      <c r="D205" t="s">
        <v>29</v>
      </c>
      <c r="E205" t="str">
        <f t="shared" si="22"/>
        <v>Mzimba District [vA4NcHxfMBq]|15-17|Female</v>
      </c>
      <c r="G205" s="14"/>
      <c r="H205" s="14"/>
      <c r="I205" s="90" t="str">
        <f t="shared" si="23"/>
        <v/>
      </c>
      <c r="J205" s="90"/>
      <c r="K205" s="90"/>
      <c r="L205" s="90">
        <f t="shared" si="24"/>
        <v>1</v>
      </c>
      <c r="M205" s="90">
        <f t="shared" si="25"/>
        <v>0.2</v>
      </c>
      <c r="N205" s="14" t="str">
        <f t="shared" si="26"/>
        <v/>
      </c>
      <c r="O205" s="42" t="str">
        <f t="shared" si="27"/>
        <v/>
      </c>
      <c r="P205" s="42" t="str">
        <f t="shared" si="28"/>
        <v/>
      </c>
      <c r="Q205" s="42" t="str">
        <f t="shared" si="29"/>
        <v/>
      </c>
      <c r="R205" s="42" t="str">
        <f t="shared" si="30"/>
        <v/>
      </c>
      <c r="S205" s="90" t="str">
        <f t="shared" si="31"/>
        <v/>
      </c>
      <c r="T205" s="42" t="str">
        <f t="shared" si="32"/>
        <v/>
      </c>
    </row>
    <row r="206" spans="1:20" x14ac:dyDescent="0.2">
      <c r="A206" t="str">
        <f>INDEX(Prioritization!$D:$D,MATCH($B206,Prioritization!$A:$A,0))</f>
        <v>1 - Scale-up: Saturation</v>
      </c>
      <c r="B206" t="s">
        <v>206</v>
      </c>
      <c r="C206" t="s">
        <v>811</v>
      </c>
      <c r="D206" t="s">
        <v>47</v>
      </c>
      <c r="E206" t="str">
        <f t="shared" si="22"/>
        <v>Mzimba District [vA4NcHxfMBq]|15-17|Male</v>
      </c>
      <c r="G206" s="14"/>
      <c r="H206" s="14"/>
      <c r="I206" s="90" t="str">
        <f t="shared" si="23"/>
        <v/>
      </c>
      <c r="J206" s="90"/>
      <c r="K206" s="90"/>
      <c r="L206" s="90">
        <f t="shared" si="24"/>
        <v>1</v>
      </c>
      <c r="M206" s="90">
        <f t="shared" si="25"/>
        <v>0.2</v>
      </c>
      <c r="N206" s="14" t="str">
        <f t="shared" si="26"/>
        <v/>
      </c>
      <c r="O206" s="42" t="str">
        <f t="shared" si="27"/>
        <v/>
      </c>
      <c r="P206" s="42" t="str">
        <f t="shared" si="28"/>
        <v/>
      </c>
      <c r="Q206" s="42" t="str">
        <f t="shared" si="29"/>
        <v/>
      </c>
      <c r="R206" s="42" t="str">
        <f t="shared" si="30"/>
        <v/>
      </c>
      <c r="S206" s="90" t="str">
        <f t="shared" si="31"/>
        <v/>
      </c>
      <c r="T206" s="42" t="str">
        <f t="shared" si="32"/>
        <v/>
      </c>
    </row>
    <row r="207" spans="1:20" x14ac:dyDescent="0.2">
      <c r="A207" t="str">
        <f>INDEX(Prioritization!$D:$D,MATCH($B207,Prioritization!$A:$A,0))</f>
        <v>1 - Scale-up: Saturation</v>
      </c>
      <c r="B207" t="s">
        <v>206</v>
      </c>
      <c r="C207" t="s">
        <v>812</v>
      </c>
      <c r="D207" t="s">
        <v>29</v>
      </c>
      <c r="E207" t="str">
        <f t="shared" ref="E207:E270" si="33">$B207&amp;"|"&amp;$C207&amp;"|"&amp;$D207</f>
        <v>Mzimba District [vA4NcHxfMBq]|18-20|Female</v>
      </c>
      <c r="G207" s="14"/>
      <c r="H207" s="14"/>
      <c r="I207" s="90" t="str">
        <f t="shared" ref="I207:I270" si="34">IF(SUM($H207)=0,"",0%)</f>
        <v/>
      </c>
      <c r="J207" s="90"/>
      <c r="K207" s="90"/>
      <c r="L207" s="90">
        <f t="shared" ref="L207:L270" si="35">1-IF(NOT(AND($D207="Female",OR($C207="10-14",$C207="15-17",$F207="Y"))),0,$J207)-IF(NOT(OR($C207="05-09",$C207="10-14")),0,$K207)</f>
        <v>1</v>
      </c>
      <c r="M207" s="90">
        <f t="shared" ref="M207:M270" si="36">IF(SUM($L207)=0,"",20%)</f>
        <v>0.2</v>
      </c>
      <c r="N207" s="14" t="str">
        <f t="shared" ref="N207:N270" si="37">IF(SUM($H207)=0,"",ROUND($H207*(1+$I207),0))</f>
        <v/>
      </c>
      <c r="O207" s="42" t="str">
        <f t="shared" ref="O207:O270" si="38">IF(OR(SUM($N207)=0,SUM($J207)=0,NOT(AND($D207="Female",$F207="Y",OR($C207="10-14",$C207="15-17")))),"",ROUND($N207*$J207,0))</f>
        <v/>
      </c>
      <c r="P207" s="42" t="str">
        <f t="shared" ref="P207:P270" si="39">IF(OR(SUM($N207)=0,SUM($K207)=0,NOT(OR($C207="10-14",$C207="05-09"))),"",ROUND($N207*$K207,0))</f>
        <v/>
      </c>
      <c r="Q207" s="42" t="str">
        <f t="shared" ref="Q207:Q270" si="40">IFERROR(1/(1/ROUND($N207*$L207*$M207,0)),"")</f>
        <v/>
      </c>
      <c r="R207" s="42" t="str">
        <f t="shared" ref="R207:R270" si="41">IFERROR(1/(1/(ROUND($N207*$L207,0)-$Q207)),"")</f>
        <v/>
      </c>
      <c r="S207" s="90" t="str">
        <f t="shared" ref="S207:S270" si="42">IF(OR($C207="18+",$C207="18-20",SUM($Q207,$R207)=0),"",100%)</f>
        <v/>
      </c>
      <c r="T207" s="42" t="str">
        <f t="shared" ref="T207:T270" si="43">IF(OR($C207="18+",$C207="18-20",SUM($Q207,$R207)=0),"",ROUND(SUM($Q207,$R207)*$S207,0))</f>
        <v/>
      </c>
    </row>
    <row r="208" spans="1:20" x14ac:dyDescent="0.2">
      <c r="A208" t="str">
        <f>INDEX(Prioritization!$D:$D,MATCH($B208,Prioritization!$A:$A,0))</f>
        <v>1 - Scale-up: Saturation</v>
      </c>
      <c r="B208" t="s">
        <v>206</v>
      </c>
      <c r="C208" t="s">
        <v>812</v>
      </c>
      <c r="D208" t="s">
        <v>47</v>
      </c>
      <c r="E208" t="str">
        <f t="shared" si="33"/>
        <v>Mzimba District [vA4NcHxfMBq]|18-20|Male</v>
      </c>
      <c r="G208" s="14"/>
      <c r="H208" s="14"/>
      <c r="I208" s="90" t="str">
        <f t="shared" si="34"/>
        <v/>
      </c>
      <c r="J208" s="90"/>
      <c r="K208" s="90"/>
      <c r="L208" s="90">
        <f t="shared" si="35"/>
        <v>1</v>
      </c>
      <c r="M208" s="90">
        <f t="shared" si="36"/>
        <v>0.2</v>
      </c>
      <c r="N208" s="14" t="str">
        <f t="shared" si="37"/>
        <v/>
      </c>
      <c r="O208" s="42" t="str">
        <f t="shared" si="38"/>
        <v/>
      </c>
      <c r="P208" s="42" t="str">
        <f t="shared" si="39"/>
        <v/>
      </c>
      <c r="Q208" s="42" t="str">
        <f t="shared" si="40"/>
        <v/>
      </c>
      <c r="R208" s="42" t="str">
        <f t="shared" si="41"/>
        <v/>
      </c>
      <c r="S208" s="90" t="str">
        <f t="shared" si="42"/>
        <v/>
      </c>
      <c r="T208" s="42" t="str">
        <f t="shared" si="43"/>
        <v/>
      </c>
    </row>
    <row r="209" spans="1:20" x14ac:dyDescent="0.2">
      <c r="A209" t="str">
        <f>INDEX(Prioritization!$D:$D,MATCH($B209,Prioritization!$A:$A,0))</f>
        <v>1 - Scale-up: Saturation</v>
      </c>
      <c r="B209" t="s">
        <v>206</v>
      </c>
      <c r="C209" t="s">
        <v>813</v>
      </c>
      <c r="D209" t="s">
        <v>29</v>
      </c>
      <c r="E209" t="str">
        <f t="shared" si="33"/>
        <v>Mzimba District [vA4NcHxfMBq]|18+|Female</v>
      </c>
      <c r="G209" s="14"/>
      <c r="H209" s="14"/>
      <c r="I209" s="90" t="str">
        <f t="shared" si="34"/>
        <v/>
      </c>
      <c r="J209" s="90"/>
      <c r="K209" s="90"/>
      <c r="L209" s="90">
        <f t="shared" si="35"/>
        <v>1</v>
      </c>
      <c r="M209" s="90">
        <f t="shared" si="36"/>
        <v>0.2</v>
      </c>
      <c r="N209" s="14" t="str">
        <f t="shared" si="37"/>
        <v/>
      </c>
      <c r="O209" s="42" t="str">
        <f t="shared" si="38"/>
        <v/>
      </c>
      <c r="P209" s="42" t="str">
        <f t="shared" si="39"/>
        <v/>
      </c>
      <c r="Q209" s="42" t="str">
        <f t="shared" si="40"/>
        <v/>
      </c>
      <c r="R209" s="42" t="str">
        <f t="shared" si="41"/>
        <v/>
      </c>
      <c r="S209" s="90" t="str">
        <f t="shared" si="42"/>
        <v/>
      </c>
      <c r="T209" s="42" t="str">
        <f t="shared" si="43"/>
        <v/>
      </c>
    </row>
    <row r="210" spans="1:20" x14ac:dyDescent="0.2">
      <c r="A210" t="str">
        <f>INDEX(Prioritization!$D:$D,MATCH($B210,Prioritization!$A:$A,0))</f>
        <v>1 - Scale-up: Saturation</v>
      </c>
      <c r="B210" t="s">
        <v>206</v>
      </c>
      <c r="C210" t="s">
        <v>813</v>
      </c>
      <c r="D210" t="s">
        <v>47</v>
      </c>
      <c r="E210" t="str">
        <f t="shared" si="33"/>
        <v>Mzimba District [vA4NcHxfMBq]|18+|Male</v>
      </c>
      <c r="G210" s="14"/>
      <c r="H210" s="14"/>
      <c r="I210" s="90" t="str">
        <f t="shared" si="34"/>
        <v/>
      </c>
      <c r="J210" s="90"/>
      <c r="K210" s="90"/>
      <c r="L210" s="90">
        <f t="shared" si="35"/>
        <v>1</v>
      </c>
      <c r="M210" s="90">
        <f t="shared" si="36"/>
        <v>0.2</v>
      </c>
      <c r="N210" s="14" t="str">
        <f t="shared" si="37"/>
        <v/>
      </c>
      <c r="O210" s="42" t="str">
        <f t="shared" si="38"/>
        <v/>
      </c>
      <c r="P210" s="42" t="str">
        <f t="shared" si="39"/>
        <v/>
      </c>
      <c r="Q210" s="42" t="str">
        <f t="shared" si="40"/>
        <v/>
      </c>
      <c r="R210" s="42" t="str">
        <f t="shared" si="41"/>
        <v/>
      </c>
      <c r="S210" s="90" t="str">
        <f t="shared" si="42"/>
        <v/>
      </c>
      <c r="T210" s="42" t="str">
        <f t="shared" si="43"/>
        <v/>
      </c>
    </row>
    <row r="211" spans="1:20" x14ac:dyDescent="0.2">
      <c r="A211" t="str">
        <f>INDEX(Prioritization!$D:$D,MATCH($B211,Prioritization!$A:$A,0))</f>
        <v>INVALID</v>
      </c>
      <c r="B211" t="s">
        <v>207</v>
      </c>
      <c r="C211" t="s">
        <v>315</v>
      </c>
      <c r="D211" t="s">
        <v>29</v>
      </c>
      <c r="E211" t="str">
        <f t="shared" si="33"/>
        <v>Nkhata Bay District [E7zpfyBt7Tw]|&lt;01|Female</v>
      </c>
      <c r="G211" s="14"/>
      <c r="H211" s="14"/>
      <c r="I211" s="90" t="str">
        <f t="shared" si="34"/>
        <v/>
      </c>
      <c r="J211" s="90"/>
      <c r="K211" s="90"/>
      <c r="L211" s="90">
        <f t="shared" si="35"/>
        <v>1</v>
      </c>
      <c r="M211" s="90">
        <f t="shared" si="36"/>
        <v>0.2</v>
      </c>
      <c r="N211" s="14" t="str">
        <f t="shared" si="37"/>
        <v/>
      </c>
      <c r="O211" s="42" t="str">
        <f t="shared" si="38"/>
        <v/>
      </c>
      <c r="P211" s="42" t="str">
        <f t="shared" si="39"/>
        <v/>
      </c>
      <c r="Q211" s="42" t="str">
        <f t="shared" si="40"/>
        <v/>
      </c>
      <c r="R211" s="42" t="str">
        <f t="shared" si="41"/>
        <v/>
      </c>
      <c r="S211" s="90" t="str">
        <f t="shared" si="42"/>
        <v/>
      </c>
      <c r="T211" s="42" t="str">
        <f t="shared" si="43"/>
        <v/>
      </c>
    </row>
    <row r="212" spans="1:20" x14ac:dyDescent="0.2">
      <c r="A212" t="str">
        <f>INDEX(Prioritization!$D:$D,MATCH($B212,Prioritization!$A:$A,0))</f>
        <v>INVALID</v>
      </c>
      <c r="B212" t="s">
        <v>207</v>
      </c>
      <c r="C212" t="s">
        <v>315</v>
      </c>
      <c r="D212" t="s">
        <v>47</v>
      </c>
      <c r="E212" t="str">
        <f t="shared" si="33"/>
        <v>Nkhata Bay District [E7zpfyBt7Tw]|&lt;01|Male</v>
      </c>
      <c r="G212" s="14"/>
      <c r="H212" s="14"/>
      <c r="I212" s="90" t="str">
        <f t="shared" si="34"/>
        <v/>
      </c>
      <c r="J212" s="90"/>
      <c r="K212" s="90"/>
      <c r="L212" s="90">
        <f t="shared" si="35"/>
        <v>1</v>
      </c>
      <c r="M212" s="90">
        <f t="shared" si="36"/>
        <v>0.2</v>
      </c>
      <c r="N212" s="14" t="str">
        <f t="shared" si="37"/>
        <v/>
      </c>
      <c r="O212" s="42" t="str">
        <f t="shared" si="38"/>
        <v/>
      </c>
      <c r="P212" s="42" t="str">
        <f t="shared" si="39"/>
        <v/>
      </c>
      <c r="Q212" s="42" t="str">
        <f t="shared" si="40"/>
        <v/>
      </c>
      <c r="R212" s="42" t="str">
        <f t="shared" si="41"/>
        <v/>
      </c>
      <c r="S212" s="90" t="str">
        <f t="shared" si="42"/>
        <v/>
      </c>
      <c r="T212" s="42" t="str">
        <f t="shared" si="43"/>
        <v/>
      </c>
    </row>
    <row r="213" spans="1:20" x14ac:dyDescent="0.2">
      <c r="A213" t="str">
        <f>INDEX(Prioritization!$D:$D,MATCH($B213,Prioritization!$A:$A,0))</f>
        <v>INVALID</v>
      </c>
      <c r="B213" t="s">
        <v>207</v>
      </c>
      <c r="C213" t="s">
        <v>809</v>
      </c>
      <c r="D213" t="s">
        <v>29</v>
      </c>
      <c r="E213" t="str">
        <f t="shared" si="33"/>
        <v>Nkhata Bay District [E7zpfyBt7Tw]|01-04|Female</v>
      </c>
      <c r="G213" s="14"/>
      <c r="H213" s="14"/>
      <c r="I213" s="90" t="str">
        <f t="shared" si="34"/>
        <v/>
      </c>
      <c r="J213" s="90"/>
      <c r="K213" s="90"/>
      <c r="L213" s="90">
        <f t="shared" si="35"/>
        <v>1</v>
      </c>
      <c r="M213" s="90">
        <f t="shared" si="36"/>
        <v>0.2</v>
      </c>
      <c r="N213" s="14" t="str">
        <f t="shared" si="37"/>
        <v/>
      </c>
      <c r="O213" s="42" t="str">
        <f t="shared" si="38"/>
        <v/>
      </c>
      <c r="P213" s="42" t="str">
        <f t="shared" si="39"/>
        <v/>
      </c>
      <c r="Q213" s="42" t="str">
        <f t="shared" si="40"/>
        <v/>
      </c>
      <c r="R213" s="42" t="str">
        <f t="shared" si="41"/>
        <v/>
      </c>
      <c r="S213" s="90" t="str">
        <f t="shared" si="42"/>
        <v/>
      </c>
      <c r="T213" s="42" t="str">
        <f t="shared" si="43"/>
        <v/>
      </c>
    </row>
    <row r="214" spans="1:20" x14ac:dyDescent="0.2">
      <c r="A214" t="str">
        <f>INDEX(Prioritization!$D:$D,MATCH($B214,Prioritization!$A:$A,0))</f>
        <v>INVALID</v>
      </c>
      <c r="B214" t="s">
        <v>207</v>
      </c>
      <c r="C214" t="s">
        <v>809</v>
      </c>
      <c r="D214" t="s">
        <v>47</v>
      </c>
      <c r="E214" t="str">
        <f t="shared" si="33"/>
        <v>Nkhata Bay District [E7zpfyBt7Tw]|01-04|Male</v>
      </c>
      <c r="G214" s="14"/>
      <c r="H214" s="14"/>
      <c r="I214" s="90" t="str">
        <f t="shared" si="34"/>
        <v/>
      </c>
      <c r="J214" s="90"/>
      <c r="K214" s="90"/>
      <c r="L214" s="90">
        <f t="shared" si="35"/>
        <v>1</v>
      </c>
      <c r="M214" s="90">
        <f t="shared" si="36"/>
        <v>0.2</v>
      </c>
      <c r="N214" s="14" t="str">
        <f t="shared" si="37"/>
        <v/>
      </c>
      <c r="O214" s="42" t="str">
        <f t="shared" si="38"/>
        <v/>
      </c>
      <c r="P214" s="42" t="str">
        <f t="shared" si="39"/>
        <v/>
      </c>
      <c r="Q214" s="42" t="str">
        <f t="shared" si="40"/>
        <v/>
      </c>
      <c r="R214" s="42" t="str">
        <f t="shared" si="41"/>
        <v/>
      </c>
      <c r="S214" s="90" t="str">
        <f t="shared" si="42"/>
        <v/>
      </c>
      <c r="T214" s="42" t="str">
        <f t="shared" si="43"/>
        <v/>
      </c>
    </row>
    <row r="215" spans="1:20" x14ac:dyDescent="0.2">
      <c r="A215" t="str">
        <f>INDEX(Prioritization!$D:$D,MATCH($B215,Prioritization!$A:$A,0))</f>
        <v>INVALID</v>
      </c>
      <c r="B215" t="s">
        <v>207</v>
      </c>
      <c r="C215" t="s">
        <v>810</v>
      </c>
      <c r="D215" t="s">
        <v>29</v>
      </c>
      <c r="E215" t="str">
        <f t="shared" si="33"/>
        <v>Nkhata Bay District [E7zpfyBt7Tw]|05-09|Female</v>
      </c>
      <c r="G215" s="14"/>
      <c r="H215" s="14"/>
      <c r="I215" s="90" t="str">
        <f t="shared" si="34"/>
        <v/>
      </c>
      <c r="J215" s="90"/>
      <c r="K215" s="90"/>
      <c r="L215" s="90">
        <f t="shared" si="35"/>
        <v>1</v>
      </c>
      <c r="M215" s="90">
        <f t="shared" si="36"/>
        <v>0.2</v>
      </c>
      <c r="N215" s="14" t="str">
        <f t="shared" si="37"/>
        <v/>
      </c>
      <c r="O215" s="42" t="str">
        <f t="shared" si="38"/>
        <v/>
      </c>
      <c r="P215" s="42" t="str">
        <f t="shared" si="39"/>
        <v/>
      </c>
      <c r="Q215" s="42" t="str">
        <f t="shared" si="40"/>
        <v/>
      </c>
      <c r="R215" s="42" t="str">
        <f t="shared" si="41"/>
        <v/>
      </c>
      <c r="S215" s="90" t="str">
        <f t="shared" si="42"/>
        <v/>
      </c>
      <c r="T215" s="42" t="str">
        <f t="shared" si="43"/>
        <v/>
      </c>
    </row>
    <row r="216" spans="1:20" x14ac:dyDescent="0.2">
      <c r="A216" t="str">
        <f>INDEX(Prioritization!$D:$D,MATCH($B216,Prioritization!$A:$A,0))</f>
        <v>INVALID</v>
      </c>
      <c r="B216" t="s">
        <v>207</v>
      </c>
      <c r="C216" t="s">
        <v>810</v>
      </c>
      <c r="D216" t="s">
        <v>47</v>
      </c>
      <c r="E216" t="str">
        <f t="shared" si="33"/>
        <v>Nkhata Bay District [E7zpfyBt7Tw]|05-09|Male</v>
      </c>
      <c r="G216" s="14"/>
      <c r="H216" s="14"/>
      <c r="I216" s="90" t="str">
        <f t="shared" si="34"/>
        <v/>
      </c>
      <c r="J216" s="90"/>
      <c r="K216" s="90"/>
      <c r="L216" s="90">
        <f t="shared" si="35"/>
        <v>1</v>
      </c>
      <c r="M216" s="90">
        <f t="shared" si="36"/>
        <v>0.2</v>
      </c>
      <c r="N216" s="14" t="str">
        <f t="shared" si="37"/>
        <v/>
      </c>
      <c r="O216" s="42" t="str">
        <f t="shared" si="38"/>
        <v/>
      </c>
      <c r="P216" s="42" t="str">
        <f t="shared" si="39"/>
        <v/>
      </c>
      <c r="Q216" s="42" t="str">
        <f t="shared" si="40"/>
        <v/>
      </c>
      <c r="R216" s="42" t="str">
        <f t="shared" si="41"/>
        <v/>
      </c>
      <c r="S216" s="90" t="str">
        <f t="shared" si="42"/>
        <v/>
      </c>
      <c r="T216" s="42" t="str">
        <f t="shared" si="43"/>
        <v/>
      </c>
    </row>
    <row r="217" spans="1:20" x14ac:dyDescent="0.2">
      <c r="A217" t="str">
        <f>INDEX(Prioritization!$D:$D,MATCH($B217,Prioritization!$A:$A,0))</f>
        <v>INVALID</v>
      </c>
      <c r="B217" t="s">
        <v>207</v>
      </c>
      <c r="C217" t="s">
        <v>363</v>
      </c>
      <c r="D217" t="s">
        <v>29</v>
      </c>
      <c r="E217" t="str">
        <f t="shared" si="33"/>
        <v>Nkhata Bay District [E7zpfyBt7Tw]|10-14|Female</v>
      </c>
      <c r="G217" s="14">
        <v>0</v>
      </c>
      <c r="H217" s="14"/>
      <c r="I217" s="90" t="str">
        <f t="shared" si="34"/>
        <v/>
      </c>
      <c r="J217" s="90"/>
      <c r="K217" s="90"/>
      <c r="L217" s="90">
        <f t="shared" si="35"/>
        <v>1</v>
      </c>
      <c r="M217" s="90">
        <f t="shared" si="36"/>
        <v>0.2</v>
      </c>
      <c r="N217" s="14" t="str">
        <f t="shared" si="37"/>
        <v/>
      </c>
      <c r="O217" s="42" t="str">
        <f t="shared" si="38"/>
        <v/>
      </c>
      <c r="P217" s="42" t="str">
        <f t="shared" si="39"/>
        <v/>
      </c>
      <c r="Q217" s="42" t="str">
        <f t="shared" si="40"/>
        <v/>
      </c>
      <c r="R217" s="42" t="str">
        <f t="shared" si="41"/>
        <v/>
      </c>
      <c r="S217" s="90" t="str">
        <f t="shared" si="42"/>
        <v/>
      </c>
      <c r="T217" s="42" t="str">
        <f t="shared" si="43"/>
        <v/>
      </c>
    </row>
    <row r="218" spans="1:20" x14ac:dyDescent="0.2">
      <c r="A218" t="str">
        <f>INDEX(Prioritization!$D:$D,MATCH($B218,Prioritization!$A:$A,0))</f>
        <v>INVALID</v>
      </c>
      <c r="B218" t="s">
        <v>207</v>
      </c>
      <c r="C218" t="s">
        <v>363</v>
      </c>
      <c r="D218" t="s">
        <v>47</v>
      </c>
      <c r="E218" t="str">
        <f t="shared" si="33"/>
        <v>Nkhata Bay District [E7zpfyBt7Tw]|10-14|Male</v>
      </c>
      <c r="G218" s="14">
        <v>3</v>
      </c>
      <c r="H218" s="14"/>
      <c r="I218" s="90" t="str">
        <f t="shared" si="34"/>
        <v/>
      </c>
      <c r="J218" s="90"/>
      <c r="K218" s="90"/>
      <c r="L218" s="90">
        <f t="shared" si="35"/>
        <v>1</v>
      </c>
      <c r="M218" s="90">
        <f t="shared" si="36"/>
        <v>0.2</v>
      </c>
      <c r="N218" s="14" t="str">
        <f t="shared" si="37"/>
        <v/>
      </c>
      <c r="O218" s="42" t="str">
        <f t="shared" si="38"/>
        <v/>
      </c>
      <c r="P218" s="42" t="str">
        <f t="shared" si="39"/>
        <v/>
      </c>
      <c r="Q218" s="42" t="str">
        <f t="shared" si="40"/>
        <v/>
      </c>
      <c r="R218" s="42" t="str">
        <f t="shared" si="41"/>
        <v/>
      </c>
      <c r="S218" s="90" t="str">
        <f t="shared" si="42"/>
        <v/>
      </c>
      <c r="T218" s="42" t="str">
        <f t="shared" si="43"/>
        <v/>
      </c>
    </row>
    <row r="219" spans="1:20" x14ac:dyDescent="0.2">
      <c r="A219" t="str">
        <f>INDEX(Prioritization!$D:$D,MATCH($B219,Prioritization!$A:$A,0))</f>
        <v>INVALID</v>
      </c>
      <c r="B219" t="s">
        <v>207</v>
      </c>
      <c r="C219" t="s">
        <v>811</v>
      </c>
      <c r="D219" t="s">
        <v>29</v>
      </c>
      <c r="E219" t="str">
        <f t="shared" si="33"/>
        <v>Nkhata Bay District [E7zpfyBt7Tw]|15-17|Female</v>
      </c>
      <c r="G219" s="14"/>
      <c r="H219" s="14"/>
      <c r="I219" s="90" t="str">
        <f t="shared" si="34"/>
        <v/>
      </c>
      <c r="J219" s="90"/>
      <c r="K219" s="90"/>
      <c r="L219" s="90">
        <f t="shared" si="35"/>
        <v>1</v>
      </c>
      <c r="M219" s="90">
        <f t="shared" si="36"/>
        <v>0.2</v>
      </c>
      <c r="N219" s="14" t="str">
        <f t="shared" si="37"/>
        <v/>
      </c>
      <c r="O219" s="42" t="str">
        <f t="shared" si="38"/>
        <v/>
      </c>
      <c r="P219" s="42" t="str">
        <f t="shared" si="39"/>
        <v/>
      </c>
      <c r="Q219" s="42" t="str">
        <f t="shared" si="40"/>
        <v/>
      </c>
      <c r="R219" s="42" t="str">
        <f t="shared" si="41"/>
        <v/>
      </c>
      <c r="S219" s="90" t="str">
        <f t="shared" si="42"/>
        <v/>
      </c>
      <c r="T219" s="42" t="str">
        <f t="shared" si="43"/>
        <v/>
      </c>
    </row>
    <row r="220" spans="1:20" x14ac:dyDescent="0.2">
      <c r="A220" t="str">
        <f>INDEX(Prioritization!$D:$D,MATCH($B220,Prioritization!$A:$A,0))</f>
        <v>INVALID</v>
      </c>
      <c r="B220" t="s">
        <v>207</v>
      </c>
      <c r="C220" t="s">
        <v>811</v>
      </c>
      <c r="D220" t="s">
        <v>47</v>
      </c>
      <c r="E220" t="str">
        <f t="shared" si="33"/>
        <v>Nkhata Bay District [E7zpfyBt7Tw]|15-17|Male</v>
      </c>
      <c r="G220" s="14"/>
      <c r="H220" s="14"/>
      <c r="I220" s="90" t="str">
        <f t="shared" si="34"/>
        <v/>
      </c>
      <c r="J220" s="90"/>
      <c r="K220" s="90"/>
      <c r="L220" s="90">
        <f t="shared" si="35"/>
        <v>1</v>
      </c>
      <c r="M220" s="90">
        <f t="shared" si="36"/>
        <v>0.2</v>
      </c>
      <c r="N220" s="14" t="str">
        <f t="shared" si="37"/>
        <v/>
      </c>
      <c r="O220" s="42" t="str">
        <f t="shared" si="38"/>
        <v/>
      </c>
      <c r="P220" s="42" t="str">
        <f t="shared" si="39"/>
        <v/>
      </c>
      <c r="Q220" s="42" t="str">
        <f t="shared" si="40"/>
        <v/>
      </c>
      <c r="R220" s="42" t="str">
        <f t="shared" si="41"/>
        <v/>
      </c>
      <c r="S220" s="90" t="str">
        <f t="shared" si="42"/>
        <v/>
      </c>
      <c r="T220" s="42" t="str">
        <f t="shared" si="43"/>
        <v/>
      </c>
    </row>
    <row r="221" spans="1:20" x14ac:dyDescent="0.2">
      <c r="A221" t="str">
        <f>INDEX(Prioritization!$D:$D,MATCH($B221,Prioritization!$A:$A,0))</f>
        <v>INVALID</v>
      </c>
      <c r="B221" t="s">
        <v>207</v>
      </c>
      <c r="C221" t="s">
        <v>812</v>
      </c>
      <c r="D221" t="s">
        <v>29</v>
      </c>
      <c r="E221" t="str">
        <f t="shared" si="33"/>
        <v>Nkhata Bay District [E7zpfyBt7Tw]|18-20|Female</v>
      </c>
      <c r="G221" s="14"/>
      <c r="H221" s="14"/>
      <c r="I221" s="90" t="str">
        <f t="shared" si="34"/>
        <v/>
      </c>
      <c r="J221" s="90"/>
      <c r="K221" s="90"/>
      <c r="L221" s="90">
        <f t="shared" si="35"/>
        <v>1</v>
      </c>
      <c r="M221" s="90">
        <f t="shared" si="36"/>
        <v>0.2</v>
      </c>
      <c r="N221" s="14" t="str">
        <f t="shared" si="37"/>
        <v/>
      </c>
      <c r="O221" s="42" t="str">
        <f t="shared" si="38"/>
        <v/>
      </c>
      <c r="P221" s="42" t="str">
        <f t="shared" si="39"/>
        <v/>
      </c>
      <c r="Q221" s="42" t="str">
        <f t="shared" si="40"/>
        <v/>
      </c>
      <c r="R221" s="42" t="str">
        <f t="shared" si="41"/>
        <v/>
      </c>
      <c r="S221" s="90" t="str">
        <f t="shared" si="42"/>
        <v/>
      </c>
      <c r="T221" s="42" t="str">
        <f t="shared" si="43"/>
        <v/>
      </c>
    </row>
    <row r="222" spans="1:20" x14ac:dyDescent="0.2">
      <c r="A222" t="str">
        <f>INDEX(Prioritization!$D:$D,MATCH($B222,Prioritization!$A:$A,0))</f>
        <v>INVALID</v>
      </c>
      <c r="B222" t="s">
        <v>207</v>
      </c>
      <c r="C222" t="s">
        <v>812</v>
      </c>
      <c r="D222" t="s">
        <v>47</v>
      </c>
      <c r="E222" t="str">
        <f t="shared" si="33"/>
        <v>Nkhata Bay District [E7zpfyBt7Tw]|18-20|Male</v>
      </c>
      <c r="G222" s="14"/>
      <c r="H222" s="14"/>
      <c r="I222" s="90" t="str">
        <f t="shared" si="34"/>
        <v/>
      </c>
      <c r="J222" s="90"/>
      <c r="K222" s="90"/>
      <c r="L222" s="90">
        <f t="shared" si="35"/>
        <v>1</v>
      </c>
      <c r="M222" s="90">
        <f t="shared" si="36"/>
        <v>0.2</v>
      </c>
      <c r="N222" s="14" t="str">
        <f t="shared" si="37"/>
        <v/>
      </c>
      <c r="O222" s="42" t="str">
        <f t="shared" si="38"/>
        <v/>
      </c>
      <c r="P222" s="42" t="str">
        <f t="shared" si="39"/>
        <v/>
      </c>
      <c r="Q222" s="42" t="str">
        <f t="shared" si="40"/>
        <v/>
      </c>
      <c r="R222" s="42" t="str">
        <f t="shared" si="41"/>
        <v/>
      </c>
      <c r="S222" s="90" t="str">
        <f t="shared" si="42"/>
        <v/>
      </c>
      <c r="T222" s="42" t="str">
        <f t="shared" si="43"/>
        <v/>
      </c>
    </row>
    <row r="223" spans="1:20" x14ac:dyDescent="0.2">
      <c r="A223" t="str">
        <f>INDEX(Prioritization!$D:$D,MATCH($B223,Prioritization!$A:$A,0))</f>
        <v>INVALID</v>
      </c>
      <c r="B223" t="s">
        <v>207</v>
      </c>
      <c r="C223" t="s">
        <v>813</v>
      </c>
      <c r="D223" t="s">
        <v>29</v>
      </c>
      <c r="E223" t="str">
        <f t="shared" si="33"/>
        <v>Nkhata Bay District [E7zpfyBt7Tw]|18+|Female</v>
      </c>
      <c r="G223" s="14"/>
      <c r="H223" s="14"/>
      <c r="I223" s="90" t="str">
        <f t="shared" si="34"/>
        <v/>
      </c>
      <c r="J223" s="90"/>
      <c r="K223" s="90"/>
      <c r="L223" s="90">
        <f t="shared" si="35"/>
        <v>1</v>
      </c>
      <c r="M223" s="90">
        <f t="shared" si="36"/>
        <v>0.2</v>
      </c>
      <c r="N223" s="14" t="str">
        <f t="shared" si="37"/>
        <v/>
      </c>
      <c r="O223" s="42" t="str">
        <f t="shared" si="38"/>
        <v/>
      </c>
      <c r="P223" s="42" t="str">
        <f t="shared" si="39"/>
        <v/>
      </c>
      <c r="Q223" s="42" t="str">
        <f t="shared" si="40"/>
        <v/>
      </c>
      <c r="R223" s="42" t="str">
        <f t="shared" si="41"/>
        <v/>
      </c>
      <c r="S223" s="90" t="str">
        <f t="shared" si="42"/>
        <v/>
      </c>
      <c r="T223" s="42" t="str">
        <f t="shared" si="43"/>
        <v/>
      </c>
    </row>
    <row r="224" spans="1:20" x14ac:dyDescent="0.2">
      <c r="A224" t="str">
        <f>INDEX(Prioritization!$D:$D,MATCH($B224,Prioritization!$A:$A,0))</f>
        <v>INVALID</v>
      </c>
      <c r="B224" t="s">
        <v>207</v>
      </c>
      <c r="C224" t="s">
        <v>813</v>
      </c>
      <c r="D224" t="s">
        <v>47</v>
      </c>
      <c r="E224" t="str">
        <f t="shared" si="33"/>
        <v>Nkhata Bay District [E7zpfyBt7Tw]|18+|Male</v>
      </c>
      <c r="G224" s="14"/>
      <c r="H224" s="14"/>
      <c r="I224" s="90" t="str">
        <f t="shared" si="34"/>
        <v/>
      </c>
      <c r="J224" s="90"/>
      <c r="K224" s="90"/>
      <c r="L224" s="90">
        <f t="shared" si="35"/>
        <v>1</v>
      </c>
      <c r="M224" s="90">
        <f t="shared" si="36"/>
        <v>0.2</v>
      </c>
      <c r="N224" s="14" t="str">
        <f t="shared" si="37"/>
        <v/>
      </c>
      <c r="O224" s="42" t="str">
        <f t="shared" si="38"/>
        <v/>
      </c>
      <c r="P224" s="42" t="str">
        <f t="shared" si="39"/>
        <v/>
      </c>
      <c r="Q224" s="42" t="str">
        <f t="shared" si="40"/>
        <v/>
      </c>
      <c r="R224" s="42" t="str">
        <f t="shared" si="41"/>
        <v/>
      </c>
      <c r="S224" s="90" t="str">
        <f t="shared" si="42"/>
        <v/>
      </c>
      <c r="T224" s="42" t="str">
        <f t="shared" si="43"/>
        <v/>
      </c>
    </row>
    <row r="225" spans="1:20" x14ac:dyDescent="0.2">
      <c r="A225" t="str">
        <f>INDEX(Prioritization!$D:$D,MATCH($B225,Prioritization!$A:$A,0))</f>
        <v>INVALID</v>
      </c>
      <c r="B225" t="s">
        <v>208</v>
      </c>
      <c r="C225" t="s">
        <v>315</v>
      </c>
      <c r="D225" t="s">
        <v>29</v>
      </c>
      <c r="E225" t="str">
        <f t="shared" si="33"/>
        <v>Rumphi District [lPTyjLi4w3d]|&lt;01|Female</v>
      </c>
      <c r="G225" s="14"/>
      <c r="H225" s="14"/>
      <c r="I225" s="90" t="str">
        <f t="shared" si="34"/>
        <v/>
      </c>
      <c r="J225" s="90"/>
      <c r="K225" s="90"/>
      <c r="L225" s="90">
        <f t="shared" si="35"/>
        <v>1</v>
      </c>
      <c r="M225" s="90">
        <f t="shared" si="36"/>
        <v>0.2</v>
      </c>
      <c r="N225" s="14" t="str">
        <f t="shared" si="37"/>
        <v/>
      </c>
      <c r="O225" s="42" t="str">
        <f t="shared" si="38"/>
        <v/>
      </c>
      <c r="P225" s="42" t="str">
        <f t="shared" si="39"/>
        <v/>
      </c>
      <c r="Q225" s="42" t="str">
        <f t="shared" si="40"/>
        <v/>
      </c>
      <c r="R225" s="42" t="str">
        <f t="shared" si="41"/>
        <v/>
      </c>
      <c r="S225" s="90" t="str">
        <f t="shared" si="42"/>
        <v/>
      </c>
      <c r="T225" s="42" t="str">
        <f t="shared" si="43"/>
        <v/>
      </c>
    </row>
    <row r="226" spans="1:20" x14ac:dyDescent="0.2">
      <c r="A226" t="str">
        <f>INDEX(Prioritization!$D:$D,MATCH($B226,Prioritization!$A:$A,0))</f>
        <v>INVALID</v>
      </c>
      <c r="B226" t="s">
        <v>208</v>
      </c>
      <c r="C226" t="s">
        <v>315</v>
      </c>
      <c r="D226" t="s">
        <v>47</v>
      </c>
      <c r="E226" t="str">
        <f t="shared" si="33"/>
        <v>Rumphi District [lPTyjLi4w3d]|&lt;01|Male</v>
      </c>
      <c r="G226" s="14"/>
      <c r="H226" s="14"/>
      <c r="I226" s="90" t="str">
        <f t="shared" si="34"/>
        <v/>
      </c>
      <c r="J226" s="90"/>
      <c r="K226" s="90"/>
      <c r="L226" s="90">
        <f t="shared" si="35"/>
        <v>1</v>
      </c>
      <c r="M226" s="90">
        <f t="shared" si="36"/>
        <v>0.2</v>
      </c>
      <c r="N226" s="14" t="str">
        <f t="shared" si="37"/>
        <v/>
      </c>
      <c r="O226" s="42" t="str">
        <f t="shared" si="38"/>
        <v/>
      </c>
      <c r="P226" s="42" t="str">
        <f t="shared" si="39"/>
        <v/>
      </c>
      <c r="Q226" s="42" t="str">
        <f t="shared" si="40"/>
        <v/>
      </c>
      <c r="R226" s="42" t="str">
        <f t="shared" si="41"/>
        <v/>
      </c>
      <c r="S226" s="90" t="str">
        <f t="shared" si="42"/>
        <v/>
      </c>
      <c r="T226" s="42" t="str">
        <f t="shared" si="43"/>
        <v/>
      </c>
    </row>
    <row r="227" spans="1:20" x14ac:dyDescent="0.2">
      <c r="A227" t="str">
        <f>INDEX(Prioritization!$D:$D,MATCH($B227,Prioritization!$A:$A,0))</f>
        <v>INVALID</v>
      </c>
      <c r="B227" t="s">
        <v>208</v>
      </c>
      <c r="C227" t="s">
        <v>809</v>
      </c>
      <c r="D227" t="s">
        <v>29</v>
      </c>
      <c r="E227" t="str">
        <f t="shared" si="33"/>
        <v>Rumphi District [lPTyjLi4w3d]|01-04|Female</v>
      </c>
      <c r="G227" s="14"/>
      <c r="H227" s="14"/>
      <c r="I227" s="90" t="str">
        <f t="shared" si="34"/>
        <v/>
      </c>
      <c r="J227" s="90"/>
      <c r="K227" s="90"/>
      <c r="L227" s="90">
        <f t="shared" si="35"/>
        <v>1</v>
      </c>
      <c r="M227" s="90">
        <f t="shared" si="36"/>
        <v>0.2</v>
      </c>
      <c r="N227" s="14" t="str">
        <f t="shared" si="37"/>
        <v/>
      </c>
      <c r="O227" s="42" t="str">
        <f t="shared" si="38"/>
        <v/>
      </c>
      <c r="P227" s="42" t="str">
        <f t="shared" si="39"/>
        <v/>
      </c>
      <c r="Q227" s="42" t="str">
        <f t="shared" si="40"/>
        <v/>
      </c>
      <c r="R227" s="42" t="str">
        <f t="shared" si="41"/>
        <v/>
      </c>
      <c r="S227" s="90" t="str">
        <f t="shared" si="42"/>
        <v/>
      </c>
      <c r="T227" s="42" t="str">
        <f t="shared" si="43"/>
        <v/>
      </c>
    </row>
    <row r="228" spans="1:20" x14ac:dyDescent="0.2">
      <c r="A228" t="str">
        <f>INDEX(Prioritization!$D:$D,MATCH($B228,Prioritization!$A:$A,0))</f>
        <v>INVALID</v>
      </c>
      <c r="B228" t="s">
        <v>208</v>
      </c>
      <c r="C228" t="s">
        <v>809</v>
      </c>
      <c r="D228" t="s">
        <v>47</v>
      </c>
      <c r="E228" t="str">
        <f t="shared" si="33"/>
        <v>Rumphi District [lPTyjLi4w3d]|01-04|Male</v>
      </c>
      <c r="G228" s="14"/>
      <c r="H228" s="14"/>
      <c r="I228" s="90" t="str">
        <f t="shared" si="34"/>
        <v/>
      </c>
      <c r="J228" s="90"/>
      <c r="K228" s="90"/>
      <c r="L228" s="90">
        <f t="shared" si="35"/>
        <v>1</v>
      </c>
      <c r="M228" s="90">
        <f t="shared" si="36"/>
        <v>0.2</v>
      </c>
      <c r="N228" s="14" t="str">
        <f t="shared" si="37"/>
        <v/>
      </c>
      <c r="O228" s="42" t="str">
        <f t="shared" si="38"/>
        <v/>
      </c>
      <c r="P228" s="42" t="str">
        <f t="shared" si="39"/>
        <v/>
      </c>
      <c r="Q228" s="42" t="str">
        <f t="shared" si="40"/>
        <v/>
      </c>
      <c r="R228" s="42" t="str">
        <f t="shared" si="41"/>
        <v/>
      </c>
      <c r="S228" s="90" t="str">
        <f t="shared" si="42"/>
        <v/>
      </c>
      <c r="T228" s="42" t="str">
        <f t="shared" si="43"/>
        <v/>
      </c>
    </row>
    <row r="229" spans="1:20" x14ac:dyDescent="0.2">
      <c r="A229" t="str">
        <f>INDEX(Prioritization!$D:$D,MATCH($B229,Prioritization!$A:$A,0))</f>
        <v>INVALID</v>
      </c>
      <c r="B229" t="s">
        <v>208</v>
      </c>
      <c r="C229" t="s">
        <v>810</v>
      </c>
      <c r="D229" t="s">
        <v>29</v>
      </c>
      <c r="E229" t="str">
        <f t="shared" si="33"/>
        <v>Rumphi District [lPTyjLi4w3d]|05-09|Female</v>
      </c>
      <c r="G229" s="14"/>
      <c r="H229" s="14"/>
      <c r="I229" s="90" t="str">
        <f t="shared" si="34"/>
        <v/>
      </c>
      <c r="J229" s="90"/>
      <c r="K229" s="90"/>
      <c r="L229" s="90">
        <f t="shared" si="35"/>
        <v>1</v>
      </c>
      <c r="M229" s="90">
        <f t="shared" si="36"/>
        <v>0.2</v>
      </c>
      <c r="N229" s="14" t="str">
        <f t="shared" si="37"/>
        <v/>
      </c>
      <c r="O229" s="42" t="str">
        <f t="shared" si="38"/>
        <v/>
      </c>
      <c r="P229" s="42" t="str">
        <f t="shared" si="39"/>
        <v/>
      </c>
      <c r="Q229" s="42" t="str">
        <f t="shared" si="40"/>
        <v/>
      </c>
      <c r="R229" s="42" t="str">
        <f t="shared" si="41"/>
        <v/>
      </c>
      <c r="S229" s="90" t="str">
        <f t="shared" si="42"/>
        <v/>
      </c>
      <c r="T229" s="42" t="str">
        <f t="shared" si="43"/>
        <v/>
      </c>
    </row>
    <row r="230" spans="1:20" x14ac:dyDescent="0.2">
      <c r="A230" t="str">
        <f>INDEX(Prioritization!$D:$D,MATCH($B230,Prioritization!$A:$A,0))</f>
        <v>INVALID</v>
      </c>
      <c r="B230" t="s">
        <v>208</v>
      </c>
      <c r="C230" t="s">
        <v>810</v>
      </c>
      <c r="D230" t="s">
        <v>47</v>
      </c>
      <c r="E230" t="str">
        <f t="shared" si="33"/>
        <v>Rumphi District [lPTyjLi4w3d]|05-09|Male</v>
      </c>
      <c r="G230" s="14"/>
      <c r="H230" s="14"/>
      <c r="I230" s="90" t="str">
        <f t="shared" si="34"/>
        <v/>
      </c>
      <c r="J230" s="90"/>
      <c r="K230" s="90"/>
      <c r="L230" s="90">
        <f t="shared" si="35"/>
        <v>1</v>
      </c>
      <c r="M230" s="90">
        <f t="shared" si="36"/>
        <v>0.2</v>
      </c>
      <c r="N230" s="14" t="str">
        <f t="shared" si="37"/>
        <v/>
      </c>
      <c r="O230" s="42" t="str">
        <f t="shared" si="38"/>
        <v/>
      </c>
      <c r="P230" s="42" t="str">
        <f t="shared" si="39"/>
        <v/>
      </c>
      <c r="Q230" s="42" t="str">
        <f t="shared" si="40"/>
        <v/>
      </c>
      <c r="R230" s="42" t="str">
        <f t="shared" si="41"/>
        <v/>
      </c>
      <c r="S230" s="90" t="str">
        <f t="shared" si="42"/>
        <v/>
      </c>
      <c r="T230" s="42" t="str">
        <f t="shared" si="43"/>
        <v/>
      </c>
    </row>
    <row r="231" spans="1:20" x14ac:dyDescent="0.2">
      <c r="A231" t="str">
        <f>INDEX(Prioritization!$D:$D,MATCH($B231,Prioritization!$A:$A,0))</f>
        <v>INVALID</v>
      </c>
      <c r="B231" t="s">
        <v>208</v>
      </c>
      <c r="C231" t="s">
        <v>363</v>
      </c>
      <c r="D231" t="s">
        <v>29</v>
      </c>
      <c r="E231" t="str">
        <f t="shared" si="33"/>
        <v>Rumphi District [lPTyjLi4w3d]|10-14|Female</v>
      </c>
      <c r="G231" s="14">
        <v>2</v>
      </c>
      <c r="H231" s="14"/>
      <c r="I231" s="90" t="str">
        <f t="shared" si="34"/>
        <v/>
      </c>
      <c r="J231" s="90"/>
      <c r="K231" s="90"/>
      <c r="L231" s="90">
        <f t="shared" si="35"/>
        <v>1</v>
      </c>
      <c r="M231" s="90">
        <f t="shared" si="36"/>
        <v>0.2</v>
      </c>
      <c r="N231" s="14" t="str">
        <f t="shared" si="37"/>
        <v/>
      </c>
      <c r="O231" s="42" t="str">
        <f t="shared" si="38"/>
        <v/>
      </c>
      <c r="P231" s="42" t="str">
        <f t="shared" si="39"/>
        <v/>
      </c>
      <c r="Q231" s="42" t="str">
        <f t="shared" si="40"/>
        <v/>
      </c>
      <c r="R231" s="42" t="str">
        <f t="shared" si="41"/>
        <v/>
      </c>
      <c r="S231" s="90" t="str">
        <f t="shared" si="42"/>
        <v/>
      </c>
      <c r="T231" s="42" t="str">
        <f t="shared" si="43"/>
        <v/>
      </c>
    </row>
    <row r="232" spans="1:20" x14ac:dyDescent="0.2">
      <c r="A232" t="str">
        <f>INDEX(Prioritization!$D:$D,MATCH($B232,Prioritization!$A:$A,0))</f>
        <v>INVALID</v>
      </c>
      <c r="B232" t="s">
        <v>208</v>
      </c>
      <c r="C232" t="s">
        <v>363</v>
      </c>
      <c r="D232" t="s">
        <v>47</v>
      </c>
      <c r="E232" t="str">
        <f t="shared" si="33"/>
        <v>Rumphi District [lPTyjLi4w3d]|10-14|Male</v>
      </c>
      <c r="G232" s="14">
        <v>9</v>
      </c>
      <c r="H232" s="14"/>
      <c r="I232" s="90" t="str">
        <f t="shared" si="34"/>
        <v/>
      </c>
      <c r="J232" s="90"/>
      <c r="K232" s="90"/>
      <c r="L232" s="90">
        <f t="shared" si="35"/>
        <v>1</v>
      </c>
      <c r="M232" s="90">
        <f t="shared" si="36"/>
        <v>0.2</v>
      </c>
      <c r="N232" s="14" t="str">
        <f t="shared" si="37"/>
        <v/>
      </c>
      <c r="O232" s="42" t="str">
        <f t="shared" si="38"/>
        <v/>
      </c>
      <c r="P232" s="42" t="str">
        <f t="shared" si="39"/>
        <v/>
      </c>
      <c r="Q232" s="42" t="str">
        <f t="shared" si="40"/>
        <v/>
      </c>
      <c r="R232" s="42" t="str">
        <f t="shared" si="41"/>
        <v/>
      </c>
      <c r="S232" s="90" t="str">
        <f t="shared" si="42"/>
        <v/>
      </c>
      <c r="T232" s="42" t="str">
        <f t="shared" si="43"/>
        <v/>
      </c>
    </row>
    <row r="233" spans="1:20" x14ac:dyDescent="0.2">
      <c r="A233" t="str">
        <f>INDEX(Prioritization!$D:$D,MATCH($B233,Prioritization!$A:$A,0))</f>
        <v>INVALID</v>
      </c>
      <c r="B233" t="s">
        <v>208</v>
      </c>
      <c r="C233" t="s">
        <v>811</v>
      </c>
      <c r="D233" t="s">
        <v>29</v>
      </c>
      <c r="E233" t="str">
        <f t="shared" si="33"/>
        <v>Rumphi District [lPTyjLi4w3d]|15-17|Female</v>
      </c>
      <c r="G233" s="14"/>
      <c r="H233" s="14"/>
      <c r="I233" s="90" t="str">
        <f t="shared" si="34"/>
        <v/>
      </c>
      <c r="J233" s="90"/>
      <c r="K233" s="90"/>
      <c r="L233" s="90">
        <f t="shared" si="35"/>
        <v>1</v>
      </c>
      <c r="M233" s="90">
        <f t="shared" si="36"/>
        <v>0.2</v>
      </c>
      <c r="N233" s="14" t="str">
        <f t="shared" si="37"/>
        <v/>
      </c>
      <c r="O233" s="42" t="str">
        <f t="shared" si="38"/>
        <v/>
      </c>
      <c r="P233" s="42" t="str">
        <f t="shared" si="39"/>
        <v/>
      </c>
      <c r="Q233" s="42" t="str">
        <f t="shared" si="40"/>
        <v/>
      </c>
      <c r="R233" s="42" t="str">
        <f t="shared" si="41"/>
        <v/>
      </c>
      <c r="S233" s="90" t="str">
        <f t="shared" si="42"/>
        <v/>
      </c>
      <c r="T233" s="42" t="str">
        <f t="shared" si="43"/>
        <v/>
      </c>
    </row>
    <row r="234" spans="1:20" x14ac:dyDescent="0.2">
      <c r="A234" t="str">
        <f>INDEX(Prioritization!$D:$D,MATCH($B234,Prioritization!$A:$A,0))</f>
        <v>INVALID</v>
      </c>
      <c r="B234" t="s">
        <v>208</v>
      </c>
      <c r="C234" t="s">
        <v>811</v>
      </c>
      <c r="D234" t="s">
        <v>47</v>
      </c>
      <c r="E234" t="str">
        <f t="shared" si="33"/>
        <v>Rumphi District [lPTyjLi4w3d]|15-17|Male</v>
      </c>
      <c r="G234" s="14"/>
      <c r="H234" s="14"/>
      <c r="I234" s="90" t="str">
        <f t="shared" si="34"/>
        <v/>
      </c>
      <c r="J234" s="90"/>
      <c r="K234" s="90"/>
      <c r="L234" s="90">
        <f t="shared" si="35"/>
        <v>1</v>
      </c>
      <c r="M234" s="90">
        <f t="shared" si="36"/>
        <v>0.2</v>
      </c>
      <c r="N234" s="14" t="str">
        <f t="shared" si="37"/>
        <v/>
      </c>
      <c r="O234" s="42" t="str">
        <f t="shared" si="38"/>
        <v/>
      </c>
      <c r="P234" s="42" t="str">
        <f t="shared" si="39"/>
        <v/>
      </c>
      <c r="Q234" s="42" t="str">
        <f t="shared" si="40"/>
        <v/>
      </c>
      <c r="R234" s="42" t="str">
        <f t="shared" si="41"/>
        <v/>
      </c>
      <c r="S234" s="90" t="str">
        <f t="shared" si="42"/>
        <v/>
      </c>
      <c r="T234" s="42" t="str">
        <f t="shared" si="43"/>
        <v/>
      </c>
    </row>
    <row r="235" spans="1:20" x14ac:dyDescent="0.2">
      <c r="A235" t="str">
        <f>INDEX(Prioritization!$D:$D,MATCH($B235,Prioritization!$A:$A,0))</f>
        <v>INVALID</v>
      </c>
      <c r="B235" t="s">
        <v>208</v>
      </c>
      <c r="C235" t="s">
        <v>812</v>
      </c>
      <c r="D235" t="s">
        <v>29</v>
      </c>
      <c r="E235" t="str">
        <f t="shared" si="33"/>
        <v>Rumphi District [lPTyjLi4w3d]|18-20|Female</v>
      </c>
      <c r="G235" s="14"/>
      <c r="H235" s="14"/>
      <c r="I235" s="90" t="str">
        <f t="shared" si="34"/>
        <v/>
      </c>
      <c r="J235" s="90"/>
      <c r="K235" s="90"/>
      <c r="L235" s="90">
        <f t="shared" si="35"/>
        <v>1</v>
      </c>
      <c r="M235" s="90">
        <f t="shared" si="36"/>
        <v>0.2</v>
      </c>
      <c r="N235" s="14" t="str">
        <f t="shared" si="37"/>
        <v/>
      </c>
      <c r="O235" s="42" t="str">
        <f t="shared" si="38"/>
        <v/>
      </c>
      <c r="P235" s="42" t="str">
        <f t="shared" si="39"/>
        <v/>
      </c>
      <c r="Q235" s="42" t="str">
        <f t="shared" si="40"/>
        <v/>
      </c>
      <c r="R235" s="42" t="str">
        <f t="shared" si="41"/>
        <v/>
      </c>
      <c r="S235" s="90" t="str">
        <f t="shared" si="42"/>
        <v/>
      </c>
      <c r="T235" s="42" t="str">
        <f t="shared" si="43"/>
        <v/>
      </c>
    </row>
    <row r="236" spans="1:20" x14ac:dyDescent="0.2">
      <c r="A236" t="str">
        <f>INDEX(Prioritization!$D:$D,MATCH($B236,Prioritization!$A:$A,0))</f>
        <v>INVALID</v>
      </c>
      <c r="B236" t="s">
        <v>208</v>
      </c>
      <c r="C236" t="s">
        <v>812</v>
      </c>
      <c r="D236" t="s">
        <v>47</v>
      </c>
      <c r="E236" t="str">
        <f t="shared" si="33"/>
        <v>Rumphi District [lPTyjLi4w3d]|18-20|Male</v>
      </c>
      <c r="G236" s="14"/>
      <c r="H236" s="14"/>
      <c r="I236" s="90" t="str">
        <f t="shared" si="34"/>
        <v/>
      </c>
      <c r="J236" s="90"/>
      <c r="K236" s="90"/>
      <c r="L236" s="90">
        <f t="shared" si="35"/>
        <v>1</v>
      </c>
      <c r="M236" s="90">
        <f t="shared" si="36"/>
        <v>0.2</v>
      </c>
      <c r="N236" s="14" t="str">
        <f t="shared" si="37"/>
        <v/>
      </c>
      <c r="O236" s="42" t="str">
        <f t="shared" si="38"/>
        <v/>
      </c>
      <c r="P236" s="42" t="str">
        <f t="shared" si="39"/>
        <v/>
      </c>
      <c r="Q236" s="42" t="str">
        <f t="shared" si="40"/>
        <v/>
      </c>
      <c r="R236" s="42" t="str">
        <f t="shared" si="41"/>
        <v/>
      </c>
      <c r="S236" s="90" t="str">
        <f t="shared" si="42"/>
        <v/>
      </c>
      <c r="T236" s="42" t="str">
        <f t="shared" si="43"/>
        <v/>
      </c>
    </row>
    <row r="237" spans="1:20" x14ac:dyDescent="0.2">
      <c r="A237" t="str">
        <f>INDEX(Prioritization!$D:$D,MATCH($B237,Prioritization!$A:$A,0))</f>
        <v>INVALID</v>
      </c>
      <c r="B237" t="s">
        <v>208</v>
      </c>
      <c r="C237" t="s">
        <v>813</v>
      </c>
      <c r="D237" t="s">
        <v>29</v>
      </c>
      <c r="E237" t="str">
        <f t="shared" si="33"/>
        <v>Rumphi District [lPTyjLi4w3d]|18+|Female</v>
      </c>
      <c r="G237" s="14"/>
      <c r="H237" s="14"/>
      <c r="I237" s="90" t="str">
        <f t="shared" si="34"/>
        <v/>
      </c>
      <c r="J237" s="90"/>
      <c r="K237" s="90"/>
      <c r="L237" s="90">
        <f t="shared" si="35"/>
        <v>1</v>
      </c>
      <c r="M237" s="90">
        <f t="shared" si="36"/>
        <v>0.2</v>
      </c>
      <c r="N237" s="14" t="str">
        <f t="shared" si="37"/>
        <v/>
      </c>
      <c r="O237" s="42" t="str">
        <f t="shared" si="38"/>
        <v/>
      </c>
      <c r="P237" s="42" t="str">
        <f t="shared" si="39"/>
        <v/>
      </c>
      <c r="Q237" s="42" t="str">
        <f t="shared" si="40"/>
        <v/>
      </c>
      <c r="R237" s="42" t="str">
        <f t="shared" si="41"/>
        <v/>
      </c>
      <c r="S237" s="90" t="str">
        <f t="shared" si="42"/>
        <v/>
      </c>
      <c r="T237" s="42" t="str">
        <f t="shared" si="43"/>
        <v/>
      </c>
    </row>
    <row r="238" spans="1:20" x14ac:dyDescent="0.2">
      <c r="A238" t="str">
        <f>INDEX(Prioritization!$D:$D,MATCH($B238,Prioritization!$A:$A,0))</f>
        <v>INVALID</v>
      </c>
      <c r="B238" t="s">
        <v>208</v>
      </c>
      <c r="C238" t="s">
        <v>813</v>
      </c>
      <c r="D238" t="s">
        <v>47</v>
      </c>
      <c r="E238" t="str">
        <f t="shared" si="33"/>
        <v>Rumphi District [lPTyjLi4w3d]|18+|Male</v>
      </c>
      <c r="G238" s="14"/>
      <c r="H238" s="14"/>
      <c r="I238" s="90" t="str">
        <f t="shared" si="34"/>
        <v/>
      </c>
      <c r="J238" s="90"/>
      <c r="K238" s="90"/>
      <c r="L238" s="90">
        <f t="shared" si="35"/>
        <v>1</v>
      </c>
      <c r="M238" s="90">
        <f t="shared" si="36"/>
        <v>0.2</v>
      </c>
      <c r="N238" s="14" t="str">
        <f t="shared" si="37"/>
        <v/>
      </c>
      <c r="O238" s="42" t="str">
        <f t="shared" si="38"/>
        <v/>
      </c>
      <c r="P238" s="42" t="str">
        <f t="shared" si="39"/>
        <v/>
      </c>
      <c r="Q238" s="42" t="str">
        <f t="shared" si="40"/>
        <v/>
      </c>
      <c r="R238" s="42" t="str">
        <f t="shared" si="41"/>
        <v/>
      </c>
      <c r="S238" s="90" t="str">
        <f t="shared" si="42"/>
        <v/>
      </c>
      <c r="T238" s="42" t="str">
        <f t="shared" si="43"/>
        <v/>
      </c>
    </row>
    <row r="239" spans="1:20" x14ac:dyDescent="0.2">
      <c r="A239" t="str">
        <f>INDEX(Prioritization!$D:$D,MATCH($B239,Prioritization!$A:$A,0))</f>
        <v>1 - Scale-up: Saturation</v>
      </c>
      <c r="B239" t="s">
        <v>209</v>
      </c>
      <c r="C239" t="s">
        <v>315</v>
      </c>
      <c r="D239" t="s">
        <v>29</v>
      </c>
      <c r="E239" t="str">
        <f t="shared" si="33"/>
        <v>Balaka District [ir8wuHHzoSs]|&lt;01|Female</v>
      </c>
      <c r="G239" s="14"/>
      <c r="H239" s="14"/>
      <c r="I239" s="90" t="str">
        <f t="shared" si="34"/>
        <v/>
      </c>
      <c r="J239" s="90"/>
      <c r="K239" s="90"/>
      <c r="L239" s="90">
        <f t="shared" si="35"/>
        <v>1</v>
      </c>
      <c r="M239" s="90">
        <f t="shared" si="36"/>
        <v>0.2</v>
      </c>
      <c r="N239" s="14" t="str">
        <f t="shared" si="37"/>
        <v/>
      </c>
      <c r="O239" s="42" t="str">
        <f t="shared" si="38"/>
        <v/>
      </c>
      <c r="P239" s="42" t="str">
        <f t="shared" si="39"/>
        <v/>
      </c>
      <c r="Q239" s="42" t="str">
        <f t="shared" si="40"/>
        <v/>
      </c>
      <c r="R239" s="42" t="str">
        <f t="shared" si="41"/>
        <v/>
      </c>
      <c r="S239" s="90" t="str">
        <f t="shared" si="42"/>
        <v/>
      </c>
      <c r="T239" s="42" t="str">
        <f t="shared" si="43"/>
        <v/>
      </c>
    </row>
    <row r="240" spans="1:20" x14ac:dyDescent="0.2">
      <c r="A240" t="str">
        <f>INDEX(Prioritization!$D:$D,MATCH($B240,Prioritization!$A:$A,0))</f>
        <v>1 - Scale-up: Saturation</v>
      </c>
      <c r="B240" t="s">
        <v>209</v>
      </c>
      <c r="C240" t="s">
        <v>315</v>
      </c>
      <c r="D240" t="s">
        <v>47</v>
      </c>
      <c r="E240" t="str">
        <f t="shared" si="33"/>
        <v>Balaka District [ir8wuHHzoSs]|&lt;01|Male</v>
      </c>
      <c r="G240" s="14"/>
      <c r="H240" s="14"/>
      <c r="I240" s="90" t="str">
        <f t="shared" si="34"/>
        <v/>
      </c>
      <c r="J240" s="90"/>
      <c r="K240" s="90"/>
      <c r="L240" s="90">
        <f t="shared" si="35"/>
        <v>1</v>
      </c>
      <c r="M240" s="90">
        <f t="shared" si="36"/>
        <v>0.2</v>
      </c>
      <c r="N240" s="14" t="str">
        <f t="shared" si="37"/>
        <v/>
      </c>
      <c r="O240" s="42" t="str">
        <f t="shared" si="38"/>
        <v/>
      </c>
      <c r="P240" s="42" t="str">
        <f t="shared" si="39"/>
        <v/>
      </c>
      <c r="Q240" s="42" t="str">
        <f t="shared" si="40"/>
        <v/>
      </c>
      <c r="R240" s="42" t="str">
        <f t="shared" si="41"/>
        <v/>
      </c>
      <c r="S240" s="90" t="str">
        <f t="shared" si="42"/>
        <v/>
      </c>
      <c r="T240" s="42" t="str">
        <f t="shared" si="43"/>
        <v/>
      </c>
    </row>
    <row r="241" spans="1:20" x14ac:dyDescent="0.2">
      <c r="A241" t="str">
        <f>INDEX(Prioritization!$D:$D,MATCH($B241,Prioritization!$A:$A,0))</f>
        <v>1 - Scale-up: Saturation</v>
      </c>
      <c r="B241" t="s">
        <v>209</v>
      </c>
      <c r="C241" t="s">
        <v>809</v>
      </c>
      <c r="D241" t="s">
        <v>29</v>
      </c>
      <c r="E241" t="str">
        <f t="shared" si="33"/>
        <v>Balaka District [ir8wuHHzoSs]|01-04|Female</v>
      </c>
      <c r="G241" s="14"/>
      <c r="H241" s="14"/>
      <c r="I241" s="90" t="str">
        <f t="shared" si="34"/>
        <v/>
      </c>
      <c r="J241" s="90"/>
      <c r="K241" s="90"/>
      <c r="L241" s="90">
        <f t="shared" si="35"/>
        <v>1</v>
      </c>
      <c r="M241" s="90">
        <f t="shared" si="36"/>
        <v>0.2</v>
      </c>
      <c r="N241" s="14" t="str">
        <f t="shared" si="37"/>
        <v/>
      </c>
      <c r="O241" s="42" t="str">
        <f t="shared" si="38"/>
        <v/>
      </c>
      <c r="P241" s="42" t="str">
        <f t="shared" si="39"/>
        <v/>
      </c>
      <c r="Q241" s="42" t="str">
        <f t="shared" si="40"/>
        <v/>
      </c>
      <c r="R241" s="42" t="str">
        <f t="shared" si="41"/>
        <v/>
      </c>
      <c r="S241" s="90" t="str">
        <f t="shared" si="42"/>
        <v/>
      </c>
      <c r="T241" s="42" t="str">
        <f t="shared" si="43"/>
        <v/>
      </c>
    </row>
    <row r="242" spans="1:20" x14ac:dyDescent="0.2">
      <c r="A242" t="str">
        <f>INDEX(Prioritization!$D:$D,MATCH($B242,Prioritization!$A:$A,0))</f>
        <v>1 - Scale-up: Saturation</v>
      </c>
      <c r="B242" t="s">
        <v>209</v>
      </c>
      <c r="C242" t="s">
        <v>809</v>
      </c>
      <c r="D242" t="s">
        <v>47</v>
      </c>
      <c r="E242" t="str">
        <f t="shared" si="33"/>
        <v>Balaka District [ir8wuHHzoSs]|01-04|Male</v>
      </c>
      <c r="G242" s="14"/>
      <c r="H242" s="14"/>
      <c r="I242" s="90" t="str">
        <f t="shared" si="34"/>
        <v/>
      </c>
      <c r="J242" s="90"/>
      <c r="K242" s="90"/>
      <c r="L242" s="90">
        <f t="shared" si="35"/>
        <v>1</v>
      </c>
      <c r="M242" s="90">
        <f t="shared" si="36"/>
        <v>0.2</v>
      </c>
      <c r="N242" s="14" t="str">
        <f t="shared" si="37"/>
        <v/>
      </c>
      <c r="O242" s="42" t="str">
        <f t="shared" si="38"/>
        <v/>
      </c>
      <c r="P242" s="42" t="str">
        <f t="shared" si="39"/>
        <v/>
      </c>
      <c r="Q242" s="42" t="str">
        <f t="shared" si="40"/>
        <v/>
      </c>
      <c r="R242" s="42" t="str">
        <f t="shared" si="41"/>
        <v/>
      </c>
      <c r="S242" s="90" t="str">
        <f t="shared" si="42"/>
        <v/>
      </c>
      <c r="T242" s="42" t="str">
        <f t="shared" si="43"/>
        <v/>
      </c>
    </row>
    <row r="243" spans="1:20" x14ac:dyDescent="0.2">
      <c r="A243" t="str">
        <f>INDEX(Prioritization!$D:$D,MATCH($B243,Prioritization!$A:$A,0))</f>
        <v>1 - Scale-up: Saturation</v>
      </c>
      <c r="B243" t="s">
        <v>209</v>
      </c>
      <c r="C243" t="s">
        <v>810</v>
      </c>
      <c r="D243" t="s">
        <v>29</v>
      </c>
      <c r="E243" t="str">
        <f t="shared" si="33"/>
        <v>Balaka District [ir8wuHHzoSs]|05-09|Female</v>
      </c>
      <c r="G243" s="14"/>
      <c r="H243" s="14"/>
      <c r="I243" s="90" t="str">
        <f t="shared" si="34"/>
        <v/>
      </c>
      <c r="J243" s="90"/>
      <c r="K243" s="90"/>
      <c r="L243" s="90">
        <f t="shared" si="35"/>
        <v>1</v>
      </c>
      <c r="M243" s="90">
        <f t="shared" si="36"/>
        <v>0.2</v>
      </c>
      <c r="N243" s="14" t="str">
        <f t="shared" si="37"/>
        <v/>
      </c>
      <c r="O243" s="42" t="str">
        <f t="shared" si="38"/>
        <v/>
      </c>
      <c r="P243" s="42" t="str">
        <f t="shared" si="39"/>
        <v/>
      </c>
      <c r="Q243" s="42" t="str">
        <f t="shared" si="40"/>
        <v/>
      </c>
      <c r="R243" s="42" t="str">
        <f t="shared" si="41"/>
        <v/>
      </c>
      <c r="S243" s="90" t="str">
        <f t="shared" si="42"/>
        <v/>
      </c>
      <c r="T243" s="42" t="str">
        <f t="shared" si="43"/>
        <v/>
      </c>
    </row>
    <row r="244" spans="1:20" x14ac:dyDescent="0.2">
      <c r="A244" t="str">
        <f>INDEX(Prioritization!$D:$D,MATCH($B244,Prioritization!$A:$A,0))</f>
        <v>1 - Scale-up: Saturation</v>
      </c>
      <c r="B244" t="s">
        <v>209</v>
      </c>
      <c r="C244" t="s">
        <v>810</v>
      </c>
      <c r="D244" t="s">
        <v>47</v>
      </c>
      <c r="E244" t="str">
        <f t="shared" si="33"/>
        <v>Balaka District [ir8wuHHzoSs]|05-09|Male</v>
      </c>
      <c r="G244" s="14"/>
      <c r="H244" s="14"/>
      <c r="I244" s="90" t="str">
        <f t="shared" si="34"/>
        <v/>
      </c>
      <c r="J244" s="90"/>
      <c r="K244" s="90"/>
      <c r="L244" s="90">
        <f t="shared" si="35"/>
        <v>1</v>
      </c>
      <c r="M244" s="90">
        <f t="shared" si="36"/>
        <v>0.2</v>
      </c>
      <c r="N244" s="14" t="str">
        <f t="shared" si="37"/>
        <v/>
      </c>
      <c r="O244" s="42" t="str">
        <f t="shared" si="38"/>
        <v/>
      </c>
      <c r="P244" s="42" t="str">
        <f t="shared" si="39"/>
        <v/>
      </c>
      <c r="Q244" s="42" t="str">
        <f t="shared" si="40"/>
        <v/>
      </c>
      <c r="R244" s="42" t="str">
        <f t="shared" si="41"/>
        <v/>
      </c>
      <c r="S244" s="90" t="str">
        <f t="shared" si="42"/>
        <v/>
      </c>
      <c r="T244" s="42" t="str">
        <f t="shared" si="43"/>
        <v/>
      </c>
    </row>
    <row r="245" spans="1:20" x14ac:dyDescent="0.2">
      <c r="A245" t="str">
        <f>INDEX(Prioritization!$D:$D,MATCH($B245,Prioritization!$A:$A,0))</f>
        <v>1 - Scale-up: Saturation</v>
      </c>
      <c r="B245" t="s">
        <v>209</v>
      </c>
      <c r="C245" t="s">
        <v>363</v>
      </c>
      <c r="D245" t="s">
        <v>29</v>
      </c>
      <c r="E245" t="str">
        <f t="shared" si="33"/>
        <v>Balaka District [ir8wuHHzoSs]|10-14|Female</v>
      </c>
      <c r="G245" s="14"/>
      <c r="H245" s="14">
        <v>4</v>
      </c>
      <c r="I245" s="90">
        <f t="shared" si="34"/>
        <v>0</v>
      </c>
      <c r="J245" s="90"/>
      <c r="K245" s="90"/>
      <c r="L245" s="90">
        <f t="shared" si="35"/>
        <v>1</v>
      </c>
      <c r="M245" s="90">
        <f t="shared" si="36"/>
        <v>0.2</v>
      </c>
      <c r="N245" s="14">
        <f t="shared" si="37"/>
        <v>4</v>
      </c>
      <c r="O245" s="42" t="str">
        <f t="shared" si="38"/>
        <v/>
      </c>
      <c r="P245" s="42" t="str">
        <f t="shared" si="39"/>
        <v/>
      </c>
      <c r="Q245" s="42">
        <f t="shared" si="40"/>
        <v>1</v>
      </c>
      <c r="R245" s="42">
        <f t="shared" si="41"/>
        <v>3</v>
      </c>
      <c r="S245" s="90">
        <f t="shared" si="42"/>
        <v>1</v>
      </c>
      <c r="T245" s="42">
        <f t="shared" si="43"/>
        <v>4</v>
      </c>
    </row>
    <row r="246" spans="1:20" x14ac:dyDescent="0.2">
      <c r="A246" t="str">
        <f>INDEX(Prioritization!$D:$D,MATCH($B246,Prioritization!$A:$A,0))</f>
        <v>1 - Scale-up: Saturation</v>
      </c>
      <c r="B246" t="s">
        <v>209</v>
      </c>
      <c r="C246" t="s">
        <v>363</v>
      </c>
      <c r="D246" t="s">
        <v>47</v>
      </c>
      <c r="E246" t="str">
        <f t="shared" si="33"/>
        <v>Balaka District [ir8wuHHzoSs]|10-14|Male</v>
      </c>
      <c r="G246" s="14"/>
      <c r="H246" s="14">
        <v>2</v>
      </c>
      <c r="I246" s="90">
        <f t="shared" si="34"/>
        <v>0</v>
      </c>
      <c r="J246" s="90"/>
      <c r="K246" s="90"/>
      <c r="L246" s="90">
        <f t="shared" si="35"/>
        <v>1</v>
      </c>
      <c r="M246" s="90">
        <f t="shared" si="36"/>
        <v>0.2</v>
      </c>
      <c r="N246" s="14">
        <f t="shared" si="37"/>
        <v>2</v>
      </c>
      <c r="O246" s="42" t="str">
        <f t="shared" si="38"/>
        <v/>
      </c>
      <c r="P246" s="42" t="str">
        <f t="shared" si="39"/>
        <v/>
      </c>
      <c r="Q246" s="42" t="str">
        <f t="shared" si="40"/>
        <v/>
      </c>
      <c r="R246" s="42" t="str">
        <f t="shared" si="41"/>
        <v/>
      </c>
      <c r="S246" s="90" t="str">
        <f t="shared" si="42"/>
        <v/>
      </c>
      <c r="T246" s="42" t="str">
        <f t="shared" si="43"/>
        <v/>
      </c>
    </row>
    <row r="247" spans="1:20" x14ac:dyDescent="0.2">
      <c r="A247" t="str">
        <f>INDEX(Prioritization!$D:$D,MATCH($B247,Prioritization!$A:$A,0))</f>
        <v>1 - Scale-up: Saturation</v>
      </c>
      <c r="B247" t="s">
        <v>209</v>
      </c>
      <c r="C247" t="s">
        <v>811</v>
      </c>
      <c r="D247" t="s">
        <v>29</v>
      </c>
      <c r="E247" t="str">
        <f t="shared" si="33"/>
        <v>Balaka District [ir8wuHHzoSs]|15-17|Female</v>
      </c>
      <c r="G247" s="14"/>
      <c r="H247" s="14"/>
      <c r="I247" s="90" t="str">
        <f t="shared" si="34"/>
        <v/>
      </c>
      <c r="J247" s="90"/>
      <c r="K247" s="90"/>
      <c r="L247" s="90">
        <f t="shared" si="35"/>
        <v>1</v>
      </c>
      <c r="M247" s="90">
        <f t="shared" si="36"/>
        <v>0.2</v>
      </c>
      <c r="N247" s="14" t="str">
        <f t="shared" si="37"/>
        <v/>
      </c>
      <c r="O247" s="42" t="str">
        <f t="shared" si="38"/>
        <v/>
      </c>
      <c r="P247" s="42" t="str">
        <f t="shared" si="39"/>
        <v/>
      </c>
      <c r="Q247" s="42" t="str">
        <f t="shared" si="40"/>
        <v/>
      </c>
      <c r="R247" s="42" t="str">
        <f t="shared" si="41"/>
        <v/>
      </c>
      <c r="S247" s="90" t="str">
        <f t="shared" si="42"/>
        <v/>
      </c>
      <c r="T247" s="42" t="str">
        <f t="shared" si="43"/>
        <v/>
      </c>
    </row>
    <row r="248" spans="1:20" x14ac:dyDescent="0.2">
      <c r="A248" t="str">
        <f>INDEX(Prioritization!$D:$D,MATCH($B248,Prioritization!$A:$A,0))</f>
        <v>1 - Scale-up: Saturation</v>
      </c>
      <c r="B248" t="s">
        <v>209</v>
      </c>
      <c r="C248" t="s">
        <v>811</v>
      </c>
      <c r="D248" t="s">
        <v>47</v>
      </c>
      <c r="E248" t="str">
        <f t="shared" si="33"/>
        <v>Balaka District [ir8wuHHzoSs]|15-17|Male</v>
      </c>
      <c r="G248" s="14"/>
      <c r="H248" s="14"/>
      <c r="I248" s="90" t="str">
        <f t="shared" si="34"/>
        <v/>
      </c>
      <c r="J248" s="90"/>
      <c r="K248" s="90"/>
      <c r="L248" s="90">
        <f t="shared" si="35"/>
        <v>1</v>
      </c>
      <c r="M248" s="90">
        <f t="shared" si="36"/>
        <v>0.2</v>
      </c>
      <c r="N248" s="14" t="str">
        <f t="shared" si="37"/>
        <v/>
      </c>
      <c r="O248" s="42" t="str">
        <f t="shared" si="38"/>
        <v/>
      </c>
      <c r="P248" s="42" t="str">
        <f t="shared" si="39"/>
        <v/>
      </c>
      <c r="Q248" s="42" t="str">
        <f t="shared" si="40"/>
        <v/>
      </c>
      <c r="R248" s="42" t="str">
        <f t="shared" si="41"/>
        <v/>
      </c>
      <c r="S248" s="90" t="str">
        <f t="shared" si="42"/>
        <v/>
      </c>
      <c r="T248" s="42" t="str">
        <f t="shared" si="43"/>
        <v/>
      </c>
    </row>
    <row r="249" spans="1:20" x14ac:dyDescent="0.2">
      <c r="A249" t="str">
        <f>INDEX(Prioritization!$D:$D,MATCH($B249,Prioritization!$A:$A,0))</f>
        <v>1 - Scale-up: Saturation</v>
      </c>
      <c r="B249" t="s">
        <v>209</v>
      </c>
      <c r="C249" t="s">
        <v>812</v>
      </c>
      <c r="D249" t="s">
        <v>29</v>
      </c>
      <c r="E249" t="str">
        <f t="shared" si="33"/>
        <v>Balaka District [ir8wuHHzoSs]|18-20|Female</v>
      </c>
      <c r="G249" s="14"/>
      <c r="H249" s="14"/>
      <c r="I249" s="90" t="str">
        <f t="shared" si="34"/>
        <v/>
      </c>
      <c r="J249" s="90"/>
      <c r="K249" s="90"/>
      <c r="L249" s="90">
        <f t="shared" si="35"/>
        <v>1</v>
      </c>
      <c r="M249" s="90">
        <f t="shared" si="36"/>
        <v>0.2</v>
      </c>
      <c r="N249" s="14" t="str">
        <f t="shared" si="37"/>
        <v/>
      </c>
      <c r="O249" s="42" t="str">
        <f t="shared" si="38"/>
        <v/>
      </c>
      <c r="P249" s="42" t="str">
        <f t="shared" si="39"/>
        <v/>
      </c>
      <c r="Q249" s="42" t="str">
        <f t="shared" si="40"/>
        <v/>
      </c>
      <c r="R249" s="42" t="str">
        <f t="shared" si="41"/>
        <v/>
      </c>
      <c r="S249" s="90" t="str">
        <f t="shared" si="42"/>
        <v/>
      </c>
      <c r="T249" s="42" t="str">
        <f t="shared" si="43"/>
        <v/>
      </c>
    </row>
    <row r="250" spans="1:20" x14ac:dyDescent="0.2">
      <c r="A250" t="str">
        <f>INDEX(Prioritization!$D:$D,MATCH($B250,Prioritization!$A:$A,0))</f>
        <v>1 - Scale-up: Saturation</v>
      </c>
      <c r="B250" t="s">
        <v>209</v>
      </c>
      <c r="C250" t="s">
        <v>812</v>
      </c>
      <c r="D250" t="s">
        <v>47</v>
      </c>
      <c r="E250" t="str">
        <f t="shared" si="33"/>
        <v>Balaka District [ir8wuHHzoSs]|18-20|Male</v>
      </c>
      <c r="G250" s="14"/>
      <c r="H250" s="14"/>
      <c r="I250" s="90" t="str">
        <f t="shared" si="34"/>
        <v/>
      </c>
      <c r="J250" s="90"/>
      <c r="K250" s="90"/>
      <c r="L250" s="90">
        <f t="shared" si="35"/>
        <v>1</v>
      </c>
      <c r="M250" s="90">
        <f t="shared" si="36"/>
        <v>0.2</v>
      </c>
      <c r="N250" s="14" t="str">
        <f t="shared" si="37"/>
        <v/>
      </c>
      <c r="O250" s="42" t="str">
        <f t="shared" si="38"/>
        <v/>
      </c>
      <c r="P250" s="42" t="str">
        <f t="shared" si="39"/>
        <v/>
      </c>
      <c r="Q250" s="42" t="str">
        <f t="shared" si="40"/>
        <v/>
      </c>
      <c r="R250" s="42" t="str">
        <f t="shared" si="41"/>
        <v/>
      </c>
      <c r="S250" s="90" t="str">
        <f t="shared" si="42"/>
        <v/>
      </c>
      <c r="T250" s="42" t="str">
        <f t="shared" si="43"/>
        <v/>
      </c>
    </row>
    <row r="251" spans="1:20" x14ac:dyDescent="0.2">
      <c r="A251" t="str">
        <f>INDEX(Prioritization!$D:$D,MATCH($B251,Prioritization!$A:$A,0))</f>
        <v>1 - Scale-up: Saturation</v>
      </c>
      <c r="B251" t="s">
        <v>209</v>
      </c>
      <c r="C251" t="s">
        <v>813</v>
      </c>
      <c r="D251" t="s">
        <v>29</v>
      </c>
      <c r="E251" t="str">
        <f t="shared" si="33"/>
        <v>Balaka District [ir8wuHHzoSs]|18+|Female</v>
      </c>
      <c r="G251" s="14"/>
      <c r="H251" s="14"/>
      <c r="I251" s="90" t="str">
        <f t="shared" si="34"/>
        <v/>
      </c>
      <c r="J251" s="90"/>
      <c r="K251" s="90"/>
      <c r="L251" s="90">
        <f t="shared" si="35"/>
        <v>1</v>
      </c>
      <c r="M251" s="90">
        <f t="shared" si="36"/>
        <v>0.2</v>
      </c>
      <c r="N251" s="14" t="str">
        <f t="shared" si="37"/>
        <v/>
      </c>
      <c r="O251" s="42" t="str">
        <f t="shared" si="38"/>
        <v/>
      </c>
      <c r="P251" s="42" t="str">
        <f t="shared" si="39"/>
        <v/>
      </c>
      <c r="Q251" s="42" t="str">
        <f t="shared" si="40"/>
        <v/>
      </c>
      <c r="R251" s="42" t="str">
        <f t="shared" si="41"/>
        <v/>
      </c>
      <c r="S251" s="90" t="str">
        <f t="shared" si="42"/>
        <v/>
      </c>
      <c r="T251" s="42" t="str">
        <f t="shared" si="43"/>
        <v/>
      </c>
    </row>
    <row r="252" spans="1:20" x14ac:dyDescent="0.2">
      <c r="A252" t="str">
        <f>INDEX(Prioritization!$D:$D,MATCH($B252,Prioritization!$A:$A,0))</f>
        <v>1 - Scale-up: Saturation</v>
      </c>
      <c r="B252" t="s">
        <v>209</v>
      </c>
      <c r="C252" t="s">
        <v>813</v>
      </c>
      <c r="D252" t="s">
        <v>47</v>
      </c>
      <c r="E252" t="str">
        <f t="shared" si="33"/>
        <v>Balaka District [ir8wuHHzoSs]|18+|Male</v>
      </c>
      <c r="G252" s="14"/>
      <c r="H252" s="14"/>
      <c r="I252" s="90" t="str">
        <f t="shared" si="34"/>
        <v/>
      </c>
      <c r="J252" s="90"/>
      <c r="K252" s="90"/>
      <c r="L252" s="90">
        <f t="shared" si="35"/>
        <v>1</v>
      </c>
      <c r="M252" s="90">
        <f t="shared" si="36"/>
        <v>0.2</v>
      </c>
      <c r="N252" s="14" t="str">
        <f t="shared" si="37"/>
        <v/>
      </c>
      <c r="O252" s="42" t="str">
        <f t="shared" si="38"/>
        <v/>
      </c>
      <c r="P252" s="42" t="str">
        <f t="shared" si="39"/>
        <v/>
      </c>
      <c r="Q252" s="42" t="str">
        <f t="shared" si="40"/>
        <v/>
      </c>
      <c r="R252" s="42" t="str">
        <f t="shared" si="41"/>
        <v/>
      </c>
      <c r="S252" s="90" t="str">
        <f t="shared" si="42"/>
        <v/>
      </c>
      <c r="T252" s="42" t="str">
        <f t="shared" si="43"/>
        <v/>
      </c>
    </row>
    <row r="253" spans="1:20" x14ac:dyDescent="0.2">
      <c r="A253" t="str">
        <f>INDEX(Prioritization!$D:$D,MATCH($B253,Prioritization!$A:$A,0))</f>
        <v>1 - Scale-up: Saturation</v>
      </c>
      <c r="B253" t="s">
        <v>210</v>
      </c>
      <c r="C253" t="s">
        <v>315</v>
      </c>
      <c r="D253" t="s">
        <v>29</v>
      </c>
      <c r="E253" t="str">
        <f t="shared" si="33"/>
        <v>Blantyre District [mxqa3CDFmIT]|&lt;01|Female</v>
      </c>
      <c r="F253" t="s">
        <v>1245</v>
      </c>
      <c r="G253" s="14">
        <v>12</v>
      </c>
      <c r="H253" s="14">
        <v>89</v>
      </c>
      <c r="I253" s="90">
        <f t="shared" si="34"/>
        <v>0</v>
      </c>
      <c r="J253" s="90"/>
      <c r="K253" s="90"/>
      <c r="L253" s="90">
        <f t="shared" si="35"/>
        <v>1</v>
      </c>
      <c r="M253" s="90">
        <f t="shared" si="36"/>
        <v>0.2</v>
      </c>
      <c r="N253" s="14">
        <f t="shared" si="37"/>
        <v>89</v>
      </c>
      <c r="O253" s="42" t="str">
        <f t="shared" si="38"/>
        <v/>
      </c>
      <c r="P253" s="42" t="str">
        <f t="shared" si="39"/>
        <v/>
      </c>
      <c r="Q253" s="42">
        <f t="shared" si="40"/>
        <v>18</v>
      </c>
      <c r="R253" s="42">
        <f t="shared" si="41"/>
        <v>71</v>
      </c>
      <c r="S253" s="90">
        <f t="shared" si="42"/>
        <v>1</v>
      </c>
      <c r="T253" s="42">
        <f t="shared" si="43"/>
        <v>89</v>
      </c>
    </row>
    <row r="254" spans="1:20" x14ac:dyDescent="0.2">
      <c r="A254" t="str">
        <f>INDEX(Prioritization!$D:$D,MATCH($B254,Prioritization!$A:$A,0))</f>
        <v>1 - Scale-up: Saturation</v>
      </c>
      <c r="B254" t="s">
        <v>210</v>
      </c>
      <c r="C254" t="s">
        <v>315</v>
      </c>
      <c r="D254" t="s">
        <v>47</v>
      </c>
      <c r="E254" t="str">
        <f t="shared" si="33"/>
        <v>Blantyre District [mxqa3CDFmIT]|&lt;01|Male</v>
      </c>
      <c r="F254" t="s">
        <v>1245</v>
      </c>
      <c r="G254" s="14">
        <v>56</v>
      </c>
      <c r="H254" s="14">
        <v>38</v>
      </c>
      <c r="I254" s="90">
        <f t="shared" si="34"/>
        <v>0</v>
      </c>
      <c r="J254" s="90"/>
      <c r="K254" s="90"/>
      <c r="L254" s="90">
        <f t="shared" si="35"/>
        <v>1</v>
      </c>
      <c r="M254" s="90">
        <f t="shared" si="36"/>
        <v>0.2</v>
      </c>
      <c r="N254" s="14">
        <f t="shared" si="37"/>
        <v>38</v>
      </c>
      <c r="O254" s="42" t="str">
        <f t="shared" si="38"/>
        <v/>
      </c>
      <c r="P254" s="42" t="str">
        <f t="shared" si="39"/>
        <v/>
      </c>
      <c r="Q254" s="42">
        <f t="shared" si="40"/>
        <v>8</v>
      </c>
      <c r="R254" s="42">
        <f t="shared" si="41"/>
        <v>30</v>
      </c>
      <c r="S254" s="90">
        <f t="shared" si="42"/>
        <v>1</v>
      </c>
      <c r="T254" s="42">
        <f t="shared" si="43"/>
        <v>38</v>
      </c>
    </row>
    <row r="255" spans="1:20" x14ac:dyDescent="0.2">
      <c r="A255" t="str">
        <f>INDEX(Prioritization!$D:$D,MATCH($B255,Prioritization!$A:$A,0))</f>
        <v>1 - Scale-up: Saturation</v>
      </c>
      <c r="B255" t="s">
        <v>210</v>
      </c>
      <c r="C255" t="s">
        <v>809</v>
      </c>
      <c r="D255" t="s">
        <v>29</v>
      </c>
      <c r="E255" t="str">
        <f t="shared" si="33"/>
        <v>Blantyre District [mxqa3CDFmIT]|01-04|Female</v>
      </c>
      <c r="F255" t="s">
        <v>1245</v>
      </c>
      <c r="G255" s="14">
        <v>54</v>
      </c>
      <c r="H255" s="14">
        <v>566</v>
      </c>
      <c r="I255" s="90">
        <f t="shared" si="34"/>
        <v>0</v>
      </c>
      <c r="J255" s="90"/>
      <c r="K255" s="90"/>
      <c r="L255" s="90">
        <f t="shared" si="35"/>
        <v>1</v>
      </c>
      <c r="M255" s="90">
        <f t="shared" si="36"/>
        <v>0.2</v>
      </c>
      <c r="N255" s="14">
        <f t="shared" si="37"/>
        <v>566</v>
      </c>
      <c r="O255" s="42" t="str">
        <f t="shared" si="38"/>
        <v/>
      </c>
      <c r="P255" s="42" t="str">
        <f t="shared" si="39"/>
        <v/>
      </c>
      <c r="Q255" s="42">
        <f t="shared" si="40"/>
        <v>113</v>
      </c>
      <c r="R255" s="42">
        <f t="shared" si="41"/>
        <v>453</v>
      </c>
      <c r="S255" s="90">
        <f t="shared" si="42"/>
        <v>1</v>
      </c>
      <c r="T255" s="42">
        <f t="shared" si="43"/>
        <v>566</v>
      </c>
    </row>
    <row r="256" spans="1:20" x14ac:dyDescent="0.2">
      <c r="A256" t="str">
        <f>INDEX(Prioritization!$D:$D,MATCH($B256,Prioritization!$A:$A,0))</f>
        <v>1 - Scale-up: Saturation</v>
      </c>
      <c r="B256" t="s">
        <v>210</v>
      </c>
      <c r="C256" t="s">
        <v>809</v>
      </c>
      <c r="D256" t="s">
        <v>47</v>
      </c>
      <c r="E256" t="str">
        <f t="shared" si="33"/>
        <v>Blantyre District [mxqa3CDFmIT]|01-04|Male</v>
      </c>
      <c r="F256" t="s">
        <v>1245</v>
      </c>
      <c r="G256" s="14">
        <v>13</v>
      </c>
      <c r="H256" s="14">
        <v>642</v>
      </c>
      <c r="I256" s="90">
        <f t="shared" si="34"/>
        <v>0</v>
      </c>
      <c r="J256" s="90"/>
      <c r="K256" s="90"/>
      <c r="L256" s="90">
        <f t="shared" si="35"/>
        <v>1</v>
      </c>
      <c r="M256" s="90">
        <f t="shared" si="36"/>
        <v>0.2</v>
      </c>
      <c r="N256" s="14">
        <f t="shared" si="37"/>
        <v>642</v>
      </c>
      <c r="O256" s="42" t="str">
        <f t="shared" si="38"/>
        <v/>
      </c>
      <c r="P256" s="42" t="str">
        <f t="shared" si="39"/>
        <v/>
      </c>
      <c r="Q256" s="42">
        <f t="shared" si="40"/>
        <v>128</v>
      </c>
      <c r="R256" s="42">
        <f t="shared" si="41"/>
        <v>514</v>
      </c>
      <c r="S256" s="90">
        <f t="shared" si="42"/>
        <v>1</v>
      </c>
      <c r="T256" s="42">
        <f t="shared" si="43"/>
        <v>642</v>
      </c>
    </row>
    <row r="257" spans="1:20" x14ac:dyDescent="0.2">
      <c r="A257" t="str">
        <f>INDEX(Prioritization!$D:$D,MATCH($B257,Prioritization!$A:$A,0))</f>
        <v>1 - Scale-up: Saturation</v>
      </c>
      <c r="B257" t="s">
        <v>210</v>
      </c>
      <c r="C257" t="s">
        <v>810</v>
      </c>
      <c r="D257" t="s">
        <v>29</v>
      </c>
      <c r="E257" t="str">
        <f t="shared" si="33"/>
        <v>Blantyre District [mxqa3CDFmIT]|05-09|Female</v>
      </c>
      <c r="F257" t="s">
        <v>1245</v>
      </c>
      <c r="G257" s="14">
        <v>660</v>
      </c>
      <c r="H257" s="14">
        <v>899</v>
      </c>
      <c r="I257" s="90">
        <f t="shared" si="34"/>
        <v>0</v>
      </c>
      <c r="J257" s="90"/>
      <c r="K257" s="90"/>
      <c r="L257" s="90">
        <f t="shared" si="35"/>
        <v>1</v>
      </c>
      <c r="M257" s="90">
        <f t="shared" si="36"/>
        <v>0.2</v>
      </c>
      <c r="N257" s="14">
        <f t="shared" si="37"/>
        <v>899</v>
      </c>
      <c r="O257" s="42" t="str">
        <f t="shared" si="38"/>
        <v/>
      </c>
      <c r="P257" s="42" t="str">
        <f t="shared" si="39"/>
        <v/>
      </c>
      <c r="Q257" s="42">
        <f t="shared" si="40"/>
        <v>180</v>
      </c>
      <c r="R257" s="42">
        <f t="shared" si="41"/>
        <v>719</v>
      </c>
      <c r="S257" s="90">
        <f t="shared" si="42"/>
        <v>1</v>
      </c>
      <c r="T257" s="42">
        <f t="shared" si="43"/>
        <v>899</v>
      </c>
    </row>
    <row r="258" spans="1:20" x14ac:dyDescent="0.2">
      <c r="A258" t="str">
        <f>INDEX(Prioritization!$D:$D,MATCH($B258,Prioritization!$A:$A,0))</f>
        <v>1 - Scale-up: Saturation</v>
      </c>
      <c r="B258" t="s">
        <v>210</v>
      </c>
      <c r="C258" t="s">
        <v>810</v>
      </c>
      <c r="D258" t="s">
        <v>47</v>
      </c>
      <c r="E258" t="str">
        <f t="shared" si="33"/>
        <v>Blantyre District [mxqa3CDFmIT]|05-09|Male</v>
      </c>
      <c r="F258" t="s">
        <v>1245</v>
      </c>
      <c r="G258" s="14">
        <v>947</v>
      </c>
      <c r="H258" s="14">
        <v>577</v>
      </c>
      <c r="I258" s="90">
        <f t="shared" si="34"/>
        <v>0</v>
      </c>
      <c r="J258" s="90"/>
      <c r="K258" s="90"/>
      <c r="L258" s="90">
        <f t="shared" si="35"/>
        <v>1</v>
      </c>
      <c r="M258" s="90">
        <f t="shared" si="36"/>
        <v>0.2</v>
      </c>
      <c r="N258" s="14">
        <f t="shared" si="37"/>
        <v>577</v>
      </c>
      <c r="O258" s="42" t="str">
        <f t="shared" si="38"/>
        <v/>
      </c>
      <c r="P258" s="42" t="str">
        <f t="shared" si="39"/>
        <v/>
      </c>
      <c r="Q258" s="42">
        <f t="shared" si="40"/>
        <v>115</v>
      </c>
      <c r="R258" s="42">
        <f t="shared" si="41"/>
        <v>462</v>
      </c>
      <c r="S258" s="90">
        <f t="shared" si="42"/>
        <v>1</v>
      </c>
      <c r="T258" s="42">
        <f t="shared" si="43"/>
        <v>577</v>
      </c>
    </row>
    <row r="259" spans="1:20" x14ac:dyDescent="0.2">
      <c r="A259" t="str">
        <f>INDEX(Prioritization!$D:$D,MATCH($B259,Prioritization!$A:$A,0))</f>
        <v>1 - Scale-up: Saturation</v>
      </c>
      <c r="B259" t="s">
        <v>210</v>
      </c>
      <c r="C259" t="s">
        <v>363</v>
      </c>
      <c r="D259" t="s">
        <v>29</v>
      </c>
      <c r="E259" t="str">
        <f t="shared" si="33"/>
        <v>Blantyre District [mxqa3CDFmIT]|10-14|Female</v>
      </c>
      <c r="F259" t="s">
        <v>1245</v>
      </c>
      <c r="G259" s="14">
        <v>366</v>
      </c>
      <c r="H259" s="14">
        <v>428</v>
      </c>
      <c r="I259" s="90">
        <f t="shared" si="34"/>
        <v>0</v>
      </c>
      <c r="J259" s="90"/>
      <c r="K259" s="90"/>
      <c r="L259" s="90">
        <f t="shared" si="35"/>
        <v>1</v>
      </c>
      <c r="M259" s="90">
        <f t="shared" si="36"/>
        <v>0.2</v>
      </c>
      <c r="N259" s="14">
        <f t="shared" si="37"/>
        <v>428</v>
      </c>
      <c r="O259" s="42" t="str">
        <f t="shared" si="38"/>
        <v/>
      </c>
      <c r="P259" s="42" t="str">
        <f t="shared" si="39"/>
        <v/>
      </c>
      <c r="Q259" s="42">
        <f t="shared" si="40"/>
        <v>86</v>
      </c>
      <c r="R259" s="42">
        <f t="shared" si="41"/>
        <v>342</v>
      </c>
      <c r="S259" s="90">
        <f t="shared" si="42"/>
        <v>1</v>
      </c>
      <c r="T259" s="42">
        <f t="shared" si="43"/>
        <v>428</v>
      </c>
    </row>
    <row r="260" spans="1:20" x14ac:dyDescent="0.2">
      <c r="A260" t="str">
        <f>INDEX(Prioritization!$D:$D,MATCH($B260,Prioritization!$A:$A,0))</f>
        <v>1 - Scale-up: Saturation</v>
      </c>
      <c r="B260" t="s">
        <v>210</v>
      </c>
      <c r="C260" t="s">
        <v>363</v>
      </c>
      <c r="D260" t="s">
        <v>47</v>
      </c>
      <c r="E260" t="str">
        <f t="shared" si="33"/>
        <v>Blantyre District [mxqa3CDFmIT]|10-14|Male</v>
      </c>
      <c r="F260" t="s">
        <v>1245</v>
      </c>
      <c r="G260" s="14">
        <v>863</v>
      </c>
      <c r="H260" s="14">
        <v>744</v>
      </c>
      <c r="I260" s="90">
        <f t="shared" si="34"/>
        <v>0</v>
      </c>
      <c r="J260" s="90"/>
      <c r="K260" s="90"/>
      <c r="L260" s="90">
        <f t="shared" si="35"/>
        <v>1</v>
      </c>
      <c r="M260" s="90">
        <f t="shared" si="36"/>
        <v>0.2</v>
      </c>
      <c r="N260" s="14">
        <f t="shared" si="37"/>
        <v>744</v>
      </c>
      <c r="O260" s="42" t="str">
        <f t="shared" si="38"/>
        <v/>
      </c>
      <c r="P260" s="42" t="str">
        <f t="shared" si="39"/>
        <v/>
      </c>
      <c r="Q260" s="42">
        <f t="shared" si="40"/>
        <v>149</v>
      </c>
      <c r="R260" s="42">
        <f t="shared" si="41"/>
        <v>595</v>
      </c>
      <c r="S260" s="90">
        <f t="shared" si="42"/>
        <v>1</v>
      </c>
      <c r="T260" s="42">
        <f t="shared" si="43"/>
        <v>744</v>
      </c>
    </row>
    <row r="261" spans="1:20" x14ac:dyDescent="0.2">
      <c r="A261" t="str">
        <f>INDEX(Prioritization!$D:$D,MATCH($B261,Prioritization!$A:$A,0))</f>
        <v>1 - Scale-up: Saturation</v>
      </c>
      <c r="B261" t="s">
        <v>210</v>
      </c>
      <c r="C261" t="s">
        <v>811</v>
      </c>
      <c r="D261" t="s">
        <v>29</v>
      </c>
      <c r="E261" t="str">
        <f t="shared" si="33"/>
        <v>Blantyre District [mxqa3CDFmIT]|15-17|Female</v>
      </c>
      <c r="F261" t="s">
        <v>1245</v>
      </c>
      <c r="G261" s="14">
        <v>220</v>
      </c>
      <c r="H261" s="14">
        <v>8466</v>
      </c>
      <c r="I261" s="90">
        <f t="shared" si="34"/>
        <v>0</v>
      </c>
      <c r="J261" s="90"/>
      <c r="K261" s="90"/>
      <c r="L261" s="90">
        <f t="shared" si="35"/>
        <v>1</v>
      </c>
      <c r="M261" s="90">
        <f t="shared" si="36"/>
        <v>0.2</v>
      </c>
      <c r="N261" s="14">
        <f t="shared" si="37"/>
        <v>8466</v>
      </c>
      <c r="O261" s="42" t="str">
        <f t="shared" si="38"/>
        <v/>
      </c>
      <c r="P261" s="42" t="str">
        <f t="shared" si="39"/>
        <v/>
      </c>
      <c r="Q261" s="42">
        <f t="shared" si="40"/>
        <v>1693</v>
      </c>
      <c r="R261" s="42">
        <f t="shared" si="41"/>
        <v>6772.9999999999991</v>
      </c>
      <c r="S261" s="90">
        <f t="shared" si="42"/>
        <v>1</v>
      </c>
      <c r="T261" s="42">
        <f t="shared" si="43"/>
        <v>8466</v>
      </c>
    </row>
    <row r="262" spans="1:20" x14ac:dyDescent="0.2">
      <c r="A262" t="str">
        <f>INDEX(Prioritization!$D:$D,MATCH($B262,Prioritization!$A:$A,0))</f>
        <v>1 - Scale-up: Saturation</v>
      </c>
      <c r="B262" t="s">
        <v>210</v>
      </c>
      <c r="C262" t="s">
        <v>811</v>
      </c>
      <c r="D262" t="s">
        <v>47</v>
      </c>
      <c r="E262" t="str">
        <f t="shared" si="33"/>
        <v>Blantyre District [mxqa3CDFmIT]|15-17|Male</v>
      </c>
      <c r="F262" t="s">
        <v>1245</v>
      </c>
      <c r="G262" s="14">
        <v>61</v>
      </c>
      <c r="H262" s="14">
        <v>490</v>
      </c>
      <c r="I262" s="90">
        <f t="shared" si="34"/>
        <v>0</v>
      </c>
      <c r="J262" s="90"/>
      <c r="K262" s="90"/>
      <c r="L262" s="90">
        <f t="shared" si="35"/>
        <v>1</v>
      </c>
      <c r="M262" s="90">
        <f t="shared" si="36"/>
        <v>0.2</v>
      </c>
      <c r="N262" s="14">
        <f t="shared" si="37"/>
        <v>490</v>
      </c>
      <c r="O262" s="42" t="str">
        <f t="shared" si="38"/>
        <v/>
      </c>
      <c r="P262" s="42" t="str">
        <f t="shared" si="39"/>
        <v/>
      </c>
      <c r="Q262" s="42">
        <f t="shared" si="40"/>
        <v>98.000000000000014</v>
      </c>
      <c r="R262" s="42">
        <f t="shared" si="41"/>
        <v>392.00000000000006</v>
      </c>
      <c r="S262" s="90">
        <f t="shared" si="42"/>
        <v>1</v>
      </c>
      <c r="T262" s="42">
        <f t="shared" si="43"/>
        <v>490</v>
      </c>
    </row>
    <row r="263" spans="1:20" x14ac:dyDescent="0.2">
      <c r="A263" t="str">
        <f>INDEX(Prioritization!$D:$D,MATCH($B263,Prioritization!$A:$A,0))</f>
        <v>1 - Scale-up: Saturation</v>
      </c>
      <c r="B263" t="s">
        <v>210</v>
      </c>
      <c r="C263" t="s">
        <v>812</v>
      </c>
      <c r="D263" t="s">
        <v>29</v>
      </c>
      <c r="E263" t="str">
        <f t="shared" si="33"/>
        <v>Blantyre District [mxqa3CDFmIT]|18-20|Female</v>
      </c>
      <c r="F263" t="s">
        <v>1245</v>
      </c>
      <c r="G263" s="14"/>
      <c r="H263" s="14">
        <v>4</v>
      </c>
      <c r="I263" s="90">
        <f t="shared" si="34"/>
        <v>0</v>
      </c>
      <c r="J263" s="90"/>
      <c r="K263" s="90"/>
      <c r="L263" s="90">
        <f t="shared" si="35"/>
        <v>1</v>
      </c>
      <c r="M263" s="90">
        <f t="shared" si="36"/>
        <v>0.2</v>
      </c>
      <c r="N263" s="14">
        <f t="shared" si="37"/>
        <v>4</v>
      </c>
      <c r="O263" s="42" t="str">
        <f t="shared" si="38"/>
        <v/>
      </c>
      <c r="P263" s="42" t="str">
        <f t="shared" si="39"/>
        <v/>
      </c>
      <c r="Q263" s="42">
        <f t="shared" si="40"/>
        <v>1</v>
      </c>
      <c r="R263" s="42">
        <f t="shared" si="41"/>
        <v>3</v>
      </c>
      <c r="S263" s="90" t="str">
        <f t="shared" si="42"/>
        <v/>
      </c>
      <c r="T263" s="42" t="str">
        <f t="shared" si="43"/>
        <v/>
      </c>
    </row>
    <row r="264" spans="1:20" x14ac:dyDescent="0.2">
      <c r="A264" t="str">
        <f>INDEX(Prioritization!$D:$D,MATCH($B264,Prioritization!$A:$A,0))</f>
        <v>1 - Scale-up: Saturation</v>
      </c>
      <c r="B264" t="s">
        <v>210</v>
      </c>
      <c r="C264" t="s">
        <v>812</v>
      </c>
      <c r="D264" t="s">
        <v>47</v>
      </c>
      <c r="E264" t="str">
        <f t="shared" si="33"/>
        <v>Blantyre District [mxqa3CDFmIT]|18-20|Male</v>
      </c>
      <c r="F264" t="s">
        <v>1245</v>
      </c>
      <c r="G264" s="14"/>
      <c r="H264" s="14">
        <v>8</v>
      </c>
      <c r="I264" s="90">
        <f t="shared" si="34"/>
        <v>0</v>
      </c>
      <c r="J264" s="90"/>
      <c r="K264" s="90"/>
      <c r="L264" s="90">
        <f t="shared" si="35"/>
        <v>1</v>
      </c>
      <c r="M264" s="90">
        <f t="shared" si="36"/>
        <v>0.2</v>
      </c>
      <c r="N264" s="14">
        <f t="shared" si="37"/>
        <v>8</v>
      </c>
      <c r="O264" s="42" t="str">
        <f t="shared" si="38"/>
        <v/>
      </c>
      <c r="P264" s="42" t="str">
        <f t="shared" si="39"/>
        <v/>
      </c>
      <c r="Q264" s="42">
        <f t="shared" si="40"/>
        <v>2</v>
      </c>
      <c r="R264" s="42">
        <f t="shared" si="41"/>
        <v>6</v>
      </c>
      <c r="S264" s="90" t="str">
        <f t="shared" si="42"/>
        <v/>
      </c>
      <c r="T264" s="42" t="str">
        <f t="shared" si="43"/>
        <v/>
      </c>
    </row>
    <row r="265" spans="1:20" x14ac:dyDescent="0.2">
      <c r="A265" t="str">
        <f>INDEX(Prioritization!$D:$D,MATCH($B265,Prioritization!$A:$A,0))</f>
        <v>1 - Scale-up: Saturation</v>
      </c>
      <c r="B265" t="s">
        <v>210</v>
      </c>
      <c r="C265" t="s">
        <v>813</v>
      </c>
      <c r="D265" t="s">
        <v>29</v>
      </c>
      <c r="E265" t="str">
        <f t="shared" si="33"/>
        <v>Blantyre District [mxqa3CDFmIT]|18+|Female</v>
      </c>
      <c r="F265" t="s">
        <v>1245</v>
      </c>
      <c r="G265" s="14">
        <v>492</v>
      </c>
      <c r="H265" s="14">
        <v>840</v>
      </c>
      <c r="I265" s="90">
        <f t="shared" si="34"/>
        <v>0</v>
      </c>
      <c r="J265" s="90"/>
      <c r="K265" s="90"/>
      <c r="L265" s="90">
        <f t="shared" si="35"/>
        <v>1</v>
      </c>
      <c r="M265" s="90">
        <f t="shared" si="36"/>
        <v>0.2</v>
      </c>
      <c r="N265" s="14">
        <f t="shared" si="37"/>
        <v>840</v>
      </c>
      <c r="O265" s="42" t="str">
        <f t="shared" si="38"/>
        <v/>
      </c>
      <c r="P265" s="42" t="str">
        <f t="shared" si="39"/>
        <v/>
      </c>
      <c r="Q265" s="42">
        <f t="shared" si="40"/>
        <v>168</v>
      </c>
      <c r="R265" s="42">
        <f t="shared" si="41"/>
        <v>672</v>
      </c>
      <c r="S265" s="90" t="str">
        <f t="shared" si="42"/>
        <v/>
      </c>
      <c r="T265" s="42" t="str">
        <f t="shared" si="43"/>
        <v/>
      </c>
    </row>
    <row r="266" spans="1:20" x14ac:dyDescent="0.2">
      <c r="A266" t="str">
        <f>INDEX(Prioritization!$D:$D,MATCH($B266,Prioritization!$A:$A,0))</f>
        <v>1 - Scale-up: Saturation</v>
      </c>
      <c r="B266" t="s">
        <v>210</v>
      </c>
      <c r="C266" t="s">
        <v>813</v>
      </c>
      <c r="D266" t="s">
        <v>47</v>
      </c>
      <c r="E266" t="str">
        <f t="shared" si="33"/>
        <v>Blantyre District [mxqa3CDFmIT]|18+|Male</v>
      </c>
      <c r="F266" t="s">
        <v>1245</v>
      </c>
      <c r="G266" s="14">
        <v>99</v>
      </c>
      <c r="H266" s="14">
        <v>63</v>
      </c>
      <c r="I266" s="90">
        <f t="shared" si="34"/>
        <v>0</v>
      </c>
      <c r="J266" s="90"/>
      <c r="K266" s="90"/>
      <c r="L266" s="90">
        <f t="shared" si="35"/>
        <v>1</v>
      </c>
      <c r="M266" s="90">
        <f t="shared" si="36"/>
        <v>0.2</v>
      </c>
      <c r="N266" s="14">
        <f t="shared" si="37"/>
        <v>63</v>
      </c>
      <c r="O266" s="42" t="str">
        <f t="shared" si="38"/>
        <v/>
      </c>
      <c r="P266" s="42" t="str">
        <f t="shared" si="39"/>
        <v/>
      </c>
      <c r="Q266" s="42">
        <f t="shared" si="40"/>
        <v>13</v>
      </c>
      <c r="R266" s="42">
        <f t="shared" si="41"/>
        <v>50</v>
      </c>
      <c r="S266" s="90" t="str">
        <f t="shared" si="42"/>
        <v/>
      </c>
      <c r="T266" s="42" t="str">
        <f t="shared" si="43"/>
        <v/>
      </c>
    </row>
    <row r="267" spans="1:20" x14ac:dyDescent="0.2">
      <c r="A267" t="str">
        <f>INDEX(Prioritization!$D:$D,MATCH($B267,Prioritization!$A:$A,0))</f>
        <v>1 - Scale-up: Saturation</v>
      </c>
      <c r="B267" t="s">
        <v>211</v>
      </c>
      <c r="C267" t="s">
        <v>315</v>
      </c>
      <c r="D267" t="s">
        <v>29</v>
      </c>
      <c r="E267" t="str">
        <f t="shared" si="33"/>
        <v>Chikwawa District [U8c0so51kT6]|&lt;01|Female</v>
      </c>
      <c r="G267" s="14">
        <v>8</v>
      </c>
      <c r="H267" s="14">
        <v>97</v>
      </c>
      <c r="I267" s="90">
        <f t="shared" si="34"/>
        <v>0</v>
      </c>
      <c r="J267" s="90"/>
      <c r="K267" s="90"/>
      <c r="L267" s="90">
        <f t="shared" si="35"/>
        <v>1</v>
      </c>
      <c r="M267" s="90">
        <f t="shared" si="36"/>
        <v>0.2</v>
      </c>
      <c r="N267" s="14">
        <f t="shared" si="37"/>
        <v>97</v>
      </c>
      <c r="O267" s="42" t="str">
        <f t="shared" si="38"/>
        <v/>
      </c>
      <c r="P267" s="42" t="str">
        <f t="shared" si="39"/>
        <v/>
      </c>
      <c r="Q267" s="42">
        <f t="shared" si="40"/>
        <v>19</v>
      </c>
      <c r="R267" s="42">
        <f t="shared" si="41"/>
        <v>78</v>
      </c>
      <c r="S267" s="90">
        <f t="shared" si="42"/>
        <v>1</v>
      </c>
      <c r="T267" s="42">
        <f t="shared" si="43"/>
        <v>97</v>
      </c>
    </row>
    <row r="268" spans="1:20" x14ac:dyDescent="0.2">
      <c r="A268" t="str">
        <f>INDEX(Prioritization!$D:$D,MATCH($B268,Prioritization!$A:$A,0))</f>
        <v>1 - Scale-up: Saturation</v>
      </c>
      <c r="B268" t="s">
        <v>211</v>
      </c>
      <c r="C268" t="s">
        <v>315</v>
      </c>
      <c r="D268" t="s">
        <v>47</v>
      </c>
      <c r="E268" t="str">
        <f t="shared" si="33"/>
        <v>Chikwawa District [U8c0so51kT6]|&lt;01|Male</v>
      </c>
      <c r="G268" s="14">
        <v>3</v>
      </c>
      <c r="H268" s="14">
        <v>80</v>
      </c>
      <c r="I268" s="90">
        <f t="shared" si="34"/>
        <v>0</v>
      </c>
      <c r="J268" s="90"/>
      <c r="K268" s="90"/>
      <c r="L268" s="90">
        <f t="shared" si="35"/>
        <v>1</v>
      </c>
      <c r="M268" s="90">
        <f t="shared" si="36"/>
        <v>0.2</v>
      </c>
      <c r="N268" s="14">
        <f t="shared" si="37"/>
        <v>80</v>
      </c>
      <c r="O268" s="42" t="str">
        <f t="shared" si="38"/>
        <v/>
      </c>
      <c r="P268" s="42" t="str">
        <f t="shared" si="39"/>
        <v/>
      </c>
      <c r="Q268" s="42">
        <f t="shared" si="40"/>
        <v>16</v>
      </c>
      <c r="R268" s="42">
        <f t="shared" si="41"/>
        <v>64</v>
      </c>
      <c r="S268" s="90">
        <f t="shared" si="42"/>
        <v>1</v>
      </c>
      <c r="T268" s="42">
        <f t="shared" si="43"/>
        <v>80</v>
      </c>
    </row>
    <row r="269" spans="1:20" x14ac:dyDescent="0.2">
      <c r="A269" t="str">
        <f>INDEX(Prioritization!$D:$D,MATCH($B269,Prioritization!$A:$A,0))</f>
        <v>1 - Scale-up: Saturation</v>
      </c>
      <c r="B269" t="s">
        <v>211</v>
      </c>
      <c r="C269" t="s">
        <v>809</v>
      </c>
      <c r="D269" t="s">
        <v>29</v>
      </c>
      <c r="E269" t="str">
        <f t="shared" si="33"/>
        <v>Chikwawa District [U8c0so51kT6]|01-04|Female</v>
      </c>
      <c r="G269" s="14">
        <v>67</v>
      </c>
      <c r="H269" s="14">
        <v>85</v>
      </c>
      <c r="I269" s="90">
        <f t="shared" si="34"/>
        <v>0</v>
      </c>
      <c r="J269" s="90"/>
      <c r="K269" s="90"/>
      <c r="L269" s="90">
        <f t="shared" si="35"/>
        <v>1</v>
      </c>
      <c r="M269" s="90">
        <f t="shared" si="36"/>
        <v>0.2</v>
      </c>
      <c r="N269" s="14">
        <f t="shared" si="37"/>
        <v>85</v>
      </c>
      <c r="O269" s="42" t="str">
        <f t="shared" si="38"/>
        <v/>
      </c>
      <c r="P269" s="42" t="str">
        <f t="shared" si="39"/>
        <v/>
      </c>
      <c r="Q269" s="42">
        <f t="shared" si="40"/>
        <v>17</v>
      </c>
      <c r="R269" s="42">
        <f t="shared" si="41"/>
        <v>68</v>
      </c>
      <c r="S269" s="90">
        <f t="shared" si="42"/>
        <v>1</v>
      </c>
      <c r="T269" s="42">
        <f t="shared" si="43"/>
        <v>85</v>
      </c>
    </row>
    <row r="270" spans="1:20" x14ac:dyDescent="0.2">
      <c r="A270" t="str">
        <f>INDEX(Prioritization!$D:$D,MATCH($B270,Prioritization!$A:$A,0))</f>
        <v>1 - Scale-up: Saturation</v>
      </c>
      <c r="B270" t="s">
        <v>211</v>
      </c>
      <c r="C270" t="s">
        <v>809</v>
      </c>
      <c r="D270" t="s">
        <v>47</v>
      </c>
      <c r="E270" t="str">
        <f t="shared" si="33"/>
        <v>Chikwawa District [U8c0so51kT6]|01-04|Male</v>
      </c>
      <c r="G270" s="14">
        <v>92</v>
      </c>
      <c r="H270" s="14">
        <v>23</v>
      </c>
      <c r="I270" s="90">
        <f t="shared" si="34"/>
        <v>0</v>
      </c>
      <c r="J270" s="90"/>
      <c r="K270" s="90"/>
      <c r="L270" s="90">
        <f t="shared" si="35"/>
        <v>1</v>
      </c>
      <c r="M270" s="90">
        <f t="shared" si="36"/>
        <v>0.2</v>
      </c>
      <c r="N270" s="14">
        <f t="shared" si="37"/>
        <v>23</v>
      </c>
      <c r="O270" s="42" t="str">
        <f t="shared" si="38"/>
        <v/>
      </c>
      <c r="P270" s="42" t="str">
        <f t="shared" si="39"/>
        <v/>
      </c>
      <c r="Q270" s="42">
        <f t="shared" si="40"/>
        <v>5</v>
      </c>
      <c r="R270" s="42">
        <f t="shared" si="41"/>
        <v>18</v>
      </c>
      <c r="S270" s="90">
        <f t="shared" si="42"/>
        <v>1</v>
      </c>
      <c r="T270" s="42">
        <f t="shared" si="43"/>
        <v>23</v>
      </c>
    </row>
    <row r="271" spans="1:20" x14ac:dyDescent="0.2">
      <c r="A271" t="str">
        <f>INDEX(Prioritization!$D:$D,MATCH($B271,Prioritization!$A:$A,0))</f>
        <v>1 - Scale-up: Saturation</v>
      </c>
      <c r="B271" t="s">
        <v>211</v>
      </c>
      <c r="C271" t="s">
        <v>810</v>
      </c>
      <c r="D271" t="s">
        <v>29</v>
      </c>
      <c r="E271" t="str">
        <f t="shared" ref="E271:E334" si="44">$B271&amp;"|"&amp;$C271&amp;"|"&amp;$D271</f>
        <v>Chikwawa District [U8c0so51kT6]|05-09|Female</v>
      </c>
      <c r="G271" s="14">
        <v>42</v>
      </c>
      <c r="H271" s="14">
        <v>47</v>
      </c>
      <c r="I271" s="90">
        <f t="shared" ref="I271:I334" si="45">IF(SUM($H271)=0,"",0%)</f>
        <v>0</v>
      </c>
      <c r="J271" s="90"/>
      <c r="K271" s="90"/>
      <c r="L271" s="90">
        <f t="shared" ref="L271:L334" si="46">1-IF(NOT(AND($D271="Female",OR($C271="10-14",$C271="15-17",$F271="Y"))),0,$J271)-IF(NOT(OR($C271="05-09",$C271="10-14")),0,$K271)</f>
        <v>1</v>
      </c>
      <c r="M271" s="90">
        <f t="shared" ref="M271:M334" si="47">IF(SUM($L271)=0,"",20%)</f>
        <v>0.2</v>
      </c>
      <c r="N271" s="14">
        <f t="shared" ref="N271:N334" si="48">IF(SUM($H271)=0,"",ROUND($H271*(1+$I271),0))</f>
        <v>47</v>
      </c>
      <c r="O271" s="42" t="str">
        <f t="shared" ref="O271:O334" si="49">IF(OR(SUM($N271)=0,SUM($J271)=0,NOT(AND($D271="Female",$F271="Y",OR($C271="10-14",$C271="15-17")))),"",ROUND($N271*$J271,0))</f>
        <v/>
      </c>
      <c r="P271" s="42" t="str">
        <f t="shared" ref="P271:P334" si="50">IF(OR(SUM($N271)=0,SUM($K271)=0,NOT(OR($C271="10-14",$C271="05-09"))),"",ROUND($N271*$K271,0))</f>
        <v/>
      </c>
      <c r="Q271" s="42">
        <f t="shared" ref="Q271:Q334" si="51">IFERROR(1/(1/ROUND($N271*$L271*$M271,0)),"")</f>
        <v>9</v>
      </c>
      <c r="R271" s="42">
        <f t="shared" ref="R271:R334" si="52">IFERROR(1/(1/(ROUND($N271*$L271,0)-$Q271)),"")</f>
        <v>38</v>
      </c>
      <c r="S271" s="90">
        <f t="shared" ref="S271:S334" si="53">IF(OR($C271="18+",$C271="18-20",SUM($Q271,$R271)=0),"",100%)</f>
        <v>1</v>
      </c>
      <c r="T271" s="42">
        <f t="shared" ref="T271:T334" si="54">IF(OR($C271="18+",$C271="18-20",SUM($Q271,$R271)=0),"",ROUND(SUM($Q271,$R271)*$S271,0))</f>
        <v>47</v>
      </c>
    </row>
    <row r="272" spans="1:20" x14ac:dyDescent="0.2">
      <c r="A272" t="str">
        <f>INDEX(Prioritization!$D:$D,MATCH($B272,Prioritization!$A:$A,0))</f>
        <v>1 - Scale-up: Saturation</v>
      </c>
      <c r="B272" t="s">
        <v>211</v>
      </c>
      <c r="C272" t="s">
        <v>810</v>
      </c>
      <c r="D272" t="s">
        <v>47</v>
      </c>
      <c r="E272" t="str">
        <f t="shared" si="44"/>
        <v>Chikwawa District [U8c0so51kT6]|05-09|Male</v>
      </c>
      <c r="G272" s="14">
        <v>14</v>
      </c>
      <c r="H272" s="14">
        <v>24</v>
      </c>
      <c r="I272" s="90">
        <f t="shared" si="45"/>
        <v>0</v>
      </c>
      <c r="J272" s="90"/>
      <c r="K272" s="90"/>
      <c r="L272" s="90">
        <f t="shared" si="46"/>
        <v>1</v>
      </c>
      <c r="M272" s="90">
        <f t="shared" si="47"/>
        <v>0.2</v>
      </c>
      <c r="N272" s="14">
        <f t="shared" si="48"/>
        <v>24</v>
      </c>
      <c r="O272" s="42" t="str">
        <f t="shared" si="49"/>
        <v/>
      </c>
      <c r="P272" s="42" t="str">
        <f t="shared" si="50"/>
        <v/>
      </c>
      <c r="Q272" s="42">
        <f t="shared" si="51"/>
        <v>5</v>
      </c>
      <c r="R272" s="42">
        <f t="shared" si="52"/>
        <v>19</v>
      </c>
      <c r="S272" s="90">
        <f t="shared" si="53"/>
        <v>1</v>
      </c>
      <c r="T272" s="42">
        <f t="shared" si="54"/>
        <v>24</v>
      </c>
    </row>
    <row r="273" spans="1:20" x14ac:dyDescent="0.2">
      <c r="A273" t="str">
        <f>INDEX(Prioritization!$D:$D,MATCH($B273,Prioritization!$A:$A,0))</f>
        <v>1 - Scale-up: Saturation</v>
      </c>
      <c r="B273" t="s">
        <v>211</v>
      </c>
      <c r="C273" t="s">
        <v>363</v>
      </c>
      <c r="D273" t="s">
        <v>29</v>
      </c>
      <c r="E273" t="str">
        <f t="shared" si="44"/>
        <v>Chikwawa District [U8c0so51kT6]|10-14|Female</v>
      </c>
      <c r="G273" s="14">
        <v>820</v>
      </c>
      <c r="H273" s="14">
        <v>903</v>
      </c>
      <c r="I273" s="90">
        <f t="shared" si="45"/>
        <v>0</v>
      </c>
      <c r="J273" s="90"/>
      <c r="K273" s="90"/>
      <c r="L273" s="90">
        <f t="shared" si="46"/>
        <v>1</v>
      </c>
      <c r="M273" s="90">
        <f t="shared" si="47"/>
        <v>0.2</v>
      </c>
      <c r="N273" s="14">
        <f t="shared" si="48"/>
        <v>903</v>
      </c>
      <c r="O273" s="42" t="str">
        <f t="shared" si="49"/>
        <v/>
      </c>
      <c r="P273" s="42" t="str">
        <f t="shared" si="50"/>
        <v/>
      </c>
      <c r="Q273" s="42">
        <f t="shared" si="51"/>
        <v>181</v>
      </c>
      <c r="R273" s="42">
        <f t="shared" si="52"/>
        <v>722</v>
      </c>
      <c r="S273" s="90">
        <f t="shared" si="53"/>
        <v>1</v>
      </c>
      <c r="T273" s="42">
        <f t="shared" si="54"/>
        <v>903</v>
      </c>
    </row>
    <row r="274" spans="1:20" x14ac:dyDescent="0.2">
      <c r="A274" t="str">
        <f>INDEX(Prioritization!$D:$D,MATCH($B274,Prioritization!$A:$A,0))</f>
        <v>1 - Scale-up: Saturation</v>
      </c>
      <c r="B274" t="s">
        <v>211</v>
      </c>
      <c r="C274" t="s">
        <v>363</v>
      </c>
      <c r="D274" t="s">
        <v>47</v>
      </c>
      <c r="E274" t="str">
        <f t="shared" si="44"/>
        <v>Chikwawa District [U8c0so51kT6]|10-14|Male</v>
      </c>
      <c r="G274" s="14">
        <v>203</v>
      </c>
      <c r="H274" s="14">
        <v>427</v>
      </c>
      <c r="I274" s="90">
        <f t="shared" si="45"/>
        <v>0</v>
      </c>
      <c r="J274" s="90"/>
      <c r="K274" s="90"/>
      <c r="L274" s="90">
        <f t="shared" si="46"/>
        <v>1</v>
      </c>
      <c r="M274" s="90">
        <f t="shared" si="47"/>
        <v>0.2</v>
      </c>
      <c r="N274" s="14">
        <f t="shared" si="48"/>
        <v>427</v>
      </c>
      <c r="O274" s="42" t="str">
        <f t="shared" si="49"/>
        <v/>
      </c>
      <c r="P274" s="42" t="str">
        <f t="shared" si="50"/>
        <v/>
      </c>
      <c r="Q274" s="42">
        <f t="shared" si="51"/>
        <v>85</v>
      </c>
      <c r="R274" s="42">
        <f t="shared" si="52"/>
        <v>342</v>
      </c>
      <c r="S274" s="90">
        <f t="shared" si="53"/>
        <v>1</v>
      </c>
      <c r="T274" s="42">
        <f t="shared" si="54"/>
        <v>427</v>
      </c>
    </row>
    <row r="275" spans="1:20" x14ac:dyDescent="0.2">
      <c r="A275" t="str">
        <f>INDEX(Prioritization!$D:$D,MATCH($B275,Prioritization!$A:$A,0))</f>
        <v>1 - Scale-up: Saturation</v>
      </c>
      <c r="B275" t="s">
        <v>211</v>
      </c>
      <c r="C275" t="s">
        <v>811</v>
      </c>
      <c r="D275" t="s">
        <v>29</v>
      </c>
      <c r="E275" t="str">
        <f t="shared" si="44"/>
        <v>Chikwawa District [U8c0so51kT6]|15-17|Female</v>
      </c>
      <c r="G275" s="14">
        <v>33</v>
      </c>
      <c r="H275" s="14">
        <v>99</v>
      </c>
      <c r="I275" s="90">
        <f t="shared" si="45"/>
        <v>0</v>
      </c>
      <c r="J275" s="90"/>
      <c r="K275" s="90"/>
      <c r="L275" s="90">
        <f t="shared" si="46"/>
        <v>1</v>
      </c>
      <c r="M275" s="90">
        <f t="shared" si="47"/>
        <v>0.2</v>
      </c>
      <c r="N275" s="14">
        <f t="shared" si="48"/>
        <v>99</v>
      </c>
      <c r="O275" s="42" t="str">
        <f t="shared" si="49"/>
        <v/>
      </c>
      <c r="P275" s="42" t="str">
        <f t="shared" si="50"/>
        <v/>
      </c>
      <c r="Q275" s="42">
        <f t="shared" si="51"/>
        <v>20</v>
      </c>
      <c r="R275" s="42">
        <f t="shared" si="52"/>
        <v>79</v>
      </c>
      <c r="S275" s="90">
        <f t="shared" si="53"/>
        <v>1</v>
      </c>
      <c r="T275" s="42">
        <f t="shared" si="54"/>
        <v>99</v>
      </c>
    </row>
    <row r="276" spans="1:20" x14ac:dyDescent="0.2">
      <c r="A276" t="str">
        <f>INDEX(Prioritization!$D:$D,MATCH($B276,Prioritization!$A:$A,0))</f>
        <v>1 - Scale-up: Saturation</v>
      </c>
      <c r="B276" t="s">
        <v>211</v>
      </c>
      <c r="C276" t="s">
        <v>811</v>
      </c>
      <c r="D276" t="s">
        <v>47</v>
      </c>
      <c r="E276" t="str">
        <f t="shared" si="44"/>
        <v>Chikwawa District [U8c0so51kT6]|15-17|Male</v>
      </c>
      <c r="G276" s="14">
        <v>93</v>
      </c>
      <c r="H276" s="14">
        <v>84</v>
      </c>
      <c r="I276" s="90">
        <f t="shared" si="45"/>
        <v>0</v>
      </c>
      <c r="J276" s="90"/>
      <c r="K276" s="90"/>
      <c r="L276" s="90">
        <f t="shared" si="46"/>
        <v>1</v>
      </c>
      <c r="M276" s="90">
        <f t="shared" si="47"/>
        <v>0.2</v>
      </c>
      <c r="N276" s="14">
        <f t="shared" si="48"/>
        <v>84</v>
      </c>
      <c r="O276" s="42" t="str">
        <f t="shared" si="49"/>
        <v/>
      </c>
      <c r="P276" s="42" t="str">
        <f t="shared" si="50"/>
        <v/>
      </c>
      <c r="Q276" s="42">
        <f t="shared" si="51"/>
        <v>17</v>
      </c>
      <c r="R276" s="42">
        <f t="shared" si="52"/>
        <v>67</v>
      </c>
      <c r="S276" s="90">
        <f t="shared" si="53"/>
        <v>1</v>
      </c>
      <c r="T276" s="42">
        <f t="shared" si="54"/>
        <v>84</v>
      </c>
    </row>
    <row r="277" spans="1:20" x14ac:dyDescent="0.2">
      <c r="A277" t="str">
        <f>INDEX(Prioritization!$D:$D,MATCH($B277,Prioritization!$A:$A,0))</f>
        <v>1 - Scale-up: Saturation</v>
      </c>
      <c r="B277" t="s">
        <v>211</v>
      </c>
      <c r="C277" t="s">
        <v>812</v>
      </c>
      <c r="D277" t="s">
        <v>29</v>
      </c>
      <c r="E277" t="str">
        <f t="shared" si="44"/>
        <v>Chikwawa District [U8c0so51kT6]|18-20|Female</v>
      </c>
      <c r="G277" s="14"/>
      <c r="H277" s="14">
        <v>2</v>
      </c>
      <c r="I277" s="90">
        <f t="shared" si="45"/>
        <v>0</v>
      </c>
      <c r="J277" s="90"/>
      <c r="K277" s="90"/>
      <c r="L277" s="90">
        <f t="shared" si="46"/>
        <v>1</v>
      </c>
      <c r="M277" s="90">
        <f t="shared" si="47"/>
        <v>0.2</v>
      </c>
      <c r="N277" s="14">
        <f t="shared" si="48"/>
        <v>2</v>
      </c>
      <c r="O277" s="42" t="str">
        <f t="shared" si="49"/>
        <v/>
      </c>
      <c r="P277" s="42" t="str">
        <f t="shared" si="50"/>
        <v/>
      </c>
      <c r="Q277" s="42" t="str">
        <f t="shared" si="51"/>
        <v/>
      </c>
      <c r="R277" s="42" t="str">
        <f t="shared" si="52"/>
        <v/>
      </c>
      <c r="S277" s="90" t="str">
        <f t="shared" si="53"/>
        <v/>
      </c>
      <c r="T277" s="42" t="str">
        <f t="shared" si="54"/>
        <v/>
      </c>
    </row>
    <row r="278" spans="1:20" x14ac:dyDescent="0.2">
      <c r="A278" t="str">
        <f>INDEX(Prioritization!$D:$D,MATCH($B278,Prioritization!$A:$A,0))</f>
        <v>1 - Scale-up: Saturation</v>
      </c>
      <c r="B278" t="s">
        <v>211</v>
      </c>
      <c r="C278" t="s">
        <v>812</v>
      </c>
      <c r="D278" t="s">
        <v>47</v>
      </c>
      <c r="E278" t="str">
        <f t="shared" si="44"/>
        <v>Chikwawa District [U8c0so51kT6]|18-20|Male</v>
      </c>
      <c r="G278" s="14"/>
      <c r="H278" s="14">
        <v>7</v>
      </c>
      <c r="I278" s="90">
        <f t="shared" si="45"/>
        <v>0</v>
      </c>
      <c r="J278" s="90"/>
      <c r="K278" s="90"/>
      <c r="L278" s="90">
        <f t="shared" si="46"/>
        <v>1</v>
      </c>
      <c r="M278" s="90">
        <f t="shared" si="47"/>
        <v>0.2</v>
      </c>
      <c r="N278" s="14">
        <f t="shared" si="48"/>
        <v>7</v>
      </c>
      <c r="O278" s="42" t="str">
        <f t="shared" si="49"/>
        <v/>
      </c>
      <c r="P278" s="42" t="str">
        <f t="shared" si="50"/>
        <v/>
      </c>
      <c r="Q278" s="42">
        <f t="shared" si="51"/>
        <v>1</v>
      </c>
      <c r="R278" s="42">
        <f t="shared" si="52"/>
        <v>6</v>
      </c>
      <c r="S278" s="90" t="str">
        <f t="shared" si="53"/>
        <v/>
      </c>
      <c r="T278" s="42" t="str">
        <f t="shared" si="54"/>
        <v/>
      </c>
    </row>
    <row r="279" spans="1:20" x14ac:dyDescent="0.2">
      <c r="A279" t="str">
        <f>INDEX(Prioritization!$D:$D,MATCH($B279,Prioritization!$A:$A,0))</f>
        <v>1 - Scale-up: Saturation</v>
      </c>
      <c r="B279" t="s">
        <v>211</v>
      </c>
      <c r="C279" t="s">
        <v>813</v>
      </c>
      <c r="D279" t="s">
        <v>29</v>
      </c>
      <c r="E279" t="str">
        <f t="shared" si="44"/>
        <v>Chikwawa District [U8c0so51kT6]|18+|Female</v>
      </c>
      <c r="G279" s="14">
        <v>994</v>
      </c>
      <c r="H279" s="14">
        <v>342</v>
      </c>
      <c r="I279" s="90">
        <f t="shared" si="45"/>
        <v>0</v>
      </c>
      <c r="J279" s="90"/>
      <c r="K279" s="90"/>
      <c r="L279" s="90">
        <f t="shared" si="46"/>
        <v>1</v>
      </c>
      <c r="M279" s="90">
        <f t="shared" si="47"/>
        <v>0.2</v>
      </c>
      <c r="N279" s="14">
        <f t="shared" si="48"/>
        <v>342</v>
      </c>
      <c r="O279" s="42" t="str">
        <f t="shared" si="49"/>
        <v/>
      </c>
      <c r="P279" s="42" t="str">
        <f t="shared" si="50"/>
        <v/>
      </c>
      <c r="Q279" s="42">
        <f t="shared" si="51"/>
        <v>68</v>
      </c>
      <c r="R279" s="42">
        <f t="shared" si="52"/>
        <v>274</v>
      </c>
      <c r="S279" s="90" t="str">
        <f t="shared" si="53"/>
        <v/>
      </c>
      <c r="T279" s="42" t="str">
        <f t="shared" si="54"/>
        <v/>
      </c>
    </row>
    <row r="280" spans="1:20" x14ac:dyDescent="0.2">
      <c r="A280" t="str">
        <f>INDEX(Prioritization!$D:$D,MATCH($B280,Prioritization!$A:$A,0))</f>
        <v>1 - Scale-up: Saturation</v>
      </c>
      <c r="B280" t="s">
        <v>211</v>
      </c>
      <c r="C280" t="s">
        <v>813</v>
      </c>
      <c r="D280" t="s">
        <v>47</v>
      </c>
      <c r="E280" t="str">
        <f t="shared" si="44"/>
        <v>Chikwawa District [U8c0so51kT6]|18+|Male</v>
      </c>
      <c r="G280" s="14">
        <v>64</v>
      </c>
      <c r="H280" s="14">
        <v>31</v>
      </c>
      <c r="I280" s="90">
        <f t="shared" si="45"/>
        <v>0</v>
      </c>
      <c r="J280" s="90"/>
      <c r="K280" s="90"/>
      <c r="L280" s="90">
        <f t="shared" si="46"/>
        <v>1</v>
      </c>
      <c r="M280" s="90">
        <f t="shared" si="47"/>
        <v>0.2</v>
      </c>
      <c r="N280" s="14">
        <f t="shared" si="48"/>
        <v>31</v>
      </c>
      <c r="O280" s="42" t="str">
        <f t="shared" si="49"/>
        <v/>
      </c>
      <c r="P280" s="42" t="str">
        <f t="shared" si="50"/>
        <v/>
      </c>
      <c r="Q280" s="42">
        <f t="shared" si="51"/>
        <v>6</v>
      </c>
      <c r="R280" s="42">
        <f t="shared" si="52"/>
        <v>25</v>
      </c>
      <c r="S280" s="90" t="str">
        <f t="shared" si="53"/>
        <v/>
      </c>
      <c r="T280" s="42" t="str">
        <f t="shared" si="54"/>
        <v/>
      </c>
    </row>
    <row r="281" spans="1:20" x14ac:dyDescent="0.2">
      <c r="A281" t="str">
        <f>INDEX(Prioritization!$D:$D,MATCH($B281,Prioritization!$A:$A,0))</f>
        <v>1 - Scale-up: Saturation</v>
      </c>
      <c r="B281" t="s">
        <v>212</v>
      </c>
      <c r="C281" t="s">
        <v>315</v>
      </c>
      <c r="D281" t="s">
        <v>29</v>
      </c>
      <c r="E281" t="str">
        <f t="shared" si="44"/>
        <v>Chiradzulu District [oiPR2CiVJbf]|&lt;01|Female</v>
      </c>
      <c r="F281" t="s">
        <v>1246</v>
      </c>
      <c r="G281" s="14"/>
      <c r="H281" s="14"/>
      <c r="I281" s="90" t="str">
        <f t="shared" si="45"/>
        <v/>
      </c>
      <c r="J281" s="90"/>
      <c r="K281" s="90"/>
      <c r="L281" s="90">
        <f t="shared" si="46"/>
        <v>1</v>
      </c>
      <c r="M281" s="90">
        <f t="shared" si="47"/>
        <v>0.2</v>
      </c>
      <c r="N281" s="14" t="str">
        <f t="shared" si="48"/>
        <v/>
      </c>
      <c r="O281" s="42" t="str">
        <f t="shared" si="49"/>
        <v/>
      </c>
      <c r="P281" s="42" t="str">
        <f t="shared" si="50"/>
        <v/>
      </c>
      <c r="Q281" s="42" t="str">
        <f t="shared" si="51"/>
        <v/>
      </c>
      <c r="R281" s="42" t="str">
        <f t="shared" si="52"/>
        <v/>
      </c>
      <c r="S281" s="90" t="str">
        <f t="shared" si="53"/>
        <v/>
      </c>
      <c r="T281" s="42" t="str">
        <f t="shared" si="54"/>
        <v/>
      </c>
    </row>
    <row r="282" spans="1:20" x14ac:dyDescent="0.2">
      <c r="A282" t="str">
        <f>INDEX(Prioritization!$D:$D,MATCH($B282,Prioritization!$A:$A,0))</f>
        <v>1 - Scale-up: Saturation</v>
      </c>
      <c r="B282" t="s">
        <v>212</v>
      </c>
      <c r="C282" t="s">
        <v>315</v>
      </c>
      <c r="D282" t="s">
        <v>47</v>
      </c>
      <c r="E282" t="str">
        <f t="shared" si="44"/>
        <v>Chiradzulu District [oiPR2CiVJbf]|&lt;01|Male</v>
      </c>
      <c r="F282" t="s">
        <v>1246</v>
      </c>
      <c r="G282" s="14"/>
      <c r="H282" s="14"/>
      <c r="I282" s="90" t="str">
        <f t="shared" si="45"/>
        <v/>
      </c>
      <c r="J282" s="90"/>
      <c r="K282" s="90"/>
      <c r="L282" s="90">
        <f t="shared" si="46"/>
        <v>1</v>
      </c>
      <c r="M282" s="90">
        <f t="shared" si="47"/>
        <v>0.2</v>
      </c>
      <c r="N282" s="14" t="str">
        <f t="shared" si="48"/>
        <v/>
      </c>
      <c r="O282" s="42" t="str">
        <f t="shared" si="49"/>
        <v/>
      </c>
      <c r="P282" s="42" t="str">
        <f t="shared" si="50"/>
        <v/>
      </c>
      <c r="Q282" s="42" t="str">
        <f t="shared" si="51"/>
        <v/>
      </c>
      <c r="R282" s="42" t="str">
        <f t="shared" si="52"/>
        <v/>
      </c>
      <c r="S282" s="90" t="str">
        <f t="shared" si="53"/>
        <v/>
      </c>
      <c r="T282" s="42" t="str">
        <f t="shared" si="54"/>
        <v/>
      </c>
    </row>
    <row r="283" spans="1:20" x14ac:dyDescent="0.2">
      <c r="A283" t="str">
        <f>INDEX(Prioritization!$D:$D,MATCH($B283,Prioritization!$A:$A,0))</f>
        <v>1 - Scale-up: Saturation</v>
      </c>
      <c r="B283" t="s">
        <v>212</v>
      </c>
      <c r="C283" t="s">
        <v>809</v>
      </c>
      <c r="D283" t="s">
        <v>29</v>
      </c>
      <c r="E283" t="str">
        <f t="shared" si="44"/>
        <v>Chiradzulu District [oiPR2CiVJbf]|01-04|Female</v>
      </c>
      <c r="F283" t="s">
        <v>1246</v>
      </c>
      <c r="G283" s="14"/>
      <c r="H283" s="14"/>
      <c r="I283" s="90" t="str">
        <f t="shared" si="45"/>
        <v/>
      </c>
      <c r="J283" s="90"/>
      <c r="K283" s="90"/>
      <c r="L283" s="90">
        <f t="shared" si="46"/>
        <v>1</v>
      </c>
      <c r="M283" s="90">
        <f t="shared" si="47"/>
        <v>0.2</v>
      </c>
      <c r="N283" s="14" t="str">
        <f t="shared" si="48"/>
        <v/>
      </c>
      <c r="O283" s="42" t="str">
        <f t="shared" si="49"/>
        <v/>
      </c>
      <c r="P283" s="42" t="str">
        <f t="shared" si="50"/>
        <v/>
      </c>
      <c r="Q283" s="42" t="str">
        <f t="shared" si="51"/>
        <v/>
      </c>
      <c r="R283" s="42" t="str">
        <f t="shared" si="52"/>
        <v/>
      </c>
      <c r="S283" s="90" t="str">
        <f t="shared" si="53"/>
        <v/>
      </c>
      <c r="T283" s="42" t="str">
        <f t="shared" si="54"/>
        <v/>
      </c>
    </row>
    <row r="284" spans="1:20" x14ac:dyDescent="0.2">
      <c r="A284" t="str">
        <f>INDEX(Prioritization!$D:$D,MATCH($B284,Prioritization!$A:$A,0))</f>
        <v>1 - Scale-up: Saturation</v>
      </c>
      <c r="B284" t="s">
        <v>212</v>
      </c>
      <c r="C284" t="s">
        <v>809</v>
      </c>
      <c r="D284" t="s">
        <v>47</v>
      </c>
      <c r="E284" t="str">
        <f t="shared" si="44"/>
        <v>Chiradzulu District [oiPR2CiVJbf]|01-04|Male</v>
      </c>
      <c r="F284" t="s">
        <v>1246</v>
      </c>
      <c r="G284" s="14"/>
      <c r="H284" s="14"/>
      <c r="I284" s="90" t="str">
        <f t="shared" si="45"/>
        <v/>
      </c>
      <c r="J284" s="90"/>
      <c r="K284" s="90"/>
      <c r="L284" s="90">
        <f t="shared" si="46"/>
        <v>1</v>
      </c>
      <c r="M284" s="90">
        <f t="shared" si="47"/>
        <v>0.2</v>
      </c>
      <c r="N284" s="14" t="str">
        <f t="shared" si="48"/>
        <v/>
      </c>
      <c r="O284" s="42" t="str">
        <f t="shared" si="49"/>
        <v/>
      </c>
      <c r="P284" s="42" t="str">
        <f t="shared" si="50"/>
        <v/>
      </c>
      <c r="Q284" s="42" t="str">
        <f t="shared" si="51"/>
        <v/>
      </c>
      <c r="R284" s="42" t="str">
        <f t="shared" si="52"/>
        <v/>
      </c>
      <c r="S284" s="90" t="str">
        <f t="shared" si="53"/>
        <v/>
      </c>
      <c r="T284" s="42" t="str">
        <f t="shared" si="54"/>
        <v/>
      </c>
    </row>
    <row r="285" spans="1:20" x14ac:dyDescent="0.2">
      <c r="A285" t="str">
        <f>INDEX(Prioritization!$D:$D,MATCH($B285,Prioritization!$A:$A,0))</f>
        <v>1 - Scale-up: Saturation</v>
      </c>
      <c r="B285" t="s">
        <v>212</v>
      </c>
      <c r="C285" t="s">
        <v>810</v>
      </c>
      <c r="D285" t="s">
        <v>29</v>
      </c>
      <c r="E285" t="str">
        <f t="shared" si="44"/>
        <v>Chiradzulu District [oiPR2CiVJbf]|05-09|Female</v>
      </c>
      <c r="F285" t="s">
        <v>1246</v>
      </c>
      <c r="G285" s="14"/>
      <c r="H285" s="14"/>
      <c r="I285" s="90" t="str">
        <f t="shared" si="45"/>
        <v/>
      </c>
      <c r="J285" s="90"/>
      <c r="K285" s="90"/>
      <c r="L285" s="90">
        <f t="shared" si="46"/>
        <v>1</v>
      </c>
      <c r="M285" s="90">
        <f t="shared" si="47"/>
        <v>0.2</v>
      </c>
      <c r="N285" s="14" t="str">
        <f t="shared" si="48"/>
        <v/>
      </c>
      <c r="O285" s="42" t="str">
        <f t="shared" si="49"/>
        <v/>
      </c>
      <c r="P285" s="42" t="str">
        <f t="shared" si="50"/>
        <v/>
      </c>
      <c r="Q285" s="42" t="str">
        <f t="shared" si="51"/>
        <v/>
      </c>
      <c r="R285" s="42" t="str">
        <f t="shared" si="52"/>
        <v/>
      </c>
      <c r="S285" s="90" t="str">
        <f t="shared" si="53"/>
        <v/>
      </c>
      <c r="T285" s="42" t="str">
        <f t="shared" si="54"/>
        <v/>
      </c>
    </row>
    <row r="286" spans="1:20" x14ac:dyDescent="0.2">
      <c r="A286" t="str">
        <f>INDEX(Prioritization!$D:$D,MATCH($B286,Prioritization!$A:$A,0))</f>
        <v>1 - Scale-up: Saturation</v>
      </c>
      <c r="B286" t="s">
        <v>212</v>
      </c>
      <c r="C286" t="s">
        <v>810</v>
      </c>
      <c r="D286" t="s">
        <v>47</v>
      </c>
      <c r="E286" t="str">
        <f t="shared" si="44"/>
        <v>Chiradzulu District [oiPR2CiVJbf]|05-09|Male</v>
      </c>
      <c r="F286" t="s">
        <v>1246</v>
      </c>
      <c r="G286" s="14"/>
      <c r="H286" s="14"/>
      <c r="I286" s="90" t="str">
        <f t="shared" si="45"/>
        <v/>
      </c>
      <c r="J286" s="90"/>
      <c r="K286" s="90"/>
      <c r="L286" s="90">
        <f t="shared" si="46"/>
        <v>1</v>
      </c>
      <c r="M286" s="90">
        <f t="shared" si="47"/>
        <v>0.2</v>
      </c>
      <c r="N286" s="14" t="str">
        <f t="shared" si="48"/>
        <v/>
      </c>
      <c r="O286" s="42" t="str">
        <f t="shared" si="49"/>
        <v/>
      </c>
      <c r="P286" s="42" t="str">
        <f t="shared" si="50"/>
        <v/>
      </c>
      <c r="Q286" s="42" t="str">
        <f t="shared" si="51"/>
        <v/>
      </c>
      <c r="R286" s="42" t="str">
        <f t="shared" si="52"/>
        <v/>
      </c>
      <c r="S286" s="90" t="str">
        <f t="shared" si="53"/>
        <v/>
      </c>
      <c r="T286" s="42" t="str">
        <f t="shared" si="54"/>
        <v/>
      </c>
    </row>
    <row r="287" spans="1:20" x14ac:dyDescent="0.2">
      <c r="A287" t="str">
        <f>INDEX(Prioritization!$D:$D,MATCH($B287,Prioritization!$A:$A,0))</f>
        <v>1 - Scale-up: Saturation</v>
      </c>
      <c r="B287" t="s">
        <v>212</v>
      </c>
      <c r="C287" t="s">
        <v>363</v>
      </c>
      <c r="D287" t="s">
        <v>29</v>
      </c>
      <c r="E287" t="str">
        <f t="shared" si="44"/>
        <v>Chiradzulu District [oiPR2CiVJbf]|10-14|Female</v>
      </c>
      <c r="F287" t="s">
        <v>1246</v>
      </c>
      <c r="G287" s="14"/>
      <c r="H287" s="14"/>
      <c r="I287" s="90" t="str">
        <f t="shared" si="45"/>
        <v/>
      </c>
      <c r="J287" s="90"/>
      <c r="K287" s="90"/>
      <c r="L287" s="90">
        <f t="shared" si="46"/>
        <v>1</v>
      </c>
      <c r="M287" s="90">
        <f t="shared" si="47"/>
        <v>0.2</v>
      </c>
      <c r="N287" s="14" t="str">
        <f t="shared" si="48"/>
        <v/>
      </c>
      <c r="O287" s="42" t="str">
        <f t="shared" si="49"/>
        <v/>
      </c>
      <c r="P287" s="42" t="str">
        <f t="shared" si="50"/>
        <v/>
      </c>
      <c r="Q287" s="42" t="str">
        <f t="shared" si="51"/>
        <v/>
      </c>
      <c r="R287" s="42" t="str">
        <f t="shared" si="52"/>
        <v/>
      </c>
      <c r="S287" s="90" t="str">
        <f t="shared" si="53"/>
        <v/>
      </c>
      <c r="T287" s="42" t="str">
        <f t="shared" si="54"/>
        <v/>
      </c>
    </row>
    <row r="288" spans="1:20" x14ac:dyDescent="0.2">
      <c r="A288" t="str">
        <f>INDEX(Prioritization!$D:$D,MATCH($B288,Prioritization!$A:$A,0))</f>
        <v>1 - Scale-up: Saturation</v>
      </c>
      <c r="B288" t="s">
        <v>212</v>
      </c>
      <c r="C288" t="s">
        <v>363</v>
      </c>
      <c r="D288" t="s">
        <v>47</v>
      </c>
      <c r="E288" t="str">
        <f t="shared" si="44"/>
        <v>Chiradzulu District [oiPR2CiVJbf]|10-14|Male</v>
      </c>
      <c r="F288" t="s">
        <v>1246</v>
      </c>
      <c r="G288" s="14"/>
      <c r="H288" s="14"/>
      <c r="I288" s="90" t="str">
        <f t="shared" si="45"/>
        <v/>
      </c>
      <c r="J288" s="90"/>
      <c r="K288" s="90"/>
      <c r="L288" s="90">
        <f t="shared" si="46"/>
        <v>1</v>
      </c>
      <c r="M288" s="90">
        <f t="shared" si="47"/>
        <v>0.2</v>
      </c>
      <c r="N288" s="14" t="str">
        <f t="shared" si="48"/>
        <v/>
      </c>
      <c r="O288" s="42" t="str">
        <f t="shared" si="49"/>
        <v/>
      </c>
      <c r="P288" s="42" t="str">
        <f t="shared" si="50"/>
        <v/>
      </c>
      <c r="Q288" s="42" t="str">
        <f t="shared" si="51"/>
        <v/>
      </c>
      <c r="R288" s="42" t="str">
        <f t="shared" si="52"/>
        <v/>
      </c>
      <c r="S288" s="90" t="str">
        <f t="shared" si="53"/>
        <v/>
      </c>
      <c r="T288" s="42" t="str">
        <f t="shared" si="54"/>
        <v/>
      </c>
    </row>
    <row r="289" spans="1:20" x14ac:dyDescent="0.2">
      <c r="A289" t="str">
        <f>INDEX(Prioritization!$D:$D,MATCH($B289,Prioritization!$A:$A,0))</f>
        <v>1 - Scale-up: Saturation</v>
      </c>
      <c r="B289" t="s">
        <v>212</v>
      </c>
      <c r="C289" t="s">
        <v>811</v>
      </c>
      <c r="D289" t="s">
        <v>29</v>
      </c>
      <c r="E289" t="str">
        <f t="shared" si="44"/>
        <v>Chiradzulu District [oiPR2CiVJbf]|15-17|Female</v>
      </c>
      <c r="F289" t="s">
        <v>1246</v>
      </c>
      <c r="G289" s="14"/>
      <c r="H289" s="14"/>
      <c r="I289" s="90" t="str">
        <f t="shared" si="45"/>
        <v/>
      </c>
      <c r="J289" s="90"/>
      <c r="K289" s="90"/>
      <c r="L289" s="90">
        <f t="shared" si="46"/>
        <v>1</v>
      </c>
      <c r="M289" s="90">
        <f t="shared" si="47"/>
        <v>0.2</v>
      </c>
      <c r="N289" s="14" t="str">
        <f t="shared" si="48"/>
        <v/>
      </c>
      <c r="O289" s="42" t="str">
        <f t="shared" si="49"/>
        <v/>
      </c>
      <c r="P289" s="42" t="str">
        <f t="shared" si="50"/>
        <v/>
      </c>
      <c r="Q289" s="42" t="str">
        <f t="shared" si="51"/>
        <v/>
      </c>
      <c r="R289" s="42" t="str">
        <f t="shared" si="52"/>
        <v/>
      </c>
      <c r="S289" s="90" t="str">
        <f t="shared" si="53"/>
        <v/>
      </c>
      <c r="T289" s="42" t="str">
        <f t="shared" si="54"/>
        <v/>
      </c>
    </row>
    <row r="290" spans="1:20" x14ac:dyDescent="0.2">
      <c r="A290" t="str">
        <f>INDEX(Prioritization!$D:$D,MATCH($B290,Prioritization!$A:$A,0))</f>
        <v>1 - Scale-up: Saturation</v>
      </c>
      <c r="B290" t="s">
        <v>212</v>
      </c>
      <c r="C290" t="s">
        <v>811</v>
      </c>
      <c r="D290" t="s">
        <v>47</v>
      </c>
      <c r="E290" t="str">
        <f t="shared" si="44"/>
        <v>Chiradzulu District [oiPR2CiVJbf]|15-17|Male</v>
      </c>
      <c r="F290" t="s">
        <v>1246</v>
      </c>
      <c r="G290" s="14"/>
      <c r="H290" s="14"/>
      <c r="I290" s="90" t="str">
        <f t="shared" si="45"/>
        <v/>
      </c>
      <c r="J290" s="90"/>
      <c r="K290" s="90"/>
      <c r="L290" s="90">
        <f t="shared" si="46"/>
        <v>1</v>
      </c>
      <c r="M290" s="90">
        <f t="shared" si="47"/>
        <v>0.2</v>
      </c>
      <c r="N290" s="14" t="str">
        <f t="shared" si="48"/>
        <v/>
      </c>
      <c r="O290" s="42" t="str">
        <f t="shared" si="49"/>
        <v/>
      </c>
      <c r="P290" s="42" t="str">
        <f t="shared" si="50"/>
        <v/>
      </c>
      <c r="Q290" s="42" t="str">
        <f t="shared" si="51"/>
        <v/>
      </c>
      <c r="R290" s="42" t="str">
        <f t="shared" si="52"/>
        <v/>
      </c>
      <c r="S290" s="90" t="str">
        <f t="shared" si="53"/>
        <v/>
      </c>
      <c r="T290" s="42" t="str">
        <f t="shared" si="54"/>
        <v/>
      </c>
    </row>
    <row r="291" spans="1:20" x14ac:dyDescent="0.2">
      <c r="A291" t="str">
        <f>INDEX(Prioritization!$D:$D,MATCH($B291,Prioritization!$A:$A,0))</f>
        <v>1 - Scale-up: Saturation</v>
      </c>
      <c r="B291" t="s">
        <v>212</v>
      </c>
      <c r="C291" t="s">
        <v>812</v>
      </c>
      <c r="D291" t="s">
        <v>29</v>
      </c>
      <c r="E291" t="str">
        <f t="shared" si="44"/>
        <v>Chiradzulu District [oiPR2CiVJbf]|18-20|Female</v>
      </c>
      <c r="F291" t="s">
        <v>1246</v>
      </c>
      <c r="G291" s="14"/>
      <c r="H291" s="14"/>
      <c r="I291" s="90" t="str">
        <f t="shared" si="45"/>
        <v/>
      </c>
      <c r="J291" s="90"/>
      <c r="K291" s="90"/>
      <c r="L291" s="90">
        <f t="shared" si="46"/>
        <v>1</v>
      </c>
      <c r="M291" s="90">
        <f t="shared" si="47"/>
        <v>0.2</v>
      </c>
      <c r="N291" s="14" t="str">
        <f t="shared" si="48"/>
        <v/>
      </c>
      <c r="O291" s="42" t="str">
        <f t="shared" si="49"/>
        <v/>
      </c>
      <c r="P291" s="42" t="str">
        <f t="shared" si="50"/>
        <v/>
      </c>
      <c r="Q291" s="42" t="str">
        <f t="shared" si="51"/>
        <v/>
      </c>
      <c r="R291" s="42" t="str">
        <f t="shared" si="52"/>
        <v/>
      </c>
      <c r="S291" s="90" t="str">
        <f t="shared" si="53"/>
        <v/>
      </c>
      <c r="T291" s="42" t="str">
        <f t="shared" si="54"/>
        <v/>
      </c>
    </row>
    <row r="292" spans="1:20" x14ac:dyDescent="0.2">
      <c r="A292" t="str">
        <f>INDEX(Prioritization!$D:$D,MATCH($B292,Prioritization!$A:$A,0))</f>
        <v>1 - Scale-up: Saturation</v>
      </c>
      <c r="B292" t="s">
        <v>212</v>
      </c>
      <c r="C292" t="s">
        <v>812</v>
      </c>
      <c r="D292" t="s">
        <v>47</v>
      </c>
      <c r="E292" t="str">
        <f t="shared" si="44"/>
        <v>Chiradzulu District [oiPR2CiVJbf]|18-20|Male</v>
      </c>
      <c r="F292" t="s">
        <v>1246</v>
      </c>
      <c r="G292" s="14"/>
      <c r="H292" s="14"/>
      <c r="I292" s="90" t="str">
        <f t="shared" si="45"/>
        <v/>
      </c>
      <c r="J292" s="90"/>
      <c r="K292" s="90"/>
      <c r="L292" s="90">
        <f t="shared" si="46"/>
        <v>1</v>
      </c>
      <c r="M292" s="90">
        <f t="shared" si="47"/>
        <v>0.2</v>
      </c>
      <c r="N292" s="14" t="str">
        <f t="shared" si="48"/>
        <v/>
      </c>
      <c r="O292" s="42" t="str">
        <f t="shared" si="49"/>
        <v/>
      </c>
      <c r="P292" s="42" t="str">
        <f t="shared" si="50"/>
        <v/>
      </c>
      <c r="Q292" s="42" t="str">
        <f t="shared" si="51"/>
        <v/>
      </c>
      <c r="R292" s="42" t="str">
        <f t="shared" si="52"/>
        <v/>
      </c>
      <c r="S292" s="90" t="str">
        <f t="shared" si="53"/>
        <v/>
      </c>
      <c r="T292" s="42" t="str">
        <f t="shared" si="54"/>
        <v/>
      </c>
    </row>
    <row r="293" spans="1:20" x14ac:dyDescent="0.2">
      <c r="A293" t="str">
        <f>INDEX(Prioritization!$D:$D,MATCH($B293,Prioritization!$A:$A,0))</f>
        <v>1 - Scale-up: Saturation</v>
      </c>
      <c r="B293" t="s">
        <v>212</v>
      </c>
      <c r="C293" t="s">
        <v>813</v>
      </c>
      <c r="D293" t="s">
        <v>29</v>
      </c>
      <c r="E293" t="str">
        <f t="shared" si="44"/>
        <v>Chiradzulu District [oiPR2CiVJbf]|18+|Female</v>
      </c>
      <c r="F293" t="s">
        <v>1246</v>
      </c>
      <c r="G293" s="14"/>
      <c r="H293" s="14"/>
      <c r="I293" s="90" t="str">
        <f t="shared" si="45"/>
        <v/>
      </c>
      <c r="J293" s="90"/>
      <c r="K293" s="90"/>
      <c r="L293" s="90">
        <f t="shared" si="46"/>
        <v>1</v>
      </c>
      <c r="M293" s="90">
        <f t="shared" si="47"/>
        <v>0.2</v>
      </c>
      <c r="N293" s="14" t="str">
        <f t="shared" si="48"/>
        <v/>
      </c>
      <c r="O293" s="42" t="str">
        <f t="shared" si="49"/>
        <v/>
      </c>
      <c r="P293" s="42" t="str">
        <f t="shared" si="50"/>
        <v/>
      </c>
      <c r="Q293" s="42" t="str">
        <f t="shared" si="51"/>
        <v/>
      </c>
      <c r="R293" s="42" t="str">
        <f t="shared" si="52"/>
        <v/>
      </c>
      <c r="S293" s="90" t="str">
        <f t="shared" si="53"/>
        <v/>
      </c>
      <c r="T293" s="42" t="str">
        <f t="shared" si="54"/>
        <v/>
      </c>
    </row>
    <row r="294" spans="1:20" x14ac:dyDescent="0.2">
      <c r="A294" t="str">
        <f>INDEX(Prioritization!$D:$D,MATCH($B294,Prioritization!$A:$A,0))</f>
        <v>1 - Scale-up: Saturation</v>
      </c>
      <c r="B294" t="s">
        <v>212</v>
      </c>
      <c r="C294" t="s">
        <v>813</v>
      </c>
      <c r="D294" t="s">
        <v>47</v>
      </c>
      <c r="E294" t="str">
        <f t="shared" si="44"/>
        <v>Chiradzulu District [oiPR2CiVJbf]|18+|Male</v>
      </c>
      <c r="F294" t="s">
        <v>1246</v>
      </c>
      <c r="G294" s="14"/>
      <c r="H294" s="14"/>
      <c r="I294" s="90" t="str">
        <f t="shared" si="45"/>
        <v/>
      </c>
      <c r="J294" s="90"/>
      <c r="K294" s="90"/>
      <c r="L294" s="90">
        <f t="shared" si="46"/>
        <v>1</v>
      </c>
      <c r="M294" s="90">
        <f t="shared" si="47"/>
        <v>0.2</v>
      </c>
      <c r="N294" s="14" t="str">
        <f t="shared" si="48"/>
        <v/>
      </c>
      <c r="O294" s="42" t="str">
        <f t="shared" si="49"/>
        <v/>
      </c>
      <c r="P294" s="42" t="str">
        <f t="shared" si="50"/>
        <v/>
      </c>
      <c r="Q294" s="42" t="str">
        <f t="shared" si="51"/>
        <v/>
      </c>
      <c r="R294" s="42" t="str">
        <f t="shared" si="52"/>
        <v/>
      </c>
      <c r="S294" s="90" t="str">
        <f t="shared" si="53"/>
        <v/>
      </c>
      <c r="T294" s="42" t="str">
        <f t="shared" si="54"/>
        <v/>
      </c>
    </row>
    <row r="295" spans="1:20" x14ac:dyDescent="0.2">
      <c r="A295" t="str">
        <f>INDEX(Prioritization!$D:$D,MATCH($B295,Prioritization!$A:$A,0))</f>
        <v>1 - Scale-up: Saturation</v>
      </c>
      <c r="B295" t="s">
        <v>213</v>
      </c>
      <c r="C295" t="s">
        <v>315</v>
      </c>
      <c r="D295" t="s">
        <v>29</v>
      </c>
      <c r="E295" t="str">
        <f t="shared" si="44"/>
        <v>Machinga District [TYnMSwzko3z]|&lt;01|Female</v>
      </c>
      <c r="F295" t="s">
        <v>1245</v>
      </c>
      <c r="G295" s="14">
        <v>6</v>
      </c>
      <c r="H295" s="14">
        <v>96</v>
      </c>
      <c r="I295" s="90">
        <f t="shared" si="45"/>
        <v>0</v>
      </c>
      <c r="J295" s="90"/>
      <c r="K295" s="90"/>
      <c r="L295" s="90">
        <f t="shared" si="46"/>
        <v>1</v>
      </c>
      <c r="M295" s="90">
        <f t="shared" si="47"/>
        <v>0.2</v>
      </c>
      <c r="N295" s="14">
        <f t="shared" si="48"/>
        <v>96</v>
      </c>
      <c r="O295" s="42" t="str">
        <f t="shared" si="49"/>
        <v/>
      </c>
      <c r="P295" s="42" t="str">
        <f t="shared" si="50"/>
        <v/>
      </c>
      <c r="Q295" s="42">
        <f t="shared" si="51"/>
        <v>19</v>
      </c>
      <c r="R295" s="42">
        <f t="shared" si="52"/>
        <v>77</v>
      </c>
      <c r="S295" s="90">
        <f t="shared" si="53"/>
        <v>1</v>
      </c>
      <c r="T295" s="42">
        <f t="shared" si="54"/>
        <v>96</v>
      </c>
    </row>
    <row r="296" spans="1:20" x14ac:dyDescent="0.2">
      <c r="A296" t="str">
        <f>INDEX(Prioritization!$D:$D,MATCH($B296,Prioritization!$A:$A,0))</f>
        <v>1 - Scale-up: Saturation</v>
      </c>
      <c r="B296" t="s">
        <v>213</v>
      </c>
      <c r="C296" t="s">
        <v>315</v>
      </c>
      <c r="D296" t="s">
        <v>47</v>
      </c>
      <c r="E296" t="str">
        <f t="shared" si="44"/>
        <v>Machinga District [TYnMSwzko3z]|&lt;01|Male</v>
      </c>
      <c r="F296" t="s">
        <v>1245</v>
      </c>
      <c r="G296" s="14">
        <v>4</v>
      </c>
      <c r="H296" s="14">
        <v>17</v>
      </c>
      <c r="I296" s="90">
        <f t="shared" si="45"/>
        <v>0</v>
      </c>
      <c r="J296" s="90"/>
      <c r="K296" s="90"/>
      <c r="L296" s="90">
        <f t="shared" si="46"/>
        <v>1</v>
      </c>
      <c r="M296" s="90">
        <f t="shared" si="47"/>
        <v>0.2</v>
      </c>
      <c r="N296" s="14">
        <f t="shared" si="48"/>
        <v>17</v>
      </c>
      <c r="O296" s="42" t="str">
        <f t="shared" si="49"/>
        <v/>
      </c>
      <c r="P296" s="42" t="str">
        <f t="shared" si="50"/>
        <v/>
      </c>
      <c r="Q296" s="42">
        <f t="shared" si="51"/>
        <v>3</v>
      </c>
      <c r="R296" s="42">
        <f t="shared" si="52"/>
        <v>14</v>
      </c>
      <c r="S296" s="90">
        <f t="shared" si="53"/>
        <v>1</v>
      </c>
      <c r="T296" s="42">
        <f t="shared" si="54"/>
        <v>17</v>
      </c>
    </row>
    <row r="297" spans="1:20" x14ac:dyDescent="0.2">
      <c r="A297" t="str">
        <f>INDEX(Prioritization!$D:$D,MATCH($B297,Prioritization!$A:$A,0))</f>
        <v>1 - Scale-up: Saturation</v>
      </c>
      <c r="B297" t="s">
        <v>213</v>
      </c>
      <c r="C297" t="s">
        <v>809</v>
      </c>
      <c r="D297" t="s">
        <v>29</v>
      </c>
      <c r="E297" t="str">
        <f t="shared" si="44"/>
        <v>Machinga District [TYnMSwzko3z]|01-04|Female</v>
      </c>
      <c r="F297" t="s">
        <v>1245</v>
      </c>
      <c r="G297" s="14">
        <v>62</v>
      </c>
      <c r="H297" s="14">
        <v>58</v>
      </c>
      <c r="I297" s="90">
        <f t="shared" si="45"/>
        <v>0</v>
      </c>
      <c r="J297" s="90"/>
      <c r="K297" s="90"/>
      <c r="L297" s="90">
        <f t="shared" si="46"/>
        <v>1</v>
      </c>
      <c r="M297" s="90">
        <f t="shared" si="47"/>
        <v>0.2</v>
      </c>
      <c r="N297" s="14">
        <f t="shared" si="48"/>
        <v>58</v>
      </c>
      <c r="O297" s="42" t="str">
        <f t="shared" si="49"/>
        <v/>
      </c>
      <c r="P297" s="42" t="str">
        <f t="shared" si="50"/>
        <v/>
      </c>
      <c r="Q297" s="42">
        <f t="shared" si="51"/>
        <v>12</v>
      </c>
      <c r="R297" s="42">
        <f t="shared" si="52"/>
        <v>46</v>
      </c>
      <c r="S297" s="90">
        <f t="shared" si="53"/>
        <v>1</v>
      </c>
      <c r="T297" s="42">
        <f t="shared" si="54"/>
        <v>58</v>
      </c>
    </row>
    <row r="298" spans="1:20" x14ac:dyDescent="0.2">
      <c r="A298" t="str">
        <f>INDEX(Prioritization!$D:$D,MATCH($B298,Prioritization!$A:$A,0))</f>
        <v>1 - Scale-up: Saturation</v>
      </c>
      <c r="B298" t="s">
        <v>213</v>
      </c>
      <c r="C298" t="s">
        <v>809</v>
      </c>
      <c r="D298" t="s">
        <v>47</v>
      </c>
      <c r="E298" t="str">
        <f t="shared" si="44"/>
        <v>Machinga District [TYnMSwzko3z]|01-04|Male</v>
      </c>
      <c r="F298" t="s">
        <v>1245</v>
      </c>
      <c r="G298" s="14">
        <v>83</v>
      </c>
      <c r="H298" s="14">
        <v>13</v>
      </c>
      <c r="I298" s="90">
        <f t="shared" si="45"/>
        <v>0</v>
      </c>
      <c r="J298" s="90"/>
      <c r="K298" s="90"/>
      <c r="L298" s="90">
        <f t="shared" si="46"/>
        <v>1</v>
      </c>
      <c r="M298" s="90">
        <f t="shared" si="47"/>
        <v>0.2</v>
      </c>
      <c r="N298" s="14">
        <f t="shared" si="48"/>
        <v>13</v>
      </c>
      <c r="O298" s="42" t="str">
        <f t="shared" si="49"/>
        <v/>
      </c>
      <c r="P298" s="42" t="str">
        <f t="shared" si="50"/>
        <v/>
      </c>
      <c r="Q298" s="42">
        <f t="shared" si="51"/>
        <v>3</v>
      </c>
      <c r="R298" s="42">
        <f t="shared" si="52"/>
        <v>10</v>
      </c>
      <c r="S298" s="90">
        <f t="shared" si="53"/>
        <v>1</v>
      </c>
      <c r="T298" s="42">
        <f t="shared" si="54"/>
        <v>13</v>
      </c>
    </row>
    <row r="299" spans="1:20" x14ac:dyDescent="0.2">
      <c r="A299" t="str">
        <f>INDEX(Prioritization!$D:$D,MATCH($B299,Prioritization!$A:$A,0))</f>
        <v>1 - Scale-up: Saturation</v>
      </c>
      <c r="B299" t="s">
        <v>213</v>
      </c>
      <c r="C299" t="s">
        <v>810</v>
      </c>
      <c r="D299" t="s">
        <v>29</v>
      </c>
      <c r="E299" t="str">
        <f t="shared" si="44"/>
        <v>Machinga District [TYnMSwzko3z]|05-09|Female</v>
      </c>
      <c r="F299" t="s">
        <v>1245</v>
      </c>
      <c r="G299" s="14">
        <v>264</v>
      </c>
      <c r="H299" s="14">
        <v>58</v>
      </c>
      <c r="I299" s="90">
        <f t="shared" si="45"/>
        <v>0</v>
      </c>
      <c r="J299" s="90"/>
      <c r="K299" s="90"/>
      <c r="L299" s="90">
        <f t="shared" si="46"/>
        <v>1</v>
      </c>
      <c r="M299" s="90">
        <f t="shared" si="47"/>
        <v>0.2</v>
      </c>
      <c r="N299" s="14">
        <f t="shared" si="48"/>
        <v>58</v>
      </c>
      <c r="O299" s="42" t="str">
        <f t="shared" si="49"/>
        <v/>
      </c>
      <c r="P299" s="42" t="str">
        <f t="shared" si="50"/>
        <v/>
      </c>
      <c r="Q299" s="42">
        <f t="shared" si="51"/>
        <v>12</v>
      </c>
      <c r="R299" s="42">
        <f t="shared" si="52"/>
        <v>46</v>
      </c>
      <c r="S299" s="90">
        <f t="shared" si="53"/>
        <v>1</v>
      </c>
      <c r="T299" s="42">
        <f t="shared" si="54"/>
        <v>58</v>
      </c>
    </row>
    <row r="300" spans="1:20" x14ac:dyDescent="0.2">
      <c r="A300" t="str">
        <f>INDEX(Prioritization!$D:$D,MATCH($B300,Prioritization!$A:$A,0))</f>
        <v>1 - Scale-up: Saturation</v>
      </c>
      <c r="B300" t="s">
        <v>213</v>
      </c>
      <c r="C300" t="s">
        <v>810</v>
      </c>
      <c r="D300" t="s">
        <v>47</v>
      </c>
      <c r="E300" t="str">
        <f t="shared" si="44"/>
        <v>Machinga District [TYnMSwzko3z]|05-09|Male</v>
      </c>
      <c r="F300" t="s">
        <v>1245</v>
      </c>
      <c r="G300" s="14">
        <v>905</v>
      </c>
      <c r="H300" s="14">
        <v>13</v>
      </c>
      <c r="I300" s="90">
        <f t="shared" si="45"/>
        <v>0</v>
      </c>
      <c r="J300" s="90"/>
      <c r="K300" s="90"/>
      <c r="L300" s="90">
        <f t="shared" si="46"/>
        <v>1</v>
      </c>
      <c r="M300" s="90">
        <f t="shared" si="47"/>
        <v>0.2</v>
      </c>
      <c r="N300" s="14">
        <f t="shared" si="48"/>
        <v>13</v>
      </c>
      <c r="O300" s="42" t="str">
        <f t="shared" si="49"/>
        <v/>
      </c>
      <c r="P300" s="42" t="str">
        <f t="shared" si="50"/>
        <v/>
      </c>
      <c r="Q300" s="42">
        <f t="shared" si="51"/>
        <v>3</v>
      </c>
      <c r="R300" s="42">
        <f t="shared" si="52"/>
        <v>10</v>
      </c>
      <c r="S300" s="90">
        <f t="shared" si="53"/>
        <v>1</v>
      </c>
      <c r="T300" s="42">
        <f t="shared" si="54"/>
        <v>13</v>
      </c>
    </row>
    <row r="301" spans="1:20" x14ac:dyDescent="0.2">
      <c r="A301" t="str">
        <f>INDEX(Prioritization!$D:$D,MATCH($B301,Prioritization!$A:$A,0))</f>
        <v>1 - Scale-up: Saturation</v>
      </c>
      <c r="B301" t="s">
        <v>213</v>
      </c>
      <c r="C301" t="s">
        <v>363</v>
      </c>
      <c r="D301" t="s">
        <v>29</v>
      </c>
      <c r="E301" t="str">
        <f t="shared" si="44"/>
        <v>Machinga District [TYnMSwzko3z]|10-14|Female</v>
      </c>
      <c r="F301" t="s">
        <v>1245</v>
      </c>
      <c r="G301" s="14">
        <v>1866</v>
      </c>
      <c r="H301" s="14">
        <v>487</v>
      </c>
      <c r="I301" s="90">
        <f t="shared" si="45"/>
        <v>0</v>
      </c>
      <c r="J301" s="90"/>
      <c r="K301" s="90"/>
      <c r="L301" s="90">
        <f t="shared" si="46"/>
        <v>1</v>
      </c>
      <c r="M301" s="90">
        <f t="shared" si="47"/>
        <v>0.2</v>
      </c>
      <c r="N301" s="14">
        <f t="shared" si="48"/>
        <v>487</v>
      </c>
      <c r="O301" s="42" t="str">
        <f t="shared" si="49"/>
        <v/>
      </c>
      <c r="P301" s="42" t="str">
        <f t="shared" si="50"/>
        <v/>
      </c>
      <c r="Q301" s="42">
        <f t="shared" si="51"/>
        <v>97</v>
      </c>
      <c r="R301" s="42">
        <f t="shared" si="52"/>
        <v>390</v>
      </c>
      <c r="S301" s="90">
        <f t="shared" si="53"/>
        <v>1</v>
      </c>
      <c r="T301" s="42">
        <f t="shared" si="54"/>
        <v>487</v>
      </c>
    </row>
    <row r="302" spans="1:20" x14ac:dyDescent="0.2">
      <c r="A302" t="str">
        <f>INDEX(Prioritization!$D:$D,MATCH($B302,Prioritization!$A:$A,0))</f>
        <v>1 - Scale-up: Saturation</v>
      </c>
      <c r="B302" t="s">
        <v>213</v>
      </c>
      <c r="C302" t="s">
        <v>363</v>
      </c>
      <c r="D302" t="s">
        <v>47</v>
      </c>
      <c r="E302" t="str">
        <f t="shared" si="44"/>
        <v>Machinga District [TYnMSwzko3z]|10-14|Male</v>
      </c>
      <c r="F302" t="s">
        <v>1245</v>
      </c>
      <c r="G302" s="14">
        <v>582</v>
      </c>
      <c r="H302" s="14">
        <v>783</v>
      </c>
      <c r="I302" s="90">
        <f t="shared" si="45"/>
        <v>0</v>
      </c>
      <c r="J302" s="90"/>
      <c r="K302" s="90"/>
      <c r="L302" s="90">
        <f t="shared" si="46"/>
        <v>1</v>
      </c>
      <c r="M302" s="90">
        <f t="shared" si="47"/>
        <v>0.2</v>
      </c>
      <c r="N302" s="14">
        <f t="shared" si="48"/>
        <v>783</v>
      </c>
      <c r="O302" s="42" t="str">
        <f t="shared" si="49"/>
        <v/>
      </c>
      <c r="P302" s="42" t="str">
        <f t="shared" si="50"/>
        <v/>
      </c>
      <c r="Q302" s="42">
        <f t="shared" si="51"/>
        <v>157</v>
      </c>
      <c r="R302" s="42">
        <f t="shared" si="52"/>
        <v>626</v>
      </c>
      <c r="S302" s="90">
        <f t="shared" si="53"/>
        <v>1</v>
      </c>
      <c r="T302" s="42">
        <f t="shared" si="54"/>
        <v>783</v>
      </c>
    </row>
    <row r="303" spans="1:20" x14ac:dyDescent="0.2">
      <c r="A303" t="str">
        <f>INDEX(Prioritization!$D:$D,MATCH($B303,Prioritization!$A:$A,0))</f>
        <v>1 - Scale-up: Saturation</v>
      </c>
      <c r="B303" t="s">
        <v>213</v>
      </c>
      <c r="C303" t="s">
        <v>811</v>
      </c>
      <c r="D303" t="s">
        <v>29</v>
      </c>
      <c r="E303" t="str">
        <f t="shared" si="44"/>
        <v>Machinga District [TYnMSwzko3z]|15-17|Female</v>
      </c>
      <c r="F303" t="s">
        <v>1245</v>
      </c>
      <c r="G303" s="14">
        <v>404</v>
      </c>
      <c r="H303" s="14">
        <v>675</v>
      </c>
      <c r="I303" s="90">
        <f t="shared" si="45"/>
        <v>0</v>
      </c>
      <c r="J303" s="90"/>
      <c r="K303" s="90"/>
      <c r="L303" s="90">
        <f t="shared" si="46"/>
        <v>1</v>
      </c>
      <c r="M303" s="90">
        <f t="shared" si="47"/>
        <v>0.2</v>
      </c>
      <c r="N303" s="14">
        <f t="shared" si="48"/>
        <v>675</v>
      </c>
      <c r="O303" s="42" t="str">
        <f t="shared" si="49"/>
        <v/>
      </c>
      <c r="P303" s="42" t="str">
        <f t="shared" si="50"/>
        <v/>
      </c>
      <c r="Q303" s="42">
        <f t="shared" si="51"/>
        <v>135</v>
      </c>
      <c r="R303" s="42">
        <f t="shared" si="52"/>
        <v>540</v>
      </c>
      <c r="S303" s="90">
        <f t="shared" si="53"/>
        <v>1</v>
      </c>
      <c r="T303" s="42">
        <f t="shared" si="54"/>
        <v>675</v>
      </c>
    </row>
    <row r="304" spans="1:20" x14ac:dyDescent="0.2">
      <c r="A304" t="str">
        <f>INDEX(Prioritization!$D:$D,MATCH($B304,Prioritization!$A:$A,0))</f>
        <v>1 - Scale-up: Saturation</v>
      </c>
      <c r="B304" t="s">
        <v>213</v>
      </c>
      <c r="C304" t="s">
        <v>811</v>
      </c>
      <c r="D304" t="s">
        <v>47</v>
      </c>
      <c r="E304" t="str">
        <f t="shared" si="44"/>
        <v>Machinga District [TYnMSwzko3z]|15-17|Male</v>
      </c>
      <c r="F304" t="s">
        <v>1245</v>
      </c>
      <c r="G304" s="14">
        <v>42</v>
      </c>
      <c r="H304" s="14">
        <v>68</v>
      </c>
      <c r="I304" s="90">
        <f t="shared" si="45"/>
        <v>0</v>
      </c>
      <c r="J304" s="90"/>
      <c r="K304" s="90"/>
      <c r="L304" s="90">
        <f t="shared" si="46"/>
        <v>1</v>
      </c>
      <c r="M304" s="90">
        <f t="shared" si="47"/>
        <v>0.2</v>
      </c>
      <c r="N304" s="14">
        <f t="shared" si="48"/>
        <v>68</v>
      </c>
      <c r="O304" s="42" t="str">
        <f t="shared" si="49"/>
        <v/>
      </c>
      <c r="P304" s="42" t="str">
        <f t="shared" si="50"/>
        <v/>
      </c>
      <c r="Q304" s="42">
        <f t="shared" si="51"/>
        <v>14</v>
      </c>
      <c r="R304" s="42">
        <f t="shared" si="52"/>
        <v>54</v>
      </c>
      <c r="S304" s="90">
        <f t="shared" si="53"/>
        <v>1</v>
      </c>
      <c r="T304" s="42">
        <f t="shared" si="54"/>
        <v>68</v>
      </c>
    </row>
    <row r="305" spans="1:20" x14ac:dyDescent="0.2">
      <c r="A305" t="str">
        <f>INDEX(Prioritization!$D:$D,MATCH($B305,Prioritization!$A:$A,0))</f>
        <v>1 - Scale-up: Saturation</v>
      </c>
      <c r="B305" t="s">
        <v>213</v>
      </c>
      <c r="C305" t="s">
        <v>812</v>
      </c>
      <c r="D305" t="s">
        <v>29</v>
      </c>
      <c r="E305" t="str">
        <f t="shared" si="44"/>
        <v>Machinga District [TYnMSwzko3z]|18-20|Female</v>
      </c>
      <c r="F305" t="s">
        <v>1245</v>
      </c>
      <c r="G305" s="14"/>
      <c r="H305" s="14">
        <v>3</v>
      </c>
      <c r="I305" s="90">
        <f t="shared" si="45"/>
        <v>0</v>
      </c>
      <c r="J305" s="90"/>
      <c r="K305" s="90"/>
      <c r="L305" s="90">
        <f t="shared" si="46"/>
        <v>1</v>
      </c>
      <c r="M305" s="90">
        <f t="shared" si="47"/>
        <v>0.2</v>
      </c>
      <c r="N305" s="14">
        <f t="shared" si="48"/>
        <v>3</v>
      </c>
      <c r="O305" s="42" t="str">
        <f t="shared" si="49"/>
        <v/>
      </c>
      <c r="P305" s="42" t="str">
        <f t="shared" si="50"/>
        <v/>
      </c>
      <c r="Q305" s="42">
        <f t="shared" si="51"/>
        <v>1</v>
      </c>
      <c r="R305" s="42">
        <f t="shared" si="52"/>
        <v>2</v>
      </c>
      <c r="S305" s="90" t="str">
        <f t="shared" si="53"/>
        <v/>
      </c>
      <c r="T305" s="42" t="str">
        <f t="shared" si="54"/>
        <v/>
      </c>
    </row>
    <row r="306" spans="1:20" x14ac:dyDescent="0.2">
      <c r="A306" t="str">
        <f>INDEX(Prioritization!$D:$D,MATCH($B306,Prioritization!$A:$A,0))</f>
        <v>1 - Scale-up: Saturation</v>
      </c>
      <c r="B306" t="s">
        <v>213</v>
      </c>
      <c r="C306" t="s">
        <v>812</v>
      </c>
      <c r="D306" t="s">
        <v>47</v>
      </c>
      <c r="E306" t="str">
        <f t="shared" si="44"/>
        <v>Machinga District [TYnMSwzko3z]|18-20|Male</v>
      </c>
      <c r="F306" t="s">
        <v>1245</v>
      </c>
      <c r="G306" s="14"/>
      <c r="H306" s="14">
        <v>2</v>
      </c>
      <c r="I306" s="90">
        <f t="shared" si="45"/>
        <v>0</v>
      </c>
      <c r="J306" s="90"/>
      <c r="K306" s="90"/>
      <c r="L306" s="90">
        <f t="shared" si="46"/>
        <v>1</v>
      </c>
      <c r="M306" s="90">
        <f t="shared" si="47"/>
        <v>0.2</v>
      </c>
      <c r="N306" s="14">
        <f t="shared" si="48"/>
        <v>2</v>
      </c>
      <c r="O306" s="42" t="str">
        <f t="shared" si="49"/>
        <v/>
      </c>
      <c r="P306" s="42" t="str">
        <f t="shared" si="50"/>
        <v/>
      </c>
      <c r="Q306" s="42" t="str">
        <f t="shared" si="51"/>
        <v/>
      </c>
      <c r="R306" s="42" t="str">
        <f t="shared" si="52"/>
        <v/>
      </c>
      <c r="S306" s="90" t="str">
        <f t="shared" si="53"/>
        <v/>
      </c>
      <c r="T306" s="42" t="str">
        <f t="shared" si="54"/>
        <v/>
      </c>
    </row>
    <row r="307" spans="1:20" x14ac:dyDescent="0.2">
      <c r="A307" t="str">
        <f>INDEX(Prioritization!$D:$D,MATCH($B307,Prioritization!$A:$A,0))</f>
        <v>1 - Scale-up: Saturation</v>
      </c>
      <c r="B307" t="s">
        <v>213</v>
      </c>
      <c r="C307" t="s">
        <v>813</v>
      </c>
      <c r="D307" t="s">
        <v>29</v>
      </c>
      <c r="E307" t="str">
        <f t="shared" si="44"/>
        <v>Machinga District [TYnMSwzko3z]|18+|Female</v>
      </c>
      <c r="F307" t="s">
        <v>1245</v>
      </c>
      <c r="G307" s="14">
        <v>489</v>
      </c>
      <c r="H307" s="14">
        <v>315</v>
      </c>
      <c r="I307" s="90">
        <f t="shared" si="45"/>
        <v>0</v>
      </c>
      <c r="J307" s="90"/>
      <c r="K307" s="90"/>
      <c r="L307" s="90">
        <f t="shared" si="46"/>
        <v>1</v>
      </c>
      <c r="M307" s="90">
        <f t="shared" si="47"/>
        <v>0.2</v>
      </c>
      <c r="N307" s="14">
        <f t="shared" si="48"/>
        <v>315</v>
      </c>
      <c r="O307" s="42" t="str">
        <f t="shared" si="49"/>
        <v/>
      </c>
      <c r="P307" s="42" t="str">
        <f t="shared" si="50"/>
        <v/>
      </c>
      <c r="Q307" s="42">
        <f t="shared" si="51"/>
        <v>63</v>
      </c>
      <c r="R307" s="42">
        <f t="shared" si="52"/>
        <v>252</v>
      </c>
      <c r="S307" s="90" t="str">
        <f t="shared" si="53"/>
        <v/>
      </c>
      <c r="T307" s="42" t="str">
        <f t="shared" si="54"/>
        <v/>
      </c>
    </row>
    <row r="308" spans="1:20" x14ac:dyDescent="0.2">
      <c r="A308" t="str">
        <f>INDEX(Prioritization!$D:$D,MATCH($B308,Prioritization!$A:$A,0))</f>
        <v>1 - Scale-up: Saturation</v>
      </c>
      <c r="B308" t="s">
        <v>213</v>
      </c>
      <c r="C308" t="s">
        <v>813</v>
      </c>
      <c r="D308" t="s">
        <v>47</v>
      </c>
      <c r="E308" t="str">
        <f t="shared" si="44"/>
        <v>Machinga District [TYnMSwzko3z]|18+|Male</v>
      </c>
      <c r="F308" t="s">
        <v>1245</v>
      </c>
      <c r="G308" s="14">
        <v>48</v>
      </c>
      <c r="H308" s="14">
        <v>49</v>
      </c>
      <c r="I308" s="90">
        <f t="shared" si="45"/>
        <v>0</v>
      </c>
      <c r="J308" s="90"/>
      <c r="K308" s="90"/>
      <c r="L308" s="90">
        <f t="shared" si="46"/>
        <v>1</v>
      </c>
      <c r="M308" s="90">
        <f t="shared" si="47"/>
        <v>0.2</v>
      </c>
      <c r="N308" s="14">
        <f t="shared" si="48"/>
        <v>49</v>
      </c>
      <c r="O308" s="42" t="str">
        <f t="shared" si="49"/>
        <v/>
      </c>
      <c r="P308" s="42" t="str">
        <f t="shared" si="50"/>
        <v/>
      </c>
      <c r="Q308" s="42">
        <f t="shared" si="51"/>
        <v>10</v>
      </c>
      <c r="R308" s="42">
        <f t="shared" si="52"/>
        <v>39</v>
      </c>
      <c r="S308" s="90" t="str">
        <f t="shared" si="53"/>
        <v/>
      </c>
      <c r="T308" s="42" t="str">
        <f t="shared" si="54"/>
        <v/>
      </c>
    </row>
    <row r="309" spans="1:20" x14ac:dyDescent="0.2">
      <c r="A309" t="str">
        <f>INDEX(Prioritization!$D:$D,MATCH($B309,Prioritization!$A:$A,0))</f>
        <v>INVALID</v>
      </c>
      <c r="B309" t="s">
        <v>214</v>
      </c>
      <c r="C309" t="s">
        <v>315</v>
      </c>
      <c r="D309" t="s">
        <v>29</v>
      </c>
      <c r="E309" t="str">
        <f t="shared" si="44"/>
        <v>Mangochi District [lLDyBx5XyUi]|&lt;01|Female</v>
      </c>
      <c r="G309" s="14">
        <v>25</v>
      </c>
      <c r="H309" s="14">
        <v>47</v>
      </c>
      <c r="I309" s="90">
        <f t="shared" si="45"/>
        <v>0</v>
      </c>
      <c r="J309" s="90"/>
      <c r="K309" s="90"/>
      <c r="L309" s="90">
        <f t="shared" si="46"/>
        <v>1</v>
      </c>
      <c r="M309" s="90">
        <f t="shared" si="47"/>
        <v>0.2</v>
      </c>
      <c r="N309" s="14">
        <f t="shared" si="48"/>
        <v>47</v>
      </c>
      <c r="O309" s="42" t="str">
        <f t="shared" si="49"/>
        <v/>
      </c>
      <c r="P309" s="42" t="str">
        <f t="shared" si="50"/>
        <v/>
      </c>
      <c r="Q309" s="42">
        <f t="shared" si="51"/>
        <v>9</v>
      </c>
      <c r="R309" s="42">
        <f t="shared" si="52"/>
        <v>38</v>
      </c>
      <c r="S309" s="90">
        <f t="shared" si="53"/>
        <v>1</v>
      </c>
      <c r="T309" s="42">
        <f t="shared" si="54"/>
        <v>47</v>
      </c>
    </row>
    <row r="310" spans="1:20" x14ac:dyDescent="0.2">
      <c r="A310" t="str">
        <f>INDEX(Prioritization!$D:$D,MATCH($B310,Prioritization!$A:$A,0))</f>
        <v>INVALID</v>
      </c>
      <c r="B310" t="s">
        <v>214</v>
      </c>
      <c r="C310" t="s">
        <v>315</v>
      </c>
      <c r="D310" t="s">
        <v>47</v>
      </c>
      <c r="E310" t="str">
        <f t="shared" si="44"/>
        <v>Mangochi District [lLDyBx5XyUi]|&lt;01|Male</v>
      </c>
      <c r="G310" s="14">
        <v>42</v>
      </c>
      <c r="H310" s="14">
        <v>53</v>
      </c>
      <c r="I310" s="90">
        <f t="shared" si="45"/>
        <v>0</v>
      </c>
      <c r="J310" s="90"/>
      <c r="K310" s="90"/>
      <c r="L310" s="90">
        <f t="shared" si="46"/>
        <v>1</v>
      </c>
      <c r="M310" s="90">
        <f t="shared" si="47"/>
        <v>0.2</v>
      </c>
      <c r="N310" s="14">
        <f t="shared" si="48"/>
        <v>53</v>
      </c>
      <c r="O310" s="42" t="str">
        <f t="shared" si="49"/>
        <v/>
      </c>
      <c r="P310" s="42" t="str">
        <f t="shared" si="50"/>
        <v/>
      </c>
      <c r="Q310" s="42">
        <f t="shared" si="51"/>
        <v>11</v>
      </c>
      <c r="R310" s="42">
        <f t="shared" si="52"/>
        <v>42</v>
      </c>
      <c r="S310" s="90">
        <f t="shared" si="53"/>
        <v>1</v>
      </c>
      <c r="T310" s="42">
        <f t="shared" si="54"/>
        <v>53</v>
      </c>
    </row>
    <row r="311" spans="1:20" x14ac:dyDescent="0.2">
      <c r="A311" t="str">
        <f>INDEX(Prioritization!$D:$D,MATCH($B311,Prioritization!$A:$A,0))</f>
        <v>INVALID</v>
      </c>
      <c r="B311" t="s">
        <v>214</v>
      </c>
      <c r="C311" t="s">
        <v>809</v>
      </c>
      <c r="D311" t="s">
        <v>29</v>
      </c>
      <c r="E311" t="str">
        <f t="shared" si="44"/>
        <v>Mangochi District [lLDyBx5XyUi]|01-04|Female</v>
      </c>
      <c r="G311" s="14">
        <v>83</v>
      </c>
      <c r="H311" s="14">
        <v>42</v>
      </c>
      <c r="I311" s="90">
        <f t="shared" si="45"/>
        <v>0</v>
      </c>
      <c r="J311" s="90"/>
      <c r="K311" s="90"/>
      <c r="L311" s="90">
        <f t="shared" si="46"/>
        <v>1</v>
      </c>
      <c r="M311" s="90">
        <f t="shared" si="47"/>
        <v>0.2</v>
      </c>
      <c r="N311" s="14">
        <f t="shared" si="48"/>
        <v>42</v>
      </c>
      <c r="O311" s="42" t="str">
        <f t="shared" si="49"/>
        <v/>
      </c>
      <c r="P311" s="42" t="str">
        <f t="shared" si="50"/>
        <v/>
      </c>
      <c r="Q311" s="42">
        <f t="shared" si="51"/>
        <v>8</v>
      </c>
      <c r="R311" s="42">
        <f t="shared" si="52"/>
        <v>34</v>
      </c>
      <c r="S311" s="90">
        <f t="shared" si="53"/>
        <v>1</v>
      </c>
      <c r="T311" s="42">
        <f t="shared" si="54"/>
        <v>42</v>
      </c>
    </row>
    <row r="312" spans="1:20" x14ac:dyDescent="0.2">
      <c r="A312" t="str">
        <f>INDEX(Prioritization!$D:$D,MATCH($B312,Prioritization!$A:$A,0))</f>
        <v>INVALID</v>
      </c>
      <c r="B312" t="s">
        <v>214</v>
      </c>
      <c r="C312" t="s">
        <v>809</v>
      </c>
      <c r="D312" t="s">
        <v>47</v>
      </c>
      <c r="E312" t="str">
        <f t="shared" si="44"/>
        <v>Mangochi District [lLDyBx5XyUi]|01-04|Male</v>
      </c>
      <c r="G312" s="14">
        <v>45</v>
      </c>
      <c r="H312" s="14">
        <v>35</v>
      </c>
      <c r="I312" s="90">
        <f t="shared" si="45"/>
        <v>0</v>
      </c>
      <c r="J312" s="90"/>
      <c r="K312" s="90"/>
      <c r="L312" s="90">
        <f t="shared" si="46"/>
        <v>1</v>
      </c>
      <c r="M312" s="90">
        <f t="shared" si="47"/>
        <v>0.2</v>
      </c>
      <c r="N312" s="14">
        <f t="shared" si="48"/>
        <v>35</v>
      </c>
      <c r="O312" s="42" t="str">
        <f t="shared" si="49"/>
        <v/>
      </c>
      <c r="P312" s="42" t="str">
        <f t="shared" si="50"/>
        <v/>
      </c>
      <c r="Q312" s="42">
        <f t="shared" si="51"/>
        <v>7</v>
      </c>
      <c r="R312" s="42">
        <f t="shared" si="52"/>
        <v>28</v>
      </c>
      <c r="S312" s="90">
        <f t="shared" si="53"/>
        <v>1</v>
      </c>
      <c r="T312" s="42">
        <f t="shared" si="54"/>
        <v>35</v>
      </c>
    </row>
    <row r="313" spans="1:20" x14ac:dyDescent="0.2">
      <c r="A313" t="str">
        <f>INDEX(Prioritization!$D:$D,MATCH($B313,Prioritization!$A:$A,0))</f>
        <v>INVALID</v>
      </c>
      <c r="B313" t="s">
        <v>214</v>
      </c>
      <c r="C313" t="s">
        <v>810</v>
      </c>
      <c r="D313" t="s">
        <v>29</v>
      </c>
      <c r="E313" t="str">
        <f t="shared" si="44"/>
        <v>Mangochi District [lLDyBx5XyUi]|05-09|Female</v>
      </c>
      <c r="G313" s="14">
        <v>746</v>
      </c>
      <c r="H313" s="14">
        <v>90</v>
      </c>
      <c r="I313" s="90">
        <f t="shared" si="45"/>
        <v>0</v>
      </c>
      <c r="J313" s="90"/>
      <c r="K313" s="90"/>
      <c r="L313" s="90">
        <f t="shared" si="46"/>
        <v>1</v>
      </c>
      <c r="M313" s="90">
        <f t="shared" si="47"/>
        <v>0.2</v>
      </c>
      <c r="N313" s="14">
        <f t="shared" si="48"/>
        <v>90</v>
      </c>
      <c r="O313" s="42" t="str">
        <f t="shared" si="49"/>
        <v/>
      </c>
      <c r="P313" s="42" t="str">
        <f t="shared" si="50"/>
        <v/>
      </c>
      <c r="Q313" s="42">
        <f t="shared" si="51"/>
        <v>18</v>
      </c>
      <c r="R313" s="42">
        <f t="shared" si="52"/>
        <v>72</v>
      </c>
      <c r="S313" s="90">
        <f t="shared" si="53"/>
        <v>1</v>
      </c>
      <c r="T313" s="42">
        <f t="shared" si="54"/>
        <v>90</v>
      </c>
    </row>
    <row r="314" spans="1:20" x14ac:dyDescent="0.2">
      <c r="A314" t="str">
        <f>INDEX(Prioritization!$D:$D,MATCH($B314,Prioritization!$A:$A,0))</f>
        <v>INVALID</v>
      </c>
      <c r="B314" t="s">
        <v>214</v>
      </c>
      <c r="C314" t="s">
        <v>810</v>
      </c>
      <c r="D314" t="s">
        <v>47</v>
      </c>
      <c r="E314" t="str">
        <f t="shared" si="44"/>
        <v>Mangochi District [lLDyBx5XyUi]|05-09|Male</v>
      </c>
      <c r="G314" s="14">
        <v>942</v>
      </c>
      <c r="H314" s="14">
        <v>14</v>
      </c>
      <c r="I314" s="90">
        <f t="shared" si="45"/>
        <v>0</v>
      </c>
      <c r="J314" s="90"/>
      <c r="K314" s="90"/>
      <c r="L314" s="90">
        <f t="shared" si="46"/>
        <v>1</v>
      </c>
      <c r="M314" s="90">
        <f t="shared" si="47"/>
        <v>0.2</v>
      </c>
      <c r="N314" s="14">
        <f t="shared" si="48"/>
        <v>14</v>
      </c>
      <c r="O314" s="42" t="str">
        <f t="shared" si="49"/>
        <v/>
      </c>
      <c r="P314" s="42" t="str">
        <f t="shared" si="50"/>
        <v/>
      </c>
      <c r="Q314" s="42">
        <f t="shared" si="51"/>
        <v>3</v>
      </c>
      <c r="R314" s="42">
        <f t="shared" si="52"/>
        <v>11</v>
      </c>
      <c r="S314" s="90">
        <f t="shared" si="53"/>
        <v>1</v>
      </c>
      <c r="T314" s="42">
        <f t="shared" si="54"/>
        <v>14</v>
      </c>
    </row>
    <row r="315" spans="1:20" x14ac:dyDescent="0.2">
      <c r="A315" t="str">
        <f>INDEX(Prioritization!$D:$D,MATCH($B315,Prioritization!$A:$A,0))</f>
        <v>INVALID</v>
      </c>
      <c r="B315" t="s">
        <v>214</v>
      </c>
      <c r="C315" t="s">
        <v>363</v>
      </c>
      <c r="D315" t="s">
        <v>29</v>
      </c>
      <c r="E315" t="str">
        <f t="shared" si="44"/>
        <v>Mangochi District [lLDyBx5XyUi]|10-14|Female</v>
      </c>
      <c r="G315" s="14">
        <v>179</v>
      </c>
      <c r="H315" s="14">
        <v>964</v>
      </c>
      <c r="I315" s="90">
        <f t="shared" si="45"/>
        <v>0</v>
      </c>
      <c r="J315" s="90"/>
      <c r="K315" s="90"/>
      <c r="L315" s="90">
        <f t="shared" si="46"/>
        <v>1</v>
      </c>
      <c r="M315" s="90">
        <f t="shared" si="47"/>
        <v>0.2</v>
      </c>
      <c r="N315" s="14">
        <f t="shared" si="48"/>
        <v>964</v>
      </c>
      <c r="O315" s="42" t="str">
        <f t="shared" si="49"/>
        <v/>
      </c>
      <c r="P315" s="42" t="str">
        <f t="shared" si="50"/>
        <v/>
      </c>
      <c r="Q315" s="42">
        <f t="shared" si="51"/>
        <v>193</v>
      </c>
      <c r="R315" s="42">
        <f t="shared" si="52"/>
        <v>771</v>
      </c>
      <c r="S315" s="90">
        <f t="shared" si="53"/>
        <v>1</v>
      </c>
      <c r="T315" s="42">
        <f t="shared" si="54"/>
        <v>964</v>
      </c>
    </row>
    <row r="316" spans="1:20" x14ac:dyDescent="0.2">
      <c r="A316" t="str">
        <f>INDEX(Prioritization!$D:$D,MATCH($B316,Prioritization!$A:$A,0))</f>
        <v>INVALID</v>
      </c>
      <c r="B316" t="s">
        <v>214</v>
      </c>
      <c r="C316" t="s">
        <v>363</v>
      </c>
      <c r="D316" t="s">
        <v>47</v>
      </c>
      <c r="E316" t="str">
        <f t="shared" si="44"/>
        <v>Mangochi District [lLDyBx5XyUi]|10-14|Male</v>
      </c>
      <c r="G316" s="14">
        <v>634</v>
      </c>
      <c r="H316" s="14">
        <v>884</v>
      </c>
      <c r="I316" s="90">
        <f t="shared" si="45"/>
        <v>0</v>
      </c>
      <c r="J316" s="90"/>
      <c r="K316" s="90"/>
      <c r="L316" s="90">
        <f t="shared" si="46"/>
        <v>1</v>
      </c>
      <c r="M316" s="90">
        <f t="shared" si="47"/>
        <v>0.2</v>
      </c>
      <c r="N316" s="14">
        <f t="shared" si="48"/>
        <v>884</v>
      </c>
      <c r="O316" s="42" t="str">
        <f t="shared" si="49"/>
        <v/>
      </c>
      <c r="P316" s="42" t="str">
        <f t="shared" si="50"/>
        <v/>
      </c>
      <c r="Q316" s="42">
        <f t="shared" si="51"/>
        <v>177</v>
      </c>
      <c r="R316" s="42">
        <f t="shared" si="52"/>
        <v>707</v>
      </c>
      <c r="S316" s="90">
        <f t="shared" si="53"/>
        <v>1</v>
      </c>
      <c r="T316" s="42">
        <f t="shared" si="54"/>
        <v>884</v>
      </c>
    </row>
    <row r="317" spans="1:20" x14ac:dyDescent="0.2">
      <c r="A317" t="str">
        <f>INDEX(Prioritization!$D:$D,MATCH($B317,Prioritization!$A:$A,0))</f>
        <v>INVALID</v>
      </c>
      <c r="B317" t="s">
        <v>214</v>
      </c>
      <c r="C317" t="s">
        <v>811</v>
      </c>
      <c r="D317" t="s">
        <v>29</v>
      </c>
      <c r="E317" t="str">
        <f t="shared" si="44"/>
        <v>Mangochi District [lLDyBx5XyUi]|15-17|Female</v>
      </c>
      <c r="G317" s="14">
        <v>23</v>
      </c>
      <c r="H317" s="14">
        <v>45</v>
      </c>
      <c r="I317" s="90">
        <f t="shared" si="45"/>
        <v>0</v>
      </c>
      <c r="J317" s="90"/>
      <c r="K317" s="90"/>
      <c r="L317" s="90">
        <f t="shared" si="46"/>
        <v>1</v>
      </c>
      <c r="M317" s="90">
        <f t="shared" si="47"/>
        <v>0.2</v>
      </c>
      <c r="N317" s="14">
        <f t="shared" si="48"/>
        <v>45</v>
      </c>
      <c r="O317" s="42" t="str">
        <f t="shared" si="49"/>
        <v/>
      </c>
      <c r="P317" s="42" t="str">
        <f t="shared" si="50"/>
        <v/>
      </c>
      <c r="Q317" s="42">
        <f t="shared" si="51"/>
        <v>9</v>
      </c>
      <c r="R317" s="42">
        <f t="shared" si="52"/>
        <v>36</v>
      </c>
      <c r="S317" s="90">
        <f t="shared" si="53"/>
        <v>1</v>
      </c>
      <c r="T317" s="42">
        <f t="shared" si="54"/>
        <v>45</v>
      </c>
    </row>
    <row r="318" spans="1:20" x14ac:dyDescent="0.2">
      <c r="A318" t="str">
        <f>INDEX(Prioritization!$D:$D,MATCH($B318,Prioritization!$A:$A,0))</f>
        <v>INVALID</v>
      </c>
      <c r="B318" t="s">
        <v>214</v>
      </c>
      <c r="C318" t="s">
        <v>811</v>
      </c>
      <c r="D318" t="s">
        <v>47</v>
      </c>
      <c r="E318" t="str">
        <f t="shared" si="44"/>
        <v>Mangochi District [lLDyBx5XyUi]|15-17|Male</v>
      </c>
      <c r="G318" s="14">
        <v>31</v>
      </c>
      <c r="H318" s="14">
        <v>44</v>
      </c>
      <c r="I318" s="90">
        <f t="shared" si="45"/>
        <v>0</v>
      </c>
      <c r="J318" s="90"/>
      <c r="K318" s="90"/>
      <c r="L318" s="90">
        <f t="shared" si="46"/>
        <v>1</v>
      </c>
      <c r="M318" s="90">
        <f t="shared" si="47"/>
        <v>0.2</v>
      </c>
      <c r="N318" s="14">
        <f t="shared" si="48"/>
        <v>44</v>
      </c>
      <c r="O318" s="42" t="str">
        <f t="shared" si="49"/>
        <v/>
      </c>
      <c r="P318" s="42" t="str">
        <f t="shared" si="50"/>
        <v/>
      </c>
      <c r="Q318" s="42">
        <f t="shared" si="51"/>
        <v>9</v>
      </c>
      <c r="R318" s="42">
        <f t="shared" si="52"/>
        <v>35</v>
      </c>
      <c r="S318" s="90">
        <f t="shared" si="53"/>
        <v>1</v>
      </c>
      <c r="T318" s="42">
        <f t="shared" si="54"/>
        <v>44</v>
      </c>
    </row>
    <row r="319" spans="1:20" x14ac:dyDescent="0.2">
      <c r="A319" t="str">
        <f>INDEX(Prioritization!$D:$D,MATCH($B319,Prioritization!$A:$A,0))</f>
        <v>INVALID</v>
      </c>
      <c r="B319" t="s">
        <v>214</v>
      </c>
      <c r="C319" t="s">
        <v>812</v>
      </c>
      <c r="D319" t="s">
        <v>29</v>
      </c>
      <c r="E319" t="str">
        <f t="shared" si="44"/>
        <v>Mangochi District [lLDyBx5XyUi]|18-20|Female</v>
      </c>
      <c r="G319" s="14"/>
      <c r="H319" s="14">
        <v>1</v>
      </c>
      <c r="I319" s="90">
        <f t="shared" si="45"/>
        <v>0</v>
      </c>
      <c r="J319" s="90"/>
      <c r="K319" s="90"/>
      <c r="L319" s="90">
        <f t="shared" si="46"/>
        <v>1</v>
      </c>
      <c r="M319" s="90">
        <f t="shared" si="47"/>
        <v>0.2</v>
      </c>
      <c r="N319" s="14">
        <f t="shared" si="48"/>
        <v>1</v>
      </c>
      <c r="O319" s="42" t="str">
        <f t="shared" si="49"/>
        <v/>
      </c>
      <c r="P319" s="42" t="str">
        <f t="shared" si="50"/>
        <v/>
      </c>
      <c r="Q319" s="42" t="str">
        <f t="shared" si="51"/>
        <v/>
      </c>
      <c r="R319" s="42" t="str">
        <f t="shared" si="52"/>
        <v/>
      </c>
      <c r="S319" s="90" t="str">
        <f t="shared" si="53"/>
        <v/>
      </c>
      <c r="T319" s="42" t="str">
        <f t="shared" si="54"/>
        <v/>
      </c>
    </row>
    <row r="320" spans="1:20" x14ac:dyDescent="0.2">
      <c r="A320" t="str">
        <f>INDEX(Prioritization!$D:$D,MATCH($B320,Prioritization!$A:$A,0))</f>
        <v>INVALID</v>
      </c>
      <c r="B320" t="s">
        <v>214</v>
      </c>
      <c r="C320" t="s">
        <v>812</v>
      </c>
      <c r="D320" t="s">
        <v>47</v>
      </c>
      <c r="E320" t="str">
        <f t="shared" si="44"/>
        <v>Mangochi District [lLDyBx5XyUi]|18-20|Male</v>
      </c>
      <c r="G320" s="14"/>
      <c r="H320" s="14">
        <v>7</v>
      </c>
      <c r="I320" s="90">
        <f t="shared" si="45"/>
        <v>0</v>
      </c>
      <c r="J320" s="90"/>
      <c r="K320" s="90"/>
      <c r="L320" s="90">
        <f t="shared" si="46"/>
        <v>1</v>
      </c>
      <c r="M320" s="90">
        <f t="shared" si="47"/>
        <v>0.2</v>
      </c>
      <c r="N320" s="14">
        <f t="shared" si="48"/>
        <v>7</v>
      </c>
      <c r="O320" s="42" t="str">
        <f t="shared" si="49"/>
        <v/>
      </c>
      <c r="P320" s="42" t="str">
        <f t="shared" si="50"/>
        <v/>
      </c>
      <c r="Q320" s="42">
        <f t="shared" si="51"/>
        <v>1</v>
      </c>
      <c r="R320" s="42">
        <f t="shared" si="52"/>
        <v>6</v>
      </c>
      <c r="S320" s="90" t="str">
        <f t="shared" si="53"/>
        <v/>
      </c>
      <c r="T320" s="42" t="str">
        <f t="shared" si="54"/>
        <v/>
      </c>
    </row>
    <row r="321" spans="1:20" x14ac:dyDescent="0.2">
      <c r="A321" t="str">
        <f>INDEX(Prioritization!$D:$D,MATCH($B321,Prioritization!$A:$A,0))</f>
        <v>INVALID</v>
      </c>
      <c r="B321" t="s">
        <v>214</v>
      </c>
      <c r="C321" t="s">
        <v>813</v>
      </c>
      <c r="D321" t="s">
        <v>29</v>
      </c>
      <c r="E321" t="str">
        <f t="shared" si="44"/>
        <v>Mangochi District [lLDyBx5XyUi]|18+|Female</v>
      </c>
      <c r="G321" s="14">
        <v>483</v>
      </c>
      <c r="H321" s="14">
        <v>993</v>
      </c>
      <c r="I321" s="90">
        <f t="shared" si="45"/>
        <v>0</v>
      </c>
      <c r="J321" s="90"/>
      <c r="K321" s="90"/>
      <c r="L321" s="90">
        <f t="shared" si="46"/>
        <v>1</v>
      </c>
      <c r="M321" s="90">
        <f t="shared" si="47"/>
        <v>0.2</v>
      </c>
      <c r="N321" s="14">
        <f t="shared" si="48"/>
        <v>993</v>
      </c>
      <c r="O321" s="42" t="str">
        <f t="shared" si="49"/>
        <v/>
      </c>
      <c r="P321" s="42" t="str">
        <f t="shared" si="50"/>
        <v/>
      </c>
      <c r="Q321" s="42">
        <f t="shared" si="51"/>
        <v>199</v>
      </c>
      <c r="R321" s="42">
        <f t="shared" si="52"/>
        <v>794</v>
      </c>
      <c r="S321" s="90" t="str">
        <f t="shared" si="53"/>
        <v/>
      </c>
      <c r="T321" s="42" t="str">
        <f t="shared" si="54"/>
        <v/>
      </c>
    </row>
    <row r="322" spans="1:20" x14ac:dyDescent="0.2">
      <c r="A322" t="str">
        <f>INDEX(Prioritization!$D:$D,MATCH($B322,Prioritization!$A:$A,0))</f>
        <v>INVALID</v>
      </c>
      <c r="B322" t="s">
        <v>214</v>
      </c>
      <c r="C322" t="s">
        <v>813</v>
      </c>
      <c r="D322" t="s">
        <v>47</v>
      </c>
      <c r="E322" t="str">
        <f t="shared" si="44"/>
        <v>Mangochi District [lLDyBx5XyUi]|18+|Male</v>
      </c>
      <c r="G322" s="14">
        <v>51</v>
      </c>
      <c r="H322" s="14">
        <v>65</v>
      </c>
      <c r="I322" s="90">
        <f t="shared" si="45"/>
        <v>0</v>
      </c>
      <c r="J322" s="90"/>
      <c r="K322" s="90"/>
      <c r="L322" s="90">
        <f t="shared" si="46"/>
        <v>1</v>
      </c>
      <c r="M322" s="90">
        <f t="shared" si="47"/>
        <v>0.2</v>
      </c>
      <c r="N322" s="14">
        <f t="shared" si="48"/>
        <v>65</v>
      </c>
      <c r="O322" s="42" t="str">
        <f t="shared" si="49"/>
        <v/>
      </c>
      <c r="P322" s="42" t="str">
        <f t="shared" si="50"/>
        <v/>
      </c>
      <c r="Q322" s="42">
        <f t="shared" si="51"/>
        <v>13</v>
      </c>
      <c r="R322" s="42">
        <f t="shared" si="52"/>
        <v>52</v>
      </c>
      <c r="S322" s="90" t="str">
        <f t="shared" si="53"/>
        <v/>
      </c>
      <c r="T322" s="42" t="str">
        <f t="shared" si="54"/>
        <v/>
      </c>
    </row>
    <row r="323" spans="1:20" x14ac:dyDescent="0.2">
      <c r="A323" t="str">
        <f>INDEX(Prioritization!$D:$D,MATCH($B323,Prioritization!$A:$A,0))</f>
        <v>INVALID</v>
      </c>
      <c r="B323" t="s">
        <v>215</v>
      </c>
      <c r="C323" t="s">
        <v>315</v>
      </c>
      <c r="D323" t="s">
        <v>29</v>
      </c>
      <c r="E323" t="str">
        <f t="shared" si="44"/>
        <v>Mulanje District [umc2n1Z4wNv]|&lt;01|Female</v>
      </c>
      <c r="G323" s="14">
        <v>60</v>
      </c>
      <c r="H323" s="14">
        <v>15</v>
      </c>
      <c r="I323" s="90">
        <f t="shared" si="45"/>
        <v>0</v>
      </c>
      <c r="J323" s="90"/>
      <c r="K323" s="90"/>
      <c r="L323" s="90">
        <f t="shared" si="46"/>
        <v>1</v>
      </c>
      <c r="M323" s="90">
        <f t="shared" si="47"/>
        <v>0.2</v>
      </c>
      <c r="N323" s="14">
        <f t="shared" si="48"/>
        <v>15</v>
      </c>
      <c r="O323" s="42" t="str">
        <f t="shared" si="49"/>
        <v/>
      </c>
      <c r="P323" s="42" t="str">
        <f t="shared" si="50"/>
        <v/>
      </c>
      <c r="Q323" s="42">
        <f t="shared" si="51"/>
        <v>3</v>
      </c>
      <c r="R323" s="42">
        <f t="shared" si="52"/>
        <v>12</v>
      </c>
      <c r="S323" s="90">
        <f t="shared" si="53"/>
        <v>1</v>
      </c>
      <c r="T323" s="42">
        <f t="shared" si="54"/>
        <v>15</v>
      </c>
    </row>
    <row r="324" spans="1:20" x14ac:dyDescent="0.2">
      <c r="A324" t="str">
        <f>INDEX(Prioritization!$D:$D,MATCH($B324,Prioritization!$A:$A,0))</f>
        <v>INVALID</v>
      </c>
      <c r="B324" t="s">
        <v>215</v>
      </c>
      <c r="C324" t="s">
        <v>315</v>
      </c>
      <c r="D324" t="s">
        <v>47</v>
      </c>
      <c r="E324" t="str">
        <f t="shared" si="44"/>
        <v>Mulanje District [umc2n1Z4wNv]|&lt;01|Male</v>
      </c>
      <c r="G324" s="14">
        <v>59</v>
      </c>
      <c r="H324" s="14">
        <v>55</v>
      </c>
      <c r="I324" s="90">
        <f t="shared" si="45"/>
        <v>0</v>
      </c>
      <c r="J324" s="90"/>
      <c r="K324" s="90"/>
      <c r="L324" s="90">
        <f t="shared" si="46"/>
        <v>1</v>
      </c>
      <c r="M324" s="90">
        <f t="shared" si="47"/>
        <v>0.2</v>
      </c>
      <c r="N324" s="14">
        <f t="shared" si="48"/>
        <v>55</v>
      </c>
      <c r="O324" s="42" t="str">
        <f t="shared" si="49"/>
        <v/>
      </c>
      <c r="P324" s="42" t="str">
        <f t="shared" si="50"/>
        <v/>
      </c>
      <c r="Q324" s="42">
        <f t="shared" si="51"/>
        <v>11</v>
      </c>
      <c r="R324" s="42">
        <f t="shared" si="52"/>
        <v>44</v>
      </c>
      <c r="S324" s="90">
        <f t="shared" si="53"/>
        <v>1</v>
      </c>
      <c r="T324" s="42">
        <f t="shared" si="54"/>
        <v>55</v>
      </c>
    </row>
    <row r="325" spans="1:20" x14ac:dyDescent="0.2">
      <c r="A325" t="str">
        <f>INDEX(Prioritization!$D:$D,MATCH($B325,Prioritization!$A:$A,0))</f>
        <v>INVALID</v>
      </c>
      <c r="B325" t="s">
        <v>215</v>
      </c>
      <c r="C325" t="s">
        <v>809</v>
      </c>
      <c r="D325" t="s">
        <v>29</v>
      </c>
      <c r="E325" t="str">
        <f t="shared" si="44"/>
        <v>Mulanje District [umc2n1Z4wNv]|01-04|Female</v>
      </c>
      <c r="G325" s="14">
        <v>409</v>
      </c>
      <c r="H325" s="14">
        <v>85</v>
      </c>
      <c r="I325" s="90">
        <f t="shared" si="45"/>
        <v>0</v>
      </c>
      <c r="J325" s="90"/>
      <c r="K325" s="90"/>
      <c r="L325" s="90">
        <f t="shared" si="46"/>
        <v>1</v>
      </c>
      <c r="M325" s="90">
        <f t="shared" si="47"/>
        <v>0.2</v>
      </c>
      <c r="N325" s="14">
        <f t="shared" si="48"/>
        <v>85</v>
      </c>
      <c r="O325" s="42" t="str">
        <f t="shared" si="49"/>
        <v/>
      </c>
      <c r="P325" s="42" t="str">
        <f t="shared" si="50"/>
        <v/>
      </c>
      <c r="Q325" s="42">
        <f t="shared" si="51"/>
        <v>17</v>
      </c>
      <c r="R325" s="42">
        <f t="shared" si="52"/>
        <v>68</v>
      </c>
      <c r="S325" s="90">
        <f t="shared" si="53"/>
        <v>1</v>
      </c>
      <c r="T325" s="42">
        <f t="shared" si="54"/>
        <v>85</v>
      </c>
    </row>
    <row r="326" spans="1:20" x14ac:dyDescent="0.2">
      <c r="A326" t="str">
        <f>INDEX(Prioritization!$D:$D,MATCH($B326,Prioritization!$A:$A,0))</f>
        <v>INVALID</v>
      </c>
      <c r="B326" t="s">
        <v>215</v>
      </c>
      <c r="C326" t="s">
        <v>809</v>
      </c>
      <c r="D326" t="s">
        <v>47</v>
      </c>
      <c r="E326" t="str">
        <f t="shared" si="44"/>
        <v>Mulanje District [umc2n1Z4wNv]|01-04|Male</v>
      </c>
      <c r="G326" s="14">
        <v>84</v>
      </c>
      <c r="H326" s="14">
        <v>96</v>
      </c>
      <c r="I326" s="90">
        <f t="shared" si="45"/>
        <v>0</v>
      </c>
      <c r="J326" s="90"/>
      <c r="K326" s="90"/>
      <c r="L326" s="90">
        <f t="shared" si="46"/>
        <v>1</v>
      </c>
      <c r="M326" s="90">
        <f t="shared" si="47"/>
        <v>0.2</v>
      </c>
      <c r="N326" s="14">
        <f t="shared" si="48"/>
        <v>96</v>
      </c>
      <c r="O326" s="42" t="str">
        <f t="shared" si="49"/>
        <v/>
      </c>
      <c r="P326" s="42" t="str">
        <f t="shared" si="50"/>
        <v/>
      </c>
      <c r="Q326" s="42">
        <f t="shared" si="51"/>
        <v>19</v>
      </c>
      <c r="R326" s="42">
        <f t="shared" si="52"/>
        <v>77</v>
      </c>
      <c r="S326" s="90">
        <f t="shared" si="53"/>
        <v>1</v>
      </c>
      <c r="T326" s="42">
        <f t="shared" si="54"/>
        <v>96</v>
      </c>
    </row>
    <row r="327" spans="1:20" x14ac:dyDescent="0.2">
      <c r="A327" t="str">
        <f>INDEX(Prioritization!$D:$D,MATCH($B327,Prioritization!$A:$A,0))</f>
        <v>INVALID</v>
      </c>
      <c r="B327" t="s">
        <v>215</v>
      </c>
      <c r="C327" t="s">
        <v>810</v>
      </c>
      <c r="D327" t="s">
        <v>29</v>
      </c>
      <c r="E327" t="str">
        <f t="shared" si="44"/>
        <v>Mulanje District [umc2n1Z4wNv]|05-09|Female</v>
      </c>
      <c r="G327" s="14">
        <v>53</v>
      </c>
      <c r="H327" s="14">
        <v>52</v>
      </c>
      <c r="I327" s="90">
        <f t="shared" si="45"/>
        <v>0</v>
      </c>
      <c r="J327" s="90"/>
      <c r="K327" s="90"/>
      <c r="L327" s="90">
        <f t="shared" si="46"/>
        <v>1</v>
      </c>
      <c r="M327" s="90">
        <f t="shared" si="47"/>
        <v>0.2</v>
      </c>
      <c r="N327" s="14">
        <f t="shared" si="48"/>
        <v>52</v>
      </c>
      <c r="O327" s="42" t="str">
        <f t="shared" si="49"/>
        <v/>
      </c>
      <c r="P327" s="42" t="str">
        <f t="shared" si="50"/>
        <v/>
      </c>
      <c r="Q327" s="42">
        <f t="shared" si="51"/>
        <v>10</v>
      </c>
      <c r="R327" s="42">
        <f t="shared" si="52"/>
        <v>42</v>
      </c>
      <c r="S327" s="90">
        <f t="shared" si="53"/>
        <v>1</v>
      </c>
      <c r="T327" s="42">
        <f t="shared" si="54"/>
        <v>52</v>
      </c>
    </row>
    <row r="328" spans="1:20" x14ac:dyDescent="0.2">
      <c r="A328" t="str">
        <f>INDEX(Prioritization!$D:$D,MATCH($B328,Prioritization!$A:$A,0))</f>
        <v>INVALID</v>
      </c>
      <c r="B328" t="s">
        <v>215</v>
      </c>
      <c r="C328" t="s">
        <v>810</v>
      </c>
      <c r="D328" t="s">
        <v>47</v>
      </c>
      <c r="E328" t="str">
        <f t="shared" si="44"/>
        <v>Mulanje District [umc2n1Z4wNv]|05-09|Male</v>
      </c>
      <c r="G328" s="14">
        <v>52</v>
      </c>
      <c r="H328" s="14">
        <v>56</v>
      </c>
      <c r="I328" s="90">
        <f t="shared" si="45"/>
        <v>0</v>
      </c>
      <c r="J328" s="90"/>
      <c r="K328" s="90"/>
      <c r="L328" s="90">
        <f t="shared" si="46"/>
        <v>1</v>
      </c>
      <c r="M328" s="90">
        <f t="shared" si="47"/>
        <v>0.2</v>
      </c>
      <c r="N328" s="14">
        <f t="shared" si="48"/>
        <v>56</v>
      </c>
      <c r="O328" s="42" t="str">
        <f t="shared" si="49"/>
        <v/>
      </c>
      <c r="P328" s="42" t="str">
        <f t="shared" si="50"/>
        <v/>
      </c>
      <c r="Q328" s="42">
        <f t="shared" si="51"/>
        <v>11</v>
      </c>
      <c r="R328" s="42">
        <f t="shared" si="52"/>
        <v>45</v>
      </c>
      <c r="S328" s="90">
        <f t="shared" si="53"/>
        <v>1</v>
      </c>
      <c r="T328" s="42">
        <f t="shared" si="54"/>
        <v>56</v>
      </c>
    </row>
    <row r="329" spans="1:20" x14ac:dyDescent="0.2">
      <c r="A329" t="str">
        <f>INDEX(Prioritization!$D:$D,MATCH($B329,Prioritization!$A:$A,0))</f>
        <v>INVALID</v>
      </c>
      <c r="B329" t="s">
        <v>215</v>
      </c>
      <c r="C329" t="s">
        <v>363</v>
      </c>
      <c r="D329" t="s">
        <v>29</v>
      </c>
      <c r="E329" t="str">
        <f t="shared" si="44"/>
        <v>Mulanje District [umc2n1Z4wNv]|10-14|Female</v>
      </c>
      <c r="G329" s="14">
        <v>565</v>
      </c>
      <c r="H329" s="14">
        <v>917</v>
      </c>
      <c r="I329" s="90">
        <f t="shared" si="45"/>
        <v>0</v>
      </c>
      <c r="J329" s="90"/>
      <c r="K329" s="90"/>
      <c r="L329" s="90">
        <f t="shared" si="46"/>
        <v>1</v>
      </c>
      <c r="M329" s="90">
        <f t="shared" si="47"/>
        <v>0.2</v>
      </c>
      <c r="N329" s="14">
        <f t="shared" si="48"/>
        <v>917</v>
      </c>
      <c r="O329" s="42" t="str">
        <f t="shared" si="49"/>
        <v/>
      </c>
      <c r="P329" s="42" t="str">
        <f t="shared" si="50"/>
        <v/>
      </c>
      <c r="Q329" s="42">
        <f t="shared" si="51"/>
        <v>183</v>
      </c>
      <c r="R329" s="42">
        <f t="shared" si="52"/>
        <v>734</v>
      </c>
      <c r="S329" s="90">
        <f t="shared" si="53"/>
        <v>1</v>
      </c>
      <c r="T329" s="42">
        <f t="shared" si="54"/>
        <v>917</v>
      </c>
    </row>
    <row r="330" spans="1:20" x14ac:dyDescent="0.2">
      <c r="A330" t="str">
        <f>INDEX(Prioritization!$D:$D,MATCH($B330,Prioritization!$A:$A,0))</f>
        <v>INVALID</v>
      </c>
      <c r="B330" t="s">
        <v>215</v>
      </c>
      <c r="C330" t="s">
        <v>363</v>
      </c>
      <c r="D330" t="s">
        <v>47</v>
      </c>
      <c r="E330" t="str">
        <f t="shared" si="44"/>
        <v>Mulanje District [umc2n1Z4wNv]|10-14|Male</v>
      </c>
      <c r="G330" s="14">
        <v>732</v>
      </c>
      <c r="H330" s="14">
        <v>239</v>
      </c>
      <c r="I330" s="90">
        <f t="shared" si="45"/>
        <v>0</v>
      </c>
      <c r="J330" s="90"/>
      <c r="K330" s="90"/>
      <c r="L330" s="90">
        <f t="shared" si="46"/>
        <v>1</v>
      </c>
      <c r="M330" s="90">
        <f t="shared" si="47"/>
        <v>0.2</v>
      </c>
      <c r="N330" s="14">
        <f t="shared" si="48"/>
        <v>239</v>
      </c>
      <c r="O330" s="42" t="str">
        <f t="shared" si="49"/>
        <v/>
      </c>
      <c r="P330" s="42" t="str">
        <f t="shared" si="50"/>
        <v/>
      </c>
      <c r="Q330" s="42">
        <f t="shared" si="51"/>
        <v>48</v>
      </c>
      <c r="R330" s="42">
        <f t="shared" si="52"/>
        <v>191</v>
      </c>
      <c r="S330" s="90">
        <f t="shared" si="53"/>
        <v>1</v>
      </c>
      <c r="T330" s="42">
        <f t="shared" si="54"/>
        <v>239</v>
      </c>
    </row>
    <row r="331" spans="1:20" x14ac:dyDescent="0.2">
      <c r="A331" t="str">
        <f>INDEX(Prioritization!$D:$D,MATCH($B331,Prioritization!$A:$A,0))</f>
        <v>INVALID</v>
      </c>
      <c r="B331" t="s">
        <v>215</v>
      </c>
      <c r="C331" t="s">
        <v>811</v>
      </c>
      <c r="D331" t="s">
        <v>29</v>
      </c>
      <c r="E331" t="str">
        <f t="shared" si="44"/>
        <v>Mulanje District [umc2n1Z4wNv]|15-17|Female</v>
      </c>
      <c r="G331" s="14">
        <v>874</v>
      </c>
      <c r="H331" s="14">
        <v>31</v>
      </c>
      <c r="I331" s="90">
        <f t="shared" si="45"/>
        <v>0</v>
      </c>
      <c r="J331" s="90"/>
      <c r="K331" s="90"/>
      <c r="L331" s="90">
        <f t="shared" si="46"/>
        <v>1</v>
      </c>
      <c r="M331" s="90">
        <f t="shared" si="47"/>
        <v>0.2</v>
      </c>
      <c r="N331" s="14">
        <f t="shared" si="48"/>
        <v>31</v>
      </c>
      <c r="O331" s="42" t="str">
        <f t="shared" si="49"/>
        <v/>
      </c>
      <c r="P331" s="42" t="str">
        <f t="shared" si="50"/>
        <v/>
      </c>
      <c r="Q331" s="42">
        <f t="shared" si="51"/>
        <v>6</v>
      </c>
      <c r="R331" s="42">
        <f t="shared" si="52"/>
        <v>25</v>
      </c>
      <c r="S331" s="90">
        <f t="shared" si="53"/>
        <v>1</v>
      </c>
      <c r="T331" s="42">
        <f t="shared" si="54"/>
        <v>31</v>
      </c>
    </row>
    <row r="332" spans="1:20" x14ac:dyDescent="0.2">
      <c r="A332" t="str">
        <f>INDEX(Prioritization!$D:$D,MATCH($B332,Prioritization!$A:$A,0))</f>
        <v>INVALID</v>
      </c>
      <c r="B332" t="s">
        <v>215</v>
      </c>
      <c r="C332" t="s">
        <v>811</v>
      </c>
      <c r="D332" t="s">
        <v>47</v>
      </c>
      <c r="E332" t="str">
        <f t="shared" si="44"/>
        <v>Mulanje District [umc2n1Z4wNv]|15-17|Male</v>
      </c>
      <c r="G332" s="14">
        <v>92</v>
      </c>
      <c r="H332" s="14">
        <v>62</v>
      </c>
      <c r="I332" s="90">
        <f t="shared" si="45"/>
        <v>0</v>
      </c>
      <c r="J332" s="90"/>
      <c r="K332" s="90"/>
      <c r="L332" s="90">
        <f t="shared" si="46"/>
        <v>1</v>
      </c>
      <c r="M332" s="90">
        <f t="shared" si="47"/>
        <v>0.2</v>
      </c>
      <c r="N332" s="14">
        <f t="shared" si="48"/>
        <v>62</v>
      </c>
      <c r="O332" s="42" t="str">
        <f t="shared" si="49"/>
        <v/>
      </c>
      <c r="P332" s="42" t="str">
        <f t="shared" si="50"/>
        <v/>
      </c>
      <c r="Q332" s="42">
        <f t="shared" si="51"/>
        <v>12</v>
      </c>
      <c r="R332" s="42">
        <f t="shared" si="52"/>
        <v>50</v>
      </c>
      <c r="S332" s="90">
        <f t="shared" si="53"/>
        <v>1</v>
      </c>
      <c r="T332" s="42">
        <f t="shared" si="54"/>
        <v>62</v>
      </c>
    </row>
    <row r="333" spans="1:20" x14ac:dyDescent="0.2">
      <c r="A333" t="str">
        <f>INDEX(Prioritization!$D:$D,MATCH($B333,Prioritization!$A:$A,0))</f>
        <v>INVALID</v>
      </c>
      <c r="B333" t="s">
        <v>215</v>
      </c>
      <c r="C333" t="s">
        <v>812</v>
      </c>
      <c r="D333" t="s">
        <v>29</v>
      </c>
      <c r="E333" t="str">
        <f t="shared" si="44"/>
        <v>Mulanje District [umc2n1Z4wNv]|18-20|Female</v>
      </c>
      <c r="G333" s="14"/>
      <c r="H333" s="14">
        <v>10</v>
      </c>
      <c r="I333" s="90">
        <f t="shared" si="45"/>
        <v>0</v>
      </c>
      <c r="J333" s="90"/>
      <c r="K333" s="90"/>
      <c r="L333" s="90">
        <f t="shared" si="46"/>
        <v>1</v>
      </c>
      <c r="M333" s="90">
        <f t="shared" si="47"/>
        <v>0.2</v>
      </c>
      <c r="N333" s="14">
        <f t="shared" si="48"/>
        <v>10</v>
      </c>
      <c r="O333" s="42" t="str">
        <f t="shared" si="49"/>
        <v/>
      </c>
      <c r="P333" s="42" t="str">
        <f t="shared" si="50"/>
        <v/>
      </c>
      <c r="Q333" s="42">
        <f t="shared" si="51"/>
        <v>2</v>
      </c>
      <c r="R333" s="42">
        <f t="shared" si="52"/>
        <v>8</v>
      </c>
      <c r="S333" s="90" t="str">
        <f t="shared" si="53"/>
        <v/>
      </c>
      <c r="T333" s="42" t="str">
        <f t="shared" si="54"/>
        <v/>
      </c>
    </row>
    <row r="334" spans="1:20" x14ac:dyDescent="0.2">
      <c r="A334" t="str">
        <f>INDEX(Prioritization!$D:$D,MATCH($B334,Prioritization!$A:$A,0))</f>
        <v>INVALID</v>
      </c>
      <c r="B334" t="s">
        <v>215</v>
      </c>
      <c r="C334" t="s">
        <v>812</v>
      </c>
      <c r="D334" t="s">
        <v>47</v>
      </c>
      <c r="E334" t="str">
        <f t="shared" si="44"/>
        <v>Mulanje District [umc2n1Z4wNv]|18-20|Male</v>
      </c>
      <c r="G334" s="14"/>
      <c r="H334" s="14">
        <v>2</v>
      </c>
      <c r="I334" s="90">
        <f t="shared" si="45"/>
        <v>0</v>
      </c>
      <c r="J334" s="90"/>
      <c r="K334" s="90"/>
      <c r="L334" s="90">
        <f t="shared" si="46"/>
        <v>1</v>
      </c>
      <c r="M334" s="90">
        <f t="shared" si="47"/>
        <v>0.2</v>
      </c>
      <c r="N334" s="14">
        <f t="shared" si="48"/>
        <v>2</v>
      </c>
      <c r="O334" s="42" t="str">
        <f t="shared" si="49"/>
        <v/>
      </c>
      <c r="P334" s="42" t="str">
        <f t="shared" si="50"/>
        <v/>
      </c>
      <c r="Q334" s="42" t="str">
        <f t="shared" si="51"/>
        <v/>
      </c>
      <c r="R334" s="42" t="str">
        <f t="shared" si="52"/>
        <v/>
      </c>
      <c r="S334" s="90" t="str">
        <f t="shared" si="53"/>
        <v/>
      </c>
      <c r="T334" s="42" t="str">
        <f t="shared" si="54"/>
        <v/>
      </c>
    </row>
    <row r="335" spans="1:20" x14ac:dyDescent="0.2">
      <c r="A335" t="str">
        <f>INDEX(Prioritization!$D:$D,MATCH($B335,Prioritization!$A:$A,0))</f>
        <v>INVALID</v>
      </c>
      <c r="B335" t="s">
        <v>215</v>
      </c>
      <c r="C335" t="s">
        <v>813</v>
      </c>
      <c r="D335" t="s">
        <v>29</v>
      </c>
      <c r="E335" t="str">
        <f t="shared" ref="E335:E398" si="55">$B335&amp;"|"&amp;$C335&amp;"|"&amp;$D335</f>
        <v>Mulanje District [umc2n1Z4wNv]|18+|Female</v>
      </c>
      <c r="G335" s="14">
        <v>956</v>
      </c>
      <c r="H335" s="14">
        <v>801</v>
      </c>
      <c r="I335" s="90">
        <f t="shared" ref="I335:I398" si="56">IF(SUM($H335)=0,"",0%)</f>
        <v>0</v>
      </c>
      <c r="J335" s="90"/>
      <c r="K335" s="90"/>
      <c r="L335" s="90">
        <f t="shared" ref="L335:L398" si="57">1-IF(NOT(AND($D335="Female",OR($C335="10-14",$C335="15-17",$F335="Y"))),0,$J335)-IF(NOT(OR($C335="05-09",$C335="10-14")),0,$K335)</f>
        <v>1</v>
      </c>
      <c r="M335" s="90">
        <f t="shared" ref="M335:M398" si="58">IF(SUM($L335)=0,"",20%)</f>
        <v>0.2</v>
      </c>
      <c r="N335" s="14">
        <f t="shared" ref="N335:N398" si="59">IF(SUM($H335)=0,"",ROUND($H335*(1+$I335),0))</f>
        <v>801</v>
      </c>
      <c r="O335" s="42" t="str">
        <f t="shared" ref="O335:O398" si="60">IF(OR(SUM($N335)=0,SUM($J335)=0,NOT(AND($D335="Female",$F335="Y",OR($C335="10-14",$C335="15-17")))),"",ROUND($N335*$J335,0))</f>
        <v/>
      </c>
      <c r="P335" s="42" t="str">
        <f t="shared" ref="P335:P398" si="61">IF(OR(SUM($N335)=0,SUM($K335)=0,NOT(OR($C335="10-14",$C335="05-09"))),"",ROUND($N335*$K335,0))</f>
        <v/>
      </c>
      <c r="Q335" s="42">
        <f t="shared" ref="Q335:Q398" si="62">IFERROR(1/(1/ROUND($N335*$L335*$M335,0)),"")</f>
        <v>160</v>
      </c>
      <c r="R335" s="42">
        <f t="shared" ref="R335:R398" si="63">IFERROR(1/(1/(ROUND($N335*$L335,0)-$Q335)),"")</f>
        <v>641</v>
      </c>
      <c r="S335" s="90" t="str">
        <f t="shared" ref="S335:S398" si="64">IF(OR($C335="18+",$C335="18-20",SUM($Q335,$R335)=0),"",100%)</f>
        <v/>
      </c>
      <c r="T335" s="42" t="str">
        <f t="shared" ref="T335:T398" si="65">IF(OR($C335="18+",$C335="18-20",SUM($Q335,$R335)=0),"",ROUND(SUM($Q335,$R335)*$S335,0))</f>
        <v/>
      </c>
    </row>
    <row r="336" spans="1:20" x14ac:dyDescent="0.2">
      <c r="A336" t="str">
        <f>INDEX(Prioritization!$D:$D,MATCH($B336,Prioritization!$A:$A,0))</f>
        <v>INVALID</v>
      </c>
      <c r="B336" t="s">
        <v>215</v>
      </c>
      <c r="C336" t="s">
        <v>813</v>
      </c>
      <c r="D336" t="s">
        <v>47</v>
      </c>
      <c r="E336" t="str">
        <f t="shared" si="55"/>
        <v>Mulanje District [umc2n1Z4wNv]|18+|Male</v>
      </c>
      <c r="G336" s="14">
        <v>28</v>
      </c>
      <c r="H336" s="14">
        <v>81</v>
      </c>
      <c r="I336" s="90">
        <f t="shared" si="56"/>
        <v>0</v>
      </c>
      <c r="J336" s="90"/>
      <c r="K336" s="90"/>
      <c r="L336" s="90">
        <f t="shared" si="57"/>
        <v>1</v>
      </c>
      <c r="M336" s="90">
        <f t="shared" si="58"/>
        <v>0.2</v>
      </c>
      <c r="N336" s="14">
        <f t="shared" si="59"/>
        <v>81</v>
      </c>
      <c r="O336" s="42" t="str">
        <f t="shared" si="60"/>
        <v/>
      </c>
      <c r="P336" s="42" t="str">
        <f t="shared" si="61"/>
        <v/>
      </c>
      <c r="Q336" s="42">
        <f t="shared" si="62"/>
        <v>16</v>
      </c>
      <c r="R336" s="42">
        <f t="shared" si="63"/>
        <v>65</v>
      </c>
      <c r="S336" s="90" t="str">
        <f t="shared" si="64"/>
        <v/>
      </c>
      <c r="T336" s="42" t="str">
        <f t="shared" si="65"/>
        <v/>
      </c>
    </row>
    <row r="337" spans="1:20" x14ac:dyDescent="0.2">
      <c r="A337" t="str">
        <f>INDEX(Prioritization!$D:$D,MATCH($B337,Prioritization!$A:$A,0))</f>
        <v>INVALID</v>
      </c>
      <c r="B337" t="s">
        <v>216</v>
      </c>
      <c r="C337" t="s">
        <v>315</v>
      </c>
      <c r="D337" t="s">
        <v>29</v>
      </c>
      <c r="E337" t="str">
        <f t="shared" si="55"/>
        <v>Mwanza District [wNqJp8oRIcF]|&lt;01|Female</v>
      </c>
      <c r="G337" s="14"/>
      <c r="H337" s="14"/>
      <c r="I337" s="90" t="str">
        <f t="shared" si="56"/>
        <v/>
      </c>
      <c r="J337" s="90"/>
      <c r="K337" s="90"/>
      <c r="L337" s="90">
        <f t="shared" si="57"/>
        <v>1</v>
      </c>
      <c r="M337" s="90">
        <f t="shared" si="58"/>
        <v>0.2</v>
      </c>
      <c r="N337" s="14" t="str">
        <f t="shared" si="59"/>
        <v/>
      </c>
      <c r="O337" s="42" t="str">
        <f t="shared" si="60"/>
        <v/>
      </c>
      <c r="P337" s="42" t="str">
        <f t="shared" si="61"/>
        <v/>
      </c>
      <c r="Q337" s="42" t="str">
        <f t="shared" si="62"/>
        <v/>
      </c>
      <c r="R337" s="42" t="str">
        <f t="shared" si="63"/>
        <v/>
      </c>
      <c r="S337" s="90" t="str">
        <f t="shared" si="64"/>
        <v/>
      </c>
      <c r="T337" s="42" t="str">
        <f t="shared" si="65"/>
        <v/>
      </c>
    </row>
    <row r="338" spans="1:20" x14ac:dyDescent="0.2">
      <c r="A338" t="str">
        <f>INDEX(Prioritization!$D:$D,MATCH($B338,Prioritization!$A:$A,0))</f>
        <v>INVALID</v>
      </c>
      <c r="B338" t="s">
        <v>216</v>
      </c>
      <c r="C338" t="s">
        <v>315</v>
      </c>
      <c r="D338" t="s">
        <v>47</v>
      </c>
      <c r="E338" t="str">
        <f t="shared" si="55"/>
        <v>Mwanza District [wNqJp8oRIcF]|&lt;01|Male</v>
      </c>
      <c r="G338" s="14"/>
      <c r="H338" s="14"/>
      <c r="I338" s="90" t="str">
        <f t="shared" si="56"/>
        <v/>
      </c>
      <c r="J338" s="90"/>
      <c r="K338" s="90"/>
      <c r="L338" s="90">
        <f t="shared" si="57"/>
        <v>1</v>
      </c>
      <c r="M338" s="90">
        <f t="shared" si="58"/>
        <v>0.2</v>
      </c>
      <c r="N338" s="14" t="str">
        <f t="shared" si="59"/>
        <v/>
      </c>
      <c r="O338" s="42" t="str">
        <f t="shared" si="60"/>
        <v/>
      </c>
      <c r="P338" s="42" t="str">
        <f t="shared" si="61"/>
        <v/>
      </c>
      <c r="Q338" s="42" t="str">
        <f t="shared" si="62"/>
        <v/>
      </c>
      <c r="R338" s="42" t="str">
        <f t="shared" si="63"/>
        <v/>
      </c>
      <c r="S338" s="90" t="str">
        <f t="shared" si="64"/>
        <v/>
      </c>
      <c r="T338" s="42" t="str">
        <f t="shared" si="65"/>
        <v/>
      </c>
    </row>
    <row r="339" spans="1:20" x14ac:dyDescent="0.2">
      <c r="A339" t="str">
        <f>INDEX(Prioritization!$D:$D,MATCH($B339,Prioritization!$A:$A,0))</f>
        <v>INVALID</v>
      </c>
      <c r="B339" t="s">
        <v>216</v>
      </c>
      <c r="C339" t="s">
        <v>809</v>
      </c>
      <c r="D339" t="s">
        <v>29</v>
      </c>
      <c r="E339" t="str">
        <f t="shared" si="55"/>
        <v>Mwanza District [wNqJp8oRIcF]|01-04|Female</v>
      </c>
      <c r="G339" s="14"/>
      <c r="H339" s="14"/>
      <c r="I339" s="90" t="str">
        <f t="shared" si="56"/>
        <v/>
      </c>
      <c r="J339" s="90"/>
      <c r="K339" s="90"/>
      <c r="L339" s="90">
        <f t="shared" si="57"/>
        <v>1</v>
      </c>
      <c r="M339" s="90">
        <f t="shared" si="58"/>
        <v>0.2</v>
      </c>
      <c r="N339" s="14" t="str">
        <f t="shared" si="59"/>
        <v/>
      </c>
      <c r="O339" s="42" t="str">
        <f t="shared" si="60"/>
        <v/>
      </c>
      <c r="P339" s="42" t="str">
        <f t="shared" si="61"/>
        <v/>
      </c>
      <c r="Q339" s="42" t="str">
        <f t="shared" si="62"/>
        <v/>
      </c>
      <c r="R339" s="42" t="str">
        <f t="shared" si="63"/>
        <v/>
      </c>
      <c r="S339" s="90" t="str">
        <f t="shared" si="64"/>
        <v/>
      </c>
      <c r="T339" s="42" t="str">
        <f t="shared" si="65"/>
        <v/>
      </c>
    </row>
    <row r="340" spans="1:20" x14ac:dyDescent="0.2">
      <c r="A340" t="str">
        <f>INDEX(Prioritization!$D:$D,MATCH($B340,Prioritization!$A:$A,0))</f>
        <v>INVALID</v>
      </c>
      <c r="B340" t="s">
        <v>216</v>
      </c>
      <c r="C340" t="s">
        <v>809</v>
      </c>
      <c r="D340" t="s">
        <v>47</v>
      </c>
      <c r="E340" t="str">
        <f t="shared" si="55"/>
        <v>Mwanza District [wNqJp8oRIcF]|01-04|Male</v>
      </c>
      <c r="G340" s="14"/>
      <c r="H340" s="14"/>
      <c r="I340" s="90" t="str">
        <f t="shared" si="56"/>
        <v/>
      </c>
      <c r="J340" s="90"/>
      <c r="K340" s="90"/>
      <c r="L340" s="90">
        <f t="shared" si="57"/>
        <v>1</v>
      </c>
      <c r="M340" s="90">
        <f t="shared" si="58"/>
        <v>0.2</v>
      </c>
      <c r="N340" s="14" t="str">
        <f t="shared" si="59"/>
        <v/>
      </c>
      <c r="O340" s="42" t="str">
        <f t="shared" si="60"/>
        <v/>
      </c>
      <c r="P340" s="42" t="str">
        <f t="shared" si="61"/>
        <v/>
      </c>
      <c r="Q340" s="42" t="str">
        <f t="shared" si="62"/>
        <v/>
      </c>
      <c r="R340" s="42" t="str">
        <f t="shared" si="63"/>
        <v/>
      </c>
      <c r="S340" s="90" t="str">
        <f t="shared" si="64"/>
        <v/>
      </c>
      <c r="T340" s="42" t="str">
        <f t="shared" si="65"/>
        <v/>
      </c>
    </row>
    <row r="341" spans="1:20" x14ac:dyDescent="0.2">
      <c r="A341" t="str">
        <f>INDEX(Prioritization!$D:$D,MATCH($B341,Prioritization!$A:$A,0))</f>
        <v>INVALID</v>
      </c>
      <c r="B341" t="s">
        <v>216</v>
      </c>
      <c r="C341" t="s">
        <v>810</v>
      </c>
      <c r="D341" t="s">
        <v>29</v>
      </c>
      <c r="E341" t="str">
        <f t="shared" si="55"/>
        <v>Mwanza District [wNqJp8oRIcF]|05-09|Female</v>
      </c>
      <c r="G341" s="14"/>
      <c r="H341" s="14"/>
      <c r="I341" s="90" t="str">
        <f t="shared" si="56"/>
        <v/>
      </c>
      <c r="J341" s="90"/>
      <c r="K341" s="90"/>
      <c r="L341" s="90">
        <f t="shared" si="57"/>
        <v>1</v>
      </c>
      <c r="M341" s="90">
        <f t="shared" si="58"/>
        <v>0.2</v>
      </c>
      <c r="N341" s="14" t="str">
        <f t="shared" si="59"/>
        <v/>
      </c>
      <c r="O341" s="42" t="str">
        <f t="shared" si="60"/>
        <v/>
      </c>
      <c r="P341" s="42" t="str">
        <f t="shared" si="61"/>
        <v/>
      </c>
      <c r="Q341" s="42" t="str">
        <f t="shared" si="62"/>
        <v/>
      </c>
      <c r="R341" s="42" t="str">
        <f t="shared" si="63"/>
        <v/>
      </c>
      <c r="S341" s="90" t="str">
        <f t="shared" si="64"/>
        <v/>
      </c>
      <c r="T341" s="42" t="str">
        <f t="shared" si="65"/>
        <v/>
      </c>
    </row>
    <row r="342" spans="1:20" x14ac:dyDescent="0.2">
      <c r="A342" t="str">
        <f>INDEX(Prioritization!$D:$D,MATCH($B342,Prioritization!$A:$A,0))</f>
        <v>INVALID</v>
      </c>
      <c r="B342" t="s">
        <v>216</v>
      </c>
      <c r="C342" t="s">
        <v>810</v>
      </c>
      <c r="D342" t="s">
        <v>47</v>
      </c>
      <c r="E342" t="str">
        <f t="shared" si="55"/>
        <v>Mwanza District [wNqJp8oRIcF]|05-09|Male</v>
      </c>
      <c r="G342" s="14"/>
      <c r="H342" s="14"/>
      <c r="I342" s="90" t="str">
        <f t="shared" si="56"/>
        <v/>
      </c>
      <c r="J342" s="90"/>
      <c r="K342" s="90"/>
      <c r="L342" s="90">
        <f t="shared" si="57"/>
        <v>1</v>
      </c>
      <c r="M342" s="90">
        <f t="shared" si="58"/>
        <v>0.2</v>
      </c>
      <c r="N342" s="14" t="str">
        <f t="shared" si="59"/>
        <v/>
      </c>
      <c r="O342" s="42" t="str">
        <f t="shared" si="60"/>
        <v/>
      </c>
      <c r="P342" s="42" t="str">
        <f t="shared" si="61"/>
        <v/>
      </c>
      <c r="Q342" s="42" t="str">
        <f t="shared" si="62"/>
        <v/>
      </c>
      <c r="R342" s="42" t="str">
        <f t="shared" si="63"/>
        <v/>
      </c>
      <c r="S342" s="90" t="str">
        <f t="shared" si="64"/>
        <v/>
      </c>
      <c r="T342" s="42" t="str">
        <f t="shared" si="65"/>
        <v/>
      </c>
    </row>
    <row r="343" spans="1:20" x14ac:dyDescent="0.2">
      <c r="A343" t="str">
        <f>INDEX(Prioritization!$D:$D,MATCH($B343,Prioritization!$A:$A,0))</f>
        <v>INVALID</v>
      </c>
      <c r="B343" t="s">
        <v>216</v>
      </c>
      <c r="C343" t="s">
        <v>363</v>
      </c>
      <c r="D343" t="s">
        <v>29</v>
      </c>
      <c r="E343" t="str">
        <f t="shared" si="55"/>
        <v>Mwanza District [wNqJp8oRIcF]|10-14|Female</v>
      </c>
      <c r="G343" s="14"/>
      <c r="H343" s="14"/>
      <c r="I343" s="90" t="str">
        <f t="shared" si="56"/>
        <v/>
      </c>
      <c r="J343" s="90"/>
      <c r="K343" s="90"/>
      <c r="L343" s="90">
        <f t="shared" si="57"/>
        <v>1</v>
      </c>
      <c r="M343" s="90">
        <f t="shared" si="58"/>
        <v>0.2</v>
      </c>
      <c r="N343" s="14" t="str">
        <f t="shared" si="59"/>
        <v/>
      </c>
      <c r="O343" s="42" t="str">
        <f t="shared" si="60"/>
        <v/>
      </c>
      <c r="P343" s="42" t="str">
        <f t="shared" si="61"/>
        <v/>
      </c>
      <c r="Q343" s="42" t="str">
        <f t="shared" si="62"/>
        <v/>
      </c>
      <c r="R343" s="42" t="str">
        <f t="shared" si="63"/>
        <v/>
      </c>
      <c r="S343" s="90" t="str">
        <f t="shared" si="64"/>
        <v/>
      </c>
      <c r="T343" s="42" t="str">
        <f t="shared" si="65"/>
        <v/>
      </c>
    </row>
    <row r="344" spans="1:20" x14ac:dyDescent="0.2">
      <c r="A344" t="str">
        <f>INDEX(Prioritization!$D:$D,MATCH($B344,Prioritization!$A:$A,0))</f>
        <v>INVALID</v>
      </c>
      <c r="B344" t="s">
        <v>216</v>
      </c>
      <c r="C344" t="s">
        <v>363</v>
      </c>
      <c r="D344" t="s">
        <v>47</v>
      </c>
      <c r="E344" t="str">
        <f t="shared" si="55"/>
        <v>Mwanza District [wNqJp8oRIcF]|10-14|Male</v>
      </c>
      <c r="G344" s="14"/>
      <c r="H344" s="14"/>
      <c r="I344" s="90" t="str">
        <f t="shared" si="56"/>
        <v/>
      </c>
      <c r="J344" s="90"/>
      <c r="K344" s="90"/>
      <c r="L344" s="90">
        <f t="shared" si="57"/>
        <v>1</v>
      </c>
      <c r="M344" s="90">
        <f t="shared" si="58"/>
        <v>0.2</v>
      </c>
      <c r="N344" s="14" t="str">
        <f t="shared" si="59"/>
        <v/>
      </c>
      <c r="O344" s="42" t="str">
        <f t="shared" si="60"/>
        <v/>
      </c>
      <c r="P344" s="42" t="str">
        <f t="shared" si="61"/>
        <v/>
      </c>
      <c r="Q344" s="42" t="str">
        <f t="shared" si="62"/>
        <v/>
      </c>
      <c r="R344" s="42" t="str">
        <f t="shared" si="63"/>
        <v/>
      </c>
      <c r="S344" s="90" t="str">
        <f t="shared" si="64"/>
        <v/>
      </c>
      <c r="T344" s="42" t="str">
        <f t="shared" si="65"/>
        <v/>
      </c>
    </row>
    <row r="345" spans="1:20" x14ac:dyDescent="0.2">
      <c r="A345" t="str">
        <f>INDEX(Prioritization!$D:$D,MATCH($B345,Prioritization!$A:$A,0))</f>
        <v>INVALID</v>
      </c>
      <c r="B345" t="s">
        <v>216</v>
      </c>
      <c r="C345" t="s">
        <v>811</v>
      </c>
      <c r="D345" t="s">
        <v>29</v>
      </c>
      <c r="E345" t="str">
        <f t="shared" si="55"/>
        <v>Mwanza District [wNqJp8oRIcF]|15-17|Female</v>
      </c>
      <c r="G345" s="14"/>
      <c r="H345" s="14"/>
      <c r="I345" s="90" t="str">
        <f t="shared" si="56"/>
        <v/>
      </c>
      <c r="J345" s="90"/>
      <c r="K345" s="90"/>
      <c r="L345" s="90">
        <f t="shared" si="57"/>
        <v>1</v>
      </c>
      <c r="M345" s="90">
        <f t="shared" si="58"/>
        <v>0.2</v>
      </c>
      <c r="N345" s="14" t="str">
        <f t="shared" si="59"/>
        <v/>
      </c>
      <c r="O345" s="42" t="str">
        <f t="shared" si="60"/>
        <v/>
      </c>
      <c r="P345" s="42" t="str">
        <f t="shared" si="61"/>
        <v/>
      </c>
      <c r="Q345" s="42" t="str">
        <f t="shared" si="62"/>
        <v/>
      </c>
      <c r="R345" s="42" t="str">
        <f t="shared" si="63"/>
        <v/>
      </c>
      <c r="S345" s="90" t="str">
        <f t="shared" si="64"/>
        <v/>
      </c>
      <c r="T345" s="42" t="str">
        <f t="shared" si="65"/>
        <v/>
      </c>
    </row>
    <row r="346" spans="1:20" x14ac:dyDescent="0.2">
      <c r="A346" t="str">
        <f>INDEX(Prioritization!$D:$D,MATCH($B346,Prioritization!$A:$A,0))</f>
        <v>INVALID</v>
      </c>
      <c r="B346" t="s">
        <v>216</v>
      </c>
      <c r="C346" t="s">
        <v>811</v>
      </c>
      <c r="D346" t="s">
        <v>47</v>
      </c>
      <c r="E346" t="str">
        <f t="shared" si="55"/>
        <v>Mwanza District [wNqJp8oRIcF]|15-17|Male</v>
      </c>
      <c r="G346" s="14"/>
      <c r="H346" s="14"/>
      <c r="I346" s="90" t="str">
        <f t="shared" si="56"/>
        <v/>
      </c>
      <c r="J346" s="90"/>
      <c r="K346" s="90"/>
      <c r="L346" s="90">
        <f t="shared" si="57"/>
        <v>1</v>
      </c>
      <c r="M346" s="90">
        <f t="shared" si="58"/>
        <v>0.2</v>
      </c>
      <c r="N346" s="14" t="str">
        <f t="shared" si="59"/>
        <v/>
      </c>
      <c r="O346" s="42" t="str">
        <f t="shared" si="60"/>
        <v/>
      </c>
      <c r="P346" s="42" t="str">
        <f t="shared" si="61"/>
        <v/>
      </c>
      <c r="Q346" s="42" t="str">
        <f t="shared" si="62"/>
        <v/>
      </c>
      <c r="R346" s="42" t="str">
        <f t="shared" si="63"/>
        <v/>
      </c>
      <c r="S346" s="90" t="str">
        <f t="shared" si="64"/>
        <v/>
      </c>
      <c r="T346" s="42" t="str">
        <f t="shared" si="65"/>
        <v/>
      </c>
    </row>
    <row r="347" spans="1:20" x14ac:dyDescent="0.2">
      <c r="A347" t="str">
        <f>INDEX(Prioritization!$D:$D,MATCH($B347,Prioritization!$A:$A,0))</f>
        <v>INVALID</v>
      </c>
      <c r="B347" t="s">
        <v>216</v>
      </c>
      <c r="C347" t="s">
        <v>812</v>
      </c>
      <c r="D347" t="s">
        <v>29</v>
      </c>
      <c r="E347" t="str">
        <f t="shared" si="55"/>
        <v>Mwanza District [wNqJp8oRIcF]|18-20|Female</v>
      </c>
      <c r="G347" s="14"/>
      <c r="H347" s="14"/>
      <c r="I347" s="90" t="str">
        <f t="shared" si="56"/>
        <v/>
      </c>
      <c r="J347" s="90"/>
      <c r="K347" s="90"/>
      <c r="L347" s="90">
        <f t="shared" si="57"/>
        <v>1</v>
      </c>
      <c r="M347" s="90">
        <f t="shared" si="58"/>
        <v>0.2</v>
      </c>
      <c r="N347" s="14" t="str">
        <f t="shared" si="59"/>
        <v/>
      </c>
      <c r="O347" s="42" t="str">
        <f t="shared" si="60"/>
        <v/>
      </c>
      <c r="P347" s="42" t="str">
        <f t="shared" si="61"/>
        <v/>
      </c>
      <c r="Q347" s="42" t="str">
        <f t="shared" si="62"/>
        <v/>
      </c>
      <c r="R347" s="42" t="str">
        <f t="shared" si="63"/>
        <v/>
      </c>
      <c r="S347" s="90" t="str">
        <f t="shared" si="64"/>
        <v/>
      </c>
      <c r="T347" s="42" t="str">
        <f t="shared" si="65"/>
        <v/>
      </c>
    </row>
    <row r="348" spans="1:20" x14ac:dyDescent="0.2">
      <c r="A348" t="str">
        <f>INDEX(Prioritization!$D:$D,MATCH($B348,Prioritization!$A:$A,0))</f>
        <v>INVALID</v>
      </c>
      <c r="B348" t="s">
        <v>216</v>
      </c>
      <c r="C348" t="s">
        <v>812</v>
      </c>
      <c r="D348" t="s">
        <v>47</v>
      </c>
      <c r="E348" t="str">
        <f t="shared" si="55"/>
        <v>Mwanza District [wNqJp8oRIcF]|18-20|Male</v>
      </c>
      <c r="G348" s="14"/>
      <c r="H348" s="14"/>
      <c r="I348" s="90" t="str">
        <f t="shared" si="56"/>
        <v/>
      </c>
      <c r="J348" s="90"/>
      <c r="K348" s="90"/>
      <c r="L348" s="90">
        <f t="shared" si="57"/>
        <v>1</v>
      </c>
      <c r="M348" s="90">
        <f t="shared" si="58"/>
        <v>0.2</v>
      </c>
      <c r="N348" s="14" t="str">
        <f t="shared" si="59"/>
        <v/>
      </c>
      <c r="O348" s="42" t="str">
        <f t="shared" si="60"/>
        <v/>
      </c>
      <c r="P348" s="42" t="str">
        <f t="shared" si="61"/>
        <v/>
      </c>
      <c r="Q348" s="42" t="str">
        <f t="shared" si="62"/>
        <v/>
      </c>
      <c r="R348" s="42" t="str">
        <f t="shared" si="63"/>
        <v/>
      </c>
      <c r="S348" s="90" t="str">
        <f t="shared" si="64"/>
        <v/>
      </c>
      <c r="T348" s="42" t="str">
        <f t="shared" si="65"/>
        <v/>
      </c>
    </row>
    <row r="349" spans="1:20" x14ac:dyDescent="0.2">
      <c r="A349" t="str">
        <f>INDEX(Prioritization!$D:$D,MATCH($B349,Prioritization!$A:$A,0))</f>
        <v>INVALID</v>
      </c>
      <c r="B349" t="s">
        <v>216</v>
      </c>
      <c r="C349" t="s">
        <v>813</v>
      </c>
      <c r="D349" t="s">
        <v>29</v>
      </c>
      <c r="E349" t="str">
        <f t="shared" si="55"/>
        <v>Mwanza District [wNqJp8oRIcF]|18+|Female</v>
      </c>
      <c r="G349" s="14"/>
      <c r="H349" s="14"/>
      <c r="I349" s="90" t="str">
        <f t="shared" si="56"/>
        <v/>
      </c>
      <c r="J349" s="90"/>
      <c r="K349" s="90"/>
      <c r="L349" s="90">
        <f t="shared" si="57"/>
        <v>1</v>
      </c>
      <c r="M349" s="90">
        <f t="shared" si="58"/>
        <v>0.2</v>
      </c>
      <c r="N349" s="14" t="str">
        <f t="shared" si="59"/>
        <v/>
      </c>
      <c r="O349" s="42" t="str">
        <f t="shared" si="60"/>
        <v/>
      </c>
      <c r="P349" s="42" t="str">
        <f t="shared" si="61"/>
        <v/>
      </c>
      <c r="Q349" s="42" t="str">
        <f t="shared" si="62"/>
        <v/>
      </c>
      <c r="R349" s="42" t="str">
        <f t="shared" si="63"/>
        <v/>
      </c>
      <c r="S349" s="90" t="str">
        <f t="shared" si="64"/>
        <v/>
      </c>
      <c r="T349" s="42" t="str">
        <f t="shared" si="65"/>
        <v/>
      </c>
    </row>
    <row r="350" spans="1:20" x14ac:dyDescent="0.2">
      <c r="A350" t="str">
        <f>INDEX(Prioritization!$D:$D,MATCH($B350,Prioritization!$A:$A,0))</f>
        <v>INVALID</v>
      </c>
      <c r="B350" t="s">
        <v>216</v>
      </c>
      <c r="C350" t="s">
        <v>813</v>
      </c>
      <c r="D350" t="s">
        <v>47</v>
      </c>
      <c r="E350" t="str">
        <f t="shared" si="55"/>
        <v>Mwanza District [wNqJp8oRIcF]|18+|Male</v>
      </c>
      <c r="G350" s="14"/>
      <c r="H350" s="14"/>
      <c r="I350" s="90" t="str">
        <f t="shared" si="56"/>
        <v/>
      </c>
      <c r="J350" s="90"/>
      <c r="K350" s="90"/>
      <c r="L350" s="90">
        <f t="shared" si="57"/>
        <v>1</v>
      </c>
      <c r="M350" s="90">
        <f t="shared" si="58"/>
        <v>0.2</v>
      </c>
      <c r="N350" s="14" t="str">
        <f t="shared" si="59"/>
        <v/>
      </c>
      <c r="O350" s="42" t="str">
        <f t="shared" si="60"/>
        <v/>
      </c>
      <c r="P350" s="42" t="str">
        <f t="shared" si="61"/>
        <v/>
      </c>
      <c r="Q350" s="42" t="str">
        <f t="shared" si="62"/>
        <v/>
      </c>
      <c r="R350" s="42" t="str">
        <f t="shared" si="63"/>
        <v/>
      </c>
      <c r="S350" s="90" t="str">
        <f t="shared" si="64"/>
        <v/>
      </c>
      <c r="T350" s="42" t="str">
        <f t="shared" si="65"/>
        <v/>
      </c>
    </row>
    <row r="351" spans="1:20" x14ac:dyDescent="0.2">
      <c r="A351" t="str">
        <f>INDEX(Prioritization!$D:$D,MATCH($B351,Prioritization!$A:$A,0))</f>
        <v>INVALID</v>
      </c>
      <c r="B351" t="s">
        <v>217</v>
      </c>
      <c r="C351" t="s">
        <v>315</v>
      </c>
      <c r="D351" t="s">
        <v>29</v>
      </c>
      <c r="E351" t="str">
        <f t="shared" si="55"/>
        <v>Neno District [gwVYinjBAe9]|&lt;01|Female</v>
      </c>
      <c r="G351" s="14"/>
      <c r="H351" s="14"/>
      <c r="I351" s="90" t="str">
        <f t="shared" si="56"/>
        <v/>
      </c>
      <c r="J351" s="90"/>
      <c r="K351" s="90"/>
      <c r="L351" s="90">
        <f t="shared" si="57"/>
        <v>1</v>
      </c>
      <c r="M351" s="90">
        <f t="shared" si="58"/>
        <v>0.2</v>
      </c>
      <c r="N351" s="14" t="str">
        <f t="shared" si="59"/>
        <v/>
      </c>
      <c r="O351" s="42" t="str">
        <f t="shared" si="60"/>
        <v/>
      </c>
      <c r="P351" s="42" t="str">
        <f t="shared" si="61"/>
        <v/>
      </c>
      <c r="Q351" s="42" t="str">
        <f t="shared" si="62"/>
        <v/>
      </c>
      <c r="R351" s="42" t="str">
        <f t="shared" si="63"/>
        <v/>
      </c>
      <c r="S351" s="90" t="str">
        <f t="shared" si="64"/>
        <v/>
      </c>
      <c r="T351" s="42" t="str">
        <f t="shared" si="65"/>
        <v/>
      </c>
    </row>
    <row r="352" spans="1:20" x14ac:dyDescent="0.2">
      <c r="A352" t="str">
        <f>INDEX(Prioritization!$D:$D,MATCH($B352,Prioritization!$A:$A,0))</f>
        <v>INVALID</v>
      </c>
      <c r="B352" t="s">
        <v>217</v>
      </c>
      <c r="C352" t="s">
        <v>315</v>
      </c>
      <c r="D352" t="s">
        <v>47</v>
      </c>
      <c r="E352" t="str">
        <f t="shared" si="55"/>
        <v>Neno District [gwVYinjBAe9]|&lt;01|Male</v>
      </c>
      <c r="G352" s="14"/>
      <c r="H352" s="14"/>
      <c r="I352" s="90" t="str">
        <f t="shared" si="56"/>
        <v/>
      </c>
      <c r="J352" s="90"/>
      <c r="K352" s="90"/>
      <c r="L352" s="90">
        <f t="shared" si="57"/>
        <v>1</v>
      </c>
      <c r="M352" s="90">
        <f t="shared" si="58"/>
        <v>0.2</v>
      </c>
      <c r="N352" s="14" t="str">
        <f t="shared" si="59"/>
        <v/>
      </c>
      <c r="O352" s="42" t="str">
        <f t="shared" si="60"/>
        <v/>
      </c>
      <c r="P352" s="42" t="str">
        <f t="shared" si="61"/>
        <v/>
      </c>
      <c r="Q352" s="42" t="str">
        <f t="shared" si="62"/>
        <v/>
      </c>
      <c r="R352" s="42" t="str">
        <f t="shared" si="63"/>
        <v/>
      </c>
      <c r="S352" s="90" t="str">
        <f t="shared" si="64"/>
        <v/>
      </c>
      <c r="T352" s="42" t="str">
        <f t="shared" si="65"/>
        <v/>
      </c>
    </row>
    <row r="353" spans="1:20" x14ac:dyDescent="0.2">
      <c r="A353" t="str">
        <f>INDEX(Prioritization!$D:$D,MATCH($B353,Prioritization!$A:$A,0))</f>
        <v>INVALID</v>
      </c>
      <c r="B353" t="s">
        <v>217</v>
      </c>
      <c r="C353" t="s">
        <v>809</v>
      </c>
      <c r="D353" t="s">
        <v>29</v>
      </c>
      <c r="E353" t="str">
        <f t="shared" si="55"/>
        <v>Neno District [gwVYinjBAe9]|01-04|Female</v>
      </c>
      <c r="G353" s="14"/>
      <c r="H353" s="14"/>
      <c r="I353" s="90" t="str">
        <f t="shared" si="56"/>
        <v/>
      </c>
      <c r="J353" s="90"/>
      <c r="K353" s="90"/>
      <c r="L353" s="90">
        <f t="shared" si="57"/>
        <v>1</v>
      </c>
      <c r="M353" s="90">
        <f t="shared" si="58"/>
        <v>0.2</v>
      </c>
      <c r="N353" s="14" t="str">
        <f t="shared" si="59"/>
        <v/>
      </c>
      <c r="O353" s="42" t="str">
        <f t="shared" si="60"/>
        <v/>
      </c>
      <c r="P353" s="42" t="str">
        <f t="shared" si="61"/>
        <v/>
      </c>
      <c r="Q353" s="42" t="str">
        <f t="shared" si="62"/>
        <v/>
      </c>
      <c r="R353" s="42" t="str">
        <f t="shared" si="63"/>
        <v/>
      </c>
      <c r="S353" s="90" t="str">
        <f t="shared" si="64"/>
        <v/>
      </c>
      <c r="T353" s="42" t="str">
        <f t="shared" si="65"/>
        <v/>
      </c>
    </row>
    <row r="354" spans="1:20" x14ac:dyDescent="0.2">
      <c r="A354" t="str">
        <f>INDEX(Prioritization!$D:$D,MATCH($B354,Prioritization!$A:$A,0))</f>
        <v>INVALID</v>
      </c>
      <c r="B354" t="s">
        <v>217</v>
      </c>
      <c r="C354" t="s">
        <v>809</v>
      </c>
      <c r="D354" t="s">
        <v>47</v>
      </c>
      <c r="E354" t="str">
        <f t="shared" si="55"/>
        <v>Neno District [gwVYinjBAe9]|01-04|Male</v>
      </c>
      <c r="G354" s="14"/>
      <c r="H354" s="14"/>
      <c r="I354" s="90" t="str">
        <f t="shared" si="56"/>
        <v/>
      </c>
      <c r="J354" s="90"/>
      <c r="K354" s="90"/>
      <c r="L354" s="90">
        <f t="shared" si="57"/>
        <v>1</v>
      </c>
      <c r="M354" s="90">
        <f t="shared" si="58"/>
        <v>0.2</v>
      </c>
      <c r="N354" s="14" t="str">
        <f t="shared" si="59"/>
        <v/>
      </c>
      <c r="O354" s="42" t="str">
        <f t="shared" si="60"/>
        <v/>
      </c>
      <c r="P354" s="42" t="str">
        <f t="shared" si="61"/>
        <v/>
      </c>
      <c r="Q354" s="42" t="str">
        <f t="shared" si="62"/>
        <v/>
      </c>
      <c r="R354" s="42" t="str">
        <f t="shared" si="63"/>
        <v/>
      </c>
      <c r="S354" s="90" t="str">
        <f t="shared" si="64"/>
        <v/>
      </c>
      <c r="T354" s="42" t="str">
        <f t="shared" si="65"/>
        <v/>
      </c>
    </row>
    <row r="355" spans="1:20" x14ac:dyDescent="0.2">
      <c r="A355" t="str">
        <f>INDEX(Prioritization!$D:$D,MATCH($B355,Prioritization!$A:$A,0))</f>
        <v>INVALID</v>
      </c>
      <c r="B355" t="s">
        <v>217</v>
      </c>
      <c r="C355" t="s">
        <v>810</v>
      </c>
      <c r="D355" t="s">
        <v>29</v>
      </c>
      <c r="E355" t="str">
        <f t="shared" si="55"/>
        <v>Neno District [gwVYinjBAe9]|05-09|Female</v>
      </c>
      <c r="G355" s="14"/>
      <c r="H355" s="14"/>
      <c r="I355" s="90" t="str">
        <f t="shared" si="56"/>
        <v/>
      </c>
      <c r="J355" s="90"/>
      <c r="K355" s="90"/>
      <c r="L355" s="90">
        <f t="shared" si="57"/>
        <v>1</v>
      </c>
      <c r="M355" s="90">
        <f t="shared" si="58"/>
        <v>0.2</v>
      </c>
      <c r="N355" s="14" t="str">
        <f t="shared" si="59"/>
        <v/>
      </c>
      <c r="O355" s="42" t="str">
        <f t="shared" si="60"/>
        <v/>
      </c>
      <c r="P355" s="42" t="str">
        <f t="shared" si="61"/>
        <v/>
      </c>
      <c r="Q355" s="42" t="str">
        <f t="shared" si="62"/>
        <v/>
      </c>
      <c r="R355" s="42" t="str">
        <f t="shared" si="63"/>
        <v/>
      </c>
      <c r="S355" s="90" t="str">
        <f t="shared" si="64"/>
        <v/>
      </c>
      <c r="T355" s="42" t="str">
        <f t="shared" si="65"/>
        <v/>
      </c>
    </row>
    <row r="356" spans="1:20" x14ac:dyDescent="0.2">
      <c r="A356" t="str">
        <f>INDEX(Prioritization!$D:$D,MATCH($B356,Prioritization!$A:$A,0))</f>
        <v>INVALID</v>
      </c>
      <c r="B356" t="s">
        <v>217</v>
      </c>
      <c r="C356" t="s">
        <v>810</v>
      </c>
      <c r="D356" t="s">
        <v>47</v>
      </c>
      <c r="E356" t="str">
        <f t="shared" si="55"/>
        <v>Neno District [gwVYinjBAe9]|05-09|Male</v>
      </c>
      <c r="G356" s="14"/>
      <c r="H356" s="14"/>
      <c r="I356" s="90" t="str">
        <f t="shared" si="56"/>
        <v/>
      </c>
      <c r="J356" s="90"/>
      <c r="K356" s="90"/>
      <c r="L356" s="90">
        <f t="shared" si="57"/>
        <v>1</v>
      </c>
      <c r="M356" s="90">
        <f t="shared" si="58"/>
        <v>0.2</v>
      </c>
      <c r="N356" s="14" t="str">
        <f t="shared" si="59"/>
        <v/>
      </c>
      <c r="O356" s="42" t="str">
        <f t="shared" si="60"/>
        <v/>
      </c>
      <c r="P356" s="42" t="str">
        <f t="shared" si="61"/>
        <v/>
      </c>
      <c r="Q356" s="42" t="str">
        <f t="shared" si="62"/>
        <v/>
      </c>
      <c r="R356" s="42" t="str">
        <f t="shared" si="63"/>
        <v/>
      </c>
      <c r="S356" s="90" t="str">
        <f t="shared" si="64"/>
        <v/>
      </c>
      <c r="T356" s="42" t="str">
        <f t="shared" si="65"/>
        <v/>
      </c>
    </row>
    <row r="357" spans="1:20" x14ac:dyDescent="0.2">
      <c r="A357" t="str">
        <f>INDEX(Prioritization!$D:$D,MATCH($B357,Prioritization!$A:$A,0))</f>
        <v>INVALID</v>
      </c>
      <c r="B357" t="s">
        <v>217</v>
      </c>
      <c r="C357" t="s">
        <v>363</v>
      </c>
      <c r="D357" t="s">
        <v>29</v>
      </c>
      <c r="E357" t="str">
        <f t="shared" si="55"/>
        <v>Neno District [gwVYinjBAe9]|10-14|Female</v>
      </c>
      <c r="G357" s="14"/>
      <c r="H357" s="14">
        <v>5</v>
      </c>
      <c r="I357" s="90">
        <f t="shared" si="56"/>
        <v>0</v>
      </c>
      <c r="J357" s="90"/>
      <c r="K357" s="90"/>
      <c r="L357" s="90">
        <f t="shared" si="57"/>
        <v>1</v>
      </c>
      <c r="M357" s="90">
        <f t="shared" si="58"/>
        <v>0.2</v>
      </c>
      <c r="N357" s="14">
        <f t="shared" si="59"/>
        <v>5</v>
      </c>
      <c r="O357" s="42" t="str">
        <f t="shared" si="60"/>
        <v/>
      </c>
      <c r="P357" s="42" t="str">
        <f t="shared" si="61"/>
        <v/>
      </c>
      <c r="Q357" s="42">
        <f t="shared" si="62"/>
        <v>1</v>
      </c>
      <c r="R357" s="42">
        <f t="shared" si="63"/>
        <v>4</v>
      </c>
      <c r="S357" s="90">
        <f t="shared" si="64"/>
        <v>1</v>
      </c>
      <c r="T357" s="42">
        <f t="shared" si="65"/>
        <v>5</v>
      </c>
    </row>
    <row r="358" spans="1:20" x14ac:dyDescent="0.2">
      <c r="A358" t="str">
        <f>INDEX(Prioritization!$D:$D,MATCH($B358,Prioritization!$A:$A,0))</f>
        <v>INVALID</v>
      </c>
      <c r="B358" t="s">
        <v>217</v>
      </c>
      <c r="C358" t="s">
        <v>363</v>
      </c>
      <c r="D358" t="s">
        <v>47</v>
      </c>
      <c r="E358" t="str">
        <f t="shared" si="55"/>
        <v>Neno District [gwVYinjBAe9]|10-14|Male</v>
      </c>
      <c r="G358" s="14"/>
      <c r="H358" s="14">
        <v>3</v>
      </c>
      <c r="I358" s="90">
        <f t="shared" si="56"/>
        <v>0</v>
      </c>
      <c r="J358" s="90"/>
      <c r="K358" s="90"/>
      <c r="L358" s="90">
        <f t="shared" si="57"/>
        <v>1</v>
      </c>
      <c r="M358" s="90">
        <f t="shared" si="58"/>
        <v>0.2</v>
      </c>
      <c r="N358" s="14">
        <f t="shared" si="59"/>
        <v>3</v>
      </c>
      <c r="O358" s="42" t="str">
        <f t="shared" si="60"/>
        <v/>
      </c>
      <c r="P358" s="42" t="str">
        <f t="shared" si="61"/>
        <v/>
      </c>
      <c r="Q358" s="42">
        <f t="shared" si="62"/>
        <v>1</v>
      </c>
      <c r="R358" s="42">
        <f t="shared" si="63"/>
        <v>2</v>
      </c>
      <c r="S358" s="90">
        <f t="shared" si="64"/>
        <v>1</v>
      </c>
      <c r="T358" s="42">
        <f t="shared" si="65"/>
        <v>3</v>
      </c>
    </row>
    <row r="359" spans="1:20" x14ac:dyDescent="0.2">
      <c r="A359" t="str">
        <f>INDEX(Prioritization!$D:$D,MATCH($B359,Prioritization!$A:$A,0))</f>
        <v>INVALID</v>
      </c>
      <c r="B359" t="s">
        <v>217</v>
      </c>
      <c r="C359" t="s">
        <v>811</v>
      </c>
      <c r="D359" t="s">
        <v>29</v>
      </c>
      <c r="E359" t="str">
        <f t="shared" si="55"/>
        <v>Neno District [gwVYinjBAe9]|15-17|Female</v>
      </c>
      <c r="G359" s="14"/>
      <c r="H359" s="14"/>
      <c r="I359" s="90" t="str">
        <f t="shared" si="56"/>
        <v/>
      </c>
      <c r="J359" s="90"/>
      <c r="K359" s="90"/>
      <c r="L359" s="90">
        <f t="shared" si="57"/>
        <v>1</v>
      </c>
      <c r="M359" s="90">
        <f t="shared" si="58"/>
        <v>0.2</v>
      </c>
      <c r="N359" s="14" t="str">
        <f t="shared" si="59"/>
        <v/>
      </c>
      <c r="O359" s="42" t="str">
        <f t="shared" si="60"/>
        <v/>
      </c>
      <c r="P359" s="42" t="str">
        <f t="shared" si="61"/>
        <v/>
      </c>
      <c r="Q359" s="42" t="str">
        <f t="shared" si="62"/>
        <v/>
      </c>
      <c r="R359" s="42" t="str">
        <f t="shared" si="63"/>
        <v/>
      </c>
      <c r="S359" s="90" t="str">
        <f t="shared" si="64"/>
        <v/>
      </c>
      <c r="T359" s="42" t="str">
        <f t="shared" si="65"/>
        <v/>
      </c>
    </row>
    <row r="360" spans="1:20" x14ac:dyDescent="0.2">
      <c r="A360" t="str">
        <f>INDEX(Prioritization!$D:$D,MATCH($B360,Prioritization!$A:$A,0))</f>
        <v>INVALID</v>
      </c>
      <c r="B360" t="s">
        <v>217</v>
      </c>
      <c r="C360" t="s">
        <v>811</v>
      </c>
      <c r="D360" t="s">
        <v>47</v>
      </c>
      <c r="E360" t="str">
        <f t="shared" si="55"/>
        <v>Neno District [gwVYinjBAe9]|15-17|Male</v>
      </c>
      <c r="G360" s="14"/>
      <c r="H360" s="14"/>
      <c r="I360" s="90" t="str">
        <f t="shared" si="56"/>
        <v/>
      </c>
      <c r="J360" s="90"/>
      <c r="K360" s="90"/>
      <c r="L360" s="90">
        <f t="shared" si="57"/>
        <v>1</v>
      </c>
      <c r="M360" s="90">
        <f t="shared" si="58"/>
        <v>0.2</v>
      </c>
      <c r="N360" s="14" t="str">
        <f t="shared" si="59"/>
        <v/>
      </c>
      <c r="O360" s="42" t="str">
        <f t="shared" si="60"/>
        <v/>
      </c>
      <c r="P360" s="42" t="str">
        <f t="shared" si="61"/>
        <v/>
      </c>
      <c r="Q360" s="42" t="str">
        <f t="shared" si="62"/>
        <v/>
      </c>
      <c r="R360" s="42" t="str">
        <f t="shared" si="63"/>
        <v/>
      </c>
      <c r="S360" s="90" t="str">
        <f t="shared" si="64"/>
        <v/>
      </c>
      <c r="T360" s="42" t="str">
        <f t="shared" si="65"/>
        <v/>
      </c>
    </row>
    <row r="361" spans="1:20" x14ac:dyDescent="0.2">
      <c r="A361" t="str">
        <f>INDEX(Prioritization!$D:$D,MATCH($B361,Prioritization!$A:$A,0))</f>
        <v>INVALID</v>
      </c>
      <c r="B361" t="s">
        <v>217</v>
      </c>
      <c r="C361" t="s">
        <v>812</v>
      </c>
      <c r="D361" t="s">
        <v>29</v>
      </c>
      <c r="E361" t="str">
        <f t="shared" si="55"/>
        <v>Neno District [gwVYinjBAe9]|18-20|Female</v>
      </c>
      <c r="G361" s="14"/>
      <c r="H361" s="14"/>
      <c r="I361" s="90" t="str">
        <f t="shared" si="56"/>
        <v/>
      </c>
      <c r="J361" s="90"/>
      <c r="K361" s="90"/>
      <c r="L361" s="90">
        <f t="shared" si="57"/>
        <v>1</v>
      </c>
      <c r="M361" s="90">
        <f t="shared" si="58"/>
        <v>0.2</v>
      </c>
      <c r="N361" s="14" t="str">
        <f t="shared" si="59"/>
        <v/>
      </c>
      <c r="O361" s="42" t="str">
        <f t="shared" si="60"/>
        <v/>
      </c>
      <c r="P361" s="42" t="str">
        <f t="shared" si="61"/>
        <v/>
      </c>
      <c r="Q361" s="42" t="str">
        <f t="shared" si="62"/>
        <v/>
      </c>
      <c r="R361" s="42" t="str">
        <f t="shared" si="63"/>
        <v/>
      </c>
      <c r="S361" s="90" t="str">
        <f t="shared" si="64"/>
        <v/>
      </c>
      <c r="T361" s="42" t="str">
        <f t="shared" si="65"/>
        <v/>
      </c>
    </row>
    <row r="362" spans="1:20" x14ac:dyDescent="0.2">
      <c r="A362" t="str">
        <f>INDEX(Prioritization!$D:$D,MATCH($B362,Prioritization!$A:$A,0))</f>
        <v>INVALID</v>
      </c>
      <c r="B362" t="s">
        <v>217</v>
      </c>
      <c r="C362" t="s">
        <v>812</v>
      </c>
      <c r="D362" t="s">
        <v>47</v>
      </c>
      <c r="E362" t="str">
        <f t="shared" si="55"/>
        <v>Neno District [gwVYinjBAe9]|18-20|Male</v>
      </c>
      <c r="G362" s="14"/>
      <c r="H362" s="14"/>
      <c r="I362" s="90" t="str">
        <f t="shared" si="56"/>
        <v/>
      </c>
      <c r="J362" s="90"/>
      <c r="K362" s="90"/>
      <c r="L362" s="90">
        <f t="shared" si="57"/>
        <v>1</v>
      </c>
      <c r="M362" s="90">
        <f t="shared" si="58"/>
        <v>0.2</v>
      </c>
      <c r="N362" s="14" t="str">
        <f t="shared" si="59"/>
        <v/>
      </c>
      <c r="O362" s="42" t="str">
        <f t="shared" si="60"/>
        <v/>
      </c>
      <c r="P362" s="42" t="str">
        <f t="shared" si="61"/>
        <v/>
      </c>
      <c r="Q362" s="42" t="str">
        <f t="shared" si="62"/>
        <v/>
      </c>
      <c r="R362" s="42" t="str">
        <f t="shared" si="63"/>
        <v/>
      </c>
      <c r="S362" s="90" t="str">
        <f t="shared" si="64"/>
        <v/>
      </c>
      <c r="T362" s="42" t="str">
        <f t="shared" si="65"/>
        <v/>
      </c>
    </row>
    <row r="363" spans="1:20" x14ac:dyDescent="0.2">
      <c r="A363" t="str">
        <f>INDEX(Prioritization!$D:$D,MATCH($B363,Prioritization!$A:$A,0))</f>
        <v>INVALID</v>
      </c>
      <c r="B363" t="s">
        <v>217</v>
      </c>
      <c r="C363" t="s">
        <v>813</v>
      </c>
      <c r="D363" t="s">
        <v>29</v>
      </c>
      <c r="E363" t="str">
        <f t="shared" si="55"/>
        <v>Neno District [gwVYinjBAe9]|18+|Female</v>
      </c>
      <c r="G363" s="14"/>
      <c r="H363" s="14"/>
      <c r="I363" s="90" t="str">
        <f t="shared" si="56"/>
        <v/>
      </c>
      <c r="J363" s="90"/>
      <c r="K363" s="90"/>
      <c r="L363" s="90">
        <f t="shared" si="57"/>
        <v>1</v>
      </c>
      <c r="M363" s="90">
        <f t="shared" si="58"/>
        <v>0.2</v>
      </c>
      <c r="N363" s="14" t="str">
        <f t="shared" si="59"/>
        <v/>
      </c>
      <c r="O363" s="42" t="str">
        <f t="shared" si="60"/>
        <v/>
      </c>
      <c r="P363" s="42" t="str">
        <f t="shared" si="61"/>
        <v/>
      </c>
      <c r="Q363" s="42" t="str">
        <f t="shared" si="62"/>
        <v/>
      </c>
      <c r="R363" s="42" t="str">
        <f t="shared" si="63"/>
        <v/>
      </c>
      <c r="S363" s="90" t="str">
        <f t="shared" si="64"/>
        <v/>
      </c>
      <c r="T363" s="42" t="str">
        <f t="shared" si="65"/>
        <v/>
      </c>
    </row>
    <row r="364" spans="1:20" x14ac:dyDescent="0.2">
      <c r="A364" t="str">
        <f>INDEX(Prioritization!$D:$D,MATCH($B364,Prioritization!$A:$A,0))</f>
        <v>INVALID</v>
      </c>
      <c r="B364" t="s">
        <v>217</v>
      </c>
      <c r="C364" t="s">
        <v>813</v>
      </c>
      <c r="D364" t="s">
        <v>47</v>
      </c>
      <c r="E364" t="str">
        <f t="shared" si="55"/>
        <v>Neno District [gwVYinjBAe9]|18+|Male</v>
      </c>
      <c r="G364" s="14"/>
      <c r="H364" s="14"/>
      <c r="I364" s="90" t="str">
        <f t="shared" si="56"/>
        <v/>
      </c>
      <c r="J364" s="90"/>
      <c r="K364" s="90"/>
      <c r="L364" s="90">
        <f t="shared" si="57"/>
        <v>1</v>
      </c>
      <c r="M364" s="90">
        <f t="shared" si="58"/>
        <v>0.2</v>
      </c>
      <c r="N364" s="14" t="str">
        <f t="shared" si="59"/>
        <v/>
      </c>
      <c r="O364" s="42" t="str">
        <f t="shared" si="60"/>
        <v/>
      </c>
      <c r="P364" s="42" t="str">
        <f t="shared" si="61"/>
        <v/>
      </c>
      <c r="Q364" s="42" t="str">
        <f t="shared" si="62"/>
        <v/>
      </c>
      <c r="R364" s="42" t="str">
        <f t="shared" si="63"/>
        <v/>
      </c>
      <c r="S364" s="90" t="str">
        <f t="shared" si="64"/>
        <v/>
      </c>
      <c r="T364" s="42" t="str">
        <f t="shared" si="65"/>
        <v/>
      </c>
    </row>
    <row r="365" spans="1:20" x14ac:dyDescent="0.2">
      <c r="A365" t="str">
        <f>INDEX(Prioritization!$D:$D,MATCH($B365,Prioritization!$A:$A,0))</f>
        <v>INVALID</v>
      </c>
      <c r="B365" t="s">
        <v>218</v>
      </c>
      <c r="C365" t="s">
        <v>315</v>
      </c>
      <c r="D365" t="s">
        <v>29</v>
      </c>
      <c r="E365" t="str">
        <f t="shared" si="55"/>
        <v>Nsanje District [rpw540fmNUz]|&lt;01|Female</v>
      </c>
      <c r="G365" s="14"/>
      <c r="H365" s="14"/>
      <c r="I365" s="90" t="str">
        <f t="shared" si="56"/>
        <v/>
      </c>
      <c r="J365" s="90"/>
      <c r="K365" s="90"/>
      <c r="L365" s="90">
        <f t="shared" si="57"/>
        <v>1</v>
      </c>
      <c r="M365" s="90">
        <f t="shared" si="58"/>
        <v>0.2</v>
      </c>
      <c r="N365" s="14" t="str">
        <f t="shared" si="59"/>
        <v/>
      </c>
      <c r="O365" s="42" t="str">
        <f t="shared" si="60"/>
        <v/>
      </c>
      <c r="P365" s="42" t="str">
        <f t="shared" si="61"/>
        <v/>
      </c>
      <c r="Q365" s="42" t="str">
        <f t="shared" si="62"/>
        <v/>
      </c>
      <c r="R365" s="42" t="str">
        <f t="shared" si="63"/>
        <v/>
      </c>
      <c r="S365" s="90" t="str">
        <f t="shared" si="64"/>
        <v/>
      </c>
      <c r="T365" s="42" t="str">
        <f t="shared" si="65"/>
        <v/>
      </c>
    </row>
    <row r="366" spans="1:20" x14ac:dyDescent="0.2">
      <c r="A366" t="str">
        <f>INDEX(Prioritization!$D:$D,MATCH($B366,Prioritization!$A:$A,0))</f>
        <v>INVALID</v>
      </c>
      <c r="B366" t="s">
        <v>218</v>
      </c>
      <c r="C366" t="s">
        <v>315</v>
      </c>
      <c r="D366" t="s">
        <v>47</v>
      </c>
      <c r="E366" t="str">
        <f t="shared" si="55"/>
        <v>Nsanje District [rpw540fmNUz]|&lt;01|Male</v>
      </c>
      <c r="G366" s="14"/>
      <c r="H366" s="14"/>
      <c r="I366" s="90" t="str">
        <f t="shared" si="56"/>
        <v/>
      </c>
      <c r="J366" s="90"/>
      <c r="K366" s="90"/>
      <c r="L366" s="90">
        <f t="shared" si="57"/>
        <v>1</v>
      </c>
      <c r="M366" s="90">
        <f t="shared" si="58"/>
        <v>0.2</v>
      </c>
      <c r="N366" s="14" t="str">
        <f t="shared" si="59"/>
        <v/>
      </c>
      <c r="O366" s="42" t="str">
        <f t="shared" si="60"/>
        <v/>
      </c>
      <c r="P366" s="42" t="str">
        <f t="shared" si="61"/>
        <v/>
      </c>
      <c r="Q366" s="42" t="str">
        <f t="shared" si="62"/>
        <v/>
      </c>
      <c r="R366" s="42" t="str">
        <f t="shared" si="63"/>
        <v/>
      </c>
      <c r="S366" s="90" t="str">
        <f t="shared" si="64"/>
        <v/>
      </c>
      <c r="T366" s="42" t="str">
        <f t="shared" si="65"/>
        <v/>
      </c>
    </row>
    <row r="367" spans="1:20" x14ac:dyDescent="0.2">
      <c r="A367" t="str">
        <f>INDEX(Prioritization!$D:$D,MATCH($B367,Prioritization!$A:$A,0))</f>
        <v>INVALID</v>
      </c>
      <c r="B367" t="s">
        <v>218</v>
      </c>
      <c r="C367" t="s">
        <v>809</v>
      </c>
      <c r="D367" t="s">
        <v>29</v>
      </c>
      <c r="E367" t="str">
        <f t="shared" si="55"/>
        <v>Nsanje District [rpw540fmNUz]|01-04|Female</v>
      </c>
      <c r="G367" s="14"/>
      <c r="H367" s="14"/>
      <c r="I367" s="90" t="str">
        <f t="shared" si="56"/>
        <v/>
      </c>
      <c r="J367" s="90"/>
      <c r="K367" s="90"/>
      <c r="L367" s="90">
        <f t="shared" si="57"/>
        <v>1</v>
      </c>
      <c r="M367" s="90">
        <f t="shared" si="58"/>
        <v>0.2</v>
      </c>
      <c r="N367" s="14" t="str">
        <f t="shared" si="59"/>
        <v/>
      </c>
      <c r="O367" s="42" t="str">
        <f t="shared" si="60"/>
        <v/>
      </c>
      <c r="P367" s="42" t="str">
        <f t="shared" si="61"/>
        <v/>
      </c>
      <c r="Q367" s="42" t="str">
        <f t="shared" si="62"/>
        <v/>
      </c>
      <c r="R367" s="42" t="str">
        <f t="shared" si="63"/>
        <v/>
      </c>
      <c r="S367" s="90" t="str">
        <f t="shared" si="64"/>
        <v/>
      </c>
      <c r="T367" s="42" t="str">
        <f t="shared" si="65"/>
        <v/>
      </c>
    </row>
    <row r="368" spans="1:20" x14ac:dyDescent="0.2">
      <c r="A368" t="str">
        <f>INDEX(Prioritization!$D:$D,MATCH($B368,Prioritization!$A:$A,0))</f>
        <v>INVALID</v>
      </c>
      <c r="B368" t="s">
        <v>218</v>
      </c>
      <c r="C368" t="s">
        <v>809</v>
      </c>
      <c r="D368" t="s">
        <v>47</v>
      </c>
      <c r="E368" t="str">
        <f t="shared" si="55"/>
        <v>Nsanje District [rpw540fmNUz]|01-04|Male</v>
      </c>
      <c r="G368" s="14"/>
      <c r="H368" s="14"/>
      <c r="I368" s="90" t="str">
        <f t="shared" si="56"/>
        <v/>
      </c>
      <c r="J368" s="90"/>
      <c r="K368" s="90"/>
      <c r="L368" s="90">
        <f t="shared" si="57"/>
        <v>1</v>
      </c>
      <c r="M368" s="90">
        <f t="shared" si="58"/>
        <v>0.2</v>
      </c>
      <c r="N368" s="14" t="str">
        <f t="shared" si="59"/>
        <v/>
      </c>
      <c r="O368" s="42" t="str">
        <f t="shared" si="60"/>
        <v/>
      </c>
      <c r="P368" s="42" t="str">
        <f t="shared" si="61"/>
        <v/>
      </c>
      <c r="Q368" s="42" t="str">
        <f t="shared" si="62"/>
        <v/>
      </c>
      <c r="R368" s="42" t="str">
        <f t="shared" si="63"/>
        <v/>
      </c>
      <c r="S368" s="90" t="str">
        <f t="shared" si="64"/>
        <v/>
      </c>
      <c r="T368" s="42" t="str">
        <f t="shared" si="65"/>
        <v/>
      </c>
    </row>
    <row r="369" spans="1:20" x14ac:dyDescent="0.2">
      <c r="A369" t="str">
        <f>INDEX(Prioritization!$D:$D,MATCH($B369,Prioritization!$A:$A,0))</f>
        <v>INVALID</v>
      </c>
      <c r="B369" t="s">
        <v>218</v>
      </c>
      <c r="C369" t="s">
        <v>810</v>
      </c>
      <c r="D369" t="s">
        <v>29</v>
      </c>
      <c r="E369" t="str">
        <f t="shared" si="55"/>
        <v>Nsanje District [rpw540fmNUz]|05-09|Female</v>
      </c>
      <c r="G369" s="14"/>
      <c r="H369" s="14"/>
      <c r="I369" s="90" t="str">
        <f t="shared" si="56"/>
        <v/>
      </c>
      <c r="J369" s="90"/>
      <c r="K369" s="90"/>
      <c r="L369" s="90">
        <f t="shared" si="57"/>
        <v>1</v>
      </c>
      <c r="M369" s="90">
        <f t="shared" si="58"/>
        <v>0.2</v>
      </c>
      <c r="N369" s="14" t="str">
        <f t="shared" si="59"/>
        <v/>
      </c>
      <c r="O369" s="42" t="str">
        <f t="shared" si="60"/>
        <v/>
      </c>
      <c r="P369" s="42" t="str">
        <f t="shared" si="61"/>
        <v/>
      </c>
      <c r="Q369" s="42" t="str">
        <f t="shared" si="62"/>
        <v/>
      </c>
      <c r="R369" s="42" t="str">
        <f t="shared" si="63"/>
        <v/>
      </c>
      <c r="S369" s="90" t="str">
        <f t="shared" si="64"/>
        <v/>
      </c>
      <c r="T369" s="42" t="str">
        <f t="shared" si="65"/>
        <v/>
      </c>
    </row>
    <row r="370" spans="1:20" x14ac:dyDescent="0.2">
      <c r="A370" t="str">
        <f>INDEX(Prioritization!$D:$D,MATCH($B370,Prioritization!$A:$A,0))</f>
        <v>INVALID</v>
      </c>
      <c r="B370" t="s">
        <v>218</v>
      </c>
      <c r="C370" t="s">
        <v>810</v>
      </c>
      <c r="D370" t="s">
        <v>47</v>
      </c>
      <c r="E370" t="str">
        <f t="shared" si="55"/>
        <v>Nsanje District [rpw540fmNUz]|05-09|Male</v>
      </c>
      <c r="G370" s="14"/>
      <c r="H370" s="14"/>
      <c r="I370" s="90" t="str">
        <f t="shared" si="56"/>
        <v/>
      </c>
      <c r="J370" s="90"/>
      <c r="K370" s="90"/>
      <c r="L370" s="90">
        <f t="shared" si="57"/>
        <v>1</v>
      </c>
      <c r="M370" s="90">
        <f t="shared" si="58"/>
        <v>0.2</v>
      </c>
      <c r="N370" s="14" t="str">
        <f t="shared" si="59"/>
        <v/>
      </c>
      <c r="O370" s="42" t="str">
        <f t="shared" si="60"/>
        <v/>
      </c>
      <c r="P370" s="42" t="str">
        <f t="shared" si="61"/>
        <v/>
      </c>
      <c r="Q370" s="42" t="str">
        <f t="shared" si="62"/>
        <v/>
      </c>
      <c r="R370" s="42" t="str">
        <f t="shared" si="63"/>
        <v/>
      </c>
      <c r="S370" s="90" t="str">
        <f t="shared" si="64"/>
        <v/>
      </c>
      <c r="T370" s="42" t="str">
        <f t="shared" si="65"/>
        <v/>
      </c>
    </row>
    <row r="371" spans="1:20" x14ac:dyDescent="0.2">
      <c r="A371" t="str">
        <f>INDEX(Prioritization!$D:$D,MATCH($B371,Prioritization!$A:$A,0))</f>
        <v>INVALID</v>
      </c>
      <c r="B371" t="s">
        <v>218</v>
      </c>
      <c r="C371" t="s">
        <v>363</v>
      </c>
      <c r="D371" t="s">
        <v>29</v>
      </c>
      <c r="E371" t="str">
        <f t="shared" si="55"/>
        <v>Nsanje District [rpw540fmNUz]|10-14|Female</v>
      </c>
      <c r="G371" s="14"/>
      <c r="H371" s="14"/>
      <c r="I371" s="90" t="str">
        <f t="shared" si="56"/>
        <v/>
      </c>
      <c r="J371" s="90"/>
      <c r="K371" s="90"/>
      <c r="L371" s="90">
        <f t="shared" si="57"/>
        <v>1</v>
      </c>
      <c r="M371" s="90">
        <f t="shared" si="58"/>
        <v>0.2</v>
      </c>
      <c r="N371" s="14" t="str">
        <f t="shared" si="59"/>
        <v/>
      </c>
      <c r="O371" s="42" t="str">
        <f t="shared" si="60"/>
        <v/>
      </c>
      <c r="P371" s="42" t="str">
        <f t="shared" si="61"/>
        <v/>
      </c>
      <c r="Q371" s="42" t="str">
        <f t="shared" si="62"/>
        <v/>
      </c>
      <c r="R371" s="42" t="str">
        <f t="shared" si="63"/>
        <v/>
      </c>
      <c r="S371" s="90" t="str">
        <f t="shared" si="64"/>
        <v/>
      </c>
      <c r="T371" s="42" t="str">
        <f t="shared" si="65"/>
        <v/>
      </c>
    </row>
    <row r="372" spans="1:20" x14ac:dyDescent="0.2">
      <c r="A372" t="str">
        <f>INDEX(Prioritization!$D:$D,MATCH($B372,Prioritization!$A:$A,0))</f>
        <v>INVALID</v>
      </c>
      <c r="B372" t="s">
        <v>218</v>
      </c>
      <c r="C372" t="s">
        <v>363</v>
      </c>
      <c r="D372" t="s">
        <v>47</v>
      </c>
      <c r="E372" t="str">
        <f t="shared" si="55"/>
        <v>Nsanje District [rpw540fmNUz]|10-14|Male</v>
      </c>
      <c r="G372" s="14"/>
      <c r="H372" s="14"/>
      <c r="I372" s="90" t="str">
        <f t="shared" si="56"/>
        <v/>
      </c>
      <c r="J372" s="90"/>
      <c r="K372" s="90"/>
      <c r="L372" s="90">
        <f t="shared" si="57"/>
        <v>1</v>
      </c>
      <c r="M372" s="90">
        <f t="shared" si="58"/>
        <v>0.2</v>
      </c>
      <c r="N372" s="14" t="str">
        <f t="shared" si="59"/>
        <v/>
      </c>
      <c r="O372" s="42" t="str">
        <f t="shared" si="60"/>
        <v/>
      </c>
      <c r="P372" s="42" t="str">
        <f t="shared" si="61"/>
        <v/>
      </c>
      <c r="Q372" s="42" t="str">
        <f t="shared" si="62"/>
        <v/>
      </c>
      <c r="R372" s="42" t="str">
        <f t="shared" si="63"/>
        <v/>
      </c>
      <c r="S372" s="90" t="str">
        <f t="shared" si="64"/>
        <v/>
      </c>
      <c r="T372" s="42" t="str">
        <f t="shared" si="65"/>
        <v/>
      </c>
    </row>
    <row r="373" spans="1:20" x14ac:dyDescent="0.2">
      <c r="A373" t="str">
        <f>INDEX(Prioritization!$D:$D,MATCH($B373,Prioritization!$A:$A,0))</f>
        <v>INVALID</v>
      </c>
      <c r="B373" t="s">
        <v>218</v>
      </c>
      <c r="C373" t="s">
        <v>811</v>
      </c>
      <c r="D373" t="s">
        <v>29</v>
      </c>
      <c r="E373" t="str">
        <f t="shared" si="55"/>
        <v>Nsanje District [rpw540fmNUz]|15-17|Female</v>
      </c>
      <c r="G373" s="14"/>
      <c r="H373" s="14"/>
      <c r="I373" s="90" t="str">
        <f t="shared" si="56"/>
        <v/>
      </c>
      <c r="J373" s="90"/>
      <c r="K373" s="90"/>
      <c r="L373" s="90">
        <f t="shared" si="57"/>
        <v>1</v>
      </c>
      <c r="M373" s="90">
        <f t="shared" si="58"/>
        <v>0.2</v>
      </c>
      <c r="N373" s="14" t="str">
        <f t="shared" si="59"/>
        <v/>
      </c>
      <c r="O373" s="42" t="str">
        <f t="shared" si="60"/>
        <v/>
      </c>
      <c r="P373" s="42" t="str">
        <f t="shared" si="61"/>
        <v/>
      </c>
      <c r="Q373" s="42" t="str">
        <f t="shared" si="62"/>
        <v/>
      </c>
      <c r="R373" s="42" t="str">
        <f t="shared" si="63"/>
        <v/>
      </c>
      <c r="S373" s="90" t="str">
        <f t="shared" si="64"/>
        <v/>
      </c>
      <c r="T373" s="42" t="str">
        <f t="shared" si="65"/>
        <v/>
      </c>
    </row>
    <row r="374" spans="1:20" x14ac:dyDescent="0.2">
      <c r="A374" t="str">
        <f>INDEX(Prioritization!$D:$D,MATCH($B374,Prioritization!$A:$A,0))</f>
        <v>INVALID</v>
      </c>
      <c r="B374" t="s">
        <v>218</v>
      </c>
      <c r="C374" t="s">
        <v>811</v>
      </c>
      <c r="D374" t="s">
        <v>47</v>
      </c>
      <c r="E374" t="str">
        <f t="shared" si="55"/>
        <v>Nsanje District [rpw540fmNUz]|15-17|Male</v>
      </c>
      <c r="G374" s="14"/>
      <c r="H374" s="14"/>
      <c r="I374" s="90" t="str">
        <f t="shared" si="56"/>
        <v/>
      </c>
      <c r="J374" s="90"/>
      <c r="K374" s="90"/>
      <c r="L374" s="90">
        <f t="shared" si="57"/>
        <v>1</v>
      </c>
      <c r="M374" s="90">
        <f t="shared" si="58"/>
        <v>0.2</v>
      </c>
      <c r="N374" s="14" t="str">
        <f t="shared" si="59"/>
        <v/>
      </c>
      <c r="O374" s="42" t="str">
        <f t="shared" si="60"/>
        <v/>
      </c>
      <c r="P374" s="42" t="str">
        <f t="shared" si="61"/>
        <v/>
      </c>
      <c r="Q374" s="42" t="str">
        <f t="shared" si="62"/>
        <v/>
      </c>
      <c r="R374" s="42" t="str">
        <f t="shared" si="63"/>
        <v/>
      </c>
      <c r="S374" s="90" t="str">
        <f t="shared" si="64"/>
        <v/>
      </c>
      <c r="T374" s="42" t="str">
        <f t="shared" si="65"/>
        <v/>
      </c>
    </row>
    <row r="375" spans="1:20" x14ac:dyDescent="0.2">
      <c r="A375" t="str">
        <f>INDEX(Prioritization!$D:$D,MATCH($B375,Prioritization!$A:$A,0))</f>
        <v>INVALID</v>
      </c>
      <c r="B375" t="s">
        <v>218</v>
      </c>
      <c r="C375" t="s">
        <v>812</v>
      </c>
      <c r="D375" t="s">
        <v>29</v>
      </c>
      <c r="E375" t="str">
        <f t="shared" si="55"/>
        <v>Nsanje District [rpw540fmNUz]|18-20|Female</v>
      </c>
      <c r="G375" s="14"/>
      <c r="H375" s="14"/>
      <c r="I375" s="90" t="str">
        <f t="shared" si="56"/>
        <v/>
      </c>
      <c r="J375" s="90"/>
      <c r="K375" s="90"/>
      <c r="L375" s="90">
        <f t="shared" si="57"/>
        <v>1</v>
      </c>
      <c r="M375" s="90">
        <f t="shared" si="58"/>
        <v>0.2</v>
      </c>
      <c r="N375" s="14" t="str">
        <f t="shared" si="59"/>
        <v/>
      </c>
      <c r="O375" s="42" t="str">
        <f t="shared" si="60"/>
        <v/>
      </c>
      <c r="P375" s="42" t="str">
        <f t="shared" si="61"/>
        <v/>
      </c>
      <c r="Q375" s="42" t="str">
        <f t="shared" si="62"/>
        <v/>
      </c>
      <c r="R375" s="42" t="str">
        <f t="shared" si="63"/>
        <v/>
      </c>
      <c r="S375" s="90" t="str">
        <f t="shared" si="64"/>
        <v/>
      </c>
      <c r="T375" s="42" t="str">
        <f t="shared" si="65"/>
        <v/>
      </c>
    </row>
    <row r="376" spans="1:20" x14ac:dyDescent="0.2">
      <c r="A376" t="str">
        <f>INDEX(Prioritization!$D:$D,MATCH($B376,Prioritization!$A:$A,0))</f>
        <v>INVALID</v>
      </c>
      <c r="B376" t="s">
        <v>218</v>
      </c>
      <c r="C376" t="s">
        <v>812</v>
      </c>
      <c r="D376" t="s">
        <v>47</v>
      </c>
      <c r="E376" t="str">
        <f t="shared" si="55"/>
        <v>Nsanje District [rpw540fmNUz]|18-20|Male</v>
      </c>
      <c r="G376" s="14"/>
      <c r="H376" s="14"/>
      <c r="I376" s="90" t="str">
        <f t="shared" si="56"/>
        <v/>
      </c>
      <c r="J376" s="90"/>
      <c r="K376" s="90"/>
      <c r="L376" s="90">
        <f t="shared" si="57"/>
        <v>1</v>
      </c>
      <c r="M376" s="90">
        <f t="shared" si="58"/>
        <v>0.2</v>
      </c>
      <c r="N376" s="14" t="str">
        <f t="shared" si="59"/>
        <v/>
      </c>
      <c r="O376" s="42" t="str">
        <f t="shared" si="60"/>
        <v/>
      </c>
      <c r="P376" s="42" t="str">
        <f t="shared" si="61"/>
        <v/>
      </c>
      <c r="Q376" s="42" t="str">
        <f t="shared" si="62"/>
        <v/>
      </c>
      <c r="R376" s="42" t="str">
        <f t="shared" si="63"/>
        <v/>
      </c>
      <c r="S376" s="90" t="str">
        <f t="shared" si="64"/>
        <v/>
      </c>
      <c r="T376" s="42" t="str">
        <f t="shared" si="65"/>
        <v/>
      </c>
    </row>
    <row r="377" spans="1:20" x14ac:dyDescent="0.2">
      <c r="A377" t="str">
        <f>INDEX(Prioritization!$D:$D,MATCH($B377,Prioritization!$A:$A,0))</f>
        <v>INVALID</v>
      </c>
      <c r="B377" t="s">
        <v>218</v>
      </c>
      <c r="C377" t="s">
        <v>813</v>
      </c>
      <c r="D377" t="s">
        <v>29</v>
      </c>
      <c r="E377" t="str">
        <f t="shared" si="55"/>
        <v>Nsanje District [rpw540fmNUz]|18+|Female</v>
      </c>
      <c r="G377" s="14"/>
      <c r="H377" s="14"/>
      <c r="I377" s="90" t="str">
        <f t="shared" si="56"/>
        <v/>
      </c>
      <c r="J377" s="90"/>
      <c r="K377" s="90"/>
      <c r="L377" s="90">
        <f t="shared" si="57"/>
        <v>1</v>
      </c>
      <c r="M377" s="90">
        <f t="shared" si="58"/>
        <v>0.2</v>
      </c>
      <c r="N377" s="14" t="str">
        <f t="shared" si="59"/>
        <v/>
      </c>
      <c r="O377" s="42" t="str">
        <f t="shared" si="60"/>
        <v/>
      </c>
      <c r="P377" s="42" t="str">
        <f t="shared" si="61"/>
        <v/>
      </c>
      <c r="Q377" s="42" t="str">
        <f t="shared" si="62"/>
        <v/>
      </c>
      <c r="R377" s="42" t="str">
        <f t="shared" si="63"/>
        <v/>
      </c>
      <c r="S377" s="90" t="str">
        <f t="shared" si="64"/>
        <v/>
      </c>
      <c r="T377" s="42" t="str">
        <f t="shared" si="65"/>
        <v/>
      </c>
    </row>
    <row r="378" spans="1:20" x14ac:dyDescent="0.2">
      <c r="A378" t="str">
        <f>INDEX(Prioritization!$D:$D,MATCH($B378,Prioritization!$A:$A,0))</f>
        <v>INVALID</v>
      </c>
      <c r="B378" t="s">
        <v>218</v>
      </c>
      <c r="C378" t="s">
        <v>813</v>
      </c>
      <c r="D378" t="s">
        <v>47</v>
      </c>
      <c r="E378" t="str">
        <f t="shared" si="55"/>
        <v>Nsanje District [rpw540fmNUz]|18+|Male</v>
      </c>
      <c r="G378" s="14"/>
      <c r="H378" s="14"/>
      <c r="I378" s="90" t="str">
        <f t="shared" si="56"/>
        <v/>
      </c>
      <c r="J378" s="90"/>
      <c r="K378" s="90"/>
      <c r="L378" s="90">
        <f t="shared" si="57"/>
        <v>1</v>
      </c>
      <c r="M378" s="90">
        <f t="shared" si="58"/>
        <v>0.2</v>
      </c>
      <c r="N378" s="14" t="str">
        <f t="shared" si="59"/>
        <v/>
      </c>
      <c r="O378" s="42" t="str">
        <f t="shared" si="60"/>
        <v/>
      </c>
      <c r="P378" s="42" t="str">
        <f t="shared" si="61"/>
        <v/>
      </c>
      <c r="Q378" s="42" t="str">
        <f t="shared" si="62"/>
        <v/>
      </c>
      <c r="R378" s="42" t="str">
        <f t="shared" si="63"/>
        <v/>
      </c>
      <c r="S378" s="90" t="str">
        <f t="shared" si="64"/>
        <v/>
      </c>
      <c r="T378" s="42" t="str">
        <f t="shared" si="65"/>
        <v/>
      </c>
    </row>
    <row r="379" spans="1:20" x14ac:dyDescent="0.2">
      <c r="A379" t="str">
        <f>INDEX(Prioritization!$D:$D,MATCH($B379,Prioritization!$A:$A,0))</f>
        <v>INVALID</v>
      </c>
      <c r="B379" t="s">
        <v>219</v>
      </c>
      <c r="C379" t="s">
        <v>315</v>
      </c>
      <c r="D379" t="s">
        <v>29</v>
      </c>
      <c r="E379" t="str">
        <f t="shared" si="55"/>
        <v>Phalombe District [AZyWpGzhcaA]|&lt;01|Female</v>
      </c>
      <c r="F379" t="s">
        <v>1246</v>
      </c>
      <c r="G379" s="14">
        <v>23</v>
      </c>
      <c r="H379" s="14">
        <v>59</v>
      </c>
      <c r="I379" s="90">
        <f t="shared" si="56"/>
        <v>0</v>
      </c>
      <c r="J379" s="90"/>
      <c r="K379" s="90"/>
      <c r="L379" s="90">
        <f t="shared" si="57"/>
        <v>1</v>
      </c>
      <c r="M379" s="90">
        <f t="shared" si="58"/>
        <v>0.2</v>
      </c>
      <c r="N379" s="14">
        <f t="shared" si="59"/>
        <v>59</v>
      </c>
      <c r="O379" s="42" t="str">
        <f t="shared" si="60"/>
        <v/>
      </c>
      <c r="P379" s="42" t="str">
        <f t="shared" si="61"/>
        <v/>
      </c>
      <c r="Q379" s="42">
        <f t="shared" si="62"/>
        <v>12</v>
      </c>
      <c r="R379" s="42">
        <f t="shared" si="63"/>
        <v>47</v>
      </c>
      <c r="S379" s="90">
        <f t="shared" si="64"/>
        <v>1</v>
      </c>
      <c r="T379" s="42">
        <f t="shared" si="65"/>
        <v>59</v>
      </c>
    </row>
    <row r="380" spans="1:20" x14ac:dyDescent="0.2">
      <c r="A380" t="str">
        <f>INDEX(Prioritization!$D:$D,MATCH($B380,Prioritization!$A:$A,0))</f>
        <v>INVALID</v>
      </c>
      <c r="B380" t="s">
        <v>219</v>
      </c>
      <c r="C380" t="s">
        <v>315</v>
      </c>
      <c r="D380" t="s">
        <v>47</v>
      </c>
      <c r="E380" t="str">
        <f t="shared" si="55"/>
        <v>Phalombe District [AZyWpGzhcaA]|&lt;01|Male</v>
      </c>
      <c r="F380" t="s">
        <v>1246</v>
      </c>
      <c r="G380" s="14">
        <v>62</v>
      </c>
      <c r="H380" s="14">
        <v>98</v>
      </c>
      <c r="I380" s="90">
        <f t="shared" si="56"/>
        <v>0</v>
      </c>
      <c r="J380" s="90"/>
      <c r="K380" s="90"/>
      <c r="L380" s="90">
        <f t="shared" si="57"/>
        <v>1</v>
      </c>
      <c r="M380" s="90">
        <f t="shared" si="58"/>
        <v>0.2</v>
      </c>
      <c r="N380" s="14">
        <f t="shared" si="59"/>
        <v>98</v>
      </c>
      <c r="O380" s="42" t="str">
        <f t="shared" si="60"/>
        <v/>
      </c>
      <c r="P380" s="42" t="str">
        <f t="shared" si="61"/>
        <v/>
      </c>
      <c r="Q380" s="42">
        <f t="shared" si="62"/>
        <v>20</v>
      </c>
      <c r="R380" s="42">
        <f t="shared" si="63"/>
        <v>78</v>
      </c>
      <c r="S380" s="90">
        <f t="shared" si="64"/>
        <v>1</v>
      </c>
      <c r="T380" s="42">
        <f t="shared" si="65"/>
        <v>98</v>
      </c>
    </row>
    <row r="381" spans="1:20" x14ac:dyDescent="0.2">
      <c r="A381" t="str">
        <f>INDEX(Prioritization!$D:$D,MATCH($B381,Prioritization!$A:$A,0))</f>
        <v>INVALID</v>
      </c>
      <c r="B381" t="s">
        <v>219</v>
      </c>
      <c r="C381" t="s">
        <v>809</v>
      </c>
      <c r="D381" t="s">
        <v>29</v>
      </c>
      <c r="E381" t="str">
        <f t="shared" si="55"/>
        <v>Phalombe District [AZyWpGzhcaA]|01-04|Female</v>
      </c>
      <c r="F381" t="s">
        <v>1246</v>
      </c>
      <c r="G381" s="14">
        <v>782</v>
      </c>
      <c r="H381" s="14">
        <v>20</v>
      </c>
      <c r="I381" s="90">
        <f t="shared" si="56"/>
        <v>0</v>
      </c>
      <c r="J381" s="90"/>
      <c r="K381" s="90"/>
      <c r="L381" s="90">
        <f t="shared" si="57"/>
        <v>1</v>
      </c>
      <c r="M381" s="90">
        <f t="shared" si="58"/>
        <v>0.2</v>
      </c>
      <c r="N381" s="14">
        <f t="shared" si="59"/>
        <v>20</v>
      </c>
      <c r="O381" s="42" t="str">
        <f t="shared" si="60"/>
        <v/>
      </c>
      <c r="P381" s="42" t="str">
        <f t="shared" si="61"/>
        <v/>
      </c>
      <c r="Q381" s="42">
        <f t="shared" si="62"/>
        <v>4</v>
      </c>
      <c r="R381" s="42">
        <f t="shared" si="63"/>
        <v>16</v>
      </c>
      <c r="S381" s="90">
        <f t="shared" si="64"/>
        <v>1</v>
      </c>
      <c r="T381" s="42">
        <f t="shared" si="65"/>
        <v>20</v>
      </c>
    </row>
    <row r="382" spans="1:20" x14ac:dyDescent="0.2">
      <c r="A382" t="str">
        <f>INDEX(Prioritization!$D:$D,MATCH($B382,Prioritization!$A:$A,0))</f>
        <v>INVALID</v>
      </c>
      <c r="B382" t="s">
        <v>219</v>
      </c>
      <c r="C382" t="s">
        <v>809</v>
      </c>
      <c r="D382" t="s">
        <v>47</v>
      </c>
      <c r="E382" t="str">
        <f t="shared" si="55"/>
        <v>Phalombe District [AZyWpGzhcaA]|01-04|Male</v>
      </c>
      <c r="F382" t="s">
        <v>1246</v>
      </c>
      <c r="G382" s="14">
        <v>802</v>
      </c>
      <c r="H382" s="14">
        <v>81</v>
      </c>
      <c r="I382" s="90">
        <f t="shared" si="56"/>
        <v>0</v>
      </c>
      <c r="J382" s="90"/>
      <c r="K382" s="90"/>
      <c r="L382" s="90">
        <f t="shared" si="57"/>
        <v>1</v>
      </c>
      <c r="M382" s="90">
        <f t="shared" si="58"/>
        <v>0.2</v>
      </c>
      <c r="N382" s="14">
        <f t="shared" si="59"/>
        <v>81</v>
      </c>
      <c r="O382" s="42" t="str">
        <f t="shared" si="60"/>
        <v/>
      </c>
      <c r="P382" s="42" t="str">
        <f t="shared" si="61"/>
        <v/>
      </c>
      <c r="Q382" s="42">
        <f t="shared" si="62"/>
        <v>16</v>
      </c>
      <c r="R382" s="42">
        <f t="shared" si="63"/>
        <v>65</v>
      </c>
      <c r="S382" s="90">
        <f t="shared" si="64"/>
        <v>1</v>
      </c>
      <c r="T382" s="42">
        <f t="shared" si="65"/>
        <v>81</v>
      </c>
    </row>
    <row r="383" spans="1:20" x14ac:dyDescent="0.2">
      <c r="A383" t="str">
        <f>INDEX(Prioritization!$D:$D,MATCH($B383,Prioritization!$A:$A,0))</f>
        <v>INVALID</v>
      </c>
      <c r="B383" t="s">
        <v>219</v>
      </c>
      <c r="C383" t="s">
        <v>810</v>
      </c>
      <c r="D383" t="s">
        <v>29</v>
      </c>
      <c r="E383" t="str">
        <f t="shared" si="55"/>
        <v>Phalombe District [AZyWpGzhcaA]|05-09|Female</v>
      </c>
      <c r="F383" t="s">
        <v>1246</v>
      </c>
      <c r="G383" s="14">
        <v>880</v>
      </c>
      <c r="H383" s="14">
        <v>27</v>
      </c>
      <c r="I383" s="90">
        <f t="shared" si="56"/>
        <v>0</v>
      </c>
      <c r="J383" s="90"/>
      <c r="K383" s="90"/>
      <c r="L383" s="90">
        <f t="shared" si="57"/>
        <v>1</v>
      </c>
      <c r="M383" s="90">
        <f t="shared" si="58"/>
        <v>0.2</v>
      </c>
      <c r="N383" s="14">
        <f t="shared" si="59"/>
        <v>27</v>
      </c>
      <c r="O383" s="42" t="str">
        <f t="shared" si="60"/>
        <v/>
      </c>
      <c r="P383" s="42" t="str">
        <f t="shared" si="61"/>
        <v/>
      </c>
      <c r="Q383" s="42">
        <f t="shared" si="62"/>
        <v>5</v>
      </c>
      <c r="R383" s="42">
        <f t="shared" si="63"/>
        <v>22</v>
      </c>
      <c r="S383" s="90">
        <f t="shared" si="64"/>
        <v>1</v>
      </c>
      <c r="T383" s="42">
        <f t="shared" si="65"/>
        <v>27</v>
      </c>
    </row>
    <row r="384" spans="1:20" x14ac:dyDescent="0.2">
      <c r="A384" t="str">
        <f>INDEX(Prioritization!$D:$D,MATCH($B384,Prioritization!$A:$A,0))</f>
        <v>INVALID</v>
      </c>
      <c r="B384" t="s">
        <v>219</v>
      </c>
      <c r="C384" t="s">
        <v>810</v>
      </c>
      <c r="D384" t="s">
        <v>47</v>
      </c>
      <c r="E384" t="str">
        <f t="shared" si="55"/>
        <v>Phalombe District [AZyWpGzhcaA]|05-09|Male</v>
      </c>
      <c r="F384" t="s">
        <v>1246</v>
      </c>
      <c r="G384" s="14">
        <v>105</v>
      </c>
      <c r="H384" s="14">
        <v>20</v>
      </c>
      <c r="I384" s="90">
        <f t="shared" si="56"/>
        <v>0</v>
      </c>
      <c r="J384" s="90"/>
      <c r="K384" s="90"/>
      <c r="L384" s="90">
        <f t="shared" si="57"/>
        <v>1</v>
      </c>
      <c r="M384" s="90">
        <f t="shared" si="58"/>
        <v>0.2</v>
      </c>
      <c r="N384" s="14">
        <f t="shared" si="59"/>
        <v>20</v>
      </c>
      <c r="O384" s="42" t="str">
        <f t="shared" si="60"/>
        <v/>
      </c>
      <c r="P384" s="42" t="str">
        <f t="shared" si="61"/>
        <v/>
      </c>
      <c r="Q384" s="42">
        <f t="shared" si="62"/>
        <v>4</v>
      </c>
      <c r="R384" s="42">
        <f t="shared" si="63"/>
        <v>16</v>
      </c>
      <c r="S384" s="90">
        <f t="shared" si="64"/>
        <v>1</v>
      </c>
      <c r="T384" s="42">
        <f t="shared" si="65"/>
        <v>20</v>
      </c>
    </row>
    <row r="385" spans="1:20" x14ac:dyDescent="0.2">
      <c r="A385" t="str">
        <f>INDEX(Prioritization!$D:$D,MATCH($B385,Prioritization!$A:$A,0))</f>
        <v>INVALID</v>
      </c>
      <c r="B385" t="s">
        <v>219</v>
      </c>
      <c r="C385" t="s">
        <v>363</v>
      </c>
      <c r="D385" t="s">
        <v>29</v>
      </c>
      <c r="E385" t="str">
        <f t="shared" si="55"/>
        <v>Phalombe District [AZyWpGzhcaA]|10-14|Female</v>
      </c>
      <c r="F385" t="s">
        <v>1246</v>
      </c>
      <c r="G385" s="14">
        <v>217</v>
      </c>
      <c r="H385" s="14">
        <v>933</v>
      </c>
      <c r="I385" s="90">
        <f t="shared" si="56"/>
        <v>0</v>
      </c>
      <c r="J385" s="90"/>
      <c r="K385" s="90"/>
      <c r="L385" s="90">
        <f t="shared" si="57"/>
        <v>1</v>
      </c>
      <c r="M385" s="90">
        <f t="shared" si="58"/>
        <v>0.2</v>
      </c>
      <c r="N385" s="14">
        <f t="shared" si="59"/>
        <v>933</v>
      </c>
      <c r="O385" s="42" t="str">
        <f t="shared" si="60"/>
        <v/>
      </c>
      <c r="P385" s="42" t="str">
        <f t="shared" si="61"/>
        <v/>
      </c>
      <c r="Q385" s="42">
        <f t="shared" si="62"/>
        <v>187</v>
      </c>
      <c r="R385" s="42">
        <f t="shared" si="63"/>
        <v>746</v>
      </c>
      <c r="S385" s="90">
        <f t="shared" si="64"/>
        <v>1</v>
      </c>
      <c r="T385" s="42">
        <f t="shared" si="65"/>
        <v>933</v>
      </c>
    </row>
    <row r="386" spans="1:20" x14ac:dyDescent="0.2">
      <c r="A386" t="str">
        <f>INDEX(Prioritization!$D:$D,MATCH($B386,Prioritization!$A:$A,0))</f>
        <v>INVALID</v>
      </c>
      <c r="B386" t="s">
        <v>219</v>
      </c>
      <c r="C386" t="s">
        <v>363</v>
      </c>
      <c r="D386" t="s">
        <v>47</v>
      </c>
      <c r="E386" t="str">
        <f t="shared" si="55"/>
        <v>Phalombe District [AZyWpGzhcaA]|10-14|Male</v>
      </c>
      <c r="F386" t="s">
        <v>1246</v>
      </c>
      <c r="G386" s="14">
        <v>714</v>
      </c>
      <c r="H386" s="14">
        <v>163</v>
      </c>
      <c r="I386" s="90">
        <f t="shared" si="56"/>
        <v>0</v>
      </c>
      <c r="J386" s="90"/>
      <c r="K386" s="90"/>
      <c r="L386" s="90">
        <f t="shared" si="57"/>
        <v>1</v>
      </c>
      <c r="M386" s="90">
        <f t="shared" si="58"/>
        <v>0.2</v>
      </c>
      <c r="N386" s="14">
        <f t="shared" si="59"/>
        <v>163</v>
      </c>
      <c r="O386" s="42" t="str">
        <f t="shared" si="60"/>
        <v/>
      </c>
      <c r="P386" s="42" t="str">
        <f t="shared" si="61"/>
        <v/>
      </c>
      <c r="Q386" s="42">
        <f t="shared" si="62"/>
        <v>33</v>
      </c>
      <c r="R386" s="42">
        <f t="shared" si="63"/>
        <v>130</v>
      </c>
      <c r="S386" s="90">
        <f t="shared" si="64"/>
        <v>1</v>
      </c>
      <c r="T386" s="42">
        <f t="shared" si="65"/>
        <v>163</v>
      </c>
    </row>
    <row r="387" spans="1:20" x14ac:dyDescent="0.2">
      <c r="A387" t="str">
        <f>INDEX(Prioritization!$D:$D,MATCH($B387,Prioritization!$A:$A,0))</f>
        <v>INVALID</v>
      </c>
      <c r="B387" t="s">
        <v>219</v>
      </c>
      <c r="C387" t="s">
        <v>811</v>
      </c>
      <c r="D387" t="s">
        <v>29</v>
      </c>
      <c r="E387" t="str">
        <f t="shared" si="55"/>
        <v>Phalombe District [AZyWpGzhcaA]|15-17|Female</v>
      </c>
      <c r="F387" t="s">
        <v>1246</v>
      </c>
      <c r="G387" s="14">
        <v>20</v>
      </c>
      <c r="H387" s="14">
        <v>79</v>
      </c>
      <c r="I387" s="90">
        <f t="shared" si="56"/>
        <v>0</v>
      </c>
      <c r="J387" s="90"/>
      <c r="K387" s="90"/>
      <c r="L387" s="90">
        <f t="shared" si="57"/>
        <v>1</v>
      </c>
      <c r="M387" s="90">
        <f t="shared" si="58"/>
        <v>0.2</v>
      </c>
      <c r="N387" s="14">
        <f t="shared" si="59"/>
        <v>79</v>
      </c>
      <c r="O387" s="42" t="str">
        <f t="shared" si="60"/>
        <v/>
      </c>
      <c r="P387" s="42" t="str">
        <f t="shared" si="61"/>
        <v/>
      </c>
      <c r="Q387" s="42">
        <f t="shared" si="62"/>
        <v>16</v>
      </c>
      <c r="R387" s="42">
        <f t="shared" si="63"/>
        <v>63</v>
      </c>
      <c r="S387" s="90">
        <f t="shared" si="64"/>
        <v>1</v>
      </c>
      <c r="T387" s="42">
        <f t="shared" si="65"/>
        <v>79</v>
      </c>
    </row>
    <row r="388" spans="1:20" x14ac:dyDescent="0.2">
      <c r="A388" t="str">
        <f>INDEX(Prioritization!$D:$D,MATCH($B388,Prioritization!$A:$A,0))</f>
        <v>INVALID</v>
      </c>
      <c r="B388" t="s">
        <v>219</v>
      </c>
      <c r="C388" t="s">
        <v>811</v>
      </c>
      <c r="D388" t="s">
        <v>47</v>
      </c>
      <c r="E388" t="str">
        <f t="shared" si="55"/>
        <v>Phalombe District [AZyWpGzhcaA]|15-17|Male</v>
      </c>
      <c r="F388" t="s">
        <v>1246</v>
      </c>
      <c r="G388" s="14">
        <v>78</v>
      </c>
      <c r="H388" s="14">
        <v>13</v>
      </c>
      <c r="I388" s="90">
        <f t="shared" si="56"/>
        <v>0</v>
      </c>
      <c r="J388" s="90"/>
      <c r="K388" s="90"/>
      <c r="L388" s="90">
        <f t="shared" si="57"/>
        <v>1</v>
      </c>
      <c r="M388" s="90">
        <f t="shared" si="58"/>
        <v>0.2</v>
      </c>
      <c r="N388" s="14">
        <f t="shared" si="59"/>
        <v>13</v>
      </c>
      <c r="O388" s="42" t="str">
        <f t="shared" si="60"/>
        <v/>
      </c>
      <c r="P388" s="42" t="str">
        <f t="shared" si="61"/>
        <v/>
      </c>
      <c r="Q388" s="42">
        <f t="shared" si="62"/>
        <v>3</v>
      </c>
      <c r="R388" s="42">
        <f t="shared" si="63"/>
        <v>10</v>
      </c>
      <c r="S388" s="90">
        <f t="shared" si="64"/>
        <v>1</v>
      </c>
      <c r="T388" s="42">
        <f t="shared" si="65"/>
        <v>13</v>
      </c>
    </row>
    <row r="389" spans="1:20" x14ac:dyDescent="0.2">
      <c r="A389" t="str">
        <f>INDEX(Prioritization!$D:$D,MATCH($B389,Prioritization!$A:$A,0))</f>
        <v>INVALID</v>
      </c>
      <c r="B389" t="s">
        <v>219</v>
      </c>
      <c r="C389" t="s">
        <v>812</v>
      </c>
      <c r="D389" t="s">
        <v>29</v>
      </c>
      <c r="E389" t="str">
        <f t="shared" si="55"/>
        <v>Phalombe District [AZyWpGzhcaA]|18-20|Female</v>
      </c>
      <c r="F389" t="s">
        <v>1246</v>
      </c>
      <c r="G389" s="14"/>
      <c r="H389" s="14">
        <v>3</v>
      </c>
      <c r="I389" s="90">
        <f t="shared" si="56"/>
        <v>0</v>
      </c>
      <c r="J389" s="90"/>
      <c r="K389" s="90"/>
      <c r="L389" s="90">
        <f t="shared" si="57"/>
        <v>1</v>
      </c>
      <c r="M389" s="90">
        <f t="shared" si="58"/>
        <v>0.2</v>
      </c>
      <c r="N389" s="14">
        <f t="shared" si="59"/>
        <v>3</v>
      </c>
      <c r="O389" s="42" t="str">
        <f t="shared" si="60"/>
        <v/>
      </c>
      <c r="P389" s="42" t="str">
        <f t="shared" si="61"/>
        <v/>
      </c>
      <c r="Q389" s="42">
        <f t="shared" si="62"/>
        <v>1</v>
      </c>
      <c r="R389" s="42">
        <f t="shared" si="63"/>
        <v>2</v>
      </c>
      <c r="S389" s="90" t="str">
        <f t="shared" si="64"/>
        <v/>
      </c>
      <c r="T389" s="42" t="str">
        <f t="shared" si="65"/>
        <v/>
      </c>
    </row>
    <row r="390" spans="1:20" x14ac:dyDescent="0.2">
      <c r="A390" t="str">
        <f>INDEX(Prioritization!$D:$D,MATCH($B390,Prioritization!$A:$A,0))</f>
        <v>INVALID</v>
      </c>
      <c r="B390" t="s">
        <v>219</v>
      </c>
      <c r="C390" t="s">
        <v>812</v>
      </c>
      <c r="D390" t="s">
        <v>47</v>
      </c>
      <c r="E390" t="str">
        <f t="shared" si="55"/>
        <v>Phalombe District [AZyWpGzhcaA]|18-20|Male</v>
      </c>
      <c r="F390" t="s">
        <v>1246</v>
      </c>
      <c r="G390" s="14"/>
      <c r="H390" s="14">
        <v>10</v>
      </c>
      <c r="I390" s="90">
        <f t="shared" si="56"/>
        <v>0</v>
      </c>
      <c r="J390" s="90"/>
      <c r="K390" s="90"/>
      <c r="L390" s="90">
        <f t="shared" si="57"/>
        <v>1</v>
      </c>
      <c r="M390" s="90">
        <f t="shared" si="58"/>
        <v>0.2</v>
      </c>
      <c r="N390" s="14">
        <f t="shared" si="59"/>
        <v>10</v>
      </c>
      <c r="O390" s="42" t="str">
        <f t="shared" si="60"/>
        <v/>
      </c>
      <c r="P390" s="42" t="str">
        <f t="shared" si="61"/>
        <v/>
      </c>
      <c r="Q390" s="42">
        <f t="shared" si="62"/>
        <v>2</v>
      </c>
      <c r="R390" s="42">
        <f t="shared" si="63"/>
        <v>8</v>
      </c>
      <c r="S390" s="90" t="str">
        <f t="shared" si="64"/>
        <v/>
      </c>
      <c r="T390" s="42" t="str">
        <f t="shared" si="65"/>
        <v/>
      </c>
    </row>
    <row r="391" spans="1:20" x14ac:dyDescent="0.2">
      <c r="A391" t="str">
        <f>INDEX(Prioritization!$D:$D,MATCH($B391,Prioritization!$A:$A,0))</f>
        <v>INVALID</v>
      </c>
      <c r="B391" t="s">
        <v>219</v>
      </c>
      <c r="C391" t="s">
        <v>813</v>
      </c>
      <c r="D391" t="s">
        <v>29</v>
      </c>
      <c r="E391" t="str">
        <f t="shared" si="55"/>
        <v>Phalombe District [AZyWpGzhcaA]|18+|Female</v>
      </c>
      <c r="F391" t="s">
        <v>1246</v>
      </c>
      <c r="G391" s="14">
        <v>356</v>
      </c>
      <c r="H391" s="14">
        <v>563</v>
      </c>
      <c r="I391" s="90">
        <f t="shared" si="56"/>
        <v>0</v>
      </c>
      <c r="J391" s="90"/>
      <c r="K391" s="90"/>
      <c r="L391" s="90">
        <f t="shared" si="57"/>
        <v>1</v>
      </c>
      <c r="M391" s="90">
        <f t="shared" si="58"/>
        <v>0.2</v>
      </c>
      <c r="N391" s="14">
        <f t="shared" si="59"/>
        <v>563</v>
      </c>
      <c r="O391" s="42" t="str">
        <f t="shared" si="60"/>
        <v/>
      </c>
      <c r="P391" s="42" t="str">
        <f t="shared" si="61"/>
        <v/>
      </c>
      <c r="Q391" s="42">
        <f t="shared" si="62"/>
        <v>113</v>
      </c>
      <c r="R391" s="42">
        <f t="shared" si="63"/>
        <v>450</v>
      </c>
      <c r="S391" s="90" t="str">
        <f t="shared" si="64"/>
        <v/>
      </c>
      <c r="T391" s="42" t="str">
        <f t="shared" si="65"/>
        <v/>
      </c>
    </row>
    <row r="392" spans="1:20" x14ac:dyDescent="0.2">
      <c r="A392" t="str">
        <f>INDEX(Prioritization!$D:$D,MATCH($B392,Prioritization!$A:$A,0))</f>
        <v>INVALID</v>
      </c>
      <c r="B392" t="s">
        <v>219</v>
      </c>
      <c r="C392" t="s">
        <v>813</v>
      </c>
      <c r="D392" t="s">
        <v>47</v>
      </c>
      <c r="E392" t="str">
        <f t="shared" si="55"/>
        <v>Phalombe District [AZyWpGzhcaA]|18+|Male</v>
      </c>
      <c r="F392" t="s">
        <v>1246</v>
      </c>
      <c r="G392" s="14">
        <v>26</v>
      </c>
      <c r="H392" s="14">
        <v>31</v>
      </c>
      <c r="I392" s="90">
        <f t="shared" si="56"/>
        <v>0</v>
      </c>
      <c r="J392" s="90"/>
      <c r="K392" s="90"/>
      <c r="L392" s="90">
        <f t="shared" si="57"/>
        <v>1</v>
      </c>
      <c r="M392" s="90">
        <f t="shared" si="58"/>
        <v>0.2</v>
      </c>
      <c r="N392" s="14">
        <f t="shared" si="59"/>
        <v>31</v>
      </c>
      <c r="O392" s="42" t="str">
        <f t="shared" si="60"/>
        <v/>
      </c>
      <c r="P392" s="42" t="str">
        <f t="shared" si="61"/>
        <v/>
      </c>
      <c r="Q392" s="42">
        <f t="shared" si="62"/>
        <v>6</v>
      </c>
      <c r="R392" s="42">
        <f t="shared" si="63"/>
        <v>25</v>
      </c>
      <c r="S392" s="90" t="str">
        <f t="shared" si="64"/>
        <v/>
      </c>
      <c r="T392" s="42" t="str">
        <f t="shared" si="65"/>
        <v/>
      </c>
    </row>
    <row r="393" spans="1:20" x14ac:dyDescent="0.2">
      <c r="A393" t="str">
        <f>INDEX(Prioritization!$D:$D,MATCH($B393,Prioritization!$A:$A,0))</f>
        <v>1 - Scale-up: Saturation</v>
      </c>
      <c r="B393" t="s">
        <v>220</v>
      </c>
      <c r="C393" t="s">
        <v>315</v>
      </c>
      <c r="D393" t="s">
        <v>29</v>
      </c>
      <c r="E393" t="str">
        <f t="shared" si="55"/>
        <v>Thyolo District [ul0y9diGujK]|&lt;01|Female</v>
      </c>
      <c r="G393" s="14">
        <v>16</v>
      </c>
      <c r="H393" s="14">
        <v>40</v>
      </c>
      <c r="I393" s="90">
        <f t="shared" si="56"/>
        <v>0</v>
      </c>
      <c r="J393" s="90"/>
      <c r="K393" s="90"/>
      <c r="L393" s="90">
        <f t="shared" si="57"/>
        <v>1</v>
      </c>
      <c r="M393" s="90">
        <f t="shared" si="58"/>
        <v>0.2</v>
      </c>
      <c r="N393" s="14">
        <f t="shared" si="59"/>
        <v>40</v>
      </c>
      <c r="O393" s="42" t="str">
        <f t="shared" si="60"/>
        <v/>
      </c>
      <c r="P393" s="42" t="str">
        <f t="shared" si="61"/>
        <v/>
      </c>
      <c r="Q393" s="42">
        <f t="shared" si="62"/>
        <v>8</v>
      </c>
      <c r="R393" s="42">
        <f t="shared" si="63"/>
        <v>32</v>
      </c>
      <c r="S393" s="90">
        <f t="shared" si="64"/>
        <v>1</v>
      </c>
      <c r="T393" s="42">
        <f t="shared" si="65"/>
        <v>40</v>
      </c>
    </row>
    <row r="394" spans="1:20" x14ac:dyDescent="0.2">
      <c r="A394" t="str">
        <f>INDEX(Prioritization!$D:$D,MATCH($B394,Prioritization!$A:$A,0))</f>
        <v>1 - Scale-up: Saturation</v>
      </c>
      <c r="B394" t="s">
        <v>220</v>
      </c>
      <c r="C394" t="s">
        <v>315</v>
      </c>
      <c r="D394" t="s">
        <v>47</v>
      </c>
      <c r="E394" t="str">
        <f t="shared" si="55"/>
        <v>Thyolo District [ul0y9diGujK]|&lt;01|Male</v>
      </c>
      <c r="G394" s="14">
        <v>99</v>
      </c>
      <c r="H394" s="14">
        <v>49</v>
      </c>
      <c r="I394" s="90">
        <f t="shared" si="56"/>
        <v>0</v>
      </c>
      <c r="J394" s="90"/>
      <c r="K394" s="90"/>
      <c r="L394" s="90">
        <f t="shared" si="57"/>
        <v>1</v>
      </c>
      <c r="M394" s="90">
        <f t="shared" si="58"/>
        <v>0.2</v>
      </c>
      <c r="N394" s="14">
        <f t="shared" si="59"/>
        <v>49</v>
      </c>
      <c r="O394" s="42" t="str">
        <f t="shared" si="60"/>
        <v/>
      </c>
      <c r="P394" s="42" t="str">
        <f t="shared" si="61"/>
        <v/>
      </c>
      <c r="Q394" s="42">
        <f t="shared" si="62"/>
        <v>10</v>
      </c>
      <c r="R394" s="42">
        <f t="shared" si="63"/>
        <v>39</v>
      </c>
      <c r="S394" s="90">
        <f t="shared" si="64"/>
        <v>1</v>
      </c>
      <c r="T394" s="42">
        <f t="shared" si="65"/>
        <v>49</v>
      </c>
    </row>
    <row r="395" spans="1:20" x14ac:dyDescent="0.2">
      <c r="A395" t="str">
        <f>INDEX(Prioritization!$D:$D,MATCH($B395,Prioritization!$A:$A,0))</f>
        <v>1 - Scale-up: Saturation</v>
      </c>
      <c r="B395" t="s">
        <v>220</v>
      </c>
      <c r="C395" t="s">
        <v>809</v>
      </c>
      <c r="D395" t="s">
        <v>29</v>
      </c>
      <c r="E395" t="str">
        <f t="shared" si="55"/>
        <v>Thyolo District [ul0y9diGujK]|01-04|Female</v>
      </c>
      <c r="G395" s="14">
        <v>418</v>
      </c>
      <c r="H395" s="14">
        <v>13</v>
      </c>
      <c r="I395" s="90">
        <f t="shared" si="56"/>
        <v>0</v>
      </c>
      <c r="J395" s="90"/>
      <c r="K395" s="90"/>
      <c r="L395" s="90">
        <f t="shared" si="57"/>
        <v>1</v>
      </c>
      <c r="M395" s="90">
        <f t="shared" si="58"/>
        <v>0.2</v>
      </c>
      <c r="N395" s="14">
        <f t="shared" si="59"/>
        <v>13</v>
      </c>
      <c r="O395" s="42" t="str">
        <f t="shared" si="60"/>
        <v/>
      </c>
      <c r="P395" s="42" t="str">
        <f t="shared" si="61"/>
        <v/>
      </c>
      <c r="Q395" s="42">
        <f t="shared" si="62"/>
        <v>3</v>
      </c>
      <c r="R395" s="42">
        <f t="shared" si="63"/>
        <v>10</v>
      </c>
      <c r="S395" s="90">
        <f t="shared" si="64"/>
        <v>1</v>
      </c>
      <c r="T395" s="42">
        <f t="shared" si="65"/>
        <v>13</v>
      </c>
    </row>
    <row r="396" spans="1:20" x14ac:dyDescent="0.2">
      <c r="A396" t="str">
        <f>INDEX(Prioritization!$D:$D,MATCH($B396,Prioritization!$A:$A,0))</f>
        <v>1 - Scale-up: Saturation</v>
      </c>
      <c r="B396" t="s">
        <v>220</v>
      </c>
      <c r="C396" t="s">
        <v>809</v>
      </c>
      <c r="D396" t="s">
        <v>47</v>
      </c>
      <c r="E396" t="str">
        <f t="shared" si="55"/>
        <v>Thyolo District [ul0y9diGujK]|01-04|Male</v>
      </c>
      <c r="G396" s="14">
        <v>389</v>
      </c>
      <c r="H396" s="14">
        <v>30</v>
      </c>
      <c r="I396" s="90">
        <f t="shared" si="56"/>
        <v>0</v>
      </c>
      <c r="J396" s="90"/>
      <c r="K396" s="90"/>
      <c r="L396" s="90">
        <f t="shared" si="57"/>
        <v>1</v>
      </c>
      <c r="M396" s="90">
        <f t="shared" si="58"/>
        <v>0.2</v>
      </c>
      <c r="N396" s="14">
        <f t="shared" si="59"/>
        <v>30</v>
      </c>
      <c r="O396" s="42" t="str">
        <f t="shared" si="60"/>
        <v/>
      </c>
      <c r="P396" s="42" t="str">
        <f t="shared" si="61"/>
        <v/>
      </c>
      <c r="Q396" s="42">
        <f t="shared" si="62"/>
        <v>6</v>
      </c>
      <c r="R396" s="42">
        <f t="shared" si="63"/>
        <v>24</v>
      </c>
      <c r="S396" s="90">
        <f t="shared" si="64"/>
        <v>1</v>
      </c>
      <c r="T396" s="42">
        <f t="shared" si="65"/>
        <v>30</v>
      </c>
    </row>
    <row r="397" spans="1:20" x14ac:dyDescent="0.2">
      <c r="A397" t="str">
        <f>INDEX(Prioritization!$D:$D,MATCH($B397,Prioritization!$A:$A,0))</f>
        <v>1 - Scale-up: Saturation</v>
      </c>
      <c r="B397" t="s">
        <v>220</v>
      </c>
      <c r="C397" t="s">
        <v>810</v>
      </c>
      <c r="D397" t="s">
        <v>29</v>
      </c>
      <c r="E397" t="str">
        <f t="shared" si="55"/>
        <v>Thyolo District [ul0y9diGujK]|05-09|Female</v>
      </c>
      <c r="G397" s="14">
        <v>99</v>
      </c>
      <c r="H397" s="14">
        <v>71</v>
      </c>
      <c r="I397" s="90">
        <f t="shared" si="56"/>
        <v>0</v>
      </c>
      <c r="J397" s="90"/>
      <c r="K397" s="90"/>
      <c r="L397" s="90">
        <f t="shared" si="57"/>
        <v>1</v>
      </c>
      <c r="M397" s="90">
        <f t="shared" si="58"/>
        <v>0.2</v>
      </c>
      <c r="N397" s="14">
        <f t="shared" si="59"/>
        <v>71</v>
      </c>
      <c r="O397" s="42" t="str">
        <f t="shared" si="60"/>
        <v/>
      </c>
      <c r="P397" s="42" t="str">
        <f t="shared" si="61"/>
        <v/>
      </c>
      <c r="Q397" s="42">
        <f t="shared" si="62"/>
        <v>14</v>
      </c>
      <c r="R397" s="42">
        <f t="shared" si="63"/>
        <v>57</v>
      </c>
      <c r="S397" s="90">
        <f t="shared" si="64"/>
        <v>1</v>
      </c>
      <c r="T397" s="42">
        <f t="shared" si="65"/>
        <v>71</v>
      </c>
    </row>
    <row r="398" spans="1:20" x14ac:dyDescent="0.2">
      <c r="A398" t="str">
        <f>INDEX(Prioritization!$D:$D,MATCH($B398,Prioritization!$A:$A,0))</f>
        <v>1 - Scale-up: Saturation</v>
      </c>
      <c r="B398" t="s">
        <v>220</v>
      </c>
      <c r="C398" t="s">
        <v>810</v>
      </c>
      <c r="D398" t="s">
        <v>47</v>
      </c>
      <c r="E398" t="str">
        <f t="shared" si="55"/>
        <v>Thyolo District [ul0y9diGujK]|05-09|Male</v>
      </c>
      <c r="G398" s="14">
        <v>26</v>
      </c>
      <c r="H398" s="14">
        <v>68</v>
      </c>
      <c r="I398" s="90">
        <f t="shared" si="56"/>
        <v>0</v>
      </c>
      <c r="J398" s="90"/>
      <c r="K398" s="90"/>
      <c r="L398" s="90">
        <f t="shared" si="57"/>
        <v>1</v>
      </c>
      <c r="M398" s="90">
        <f t="shared" si="58"/>
        <v>0.2</v>
      </c>
      <c r="N398" s="14">
        <f t="shared" si="59"/>
        <v>68</v>
      </c>
      <c r="O398" s="42" t="str">
        <f t="shared" si="60"/>
        <v/>
      </c>
      <c r="P398" s="42" t="str">
        <f t="shared" si="61"/>
        <v/>
      </c>
      <c r="Q398" s="42">
        <f t="shared" si="62"/>
        <v>14</v>
      </c>
      <c r="R398" s="42">
        <f t="shared" si="63"/>
        <v>54</v>
      </c>
      <c r="S398" s="90">
        <f t="shared" si="64"/>
        <v>1</v>
      </c>
      <c r="T398" s="42">
        <f t="shared" si="65"/>
        <v>68</v>
      </c>
    </row>
    <row r="399" spans="1:20" x14ac:dyDescent="0.2">
      <c r="A399" t="str">
        <f>INDEX(Prioritization!$D:$D,MATCH($B399,Prioritization!$A:$A,0))</f>
        <v>1 - Scale-up: Saturation</v>
      </c>
      <c r="B399" t="s">
        <v>220</v>
      </c>
      <c r="C399" t="s">
        <v>363</v>
      </c>
      <c r="D399" t="s">
        <v>29</v>
      </c>
      <c r="E399" t="str">
        <f t="shared" ref="E399:E420" si="66">$B399&amp;"|"&amp;$C399&amp;"|"&amp;$D399</f>
        <v>Thyolo District [ul0y9diGujK]|10-14|Female</v>
      </c>
      <c r="G399" s="14">
        <v>880</v>
      </c>
      <c r="H399" s="14">
        <v>245</v>
      </c>
      <c r="I399" s="90">
        <f t="shared" ref="I399:I420" si="67">IF(SUM($H399)=0,"",0%)</f>
        <v>0</v>
      </c>
      <c r="J399" s="90"/>
      <c r="K399" s="90"/>
      <c r="L399" s="90">
        <f t="shared" ref="L399:L420" si="68">1-IF(NOT(AND($D399="Female",OR($C399="10-14",$C399="15-17",$F399="Y"))),0,$J399)-IF(NOT(OR($C399="05-09",$C399="10-14")),0,$K399)</f>
        <v>1</v>
      </c>
      <c r="M399" s="90">
        <f t="shared" ref="M399:M420" si="69">IF(SUM($L399)=0,"",20%)</f>
        <v>0.2</v>
      </c>
      <c r="N399" s="14">
        <f t="shared" ref="N399:N420" si="70">IF(SUM($H399)=0,"",ROUND($H399*(1+$I399),0))</f>
        <v>245</v>
      </c>
      <c r="O399" s="42" t="str">
        <f t="shared" ref="O399:O420" si="71">IF(OR(SUM($N399)=0,SUM($J399)=0,NOT(AND($D399="Female",$F399="Y",OR($C399="10-14",$C399="15-17")))),"",ROUND($N399*$J399,0))</f>
        <v/>
      </c>
      <c r="P399" s="42" t="str">
        <f t="shared" ref="P399:P420" si="72">IF(OR(SUM($N399)=0,SUM($K399)=0,NOT(OR($C399="10-14",$C399="05-09"))),"",ROUND($N399*$K399,0))</f>
        <v/>
      </c>
      <c r="Q399" s="42">
        <f t="shared" ref="Q399:Q420" si="73">IFERROR(1/(1/ROUND($N399*$L399*$M399,0)),"")</f>
        <v>49.000000000000007</v>
      </c>
      <c r="R399" s="42">
        <f t="shared" ref="R399:R420" si="74">IFERROR(1/(1/(ROUND($N399*$L399,0)-$Q399)),"")</f>
        <v>196.00000000000003</v>
      </c>
      <c r="S399" s="90">
        <f t="shared" ref="S399:S420" si="75">IF(OR($C399="18+",$C399="18-20",SUM($Q399,$R399)=0),"",100%)</f>
        <v>1</v>
      </c>
      <c r="T399" s="42">
        <f t="shared" ref="T399:T420" si="76">IF(OR($C399="18+",$C399="18-20",SUM($Q399,$R399)=0),"",ROUND(SUM($Q399,$R399)*$S399,0))</f>
        <v>245</v>
      </c>
    </row>
    <row r="400" spans="1:20" x14ac:dyDescent="0.2">
      <c r="A400" t="str">
        <f>INDEX(Prioritization!$D:$D,MATCH($B400,Prioritization!$A:$A,0))</f>
        <v>1 - Scale-up: Saturation</v>
      </c>
      <c r="B400" t="s">
        <v>220</v>
      </c>
      <c r="C400" t="s">
        <v>363</v>
      </c>
      <c r="D400" t="s">
        <v>47</v>
      </c>
      <c r="E400" t="str">
        <f t="shared" si="66"/>
        <v>Thyolo District [ul0y9diGujK]|10-14|Male</v>
      </c>
      <c r="G400" s="14">
        <v>110</v>
      </c>
      <c r="H400" s="14">
        <v>784</v>
      </c>
      <c r="I400" s="90">
        <f t="shared" si="67"/>
        <v>0</v>
      </c>
      <c r="J400" s="90"/>
      <c r="K400" s="90"/>
      <c r="L400" s="90">
        <f t="shared" si="68"/>
        <v>1</v>
      </c>
      <c r="M400" s="90">
        <f t="shared" si="69"/>
        <v>0.2</v>
      </c>
      <c r="N400" s="14">
        <f t="shared" si="70"/>
        <v>784</v>
      </c>
      <c r="O400" s="42" t="str">
        <f t="shared" si="71"/>
        <v/>
      </c>
      <c r="P400" s="42" t="str">
        <f t="shared" si="72"/>
        <v/>
      </c>
      <c r="Q400" s="42">
        <f t="shared" si="73"/>
        <v>157</v>
      </c>
      <c r="R400" s="42">
        <f t="shared" si="74"/>
        <v>627</v>
      </c>
      <c r="S400" s="90">
        <f t="shared" si="75"/>
        <v>1</v>
      </c>
      <c r="T400" s="42">
        <f t="shared" si="76"/>
        <v>784</v>
      </c>
    </row>
    <row r="401" spans="1:20" x14ac:dyDescent="0.2">
      <c r="A401" t="str">
        <f>INDEX(Prioritization!$D:$D,MATCH($B401,Prioritization!$A:$A,0))</f>
        <v>1 - Scale-up: Saturation</v>
      </c>
      <c r="B401" t="s">
        <v>220</v>
      </c>
      <c r="C401" t="s">
        <v>811</v>
      </c>
      <c r="D401" t="s">
        <v>29</v>
      </c>
      <c r="E401" t="str">
        <f t="shared" si="66"/>
        <v>Thyolo District [ul0y9diGujK]|15-17|Female</v>
      </c>
      <c r="G401" s="14">
        <v>98</v>
      </c>
      <c r="H401" s="14">
        <v>13</v>
      </c>
      <c r="I401" s="90">
        <f t="shared" si="67"/>
        <v>0</v>
      </c>
      <c r="J401" s="90"/>
      <c r="K401" s="90"/>
      <c r="L401" s="90">
        <f t="shared" si="68"/>
        <v>1</v>
      </c>
      <c r="M401" s="90">
        <f t="shared" si="69"/>
        <v>0.2</v>
      </c>
      <c r="N401" s="14">
        <f t="shared" si="70"/>
        <v>13</v>
      </c>
      <c r="O401" s="42" t="str">
        <f t="shared" si="71"/>
        <v/>
      </c>
      <c r="P401" s="42" t="str">
        <f t="shared" si="72"/>
        <v/>
      </c>
      <c r="Q401" s="42">
        <f t="shared" si="73"/>
        <v>3</v>
      </c>
      <c r="R401" s="42">
        <f t="shared" si="74"/>
        <v>10</v>
      </c>
      <c r="S401" s="90">
        <f t="shared" si="75"/>
        <v>1</v>
      </c>
      <c r="T401" s="42">
        <f t="shared" si="76"/>
        <v>13</v>
      </c>
    </row>
    <row r="402" spans="1:20" x14ac:dyDescent="0.2">
      <c r="A402" t="str">
        <f>INDEX(Prioritization!$D:$D,MATCH($B402,Prioritization!$A:$A,0))</f>
        <v>1 - Scale-up: Saturation</v>
      </c>
      <c r="B402" t="s">
        <v>220</v>
      </c>
      <c r="C402" t="s">
        <v>811</v>
      </c>
      <c r="D402" t="s">
        <v>47</v>
      </c>
      <c r="E402" t="str">
        <f t="shared" si="66"/>
        <v>Thyolo District [ul0y9diGujK]|15-17|Male</v>
      </c>
      <c r="G402" s="14">
        <v>66</v>
      </c>
      <c r="H402" s="14">
        <v>54</v>
      </c>
      <c r="I402" s="90">
        <f t="shared" si="67"/>
        <v>0</v>
      </c>
      <c r="J402" s="90"/>
      <c r="K402" s="90"/>
      <c r="L402" s="90">
        <f t="shared" si="68"/>
        <v>1</v>
      </c>
      <c r="M402" s="90">
        <f t="shared" si="69"/>
        <v>0.2</v>
      </c>
      <c r="N402" s="14">
        <f t="shared" si="70"/>
        <v>54</v>
      </c>
      <c r="O402" s="42" t="str">
        <f t="shared" si="71"/>
        <v/>
      </c>
      <c r="P402" s="42" t="str">
        <f t="shared" si="72"/>
        <v/>
      </c>
      <c r="Q402" s="42">
        <f t="shared" si="73"/>
        <v>11</v>
      </c>
      <c r="R402" s="42">
        <f t="shared" si="74"/>
        <v>43</v>
      </c>
      <c r="S402" s="90">
        <f t="shared" si="75"/>
        <v>1</v>
      </c>
      <c r="T402" s="42">
        <f t="shared" si="76"/>
        <v>54</v>
      </c>
    </row>
    <row r="403" spans="1:20" x14ac:dyDescent="0.2">
      <c r="A403" t="str">
        <f>INDEX(Prioritization!$D:$D,MATCH($B403,Prioritization!$A:$A,0))</f>
        <v>1 - Scale-up: Saturation</v>
      </c>
      <c r="B403" t="s">
        <v>220</v>
      </c>
      <c r="C403" t="s">
        <v>812</v>
      </c>
      <c r="D403" t="s">
        <v>29</v>
      </c>
      <c r="E403" t="str">
        <f t="shared" si="66"/>
        <v>Thyolo District [ul0y9diGujK]|18-20|Female</v>
      </c>
      <c r="G403" s="14"/>
      <c r="H403" s="14">
        <v>4</v>
      </c>
      <c r="I403" s="90">
        <f t="shared" si="67"/>
        <v>0</v>
      </c>
      <c r="J403" s="90"/>
      <c r="K403" s="90"/>
      <c r="L403" s="90">
        <f t="shared" si="68"/>
        <v>1</v>
      </c>
      <c r="M403" s="90">
        <f t="shared" si="69"/>
        <v>0.2</v>
      </c>
      <c r="N403" s="14">
        <f t="shared" si="70"/>
        <v>4</v>
      </c>
      <c r="O403" s="42" t="str">
        <f t="shared" si="71"/>
        <v/>
      </c>
      <c r="P403" s="42" t="str">
        <f t="shared" si="72"/>
        <v/>
      </c>
      <c r="Q403" s="42">
        <f t="shared" si="73"/>
        <v>1</v>
      </c>
      <c r="R403" s="42">
        <f t="shared" si="74"/>
        <v>3</v>
      </c>
      <c r="S403" s="90" t="str">
        <f t="shared" si="75"/>
        <v/>
      </c>
      <c r="T403" s="42" t="str">
        <f t="shared" si="76"/>
        <v/>
      </c>
    </row>
    <row r="404" spans="1:20" x14ac:dyDescent="0.2">
      <c r="A404" t="str">
        <f>INDEX(Prioritization!$D:$D,MATCH($B404,Prioritization!$A:$A,0))</f>
        <v>1 - Scale-up: Saturation</v>
      </c>
      <c r="B404" t="s">
        <v>220</v>
      </c>
      <c r="C404" t="s">
        <v>812</v>
      </c>
      <c r="D404" t="s">
        <v>47</v>
      </c>
      <c r="E404" t="str">
        <f t="shared" si="66"/>
        <v>Thyolo District [ul0y9diGujK]|18-20|Male</v>
      </c>
      <c r="G404" s="14"/>
      <c r="H404" s="14">
        <v>4</v>
      </c>
      <c r="I404" s="90">
        <f t="shared" si="67"/>
        <v>0</v>
      </c>
      <c r="J404" s="90"/>
      <c r="K404" s="90"/>
      <c r="L404" s="90">
        <f t="shared" si="68"/>
        <v>1</v>
      </c>
      <c r="M404" s="90">
        <f t="shared" si="69"/>
        <v>0.2</v>
      </c>
      <c r="N404" s="14">
        <f t="shared" si="70"/>
        <v>4</v>
      </c>
      <c r="O404" s="42" t="str">
        <f t="shared" si="71"/>
        <v/>
      </c>
      <c r="P404" s="42" t="str">
        <f t="shared" si="72"/>
        <v/>
      </c>
      <c r="Q404" s="42">
        <f t="shared" si="73"/>
        <v>1</v>
      </c>
      <c r="R404" s="42">
        <f t="shared" si="74"/>
        <v>3</v>
      </c>
      <c r="S404" s="90" t="str">
        <f t="shared" si="75"/>
        <v/>
      </c>
      <c r="T404" s="42" t="str">
        <f t="shared" si="76"/>
        <v/>
      </c>
    </row>
    <row r="405" spans="1:20" x14ac:dyDescent="0.2">
      <c r="A405" t="str">
        <f>INDEX(Prioritization!$D:$D,MATCH($B405,Prioritization!$A:$A,0))</f>
        <v>1 - Scale-up: Saturation</v>
      </c>
      <c r="B405" t="s">
        <v>220</v>
      </c>
      <c r="C405" t="s">
        <v>813</v>
      </c>
      <c r="D405" t="s">
        <v>29</v>
      </c>
      <c r="E405" t="str">
        <f t="shared" si="66"/>
        <v>Thyolo District [ul0y9diGujK]|18+|Female</v>
      </c>
      <c r="G405" s="14">
        <v>343</v>
      </c>
      <c r="H405" s="14">
        <v>295</v>
      </c>
      <c r="I405" s="90">
        <f t="shared" si="67"/>
        <v>0</v>
      </c>
      <c r="J405" s="90"/>
      <c r="K405" s="90"/>
      <c r="L405" s="90">
        <f t="shared" si="68"/>
        <v>1</v>
      </c>
      <c r="M405" s="90">
        <f t="shared" si="69"/>
        <v>0.2</v>
      </c>
      <c r="N405" s="14">
        <f t="shared" si="70"/>
        <v>295</v>
      </c>
      <c r="O405" s="42" t="str">
        <f t="shared" si="71"/>
        <v/>
      </c>
      <c r="P405" s="42" t="str">
        <f t="shared" si="72"/>
        <v/>
      </c>
      <c r="Q405" s="42">
        <f t="shared" si="73"/>
        <v>59</v>
      </c>
      <c r="R405" s="42">
        <f t="shared" si="74"/>
        <v>236</v>
      </c>
      <c r="S405" s="90" t="str">
        <f t="shared" si="75"/>
        <v/>
      </c>
      <c r="T405" s="42" t="str">
        <f t="shared" si="76"/>
        <v/>
      </c>
    </row>
    <row r="406" spans="1:20" x14ac:dyDescent="0.2">
      <c r="A406" t="str">
        <f>INDEX(Prioritization!$D:$D,MATCH($B406,Prioritization!$A:$A,0))</f>
        <v>1 - Scale-up: Saturation</v>
      </c>
      <c r="B406" t="s">
        <v>220</v>
      </c>
      <c r="C406" t="s">
        <v>813</v>
      </c>
      <c r="D406" t="s">
        <v>47</v>
      </c>
      <c r="E406" t="str">
        <f t="shared" si="66"/>
        <v>Thyolo District [ul0y9diGujK]|18+|Male</v>
      </c>
      <c r="G406" s="14">
        <v>22</v>
      </c>
      <c r="H406" s="14">
        <v>60</v>
      </c>
      <c r="I406" s="90">
        <f t="shared" si="67"/>
        <v>0</v>
      </c>
      <c r="J406" s="90"/>
      <c r="K406" s="90"/>
      <c r="L406" s="90">
        <f t="shared" si="68"/>
        <v>1</v>
      </c>
      <c r="M406" s="90">
        <f t="shared" si="69"/>
        <v>0.2</v>
      </c>
      <c r="N406" s="14">
        <f t="shared" si="70"/>
        <v>60</v>
      </c>
      <c r="O406" s="42" t="str">
        <f t="shared" si="71"/>
        <v/>
      </c>
      <c r="P406" s="42" t="str">
        <f t="shared" si="72"/>
        <v/>
      </c>
      <c r="Q406" s="42">
        <f t="shared" si="73"/>
        <v>12</v>
      </c>
      <c r="R406" s="42">
        <f t="shared" si="74"/>
        <v>48</v>
      </c>
      <c r="S406" s="90" t="str">
        <f t="shared" si="75"/>
        <v/>
      </c>
      <c r="T406" s="42" t="str">
        <f t="shared" si="76"/>
        <v/>
      </c>
    </row>
    <row r="407" spans="1:20" x14ac:dyDescent="0.2">
      <c r="A407" t="str">
        <f>INDEX(Prioritization!$D:$D,MATCH($B407,Prioritization!$A:$A,0))</f>
        <v>1 - Scale-up: Saturation</v>
      </c>
      <c r="B407" t="s">
        <v>221</v>
      </c>
      <c r="C407" t="s">
        <v>315</v>
      </c>
      <c r="D407" t="s">
        <v>29</v>
      </c>
      <c r="E407" t="str">
        <f t="shared" si="66"/>
        <v>Zomba District [fyEoGEPERdI]|&lt;01|Female</v>
      </c>
      <c r="F407" t="s">
        <v>1246</v>
      </c>
      <c r="G407" s="14">
        <v>96</v>
      </c>
      <c r="H407" s="14">
        <v>65</v>
      </c>
      <c r="I407" s="90">
        <f t="shared" si="67"/>
        <v>0</v>
      </c>
      <c r="J407" s="90"/>
      <c r="K407" s="90"/>
      <c r="L407" s="90">
        <f t="shared" si="68"/>
        <v>1</v>
      </c>
      <c r="M407" s="90">
        <f t="shared" si="69"/>
        <v>0.2</v>
      </c>
      <c r="N407" s="14">
        <f t="shared" si="70"/>
        <v>65</v>
      </c>
      <c r="O407" s="42" t="str">
        <f t="shared" si="71"/>
        <v/>
      </c>
      <c r="P407" s="42" t="str">
        <f t="shared" si="72"/>
        <v/>
      </c>
      <c r="Q407" s="42">
        <f t="shared" si="73"/>
        <v>13</v>
      </c>
      <c r="R407" s="42">
        <f t="shared" si="74"/>
        <v>52</v>
      </c>
      <c r="S407" s="90">
        <f t="shared" si="75"/>
        <v>1</v>
      </c>
      <c r="T407" s="42">
        <f t="shared" si="76"/>
        <v>65</v>
      </c>
    </row>
    <row r="408" spans="1:20" x14ac:dyDescent="0.2">
      <c r="A408" t="str">
        <f>INDEX(Prioritization!$D:$D,MATCH($B408,Prioritization!$A:$A,0))</f>
        <v>1 - Scale-up: Saturation</v>
      </c>
      <c r="B408" t="s">
        <v>221</v>
      </c>
      <c r="C408" t="s">
        <v>315</v>
      </c>
      <c r="D408" t="s">
        <v>47</v>
      </c>
      <c r="E408" t="str">
        <f t="shared" si="66"/>
        <v>Zomba District [fyEoGEPERdI]|&lt;01|Male</v>
      </c>
      <c r="F408" t="s">
        <v>1246</v>
      </c>
      <c r="G408" s="14">
        <v>23</v>
      </c>
      <c r="H408" s="14">
        <v>85</v>
      </c>
      <c r="I408" s="90">
        <f t="shared" si="67"/>
        <v>0</v>
      </c>
      <c r="J408" s="90"/>
      <c r="K408" s="90"/>
      <c r="L408" s="90">
        <f t="shared" si="68"/>
        <v>1</v>
      </c>
      <c r="M408" s="90">
        <f t="shared" si="69"/>
        <v>0.2</v>
      </c>
      <c r="N408" s="14">
        <f t="shared" si="70"/>
        <v>85</v>
      </c>
      <c r="O408" s="42" t="str">
        <f t="shared" si="71"/>
        <v/>
      </c>
      <c r="P408" s="42" t="str">
        <f t="shared" si="72"/>
        <v/>
      </c>
      <c r="Q408" s="42">
        <f t="shared" si="73"/>
        <v>17</v>
      </c>
      <c r="R408" s="42">
        <f t="shared" si="74"/>
        <v>68</v>
      </c>
      <c r="S408" s="90">
        <f t="shared" si="75"/>
        <v>1</v>
      </c>
      <c r="T408" s="42">
        <f t="shared" si="76"/>
        <v>85</v>
      </c>
    </row>
    <row r="409" spans="1:20" x14ac:dyDescent="0.2">
      <c r="A409" t="str">
        <f>INDEX(Prioritization!$D:$D,MATCH($B409,Prioritization!$A:$A,0))</f>
        <v>1 - Scale-up: Saturation</v>
      </c>
      <c r="B409" t="s">
        <v>221</v>
      </c>
      <c r="C409" t="s">
        <v>809</v>
      </c>
      <c r="D409" t="s">
        <v>29</v>
      </c>
      <c r="E409" t="str">
        <f t="shared" si="66"/>
        <v>Zomba District [fyEoGEPERdI]|01-04|Female</v>
      </c>
      <c r="F409" t="s">
        <v>1246</v>
      </c>
      <c r="G409" s="14">
        <v>58</v>
      </c>
      <c r="H409" s="14">
        <v>78</v>
      </c>
      <c r="I409" s="90">
        <f t="shared" si="67"/>
        <v>0</v>
      </c>
      <c r="J409" s="90"/>
      <c r="K409" s="90"/>
      <c r="L409" s="90">
        <f t="shared" si="68"/>
        <v>1</v>
      </c>
      <c r="M409" s="90">
        <f t="shared" si="69"/>
        <v>0.2</v>
      </c>
      <c r="N409" s="14">
        <f t="shared" si="70"/>
        <v>78</v>
      </c>
      <c r="O409" s="42" t="str">
        <f t="shared" si="71"/>
        <v/>
      </c>
      <c r="P409" s="42" t="str">
        <f t="shared" si="72"/>
        <v/>
      </c>
      <c r="Q409" s="42">
        <f t="shared" si="73"/>
        <v>16</v>
      </c>
      <c r="R409" s="42">
        <f t="shared" si="74"/>
        <v>62</v>
      </c>
      <c r="S409" s="90">
        <f t="shared" si="75"/>
        <v>1</v>
      </c>
      <c r="T409" s="42">
        <f t="shared" si="76"/>
        <v>78</v>
      </c>
    </row>
    <row r="410" spans="1:20" x14ac:dyDescent="0.2">
      <c r="A410" t="str">
        <f>INDEX(Prioritization!$D:$D,MATCH($B410,Prioritization!$A:$A,0))</f>
        <v>1 - Scale-up: Saturation</v>
      </c>
      <c r="B410" t="s">
        <v>221</v>
      </c>
      <c r="C410" t="s">
        <v>809</v>
      </c>
      <c r="D410" t="s">
        <v>47</v>
      </c>
      <c r="E410" t="str">
        <f t="shared" si="66"/>
        <v>Zomba District [fyEoGEPERdI]|01-04|Male</v>
      </c>
      <c r="F410" t="s">
        <v>1246</v>
      </c>
      <c r="G410" s="14">
        <v>14</v>
      </c>
      <c r="H410" s="14">
        <v>99</v>
      </c>
      <c r="I410" s="90">
        <f t="shared" si="67"/>
        <v>0</v>
      </c>
      <c r="J410" s="90"/>
      <c r="K410" s="90"/>
      <c r="L410" s="90">
        <f t="shared" si="68"/>
        <v>1</v>
      </c>
      <c r="M410" s="90">
        <f t="shared" si="69"/>
        <v>0.2</v>
      </c>
      <c r="N410" s="14">
        <f t="shared" si="70"/>
        <v>99</v>
      </c>
      <c r="O410" s="42" t="str">
        <f t="shared" si="71"/>
        <v/>
      </c>
      <c r="P410" s="42" t="str">
        <f t="shared" si="72"/>
        <v/>
      </c>
      <c r="Q410" s="42">
        <f t="shared" si="73"/>
        <v>20</v>
      </c>
      <c r="R410" s="42">
        <f t="shared" si="74"/>
        <v>79</v>
      </c>
      <c r="S410" s="90">
        <f t="shared" si="75"/>
        <v>1</v>
      </c>
      <c r="T410" s="42">
        <f t="shared" si="76"/>
        <v>99</v>
      </c>
    </row>
    <row r="411" spans="1:20" x14ac:dyDescent="0.2">
      <c r="A411" t="str">
        <f>INDEX(Prioritization!$D:$D,MATCH($B411,Prioritization!$A:$A,0))</f>
        <v>1 - Scale-up: Saturation</v>
      </c>
      <c r="B411" t="s">
        <v>221</v>
      </c>
      <c r="C411" t="s">
        <v>810</v>
      </c>
      <c r="D411" t="s">
        <v>29</v>
      </c>
      <c r="E411" t="str">
        <f t="shared" si="66"/>
        <v>Zomba District [fyEoGEPERdI]|05-09|Female</v>
      </c>
      <c r="F411" t="s">
        <v>1246</v>
      </c>
      <c r="G411" s="14">
        <v>201</v>
      </c>
      <c r="H411" s="14">
        <v>965</v>
      </c>
      <c r="I411" s="90">
        <f t="shared" si="67"/>
        <v>0</v>
      </c>
      <c r="J411" s="90"/>
      <c r="K411" s="90"/>
      <c r="L411" s="90">
        <f t="shared" si="68"/>
        <v>1</v>
      </c>
      <c r="M411" s="90">
        <f t="shared" si="69"/>
        <v>0.2</v>
      </c>
      <c r="N411" s="14">
        <f t="shared" si="70"/>
        <v>965</v>
      </c>
      <c r="O411" s="42" t="str">
        <f t="shared" si="71"/>
        <v/>
      </c>
      <c r="P411" s="42" t="str">
        <f t="shared" si="72"/>
        <v/>
      </c>
      <c r="Q411" s="42">
        <f t="shared" si="73"/>
        <v>193</v>
      </c>
      <c r="R411" s="42">
        <f t="shared" si="74"/>
        <v>772</v>
      </c>
      <c r="S411" s="90">
        <f t="shared" si="75"/>
        <v>1</v>
      </c>
      <c r="T411" s="42">
        <f t="shared" si="76"/>
        <v>965</v>
      </c>
    </row>
    <row r="412" spans="1:20" x14ac:dyDescent="0.2">
      <c r="A412" t="str">
        <f>INDEX(Prioritization!$D:$D,MATCH($B412,Prioritization!$A:$A,0))</f>
        <v>1 - Scale-up: Saturation</v>
      </c>
      <c r="B412" t="s">
        <v>221</v>
      </c>
      <c r="C412" t="s">
        <v>810</v>
      </c>
      <c r="D412" t="s">
        <v>47</v>
      </c>
      <c r="E412" t="str">
        <f t="shared" si="66"/>
        <v>Zomba District [fyEoGEPERdI]|05-09|Male</v>
      </c>
      <c r="F412" t="s">
        <v>1246</v>
      </c>
      <c r="G412" s="14">
        <v>356</v>
      </c>
      <c r="H412" s="14">
        <v>397</v>
      </c>
      <c r="I412" s="90">
        <f t="shared" si="67"/>
        <v>0</v>
      </c>
      <c r="J412" s="90"/>
      <c r="K412" s="90"/>
      <c r="L412" s="90">
        <f t="shared" si="68"/>
        <v>1</v>
      </c>
      <c r="M412" s="90">
        <f t="shared" si="69"/>
        <v>0.2</v>
      </c>
      <c r="N412" s="14">
        <f t="shared" si="70"/>
        <v>397</v>
      </c>
      <c r="O412" s="42" t="str">
        <f t="shared" si="71"/>
        <v/>
      </c>
      <c r="P412" s="42" t="str">
        <f t="shared" si="72"/>
        <v/>
      </c>
      <c r="Q412" s="42">
        <f t="shared" si="73"/>
        <v>79</v>
      </c>
      <c r="R412" s="42">
        <f t="shared" si="74"/>
        <v>318</v>
      </c>
      <c r="S412" s="90">
        <f t="shared" si="75"/>
        <v>1</v>
      </c>
      <c r="T412" s="42">
        <f t="shared" si="76"/>
        <v>397</v>
      </c>
    </row>
    <row r="413" spans="1:20" x14ac:dyDescent="0.2">
      <c r="A413" t="str">
        <f>INDEX(Prioritization!$D:$D,MATCH($B413,Prioritization!$A:$A,0))</f>
        <v>1 - Scale-up: Saturation</v>
      </c>
      <c r="B413" t="s">
        <v>221</v>
      </c>
      <c r="C413" t="s">
        <v>363</v>
      </c>
      <c r="D413" t="s">
        <v>29</v>
      </c>
      <c r="E413" t="str">
        <f t="shared" si="66"/>
        <v>Zomba District [fyEoGEPERdI]|10-14|Female</v>
      </c>
      <c r="F413" t="s">
        <v>1246</v>
      </c>
      <c r="G413" s="14">
        <v>1619</v>
      </c>
      <c r="H413" s="14">
        <v>568</v>
      </c>
      <c r="I413" s="90">
        <f t="shared" si="67"/>
        <v>0</v>
      </c>
      <c r="J413" s="90"/>
      <c r="K413" s="90"/>
      <c r="L413" s="90">
        <f t="shared" si="68"/>
        <v>1</v>
      </c>
      <c r="M413" s="90">
        <f t="shared" si="69"/>
        <v>0.2</v>
      </c>
      <c r="N413" s="14">
        <f t="shared" si="70"/>
        <v>568</v>
      </c>
      <c r="O413" s="42" t="str">
        <f t="shared" si="71"/>
        <v/>
      </c>
      <c r="P413" s="42" t="str">
        <f t="shared" si="72"/>
        <v/>
      </c>
      <c r="Q413" s="42">
        <f t="shared" si="73"/>
        <v>114</v>
      </c>
      <c r="R413" s="42">
        <f t="shared" si="74"/>
        <v>453.99999999999994</v>
      </c>
      <c r="S413" s="90">
        <f t="shared" si="75"/>
        <v>1</v>
      </c>
      <c r="T413" s="42">
        <f t="shared" si="76"/>
        <v>568</v>
      </c>
    </row>
    <row r="414" spans="1:20" x14ac:dyDescent="0.2">
      <c r="A414" t="str">
        <f>INDEX(Prioritization!$D:$D,MATCH($B414,Prioritization!$A:$A,0))</f>
        <v>1 - Scale-up: Saturation</v>
      </c>
      <c r="B414" t="s">
        <v>221</v>
      </c>
      <c r="C414" t="s">
        <v>363</v>
      </c>
      <c r="D414" t="s">
        <v>47</v>
      </c>
      <c r="E414" t="str">
        <f t="shared" si="66"/>
        <v>Zomba District [fyEoGEPERdI]|10-14|Male</v>
      </c>
      <c r="F414" t="s">
        <v>1246</v>
      </c>
      <c r="G414" s="14">
        <v>906</v>
      </c>
      <c r="H414" s="14">
        <v>593</v>
      </c>
      <c r="I414" s="90">
        <f t="shared" si="67"/>
        <v>0</v>
      </c>
      <c r="J414" s="90"/>
      <c r="K414" s="90"/>
      <c r="L414" s="90">
        <f t="shared" si="68"/>
        <v>1</v>
      </c>
      <c r="M414" s="90">
        <f t="shared" si="69"/>
        <v>0.2</v>
      </c>
      <c r="N414" s="14">
        <f t="shared" si="70"/>
        <v>593</v>
      </c>
      <c r="O414" s="42" t="str">
        <f t="shared" si="71"/>
        <v/>
      </c>
      <c r="P414" s="42" t="str">
        <f t="shared" si="72"/>
        <v/>
      </c>
      <c r="Q414" s="42">
        <f t="shared" si="73"/>
        <v>119</v>
      </c>
      <c r="R414" s="42">
        <f t="shared" si="74"/>
        <v>474.00000000000006</v>
      </c>
      <c r="S414" s="90">
        <f t="shared" si="75"/>
        <v>1</v>
      </c>
      <c r="T414" s="42">
        <f t="shared" si="76"/>
        <v>593</v>
      </c>
    </row>
    <row r="415" spans="1:20" x14ac:dyDescent="0.2">
      <c r="A415" t="str">
        <f>INDEX(Prioritization!$D:$D,MATCH($B415,Prioritization!$A:$A,0))</f>
        <v>1 - Scale-up: Saturation</v>
      </c>
      <c r="B415" t="s">
        <v>221</v>
      </c>
      <c r="C415" t="s">
        <v>811</v>
      </c>
      <c r="D415" t="s">
        <v>29</v>
      </c>
      <c r="E415" t="str">
        <f t="shared" si="66"/>
        <v>Zomba District [fyEoGEPERdI]|15-17|Female</v>
      </c>
      <c r="F415" t="s">
        <v>1246</v>
      </c>
      <c r="G415" s="14">
        <v>847</v>
      </c>
      <c r="H415" s="14">
        <v>574</v>
      </c>
      <c r="I415" s="90">
        <f t="shared" si="67"/>
        <v>0</v>
      </c>
      <c r="J415" s="90"/>
      <c r="K415" s="90"/>
      <c r="L415" s="90">
        <f t="shared" si="68"/>
        <v>1</v>
      </c>
      <c r="M415" s="90">
        <f t="shared" si="69"/>
        <v>0.2</v>
      </c>
      <c r="N415" s="14">
        <f t="shared" si="70"/>
        <v>574</v>
      </c>
      <c r="O415" s="42" t="str">
        <f t="shared" si="71"/>
        <v/>
      </c>
      <c r="P415" s="42" t="str">
        <f t="shared" si="72"/>
        <v/>
      </c>
      <c r="Q415" s="42">
        <f t="shared" si="73"/>
        <v>115</v>
      </c>
      <c r="R415" s="42">
        <f t="shared" si="74"/>
        <v>458.99999999999994</v>
      </c>
      <c r="S415" s="90">
        <f t="shared" si="75"/>
        <v>1</v>
      </c>
      <c r="T415" s="42">
        <f t="shared" si="76"/>
        <v>574</v>
      </c>
    </row>
    <row r="416" spans="1:20" x14ac:dyDescent="0.2">
      <c r="A416" t="str">
        <f>INDEX(Prioritization!$D:$D,MATCH($B416,Prioritization!$A:$A,0))</f>
        <v>1 - Scale-up: Saturation</v>
      </c>
      <c r="B416" t="s">
        <v>221</v>
      </c>
      <c r="C416" t="s">
        <v>811</v>
      </c>
      <c r="D416" t="s">
        <v>47</v>
      </c>
      <c r="E416" t="str">
        <f t="shared" si="66"/>
        <v>Zomba District [fyEoGEPERdI]|15-17|Male</v>
      </c>
      <c r="F416" t="s">
        <v>1246</v>
      </c>
      <c r="G416" s="14">
        <v>81</v>
      </c>
      <c r="H416" s="14">
        <v>48</v>
      </c>
      <c r="I416" s="90">
        <f t="shared" si="67"/>
        <v>0</v>
      </c>
      <c r="J416" s="90"/>
      <c r="K416" s="90"/>
      <c r="L416" s="90">
        <f t="shared" si="68"/>
        <v>1</v>
      </c>
      <c r="M416" s="90">
        <f t="shared" si="69"/>
        <v>0.2</v>
      </c>
      <c r="N416" s="14">
        <f t="shared" si="70"/>
        <v>48</v>
      </c>
      <c r="O416" s="42" t="str">
        <f t="shared" si="71"/>
        <v/>
      </c>
      <c r="P416" s="42" t="str">
        <f t="shared" si="72"/>
        <v/>
      </c>
      <c r="Q416" s="42">
        <f t="shared" si="73"/>
        <v>10</v>
      </c>
      <c r="R416" s="42">
        <f t="shared" si="74"/>
        <v>38</v>
      </c>
      <c r="S416" s="90">
        <f t="shared" si="75"/>
        <v>1</v>
      </c>
      <c r="T416" s="42">
        <f t="shared" si="76"/>
        <v>48</v>
      </c>
    </row>
    <row r="417" spans="1:20" x14ac:dyDescent="0.2">
      <c r="A417" t="str">
        <f>INDEX(Prioritization!$D:$D,MATCH($B417,Prioritization!$A:$A,0))</f>
        <v>1 - Scale-up: Saturation</v>
      </c>
      <c r="B417" t="s">
        <v>221</v>
      </c>
      <c r="C417" t="s">
        <v>812</v>
      </c>
      <c r="D417" t="s">
        <v>29</v>
      </c>
      <c r="E417" t="str">
        <f t="shared" si="66"/>
        <v>Zomba District [fyEoGEPERdI]|18-20|Female</v>
      </c>
      <c r="F417" t="s">
        <v>1246</v>
      </c>
      <c r="G417" s="14"/>
      <c r="H417" s="14">
        <v>9</v>
      </c>
      <c r="I417" s="90">
        <f t="shared" si="67"/>
        <v>0</v>
      </c>
      <c r="J417" s="90"/>
      <c r="K417" s="90"/>
      <c r="L417" s="90">
        <f t="shared" si="68"/>
        <v>1</v>
      </c>
      <c r="M417" s="90">
        <f t="shared" si="69"/>
        <v>0.2</v>
      </c>
      <c r="N417" s="14">
        <f t="shared" si="70"/>
        <v>9</v>
      </c>
      <c r="O417" s="42" t="str">
        <f t="shared" si="71"/>
        <v/>
      </c>
      <c r="P417" s="42" t="str">
        <f t="shared" si="72"/>
        <v/>
      </c>
      <c r="Q417" s="42">
        <f t="shared" si="73"/>
        <v>2</v>
      </c>
      <c r="R417" s="42">
        <f t="shared" si="74"/>
        <v>7</v>
      </c>
      <c r="S417" s="90" t="str">
        <f t="shared" si="75"/>
        <v/>
      </c>
      <c r="T417" s="42" t="str">
        <f t="shared" si="76"/>
        <v/>
      </c>
    </row>
    <row r="418" spans="1:20" x14ac:dyDescent="0.2">
      <c r="A418" t="str">
        <f>INDEX(Prioritization!$D:$D,MATCH($B418,Prioritization!$A:$A,0))</f>
        <v>1 - Scale-up: Saturation</v>
      </c>
      <c r="B418" t="s">
        <v>221</v>
      </c>
      <c r="C418" t="s">
        <v>812</v>
      </c>
      <c r="D418" t="s">
        <v>47</v>
      </c>
      <c r="E418" t="str">
        <f t="shared" si="66"/>
        <v>Zomba District [fyEoGEPERdI]|18-20|Male</v>
      </c>
      <c r="F418" t="s">
        <v>1246</v>
      </c>
      <c r="G418" s="14"/>
      <c r="H418" s="14">
        <v>7</v>
      </c>
      <c r="I418" s="90">
        <f t="shared" si="67"/>
        <v>0</v>
      </c>
      <c r="J418" s="90"/>
      <c r="K418" s="90"/>
      <c r="L418" s="90">
        <f t="shared" si="68"/>
        <v>1</v>
      </c>
      <c r="M418" s="90">
        <f t="shared" si="69"/>
        <v>0.2</v>
      </c>
      <c r="N418" s="14">
        <f t="shared" si="70"/>
        <v>7</v>
      </c>
      <c r="O418" s="42" t="str">
        <f t="shared" si="71"/>
        <v/>
      </c>
      <c r="P418" s="42" t="str">
        <f t="shared" si="72"/>
        <v/>
      </c>
      <c r="Q418" s="42">
        <f t="shared" si="73"/>
        <v>1</v>
      </c>
      <c r="R418" s="42">
        <f t="shared" si="74"/>
        <v>6</v>
      </c>
      <c r="S418" s="90" t="str">
        <f t="shared" si="75"/>
        <v/>
      </c>
      <c r="T418" s="42" t="str">
        <f t="shared" si="76"/>
        <v/>
      </c>
    </row>
    <row r="419" spans="1:20" x14ac:dyDescent="0.2">
      <c r="A419" t="str">
        <f>INDEX(Prioritization!$D:$D,MATCH($B419,Prioritization!$A:$A,0))</f>
        <v>1 - Scale-up: Saturation</v>
      </c>
      <c r="B419" t="s">
        <v>221</v>
      </c>
      <c r="C419" t="s">
        <v>813</v>
      </c>
      <c r="D419" t="s">
        <v>29</v>
      </c>
      <c r="E419" t="str">
        <f t="shared" si="66"/>
        <v>Zomba District [fyEoGEPERdI]|18+|Female</v>
      </c>
      <c r="F419" t="s">
        <v>1246</v>
      </c>
      <c r="G419" s="14">
        <v>317</v>
      </c>
      <c r="H419" s="14">
        <v>409</v>
      </c>
      <c r="I419" s="90">
        <f t="shared" si="67"/>
        <v>0</v>
      </c>
      <c r="J419" s="90"/>
      <c r="K419" s="90"/>
      <c r="L419" s="90">
        <f t="shared" si="68"/>
        <v>1</v>
      </c>
      <c r="M419" s="90">
        <f t="shared" si="69"/>
        <v>0.2</v>
      </c>
      <c r="N419" s="14">
        <f t="shared" si="70"/>
        <v>409</v>
      </c>
      <c r="O419" s="42" t="str">
        <f t="shared" si="71"/>
        <v/>
      </c>
      <c r="P419" s="42" t="str">
        <f t="shared" si="72"/>
        <v/>
      </c>
      <c r="Q419" s="42">
        <f t="shared" si="73"/>
        <v>82</v>
      </c>
      <c r="R419" s="42">
        <f t="shared" si="74"/>
        <v>327</v>
      </c>
      <c r="S419" s="90" t="str">
        <f t="shared" si="75"/>
        <v/>
      </c>
      <c r="T419" s="42" t="str">
        <f t="shared" si="76"/>
        <v/>
      </c>
    </row>
    <row r="420" spans="1:20" x14ac:dyDescent="0.2">
      <c r="A420" t="str">
        <f>INDEX(Prioritization!$D:$D,MATCH($B420,Prioritization!$A:$A,0))</f>
        <v>1 - Scale-up: Saturation</v>
      </c>
      <c r="B420" t="s">
        <v>221</v>
      </c>
      <c r="C420" t="s">
        <v>813</v>
      </c>
      <c r="D420" t="s">
        <v>47</v>
      </c>
      <c r="E420" t="str">
        <f t="shared" si="66"/>
        <v>Zomba District [fyEoGEPERdI]|18+|Male</v>
      </c>
      <c r="F420" t="s">
        <v>1246</v>
      </c>
      <c r="G420" s="14">
        <v>38</v>
      </c>
      <c r="H420" s="14">
        <v>18</v>
      </c>
      <c r="I420" s="90">
        <f t="shared" si="67"/>
        <v>0</v>
      </c>
      <c r="J420" s="90"/>
      <c r="K420" s="90"/>
      <c r="L420" s="90">
        <f t="shared" si="68"/>
        <v>1</v>
      </c>
      <c r="M420" s="90">
        <f t="shared" si="69"/>
        <v>0.2</v>
      </c>
      <c r="N420" s="14">
        <f t="shared" si="70"/>
        <v>18</v>
      </c>
      <c r="O420" s="42" t="str">
        <f t="shared" si="71"/>
        <v/>
      </c>
      <c r="P420" s="42" t="str">
        <f t="shared" si="72"/>
        <v/>
      </c>
      <c r="Q420" s="42">
        <f t="shared" si="73"/>
        <v>4</v>
      </c>
      <c r="R420" s="42">
        <f t="shared" si="74"/>
        <v>14</v>
      </c>
      <c r="S420" s="90" t="str">
        <f t="shared" si="75"/>
        <v/>
      </c>
      <c r="T420" s="42" t="str">
        <f t="shared" si="76"/>
        <v/>
      </c>
    </row>
  </sheetData>
  <conditionalFormatting sqref="S1:T1048576">
    <cfRule type="expression" dxfId="48" priority="2">
      <formula>OR($C1="18-20",$C1="18+")</formula>
    </cfRule>
  </conditionalFormatting>
  <conditionalFormatting sqref="M1:M1048576">
    <cfRule type="expression" dxfId="47" priority="3">
      <formula>AND(ISNUMBER($M1),ROUND(SUM($M1),2)&lt;20%)</formula>
    </cfRule>
  </conditionalFormatting>
  <conditionalFormatting sqref="P1:P1048576 K1:K1048576">
    <cfRule type="expression" dxfId="46" priority="4">
      <formula>AND($E1&lt;&gt;"",ROW(K1)&gt;14,NOT(OR($C1="05-09",$C1="10-14")))</formula>
    </cfRule>
  </conditionalFormatting>
  <conditionalFormatting sqref="J1:T1048576 F1:H1048576">
    <cfRule type="expression" dxfId="45" priority="5">
      <formula>AND(ISNUMBER(F1),F1&lt;0)</formula>
    </cfRule>
  </conditionalFormatting>
  <conditionalFormatting sqref="J1:M1048576 S1:S1048576">
    <cfRule type="expression" dxfId="44" priority="6">
      <formula>AND(ISNUMBER(J1),OR(ROUND(SUM(J1),2)&lt;0,ROUND(SUM(J1),2)&gt;1))</formula>
    </cfRule>
  </conditionalFormatting>
  <conditionalFormatting sqref="S1:S1048576">
    <cfRule type="expression" dxfId="43" priority="7">
      <formula>AND(ISNUMBER($S1),SUM($Q1,$R1)&gt;0,ROUND(SUM($S1),2)&lt;1)</formula>
    </cfRule>
  </conditionalFormatting>
  <conditionalFormatting sqref="J1:J1048576 O1:O1048576">
    <cfRule type="expression" dxfId="42" priority="8">
      <formula>AND($B1&lt;&gt;"",ROW(J1)&gt;14,NOT(AND($D1="Female",$F1="Y",OR($C1="10-14",$C1="15-17"))))</formula>
    </cfRule>
  </conditionalFormatting>
  <pageMargins left="0.7" right="0.7" top="0.75" bottom="0.75" header="0.511811023622047" footer="0.511811023622047"/>
  <pageSetup orientation="portrait" horizontalDpi="300" verticalDpi="30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43"/>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ColWidth="10.5" defaultRowHeight="16" x14ac:dyDescent="0.2"/>
  <cols>
    <col min="1" max="1" width="16.1640625" customWidth="1"/>
    <col min="2" max="2" width="41.33203125" customWidth="1"/>
    <col min="3" max="8" width="11.83203125" customWidth="1"/>
  </cols>
  <sheetData>
    <row r="1" spans="1:8" ht="30.75" customHeight="1" x14ac:dyDescent="0.2">
      <c r="A1" s="175" t="s">
        <v>818</v>
      </c>
      <c r="B1" s="176"/>
      <c r="C1" s="19" t="s">
        <v>498</v>
      </c>
      <c r="D1" s="20"/>
      <c r="E1" s="177"/>
      <c r="F1" s="177"/>
      <c r="G1" s="20"/>
      <c r="H1" s="20"/>
    </row>
    <row r="2" spans="1:8" ht="18.75" customHeight="1" x14ac:dyDescent="0.25">
      <c r="B2" s="22"/>
      <c r="C2" s="52"/>
      <c r="D2" s="25"/>
      <c r="E2" s="54"/>
      <c r="F2" s="54"/>
      <c r="G2" s="24" t="s">
        <v>176</v>
      </c>
      <c r="H2" s="24" t="s">
        <v>176</v>
      </c>
    </row>
    <row r="3" spans="1:8" ht="117" customHeight="1" x14ac:dyDescent="0.2">
      <c r="C3" s="27" t="s">
        <v>1247</v>
      </c>
      <c r="D3" s="71" t="s">
        <v>1248</v>
      </c>
      <c r="E3" s="160" t="s">
        <v>1249</v>
      </c>
      <c r="F3" s="160" t="s">
        <v>1250</v>
      </c>
      <c r="G3" s="74" t="s">
        <v>1251</v>
      </c>
      <c r="H3" s="74" t="s">
        <v>1252</v>
      </c>
    </row>
    <row r="4" spans="1:8" x14ac:dyDescent="0.2">
      <c r="A4" s="75"/>
      <c r="B4" s="30" t="s">
        <v>287</v>
      </c>
      <c r="C4" s="87">
        <f>SUBTOTAL(109,C$15:INDEX(C:C,COUNTA($B:$B)+14-COUNTA($B$1:$B$14)))</f>
        <v>1805</v>
      </c>
      <c r="D4" s="14">
        <f>SUBTOTAL(109,D$15:INDEX(D:D,COUNTA($B:$B)+14-COUNTA($B$1:$B$14)))</f>
        <v>211</v>
      </c>
      <c r="E4" s="90">
        <f>IF($C$4=0,"",$G$4/$C$4-1)</f>
        <v>0</v>
      </c>
      <c r="F4" s="90">
        <f>IF($D$4=0,"",$H$4/$D$4-1)</f>
        <v>0</v>
      </c>
      <c r="G4" s="9">
        <f>SUBTOTAL(109,G$15:INDEX(G:G,COUNTA($B:$B)+14-COUNTA($B$1:$B$14)))</f>
        <v>1805</v>
      </c>
      <c r="H4" s="9">
        <f>SUBTOTAL(109,H$15:INDEX(H:H,COUNTA($B:$B)+14-COUNTA($B$1:$B$14)))</f>
        <v>211</v>
      </c>
    </row>
    <row r="5" spans="1:8" x14ac:dyDescent="0.2">
      <c r="A5" s="75" t="s">
        <v>180</v>
      </c>
      <c r="B5" s="30" t="s">
        <v>180</v>
      </c>
      <c r="C5" s="87" t="s">
        <v>288</v>
      </c>
      <c r="D5" s="14" t="s">
        <v>288</v>
      </c>
      <c r="E5" s="90" t="s">
        <v>180</v>
      </c>
      <c r="F5" s="90" t="s">
        <v>180</v>
      </c>
      <c r="G5" s="9" t="s">
        <v>288</v>
      </c>
      <c r="H5" s="9" t="s">
        <v>288</v>
      </c>
    </row>
    <row r="6" spans="1:8" x14ac:dyDescent="0.2">
      <c r="A6" s="75" t="s">
        <v>182</v>
      </c>
      <c r="B6" s="30" t="s">
        <v>182</v>
      </c>
      <c r="C6" s="87" t="s">
        <v>183</v>
      </c>
      <c r="D6" s="14" t="s">
        <v>183</v>
      </c>
      <c r="E6" s="90" t="s">
        <v>290</v>
      </c>
      <c r="F6" s="90" t="s">
        <v>290</v>
      </c>
      <c r="G6" s="9" t="s">
        <v>184</v>
      </c>
      <c r="H6" s="9" t="s">
        <v>184</v>
      </c>
    </row>
    <row r="7" spans="1:8" x14ac:dyDescent="0.2">
      <c r="A7" s="75" t="s">
        <v>186</v>
      </c>
      <c r="B7" s="30" t="s">
        <v>186</v>
      </c>
      <c r="C7" s="87" t="s">
        <v>187</v>
      </c>
      <c r="D7" s="14" t="s">
        <v>187</v>
      </c>
      <c r="E7" s="90" t="s">
        <v>293</v>
      </c>
      <c r="F7" s="90" t="s">
        <v>293</v>
      </c>
      <c r="G7" s="9" t="s">
        <v>187</v>
      </c>
      <c r="H7" s="9" t="s">
        <v>187</v>
      </c>
    </row>
    <row r="8" spans="1:8" x14ac:dyDescent="0.2">
      <c r="A8" s="75"/>
      <c r="B8" s="30"/>
      <c r="C8" s="95" t="s">
        <v>667</v>
      </c>
      <c r="D8" s="96" t="s">
        <v>667</v>
      </c>
      <c r="E8" s="90"/>
      <c r="F8" s="90"/>
      <c r="G8" s="99" t="s">
        <v>667</v>
      </c>
      <c r="H8" s="99" t="s">
        <v>667</v>
      </c>
    </row>
    <row r="9" spans="1:8" x14ac:dyDescent="0.2">
      <c r="A9" s="75"/>
      <c r="B9" s="30"/>
      <c r="C9" s="95" t="s">
        <v>1253</v>
      </c>
      <c r="D9" s="96" t="s">
        <v>1253</v>
      </c>
      <c r="E9" s="90"/>
      <c r="F9" s="90"/>
      <c r="G9" s="99" t="s">
        <v>1253</v>
      </c>
      <c r="H9" s="99" t="s">
        <v>1253</v>
      </c>
    </row>
    <row r="10" spans="1:8" x14ac:dyDescent="0.2">
      <c r="A10" s="75"/>
      <c r="B10" s="30"/>
      <c r="C10" s="95" t="s">
        <v>1254</v>
      </c>
      <c r="D10" s="96" t="s">
        <v>1255</v>
      </c>
      <c r="E10" s="90"/>
      <c r="F10" s="90"/>
      <c r="G10" s="99" t="s">
        <v>1254</v>
      </c>
      <c r="H10" s="99" t="s">
        <v>1255</v>
      </c>
    </row>
    <row r="11" spans="1:8" x14ac:dyDescent="0.2">
      <c r="A11" s="75"/>
      <c r="B11" s="30"/>
    </row>
    <row r="12" spans="1:8" x14ac:dyDescent="0.2">
      <c r="A12" s="75"/>
      <c r="B12" s="30"/>
    </row>
    <row r="13" spans="1:8" x14ac:dyDescent="0.2">
      <c r="A13" s="75"/>
      <c r="B13" s="30"/>
    </row>
    <row r="14" spans="1:8" x14ac:dyDescent="0.2">
      <c r="A14" s="102" t="s">
        <v>175</v>
      </c>
      <c r="B14" s="36" t="s">
        <v>189</v>
      </c>
      <c r="C14" s="103" t="s">
        <v>1256</v>
      </c>
      <c r="D14" s="39" t="s">
        <v>1257</v>
      </c>
      <c r="E14" s="105" t="s">
        <v>1258</v>
      </c>
      <c r="F14" s="105" t="s">
        <v>1259</v>
      </c>
      <c r="G14" s="109" t="s">
        <v>1260</v>
      </c>
      <c r="H14" s="109" t="s">
        <v>1261</v>
      </c>
    </row>
    <row r="15" spans="1:8" x14ac:dyDescent="0.2">
      <c r="A15" t="str">
        <f>INDEX(Prioritization!$D:$D,MATCH($B15,Prioritization!$A:$A,0))</f>
        <v>Military</v>
      </c>
      <c r="B15" t="s">
        <v>193</v>
      </c>
      <c r="C15" s="14"/>
      <c r="D15" s="14"/>
      <c r="E15" s="90" t="str">
        <f t="shared" ref="E15:E43" si="0">IF(SUM($C15)=0,"",0%)</f>
        <v/>
      </c>
      <c r="F15" s="90" t="str">
        <f t="shared" ref="F15:F43" si="1">IF(SUM($D15)=0,"",0%)</f>
        <v/>
      </c>
      <c r="G15" s="9" t="str">
        <f t="shared" ref="G15:G43" si="2">IF(SUM($C15)=0,"",ROUND($C15*(1+$E15),0))</f>
        <v/>
      </c>
      <c r="H15" s="9" t="str">
        <f t="shared" ref="H15:H43" si="3">IF(SUM($D15)=0,"",ROUND($D15*(1+$F15),0))</f>
        <v/>
      </c>
    </row>
    <row r="16" spans="1:8" x14ac:dyDescent="0.2">
      <c r="A16" t="str">
        <f>INDEX(Prioritization!$D:$D,MATCH($B16,Prioritization!$A:$A,0))</f>
        <v>1 - Scale-up: Saturation</v>
      </c>
      <c r="B16" t="s">
        <v>194</v>
      </c>
      <c r="C16" s="14"/>
      <c r="D16" s="14"/>
      <c r="E16" s="90" t="str">
        <f t="shared" si="0"/>
        <v/>
      </c>
      <c r="F16" s="90" t="str">
        <f t="shared" si="1"/>
        <v/>
      </c>
      <c r="G16" s="42" t="str">
        <f t="shared" si="2"/>
        <v/>
      </c>
      <c r="H16" s="42" t="str">
        <f t="shared" si="3"/>
        <v/>
      </c>
    </row>
    <row r="17" spans="1:8" x14ac:dyDescent="0.2">
      <c r="A17" t="str">
        <f>INDEX(Prioritization!$D:$D,MATCH($B17,Prioritization!$A:$A,0))</f>
        <v>1 - Scale-up: Saturation</v>
      </c>
      <c r="B17" t="s">
        <v>195</v>
      </c>
      <c r="C17" s="14"/>
      <c r="D17" s="14"/>
      <c r="E17" s="90" t="str">
        <f t="shared" si="0"/>
        <v/>
      </c>
      <c r="F17" s="90" t="str">
        <f t="shared" si="1"/>
        <v/>
      </c>
      <c r="G17" s="42" t="str">
        <f t="shared" si="2"/>
        <v/>
      </c>
      <c r="H17" s="42" t="str">
        <f t="shared" si="3"/>
        <v/>
      </c>
    </row>
    <row r="18" spans="1:8" x14ac:dyDescent="0.2">
      <c r="A18" t="str">
        <f>INDEX(Prioritization!$D:$D,MATCH($B18,Prioritization!$A:$A,0))</f>
        <v>INVALID</v>
      </c>
      <c r="B18" t="s">
        <v>196</v>
      </c>
      <c r="C18" s="14"/>
      <c r="D18" s="14"/>
      <c r="E18" s="90" t="str">
        <f t="shared" si="0"/>
        <v/>
      </c>
      <c r="F18" s="90" t="str">
        <f t="shared" si="1"/>
        <v/>
      </c>
      <c r="G18" s="42" t="str">
        <f t="shared" si="2"/>
        <v/>
      </c>
      <c r="H18" s="42" t="str">
        <f t="shared" si="3"/>
        <v/>
      </c>
    </row>
    <row r="19" spans="1:8" x14ac:dyDescent="0.2">
      <c r="A19" t="str">
        <f>INDEX(Prioritization!$D:$D,MATCH($B19,Prioritization!$A:$A,0))</f>
        <v>1 - Scale-up: Saturation</v>
      </c>
      <c r="B19" t="s">
        <v>197</v>
      </c>
      <c r="C19" s="14">
        <v>82</v>
      </c>
      <c r="D19" s="14">
        <v>55</v>
      </c>
      <c r="E19" s="90">
        <f t="shared" si="0"/>
        <v>0</v>
      </c>
      <c r="F19" s="90">
        <f t="shared" si="1"/>
        <v>0</v>
      </c>
      <c r="G19" s="42">
        <f t="shared" si="2"/>
        <v>82</v>
      </c>
      <c r="H19" s="42">
        <f t="shared" si="3"/>
        <v>55</v>
      </c>
    </row>
    <row r="20" spans="1:8" x14ac:dyDescent="0.2">
      <c r="A20" t="str">
        <f>INDEX(Prioritization!$D:$D,MATCH($B20,Prioritization!$A:$A,0))</f>
        <v>1 - Scale-up: Saturation</v>
      </c>
      <c r="B20" t="s">
        <v>198</v>
      </c>
      <c r="C20" s="14"/>
      <c r="D20" s="14"/>
      <c r="E20" s="90" t="str">
        <f t="shared" si="0"/>
        <v/>
      </c>
      <c r="F20" s="90" t="str">
        <f t="shared" si="1"/>
        <v/>
      </c>
      <c r="G20" s="42" t="str">
        <f t="shared" si="2"/>
        <v/>
      </c>
      <c r="H20" s="42" t="str">
        <f t="shared" si="3"/>
        <v/>
      </c>
    </row>
    <row r="21" spans="1:8" x14ac:dyDescent="0.2">
      <c r="A21" t="str">
        <f>INDEX(Prioritization!$D:$D,MATCH($B21,Prioritization!$A:$A,0))</f>
        <v>1 - Scale-up: Saturation</v>
      </c>
      <c r="B21" t="s">
        <v>199</v>
      </c>
      <c r="C21" s="14"/>
      <c r="D21" s="14"/>
      <c r="E21" s="90" t="str">
        <f t="shared" si="0"/>
        <v/>
      </c>
      <c r="F21" s="90" t="str">
        <f t="shared" si="1"/>
        <v/>
      </c>
      <c r="G21" s="42" t="str">
        <f t="shared" si="2"/>
        <v/>
      </c>
      <c r="H21" s="42" t="str">
        <f t="shared" si="3"/>
        <v/>
      </c>
    </row>
    <row r="22" spans="1:8" x14ac:dyDescent="0.2">
      <c r="A22" t="str">
        <f>INDEX(Prioritization!$D:$D,MATCH($B22,Prioritization!$A:$A,0))</f>
        <v>INVALID</v>
      </c>
      <c r="B22" t="s">
        <v>200</v>
      </c>
      <c r="C22" s="14"/>
      <c r="D22" s="14"/>
      <c r="E22" s="90" t="str">
        <f t="shared" si="0"/>
        <v/>
      </c>
      <c r="F22" s="90" t="str">
        <f t="shared" si="1"/>
        <v/>
      </c>
      <c r="G22" s="42" t="str">
        <f t="shared" si="2"/>
        <v/>
      </c>
      <c r="H22" s="42" t="str">
        <f t="shared" si="3"/>
        <v/>
      </c>
    </row>
    <row r="23" spans="1:8" x14ac:dyDescent="0.2">
      <c r="A23" t="str">
        <f>INDEX(Prioritization!$D:$D,MATCH($B23,Prioritization!$A:$A,0))</f>
        <v>INVALID</v>
      </c>
      <c r="B23" t="s">
        <v>201</v>
      </c>
      <c r="C23" s="14"/>
      <c r="D23" s="14"/>
      <c r="E23" s="90" t="str">
        <f t="shared" si="0"/>
        <v/>
      </c>
      <c r="F23" s="90" t="str">
        <f t="shared" si="1"/>
        <v/>
      </c>
      <c r="G23" s="42" t="str">
        <f t="shared" si="2"/>
        <v/>
      </c>
      <c r="H23" s="42" t="str">
        <f t="shared" si="3"/>
        <v/>
      </c>
    </row>
    <row r="24" spans="1:8" x14ac:dyDescent="0.2">
      <c r="A24" t="str">
        <f>INDEX(Prioritization!$D:$D,MATCH($B24,Prioritization!$A:$A,0))</f>
        <v>INVALID</v>
      </c>
      <c r="B24" t="s">
        <v>202</v>
      </c>
      <c r="C24" s="14"/>
      <c r="D24" s="14"/>
      <c r="E24" s="90" t="str">
        <f t="shared" si="0"/>
        <v/>
      </c>
      <c r="F24" s="90" t="str">
        <f t="shared" si="1"/>
        <v/>
      </c>
      <c r="G24" s="42" t="str">
        <f t="shared" si="2"/>
        <v/>
      </c>
      <c r="H24" s="42" t="str">
        <f t="shared" si="3"/>
        <v/>
      </c>
    </row>
    <row r="25" spans="1:8" x14ac:dyDescent="0.2">
      <c r="A25" t="str">
        <f>INDEX(Prioritization!$D:$D,MATCH($B25,Prioritization!$A:$A,0))</f>
        <v>1 - Scale-up: Saturation</v>
      </c>
      <c r="B25" t="s">
        <v>203</v>
      </c>
      <c r="C25" s="14"/>
      <c r="D25" s="14"/>
      <c r="E25" s="90" t="str">
        <f t="shared" si="0"/>
        <v/>
      </c>
      <c r="F25" s="90" t="str">
        <f t="shared" si="1"/>
        <v/>
      </c>
      <c r="G25" s="42" t="str">
        <f t="shared" si="2"/>
        <v/>
      </c>
      <c r="H25" s="42" t="str">
        <f t="shared" si="3"/>
        <v/>
      </c>
    </row>
    <row r="26" spans="1:8" x14ac:dyDescent="0.2">
      <c r="A26" t="str">
        <f>INDEX(Prioritization!$D:$D,MATCH($B26,Prioritization!$A:$A,0))</f>
        <v>INVALID</v>
      </c>
      <c r="B26" t="s">
        <v>204</v>
      </c>
      <c r="C26" s="14"/>
      <c r="D26" s="14"/>
      <c r="E26" s="90" t="str">
        <f t="shared" si="0"/>
        <v/>
      </c>
      <c r="F26" s="90" t="str">
        <f t="shared" si="1"/>
        <v/>
      </c>
      <c r="G26" s="42" t="str">
        <f t="shared" si="2"/>
        <v/>
      </c>
      <c r="H26" s="42" t="str">
        <f t="shared" si="3"/>
        <v/>
      </c>
    </row>
    <row r="27" spans="1:8" x14ac:dyDescent="0.2">
      <c r="A27" t="str">
        <f>INDEX(Prioritization!$D:$D,MATCH($B27,Prioritization!$A:$A,0))</f>
        <v>INVALID</v>
      </c>
      <c r="B27" t="s">
        <v>205</v>
      </c>
      <c r="C27" s="14"/>
      <c r="D27" s="14"/>
      <c r="E27" s="90" t="str">
        <f t="shared" si="0"/>
        <v/>
      </c>
      <c r="F27" s="90" t="str">
        <f t="shared" si="1"/>
        <v/>
      </c>
      <c r="G27" s="42" t="str">
        <f t="shared" si="2"/>
        <v/>
      </c>
      <c r="H27" s="42" t="str">
        <f t="shared" si="3"/>
        <v/>
      </c>
    </row>
    <row r="28" spans="1:8" x14ac:dyDescent="0.2">
      <c r="A28" t="str">
        <f>INDEX(Prioritization!$D:$D,MATCH($B28,Prioritization!$A:$A,0))</f>
        <v>1 - Scale-up: Saturation</v>
      </c>
      <c r="B28" t="s">
        <v>206</v>
      </c>
      <c r="C28" s="14">
        <v>10</v>
      </c>
      <c r="D28" s="14">
        <v>2</v>
      </c>
      <c r="E28" s="90">
        <f t="shared" si="0"/>
        <v>0</v>
      </c>
      <c r="F28" s="90">
        <f t="shared" si="1"/>
        <v>0</v>
      </c>
      <c r="G28" s="42">
        <f t="shared" si="2"/>
        <v>10</v>
      </c>
      <c r="H28" s="42">
        <f t="shared" si="3"/>
        <v>2</v>
      </c>
    </row>
    <row r="29" spans="1:8" x14ac:dyDescent="0.2">
      <c r="A29" t="str">
        <f>INDEX(Prioritization!$D:$D,MATCH($B29,Prioritization!$A:$A,0))</f>
        <v>INVALID</v>
      </c>
      <c r="B29" t="s">
        <v>207</v>
      </c>
      <c r="C29" s="14"/>
      <c r="D29" s="14"/>
      <c r="E29" s="90" t="str">
        <f t="shared" si="0"/>
        <v/>
      </c>
      <c r="F29" s="90" t="str">
        <f t="shared" si="1"/>
        <v/>
      </c>
      <c r="G29" s="42" t="str">
        <f t="shared" si="2"/>
        <v/>
      </c>
      <c r="H29" s="42" t="str">
        <f t="shared" si="3"/>
        <v/>
      </c>
    </row>
    <row r="30" spans="1:8" x14ac:dyDescent="0.2">
      <c r="A30" t="str">
        <f>INDEX(Prioritization!$D:$D,MATCH($B30,Prioritization!$A:$A,0))</f>
        <v>INVALID</v>
      </c>
      <c r="B30" t="s">
        <v>208</v>
      </c>
      <c r="C30" s="14"/>
      <c r="D30" s="14"/>
      <c r="E30" s="90" t="str">
        <f t="shared" si="0"/>
        <v/>
      </c>
      <c r="F30" s="90" t="str">
        <f t="shared" si="1"/>
        <v/>
      </c>
      <c r="G30" s="42" t="str">
        <f t="shared" si="2"/>
        <v/>
      </c>
      <c r="H30" s="42" t="str">
        <f t="shared" si="3"/>
        <v/>
      </c>
    </row>
    <row r="31" spans="1:8" x14ac:dyDescent="0.2">
      <c r="A31" t="str">
        <f>INDEX(Prioritization!$D:$D,MATCH($B31,Prioritization!$A:$A,0))</f>
        <v>1 - Scale-up: Saturation</v>
      </c>
      <c r="B31" t="s">
        <v>209</v>
      </c>
      <c r="C31" s="14"/>
      <c r="D31" s="14"/>
      <c r="E31" s="90" t="str">
        <f t="shared" si="0"/>
        <v/>
      </c>
      <c r="F31" s="90" t="str">
        <f t="shared" si="1"/>
        <v/>
      </c>
      <c r="G31" s="42" t="str">
        <f t="shared" si="2"/>
        <v/>
      </c>
      <c r="H31" s="42" t="str">
        <f t="shared" si="3"/>
        <v/>
      </c>
    </row>
    <row r="32" spans="1:8" x14ac:dyDescent="0.2">
      <c r="A32" t="str">
        <f>INDEX(Prioritization!$D:$D,MATCH($B32,Prioritization!$A:$A,0))</f>
        <v>1 - Scale-up: Saturation</v>
      </c>
      <c r="B32" t="s">
        <v>210</v>
      </c>
      <c r="C32" s="14">
        <v>811</v>
      </c>
      <c r="D32" s="14">
        <v>59</v>
      </c>
      <c r="E32" s="90">
        <f t="shared" si="0"/>
        <v>0</v>
      </c>
      <c r="F32" s="90">
        <f t="shared" si="1"/>
        <v>0</v>
      </c>
      <c r="G32" s="42">
        <f t="shared" si="2"/>
        <v>811</v>
      </c>
      <c r="H32" s="42">
        <f t="shared" si="3"/>
        <v>59</v>
      </c>
    </row>
    <row r="33" spans="1:8" x14ac:dyDescent="0.2">
      <c r="A33" t="str">
        <f>INDEX(Prioritization!$D:$D,MATCH($B33,Prioritization!$A:$A,0))</f>
        <v>1 - Scale-up: Saturation</v>
      </c>
      <c r="B33" t="s">
        <v>211</v>
      </c>
      <c r="C33" s="14"/>
      <c r="D33" s="14"/>
      <c r="E33" s="90" t="str">
        <f t="shared" si="0"/>
        <v/>
      </c>
      <c r="F33" s="90" t="str">
        <f t="shared" si="1"/>
        <v/>
      </c>
      <c r="G33" s="42" t="str">
        <f t="shared" si="2"/>
        <v/>
      </c>
      <c r="H33" s="42" t="str">
        <f t="shared" si="3"/>
        <v/>
      </c>
    </row>
    <row r="34" spans="1:8" x14ac:dyDescent="0.2">
      <c r="A34" t="str">
        <f>INDEX(Prioritization!$D:$D,MATCH($B34,Prioritization!$A:$A,0))</f>
        <v>1 - Scale-up: Saturation</v>
      </c>
      <c r="B34" t="s">
        <v>212</v>
      </c>
      <c r="C34" s="14"/>
      <c r="D34" s="14"/>
      <c r="E34" s="90" t="str">
        <f t="shared" si="0"/>
        <v/>
      </c>
      <c r="F34" s="90" t="str">
        <f t="shared" si="1"/>
        <v/>
      </c>
      <c r="G34" s="42" t="str">
        <f t="shared" si="2"/>
        <v/>
      </c>
      <c r="H34" s="42" t="str">
        <f t="shared" si="3"/>
        <v/>
      </c>
    </row>
    <row r="35" spans="1:8" x14ac:dyDescent="0.2">
      <c r="A35" t="str">
        <f>INDEX(Prioritization!$D:$D,MATCH($B35,Prioritization!$A:$A,0))</f>
        <v>1 - Scale-up: Saturation</v>
      </c>
      <c r="B35" t="s">
        <v>213</v>
      </c>
      <c r="C35" s="14">
        <v>385</v>
      </c>
      <c r="D35" s="14">
        <v>66</v>
      </c>
      <c r="E35" s="90">
        <f t="shared" si="0"/>
        <v>0</v>
      </c>
      <c r="F35" s="90">
        <f t="shared" si="1"/>
        <v>0</v>
      </c>
      <c r="G35" s="42">
        <f t="shared" si="2"/>
        <v>385</v>
      </c>
      <c r="H35" s="42">
        <f t="shared" si="3"/>
        <v>66</v>
      </c>
    </row>
    <row r="36" spans="1:8" x14ac:dyDescent="0.2">
      <c r="A36" t="str">
        <f>INDEX(Prioritization!$D:$D,MATCH($B36,Prioritization!$A:$A,0))</f>
        <v>INVALID</v>
      </c>
      <c r="B36" t="s">
        <v>214</v>
      </c>
      <c r="C36" s="14">
        <v>34</v>
      </c>
      <c r="D36" s="14">
        <v>8</v>
      </c>
      <c r="E36" s="90">
        <f t="shared" si="0"/>
        <v>0</v>
      </c>
      <c r="F36" s="90">
        <f t="shared" si="1"/>
        <v>0</v>
      </c>
      <c r="G36" s="42">
        <f t="shared" si="2"/>
        <v>34</v>
      </c>
      <c r="H36" s="42">
        <f t="shared" si="3"/>
        <v>8</v>
      </c>
    </row>
    <row r="37" spans="1:8" x14ac:dyDescent="0.2">
      <c r="A37" t="str">
        <f>INDEX(Prioritization!$D:$D,MATCH($B37,Prioritization!$A:$A,0))</f>
        <v>INVALID</v>
      </c>
      <c r="B37" t="s">
        <v>215</v>
      </c>
      <c r="C37" s="14"/>
      <c r="D37" s="14"/>
      <c r="E37" s="90" t="str">
        <f t="shared" si="0"/>
        <v/>
      </c>
      <c r="F37" s="90" t="str">
        <f t="shared" si="1"/>
        <v/>
      </c>
      <c r="G37" s="42" t="str">
        <f t="shared" si="2"/>
        <v/>
      </c>
      <c r="H37" s="42" t="str">
        <f t="shared" si="3"/>
        <v/>
      </c>
    </row>
    <row r="38" spans="1:8" x14ac:dyDescent="0.2">
      <c r="A38" t="str">
        <f>INDEX(Prioritization!$D:$D,MATCH($B38,Prioritization!$A:$A,0))</f>
        <v>INVALID</v>
      </c>
      <c r="B38" t="s">
        <v>216</v>
      </c>
      <c r="C38" s="14"/>
      <c r="D38" s="14"/>
      <c r="E38" s="90" t="str">
        <f t="shared" si="0"/>
        <v/>
      </c>
      <c r="F38" s="90" t="str">
        <f t="shared" si="1"/>
        <v/>
      </c>
      <c r="G38" s="42" t="str">
        <f t="shared" si="2"/>
        <v/>
      </c>
      <c r="H38" s="42" t="str">
        <f t="shared" si="3"/>
        <v/>
      </c>
    </row>
    <row r="39" spans="1:8" x14ac:dyDescent="0.2">
      <c r="A39" t="str">
        <f>INDEX(Prioritization!$D:$D,MATCH($B39,Prioritization!$A:$A,0))</f>
        <v>INVALID</v>
      </c>
      <c r="B39" t="s">
        <v>217</v>
      </c>
      <c r="C39" s="14"/>
      <c r="D39" s="14"/>
      <c r="E39" s="90" t="str">
        <f t="shared" si="0"/>
        <v/>
      </c>
      <c r="F39" s="90" t="str">
        <f t="shared" si="1"/>
        <v/>
      </c>
      <c r="G39" s="42" t="str">
        <f t="shared" si="2"/>
        <v/>
      </c>
      <c r="H39" s="42" t="str">
        <f t="shared" si="3"/>
        <v/>
      </c>
    </row>
    <row r="40" spans="1:8" x14ac:dyDescent="0.2">
      <c r="A40" t="str">
        <f>INDEX(Prioritization!$D:$D,MATCH($B40,Prioritization!$A:$A,0))</f>
        <v>INVALID</v>
      </c>
      <c r="B40" t="s">
        <v>218</v>
      </c>
      <c r="C40" s="14"/>
      <c r="D40" s="14"/>
      <c r="E40" s="90" t="str">
        <f t="shared" si="0"/>
        <v/>
      </c>
      <c r="F40" s="90" t="str">
        <f t="shared" si="1"/>
        <v/>
      </c>
      <c r="G40" s="42" t="str">
        <f t="shared" si="2"/>
        <v/>
      </c>
      <c r="H40" s="42" t="str">
        <f t="shared" si="3"/>
        <v/>
      </c>
    </row>
    <row r="41" spans="1:8" x14ac:dyDescent="0.2">
      <c r="A41" t="str">
        <f>INDEX(Prioritization!$D:$D,MATCH($B41,Prioritization!$A:$A,0))</f>
        <v>INVALID</v>
      </c>
      <c r="B41" t="s">
        <v>219</v>
      </c>
      <c r="C41" s="14"/>
      <c r="D41" s="14"/>
      <c r="E41" s="90" t="str">
        <f t="shared" si="0"/>
        <v/>
      </c>
      <c r="F41" s="90" t="str">
        <f t="shared" si="1"/>
        <v/>
      </c>
      <c r="G41" s="42" t="str">
        <f t="shared" si="2"/>
        <v/>
      </c>
      <c r="H41" s="42" t="str">
        <f t="shared" si="3"/>
        <v/>
      </c>
    </row>
    <row r="42" spans="1:8" x14ac:dyDescent="0.2">
      <c r="A42" t="str">
        <f>INDEX(Prioritization!$D:$D,MATCH($B42,Prioritization!$A:$A,0))</f>
        <v>1 - Scale-up: Saturation</v>
      </c>
      <c r="B42" t="s">
        <v>220</v>
      </c>
      <c r="C42" s="14"/>
      <c r="D42" s="14"/>
      <c r="E42" s="90" t="str">
        <f t="shared" si="0"/>
        <v/>
      </c>
      <c r="F42" s="90" t="str">
        <f t="shared" si="1"/>
        <v/>
      </c>
      <c r="G42" s="42" t="str">
        <f t="shared" si="2"/>
        <v/>
      </c>
      <c r="H42" s="42" t="str">
        <f t="shared" si="3"/>
        <v/>
      </c>
    </row>
    <row r="43" spans="1:8" x14ac:dyDescent="0.2">
      <c r="A43" t="str">
        <f>INDEX(Prioritization!$D:$D,MATCH($B43,Prioritization!$A:$A,0))</f>
        <v>1 - Scale-up: Saturation</v>
      </c>
      <c r="B43" t="s">
        <v>221</v>
      </c>
      <c r="C43" s="14">
        <v>483</v>
      </c>
      <c r="D43" s="14">
        <v>21</v>
      </c>
      <c r="E43" s="90">
        <f t="shared" si="0"/>
        <v>0</v>
      </c>
      <c r="F43" s="90">
        <f t="shared" si="1"/>
        <v>0</v>
      </c>
      <c r="G43" s="42">
        <f t="shared" si="2"/>
        <v>483</v>
      </c>
      <c r="H43" s="42">
        <f t="shared" si="3"/>
        <v>21</v>
      </c>
    </row>
  </sheetData>
  <conditionalFormatting sqref="G1:H1048576 C1:D1048576">
    <cfRule type="expression" dxfId="41" priority="2">
      <formula>AND(ISNUMBER(C1),C1&lt;0)</formula>
    </cfRule>
  </conditionalFormatting>
  <pageMargins left="0.7" right="0.7" top="0.75" bottom="0.75"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34"/>
  <sheetViews>
    <sheetView zoomScaleNormal="100" workbookViewId="0">
      <pane xSplit="5" ySplit="14" topLeftCell="F15" activePane="bottomRight" state="frozen"/>
      <selection pane="topRight" activeCell="F1" sqref="F1"/>
      <selection pane="bottomLeft" activeCell="A15" sqref="A15"/>
      <selection pane="bottomRight" activeCell="H15" sqref="H15"/>
    </sheetView>
  </sheetViews>
  <sheetFormatPr baseColWidth="10" defaultColWidth="10.5" defaultRowHeight="16" x14ac:dyDescent="0.2"/>
  <cols>
    <col min="1" max="1" width="16.1640625" customWidth="1"/>
    <col min="2" max="2" width="30.83203125" customWidth="1"/>
    <col min="3" max="3" width="10.83203125" customWidth="1"/>
    <col min="4" max="4" width="7.83203125" customWidth="1"/>
    <col min="5" max="5" width="7.33203125" hidden="1" customWidth="1"/>
    <col min="6" max="18" width="11.83203125" customWidth="1"/>
    <col min="19" max="20" width="12.6640625" customWidth="1"/>
  </cols>
  <sheetData>
    <row r="1" spans="1:20" ht="30.75" customHeight="1" x14ac:dyDescent="0.2">
      <c r="A1" s="44" t="s">
        <v>814</v>
      </c>
      <c r="B1" s="18"/>
      <c r="C1" s="18"/>
      <c r="D1" s="18"/>
      <c r="E1" s="18"/>
      <c r="F1" s="45" t="s">
        <v>496</v>
      </c>
      <c r="G1" s="21"/>
      <c r="H1" s="21"/>
      <c r="I1" s="21"/>
      <c r="J1" s="21"/>
      <c r="K1" s="21"/>
      <c r="L1" s="21"/>
      <c r="M1" s="21"/>
      <c r="N1" s="21"/>
      <c r="O1" s="21"/>
      <c r="P1" s="48"/>
      <c r="Q1" s="48"/>
      <c r="R1" s="48"/>
      <c r="S1" s="46"/>
      <c r="T1" s="46"/>
    </row>
    <row r="2" spans="1:20" ht="18.75" customHeight="1" x14ac:dyDescent="0.25">
      <c r="A2" s="1" t="s">
        <v>1262</v>
      </c>
      <c r="B2" s="1"/>
      <c r="C2" s="22"/>
      <c r="D2" s="22"/>
      <c r="E2" s="22"/>
      <c r="F2" s="52"/>
      <c r="G2" s="25"/>
      <c r="H2" s="25"/>
      <c r="I2" s="25"/>
      <c r="J2" s="25"/>
      <c r="K2" s="25"/>
      <c r="L2" s="25"/>
      <c r="M2" s="25"/>
      <c r="N2" s="25"/>
      <c r="O2" s="25"/>
      <c r="P2" s="54"/>
      <c r="Q2" s="54"/>
      <c r="R2" s="54"/>
      <c r="S2" s="24" t="s">
        <v>176</v>
      </c>
      <c r="T2" s="24" t="s">
        <v>176</v>
      </c>
    </row>
    <row r="3" spans="1:20" ht="117" customHeight="1" x14ac:dyDescent="0.2">
      <c r="A3" s="1"/>
      <c r="B3" s="1"/>
      <c r="C3" s="26"/>
      <c r="D3" s="26"/>
      <c r="E3" s="26"/>
      <c r="F3" s="138" t="s">
        <v>829</v>
      </c>
      <c r="G3" s="69" t="s">
        <v>1263</v>
      </c>
      <c r="H3" s="69"/>
      <c r="I3" s="69"/>
      <c r="J3" s="69"/>
      <c r="K3" s="71" t="s">
        <v>1264</v>
      </c>
      <c r="L3" s="71" t="s">
        <v>1265</v>
      </c>
      <c r="M3" s="71" t="s">
        <v>1266</v>
      </c>
      <c r="N3" s="71" t="s">
        <v>1267</v>
      </c>
      <c r="O3" s="71" t="s">
        <v>1268</v>
      </c>
      <c r="P3" s="73" t="s">
        <v>1269</v>
      </c>
      <c r="Q3" s="67" t="s">
        <v>1270</v>
      </c>
      <c r="R3" s="67" t="s">
        <v>1271</v>
      </c>
      <c r="S3" s="28" t="s">
        <v>1272</v>
      </c>
      <c r="T3" s="28" t="s">
        <v>1273</v>
      </c>
    </row>
    <row r="4" spans="1:20" x14ac:dyDescent="0.2">
      <c r="A4" s="75"/>
      <c r="B4" s="30"/>
      <c r="C4" s="30"/>
      <c r="D4" s="30" t="s">
        <v>287</v>
      </c>
      <c r="E4" s="30"/>
      <c r="F4" s="76" t="e">
        <f>SUBTOTAL(109,F$15:INDEX(F:F,COUNTA($B:$B)+14-COUNTA($B$1:$B$14)))</f>
        <v>#N/A</v>
      </c>
      <c r="G4" s="75">
        <f>SUBTOTAL(109,G$15:INDEX(G:G,COUNTA($B:$B)+14-COUNTA($B$1:$B$14)))</f>
        <v>0</v>
      </c>
      <c r="H4" s="75"/>
      <c r="I4" s="75"/>
      <c r="J4" s="75"/>
      <c r="K4" s="75">
        <f>SUBTOTAL(109,K$15:INDEX(K:K,COUNTA($B:$B)+14-COUNTA($B$1:$B$14)))</f>
        <v>2849</v>
      </c>
      <c r="L4" s="75">
        <f ca="1">SUBTOTAL(109,L$15:INDEX(L:L,COUNTA($B:$B)+14-COUNTA($B$1:$B$14)))</f>
        <v>0</v>
      </c>
      <c r="M4" s="75">
        <f ca="1">SUBTOTAL(109,M$15:INDEX(M:M,COUNTA($B:$B)+14-COUNTA($B$1:$B$14)))</f>
        <v>0</v>
      </c>
      <c r="N4" s="75">
        <f ca="1">SUBTOTAL(109,N$15:INDEX(N:N,COUNTA($B:$B)+14-COUNTA($B$1:$B$14)))</f>
        <v>0</v>
      </c>
      <c r="O4" s="75">
        <f ca="1">SUBTOTAL(109,O$15:INDEX(O:O,COUNTA($B:$B)+14-COUNTA($B$1:$B$14)))</f>
        <v>0</v>
      </c>
      <c r="P4" s="80" t="str">
        <f ca="1">IF($O$4=0,"",SUM($M$4,$N$4)/$O$4)</f>
        <v/>
      </c>
      <c r="Q4" s="80" t="str">
        <f ca="1">IF($S$4=0,"",$T$4/$S$4)</f>
        <v/>
      </c>
      <c r="R4" s="80" t="str">
        <f ca="1">IF($O$4=0,"",$S$4/$O$4-1)</f>
        <v/>
      </c>
      <c r="S4" s="84">
        <f ca="1">SUBTOTAL(109,S$15:INDEX(S:S,COUNTA($B:$B)+14-COUNTA($B$1:$B$14)))</f>
        <v>0</v>
      </c>
      <c r="T4" s="84">
        <f ca="1">SUBTOTAL(109,T$15:INDEX(T:T,COUNTA($B:$B)+14-COUNTA($B$1:$B$14)))</f>
        <v>0</v>
      </c>
    </row>
    <row r="5" spans="1:20" x14ac:dyDescent="0.2">
      <c r="A5" t="s">
        <v>180</v>
      </c>
      <c r="B5" s="13" t="s">
        <v>180</v>
      </c>
      <c r="C5" s="13" t="s">
        <v>180</v>
      </c>
      <c r="D5" s="13" t="s">
        <v>180</v>
      </c>
      <c r="E5" s="13" t="s">
        <v>180</v>
      </c>
      <c r="F5" s="87" t="s">
        <v>180</v>
      </c>
      <c r="G5" s="14" t="s">
        <v>180</v>
      </c>
      <c r="K5" s="14" t="s">
        <v>288</v>
      </c>
      <c r="L5" s="14" t="s">
        <v>288</v>
      </c>
      <c r="M5" s="14" t="s">
        <v>288</v>
      </c>
      <c r="N5" s="14" t="s">
        <v>288</v>
      </c>
      <c r="O5" s="14" t="s">
        <v>180</v>
      </c>
      <c r="P5" s="89" t="s">
        <v>180</v>
      </c>
      <c r="Q5" s="89" t="s">
        <v>180</v>
      </c>
      <c r="R5" s="89" t="s">
        <v>180</v>
      </c>
      <c r="S5" s="9" t="s">
        <v>288</v>
      </c>
      <c r="T5" s="9" t="s">
        <v>288</v>
      </c>
    </row>
    <row r="6" spans="1:20" x14ac:dyDescent="0.2">
      <c r="A6" t="s">
        <v>182</v>
      </c>
      <c r="B6" s="13" t="s">
        <v>182</v>
      </c>
      <c r="C6" s="13" t="s">
        <v>182</v>
      </c>
      <c r="D6" s="13" t="s">
        <v>182</v>
      </c>
      <c r="E6" s="13" t="s">
        <v>182</v>
      </c>
      <c r="F6" s="87" t="s">
        <v>185</v>
      </c>
      <c r="G6" s="14" t="s">
        <v>290</v>
      </c>
      <c r="K6" s="14" t="s">
        <v>183</v>
      </c>
      <c r="L6" s="14" t="s">
        <v>183</v>
      </c>
      <c r="M6" s="14" t="s">
        <v>183</v>
      </c>
      <c r="N6" s="14" t="s">
        <v>183</v>
      </c>
      <c r="O6" s="14" t="s">
        <v>185</v>
      </c>
      <c r="P6" s="89" t="s">
        <v>185</v>
      </c>
      <c r="Q6" s="89" t="s">
        <v>290</v>
      </c>
      <c r="R6" s="89" t="s">
        <v>290</v>
      </c>
      <c r="S6" s="9" t="s">
        <v>184</v>
      </c>
      <c r="T6" s="9" t="s">
        <v>184</v>
      </c>
    </row>
    <row r="7" spans="1:20" x14ac:dyDescent="0.2">
      <c r="A7" t="s">
        <v>186</v>
      </c>
      <c r="B7" s="13" t="s">
        <v>186</v>
      </c>
      <c r="C7" s="13" t="s">
        <v>186</v>
      </c>
      <c r="D7" s="13" t="s">
        <v>186</v>
      </c>
      <c r="E7" s="13" t="s">
        <v>186</v>
      </c>
      <c r="F7" s="87" t="s">
        <v>187</v>
      </c>
      <c r="G7" s="14" t="s">
        <v>187</v>
      </c>
      <c r="K7" s="14" t="s">
        <v>187</v>
      </c>
      <c r="L7" s="14" t="s">
        <v>187</v>
      </c>
      <c r="M7" s="14" t="s">
        <v>187</v>
      </c>
      <c r="N7" s="14" t="s">
        <v>187</v>
      </c>
      <c r="O7" s="14" t="s">
        <v>187</v>
      </c>
      <c r="P7" s="89" t="s">
        <v>293</v>
      </c>
      <c r="Q7" s="89" t="s">
        <v>293</v>
      </c>
      <c r="R7" s="89" t="s">
        <v>293</v>
      </c>
      <c r="S7" s="9" t="s">
        <v>187</v>
      </c>
      <c r="T7" s="9" t="s">
        <v>187</v>
      </c>
    </row>
    <row r="8" spans="1:20" x14ac:dyDescent="0.2">
      <c r="K8" s="96" t="s">
        <v>1274</v>
      </c>
      <c r="L8" s="96" t="s">
        <v>1275</v>
      </c>
      <c r="M8" s="96" t="s">
        <v>1276</v>
      </c>
      <c r="N8" s="96" t="s">
        <v>1277</v>
      </c>
      <c r="P8" s="89"/>
      <c r="Q8" s="89"/>
      <c r="R8" s="89"/>
      <c r="S8" s="99" t="s">
        <v>664</v>
      </c>
      <c r="T8" s="99" t="s">
        <v>665</v>
      </c>
    </row>
    <row r="9" spans="1:20" x14ac:dyDescent="0.2">
      <c r="K9" s="128"/>
      <c r="L9" s="128"/>
      <c r="M9" s="128"/>
      <c r="N9" s="128"/>
      <c r="O9" s="93"/>
      <c r="P9" s="89"/>
      <c r="Q9" s="89"/>
      <c r="R9" s="89"/>
      <c r="S9" s="99"/>
      <c r="T9" s="99"/>
    </row>
    <row r="10" spans="1:20" x14ac:dyDescent="0.2">
      <c r="K10" s="96" t="s">
        <v>1278</v>
      </c>
      <c r="L10" s="96" t="s">
        <v>1279</v>
      </c>
      <c r="M10" s="96" t="s">
        <v>1280</v>
      </c>
      <c r="N10" s="96" t="s">
        <v>1281</v>
      </c>
      <c r="P10" s="89"/>
      <c r="Q10" s="89"/>
      <c r="R10" s="89"/>
      <c r="S10" s="99" t="s">
        <v>680</v>
      </c>
      <c r="T10" s="99" t="s">
        <v>681</v>
      </c>
    </row>
    <row r="11" spans="1:20" x14ac:dyDescent="0.2">
      <c r="F11" s="87" t="s">
        <v>688</v>
      </c>
      <c r="G11" s="14" t="s">
        <v>688</v>
      </c>
      <c r="K11" s="14" t="s">
        <v>688</v>
      </c>
      <c r="L11" s="14" t="s">
        <v>688</v>
      </c>
      <c r="M11" s="14" t="s">
        <v>688</v>
      </c>
      <c r="N11" s="14" t="s">
        <v>688</v>
      </c>
      <c r="O11" s="14" t="s">
        <v>688</v>
      </c>
      <c r="P11" s="89" t="s">
        <v>688</v>
      </c>
      <c r="Q11" s="90" t="s">
        <v>688</v>
      </c>
      <c r="R11" s="90" t="s">
        <v>688</v>
      </c>
      <c r="S11" s="9" t="s">
        <v>688</v>
      </c>
      <c r="T11" s="9" t="s">
        <v>688</v>
      </c>
    </row>
    <row r="12" spans="1:20" x14ac:dyDescent="0.2">
      <c r="F12" s="87" t="s">
        <v>689</v>
      </c>
      <c r="G12" s="14" t="s">
        <v>689</v>
      </c>
      <c r="K12" s="14" t="s">
        <v>689</v>
      </c>
      <c r="L12" s="14" t="s">
        <v>689</v>
      </c>
      <c r="M12" s="14" t="s">
        <v>689</v>
      </c>
      <c r="N12" s="14" t="s">
        <v>689</v>
      </c>
      <c r="O12" s="14" t="s">
        <v>689</v>
      </c>
      <c r="P12" s="89" t="s">
        <v>689</v>
      </c>
      <c r="Q12" s="90" t="s">
        <v>689</v>
      </c>
      <c r="R12" s="90" t="s">
        <v>689</v>
      </c>
      <c r="S12" s="9" t="s">
        <v>689</v>
      </c>
      <c r="T12" s="9" t="s">
        <v>689</v>
      </c>
    </row>
    <row r="14" spans="1:20" x14ac:dyDescent="0.2">
      <c r="A14" s="102" t="s">
        <v>175</v>
      </c>
      <c r="B14" s="36" t="s">
        <v>189</v>
      </c>
      <c r="C14" s="36" t="s">
        <v>317</v>
      </c>
      <c r="D14" s="36" t="s">
        <v>318</v>
      </c>
      <c r="E14" s="36" t="s">
        <v>19</v>
      </c>
      <c r="F14" s="103" t="s">
        <v>137</v>
      </c>
      <c r="G14" s="39" t="s">
        <v>1282</v>
      </c>
      <c r="H14" s="39" t="s">
        <v>1283</v>
      </c>
      <c r="I14" s="39" t="s">
        <v>1284</v>
      </c>
      <c r="J14" s="39" t="s">
        <v>1285</v>
      </c>
      <c r="K14" s="39" t="s">
        <v>1286</v>
      </c>
      <c r="L14" s="39" t="s">
        <v>1287</v>
      </c>
      <c r="M14" s="39" t="s">
        <v>1288</v>
      </c>
      <c r="N14" s="39" t="s">
        <v>1289</v>
      </c>
      <c r="O14" s="39" t="s">
        <v>1290</v>
      </c>
      <c r="P14" s="105" t="s">
        <v>793</v>
      </c>
      <c r="Q14" s="105" t="s">
        <v>794</v>
      </c>
      <c r="R14" s="105" t="s">
        <v>1290</v>
      </c>
      <c r="S14" s="109" t="s">
        <v>793</v>
      </c>
      <c r="T14" s="109" t="s">
        <v>794</v>
      </c>
    </row>
    <row r="15" spans="1:20" x14ac:dyDescent="0.2">
      <c r="A15" t="str">
        <f>INDEX(Prioritization!$D:$D,MATCH($B15,Prioritization!$A:$A,0))</f>
        <v>1 - Scale-up: Saturation</v>
      </c>
      <c r="B15" t="s">
        <v>210</v>
      </c>
      <c r="C15" t="s">
        <v>363</v>
      </c>
      <c r="D15" t="s">
        <v>29</v>
      </c>
      <c r="E15" s="13" t="str">
        <f t="shared" ref="E15:E34" si="0">B15&amp;"|"&amp;C15&amp;"|"&amp;D15</f>
        <v>Blantyre District [mxqa3CDFmIT]|10-14|Female</v>
      </c>
      <c r="F15" s="87">
        <f>IF(LEFT($B15,4)="_Mil","",INDEX(Cascade!$T:$T,MATCH($E15,Cascade!$E:$E,0)))</f>
        <v>1508</v>
      </c>
      <c r="G15" s="14"/>
      <c r="I15" s="14">
        <v>8685</v>
      </c>
      <c r="J15" s="14">
        <v>643</v>
      </c>
      <c r="K15" s="14">
        <v>110</v>
      </c>
      <c r="L15" s="14" t="e">
        <f t="shared" ref="L15:L34" ca="1" si="1">IF(SUM($K15:$N15)=0,"",SUM($K15:$N15))</f>
        <v>#VALUE!</v>
      </c>
      <c r="M15" s="14" t="e">
        <f t="shared" ref="M15:M34" ca="1" si="2">IF(SUM($O15)=0,"",SUM($M15,$N15)/SUM($O15))</f>
        <v>#VALUE!</v>
      </c>
      <c r="N15" s="14" t="e">
        <f t="shared" ref="N15:N34" ca="1" si="3">IF(SUM($O15)=0,"",MAX(60%,SUM($P15)))</f>
        <v>#VALUE!</v>
      </c>
      <c r="O15" s="14" t="e">
        <f t="shared" ref="O15:O34" ca="1" si="4">IF(SUM($O15)=0,"",0%)</f>
        <v>#VALUE!</v>
      </c>
      <c r="P15" s="89" t="e">
        <f t="shared" ref="P15:P34" ca="1" si="5">IF(SUM($O15)=0,"",ROUND(SUM($O15)*(1+$R15),0))</f>
        <v>#VALUE!</v>
      </c>
      <c r="Q15" s="89" t="e">
        <f t="shared" ref="Q15:Q34" ca="1" si="6">IF(SUM($S15)=0,"",ROUND(SUM($S15)*Q15,0))</f>
        <v>#VALUE!</v>
      </c>
      <c r="R15" s="89" t="e">
        <f ca="1">IF(SUM($O15)=0,"",0%)</f>
        <v>#VALUE!</v>
      </c>
      <c r="S15" s="9" t="e">
        <f ca="1">IF(SUM($O15)=0,"",ROUND(SUM($O15)*(1+$R15),0))</f>
        <v>#VALUE!</v>
      </c>
      <c r="T15" s="9" t="e">
        <f ca="1">IF(SUM($S15)=0,"",ROUND(SUM($S15)*Q15,0))</f>
        <v>#VALUE!</v>
      </c>
    </row>
    <row r="16" spans="1:20" x14ac:dyDescent="0.2">
      <c r="A16" t="str">
        <f>INDEX(Prioritization!$D:$D,MATCH($B16,Prioritization!$A:$A,0))</f>
        <v>1 - Scale-up: Saturation</v>
      </c>
      <c r="B16" t="s">
        <v>210</v>
      </c>
      <c r="C16" t="s">
        <v>815</v>
      </c>
      <c r="D16" t="s">
        <v>29</v>
      </c>
      <c r="E16" t="str">
        <f t="shared" si="0"/>
        <v>Blantyre District [mxqa3CDFmIT]|15-19|Female</v>
      </c>
      <c r="F16" s="14" t="e">
        <f>IF(LEFT($B16,4)="_Mil","",INDEX(Cascade!$T:$T,MATCH($E16,Cascade!$E:$E,0)))</f>
        <v>#N/A</v>
      </c>
      <c r="G16" s="14"/>
      <c r="I16" s="14">
        <v>479</v>
      </c>
      <c r="J16" s="14">
        <v>735</v>
      </c>
      <c r="K16" s="14">
        <v>438</v>
      </c>
      <c r="L16" s="14" t="e">
        <f t="shared" ca="1" si="1"/>
        <v>#VALUE!</v>
      </c>
      <c r="M16" s="14" t="e">
        <f t="shared" ca="1" si="2"/>
        <v>#VALUE!</v>
      </c>
      <c r="N16" s="14" t="e">
        <f t="shared" ca="1" si="3"/>
        <v>#VALUE!</v>
      </c>
      <c r="O16" s="14" t="e">
        <f t="shared" ca="1" si="4"/>
        <v>#VALUE!</v>
      </c>
      <c r="P16" s="90" t="e">
        <f t="shared" ca="1" si="5"/>
        <v>#VALUE!</v>
      </c>
      <c r="Q16" s="90" t="str">
        <f t="shared" si="6"/>
        <v/>
      </c>
      <c r="R16" s="90"/>
      <c r="S16" s="42"/>
      <c r="T16" s="42"/>
    </row>
    <row r="17" spans="1:20" x14ac:dyDescent="0.2">
      <c r="A17" t="str">
        <f>INDEX(Prioritization!$D:$D,MATCH($B17,Prioritization!$A:$A,0))</f>
        <v>1 - Scale-up: Saturation</v>
      </c>
      <c r="B17" t="s">
        <v>210</v>
      </c>
      <c r="C17" t="s">
        <v>816</v>
      </c>
      <c r="D17" t="s">
        <v>29</v>
      </c>
      <c r="E17" t="str">
        <f t="shared" si="0"/>
        <v>Blantyre District [mxqa3CDFmIT]|20-24|Female</v>
      </c>
      <c r="F17" s="14" t="e">
        <f>IF(LEFT($B17,4)="_Mil","",INDEX(Cascade!$T:$T,MATCH($E17,Cascade!$E:$E,0)))</f>
        <v>#N/A</v>
      </c>
      <c r="G17" s="14"/>
      <c r="I17" s="14">
        <v>221</v>
      </c>
      <c r="J17" s="14">
        <v>108</v>
      </c>
      <c r="K17" s="14">
        <v>95</v>
      </c>
      <c r="L17" s="14" t="e">
        <f t="shared" ca="1" si="1"/>
        <v>#VALUE!</v>
      </c>
      <c r="M17" s="14" t="e">
        <f t="shared" ca="1" si="2"/>
        <v>#VALUE!</v>
      </c>
      <c r="N17" s="14" t="e">
        <f t="shared" ca="1" si="3"/>
        <v>#VALUE!</v>
      </c>
      <c r="O17" s="14" t="e">
        <f t="shared" ca="1" si="4"/>
        <v>#VALUE!</v>
      </c>
      <c r="P17" s="90" t="e">
        <f t="shared" ca="1" si="5"/>
        <v>#VALUE!</v>
      </c>
      <c r="Q17" s="90" t="str">
        <f t="shared" si="6"/>
        <v/>
      </c>
      <c r="R17" s="90"/>
      <c r="S17" s="42"/>
      <c r="T17" s="42"/>
    </row>
    <row r="18" spans="1:20" x14ac:dyDescent="0.2">
      <c r="A18" t="str">
        <f>INDEX(Prioritization!$D:$D,MATCH($B18,Prioritization!$A:$A,0))</f>
        <v>1 - Scale-up: Saturation</v>
      </c>
      <c r="B18" t="s">
        <v>210</v>
      </c>
      <c r="C18" t="s">
        <v>817</v>
      </c>
      <c r="D18" t="s">
        <v>29</v>
      </c>
      <c r="E18" t="str">
        <f t="shared" si="0"/>
        <v>Blantyre District [mxqa3CDFmIT]|25-29|Female</v>
      </c>
      <c r="F18" s="14" t="e">
        <f>IF(LEFT($B18,4)="_Mil","",INDEX(Cascade!$T:$T,MATCH($E18,Cascade!$E:$E,0)))</f>
        <v>#N/A</v>
      </c>
      <c r="G18" s="14"/>
      <c r="I18" s="14">
        <v>5</v>
      </c>
      <c r="J18" s="14">
        <v>8</v>
      </c>
      <c r="K18" s="14">
        <v>3</v>
      </c>
      <c r="L18" s="14" t="e">
        <f t="shared" ca="1" si="1"/>
        <v>#VALUE!</v>
      </c>
      <c r="M18" s="14" t="e">
        <f t="shared" ca="1" si="2"/>
        <v>#VALUE!</v>
      </c>
      <c r="N18" s="14" t="e">
        <f t="shared" ca="1" si="3"/>
        <v>#VALUE!</v>
      </c>
      <c r="O18" s="14" t="e">
        <f t="shared" ca="1" si="4"/>
        <v>#VALUE!</v>
      </c>
      <c r="P18" s="90" t="e">
        <f t="shared" ca="1" si="5"/>
        <v>#VALUE!</v>
      </c>
      <c r="Q18" s="90" t="str">
        <f t="shared" si="6"/>
        <v/>
      </c>
      <c r="R18" s="90"/>
      <c r="S18" s="42"/>
      <c r="T18" s="42"/>
    </row>
    <row r="19" spans="1:20" x14ac:dyDescent="0.2">
      <c r="A19" t="str">
        <f>INDEX(Prioritization!$D:$D,MATCH($B19,Prioritization!$A:$A,0))</f>
        <v>1 - Scale-up: Saturation</v>
      </c>
      <c r="B19" t="s">
        <v>212</v>
      </c>
      <c r="C19" t="s">
        <v>363</v>
      </c>
      <c r="D19" t="s">
        <v>29</v>
      </c>
      <c r="E19" t="str">
        <f t="shared" si="0"/>
        <v>Chiradzulu District [oiPR2CiVJbf]|10-14|Female</v>
      </c>
      <c r="F19" s="14">
        <f>IF(LEFT($B19,4)="_Mil","",INDEX(Cascade!$T:$T,MATCH($E19,Cascade!$E:$E,0)))</f>
        <v>1439</v>
      </c>
      <c r="G19" s="14"/>
      <c r="I19" s="14"/>
      <c r="J19" s="14"/>
      <c r="K19" s="14"/>
      <c r="L19" s="14" t="e">
        <f t="shared" ca="1" si="1"/>
        <v>#VALUE!</v>
      </c>
      <c r="M19" s="14" t="e">
        <f t="shared" ca="1" si="2"/>
        <v>#VALUE!</v>
      </c>
      <c r="N19" s="14" t="e">
        <f t="shared" ca="1" si="3"/>
        <v>#VALUE!</v>
      </c>
      <c r="O19" s="14" t="e">
        <f t="shared" ca="1" si="4"/>
        <v>#VALUE!</v>
      </c>
      <c r="P19" s="90" t="e">
        <f t="shared" ca="1" si="5"/>
        <v>#VALUE!</v>
      </c>
      <c r="Q19" s="90" t="str">
        <f t="shared" si="6"/>
        <v/>
      </c>
      <c r="R19" s="90"/>
      <c r="S19" s="42"/>
      <c r="T19" s="42"/>
    </row>
    <row r="20" spans="1:20" x14ac:dyDescent="0.2">
      <c r="A20" t="str">
        <f>INDEX(Prioritization!$D:$D,MATCH($B20,Prioritization!$A:$A,0))</f>
        <v>1 - Scale-up: Saturation</v>
      </c>
      <c r="B20" t="s">
        <v>212</v>
      </c>
      <c r="C20" t="s">
        <v>815</v>
      </c>
      <c r="D20" t="s">
        <v>29</v>
      </c>
      <c r="E20" t="str">
        <f t="shared" si="0"/>
        <v>Chiradzulu District [oiPR2CiVJbf]|15-19|Female</v>
      </c>
      <c r="F20" s="14" t="e">
        <f>IF(LEFT($B20,4)="_Mil","",INDEX(Cascade!$T:$T,MATCH($E20,Cascade!$E:$E,0)))</f>
        <v>#N/A</v>
      </c>
      <c r="G20" s="14"/>
      <c r="I20" s="14"/>
      <c r="J20" s="14"/>
      <c r="K20" s="14"/>
      <c r="L20" s="14" t="e">
        <f t="shared" ca="1" si="1"/>
        <v>#VALUE!</v>
      </c>
      <c r="M20" s="14" t="e">
        <f t="shared" ca="1" si="2"/>
        <v>#VALUE!</v>
      </c>
      <c r="N20" s="14" t="e">
        <f t="shared" ca="1" si="3"/>
        <v>#VALUE!</v>
      </c>
      <c r="O20" s="14" t="e">
        <f t="shared" ca="1" si="4"/>
        <v>#VALUE!</v>
      </c>
      <c r="P20" s="90" t="e">
        <f t="shared" ca="1" si="5"/>
        <v>#VALUE!</v>
      </c>
      <c r="Q20" s="90" t="str">
        <f t="shared" si="6"/>
        <v/>
      </c>
      <c r="R20" s="90"/>
      <c r="S20" s="42"/>
      <c r="T20" s="42"/>
    </row>
    <row r="21" spans="1:20" x14ac:dyDescent="0.2">
      <c r="A21" t="str">
        <f>INDEX(Prioritization!$D:$D,MATCH($B21,Prioritization!$A:$A,0))</f>
        <v>1 - Scale-up: Saturation</v>
      </c>
      <c r="B21" t="s">
        <v>212</v>
      </c>
      <c r="C21" t="s">
        <v>816</v>
      </c>
      <c r="D21" t="s">
        <v>29</v>
      </c>
      <c r="E21" t="str">
        <f t="shared" si="0"/>
        <v>Chiradzulu District [oiPR2CiVJbf]|20-24|Female</v>
      </c>
      <c r="F21" s="14" t="e">
        <f>IF(LEFT($B21,4)="_Mil","",INDEX(Cascade!$T:$T,MATCH($E21,Cascade!$E:$E,0)))</f>
        <v>#N/A</v>
      </c>
      <c r="G21" s="14"/>
      <c r="I21" s="14"/>
      <c r="J21" s="14"/>
      <c r="K21" s="14"/>
      <c r="L21" s="14" t="e">
        <f t="shared" ca="1" si="1"/>
        <v>#VALUE!</v>
      </c>
      <c r="M21" s="14" t="e">
        <f t="shared" ca="1" si="2"/>
        <v>#VALUE!</v>
      </c>
      <c r="N21" s="14" t="e">
        <f t="shared" ca="1" si="3"/>
        <v>#VALUE!</v>
      </c>
      <c r="O21" s="14" t="e">
        <f t="shared" ca="1" si="4"/>
        <v>#VALUE!</v>
      </c>
      <c r="P21" s="90" t="e">
        <f t="shared" ca="1" si="5"/>
        <v>#VALUE!</v>
      </c>
      <c r="Q21" s="90" t="str">
        <f t="shared" si="6"/>
        <v/>
      </c>
      <c r="R21" s="90"/>
      <c r="S21" s="42"/>
      <c r="T21" s="42"/>
    </row>
    <row r="22" spans="1:20" x14ac:dyDescent="0.2">
      <c r="A22" t="str">
        <f>INDEX(Prioritization!$D:$D,MATCH($B22,Prioritization!$A:$A,0))</f>
        <v>1 - Scale-up: Saturation</v>
      </c>
      <c r="B22" t="s">
        <v>212</v>
      </c>
      <c r="C22" t="s">
        <v>817</v>
      </c>
      <c r="D22" t="s">
        <v>29</v>
      </c>
      <c r="E22" t="str">
        <f t="shared" si="0"/>
        <v>Chiradzulu District [oiPR2CiVJbf]|25-29|Female</v>
      </c>
      <c r="F22" s="14" t="e">
        <f>IF(LEFT($B22,4)="_Mil","",INDEX(Cascade!$T:$T,MATCH($E22,Cascade!$E:$E,0)))</f>
        <v>#N/A</v>
      </c>
      <c r="G22" s="14"/>
      <c r="I22" s="14"/>
      <c r="J22" s="14"/>
      <c r="K22" s="14"/>
      <c r="L22" s="14" t="e">
        <f t="shared" ca="1" si="1"/>
        <v>#VALUE!</v>
      </c>
      <c r="M22" s="14" t="e">
        <f t="shared" ca="1" si="2"/>
        <v>#VALUE!</v>
      </c>
      <c r="N22" s="14" t="e">
        <f t="shared" ca="1" si="3"/>
        <v>#VALUE!</v>
      </c>
      <c r="O22" s="14" t="e">
        <f t="shared" ca="1" si="4"/>
        <v>#VALUE!</v>
      </c>
      <c r="P22" s="90" t="e">
        <f t="shared" ca="1" si="5"/>
        <v>#VALUE!</v>
      </c>
      <c r="Q22" s="90" t="str">
        <f t="shared" si="6"/>
        <v/>
      </c>
      <c r="R22" s="90"/>
      <c r="S22" s="42"/>
      <c r="T22" s="42"/>
    </row>
    <row r="23" spans="1:20" x14ac:dyDescent="0.2">
      <c r="A23" t="str">
        <f>INDEX(Prioritization!$D:$D,MATCH($B23,Prioritization!$A:$A,0))</f>
        <v>1 - Scale-up: Saturation</v>
      </c>
      <c r="B23" t="s">
        <v>213</v>
      </c>
      <c r="C23" t="s">
        <v>363</v>
      </c>
      <c r="D23" t="s">
        <v>29</v>
      </c>
      <c r="E23" t="str">
        <f t="shared" si="0"/>
        <v>Machinga District [TYnMSwzko3z]|10-14|Female</v>
      </c>
      <c r="F23" s="14">
        <f>IF(LEFT($B23,4)="_Mil","",INDEX(Cascade!$T:$T,MATCH($E23,Cascade!$E:$E,0)))</f>
        <v>1048</v>
      </c>
      <c r="G23" s="14"/>
      <c r="I23" s="14">
        <v>137</v>
      </c>
      <c r="J23" s="14">
        <v>878</v>
      </c>
      <c r="K23" s="14">
        <v>659</v>
      </c>
      <c r="L23" s="14" t="e">
        <f t="shared" ca="1" si="1"/>
        <v>#VALUE!</v>
      </c>
      <c r="M23" s="14" t="e">
        <f t="shared" ca="1" si="2"/>
        <v>#VALUE!</v>
      </c>
      <c r="N23" s="14" t="e">
        <f t="shared" ca="1" si="3"/>
        <v>#VALUE!</v>
      </c>
      <c r="O23" s="14" t="e">
        <f t="shared" ca="1" si="4"/>
        <v>#VALUE!</v>
      </c>
      <c r="P23" s="90" t="e">
        <f t="shared" ca="1" si="5"/>
        <v>#VALUE!</v>
      </c>
      <c r="Q23" s="90" t="str">
        <f t="shared" si="6"/>
        <v/>
      </c>
      <c r="R23" s="90"/>
      <c r="S23" s="42"/>
      <c r="T23" s="42"/>
    </row>
    <row r="24" spans="1:20" x14ac:dyDescent="0.2">
      <c r="A24" t="str">
        <f>INDEX(Prioritization!$D:$D,MATCH($B24,Prioritization!$A:$A,0))</f>
        <v>1 - Scale-up: Saturation</v>
      </c>
      <c r="B24" t="s">
        <v>213</v>
      </c>
      <c r="C24" t="s">
        <v>815</v>
      </c>
      <c r="D24" t="s">
        <v>29</v>
      </c>
      <c r="E24" t="str">
        <f t="shared" si="0"/>
        <v>Machinga District [TYnMSwzko3z]|15-19|Female</v>
      </c>
      <c r="F24" s="14" t="e">
        <f>IF(LEFT($B24,4)="_Mil","",INDEX(Cascade!$T:$T,MATCH($E24,Cascade!$E:$E,0)))</f>
        <v>#N/A</v>
      </c>
      <c r="G24" s="14"/>
      <c r="I24" s="14">
        <v>415</v>
      </c>
      <c r="J24" s="14">
        <v>228</v>
      </c>
      <c r="K24" s="14">
        <v>442</v>
      </c>
      <c r="L24" s="14" t="e">
        <f t="shared" ca="1" si="1"/>
        <v>#VALUE!</v>
      </c>
      <c r="M24" s="14" t="e">
        <f t="shared" ca="1" si="2"/>
        <v>#VALUE!</v>
      </c>
      <c r="N24" s="14" t="e">
        <f t="shared" ca="1" si="3"/>
        <v>#VALUE!</v>
      </c>
      <c r="O24" s="14" t="e">
        <f t="shared" ca="1" si="4"/>
        <v>#VALUE!</v>
      </c>
      <c r="P24" s="90" t="e">
        <f t="shared" ca="1" si="5"/>
        <v>#VALUE!</v>
      </c>
      <c r="Q24" s="90" t="str">
        <f t="shared" si="6"/>
        <v/>
      </c>
      <c r="R24" s="90"/>
      <c r="S24" s="42"/>
      <c r="T24" s="42"/>
    </row>
    <row r="25" spans="1:20" x14ac:dyDescent="0.2">
      <c r="A25" t="str">
        <f>INDEX(Prioritization!$D:$D,MATCH($B25,Prioritization!$A:$A,0))</f>
        <v>1 - Scale-up: Saturation</v>
      </c>
      <c r="B25" t="s">
        <v>213</v>
      </c>
      <c r="C25" t="s">
        <v>816</v>
      </c>
      <c r="D25" t="s">
        <v>29</v>
      </c>
      <c r="E25" t="str">
        <f t="shared" si="0"/>
        <v>Machinga District [TYnMSwzko3z]|20-24|Female</v>
      </c>
      <c r="F25" s="14" t="e">
        <f>IF(LEFT($B25,4)="_Mil","",INDEX(Cascade!$T:$T,MATCH($E25,Cascade!$E:$E,0)))</f>
        <v>#N/A</v>
      </c>
      <c r="G25" s="14"/>
      <c r="I25" s="14">
        <v>532</v>
      </c>
      <c r="J25" s="14">
        <v>18</v>
      </c>
      <c r="K25" s="14">
        <v>31</v>
      </c>
      <c r="L25" s="14" t="e">
        <f t="shared" ca="1" si="1"/>
        <v>#VALUE!</v>
      </c>
      <c r="M25" s="14" t="e">
        <f t="shared" ca="1" si="2"/>
        <v>#VALUE!</v>
      </c>
      <c r="N25" s="14" t="e">
        <f t="shared" ca="1" si="3"/>
        <v>#VALUE!</v>
      </c>
      <c r="O25" s="14" t="e">
        <f t="shared" ca="1" si="4"/>
        <v>#VALUE!</v>
      </c>
      <c r="P25" s="90" t="e">
        <f t="shared" ca="1" si="5"/>
        <v>#VALUE!</v>
      </c>
      <c r="Q25" s="90" t="str">
        <f t="shared" si="6"/>
        <v/>
      </c>
      <c r="R25" s="90"/>
      <c r="S25" s="42"/>
      <c r="T25" s="42"/>
    </row>
    <row r="26" spans="1:20" x14ac:dyDescent="0.2">
      <c r="A26" t="str">
        <f>INDEX(Prioritization!$D:$D,MATCH($B26,Prioritization!$A:$A,0))</f>
        <v>1 - Scale-up: Saturation</v>
      </c>
      <c r="B26" t="s">
        <v>213</v>
      </c>
      <c r="C26" t="s">
        <v>817</v>
      </c>
      <c r="D26" t="s">
        <v>29</v>
      </c>
      <c r="E26" t="str">
        <f t="shared" si="0"/>
        <v>Machinga District [TYnMSwzko3z]|25-29|Female</v>
      </c>
      <c r="F26" s="14" t="e">
        <f>IF(LEFT($B26,4)="_Mil","",INDEX(Cascade!$T:$T,MATCH($E26,Cascade!$E:$E,0)))</f>
        <v>#N/A</v>
      </c>
      <c r="G26" s="14"/>
      <c r="I26" s="14">
        <v>8</v>
      </c>
      <c r="J26" s="14">
        <v>1</v>
      </c>
      <c r="K26" s="14">
        <v>2</v>
      </c>
      <c r="L26" s="14" t="e">
        <f t="shared" ca="1" si="1"/>
        <v>#VALUE!</v>
      </c>
      <c r="M26" s="14" t="e">
        <f t="shared" ca="1" si="2"/>
        <v>#VALUE!</v>
      </c>
      <c r="N26" s="14" t="e">
        <f t="shared" ca="1" si="3"/>
        <v>#VALUE!</v>
      </c>
      <c r="O26" s="14" t="e">
        <f t="shared" ca="1" si="4"/>
        <v>#VALUE!</v>
      </c>
      <c r="P26" s="90" t="e">
        <f t="shared" ca="1" si="5"/>
        <v>#VALUE!</v>
      </c>
      <c r="Q26" s="90" t="str">
        <f t="shared" si="6"/>
        <v/>
      </c>
      <c r="R26" s="90"/>
      <c r="S26" s="42"/>
      <c r="T26" s="42"/>
    </row>
    <row r="27" spans="1:20" x14ac:dyDescent="0.2">
      <c r="A27" t="str">
        <f>INDEX(Prioritization!$D:$D,MATCH($B27,Prioritization!$A:$A,0))</f>
        <v>INVALID</v>
      </c>
      <c r="B27" t="s">
        <v>219</v>
      </c>
      <c r="C27" t="s">
        <v>363</v>
      </c>
      <c r="D27" t="s">
        <v>29</v>
      </c>
      <c r="E27" t="str">
        <f t="shared" si="0"/>
        <v>Phalombe District [AZyWpGzhcaA]|10-14|Female</v>
      </c>
      <c r="F27" s="14">
        <f>IF(LEFT($B27,4)="_Mil","",INDEX(Cascade!$T:$T,MATCH($E27,Cascade!$E:$E,0)))</f>
        <v>678</v>
      </c>
      <c r="G27" s="14"/>
      <c r="I27" s="14"/>
      <c r="J27" s="14"/>
      <c r="K27" s="14"/>
      <c r="L27" s="14" t="e">
        <f t="shared" ca="1" si="1"/>
        <v>#VALUE!</v>
      </c>
      <c r="M27" s="14" t="e">
        <f t="shared" ca="1" si="2"/>
        <v>#VALUE!</v>
      </c>
      <c r="N27" s="14" t="e">
        <f t="shared" ca="1" si="3"/>
        <v>#VALUE!</v>
      </c>
      <c r="O27" s="14" t="e">
        <f t="shared" ca="1" si="4"/>
        <v>#VALUE!</v>
      </c>
      <c r="P27" s="90" t="e">
        <f t="shared" ca="1" si="5"/>
        <v>#VALUE!</v>
      </c>
      <c r="Q27" s="90" t="str">
        <f t="shared" si="6"/>
        <v/>
      </c>
      <c r="R27" s="90"/>
      <c r="S27" s="42"/>
      <c r="T27" s="42"/>
    </row>
    <row r="28" spans="1:20" x14ac:dyDescent="0.2">
      <c r="A28" t="str">
        <f>INDEX(Prioritization!$D:$D,MATCH($B28,Prioritization!$A:$A,0))</f>
        <v>INVALID</v>
      </c>
      <c r="B28" t="s">
        <v>219</v>
      </c>
      <c r="C28" t="s">
        <v>815</v>
      </c>
      <c r="D28" t="s">
        <v>29</v>
      </c>
      <c r="E28" t="str">
        <f t="shared" si="0"/>
        <v>Phalombe District [AZyWpGzhcaA]|15-19|Female</v>
      </c>
      <c r="F28" s="14" t="e">
        <f>IF(LEFT($B28,4)="_Mil","",INDEX(Cascade!$T:$T,MATCH($E28,Cascade!$E:$E,0)))</f>
        <v>#N/A</v>
      </c>
      <c r="G28" s="14"/>
      <c r="I28" s="14"/>
      <c r="J28" s="14"/>
      <c r="K28" s="14"/>
      <c r="L28" s="14" t="e">
        <f t="shared" ca="1" si="1"/>
        <v>#VALUE!</v>
      </c>
      <c r="M28" s="14" t="e">
        <f t="shared" ca="1" si="2"/>
        <v>#VALUE!</v>
      </c>
      <c r="N28" s="14" t="e">
        <f t="shared" ca="1" si="3"/>
        <v>#VALUE!</v>
      </c>
      <c r="O28" s="14" t="e">
        <f t="shared" ca="1" si="4"/>
        <v>#VALUE!</v>
      </c>
      <c r="P28" s="90" t="e">
        <f t="shared" ca="1" si="5"/>
        <v>#VALUE!</v>
      </c>
      <c r="Q28" s="90" t="str">
        <f t="shared" si="6"/>
        <v/>
      </c>
      <c r="R28" s="90"/>
      <c r="S28" s="42"/>
      <c r="T28" s="42"/>
    </row>
    <row r="29" spans="1:20" x14ac:dyDescent="0.2">
      <c r="A29" t="str">
        <f>INDEX(Prioritization!$D:$D,MATCH($B29,Prioritization!$A:$A,0))</f>
        <v>INVALID</v>
      </c>
      <c r="B29" t="s">
        <v>219</v>
      </c>
      <c r="C29" t="s">
        <v>816</v>
      </c>
      <c r="D29" t="s">
        <v>29</v>
      </c>
      <c r="E29" t="str">
        <f t="shared" si="0"/>
        <v>Phalombe District [AZyWpGzhcaA]|20-24|Female</v>
      </c>
      <c r="F29" s="14" t="e">
        <f>IF(LEFT($B29,4)="_Mil","",INDEX(Cascade!$T:$T,MATCH($E29,Cascade!$E:$E,0)))</f>
        <v>#N/A</v>
      </c>
      <c r="G29" s="14"/>
      <c r="I29" s="14"/>
      <c r="J29" s="14"/>
      <c r="K29" s="14"/>
      <c r="L29" s="14" t="e">
        <f t="shared" ca="1" si="1"/>
        <v>#VALUE!</v>
      </c>
      <c r="M29" s="14" t="e">
        <f t="shared" ca="1" si="2"/>
        <v>#VALUE!</v>
      </c>
      <c r="N29" s="14" t="e">
        <f t="shared" ca="1" si="3"/>
        <v>#VALUE!</v>
      </c>
      <c r="O29" s="14" t="e">
        <f t="shared" ca="1" si="4"/>
        <v>#VALUE!</v>
      </c>
      <c r="P29" s="90" t="e">
        <f t="shared" ca="1" si="5"/>
        <v>#VALUE!</v>
      </c>
      <c r="Q29" s="90" t="str">
        <f t="shared" si="6"/>
        <v/>
      </c>
      <c r="R29" s="90"/>
      <c r="S29" s="42"/>
      <c r="T29" s="42"/>
    </row>
    <row r="30" spans="1:20" x14ac:dyDescent="0.2">
      <c r="A30" t="str">
        <f>INDEX(Prioritization!$D:$D,MATCH($B30,Prioritization!$A:$A,0))</f>
        <v>INVALID</v>
      </c>
      <c r="B30" t="s">
        <v>219</v>
      </c>
      <c r="C30" t="s">
        <v>817</v>
      </c>
      <c r="D30" t="s">
        <v>29</v>
      </c>
      <c r="E30" t="str">
        <f t="shared" si="0"/>
        <v>Phalombe District [AZyWpGzhcaA]|25-29|Female</v>
      </c>
      <c r="F30" s="14" t="e">
        <f>IF(LEFT($B30,4)="_Mil","",INDEX(Cascade!$T:$T,MATCH($E30,Cascade!$E:$E,0)))</f>
        <v>#N/A</v>
      </c>
      <c r="G30" s="14"/>
      <c r="I30" s="14"/>
      <c r="J30" s="14"/>
      <c r="K30" s="14"/>
      <c r="L30" s="14" t="e">
        <f t="shared" ca="1" si="1"/>
        <v>#VALUE!</v>
      </c>
      <c r="M30" s="14" t="e">
        <f t="shared" ca="1" si="2"/>
        <v>#VALUE!</v>
      </c>
      <c r="N30" s="14" t="e">
        <f t="shared" ca="1" si="3"/>
        <v>#VALUE!</v>
      </c>
      <c r="O30" s="14" t="e">
        <f t="shared" ca="1" si="4"/>
        <v>#VALUE!</v>
      </c>
      <c r="P30" s="90" t="e">
        <f t="shared" ca="1" si="5"/>
        <v>#VALUE!</v>
      </c>
      <c r="Q30" s="90" t="str">
        <f t="shared" si="6"/>
        <v/>
      </c>
      <c r="R30" s="90"/>
      <c r="S30" s="42"/>
      <c r="T30" s="42"/>
    </row>
    <row r="31" spans="1:20" x14ac:dyDescent="0.2">
      <c r="A31" t="str">
        <f>INDEX(Prioritization!$D:$D,MATCH($B31,Prioritization!$A:$A,0))</f>
        <v>1 - Scale-up: Saturation</v>
      </c>
      <c r="B31" t="s">
        <v>221</v>
      </c>
      <c r="C31" t="s">
        <v>363</v>
      </c>
      <c r="D31" t="s">
        <v>29</v>
      </c>
      <c r="E31" t="str">
        <f t="shared" si="0"/>
        <v>Zomba District [fyEoGEPERdI]|10-14|Female</v>
      </c>
      <c r="F31" s="14">
        <f>IF(LEFT($B31,4)="_Mil","",INDEX(Cascade!$T:$T,MATCH($E31,Cascade!$E:$E,0)))</f>
        <v>1899</v>
      </c>
      <c r="G31" s="14"/>
      <c r="I31" s="14">
        <v>666</v>
      </c>
      <c r="J31" s="14">
        <v>930</v>
      </c>
      <c r="K31" s="14">
        <v>559</v>
      </c>
      <c r="L31" s="14" t="e">
        <f t="shared" ca="1" si="1"/>
        <v>#VALUE!</v>
      </c>
      <c r="M31" s="14" t="e">
        <f t="shared" ca="1" si="2"/>
        <v>#VALUE!</v>
      </c>
      <c r="N31" s="14" t="e">
        <f t="shared" ca="1" si="3"/>
        <v>#VALUE!</v>
      </c>
      <c r="O31" s="14" t="e">
        <f t="shared" ca="1" si="4"/>
        <v>#VALUE!</v>
      </c>
      <c r="P31" s="90" t="e">
        <f t="shared" ca="1" si="5"/>
        <v>#VALUE!</v>
      </c>
      <c r="Q31" s="90" t="str">
        <f t="shared" si="6"/>
        <v/>
      </c>
      <c r="R31" s="90"/>
      <c r="S31" s="42"/>
      <c r="T31" s="42"/>
    </row>
    <row r="32" spans="1:20" x14ac:dyDescent="0.2">
      <c r="A32" t="str">
        <f>INDEX(Prioritization!$D:$D,MATCH($B32,Prioritization!$A:$A,0))</f>
        <v>1 - Scale-up: Saturation</v>
      </c>
      <c r="B32" t="s">
        <v>221</v>
      </c>
      <c r="C32" t="s">
        <v>815</v>
      </c>
      <c r="D32" t="s">
        <v>29</v>
      </c>
      <c r="E32" t="str">
        <f t="shared" si="0"/>
        <v>Zomba District [fyEoGEPERdI]|15-19|Female</v>
      </c>
      <c r="F32" s="14" t="e">
        <f>IF(LEFT($B32,4)="_Mil","",INDEX(Cascade!$T:$T,MATCH($E32,Cascade!$E:$E,0)))</f>
        <v>#N/A</v>
      </c>
      <c r="G32" s="14"/>
      <c r="I32" s="14">
        <v>617</v>
      </c>
      <c r="J32" s="14">
        <v>718</v>
      </c>
      <c r="K32" s="14">
        <v>440</v>
      </c>
      <c r="L32" s="14" t="e">
        <f t="shared" ca="1" si="1"/>
        <v>#VALUE!</v>
      </c>
      <c r="M32" s="14" t="e">
        <f t="shared" ca="1" si="2"/>
        <v>#VALUE!</v>
      </c>
      <c r="N32" s="14" t="e">
        <f t="shared" ca="1" si="3"/>
        <v>#VALUE!</v>
      </c>
      <c r="O32" s="14" t="e">
        <f t="shared" ca="1" si="4"/>
        <v>#VALUE!</v>
      </c>
      <c r="P32" s="90" t="e">
        <f t="shared" ca="1" si="5"/>
        <v>#VALUE!</v>
      </c>
      <c r="Q32" s="90" t="str">
        <f t="shared" si="6"/>
        <v/>
      </c>
      <c r="R32" s="90"/>
      <c r="S32" s="42"/>
      <c r="T32" s="42"/>
    </row>
    <row r="33" spans="1:20" x14ac:dyDescent="0.2">
      <c r="A33" t="str">
        <f>INDEX(Prioritization!$D:$D,MATCH($B33,Prioritization!$A:$A,0))</f>
        <v>1 - Scale-up: Saturation</v>
      </c>
      <c r="B33" t="s">
        <v>221</v>
      </c>
      <c r="C33" t="s">
        <v>816</v>
      </c>
      <c r="D33" t="s">
        <v>29</v>
      </c>
      <c r="E33" t="str">
        <f t="shared" si="0"/>
        <v>Zomba District [fyEoGEPERdI]|20-24|Female</v>
      </c>
      <c r="F33" s="14" t="e">
        <f>IF(LEFT($B33,4)="_Mil","",INDEX(Cascade!$T:$T,MATCH($E33,Cascade!$E:$E,0)))</f>
        <v>#N/A</v>
      </c>
      <c r="G33" s="14"/>
      <c r="I33" s="14">
        <v>163</v>
      </c>
      <c r="J33" s="14">
        <v>64</v>
      </c>
      <c r="K33" s="14">
        <v>33</v>
      </c>
      <c r="L33" s="14" t="e">
        <f t="shared" ca="1" si="1"/>
        <v>#VALUE!</v>
      </c>
      <c r="M33" s="14" t="e">
        <f t="shared" ca="1" si="2"/>
        <v>#VALUE!</v>
      </c>
      <c r="N33" s="14" t="e">
        <f t="shared" ca="1" si="3"/>
        <v>#VALUE!</v>
      </c>
      <c r="O33" s="14" t="e">
        <f t="shared" ca="1" si="4"/>
        <v>#VALUE!</v>
      </c>
      <c r="P33" s="90" t="e">
        <f t="shared" ca="1" si="5"/>
        <v>#VALUE!</v>
      </c>
      <c r="Q33" s="90" t="str">
        <f t="shared" si="6"/>
        <v/>
      </c>
      <c r="R33" s="90"/>
      <c r="S33" s="42"/>
      <c r="T33" s="42"/>
    </row>
    <row r="34" spans="1:20" x14ac:dyDescent="0.2">
      <c r="A34" t="str">
        <f>INDEX(Prioritization!$D:$D,MATCH($B34,Prioritization!$A:$A,0))</f>
        <v>1 - Scale-up: Saturation</v>
      </c>
      <c r="B34" t="s">
        <v>221</v>
      </c>
      <c r="C34" t="s">
        <v>817</v>
      </c>
      <c r="D34" t="s">
        <v>29</v>
      </c>
      <c r="E34" t="str">
        <f t="shared" si="0"/>
        <v>Zomba District [fyEoGEPERdI]|25-29|Female</v>
      </c>
      <c r="F34" s="14" t="e">
        <f>IF(LEFT($B34,4)="_Mil","",INDEX(Cascade!$T:$T,MATCH($E34,Cascade!$E:$E,0)))</f>
        <v>#N/A</v>
      </c>
      <c r="G34" s="14"/>
      <c r="I34" s="14">
        <v>3</v>
      </c>
      <c r="J34" s="14">
        <v>5</v>
      </c>
      <c r="K34" s="14">
        <v>37</v>
      </c>
      <c r="L34" s="14" t="e">
        <f t="shared" ca="1" si="1"/>
        <v>#VALUE!</v>
      </c>
      <c r="M34" s="14" t="e">
        <f t="shared" ca="1" si="2"/>
        <v>#VALUE!</v>
      </c>
      <c r="N34" s="14" t="e">
        <f t="shared" ca="1" si="3"/>
        <v>#VALUE!</v>
      </c>
      <c r="O34" s="14" t="e">
        <f t="shared" ca="1" si="4"/>
        <v>#VALUE!</v>
      </c>
      <c r="P34" s="90" t="e">
        <f t="shared" ca="1" si="5"/>
        <v>#VALUE!</v>
      </c>
      <c r="Q34" s="90" t="str">
        <f t="shared" si="6"/>
        <v/>
      </c>
      <c r="R34" s="90"/>
      <c r="S34" s="42"/>
      <c r="T34" s="42"/>
    </row>
  </sheetData>
  <mergeCells count="1">
    <mergeCell ref="A2:B3"/>
  </mergeCells>
  <conditionalFormatting sqref="S1:T1048576">
    <cfRule type="expression" dxfId="40" priority="2">
      <formula>AND(ISNUMBER(S1),SUM($T1)&gt;SUM($S1))</formula>
    </cfRule>
  </conditionalFormatting>
  <conditionalFormatting sqref="F1:H1048576">
    <cfRule type="expression" dxfId="39" priority="3">
      <formula>AND(ROW(F1)&gt;14,LEFT(B1,4)="_Mil")</formula>
    </cfRule>
  </conditionalFormatting>
  <conditionalFormatting sqref="F1:Q1048576 S1:T1048576">
    <cfRule type="expression" dxfId="38" priority="4">
      <formula>AND(ISNUMBER(F1),F1&lt;0)</formula>
    </cfRule>
  </conditionalFormatting>
  <conditionalFormatting sqref="P1:Q1048576">
    <cfRule type="expression" dxfId="37" priority="5">
      <formula>AND(ISNUMBER(P1),P1&gt;1)</formula>
    </cfRule>
  </conditionalFormatting>
  <conditionalFormatting sqref="Q1:Q1048576">
    <cfRule type="expression" dxfId="36" priority="6">
      <formula>AND(ROUND(SUM($Q1),2)&lt;60%,SUM($S1)&gt;0)</formula>
    </cfRule>
  </conditionalFormatting>
  <conditionalFormatting sqref="J1:J1048576">
    <cfRule type="expression" dxfId="35" priority="7">
      <formula>AND(ROW(J1)&gt;14,LEFT(D1,4)="_Mil")</formula>
    </cfRule>
  </conditionalFormatting>
  <conditionalFormatting sqref="I1:I1048576">
    <cfRule type="expression" dxfId="34" priority="8">
      <formula>AND(ROW(I1)&gt;14,LEFT(D1,4)="_Mil")</formula>
    </cfRule>
  </conditionalFormatting>
  <hyperlinks>
    <hyperlink ref="F3" location="Cascade!T:T" display="P.C. Est. Female Population (FY23)" xr:uid="{00000000-0004-0000-1100-000000000000}"/>
  </hyperlinks>
  <pageMargins left="0.7" right="0.7" top="0.75" bottom="0.75" header="0.511811023622047" footer="0.511811023622047"/>
  <pageSetup paperSize="9"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72"/>
  <sheetViews>
    <sheetView zoomScaleNormal="100" workbookViewId="0">
      <pane xSplit="4" ySplit="14" topLeftCell="E15" activePane="bottomRight" state="frozen"/>
      <selection pane="topRight" activeCell="E1" sqref="E1"/>
      <selection pane="bottomLeft" activeCell="A15" sqref="A15"/>
      <selection pane="bottomRight"/>
    </sheetView>
  </sheetViews>
  <sheetFormatPr baseColWidth="10" defaultColWidth="10.5"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0.75" customHeight="1" x14ac:dyDescent="0.2">
      <c r="A1" s="44" t="s">
        <v>497</v>
      </c>
      <c r="B1" s="18"/>
      <c r="C1" s="18"/>
      <c r="D1" s="18"/>
      <c r="E1" s="45" t="s">
        <v>497</v>
      </c>
      <c r="F1" s="46"/>
      <c r="G1" s="50"/>
      <c r="H1" s="50"/>
      <c r="I1" s="50"/>
      <c r="J1" s="46"/>
      <c r="K1" s="46"/>
    </row>
    <row r="2" spans="1:11" ht="18.75" customHeight="1" x14ac:dyDescent="0.25">
      <c r="A2" s="25"/>
      <c r="B2" s="22"/>
      <c r="C2" s="22"/>
      <c r="D2" s="22"/>
      <c r="E2" s="52"/>
      <c r="F2" s="25"/>
      <c r="G2" s="54"/>
      <c r="H2" s="54"/>
      <c r="I2" s="54"/>
      <c r="J2" s="24" t="s">
        <v>176</v>
      </c>
      <c r="K2" s="24" t="s">
        <v>176</v>
      </c>
    </row>
    <row r="3" spans="1:11" ht="117" customHeight="1" x14ac:dyDescent="0.2">
      <c r="D3" s="119"/>
      <c r="E3" s="65" t="s">
        <v>1291</v>
      </c>
      <c r="F3" s="29" t="s">
        <v>1292</v>
      </c>
      <c r="G3" s="73" t="s">
        <v>1293</v>
      </c>
      <c r="H3" s="67" t="s">
        <v>1294</v>
      </c>
      <c r="I3" s="67" t="s">
        <v>1295</v>
      </c>
      <c r="J3" s="28" t="s">
        <v>628</v>
      </c>
      <c r="K3" s="28" t="s">
        <v>1296</v>
      </c>
    </row>
    <row r="4" spans="1:11" x14ac:dyDescent="0.2">
      <c r="A4" s="77"/>
      <c r="B4" s="122"/>
      <c r="C4" s="122" t="s">
        <v>287</v>
      </c>
      <c r="D4" s="122"/>
      <c r="E4" s="76">
        <f>SUBTOTAL(109,E$15:INDEX(E:E,COUNTA($B:$B)+14-COUNTA($B$1:$B$14)))</f>
        <v>0</v>
      </c>
      <c r="F4" s="77">
        <f>SUBTOTAL(109,F$15:INDEX(F:F,COUNTA($B:$B)+14-COUNTA($B$1:$B$14)))</f>
        <v>0</v>
      </c>
      <c r="G4" s="80" t="str">
        <f>IF($E$4=0,"",$F$4/$E$4)</f>
        <v/>
      </c>
      <c r="H4" s="80" t="str">
        <f>IF($K$4=0,"",$J$4/$K$4)</f>
        <v/>
      </c>
      <c r="I4" s="80" t="str">
        <f>IF($F$4=0,"",$J$4/$F$4-1)</f>
        <v/>
      </c>
      <c r="J4" s="84">
        <f>SUBTOTAL(109,J$15:INDEX(J:J,COUNTA($B:$B)+14-COUNTA($B$1:$B$14)))</f>
        <v>0</v>
      </c>
      <c r="K4" s="84">
        <f>SUBTOTAL(109,K$15:INDEX(K:K,COUNTA($B:$B)+14-COUNTA($B$1:$B$14)))</f>
        <v>0</v>
      </c>
    </row>
    <row r="5" spans="1:11" x14ac:dyDescent="0.2">
      <c r="A5" s="93" t="s">
        <v>180</v>
      </c>
      <c r="B5" s="43" t="s">
        <v>180</v>
      </c>
      <c r="C5" s="43" t="s">
        <v>180</v>
      </c>
      <c r="D5" s="43" t="s">
        <v>180</v>
      </c>
      <c r="E5" s="87" t="s">
        <v>289</v>
      </c>
      <c r="F5" s="93" t="s">
        <v>288</v>
      </c>
      <c r="G5" s="89" t="s">
        <v>180</v>
      </c>
      <c r="H5" s="89" t="s">
        <v>180</v>
      </c>
      <c r="I5" s="89" t="s">
        <v>180</v>
      </c>
      <c r="J5" s="9" t="s">
        <v>288</v>
      </c>
      <c r="K5" s="9" t="s">
        <v>289</v>
      </c>
    </row>
    <row r="6" spans="1:11" x14ac:dyDescent="0.2">
      <c r="A6" s="93" t="s">
        <v>182</v>
      </c>
      <c r="B6" s="43" t="s">
        <v>182</v>
      </c>
      <c r="C6" s="43" t="s">
        <v>182</v>
      </c>
      <c r="D6" s="43" t="s">
        <v>182</v>
      </c>
      <c r="E6" s="87" t="s">
        <v>184</v>
      </c>
      <c r="F6" s="93" t="s">
        <v>183</v>
      </c>
      <c r="G6" s="89" t="s">
        <v>185</v>
      </c>
      <c r="H6" s="89" t="s">
        <v>290</v>
      </c>
      <c r="I6" s="89" t="s">
        <v>290</v>
      </c>
      <c r="J6" s="9" t="s">
        <v>184</v>
      </c>
      <c r="K6" s="9" t="s">
        <v>184</v>
      </c>
    </row>
    <row r="7" spans="1:11" x14ac:dyDescent="0.2">
      <c r="A7" s="93" t="s">
        <v>186</v>
      </c>
      <c r="B7" s="43" t="s">
        <v>186</v>
      </c>
      <c r="C7" s="43" t="s">
        <v>186</v>
      </c>
      <c r="D7" s="43" t="s">
        <v>186</v>
      </c>
      <c r="E7" s="87" t="s">
        <v>187</v>
      </c>
      <c r="F7" s="93" t="s">
        <v>187</v>
      </c>
      <c r="G7" s="89" t="s">
        <v>293</v>
      </c>
      <c r="H7" s="89" t="s">
        <v>293</v>
      </c>
      <c r="I7" s="89" t="s">
        <v>293</v>
      </c>
      <c r="J7" s="9" t="s">
        <v>187</v>
      </c>
      <c r="K7" s="9" t="s">
        <v>187</v>
      </c>
    </row>
    <row r="8" spans="1:11" x14ac:dyDescent="0.2">
      <c r="A8" s="93"/>
      <c r="B8" s="43"/>
      <c r="C8" s="43"/>
      <c r="D8" s="43"/>
      <c r="E8" s="95" t="s">
        <v>1297</v>
      </c>
      <c r="F8" s="128" t="s">
        <v>666</v>
      </c>
      <c r="G8" s="89"/>
      <c r="H8" s="89"/>
      <c r="I8" s="89"/>
      <c r="J8" s="99" t="s">
        <v>666</v>
      </c>
      <c r="K8" s="99" t="s">
        <v>1297</v>
      </c>
    </row>
    <row r="9" spans="1:11" x14ac:dyDescent="0.2">
      <c r="A9" s="93"/>
      <c r="B9" s="43"/>
      <c r="C9" s="43"/>
      <c r="D9" s="43"/>
      <c r="E9" s="95"/>
      <c r="F9" s="128" t="s">
        <v>1298</v>
      </c>
      <c r="G9" s="89"/>
      <c r="H9" s="89"/>
      <c r="I9" s="89"/>
      <c r="J9" s="99" t="s">
        <v>1298</v>
      </c>
      <c r="K9" s="99"/>
    </row>
    <row r="10" spans="1:11" x14ac:dyDescent="0.2">
      <c r="A10" s="93"/>
      <c r="B10" s="43"/>
      <c r="C10" s="43"/>
      <c r="D10" s="43"/>
      <c r="E10" s="95"/>
      <c r="F10" s="128"/>
      <c r="G10" s="89"/>
      <c r="H10" s="89"/>
      <c r="I10" s="89"/>
      <c r="J10" s="99"/>
      <c r="K10" s="99"/>
    </row>
    <row r="11" spans="1:11" x14ac:dyDescent="0.2">
      <c r="A11" s="93"/>
      <c r="B11" s="43"/>
      <c r="C11" s="43"/>
      <c r="D11" s="43"/>
      <c r="F11" s="93"/>
      <c r="G11" s="89"/>
      <c r="H11" s="89"/>
      <c r="I11" s="89"/>
    </row>
    <row r="12" spans="1:11" x14ac:dyDescent="0.2">
      <c r="A12" s="93"/>
      <c r="B12" s="43"/>
      <c r="C12" s="43"/>
      <c r="D12" s="43"/>
      <c r="E12" s="87" t="s">
        <v>316</v>
      </c>
      <c r="F12" s="93" t="s">
        <v>316</v>
      </c>
      <c r="G12" s="89" t="s">
        <v>316</v>
      </c>
      <c r="H12" s="89" t="s">
        <v>316</v>
      </c>
      <c r="I12" s="89" t="s">
        <v>316</v>
      </c>
      <c r="J12" s="9" t="s">
        <v>316</v>
      </c>
      <c r="K12" s="9" t="s">
        <v>316</v>
      </c>
    </row>
    <row r="13" spans="1:11" x14ac:dyDescent="0.2">
      <c r="A13" s="93"/>
      <c r="B13" s="43"/>
      <c r="C13" s="43"/>
      <c r="D13" s="43"/>
      <c r="F13" s="93"/>
      <c r="G13" s="89"/>
      <c r="H13" s="89"/>
      <c r="I13" s="89"/>
    </row>
    <row r="14" spans="1:11" x14ac:dyDescent="0.2">
      <c r="A14" s="102" t="s">
        <v>175</v>
      </c>
      <c r="B14" s="36" t="s">
        <v>189</v>
      </c>
      <c r="C14" s="36" t="s">
        <v>318</v>
      </c>
      <c r="D14" s="36" t="s">
        <v>19</v>
      </c>
      <c r="E14" s="103" t="s">
        <v>1299</v>
      </c>
      <c r="F14" s="39" t="s">
        <v>1300</v>
      </c>
      <c r="G14" s="105" t="s">
        <v>1301</v>
      </c>
      <c r="H14" s="105" t="s">
        <v>1302</v>
      </c>
      <c r="I14" s="105" t="s">
        <v>1303</v>
      </c>
      <c r="J14" s="109" t="s">
        <v>799</v>
      </c>
      <c r="K14" s="109" t="s">
        <v>1304</v>
      </c>
    </row>
    <row r="15" spans="1:11" x14ac:dyDescent="0.2">
      <c r="A15" s="93" t="str">
        <f>INDEX(Prioritization!$D:$D,MATCH($B15,Prioritization!$A:$A,0))</f>
        <v>Military</v>
      </c>
      <c r="B15" s="43" t="s">
        <v>193</v>
      </c>
      <c r="C15" s="43" t="s">
        <v>29</v>
      </c>
      <c r="D15" s="43" t="str">
        <f t="shared" ref="D15:D46" si="0">B15&amp;"|"&amp;C15</f>
        <v>_Military Malawi [PQZgU9dagaH]|Female</v>
      </c>
      <c r="E15" s="178"/>
      <c r="F15" s="14"/>
      <c r="G15" s="90" t="str">
        <f t="shared" ref="G15:G46" si="1">IF(SUM($E15,$F15)=0,"",SUM($F15)/IF(SUM($E15)=0,SUM($F15),$E15))</f>
        <v/>
      </c>
      <c r="H15" s="90" t="str">
        <f t="shared" ref="H15:H46" si="2">IF(SUM($G15)=0,"",$G15)</f>
        <v/>
      </c>
      <c r="I15" s="90" t="str">
        <f t="shared" ref="I15:I46" si="3">IF(SUM($F15)=0,"",0%)</f>
        <v/>
      </c>
      <c r="J15" s="9" t="str">
        <f t="shared" ref="J15:J46" si="4">IF(SUM($F15)=0,"",ROUND($F15*(1+SUM($I15)),0))</f>
        <v/>
      </c>
      <c r="K15" s="9" t="str">
        <f t="shared" ref="K15:K46" si="5">IF(SUM($J15)=0,IF(SUM($E15)=0,"",$E15),ROUND($J15/IF(OR(SUM($H15)=0,$H15&gt;1),1,$H15),0))</f>
        <v/>
      </c>
    </row>
    <row r="16" spans="1:11" x14ac:dyDescent="0.2">
      <c r="A16" t="str">
        <f>INDEX(Prioritization!$D:$D,MATCH($B16,Prioritization!$A:$A,0))</f>
        <v>Military</v>
      </c>
      <c r="B16" t="s">
        <v>193</v>
      </c>
      <c r="C16" t="s">
        <v>47</v>
      </c>
      <c r="D16" t="str">
        <f t="shared" si="0"/>
        <v>_Military Malawi [PQZgU9dagaH]|Male</v>
      </c>
      <c r="E16" s="42"/>
      <c r="F16" s="14"/>
      <c r="G16" s="90" t="str">
        <f t="shared" si="1"/>
        <v/>
      </c>
      <c r="H16" s="90" t="str">
        <f t="shared" si="2"/>
        <v/>
      </c>
      <c r="I16" s="90" t="str">
        <f t="shared" si="3"/>
        <v/>
      </c>
      <c r="J16" s="42" t="str">
        <f t="shared" si="4"/>
        <v/>
      </c>
      <c r="K16" s="42" t="str">
        <f t="shared" si="5"/>
        <v/>
      </c>
    </row>
    <row r="17" spans="1:11" x14ac:dyDescent="0.2">
      <c r="A17" t="str">
        <f>INDEX(Prioritization!$D:$D,MATCH($B17,Prioritization!$A:$A,0))</f>
        <v>1 - Scale-up: Saturation</v>
      </c>
      <c r="B17" t="s">
        <v>194</v>
      </c>
      <c r="C17" t="s">
        <v>29</v>
      </c>
      <c r="D17" t="str">
        <f t="shared" si="0"/>
        <v>Dedza District [PekKUkKHAzY]|Female</v>
      </c>
      <c r="E17" s="42"/>
      <c r="F17" s="14"/>
      <c r="G17" s="90" t="str">
        <f t="shared" si="1"/>
        <v/>
      </c>
      <c r="H17" s="90" t="str">
        <f t="shared" si="2"/>
        <v/>
      </c>
      <c r="I17" s="90" t="str">
        <f t="shared" si="3"/>
        <v/>
      </c>
      <c r="J17" s="42" t="str">
        <f t="shared" si="4"/>
        <v/>
      </c>
      <c r="K17" s="42" t="str">
        <f t="shared" si="5"/>
        <v/>
      </c>
    </row>
    <row r="18" spans="1:11" x14ac:dyDescent="0.2">
      <c r="A18" t="str">
        <f>INDEX(Prioritization!$D:$D,MATCH($B18,Prioritization!$A:$A,0))</f>
        <v>1 - Scale-up: Saturation</v>
      </c>
      <c r="B18" t="s">
        <v>194</v>
      </c>
      <c r="C18" t="s">
        <v>47</v>
      </c>
      <c r="D18" t="str">
        <f t="shared" si="0"/>
        <v>Dedza District [PekKUkKHAzY]|Male</v>
      </c>
      <c r="E18" s="42"/>
      <c r="F18" s="14"/>
      <c r="G18" s="90" t="str">
        <f t="shared" si="1"/>
        <v/>
      </c>
      <c r="H18" s="90" t="str">
        <f t="shared" si="2"/>
        <v/>
      </c>
      <c r="I18" s="90" t="str">
        <f t="shared" si="3"/>
        <v/>
      </c>
      <c r="J18" s="42" t="str">
        <f t="shared" si="4"/>
        <v/>
      </c>
      <c r="K18" s="42" t="str">
        <f t="shared" si="5"/>
        <v/>
      </c>
    </row>
    <row r="19" spans="1:11" x14ac:dyDescent="0.2">
      <c r="A19" t="str">
        <f>INDEX(Prioritization!$D:$D,MATCH($B19,Prioritization!$A:$A,0))</f>
        <v>1 - Scale-up: Saturation</v>
      </c>
      <c r="B19" t="s">
        <v>195</v>
      </c>
      <c r="C19" t="s">
        <v>29</v>
      </c>
      <c r="D19" t="str">
        <f t="shared" si="0"/>
        <v>Dowa District [zphK9WV8JB4]|Female</v>
      </c>
      <c r="E19" s="42"/>
      <c r="F19" s="14"/>
      <c r="G19" s="90" t="str">
        <f t="shared" si="1"/>
        <v/>
      </c>
      <c r="H19" s="90" t="str">
        <f t="shared" si="2"/>
        <v/>
      </c>
      <c r="I19" s="90" t="str">
        <f t="shared" si="3"/>
        <v/>
      </c>
      <c r="J19" s="42" t="str">
        <f t="shared" si="4"/>
        <v/>
      </c>
      <c r="K19" s="42" t="str">
        <f t="shared" si="5"/>
        <v/>
      </c>
    </row>
    <row r="20" spans="1:11" x14ac:dyDescent="0.2">
      <c r="A20" t="str">
        <f>INDEX(Prioritization!$D:$D,MATCH($B20,Prioritization!$A:$A,0))</f>
        <v>1 - Scale-up: Saturation</v>
      </c>
      <c r="B20" t="s">
        <v>195</v>
      </c>
      <c r="C20" t="s">
        <v>47</v>
      </c>
      <c r="D20" t="str">
        <f t="shared" si="0"/>
        <v>Dowa District [zphK9WV8JB4]|Male</v>
      </c>
      <c r="E20" s="42"/>
      <c r="F20" s="14"/>
      <c r="G20" s="90" t="str">
        <f t="shared" si="1"/>
        <v/>
      </c>
      <c r="H20" s="90" t="str">
        <f t="shared" si="2"/>
        <v/>
      </c>
      <c r="I20" s="90" t="str">
        <f t="shared" si="3"/>
        <v/>
      </c>
      <c r="J20" s="42" t="str">
        <f t="shared" si="4"/>
        <v/>
      </c>
      <c r="K20" s="42" t="str">
        <f t="shared" si="5"/>
        <v/>
      </c>
    </row>
    <row r="21" spans="1:11" x14ac:dyDescent="0.2">
      <c r="A21" t="str">
        <f>INDEX(Prioritization!$D:$D,MATCH($B21,Prioritization!$A:$A,0))</f>
        <v>INVALID</v>
      </c>
      <c r="B21" t="s">
        <v>196</v>
      </c>
      <c r="C21" t="s">
        <v>29</v>
      </c>
      <c r="D21" t="str">
        <f t="shared" si="0"/>
        <v>Kasungu District [JQKLKuVuY61]|Female</v>
      </c>
      <c r="E21" s="42"/>
      <c r="F21" s="14"/>
      <c r="G21" s="90" t="str">
        <f t="shared" si="1"/>
        <v/>
      </c>
      <c r="H21" s="90" t="str">
        <f t="shared" si="2"/>
        <v/>
      </c>
      <c r="I21" s="90" t="str">
        <f t="shared" si="3"/>
        <v/>
      </c>
      <c r="J21" s="42" t="str">
        <f t="shared" si="4"/>
        <v/>
      </c>
      <c r="K21" s="42" t="str">
        <f t="shared" si="5"/>
        <v/>
      </c>
    </row>
    <row r="22" spans="1:11" x14ac:dyDescent="0.2">
      <c r="A22" t="str">
        <f>INDEX(Prioritization!$D:$D,MATCH($B22,Prioritization!$A:$A,0))</f>
        <v>INVALID</v>
      </c>
      <c r="B22" t="s">
        <v>196</v>
      </c>
      <c r="C22" t="s">
        <v>47</v>
      </c>
      <c r="D22" t="str">
        <f t="shared" si="0"/>
        <v>Kasungu District [JQKLKuVuY61]|Male</v>
      </c>
      <c r="E22" s="42"/>
      <c r="F22" s="14"/>
      <c r="G22" s="90" t="str">
        <f t="shared" si="1"/>
        <v/>
      </c>
      <c r="H22" s="90" t="str">
        <f t="shared" si="2"/>
        <v/>
      </c>
      <c r="I22" s="90" t="str">
        <f t="shared" si="3"/>
        <v/>
      </c>
      <c r="J22" s="42" t="str">
        <f t="shared" si="4"/>
        <v/>
      </c>
      <c r="K22" s="42" t="str">
        <f t="shared" si="5"/>
        <v/>
      </c>
    </row>
    <row r="23" spans="1:11" x14ac:dyDescent="0.2">
      <c r="A23" t="str">
        <f>INDEX(Prioritization!$D:$D,MATCH($B23,Prioritization!$A:$A,0))</f>
        <v>1 - Scale-up: Saturation</v>
      </c>
      <c r="B23" t="s">
        <v>197</v>
      </c>
      <c r="C23" t="s">
        <v>29</v>
      </c>
      <c r="D23" t="str">
        <f t="shared" si="0"/>
        <v>Lilongwe District [ScR9iFKAasW]|Female</v>
      </c>
      <c r="E23" s="42"/>
      <c r="F23" s="14"/>
      <c r="G23" s="90" t="str">
        <f t="shared" si="1"/>
        <v/>
      </c>
      <c r="H23" s="90" t="str">
        <f t="shared" si="2"/>
        <v/>
      </c>
      <c r="I23" s="90" t="str">
        <f t="shared" si="3"/>
        <v/>
      </c>
      <c r="J23" s="42" t="str">
        <f t="shared" si="4"/>
        <v/>
      </c>
      <c r="K23" s="42" t="str">
        <f t="shared" si="5"/>
        <v/>
      </c>
    </row>
    <row r="24" spans="1:11" x14ac:dyDescent="0.2">
      <c r="A24" t="str">
        <f>INDEX(Prioritization!$D:$D,MATCH($B24,Prioritization!$A:$A,0))</f>
        <v>1 - Scale-up: Saturation</v>
      </c>
      <c r="B24" t="s">
        <v>197</v>
      </c>
      <c r="C24" t="s">
        <v>47</v>
      </c>
      <c r="D24" t="str">
        <f t="shared" si="0"/>
        <v>Lilongwe District [ScR9iFKAasW]|Male</v>
      </c>
      <c r="E24" s="42"/>
      <c r="F24" s="14"/>
      <c r="G24" s="90" t="str">
        <f t="shared" si="1"/>
        <v/>
      </c>
      <c r="H24" s="90" t="str">
        <f t="shared" si="2"/>
        <v/>
      </c>
      <c r="I24" s="90" t="str">
        <f t="shared" si="3"/>
        <v/>
      </c>
      <c r="J24" s="42" t="str">
        <f t="shared" si="4"/>
        <v/>
      </c>
      <c r="K24" s="42" t="str">
        <f t="shared" si="5"/>
        <v/>
      </c>
    </row>
    <row r="25" spans="1:11" x14ac:dyDescent="0.2">
      <c r="A25" t="str">
        <f>INDEX(Prioritization!$D:$D,MATCH($B25,Prioritization!$A:$A,0))</f>
        <v>1 - Scale-up: Saturation</v>
      </c>
      <c r="B25" t="s">
        <v>198</v>
      </c>
      <c r="C25" t="s">
        <v>29</v>
      </c>
      <c r="D25" t="str">
        <f t="shared" si="0"/>
        <v>Mchinji District [kxuuIFpOXyO]|Female</v>
      </c>
      <c r="E25" s="42"/>
      <c r="F25" s="14"/>
      <c r="G25" s="90" t="str">
        <f t="shared" si="1"/>
        <v/>
      </c>
      <c r="H25" s="90" t="str">
        <f t="shared" si="2"/>
        <v/>
      </c>
      <c r="I25" s="90" t="str">
        <f t="shared" si="3"/>
        <v/>
      </c>
      <c r="J25" s="42" t="str">
        <f t="shared" si="4"/>
        <v/>
      </c>
      <c r="K25" s="42" t="str">
        <f t="shared" si="5"/>
        <v/>
      </c>
    </row>
    <row r="26" spans="1:11" x14ac:dyDescent="0.2">
      <c r="A26" t="str">
        <f>INDEX(Prioritization!$D:$D,MATCH($B26,Prioritization!$A:$A,0))</f>
        <v>1 - Scale-up: Saturation</v>
      </c>
      <c r="B26" t="s">
        <v>198</v>
      </c>
      <c r="C26" t="s">
        <v>47</v>
      </c>
      <c r="D26" t="str">
        <f t="shared" si="0"/>
        <v>Mchinji District [kxuuIFpOXyO]|Male</v>
      </c>
      <c r="E26" s="42"/>
      <c r="F26" s="14"/>
      <c r="G26" s="90" t="str">
        <f t="shared" si="1"/>
        <v/>
      </c>
      <c r="H26" s="90" t="str">
        <f t="shared" si="2"/>
        <v/>
      </c>
      <c r="I26" s="90" t="str">
        <f t="shared" si="3"/>
        <v/>
      </c>
      <c r="J26" s="42" t="str">
        <f t="shared" si="4"/>
        <v/>
      </c>
      <c r="K26" s="42" t="str">
        <f t="shared" si="5"/>
        <v/>
      </c>
    </row>
    <row r="27" spans="1:11" x14ac:dyDescent="0.2">
      <c r="A27" t="str">
        <f>INDEX(Prioritization!$D:$D,MATCH($B27,Prioritization!$A:$A,0))</f>
        <v>1 - Scale-up: Saturation</v>
      </c>
      <c r="B27" t="s">
        <v>199</v>
      </c>
      <c r="C27" t="s">
        <v>29</v>
      </c>
      <c r="D27" t="str">
        <f t="shared" si="0"/>
        <v>Nkhotakota District [YCKiBAp8QAg]|Female</v>
      </c>
      <c r="E27" s="42"/>
      <c r="F27" s="14"/>
      <c r="G27" s="90" t="str">
        <f t="shared" si="1"/>
        <v/>
      </c>
      <c r="H27" s="90" t="str">
        <f t="shared" si="2"/>
        <v/>
      </c>
      <c r="I27" s="90" t="str">
        <f t="shared" si="3"/>
        <v/>
      </c>
      <c r="J27" s="42" t="str">
        <f t="shared" si="4"/>
        <v/>
      </c>
      <c r="K27" s="42" t="str">
        <f t="shared" si="5"/>
        <v/>
      </c>
    </row>
    <row r="28" spans="1:11" x14ac:dyDescent="0.2">
      <c r="A28" t="str">
        <f>INDEX(Prioritization!$D:$D,MATCH($B28,Prioritization!$A:$A,0))</f>
        <v>1 - Scale-up: Saturation</v>
      </c>
      <c r="B28" t="s">
        <v>199</v>
      </c>
      <c r="C28" t="s">
        <v>47</v>
      </c>
      <c r="D28" t="str">
        <f t="shared" si="0"/>
        <v>Nkhotakota District [YCKiBAp8QAg]|Male</v>
      </c>
      <c r="E28" s="42"/>
      <c r="F28" s="14"/>
      <c r="G28" s="90" t="str">
        <f t="shared" si="1"/>
        <v/>
      </c>
      <c r="H28" s="90" t="str">
        <f t="shared" si="2"/>
        <v/>
      </c>
      <c r="I28" s="90" t="str">
        <f t="shared" si="3"/>
        <v/>
      </c>
      <c r="J28" s="42" t="str">
        <f t="shared" si="4"/>
        <v/>
      </c>
      <c r="K28" s="42" t="str">
        <f t="shared" si="5"/>
        <v/>
      </c>
    </row>
    <row r="29" spans="1:11" x14ac:dyDescent="0.2">
      <c r="A29" t="str">
        <f>INDEX(Prioritization!$D:$D,MATCH($B29,Prioritization!$A:$A,0))</f>
        <v>INVALID</v>
      </c>
      <c r="B29" t="s">
        <v>200</v>
      </c>
      <c r="C29" t="s">
        <v>29</v>
      </c>
      <c r="D29" t="str">
        <f t="shared" si="0"/>
        <v>Ntcheu District [am530wpaGvr]|Female</v>
      </c>
      <c r="E29" s="42"/>
      <c r="F29" s="14"/>
      <c r="G29" s="90" t="str">
        <f t="shared" si="1"/>
        <v/>
      </c>
      <c r="H29" s="90" t="str">
        <f t="shared" si="2"/>
        <v/>
      </c>
      <c r="I29" s="90" t="str">
        <f t="shared" si="3"/>
        <v/>
      </c>
      <c r="J29" s="42" t="str">
        <f t="shared" si="4"/>
        <v/>
      </c>
      <c r="K29" s="42" t="str">
        <f t="shared" si="5"/>
        <v/>
      </c>
    </row>
    <row r="30" spans="1:11" x14ac:dyDescent="0.2">
      <c r="A30" t="str">
        <f>INDEX(Prioritization!$D:$D,MATCH($B30,Prioritization!$A:$A,0))</f>
        <v>INVALID</v>
      </c>
      <c r="B30" t="s">
        <v>200</v>
      </c>
      <c r="C30" t="s">
        <v>47</v>
      </c>
      <c r="D30" t="str">
        <f t="shared" si="0"/>
        <v>Ntcheu District [am530wpaGvr]|Male</v>
      </c>
      <c r="E30" s="42"/>
      <c r="F30" s="14"/>
      <c r="G30" s="90" t="str">
        <f t="shared" si="1"/>
        <v/>
      </c>
      <c r="H30" s="90" t="str">
        <f t="shared" si="2"/>
        <v/>
      </c>
      <c r="I30" s="90" t="str">
        <f t="shared" si="3"/>
        <v/>
      </c>
      <c r="J30" s="42" t="str">
        <f t="shared" si="4"/>
        <v/>
      </c>
      <c r="K30" s="42" t="str">
        <f t="shared" si="5"/>
        <v/>
      </c>
    </row>
    <row r="31" spans="1:11" x14ac:dyDescent="0.2">
      <c r="A31" t="str">
        <f>INDEX(Prioritization!$D:$D,MATCH($B31,Prioritization!$A:$A,0))</f>
        <v>INVALID</v>
      </c>
      <c r="B31" t="s">
        <v>201</v>
      </c>
      <c r="C31" t="s">
        <v>29</v>
      </c>
      <c r="D31" t="str">
        <f t="shared" si="0"/>
        <v>Ntchisi District [fiRkU6gEjLz]|Female</v>
      </c>
      <c r="E31" s="42"/>
      <c r="F31" s="14"/>
      <c r="G31" s="90" t="str">
        <f t="shared" si="1"/>
        <v/>
      </c>
      <c r="H31" s="90" t="str">
        <f t="shared" si="2"/>
        <v/>
      </c>
      <c r="I31" s="90" t="str">
        <f t="shared" si="3"/>
        <v/>
      </c>
      <c r="J31" s="42" t="str">
        <f t="shared" si="4"/>
        <v/>
      </c>
      <c r="K31" s="42" t="str">
        <f t="shared" si="5"/>
        <v/>
      </c>
    </row>
    <row r="32" spans="1:11" x14ac:dyDescent="0.2">
      <c r="A32" t="str">
        <f>INDEX(Prioritization!$D:$D,MATCH($B32,Prioritization!$A:$A,0))</f>
        <v>INVALID</v>
      </c>
      <c r="B32" t="s">
        <v>201</v>
      </c>
      <c r="C32" t="s">
        <v>47</v>
      </c>
      <c r="D32" t="str">
        <f t="shared" si="0"/>
        <v>Ntchisi District [fiRkU6gEjLz]|Male</v>
      </c>
      <c r="E32" s="42"/>
      <c r="F32" s="14"/>
      <c r="G32" s="90" t="str">
        <f t="shared" si="1"/>
        <v/>
      </c>
      <c r="H32" s="90" t="str">
        <f t="shared" si="2"/>
        <v/>
      </c>
      <c r="I32" s="90" t="str">
        <f t="shared" si="3"/>
        <v/>
      </c>
      <c r="J32" s="42" t="str">
        <f t="shared" si="4"/>
        <v/>
      </c>
      <c r="K32" s="42" t="str">
        <f t="shared" si="5"/>
        <v/>
      </c>
    </row>
    <row r="33" spans="1:11" x14ac:dyDescent="0.2">
      <c r="A33" t="str">
        <f>INDEX(Prioritization!$D:$D,MATCH($B33,Prioritization!$A:$A,0))</f>
        <v>INVALID</v>
      </c>
      <c r="B33" t="s">
        <v>202</v>
      </c>
      <c r="C33" t="s">
        <v>29</v>
      </c>
      <c r="D33" t="str">
        <f t="shared" si="0"/>
        <v>Salima District [msW2zpIN7up]|Female</v>
      </c>
      <c r="E33" s="42"/>
      <c r="F33" s="14"/>
      <c r="G33" s="90" t="str">
        <f t="shared" si="1"/>
        <v/>
      </c>
      <c r="H33" s="90" t="str">
        <f t="shared" si="2"/>
        <v/>
      </c>
      <c r="I33" s="90" t="str">
        <f t="shared" si="3"/>
        <v/>
      </c>
      <c r="J33" s="42" t="str">
        <f t="shared" si="4"/>
        <v/>
      </c>
      <c r="K33" s="42" t="str">
        <f t="shared" si="5"/>
        <v/>
      </c>
    </row>
    <row r="34" spans="1:11" x14ac:dyDescent="0.2">
      <c r="A34" t="str">
        <f>INDEX(Prioritization!$D:$D,MATCH($B34,Prioritization!$A:$A,0))</f>
        <v>INVALID</v>
      </c>
      <c r="B34" t="s">
        <v>202</v>
      </c>
      <c r="C34" t="s">
        <v>47</v>
      </c>
      <c r="D34" t="str">
        <f t="shared" si="0"/>
        <v>Salima District [msW2zpIN7up]|Male</v>
      </c>
      <c r="E34" s="42"/>
      <c r="F34" s="14"/>
      <c r="G34" s="90" t="str">
        <f t="shared" si="1"/>
        <v/>
      </c>
      <c r="H34" s="90" t="str">
        <f t="shared" si="2"/>
        <v/>
      </c>
      <c r="I34" s="90" t="str">
        <f t="shared" si="3"/>
        <v/>
      </c>
      <c r="J34" s="42" t="str">
        <f t="shared" si="4"/>
        <v/>
      </c>
      <c r="K34" s="42" t="str">
        <f t="shared" si="5"/>
        <v/>
      </c>
    </row>
    <row r="35" spans="1:11" x14ac:dyDescent="0.2">
      <c r="A35" t="str">
        <f>INDEX(Prioritization!$D:$D,MATCH($B35,Prioritization!$A:$A,0))</f>
        <v>1 - Scale-up: Saturation</v>
      </c>
      <c r="B35" t="s">
        <v>203</v>
      </c>
      <c r="C35" t="s">
        <v>29</v>
      </c>
      <c r="D35" t="str">
        <f t="shared" si="0"/>
        <v>Chitipa District [GkIwZrXy1h2]|Female</v>
      </c>
      <c r="E35" s="42"/>
      <c r="F35" s="14"/>
      <c r="G35" s="90" t="str">
        <f t="shared" si="1"/>
        <v/>
      </c>
      <c r="H35" s="90" t="str">
        <f t="shared" si="2"/>
        <v/>
      </c>
      <c r="I35" s="90" t="str">
        <f t="shared" si="3"/>
        <v/>
      </c>
      <c r="J35" s="42" t="str">
        <f t="shared" si="4"/>
        <v/>
      </c>
      <c r="K35" s="42" t="str">
        <f t="shared" si="5"/>
        <v/>
      </c>
    </row>
    <row r="36" spans="1:11" x14ac:dyDescent="0.2">
      <c r="A36" t="str">
        <f>INDEX(Prioritization!$D:$D,MATCH($B36,Prioritization!$A:$A,0))</f>
        <v>1 - Scale-up: Saturation</v>
      </c>
      <c r="B36" t="s">
        <v>203</v>
      </c>
      <c r="C36" t="s">
        <v>47</v>
      </c>
      <c r="D36" t="str">
        <f t="shared" si="0"/>
        <v>Chitipa District [GkIwZrXy1h2]|Male</v>
      </c>
      <c r="E36" s="42"/>
      <c r="F36" s="14"/>
      <c r="G36" s="90" t="str">
        <f t="shared" si="1"/>
        <v/>
      </c>
      <c r="H36" s="90" t="str">
        <f t="shared" si="2"/>
        <v/>
      </c>
      <c r="I36" s="90" t="str">
        <f t="shared" si="3"/>
        <v/>
      </c>
      <c r="J36" s="42" t="str">
        <f t="shared" si="4"/>
        <v/>
      </c>
      <c r="K36" s="42" t="str">
        <f t="shared" si="5"/>
        <v/>
      </c>
    </row>
    <row r="37" spans="1:11" x14ac:dyDescent="0.2">
      <c r="A37" t="str">
        <f>INDEX(Prioritization!$D:$D,MATCH($B37,Prioritization!$A:$A,0))</f>
        <v>INVALID</v>
      </c>
      <c r="B37" t="s">
        <v>204</v>
      </c>
      <c r="C37" t="s">
        <v>29</v>
      </c>
      <c r="D37" t="str">
        <f t="shared" si="0"/>
        <v>Karonga District [cPtvxaZqXIH]|Female</v>
      </c>
      <c r="E37" s="42"/>
      <c r="F37" s="14"/>
      <c r="G37" s="90" t="str">
        <f t="shared" si="1"/>
        <v/>
      </c>
      <c r="H37" s="90" t="str">
        <f t="shared" si="2"/>
        <v/>
      </c>
      <c r="I37" s="90" t="str">
        <f t="shared" si="3"/>
        <v/>
      </c>
      <c r="J37" s="42" t="str">
        <f t="shared" si="4"/>
        <v/>
      </c>
      <c r="K37" s="42" t="str">
        <f t="shared" si="5"/>
        <v/>
      </c>
    </row>
    <row r="38" spans="1:11" x14ac:dyDescent="0.2">
      <c r="A38" t="str">
        <f>INDEX(Prioritization!$D:$D,MATCH($B38,Prioritization!$A:$A,0))</f>
        <v>INVALID</v>
      </c>
      <c r="B38" t="s">
        <v>204</v>
      </c>
      <c r="C38" t="s">
        <v>47</v>
      </c>
      <c r="D38" t="str">
        <f t="shared" si="0"/>
        <v>Karonga District [cPtvxaZqXIH]|Male</v>
      </c>
      <c r="E38" s="42"/>
      <c r="F38" s="14"/>
      <c r="G38" s="90" t="str">
        <f t="shared" si="1"/>
        <v/>
      </c>
      <c r="H38" s="90" t="str">
        <f t="shared" si="2"/>
        <v/>
      </c>
      <c r="I38" s="90" t="str">
        <f t="shared" si="3"/>
        <v/>
      </c>
      <c r="J38" s="42" t="str">
        <f t="shared" si="4"/>
        <v/>
      </c>
      <c r="K38" s="42" t="str">
        <f t="shared" si="5"/>
        <v/>
      </c>
    </row>
    <row r="39" spans="1:11" x14ac:dyDescent="0.2">
      <c r="A39" t="str">
        <f>INDEX(Prioritization!$D:$D,MATCH($B39,Prioritization!$A:$A,0))</f>
        <v>INVALID</v>
      </c>
      <c r="B39" t="s">
        <v>205</v>
      </c>
      <c r="C39" t="s">
        <v>29</v>
      </c>
      <c r="D39" t="str">
        <f t="shared" si="0"/>
        <v>Likoma District [ZCjuwgaMB9u]|Female</v>
      </c>
      <c r="E39" s="42"/>
      <c r="F39" s="14"/>
      <c r="G39" s="90" t="str">
        <f t="shared" si="1"/>
        <v/>
      </c>
      <c r="H39" s="90" t="str">
        <f t="shared" si="2"/>
        <v/>
      </c>
      <c r="I39" s="90" t="str">
        <f t="shared" si="3"/>
        <v/>
      </c>
      <c r="J39" s="42" t="str">
        <f t="shared" si="4"/>
        <v/>
      </c>
      <c r="K39" s="42" t="str">
        <f t="shared" si="5"/>
        <v/>
      </c>
    </row>
    <row r="40" spans="1:11" x14ac:dyDescent="0.2">
      <c r="A40" t="str">
        <f>INDEX(Prioritization!$D:$D,MATCH($B40,Prioritization!$A:$A,0))</f>
        <v>INVALID</v>
      </c>
      <c r="B40" t="s">
        <v>205</v>
      </c>
      <c r="C40" t="s">
        <v>47</v>
      </c>
      <c r="D40" t="str">
        <f t="shared" si="0"/>
        <v>Likoma District [ZCjuwgaMB9u]|Male</v>
      </c>
      <c r="E40" s="42"/>
      <c r="F40" s="14"/>
      <c r="G40" s="90" t="str">
        <f t="shared" si="1"/>
        <v/>
      </c>
      <c r="H40" s="90" t="str">
        <f t="shared" si="2"/>
        <v/>
      </c>
      <c r="I40" s="90" t="str">
        <f t="shared" si="3"/>
        <v/>
      </c>
      <c r="J40" s="42" t="str">
        <f t="shared" si="4"/>
        <v/>
      </c>
      <c r="K40" s="42" t="str">
        <f t="shared" si="5"/>
        <v/>
      </c>
    </row>
    <row r="41" spans="1:11" x14ac:dyDescent="0.2">
      <c r="A41" t="str">
        <f>INDEX(Prioritization!$D:$D,MATCH($B41,Prioritization!$A:$A,0))</f>
        <v>1 - Scale-up: Saturation</v>
      </c>
      <c r="B41" t="s">
        <v>206</v>
      </c>
      <c r="C41" t="s">
        <v>29</v>
      </c>
      <c r="D41" t="str">
        <f t="shared" si="0"/>
        <v>Mzimba District [vA4NcHxfMBq]|Female</v>
      </c>
      <c r="E41" s="42"/>
      <c r="F41" s="14"/>
      <c r="G41" s="90" t="str">
        <f t="shared" si="1"/>
        <v/>
      </c>
      <c r="H41" s="90" t="str">
        <f t="shared" si="2"/>
        <v/>
      </c>
      <c r="I41" s="90" t="str">
        <f t="shared" si="3"/>
        <v/>
      </c>
      <c r="J41" s="42" t="str">
        <f t="shared" si="4"/>
        <v/>
      </c>
      <c r="K41" s="42" t="str">
        <f t="shared" si="5"/>
        <v/>
      </c>
    </row>
    <row r="42" spans="1:11" x14ac:dyDescent="0.2">
      <c r="A42" t="str">
        <f>INDEX(Prioritization!$D:$D,MATCH($B42,Prioritization!$A:$A,0))</f>
        <v>1 - Scale-up: Saturation</v>
      </c>
      <c r="B42" t="s">
        <v>206</v>
      </c>
      <c r="C42" t="s">
        <v>47</v>
      </c>
      <c r="D42" t="str">
        <f t="shared" si="0"/>
        <v>Mzimba District [vA4NcHxfMBq]|Male</v>
      </c>
      <c r="E42" s="42"/>
      <c r="F42" s="14"/>
      <c r="G42" s="90" t="str">
        <f t="shared" si="1"/>
        <v/>
      </c>
      <c r="H42" s="90" t="str">
        <f t="shared" si="2"/>
        <v/>
      </c>
      <c r="I42" s="90" t="str">
        <f t="shared" si="3"/>
        <v/>
      </c>
      <c r="J42" s="42" t="str">
        <f t="shared" si="4"/>
        <v/>
      </c>
      <c r="K42" s="42" t="str">
        <f t="shared" si="5"/>
        <v/>
      </c>
    </row>
    <row r="43" spans="1:11" x14ac:dyDescent="0.2">
      <c r="A43" t="str">
        <f>INDEX(Prioritization!$D:$D,MATCH($B43,Prioritization!$A:$A,0))</f>
        <v>INVALID</v>
      </c>
      <c r="B43" t="s">
        <v>207</v>
      </c>
      <c r="C43" t="s">
        <v>29</v>
      </c>
      <c r="D43" t="str">
        <f t="shared" si="0"/>
        <v>Nkhata Bay District [E7zpfyBt7Tw]|Female</v>
      </c>
      <c r="E43" s="42"/>
      <c r="F43" s="14"/>
      <c r="G43" s="90" t="str">
        <f t="shared" si="1"/>
        <v/>
      </c>
      <c r="H43" s="90" t="str">
        <f t="shared" si="2"/>
        <v/>
      </c>
      <c r="I43" s="90" t="str">
        <f t="shared" si="3"/>
        <v/>
      </c>
      <c r="J43" s="42" t="str">
        <f t="shared" si="4"/>
        <v/>
      </c>
      <c r="K43" s="42" t="str">
        <f t="shared" si="5"/>
        <v/>
      </c>
    </row>
    <row r="44" spans="1:11" x14ac:dyDescent="0.2">
      <c r="A44" t="str">
        <f>INDEX(Prioritization!$D:$D,MATCH($B44,Prioritization!$A:$A,0))</f>
        <v>INVALID</v>
      </c>
      <c r="B44" t="s">
        <v>207</v>
      </c>
      <c r="C44" t="s">
        <v>47</v>
      </c>
      <c r="D44" t="str">
        <f t="shared" si="0"/>
        <v>Nkhata Bay District [E7zpfyBt7Tw]|Male</v>
      </c>
      <c r="E44" s="42"/>
      <c r="F44" s="14"/>
      <c r="G44" s="90" t="str">
        <f t="shared" si="1"/>
        <v/>
      </c>
      <c r="H44" s="90" t="str">
        <f t="shared" si="2"/>
        <v/>
      </c>
      <c r="I44" s="90" t="str">
        <f t="shared" si="3"/>
        <v/>
      </c>
      <c r="J44" s="42" t="str">
        <f t="shared" si="4"/>
        <v/>
      </c>
      <c r="K44" s="42" t="str">
        <f t="shared" si="5"/>
        <v/>
      </c>
    </row>
    <row r="45" spans="1:11" x14ac:dyDescent="0.2">
      <c r="A45" t="str">
        <f>INDEX(Prioritization!$D:$D,MATCH($B45,Prioritization!$A:$A,0))</f>
        <v>INVALID</v>
      </c>
      <c r="B45" t="s">
        <v>208</v>
      </c>
      <c r="C45" t="s">
        <v>29</v>
      </c>
      <c r="D45" t="str">
        <f t="shared" si="0"/>
        <v>Rumphi District [lPTyjLi4w3d]|Female</v>
      </c>
      <c r="E45" s="42"/>
      <c r="F45" s="14"/>
      <c r="G45" s="90" t="str">
        <f t="shared" si="1"/>
        <v/>
      </c>
      <c r="H45" s="90" t="str">
        <f t="shared" si="2"/>
        <v/>
      </c>
      <c r="I45" s="90" t="str">
        <f t="shared" si="3"/>
        <v/>
      </c>
      <c r="J45" s="42" t="str">
        <f t="shared" si="4"/>
        <v/>
      </c>
      <c r="K45" s="42" t="str">
        <f t="shared" si="5"/>
        <v/>
      </c>
    </row>
    <row r="46" spans="1:11" x14ac:dyDescent="0.2">
      <c r="A46" t="str">
        <f>INDEX(Prioritization!$D:$D,MATCH($B46,Prioritization!$A:$A,0))</f>
        <v>INVALID</v>
      </c>
      <c r="B46" t="s">
        <v>208</v>
      </c>
      <c r="C46" t="s">
        <v>47</v>
      </c>
      <c r="D46" t="str">
        <f t="shared" si="0"/>
        <v>Rumphi District [lPTyjLi4w3d]|Male</v>
      </c>
      <c r="E46" s="42"/>
      <c r="F46" s="14"/>
      <c r="G46" s="90" t="str">
        <f t="shared" si="1"/>
        <v/>
      </c>
      <c r="H46" s="90" t="str">
        <f t="shared" si="2"/>
        <v/>
      </c>
      <c r="I46" s="90" t="str">
        <f t="shared" si="3"/>
        <v/>
      </c>
      <c r="J46" s="42" t="str">
        <f t="shared" si="4"/>
        <v/>
      </c>
      <c r="K46" s="42" t="str">
        <f t="shared" si="5"/>
        <v/>
      </c>
    </row>
    <row r="47" spans="1:11" x14ac:dyDescent="0.2">
      <c r="A47" t="str">
        <f>INDEX(Prioritization!$D:$D,MATCH($B47,Prioritization!$A:$A,0))</f>
        <v>1 - Scale-up: Saturation</v>
      </c>
      <c r="B47" t="s">
        <v>209</v>
      </c>
      <c r="C47" t="s">
        <v>29</v>
      </c>
      <c r="D47" t="str">
        <f t="shared" ref="D47:D78" si="6">B47&amp;"|"&amp;C47</f>
        <v>Balaka District [ir8wuHHzoSs]|Female</v>
      </c>
      <c r="E47" s="42"/>
      <c r="F47" s="14"/>
      <c r="G47" s="90" t="str">
        <f t="shared" ref="G47:G72" si="7">IF(SUM($E47,$F47)=0,"",SUM($F47)/IF(SUM($E47)=0,SUM($F47),$E47))</f>
        <v/>
      </c>
      <c r="H47" s="90" t="str">
        <f t="shared" ref="H47:H72" si="8">IF(SUM($G47)=0,"",$G47)</f>
        <v/>
      </c>
      <c r="I47" s="90" t="str">
        <f t="shared" ref="I47:I72" si="9">IF(SUM($F47)=0,"",0%)</f>
        <v/>
      </c>
      <c r="J47" s="42" t="str">
        <f t="shared" ref="J47:J72" si="10">IF(SUM($F47)=0,"",ROUND($F47*(1+SUM($I47)),0))</f>
        <v/>
      </c>
      <c r="K47" s="42" t="str">
        <f t="shared" ref="K47:K72" si="11">IF(SUM($J47)=0,IF(SUM($E47)=0,"",$E47),ROUND($J47/IF(OR(SUM($H47)=0,$H47&gt;1),1,$H47),0))</f>
        <v/>
      </c>
    </row>
    <row r="48" spans="1:11" x14ac:dyDescent="0.2">
      <c r="A48" t="str">
        <f>INDEX(Prioritization!$D:$D,MATCH($B48,Prioritization!$A:$A,0))</f>
        <v>1 - Scale-up: Saturation</v>
      </c>
      <c r="B48" t="s">
        <v>209</v>
      </c>
      <c r="C48" t="s">
        <v>47</v>
      </c>
      <c r="D48" t="str">
        <f t="shared" si="6"/>
        <v>Balaka District [ir8wuHHzoSs]|Male</v>
      </c>
      <c r="E48" s="42"/>
      <c r="F48" s="14"/>
      <c r="G48" s="90" t="str">
        <f t="shared" si="7"/>
        <v/>
      </c>
      <c r="H48" s="90" t="str">
        <f t="shared" si="8"/>
        <v/>
      </c>
      <c r="I48" s="90" t="str">
        <f t="shared" si="9"/>
        <v/>
      </c>
      <c r="J48" s="42" t="str">
        <f t="shared" si="10"/>
        <v/>
      </c>
      <c r="K48" s="42" t="str">
        <f t="shared" si="11"/>
        <v/>
      </c>
    </row>
    <row r="49" spans="1:11" x14ac:dyDescent="0.2">
      <c r="A49" t="str">
        <f>INDEX(Prioritization!$D:$D,MATCH($B49,Prioritization!$A:$A,0))</f>
        <v>1 - Scale-up: Saturation</v>
      </c>
      <c r="B49" t="s">
        <v>210</v>
      </c>
      <c r="C49" t="s">
        <v>29</v>
      </c>
      <c r="D49" t="str">
        <f t="shared" si="6"/>
        <v>Blantyre District [mxqa3CDFmIT]|Female</v>
      </c>
      <c r="E49" s="42"/>
      <c r="F49" s="14"/>
      <c r="G49" s="90" t="str">
        <f t="shared" si="7"/>
        <v/>
      </c>
      <c r="H49" s="90" t="str">
        <f t="shared" si="8"/>
        <v/>
      </c>
      <c r="I49" s="90" t="str">
        <f t="shared" si="9"/>
        <v/>
      </c>
      <c r="J49" s="42" t="str">
        <f t="shared" si="10"/>
        <v/>
      </c>
      <c r="K49" s="42" t="str">
        <f t="shared" si="11"/>
        <v/>
      </c>
    </row>
    <row r="50" spans="1:11" x14ac:dyDescent="0.2">
      <c r="A50" t="str">
        <f>INDEX(Prioritization!$D:$D,MATCH($B50,Prioritization!$A:$A,0))</f>
        <v>1 - Scale-up: Saturation</v>
      </c>
      <c r="B50" t="s">
        <v>210</v>
      </c>
      <c r="C50" t="s">
        <v>47</v>
      </c>
      <c r="D50" t="str">
        <f t="shared" si="6"/>
        <v>Blantyre District [mxqa3CDFmIT]|Male</v>
      </c>
      <c r="E50" s="42"/>
      <c r="F50" s="14"/>
      <c r="G50" s="90" t="str">
        <f t="shared" si="7"/>
        <v/>
      </c>
      <c r="H50" s="90" t="str">
        <f t="shared" si="8"/>
        <v/>
      </c>
      <c r="I50" s="90" t="str">
        <f t="shared" si="9"/>
        <v/>
      </c>
      <c r="J50" s="42" t="str">
        <f t="shared" si="10"/>
        <v/>
      </c>
      <c r="K50" s="42" t="str">
        <f t="shared" si="11"/>
        <v/>
      </c>
    </row>
    <row r="51" spans="1:11" x14ac:dyDescent="0.2">
      <c r="A51" t="str">
        <f>INDEX(Prioritization!$D:$D,MATCH($B51,Prioritization!$A:$A,0))</f>
        <v>1 - Scale-up: Saturation</v>
      </c>
      <c r="B51" t="s">
        <v>211</v>
      </c>
      <c r="C51" t="s">
        <v>29</v>
      </c>
      <c r="D51" t="str">
        <f t="shared" si="6"/>
        <v>Chikwawa District [U8c0so51kT6]|Female</v>
      </c>
      <c r="E51" s="42"/>
      <c r="F51" s="14"/>
      <c r="G51" s="90" t="str">
        <f t="shared" si="7"/>
        <v/>
      </c>
      <c r="H51" s="90" t="str">
        <f t="shared" si="8"/>
        <v/>
      </c>
      <c r="I51" s="90" t="str">
        <f t="shared" si="9"/>
        <v/>
      </c>
      <c r="J51" s="42" t="str">
        <f t="shared" si="10"/>
        <v/>
      </c>
      <c r="K51" s="42" t="str">
        <f t="shared" si="11"/>
        <v/>
      </c>
    </row>
    <row r="52" spans="1:11" x14ac:dyDescent="0.2">
      <c r="A52" t="str">
        <f>INDEX(Prioritization!$D:$D,MATCH($B52,Prioritization!$A:$A,0))</f>
        <v>1 - Scale-up: Saturation</v>
      </c>
      <c r="B52" t="s">
        <v>211</v>
      </c>
      <c r="C52" t="s">
        <v>47</v>
      </c>
      <c r="D52" t="str">
        <f t="shared" si="6"/>
        <v>Chikwawa District [U8c0so51kT6]|Male</v>
      </c>
      <c r="E52" s="42"/>
      <c r="F52" s="14"/>
      <c r="G52" s="90" t="str">
        <f t="shared" si="7"/>
        <v/>
      </c>
      <c r="H52" s="90" t="str">
        <f t="shared" si="8"/>
        <v/>
      </c>
      <c r="I52" s="90" t="str">
        <f t="shared" si="9"/>
        <v/>
      </c>
      <c r="J52" s="42" t="str">
        <f t="shared" si="10"/>
        <v/>
      </c>
      <c r="K52" s="42" t="str">
        <f t="shared" si="11"/>
        <v/>
      </c>
    </row>
    <row r="53" spans="1:11" x14ac:dyDescent="0.2">
      <c r="A53" t="str">
        <f>INDEX(Prioritization!$D:$D,MATCH($B53,Prioritization!$A:$A,0))</f>
        <v>1 - Scale-up: Saturation</v>
      </c>
      <c r="B53" t="s">
        <v>212</v>
      </c>
      <c r="C53" t="s">
        <v>29</v>
      </c>
      <c r="D53" t="str">
        <f t="shared" si="6"/>
        <v>Chiradzulu District [oiPR2CiVJbf]|Female</v>
      </c>
      <c r="E53" s="42"/>
      <c r="F53" s="14"/>
      <c r="G53" s="90" t="str">
        <f t="shared" si="7"/>
        <v/>
      </c>
      <c r="H53" s="90" t="str">
        <f t="shared" si="8"/>
        <v/>
      </c>
      <c r="I53" s="90" t="str">
        <f t="shared" si="9"/>
        <v/>
      </c>
      <c r="J53" s="42" t="str">
        <f t="shared" si="10"/>
        <v/>
      </c>
      <c r="K53" s="42" t="str">
        <f t="shared" si="11"/>
        <v/>
      </c>
    </row>
    <row r="54" spans="1:11" x14ac:dyDescent="0.2">
      <c r="A54" t="str">
        <f>INDEX(Prioritization!$D:$D,MATCH($B54,Prioritization!$A:$A,0))</f>
        <v>1 - Scale-up: Saturation</v>
      </c>
      <c r="B54" t="s">
        <v>212</v>
      </c>
      <c r="C54" t="s">
        <v>47</v>
      </c>
      <c r="D54" t="str">
        <f t="shared" si="6"/>
        <v>Chiradzulu District [oiPR2CiVJbf]|Male</v>
      </c>
      <c r="E54" s="42"/>
      <c r="F54" s="14"/>
      <c r="G54" s="90" t="str">
        <f t="shared" si="7"/>
        <v/>
      </c>
      <c r="H54" s="90" t="str">
        <f t="shared" si="8"/>
        <v/>
      </c>
      <c r="I54" s="90" t="str">
        <f t="shared" si="9"/>
        <v/>
      </c>
      <c r="J54" s="42" t="str">
        <f t="shared" si="10"/>
        <v/>
      </c>
      <c r="K54" s="42" t="str">
        <f t="shared" si="11"/>
        <v/>
      </c>
    </row>
    <row r="55" spans="1:11" x14ac:dyDescent="0.2">
      <c r="A55" t="str">
        <f>INDEX(Prioritization!$D:$D,MATCH($B55,Prioritization!$A:$A,0))</f>
        <v>1 - Scale-up: Saturation</v>
      </c>
      <c r="B55" t="s">
        <v>213</v>
      </c>
      <c r="C55" t="s">
        <v>29</v>
      </c>
      <c r="D55" t="str">
        <f t="shared" si="6"/>
        <v>Machinga District [TYnMSwzko3z]|Female</v>
      </c>
      <c r="E55" s="42"/>
      <c r="F55" s="14"/>
      <c r="G55" s="90" t="str">
        <f t="shared" si="7"/>
        <v/>
      </c>
      <c r="H55" s="90" t="str">
        <f t="shared" si="8"/>
        <v/>
      </c>
      <c r="I55" s="90" t="str">
        <f t="shared" si="9"/>
        <v/>
      </c>
      <c r="J55" s="42" t="str">
        <f t="shared" si="10"/>
        <v/>
      </c>
      <c r="K55" s="42" t="str">
        <f t="shared" si="11"/>
        <v/>
      </c>
    </row>
    <row r="56" spans="1:11" x14ac:dyDescent="0.2">
      <c r="A56" t="str">
        <f>INDEX(Prioritization!$D:$D,MATCH($B56,Prioritization!$A:$A,0))</f>
        <v>1 - Scale-up: Saturation</v>
      </c>
      <c r="B56" t="s">
        <v>213</v>
      </c>
      <c r="C56" t="s">
        <v>47</v>
      </c>
      <c r="D56" t="str">
        <f t="shared" si="6"/>
        <v>Machinga District [TYnMSwzko3z]|Male</v>
      </c>
      <c r="E56" s="42"/>
      <c r="F56" s="14"/>
      <c r="G56" s="90" t="str">
        <f t="shared" si="7"/>
        <v/>
      </c>
      <c r="H56" s="90" t="str">
        <f t="shared" si="8"/>
        <v/>
      </c>
      <c r="I56" s="90" t="str">
        <f t="shared" si="9"/>
        <v/>
      </c>
      <c r="J56" s="42" t="str">
        <f t="shared" si="10"/>
        <v/>
      </c>
      <c r="K56" s="42" t="str">
        <f t="shared" si="11"/>
        <v/>
      </c>
    </row>
    <row r="57" spans="1:11" x14ac:dyDescent="0.2">
      <c r="A57" t="str">
        <f>INDEX(Prioritization!$D:$D,MATCH($B57,Prioritization!$A:$A,0))</f>
        <v>INVALID</v>
      </c>
      <c r="B57" t="s">
        <v>214</v>
      </c>
      <c r="C57" t="s">
        <v>29</v>
      </c>
      <c r="D57" t="str">
        <f t="shared" si="6"/>
        <v>Mangochi District [lLDyBx5XyUi]|Female</v>
      </c>
      <c r="E57" s="42"/>
      <c r="F57" s="14"/>
      <c r="G57" s="90" t="str">
        <f t="shared" si="7"/>
        <v/>
      </c>
      <c r="H57" s="90" t="str">
        <f t="shared" si="8"/>
        <v/>
      </c>
      <c r="I57" s="90" t="str">
        <f t="shared" si="9"/>
        <v/>
      </c>
      <c r="J57" s="42" t="str">
        <f t="shared" si="10"/>
        <v/>
      </c>
      <c r="K57" s="42" t="str">
        <f t="shared" si="11"/>
        <v/>
      </c>
    </row>
    <row r="58" spans="1:11" x14ac:dyDescent="0.2">
      <c r="A58" t="str">
        <f>INDEX(Prioritization!$D:$D,MATCH($B58,Prioritization!$A:$A,0))</f>
        <v>INVALID</v>
      </c>
      <c r="B58" t="s">
        <v>214</v>
      </c>
      <c r="C58" t="s">
        <v>47</v>
      </c>
      <c r="D58" t="str">
        <f t="shared" si="6"/>
        <v>Mangochi District [lLDyBx5XyUi]|Male</v>
      </c>
      <c r="E58" s="42"/>
      <c r="F58" s="14"/>
      <c r="G58" s="90" t="str">
        <f t="shared" si="7"/>
        <v/>
      </c>
      <c r="H58" s="90" t="str">
        <f t="shared" si="8"/>
        <v/>
      </c>
      <c r="I58" s="90" t="str">
        <f t="shared" si="9"/>
        <v/>
      </c>
      <c r="J58" s="42" t="str">
        <f t="shared" si="10"/>
        <v/>
      </c>
      <c r="K58" s="42" t="str">
        <f t="shared" si="11"/>
        <v/>
      </c>
    </row>
    <row r="59" spans="1:11" x14ac:dyDescent="0.2">
      <c r="A59" t="str">
        <f>INDEX(Prioritization!$D:$D,MATCH($B59,Prioritization!$A:$A,0))</f>
        <v>INVALID</v>
      </c>
      <c r="B59" t="s">
        <v>215</v>
      </c>
      <c r="C59" t="s">
        <v>29</v>
      </c>
      <c r="D59" t="str">
        <f t="shared" si="6"/>
        <v>Mulanje District [umc2n1Z4wNv]|Female</v>
      </c>
      <c r="E59" s="42"/>
      <c r="F59" s="14"/>
      <c r="G59" s="90" t="str">
        <f t="shared" si="7"/>
        <v/>
      </c>
      <c r="H59" s="90" t="str">
        <f t="shared" si="8"/>
        <v/>
      </c>
      <c r="I59" s="90" t="str">
        <f t="shared" si="9"/>
        <v/>
      </c>
      <c r="J59" s="42" t="str">
        <f t="shared" si="10"/>
        <v/>
      </c>
      <c r="K59" s="42" t="str">
        <f t="shared" si="11"/>
        <v/>
      </c>
    </row>
    <row r="60" spans="1:11" x14ac:dyDescent="0.2">
      <c r="A60" t="str">
        <f>INDEX(Prioritization!$D:$D,MATCH($B60,Prioritization!$A:$A,0))</f>
        <v>INVALID</v>
      </c>
      <c r="B60" t="s">
        <v>215</v>
      </c>
      <c r="C60" t="s">
        <v>47</v>
      </c>
      <c r="D60" t="str">
        <f t="shared" si="6"/>
        <v>Mulanje District [umc2n1Z4wNv]|Male</v>
      </c>
      <c r="E60" s="42"/>
      <c r="F60" s="14"/>
      <c r="G60" s="90" t="str">
        <f t="shared" si="7"/>
        <v/>
      </c>
      <c r="H60" s="90" t="str">
        <f t="shared" si="8"/>
        <v/>
      </c>
      <c r="I60" s="90" t="str">
        <f t="shared" si="9"/>
        <v/>
      </c>
      <c r="J60" s="42" t="str">
        <f t="shared" si="10"/>
        <v/>
      </c>
      <c r="K60" s="42" t="str">
        <f t="shared" si="11"/>
        <v/>
      </c>
    </row>
    <row r="61" spans="1:11" x14ac:dyDescent="0.2">
      <c r="A61" t="str">
        <f>INDEX(Prioritization!$D:$D,MATCH($B61,Prioritization!$A:$A,0))</f>
        <v>INVALID</v>
      </c>
      <c r="B61" t="s">
        <v>216</v>
      </c>
      <c r="C61" t="s">
        <v>29</v>
      </c>
      <c r="D61" t="str">
        <f t="shared" si="6"/>
        <v>Mwanza District [wNqJp8oRIcF]|Female</v>
      </c>
      <c r="E61" s="42"/>
      <c r="F61" s="14"/>
      <c r="G61" s="90" t="str">
        <f t="shared" si="7"/>
        <v/>
      </c>
      <c r="H61" s="90" t="str">
        <f t="shared" si="8"/>
        <v/>
      </c>
      <c r="I61" s="90" t="str">
        <f t="shared" si="9"/>
        <v/>
      </c>
      <c r="J61" s="42" t="str">
        <f t="shared" si="10"/>
        <v/>
      </c>
      <c r="K61" s="42" t="str">
        <f t="shared" si="11"/>
        <v/>
      </c>
    </row>
    <row r="62" spans="1:11" x14ac:dyDescent="0.2">
      <c r="A62" t="str">
        <f>INDEX(Prioritization!$D:$D,MATCH($B62,Prioritization!$A:$A,0))</f>
        <v>INVALID</v>
      </c>
      <c r="B62" t="s">
        <v>216</v>
      </c>
      <c r="C62" t="s">
        <v>47</v>
      </c>
      <c r="D62" t="str">
        <f t="shared" si="6"/>
        <v>Mwanza District [wNqJp8oRIcF]|Male</v>
      </c>
      <c r="E62" s="42"/>
      <c r="F62" s="14"/>
      <c r="G62" s="90" t="str">
        <f t="shared" si="7"/>
        <v/>
      </c>
      <c r="H62" s="90" t="str">
        <f t="shared" si="8"/>
        <v/>
      </c>
      <c r="I62" s="90" t="str">
        <f t="shared" si="9"/>
        <v/>
      </c>
      <c r="J62" s="42" t="str">
        <f t="shared" si="10"/>
        <v/>
      </c>
      <c r="K62" s="42" t="str">
        <f t="shared" si="11"/>
        <v/>
      </c>
    </row>
    <row r="63" spans="1:11" x14ac:dyDescent="0.2">
      <c r="A63" t="str">
        <f>INDEX(Prioritization!$D:$D,MATCH($B63,Prioritization!$A:$A,0))</f>
        <v>INVALID</v>
      </c>
      <c r="B63" t="s">
        <v>217</v>
      </c>
      <c r="C63" t="s">
        <v>29</v>
      </c>
      <c r="D63" t="str">
        <f t="shared" si="6"/>
        <v>Neno District [gwVYinjBAe9]|Female</v>
      </c>
      <c r="E63" s="42"/>
      <c r="F63" s="14"/>
      <c r="G63" s="90" t="str">
        <f t="shared" si="7"/>
        <v/>
      </c>
      <c r="H63" s="90" t="str">
        <f t="shared" si="8"/>
        <v/>
      </c>
      <c r="I63" s="90" t="str">
        <f t="shared" si="9"/>
        <v/>
      </c>
      <c r="J63" s="42" t="str">
        <f t="shared" si="10"/>
        <v/>
      </c>
      <c r="K63" s="42" t="str">
        <f t="shared" si="11"/>
        <v/>
      </c>
    </row>
    <row r="64" spans="1:11" x14ac:dyDescent="0.2">
      <c r="A64" t="str">
        <f>INDEX(Prioritization!$D:$D,MATCH($B64,Prioritization!$A:$A,0))</f>
        <v>INVALID</v>
      </c>
      <c r="B64" t="s">
        <v>217</v>
      </c>
      <c r="C64" t="s">
        <v>47</v>
      </c>
      <c r="D64" t="str">
        <f t="shared" si="6"/>
        <v>Neno District [gwVYinjBAe9]|Male</v>
      </c>
      <c r="E64" s="42"/>
      <c r="F64" s="14"/>
      <c r="G64" s="90" t="str">
        <f t="shared" si="7"/>
        <v/>
      </c>
      <c r="H64" s="90" t="str">
        <f t="shared" si="8"/>
        <v/>
      </c>
      <c r="I64" s="90" t="str">
        <f t="shared" si="9"/>
        <v/>
      </c>
      <c r="J64" s="42" t="str">
        <f t="shared" si="10"/>
        <v/>
      </c>
      <c r="K64" s="42" t="str">
        <f t="shared" si="11"/>
        <v/>
      </c>
    </row>
    <row r="65" spans="1:11" x14ac:dyDescent="0.2">
      <c r="A65" t="str">
        <f>INDEX(Prioritization!$D:$D,MATCH($B65,Prioritization!$A:$A,0))</f>
        <v>INVALID</v>
      </c>
      <c r="B65" t="s">
        <v>218</v>
      </c>
      <c r="C65" t="s">
        <v>29</v>
      </c>
      <c r="D65" t="str">
        <f t="shared" si="6"/>
        <v>Nsanje District [rpw540fmNUz]|Female</v>
      </c>
      <c r="E65" s="42"/>
      <c r="F65" s="14"/>
      <c r="G65" s="90" t="str">
        <f t="shared" si="7"/>
        <v/>
      </c>
      <c r="H65" s="90" t="str">
        <f t="shared" si="8"/>
        <v/>
      </c>
      <c r="I65" s="90" t="str">
        <f t="shared" si="9"/>
        <v/>
      </c>
      <c r="J65" s="42" t="str">
        <f t="shared" si="10"/>
        <v/>
      </c>
      <c r="K65" s="42" t="str">
        <f t="shared" si="11"/>
        <v/>
      </c>
    </row>
    <row r="66" spans="1:11" x14ac:dyDescent="0.2">
      <c r="A66" t="str">
        <f>INDEX(Prioritization!$D:$D,MATCH($B66,Prioritization!$A:$A,0))</f>
        <v>INVALID</v>
      </c>
      <c r="B66" t="s">
        <v>218</v>
      </c>
      <c r="C66" t="s">
        <v>47</v>
      </c>
      <c r="D66" t="str">
        <f t="shared" si="6"/>
        <v>Nsanje District [rpw540fmNUz]|Male</v>
      </c>
      <c r="E66" s="42"/>
      <c r="F66" s="14"/>
      <c r="G66" s="90" t="str">
        <f t="shared" si="7"/>
        <v/>
      </c>
      <c r="H66" s="90" t="str">
        <f t="shared" si="8"/>
        <v/>
      </c>
      <c r="I66" s="90" t="str">
        <f t="shared" si="9"/>
        <v/>
      </c>
      <c r="J66" s="42" t="str">
        <f t="shared" si="10"/>
        <v/>
      </c>
      <c r="K66" s="42" t="str">
        <f t="shared" si="11"/>
        <v/>
      </c>
    </row>
    <row r="67" spans="1:11" x14ac:dyDescent="0.2">
      <c r="A67" t="str">
        <f>INDEX(Prioritization!$D:$D,MATCH($B67,Prioritization!$A:$A,0))</f>
        <v>INVALID</v>
      </c>
      <c r="B67" t="s">
        <v>219</v>
      </c>
      <c r="C67" t="s">
        <v>29</v>
      </c>
      <c r="D67" t="str">
        <f t="shared" si="6"/>
        <v>Phalombe District [AZyWpGzhcaA]|Female</v>
      </c>
      <c r="E67" s="42"/>
      <c r="F67" s="14"/>
      <c r="G67" s="90" t="str">
        <f t="shared" si="7"/>
        <v/>
      </c>
      <c r="H67" s="90" t="str">
        <f t="shared" si="8"/>
        <v/>
      </c>
      <c r="I67" s="90" t="str">
        <f t="shared" si="9"/>
        <v/>
      </c>
      <c r="J67" s="42" t="str">
        <f t="shared" si="10"/>
        <v/>
      </c>
      <c r="K67" s="42" t="str">
        <f t="shared" si="11"/>
        <v/>
      </c>
    </row>
    <row r="68" spans="1:11" x14ac:dyDescent="0.2">
      <c r="A68" t="str">
        <f>INDEX(Prioritization!$D:$D,MATCH($B68,Prioritization!$A:$A,0))</f>
        <v>INVALID</v>
      </c>
      <c r="B68" t="s">
        <v>219</v>
      </c>
      <c r="C68" t="s">
        <v>47</v>
      </c>
      <c r="D68" t="str">
        <f t="shared" si="6"/>
        <v>Phalombe District [AZyWpGzhcaA]|Male</v>
      </c>
      <c r="E68" s="42"/>
      <c r="F68" s="14"/>
      <c r="G68" s="90" t="str">
        <f t="shared" si="7"/>
        <v/>
      </c>
      <c r="H68" s="90" t="str">
        <f t="shared" si="8"/>
        <v/>
      </c>
      <c r="I68" s="90" t="str">
        <f t="shared" si="9"/>
        <v/>
      </c>
      <c r="J68" s="42" t="str">
        <f t="shared" si="10"/>
        <v/>
      </c>
      <c r="K68" s="42" t="str">
        <f t="shared" si="11"/>
        <v/>
      </c>
    </row>
    <row r="69" spans="1:11" x14ac:dyDescent="0.2">
      <c r="A69" t="str">
        <f>INDEX(Prioritization!$D:$D,MATCH($B69,Prioritization!$A:$A,0))</f>
        <v>1 - Scale-up: Saturation</v>
      </c>
      <c r="B69" t="s">
        <v>220</v>
      </c>
      <c r="C69" t="s">
        <v>29</v>
      </c>
      <c r="D69" t="str">
        <f t="shared" si="6"/>
        <v>Thyolo District [ul0y9diGujK]|Female</v>
      </c>
      <c r="E69" s="42"/>
      <c r="F69" s="14"/>
      <c r="G69" s="90" t="str">
        <f t="shared" si="7"/>
        <v/>
      </c>
      <c r="H69" s="90" t="str">
        <f t="shared" si="8"/>
        <v/>
      </c>
      <c r="I69" s="90" t="str">
        <f t="shared" si="9"/>
        <v/>
      </c>
      <c r="J69" s="42" t="str">
        <f t="shared" si="10"/>
        <v/>
      </c>
      <c r="K69" s="42" t="str">
        <f t="shared" si="11"/>
        <v/>
      </c>
    </row>
    <row r="70" spans="1:11" x14ac:dyDescent="0.2">
      <c r="A70" t="str">
        <f>INDEX(Prioritization!$D:$D,MATCH($B70,Prioritization!$A:$A,0))</f>
        <v>1 - Scale-up: Saturation</v>
      </c>
      <c r="B70" t="s">
        <v>220</v>
      </c>
      <c r="C70" t="s">
        <v>47</v>
      </c>
      <c r="D70" t="str">
        <f t="shared" si="6"/>
        <v>Thyolo District [ul0y9diGujK]|Male</v>
      </c>
      <c r="E70" s="42"/>
      <c r="F70" s="14"/>
      <c r="G70" s="90" t="str">
        <f t="shared" si="7"/>
        <v/>
      </c>
      <c r="H70" s="90" t="str">
        <f t="shared" si="8"/>
        <v/>
      </c>
      <c r="I70" s="90" t="str">
        <f t="shared" si="9"/>
        <v/>
      </c>
      <c r="J70" s="42" t="str">
        <f t="shared" si="10"/>
        <v/>
      </c>
      <c r="K70" s="42" t="str">
        <f t="shared" si="11"/>
        <v/>
      </c>
    </row>
    <row r="71" spans="1:11" x14ac:dyDescent="0.2">
      <c r="A71" t="str">
        <f>INDEX(Prioritization!$D:$D,MATCH($B71,Prioritization!$A:$A,0))</f>
        <v>1 - Scale-up: Saturation</v>
      </c>
      <c r="B71" t="s">
        <v>221</v>
      </c>
      <c r="C71" t="s">
        <v>29</v>
      </c>
      <c r="D71" t="str">
        <f t="shared" si="6"/>
        <v>Zomba District [fyEoGEPERdI]|Female</v>
      </c>
      <c r="E71" s="42"/>
      <c r="F71" s="14"/>
      <c r="G71" s="90" t="str">
        <f t="shared" si="7"/>
        <v/>
      </c>
      <c r="H71" s="90" t="str">
        <f t="shared" si="8"/>
        <v/>
      </c>
      <c r="I71" s="90" t="str">
        <f t="shared" si="9"/>
        <v/>
      </c>
      <c r="J71" s="42" t="str">
        <f t="shared" si="10"/>
        <v/>
      </c>
      <c r="K71" s="42" t="str">
        <f t="shared" si="11"/>
        <v/>
      </c>
    </row>
    <row r="72" spans="1:11" x14ac:dyDescent="0.2">
      <c r="A72" t="str">
        <f>INDEX(Prioritization!$D:$D,MATCH($B72,Prioritization!$A:$A,0))</f>
        <v>1 - Scale-up: Saturation</v>
      </c>
      <c r="B72" t="s">
        <v>221</v>
      </c>
      <c r="C72" t="s">
        <v>47</v>
      </c>
      <c r="D72" t="str">
        <f t="shared" si="6"/>
        <v>Zomba District [fyEoGEPERdI]|Male</v>
      </c>
      <c r="E72" s="42"/>
      <c r="F72" s="14"/>
      <c r="G72" s="90" t="str">
        <f t="shared" si="7"/>
        <v/>
      </c>
      <c r="H72" s="90" t="str">
        <f t="shared" si="8"/>
        <v/>
      </c>
      <c r="I72" s="90" t="str">
        <f t="shared" si="9"/>
        <v/>
      </c>
      <c r="J72" s="42" t="str">
        <f t="shared" si="10"/>
        <v/>
      </c>
      <c r="K72" s="42" t="str">
        <f t="shared" si="11"/>
        <v/>
      </c>
    </row>
  </sheetData>
  <conditionalFormatting sqref="E1:E1048576 G1:H1048576 K1:K1048576">
    <cfRule type="expression" dxfId="33" priority="2">
      <formula>LEFT($B1,4)="_Mil"</formula>
    </cfRule>
  </conditionalFormatting>
  <conditionalFormatting sqref="H1:H1048576">
    <cfRule type="expression" dxfId="32" priority="3">
      <formula>AND(ISNUMBER(H1),H1&lt;&gt;G1)</formula>
    </cfRule>
  </conditionalFormatting>
  <conditionalFormatting sqref="E1:H1048576 J1:K1048576">
    <cfRule type="expression" dxfId="31" priority="4">
      <formula>AND(ISNUMBER(E1),E1&lt;0)</formula>
    </cfRule>
  </conditionalFormatting>
  <conditionalFormatting sqref="G1:H1048576">
    <cfRule type="expression" dxfId="30" priority="5">
      <formula>AND(ISNUMBER(G1),G1&gt;1)</formula>
    </cfRule>
  </conditionalFormatting>
  <pageMargins left="0.7" right="0.7" top="0.75" bottom="0.75" header="0.511811023622047" footer="0.511811023622047"/>
  <pageSetup paperSize="9"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V63"/>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ColWidth="10.5" defaultRowHeight="16" x14ac:dyDescent="0.2"/>
  <cols>
    <col min="1" max="1" width="16.1640625" customWidth="1"/>
    <col min="2" max="2" width="30.83203125" customWidth="1"/>
    <col min="3" max="74" width="11.83203125" customWidth="1"/>
  </cols>
  <sheetData>
    <row r="1" spans="1:74" ht="30.75" customHeight="1" x14ac:dyDescent="0.2">
      <c r="A1" s="44" t="s">
        <v>1305</v>
      </c>
      <c r="B1" s="18"/>
      <c r="C1" s="45" t="s">
        <v>370</v>
      </c>
      <c r="D1" s="46"/>
      <c r="E1" s="179"/>
      <c r="F1" s="180"/>
      <c r="G1" s="46"/>
      <c r="H1" s="46"/>
      <c r="I1" s="46"/>
      <c r="J1" s="46"/>
      <c r="K1" s="45" t="s">
        <v>371</v>
      </c>
      <c r="L1" s="46"/>
      <c r="M1" s="179"/>
      <c r="N1" s="180"/>
      <c r="O1" s="46"/>
      <c r="P1" s="46"/>
      <c r="Q1" s="46"/>
      <c r="R1" s="46"/>
      <c r="S1" s="45" t="s">
        <v>241</v>
      </c>
      <c r="T1" s="179"/>
      <c r="U1" s="180"/>
      <c r="V1" s="46"/>
      <c r="W1" s="46"/>
      <c r="X1" s="46"/>
      <c r="Y1" s="46"/>
      <c r="Z1" s="45" t="s">
        <v>240</v>
      </c>
      <c r="AA1" s="179"/>
      <c r="AB1" s="180"/>
      <c r="AC1" s="46"/>
      <c r="AD1" s="46"/>
      <c r="AE1" s="46"/>
      <c r="AF1" s="46"/>
      <c r="AG1" s="45" t="s">
        <v>242</v>
      </c>
      <c r="AH1" s="179"/>
      <c r="AI1" s="180"/>
      <c r="AJ1" s="46"/>
      <c r="AK1" s="46"/>
      <c r="AL1" s="46"/>
      <c r="AM1" s="46"/>
      <c r="AN1" s="45" t="s">
        <v>243</v>
      </c>
      <c r="AO1" s="179"/>
      <c r="AP1" s="180"/>
      <c r="AQ1" s="46"/>
      <c r="AR1" s="46"/>
      <c r="AS1" s="46"/>
      <c r="AT1" s="46"/>
      <c r="AU1" s="45" t="s">
        <v>1306</v>
      </c>
      <c r="AV1" s="179"/>
      <c r="AW1" s="180"/>
      <c r="AX1" s="46"/>
      <c r="AY1" s="46"/>
      <c r="AZ1" s="46"/>
      <c r="BA1" s="46"/>
      <c r="BB1" s="45" t="s">
        <v>1307</v>
      </c>
      <c r="BC1" s="179"/>
      <c r="BD1" s="180"/>
      <c r="BE1" s="46"/>
      <c r="BF1" s="46"/>
      <c r="BG1" s="46"/>
      <c r="BH1" s="46"/>
      <c r="BI1" s="45" t="s">
        <v>374</v>
      </c>
      <c r="BJ1" s="179"/>
      <c r="BK1" s="180"/>
      <c r="BL1" s="46"/>
      <c r="BM1" s="46"/>
      <c r="BN1" s="46"/>
      <c r="BO1" s="46"/>
      <c r="BP1" s="45" t="s">
        <v>375</v>
      </c>
      <c r="BQ1" s="179"/>
      <c r="BR1" s="180"/>
      <c r="BS1" s="46"/>
      <c r="BT1" s="46"/>
      <c r="BU1" s="46"/>
      <c r="BV1" s="46"/>
    </row>
    <row r="2" spans="1:74" ht="18.75" customHeight="1" x14ac:dyDescent="0.25">
      <c r="A2" s="1" t="s">
        <v>1308</v>
      </c>
      <c r="B2" s="1"/>
      <c r="C2" s="52" t="s">
        <v>1309</v>
      </c>
      <c r="D2" s="25"/>
      <c r="E2" s="181"/>
      <c r="F2" s="182" t="s">
        <v>1310</v>
      </c>
      <c r="G2" s="134"/>
      <c r="H2" s="134"/>
      <c r="I2" s="183"/>
      <c r="J2" s="134"/>
      <c r="K2" s="52" t="s">
        <v>1309</v>
      </c>
      <c r="L2" s="25"/>
      <c r="M2" s="181"/>
      <c r="N2" s="182" t="s">
        <v>1310</v>
      </c>
      <c r="O2" s="134"/>
      <c r="P2" s="134"/>
      <c r="Q2" s="183"/>
      <c r="R2" s="134"/>
      <c r="S2" s="52" t="s">
        <v>1309</v>
      </c>
      <c r="T2" s="181"/>
      <c r="U2" s="182" t="s">
        <v>1310</v>
      </c>
      <c r="V2" s="134"/>
      <c r="W2" s="134"/>
      <c r="X2" s="183"/>
      <c r="Y2" s="134"/>
      <c r="Z2" s="52" t="s">
        <v>1309</v>
      </c>
      <c r="AA2" s="181"/>
      <c r="AB2" s="182" t="s">
        <v>1310</v>
      </c>
      <c r="AC2" s="134"/>
      <c r="AD2" s="134"/>
      <c r="AE2" s="183"/>
      <c r="AF2" s="134"/>
      <c r="AG2" s="52" t="s">
        <v>1309</v>
      </c>
      <c r="AH2" s="181"/>
      <c r="AI2" s="182" t="s">
        <v>1310</v>
      </c>
      <c r="AJ2" s="134"/>
      <c r="AK2" s="134"/>
      <c r="AL2" s="183"/>
      <c r="AM2" s="134"/>
      <c r="AN2" s="52" t="s">
        <v>1309</v>
      </c>
      <c r="AO2" s="181"/>
      <c r="AP2" s="182" t="s">
        <v>1310</v>
      </c>
      <c r="AQ2" s="134"/>
      <c r="AR2" s="134"/>
      <c r="AS2" s="183"/>
      <c r="AT2" s="134"/>
      <c r="AU2" s="52" t="s">
        <v>1309</v>
      </c>
      <c r="AV2" s="181"/>
      <c r="AW2" s="182" t="s">
        <v>1310</v>
      </c>
      <c r="AX2" s="134"/>
      <c r="AY2" s="134"/>
      <c r="AZ2" s="183"/>
      <c r="BA2" s="134"/>
      <c r="BB2" s="52" t="s">
        <v>1309</v>
      </c>
      <c r="BC2" s="181"/>
      <c r="BD2" s="182" t="s">
        <v>1310</v>
      </c>
      <c r="BE2" s="134"/>
      <c r="BF2" s="134"/>
      <c r="BG2" s="183"/>
      <c r="BH2" s="134"/>
      <c r="BI2" s="52" t="s">
        <v>1309</v>
      </c>
      <c r="BJ2" s="181"/>
      <c r="BK2" s="182" t="s">
        <v>1310</v>
      </c>
      <c r="BL2" s="134"/>
      <c r="BM2" s="134"/>
      <c r="BN2" s="183"/>
      <c r="BO2" s="134"/>
      <c r="BP2" s="52" t="s">
        <v>1309</v>
      </c>
      <c r="BQ2" s="181"/>
      <c r="BR2" s="182" t="s">
        <v>1310</v>
      </c>
      <c r="BS2" s="134"/>
      <c r="BT2" s="134"/>
      <c r="BU2" s="183"/>
      <c r="BV2" s="134"/>
    </row>
    <row r="3" spans="1:74" ht="117" customHeight="1" x14ac:dyDescent="0.2">
      <c r="A3" s="1"/>
      <c r="B3" s="1"/>
      <c r="C3" s="138" t="s">
        <v>1311</v>
      </c>
      <c r="D3" s="139" t="s">
        <v>1312</v>
      </c>
      <c r="E3" s="184" t="s">
        <v>1313</v>
      </c>
      <c r="F3" s="185" t="s">
        <v>469</v>
      </c>
      <c r="G3" s="167" t="s">
        <v>470</v>
      </c>
      <c r="H3" s="167" t="s">
        <v>471</v>
      </c>
      <c r="I3" s="167" t="s">
        <v>472</v>
      </c>
      <c r="J3" s="167" t="s">
        <v>473</v>
      </c>
      <c r="K3" s="138" t="s">
        <v>1311</v>
      </c>
      <c r="L3" s="139" t="s">
        <v>1312</v>
      </c>
      <c r="M3" s="184" t="s">
        <v>1313</v>
      </c>
      <c r="N3" s="185" t="s">
        <v>469</v>
      </c>
      <c r="O3" s="167" t="s">
        <v>470</v>
      </c>
      <c r="P3" s="167" t="s">
        <v>471</v>
      </c>
      <c r="Q3" s="167" t="s">
        <v>472</v>
      </c>
      <c r="R3" s="167" t="s">
        <v>473</v>
      </c>
      <c r="S3" s="138" t="s">
        <v>1311</v>
      </c>
      <c r="T3" s="184" t="s">
        <v>1313</v>
      </c>
      <c r="U3" s="185" t="s">
        <v>469</v>
      </c>
      <c r="V3" s="167" t="s">
        <v>470</v>
      </c>
      <c r="W3" s="167" t="s">
        <v>471</v>
      </c>
      <c r="X3" s="167" t="s">
        <v>472</v>
      </c>
      <c r="Y3" s="167" t="s">
        <v>473</v>
      </c>
      <c r="Z3" s="138" t="s">
        <v>1311</v>
      </c>
      <c r="AA3" s="184" t="s">
        <v>1313</v>
      </c>
      <c r="AB3" s="185" t="s">
        <v>469</v>
      </c>
      <c r="AC3" s="167" t="s">
        <v>470</v>
      </c>
      <c r="AD3" s="167" t="s">
        <v>471</v>
      </c>
      <c r="AE3" s="167" t="s">
        <v>472</v>
      </c>
      <c r="AF3" s="167" t="s">
        <v>473</v>
      </c>
      <c r="AG3" s="138" t="s">
        <v>1311</v>
      </c>
      <c r="AH3" s="184" t="s">
        <v>1313</v>
      </c>
      <c r="AI3" s="185" t="s">
        <v>469</v>
      </c>
      <c r="AJ3" s="167" t="s">
        <v>470</v>
      </c>
      <c r="AK3" s="167" t="s">
        <v>471</v>
      </c>
      <c r="AL3" s="167" t="s">
        <v>472</v>
      </c>
      <c r="AM3" s="167" t="s">
        <v>473</v>
      </c>
      <c r="AN3" s="138" t="s">
        <v>1311</v>
      </c>
      <c r="AO3" s="184" t="s">
        <v>1313</v>
      </c>
      <c r="AP3" s="185" t="s">
        <v>469</v>
      </c>
      <c r="AQ3" s="167" t="s">
        <v>470</v>
      </c>
      <c r="AR3" s="167" t="s">
        <v>471</v>
      </c>
      <c r="AS3" s="167" t="s">
        <v>472</v>
      </c>
      <c r="AT3" s="167" t="s">
        <v>473</v>
      </c>
      <c r="AU3" s="138" t="s">
        <v>1311</v>
      </c>
      <c r="AV3" s="184" t="s">
        <v>1313</v>
      </c>
      <c r="AW3" s="185" t="s">
        <v>469</v>
      </c>
      <c r="AX3" s="167" t="s">
        <v>470</v>
      </c>
      <c r="AY3" s="167" t="s">
        <v>471</v>
      </c>
      <c r="AZ3" s="167" t="s">
        <v>472</v>
      </c>
      <c r="BA3" s="167" t="s">
        <v>473</v>
      </c>
      <c r="BB3" s="138" t="s">
        <v>1311</v>
      </c>
      <c r="BC3" s="184" t="s">
        <v>1313</v>
      </c>
      <c r="BD3" s="185" t="s">
        <v>469</v>
      </c>
      <c r="BE3" s="167" t="s">
        <v>470</v>
      </c>
      <c r="BF3" s="167" t="s">
        <v>471</v>
      </c>
      <c r="BG3" s="167" t="s">
        <v>472</v>
      </c>
      <c r="BH3" s="167" t="s">
        <v>473</v>
      </c>
      <c r="BI3" s="138" t="s">
        <v>1311</v>
      </c>
      <c r="BJ3" s="184" t="s">
        <v>1313</v>
      </c>
      <c r="BK3" s="185" t="s">
        <v>469</v>
      </c>
      <c r="BL3" s="167" t="s">
        <v>470</v>
      </c>
      <c r="BM3" s="167" t="s">
        <v>471</v>
      </c>
      <c r="BN3" s="167" t="s">
        <v>472</v>
      </c>
      <c r="BO3" s="167" t="s">
        <v>473</v>
      </c>
      <c r="BP3" s="138" t="s">
        <v>1311</v>
      </c>
      <c r="BQ3" s="184" t="s">
        <v>1313</v>
      </c>
      <c r="BR3" s="185" t="s">
        <v>469</v>
      </c>
      <c r="BS3" s="167" t="s">
        <v>470</v>
      </c>
      <c r="BT3" s="167" t="s">
        <v>471</v>
      </c>
      <c r="BU3" s="167" t="s">
        <v>472</v>
      </c>
      <c r="BV3" s="167" t="s">
        <v>473</v>
      </c>
    </row>
    <row r="4" spans="1:74" x14ac:dyDescent="0.2">
      <c r="A4" s="77"/>
      <c r="B4" s="122" t="s">
        <v>287</v>
      </c>
      <c r="C4" s="78">
        <f>SUBTOTAL(109,C$15:INDEX(C:C,COUNTA($B:$B)+14-COUNTA($B$1:$B$14)))</f>
        <v>0</v>
      </c>
      <c r="D4" s="77">
        <f>SUBTOTAL(109,D$15:INDEX(D:D,COUNTA($B:$B)+14-COUNTA($B$1:$B$14)))</f>
        <v>0</v>
      </c>
      <c r="E4" s="186">
        <f>SUBTOTAL(109,E$15:INDEX(E:E,COUNTA($B:$B)+14-COUNTA($B$1:$B$14)))</f>
        <v>0</v>
      </c>
      <c r="F4" s="187">
        <f>SUBTOTAL(109,F$15:INDEX(F:F,COUNTA($B:$B)+14-COUNTA($B$1:$B$14)))</f>
        <v>0</v>
      </c>
      <c r="G4" s="84">
        <f>SUBTOTAL(109,G$15:INDEX(G:G,COUNTA($B:$B)+14-COUNTA($B$1:$B$14)))</f>
        <v>0</v>
      </c>
      <c r="H4" s="84">
        <f>SUBTOTAL(109,H$15:INDEX(H:H,COUNTA($B:$B)+14-COUNTA($B$1:$B$14)))</f>
        <v>0</v>
      </c>
      <c r="I4" s="84">
        <f>SUBTOTAL(109,I$15:INDEX(I:I,COUNTA($B:$B)+14-COUNTA($B$1:$B$14)))</f>
        <v>0</v>
      </c>
      <c r="J4" s="84">
        <f>SUBTOTAL(109,J$15:INDEX(J:J,COUNTA($B:$B)+14-COUNTA($B$1:$B$14)))</f>
        <v>0</v>
      </c>
      <c r="K4" s="78">
        <f>SUBTOTAL(109,K$15:INDEX(K:K,COUNTA($B:$B)+14-COUNTA($B$1:$B$14)))</f>
        <v>34</v>
      </c>
      <c r="L4" s="77">
        <f>SUBTOTAL(109,L$15:INDEX(L:L,COUNTA($B:$B)+14-COUNTA($B$1:$B$14)))</f>
        <v>0</v>
      </c>
      <c r="M4" s="186">
        <f>SUBTOTAL(109,M$15:INDEX(M:M,COUNTA($B:$B)+14-COUNTA($B$1:$B$14)))</f>
        <v>116</v>
      </c>
      <c r="N4" s="187">
        <f>SUBTOTAL(109,N$15:INDEX(N:N,COUNTA($B:$B)+14-COUNTA($B$1:$B$14)))</f>
        <v>0</v>
      </c>
      <c r="O4" s="84">
        <f>SUBTOTAL(109,O$15:INDEX(O:O,COUNTA($B:$B)+14-COUNTA($B$1:$B$14)))</f>
        <v>0</v>
      </c>
      <c r="P4" s="84">
        <f>SUBTOTAL(109,P$15:INDEX(P:P,COUNTA($B:$B)+14-COUNTA($B$1:$B$14)))</f>
        <v>0</v>
      </c>
      <c r="Q4" s="84">
        <f>SUBTOTAL(109,Q$15:INDEX(Q:Q,COUNTA($B:$B)+14-COUNTA($B$1:$B$14)))</f>
        <v>0</v>
      </c>
      <c r="R4" s="84">
        <f>SUBTOTAL(109,R$15:INDEX(R:R,COUNTA($B:$B)+14-COUNTA($B$1:$B$14)))</f>
        <v>0</v>
      </c>
      <c r="S4" s="78">
        <f>SUBTOTAL(109,S$15:INDEX(S:S,COUNTA($B:$B)+14-COUNTA($B$1:$B$14)))</f>
        <v>0</v>
      </c>
      <c r="T4" s="186">
        <f>SUBTOTAL(109,T$15:INDEX(T:T,COUNTA($B:$B)+14-COUNTA($B$1:$B$14)))</f>
        <v>0</v>
      </c>
      <c r="U4" s="187">
        <f>SUBTOTAL(109,U$15:INDEX(U:U,COUNTA($B:$B)+14-COUNTA($B$1:$B$14)))</f>
        <v>1414</v>
      </c>
      <c r="V4" s="84">
        <f>SUBTOTAL(109,V$15:INDEX(V:V,COUNTA($B:$B)+14-COUNTA($B$1:$B$14)))</f>
        <v>398</v>
      </c>
      <c r="W4" s="84">
        <f>SUBTOTAL(109,W$15:INDEX(W:W,COUNTA($B:$B)+14-COUNTA($B$1:$B$14)))</f>
        <v>392</v>
      </c>
      <c r="X4" s="84">
        <f>SUBTOTAL(109,X$15:INDEX(X:X,COUNTA($B:$B)+14-COUNTA($B$1:$B$14)))</f>
        <v>0</v>
      </c>
      <c r="Y4" s="84">
        <f>SUBTOTAL(109,Y$15:INDEX(Y:Y,COUNTA($B:$B)+14-COUNTA($B$1:$B$14)))</f>
        <v>27</v>
      </c>
      <c r="Z4" s="78">
        <f>SUBTOTAL(109,Z$15:INDEX(Z:Z,COUNTA($B:$B)+14-COUNTA($B$1:$B$14)))</f>
        <v>0</v>
      </c>
      <c r="AA4" s="186">
        <f>SUBTOTAL(109,AA$15:INDEX(AA:AA,COUNTA($B:$B)+14-COUNTA($B$1:$B$14)))</f>
        <v>0</v>
      </c>
      <c r="AB4" s="187">
        <f>SUBTOTAL(109,AB$15:INDEX(AB:AB,COUNTA($B:$B)+14-COUNTA($B$1:$B$14)))</f>
        <v>29</v>
      </c>
      <c r="AC4" s="84">
        <f>SUBTOTAL(109,AC$15:INDEX(AC:AC,COUNTA($B:$B)+14-COUNTA($B$1:$B$14)))</f>
        <v>8</v>
      </c>
      <c r="AD4" s="84">
        <f>SUBTOTAL(109,AD$15:INDEX(AD:AD,COUNTA($B:$B)+14-COUNTA($B$1:$B$14)))</f>
        <v>8</v>
      </c>
      <c r="AE4" s="84">
        <f>SUBTOTAL(109,AE$15:INDEX(AE:AE,COUNTA($B:$B)+14-COUNTA($B$1:$B$14)))</f>
        <v>0</v>
      </c>
      <c r="AF4" s="84">
        <f>SUBTOTAL(109,AF$15:INDEX(AF:AF,COUNTA($B:$B)+14-COUNTA($B$1:$B$14)))</f>
        <v>0</v>
      </c>
      <c r="AG4" s="78">
        <f>SUBTOTAL(109,AG$15:INDEX(AG:AG,COUNTA($B:$B)+14-COUNTA($B$1:$B$14)))</f>
        <v>0</v>
      </c>
      <c r="AH4" s="186">
        <f>SUBTOTAL(109,AH$15:INDEX(AH:AH,COUNTA($B:$B)+14-COUNTA($B$1:$B$14)))</f>
        <v>0</v>
      </c>
      <c r="AI4" s="187">
        <f>SUBTOTAL(109,AI$15:INDEX(AI:AI,COUNTA($B:$B)+14-COUNTA($B$1:$B$14)))</f>
        <v>1363</v>
      </c>
      <c r="AJ4" s="84">
        <f>SUBTOTAL(109,AJ$15:INDEX(AJ:AJ,COUNTA($B:$B)+14-COUNTA($B$1:$B$14)))</f>
        <v>384</v>
      </c>
      <c r="AK4" s="84">
        <f>SUBTOTAL(109,AK$15:INDEX(AK:AK,COUNTA($B:$B)+14-COUNTA($B$1:$B$14)))</f>
        <v>379</v>
      </c>
      <c r="AL4" s="84">
        <f>SUBTOTAL(109,AL$15:INDEX(AL:AL,COUNTA($B:$B)+14-COUNTA($B$1:$B$14)))</f>
        <v>0</v>
      </c>
      <c r="AM4" s="84">
        <f>SUBTOTAL(109,AM$15:INDEX(AM:AM,COUNTA($B:$B)+14-COUNTA($B$1:$B$14)))</f>
        <v>27</v>
      </c>
      <c r="AN4" s="78">
        <f>SUBTOTAL(109,AN$15:INDEX(AN:AN,COUNTA($B:$B)+14-COUNTA($B$1:$B$14)))</f>
        <v>0</v>
      </c>
      <c r="AO4" s="186">
        <f>SUBTOTAL(109,AO$15:INDEX(AO:AO,COUNTA($B:$B)+14-COUNTA($B$1:$B$14)))</f>
        <v>0</v>
      </c>
      <c r="AP4" s="187">
        <f>SUBTOTAL(109,AP$15:INDEX(AP:AP,COUNTA($B:$B)+14-COUNTA($B$1:$B$14)))</f>
        <v>1296</v>
      </c>
      <c r="AQ4" s="84">
        <f>SUBTOTAL(109,AQ$15:INDEX(AQ:AQ,COUNTA($B:$B)+14-COUNTA($B$1:$B$14)))</f>
        <v>366</v>
      </c>
      <c r="AR4" s="84">
        <f>SUBTOTAL(109,AR$15:INDEX(AR:AR,COUNTA($B:$B)+14-COUNTA($B$1:$B$14)))</f>
        <v>363</v>
      </c>
      <c r="AS4" s="84">
        <f>SUBTOTAL(109,AS$15:INDEX(AS:AS,COUNTA($B:$B)+14-COUNTA($B$1:$B$14)))</f>
        <v>0</v>
      </c>
      <c r="AT4" s="84">
        <f>SUBTOTAL(109,AT$15:INDEX(AT:AT,COUNTA($B:$B)+14-COUNTA($B$1:$B$14)))</f>
        <v>27</v>
      </c>
      <c r="AU4" s="78">
        <f>SUBTOTAL(109,AU$15:INDEX(AU:AU,COUNTA($B:$B)+14-COUNTA($B$1:$B$14)))</f>
        <v>0</v>
      </c>
      <c r="AV4" s="186">
        <f>SUBTOTAL(109,AV$15:INDEX(AV:AV,COUNTA($B:$B)+14-COUNTA($B$1:$B$14)))</f>
        <v>0</v>
      </c>
      <c r="AW4" s="187">
        <f>SUBTOTAL(109,AW$15:INDEX(AW:AW,COUNTA($B:$B)+14-COUNTA($B$1:$B$14)))</f>
        <v>30</v>
      </c>
      <c r="AX4" s="84">
        <f>SUBTOTAL(109,AX$15:INDEX(AX:AX,COUNTA($B:$B)+14-COUNTA($B$1:$B$14)))</f>
        <v>8</v>
      </c>
      <c r="AY4" s="84">
        <f>SUBTOTAL(109,AY$15:INDEX(AY:AY,COUNTA($B:$B)+14-COUNTA($B$1:$B$14)))</f>
        <v>8</v>
      </c>
      <c r="AZ4" s="84">
        <f>SUBTOTAL(109,AZ$15:INDEX(AZ:AZ,COUNTA($B:$B)+14-COUNTA($B$1:$B$14)))</f>
        <v>0</v>
      </c>
      <c r="BA4" s="84">
        <f>SUBTOTAL(109,BA$15:INDEX(BA:BA,COUNTA($B:$B)+14-COUNTA($B$1:$B$14)))</f>
        <v>0</v>
      </c>
      <c r="BB4" s="78">
        <f>SUBTOTAL(109,BB$15:INDEX(BB:BB,COUNTA($B:$B)+14-COUNTA($B$1:$B$14)))</f>
        <v>0</v>
      </c>
      <c r="BC4" s="186">
        <f>SUBTOTAL(109,BC$15:INDEX(BC:BC,COUNTA($B:$B)+14-COUNTA($B$1:$B$14)))</f>
        <v>0</v>
      </c>
      <c r="BD4" s="187">
        <f>SUBTOTAL(109,BD$15:INDEX(BD:BD,COUNTA($B:$B)+14-COUNTA($B$1:$B$14)))</f>
        <v>0</v>
      </c>
      <c r="BE4" s="84">
        <f>SUBTOTAL(109,BE$15:INDEX(BE:BE,COUNTA($B:$B)+14-COUNTA($B$1:$B$14)))</f>
        <v>0</v>
      </c>
      <c r="BF4" s="84">
        <f>SUBTOTAL(109,BF$15:INDEX(BF:BF,COUNTA($B:$B)+14-COUNTA($B$1:$B$14)))</f>
        <v>0</v>
      </c>
      <c r="BG4" s="84">
        <f>SUBTOTAL(109,BG$15:INDEX(BG:BG,COUNTA($B:$B)+14-COUNTA($B$1:$B$14)))</f>
        <v>0</v>
      </c>
      <c r="BH4" s="84">
        <f>SUBTOTAL(109,BH$15:INDEX(BH:BH,COUNTA($B:$B)+14-COUNTA($B$1:$B$14)))</f>
        <v>0</v>
      </c>
      <c r="BI4" s="78">
        <f>SUBTOTAL(109,BI$15:INDEX(BI:BI,COUNTA($B:$B)+14-COUNTA($B$1:$B$14)))</f>
        <v>0</v>
      </c>
      <c r="BJ4" s="186">
        <f>SUBTOTAL(109,BJ$15:INDEX(BJ:BJ,COUNTA($B:$B)+14-COUNTA($B$1:$B$14)))</f>
        <v>0</v>
      </c>
      <c r="BK4" s="187">
        <f>SUBTOTAL(109,BK$15:INDEX(BK:BK,COUNTA($B:$B)+14-COUNTA($B$1:$B$14)))</f>
        <v>30</v>
      </c>
      <c r="BL4" s="84">
        <f>SUBTOTAL(109,BL$15:INDEX(BL:BL,COUNTA($B:$B)+14-COUNTA($B$1:$B$14)))</f>
        <v>8</v>
      </c>
      <c r="BM4" s="84">
        <f>SUBTOTAL(109,BM$15:INDEX(BM:BM,COUNTA($B:$B)+14-COUNTA($B$1:$B$14)))</f>
        <v>8</v>
      </c>
      <c r="BN4" s="84">
        <f>SUBTOTAL(109,BN$15:INDEX(BN:BN,COUNTA($B:$B)+14-COUNTA($B$1:$B$14)))</f>
        <v>0</v>
      </c>
      <c r="BO4" s="84">
        <f>SUBTOTAL(109,BO$15:INDEX(BO:BO,COUNTA($B:$B)+14-COUNTA($B$1:$B$14)))</f>
        <v>0</v>
      </c>
      <c r="BP4" s="78">
        <f>SUBTOTAL(109,BP$15:INDEX(BP:BP,COUNTA($B:$B)+14-COUNTA($B$1:$B$14)))</f>
        <v>3363</v>
      </c>
      <c r="BQ4" s="186">
        <f>SUBTOTAL(109,BQ$15:INDEX(BQ:BQ,COUNTA($B:$B)+14-COUNTA($B$1:$B$14)))</f>
        <v>3855</v>
      </c>
      <c r="BR4" s="187">
        <f>SUBTOTAL(109,BR$15:INDEX(BR:BR,COUNTA($B:$B)+14-COUNTA($B$1:$B$14)))</f>
        <v>0</v>
      </c>
      <c r="BS4" s="84">
        <f>SUBTOTAL(109,BS$15:INDEX(BS:BS,COUNTA($B:$B)+14-COUNTA($B$1:$B$14)))</f>
        <v>0</v>
      </c>
      <c r="BT4" s="84">
        <f>SUBTOTAL(109,BT$15:INDEX(BT:BT,COUNTA($B:$B)+14-COUNTA($B$1:$B$14)))</f>
        <v>0</v>
      </c>
      <c r="BU4" s="84">
        <f>SUBTOTAL(109,BU$15:INDEX(BU:BU,COUNTA($B:$B)+14-COUNTA($B$1:$B$14)))</f>
        <v>0</v>
      </c>
      <c r="BV4" s="84">
        <f>SUBTOTAL(109,BV$15:INDEX(BV:BV,COUNTA($B:$B)+14-COUNTA($B$1:$B$14)))</f>
        <v>0</v>
      </c>
    </row>
    <row r="5" spans="1:74" x14ac:dyDescent="0.2">
      <c r="A5" s="93" t="s">
        <v>180</v>
      </c>
      <c r="B5" s="43" t="s">
        <v>180</v>
      </c>
      <c r="C5" s="114" t="s">
        <v>180</v>
      </c>
      <c r="D5" s="93" t="s">
        <v>180</v>
      </c>
      <c r="E5" s="188" t="s">
        <v>180</v>
      </c>
      <c r="F5" s="189" t="s">
        <v>180</v>
      </c>
      <c r="G5" s="9" t="s">
        <v>180</v>
      </c>
      <c r="H5" s="9" t="s">
        <v>180</v>
      </c>
      <c r="I5" s="9" t="s">
        <v>180</v>
      </c>
      <c r="J5" s="9" t="s">
        <v>180</v>
      </c>
      <c r="K5" s="114" t="s">
        <v>180</v>
      </c>
      <c r="L5" s="93" t="s">
        <v>180</v>
      </c>
      <c r="M5" s="188" t="s">
        <v>180</v>
      </c>
      <c r="N5" s="189" t="s">
        <v>180</v>
      </c>
      <c r="O5" s="9" t="s">
        <v>180</v>
      </c>
      <c r="P5" s="9" t="s">
        <v>180</v>
      </c>
      <c r="Q5" s="9" t="s">
        <v>180</v>
      </c>
      <c r="R5" s="9" t="s">
        <v>180</v>
      </c>
      <c r="S5" s="114" t="s">
        <v>180</v>
      </c>
      <c r="T5" s="188" t="s">
        <v>180</v>
      </c>
      <c r="U5" s="189" t="s">
        <v>180</v>
      </c>
      <c r="V5" s="9" t="s">
        <v>180</v>
      </c>
      <c r="W5" s="9" t="s">
        <v>180</v>
      </c>
      <c r="X5" s="9" t="s">
        <v>180</v>
      </c>
      <c r="Y5" s="9" t="s">
        <v>180</v>
      </c>
      <c r="Z5" s="114" t="s">
        <v>180</v>
      </c>
      <c r="AA5" s="188" t="s">
        <v>180</v>
      </c>
      <c r="AB5" s="189" t="s">
        <v>180</v>
      </c>
      <c r="AC5" s="9" t="s">
        <v>180</v>
      </c>
      <c r="AD5" s="9" t="s">
        <v>180</v>
      </c>
      <c r="AE5" s="9" t="s">
        <v>180</v>
      </c>
      <c r="AF5" s="9" t="s">
        <v>180</v>
      </c>
      <c r="AG5" s="114" t="s">
        <v>180</v>
      </c>
      <c r="AH5" s="188" t="s">
        <v>180</v>
      </c>
      <c r="AI5" s="189" t="s">
        <v>180</v>
      </c>
      <c r="AJ5" s="9" t="s">
        <v>180</v>
      </c>
      <c r="AK5" s="9" t="s">
        <v>180</v>
      </c>
      <c r="AL5" s="9" t="s">
        <v>180</v>
      </c>
      <c r="AM5" s="9" t="s">
        <v>180</v>
      </c>
      <c r="AN5" s="114" t="s">
        <v>180</v>
      </c>
      <c r="AO5" s="188" t="s">
        <v>180</v>
      </c>
      <c r="AP5" s="189" t="s">
        <v>180</v>
      </c>
      <c r="AQ5" s="9" t="s">
        <v>180</v>
      </c>
      <c r="AR5" s="9" t="s">
        <v>180</v>
      </c>
      <c r="AS5" s="9" t="s">
        <v>180</v>
      </c>
      <c r="AT5" s="9" t="s">
        <v>180</v>
      </c>
      <c r="AU5" s="114" t="s">
        <v>180</v>
      </c>
      <c r="AV5" s="188" t="s">
        <v>180</v>
      </c>
      <c r="AW5" s="189" t="s">
        <v>180</v>
      </c>
      <c r="AX5" s="9" t="s">
        <v>180</v>
      </c>
      <c r="AY5" s="9" t="s">
        <v>180</v>
      </c>
      <c r="AZ5" s="9" t="s">
        <v>180</v>
      </c>
      <c r="BA5" s="9" t="s">
        <v>180</v>
      </c>
      <c r="BB5" s="114" t="s">
        <v>180</v>
      </c>
      <c r="BC5" s="188" t="s">
        <v>180</v>
      </c>
      <c r="BD5" s="189" t="s">
        <v>180</v>
      </c>
      <c r="BE5" s="9" t="s">
        <v>180</v>
      </c>
      <c r="BF5" s="9" t="s">
        <v>180</v>
      </c>
      <c r="BG5" s="9" t="s">
        <v>180</v>
      </c>
      <c r="BH5" s="9" t="s">
        <v>180</v>
      </c>
      <c r="BI5" s="114" t="s">
        <v>180</v>
      </c>
      <c r="BJ5" s="188" t="s">
        <v>180</v>
      </c>
      <c r="BK5" s="189" t="s">
        <v>180</v>
      </c>
      <c r="BL5" s="9" t="s">
        <v>180</v>
      </c>
      <c r="BM5" s="9" t="s">
        <v>180</v>
      </c>
      <c r="BN5" s="9" t="s">
        <v>180</v>
      </c>
      <c r="BO5" s="9" t="s">
        <v>180</v>
      </c>
      <c r="BP5" s="114" t="s">
        <v>180</v>
      </c>
      <c r="BQ5" s="188" t="s">
        <v>180</v>
      </c>
      <c r="BR5" s="189" t="s">
        <v>180</v>
      </c>
      <c r="BS5" s="9" t="s">
        <v>180</v>
      </c>
      <c r="BT5" s="9" t="s">
        <v>180</v>
      </c>
      <c r="BU5" s="9" t="s">
        <v>180</v>
      </c>
      <c r="BV5" s="9" t="s">
        <v>180</v>
      </c>
    </row>
    <row r="6" spans="1:74" x14ac:dyDescent="0.2">
      <c r="A6" s="93" t="s">
        <v>182</v>
      </c>
      <c r="B6" s="43" t="s">
        <v>182</v>
      </c>
      <c r="C6" s="114" t="s">
        <v>185</v>
      </c>
      <c r="D6" s="93" t="s">
        <v>185</v>
      </c>
      <c r="E6" s="188" t="s">
        <v>185</v>
      </c>
      <c r="F6" s="189" t="s">
        <v>185</v>
      </c>
      <c r="G6" s="9" t="s">
        <v>185</v>
      </c>
      <c r="H6" s="9" t="s">
        <v>185</v>
      </c>
      <c r="I6" s="9" t="s">
        <v>185</v>
      </c>
      <c r="J6" s="9" t="s">
        <v>185</v>
      </c>
      <c r="K6" s="114" t="s">
        <v>185</v>
      </c>
      <c r="L6" s="93" t="s">
        <v>185</v>
      </c>
      <c r="M6" s="188" t="s">
        <v>185</v>
      </c>
      <c r="N6" s="189" t="s">
        <v>185</v>
      </c>
      <c r="O6" s="9" t="s">
        <v>185</v>
      </c>
      <c r="P6" s="9" t="s">
        <v>185</v>
      </c>
      <c r="Q6" s="9" t="s">
        <v>185</v>
      </c>
      <c r="R6" s="9" t="s">
        <v>185</v>
      </c>
      <c r="S6" s="114" t="s">
        <v>185</v>
      </c>
      <c r="T6" s="188" t="s">
        <v>185</v>
      </c>
      <c r="U6" s="189" t="s">
        <v>185</v>
      </c>
      <c r="V6" s="9" t="s">
        <v>185</v>
      </c>
      <c r="W6" s="9" t="s">
        <v>185</v>
      </c>
      <c r="X6" s="9" t="s">
        <v>185</v>
      </c>
      <c r="Y6" s="9" t="s">
        <v>185</v>
      </c>
      <c r="Z6" s="114" t="s">
        <v>185</v>
      </c>
      <c r="AA6" s="188" t="s">
        <v>185</v>
      </c>
      <c r="AB6" s="189" t="s">
        <v>185</v>
      </c>
      <c r="AC6" s="9" t="s">
        <v>185</v>
      </c>
      <c r="AD6" s="9" t="s">
        <v>185</v>
      </c>
      <c r="AE6" s="9" t="s">
        <v>185</v>
      </c>
      <c r="AF6" s="9" t="s">
        <v>185</v>
      </c>
      <c r="AG6" s="114" t="s">
        <v>185</v>
      </c>
      <c r="AH6" s="188" t="s">
        <v>185</v>
      </c>
      <c r="AI6" s="189" t="s">
        <v>185</v>
      </c>
      <c r="AJ6" s="9" t="s">
        <v>185</v>
      </c>
      <c r="AK6" s="9" t="s">
        <v>185</v>
      </c>
      <c r="AL6" s="9" t="s">
        <v>185</v>
      </c>
      <c r="AM6" s="9" t="s">
        <v>185</v>
      </c>
      <c r="AN6" s="114" t="s">
        <v>185</v>
      </c>
      <c r="AO6" s="188" t="s">
        <v>185</v>
      </c>
      <c r="AP6" s="189" t="s">
        <v>185</v>
      </c>
      <c r="AQ6" s="9" t="s">
        <v>185</v>
      </c>
      <c r="AR6" s="9" t="s">
        <v>185</v>
      </c>
      <c r="AS6" s="9" t="s">
        <v>185</v>
      </c>
      <c r="AT6" s="9" t="s">
        <v>185</v>
      </c>
      <c r="AU6" s="114" t="s">
        <v>185</v>
      </c>
      <c r="AV6" s="188" t="s">
        <v>185</v>
      </c>
      <c r="AW6" s="189" t="s">
        <v>185</v>
      </c>
      <c r="AX6" s="9" t="s">
        <v>185</v>
      </c>
      <c r="AY6" s="9" t="s">
        <v>185</v>
      </c>
      <c r="AZ6" s="9" t="s">
        <v>185</v>
      </c>
      <c r="BA6" s="9" t="s">
        <v>185</v>
      </c>
      <c r="BB6" s="114" t="s">
        <v>185</v>
      </c>
      <c r="BC6" s="188" t="s">
        <v>185</v>
      </c>
      <c r="BD6" s="189" t="s">
        <v>185</v>
      </c>
      <c r="BE6" s="9" t="s">
        <v>185</v>
      </c>
      <c r="BF6" s="9" t="s">
        <v>185</v>
      </c>
      <c r="BG6" s="9" t="s">
        <v>185</v>
      </c>
      <c r="BH6" s="9" t="s">
        <v>185</v>
      </c>
      <c r="BI6" s="114" t="s">
        <v>185</v>
      </c>
      <c r="BJ6" s="188" t="s">
        <v>185</v>
      </c>
      <c r="BK6" s="189" t="s">
        <v>185</v>
      </c>
      <c r="BL6" s="9" t="s">
        <v>185</v>
      </c>
      <c r="BM6" s="9" t="s">
        <v>185</v>
      </c>
      <c r="BN6" s="9" t="s">
        <v>185</v>
      </c>
      <c r="BO6" s="9" t="s">
        <v>185</v>
      </c>
      <c r="BP6" s="114" t="s">
        <v>185</v>
      </c>
      <c r="BQ6" s="188" t="s">
        <v>185</v>
      </c>
      <c r="BR6" s="189" t="s">
        <v>185</v>
      </c>
      <c r="BS6" s="9" t="s">
        <v>185</v>
      </c>
      <c r="BT6" s="9" t="s">
        <v>185</v>
      </c>
      <c r="BU6" s="9" t="s">
        <v>185</v>
      </c>
      <c r="BV6" s="9" t="s">
        <v>185</v>
      </c>
    </row>
    <row r="7" spans="1:74" x14ac:dyDescent="0.2">
      <c r="A7" s="93" t="s">
        <v>186</v>
      </c>
      <c r="B7" s="43" t="s">
        <v>186</v>
      </c>
      <c r="C7" s="114" t="s">
        <v>187</v>
      </c>
      <c r="D7" s="93" t="s">
        <v>187</v>
      </c>
      <c r="E7" s="188" t="s">
        <v>187</v>
      </c>
      <c r="F7" s="189" t="s">
        <v>187</v>
      </c>
      <c r="G7" s="9" t="s">
        <v>187</v>
      </c>
      <c r="H7" s="9" t="s">
        <v>187</v>
      </c>
      <c r="I7" s="9" t="s">
        <v>187</v>
      </c>
      <c r="J7" s="9" t="s">
        <v>187</v>
      </c>
      <c r="K7" s="114" t="s">
        <v>187</v>
      </c>
      <c r="L7" s="93" t="s">
        <v>187</v>
      </c>
      <c r="M7" s="188" t="s">
        <v>187</v>
      </c>
      <c r="N7" s="189" t="s">
        <v>187</v>
      </c>
      <c r="O7" s="9" t="s">
        <v>187</v>
      </c>
      <c r="P7" s="9" t="s">
        <v>187</v>
      </c>
      <c r="Q7" s="9" t="s">
        <v>187</v>
      </c>
      <c r="R7" s="9" t="s">
        <v>187</v>
      </c>
      <c r="S7" s="114" t="s">
        <v>187</v>
      </c>
      <c r="T7" s="188" t="s">
        <v>187</v>
      </c>
      <c r="U7" s="189" t="s">
        <v>187</v>
      </c>
      <c r="V7" s="9" t="s">
        <v>187</v>
      </c>
      <c r="W7" s="9" t="s">
        <v>187</v>
      </c>
      <c r="X7" s="9" t="s">
        <v>187</v>
      </c>
      <c r="Y7" s="9" t="s">
        <v>187</v>
      </c>
      <c r="Z7" s="114" t="s">
        <v>187</v>
      </c>
      <c r="AA7" s="188" t="s">
        <v>187</v>
      </c>
      <c r="AB7" s="189" t="s">
        <v>187</v>
      </c>
      <c r="AC7" s="9" t="s">
        <v>187</v>
      </c>
      <c r="AD7" s="9" t="s">
        <v>187</v>
      </c>
      <c r="AE7" s="9" t="s">
        <v>187</v>
      </c>
      <c r="AF7" s="9" t="s">
        <v>187</v>
      </c>
      <c r="AG7" s="114" t="s">
        <v>187</v>
      </c>
      <c r="AH7" s="188" t="s">
        <v>187</v>
      </c>
      <c r="AI7" s="189" t="s">
        <v>187</v>
      </c>
      <c r="AJ7" s="9" t="s">
        <v>187</v>
      </c>
      <c r="AK7" s="9" t="s">
        <v>187</v>
      </c>
      <c r="AL7" s="9" t="s">
        <v>187</v>
      </c>
      <c r="AM7" s="9" t="s">
        <v>187</v>
      </c>
      <c r="AN7" s="114" t="s">
        <v>187</v>
      </c>
      <c r="AO7" s="188" t="s">
        <v>187</v>
      </c>
      <c r="AP7" s="189" t="s">
        <v>187</v>
      </c>
      <c r="AQ7" s="9" t="s">
        <v>187</v>
      </c>
      <c r="AR7" s="9" t="s">
        <v>187</v>
      </c>
      <c r="AS7" s="9" t="s">
        <v>187</v>
      </c>
      <c r="AT7" s="9" t="s">
        <v>187</v>
      </c>
      <c r="AU7" s="114" t="s">
        <v>187</v>
      </c>
      <c r="AV7" s="188" t="s">
        <v>187</v>
      </c>
      <c r="AW7" s="189" t="s">
        <v>187</v>
      </c>
      <c r="AX7" s="9" t="s">
        <v>187</v>
      </c>
      <c r="AY7" s="9" t="s">
        <v>187</v>
      </c>
      <c r="AZ7" s="9" t="s">
        <v>187</v>
      </c>
      <c r="BA7" s="9" t="s">
        <v>187</v>
      </c>
      <c r="BB7" s="114" t="s">
        <v>187</v>
      </c>
      <c r="BC7" s="188" t="s">
        <v>187</v>
      </c>
      <c r="BD7" s="189" t="s">
        <v>187</v>
      </c>
      <c r="BE7" s="9" t="s">
        <v>187</v>
      </c>
      <c r="BF7" s="9" t="s">
        <v>187</v>
      </c>
      <c r="BG7" s="9" t="s">
        <v>187</v>
      </c>
      <c r="BH7" s="9" t="s">
        <v>187</v>
      </c>
      <c r="BI7" s="114" t="s">
        <v>187</v>
      </c>
      <c r="BJ7" s="188" t="s">
        <v>187</v>
      </c>
      <c r="BK7" s="189" t="s">
        <v>187</v>
      </c>
      <c r="BL7" s="9" t="s">
        <v>187</v>
      </c>
      <c r="BM7" s="9" t="s">
        <v>187</v>
      </c>
      <c r="BN7" s="9" t="s">
        <v>187</v>
      </c>
      <c r="BO7" s="9" t="s">
        <v>187</v>
      </c>
      <c r="BP7" s="114" t="s">
        <v>187</v>
      </c>
      <c r="BQ7" s="188" t="s">
        <v>187</v>
      </c>
      <c r="BR7" s="189" t="s">
        <v>187</v>
      </c>
      <c r="BS7" s="9" t="s">
        <v>187</v>
      </c>
      <c r="BT7" s="9" t="s">
        <v>187</v>
      </c>
      <c r="BU7" s="9" t="s">
        <v>187</v>
      </c>
      <c r="BV7" s="9" t="s">
        <v>187</v>
      </c>
    </row>
    <row r="8" spans="1:74" x14ac:dyDescent="0.2">
      <c r="C8" s="114"/>
      <c r="D8" s="93"/>
      <c r="E8" s="188"/>
      <c r="K8" s="114"/>
      <c r="L8" s="93"/>
      <c r="M8" s="188"/>
      <c r="S8" s="114"/>
      <c r="T8" s="188"/>
      <c r="Z8" s="114"/>
      <c r="AA8" s="188"/>
      <c r="AG8" s="114"/>
      <c r="AH8" s="188"/>
      <c r="AN8" s="114"/>
      <c r="AO8" s="188"/>
      <c r="AU8" s="114"/>
      <c r="AV8" s="188"/>
      <c r="BB8" s="114"/>
      <c r="BC8" s="188"/>
      <c r="BI8" s="114"/>
      <c r="BJ8" s="188"/>
      <c r="BP8" s="114"/>
      <c r="BQ8" s="188"/>
    </row>
    <row r="9" spans="1:74" x14ac:dyDescent="0.2">
      <c r="C9" s="114"/>
      <c r="D9" s="93"/>
      <c r="E9" s="188"/>
      <c r="K9" s="114"/>
      <c r="L9" s="93"/>
      <c r="M9" s="188"/>
      <c r="S9" s="114"/>
      <c r="T9" s="188"/>
      <c r="Z9" s="114"/>
      <c r="AA9" s="188"/>
      <c r="AG9" s="114"/>
      <c r="AH9" s="188"/>
      <c r="AN9" s="114"/>
      <c r="AO9" s="188"/>
      <c r="AU9" s="114"/>
      <c r="AV9" s="188"/>
      <c r="BB9" s="114"/>
      <c r="BC9" s="188"/>
      <c r="BI9" s="114"/>
      <c r="BJ9" s="188"/>
      <c r="BP9" s="114"/>
      <c r="BQ9" s="188"/>
    </row>
    <row r="10" spans="1:74" x14ac:dyDescent="0.2">
      <c r="C10" s="114"/>
      <c r="D10" s="93"/>
      <c r="E10" s="188"/>
      <c r="K10" s="114"/>
      <c r="L10" s="93"/>
      <c r="M10" s="188"/>
      <c r="S10" s="114"/>
      <c r="T10" s="188"/>
      <c r="Z10" s="114"/>
      <c r="AA10" s="188"/>
      <c r="AG10" s="114"/>
      <c r="AH10" s="188"/>
      <c r="AN10" s="114"/>
      <c r="AO10" s="188"/>
      <c r="AU10" s="114"/>
      <c r="AV10" s="188"/>
      <c r="BB10" s="114"/>
      <c r="BC10" s="188"/>
      <c r="BI10" s="114"/>
      <c r="BJ10" s="188"/>
      <c r="BP10" s="114"/>
      <c r="BQ10" s="188"/>
    </row>
    <row r="11" spans="1:74" x14ac:dyDescent="0.2">
      <c r="C11" s="114"/>
      <c r="D11" s="93"/>
      <c r="E11" s="188"/>
      <c r="K11" s="114"/>
      <c r="L11" s="93"/>
      <c r="M11" s="188"/>
      <c r="S11" s="114"/>
      <c r="T11" s="188"/>
      <c r="Z11" s="114"/>
      <c r="AA11" s="188"/>
      <c r="AG11" s="114"/>
      <c r="AH11" s="188"/>
      <c r="AN11" s="114"/>
      <c r="AO11" s="188"/>
      <c r="AU11" s="114"/>
      <c r="AV11" s="188"/>
      <c r="BB11" s="114"/>
      <c r="BC11" s="188"/>
      <c r="BI11" s="114"/>
      <c r="BJ11" s="188"/>
      <c r="BP11" s="114"/>
      <c r="BQ11" s="188"/>
    </row>
    <row r="14" spans="1:74" x14ac:dyDescent="0.2">
      <c r="A14" s="102" t="s">
        <v>175</v>
      </c>
      <c r="B14" s="36" t="s">
        <v>189</v>
      </c>
      <c r="C14" s="103" t="s">
        <v>1314</v>
      </c>
      <c r="D14" s="39" t="s">
        <v>1315</v>
      </c>
      <c r="E14" s="190" t="s">
        <v>1316</v>
      </c>
      <c r="F14" s="191" t="s">
        <v>1317</v>
      </c>
      <c r="G14" s="109" t="s">
        <v>1318</v>
      </c>
      <c r="H14" s="109" t="s">
        <v>1319</v>
      </c>
      <c r="I14" s="109" t="s">
        <v>1320</v>
      </c>
      <c r="J14" s="109" t="s">
        <v>1321</v>
      </c>
      <c r="K14" s="103" t="s">
        <v>1322</v>
      </c>
      <c r="L14" s="39" t="s">
        <v>1323</v>
      </c>
      <c r="M14" s="190" t="s">
        <v>1324</v>
      </c>
      <c r="N14" s="191" t="s">
        <v>1325</v>
      </c>
      <c r="O14" s="109" t="s">
        <v>1326</v>
      </c>
      <c r="P14" s="109" t="s">
        <v>1327</v>
      </c>
      <c r="Q14" s="109" t="s">
        <v>1328</v>
      </c>
      <c r="R14" s="109" t="s">
        <v>1329</v>
      </c>
      <c r="S14" s="103" t="s">
        <v>1330</v>
      </c>
      <c r="T14" s="190" t="s">
        <v>1331</v>
      </c>
      <c r="U14" s="191" t="s">
        <v>1332</v>
      </c>
      <c r="V14" s="109" t="s">
        <v>1333</v>
      </c>
      <c r="W14" s="109" t="s">
        <v>1334</v>
      </c>
      <c r="X14" s="109" t="s">
        <v>1335</v>
      </c>
      <c r="Y14" s="109" t="s">
        <v>1336</v>
      </c>
      <c r="Z14" s="103" t="s">
        <v>1337</v>
      </c>
      <c r="AA14" s="190" t="s">
        <v>1338</v>
      </c>
      <c r="AB14" s="191" t="s">
        <v>1339</v>
      </c>
      <c r="AC14" s="109" t="s">
        <v>1340</v>
      </c>
      <c r="AD14" s="109" t="s">
        <v>1341</v>
      </c>
      <c r="AE14" s="109" t="s">
        <v>1342</v>
      </c>
      <c r="AF14" s="109" t="s">
        <v>1343</v>
      </c>
      <c r="AG14" s="103" t="s">
        <v>1344</v>
      </c>
      <c r="AH14" s="190" t="s">
        <v>1345</v>
      </c>
      <c r="AI14" s="191" t="s">
        <v>1346</v>
      </c>
      <c r="AJ14" s="109" t="s">
        <v>1347</v>
      </c>
      <c r="AK14" s="109" t="s">
        <v>1348</v>
      </c>
      <c r="AL14" s="109" t="s">
        <v>1349</v>
      </c>
      <c r="AM14" s="109" t="s">
        <v>1350</v>
      </c>
      <c r="AN14" s="103" t="s">
        <v>1351</v>
      </c>
      <c r="AO14" s="190" t="s">
        <v>1352</v>
      </c>
      <c r="AP14" s="191" t="s">
        <v>1353</v>
      </c>
      <c r="AQ14" s="109" t="s">
        <v>1354</v>
      </c>
      <c r="AR14" s="109" t="s">
        <v>1355</v>
      </c>
      <c r="AS14" s="109" t="s">
        <v>1356</v>
      </c>
      <c r="AT14" s="109" t="s">
        <v>1357</v>
      </c>
      <c r="AU14" s="103" t="s">
        <v>1358</v>
      </c>
      <c r="AV14" s="190" t="s">
        <v>1359</v>
      </c>
      <c r="AW14" s="191" t="s">
        <v>1360</v>
      </c>
      <c r="AX14" s="109" t="s">
        <v>1361</v>
      </c>
      <c r="AY14" s="109" t="s">
        <v>1362</v>
      </c>
      <c r="AZ14" s="109" t="s">
        <v>1363</v>
      </c>
      <c r="BA14" s="109" t="s">
        <v>1364</v>
      </c>
      <c r="BB14" s="103" t="s">
        <v>1365</v>
      </c>
      <c r="BC14" s="190" t="s">
        <v>1366</v>
      </c>
      <c r="BD14" s="191" t="s">
        <v>1367</v>
      </c>
      <c r="BE14" s="109" t="s">
        <v>1368</v>
      </c>
      <c r="BF14" s="109" t="s">
        <v>1369</v>
      </c>
      <c r="BG14" s="109" t="s">
        <v>1370</v>
      </c>
      <c r="BH14" s="109" t="s">
        <v>1371</v>
      </c>
      <c r="BI14" s="103" t="s">
        <v>1372</v>
      </c>
      <c r="BJ14" s="190" t="s">
        <v>1373</v>
      </c>
      <c r="BK14" s="191" t="s">
        <v>1374</v>
      </c>
      <c r="BL14" s="109" t="s">
        <v>1375</v>
      </c>
      <c r="BM14" s="109" t="s">
        <v>1376</v>
      </c>
      <c r="BN14" s="109" t="s">
        <v>1377</v>
      </c>
      <c r="BO14" s="109" t="s">
        <v>1378</v>
      </c>
      <c r="BP14" s="103" t="s">
        <v>1379</v>
      </c>
      <c r="BQ14" s="190" t="s">
        <v>1380</v>
      </c>
      <c r="BR14" s="191" t="s">
        <v>1381</v>
      </c>
      <c r="BS14" s="109" t="s">
        <v>1382</v>
      </c>
      <c r="BT14" s="109" t="s">
        <v>1383</v>
      </c>
      <c r="BU14" s="109" t="s">
        <v>1384</v>
      </c>
      <c r="BV14" s="109" t="s">
        <v>1385</v>
      </c>
    </row>
    <row r="15" spans="1:74" x14ac:dyDescent="0.2">
      <c r="A15" s="93" t="str">
        <f>INDEX(Prioritization!$D:$D,MATCH($B15,Prioritization!$A:$A,0))</f>
        <v>Military</v>
      </c>
      <c r="B15" s="43" t="s">
        <v>193</v>
      </c>
      <c r="C15" s="87">
        <f>SUM(SUMIFS(PrEP!$O:$O,PrEP!$B:$B,$B15,PrEP!$C:$C,{"15-24","25-34","35-49","50+"},PrEP!$D:$D,"Female"))</f>
        <v>0</v>
      </c>
      <c r="D15" s="14">
        <f>SUM(SUMIFS(PrEP!$O:$O,PrEP!$B:$B,$B15,PrEP!$C:$C,{"15-24","25-34"},PrEP!$D:$D,"Female"))</f>
        <v>0</v>
      </c>
      <c r="E15" s="192">
        <f>SUM(SUMIFS(PrEP!$O:$O,PrEP!$B:$B,$B15,PrEP!$C:$C,{"15-24","25-34","35-49","50+"},PrEP!$D:$D,"Male"))</f>
        <v>0</v>
      </c>
      <c r="F15" s="189">
        <f>_xlfn.IFNA(INDEX(KP!$I:$I,MATCH(($B15&amp;"|"&amp;F$3),KP!$D:$D,0)),"")</f>
        <v>0</v>
      </c>
      <c r="G15" s="9">
        <f>_xlfn.IFNA(INDEX(KP!$I:$I,MATCH(($B15&amp;"|"&amp;G$3),KP!$D:$D,0)),"")</f>
        <v>0</v>
      </c>
      <c r="H15" s="9">
        <f>_xlfn.IFNA(INDEX(KP!$I:$I,MATCH(($B15&amp;"|"&amp;H$3),KP!$D:$D,0)),"")</f>
        <v>0</v>
      </c>
      <c r="I15" s="9">
        <f>_xlfn.IFNA(INDEX(KP!$I:$I,MATCH(($B15&amp;"|"&amp;I$3),KP!$D:$D,0)),"")</f>
        <v>0</v>
      </c>
      <c r="J15" s="9">
        <f>_xlfn.IFNA(INDEX(KP!$I:$I,MATCH(($B15&amp;"|"&amp;J$3),KP!$D:$D,0)),"")</f>
        <v>0</v>
      </c>
      <c r="K15" s="87">
        <f>SUM(SUMIFS(PrEP!$L:$L,PrEP!$B:$B,$B15,PrEP!$C:$C,{"15-24","25-34","35-49","50+"},PrEP!$D:$D,"Female"))</f>
        <v>0</v>
      </c>
      <c r="L15" s="14">
        <f>SUM(SUMIFS(PrEP!$L:$L,PrEP!$B:$B,$B15,PrEP!$C:$C,{"15-24","25-34"},PrEP!$D:$D,"Female"))</f>
        <v>0</v>
      </c>
      <c r="M15" s="192">
        <f>SUM(SUMIFS(PrEP!$L:$L,PrEP!$B:$B,$B15,PrEP!$C:$C,{"15-24","25-34","35-49","50+"},PrEP!$D:$D,"Male"))</f>
        <v>0</v>
      </c>
      <c r="N15" s="189">
        <f>_xlfn.IFNA(INDEX(KP!$K:$K,MATCH(($B15&amp;"|"&amp;N$3),KP!$D:$D,0)),"")</f>
        <v>0</v>
      </c>
      <c r="O15" s="9">
        <f>_xlfn.IFNA(INDEX(KP!$K:$K,MATCH(($B15&amp;"|"&amp;O$3),KP!$D:$D,0)),"")</f>
        <v>0</v>
      </c>
      <c r="P15" s="9">
        <f>_xlfn.IFNA(INDEX(KP!$K:$K,MATCH(($B15&amp;"|"&amp;P$3),KP!$D:$D,0)),"")</f>
        <v>0</v>
      </c>
      <c r="Q15" s="9">
        <f>_xlfn.IFNA(INDEX(KP!$K:$K,MATCH(($B15&amp;"|"&amp;Q$3),KP!$D:$D,0)),"")</f>
        <v>0</v>
      </c>
      <c r="R15" s="9">
        <f>_xlfn.IFNA(INDEX(KP!$K:$K,MATCH(($B15&amp;"|"&amp;R$3),KP!$D:$D,0)),"")</f>
        <v>0</v>
      </c>
      <c r="S15" s="87">
        <f>SUM(SUMIFS(Cascade!$AP:$AP,Cascade!$B:$B,$B15,Cascade!$C:$C,{"15-24","25-34","35-49","50+"},Cascade!$D:$D,"Female"))</f>
        <v>0</v>
      </c>
      <c r="T15" s="192">
        <f>SUM(SUMIFS(Cascade!$AP:$AP,Cascade!$B:$B,$B15,Cascade!$C:$C,{"15-24","25-34","35-49","50+"},Cascade!$D:$D,"Male"))</f>
        <v>0</v>
      </c>
      <c r="U15" s="189" t="str">
        <f>_xlfn.IFNA(INDEX(KP!$Q:$Q,MATCH(($B15&amp;"|"&amp;U$3),KP!$D:$D,0)),"")</f>
        <v/>
      </c>
      <c r="V15" s="9" t="str">
        <f>_xlfn.IFNA(INDEX(KP!$Q:$Q,MATCH(($B15&amp;"|"&amp;V$3),KP!$D:$D,0)),"")</f>
        <v/>
      </c>
      <c r="W15" s="9" t="str">
        <f>_xlfn.IFNA(INDEX(KP!$Q:$Q,MATCH(($B15&amp;"|"&amp;W$3),KP!$D:$D,0)),"")</f>
        <v/>
      </c>
      <c r="X15" s="9" t="str">
        <f>_xlfn.IFNA(INDEX(KP!$Q:$Q,MATCH(($B15&amp;"|"&amp;X$3),KP!$D:$D,0)),"")</f>
        <v/>
      </c>
      <c r="Y15" s="9" t="str">
        <f>_xlfn.IFNA(INDEX(KP!$Q:$Q,MATCH(($B15&amp;"|"&amp;Y$3),KP!$D:$D,0)),"")</f>
        <v/>
      </c>
      <c r="Z15" s="87">
        <f>SUM(SUMIFS(Cascade!$AX:$AX,Cascade!$B:$B,$B15,Cascade!$C:$C,{"15-24","25-34","35-49","50+"},Cascade!$D:$D,"Female"))</f>
        <v>0</v>
      </c>
      <c r="AA15" s="192">
        <f>SUM(SUMIFS(Cascade!$AX:$AX,Cascade!$B:$B,$B15,Cascade!$C:$C,{"15-24","25-34","35-49","50+"},Cascade!$D:$D,"Male"))</f>
        <v>0</v>
      </c>
      <c r="AB15" s="189" t="str">
        <f>_xlfn.IFNA(INDEX(KP!$Z:$Z,MATCH(($B15&amp;"|"&amp;AB$3),KP!$D:$D,0)),"")</f>
        <v/>
      </c>
      <c r="AC15" s="9" t="str">
        <f>_xlfn.IFNA(INDEX(KP!$Z:$Z,MATCH(($B15&amp;"|"&amp;AC$3),KP!$D:$D,0)),"")</f>
        <v/>
      </c>
      <c r="AD15" s="9" t="str">
        <f>_xlfn.IFNA(INDEX(KP!$Z:$Z,MATCH(($B15&amp;"|"&amp;AD$3),KP!$D:$D,0)),"")</f>
        <v/>
      </c>
      <c r="AE15" s="9" t="str">
        <f>_xlfn.IFNA(INDEX(KP!$Z:$Z,MATCH(($B15&amp;"|"&amp;AE$3),KP!$D:$D,0)),"")</f>
        <v/>
      </c>
      <c r="AF15" s="9" t="str">
        <f>_xlfn.IFNA(INDEX(KP!$Z:$Z,MATCH(($B15&amp;"|"&amp;AF$3),KP!$D:$D,0)),"")</f>
        <v/>
      </c>
      <c r="AG15" s="87">
        <f>SUM(SUMIFS(Cascade!$BB:$BB,Cascade!$B:$B,$B15,Cascade!$C:$C,{"15-24","25-34","35-49","50+"},Cascade!$D:$D,"Female"))</f>
        <v>0</v>
      </c>
      <c r="AH15" s="192">
        <f>SUM(SUMIFS(Cascade!$BB:$BB,Cascade!$B:$B,$B15,Cascade!$C:$C,{"15-24","25-34","35-49","50+"},Cascade!$D:$D,"Male"))</f>
        <v>0</v>
      </c>
      <c r="AI15" s="189" t="str">
        <f>_xlfn.IFNA(INDEX(KP!$AD:$AD,MATCH(($B15&amp;"|"&amp;AI$3),KP!$D:$D,0)),"")</f>
        <v/>
      </c>
      <c r="AJ15" s="9" t="str">
        <f>_xlfn.IFNA(INDEX(KP!$AD:$AD,MATCH(($B15&amp;"|"&amp;AJ$3),KP!$D:$D,0)),"")</f>
        <v/>
      </c>
      <c r="AK15" s="9" t="str">
        <f>_xlfn.IFNA(INDEX(KP!$AD:$AD,MATCH(($B15&amp;"|"&amp;AK$3),KP!$D:$D,0)),"")</f>
        <v/>
      </c>
      <c r="AL15" s="9" t="str">
        <f>_xlfn.IFNA(INDEX(KP!$AD:$AD,MATCH(($B15&amp;"|"&amp;AL$3),KP!$D:$D,0)),"")</f>
        <v/>
      </c>
      <c r="AM15" s="9" t="str">
        <f>_xlfn.IFNA(INDEX(KP!$AD:$AD,MATCH(($B15&amp;"|"&amp;AM$3),KP!$D:$D,0)),"")</f>
        <v/>
      </c>
      <c r="AN15" s="87">
        <f>SUM(SUMIFS(Cascade!$BE:$BE,Cascade!$B:$B,$B15,Cascade!$C:$C,{"15-24","25-34","35-49","50+"},Cascade!$D:$D,"Female"))</f>
        <v>0</v>
      </c>
      <c r="AO15" s="192">
        <f>SUM(SUMIFS(Cascade!$BE:$BE,Cascade!$B:$B,$B15,Cascade!$C:$C,{"15-24","25-34","35-49","50+"},Cascade!$D:$D,"Male"))</f>
        <v>0</v>
      </c>
      <c r="AP15" s="189" t="str">
        <f>_xlfn.IFNA(INDEX(KP!$AF:$AF,MATCH(($B15&amp;"|"&amp;AP$3),KP!$D:$D,0)),"")</f>
        <v/>
      </c>
      <c r="AQ15" s="9" t="str">
        <f>_xlfn.IFNA(INDEX(KP!$AF:$AF,MATCH(($B15&amp;"|"&amp;AQ$3),KP!$D:$D,0)),"")</f>
        <v/>
      </c>
      <c r="AR15" s="9" t="str">
        <f>_xlfn.IFNA(INDEX(KP!$AF:$AF,MATCH(($B15&amp;"|"&amp;AR$3),KP!$D:$D,0)),"")</f>
        <v/>
      </c>
      <c r="AS15" s="9" t="str">
        <f>_xlfn.IFNA(INDEX(KP!$AF:$AF,MATCH(($B15&amp;"|"&amp;AS$3),KP!$D:$D,0)),"")</f>
        <v/>
      </c>
      <c r="AT15" s="9" t="str">
        <f>_xlfn.IFNA(INDEX(KP!$AF:$AF,MATCH(($B15&amp;"|"&amp;AT$3),KP!$D:$D,0)),"")</f>
        <v/>
      </c>
      <c r="AU15" s="87">
        <f>SUM(SUMIFS(HTS!$AM:$AM,HTS!$B:$B,$B15,HTS!$C:$C,{"15-24","25-34","35-49","50+"},HTS!$D:$D,"Female"))</f>
        <v>0</v>
      </c>
      <c r="AV15" s="192">
        <f>SUM(SUMIFS(HTS!$AM:$AM,HTS!$B:$B,$B15,HTS!$C:$C,{"15-24","25-34","35-49","50+"},HTS!$D:$D,"Male"))</f>
        <v>0</v>
      </c>
      <c r="AW15" s="189" t="str">
        <f>_xlfn.IFNA(INDEX(KP!$AK:$AK,MATCH(($B15&amp;"|"&amp;AW$3),KP!$D:$D,0)),"")</f>
        <v/>
      </c>
      <c r="AX15" s="9" t="str">
        <f>_xlfn.IFNA(INDEX(KP!$AK:$AK,MATCH(($B15&amp;"|"&amp;AX$3),KP!$D:$D,0)),"")</f>
        <v/>
      </c>
      <c r="AY15" s="9" t="str">
        <f>_xlfn.IFNA(INDEX(KP!$AK:$AK,MATCH(($B15&amp;"|"&amp;AY$3),KP!$D:$D,0)),"")</f>
        <v/>
      </c>
      <c r="AZ15" s="9" t="str">
        <f>_xlfn.IFNA(INDEX(KP!$AK:$AK,MATCH(($B15&amp;"|"&amp;AZ$3),KP!$D:$D,0)),"")</f>
        <v/>
      </c>
      <c r="BA15" s="9" t="str">
        <f>_xlfn.IFNA(INDEX(KP!$AK:$AK,MATCH(($B15&amp;"|"&amp;BA$3),KP!$D:$D,0)),"")</f>
        <v/>
      </c>
      <c r="BB15" s="87">
        <f>SUM(SUMIFS(HTS!$AT:$AT,HTS!$B:$B,$B15,HTS!$C:$C,{"15-24","25-34","35-49","50+"},HTS!$D:$D,"Female"))</f>
        <v>0</v>
      </c>
      <c r="BC15" s="192">
        <f>SUM(SUMIFS(HTS!$AT:$AT,HTS!$B:$B,$B15,HTS!$C:$C,{"15-24","25-34","35-49","50+"},HTS!$D:$D,"Male"))</f>
        <v>0</v>
      </c>
      <c r="BD15" s="189" t="str">
        <f>_xlfn.IFNA(INDEX(KP!$AL:$AL,MATCH(($B15&amp;"|"&amp;BD$3),KP!$D:$D,0)),"")</f>
        <v/>
      </c>
      <c r="BE15" s="9" t="str">
        <f>_xlfn.IFNA(INDEX(KP!$AL:$AL,MATCH(($B15&amp;"|"&amp;BE$3),KP!$D:$D,0)),"")</f>
        <v/>
      </c>
      <c r="BF15" s="9" t="str">
        <f>_xlfn.IFNA(INDEX(KP!$AL:$AL,MATCH(($B15&amp;"|"&amp;BF$3),KP!$D:$D,0)),"")</f>
        <v/>
      </c>
      <c r="BG15" s="9" t="str">
        <f>_xlfn.IFNA(INDEX(KP!$AL:$AL,MATCH(($B15&amp;"|"&amp;BG$3),KP!$D:$D,0)),"")</f>
        <v/>
      </c>
      <c r="BH15" s="9" t="str">
        <f>_xlfn.IFNA(INDEX(KP!$AL:$AL,MATCH(($B15&amp;"|"&amp;BH$3),KP!$D:$D,0)),"")</f>
        <v/>
      </c>
      <c r="BI15" s="87">
        <f>SUM(SUMIFS(HTS!$BA:$BA,HTS!$B:$B,$B15,HTS!$C:$C,{"15-24","25-34","35-49","50+"},HTS!$D:$D,"Female"))</f>
        <v>0</v>
      </c>
      <c r="BJ15" s="192">
        <f>SUM(SUMIFS(HTS!$BA:$BA,HTS!$B:$B,$B15,HTS!$C:$C,{"15-24","25-34","35-49","50+"},HTS!$D:$D,"Male"))</f>
        <v>0</v>
      </c>
      <c r="BK15" s="189" t="str">
        <f>_xlfn.IFNA(INDEX(KP!$AN:$AN,MATCH(($B15&amp;"|"&amp;BK$3),KP!$D:$D,0)),"")</f>
        <v/>
      </c>
      <c r="BL15" s="9" t="str">
        <f>_xlfn.IFNA(INDEX(KP!$AN:$AN,MATCH(($B15&amp;"|"&amp;BL$3),KP!$D:$D,0)),"")</f>
        <v/>
      </c>
      <c r="BM15" s="9" t="str">
        <f>_xlfn.IFNA(INDEX(KP!$AN:$AN,MATCH(($B15&amp;"|"&amp;BM$3),KP!$D:$D,0)),"")</f>
        <v/>
      </c>
      <c r="BN15" s="9" t="str">
        <f>_xlfn.IFNA(INDEX(KP!$AN:$AN,MATCH(($B15&amp;"|"&amp;BN$3),KP!$D:$D,0)),"")</f>
        <v/>
      </c>
      <c r="BO15" s="9" t="str">
        <f>_xlfn.IFNA(INDEX(KP!$AN:$AN,MATCH(($B15&amp;"|"&amp;BO$3),KP!$D:$D,0)),"")</f>
        <v/>
      </c>
      <c r="BP15" s="87">
        <f>SUM(SUMIFS(HTS!$AY:$AY,HTS!$B:$B,$B15,HTS!$C:$C,{"15-24","25-34","35-49","50+"},HTS!$D:$D,"Female"))</f>
        <v>79</v>
      </c>
      <c r="BQ15" s="192">
        <f>SUM(SUMIFS(HTS!$AY:$AY,HTS!$B:$B,$B15,HTS!$C:$C,{"15-24","25-34","35-49","50+"},HTS!$D:$D,"Male"))</f>
        <v>13</v>
      </c>
      <c r="BR15" s="189">
        <f>_xlfn.IFNA(INDEX(KP!$AP:$AP,MATCH(($B15&amp;"|"&amp;BR$3),KP!$D:$D,0)),"")</f>
        <v>0</v>
      </c>
      <c r="BS15" s="9">
        <f>_xlfn.IFNA(INDEX(KP!$AP:$AP,MATCH(($B15&amp;"|"&amp;BS$3),KP!$D:$D,0)),"")</f>
        <v>0</v>
      </c>
      <c r="BT15" s="9">
        <f>_xlfn.IFNA(INDEX(KP!$AP:$AP,MATCH(($B15&amp;"|"&amp;BT$3),KP!$D:$D,0)),"")</f>
        <v>0</v>
      </c>
      <c r="BU15" s="9">
        <f>_xlfn.IFNA(INDEX(KP!$AP:$AP,MATCH(($B15&amp;"|"&amp;BU$3),KP!$D:$D,0)),"")</f>
        <v>0</v>
      </c>
      <c r="BV15" s="9">
        <f>_xlfn.IFNA(INDEX(KP!$AP:$AP,MATCH(($B15&amp;"|"&amp;BV$3),KP!$D:$D,0)),"")</f>
        <v>0</v>
      </c>
    </row>
    <row r="16" spans="1:74" x14ac:dyDescent="0.2">
      <c r="A16" s="93" t="str">
        <f>INDEX(Prioritization!$D:$D,MATCH($B16,Prioritization!$A:$A,0))</f>
        <v>1 - Scale-up: Saturation</v>
      </c>
      <c r="B16" s="43" t="s">
        <v>194</v>
      </c>
      <c r="C16" s="14">
        <f>SUM(SUMIFS(PrEP!$O:$O,PrEP!$B:$B,$B16,PrEP!$C:$C,{"15-24","25-34","35-49","50+"},PrEP!$D:$D,"Female"))</f>
        <v>0</v>
      </c>
      <c r="D16" s="14">
        <f>SUM(SUMIFS(PrEP!$O:$O,PrEP!$B:$B,$B16,PrEP!$C:$C,{"15-24","25-34"},PrEP!$D:$D,"Female"))</f>
        <v>0</v>
      </c>
      <c r="E16" s="14">
        <f>SUM(SUMIFS(PrEP!$O:$O,PrEP!$B:$B,$B16,PrEP!$C:$C,{"15-24","25-34","35-49","50+"},PrEP!$D:$D,"Male"))</f>
        <v>0</v>
      </c>
      <c r="F16" s="14">
        <f>_xlfn.IFNA(INDEX(KP!$I:$I,MATCH(($B16&amp;"|"&amp;F$3),KP!$D:$D,0)),"")</f>
        <v>0</v>
      </c>
      <c r="G16" s="14">
        <f>_xlfn.IFNA(INDEX(KP!$I:$I,MATCH(($B16&amp;"|"&amp;G$3),KP!$D:$D,0)),"")</f>
        <v>0</v>
      </c>
      <c r="H16" s="14">
        <f>_xlfn.IFNA(INDEX(KP!$I:$I,MATCH(($B16&amp;"|"&amp;H$3),KP!$D:$D,0)),"")</f>
        <v>0</v>
      </c>
      <c r="I16" s="14">
        <f>_xlfn.IFNA(INDEX(KP!$I:$I,MATCH(($B16&amp;"|"&amp;I$3),KP!$D:$D,0)),"")</f>
        <v>0</v>
      </c>
      <c r="J16" s="14">
        <f>_xlfn.IFNA(INDEX(KP!$I:$I,MATCH(($B16&amp;"|"&amp;J$3),KP!$D:$D,0)),"")</f>
        <v>0</v>
      </c>
      <c r="K16" s="14">
        <f>SUM(SUMIFS(PrEP!$L:$L,PrEP!$B:$B,$B16,PrEP!$C:$C,{"15-24","25-34","35-49","50+"},PrEP!$D:$D,"Female"))</f>
        <v>0</v>
      </c>
      <c r="L16" s="14">
        <f>SUM(SUMIFS(PrEP!$L:$L,PrEP!$B:$B,$B16,PrEP!$C:$C,{"15-24","25-34"},PrEP!$D:$D,"Female"))</f>
        <v>0</v>
      </c>
      <c r="M16" s="14">
        <f>SUM(SUMIFS(PrEP!$L:$L,PrEP!$B:$B,$B16,PrEP!$C:$C,{"15-24","25-34","35-49","50+"},PrEP!$D:$D,"Male"))</f>
        <v>0</v>
      </c>
      <c r="N16" s="14">
        <f>_xlfn.IFNA(INDEX(KP!$K:$K,MATCH(($B16&amp;"|"&amp;N$3),KP!$D:$D,0)),"")</f>
        <v>0</v>
      </c>
      <c r="O16" s="14">
        <f>_xlfn.IFNA(INDEX(KP!$K:$K,MATCH(($B16&amp;"|"&amp;O$3),KP!$D:$D,0)),"")</f>
        <v>0</v>
      </c>
      <c r="P16" s="14">
        <f>_xlfn.IFNA(INDEX(KP!$K:$K,MATCH(($B16&amp;"|"&amp;P$3),KP!$D:$D,0)),"")</f>
        <v>0</v>
      </c>
      <c r="Q16" s="14">
        <f>_xlfn.IFNA(INDEX(KP!$K:$K,MATCH(($B16&amp;"|"&amp;Q$3),KP!$D:$D,0)),"")</f>
        <v>0</v>
      </c>
      <c r="R16" s="14">
        <f>_xlfn.IFNA(INDEX(KP!$K:$K,MATCH(($B16&amp;"|"&amp;R$3),KP!$D:$D,0)),"")</f>
        <v>0</v>
      </c>
      <c r="S16" s="14">
        <f>SUM(SUMIFS(Cascade!$AP:$AP,Cascade!$B:$B,$B16,Cascade!$C:$C,{"15-24","25-34","35-49","50+"},Cascade!$D:$D,"Female"))</f>
        <v>0</v>
      </c>
      <c r="T16" s="14">
        <f>SUM(SUMIFS(Cascade!$AP:$AP,Cascade!$B:$B,$B16,Cascade!$C:$C,{"15-24","25-34","35-49","50+"},Cascade!$D:$D,"Male"))</f>
        <v>0</v>
      </c>
      <c r="U16" s="14" t="str">
        <f>_xlfn.IFNA(INDEX(KP!$Q:$Q,MATCH(($B16&amp;"|"&amp;U$3),KP!$D:$D,0)),"")</f>
        <v/>
      </c>
      <c r="V16" s="14" t="str">
        <f>_xlfn.IFNA(INDEX(KP!$Q:$Q,MATCH(($B16&amp;"|"&amp;V$3),KP!$D:$D,0)),"")</f>
        <v/>
      </c>
      <c r="W16" s="14">
        <f>_xlfn.IFNA(INDEX(KP!$Q:$Q,MATCH(($B16&amp;"|"&amp;W$3),KP!$D:$D,0)),"")</f>
        <v>7</v>
      </c>
      <c r="X16" s="14" t="str">
        <f>_xlfn.IFNA(INDEX(KP!$Q:$Q,MATCH(($B16&amp;"|"&amp;X$3),KP!$D:$D,0)),"")</f>
        <v/>
      </c>
      <c r="Y16" s="14" t="str">
        <f>_xlfn.IFNA(INDEX(KP!$Q:$Q,MATCH(($B16&amp;"|"&amp;Y$3),KP!$D:$D,0)),"")</f>
        <v/>
      </c>
      <c r="Z16" s="14">
        <f>SUM(SUMIFS(Cascade!$AX:$AX,Cascade!$B:$B,$B16,Cascade!$C:$C,{"15-24","25-34","35-49","50+"},Cascade!$D:$D,"Female"))</f>
        <v>0</v>
      </c>
      <c r="AA16" s="14">
        <f>SUM(SUMIFS(Cascade!$AX:$AX,Cascade!$B:$B,$B16,Cascade!$C:$C,{"15-24","25-34","35-49","50+"},Cascade!$D:$D,"Male"))</f>
        <v>0</v>
      </c>
      <c r="AB16" s="14" t="str">
        <f>_xlfn.IFNA(INDEX(KP!$Z:$Z,MATCH(($B16&amp;"|"&amp;AB$3),KP!$D:$D,0)),"")</f>
        <v/>
      </c>
      <c r="AC16" s="14" t="str">
        <f>_xlfn.IFNA(INDEX(KP!$Z:$Z,MATCH(($B16&amp;"|"&amp;AC$3),KP!$D:$D,0)),"")</f>
        <v/>
      </c>
      <c r="AD16" s="14" t="str">
        <f>_xlfn.IFNA(INDEX(KP!$Z:$Z,MATCH(($B16&amp;"|"&amp;AD$3),KP!$D:$D,0)),"")</f>
        <v/>
      </c>
      <c r="AE16" s="14" t="str">
        <f>_xlfn.IFNA(INDEX(KP!$Z:$Z,MATCH(($B16&amp;"|"&amp;AE$3),KP!$D:$D,0)),"")</f>
        <v/>
      </c>
      <c r="AF16" s="14" t="str">
        <f>_xlfn.IFNA(INDEX(KP!$Z:$Z,MATCH(($B16&amp;"|"&amp;AF$3),KP!$D:$D,0)),"")</f>
        <v/>
      </c>
      <c r="AG16" s="14">
        <f>SUM(SUMIFS(Cascade!$BB:$BB,Cascade!$B:$B,$B16,Cascade!$C:$C,{"15-24","25-34","35-49","50+"},Cascade!$D:$D,"Female"))</f>
        <v>0</v>
      </c>
      <c r="AH16" s="14">
        <f>SUM(SUMIFS(Cascade!$BB:$BB,Cascade!$B:$B,$B16,Cascade!$C:$C,{"15-24","25-34","35-49","50+"},Cascade!$D:$D,"Male"))</f>
        <v>0</v>
      </c>
      <c r="AI16" s="14" t="str">
        <f>_xlfn.IFNA(INDEX(KP!$AD:$AD,MATCH(($B16&amp;"|"&amp;AI$3),KP!$D:$D,0)),"")</f>
        <v/>
      </c>
      <c r="AJ16" s="14" t="str">
        <f>_xlfn.IFNA(INDEX(KP!$AD:$AD,MATCH(($B16&amp;"|"&amp;AJ$3),KP!$D:$D,0)),"")</f>
        <v/>
      </c>
      <c r="AK16" s="14">
        <f>_xlfn.IFNA(INDEX(KP!$AD:$AD,MATCH(($B16&amp;"|"&amp;AK$3),KP!$D:$D,0)),"")</f>
        <v>7</v>
      </c>
      <c r="AL16" s="14" t="str">
        <f>_xlfn.IFNA(INDEX(KP!$AD:$AD,MATCH(($B16&amp;"|"&amp;AL$3),KP!$D:$D,0)),"")</f>
        <v/>
      </c>
      <c r="AM16" s="14" t="str">
        <f>_xlfn.IFNA(INDEX(KP!$AD:$AD,MATCH(($B16&amp;"|"&amp;AM$3),KP!$D:$D,0)),"")</f>
        <v/>
      </c>
      <c r="AN16" s="14">
        <f>SUM(SUMIFS(Cascade!$BE:$BE,Cascade!$B:$B,$B16,Cascade!$C:$C,{"15-24","25-34","35-49","50+"},Cascade!$D:$D,"Female"))</f>
        <v>0</v>
      </c>
      <c r="AO16" s="14">
        <f>SUM(SUMIFS(Cascade!$BE:$BE,Cascade!$B:$B,$B16,Cascade!$C:$C,{"15-24","25-34","35-49","50+"},Cascade!$D:$D,"Male"))</f>
        <v>0</v>
      </c>
      <c r="AP16" s="14" t="str">
        <f>_xlfn.IFNA(INDEX(KP!$AF:$AF,MATCH(($B16&amp;"|"&amp;AP$3),KP!$D:$D,0)),"")</f>
        <v/>
      </c>
      <c r="AQ16" s="14" t="str">
        <f>_xlfn.IFNA(INDEX(KP!$AF:$AF,MATCH(($B16&amp;"|"&amp;AQ$3),KP!$D:$D,0)),"")</f>
        <v/>
      </c>
      <c r="AR16" s="14">
        <f>_xlfn.IFNA(INDEX(KP!$AF:$AF,MATCH(($B16&amp;"|"&amp;AR$3),KP!$D:$D,0)),"")</f>
        <v>7</v>
      </c>
      <c r="AS16" s="14" t="str">
        <f>_xlfn.IFNA(INDEX(KP!$AF:$AF,MATCH(($B16&amp;"|"&amp;AS$3),KP!$D:$D,0)),"")</f>
        <v/>
      </c>
      <c r="AT16" s="14" t="str">
        <f>_xlfn.IFNA(INDEX(KP!$AF:$AF,MATCH(($B16&amp;"|"&amp;AT$3),KP!$D:$D,0)),"")</f>
        <v/>
      </c>
      <c r="AU16" s="14">
        <f>SUM(SUMIFS(HTS!$AM:$AM,HTS!$B:$B,$B16,HTS!$C:$C,{"15-24","25-34","35-49","50+"},HTS!$D:$D,"Female"))</f>
        <v>0</v>
      </c>
      <c r="AV16" s="14">
        <f>SUM(SUMIFS(HTS!$AM:$AM,HTS!$B:$B,$B16,HTS!$C:$C,{"15-24","25-34","35-49","50+"},HTS!$D:$D,"Male"))</f>
        <v>0</v>
      </c>
      <c r="AW16" s="14" t="str">
        <f>_xlfn.IFNA(INDEX(KP!$AK:$AK,MATCH(($B16&amp;"|"&amp;AW$3),KP!$D:$D,0)),"")</f>
        <v/>
      </c>
      <c r="AX16" s="14" t="str">
        <f>_xlfn.IFNA(INDEX(KP!$AK:$AK,MATCH(($B16&amp;"|"&amp;AX$3),KP!$D:$D,0)),"")</f>
        <v/>
      </c>
      <c r="AY16" s="14" t="str">
        <f>_xlfn.IFNA(INDEX(KP!$AK:$AK,MATCH(($B16&amp;"|"&amp;AY$3),KP!$D:$D,0)),"")</f>
        <v/>
      </c>
      <c r="AZ16" s="14" t="str">
        <f>_xlfn.IFNA(INDEX(KP!$AK:$AK,MATCH(($B16&amp;"|"&amp;AZ$3),KP!$D:$D,0)),"")</f>
        <v/>
      </c>
      <c r="BA16" s="14" t="str">
        <f>_xlfn.IFNA(INDEX(KP!$AK:$AK,MATCH(($B16&amp;"|"&amp;BA$3),KP!$D:$D,0)),"")</f>
        <v/>
      </c>
      <c r="BB16" s="14">
        <f>SUM(SUMIFS(HTS!$AT:$AT,HTS!$B:$B,$B16,HTS!$C:$C,{"15-24","25-34","35-49","50+"},HTS!$D:$D,"Female"))</f>
        <v>0</v>
      </c>
      <c r="BC16" s="14">
        <f>SUM(SUMIFS(HTS!$AT:$AT,HTS!$B:$B,$B16,HTS!$C:$C,{"15-24","25-34","35-49","50+"},HTS!$D:$D,"Male"))</f>
        <v>0</v>
      </c>
      <c r="BD16" s="14" t="str">
        <f>_xlfn.IFNA(INDEX(KP!$AL:$AL,MATCH(($B16&amp;"|"&amp;BD$3),KP!$D:$D,0)),"")</f>
        <v/>
      </c>
      <c r="BE16" s="14" t="str">
        <f>_xlfn.IFNA(INDEX(KP!$AL:$AL,MATCH(($B16&amp;"|"&amp;BE$3),KP!$D:$D,0)),"")</f>
        <v/>
      </c>
      <c r="BF16" s="14" t="str">
        <f>_xlfn.IFNA(INDEX(KP!$AL:$AL,MATCH(($B16&amp;"|"&amp;BF$3),KP!$D:$D,0)),"")</f>
        <v/>
      </c>
      <c r="BG16" s="14" t="str">
        <f>_xlfn.IFNA(INDEX(KP!$AL:$AL,MATCH(($B16&amp;"|"&amp;BG$3),KP!$D:$D,0)),"")</f>
        <v/>
      </c>
      <c r="BH16" s="14" t="str">
        <f>_xlfn.IFNA(INDEX(KP!$AL:$AL,MATCH(($B16&amp;"|"&amp;BH$3),KP!$D:$D,0)),"")</f>
        <v/>
      </c>
      <c r="BI16" s="14">
        <f>SUM(SUMIFS(HTS!$BA:$BA,HTS!$B:$B,$B16,HTS!$C:$C,{"15-24","25-34","35-49","50+"},HTS!$D:$D,"Female"))</f>
        <v>0</v>
      </c>
      <c r="BJ16" s="14">
        <f>SUM(SUMIFS(HTS!$BA:$BA,HTS!$B:$B,$B16,HTS!$C:$C,{"15-24","25-34","35-49","50+"},HTS!$D:$D,"Male"))</f>
        <v>0</v>
      </c>
      <c r="BK16" s="14" t="str">
        <f>_xlfn.IFNA(INDEX(KP!$AN:$AN,MATCH(($B16&amp;"|"&amp;BK$3),KP!$D:$D,0)),"")</f>
        <v/>
      </c>
      <c r="BL16" s="14" t="str">
        <f>_xlfn.IFNA(INDEX(KP!$AN:$AN,MATCH(($B16&amp;"|"&amp;BL$3),KP!$D:$D,0)),"")</f>
        <v/>
      </c>
      <c r="BM16" s="14" t="str">
        <f>_xlfn.IFNA(INDEX(KP!$AN:$AN,MATCH(($B16&amp;"|"&amp;BM$3),KP!$D:$D,0)),"")</f>
        <v/>
      </c>
      <c r="BN16" s="14" t="str">
        <f>_xlfn.IFNA(INDEX(KP!$AN:$AN,MATCH(($B16&amp;"|"&amp;BN$3),KP!$D:$D,0)),"")</f>
        <v/>
      </c>
      <c r="BO16" s="14" t="str">
        <f>_xlfn.IFNA(INDEX(KP!$AN:$AN,MATCH(($B16&amp;"|"&amp;BO$3),KP!$D:$D,0)),"")</f>
        <v/>
      </c>
      <c r="BP16" s="14">
        <f>SUM(SUMIFS(HTS!$AY:$AY,HTS!$B:$B,$B16,HTS!$C:$C,{"15-24","25-34","35-49","50+"},HTS!$D:$D,"Female"))</f>
        <v>7</v>
      </c>
      <c r="BQ16" s="14">
        <f>SUM(SUMIFS(HTS!$AY:$AY,HTS!$B:$B,$B16,HTS!$C:$C,{"15-24","25-34","35-49","50+"},HTS!$D:$D,"Male"))</f>
        <v>5</v>
      </c>
      <c r="BR16" s="14">
        <f>_xlfn.IFNA(INDEX(KP!$AP:$AP,MATCH(($B16&amp;"|"&amp;BR$3),KP!$D:$D,0)),"")</f>
        <v>0</v>
      </c>
      <c r="BS16" s="14">
        <f>_xlfn.IFNA(INDEX(KP!$AP:$AP,MATCH(($B16&amp;"|"&amp;BS$3),KP!$D:$D,0)),"")</f>
        <v>0</v>
      </c>
      <c r="BT16" s="14">
        <f>_xlfn.IFNA(INDEX(KP!$AP:$AP,MATCH(($B16&amp;"|"&amp;BT$3),KP!$D:$D,0)),"")</f>
        <v>0</v>
      </c>
      <c r="BU16" s="14">
        <f>_xlfn.IFNA(INDEX(KP!$AP:$AP,MATCH(($B16&amp;"|"&amp;BU$3),KP!$D:$D,0)),"")</f>
        <v>0</v>
      </c>
      <c r="BV16" s="14">
        <f>_xlfn.IFNA(INDEX(KP!$AP:$AP,MATCH(($B16&amp;"|"&amp;BV$3),KP!$D:$D,0)),"")</f>
        <v>0</v>
      </c>
    </row>
    <row r="17" spans="1:74" x14ac:dyDescent="0.2">
      <c r="A17" s="93" t="str">
        <f>INDEX(Prioritization!$D:$D,MATCH($B17,Prioritization!$A:$A,0))</f>
        <v>1 - Scale-up: Saturation</v>
      </c>
      <c r="B17" s="43" t="s">
        <v>195</v>
      </c>
      <c r="C17" s="14">
        <f>SUM(SUMIFS(PrEP!$O:$O,PrEP!$B:$B,$B17,PrEP!$C:$C,{"15-24","25-34","35-49","50+"},PrEP!$D:$D,"Female"))</f>
        <v>0</v>
      </c>
      <c r="D17" s="14">
        <f>SUM(SUMIFS(PrEP!$O:$O,PrEP!$B:$B,$B17,PrEP!$C:$C,{"15-24","25-34"},PrEP!$D:$D,"Female"))</f>
        <v>0</v>
      </c>
      <c r="E17" s="14">
        <f>SUM(SUMIFS(PrEP!$O:$O,PrEP!$B:$B,$B17,PrEP!$C:$C,{"15-24","25-34","35-49","50+"},PrEP!$D:$D,"Male"))</f>
        <v>0</v>
      </c>
      <c r="F17" s="14">
        <f>_xlfn.IFNA(INDEX(KP!$I:$I,MATCH(($B17&amp;"|"&amp;F$3),KP!$D:$D,0)),"")</f>
        <v>0</v>
      </c>
      <c r="G17" s="14">
        <f>_xlfn.IFNA(INDEX(KP!$I:$I,MATCH(($B17&amp;"|"&amp;G$3),KP!$D:$D,0)),"")</f>
        <v>0</v>
      </c>
      <c r="H17" s="14">
        <f>_xlfn.IFNA(INDEX(KP!$I:$I,MATCH(($B17&amp;"|"&amp;H$3),KP!$D:$D,0)),"")</f>
        <v>0</v>
      </c>
      <c r="I17" s="14">
        <f>_xlfn.IFNA(INDEX(KP!$I:$I,MATCH(($B17&amp;"|"&amp;I$3),KP!$D:$D,0)),"")</f>
        <v>0</v>
      </c>
      <c r="J17" s="14">
        <f>_xlfn.IFNA(INDEX(KP!$I:$I,MATCH(($B17&amp;"|"&amp;J$3),KP!$D:$D,0)),"")</f>
        <v>0</v>
      </c>
      <c r="K17" s="14">
        <f>SUM(SUMIFS(PrEP!$L:$L,PrEP!$B:$B,$B17,PrEP!$C:$C,{"15-24","25-34","35-49","50+"},PrEP!$D:$D,"Female"))</f>
        <v>0</v>
      </c>
      <c r="L17" s="14">
        <f>SUM(SUMIFS(PrEP!$L:$L,PrEP!$B:$B,$B17,PrEP!$C:$C,{"15-24","25-34"},PrEP!$D:$D,"Female"))</f>
        <v>0</v>
      </c>
      <c r="M17" s="14">
        <f>SUM(SUMIFS(PrEP!$L:$L,PrEP!$B:$B,$B17,PrEP!$C:$C,{"15-24","25-34","35-49","50+"},PrEP!$D:$D,"Male"))</f>
        <v>0</v>
      </c>
      <c r="N17" s="14">
        <f>_xlfn.IFNA(INDEX(KP!$K:$K,MATCH(($B17&amp;"|"&amp;N$3),KP!$D:$D,0)),"")</f>
        <v>0</v>
      </c>
      <c r="O17" s="14">
        <f>_xlfn.IFNA(INDEX(KP!$K:$K,MATCH(($B17&amp;"|"&amp;O$3),KP!$D:$D,0)),"")</f>
        <v>0</v>
      </c>
      <c r="P17" s="14">
        <f>_xlfn.IFNA(INDEX(KP!$K:$K,MATCH(($B17&amp;"|"&amp;P$3),KP!$D:$D,0)),"")</f>
        <v>0</v>
      </c>
      <c r="Q17" s="14">
        <f>_xlfn.IFNA(INDEX(KP!$K:$K,MATCH(($B17&amp;"|"&amp;Q$3),KP!$D:$D,0)),"")</f>
        <v>0</v>
      </c>
      <c r="R17" s="14">
        <f>_xlfn.IFNA(INDEX(KP!$K:$K,MATCH(($B17&amp;"|"&amp;R$3),KP!$D:$D,0)),"")</f>
        <v>0</v>
      </c>
      <c r="S17" s="14">
        <f>SUM(SUMIFS(Cascade!$AP:$AP,Cascade!$B:$B,$B17,Cascade!$C:$C,{"15-24","25-34","35-49","50+"},Cascade!$D:$D,"Female"))</f>
        <v>0</v>
      </c>
      <c r="T17" s="14">
        <f>SUM(SUMIFS(Cascade!$AP:$AP,Cascade!$B:$B,$B17,Cascade!$C:$C,{"15-24","25-34","35-49","50+"},Cascade!$D:$D,"Male"))</f>
        <v>0</v>
      </c>
      <c r="U17" s="14" t="str">
        <f>_xlfn.IFNA(INDEX(KP!$Q:$Q,MATCH(($B17&amp;"|"&amp;U$3),KP!$D:$D,0)),"")</f>
        <v/>
      </c>
      <c r="V17" s="14" t="str">
        <f>_xlfn.IFNA(INDEX(KP!$Q:$Q,MATCH(($B17&amp;"|"&amp;V$3),KP!$D:$D,0)),"")</f>
        <v/>
      </c>
      <c r="W17" s="14" t="str">
        <f>_xlfn.IFNA(INDEX(KP!$Q:$Q,MATCH(($B17&amp;"|"&amp;W$3),KP!$D:$D,0)),"")</f>
        <v/>
      </c>
      <c r="X17" s="14" t="str">
        <f>_xlfn.IFNA(INDEX(KP!$Q:$Q,MATCH(($B17&amp;"|"&amp;X$3),KP!$D:$D,0)),"")</f>
        <v/>
      </c>
      <c r="Y17" s="14" t="str">
        <f>_xlfn.IFNA(INDEX(KP!$Q:$Q,MATCH(($B17&amp;"|"&amp;Y$3),KP!$D:$D,0)),"")</f>
        <v/>
      </c>
      <c r="Z17" s="14">
        <f>SUM(SUMIFS(Cascade!$AX:$AX,Cascade!$B:$B,$B17,Cascade!$C:$C,{"15-24","25-34","35-49","50+"},Cascade!$D:$D,"Female"))</f>
        <v>0</v>
      </c>
      <c r="AA17" s="14">
        <f>SUM(SUMIFS(Cascade!$AX:$AX,Cascade!$B:$B,$B17,Cascade!$C:$C,{"15-24","25-34","35-49","50+"},Cascade!$D:$D,"Male"))</f>
        <v>0</v>
      </c>
      <c r="AB17" s="14" t="str">
        <f>_xlfn.IFNA(INDEX(KP!$Z:$Z,MATCH(($B17&amp;"|"&amp;AB$3),KP!$D:$D,0)),"")</f>
        <v/>
      </c>
      <c r="AC17" s="14" t="str">
        <f>_xlfn.IFNA(INDEX(KP!$Z:$Z,MATCH(($B17&amp;"|"&amp;AC$3),KP!$D:$D,0)),"")</f>
        <v/>
      </c>
      <c r="AD17" s="14" t="str">
        <f>_xlfn.IFNA(INDEX(KP!$Z:$Z,MATCH(($B17&amp;"|"&amp;AD$3),KP!$D:$D,0)),"")</f>
        <v/>
      </c>
      <c r="AE17" s="14" t="str">
        <f>_xlfn.IFNA(INDEX(KP!$Z:$Z,MATCH(($B17&amp;"|"&amp;AE$3),KP!$D:$D,0)),"")</f>
        <v/>
      </c>
      <c r="AF17" s="14" t="str">
        <f>_xlfn.IFNA(INDEX(KP!$Z:$Z,MATCH(($B17&amp;"|"&amp;AF$3),KP!$D:$D,0)),"")</f>
        <v/>
      </c>
      <c r="AG17" s="14">
        <f>SUM(SUMIFS(Cascade!$BB:$BB,Cascade!$B:$B,$B17,Cascade!$C:$C,{"15-24","25-34","35-49","50+"},Cascade!$D:$D,"Female"))</f>
        <v>0</v>
      </c>
      <c r="AH17" s="14">
        <f>SUM(SUMIFS(Cascade!$BB:$BB,Cascade!$B:$B,$B17,Cascade!$C:$C,{"15-24","25-34","35-49","50+"},Cascade!$D:$D,"Male"))</f>
        <v>0</v>
      </c>
      <c r="AI17" s="14" t="str">
        <f>_xlfn.IFNA(INDEX(KP!$AD:$AD,MATCH(($B17&amp;"|"&amp;AI$3),KP!$D:$D,0)),"")</f>
        <v/>
      </c>
      <c r="AJ17" s="14" t="str">
        <f>_xlfn.IFNA(INDEX(KP!$AD:$AD,MATCH(($B17&amp;"|"&amp;AJ$3),KP!$D:$D,0)),"")</f>
        <v/>
      </c>
      <c r="AK17" s="14" t="str">
        <f>_xlfn.IFNA(INDEX(KP!$AD:$AD,MATCH(($B17&amp;"|"&amp;AK$3),KP!$D:$D,0)),"")</f>
        <v/>
      </c>
      <c r="AL17" s="14" t="str">
        <f>_xlfn.IFNA(INDEX(KP!$AD:$AD,MATCH(($B17&amp;"|"&amp;AL$3),KP!$D:$D,0)),"")</f>
        <v/>
      </c>
      <c r="AM17" s="14" t="str">
        <f>_xlfn.IFNA(INDEX(KP!$AD:$AD,MATCH(($B17&amp;"|"&amp;AM$3),KP!$D:$D,0)),"")</f>
        <v/>
      </c>
      <c r="AN17" s="14">
        <f>SUM(SUMIFS(Cascade!$BE:$BE,Cascade!$B:$B,$B17,Cascade!$C:$C,{"15-24","25-34","35-49","50+"},Cascade!$D:$D,"Female"))</f>
        <v>0</v>
      </c>
      <c r="AO17" s="14">
        <f>SUM(SUMIFS(Cascade!$BE:$BE,Cascade!$B:$B,$B17,Cascade!$C:$C,{"15-24","25-34","35-49","50+"},Cascade!$D:$D,"Male"))</f>
        <v>0</v>
      </c>
      <c r="AP17" s="14" t="str">
        <f>_xlfn.IFNA(INDEX(KP!$AF:$AF,MATCH(($B17&amp;"|"&amp;AP$3),KP!$D:$D,0)),"")</f>
        <v/>
      </c>
      <c r="AQ17" s="14" t="str">
        <f>_xlfn.IFNA(INDEX(KP!$AF:$AF,MATCH(($B17&amp;"|"&amp;AQ$3),KP!$D:$D,0)),"")</f>
        <v/>
      </c>
      <c r="AR17" s="14" t="str">
        <f>_xlfn.IFNA(INDEX(KP!$AF:$AF,MATCH(($B17&amp;"|"&amp;AR$3),KP!$D:$D,0)),"")</f>
        <v/>
      </c>
      <c r="AS17" s="14" t="str">
        <f>_xlfn.IFNA(INDEX(KP!$AF:$AF,MATCH(($B17&amp;"|"&amp;AS$3),KP!$D:$D,0)),"")</f>
        <v/>
      </c>
      <c r="AT17" s="14" t="str">
        <f>_xlfn.IFNA(INDEX(KP!$AF:$AF,MATCH(($B17&amp;"|"&amp;AT$3),KP!$D:$D,0)),"")</f>
        <v/>
      </c>
      <c r="AU17" s="14">
        <f>SUM(SUMIFS(HTS!$AM:$AM,HTS!$B:$B,$B17,HTS!$C:$C,{"15-24","25-34","35-49","50+"},HTS!$D:$D,"Female"))</f>
        <v>0</v>
      </c>
      <c r="AV17" s="14">
        <f>SUM(SUMIFS(HTS!$AM:$AM,HTS!$B:$B,$B17,HTS!$C:$C,{"15-24","25-34","35-49","50+"},HTS!$D:$D,"Male"))</f>
        <v>0</v>
      </c>
      <c r="AW17" s="14" t="str">
        <f>_xlfn.IFNA(INDEX(KP!$AK:$AK,MATCH(($B17&amp;"|"&amp;AW$3),KP!$D:$D,0)),"")</f>
        <v/>
      </c>
      <c r="AX17" s="14" t="str">
        <f>_xlfn.IFNA(INDEX(KP!$AK:$AK,MATCH(($B17&amp;"|"&amp;AX$3),KP!$D:$D,0)),"")</f>
        <v/>
      </c>
      <c r="AY17" s="14" t="str">
        <f>_xlfn.IFNA(INDEX(KP!$AK:$AK,MATCH(($B17&amp;"|"&amp;AY$3),KP!$D:$D,0)),"")</f>
        <v/>
      </c>
      <c r="AZ17" s="14" t="str">
        <f>_xlfn.IFNA(INDEX(KP!$AK:$AK,MATCH(($B17&amp;"|"&amp;AZ$3),KP!$D:$D,0)),"")</f>
        <v/>
      </c>
      <c r="BA17" s="14" t="str">
        <f>_xlfn.IFNA(INDEX(KP!$AK:$AK,MATCH(($B17&amp;"|"&amp;BA$3),KP!$D:$D,0)),"")</f>
        <v/>
      </c>
      <c r="BB17" s="14">
        <f>SUM(SUMIFS(HTS!$AT:$AT,HTS!$B:$B,$B17,HTS!$C:$C,{"15-24","25-34","35-49","50+"},HTS!$D:$D,"Female"))</f>
        <v>0</v>
      </c>
      <c r="BC17" s="14">
        <f>SUM(SUMIFS(HTS!$AT:$AT,HTS!$B:$B,$B17,HTS!$C:$C,{"15-24","25-34","35-49","50+"},HTS!$D:$D,"Male"))</f>
        <v>0</v>
      </c>
      <c r="BD17" s="14" t="str">
        <f>_xlfn.IFNA(INDEX(KP!$AL:$AL,MATCH(($B17&amp;"|"&amp;BD$3),KP!$D:$D,0)),"")</f>
        <v/>
      </c>
      <c r="BE17" s="14" t="str">
        <f>_xlfn.IFNA(INDEX(KP!$AL:$AL,MATCH(($B17&amp;"|"&amp;BE$3),KP!$D:$D,0)),"")</f>
        <v/>
      </c>
      <c r="BF17" s="14" t="str">
        <f>_xlfn.IFNA(INDEX(KP!$AL:$AL,MATCH(($B17&amp;"|"&amp;BF$3),KP!$D:$D,0)),"")</f>
        <v/>
      </c>
      <c r="BG17" s="14" t="str">
        <f>_xlfn.IFNA(INDEX(KP!$AL:$AL,MATCH(($B17&amp;"|"&amp;BG$3),KP!$D:$D,0)),"")</f>
        <v/>
      </c>
      <c r="BH17" s="14" t="str">
        <f>_xlfn.IFNA(INDEX(KP!$AL:$AL,MATCH(($B17&amp;"|"&amp;BH$3),KP!$D:$D,0)),"")</f>
        <v/>
      </c>
      <c r="BI17" s="14">
        <f>SUM(SUMIFS(HTS!$BA:$BA,HTS!$B:$B,$B17,HTS!$C:$C,{"15-24","25-34","35-49","50+"},HTS!$D:$D,"Female"))</f>
        <v>0</v>
      </c>
      <c r="BJ17" s="14">
        <f>SUM(SUMIFS(HTS!$BA:$BA,HTS!$B:$B,$B17,HTS!$C:$C,{"15-24","25-34","35-49","50+"},HTS!$D:$D,"Male"))</f>
        <v>0</v>
      </c>
      <c r="BK17" s="14" t="str">
        <f>_xlfn.IFNA(INDEX(KP!$AN:$AN,MATCH(($B17&amp;"|"&amp;BK$3),KP!$D:$D,0)),"")</f>
        <v/>
      </c>
      <c r="BL17" s="14" t="str">
        <f>_xlfn.IFNA(INDEX(KP!$AN:$AN,MATCH(($B17&amp;"|"&amp;BL$3),KP!$D:$D,0)),"")</f>
        <v/>
      </c>
      <c r="BM17" s="14" t="str">
        <f>_xlfn.IFNA(INDEX(KP!$AN:$AN,MATCH(($B17&amp;"|"&amp;BM$3),KP!$D:$D,0)),"")</f>
        <v/>
      </c>
      <c r="BN17" s="14" t="str">
        <f>_xlfn.IFNA(INDEX(KP!$AN:$AN,MATCH(($B17&amp;"|"&amp;BN$3),KP!$D:$D,0)),"")</f>
        <v/>
      </c>
      <c r="BO17" s="14" t="str">
        <f>_xlfn.IFNA(INDEX(KP!$AN:$AN,MATCH(($B17&amp;"|"&amp;BO$3),KP!$D:$D,0)),"")</f>
        <v/>
      </c>
      <c r="BP17" s="14">
        <f>SUM(SUMIFS(HTS!$AY:$AY,HTS!$B:$B,$B17,HTS!$C:$C,{"15-24","25-34","35-49","50+"},HTS!$D:$D,"Female"))</f>
        <v>2</v>
      </c>
      <c r="BQ17" s="14">
        <f>SUM(SUMIFS(HTS!$AY:$AY,HTS!$B:$B,$B17,HTS!$C:$C,{"15-24","25-34","35-49","50+"},HTS!$D:$D,"Male"))</f>
        <v>9</v>
      </c>
      <c r="BR17" s="14">
        <f>_xlfn.IFNA(INDEX(KP!$AP:$AP,MATCH(($B17&amp;"|"&amp;BR$3),KP!$D:$D,0)),"")</f>
        <v>0</v>
      </c>
      <c r="BS17" s="14">
        <f>_xlfn.IFNA(INDEX(KP!$AP:$AP,MATCH(($B17&amp;"|"&amp;BS$3),KP!$D:$D,0)),"")</f>
        <v>0</v>
      </c>
      <c r="BT17" s="14">
        <f>_xlfn.IFNA(INDEX(KP!$AP:$AP,MATCH(($B17&amp;"|"&amp;BT$3),KP!$D:$D,0)),"")</f>
        <v>0</v>
      </c>
      <c r="BU17" s="14">
        <f>_xlfn.IFNA(INDEX(KP!$AP:$AP,MATCH(($B17&amp;"|"&amp;BU$3),KP!$D:$D,0)),"")</f>
        <v>0</v>
      </c>
      <c r="BV17" s="14">
        <f>_xlfn.IFNA(INDEX(KP!$AP:$AP,MATCH(($B17&amp;"|"&amp;BV$3),KP!$D:$D,0)),"")</f>
        <v>0</v>
      </c>
    </row>
    <row r="18" spans="1:74" x14ac:dyDescent="0.2">
      <c r="A18" s="93" t="str">
        <f>INDEX(Prioritization!$D:$D,MATCH($B18,Prioritization!$A:$A,0))</f>
        <v>INVALID</v>
      </c>
      <c r="B18" s="43" t="s">
        <v>196</v>
      </c>
      <c r="C18" s="14">
        <f>SUM(SUMIFS(PrEP!$O:$O,PrEP!$B:$B,$B18,PrEP!$C:$C,{"15-24","25-34","35-49","50+"},PrEP!$D:$D,"Female"))</f>
        <v>0</v>
      </c>
      <c r="D18" s="14">
        <f>SUM(SUMIFS(PrEP!$O:$O,PrEP!$B:$B,$B18,PrEP!$C:$C,{"15-24","25-34"},PrEP!$D:$D,"Female"))</f>
        <v>0</v>
      </c>
      <c r="E18" s="14">
        <f>SUM(SUMIFS(PrEP!$O:$O,PrEP!$B:$B,$B18,PrEP!$C:$C,{"15-24","25-34","35-49","50+"},PrEP!$D:$D,"Male"))</f>
        <v>0</v>
      </c>
      <c r="F18" s="14">
        <f>_xlfn.IFNA(INDEX(KP!$I:$I,MATCH(($B18&amp;"|"&amp;F$3),KP!$D:$D,0)),"")</f>
        <v>0</v>
      </c>
      <c r="G18" s="14">
        <f>_xlfn.IFNA(INDEX(KP!$I:$I,MATCH(($B18&amp;"|"&amp;G$3),KP!$D:$D,0)),"")</f>
        <v>0</v>
      </c>
      <c r="H18" s="14">
        <f>_xlfn.IFNA(INDEX(KP!$I:$I,MATCH(($B18&amp;"|"&amp;H$3),KP!$D:$D,0)),"")</f>
        <v>0</v>
      </c>
      <c r="I18" s="14">
        <f>_xlfn.IFNA(INDEX(KP!$I:$I,MATCH(($B18&amp;"|"&amp;I$3),KP!$D:$D,0)),"")</f>
        <v>0</v>
      </c>
      <c r="J18" s="14">
        <f>_xlfn.IFNA(INDEX(KP!$I:$I,MATCH(($B18&amp;"|"&amp;J$3),KP!$D:$D,0)),"")</f>
        <v>0</v>
      </c>
      <c r="K18" s="14">
        <f>SUM(SUMIFS(PrEP!$L:$L,PrEP!$B:$B,$B18,PrEP!$C:$C,{"15-24","25-34","35-49","50+"},PrEP!$D:$D,"Female"))</f>
        <v>0</v>
      </c>
      <c r="L18" s="14">
        <f>SUM(SUMIFS(PrEP!$L:$L,PrEP!$B:$B,$B18,PrEP!$C:$C,{"15-24","25-34"},PrEP!$D:$D,"Female"))</f>
        <v>0</v>
      </c>
      <c r="M18" s="14">
        <f>SUM(SUMIFS(PrEP!$L:$L,PrEP!$B:$B,$B18,PrEP!$C:$C,{"15-24","25-34","35-49","50+"},PrEP!$D:$D,"Male"))</f>
        <v>0</v>
      </c>
      <c r="N18" s="14">
        <f>_xlfn.IFNA(INDEX(KP!$K:$K,MATCH(($B18&amp;"|"&amp;N$3),KP!$D:$D,0)),"")</f>
        <v>0</v>
      </c>
      <c r="O18" s="14">
        <f>_xlfn.IFNA(INDEX(KP!$K:$K,MATCH(($B18&amp;"|"&amp;O$3),KP!$D:$D,0)),"")</f>
        <v>0</v>
      </c>
      <c r="P18" s="14">
        <f>_xlfn.IFNA(INDEX(KP!$K:$K,MATCH(($B18&amp;"|"&amp;P$3),KP!$D:$D,0)),"")</f>
        <v>0</v>
      </c>
      <c r="Q18" s="14">
        <f>_xlfn.IFNA(INDEX(KP!$K:$K,MATCH(($B18&amp;"|"&amp;Q$3),KP!$D:$D,0)),"")</f>
        <v>0</v>
      </c>
      <c r="R18" s="14">
        <f>_xlfn.IFNA(INDEX(KP!$K:$K,MATCH(($B18&amp;"|"&amp;R$3),KP!$D:$D,0)),"")</f>
        <v>0</v>
      </c>
      <c r="S18" s="14">
        <f>SUM(SUMIFS(Cascade!$AP:$AP,Cascade!$B:$B,$B18,Cascade!$C:$C,{"15-24","25-34","35-49","50+"},Cascade!$D:$D,"Female"))</f>
        <v>0</v>
      </c>
      <c r="T18" s="14">
        <f>SUM(SUMIFS(Cascade!$AP:$AP,Cascade!$B:$B,$B18,Cascade!$C:$C,{"15-24","25-34","35-49","50+"},Cascade!$D:$D,"Male"))</f>
        <v>0</v>
      </c>
      <c r="U18" s="14" t="str">
        <f>_xlfn.IFNA(INDEX(KP!$Q:$Q,MATCH(($B18&amp;"|"&amp;U$3),KP!$D:$D,0)),"")</f>
        <v/>
      </c>
      <c r="V18" s="14" t="str">
        <f>_xlfn.IFNA(INDEX(KP!$Q:$Q,MATCH(($B18&amp;"|"&amp;V$3),KP!$D:$D,0)),"")</f>
        <v/>
      </c>
      <c r="W18" s="14" t="str">
        <f>_xlfn.IFNA(INDEX(KP!$Q:$Q,MATCH(($B18&amp;"|"&amp;W$3),KP!$D:$D,0)),"")</f>
        <v/>
      </c>
      <c r="X18" s="14" t="str">
        <f>_xlfn.IFNA(INDEX(KP!$Q:$Q,MATCH(($B18&amp;"|"&amp;X$3),KP!$D:$D,0)),"")</f>
        <v/>
      </c>
      <c r="Y18" s="14" t="str">
        <f>_xlfn.IFNA(INDEX(KP!$Q:$Q,MATCH(($B18&amp;"|"&amp;Y$3),KP!$D:$D,0)),"")</f>
        <v/>
      </c>
      <c r="Z18" s="14">
        <f>SUM(SUMIFS(Cascade!$AX:$AX,Cascade!$B:$B,$B18,Cascade!$C:$C,{"15-24","25-34","35-49","50+"},Cascade!$D:$D,"Female"))</f>
        <v>0</v>
      </c>
      <c r="AA18" s="14">
        <f>SUM(SUMIFS(Cascade!$AX:$AX,Cascade!$B:$B,$B18,Cascade!$C:$C,{"15-24","25-34","35-49","50+"},Cascade!$D:$D,"Male"))</f>
        <v>0</v>
      </c>
      <c r="AB18" s="14" t="str">
        <f>_xlfn.IFNA(INDEX(KP!$Z:$Z,MATCH(($B18&amp;"|"&amp;AB$3),KP!$D:$D,0)),"")</f>
        <v/>
      </c>
      <c r="AC18" s="14" t="str">
        <f>_xlfn.IFNA(INDEX(KP!$Z:$Z,MATCH(($B18&amp;"|"&amp;AC$3),KP!$D:$D,0)),"")</f>
        <v/>
      </c>
      <c r="AD18" s="14" t="str">
        <f>_xlfn.IFNA(INDEX(KP!$Z:$Z,MATCH(($B18&amp;"|"&amp;AD$3),KP!$D:$D,0)),"")</f>
        <v/>
      </c>
      <c r="AE18" s="14" t="str">
        <f>_xlfn.IFNA(INDEX(KP!$Z:$Z,MATCH(($B18&amp;"|"&amp;AE$3),KP!$D:$D,0)),"")</f>
        <v/>
      </c>
      <c r="AF18" s="14" t="str">
        <f>_xlfn.IFNA(INDEX(KP!$Z:$Z,MATCH(($B18&amp;"|"&amp;AF$3),KP!$D:$D,0)),"")</f>
        <v/>
      </c>
      <c r="AG18" s="14">
        <f>SUM(SUMIFS(Cascade!$BB:$BB,Cascade!$B:$B,$B18,Cascade!$C:$C,{"15-24","25-34","35-49","50+"},Cascade!$D:$D,"Female"))</f>
        <v>0</v>
      </c>
      <c r="AH18" s="14">
        <f>SUM(SUMIFS(Cascade!$BB:$BB,Cascade!$B:$B,$B18,Cascade!$C:$C,{"15-24","25-34","35-49","50+"},Cascade!$D:$D,"Male"))</f>
        <v>0</v>
      </c>
      <c r="AI18" s="14" t="str">
        <f>_xlfn.IFNA(INDEX(KP!$AD:$AD,MATCH(($B18&amp;"|"&amp;AI$3),KP!$D:$D,0)),"")</f>
        <v/>
      </c>
      <c r="AJ18" s="14" t="str">
        <f>_xlfn.IFNA(INDEX(KP!$AD:$AD,MATCH(($B18&amp;"|"&amp;AJ$3),KP!$D:$D,0)),"")</f>
        <v/>
      </c>
      <c r="AK18" s="14" t="str">
        <f>_xlfn.IFNA(INDEX(KP!$AD:$AD,MATCH(($B18&amp;"|"&amp;AK$3),KP!$D:$D,0)),"")</f>
        <v/>
      </c>
      <c r="AL18" s="14" t="str">
        <f>_xlfn.IFNA(INDEX(KP!$AD:$AD,MATCH(($B18&amp;"|"&amp;AL$3),KP!$D:$D,0)),"")</f>
        <v/>
      </c>
      <c r="AM18" s="14" t="str">
        <f>_xlfn.IFNA(INDEX(KP!$AD:$AD,MATCH(($B18&amp;"|"&amp;AM$3),KP!$D:$D,0)),"")</f>
        <v/>
      </c>
      <c r="AN18" s="14">
        <f>SUM(SUMIFS(Cascade!$BE:$BE,Cascade!$B:$B,$B18,Cascade!$C:$C,{"15-24","25-34","35-49","50+"},Cascade!$D:$D,"Female"))</f>
        <v>0</v>
      </c>
      <c r="AO18" s="14">
        <f>SUM(SUMIFS(Cascade!$BE:$BE,Cascade!$B:$B,$B18,Cascade!$C:$C,{"15-24","25-34","35-49","50+"},Cascade!$D:$D,"Male"))</f>
        <v>0</v>
      </c>
      <c r="AP18" s="14" t="str">
        <f>_xlfn.IFNA(INDEX(KP!$AF:$AF,MATCH(($B18&amp;"|"&amp;AP$3),KP!$D:$D,0)),"")</f>
        <v/>
      </c>
      <c r="AQ18" s="14" t="str">
        <f>_xlfn.IFNA(INDEX(KP!$AF:$AF,MATCH(($B18&amp;"|"&amp;AQ$3),KP!$D:$D,0)),"")</f>
        <v/>
      </c>
      <c r="AR18" s="14" t="str">
        <f>_xlfn.IFNA(INDEX(KP!$AF:$AF,MATCH(($B18&amp;"|"&amp;AR$3),KP!$D:$D,0)),"")</f>
        <v/>
      </c>
      <c r="AS18" s="14" t="str">
        <f>_xlfn.IFNA(INDEX(KP!$AF:$AF,MATCH(($B18&amp;"|"&amp;AS$3),KP!$D:$D,0)),"")</f>
        <v/>
      </c>
      <c r="AT18" s="14" t="str">
        <f>_xlfn.IFNA(INDEX(KP!$AF:$AF,MATCH(($B18&amp;"|"&amp;AT$3),KP!$D:$D,0)),"")</f>
        <v/>
      </c>
      <c r="AU18" s="14">
        <f>SUM(SUMIFS(HTS!$AM:$AM,HTS!$B:$B,$B18,HTS!$C:$C,{"15-24","25-34","35-49","50+"},HTS!$D:$D,"Female"))</f>
        <v>0</v>
      </c>
      <c r="AV18" s="14">
        <f>SUM(SUMIFS(HTS!$AM:$AM,HTS!$B:$B,$B18,HTS!$C:$C,{"15-24","25-34","35-49","50+"},HTS!$D:$D,"Male"))</f>
        <v>0</v>
      </c>
      <c r="AW18" s="14" t="str">
        <f>_xlfn.IFNA(INDEX(KP!$AK:$AK,MATCH(($B18&amp;"|"&amp;AW$3),KP!$D:$D,0)),"")</f>
        <v/>
      </c>
      <c r="AX18" s="14" t="str">
        <f>_xlfn.IFNA(INDEX(KP!$AK:$AK,MATCH(($B18&amp;"|"&amp;AX$3),KP!$D:$D,0)),"")</f>
        <v/>
      </c>
      <c r="AY18" s="14" t="str">
        <f>_xlfn.IFNA(INDEX(KP!$AK:$AK,MATCH(($B18&amp;"|"&amp;AY$3),KP!$D:$D,0)),"")</f>
        <v/>
      </c>
      <c r="AZ18" s="14" t="str">
        <f>_xlfn.IFNA(INDEX(KP!$AK:$AK,MATCH(($B18&amp;"|"&amp;AZ$3),KP!$D:$D,0)),"")</f>
        <v/>
      </c>
      <c r="BA18" s="14" t="str">
        <f>_xlfn.IFNA(INDEX(KP!$AK:$AK,MATCH(($B18&amp;"|"&amp;BA$3),KP!$D:$D,0)),"")</f>
        <v/>
      </c>
      <c r="BB18" s="14">
        <f>SUM(SUMIFS(HTS!$AT:$AT,HTS!$B:$B,$B18,HTS!$C:$C,{"15-24","25-34","35-49","50+"},HTS!$D:$D,"Female"))</f>
        <v>0</v>
      </c>
      <c r="BC18" s="14">
        <f>SUM(SUMIFS(HTS!$AT:$AT,HTS!$B:$B,$B18,HTS!$C:$C,{"15-24","25-34","35-49","50+"},HTS!$D:$D,"Male"))</f>
        <v>0</v>
      </c>
      <c r="BD18" s="14" t="str">
        <f>_xlfn.IFNA(INDEX(KP!$AL:$AL,MATCH(($B18&amp;"|"&amp;BD$3),KP!$D:$D,0)),"")</f>
        <v/>
      </c>
      <c r="BE18" s="14" t="str">
        <f>_xlfn.IFNA(INDEX(KP!$AL:$AL,MATCH(($B18&amp;"|"&amp;BE$3),KP!$D:$D,0)),"")</f>
        <v/>
      </c>
      <c r="BF18" s="14" t="str">
        <f>_xlfn.IFNA(INDEX(KP!$AL:$AL,MATCH(($B18&amp;"|"&amp;BF$3),KP!$D:$D,0)),"")</f>
        <v/>
      </c>
      <c r="BG18" s="14" t="str">
        <f>_xlfn.IFNA(INDEX(KP!$AL:$AL,MATCH(($B18&amp;"|"&amp;BG$3),KP!$D:$D,0)),"")</f>
        <v/>
      </c>
      <c r="BH18" s="14" t="str">
        <f>_xlfn.IFNA(INDEX(KP!$AL:$AL,MATCH(($B18&amp;"|"&amp;BH$3),KP!$D:$D,0)),"")</f>
        <v/>
      </c>
      <c r="BI18" s="14">
        <f>SUM(SUMIFS(HTS!$BA:$BA,HTS!$B:$B,$B18,HTS!$C:$C,{"15-24","25-34","35-49","50+"},HTS!$D:$D,"Female"))</f>
        <v>0</v>
      </c>
      <c r="BJ18" s="14">
        <f>SUM(SUMIFS(HTS!$BA:$BA,HTS!$B:$B,$B18,HTS!$C:$C,{"15-24","25-34","35-49","50+"},HTS!$D:$D,"Male"))</f>
        <v>0</v>
      </c>
      <c r="BK18" s="14" t="str">
        <f>_xlfn.IFNA(INDEX(KP!$AN:$AN,MATCH(($B18&amp;"|"&amp;BK$3),KP!$D:$D,0)),"")</f>
        <v/>
      </c>
      <c r="BL18" s="14" t="str">
        <f>_xlfn.IFNA(INDEX(KP!$AN:$AN,MATCH(($B18&amp;"|"&amp;BL$3),KP!$D:$D,0)),"")</f>
        <v/>
      </c>
      <c r="BM18" s="14" t="str">
        <f>_xlfn.IFNA(INDEX(KP!$AN:$AN,MATCH(($B18&amp;"|"&amp;BM$3),KP!$D:$D,0)),"")</f>
        <v/>
      </c>
      <c r="BN18" s="14" t="str">
        <f>_xlfn.IFNA(INDEX(KP!$AN:$AN,MATCH(($B18&amp;"|"&amp;BN$3),KP!$D:$D,0)),"")</f>
        <v/>
      </c>
      <c r="BO18" s="14" t="str">
        <f>_xlfn.IFNA(INDEX(KP!$AN:$AN,MATCH(($B18&amp;"|"&amp;BO$3),KP!$D:$D,0)),"")</f>
        <v/>
      </c>
      <c r="BP18" s="14">
        <f>SUM(SUMIFS(HTS!$AY:$AY,HTS!$B:$B,$B18,HTS!$C:$C,{"15-24","25-34","35-49","50+"},HTS!$D:$D,"Female"))</f>
        <v>9</v>
      </c>
      <c r="BQ18" s="14">
        <f>SUM(SUMIFS(HTS!$AY:$AY,HTS!$B:$B,$B18,HTS!$C:$C,{"15-24","25-34","35-49","50+"},HTS!$D:$D,"Male"))</f>
        <v>2</v>
      </c>
      <c r="BR18" s="14">
        <f>_xlfn.IFNA(INDEX(KP!$AP:$AP,MATCH(($B18&amp;"|"&amp;BR$3),KP!$D:$D,0)),"")</f>
        <v>0</v>
      </c>
      <c r="BS18" s="14">
        <f>_xlfn.IFNA(INDEX(KP!$AP:$AP,MATCH(($B18&amp;"|"&amp;BS$3),KP!$D:$D,0)),"")</f>
        <v>0</v>
      </c>
      <c r="BT18" s="14">
        <f>_xlfn.IFNA(INDEX(KP!$AP:$AP,MATCH(($B18&amp;"|"&amp;BT$3),KP!$D:$D,0)),"")</f>
        <v>0</v>
      </c>
      <c r="BU18" s="14">
        <f>_xlfn.IFNA(INDEX(KP!$AP:$AP,MATCH(($B18&amp;"|"&amp;BU$3),KP!$D:$D,0)),"")</f>
        <v>0</v>
      </c>
      <c r="BV18" s="14">
        <f>_xlfn.IFNA(INDEX(KP!$AP:$AP,MATCH(($B18&amp;"|"&amp;BV$3),KP!$D:$D,0)),"")</f>
        <v>0</v>
      </c>
    </row>
    <row r="19" spans="1:74" x14ac:dyDescent="0.2">
      <c r="A19" s="93" t="str">
        <f>INDEX(Prioritization!$D:$D,MATCH($B19,Prioritization!$A:$A,0))</f>
        <v>1 - Scale-up: Saturation</v>
      </c>
      <c r="B19" s="43" t="s">
        <v>197</v>
      </c>
      <c r="C19" s="14">
        <f>SUM(SUMIFS(PrEP!$O:$O,PrEP!$B:$B,$B19,PrEP!$C:$C,{"15-24","25-34","35-49","50+"},PrEP!$D:$D,"Female"))</f>
        <v>0</v>
      </c>
      <c r="D19" s="14">
        <f>SUM(SUMIFS(PrEP!$O:$O,PrEP!$B:$B,$B19,PrEP!$C:$C,{"15-24","25-34"},PrEP!$D:$D,"Female"))</f>
        <v>0</v>
      </c>
      <c r="E19" s="14">
        <f>SUM(SUMIFS(PrEP!$O:$O,PrEP!$B:$B,$B19,PrEP!$C:$C,{"15-24","25-34","35-49","50+"},PrEP!$D:$D,"Male"))</f>
        <v>0</v>
      </c>
      <c r="F19" s="14">
        <f>_xlfn.IFNA(INDEX(KP!$I:$I,MATCH(($B19&amp;"|"&amp;F$3),KP!$D:$D,0)),"")</f>
        <v>0</v>
      </c>
      <c r="G19" s="14">
        <f>_xlfn.IFNA(INDEX(KP!$I:$I,MATCH(($B19&amp;"|"&amp;G$3),KP!$D:$D,0)),"")</f>
        <v>0</v>
      </c>
      <c r="H19" s="14">
        <f>_xlfn.IFNA(INDEX(KP!$I:$I,MATCH(($B19&amp;"|"&amp;H$3),KP!$D:$D,0)),"")</f>
        <v>0</v>
      </c>
      <c r="I19" s="14">
        <f>_xlfn.IFNA(INDEX(KP!$I:$I,MATCH(($B19&amp;"|"&amp;I$3),KP!$D:$D,0)),"")</f>
        <v>0</v>
      </c>
      <c r="J19" s="14">
        <f>_xlfn.IFNA(INDEX(KP!$I:$I,MATCH(($B19&amp;"|"&amp;J$3),KP!$D:$D,0)),"")</f>
        <v>0</v>
      </c>
      <c r="K19" s="14">
        <f>SUM(SUMIFS(PrEP!$L:$L,PrEP!$B:$B,$B19,PrEP!$C:$C,{"15-24","25-34","35-49","50+"},PrEP!$D:$D,"Female"))</f>
        <v>7</v>
      </c>
      <c r="L19" s="14">
        <f>SUM(SUMIFS(PrEP!$L:$L,PrEP!$B:$B,$B19,PrEP!$C:$C,{"15-24","25-34"},PrEP!$D:$D,"Female"))</f>
        <v>0</v>
      </c>
      <c r="M19" s="14">
        <f>SUM(SUMIFS(PrEP!$L:$L,PrEP!$B:$B,$B19,PrEP!$C:$C,{"15-24","25-34","35-49","50+"},PrEP!$D:$D,"Male"))</f>
        <v>68</v>
      </c>
      <c r="N19" s="14">
        <f>_xlfn.IFNA(INDEX(KP!$K:$K,MATCH(($B19&amp;"|"&amp;N$3),KP!$D:$D,0)),"")</f>
        <v>0</v>
      </c>
      <c r="O19" s="14">
        <f>_xlfn.IFNA(INDEX(KP!$K:$K,MATCH(($B19&amp;"|"&amp;O$3),KP!$D:$D,0)),"")</f>
        <v>0</v>
      </c>
      <c r="P19" s="14">
        <f>_xlfn.IFNA(INDEX(KP!$K:$K,MATCH(($B19&amp;"|"&amp;P$3),KP!$D:$D,0)),"")</f>
        <v>0</v>
      </c>
      <c r="Q19" s="14">
        <f>_xlfn.IFNA(INDEX(KP!$K:$K,MATCH(($B19&amp;"|"&amp;Q$3),KP!$D:$D,0)),"")</f>
        <v>0</v>
      </c>
      <c r="R19" s="14">
        <f>_xlfn.IFNA(INDEX(KP!$K:$K,MATCH(($B19&amp;"|"&amp;R$3),KP!$D:$D,0)),"")</f>
        <v>0</v>
      </c>
      <c r="S19" s="14">
        <f>SUM(SUMIFS(Cascade!$AP:$AP,Cascade!$B:$B,$B19,Cascade!$C:$C,{"15-24","25-34","35-49","50+"},Cascade!$D:$D,"Female"))</f>
        <v>0</v>
      </c>
      <c r="T19" s="14">
        <f>SUM(SUMIFS(Cascade!$AP:$AP,Cascade!$B:$B,$B19,Cascade!$C:$C,{"15-24","25-34","35-49","50+"},Cascade!$D:$D,"Male"))</f>
        <v>0</v>
      </c>
      <c r="U19" s="14">
        <f>_xlfn.IFNA(INDEX(KP!$Q:$Q,MATCH(($B19&amp;"|"&amp;U$3),KP!$D:$D,0)),"")</f>
        <v>631</v>
      </c>
      <c r="V19" s="14">
        <f>_xlfn.IFNA(INDEX(KP!$Q:$Q,MATCH(($B19&amp;"|"&amp;V$3),KP!$D:$D,0)),"")</f>
        <v>76</v>
      </c>
      <c r="W19" s="14">
        <f>_xlfn.IFNA(INDEX(KP!$Q:$Q,MATCH(($B19&amp;"|"&amp;W$3),KP!$D:$D,0)),"")</f>
        <v>81</v>
      </c>
      <c r="X19" s="14" t="str">
        <f>_xlfn.IFNA(INDEX(KP!$Q:$Q,MATCH(($B19&amp;"|"&amp;X$3),KP!$D:$D,0)),"")</f>
        <v/>
      </c>
      <c r="Y19" s="14">
        <f>_xlfn.IFNA(INDEX(KP!$Q:$Q,MATCH(($B19&amp;"|"&amp;Y$3),KP!$D:$D,0)),"")</f>
        <v>5</v>
      </c>
      <c r="Z19" s="14">
        <f>SUM(SUMIFS(Cascade!$AX:$AX,Cascade!$B:$B,$B19,Cascade!$C:$C,{"15-24","25-34","35-49","50+"},Cascade!$D:$D,"Female"))</f>
        <v>0</v>
      </c>
      <c r="AA19" s="14">
        <f>SUM(SUMIFS(Cascade!$AX:$AX,Cascade!$B:$B,$B19,Cascade!$C:$C,{"15-24","25-34","35-49","50+"},Cascade!$D:$D,"Male"))</f>
        <v>0</v>
      </c>
      <c r="AB19" s="14">
        <f>_xlfn.IFNA(INDEX(KP!$Z:$Z,MATCH(($B19&amp;"|"&amp;AB$3),KP!$D:$D,0)),"")</f>
        <v>13</v>
      </c>
      <c r="AC19" s="14">
        <f>_xlfn.IFNA(INDEX(KP!$Z:$Z,MATCH(($B19&amp;"|"&amp;AC$3),KP!$D:$D,0)),"")</f>
        <v>2</v>
      </c>
      <c r="AD19" s="14">
        <f>_xlfn.IFNA(INDEX(KP!$Z:$Z,MATCH(($B19&amp;"|"&amp;AD$3),KP!$D:$D,0)),"")</f>
        <v>2</v>
      </c>
      <c r="AE19" s="14" t="str">
        <f>_xlfn.IFNA(INDEX(KP!$Z:$Z,MATCH(($B19&amp;"|"&amp;AE$3),KP!$D:$D,0)),"")</f>
        <v/>
      </c>
      <c r="AF19" s="14" t="str">
        <f>_xlfn.IFNA(INDEX(KP!$Z:$Z,MATCH(($B19&amp;"|"&amp;AF$3),KP!$D:$D,0)),"")</f>
        <v/>
      </c>
      <c r="AG19" s="14">
        <f>SUM(SUMIFS(Cascade!$BB:$BB,Cascade!$B:$B,$B19,Cascade!$C:$C,{"15-24","25-34","35-49","50+"},Cascade!$D:$D,"Female"))</f>
        <v>0</v>
      </c>
      <c r="AH19" s="14">
        <f>SUM(SUMIFS(Cascade!$BB:$BB,Cascade!$B:$B,$B19,Cascade!$C:$C,{"15-24","25-34","35-49","50+"},Cascade!$D:$D,"Male"))</f>
        <v>0</v>
      </c>
      <c r="AI19" s="14">
        <f>_xlfn.IFNA(INDEX(KP!$AD:$AD,MATCH(($B19&amp;"|"&amp;AI$3),KP!$D:$D,0)),"")</f>
        <v>608</v>
      </c>
      <c r="AJ19" s="14">
        <f>_xlfn.IFNA(INDEX(KP!$AD:$AD,MATCH(($B19&amp;"|"&amp;AJ$3),KP!$D:$D,0)),"")</f>
        <v>73</v>
      </c>
      <c r="AK19" s="14">
        <f>_xlfn.IFNA(INDEX(KP!$AD:$AD,MATCH(($B19&amp;"|"&amp;AK$3),KP!$D:$D,0)),"")</f>
        <v>78</v>
      </c>
      <c r="AL19" s="14" t="str">
        <f>_xlfn.IFNA(INDEX(KP!$AD:$AD,MATCH(($B19&amp;"|"&amp;AL$3),KP!$D:$D,0)),"")</f>
        <v/>
      </c>
      <c r="AM19" s="14">
        <f>_xlfn.IFNA(INDEX(KP!$AD:$AD,MATCH(($B19&amp;"|"&amp;AM$3),KP!$D:$D,0)),"")</f>
        <v>5</v>
      </c>
      <c r="AN19" s="14">
        <f>SUM(SUMIFS(Cascade!$BE:$BE,Cascade!$B:$B,$B19,Cascade!$C:$C,{"15-24","25-34","35-49","50+"},Cascade!$D:$D,"Female"))</f>
        <v>0</v>
      </c>
      <c r="AO19" s="14">
        <f>SUM(SUMIFS(Cascade!$BE:$BE,Cascade!$B:$B,$B19,Cascade!$C:$C,{"15-24","25-34","35-49","50+"},Cascade!$D:$D,"Male"))</f>
        <v>0</v>
      </c>
      <c r="AP19" s="14">
        <f>_xlfn.IFNA(INDEX(KP!$AF:$AF,MATCH(($B19&amp;"|"&amp;AP$3),KP!$D:$D,0)),"")</f>
        <v>578</v>
      </c>
      <c r="AQ19" s="14">
        <f>_xlfn.IFNA(INDEX(KP!$AF:$AF,MATCH(($B19&amp;"|"&amp;AQ$3),KP!$D:$D,0)),"")</f>
        <v>69</v>
      </c>
      <c r="AR19" s="14">
        <f>_xlfn.IFNA(INDEX(KP!$AF:$AF,MATCH(($B19&amp;"|"&amp;AR$3),KP!$D:$D,0)),"")</f>
        <v>74</v>
      </c>
      <c r="AS19" s="14" t="str">
        <f>_xlfn.IFNA(INDEX(KP!$AF:$AF,MATCH(($B19&amp;"|"&amp;AS$3),KP!$D:$D,0)),"")</f>
        <v/>
      </c>
      <c r="AT19" s="14">
        <f>_xlfn.IFNA(INDEX(KP!$AF:$AF,MATCH(($B19&amp;"|"&amp;AT$3),KP!$D:$D,0)),"")</f>
        <v>5</v>
      </c>
      <c r="AU19" s="14">
        <f>SUM(SUMIFS(HTS!$AM:$AM,HTS!$B:$B,$B19,HTS!$C:$C,{"15-24","25-34","35-49","50+"},HTS!$D:$D,"Female"))</f>
        <v>0</v>
      </c>
      <c r="AV19" s="14">
        <f>SUM(SUMIFS(HTS!$AM:$AM,HTS!$B:$B,$B19,HTS!$C:$C,{"15-24","25-34","35-49","50+"},HTS!$D:$D,"Male"))</f>
        <v>0</v>
      </c>
      <c r="AW19" s="14">
        <f>_xlfn.IFNA(INDEX(KP!$AK:$AK,MATCH(($B19&amp;"|"&amp;AW$3),KP!$D:$D,0)),"")</f>
        <v>14</v>
      </c>
      <c r="AX19" s="14">
        <f>_xlfn.IFNA(INDEX(KP!$AK:$AK,MATCH(($B19&amp;"|"&amp;AX$3),KP!$D:$D,0)),"")</f>
        <v>2</v>
      </c>
      <c r="AY19" s="14">
        <f>_xlfn.IFNA(INDEX(KP!$AK:$AK,MATCH(($B19&amp;"|"&amp;AY$3),KP!$D:$D,0)),"")</f>
        <v>2</v>
      </c>
      <c r="AZ19" s="14" t="str">
        <f>_xlfn.IFNA(INDEX(KP!$AK:$AK,MATCH(($B19&amp;"|"&amp;AZ$3),KP!$D:$D,0)),"")</f>
        <v/>
      </c>
      <c r="BA19" s="14" t="str">
        <f>_xlfn.IFNA(INDEX(KP!$AK:$AK,MATCH(($B19&amp;"|"&amp;BA$3),KP!$D:$D,0)),"")</f>
        <v/>
      </c>
      <c r="BB19" s="14">
        <f>SUM(SUMIFS(HTS!$AT:$AT,HTS!$B:$B,$B19,HTS!$C:$C,{"15-24","25-34","35-49","50+"},HTS!$D:$D,"Female"))</f>
        <v>0</v>
      </c>
      <c r="BC19" s="14">
        <f>SUM(SUMIFS(HTS!$AT:$AT,HTS!$B:$B,$B19,HTS!$C:$C,{"15-24","25-34","35-49","50+"},HTS!$D:$D,"Male"))</f>
        <v>0</v>
      </c>
      <c r="BD19" s="14" t="str">
        <f>_xlfn.IFNA(INDEX(KP!$AL:$AL,MATCH(($B19&amp;"|"&amp;BD$3),KP!$D:$D,0)),"")</f>
        <v>ENTER YIELD RATE</v>
      </c>
      <c r="BE19" s="14" t="str">
        <f>_xlfn.IFNA(INDEX(KP!$AL:$AL,MATCH(($B19&amp;"|"&amp;BE$3),KP!$D:$D,0)),"")</f>
        <v>ENTER YIELD RATE</v>
      </c>
      <c r="BF19" s="14" t="str">
        <f>_xlfn.IFNA(INDEX(KP!$AL:$AL,MATCH(($B19&amp;"|"&amp;BF$3),KP!$D:$D,0)),"")</f>
        <v>ENTER YIELD RATE</v>
      </c>
      <c r="BG19" s="14" t="str">
        <f>_xlfn.IFNA(INDEX(KP!$AL:$AL,MATCH(($B19&amp;"|"&amp;BG$3),KP!$D:$D,0)),"")</f>
        <v/>
      </c>
      <c r="BH19" s="14" t="str">
        <f>_xlfn.IFNA(INDEX(KP!$AL:$AL,MATCH(($B19&amp;"|"&amp;BH$3),KP!$D:$D,0)),"")</f>
        <v/>
      </c>
      <c r="BI19" s="14">
        <f>SUM(SUMIFS(HTS!$BA:$BA,HTS!$B:$B,$B19,HTS!$C:$C,{"15-24","25-34","35-49","50+"},HTS!$D:$D,"Female"))</f>
        <v>0</v>
      </c>
      <c r="BJ19" s="14">
        <f>SUM(SUMIFS(HTS!$BA:$BA,HTS!$B:$B,$B19,HTS!$C:$C,{"15-24","25-34","35-49","50+"},HTS!$D:$D,"Male"))</f>
        <v>0</v>
      </c>
      <c r="BK19" s="14">
        <f>_xlfn.IFNA(INDEX(KP!$AN:$AN,MATCH(($B19&amp;"|"&amp;BK$3),KP!$D:$D,0)),"")</f>
        <v>14</v>
      </c>
      <c r="BL19" s="14">
        <f>_xlfn.IFNA(INDEX(KP!$AN:$AN,MATCH(($B19&amp;"|"&amp;BL$3),KP!$D:$D,0)),"")</f>
        <v>2</v>
      </c>
      <c r="BM19" s="14">
        <f>_xlfn.IFNA(INDEX(KP!$AN:$AN,MATCH(($B19&amp;"|"&amp;BM$3),KP!$D:$D,0)),"")</f>
        <v>2</v>
      </c>
      <c r="BN19" s="14" t="str">
        <f>_xlfn.IFNA(INDEX(KP!$AN:$AN,MATCH(($B19&amp;"|"&amp;BN$3),KP!$D:$D,0)),"")</f>
        <v/>
      </c>
      <c r="BO19" s="14" t="str">
        <f>_xlfn.IFNA(INDEX(KP!$AN:$AN,MATCH(($B19&amp;"|"&amp;BO$3),KP!$D:$D,0)),"")</f>
        <v/>
      </c>
      <c r="BP19" s="14">
        <f>SUM(SUMIFS(HTS!$AY:$AY,HTS!$B:$B,$B19,HTS!$C:$C,{"15-24","25-34","35-49","50+"},HTS!$D:$D,"Female"))</f>
        <v>41</v>
      </c>
      <c r="BQ19" s="14">
        <f>SUM(SUMIFS(HTS!$AY:$AY,HTS!$B:$B,$B19,HTS!$C:$C,{"15-24","25-34","35-49","50+"},HTS!$D:$D,"Male"))</f>
        <v>942</v>
      </c>
      <c r="BR19" s="14">
        <f>_xlfn.IFNA(INDEX(KP!$AP:$AP,MATCH(($B19&amp;"|"&amp;BR$3),KP!$D:$D,0)),"")</f>
        <v>0</v>
      </c>
      <c r="BS19" s="14">
        <f>_xlfn.IFNA(INDEX(KP!$AP:$AP,MATCH(($B19&amp;"|"&amp;BS$3),KP!$D:$D,0)),"")</f>
        <v>0</v>
      </c>
      <c r="BT19" s="14">
        <f>_xlfn.IFNA(INDEX(KP!$AP:$AP,MATCH(($B19&amp;"|"&amp;BT$3),KP!$D:$D,0)),"")</f>
        <v>0</v>
      </c>
      <c r="BU19" s="14">
        <f>_xlfn.IFNA(INDEX(KP!$AP:$AP,MATCH(($B19&amp;"|"&amp;BU$3),KP!$D:$D,0)),"")</f>
        <v>0</v>
      </c>
      <c r="BV19" s="14">
        <f>_xlfn.IFNA(INDEX(KP!$AP:$AP,MATCH(($B19&amp;"|"&amp;BV$3),KP!$D:$D,0)),"")</f>
        <v>0</v>
      </c>
    </row>
    <row r="20" spans="1:74" x14ac:dyDescent="0.2">
      <c r="A20" s="93" t="str">
        <f>INDEX(Prioritization!$D:$D,MATCH($B20,Prioritization!$A:$A,0))</f>
        <v>1 - Scale-up: Saturation</v>
      </c>
      <c r="B20" s="43" t="s">
        <v>198</v>
      </c>
      <c r="C20" s="14">
        <f>SUM(SUMIFS(PrEP!$O:$O,PrEP!$B:$B,$B20,PrEP!$C:$C,{"15-24","25-34","35-49","50+"},PrEP!$D:$D,"Female"))</f>
        <v>0</v>
      </c>
      <c r="D20" s="14">
        <f>SUM(SUMIFS(PrEP!$O:$O,PrEP!$B:$B,$B20,PrEP!$C:$C,{"15-24","25-34"},PrEP!$D:$D,"Female"))</f>
        <v>0</v>
      </c>
      <c r="E20" s="14">
        <f>SUM(SUMIFS(PrEP!$O:$O,PrEP!$B:$B,$B20,PrEP!$C:$C,{"15-24","25-34","35-49","50+"},PrEP!$D:$D,"Male"))</f>
        <v>0</v>
      </c>
      <c r="F20" s="14">
        <f>_xlfn.IFNA(INDEX(KP!$I:$I,MATCH(($B20&amp;"|"&amp;F$3),KP!$D:$D,0)),"")</f>
        <v>0</v>
      </c>
      <c r="G20" s="14">
        <f>_xlfn.IFNA(INDEX(KP!$I:$I,MATCH(($B20&amp;"|"&amp;G$3),KP!$D:$D,0)),"")</f>
        <v>0</v>
      </c>
      <c r="H20" s="14">
        <f>_xlfn.IFNA(INDEX(KP!$I:$I,MATCH(($B20&amp;"|"&amp;H$3),KP!$D:$D,0)),"")</f>
        <v>0</v>
      </c>
      <c r="I20" s="14">
        <f>_xlfn.IFNA(INDEX(KP!$I:$I,MATCH(($B20&amp;"|"&amp;I$3),KP!$D:$D,0)),"")</f>
        <v>0</v>
      </c>
      <c r="J20" s="14">
        <f>_xlfn.IFNA(INDEX(KP!$I:$I,MATCH(($B20&amp;"|"&amp;J$3),KP!$D:$D,0)),"")</f>
        <v>0</v>
      </c>
      <c r="K20" s="14">
        <f>SUM(SUMIFS(PrEP!$L:$L,PrEP!$B:$B,$B20,PrEP!$C:$C,{"15-24","25-34","35-49","50+"},PrEP!$D:$D,"Female"))</f>
        <v>0</v>
      </c>
      <c r="L20" s="14">
        <f>SUM(SUMIFS(PrEP!$L:$L,PrEP!$B:$B,$B20,PrEP!$C:$C,{"15-24","25-34"},PrEP!$D:$D,"Female"))</f>
        <v>0</v>
      </c>
      <c r="M20" s="14">
        <f>SUM(SUMIFS(PrEP!$L:$L,PrEP!$B:$B,$B20,PrEP!$C:$C,{"15-24","25-34","35-49","50+"},PrEP!$D:$D,"Male"))</f>
        <v>0</v>
      </c>
      <c r="N20" s="14">
        <f>_xlfn.IFNA(INDEX(KP!$K:$K,MATCH(($B20&amp;"|"&amp;N$3),KP!$D:$D,0)),"")</f>
        <v>0</v>
      </c>
      <c r="O20" s="14">
        <f>_xlfn.IFNA(INDEX(KP!$K:$K,MATCH(($B20&amp;"|"&amp;O$3),KP!$D:$D,0)),"")</f>
        <v>0</v>
      </c>
      <c r="P20" s="14">
        <f>_xlfn.IFNA(INDEX(KP!$K:$K,MATCH(($B20&amp;"|"&amp;P$3),KP!$D:$D,0)),"")</f>
        <v>0</v>
      </c>
      <c r="Q20" s="14">
        <f>_xlfn.IFNA(INDEX(KP!$K:$K,MATCH(($B20&amp;"|"&amp;Q$3),KP!$D:$D,0)),"")</f>
        <v>0</v>
      </c>
      <c r="R20" s="14">
        <f>_xlfn.IFNA(INDEX(KP!$K:$K,MATCH(($B20&amp;"|"&amp;R$3),KP!$D:$D,0)),"")</f>
        <v>0</v>
      </c>
      <c r="S20" s="14">
        <f>SUM(SUMIFS(Cascade!$AP:$AP,Cascade!$B:$B,$B20,Cascade!$C:$C,{"15-24","25-34","35-49","50+"},Cascade!$D:$D,"Female"))</f>
        <v>0</v>
      </c>
      <c r="T20" s="14">
        <f>SUM(SUMIFS(Cascade!$AP:$AP,Cascade!$B:$B,$B20,Cascade!$C:$C,{"15-24","25-34","35-49","50+"},Cascade!$D:$D,"Male"))</f>
        <v>0</v>
      </c>
      <c r="U20" s="14" t="str">
        <f>_xlfn.IFNA(INDEX(KP!$Q:$Q,MATCH(($B20&amp;"|"&amp;U$3),KP!$D:$D,0)),"")</f>
        <v/>
      </c>
      <c r="V20" s="14" t="str">
        <f>_xlfn.IFNA(INDEX(KP!$Q:$Q,MATCH(($B20&amp;"|"&amp;V$3),KP!$D:$D,0)),"")</f>
        <v/>
      </c>
      <c r="W20" s="14" t="str">
        <f>_xlfn.IFNA(INDEX(KP!$Q:$Q,MATCH(($B20&amp;"|"&amp;W$3),KP!$D:$D,0)),"")</f>
        <v/>
      </c>
      <c r="X20" s="14" t="str">
        <f>_xlfn.IFNA(INDEX(KP!$Q:$Q,MATCH(($B20&amp;"|"&amp;X$3),KP!$D:$D,0)),"")</f>
        <v/>
      </c>
      <c r="Y20" s="14" t="str">
        <f>_xlfn.IFNA(INDEX(KP!$Q:$Q,MATCH(($B20&amp;"|"&amp;Y$3),KP!$D:$D,0)),"")</f>
        <v/>
      </c>
      <c r="Z20" s="14">
        <f>SUM(SUMIFS(Cascade!$AX:$AX,Cascade!$B:$B,$B20,Cascade!$C:$C,{"15-24","25-34","35-49","50+"},Cascade!$D:$D,"Female"))</f>
        <v>0</v>
      </c>
      <c r="AA20" s="14">
        <f>SUM(SUMIFS(Cascade!$AX:$AX,Cascade!$B:$B,$B20,Cascade!$C:$C,{"15-24","25-34","35-49","50+"},Cascade!$D:$D,"Male"))</f>
        <v>0</v>
      </c>
      <c r="AB20" s="14" t="str">
        <f>_xlfn.IFNA(INDEX(KP!$Z:$Z,MATCH(($B20&amp;"|"&amp;AB$3),KP!$D:$D,0)),"")</f>
        <v/>
      </c>
      <c r="AC20" s="14" t="str">
        <f>_xlfn.IFNA(INDEX(KP!$Z:$Z,MATCH(($B20&amp;"|"&amp;AC$3),KP!$D:$D,0)),"")</f>
        <v/>
      </c>
      <c r="AD20" s="14" t="str">
        <f>_xlfn.IFNA(INDEX(KP!$Z:$Z,MATCH(($B20&amp;"|"&amp;AD$3),KP!$D:$D,0)),"")</f>
        <v/>
      </c>
      <c r="AE20" s="14" t="str">
        <f>_xlfn.IFNA(INDEX(KP!$Z:$Z,MATCH(($B20&amp;"|"&amp;AE$3),KP!$D:$D,0)),"")</f>
        <v/>
      </c>
      <c r="AF20" s="14" t="str">
        <f>_xlfn.IFNA(INDEX(KP!$Z:$Z,MATCH(($B20&amp;"|"&amp;AF$3),KP!$D:$D,0)),"")</f>
        <v/>
      </c>
      <c r="AG20" s="14">
        <f>SUM(SUMIFS(Cascade!$BB:$BB,Cascade!$B:$B,$B20,Cascade!$C:$C,{"15-24","25-34","35-49","50+"},Cascade!$D:$D,"Female"))</f>
        <v>0</v>
      </c>
      <c r="AH20" s="14">
        <f>SUM(SUMIFS(Cascade!$BB:$BB,Cascade!$B:$B,$B20,Cascade!$C:$C,{"15-24","25-34","35-49","50+"},Cascade!$D:$D,"Male"))</f>
        <v>0</v>
      </c>
      <c r="AI20" s="14" t="str">
        <f>_xlfn.IFNA(INDEX(KP!$AD:$AD,MATCH(($B20&amp;"|"&amp;AI$3),KP!$D:$D,0)),"")</f>
        <v/>
      </c>
      <c r="AJ20" s="14" t="str">
        <f>_xlfn.IFNA(INDEX(KP!$AD:$AD,MATCH(($B20&amp;"|"&amp;AJ$3),KP!$D:$D,0)),"")</f>
        <v/>
      </c>
      <c r="AK20" s="14" t="str">
        <f>_xlfn.IFNA(INDEX(KP!$AD:$AD,MATCH(($B20&amp;"|"&amp;AK$3),KP!$D:$D,0)),"")</f>
        <v/>
      </c>
      <c r="AL20" s="14" t="str">
        <f>_xlfn.IFNA(INDEX(KP!$AD:$AD,MATCH(($B20&amp;"|"&amp;AL$3),KP!$D:$D,0)),"")</f>
        <v/>
      </c>
      <c r="AM20" s="14" t="str">
        <f>_xlfn.IFNA(INDEX(KP!$AD:$AD,MATCH(($B20&amp;"|"&amp;AM$3),KP!$D:$D,0)),"")</f>
        <v/>
      </c>
      <c r="AN20" s="14">
        <f>SUM(SUMIFS(Cascade!$BE:$BE,Cascade!$B:$B,$B20,Cascade!$C:$C,{"15-24","25-34","35-49","50+"},Cascade!$D:$D,"Female"))</f>
        <v>0</v>
      </c>
      <c r="AO20" s="14">
        <f>SUM(SUMIFS(Cascade!$BE:$BE,Cascade!$B:$B,$B20,Cascade!$C:$C,{"15-24","25-34","35-49","50+"},Cascade!$D:$D,"Male"))</f>
        <v>0</v>
      </c>
      <c r="AP20" s="14" t="str">
        <f>_xlfn.IFNA(INDEX(KP!$AF:$AF,MATCH(($B20&amp;"|"&amp;AP$3),KP!$D:$D,0)),"")</f>
        <v/>
      </c>
      <c r="AQ20" s="14" t="str">
        <f>_xlfn.IFNA(INDEX(KP!$AF:$AF,MATCH(($B20&amp;"|"&amp;AQ$3),KP!$D:$D,0)),"")</f>
        <v/>
      </c>
      <c r="AR20" s="14" t="str">
        <f>_xlfn.IFNA(INDEX(KP!$AF:$AF,MATCH(($B20&amp;"|"&amp;AR$3),KP!$D:$D,0)),"")</f>
        <v/>
      </c>
      <c r="AS20" s="14" t="str">
        <f>_xlfn.IFNA(INDEX(KP!$AF:$AF,MATCH(($B20&amp;"|"&amp;AS$3),KP!$D:$D,0)),"")</f>
        <v/>
      </c>
      <c r="AT20" s="14" t="str">
        <f>_xlfn.IFNA(INDEX(KP!$AF:$AF,MATCH(($B20&amp;"|"&amp;AT$3),KP!$D:$D,0)),"")</f>
        <v/>
      </c>
      <c r="AU20" s="14">
        <f>SUM(SUMIFS(HTS!$AM:$AM,HTS!$B:$B,$B20,HTS!$C:$C,{"15-24","25-34","35-49","50+"},HTS!$D:$D,"Female"))</f>
        <v>0</v>
      </c>
      <c r="AV20" s="14">
        <f>SUM(SUMIFS(HTS!$AM:$AM,HTS!$B:$B,$B20,HTS!$C:$C,{"15-24","25-34","35-49","50+"},HTS!$D:$D,"Male"))</f>
        <v>0</v>
      </c>
      <c r="AW20" s="14" t="str">
        <f>_xlfn.IFNA(INDEX(KP!$AK:$AK,MATCH(($B20&amp;"|"&amp;AW$3),KP!$D:$D,0)),"")</f>
        <v/>
      </c>
      <c r="AX20" s="14" t="str">
        <f>_xlfn.IFNA(INDEX(KP!$AK:$AK,MATCH(($B20&amp;"|"&amp;AX$3),KP!$D:$D,0)),"")</f>
        <v/>
      </c>
      <c r="AY20" s="14" t="str">
        <f>_xlfn.IFNA(INDEX(KP!$AK:$AK,MATCH(($B20&amp;"|"&amp;AY$3),KP!$D:$D,0)),"")</f>
        <v/>
      </c>
      <c r="AZ20" s="14" t="str">
        <f>_xlfn.IFNA(INDEX(KP!$AK:$AK,MATCH(($B20&amp;"|"&amp;AZ$3),KP!$D:$D,0)),"")</f>
        <v/>
      </c>
      <c r="BA20" s="14" t="str">
        <f>_xlfn.IFNA(INDEX(KP!$AK:$AK,MATCH(($B20&amp;"|"&amp;BA$3),KP!$D:$D,0)),"")</f>
        <v/>
      </c>
      <c r="BB20" s="14">
        <f>SUM(SUMIFS(HTS!$AT:$AT,HTS!$B:$B,$B20,HTS!$C:$C,{"15-24","25-34","35-49","50+"},HTS!$D:$D,"Female"))</f>
        <v>0</v>
      </c>
      <c r="BC20" s="14">
        <f>SUM(SUMIFS(HTS!$AT:$AT,HTS!$B:$B,$B20,HTS!$C:$C,{"15-24","25-34","35-49","50+"},HTS!$D:$D,"Male"))</f>
        <v>0</v>
      </c>
      <c r="BD20" s="14" t="str">
        <f>_xlfn.IFNA(INDEX(KP!$AL:$AL,MATCH(($B20&amp;"|"&amp;BD$3),KP!$D:$D,0)),"")</f>
        <v/>
      </c>
      <c r="BE20" s="14" t="str">
        <f>_xlfn.IFNA(INDEX(KP!$AL:$AL,MATCH(($B20&amp;"|"&amp;BE$3),KP!$D:$D,0)),"")</f>
        <v/>
      </c>
      <c r="BF20" s="14" t="str">
        <f>_xlfn.IFNA(INDEX(KP!$AL:$AL,MATCH(($B20&amp;"|"&amp;BF$3),KP!$D:$D,0)),"")</f>
        <v/>
      </c>
      <c r="BG20" s="14" t="str">
        <f>_xlfn.IFNA(INDEX(KP!$AL:$AL,MATCH(($B20&amp;"|"&amp;BG$3),KP!$D:$D,0)),"")</f>
        <v/>
      </c>
      <c r="BH20" s="14" t="str">
        <f>_xlfn.IFNA(INDEX(KP!$AL:$AL,MATCH(($B20&amp;"|"&amp;BH$3),KP!$D:$D,0)),"")</f>
        <v/>
      </c>
      <c r="BI20" s="14">
        <f>SUM(SUMIFS(HTS!$BA:$BA,HTS!$B:$B,$B20,HTS!$C:$C,{"15-24","25-34","35-49","50+"},HTS!$D:$D,"Female"))</f>
        <v>0</v>
      </c>
      <c r="BJ20" s="14">
        <f>SUM(SUMIFS(HTS!$BA:$BA,HTS!$B:$B,$B20,HTS!$C:$C,{"15-24","25-34","35-49","50+"},HTS!$D:$D,"Male"))</f>
        <v>0</v>
      </c>
      <c r="BK20" s="14" t="str">
        <f>_xlfn.IFNA(INDEX(KP!$AN:$AN,MATCH(($B20&amp;"|"&amp;BK$3),KP!$D:$D,0)),"")</f>
        <v/>
      </c>
      <c r="BL20" s="14" t="str">
        <f>_xlfn.IFNA(INDEX(KP!$AN:$AN,MATCH(($B20&amp;"|"&amp;BL$3),KP!$D:$D,0)),"")</f>
        <v/>
      </c>
      <c r="BM20" s="14" t="str">
        <f>_xlfn.IFNA(INDEX(KP!$AN:$AN,MATCH(($B20&amp;"|"&amp;BM$3),KP!$D:$D,0)),"")</f>
        <v/>
      </c>
      <c r="BN20" s="14" t="str">
        <f>_xlfn.IFNA(INDEX(KP!$AN:$AN,MATCH(($B20&amp;"|"&amp;BN$3),KP!$D:$D,0)),"")</f>
        <v/>
      </c>
      <c r="BO20" s="14" t="str">
        <f>_xlfn.IFNA(INDEX(KP!$AN:$AN,MATCH(($B20&amp;"|"&amp;BO$3),KP!$D:$D,0)),"")</f>
        <v/>
      </c>
      <c r="BP20" s="14">
        <f>SUM(SUMIFS(HTS!$AY:$AY,HTS!$B:$B,$B20,HTS!$C:$C,{"15-24","25-34","35-49","50+"},HTS!$D:$D,"Female"))</f>
        <v>4</v>
      </c>
      <c r="BQ20" s="14">
        <f>SUM(SUMIFS(HTS!$AY:$AY,HTS!$B:$B,$B20,HTS!$C:$C,{"15-24","25-34","35-49","50+"},HTS!$D:$D,"Male"))</f>
        <v>8</v>
      </c>
      <c r="BR20" s="14">
        <f>_xlfn.IFNA(INDEX(KP!$AP:$AP,MATCH(($B20&amp;"|"&amp;BR$3),KP!$D:$D,0)),"")</f>
        <v>0</v>
      </c>
      <c r="BS20" s="14">
        <f>_xlfn.IFNA(INDEX(KP!$AP:$AP,MATCH(($B20&amp;"|"&amp;BS$3),KP!$D:$D,0)),"")</f>
        <v>0</v>
      </c>
      <c r="BT20" s="14">
        <f>_xlfn.IFNA(INDEX(KP!$AP:$AP,MATCH(($B20&amp;"|"&amp;BT$3),KP!$D:$D,0)),"")</f>
        <v>0</v>
      </c>
      <c r="BU20" s="14">
        <f>_xlfn.IFNA(INDEX(KP!$AP:$AP,MATCH(($B20&amp;"|"&amp;BU$3),KP!$D:$D,0)),"")</f>
        <v>0</v>
      </c>
      <c r="BV20" s="14">
        <f>_xlfn.IFNA(INDEX(KP!$AP:$AP,MATCH(($B20&amp;"|"&amp;BV$3),KP!$D:$D,0)),"")</f>
        <v>0</v>
      </c>
    </row>
    <row r="21" spans="1:74" x14ac:dyDescent="0.2">
      <c r="A21" s="93" t="str">
        <f>INDEX(Prioritization!$D:$D,MATCH($B21,Prioritization!$A:$A,0))</f>
        <v>1 - Scale-up: Saturation</v>
      </c>
      <c r="B21" s="43" t="s">
        <v>199</v>
      </c>
      <c r="C21" s="14">
        <f>SUM(SUMIFS(PrEP!$O:$O,PrEP!$B:$B,$B21,PrEP!$C:$C,{"15-24","25-34","35-49","50+"},PrEP!$D:$D,"Female"))</f>
        <v>0</v>
      </c>
      <c r="D21" s="14">
        <f>SUM(SUMIFS(PrEP!$O:$O,PrEP!$B:$B,$B21,PrEP!$C:$C,{"15-24","25-34"},PrEP!$D:$D,"Female"))</f>
        <v>0</v>
      </c>
      <c r="E21" s="14">
        <f>SUM(SUMIFS(PrEP!$O:$O,PrEP!$B:$B,$B21,PrEP!$C:$C,{"15-24","25-34","35-49","50+"},PrEP!$D:$D,"Male"))</f>
        <v>0</v>
      </c>
      <c r="F21" s="14">
        <f>_xlfn.IFNA(INDEX(KP!$I:$I,MATCH(($B21&amp;"|"&amp;F$3),KP!$D:$D,0)),"")</f>
        <v>0</v>
      </c>
      <c r="G21" s="14">
        <f>_xlfn.IFNA(INDEX(KP!$I:$I,MATCH(($B21&amp;"|"&amp;G$3),KP!$D:$D,0)),"")</f>
        <v>0</v>
      </c>
      <c r="H21" s="14">
        <f>_xlfn.IFNA(INDEX(KP!$I:$I,MATCH(($B21&amp;"|"&amp;H$3),KP!$D:$D,0)),"")</f>
        <v>0</v>
      </c>
      <c r="I21" s="14">
        <f>_xlfn.IFNA(INDEX(KP!$I:$I,MATCH(($B21&amp;"|"&amp;I$3),KP!$D:$D,0)),"")</f>
        <v>0</v>
      </c>
      <c r="J21" s="14">
        <f>_xlfn.IFNA(INDEX(KP!$I:$I,MATCH(($B21&amp;"|"&amp;J$3),KP!$D:$D,0)),"")</f>
        <v>0</v>
      </c>
      <c r="K21" s="14">
        <f>SUM(SUMIFS(PrEP!$L:$L,PrEP!$B:$B,$B21,PrEP!$C:$C,{"15-24","25-34","35-49","50+"},PrEP!$D:$D,"Female"))</f>
        <v>0</v>
      </c>
      <c r="L21" s="14">
        <f>SUM(SUMIFS(PrEP!$L:$L,PrEP!$B:$B,$B21,PrEP!$C:$C,{"15-24","25-34"},PrEP!$D:$D,"Female"))</f>
        <v>0</v>
      </c>
      <c r="M21" s="14">
        <f>SUM(SUMIFS(PrEP!$L:$L,PrEP!$B:$B,$B21,PrEP!$C:$C,{"15-24","25-34","35-49","50+"},PrEP!$D:$D,"Male"))</f>
        <v>0</v>
      </c>
      <c r="N21" s="14">
        <f>_xlfn.IFNA(INDEX(KP!$K:$K,MATCH(($B21&amp;"|"&amp;N$3),KP!$D:$D,0)),"")</f>
        <v>0</v>
      </c>
      <c r="O21" s="14">
        <f>_xlfn.IFNA(INDEX(KP!$K:$K,MATCH(($B21&amp;"|"&amp;O$3),KP!$D:$D,0)),"")</f>
        <v>0</v>
      </c>
      <c r="P21" s="14">
        <f>_xlfn.IFNA(INDEX(KP!$K:$K,MATCH(($B21&amp;"|"&amp;P$3),KP!$D:$D,0)),"")</f>
        <v>0</v>
      </c>
      <c r="Q21" s="14">
        <f>_xlfn.IFNA(INDEX(KP!$K:$K,MATCH(($B21&amp;"|"&amp;Q$3),KP!$D:$D,0)),"")</f>
        <v>0</v>
      </c>
      <c r="R21" s="14">
        <f>_xlfn.IFNA(INDEX(KP!$K:$K,MATCH(($B21&amp;"|"&amp;R$3),KP!$D:$D,0)),"")</f>
        <v>0</v>
      </c>
      <c r="S21" s="14">
        <f>SUM(SUMIFS(Cascade!$AP:$AP,Cascade!$B:$B,$B21,Cascade!$C:$C,{"15-24","25-34","35-49","50+"},Cascade!$D:$D,"Female"))</f>
        <v>0</v>
      </c>
      <c r="T21" s="14">
        <f>SUM(SUMIFS(Cascade!$AP:$AP,Cascade!$B:$B,$B21,Cascade!$C:$C,{"15-24","25-34","35-49","50+"},Cascade!$D:$D,"Male"))</f>
        <v>0</v>
      </c>
      <c r="U21" s="14" t="str">
        <f>_xlfn.IFNA(INDEX(KP!$Q:$Q,MATCH(($B21&amp;"|"&amp;U$3),KP!$D:$D,0)),"")</f>
        <v/>
      </c>
      <c r="V21" s="14" t="str">
        <f>_xlfn.IFNA(INDEX(KP!$Q:$Q,MATCH(($B21&amp;"|"&amp;V$3),KP!$D:$D,0)),"")</f>
        <v/>
      </c>
      <c r="W21" s="14" t="str">
        <f>_xlfn.IFNA(INDEX(KP!$Q:$Q,MATCH(($B21&amp;"|"&amp;W$3),KP!$D:$D,0)),"")</f>
        <v/>
      </c>
      <c r="X21" s="14" t="str">
        <f>_xlfn.IFNA(INDEX(KP!$Q:$Q,MATCH(($B21&amp;"|"&amp;X$3),KP!$D:$D,0)),"")</f>
        <v/>
      </c>
      <c r="Y21" s="14" t="str">
        <f>_xlfn.IFNA(INDEX(KP!$Q:$Q,MATCH(($B21&amp;"|"&amp;Y$3),KP!$D:$D,0)),"")</f>
        <v/>
      </c>
      <c r="Z21" s="14">
        <f>SUM(SUMIFS(Cascade!$AX:$AX,Cascade!$B:$B,$B21,Cascade!$C:$C,{"15-24","25-34","35-49","50+"},Cascade!$D:$D,"Female"))</f>
        <v>0</v>
      </c>
      <c r="AA21" s="14">
        <f>SUM(SUMIFS(Cascade!$AX:$AX,Cascade!$B:$B,$B21,Cascade!$C:$C,{"15-24","25-34","35-49","50+"},Cascade!$D:$D,"Male"))</f>
        <v>0</v>
      </c>
      <c r="AB21" s="14" t="str">
        <f>_xlfn.IFNA(INDEX(KP!$Z:$Z,MATCH(($B21&amp;"|"&amp;AB$3),KP!$D:$D,0)),"")</f>
        <v/>
      </c>
      <c r="AC21" s="14" t="str">
        <f>_xlfn.IFNA(INDEX(KP!$Z:$Z,MATCH(($B21&amp;"|"&amp;AC$3),KP!$D:$D,0)),"")</f>
        <v/>
      </c>
      <c r="AD21" s="14" t="str">
        <f>_xlfn.IFNA(INDEX(KP!$Z:$Z,MATCH(($B21&amp;"|"&amp;AD$3),KP!$D:$D,0)),"")</f>
        <v/>
      </c>
      <c r="AE21" s="14" t="str">
        <f>_xlfn.IFNA(INDEX(KP!$Z:$Z,MATCH(($B21&amp;"|"&amp;AE$3),KP!$D:$D,0)),"")</f>
        <v/>
      </c>
      <c r="AF21" s="14" t="str">
        <f>_xlfn.IFNA(INDEX(KP!$Z:$Z,MATCH(($B21&amp;"|"&amp;AF$3),KP!$D:$D,0)),"")</f>
        <v/>
      </c>
      <c r="AG21" s="14">
        <f>SUM(SUMIFS(Cascade!$BB:$BB,Cascade!$B:$B,$B21,Cascade!$C:$C,{"15-24","25-34","35-49","50+"},Cascade!$D:$D,"Female"))</f>
        <v>0</v>
      </c>
      <c r="AH21" s="14">
        <f>SUM(SUMIFS(Cascade!$BB:$BB,Cascade!$B:$B,$B21,Cascade!$C:$C,{"15-24","25-34","35-49","50+"},Cascade!$D:$D,"Male"))</f>
        <v>0</v>
      </c>
      <c r="AI21" s="14" t="str">
        <f>_xlfn.IFNA(INDEX(KP!$AD:$AD,MATCH(($B21&amp;"|"&amp;AI$3),KP!$D:$D,0)),"")</f>
        <v/>
      </c>
      <c r="AJ21" s="14" t="str">
        <f>_xlfn.IFNA(INDEX(KP!$AD:$AD,MATCH(($B21&amp;"|"&amp;AJ$3),KP!$D:$D,0)),"")</f>
        <v/>
      </c>
      <c r="AK21" s="14" t="str">
        <f>_xlfn.IFNA(INDEX(KP!$AD:$AD,MATCH(($B21&amp;"|"&amp;AK$3),KP!$D:$D,0)),"")</f>
        <v/>
      </c>
      <c r="AL21" s="14" t="str">
        <f>_xlfn.IFNA(INDEX(KP!$AD:$AD,MATCH(($B21&amp;"|"&amp;AL$3),KP!$D:$D,0)),"")</f>
        <v/>
      </c>
      <c r="AM21" s="14" t="str">
        <f>_xlfn.IFNA(INDEX(KP!$AD:$AD,MATCH(($B21&amp;"|"&amp;AM$3),KP!$D:$D,0)),"")</f>
        <v/>
      </c>
      <c r="AN21" s="14">
        <f>SUM(SUMIFS(Cascade!$BE:$BE,Cascade!$B:$B,$B21,Cascade!$C:$C,{"15-24","25-34","35-49","50+"},Cascade!$D:$D,"Female"))</f>
        <v>0</v>
      </c>
      <c r="AO21" s="14">
        <f>SUM(SUMIFS(Cascade!$BE:$BE,Cascade!$B:$B,$B21,Cascade!$C:$C,{"15-24","25-34","35-49","50+"},Cascade!$D:$D,"Male"))</f>
        <v>0</v>
      </c>
      <c r="AP21" s="14" t="str">
        <f>_xlfn.IFNA(INDEX(KP!$AF:$AF,MATCH(($B21&amp;"|"&amp;AP$3),KP!$D:$D,0)),"")</f>
        <v/>
      </c>
      <c r="AQ21" s="14" t="str">
        <f>_xlfn.IFNA(INDEX(KP!$AF:$AF,MATCH(($B21&amp;"|"&amp;AQ$3),KP!$D:$D,0)),"")</f>
        <v/>
      </c>
      <c r="AR21" s="14" t="str">
        <f>_xlfn.IFNA(INDEX(KP!$AF:$AF,MATCH(($B21&amp;"|"&amp;AR$3),KP!$D:$D,0)),"")</f>
        <v/>
      </c>
      <c r="AS21" s="14" t="str">
        <f>_xlfn.IFNA(INDEX(KP!$AF:$AF,MATCH(($B21&amp;"|"&amp;AS$3),KP!$D:$D,0)),"")</f>
        <v/>
      </c>
      <c r="AT21" s="14" t="str">
        <f>_xlfn.IFNA(INDEX(KP!$AF:$AF,MATCH(($B21&amp;"|"&amp;AT$3),KP!$D:$D,0)),"")</f>
        <v/>
      </c>
      <c r="AU21" s="14">
        <f>SUM(SUMIFS(HTS!$AM:$AM,HTS!$B:$B,$B21,HTS!$C:$C,{"15-24","25-34","35-49","50+"},HTS!$D:$D,"Female"))</f>
        <v>0</v>
      </c>
      <c r="AV21" s="14">
        <f>SUM(SUMIFS(HTS!$AM:$AM,HTS!$B:$B,$B21,HTS!$C:$C,{"15-24","25-34","35-49","50+"},HTS!$D:$D,"Male"))</f>
        <v>0</v>
      </c>
      <c r="AW21" s="14" t="str">
        <f>_xlfn.IFNA(INDEX(KP!$AK:$AK,MATCH(($B21&amp;"|"&amp;AW$3),KP!$D:$D,0)),"")</f>
        <v/>
      </c>
      <c r="AX21" s="14" t="str">
        <f>_xlfn.IFNA(INDEX(KP!$AK:$AK,MATCH(($B21&amp;"|"&amp;AX$3),KP!$D:$D,0)),"")</f>
        <v/>
      </c>
      <c r="AY21" s="14" t="str">
        <f>_xlfn.IFNA(INDEX(KP!$AK:$AK,MATCH(($B21&amp;"|"&amp;AY$3),KP!$D:$D,0)),"")</f>
        <v/>
      </c>
      <c r="AZ21" s="14" t="str">
        <f>_xlfn.IFNA(INDEX(KP!$AK:$AK,MATCH(($B21&amp;"|"&amp;AZ$3),KP!$D:$D,0)),"")</f>
        <v/>
      </c>
      <c r="BA21" s="14" t="str">
        <f>_xlfn.IFNA(INDEX(KP!$AK:$AK,MATCH(($B21&amp;"|"&amp;BA$3),KP!$D:$D,0)),"")</f>
        <v/>
      </c>
      <c r="BB21" s="14">
        <f>SUM(SUMIFS(HTS!$AT:$AT,HTS!$B:$B,$B21,HTS!$C:$C,{"15-24","25-34","35-49","50+"},HTS!$D:$D,"Female"))</f>
        <v>0</v>
      </c>
      <c r="BC21" s="14">
        <f>SUM(SUMIFS(HTS!$AT:$AT,HTS!$B:$B,$B21,HTS!$C:$C,{"15-24","25-34","35-49","50+"},HTS!$D:$D,"Male"))</f>
        <v>0</v>
      </c>
      <c r="BD21" s="14" t="str">
        <f>_xlfn.IFNA(INDEX(KP!$AL:$AL,MATCH(($B21&amp;"|"&amp;BD$3),KP!$D:$D,0)),"")</f>
        <v/>
      </c>
      <c r="BE21" s="14" t="str">
        <f>_xlfn.IFNA(INDEX(KP!$AL:$AL,MATCH(($B21&amp;"|"&amp;BE$3),KP!$D:$D,0)),"")</f>
        <v/>
      </c>
      <c r="BF21" s="14" t="str">
        <f>_xlfn.IFNA(INDEX(KP!$AL:$AL,MATCH(($B21&amp;"|"&amp;BF$3),KP!$D:$D,0)),"")</f>
        <v/>
      </c>
      <c r="BG21" s="14" t="str">
        <f>_xlfn.IFNA(INDEX(KP!$AL:$AL,MATCH(($B21&amp;"|"&amp;BG$3),KP!$D:$D,0)),"")</f>
        <v/>
      </c>
      <c r="BH21" s="14" t="str">
        <f>_xlfn.IFNA(INDEX(KP!$AL:$AL,MATCH(($B21&amp;"|"&amp;BH$3),KP!$D:$D,0)),"")</f>
        <v/>
      </c>
      <c r="BI21" s="14">
        <f>SUM(SUMIFS(HTS!$BA:$BA,HTS!$B:$B,$B21,HTS!$C:$C,{"15-24","25-34","35-49","50+"},HTS!$D:$D,"Female"))</f>
        <v>0</v>
      </c>
      <c r="BJ21" s="14">
        <f>SUM(SUMIFS(HTS!$BA:$BA,HTS!$B:$B,$B21,HTS!$C:$C,{"15-24","25-34","35-49","50+"},HTS!$D:$D,"Male"))</f>
        <v>0</v>
      </c>
      <c r="BK21" s="14" t="str">
        <f>_xlfn.IFNA(INDEX(KP!$AN:$AN,MATCH(($B21&amp;"|"&amp;BK$3),KP!$D:$D,0)),"")</f>
        <v/>
      </c>
      <c r="BL21" s="14" t="str">
        <f>_xlfn.IFNA(INDEX(KP!$AN:$AN,MATCH(($B21&amp;"|"&amp;BL$3),KP!$D:$D,0)),"")</f>
        <v/>
      </c>
      <c r="BM21" s="14" t="str">
        <f>_xlfn.IFNA(INDEX(KP!$AN:$AN,MATCH(($B21&amp;"|"&amp;BM$3),KP!$D:$D,0)),"")</f>
        <v/>
      </c>
      <c r="BN21" s="14" t="str">
        <f>_xlfn.IFNA(INDEX(KP!$AN:$AN,MATCH(($B21&amp;"|"&amp;BN$3),KP!$D:$D,0)),"")</f>
        <v/>
      </c>
      <c r="BO21" s="14" t="str">
        <f>_xlfn.IFNA(INDEX(KP!$AN:$AN,MATCH(($B21&amp;"|"&amp;BO$3),KP!$D:$D,0)),"")</f>
        <v/>
      </c>
      <c r="BP21" s="14">
        <f>SUM(SUMIFS(HTS!$AY:$AY,HTS!$B:$B,$B21,HTS!$C:$C,{"15-24","25-34","35-49","50+"},HTS!$D:$D,"Female"))</f>
        <v>6</v>
      </c>
      <c r="BQ21" s="14">
        <f>SUM(SUMIFS(HTS!$AY:$AY,HTS!$B:$B,$B21,HTS!$C:$C,{"15-24","25-34","35-49","50+"},HTS!$D:$D,"Male"))</f>
        <v>2</v>
      </c>
      <c r="BR21" s="14">
        <f>_xlfn.IFNA(INDEX(KP!$AP:$AP,MATCH(($B21&amp;"|"&amp;BR$3),KP!$D:$D,0)),"")</f>
        <v>0</v>
      </c>
      <c r="BS21" s="14">
        <f>_xlfn.IFNA(INDEX(KP!$AP:$AP,MATCH(($B21&amp;"|"&amp;BS$3),KP!$D:$D,0)),"")</f>
        <v>0</v>
      </c>
      <c r="BT21" s="14">
        <f>_xlfn.IFNA(INDEX(KP!$AP:$AP,MATCH(($B21&amp;"|"&amp;BT$3),KP!$D:$D,0)),"")</f>
        <v>0</v>
      </c>
      <c r="BU21" s="14">
        <f>_xlfn.IFNA(INDEX(KP!$AP:$AP,MATCH(($B21&amp;"|"&amp;BU$3),KP!$D:$D,0)),"")</f>
        <v>0</v>
      </c>
      <c r="BV21" s="14">
        <f>_xlfn.IFNA(INDEX(KP!$AP:$AP,MATCH(($B21&amp;"|"&amp;BV$3),KP!$D:$D,0)),"")</f>
        <v>0</v>
      </c>
    </row>
    <row r="22" spans="1:74" x14ac:dyDescent="0.2">
      <c r="A22" s="93" t="str">
        <f>INDEX(Prioritization!$D:$D,MATCH($B22,Prioritization!$A:$A,0))</f>
        <v>INVALID</v>
      </c>
      <c r="B22" s="43" t="s">
        <v>200</v>
      </c>
      <c r="C22" s="14">
        <f>SUM(SUMIFS(PrEP!$O:$O,PrEP!$B:$B,$B22,PrEP!$C:$C,{"15-24","25-34","35-49","50+"},PrEP!$D:$D,"Female"))</f>
        <v>0</v>
      </c>
      <c r="D22" s="14">
        <f>SUM(SUMIFS(PrEP!$O:$O,PrEP!$B:$B,$B22,PrEP!$C:$C,{"15-24","25-34"},PrEP!$D:$D,"Female"))</f>
        <v>0</v>
      </c>
      <c r="E22" s="14">
        <f>SUM(SUMIFS(PrEP!$O:$O,PrEP!$B:$B,$B22,PrEP!$C:$C,{"15-24","25-34","35-49","50+"},PrEP!$D:$D,"Male"))</f>
        <v>0</v>
      </c>
      <c r="F22" s="14">
        <f>_xlfn.IFNA(INDEX(KP!$I:$I,MATCH(($B22&amp;"|"&amp;F$3),KP!$D:$D,0)),"")</f>
        <v>0</v>
      </c>
      <c r="G22" s="14">
        <f>_xlfn.IFNA(INDEX(KP!$I:$I,MATCH(($B22&amp;"|"&amp;G$3),KP!$D:$D,0)),"")</f>
        <v>0</v>
      </c>
      <c r="H22" s="14">
        <f>_xlfn.IFNA(INDEX(KP!$I:$I,MATCH(($B22&amp;"|"&amp;H$3),KP!$D:$D,0)),"")</f>
        <v>0</v>
      </c>
      <c r="I22" s="14">
        <f>_xlfn.IFNA(INDEX(KP!$I:$I,MATCH(($B22&amp;"|"&amp;I$3),KP!$D:$D,0)),"")</f>
        <v>0</v>
      </c>
      <c r="J22" s="14">
        <f>_xlfn.IFNA(INDEX(KP!$I:$I,MATCH(($B22&amp;"|"&amp;J$3),KP!$D:$D,0)),"")</f>
        <v>0</v>
      </c>
      <c r="K22" s="14">
        <f>SUM(SUMIFS(PrEP!$L:$L,PrEP!$B:$B,$B22,PrEP!$C:$C,{"15-24","25-34","35-49","50+"},PrEP!$D:$D,"Female"))</f>
        <v>0</v>
      </c>
      <c r="L22" s="14">
        <f>SUM(SUMIFS(PrEP!$L:$L,PrEP!$B:$B,$B22,PrEP!$C:$C,{"15-24","25-34"},PrEP!$D:$D,"Female"))</f>
        <v>0</v>
      </c>
      <c r="M22" s="14">
        <f>SUM(SUMIFS(PrEP!$L:$L,PrEP!$B:$B,$B22,PrEP!$C:$C,{"15-24","25-34","35-49","50+"},PrEP!$D:$D,"Male"))</f>
        <v>0</v>
      </c>
      <c r="N22" s="14">
        <f>_xlfn.IFNA(INDEX(KP!$K:$K,MATCH(($B22&amp;"|"&amp;N$3),KP!$D:$D,0)),"")</f>
        <v>0</v>
      </c>
      <c r="O22" s="14">
        <f>_xlfn.IFNA(INDEX(KP!$K:$K,MATCH(($B22&amp;"|"&amp;O$3),KP!$D:$D,0)),"")</f>
        <v>0</v>
      </c>
      <c r="P22" s="14">
        <f>_xlfn.IFNA(INDEX(KP!$K:$K,MATCH(($B22&amp;"|"&amp;P$3),KP!$D:$D,0)),"")</f>
        <v>0</v>
      </c>
      <c r="Q22" s="14">
        <f>_xlfn.IFNA(INDEX(KP!$K:$K,MATCH(($B22&amp;"|"&amp;Q$3),KP!$D:$D,0)),"")</f>
        <v>0</v>
      </c>
      <c r="R22" s="14">
        <f>_xlfn.IFNA(INDEX(KP!$K:$K,MATCH(($B22&amp;"|"&amp;R$3),KP!$D:$D,0)),"")</f>
        <v>0</v>
      </c>
      <c r="S22" s="14">
        <f>SUM(SUMIFS(Cascade!$AP:$AP,Cascade!$B:$B,$B22,Cascade!$C:$C,{"15-24","25-34","35-49","50+"},Cascade!$D:$D,"Female"))</f>
        <v>0</v>
      </c>
      <c r="T22" s="14">
        <f>SUM(SUMIFS(Cascade!$AP:$AP,Cascade!$B:$B,$B22,Cascade!$C:$C,{"15-24","25-34","35-49","50+"},Cascade!$D:$D,"Male"))</f>
        <v>0</v>
      </c>
      <c r="U22" s="14" t="str">
        <f>_xlfn.IFNA(INDEX(KP!$Q:$Q,MATCH(($B22&amp;"|"&amp;U$3),KP!$D:$D,0)),"")</f>
        <v/>
      </c>
      <c r="V22" s="14" t="str">
        <f>_xlfn.IFNA(INDEX(KP!$Q:$Q,MATCH(($B22&amp;"|"&amp;V$3),KP!$D:$D,0)),"")</f>
        <v/>
      </c>
      <c r="W22" s="14">
        <f>_xlfn.IFNA(INDEX(KP!$Q:$Q,MATCH(($B22&amp;"|"&amp;W$3),KP!$D:$D,0)),"")</f>
        <v>7</v>
      </c>
      <c r="X22" s="14" t="str">
        <f>_xlfn.IFNA(INDEX(KP!$Q:$Q,MATCH(($B22&amp;"|"&amp;X$3),KP!$D:$D,0)),"")</f>
        <v/>
      </c>
      <c r="Y22" s="14" t="str">
        <f>_xlfn.IFNA(INDEX(KP!$Q:$Q,MATCH(($B22&amp;"|"&amp;Y$3),KP!$D:$D,0)),"")</f>
        <v/>
      </c>
      <c r="Z22" s="14">
        <f>SUM(SUMIFS(Cascade!$AX:$AX,Cascade!$B:$B,$B22,Cascade!$C:$C,{"15-24","25-34","35-49","50+"},Cascade!$D:$D,"Female"))</f>
        <v>0</v>
      </c>
      <c r="AA22" s="14">
        <f>SUM(SUMIFS(Cascade!$AX:$AX,Cascade!$B:$B,$B22,Cascade!$C:$C,{"15-24","25-34","35-49","50+"},Cascade!$D:$D,"Male"))</f>
        <v>0</v>
      </c>
      <c r="AB22" s="14" t="str">
        <f>_xlfn.IFNA(INDEX(KP!$Z:$Z,MATCH(($B22&amp;"|"&amp;AB$3),KP!$D:$D,0)),"")</f>
        <v/>
      </c>
      <c r="AC22" s="14" t="str">
        <f>_xlfn.IFNA(INDEX(KP!$Z:$Z,MATCH(($B22&amp;"|"&amp;AC$3),KP!$D:$D,0)),"")</f>
        <v/>
      </c>
      <c r="AD22" s="14" t="str">
        <f>_xlfn.IFNA(INDEX(KP!$Z:$Z,MATCH(($B22&amp;"|"&amp;AD$3),KP!$D:$D,0)),"")</f>
        <v/>
      </c>
      <c r="AE22" s="14" t="str">
        <f>_xlfn.IFNA(INDEX(KP!$Z:$Z,MATCH(($B22&amp;"|"&amp;AE$3),KP!$D:$D,0)),"")</f>
        <v/>
      </c>
      <c r="AF22" s="14" t="str">
        <f>_xlfn.IFNA(INDEX(KP!$Z:$Z,MATCH(($B22&amp;"|"&amp;AF$3),KP!$D:$D,0)),"")</f>
        <v/>
      </c>
      <c r="AG22" s="14">
        <f>SUM(SUMIFS(Cascade!$BB:$BB,Cascade!$B:$B,$B22,Cascade!$C:$C,{"15-24","25-34","35-49","50+"},Cascade!$D:$D,"Female"))</f>
        <v>0</v>
      </c>
      <c r="AH22" s="14">
        <f>SUM(SUMIFS(Cascade!$BB:$BB,Cascade!$B:$B,$B22,Cascade!$C:$C,{"15-24","25-34","35-49","50+"},Cascade!$D:$D,"Male"))</f>
        <v>0</v>
      </c>
      <c r="AI22" s="14" t="str">
        <f>_xlfn.IFNA(INDEX(KP!$AD:$AD,MATCH(($B22&amp;"|"&amp;AI$3),KP!$D:$D,0)),"")</f>
        <v/>
      </c>
      <c r="AJ22" s="14" t="str">
        <f>_xlfn.IFNA(INDEX(KP!$AD:$AD,MATCH(($B22&amp;"|"&amp;AJ$3),KP!$D:$D,0)),"")</f>
        <v/>
      </c>
      <c r="AK22" s="14">
        <f>_xlfn.IFNA(INDEX(KP!$AD:$AD,MATCH(($B22&amp;"|"&amp;AK$3),KP!$D:$D,0)),"")</f>
        <v>7</v>
      </c>
      <c r="AL22" s="14" t="str">
        <f>_xlfn.IFNA(INDEX(KP!$AD:$AD,MATCH(($B22&amp;"|"&amp;AL$3),KP!$D:$D,0)),"")</f>
        <v/>
      </c>
      <c r="AM22" s="14" t="str">
        <f>_xlfn.IFNA(INDEX(KP!$AD:$AD,MATCH(($B22&amp;"|"&amp;AM$3),KP!$D:$D,0)),"")</f>
        <v/>
      </c>
      <c r="AN22" s="14">
        <f>SUM(SUMIFS(Cascade!$BE:$BE,Cascade!$B:$B,$B22,Cascade!$C:$C,{"15-24","25-34","35-49","50+"},Cascade!$D:$D,"Female"))</f>
        <v>0</v>
      </c>
      <c r="AO22" s="14">
        <f>SUM(SUMIFS(Cascade!$BE:$BE,Cascade!$B:$B,$B22,Cascade!$C:$C,{"15-24","25-34","35-49","50+"},Cascade!$D:$D,"Male"))</f>
        <v>0</v>
      </c>
      <c r="AP22" s="14" t="str">
        <f>_xlfn.IFNA(INDEX(KP!$AF:$AF,MATCH(($B22&amp;"|"&amp;AP$3),KP!$D:$D,0)),"")</f>
        <v/>
      </c>
      <c r="AQ22" s="14" t="str">
        <f>_xlfn.IFNA(INDEX(KP!$AF:$AF,MATCH(($B22&amp;"|"&amp;AQ$3),KP!$D:$D,0)),"")</f>
        <v/>
      </c>
      <c r="AR22" s="14">
        <f>_xlfn.IFNA(INDEX(KP!$AF:$AF,MATCH(($B22&amp;"|"&amp;AR$3),KP!$D:$D,0)),"")</f>
        <v>7</v>
      </c>
      <c r="AS22" s="14" t="str">
        <f>_xlfn.IFNA(INDEX(KP!$AF:$AF,MATCH(($B22&amp;"|"&amp;AS$3),KP!$D:$D,0)),"")</f>
        <v/>
      </c>
      <c r="AT22" s="14" t="str">
        <f>_xlfn.IFNA(INDEX(KP!$AF:$AF,MATCH(($B22&amp;"|"&amp;AT$3),KP!$D:$D,0)),"")</f>
        <v/>
      </c>
      <c r="AU22" s="14">
        <f>SUM(SUMIFS(HTS!$AM:$AM,HTS!$B:$B,$B22,HTS!$C:$C,{"15-24","25-34","35-49","50+"},HTS!$D:$D,"Female"))</f>
        <v>0</v>
      </c>
      <c r="AV22" s="14">
        <f>SUM(SUMIFS(HTS!$AM:$AM,HTS!$B:$B,$B22,HTS!$C:$C,{"15-24","25-34","35-49","50+"},HTS!$D:$D,"Male"))</f>
        <v>0</v>
      </c>
      <c r="AW22" s="14" t="str">
        <f>_xlfn.IFNA(INDEX(KP!$AK:$AK,MATCH(($B22&amp;"|"&amp;AW$3),KP!$D:$D,0)),"")</f>
        <v/>
      </c>
      <c r="AX22" s="14" t="str">
        <f>_xlfn.IFNA(INDEX(KP!$AK:$AK,MATCH(($B22&amp;"|"&amp;AX$3),KP!$D:$D,0)),"")</f>
        <v/>
      </c>
      <c r="AY22" s="14" t="str">
        <f>_xlfn.IFNA(INDEX(KP!$AK:$AK,MATCH(($B22&amp;"|"&amp;AY$3),KP!$D:$D,0)),"")</f>
        <v/>
      </c>
      <c r="AZ22" s="14" t="str">
        <f>_xlfn.IFNA(INDEX(KP!$AK:$AK,MATCH(($B22&amp;"|"&amp;AZ$3),KP!$D:$D,0)),"")</f>
        <v/>
      </c>
      <c r="BA22" s="14" t="str">
        <f>_xlfn.IFNA(INDEX(KP!$AK:$AK,MATCH(($B22&amp;"|"&amp;BA$3),KP!$D:$D,0)),"")</f>
        <v/>
      </c>
      <c r="BB22" s="14">
        <f>SUM(SUMIFS(HTS!$AT:$AT,HTS!$B:$B,$B22,HTS!$C:$C,{"15-24","25-34","35-49","50+"},HTS!$D:$D,"Female"))</f>
        <v>0</v>
      </c>
      <c r="BC22" s="14">
        <f>SUM(SUMIFS(HTS!$AT:$AT,HTS!$B:$B,$B22,HTS!$C:$C,{"15-24","25-34","35-49","50+"},HTS!$D:$D,"Male"))</f>
        <v>0</v>
      </c>
      <c r="BD22" s="14" t="str">
        <f>_xlfn.IFNA(INDEX(KP!$AL:$AL,MATCH(($B22&amp;"|"&amp;BD$3),KP!$D:$D,0)),"")</f>
        <v/>
      </c>
      <c r="BE22" s="14" t="str">
        <f>_xlfn.IFNA(INDEX(KP!$AL:$AL,MATCH(($B22&amp;"|"&amp;BE$3),KP!$D:$D,0)),"")</f>
        <v/>
      </c>
      <c r="BF22" s="14" t="str">
        <f>_xlfn.IFNA(INDEX(KP!$AL:$AL,MATCH(($B22&amp;"|"&amp;BF$3),KP!$D:$D,0)),"")</f>
        <v/>
      </c>
      <c r="BG22" s="14" t="str">
        <f>_xlfn.IFNA(INDEX(KP!$AL:$AL,MATCH(($B22&amp;"|"&amp;BG$3),KP!$D:$D,0)),"")</f>
        <v/>
      </c>
      <c r="BH22" s="14" t="str">
        <f>_xlfn.IFNA(INDEX(KP!$AL:$AL,MATCH(($B22&amp;"|"&amp;BH$3),KP!$D:$D,0)),"")</f>
        <v/>
      </c>
      <c r="BI22" s="14">
        <f>SUM(SUMIFS(HTS!$BA:$BA,HTS!$B:$B,$B22,HTS!$C:$C,{"15-24","25-34","35-49","50+"},HTS!$D:$D,"Female"))</f>
        <v>0</v>
      </c>
      <c r="BJ22" s="14">
        <f>SUM(SUMIFS(HTS!$BA:$BA,HTS!$B:$B,$B22,HTS!$C:$C,{"15-24","25-34","35-49","50+"},HTS!$D:$D,"Male"))</f>
        <v>0</v>
      </c>
      <c r="BK22" s="14" t="str">
        <f>_xlfn.IFNA(INDEX(KP!$AN:$AN,MATCH(($B22&amp;"|"&amp;BK$3),KP!$D:$D,0)),"")</f>
        <v/>
      </c>
      <c r="BL22" s="14" t="str">
        <f>_xlfn.IFNA(INDEX(KP!$AN:$AN,MATCH(($B22&amp;"|"&amp;BL$3),KP!$D:$D,0)),"")</f>
        <v/>
      </c>
      <c r="BM22" s="14" t="str">
        <f>_xlfn.IFNA(INDEX(KP!$AN:$AN,MATCH(($B22&amp;"|"&amp;BM$3),KP!$D:$D,0)),"")</f>
        <v/>
      </c>
      <c r="BN22" s="14" t="str">
        <f>_xlfn.IFNA(INDEX(KP!$AN:$AN,MATCH(($B22&amp;"|"&amp;BN$3),KP!$D:$D,0)),"")</f>
        <v/>
      </c>
      <c r="BO22" s="14" t="str">
        <f>_xlfn.IFNA(INDEX(KP!$AN:$AN,MATCH(($B22&amp;"|"&amp;BO$3),KP!$D:$D,0)),"")</f>
        <v/>
      </c>
      <c r="BP22" s="14">
        <f>SUM(SUMIFS(HTS!$AY:$AY,HTS!$B:$B,$B22,HTS!$C:$C,{"15-24","25-34","35-49","50+"},HTS!$D:$D,"Female"))</f>
        <v>6</v>
      </c>
      <c r="BQ22" s="14">
        <f>SUM(SUMIFS(HTS!$AY:$AY,HTS!$B:$B,$B22,HTS!$C:$C,{"15-24","25-34","35-49","50+"},HTS!$D:$D,"Male"))</f>
        <v>9</v>
      </c>
      <c r="BR22" s="14">
        <f>_xlfn.IFNA(INDEX(KP!$AP:$AP,MATCH(($B22&amp;"|"&amp;BR$3),KP!$D:$D,0)),"")</f>
        <v>0</v>
      </c>
      <c r="BS22" s="14">
        <f>_xlfn.IFNA(INDEX(KP!$AP:$AP,MATCH(($B22&amp;"|"&amp;BS$3),KP!$D:$D,0)),"")</f>
        <v>0</v>
      </c>
      <c r="BT22" s="14">
        <f>_xlfn.IFNA(INDEX(KP!$AP:$AP,MATCH(($B22&amp;"|"&amp;BT$3),KP!$D:$D,0)),"")</f>
        <v>0</v>
      </c>
      <c r="BU22" s="14">
        <f>_xlfn.IFNA(INDEX(KP!$AP:$AP,MATCH(($B22&amp;"|"&amp;BU$3),KP!$D:$D,0)),"")</f>
        <v>0</v>
      </c>
      <c r="BV22" s="14">
        <f>_xlfn.IFNA(INDEX(KP!$AP:$AP,MATCH(($B22&amp;"|"&amp;BV$3),KP!$D:$D,0)),"")</f>
        <v>0</v>
      </c>
    </row>
    <row r="23" spans="1:74" x14ac:dyDescent="0.2">
      <c r="A23" s="93" t="str">
        <f>INDEX(Prioritization!$D:$D,MATCH($B23,Prioritization!$A:$A,0))</f>
        <v>INVALID</v>
      </c>
      <c r="B23" s="43" t="s">
        <v>201</v>
      </c>
      <c r="C23" s="14">
        <f>SUM(SUMIFS(PrEP!$O:$O,PrEP!$B:$B,$B23,PrEP!$C:$C,{"15-24","25-34","35-49","50+"},PrEP!$D:$D,"Female"))</f>
        <v>0</v>
      </c>
      <c r="D23" s="14">
        <f>SUM(SUMIFS(PrEP!$O:$O,PrEP!$B:$B,$B23,PrEP!$C:$C,{"15-24","25-34"},PrEP!$D:$D,"Female"))</f>
        <v>0</v>
      </c>
      <c r="E23" s="14">
        <f>SUM(SUMIFS(PrEP!$O:$O,PrEP!$B:$B,$B23,PrEP!$C:$C,{"15-24","25-34","35-49","50+"},PrEP!$D:$D,"Male"))</f>
        <v>0</v>
      </c>
      <c r="F23" s="14">
        <f>_xlfn.IFNA(INDEX(KP!$I:$I,MATCH(($B23&amp;"|"&amp;F$3),KP!$D:$D,0)),"")</f>
        <v>0</v>
      </c>
      <c r="G23" s="14">
        <f>_xlfn.IFNA(INDEX(KP!$I:$I,MATCH(($B23&amp;"|"&amp;G$3),KP!$D:$D,0)),"")</f>
        <v>0</v>
      </c>
      <c r="H23" s="14">
        <f>_xlfn.IFNA(INDEX(KP!$I:$I,MATCH(($B23&amp;"|"&amp;H$3),KP!$D:$D,0)),"")</f>
        <v>0</v>
      </c>
      <c r="I23" s="14">
        <f>_xlfn.IFNA(INDEX(KP!$I:$I,MATCH(($B23&amp;"|"&amp;I$3),KP!$D:$D,0)),"")</f>
        <v>0</v>
      </c>
      <c r="J23" s="14">
        <f>_xlfn.IFNA(INDEX(KP!$I:$I,MATCH(($B23&amp;"|"&amp;J$3),KP!$D:$D,0)),"")</f>
        <v>0</v>
      </c>
      <c r="K23" s="14">
        <f>SUM(SUMIFS(PrEP!$L:$L,PrEP!$B:$B,$B23,PrEP!$C:$C,{"15-24","25-34","35-49","50+"},PrEP!$D:$D,"Female"))</f>
        <v>0</v>
      </c>
      <c r="L23" s="14">
        <f>SUM(SUMIFS(PrEP!$L:$L,PrEP!$B:$B,$B23,PrEP!$C:$C,{"15-24","25-34"},PrEP!$D:$D,"Female"))</f>
        <v>0</v>
      </c>
      <c r="M23" s="14">
        <f>SUM(SUMIFS(PrEP!$L:$L,PrEP!$B:$B,$B23,PrEP!$C:$C,{"15-24","25-34","35-49","50+"},PrEP!$D:$D,"Male"))</f>
        <v>0</v>
      </c>
      <c r="N23" s="14">
        <f>_xlfn.IFNA(INDEX(KP!$K:$K,MATCH(($B23&amp;"|"&amp;N$3),KP!$D:$D,0)),"")</f>
        <v>0</v>
      </c>
      <c r="O23" s="14">
        <f>_xlfn.IFNA(INDEX(KP!$K:$K,MATCH(($B23&amp;"|"&amp;O$3),KP!$D:$D,0)),"")</f>
        <v>0</v>
      </c>
      <c r="P23" s="14">
        <f>_xlfn.IFNA(INDEX(KP!$K:$K,MATCH(($B23&amp;"|"&amp;P$3),KP!$D:$D,0)),"")</f>
        <v>0</v>
      </c>
      <c r="Q23" s="14">
        <f>_xlfn.IFNA(INDEX(KP!$K:$K,MATCH(($B23&amp;"|"&amp;Q$3),KP!$D:$D,0)),"")</f>
        <v>0</v>
      </c>
      <c r="R23" s="14">
        <f>_xlfn.IFNA(INDEX(KP!$K:$K,MATCH(($B23&amp;"|"&amp;R$3),KP!$D:$D,0)),"")</f>
        <v>0</v>
      </c>
      <c r="S23" s="14">
        <f>SUM(SUMIFS(Cascade!$AP:$AP,Cascade!$B:$B,$B23,Cascade!$C:$C,{"15-24","25-34","35-49","50+"},Cascade!$D:$D,"Female"))</f>
        <v>0</v>
      </c>
      <c r="T23" s="14">
        <f>SUM(SUMIFS(Cascade!$AP:$AP,Cascade!$B:$B,$B23,Cascade!$C:$C,{"15-24","25-34","35-49","50+"},Cascade!$D:$D,"Male"))</f>
        <v>0</v>
      </c>
      <c r="U23" s="14" t="str">
        <f>_xlfn.IFNA(INDEX(KP!$Q:$Q,MATCH(($B23&amp;"|"&amp;U$3),KP!$D:$D,0)),"")</f>
        <v/>
      </c>
      <c r="V23" s="14" t="str">
        <f>_xlfn.IFNA(INDEX(KP!$Q:$Q,MATCH(($B23&amp;"|"&amp;V$3),KP!$D:$D,0)),"")</f>
        <v/>
      </c>
      <c r="W23" s="14">
        <f>_xlfn.IFNA(INDEX(KP!$Q:$Q,MATCH(($B23&amp;"|"&amp;W$3),KP!$D:$D,0)),"")</f>
        <v>8</v>
      </c>
      <c r="X23" s="14" t="str">
        <f>_xlfn.IFNA(INDEX(KP!$Q:$Q,MATCH(($B23&amp;"|"&amp;X$3),KP!$D:$D,0)),"")</f>
        <v/>
      </c>
      <c r="Y23" s="14" t="str">
        <f>_xlfn.IFNA(INDEX(KP!$Q:$Q,MATCH(($B23&amp;"|"&amp;Y$3),KP!$D:$D,0)),"")</f>
        <v/>
      </c>
      <c r="Z23" s="14">
        <f>SUM(SUMIFS(Cascade!$AX:$AX,Cascade!$B:$B,$B23,Cascade!$C:$C,{"15-24","25-34","35-49","50+"},Cascade!$D:$D,"Female"))</f>
        <v>0</v>
      </c>
      <c r="AA23" s="14">
        <f>SUM(SUMIFS(Cascade!$AX:$AX,Cascade!$B:$B,$B23,Cascade!$C:$C,{"15-24","25-34","35-49","50+"},Cascade!$D:$D,"Male"))</f>
        <v>0</v>
      </c>
      <c r="AB23" s="14" t="str">
        <f>_xlfn.IFNA(INDEX(KP!$Z:$Z,MATCH(($B23&amp;"|"&amp;AB$3),KP!$D:$D,0)),"")</f>
        <v/>
      </c>
      <c r="AC23" s="14" t="str">
        <f>_xlfn.IFNA(INDEX(KP!$Z:$Z,MATCH(($B23&amp;"|"&amp;AC$3),KP!$D:$D,0)),"")</f>
        <v/>
      </c>
      <c r="AD23" s="14" t="str">
        <f>_xlfn.IFNA(INDEX(KP!$Z:$Z,MATCH(($B23&amp;"|"&amp;AD$3),KP!$D:$D,0)),"")</f>
        <v/>
      </c>
      <c r="AE23" s="14" t="str">
        <f>_xlfn.IFNA(INDEX(KP!$Z:$Z,MATCH(($B23&amp;"|"&amp;AE$3),KP!$D:$D,0)),"")</f>
        <v/>
      </c>
      <c r="AF23" s="14" t="str">
        <f>_xlfn.IFNA(INDEX(KP!$Z:$Z,MATCH(($B23&amp;"|"&amp;AF$3),KP!$D:$D,0)),"")</f>
        <v/>
      </c>
      <c r="AG23" s="14">
        <f>SUM(SUMIFS(Cascade!$BB:$BB,Cascade!$B:$B,$B23,Cascade!$C:$C,{"15-24","25-34","35-49","50+"},Cascade!$D:$D,"Female"))</f>
        <v>0</v>
      </c>
      <c r="AH23" s="14">
        <f>SUM(SUMIFS(Cascade!$BB:$BB,Cascade!$B:$B,$B23,Cascade!$C:$C,{"15-24","25-34","35-49","50+"},Cascade!$D:$D,"Male"))</f>
        <v>0</v>
      </c>
      <c r="AI23" s="14" t="str">
        <f>_xlfn.IFNA(INDEX(KP!$AD:$AD,MATCH(($B23&amp;"|"&amp;AI$3),KP!$D:$D,0)),"")</f>
        <v/>
      </c>
      <c r="AJ23" s="14" t="str">
        <f>_xlfn.IFNA(INDEX(KP!$AD:$AD,MATCH(($B23&amp;"|"&amp;AJ$3),KP!$D:$D,0)),"")</f>
        <v/>
      </c>
      <c r="AK23" s="14">
        <f>_xlfn.IFNA(INDEX(KP!$AD:$AD,MATCH(($B23&amp;"|"&amp;AK$3),KP!$D:$D,0)),"")</f>
        <v>8</v>
      </c>
      <c r="AL23" s="14" t="str">
        <f>_xlfn.IFNA(INDEX(KP!$AD:$AD,MATCH(($B23&amp;"|"&amp;AL$3),KP!$D:$D,0)),"")</f>
        <v/>
      </c>
      <c r="AM23" s="14" t="str">
        <f>_xlfn.IFNA(INDEX(KP!$AD:$AD,MATCH(($B23&amp;"|"&amp;AM$3),KP!$D:$D,0)),"")</f>
        <v/>
      </c>
      <c r="AN23" s="14">
        <f>SUM(SUMIFS(Cascade!$BE:$BE,Cascade!$B:$B,$B23,Cascade!$C:$C,{"15-24","25-34","35-49","50+"},Cascade!$D:$D,"Female"))</f>
        <v>0</v>
      </c>
      <c r="AO23" s="14">
        <f>SUM(SUMIFS(Cascade!$BE:$BE,Cascade!$B:$B,$B23,Cascade!$C:$C,{"15-24","25-34","35-49","50+"},Cascade!$D:$D,"Male"))</f>
        <v>0</v>
      </c>
      <c r="AP23" s="14" t="str">
        <f>_xlfn.IFNA(INDEX(KP!$AF:$AF,MATCH(($B23&amp;"|"&amp;AP$3),KP!$D:$D,0)),"")</f>
        <v/>
      </c>
      <c r="AQ23" s="14" t="str">
        <f>_xlfn.IFNA(INDEX(KP!$AF:$AF,MATCH(($B23&amp;"|"&amp;AQ$3),KP!$D:$D,0)),"")</f>
        <v/>
      </c>
      <c r="AR23" s="14">
        <f>_xlfn.IFNA(INDEX(KP!$AF:$AF,MATCH(($B23&amp;"|"&amp;AR$3),KP!$D:$D,0)),"")</f>
        <v>8</v>
      </c>
      <c r="AS23" s="14" t="str">
        <f>_xlfn.IFNA(INDEX(KP!$AF:$AF,MATCH(($B23&amp;"|"&amp;AS$3),KP!$D:$D,0)),"")</f>
        <v/>
      </c>
      <c r="AT23" s="14" t="str">
        <f>_xlfn.IFNA(INDEX(KP!$AF:$AF,MATCH(($B23&amp;"|"&amp;AT$3),KP!$D:$D,0)),"")</f>
        <v/>
      </c>
      <c r="AU23" s="14">
        <f>SUM(SUMIFS(HTS!$AM:$AM,HTS!$B:$B,$B23,HTS!$C:$C,{"15-24","25-34","35-49","50+"},HTS!$D:$D,"Female"))</f>
        <v>0</v>
      </c>
      <c r="AV23" s="14">
        <f>SUM(SUMIFS(HTS!$AM:$AM,HTS!$B:$B,$B23,HTS!$C:$C,{"15-24","25-34","35-49","50+"},HTS!$D:$D,"Male"))</f>
        <v>0</v>
      </c>
      <c r="AW23" s="14" t="str">
        <f>_xlfn.IFNA(INDEX(KP!$AK:$AK,MATCH(($B23&amp;"|"&amp;AW$3),KP!$D:$D,0)),"")</f>
        <v/>
      </c>
      <c r="AX23" s="14" t="str">
        <f>_xlfn.IFNA(INDEX(KP!$AK:$AK,MATCH(($B23&amp;"|"&amp;AX$3),KP!$D:$D,0)),"")</f>
        <v/>
      </c>
      <c r="AY23" s="14" t="str">
        <f>_xlfn.IFNA(INDEX(KP!$AK:$AK,MATCH(($B23&amp;"|"&amp;AY$3),KP!$D:$D,0)),"")</f>
        <v/>
      </c>
      <c r="AZ23" s="14" t="str">
        <f>_xlfn.IFNA(INDEX(KP!$AK:$AK,MATCH(($B23&amp;"|"&amp;AZ$3),KP!$D:$D,0)),"")</f>
        <v/>
      </c>
      <c r="BA23" s="14" t="str">
        <f>_xlfn.IFNA(INDEX(KP!$AK:$AK,MATCH(($B23&amp;"|"&amp;BA$3),KP!$D:$D,0)),"")</f>
        <v/>
      </c>
      <c r="BB23" s="14">
        <f>SUM(SUMIFS(HTS!$AT:$AT,HTS!$B:$B,$B23,HTS!$C:$C,{"15-24","25-34","35-49","50+"},HTS!$D:$D,"Female"))</f>
        <v>0</v>
      </c>
      <c r="BC23" s="14">
        <f>SUM(SUMIFS(HTS!$AT:$AT,HTS!$B:$B,$B23,HTS!$C:$C,{"15-24","25-34","35-49","50+"},HTS!$D:$D,"Male"))</f>
        <v>0</v>
      </c>
      <c r="BD23" s="14" t="str">
        <f>_xlfn.IFNA(INDEX(KP!$AL:$AL,MATCH(($B23&amp;"|"&amp;BD$3),KP!$D:$D,0)),"")</f>
        <v/>
      </c>
      <c r="BE23" s="14" t="str">
        <f>_xlfn.IFNA(INDEX(KP!$AL:$AL,MATCH(($B23&amp;"|"&amp;BE$3),KP!$D:$D,0)),"")</f>
        <v/>
      </c>
      <c r="BF23" s="14" t="str">
        <f>_xlfn.IFNA(INDEX(KP!$AL:$AL,MATCH(($B23&amp;"|"&amp;BF$3),KP!$D:$D,0)),"")</f>
        <v/>
      </c>
      <c r="BG23" s="14" t="str">
        <f>_xlfn.IFNA(INDEX(KP!$AL:$AL,MATCH(($B23&amp;"|"&amp;BG$3),KP!$D:$D,0)),"")</f>
        <v/>
      </c>
      <c r="BH23" s="14" t="str">
        <f>_xlfn.IFNA(INDEX(KP!$AL:$AL,MATCH(($B23&amp;"|"&amp;BH$3),KP!$D:$D,0)),"")</f>
        <v/>
      </c>
      <c r="BI23" s="14">
        <f>SUM(SUMIFS(HTS!$BA:$BA,HTS!$B:$B,$B23,HTS!$C:$C,{"15-24","25-34","35-49","50+"},HTS!$D:$D,"Female"))</f>
        <v>0</v>
      </c>
      <c r="BJ23" s="14">
        <f>SUM(SUMIFS(HTS!$BA:$BA,HTS!$B:$B,$B23,HTS!$C:$C,{"15-24","25-34","35-49","50+"},HTS!$D:$D,"Male"))</f>
        <v>0</v>
      </c>
      <c r="BK23" s="14" t="str">
        <f>_xlfn.IFNA(INDEX(KP!$AN:$AN,MATCH(($B23&amp;"|"&amp;BK$3),KP!$D:$D,0)),"")</f>
        <v/>
      </c>
      <c r="BL23" s="14" t="str">
        <f>_xlfn.IFNA(INDEX(KP!$AN:$AN,MATCH(($B23&amp;"|"&amp;BL$3),KP!$D:$D,0)),"")</f>
        <v/>
      </c>
      <c r="BM23" s="14" t="str">
        <f>_xlfn.IFNA(INDEX(KP!$AN:$AN,MATCH(($B23&amp;"|"&amp;BM$3),KP!$D:$D,0)),"")</f>
        <v/>
      </c>
      <c r="BN23" s="14" t="str">
        <f>_xlfn.IFNA(INDEX(KP!$AN:$AN,MATCH(($B23&amp;"|"&amp;BN$3),KP!$D:$D,0)),"")</f>
        <v/>
      </c>
      <c r="BO23" s="14" t="str">
        <f>_xlfn.IFNA(INDEX(KP!$AN:$AN,MATCH(($B23&amp;"|"&amp;BO$3),KP!$D:$D,0)),"")</f>
        <v/>
      </c>
      <c r="BP23" s="14">
        <f>SUM(SUMIFS(HTS!$AY:$AY,HTS!$B:$B,$B23,HTS!$C:$C,{"15-24","25-34","35-49","50+"},HTS!$D:$D,"Female"))</f>
        <v>3</v>
      </c>
      <c r="BQ23" s="14">
        <f>SUM(SUMIFS(HTS!$AY:$AY,HTS!$B:$B,$B23,HTS!$C:$C,{"15-24","25-34","35-49","50+"},HTS!$D:$D,"Male"))</f>
        <v>8</v>
      </c>
      <c r="BR23" s="14">
        <f>_xlfn.IFNA(INDEX(KP!$AP:$AP,MATCH(($B23&amp;"|"&amp;BR$3),KP!$D:$D,0)),"")</f>
        <v>0</v>
      </c>
      <c r="BS23" s="14">
        <f>_xlfn.IFNA(INDEX(KP!$AP:$AP,MATCH(($B23&amp;"|"&amp;BS$3),KP!$D:$D,0)),"")</f>
        <v>0</v>
      </c>
      <c r="BT23" s="14">
        <f>_xlfn.IFNA(INDEX(KP!$AP:$AP,MATCH(($B23&amp;"|"&amp;BT$3),KP!$D:$D,0)),"")</f>
        <v>0</v>
      </c>
      <c r="BU23" s="14">
        <f>_xlfn.IFNA(INDEX(KP!$AP:$AP,MATCH(($B23&amp;"|"&amp;BU$3),KP!$D:$D,0)),"")</f>
        <v>0</v>
      </c>
      <c r="BV23" s="14">
        <f>_xlfn.IFNA(INDEX(KP!$AP:$AP,MATCH(($B23&amp;"|"&amp;BV$3),KP!$D:$D,0)),"")</f>
        <v>0</v>
      </c>
    </row>
    <row r="24" spans="1:74" x14ac:dyDescent="0.2">
      <c r="A24" s="93" t="str">
        <f>INDEX(Prioritization!$D:$D,MATCH($B24,Prioritization!$A:$A,0))</f>
        <v>INVALID</v>
      </c>
      <c r="B24" s="43" t="s">
        <v>202</v>
      </c>
      <c r="C24" s="14">
        <f>SUM(SUMIFS(PrEP!$O:$O,PrEP!$B:$B,$B24,PrEP!$C:$C,{"15-24","25-34","35-49","50+"},PrEP!$D:$D,"Female"))</f>
        <v>0</v>
      </c>
      <c r="D24" s="14">
        <f>SUM(SUMIFS(PrEP!$O:$O,PrEP!$B:$B,$B24,PrEP!$C:$C,{"15-24","25-34"},PrEP!$D:$D,"Female"))</f>
        <v>0</v>
      </c>
      <c r="E24" s="14">
        <f>SUM(SUMIFS(PrEP!$O:$O,PrEP!$B:$B,$B24,PrEP!$C:$C,{"15-24","25-34","35-49","50+"},PrEP!$D:$D,"Male"))</f>
        <v>0</v>
      </c>
      <c r="F24" s="14">
        <f>_xlfn.IFNA(INDEX(KP!$I:$I,MATCH(($B24&amp;"|"&amp;F$3),KP!$D:$D,0)),"")</f>
        <v>0</v>
      </c>
      <c r="G24" s="14">
        <f>_xlfn.IFNA(INDEX(KP!$I:$I,MATCH(($B24&amp;"|"&amp;G$3),KP!$D:$D,0)),"")</f>
        <v>0</v>
      </c>
      <c r="H24" s="14">
        <f>_xlfn.IFNA(INDEX(KP!$I:$I,MATCH(($B24&amp;"|"&amp;H$3),KP!$D:$D,0)),"")</f>
        <v>0</v>
      </c>
      <c r="I24" s="14">
        <f>_xlfn.IFNA(INDEX(KP!$I:$I,MATCH(($B24&amp;"|"&amp;I$3),KP!$D:$D,0)),"")</f>
        <v>0</v>
      </c>
      <c r="J24" s="14">
        <f>_xlfn.IFNA(INDEX(KP!$I:$I,MATCH(($B24&amp;"|"&amp;J$3),KP!$D:$D,0)),"")</f>
        <v>0</v>
      </c>
      <c r="K24" s="14">
        <f>SUM(SUMIFS(PrEP!$L:$L,PrEP!$B:$B,$B24,PrEP!$C:$C,{"15-24","25-34","35-49","50+"},PrEP!$D:$D,"Female"))</f>
        <v>0</v>
      </c>
      <c r="L24" s="14">
        <f>SUM(SUMIFS(PrEP!$L:$L,PrEP!$B:$B,$B24,PrEP!$C:$C,{"15-24","25-34"},PrEP!$D:$D,"Female"))</f>
        <v>0</v>
      </c>
      <c r="M24" s="14">
        <f>SUM(SUMIFS(PrEP!$L:$L,PrEP!$B:$B,$B24,PrEP!$C:$C,{"15-24","25-34","35-49","50+"},PrEP!$D:$D,"Male"))</f>
        <v>0</v>
      </c>
      <c r="N24" s="14">
        <f>_xlfn.IFNA(INDEX(KP!$K:$K,MATCH(($B24&amp;"|"&amp;N$3),KP!$D:$D,0)),"")</f>
        <v>0</v>
      </c>
      <c r="O24" s="14">
        <f>_xlfn.IFNA(INDEX(KP!$K:$K,MATCH(($B24&amp;"|"&amp;O$3),KP!$D:$D,0)),"")</f>
        <v>0</v>
      </c>
      <c r="P24" s="14">
        <f>_xlfn.IFNA(INDEX(KP!$K:$K,MATCH(($B24&amp;"|"&amp;P$3),KP!$D:$D,0)),"")</f>
        <v>0</v>
      </c>
      <c r="Q24" s="14">
        <f>_xlfn.IFNA(INDEX(KP!$K:$K,MATCH(($B24&amp;"|"&amp;Q$3),KP!$D:$D,0)),"")</f>
        <v>0</v>
      </c>
      <c r="R24" s="14">
        <f>_xlfn.IFNA(INDEX(KP!$K:$K,MATCH(($B24&amp;"|"&amp;R$3),KP!$D:$D,0)),"")</f>
        <v>0</v>
      </c>
      <c r="S24" s="14">
        <f>SUM(SUMIFS(Cascade!$AP:$AP,Cascade!$B:$B,$B24,Cascade!$C:$C,{"15-24","25-34","35-49","50+"},Cascade!$D:$D,"Female"))</f>
        <v>0</v>
      </c>
      <c r="T24" s="14">
        <f>SUM(SUMIFS(Cascade!$AP:$AP,Cascade!$B:$B,$B24,Cascade!$C:$C,{"15-24","25-34","35-49","50+"},Cascade!$D:$D,"Male"))</f>
        <v>0</v>
      </c>
      <c r="U24" s="14" t="str">
        <f>_xlfn.IFNA(INDEX(KP!$Q:$Q,MATCH(($B24&amp;"|"&amp;U$3),KP!$D:$D,0)),"")</f>
        <v/>
      </c>
      <c r="V24" s="14" t="str">
        <f>_xlfn.IFNA(INDEX(KP!$Q:$Q,MATCH(($B24&amp;"|"&amp;V$3),KP!$D:$D,0)),"")</f>
        <v/>
      </c>
      <c r="W24" s="14" t="str">
        <f>_xlfn.IFNA(INDEX(KP!$Q:$Q,MATCH(($B24&amp;"|"&amp;W$3),KP!$D:$D,0)),"")</f>
        <v/>
      </c>
      <c r="X24" s="14" t="str">
        <f>_xlfn.IFNA(INDEX(KP!$Q:$Q,MATCH(($B24&amp;"|"&amp;X$3),KP!$D:$D,0)),"")</f>
        <v/>
      </c>
      <c r="Y24" s="14" t="str">
        <f>_xlfn.IFNA(INDEX(KP!$Q:$Q,MATCH(($B24&amp;"|"&amp;Y$3),KP!$D:$D,0)),"")</f>
        <v/>
      </c>
      <c r="Z24" s="14">
        <f>SUM(SUMIFS(Cascade!$AX:$AX,Cascade!$B:$B,$B24,Cascade!$C:$C,{"15-24","25-34","35-49","50+"},Cascade!$D:$D,"Female"))</f>
        <v>0</v>
      </c>
      <c r="AA24" s="14">
        <f>SUM(SUMIFS(Cascade!$AX:$AX,Cascade!$B:$B,$B24,Cascade!$C:$C,{"15-24","25-34","35-49","50+"},Cascade!$D:$D,"Male"))</f>
        <v>0</v>
      </c>
      <c r="AB24" s="14" t="str">
        <f>_xlfn.IFNA(INDEX(KP!$Z:$Z,MATCH(($B24&amp;"|"&amp;AB$3),KP!$D:$D,0)),"")</f>
        <v/>
      </c>
      <c r="AC24" s="14" t="str">
        <f>_xlfn.IFNA(INDEX(KP!$Z:$Z,MATCH(($B24&amp;"|"&amp;AC$3),KP!$D:$D,0)),"")</f>
        <v/>
      </c>
      <c r="AD24" s="14" t="str">
        <f>_xlfn.IFNA(INDEX(KP!$Z:$Z,MATCH(($B24&amp;"|"&amp;AD$3),KP!$D:$D,0)),"")</f>
        <v/>
      </c>
      <c r="AE24" s="14" t="str">
        <f>_xlfn.IFNA(INDEX(KP!$Z:$Z,MATCH(($B24&amp;"|"&amp;AE$3),KP!$D:$D,0)),"")</f>
        <v/>
      </c>
      <c r="AF24" s="14" t="str">
        <f>_xlfn.IFNA(INDEX(KP!$Z:$Z,MATCH(($B24&amp;"|"&amp;AF$3),KP!$D:$D,0)),"")</f>
        <v/>
      </c>
      <c r="AG24" s="14">
        <f>SUM(SUMIFS(Cascade!$BB:$BB,Cascade!$B:$B,$B24,Cascade!$C:$C,{"15-24","25-34","35-49","50+"},Cascade!$D:$D,"Female"))</f>
        <v>0</v>
      </c>
      <c r="AH24" s="14">
        <f>SUM(SUMIFS(Cascade!$BB:$BB,Cascade!$B:$B,$B24,Cascade!$C:$C,{"15-24","25-34","35-49","50+"},Cascade!$D:$D,"Male"))</f>
        <v>0</v>
      </c>
      <c r="AI24" s="14" t="str">
        <f>_xlfn.IFNA(INDEX(KP!$AD:$AD,MATCH(($B24&amp;"|"&amp;AI$3),KP!$D:$D,0)),"")</f>
        <v/>
      </c>
      <c r="AJ24" s="14" t="str">
        <f>_xlfn.IFNA(INDEX(KP!$AD:$AD,MATCH(($B24&amp;"|"&amp;AJ$3),KP!$D:$D,0)),"")</f>
        <v/>
      </c>
      <c r="AK24" s="14" t="str">
        <f>_xlfn.IFNA(INDEX(KP!$AD:$AD,MATCH(($B24&amp;"|"&amp;AK$3),KP!$D:$D,0)),"")</f>
        <v/>
      </c>
      <c r="AL24" s="14" t="str">
        <f>_xlfn.IFNA(INDEX(KP!$AD:$AD,MATCH(($B24&amp;"|"&amp;AL$3),KP!$D:$D,0)),"")</f>
        <v/>
      </c>
      <c r="AM24" s="14" t="str">
        <f>_xlfn.IFNA(INDEX(KP!$AD:$AD,MATCH(($B24&amp;"|"&amp;AM$3),KP!$D:$D,0)),"")</f>
        <v/>
      </c>
      <c r="AN24" s="14">
        <f>SUM(SUMIFS(Cascade!$BE:$BE,Cascade!$B:$B,$B24,Cascade!$C:$C,{"15-24","25-34","35-49","50+"},Cascade!$D:$D,"Female"))</f>
        <v>0</v>
      </c>
      <c r="AO24" s="14">
        <f>SUM(SUMIFS(Cascade!$BE:$BE,Cascade!$B:$B,$B24,Cascade!$C:$C,{"15-24","25-34","35-49","50+"},Cascade!$D:$D,"Male"))</f>
        <v>0</v>
      </c>
      <c r="AP24" s="14" t="str">
        <f>_xlfn.IFNA(INDEX(KP!$AF:$AF,MATCH(($B24&amp;"|"&amp;AP$3),KP!$D:$D,0)),"")</f>
        <v/>
      </c>
      <c r="AQ24" s="14" t="str">
        <f>_xlfn.IFNA(INDEX(KP!$AF:$AF,MATCH(($B24&amp;"|"&amp;AQ$3),KP!$D:$D,0)),"")</f>
        <v/>
      </c>
      <c r="AR24" s="14" t="str">
        <f>_xlfn.IFNA(INDEX(KP!$AF:$AF,MATCH(($B24&amp;"|"&amp;AR$3),KP!$D:$D,0)),"")</f>
        <v/>
      </c>
      <c r="AS24" s="14" t="str">
        <f>_xlfn.IFNA(INDEX(KP!$AF:$AF,MATCH(($B24&amp;"|"&amp;AS$3),KP!$D:$D,0)),"")</f>
        <v/>
      </c>
      <c r="AT24" s="14" t="str">
        <f>_xlfn.IFNA(INDEX(KP!$AF:$AF,MATCH(($B24&amp;"|"&amp;AT$3),KP!$D:$D,0)),"")</f>
        <v/>
      </c>
      <c r="AU24" s="14">
        <f>SUM(SUMIFS(HTS!$AM:$AM,HTS!$B:$B,$B24,HTS!$C:$C,{"15-24","25-34","35-49","50+"},HTS!$D:$D,"Female"))</f>
        <v>0</v>
      </c>
      <c r="AV24" s="14">
        <f>SUM(SUMIFS(HTS!$AM:$AM,HTS!$B:$B,$B24,HTS!$C:$C,{"15-24","25-34","35-49","50+"},HTS!$D:$D,"Male"))</f>
        <v>0</v>
      </c>
      <c r="AW24" s="14" t="str">
        <f>_xlfn.IFNA(INDEX(KP!$AK:$AK,MATCH(($B24&amp;"|"&amp;AW$3),KP!$D:$D,0)),"")</f>
        <v/>
      </c>
      <c r="AX24" s="14" t="str">
        <f>_xlfn.IFNA(INDEX(KP!$AK:$AK,MATCH(($B24&amp;"|"&amp;AX$3),KP!$D:$D,0)),"")</f>
        <v/>
      </c>
      <c r="AY24" s="14" t="str">
        <f>_xlfn.IFNA(INDEX(KP!$AK:$AK,MATCH(($B24&amp;"|"&amp;AY$3),KP!$D:$D,0)),"")</f>
        <v/>
      </c>
      <c r="AZ24" s="14" t="str">
        <f>_xlfn.IFNA(INDEX(KP!$AK:$AK,MATCH(($B24&amp;"|"&amp;AZ$3),KP!$D:$D,0)),"")</f>
        <v/>
      </c>
      <c r="BA24" s="14" t="str">
        <f>_xlfn.IFNA(INDEX(KP!$AK:$AK,MATCH(($B24&amp;"|"&amp;BA$3),KP!$D:$D,0)),"")</f>
        <v/>
      </c>
      <c r="BB24" s="14">
        <f>SUM(SUMIFS(HTS!$AT:$AT,HTS!$B:$B,$B24,HTS!$C:$C,{"15-24","25-34","35-49","50+"},HTS!$D:$D,"Female"))</f>
        <v>0</v>
      </c>
      <c r="BC24" s="14">
        <f>SUM(SUMIFS(HTS!$AT:$AT,HTS!$B:$B,$B24,HTS!$C:$C,{"15-24","25-34","35-49","50+"},HTS!$D:$D,"Male"))</f>
        <v>0</v>
      </c>
      <c r="BD24" s="14" t="str">
        <f>_xlfn.IFNA(INDEX(KP!$AL:$AL,MATCH(($B24&amp;"|"&amp;BD$3),KP!$D:$D,0)),"")</f>
        <v/>
      </c>
      <c r="BE24" s="14" t="str">
        <f>_xlfn.IFNA(INDEX(KP!$AL:$AL,MATCH(($B24&amp;"|"&amp;BE$3),KP!$D:$D,0)),"")</f>
        <v/>
      </c>
      <c r="BF24" s="14" t="str">
        <f>_xlfn.IFNA(INDEX(KP!$AL:$AL,MATCH(($B24&amp;"|"&amp;BF$3),KP!$D:$D,0)),"")</f>
        <v/>
      </c>
      <c r="BG24" s="14" t="str">
        <f>_xlfn.IFNA(INDEX(KP!$AL:$AL,MATCH(($B24&amp;"|"&amp;BG$3),KP!$D:$D,0)),"")</f>
        <v/>
      </c>
      <c r="BH24" s="14" t="str">
        <f>_xlfn.IFNA(INDEX(KP!$AL:$AL,MATCH(($B24&amp;"|"&amp;BH$3),KP!$D:$D,0)),"")</f>
        <v/>
      </c>
      <c r="BI24" s="14">
        <f>SUM(SUMIFS(HTS!$BA:$BA,HTS!$B:$B,$B24,HTS!$C:$C,{"15-24","25-34","35-49","50+"},HTS!$D:$D,"Female"))</f>
        <v>0</v>
      </c>
      <c r="BJ24" s="14">
        <f>SUM(SUMIFS(HTS!$BA:$BA,HTS!$B:$B,$B24,HTS!$C:$C,{"15-24","25-34","35-49","50+"},HTS!$D:$D,"Male"))</f>
        <v>0</v>
      </c>
      <c r="BK24" s="14" t="str">
        <f>_xlfn.IFNA(INDEX(KP!$AN:$AN,MATCH(($B24&amp;"|"&amp;BK$3),KP!$D:$D,0)),"")</f>
        <v/>
      </c>
      <c r="BL24" s="14" t="str">
        <f>_xlfn.IFNA(INDEX(KP!$AN:$AN,MATCH(($B24&amp;"|"&amp;BL$3),KP!$D:$D,0)),"")</f>
        <v/>
      </c>
      <c r="BM24" s="14" t="str">
        <f>_xlfn.IFNA(INDEX(KP!$AN:$AN,MATCH(($B24&amp;"|"&amp;BM$3),KP!$D:$D,0)),"")</f>
        <v/>
      </c>
      <c r="BN24" s="14" t="str">
        <f>_xlfn.IFNA(INDEX(KP!$AN:$AN,MATCH(($B24&amp;"|"&amp;BN$3),KP!$D:$D,0)),"")</f>
        <v/>
      </c>
      <c r="BO24" s="14" t="str">
        <f>_xlfn.IFNA(INDEX(KP!$AN:$AN,MATCH(($B24&amp;"|"&amp;BO$3),KP!$D:$D,0)),"")</f>
        <v/>
      </c>
      <c r="BP24" s="14">
        <f>SUM(SUMIFS(HTS!$AY:$AY,HTS!$B:$B,$B24,HTS!$C:$C,{"15-24","25-34","35-49","50+"},HTS!$D:$D,"Female"))</f>
        <v>81</v>
      </c>
      <c r="BQ24" s="14">
        <f>SUM(SUMIFS(HTS!$AY:$AY,HTS!$B:$B,$B24,HTS!$C:$C,{"15-24","25-34","35-49","50+"},HTS!$D:$D,"Male"))</f>
        <v>11</v>
      </c>
      <c r="BR24" s="14">
        <f>_xlfn.IFNA(INDEX(KP!$AP:$AP,MATCH(($B24&amp;"|"&amp;BR$3),KP!$D:$D,0)),"")</f>
        <v>0</v>
      </c>
      <c r="BS24" s="14">
        <f>_xlfn.IFNA(INDEX(KP!$AP:$AP,MATCH(($B24&amp;"|"&amp;BS$3),KP!$D:$D,0)),"")</f>
        <v>0</v>
      </c>
      <c r="BT24" s="14">
        <f>_xlfn.IFNA(INDEX(KP!$AP:$AP,MATCH(($B24&amp;"|"&amp;BT$3),KP!$D:$D,0)),"")</f>
        <v>0</v>
      </c>
      <c r="BU24" s="14">
        <f>_xlfn.IFNA(INDEX(KP!$AP:$AP,MATCH(($B24&amp;"|"&amp;BU$3),KP!$D:$D,0)),"")</f>
        <v>0</v>
      </c>
      <c r="BV24" s="14">
        <f>_xlfn.IFNA(INDEX(KP!$AP:$AP,MATCH(($B24&amp;"|"&amp;BV$3),KP!$D:$D,0)),"")</f>
        <v>0</v>
      </c>
    </row>
    <row r="25" spans="1:74" x14ac:dyDescent="0.2">
      <c r="A25" s="93" t="str">
        <f>INDEX(Prioritization!$D:$D,MATCH($B25,Prioritization!$A:$A,0))</f>
        <v>1 - Scale-up: Saturation</v>
      </c>
      <c r="B25" s="43" t="s">
        <v>203</v>
      </c>
      <c r="C25" s="14">
        <f>SUM(SUMIFS(PrEP!$O:$O,PrEP!$B:$B,$B25,PrEP!$C:$C,{"15-24","25-34","35-49","50+"},PrEP!$D:$D,"Female"))</f>
        <v>0</v>
      </c>
      <c r="D25" s="14">
        <f>SUM(SUMIFS(PrEP!$O:$O,PrEP!$B:$B,$B25,PrEP!$C:$C,{"15-24","25-34"},PrEP!$D:$D,"Female"))</f>
        <v>0</v>
      </c>
      <c r="E25" s="14">
        <f>SUM(SUMIFS(PrEP!$O:$O,PrEP!$B:$B,$B25,PrEP!$C:$C,{"15-24","25-34","35-49","50+"},PrEP!$D:$D,"Male"))</f>
        <v>0</v>
      </c>
      <c r="F25" s="14">
        <f>_xlfn.IFNA(INDEX(KP!$I:$I,MATCH(($B25&amp;"|"&amp;F$3),KP!$D:$D,0)),"")</f>
        <v>0</v>
      </c>
      <c r="G25" s="14">
        <f>_xlfn.IFNA(INDEX(KP!$I:$I,MATCH(($B25&amp;"|"&amp;G$3),KP!$D:$D,0)),"")</f>
        <v>0</v>
      </c>
      <c r="H25" s="14">
        <f>_xlfn.IFNA(INDEX(KP!$I:$I,MATCH(($B25&amp;"|"&amp;H$3),KP!$D:$D,0)),"")</f>
        <v>0</v>
      </c>
      <c r="I25" s="14">
        <f>_xlfn.IFNA(INDEX(KP!$I:$I,MATCH(($B25&amp;"|"&amp;I$3),KP!$D:$D,0)),"")</f>
        <v>0</v>
      </c>
      <c r="J25" s="14">
        <f>_xlfn.IFNA(INDEX(KP!$I:$I,MATCH(($B25&amp;"|"&amp;J$3),KP!$D:$D,0)),"")</f>
        <v>0</v>
      </c>
      <c r="K25" s="14">
        <f>SUM(SUMIFS(PrEP!$L:$L,PrEP!$B:$B,$B25,PrEP!$C:$C,{"15-24","25-34","35-49","50+"},PrEP!$D:$D,"Female"))</f>
        <v>0</v>
      </c>
      <c r="L25" s="14">
        <f>SUM(SUMIFS(PrEP!$L:$L,PrEP!$B:$B,$B25,PrEP!$C:$C,{"15-24","25-34"},PrEP!$D:$D,"Female"))</f>
        <v>0</v>
      </c>
      <c r="M25" s="14">
        <f>SUM(SUMIFS(PrEP!$L:$L,PrEP!$B:$B,$B25,PrEP!$C:$C,{"15-24","25-34","35-49","50+"},PrEP!$D:$D,"Male"))</f>
        <v>0</v>
      </c>
      <c r="N25" s="14">
        <f>_xlfn.IFNA(INDEX(KP!$K:$K,MATCH(($B25&amp;"|"&amp;N$3),KP!$D:$D,0)),"")</f>
        <v>0</v>
      </c>
      <c r="O25" s="14">
        <f>_xlfn.IFNA(INDEX(KP!$K:$K,MATCH(($B25&amp;"|"&amp;O$3),KP!$D:$D,0)),"")</f>
        <v>0</v>
      </c>
      <c r="P25" s="14">
        <f>_xlfn.IFNA(INDEX(KP!$K:$K,MATCH(($B25&amp;"|"&amp;P$3),KP!$D:$D,0)),"")</f>
        <v>0</v>
      </c>
      <c r="Q25" s="14">
        <f>_xlfn.IFNA(INDEX(KP!$K:$K,MATCH(($B25&amp;"|"&amp;Q$3),KP!$D:$D,0)),"")</f>
        <v>0</v>
      </c>
      <c r="R25" s="14">
        <f>_xlfn.IFNA(INDEX(KP!$K:$K,MATCH(($B25&amp;"|"&amp;R$3),KP!$D:$D,0)),"")</f>
        <v>0</v>
      </c>
      <c r="S25" s="14">
        <f>SUM(SUMIFS(Cascade!$AP:$AP,Cascade!$B:$B,$B25,Cascade!$C:$C,{"15-24","25-34","35-49","50+"},Cascade!$D:$D,"Female"))</f>
        <v>0</v>
      </c>
      <c r="T25" s="14">
        <f>SUM(SUMIFS(Cascade!$AP:$AP,Cascade!$B:$B,$B25,Cascade!$C:$C,{"15-24","25-34","35-49","50+"},Cascade!$D:$D,"Male"))</f>
        <v>0</v>
      </c>
      <c r="U25" s="14" t="str">
        <f>_xlfn.IFNA(INDEX(KP!$Q:$Q,MATCH(($B25&amp;"|"&amp;U$3),KP!$D:$D,0)),"")</f>
        <v/>
      </c>
      <c r="V25" s="14" t="str">
        <f>_xlfn.IFNA(INDEX(KP!$Q:$Q,MATCH(($B25&amp;"|"&amp;V$3),KP!$D:$D,0)),"")</f>
        <v/>
      </c>
      <c r="W25" s="14" t="str">
        <f>_xlfn.IFNA(INDEX(KP!$Q:$Q,MATCH(($B25&amp;"|"&amp;W$3),KP!$D:$D,0)),"")</f>
        <v/>
      </c>
      <c r="X25" s="14" t="str">
        <f>_xlfn.IFNA(INDEX(KP!$Q:$Q,MATCH(($B25&amp;"|"&amp;X$3),KP!$D:$D,0)),"")</f>
        <v/>
      </c>
      <c r="Y25" s="14" t="str">
        <f>_xlfn.IFNA(INDEX(KP!$Q:$Q,MATCH(($B25&amp;"|"&amp;Y$3),KP!$D:$D,0)),"")</f>
        <v/>
      </c>
      <c r="Z25" s="14">
        <f>SUM(SUMIFS(Cascade!$AX:$AX,Cascade!$B:$B,$B25,Cascade!$C:$C,{"15-24","25-34","35-49","50+"},Cascade!$D:$D,"Female"))</f>
        <v>0</v>
      </c>
      <c r="AA25" s="14">
        <f>SUM(SUMIFS(Cascade!$AX:$AX,Cascade!$B:$B,$B25,Cascade!$C:$C,{"15-24","25-34","35-49","50+"},Cascade!$D:$D,"Male"))</f>
        <v>0</v>
      </c>
      <c r="AB25" s="14" t="str">
        <f>_xlfn.IFNA(INDEX(KP!$Z:$Z,MATCH(($B25&amp;"|"&amp;AB$3),KP!$D:$D,0)),"")</f>
        <v/>
      </c>
      <c r="AC25" s="14" t="str">
        <f>_xlfn.IFNA(INDEX(KP!$Z:$Z,MATCH(($B25&amp;"|"&amp;AC$3),KP!$D:$D,0)),"")</f>
        <v/>
      </c>
      <c r="AD25" s="14" t="str">
        <f>_xlfn.IFNA(INDEX(KP!$Z:$Z,MATCH(($B25&amp;"|"&amp;AD$3),KP!$D:$D,0)),"")</f>
        <v/>
      </c>
      <c r="AE25" s="14" t="str">
        <f>_xlfn.IFNA(INDEX(KP!$Z:$Z,MATCH(($B25&amp;"|"&amp;AE$3),KP!$D:$D,0)),"")</f>
        <v/>
      </c>
      <c r="AF25" s="14" t="str">
        <f>_xlfn.IFNA(INDEX(KP!$Z:$Z,MATCH(($B25&amp;"|"&amp;AF$3),KP!$D:$D,0)),"")</f>
        <v/>
      </c>
      <c r="AG25" s="14">
        <f>SUM(SUMIFS(Cascade!$BB:$BB,Cascade!$B:$B,$B25,Cascade!$C:$C,{"15-24","25-34","35-49","50+"},Cascade!$D:$D,"Female"))</f>
        <v>0</v>
      </c>
      <c r="AH25" s="14">
        <f>SUM(SUMIFS(Cascade!$BB:$BB,Cascade!$B:$B,$B25,Cascade!$C:$C,{"15-24","25-34","35-49","50+"},Cascade!$D:$D,"Male"))</f>
        <v>0</v>
      </c>
      <c r="AI25" s="14" t="str">
        <f>_xlfn.IFNA(INDEX(KP!$AD:$AD,MATCH(($B25&amp;"|"&amp;AI$3),KP!$D:$D,0)),"")</f>
        <v/>
      </c>
      <c r="AJ25" s="14" t="str">
        <f>_xlfn.IFNA(INDEX(KP!$AD:$AD,MATCH(($B25&amp;"|"&amp;AJ$3),KP!$D:$D,0)),"")</f>
        <v/>
      </c>
      <c r="AK25" s="14" t="str">
        <f>_xlfn.IFNA(INDEX(KP!$AD:$AD,MATCH(($B25&amp;"|"&amp;AK$3),KP!$D:$D,0)),"")</f>
        <v/>
      </c>
      <c r="AL25" s="14" t="str">
        <f>_xlfn.IFNA(INDEX(KP!$AD:$AD,MATCH(($B25&amp;"|"&amp;AL$3),KP!$D:$D,0)),"")</f>
        <v/>
      </c>
      <c r="AM25" s="14" t="str">
        <f>_xlfn.IFNA(INDEX(KP!$AD:$AD,MATCH(($B25&amp;"|"&amp;AM$3),KP!$D:$D,0)),"")</f>
        <v/>
      </c>
      <c r="AN25" s="14">
        <f>SUM(SUMIFS(Cascade!$BE:$BE,Cascade!$B:$B,$B25,Cascade!$C:$C,{"15-24","25-34","35-49","50+"},Cascade!$D:$D,"Female"))</f>
        <v>0</v>
      </c>
      <c r="AO25" s="14">
        <f>SUM(SUMIFS(Cascade!$BE:$BE,Cascade!$B:$B,$B25,Cascade!$C:$C,{"15-24","25-34","35-49","50+"},Cascade!$D:$D,"Male"))</f>
        <v>0</v>
      </c>
      <c r="AP25" s="14" t="str">
        <f>_xlfn.IFNA(INDEX(KP!$AF:$AF,MATCH(($B25&amp;"|"&amp;AP$3),KP!$D:$D,0)),"")</f>
        <v/>
      </c>
      <c r="AQ25" s="14" t="str">
        <f>_xlfn.IFNA(INDEX(KP!$AF:$AF,MATCH(($B25&amp;"|"&amp;AQ$3),KP!$D:$D,0)),"")</f>
        <v/>
      </c>
      <c r="AR25" s="14" t="str">
        <f>_xlfn.IFNA(INDEX(KP!$AF:$AF,MATCH(($B25&amp;"|"&amp;AR$3),KP!$D:$D,0)),"")</f>
        <v/>
      </c>
      <c r="AS25" s="14" t="str">
        <f>_xlfn.IFNA(INDEX(KP!$AF:$AF,MATCH(($B25&amp;"|"&amp;AS$3),KP!$D:$D,0)),"")</f>
        <v/>
      </c>
      <c r="AT25" s="14" t="str">
        <f>_xlfn.IFNA(INDEX(KP!$AF:$AF,MATCH(($B25&amp;"|"&amp;AT$3),KP!$D:$D,0)),"")</f>
        <v/>
      </c>
      <c r="AU25" s="14">
        <f>SUM(SUMIFS(HTS!$AM:$AM,HTS!$B:$B,$B25,HTS!$C:$C,{"15-24","25-34","35-49","50+"},HTS!$D:$D,"Female"))</f>
        <v>0</v>
      </c>
      <c r="AV25" s="14">
        <f>SUM(SUMIFS(HTS!$AM:$AM,HTS!$B:$B,$B25,HTS!$C:$C,{"15-24","25-34","35-49","50+"},HTS!$D:$D,"Male"))</f>
        <v>0</v>
      </c>
      <c r="AW25" s="14" t="str">
        <f>_xlfn.IFNA(INDEX(KP!$AK:$AK,MATCH(($B25&amp;"|"&amp;AW$3),KP!$D:$D,0)),"")</f>
        <v/>
      </c>
      <c r="AX25" s="14" t="str">
        <f>_xlfn.IFNA(INDEX(KP!$AK:$AK,MATCH(($B25&amp;"|"&amp;AX$3),KP!$D:$D,0)),"")</f>
        <v/>
      </c>
      <c r="AY25" s="14" t="str">
        <f>_xlfn.IFNA(INDEX(KP!$AK:$AK,MATCH(($B25&amp;"|"&amp;AY$3),KP!$D:$D,0)),"")</f>
        <v/>
      </c>
      <c r="AZ25" s="14" t="str">
        <f>_xlfn.IFNA(INDEX(KP!$AK:$AK,MATCH(($B25&amp;"|"&amp;AZ$3),KP!$D:$D,0)),"")</f>
        <v/>
      </c>
      <c r="BA25" s="14" t="str">
        <f>_xlfn.IFNA(INDEX(KP!$AK:$AK,MATCH(($B25&amp;"|"&amp;BA$3),KP!$D:$D,0)),"")</f>
        <v/>
      </c>
      <c r="BB25" s="14">
        <f>SUM(SUMIFS(HTS!$AT:$AT,HTS!$B:$B,$B25,HTS!$C:$C,{"15-24","25-34","35-49","50+"},HTS!$D:$D,"Female"))</f>
        <v>0</v>
      </c>
      <c r="BC25" s="14">
        <f>SUM(SUMIFS(HTS!$AT:$AT,HTS!$B:$B,$B25,HTS!$C:$C,{"15-24","25-34","35-49","50+"},HTS!$D:$D,"Male"))</f>
        <v>0</v>
      </c>
      <c r="BD25" s="14" t="str">
        <f>_xlfn.IFNA(INDEX(KP!$AL:$AL,MATCH(($B25&amp;"|"&amp;BD$3),KP!$D:$D,0)),"")</f>
        <v/>
      </c>
      <c r="BE25" s="14" t="str">
        <f>_xlfn.IFNA(INDEX(KP!$AL:$AL,MATCH(($B25&amp;"|"&amp;BE$3),KP!$D:$D,0)),"")</f>
        <v/>
      </c>
      <c r="BF25" s="14" t="str">
        <f>_xlfn.IFNA(INDEX(KP!$AL:$AL,MATCH(($B25&amp;"|"&amp;BF$3),KP!$D:$D,0)),"")</f>
        <v/>
      </c>
      <c r="BG25" s="14" t="str">
        <f>_xlfn.IFNA(INDEX(KP!$AL:$AL,MATCH(($B25&amp;"|"&amp;BG$3),KP!$D:$D,0)),"")</f>
        <v/>
      </c>
      <c r="BH25" s="14" t="str">
        <f>_xlfn.IFNA(INDEX(KP!$AL:$AL,MATCH(($B25&amp;"|"&amp;BH$3),KP!$D:$D,0)),"")</f>
        <v/>
      </c>
      <c r="BI25" s="14">
        <f>SUM(SUMIFS(HTS!$BA:$BA,HTS!$B:$B,$B25,HTS!$C:$C,{"15-24","25-34","35-49","50+"},HTS!$D:$D,"Female"))</f>
        <v>0</v>
      </c>
      <c r="BJ25" s="14">
        <f>SUM(SUMIFS(HTS!$BA:$BA,HTS!$B:$B,$B25,HTS!$C:$C,{"15-24","25-34","35-49","50+"},HTS!$D:$D,"Male"))</f>
        <v>0</v>
      </c>
      <c r="BK25" s="14" t="str">
        <f>_xlfn.IFNA(INDEX(KP!$AN:$AN,MATCH(($B25&amp;"|"&amp;BK$3),KP!$D:$D,0)),"")</f>
        <v/>
      </c>
      <c r="BL25" s="14" t="str">
        <f>_xlfn.IFNA(INDEX(KP!$AN:$AN,MATCH(($B25&amp;"|"&amp;BL$3),KP!$D:$D,0)),"")</f>
        <v/>
      </c>
      <c r="BM25" s="14" t="str">
        <f>_xlfn.IFNA(INDEX(KP!$AN:$AN,MATCH(($B25&amp;"|"&amp;BM$3),KP!$D:$D,0)),"")</f>
        <v/>
      </c>
      <c r="BN25" s="14" t="str">
        <f>_xlfn.IFNA(INDEX(KP!$AN:$AN,MATCH(($B25&amp;"|"&amp;BN$3),KP!$D:$D,0)),"")</f>
        <v/>
      </c>
      <c r="BO25" s="14" t="str">
        <f>_xlfn.IFNA(INDEX(KP!$AN:$AN,MATCH(($B25&amp;"|"&amp;BO$3),KP!$D:$D,0)),"")</f>
        <v/>
      </c>
      <c r="BP25" s="14">
        <f>SUM(SUMIFS(HTS!$AY:$AY,HTS!$B:$B,$B25,HTS!$C:$C,{"15-24","25-34","35-49","50+"},HTS!$D:$D,"Female"))</f>
        <v>1</v>
      </c>
      <c r="BQ25" s="14">
        <f>SUM(SUMIFS(HTS!$AY:$AY,HTS!$B:$B,$B25,HTS!$C:$C,{"15-24","25-34","35-49","50+"},HTS!$D:$D,"Male"))</f>
        <v>0</v>
      </c>
      <c r="BR25" s="14">
        <f>_xlfn.IFNA(INDEX(KP!$AP:$AP,MATCH(($B25&amp;"|"&amp;BR$3),KP!$D:$D,0)),"")</f>
        <v>0</v>
      </c>
      <c r="BS25" s="14">
        <f>_xlfn.IFNA(INDEX(KP!$AP:$AP,MATCH(($B25&amp;"|"&amp;BS$3),KP!$D:$D,0)),"")</f>
        <v>0</v>
      </c>
      <c r="BT25" s="14">
        <f>_xlfn.IFNA(INDEX(KP!$AP:$AP,MATCH(($B25&amp;"|"&amp;BT$3),KP!$D:$D,0)),"")</f>
        <v>0</v>
      </c>
      <c r="BU25" s="14">
        <f>_xlfn.IFNA(INDEX(KP!$AP:$AP,MATCH(($B25&amp;"|"&amp;BU$3),KP!$D:$D,0)),"")</f>
        <v>0</v>
      </c>
      <c r="BV25" s="14">
        <f>_xlfn.IFNA(INDEX(KP!$AP:$AP,MATCH(($B25&amp;"|"&amp;BV$3),KP!$D:$D,0)),"")</f>
        <v>0</v>
      </c>
    </row>
    <row r="26" spans="1:74" x14ac:dyDescent="0.2">
      <c r="A26" s="93" t="str">
        <f>INDEX(Prioritization!$D:$D,MATCH($B26,Prioritization!$A:$A,0))</f>
        <v>INVALID</v>
      </c>
      <c r="B26" s="43" t="s">
        <v>204</v>
      </c>
      <c r="C26" s="14">
        <f>SUM(SUMIFS(PrEP!$O:$O,PrEP!$B:$B,$B26,PrEP!$C:$C,{"15-24","25-34","35-49","50+"},PrEP!$D:$D,"Female"))</f>
        <v>0</v>
      </c>
      <c r="D26" s="14">
        <f>SUM(SUMIFS(PrEP!$O:$O,PrEP!$B:$B,$B26,PrEP!$C:$C,{"15-24","25-34"},PrEP!$D:$D,"Female"))</f>
        <v>0</v>
      </c>
      <c r="E26" s="14">
        <f>SUM(SUMIFS(PrEP!$O:$O,PrEP!$B:$B,$B26,PrEP!$C:$C,{"15-24","25-34","35-49","50+"},PrEP!$D:$D,"Male"))</f>
        <v>0</v>
      </c>
      <c r="F26" s="14">
        <f>_xlfn.IFNA(INDEX(KP!$I:$I,MATCH(($B26&amp;"|"&amp;F$3),KP!$D:$D,0)),"")</f>
        <v>0</v>
      </c>
      <c r="G26" s="14">
        <f>_xlfn.IFNA(INDEX(KP!$I:$I,MATCH(($B26&amp;"|"&amp;G$3),KP!$D:$D,0)),"")</f>
        <v>0</v>
      </c>
      <c r="H26" s="14">
        <f>_xlfn.IFNA(INDEX(KP!$I:$I,MATCH(($B26&amp;"|"&amp;H$3),KP!$D:$D,0)),"")</f>
        <v>0</v>
      </c>
      <c r="I26" s="14">
        <f>_xlfn.IFNA(INDEX(KP!$I:$I,MATCH(($B26&amp;"|"&amp;I$3),KP!$D:$D,0)),"")</f>
        <v>0</v>
      </c>
      <c r="J26" s="14">
        <f>_xlfn.IFNA(INDEX(KP!$I:$I,MATCH(($B26&amp;"|"&amp;J$3),KP!$D:$D,0)),"")</f>
        <v>0</v>
      </c>
      <c r="K26" s="14">
        <f>SUM(SUMIFS(PrEP!$L:$L,PrEP!$B:$B,$B26,PrEP!$C:$C,{"15-24","25-34","35-49","50+"},PrEP!$D:$D,"Female"))</f>
        <v>0</v>
      </c>
      <c r="L26" s="14">
        <f>SUM(SUMIFS(PrEP!$L:$L,PrEP!$B:$B,$B26,PrEP!$C:$C,{"15-24","25-34"},PrEP!$D:$D,"Female"))</f>
        <v>0</v>
      </c>
      <c r="M26" s="14">
        <f>SUM(SUMIFS(PrEP!$L:$L,PrEP!$B:$B,$B26,PrEP!$C:$C,{"15-24","25-34","35-49","50+"},PrEP!$D:$D,"Male"))</f>
        <v>0</v>
      </c>
      <c r="N26" s="14">
        <f>_xlfn.IFNA(INDEX(KP!$K:$K,MATCH(($B26&amp;"|"&amp;N$3),KP!$D:$D,0)),"")</f>
        <v>0</v>
      </c>
      <c r="O26" s="14">
        <f>_xlfn.IFNA(INDEX(KP!$K:$K,MATCH(($B26&amp;"|"&amp;O$3),KP!$D:$D,0)),"")</f>
        <v>0</v>
      </c>
      <c r="P26" s="14">
        <f>_xlfn.IFNA(INDEX(KP!$K:$K,MATCH(($B26&amp;"|"&amp;P$3),KP!$D:$D,0)),"")</f>
        <v>0</v>
      </c>
      <c r="Q26" s="14">
        <f>_xlfn.IFNA(INDEX(KP!$K:$K,MATCH(($B26&amp;"|"&amp;Q$3),KP!$D:$D,0)),"")</f>
        <v>0</v>
      </c>
      <c r="R26" s="14">
        <f>_xlfn.IFNA(INDEX(KP!$K:$K,MATCH(($B26&amp;"|"&amp;R$3),KP!$D:$D,0)),"")</f>
        <v>0</v>
      </c>
      <c r="S26" s="14">
        <f>SUM(SUMIFS(Cascade!$AP:$AP,Cascade!$B:$B,$B26,Cascade!$C:$C,{"15-24","25-34","35-49","50+"},Cascade!$D:$D,"Female"))</f>
        <v>0</v>
      </c>
      <c r="T26" s="14">
        <f>SUM(SUMIFS(Cascade!$AP:$AP,Cascade!$B:$B,$B26,Cascade!$C:$C,{"15-24","25-34","35-49","50+"},Cascade!$D:$D,"Male"))</f>
        <v>0</v>
      </c>
      <c r="U26" s="14" t="str">
        <f>_xlfn.IFNA(INDEX(KP!$Q:$Q,MATCH(($B26&amp;"|"&amp;U$3),KP!$D:$D,0)),"")</f>
        <v/>
      </c>
      <c r="V26" s="14" t="str">
        <f>_xlfn.IFNA(INDEX(KP!$Q:$Q,MATCH(($B26&amp;"|"&amp;V$3),KP!$D:$D,0)),"")</f>
        <v/>
      </c>
      <c r="W26" s="14" t="str">
        <f>_xlfn.IFNA(INDEX(KP!$Q:$Q,MATCH(($B26&amp;"|"&amp;W$3),KP!$D:$D,0)),"")</f>
        <v/>
      </c>
      <c r="X26" s="14" t="str">
        <f>_xlfn.IFNA(INDEX(KP!$Q:$Q,MATCH(($B26&amp;"|"&amp;X$3),KP!$D:$D,0)),"")</f>
        <v/>
      </c>
      <c r="Y26" s="14" t="str">
        <f>_xlfn.IFNA(INDEX(KP!$Q:$Q,MATCH(($B26&amp;"|"&amp;Y$3),KP!$D:$D,0)),"")</f>
        <v/>
      </c>
      <c r="Z26" s="14">
        <f>SUM(SUMIFS(Cascade!$AX:$AX,Cascade!$B:$B,$B26,Cascade!$C:$C,{"15-24","25-34","35-49","50+"},Cascade!$D:$D,"Female"))</f>
        <v>0</v>
      </c>
      <c r="AA26" s="14">
        <f>SUM(SUMIFS(Cascade!$AX:$AX,Cascade!$B:$B,$B26,Cascade!$C:$C,{"15-24","25-34","35-49","50+"},Cascade!$D:$D,"Male"))</f>
        <v>0</v>
      </c>
      <c r="AB26" s="14" t="str">
        <f>_xlfn.IFNA(INDEX(KP!$Z:$Z,MATCH(($B26&amp;"|"&amp;AB$3),KP!$D:$D,0)),"")</f>
        <v/>
      </c>
      <c r="AC26" s="14" t="str">
        <f>_xlfn.IFNA(INDEX(KP!$Z:$Z,MATCH(($B26&amp;"|"&amp;AC$3),KP!$D:$D,0)),"")</f>
        <v/>
      </c>
      <c r="AD26" s="14" t="str">
        <f>_xlfn.IFNA(INDEX(KP!$Z:$Z,MATCH(($B26&amp;"|"&amp;AD$3),KP!$D:$D,0)),"")</f>
        <v/>
      </c>
      <c r="AE26" s="14" t="str">
        <f>_xlfn.IFNA(INDEX(KP!$Z:$Z,MATCH(($B26&amp;"|"&amp;AE$3),KP!$D:$D,0)),"")</f>
        <v/>
      </c>
      <c r="AF26" s="14" t="str">
        <f>_xlfn.IFNA(INDEX(KP!$Z:$Z,MATCH(($B26&amp;"|"&amp;AF$3),KP!$D:$D,0)),"")</f>
        <v/>
      </c>
      <c r="AG26" s="14">
        <f>SUM(SUMIFS(Cascade!$BB:$BB,Cascade!$B:$B,$B26,Cascade!$C:$C,{"15-24","25-34","35-49","50+"},Cascade!$D:$D,"Female"))</f>
        <v>0</v>
      </c>
      <c r="AH26" s="14">
        <f>SUM(SUMIFS(Cascade!$BB:$BB,Cascade!$B:$B,$B26,Cascade!$C:$C,{"15-24","25-34","35-49","50+"},Cascade!$D:$D,"Male"))</f>
        <v>0</v>
      </c>
      <c r="AI26" s="14" t="str">
        <f>_xlfn.IFNA(INDEX(KP!$AD:$AD,MATCH(($B26&amp;"|"&amp;AI$3),KP!$D:$D,0)),"")</f>
        <v/>
      </c>
      <c r="AJ26" s="14" t="str">
        <f>_xlfn.IFNA(INDEX(KP!$AD:$AD,MATCH(($B26&amp;"|"&amp;AJ$3),KP!$D:$D,0)),"")</f>
        <v/>
      </c>
      <c r="AK26" s="14" t="str">
        <f>_xlfn.IFNA(INDEX(KP!$AD:$AD,MATCH(($B26&amp;"|"&amp;AK$3),KP!$D:$D,0)),"")</f>
        <v/>
      </c>
      <c r="AL26" s="14" t="str">
        <f>_xlfn.IFNA(INDEX(KP!$AD:$AD,MATCH(($B26&amp;"|"&amp;AL$3),KP!$D:$D,0)),"")</f>
        <v/>
      </c>
      <c r="AM26" s="14" t="str">
        <f>_xlfn.IFNA(INDEX(KP!$AD:$AD,MATCH(($B26&amp;"|"&amp;AM$3),KP!$D:$D,0)),"")</f>
        <v/>
      </c>
      <c r="AN26" s="14">
        <f>SUM(SUMIFS(Cascade!$BE:$BE,Cascade!$B:$B,$B26,Cascade!$C:$C,{"15-24","25-34","35-49","50+"},Cascade!$D:$D,"Female"))</f>
        <v>0</v>
      </c>
      <c r="AO26" s="14">
        <f>SUM(SUMIFS(Cascade!$BE:$BE,Cascade!$B:$B,$B26,Cascade!$C:$C,{"15-24","25-34","35-49","50+"},Cascade!$D:$D,"Male"))</f>
        <v>0</v>
      </c>
      <c r="AP26" s="14" t="str">
        <f>_xlfn.IFNA(INDEX(KP!$AF:$AF,MATCH(($B26&amp;"|"&amp;AP$3),KP!$D:$D,0)),"")</f>
        <v/>
      </c>
      <c r="AQ26" s="14" t="str">
        <f>_xlfn.IFNA(INDEX(KP!$AF:$AF,MATCH(($B26&amp;"|"&amp;AQ$3),KP!$D:$D,0)),"")</f>
        <v/>
      </c>
      <c r="AR26" s="14" t="str">
        <f>_xlfn.IFNA(INDEX(KP!$AF:$AF,MATCH(($B26&amp;"|"&amp;AR$3),KP!$D:$D,0)),"")</f>
        <v/>
      </c>
      <c r="AS26" s="14" t="str">
        <f>_xlfn.IFNA(INDEX(KP!$AF:$AF,MATCH(($B26&amp;"|"&amp;AS$3),KP!$D:$D,0)),"")</f>
        <v/>
      </c>
      <c r="AT26" s="14" t="str">
        <f>_xlfn.IFNA(INDEX(KP!$AF:$AF,MATCH(($B26&amp;"|"&amp;AT$3),KP!$D:$D,0)),"")</f>
        <v/>
      </c>
      <c r="AU26" s="14">
        <f>SUM(SUMIFS(HTS!$AM:$AM,HTS!$B:$B,$B26,HTS!$C:$C,{"15-24","25-34","35-49","50+"},HTS!$D:$D,"Female"))</f>
        <v>0</v>
      </c>
      <c r="AV26" s="14">
        <f>SUM(SUMIFS(HTS!$AM:$AM,HTS!$B:$B,$B26,HTS!$C:$C,{"15-24","25-34","35-49","50+"},HTS!$D:$D,"Male"))</f>
        <v>0</v>
      </c>
      <c r="AW26" s="14" t="str">
        <f>_xlfn.IFNA(INDEX(KP!$AK:$AK,MATCH(($B26&amp;"|"&amp;AW$3),KP!$D:$D,0)),"")</f>
        <v/>
      </c>
      <c r="AX26" s="14" t="str">
        <f>_xlfn.IFNA(INDEX(KP!$AK:$AK,MATCH(($B26&amp;"|"&amp;AX$3),KP!$D:$D,0)),"")</f>
        <v/>
      </c>
      <c r="AY26" s="14" t="str">
        <f>_xlfn.IFNA(INDEX(KP!$AK:$AK,MATCH(($B26&amp;"|"&amp;AY$3),KP!$D:$D,0)),"")</f>
        <v/>
      </c>
      <c r="AZ26" s="14" t="str">
        <f>_xlfn.IFNA(INDEX(KP!$AK:$AK,MATCH(($B26&amp;"|"&amp;AZ$3),KP!$D:$D,0)),"")</f>
        <v/>
      </c>
      <c r="BA26" s="14" t="str">
        <f>_xlfn.IFNA(INDEX(KP!$AK:$AK,MATCH(($B26&amp;"|"&amp;BA$3),KP!$D:$D,0)),"")</f>
        <v/>
      </c>
      <c r="BB26" s="14">
        <f>SUM(SUMIFS(HTS!$AT:$AT,HTS!$B:$B,$B26,HTS!$C:$C,{"15-24","25-34","35-49","50+"},HTS!$D:$D,"Female"))</f>
        <v>0</v>
      </c>
      <c r="BC26" s="14">
        <f>SUM(SUMIFS(HTS!$AT:$AT,HTS!$B:$B,$B26,HTS!$C:$C,{"15-24","25-34","35-49","50+"},HTS!$D:$D,"Male"))</f>
        <v>0</v>
      </c>
      <c r="BD26" s="14" t="str">
        <f>_xlfn.IFNA(INDEX(KP!$AL:$AL,MATCH(($B26&amp;"|"&amp;BD$3),KP!$D:$D,0)),"")</f>
        <v/>
      </c>
      <c r="BE26" s="14" t="str">
        <f>_xlfn.IFNA(INDEX(KP!$AL:$AL,MATCH(($B26&amp;"|"&amp;BE$3),KP!$D:$D,0)),"")</f>
        <v/>
      </c>
      <c r="BF26" s="14" t="str">
        <f>_xlfn.IFNA(INDEX(KP!$AL:$AL,MATCH(($B26&amp;"|"&amp;BF$3),KP!$D:$D,0)),"")</f>
        <v/>
      </c>
      <c r="BG26" s="14" t="str">
        <f>_xlfn.IFNA(INDEX(KP!$AL:$AL,MATCH(($B26&amp;"|"&amp;BG$3),KP!$D:$D,0)),"")</f>
        <v/>
      </c>
      <c r="BH26" s="14" t="str">
        <f>_xlfn.IFNA(INDEX(KP!$AL:$AL,MATCH(($B26&amp;"|"&amp;BH$3),KP!$D:$D,0)),"")</f>
        <v/>
      </c>
      <c r="BI26" s="14">
        <f>SUM(SUMIFS(HTS!$BA:$BA,HTS!$B:$B,$B26,HTS!$C:$C,{"15-24","25-34","35-49","50+"},HTS!$D:$D,"Female"))</f>
        <v>0</v>
      </c>
      <c r="BJ26" s="14">
        <f>SUM(SUMIFS(HTS!$BA:$BA,HTS!$B:$B,$B26,HTS!$C:$C,{"15-24","25-34","35-49","50+"},HTS!$D:$D,"Male"))</f>
        <v>0</v>
      </c>
      <c r="BK26" s="14" t="str">
        <f>_xlfn.IFNA(INDEX(KP!$AN:$AN,MATCH(($B26&amp;"|"&amp;BK$3),KP!$D:$D,0)),"")</f>
        <v/>
      </c>
      <c r="BL26" s="14" t="str">
        <f>_xlfn.IFNA(INDEX(KP!$AN:$AN,MATCH(($B26&amp;"|"&amp;BL$3),KP!$D:$D,0)),"")</f>
        <v/>
      </c>
      <c r="BM26" s="14" t="str">
        <f>_xlfn.IFNA(INDEX(KP!$AN:$AN,MATCH(($B26&amp;"|"&amp;BM$3),KP!$D:$D,0)),"")</f>
        <v/>
      </c>
      <c r="BN26" s="14" t="str">
        <f>_xlfn.IFNA(INDEX(KP!$AN:$AN,MATCH(($B26&amp;"|"&amp;BN$3),KP!$D:$D,0)),"")</f>
        <v/>
      </c>
      <c r="BO26" s="14" t="str">
        <f>_xlfn.IFNA(INDEX(KP!$AN:$AN,MATCH(($B26&amp;"|"&amp;BO$3),KP!$D:$D,0)),"")</f>
        <v/>
      </c>
      <c r="BP26" s="14">
        <f>SUM(SUMIFS(HTS!$AY:$AY,HTS!$B:$B,$B26,HTS!$C:$C,{"15-24","25-34","35-49","50+"},HTS!$D:$D,"Female"))</f>
        <v>7</v>
      </c>
      <c r="BQ26" s="14">
        <f>SUM(SUMIFS(HTS!$AY:$AY,HTS!$B:$B,$B26,HTS!$C:$C,{"15-24","25-34","35-49","50+"},HTS!$D:$D,"Male"))</f>
        <v>4</v>
      </c>
      <c r="BR26" s="14">
        <f>_xlfn.IFNA(INDEX(KP!$AP:$AP,MATCH(($B26&amp;"|"&amp;BR$3),KP!$D:$D,0)),"")</f>
        <v>0</v>
      </c>
      <c r="BS26" s="14">
        <f>_xlfn.IFNA(INDEX(KP!$AP:$AP,MATCH(($B26&amp;"|"&amp;BS$3),KP!$D:$D,0)),"")</f>
        <v>0</v>
      </c>
      <c r="BT26" s="14">
        <f>_xlfn.IFNA(INDEX(KP!$AP:$AP,MATCH(($B26&amp;"|"&amp;BT$3),KP!$D:$D,0)),"")</f>
        <v>0</v>
      </c>
      <c r="BU26" s="14">
        <f>_xlfn.IFNA(INDEX(KP!$AP:$AP,MATCH(($B26&amp;"|"&amp;BU$3),KP!$D:$D,0)),"")</f>
        <v>0</v>
      </c>
      <c r="BV26" s="14">
        <f>_xlfn.IFNA(INDEX(KP!$AP:$AP,MATCH(($B26&amp;"|"&amp;BV$3),KP!$D:$D,0)),"")</f>
        <v>0</v>
      </c>
    </row>
    <row r="27" spans="1:74" x14ac:dyDescent="0.2">
      <c r="A27" s="93" t="str">
        <f>INDEX(Prioritization!$D:$D,MATCH($B27,Prioritization!$A:$A,0))</f>
        <v>INVALID</v>
      </c>
      <c r="B27" s="43" t="s">
        <v>205</v>
      </c>
      <c r="C27" s="14">
        <f>SUM(SUMIFS(PrEP!$O:$O,PrEP!$B:$B,$B27,PrEP!$C:$C,{"15-24","25-34","35-49","50+"},PrEP!$D:$D,"Female"))</f>
        <v>0</v>
      </c>
      <c r="D27" s="14">
        <f>SUM(SUMIFS(PrEP!$O:$O,PrEP!$B:$B,$B27,PrEP!$C:$C,{"15-24","25-34"},PrEP!$D:$D,"Female"))</f>
        <v>0</v>
      </c>
      <c r="E27" s="14">
        <f>SUM(SUMIFS(PrEP!$O:$O,PrEP!$B:$B,$B27,PrEP!$C:$C,{"15-24","25-34","35-49","50+"},PrEP!$D:$D,"Male"))</f>
        <v>0</v>
      </c>
      <c r="F27" s="14">
        <f>_xlfn.IFNA(INDEX(KP!$I:$I,MATCH(($B27&amp;"|"&amp;F$3),KP!$D:$D,0)),"")</f>
        <v>0</v>
      </c>
      <c r="G27" s="14">
        <f>_xlfn.IFNA(INDEX(KP!$I:$I,MATCH(($B27&amp;"|"&amp;G$3),KP!$D:$D,0)),"")</f>
        <v>0</v>
      </c>
      <c r="H27" s="14">
        <f>_xlfn.IFNA(INDEX(KP!$I:$I,MATCH(($B27&amp;"|"&amp;H$3),KP!$D:$D,0)),"")</f>
        <v>0</v>
      </c>
      <c r="I27" s="14">
        <f>_xlfn.IFNA(INDEX(KP!$I:$I,MATCH(($B27&amp;"|"&amp;I$3),KP!$D:$D,0)),"")</f>
        <v>0</v>
      </c>
      <c r="J27" s="14">
        <f>_xlfn.IFNA(INDEX(KP!$I:$I,MATCH(($B27&amp;"|"&amp;J$3),KP!$D:$D,0)),"")</f>
        <v>0</v>
      </c>
      <c r="K27" s="14">
        <f>SUM(SUMIFS(PrEP!$L:$L,PrEP!$B:$B,$B27,PrEP!$C:$C,{"15-24","25-34","35-49","50+"},PrEP!$D:$D,"Female"))</f>
        <v>0</v>
      </c>
      <c r="L27" s="14">
        <f>SUM(SUMIFS(PrEP!$L:$L,PrEP!$B:$B,$B27,PrEP!$C:$C,{"15-24","25-34"},PrEP!$D:$D,"Female"))</f>
        <v>0</v>
      </c>
      <c r="M27" s="14">
        <f>SUM(SUMIFS(PrEP!$L:$L,PrEP!$B:$B,$B27,PrEP!$C:$C,{"15-24","25-34","35-49","50+"},PrEP!$D:$D,"Male"))</f>
        <v>0</v>
      </c>
      <c r="N27" s="14">
        <f>_xlfn.IFNA(INDEX(KP!$K:$K,MATCH(($B27&amp;"|"&amp;N$3),KP!$D:$D,0)),"")</f>
        <v>0</v>
      </c>
      <c r="O27" s="14">
        <f>_xlfn.IFNA(INDEX(KP!$K:$K,MATCH(($B27&amp;"|"&amp;O$3),KP!$D:$D,0)),"")</f>
        <v>0</v>
      </c>
      <c r="P27" s="14">
        <f>_xlfn.IFNA(INDEX(KP!$K:$K,MATCH(($B27&amp;"|"&amp;P$3),KP!$D:$D,0)),"")</f>
        <v>0</v>
      </c>
      <c r="Q27" s="14">
        <f>_xlfn.IFNA(INDEX(KP!$K:$K,MATCH(($B27&amp;"|"&amp;Q$3),KP!$D:$D,0)),"")</f>
        <v>0</v>
      </c>
      <c r="R27" s="14">
        <f>_xlfn.IFNA(INDEX(KP!$K:$K,MATCH(($B27&amp;"|"&amp;R$3),KP!$D:$D,0)),"")</f>
        <v>0</v>
      </c>
      <c r="S27" s="14">
        <f>SUM(SUMIFS(Cascade!$AP:$AP,Cascade!$B:$B,$B27,Cascade!$C:$C,{"15-24","25-34","35-49","50+"},Cascade!$D:$D,"Female"))</f>
        <v>0</v>
      </c>
      <c r="T27" s="14">
        <f>SUM(SUMIFS(Cascade!$AP:$AP,Cascade!$B:$B,$B27,Cascade!$C:$C,{"15-24","25-34","35-49","50+"},Cascade!$D:$D,"Male"))</f>
        <v>0</v>
      </c>
      <c r="U27" s="14" t="str">
        <f>_xlfn.IFNA(INDEX(KP!$Q:$Q,MATCH(($B27&amp;"|"&amp;U$3),KP!$D:$D,0)),"")</f>
        <v/>
      </c>
      <c r="V27" s="14" t="str">
        <f>_xlfn.IFNA(INDEX(KP!$Q:$Q,MATCH(($B27&amp;"|"&amp;V$3),KP!$D:$D,0)),"")</f>
        <v/>
      </c>
      <c r="W27" s="14" t="str">
        <f>_xlfn.IFNA(INDEX(KP!$Q:$Q,MATCH(($B27&amp;"|"&amp;W$3),KP!$D:$D,0)),"")</f>
        <v/>
      </c>
      <c r="X27" s="14" t="str">
        <f>_xlfn.IFNA(INDEX(KP!$Q:$Q,MATCH(($B27&amp;"|"&amp;X$3),KP!$D:$D,0)),"")</f>
        <v/>
      </c>
      <c r="Y27" s="14" t="str">
        <f>_xlfn.IFNA(INDEX(KP!$Q:$Q,MATCH(($B27&amp;"|"&amp;Y$3),KP!$D:$D,0)),"")</f>
        <v/>
      </c>
      <c r="Z27" s="14">
        <f>SUM(SUMIFS(Cascade!$AX:$AX,Cascade!$B:$B,$B27,Cascade!$C:$C,{"15-24","25-34","35-49","50+"},Cascade!$D:$D,"Female"))</f>
        <v>0</v>
      </c>
      <c r="AA27" s="14">
        <f>SUM(SUMIFS(Cascade!$AX:$AX,Cascade!$B:$B,$B27,Cascade!$C:$C,{"15-24","25-34","35-49","50+"},Cascade!$D:$D,"Male"))</f>
        <v>0</v>
      </c>
      <c r="AB27" s="14" t="str">
        <f>_xlfn.IFNA(INDEX(KP!$Z:$Z,MATCH(($B27&amp;"|"&amp;AB$3),KP!$D:$D,0)),"")</f>
        <v/>
      </c>
      <c r="AC27" s="14" t="str">
        <f>_xlfn.IFNA(INDEX(KP!$Z:$Z,MATCH(($B27&amp;"|"&amp;AC$3),KP!$D:$D,0)),"")</f>
        <v/>
      </c>
      <c r="AD27" s="14" t="str">
        <f>_xlfn.IFNA(INDEX(KP!$Z:$Z,MATCH(($B27&amp;"|"&amp;AD$3),KP!$D:$D,0)),"")</f>
        <v/>
      </c>
      <c r="AE27" s="14" t="str">
        <f>_xlfn.IFNA(INDEX(KP!$Z:$Z,MATCH(($B27&amp;"|"&amp;AE$3),KP!$D:$D,0)),"")</f>
        <v/>
      </c>
      <c r="AF27" s="14" t="str">
        <f>_xlfn.IFNA(INDEX(KP!$Z:$Z,MATCH(($B27&amp;"|"&amp;AF$3),KP!$D:$D,0)),"")</f>
        <v/>
      </c>
      <c r="AG27" s="14">
        <f>SUM(SUMIFS(Cascade!$BB:$BB,Cascade!$B:$B,$B27,Cascade!$C:$C,{"15-24","25-34","35-49","50+"},Cascade!$D:$D,"Female"))</f>
        <v>0</v>
      </c>
      <c r="AH27" s="14">
        <f>SUM(SUMIFS(Cascade!$BB:$BB,Cascade!$B:$B,$B27,Cascade!$C:$C,{"15-24","25-34","35-49","50+"},Cascade!$D:$D,"Male"))</f>
        <v>0</v>
      </c>
      <c r="AI27" s="14" t="str">
        <f>_xlfn.IFNA(INDEX(KP!$AD:$AD,MATCH(($B27&amp;"|"&amp;AI$3),KP!$D:$D,0)),"")</f>
        <v/>
      </c>
      <c r="AJ27" s="14" t="str">
        <f>_xlfn.IFNA(INDEX(KP!$AD:$AD,MATCH(($B27&amp;"|"&amp;AJ$3),KP!$D:$D,0)),"")</f>
        <v/>
      </c>
      <c r="AK27" s="14" t="str">
        <f>_xlfn.IFNA(INDEX(KP!$AD:$AD,MATCH(($B27&amp;"|"&amp;AK$3),KP!$D:$D,0)),"")</f>
        <v/>
      </c>
      <c r="AL27" s="14" t="str">
        <f>_xlfn.IFNA(INDEX(KP!$AD:$AD,MATCH(($B27&amp;"|"&amp;AL$3),KP!$D:$D,0)),"")</f>
        <v/>
      </c>
      <c r="AM27" s="14" t="str">
        <f>_xlfn.IFNA(INDEX(KP!$AD:$AD,MATCH(($B27&amp;"|"&amp;AM$3),KP!$D:$D,0)),"")</f>
        <v/>
      </c>
      <c r="AN27" s="14">
        <f>SUM(SUMIFS(Cascade!$BE:$BE,Cascade!$B:$B,$B27,Cascade!$C:$C,{"15-24","25-34","35-49","50+"},Cascade!$D:$D,"Female"))</f>
        <v>0</v>
      </c>
      <c r="AO27" s="14">
        <f>SUM(SUMIFS(Cascade!$BE:$BE,Cascade!$B:$B,$B27,Cascade!$C:$C,{"15-24","25-34","35-49","50+"},Cascade!$D:$D,"Male"))</f>
        <v>0</v>
      </c>
      <c r="AP27" s="14" t="str">
        <f>_xlfn.IFNA(INDEX(KP!$AF:$AF,MATCH(($B27&amp;"|"&amp;AP$3),KP!$D:$D,0)),"")</f>
        <v/>
      </c>
      <c r="AQ27" s="14" t="str">
        <f>_xlfn.IFNA(INDEX(KP!$AF:$AF,MATCH(($B27&amp;"|"&amp;AQ$3),KP!$D:$D,0)),"")</f>
        <v/>
      </c>
      <c r="AR27" s="14" t="str">
        <f>_xlfn.IFNA(INDEX(KP!$AF:$AF,MATCH(($B27&amp;"|"&amp;AR$3),KP!$D:$D,0)),"")</f>
        <v/>
      </c>
      <c r="AS27" s="14" t="str">
        <f>_xlfn.IFNA(INDEX(KP!$AF:$AF,MATCH(($B27&amp;"|"&amp;AS$3),KP!$D:$D,0)),"")</f>
        <v/>
      </c>
      <c r="AT27" s="14" t="str">
        <f>_xlfn.IFNA(INDEX(KP!$AF:$AF,MATCH(($B27&amp;"|"&amp;AT$3),KP!$D:$D,0)),"")</f>
        <v/>
      </c>
      <c r="AU27" s="14">
        <f>SUM(SUMIFS(HTS!$AM:$AM,HTS!$B:$B,$B27,HTS!$C:$C,{"15-24","25-34","35-49","50+"},HTS!$D:$D,"Female"))</f>
        <v>0</v>
      </c>
      <c r="AV27" s="14">
        <f>SUM(SUMIFS(HTS!$AM:$AM,HTS!$B:$B,$B27,HTS!$C:$C,{"15-24","25-34","35-49","50+"},HTS!$D:$D,"Male"))</f>
        <v>0</v>
      </c>
      <c r="AW27" s="14" t="str">
        <f>_xlfn.IFNA(INDEX(KP!$AK:$AK,MATCH(($B27&amp;"|"&amp;AW$3),KP!$D:$D,0)),"")</f>
        <v/>
      </c>
      <c r="AX27" s="14" t="str">
        <f>_xlfn.IFNA(INDEX(KP!$AK:$AK,MATCH(($B27&amp;"|"&amp;AX$3),KP!$D:$D,0)),"")</f>
        <v/>
      </c>
      <c r="AY27" s="14" t="str">
        <f>_xlfn.IFNA(INDEX(KP!$AK:$AK,MATCH(($B27&amp;"|"&amp;AY$3),KP!$D:$D,0)),"")</f>
        <v/>
      </c>
      <c r="AZ27" s="14" t="str">
        <f>_xlfn.IFNA(INDEX(KP!$AK:$AK,MATCH(($B27&amp;"|"&amp;AZ$3),KP!$D:$D,0)),"")</f>
        <v/>
      </c>
      <c r="BA27" s="14" t="str">
        <f>_xlfn.IFNA(INDEX(KP!$AK:$AK,MATCH(($B27&amp;"|"&amp;BA$3),KP!$D:$D,0)),"")</f>
        <v/>
      </c>
      <c r="BB27" s="14">
        <f>SUM(SUMIFS(HTS!$AT:$AT,HTS!$B:$B,$B27,HTS!$C:$C,{"15-24","25-34","35-49","50+"},HTS!$D:$D,"Female"))</f>
        <v>0</v>
      </c>
      <c r="BC27" s="14">
        <f>SUM(SUMIFS(HTS!$AT:$AT,HTS!$B:$B,$B27,HTS!$C:$C,{"15-24","25-34","35-49","50+"},HTS!$D:$D,"Male"))</f>
        <v>0</v>
      </c>
      <c r="BD27" s="14" t="str">
        <f>_xlfn.IFNA(INDEX(KP!$AL:$AL,MATCH(($B27&amp;"|"&amp;BD$3),KP!$D:$D,0)),"")</f>
        <v/>
      </c>
      <c r="BE27" s="14" t="str">
        <f>_xlfn.IFNA(INDEX(KP!$AL:$AL,MATCH(($B27&amp;"|"&amp;BE$3),KP!$D:$D,0)),"")</f>
        <v/>
      </c>
      <c r="BF27" s="14" t="str">
        <f>_xlfn.IFNA(INDEX(KP!$AL:$AL,MATCH(($B27&amp;"|"&amp;BF$3),KP!$D:$D,0)),"")</f>
        <v/>
      </c>
      <c r="BG27" s="14" t="str">
        <f>_xlfn.IFNA(INDEX(KP!$AL:$AL,MATCH(($B27&amp;"|"&amp;BG$3),KP!$D:$D,0)),"")</f>
        <v/>
      </c>
      <c r="BH27" s="14" t="str">
        <f>_xlfn.IFNA(INDEX(KP!$AL:$AL,MATCH(($B27&amp;"|"&amp;BH$3),KP!$D:$D,0)),"")</f>
        <v/>
      </c>
      <c r="BI27" s="14">
        <f>SUM(SUMIFS(HTS!$BA:$BA,HTS!$B:$B,$B27,HTS!$C:$C,{"15-24","25-34","35-49","50+"},HTS!$D:$D,"Female"))</f>
        <v>0</v>
      </c>
      <c r="BJ27" s="14">
        <f>SUM(SUMIFS(HTS!$BA:$BA,HTS!$B:$B,$B27,HTS!$C:$C,{"15-24","25-34","35-49","50+"},HTS!$D:$D,"Male"))</f>
        <v>0</v>
      </c>
      <c r="BK27" s="14" t="str">
        <f>_xlfn.IFNA(INDEX(KP!$AN:$AN,MATCH(($B27&amp;"|"&amp;BK$3),KP!$D:$D,0)),"")</f>
        <v/>
      </c>
      <c r="BL27" s="14" t="str">
        <f>_xlfn.IFNA(INDEX(KP!$AN:$AN,MATCH(($B27&amp;"|"&amp;BL$3),KP!$D:$D,0)),"")</f>
        <v/>
      </c>
      <c r="BM27" s="14" t="str">
        <f>_xlfn.IFNA(INDEX(KP!$AN:$AN,MATCH(($B27&amp;"|"&amp;BM$3),KP!$D:$D,0)),"")</f>
        <v/>
      </c>
      <c r="BN27" s="14" t="str">
        <f>_xlfn.IFNA(INDEX(KP!$AN:$AN,MATCH(($B27&amp;"|"&amp;BN$3),KP!$D:$D,0)),"")</f>
        <v/>
      </c>
      <c r="BO27" s="14" t="str">
        <f>_xlfn.IFNA(INDEX(KP!$AN:$AN,MATCH(($B27&amp;"|"&amp;BO$3),KP!$D:$D,0)),"")</f>
        <v/>
      </c>
      <c r="BP27" s="14">
        <f>SUM(SUMIFS(HTS!$AY:$AY,HTS!$B:$B,$B27,HTS!$C:$C,{"15-24","25-34","35-49","50+"},HTS!$D:$D,"Female"))</f>
        <v>1</v>
      </c>
      <c r="BQ27" s="14">
        <f>SUM(SUMIFS(HTS!$AY:$AY,HTS!$B:$B,$B27,HTS!$C:$C,{"15-24","25-34","35-49","50+"},HTS!$D:$D,"Male"))</f>
        <v>1</v>
      </c>
      <c r="BR27" s="14">
        <f>_xlfn.IFNA(INDEX(KP!$AP:$AP,MATCH(($B27&amp;"|"&amp;BR$3),KP!$D:$D,0)),"")</f>
        <v>0</v>
      </c>
      <c r="BS27" s="14">
        <f>_xlfn.IFNA(INDEX(KP!$AP:$AP,MATCH(($B27&amp;"|"&amp;BS$3),KP!$D:$D,0)),"")</f>
        <v>0</v>
      </c>
      <c r="BT27" s="14">
        <f>_xlfn.IFNA(INDEX(KP!$AP:$AP,MATCH(($B27&amp;"|"&amp;BT$3),KP!$D:$D,0)),"")</f>
        <v>0</v>
      </c>
      <c r="BU27" s="14">
        <f>_xlfn.IFNA(INDEX(KP!$AP:$AP,MATCH(($B27&amp;"|"&amp;BU$3),KP!$D:$D,0)),"")</f>
        <v>0</v>
      </c>
      <c r="BV27" s="14">
        <f>_xlfn.IFNA(INDEX(KP!$AP:$AP,MATCH(($B27&amp;"|"&amp;BV$3),KP!$D:$D,0)),"")</f>
        <v>0</v>
      </c>
    </row>
    <row r="28" spans="1:74" x14ac:dyDescent="0.2">
      <c r="A28" s="93" t="str">
        <f>INDEX(Prioritization!$D:$D,MATCH($B28,Prioritization!$A:$A,0))</f>
        <v>1 - Scale-up: Saturation</v>
      </c>
      <c r="B28" s="43" t="s">
        <v>206</v>
      </c>
      <c r="C28" s="14">
        <f>SUM(SUMIFS(PrEP!$O:$O,PrEP!$B:$B,$B28,PrEP!$C:$C,{"15-24","25-34","35-49","50+"},PrEP!$D:$D,"Female"))</f>
        <v>0</v>
      </c>
      <c r="D28" s="14">
        <f>SUM(SUMIFS(PrEP!$O:$O,PrEP!$B:$B,$B28,PrEP!$C:$C,{"15-24","25-34"},PrEP!$D:$D,"Female"))</f>
        <v>0</v>
      </c>
      <c r="E28" s="14">
        <f>SUM(SUMIFS(PrEP!$O:$O,PrEP!$B:$B,$B28,PrEP!$C:$C,{"15-24","25-34","35-49","50+"},PrEP!$D:$D,"Male"))</f>
        <v>0</v>
      </c>
      <c r="F28" s="14">
        <f>_xlfn.IFNA(INDEX(KP!$I:$I,MATCH(($B28&amp;"|"&amp;F$3),KP!$D:$D,0)),"")</f>
        <v>0</v>
      </c>
      <c r="G28" s="14">
        <f>_xlfn.IFNA(INDEX(KP!$I:$I,MATCH(($B28&amp;"|"&amp;G$3),KP!$D:$D,0)),"")</f>
        <v>0</v>
      </c>
      <c r="H28" s="14">
        <f>_xlfn.IFNA(INDEX(KP!$I:$I,MATCH(($B28&amp;"|"&amp;H$3),KP!$D:$D,0)),"")</f>
        <v>0</v>
      </c>
      <c r="I28" s="14">
        <f>_xlfn.IFNA(INDEX(KP!$I:$I,MATCH(($B28&amp;"|"&amp;I$3),KP!$D:$D,0)),"")</f>
        <v>0</v>
      </c>
      <c r="J28" s="14">
        <f>_xlfn.IFNA(INDEX(KP!$I:$I,MATCH(($B28&amp;"|"&amp;J$3),KP!$D:$D,0)),"")</f>
        <v>0</v>
      </c>
      <c r="K28" s="14">
        <f>SUM(SUMIFS(PrEP!$L:$L,PrEP!$B:$B,$B28,PrEP!$C:$C,{"15-24","25-34","35-49","50+"},PrEP!$D:$D,"Female"))</f>
        <v>7</v>
      </c>
      <c r="L28" s="14">
        <f>SUM(SUMIFS(PrEP!$L:$L,PrEP!$B:$B,$B28,PrEP!$C:$C,{"15-24","25-34"},PrEP!$D:$D,"Female"))</f>
        <v>0</v>
      </c>
      <c r="M28" s="14">
        <f>SUM(SUMIFS(PrEP!$L:$L,PrEP!$B:$B,$B28,PrEP!$C:$C,{"15-24","25-34","35-49","50+"},PrEP!$D:$D,"Male"))</f>
        <v>7</v>
      </c>
      <c r="N28" s="14">
        <f>_xlfn.IFNA(INDEX(KP!$K:$K,MATCH(($B28&amp;"|"&amp;N$3),KP!$D:$D,0)),"")</f>
        <v>0</v>
      </c>
      <c r="O28" s="14">
        <f>_xlfn.IFNA(INDEX(KP!$K:$K,MATCH(($B28&amp;"|"&amp;O$3),KP!$D:$D,0)),"")</f>
        <v>0</v>
      </c>
      <c r="P28" s="14">
        <f>_xlfn.IFNA(INDEX(KP!$K:$K,MATCH(($B28&amp;"|"&amp;P$3),KP!$D:$D,0)),"")</f>
        <v>0</v>
      </c>
      <c r="Q28" s="14">
        <f>_xlfn.IFNA(INDEX(KP!$K:$K,MATCH(($B28&amp;"|"&amp;Q$3),KP!$D:$D,0)),"")</f>
        <v>0</v>
      </c>
      <c r="R28" s="14">
        <f>_xlfn.IFNA(INDEX(KP!$K:$K,MATCH(($B28&amp;"|"&amp;R$3),KP!$D:$D,0)),"")</f>
        <v>0</v>
      </c>
      <c r="S28" s="14">
        <f>SUM(SUMIFS(Cascade!$AP:$AP,Cascade!$B:$B,$B28,Cascade!$C:$C,{"15-24","25-34","35-49","50+"},Cascade!$D:$D,"Female"))</f>
        <v>0</v>
      </c>
      <c r="T28" s="14">
        <f>SUM(SUMIFS(Cascade!$AP:$AP,Cascade!$B:$B,$B28,Cascade!$C:$C,{"15-24","25-34","35-49","50+"},Cascade!$D:$D,"Male"))</f>
        <v>0</v>
      </c>
      <c r="U28" s="14">
        <f>_xlfn.IFNA(INDEX(KP!$Q:$Q,MATCH(($B28&amp;"|"&amp;U$3),KP!$D:$D,0)),"")</f>
        <v>70</v>
      </c>
      <c r="V28" s="14">
        <f>_xlfn.IFNA(INDEX(KP!$Q:$Q,MATCH(($B28&amp;"|"&amp;V$3),KP!$D:$D,0)),"")</f>
        <v>77</v>
      </c>
      <c r="W28" s="14">
        <f>_xlfn.IFNA(INDEX(KP!$Q:$Q,MATCH(($B28&amp;"|"&amp;W$3),KP!$D:$D,0)),"")</f>
        <v>86</v>
      </c>
      <c r="X28" s="14" t="str">
        <f>_xlfn.IFNA(INDEX(KP!$Q:$Q,MATCH(($B28&amp;"|"&amp;X$3),KP!$D:$D,0)),"")</f>
        <v/>
      </c>
      <c r="Y28" s="14">
        <f>_xlfn.IFNA(INDEX(KP!$Q:$Q,MATCH(($B28&amp;"|"&amp;Y$3),KP!$D:$D,0)),"")</f>
        <v>6</v>
      </c>
      <c r="Z28" s="14">
        <f>SUM(SUMIFS(Cascade!$AX:$AX,Cascade!$B:$B,$B28,Cascade!$C:$C,{"15-24","25-34","35-49","50+"},Cascade!$D:$D,"Female"))</f>
        <v>0</v>
      </c>
      <c r="AA28" s="14">
        <f>SUM(SUMIFS(Cascade!$AX:$AX,Cascade!$B:$B,$B28,Cascade!$C:$C,{"15-24","25-34","35-49","50+"},Cascade!$D:$D,"Male"))</f>
        <v>0</v>
      </c>
      <c r="AB28" s="14">
        <f>_xlfn.IFNA(INDEX(KP!$Z:$Z,MATCH(($B28&amp;"|"&amp;AB$3),KP!$D:$D,0)),"")</f>
        <v>1</v>
      </c>
      <c r="AC28" s="14">
        <f>_xlfn.IFNA(INDEX(KP!$Z:$Z,MATCH(($B28&amp;"|"&amp;AC$3),KP!$D:$D,0)),"")</f>
        <v>2</v>
      </c>
      <c r="AD28" s="14">
        <f>_xlfn.IFNA(INDEX(KP!$Z:$Z,MATCH(($B28&amp;"|"&amp;AD$3),KP!$D:$D,0)),"")</f>
        <v>2</v>
      </c>
      <c r="AE28" s="14" t="str">
        <f>_xlfn.IFNA(INDEX(KP!$Z:$Z,MATCH(($B28&amp;"|"&amp;AE$3),KP!$D:$D,0)),"")</f>
        <v/>
      </c>
      <c r="AF28" s="14" t="str">
        <f>_xlfn.IFNA(INDEX(KP!$Z:$Z,MATCH(($B28&amp;"|"&amp;AF$3),KP!$D:$D,0)),"")</f>
        <v/>
      </c>
      <c r="AG28" s="14">
        <f>SUM(SUMIFS(Cascade!$BB:$BB,Cascade!$B:$B,$B28,Cascade!$C:$C,{"15-24","25-34","35-49","50+"},Cascade!$D:$D,"Female"))</f>
        <v>0</v>
      </c>
      <c r="AH28" s="14">
        <f>SUM(SUMIFS(Cascade!$BB:$BB,Cascade!$B:$B,$B28,Cascade!$C:$C,{"15-24","25-34","35-49","50+"},Cascade!$D:$D,"Male"))</f>
        <v>0</v>
      </c>
      <c r="AI28" s="14">
        <f>_xlfn.IFNA(INDEX(KP!$AD:$AD,MATCH(($B28&amp;"|"&amp;AI$3),KP!$D:$D,0)),"")</f>
        <v>67</v>
      </c>
      <c r="AJ28" s="14">
        <f>_xlfn.IFNA(INDEX(KP!$AD:$AD,MATCH(($B28&amp;"|"&amp;AJ$3),KP!$D:$D,0)),"")</f>
        <v>74</v>
      </c>
      <c r="AK28" s="14">
        <f>_xlfn.IFNA(INDEX(KP!$AD:$AD,MATCH(($B28&amp;"|"&amp;AK$3),KP!$D:$D,0)),"")</f>
        <v>83</v>
      </c>
      <c r="AL28" s="14" t="str">
        <f>_xlfn.IFNA(INDEX(KP!$AD:$AD,MATCH(($B28&amp;"|"&amp;AL$3),KP!$D:$D,0)),"")</f>
        <v/>
      </c>
      <c r="AM28" s="14">
        <f>_xlfn.IFNA(INDEX(KP!$AD:$AD,MATCH(($B28&amp;"|"&amp;AM$3),KP!$D:$D,0)),"")</f>
        <v>6</v>
      </c>
      <c r="AN28" s="14">
        <f>SUM(SUMIFS(Cascade!$BE:$BE,Cascade!$B:$B,$B28,Cascade!$C:$C,{"15-24","25-34","35-49","50+"},Cascade!$D:$D,"Female"))</f>
        <v>0</v>
      </c>
      <c r="AO28" s="14">
        <f>SUM(SUMIFS(Cascade!$BE:$BE,Cascade!$B:$B,$B28,Cascade!$C:$C,{"15-24","25-34","35-49","50+"},Cascade!$D:$D,"Male"))</f>
        <v>0</v>
      </c>
      <c r="AP28" s="14">
        <f>_xlfn.IFNA(INDEX(KP!$AF:$AF,MATCH(($B28&amp;"|"&amp;AP$3),KP!$D:$D,0)),"")</f>
        <v>64</v>
      </c>
      <c r="AQ28" s="14">
        <f>_xlfn.IFNA(INDEX(KP!$AF:$AF,MATCH(($B28&amp;"|"&amp;AQ$3),KP!$D:$D,0)),"")</f>
        <v>70</v>
      </c>
      <c r="AR28" s="14">
        <f>_xlfn.IFNA(INDEX(KP!$AF:$AF,MATCH(($B28&amp;"|"&amp;AR$3),KP!$D:$D,0)),"")</f>
        <v>79</v>
      </c>
      <c r="AS28" s="14" t="str">
        <f>_xlfn.IFNA(INDEX(KP!$AF:$AF,MATCH(($B28&amp;"|"&amp;AS$3),KP!$D:$D,0)),"")</f>
        <v/>
      </c>
      <c r="AT28" s="14">
        <f>_xlfn.IFNA(INDEX(KP!$AF:$AF,MATCH(($B28&amp;"|"&amp;AT$3),KP!$D:$D,0)),"")</f>
        <v>6</v>
      </c>
      <c r="AU28" s="14">
        <f>SUM(SUMIFS(HTS!$AM:$AM,HTS!$B:$B,$B28,HTS!$C:$C,{"15-24","25-34","35-49","50+"},HTS!$D:$D,"Female"))</f>
        <v>0</v>
      </c>
      <c r="AV28" s="14">
        <f>SUM(SUMIFS(HTS!$AM:$AM,HTS!$B:$B,$B28,HTS!$C:$C,{"15-24","25-34","35-49","50+"},HTS!$D:$D,"Male"))</f>
        <v>0</v>
      </c>
      <c r="AW28" s="14">
        <f>_xlfn.IFNA(INDEX(KP!$AK:$AK,MATCH(($B28&amp;"|"&amp;AW$3),KP!$D:$D,0)),"")</f>
        <v>1</v>
      </c>
      <c r="AX28" s="14">
        <f>_xlfn.IFNA(INDEX(KP!$AK:$AK,MATCH(($B28&amp;"|"&amp;AX$3),KP!$D:$D,0)),"")</f>
        <v>2</v>
      </c>
      <c r="AY28" s="14">
        <f>_xlfn.IFNA(INDEX(KP!$AK:$AK,MATCH(($B28&amp;"|"&amp;AY$3),KP!$D:$D,0)),"")</f>
        <v>2</v>
      </c>
      <c r="AZ28" s="14" t="str">
        <f>_xlfn.IFNA(INDEX(KP!$AK:$AK,MATCH(($B28&amp;"|"&amp;AZ$3),KP!$D:$D,0)),"")</f>
        <v/>
      </c>
      <c r="BA28" s="14" t="str">
        <f>_xlfn.IFNA(INDEX(KP!$AK:$AK,MATCH(($B28&amp;"|"&amp;BA$3),KP!$D:$D,0)),"")</f>
        <v/>
      </c>
      <c r="BB28" s="14">
        <f>SUM(SUMIFS(HTS!$AT:$AT,HTS!$B:$B,$B28,HTS!$C:$C,{"15-24","25-34","35-49","50+"},HTS!$D:$D,"Female"))</f>
        <v>0</v>
      </c>
      <c r="BC28" s="14">
        <f>SUM(SUMIFS(HTS!$AT:$AT,HTS!$B:$B,$B28,HTS!$C:$C,{"15-24","25-34","35-49","50+"},HTS!$D:$D,"Male"))</f>
        <v>0</v>
      </c>
      <c r="BD28" s="14" t="str">
        <f>_xlfn.IFNA(INDEX(KP!$AL:$AL,MATCH(($B28&amp;"|"&amp;BD$3),KP!$D:$D,0)),"")</f>
        <v>ENTER YIELD RATE</v>
      </c>
      <c r="BE28" s="14" t="str">
        <f>_xlfn.IFNA(INDEX(KP!$AL:$AL,MATCH(($B28&amp;"|"&amp;BE$3),KP!$D:$D,0)),"")</f>
        <v>ENTER YIELD RATE</v>
      </c>
      <c r="BF28" s="14" t="str">
        <f>_xlfn.IFNA(INDEX(KP!$AL:$AL,MATCH(($B28&amp;"|"&amp;BF$3),KP!$D:$D,0)),"")</f>
        <v>ENTER YIELD RATE</v>
      </c>
      <c r="BG28" s="14" t="str">
        <f>_xlfn.IFNA(INDEX(KP!$AL:$AL,MATCH(($B28&amp;"|"&amp;BG$3),KP!$D:$D,0)),"")</f>
        <v/>
      </c>
      <c r="BH28" s="14" t="str">
        <f>_xlfn.IFNA(INDEX(KP!$AL:$AL,MATCH(($B28&amp;"|"&amp;BH$3),KP!$D:$D,0)),"")</f>
        <v/>
      </c>
      <c r="BI28" s="14">
        <f>SUM(SUMIFS(HTS!$BA:$BA,HTS!$B:$B,$B28,HTS!$C:$C,{"15-24","25-34","35-49","50+"},HTS!$D:$D,"Female"))</f>
        <v>0</v>
      </c>
      <c r="BJ28" s="14">
        <f>SUM(SUMIFS(HTS!$BA:$BA,HTS!$B:$B,$B28,HTS!$C:$C,{"15-24","25-34","35-49","50+"},HTS!$D:$D,"Male"))</f>
        <v>0</v>
      </c>
      <c r="BK28" s="14">
        <f>_xlfn.IFNA(INDEX(KP!$AN:$AN,MATCH(($B28&amp;"|"&amp;BK$3),KP!$D:$D,0)),"")</f>
        <v>1</v>
      </c>
      <c r="BL28" s="14">
        <f>_xlfn.IFNA(INDEX(KP!$AN:$AN,MATCH(($B28&amp;"|"&amp;BL$3),KP!$D:$D,0)),"")</f>
        <v>2</v>
      </c>
      <c r="BM28" s="14">
        <f>_xlfn.IFNA(INDEX(KP!$AN:$AN,MATCH(($B28&amp;"|"&amp;BM$3),KP!$D:$D,0)),"")</f>
        <v>2</v>
      </c>
      <c r="BN28" s="14" t="str">
        <f>_xlfn.IFNA(INDEX(KP!$AN:$AN,MATCH(($B28&amp;"|"&amp;BN$3),KP!$D:$D,0)),"")</f>
        <v/>
      </c>
      <c r="BO28" s="14" t="str">
        <f>_xlfn.IFNA(INDEX(KP!$AN:$AN,MATCH(($B28&amp;"|"&amp;BO$3),KP!$D:$D,0)),"")</f>
        <v/>
      </c>
      <c r="BP28" s="14">
        <f>SUM(SUMIFS(HTS!$AY:$AY,HTS!$B:$B,$B28,HTS!$C:$C,{"15-24","25-34","35-49","50+"},HTS!$D:$D,"Female"))</f>
        <v>72</v>
      </c>
      <c r="BQ28" s="14">
        <f>SUM(SUMIFS(HTS!$AY:$AY,HTS!$B:$B,$B28,HTS!$C:$C,{"15-24","25-34","35-49","50+"},HTS!$D:$D,"Male"))</f>
        <v>55</v>
      </c>
      <c r="BR28" s="14">
        <f>_xlfn.IFNA(INDEX(KP!$AP:$AP,MATCH(($B28&amp;"|"&amp;BR$3),KP!$D:$D,0)),"")</f>
        <v>0</v>
      </c>
      <c r="BS28" s="14">
        <f>_xlfn.IFNA(INDEX(KP!$AP:$AP,MATCH(($B28&amp;"|"&amp;BS$3),KP!$D:$D,0)),"")</f>
        <v>0</v>
      </c>
      <c r="BT28" s="14">
        <f>_xlfn.IFNA(INDEX(KP!$AP:$AP,MATCH(($B28&amp;"|"&amp;BT$3),KP!$D:$D,0)),"")</f>
        <v>0</v>
      </c>
      <c r="BU28" s="14">
        <f>_xlfn.IFNA(INDEX(KP!$AP:$AP,MATCH(($B28&amp;"|"&amp;BU$3),KP!$D:$D,0)),"")</f>
        <v>0</v>
      </c>
      <c r="BV28" s="14">
        <f>_xlfn.IFNA(INDEX(KP!$AP:$AP,MATCH(($B28&amp;"|"&amp;BV$3),KP!$D:$D,0)),"")</f>
        <v>0</v>
      </c>
    </row>
    <row r="29" spans="1:74" x14ac:dyDescent="0.2">
      <c r="A29" s="93" t="str">
        <f>INDEX(Prioritization!$D:$D,MATCH($B29,Prioritization!$A:$A,0))</f>
        <v>INVALID</v>
      </c>
      <c r="B29" s="43" t="s">
        <v>207</v>
      </c>
      <c r="C29" s="14">
        <f>SUM(SUMIFS(PrEP!$O:$O,PrEP!$B:$B,$B29,PrEP!$C:$C,{"15-24","25-34","35-49","50+"},PrEP!$D:$D,"Female"))</f>
        <v>0</v>
      </c>
      <c r="D29" s="14">
        <f>SUM(SUMIFS(PrEP!$O:$O,PrEP!$B:$B,$B29,PrEP!$C:$C,{"15-24","25-34"},PrEP!$D:$D,"Female"))</f>
        <v>0</v>
      </c>
      <c r="E29" s="14">
        <f>SUM(SUMIFS(PrEP!$O:$O,PrEP!$B:$B,$B29,PrEP!$C:$C,{"15-24","25-34","35-49","50+"},PrEP!$D:$D,"Male"))</f>
        <v>0</v>
      </c>
      <c r="F29" s="14">
        <f>_xlfn.IFNA(INDEX(KP!$I:$I,MATCH(($B29&amp;"|"&amp;F$3),KP!$D:$D,0)),"")</f>
        <v>0</v>
      </c>
      <c r="G29" s="14">
        <f>_xlfn.IFNA(INDEX(KP!$I:$I,MATCH(($B29&amp;"|"&amp;G$3),KP!$D:$D,0)),"")</f>
        <v>0</v>
      </c>
      <c r="H29" s="14">
        <f>_xlfn.IFNA(INDEX(KP!$I:$I,MATCH(($B29&amp;"|"&amp;H$3),KP!$D:$D,0)),"")</f>
        <v>0</v>
      </c>
      <c r="I29" s="14">
        <f>_xlfn.IFNA(INDEX(KP!$I:$I,MATCH(($B29&amp;"|"&amp;I$3),KP!$D:$D,0)),"")</f>
        <v>0</v>
      </c>
      <c r="J29" s="14">
        <f>_xlfn.IFNA(INDEX(KP!$I:$I,MATCH(($B29&amp;"|"&amp;J$3),KP!$D:$D,0)),"")</f>
        <v>0</v>
      </c>
      <c r="K29" s="14">
        <f>SUM(SUMIFS(PrEP!$L:$L,PrEP!$B:$B,$B29,PrEP!$C:$C,{"15-24","25-34","35-49","50+"},PrEP!$D:$D,"Female"))</f>
        <v>0</v>
      </c>
      <c r="L29" s="14">
        <f>SUM(SUMIFS(PrEP!$L:$L,PrEP!$B:$B,$B29,PrEP!$C:$C,{"15-24","25-34"},PrEP!$D:$D,"Female"))</f>
        <v>0</v>
      </c>
      <c r="M29" s="14">
        <f>SUM(SUMIFS(PrEP!$L:$L,PrEP!$B:$B,$B29,PrEP!$C:$C,{"15-24","25-34","35-49","50+"},PrEP!$D:$D,"Male"))</f>
        <v>0</v>
      </c>
      <c r="N29" s="14">
        <f>_xlfn.IFNA(INDEX(KP!$K:$K,MATCH(($B29&amp;"|"&amp;N$3),KP!$D:$D,0)),"")</f>
        <v>0</v>
      </c>
      <c r="O29" s="14">
        <f>_xlfn.IFNA(INDEX(KP!$K:$K,MATCH(($B29&amp;"|"&amp;O$3),KP!$D:$D,0)),"")</f>
        <v>0</v>
      </c>
      <c r="P29" s="14">
        <f>_xlfn.IFNA(INDEX(KP!$K:$K,MATCH(($B29&amp;"|"&amp;P$3),KP!$D:$D,0)),"")</f>
        <v>0</v>
      </c>
      <c r="Q29" s="14">
        <f>_xlfn.IFNA(INDEX(KP!$K:$K,MATCH(($B29&amp;"|"&amp;Q$3),KP!$D:$D,0)),"")</f>
        <v>0</v>
      </c>
      <c r="R29" s="14">
        <f>_xlfn.IFNA(INDEX(KP!$K:$K,MATCH(($B29&amp;"|"&amp;R$3),KP!$D:$D,0)),"")</f>
        <v>0</v>
      </c>
      <c r="S29" s="14">
        <f>SUM(SUMIFS(Cascade!$AP:$AP,Cascade!$B:$B,$B29,Cascade!$C:$C,{"15-24","25-34","35-49","50+"},Cascade!$D:$D,"Female"))</f>
        <v>0</v>
      </c>
      <c r="T29" s="14">
        <f>SUM(SUMIFS(Cascade!$AP:$AP,Cascade!$B:$B,$B29,Cascade!$C:$C,{"15-24","25-34","35-49","50+"},Cascade!$D:$D,"Male"))</f>
        <v>0</v>
      </c>
      <c r="U29" s="14" t="str">
        <f>_xlfn.IFNA(INDEX(KP!$Q:$Q,MATCH(($B29&amp;"|"&amp;U$3),KP!$D:$D,0)),"")</f>
        <v/>
      </c>
      <c r="V29" s="14" t="str">
        <f>_xlfn.IFNA(INDEX(KP!$Q:$Q,MATCH(($B29&amp;"|"&amp;V$3),KP!$D:$D,0)),"")</f>
        <v/>
      </c>
      <c r="W29" s="14">
        <f>_xlfn.IFNA(INDEX(KP!$Q:$Q,MATCH(($B29&amp;"|"&amp;W$3),KP!$D:$D,0)),"")</f>
        <v>7</v>
      </c>
      <c r="X29" s="14" t="str">
        <f>_xlfn.IFNA(INDEX(KP!$Q:$Q,MATCH(($B29&amp;"|"&amp;X$3),KP!$D:$D,0)),"")</f>
        <v/>
      </c>
      <c r="Y29" s="14" t="str">
        <f>_xlfn.IFNA(INDEX(KP!$Q:$Q,MATCH(($B29&amp;"|"&amp;Y$3),KP!$D:$D,0)),"")</f>
        <v/>
      </c>
      <c r="Z29" s="14">
        <f>SUM(SUMIFS(Cascade!$AX:$AX,Cascade!$B:$B,$B29,Cascade!$C:$C,{"15-24","25-34","35-49","50+"},Cascade!$D:$D,"Female"))</f>
        <v>0</v>
      </c>
      <c r="AA29" s="14">
        <f>SUM(SUMIFS(Cascade!$AX:$AX,Cascade!$B:$B,$B29,Cascade!$C:$C,{"15-24","25-34","35-49","50+"},Cascade!$D:$D,"Male"))</f>
        <v>0</v>
      </c>
      <c r="AB29" s="14" t="str">
        <f>_xlfn.IFNA(INDEX(KP!$Z:$Z,MATCH(($B29&amp;"|"&amp;AB$3),KP!$D:$D,0)),"")</f>
        <v/>
      </c>
      <c r="AC29" s="14" t="str">
        <f>_xlfn.IFNA(INDEX(KP!$Z:$Z,MATCH(($B29&amp;"|"&amp;AC$3),KP!$D:$D,0)),"")</f>
        <v/>
      </c>
      <c r="AD29" s="14" t="str">
        <f>_xlfn.IFNA(INDEX(KP!$Z:$Z,MATCH(($B29&amp;"|"&amp;AD$3),KP!$D:$D,0)),"")</f>
        <v/>
      </c>
      <c r="AE29" s="14" t="str">
        <f>_xlfn.IFNA(INDEX(KP!$Z:$Z,MATCH(($B29&amp;"|"&amp;AE$3),KP!$D:$D,0)),"")</f>
        <v/>
      </c>
      <c r="AF29" s="14" t="str">
        <f>_xlfn.IFNA(INDEX(KP!$Z:$Z,MATCH(($B29&amp;"|"&amp;AF$3),KP!$D:$D,0)),"")</f>
        <v/>
      </c>
      <c r="AG29" s="14">
        <f>SUM(SUMIFS(Cascade!$BB:$BB,Cascade!$B:$B,$B29,Cascade!$C:$C,{"15-24","25-34","35-49","50+"},Cascade!$D:$D,"Female"))</f>
        <v>0</v>
      </c>
      <c r="AH29" s="14">
        <f>SUM(SUMIFS(Cascade!$BB:$BB,Cascade!$B:$B,$B29,Cascade!$C:$C,{"15-24","25-34","35-49","50+"},Cascade!$D:$D,"Male"))</f>
        <v>0</v>
      </c>
      <c r="AI29" s="14" t="str">
        <f>_xlfn.IFNA(INDEX(KP!$AD:$AD,MATCH(($B29&amp;"|"&amp;AI$3),KP!$D:$D,0)),"")</f>
        <v/>
      </c>
      <c r="AJ29" s="14" t="str">
        <f>_xlfn.IFNA(INDEX(KP!$AD:$AD,MATCH(($B29&amp;"|"&amp;AJ$3),KP!$D:$D,0)),"")</f>
        <v/>
      </c>
      <c r="AK29" s="14">
        <f>_xlfn.IFNA(INDEX(KP!$AD:$AD,MATCH(($B29&amp;"|"&amp;AK$3),KP!$D:$D,0)),"")</f>
        <v>7</v>
      </c>
      <c r="AL29" s="14" t="str">
        <f>_xlfn.IFNA(INDEX(KP!$AD:$AD,MATCH(($B29&amp;"|"&amp;AL$3),KP!$D:$D,0)),"")</f>
        <v/>
      </c>
      <c r="AM29" s="14" t="str">
        <f>_xlfn.IFNA(INDEX(KP!$AD:$AD,MATCH(($B29&amp;"|"&amp;AM$3),KP!$D:$D,0)),"")</f>
        <v/>
      </c>
      <c r="AN29" s="14">
        <f>SUM(SUMIFS(Cascade!$BE:$BE,Cascade!$B:$B,$B29,Cascade!$C:$C,{"15-24","25-34","35-49","50+"},Cascade!$D:$D,"Female"))</f>
        <v>0</v>
      </c>
      <c r="AO29" s="14">
        <f>SUM(SUMIFS(Cascade!$BE:$BE,Cascade!$B:$B,$B29,Cascade!$C:$C,{"15-24","25-34","35-49","50+"},Cascade!$D:$D,"Male"))</f>
        <v>0</v>
      </c>
      <c r="AP29" s="14" t="str">
        <f>_xlfn.IFNA(INDEX(KP!$AF:$AF,MATCH(($B29&amp;"|"&amp;AP$3),KP!$D:$D,0)),"")</f>
        <v/>
      </c>
      <c r="AQ29" s="14" t="str">
        <f>_xlfn.IFNA(INDEX(KP!$AF:$AF,MATCH(($B29&amp;"|"&amp;AQ$3),KP!$D:$D,0)),"")</f>
        <v/>
      </c>
      <c r="AR29" s="14">
        <f>_xlfn.IFNA(INDEX(KP!$AF:$AF,MATCH(($B29&amp;"|"&amp;AR$3),KP!$D:$D,0)),"")</f>
        <v>7</v>
      </c>
      <c r="AS29" s="14" t="str">
        <f>_xlfn.IFNA(INDEX(KP!$AF:$AF,MATCH(($B29&amp;"|"&amp;AS$3),KP!$D:$D,0)),"")</f>
        <v/>
      </c>
      <c r="AT29" s="14" t="str">
        <f>_xlfn.IFNA(INDEX(KP!$AF:$AF,MATCH(($B29&amp;"|"&amp;AT$3),KP!$D:$D,0)),"")</f>
        <v/>
      </c>
      <c r="AU29" s="14">
        <f>SUM(SUMIFS(HTS!$AM:$AM,HTS!$B:$B,$B29,HTS!$C:$C,{"15-24","25-34","35-49","50+"},HTS!$D:$D,"Female"))</f>
        <v>0</v>
      </c>
      <c r="AV29" s="14">
        <f>SUM(SUMIFS(HTS!$AM:$AM,HTS!$B:$B,$B29,HTS!$C:$C,{"15-24","25-34","35-49","50+"},HTS!$D:$D,"Male"))</f>
        <v>0</v>
      </c>
      <c r="AW29" s="14" t="str">
        <f>_xlfn.IFNA(INDEX(KP!$AK:$AK,MATCH(($B29&amp;"|"&amp;AW$3),KP!$D:$D,0)),"")</f>
        <v/>
      </c>
      <c r="AX29" s="14" t="str">
        <f>_xlfn.IFNA(INDEX(KP!$AK:$AK,MATCH(($B29&amp;"|"&amp;AX$3),KP!$D:$D,0)),"")</f>
        <v/>
      </c>
      <c r="AY29" s="14" t="str">
        <f>_xlfn.IFNA(INDEX(KP!$AK:$AK,MATCH(($B29&amp;"|"&amp;AY$3),KP!$D:$D,0)),"")</f>
        <v/>
      </c>
      <c r="AZ29" s="14" t="str">
        <f>_xlfn.IFNA(INDEX(KP!$AK:$AK,MATCH(($B29&amp;"|"&amp;AZ$3),KP!$D:$D,0)),"")</f>
        <v/>
      </c>
      <c r="BA29" s="14" t="str">
        <f>_xlfn.IFNA(INDEX(KP!$AK:$AK,MATCH(($B29&amp;"|"&amp;BA$3),KP!$D:$D,0)),"")</f>
        <v/>
      </c>
      <c r="BB29" s="14">
        <f>SUM(SUMIFS(HTS!$AT:$AT,HTS!$B:$B,$B29,HTS!$C:$C,{"15-24","25-34","35-49","50+"},HTS!$D:$D,"Female"))</f>
        <v>0</v>
      </c>
      <c r="BC29" s="14">
        <f>SUM(SUMIFS(HTS!$AT:$AT,HTS!$B:$B,$B29,HTS!$C:$C,{"15-24","25-34","35-49","50+"},HTS!$D:$D,"Male"))</f>
        <v>0</v>
      </c>
      <c r="BD29" s="14" t="str">
        <f>_xlfn.IFNA(INDEX(KP!$AL:$AL,MATCH(($B29&amp;"|"&amp;BD$3),KP!$D:$D,0)),"")</f>
        <v/>
      </c>
      <c r="BE29" s="14" t="str">
        <f>_xlfn.IFNA(INDEX(KP!$AL:$AL,MATCH(($B29&amp;"|"&amp;BE$3),KP!$D:$D,0)),"")</f>
        <v/>
      </c>
      <c r="BF29" s="14" t="str">
        <f>_xlfn.IFNA(INDEX(KP!$AL:$AL,MATCH(($B29&amp;"|"&amp;BF$3),KP!$D:$D,0)),"")</f>
        <v/>
      </c>
      <c r="BG29" s="14" t="str">
        <f>_xlfn.IFNA(INDEX(KP!$AL:$AL,MATCH(($B29&amp;"|"&amp;BG$3),KP!$D:$D,0)),"")</f>
        <v/>
      </c>
      <c r="BH29" s="14" t="str">
        <f>_xlfn.IFNA(INDEX(KP!$AL:$AL,MATCH(($B29&amp;"|"&amp;BH$3),KP!$D:$D,0)),"")</f>
        <v/>
      </c>
      <c r="BI29" s="14">
        <f>SUM(SUMIFS(HTS!$BA:$BA,HTS!$B:$B,$B29,HTS!$C:$C,{"15-24","25-34","35-49","50+"},HTS!$D:$D,"Female"))</f>
        <v>0</v>
      </c>
      <c r="BJ29" s="14">
        <f>SUM(SUMIFS(HTS!$BA:$BA,HTS!$B:$B,$B29,HTS!$C:$C,{"15-24","25-34","35-49","50+"},HTS!$D:$D,"Male"))</f>
        <v>0</v>
      </c>
      <c r="BK29" s="14" t="str">
        <f>_xlfn.IFNA(INDEX(KP!$AN:$AN,MATCH(($B29&amp;"|"&amp;BK$3),KP!$D:$D,0)),"")</f>
        <v/>
      </c>
      <c r="BL29" s="14" t="str">
        <f>_xlfn.IFNA(INDEX(KP!$AN:$AN,MATCH(($B29&amp;"|"&amp;BL$3),KP!$D:$D,0)),"")</f>
        <v/>
      </c>
      <c r="BM29" s="14" t="str">
        <f>_xlfn.IFNA(INDEX(KP!$AN:$AN,MATCH(($B29&amp;"|"&amp;BM$3),KP!$D:$D,0)),"")</f>
        <v/>
      </c>
      <c r="BN29" s="14" t="str">
        <f>_xlfn.IFNA(INDEX(KP!$AN:$AN,MATCH(($B29&amp;"|"&amp;BN$3),KP!$D:$D,0)),"")</f>
        <v/>
      </c>
      <c r="BO29" s="14" t="str">
        <f>_xlfn.IFNA(INDEX(KP!$AN:$AN,MATCH(($B29&amp;"|"&amp;BO$3),KP!$D:$D,0)),"")</f>
        <v/>
      </c>
      <c r="BP29" s="14">
        <f>SUM(SUMIFS(HTS!$AY:$AY,HTS!$B:$B,$B29,HTS!$C:$C,{"15-24","25-34","35-49","50+"},HTS!$D:$D,"Female"))</f>
        <v>7</v>
      </c>
      <c r="BQ29" s="14">
        <f>SUM(SUMIFS(HTS!$AY:$AY,HTS!$B:$B,$B29,HTS!$C:$C,{"15-24","25-34","35-49","50+"},HTS!$D:$D,"Male"))</f>
        <v>6</v>
      </c>
      <c r="BR29" s="14">
        <f>_xlfn.IFNA(INDEX(KP!$AP:$AP,MATCH(($B29&amp;"|"&amp;BR$3),KP!$D:$D,0)),"")</f>
        <v>0</v>
      </c>
      <c r="BS29" s="14">
        <f>_xlfn.IFNA(INDEX(KP!$AP:$AP,MATCH(($B29&amp;"|"&amp;BS$3),KP!$D:$D,0)),"")</f>
        <v>0</v>
      </c>
      <c r="BT29" s="14">
        <f>_xlfn.IFNA(INDEX(KP!$AP:$AP,MATCH(($B29&amp;"|"&amp;BT$3),KP!$D:$D,0)),"")</f>
        <v>0</v>
      </c>
      <c r="BU29" s="14">
        <f>_xlfn.IFNA(INDEX(KP!$AP:$AP,MATCH(($B29&amp;"|"&amp;BU$3),KP!$D:$D,0)),"")</f>
        <v>0</v>
      </c>
      <c r="BV29" s="14">
        <f>_xlfn.IFNA(INDEX(KP!$AP:$AP,MATCH(($B29&amp;"|"&amp;BV$3),KP!$D:$D,0)),"")</f>
        <v>0</v>
      </c>
    </row>
    <row r="30" spans="1:74" x14ac:dyDescent="0.2">
      <c r="A30" s="93" t="str">
        <f>INDEX(Prioritization!$D:$D,MATCH($B30,Prioritization!$A:$A,0))</f>
        <v>INVALID</v>
      </c>
      <c r="B30" s="43" t="s">
        <v>208</v>
      </c>
      <c r="C30" s="14">
        <f>SUM(SUMIFS(PrEP!$O:$O,PrEP!$B:$B,$B30,PrEP!$C:$C,{"15-24","25-34","35-49","50+"},PrEP!$D:$D,"Female"))</f>
        <v>0</v>
      </c>
      <c r="D30" s="14">
        <f>SUM(SUMIFS(PrEP!$O:$O,PrEP!$B:$B,$B30,PrEP!$C:$C,{"15-24","25-34"},PrEP!$D:$D,"Female"))</f>
        <v>0</v>
      </c>
      <c r="E30" s="14">
        <f>SUM(SUMIFS(PrEP!$O:$O,PrEP!$B:$B,$B30,PrEP!$C:$C,{"15-24","25-34","35-49","50+"},PrEP!$D:$D,"Male"))</f>
        <v>0</v>
      </c>
      <c r="F30" s="14">
        <f>_xlfn.IFNA(INDEX(KP!$I:$I,MATCH(($B30&amp;"|"&amp;F$3),KP!$D:$D,0)),"")</f>
        <v>0</v>
      </c>
      <c r="G30" s="14">
        <f>_xlfn.IFNA(INDEX(KP!$I:$I,MATCH(($B30&amp;"|"&amp;G$3),KP!$D:$D,0)),"")</f>
        <v>0</v>
      </c>
      <c r="H30" s="14">
        <f>_xlfn.IFNA(INDEX(KP!$I:$I,MATCH(($B30&amp;"|"&amp;H$3),KP!$D:$D,0)),"")</f>
        <v>0</v>
      </c>
      <c r="I30" s="14">
        <f>_xlfn.IFNA(INDEX(KP!$I:$I,MATCH(($B30&amp;"|"&amp;I$3),KP!$D:$D,0)),"")</f>
        <v>0</v>
      </c>
      <c r="J30" s="14">
        <f>_xlfn.IFNA(INDEX(KP!$I:$I,MATCH(($B30&amp;"|"&amp;J$3),KP!$D:$D,0)),"")</f>
        <v>0</v>
      </c>
      <c r="K30" s="14">
        <f>SUM(SUMIFS(PrEP!$L:$L,PrEP!$B:$B,$B30,PrEP!$C:$C,{"15-24","25-34","35-49","50+"},PrEP!$D:$D,"Female"))</f>
        <v>0</v>
      </c>
      <c r="L30" s="14">
        <f>SUM(SUMIFS(PrEP!$L:$L,PrEP!$B:$B,$B30,PrEP!$C:$C,{"15-24","25-34"},PrEP!$D:$D,"Female"))</f>
        <v>0</v>
      </c>
      <c r="M30" s="14">
        <f>SUM(SUMIFS(PrEP!$L:$L,PrEP!$B:$B,$B30,PrEP!$C:$C,{"15-24","25-34","35-49","50+"},PrEP!$D:$D,"Male"))</f>
        <v>0</v>
      </c>
      <c r="N30" s="14">
        <f>_xlfn.IFNA(INDEX(KP!$K:$K,MATCH(($B30&amp;"|"&amp;N$3),KP!$D:$D,0)),"")</f>
        <v>0</v>
      </c>
      <c r="O30" s="14">
        <f>_xlfn.IFNA(INDEX(KP!$K:$K,MATCH(($B30&amp;"|"&amp;O$3),KP!$D:$D,0)),"")</f>
        <v>0</v>
      </c>
      <c r="P30" s="14">
        <f>_xlfn.IFNA(INDEX(KP!$K:$K,MATCH(($B30&amp;"|"&amp;P$3),KP!$D:$D,0)),"")</f>
        <v>0</v>
      </c>
      <c r="Q30" s="14">
        <f>_xlfn.IFNA(INDEX(KP!$K:$K,MATCH(($B30&amp;"|"&amp;Q$3),KP!$D:$D,0)),"")</f>
        <v>0</v>
      </c>
      <c r="R30" s="14">
        <f>_xlfn.IFNA(INDEX(KP!$K:$K,MATCH(($B30&amp;"|"&amp;R$3),KP!$D:$D,0)),"")</f>
        <v>0</v>
      </c>
      <c r="S30" s="14">
        <f>SUM(SUMIFS(Cascade!$AP:$AP,Cascade!$B:$B,$B30,Cascade!$C:$C,{"15-24","25-34","35-49","50+"},Cascade!$D:$D,"Female"))</f>
        <v>0</v>
      </c>
      <c r="T30" s="14">
        <f>SUM(SUMIFS(Cascade!$AP:$AP,Cascade!$B:$B,$B30,Cascade!$C:$C,{"15-24","25-34","35-49","50+"},Cascade!$D:$D,"Male"))</f>
        <v>0</v>
      </c>
      <c r="U30" s="14" t="str">
        <f>_xlfn.IFNA(INDEX(KP!$Q:$Q,MATCH(($B30&amp;"|"&amp;U$3),KP!$D:$D,0)),"")</f>
        <v/>
      </c>
      <c r="V30" s="14" t="str">
        <f>_xlfn.IFNA(INDEX(KP!$Q:$Q,MATCH(($B30&amp;"|"&amp;V$3),KP!$D:$D,0)),"")</f>
        <v/>
      </c>
      <c r="W30" s="14">
        <f>_xlfn.IFNA(INDEX(KP!$Q:$Q,MATCH(($B30&amp;"|"&amp;W$3),KP!$D:$D,0)),"")</f>
        <v>8</v>
      </c>
      <c r="X30" s="14" t="str">
        <f>_xlfn.IFNA(INDEX(KP!$Q:$Q,MATCH(($B30&amp;"|"&amp;X$3),KP!$D:$D,0)),"")</f>
        <v/>
      </c>
      <c r="Y30" s="14" t="str">
        <f>_xlfn.IFNA(INDEX(KP!$Q:$Q,MATCH(($B30&amp;"|"&amp;Y$3),KP!$D:$D,0)),"")</f>
        <v/>
      </c>
      <c r="Z30" s="14">
        <f>SUM(SUMIFS(Cascade!$AX:$AX,Cascade!$B:$B,$B30,Cascade!$C:$C,{"15-24","25-34","35-49","50+"},Cascade!$D:$D,"Female"))</f>
        <v>0</v>
      </c>
      <c r="AA30" s="14">
        <f>SUM(SUMIFS(Cascade!$AX:$AX,Cascade!$B:$B,$B30,Cascade!$C:$C,{"15-24","25-34","35-49","50+"},Cascade!$D:$D,"Male"))</f>
        <v>0</v>
      </c>
      <c r="AB30" s="14" t="str">
        <f>_xlfn.IFNA(INDEX(KP!$Z:$Z,MATCH(($B30&amp;"|"&amp;AB$3),KP!$D:$D,0)),"")</f>
        <v/>
      </c>
      <c r="AC30" s="14" t="str">
        <f>_xlfn.IFNA(INDEX(KP!$Z:$Z,MATCH(($B30&amp;"|"&amp;AC$3),KP!$D:$D,0)),"")</f>
        <v/>
      </c>
      <c r="AD30" s="14" t="str">
        <f>_xlfn.IFNA(INDEX(KP!$Z:$Z,MATCH(($B30&amp;"|"&amp;AD$3),KP!$D:$D,0)),"")</f>
        <v/>
      </c>
      <c r="AE30" s="14" t="str">
        <f>_xlfn.IFNA(INDEX(KP!$Z:$Z,MATCH(($B30&amp;"|"&amp;AE$3),KP!$D:$D,0)),"")</f>
        <v/>
      </c>
      <c r="AF30" s="14" t="str">
        <f>_xlfn.IFNA(INDEX(KP!$Z:$Z,MATCH(($B30&amp;"|"&amp;AF$3),KP!$D:$D,0)),"")</f>
        <v/>
      </c>
      <c r="AG30" s="14">
        <f>SUM(SUMIFS(Cascade!$BB:$BB,Cascade!$B:$B,$B30,Cascade!$C:$C,{"15-24","25-34","35-49","50+"},Cascade!$D:$D,"Female"))</f>
        <v>0</v>
      </c>
      <c r="AH30" s="14">
        <f>SUM(SUMIFS(Cascade!$BB:$BB,Cascade!$B:$B,$B30,Cascade!$C:$C,{"15-24","25-34","35-49","50+"},Cascade!$D:$D,"Male"))</f>
        <v>0</v>
      </c>
      <c r="AI30" s="14" t="str">
        <f>_xlfn.IFNA(INDEX(KP!$AD:$AD,MATCH(($B30&amp;"|"&amp;AI$3),KP!$D:$D,0)),"")</f>
        <v/>
      </c>
      <c r="AJ30" s="14" t="str">
        <f>_xlfn.IFNA(INDEX(KP!$AD:$AD,MATCH(($B30&amp;"|"&amp;AJ$3),KP!$D:$D,0)),"")</f>
        <v/>
      </c>
      <c r="AK30" s="14">
        <f>_xlfn.IFNA(INDEX(KP!$AD:$AD,MATCH(($B30&amp;"|"&amp;AK$3),KP!$D:$D,0)),"")</f>
        <v>8</v>
      </c>
      <c r="AL30" s="14" t="str">
        <f>_xlfn.IFNA(INDEX(KP!$AD:$AD,MATCH(($B30&amp;"|"&amp;AL$3),KP!$D:$D,0)),"")</f>
        <v/>
      </c>
      <c r="AM30" s="14" t="str">
        <f>_xlfn.IFNA(INDEX(KP!$AD:$AD,MATCH(($B30&amp;"|"&amp;AM$3),KP!$D:$D,0)),"")</f>
        <v/>
      </c>
      <c r="AN30" s="14">
        <f>SUM(SUMIFS(Cascade!$BE:$BE,Cascade!$B:$B,$B30,Cascade!$C:$C,{"15-24","25-34","35-49","50+"},Cascade!$D:$D,"Female"))</f>
        <v>0</v>
      </c>
      <c r="AO30" s="14">
        <f>SUM(SUMIFS(Cascade!$BE:$BE,Cascade!$B:$B,$B30,Cascade!$C:$C,{"15-24","25-34","35-49","50+"},Cascade!$D:$D,"Male"))</f>
        <v>0</v>
      </c>
      <c r="AP30" s="14" t="str">
        <f>_xlfn.IFNA(INDEX(KP!$AF:$AF,MATCH(($B30&amp;"|"&amp;AP$3),KP!$D:$D,0)),"")</f>
        <v/>
      </c>
      <c r="AQ30" s="14" t="str">
        <f>_xlfn.IFNA(INDEX(KP!$AF:$AF,MATCH(($B30&amp;"|"&amp;AQ$3),KP!$D:$D,0)),"")</f>
        <v/>
      </c>
      <c r="AR30" s="14">
        <f>_xlfn.IFNA(INDEX(KP!$AF:$AF,MATCH(($B30&amp;"|"&amp;AR$3),KP!$D:$D,0)),"")</f>
        <v>8</v>
      </c>
      <c r="AS30" s="14" t="str">
        <f>_xlfn.IFNA(INDEX(KP!$AF:$AF,MATCH(($B30&amp;"|"&amp;AS$3),KP!$D:$D,0)),"")</f>
        <v/>
      </c>
      <c r="AT30" s="14" t="str">
        <f>_xlfn.IFNA(INDEX(KP!$AF:$AF,MATCH(($B30&amp;"|"&amp;AT$3),KP!$D:$D,0)),"")</f>
        <v/>
      </c>
      <c r="AU30" s="14">
        <f>SUM(SUMIFS(HTS!$AM:$AM,HTS!$B:$B,$B30,HTS!$C:$C,{"15-24","25-34","35-49","50+"},HTS!$D:$D,"Female"))</f>
        <v>0</v>
      </c>
      <c r="AV30" s="14">
        <f>SUM(SUMIFS(HTS!$AM:$AM,HTS!$B:$B,$B30,HTS!$C:$C,{"15-24","25-34","35-49","50+"},HTS!$D:$D,"Male"))</f>
        <v>0</v>
      </c>
      <c r="AW30" s="14" t="str">
        <f>_xlfn.IFNA(INDEX(KP!$AK:$AK,MATCH(($B30&amp;"|"&amp;AW$3),KP!$D:$D,0)),"")</f>
        <v/>
      </c>
      <c r="AX30" s="14" t="str">
        <f>_xlfn.IFNA(INDEX(KP!$AK:$AK,MATCH(($B30&amp;"|"&amp;AX$3),KP!$D:$D,0)),"")</f>
        <v/>
      </c>
      <c r="AY30" s="14" t="str">
        <f>_xlfn.IFNA(INDEX(KP!$AK:$AK,MATCH(($B30&amp;"|"&amp;AY$3),KP!$D:$D,0)),"")</f>
        <v/>
      </c>
      <c r="AZ30" s="14" t="str">
        <f>_xlfn.IFNA(INDEX(KP!$AK:$AK,MATCH(($B30&amp;"|"&amp;AZ$3),KP!$D:$D,0)),"")</f>
        <v/>
      </c>
      <c r="BA30" s="14" t="str">
        <f>_xlfn.IFNA(INDEX(KP!$AK:$AK,MATCH(($B30&amp;"|"&amp;BA$3),KP!$D:$D,0)),"")</f>
        <v/>
      </c>
      <c r="BB30" s="14">
        <f>SUM(SUMIFS(HTS!$AT:$AT,HTS!$B:$B,$B30,HTS!$C:$C,{"15-24","25-34","35-49","50+"},HTS!$D:$D,"Female"))</f>
        <v>0</v>
      </c>
      <c r="BC30" s="14">
        <f>SUM(SUMIFS(HTS!$AT:$AT,HTS!$B:$B,$B30,HTS!$C:$C,{"15-24","25-34","35-49","50+"},HTS!$D:$D,"Male"))</f>
        <v>0</v>
      </c>
      <c r="BD30" s="14" t="str">
        <f>_xlfn.IFNA(INDEX(KP!$AL:$AL,MATCH(($B30&amp;"|"&amp;BD$3),KP!$D:$D,0)),"")</f>
        <v/>
      </c>
      <c r="BE30" s="14" t="str">
        <f>_xlfn.IFNA(INDEX(KP!$AL:$AL,MATCH(($B30&amp;"|"&amp;BE$3),KP!$D:$D,0)),"")</f>
        <v/>
      </c>
      <c r="BF30" s="14" t="str">
        <f>_xlfn.IFNA(INDEX(KP!$AL:$AL,MATCH(($B30&amp;"|"&amp;BF$3),KP!$D:$D,0)),"")</f>
        <v/>
      </c>
      <c r="BG30" s="14" t="str">
        <f>_xlfn.IFNA(INDEX(KP!$AL:$AL,MATCH(($B30&amp;"|"&amp;BG$3),KP!$D:$D,0)),"")</f>
        <v/>
      </c>
      <c r="BH30" s="14" t="str">
        <f>_xlfn.IFNA(INDEX(KP!$AL:$AL,MATCH(($B30&amp;"|"&amp;BH$3),KP!$D:$D,0)),"")</f>
        <v/>
      </c>
      <c r="BI30" s="14">
        <f>SUM(SUMIFS(HTS!$BA:$BA,HTS!$B:$B,$B30,HTS!$C:$C,{"15-24","25-34","35-49","50+"},HTS!$D:$D,"Female"))</f>
        <v>0</v>
      </c>
      <c r="BJ30" s="14">
        <f>SUM(SUMIFS(HTS!$BA:$BA,HTS!$B:$B,$B30,HTS!$C:$C,{"15-24","25-34","35-49","50+"},HTS!$D:$D,"Male"))</f>
        <v>0</v>
      </c>
      <c r="BK30" s="14" t="str">
        <f>_xlfn.IFNA(INDEX(KP!$AN:$AN,MATCH(($B30&amp;"|"&amp;BK$3),KP!$D:$D,0)),"")</f>
        <v/>
      </c>
      <c r="BL30" s="14" t="str">
        <f>_xlfn.IFNA(INDEX(KP!$AN:$AN,MATCH(($B30&amp;"|"&amp;BL$3),KP!$D:$D,0)),"")</f>
        <v/>
      </c>
      <c r="BM30" s="14" t="str">
        <f>_xlfn.IFNA(INDEX(KP!$AN:$AN,MATCH(($B30&amp;"|"&amp;BM$3),KP!$D:$D,0)),"")</f>
        <v/>
      </c>
      <c r="BN30" s="14" t="str">
        <f>_xlfn.IFNA(INDEX(KP!$AN:$AN,MATCH(($B30&amp;"|"&amp;BN$3),KP!$D:$D,0)),"")</f>
        <v/>
      </c>
      <c r="BO30" s="14" t="str">
        <f>_xlfn.IFNA(INDEX(KP!$AN:$AN,MATCH(($B30&amp;"|"&amp;BO$3),KP!$D:$D,0)),"")</f>
        <v/>
      </c>
      <c r="BP30" s="14">
        <f>SUM(SUMIFS(HTS!$AY:$AY,HTS!$B:$B,$B30,HTS!$C:$C,{"15-24","25-34","35-49","50+"},HTS!$D:$D,"Female"))</f>
        <v>2</v>
      </c>
      <c r="BQ30" s="14">
        <f>SUM(SUMIFS(HTS!$AY:$AY,HTS!$B:$B,$B30,HTS!$C:$C,{"15-24","25-34","35-49","50+"},HTS!$D:$D,"Male"))</f>
        <v>9</v>
      </c>
      <c r="BR30" s="14">
        <f>_xlfn.IFNA(INDEX(KP!$AP:$AP,MATCH(($B30&amp;"|"&amp;BR$3),KP!$D:$D,0)),"")</f>
        <v>0</v>
      </c>
      <c r="BS30" s="14">
        <f>_xlfn.IFNA(INDEX(KP!$AP:$AP,MATCH(($B30&amp;"|"&amp;BS$3),KP!$D:$D,0)),"")</f>
        <v>0</v>
      </c>
      <c r="BT30" s="14">
        <f>_xlfn.IFNA(INDEX(KP!$AP:$AP,MATCH(($B30&amp;"|"&amp;BT$3),KP!$D:$D,0)),"")</f>
        <v>0</v>
      </c>
      <c r="BU30" s="14">
        <f>_xlfn.IFNA(INDEX(KP!$AP:$AP,MATCH(($B30&amp;"|"&amp;BU$3),KP!$D:$D,0)),"")</f>
        <v>0</v>
      </c>
      <c r="BV30" s="14">
        <f>_xlfn.IFNA(INDEX(KP!$AP:$AP,MATCH(($B30&amp;"|"&amp;BV$3),KP!$D:$D,0)),"")</f>
        <v>0</v>
      </c>
    </row>
    <row r="31" spans="1:74" x14ac:dyDescent="0.2">
      <c r="A31" s="93" t="str">
        <f>INDEX(Prioritization!$D:$D,MATCH($B31,Prioritization!$A:$A,0))</f>
        <v>1 - Scale-up: Saturation</v>
      </c>
      <c r="B31" s="43" t="s">
        <v>209</v>
      </c>
      <c r="C31" s="14">
        <f>SUM(SUMIFS(PrEP!$O:$O,PrEP!$B:$B,$B31,PrEP!$C:$C,{"15-24","25-34","35-49","50+"},PrEP!$D:$D,"Female"))</f>
        <v>0</v>
      </c>
      <c r="D31" s="14">
        <f>SUM(SUMIFS(PrEP!$O:$O,PrEP!$B:$B,$B31,PrEP!$C:$C,{"15-24","25-34"},PrEP!$D:$D,"Female"))</f>
        <v>0</v>
      </c>
      <c r="E31" s="14">
        <f>SUM(SUMIFS(PrEP!$O:$O,PrEP!$B:$B,$B31,PrEP!$C:$C,{"15-24","25-34","35-49","50+"},PrEP!$D:$D,"Male"))</f>
        <v>0</v>
      </c>
      <c r="F31" s="14">
        <f>_xlfn.IFNA(INDEX(KP!$I:$I,MATCH(($B31&amp;"|"&amp;F$3),KP!$D:$D,0)),"")</f>
        <v>0</v>
      </c>
      <c r="G31" s="14">
        <f>_xlfn.IFNA(INDEX(KP!$I:$I,MATCH(($B31&amp;"|"&amp;G$3),KP!$D:$D,0)),"")</f>
        <v>0</v>
      </c>
      <c r="H31" s="14">
        <f>_xlfn.IFNA(INDEX(KP!$I:$I,MATCH(($B31&amp;"|"&amp;H$3),KP!$D:$D,0)),"")</f>
        <v>0</v>
      </c>
      <c r="I31" s="14">
        <f>_xlfn.IFNA(INDEX(KP!$I:$I,MATCH(($B31&amp;"|"&amp;I$3),KP!$D:$D,0)),"")</f>
        <v>0</v>
      </c>
      <c r="J31" s="14">
        <f>_xlfn.IFNA(INDEX(KP!$I:$I,MATCH(($B31&amp;"|"&amp;J$3),KP!$D:$D,0)),"")</f>
        <v>0</v>
      </c>
      <c r="K31" s="14">
        <f>SUM(SUMIFS(PrEP!$L:$L,PrEP!$B:$B,$B31,PrEP!$C:$C,{"15-24","25-34","35-49","50+"},PrEP!$D:$D,"Female"))</f>
        <v>0</v>
      </c>
      <c r="L31" s="14">
        <f>SUM(SUMIFS(PrEP!$L:$L,PrEP!$B:$B,$B31,PrEP!$C:$C,{"15-24","25-34"},PrEP!$D:$D,"Female"))</f>
        <v>0</v>
      </c>
      <c r="M31" s="14">
        <f>SUM(SUMIFS(PrEP!$L:$L,PrEP!$B:$B,$B31,PrEP!$C:$C,{"15-24","25-34","35-49","50+"},PrEP!$D:$D,"Male"))</f>
        <v>10</v>
      </c>
      <c r="N31" s="14">
        <f>_xlfn.IFNA(INDEX(KP!$K:$K,MATCH(($B31&amp;"|"&amp;N$3),KP!$D:$D,0)),"")</f>
        <v>0</v>
      </c>
      <c r="O31" s="14">
        <f>_xlfn.IFNA(INDEX(KP!$K:$K,MATCH(($B31&amp;"|"&amp;O$3),KP!$D:$D,0)),"")</f>
        <v>0</v>
      </c>
      <c r="P31" s="14">
        <f>_xlfn.IFNA(INDEX(KP!$K:$K,MATCH(($B31&amp;"|"&amp;P$3),KP!$D:$D,0)),"")</f>
        <v>0</v>
      </c>
      <c r="Q31" s="14">
        <f>_xlfn.IFNA(INDEX(KP!$K:$K,MATCH(($B31&amp;"|"&amp;Q$3),KP!$D:$D,0)),"")</f>
        <v>0</v>
      </c>
      <c r="R31" s="14">
        <f>_xlfn.IFNA(INDEX(KP!$K:$K,MATCH(($B31&amp;"|"&amp;R$3),KP!$D:$D,0)),"")</f>
        <v>0</v>
      </c>
      <c r="S31" s="14">
        <f>SUM(SUMIFS(Cascade!$AP:$AP,Cascade!$B:$B,$B31,Cascade!$C:$C,{"15-24","25-34","35-49","50+"},Cascade!$D:$D,"Female"))</f>
        <v>0</v>
      </c>
      <c r="T31" s="14">
        <f>SUM(SUMIFS(Cascade!$AP:$AP,Cascade!$B:$B,$B31,Cascade!$C:$C,{"15-24","25-34","35-49","50+"},Cascade!$D:$D,"Male"))</f>
        <v>0</v>
      </c>
      <c r="U31" s="14">
        <f>_xlfn.IFNA(INDEX(KP!$Q:$Q,MATCH(($B31&amp;"|"&amp;U$3),KP!$D:$D,0)),"")</f>
        <v>94</v>
      </c>
      <c r="V31" s="14">
        <f>_xlfn.IFNA(INDEX(KP!$Q:$Q,MATCH(($B31&amp;"|"&amp;V$3),KP!$D:$D,0)),"")</f>
        <v>9</v>
      </c>
      <c r="W31" s="14" t="str">
        <f>_xlfn.IFNA(INDEX(KP!$Q:$Q,MATCH(($B31&amp;"|"&amp;W$3),KP!$D:$D,0)),"")</f>
        <v/>
      </c>
      <c r="X31" s="14" t="str">
        <f>_xlfn.IFNA(INDEX(KP!$Q:$Q,MATCH(($B31&amp;"|"&amp;X$3),KP!$D:$D,0)),"")</f>
        <v/>
      </c>
      <c r="Y31" s="14" t="str">
        <f>_xlfn.IFNA(INDEX(KP!$Q:$Q,MATCH(($B31&amp;"|"&amp;Y$3),KP!$D:$D,0)),"")</f>
        <v/>
      </c>
      <c r="Z31" s="14">
        <f>SUM(SUMIFS(Cascade!$AX:$AX,Cascade!$B:$B,$B31,Cascade!$C:$C,{"15-24","25-34","35-49","50+"},Cascade!$D:$D,"Female"))</f>
        <v>0</v>
      </c>
      <c r="AA31" s="14">
        <f>SUM(SUMIFS(Cascade!$AX:$AX,Cascade!$B:$B,$B31,Cascade!$C:$C,{"15-24","25-34","35-49","50+"},Cascade!$D:$D,"Male"))</f>
        <v>0</v>
      </c>
      <c r="AB31" s="14">
        <f>_xlfn.IFNA(INDEX(KP!$Z:$Z,MATCH(($B31&amp;"|"&amp;AB$3),KP!$D:$D,0)),"")</f>
        <v>2</v>
      </c>
      <c r="AC31" s="14" t="str">
        <f>_xlfn.IFNA(INDEX(KP!$Z:$Z,MATCH(($B31&amp;"|"&amp;AC$3),KP!$D:$D,0)),"")</f>
        <v/>
      </c>
      <c r="AD31" s="14" t="str">
        <f>_xlfn.IFNA(INDEX(KP!$Z:$Z,MATCH(($B31&amp;"|"&amp;AD$3),KP!$D:$D,0)),"")</f>
        <v/>
      </c>
      <c r="AE31" s="14" t="str">
        <f>_xlfn.IFNA(INDEX(KP!$Z:$Z,MATCH(($B31&amp;"|"&amp;AE$3),KP!$D:$D,0)),"")</f>
        <v/>
      </c>
      <c r="AF31" s="14" t="str">
        <f>_xlfn.IFNA(INDEX(KP!$Z:$Z,MATCH(($B31&amp;"|"&amp;AF$3),KP!$D:$D,0)),"")</f>
        <v/>
      </c>
      <c r="AG31" s="14">
        <f>SUM(SUMIFS(Cascade!$BB:$BB,Cascade!$B:$B,$B31,Cascade!$C:$C,{"15-24","25-34","35-49","50+"},Cascade!$D:$D,"Female"))</f>
        <v>0</v>
      </c>
      <c r="AH31" s="14">
        <f>SUM(SUMIFS(Cascade!$BB:$BB,Cascade!$B:$B,$B31,Cascade!$C:$C,{"15-24","25-34","35-49","50+"},Cascade!$D:$D,"Male"))</f>
        <v>0</v>
      </c>
      <c r="AI31" s="14">
        <f>_xlfn.IFNA(INDEX(KP!$AD:$AD,MATCH(($B31&amp;"|"&amp;AI$3),KP!$D:$D,0)),"")</f>
        <v>90</v>
      </c>
      <c r="AJ31" s="14">
        <f>_xlfn.IFNA(INDEX(KP!$AD:$AD,MATCH(($B31&amp;"|"&amp;AJ$3),KP!$D:$D,0)),"")</f>
        <v>9</v>
      </c>
      <c r="AK31" s="14" t="str">
        <f>_xlfn.IFNA(INDEX(KP!$AD:$AD,MATCH(($B31&amp;"|"&amp;AK$3),KP!$D:$D,0)),"")</f>
        <v/>
      </c>
      <c r="AL31" s="14" t="str">
        <f>_xlfn.IFNA(INDEX(KP!$AD:$AD,MATCH(($B31&amp;"|"&amp;AL$3),KP!$D:$D,0)),"")</f>
        <v/>
      </c>
      <c r="AM31" s="14" t="str">
        <f>_xlfn.IFNA(INDEX(KP!$AD:$AD,MATCH(($B31&amp;"|"&amp;AM$3),KP!$D:$D,0)),"")</f>
        <v/>
      </c>
      <c r="AN31" s="14">
        <f>SUM(SUMIFS(Cascade!$BE:$BE,Cascade!$B:$B,$B31,Cascade!$C:$C,{"15-24","25-34","35-49","50+"},Cascade!$D:$D,"Female"))</f>
        <v>0</v>
      </c>
      <c r="AO31" s="14">
        <f>SUM(SUMIFS(Cascade!$BE:$BE,Cascade!$B:$B,$B31,Cascade!$C:$C,{"15-24","25-34","35-49","50+"},Cascade!$D:$D,"Male"))</f>
        <v>0</v>
      </c>
      <c r="AP31" s="14">
        <f>_xlfn.IFNA(INDEX(KP!$AF:$AF,MATCH(($B31&amp;"|"&amp;AP$3),KP!$D:$D,0)),"")</f>
        <v>86</v>
      </c>
      <c r="AQ31" s="14">
        <f>_xlfn.IFNA(INDEX(KP!$AF:$AF,MATCH(($B31&amp;"|"&amp;AQ$3),KP!$D:$D,0)),"")</f>
        <v>9</v>
      </c>
      <c r="AR31" s="14" t="str">
        <f>_xlfn.IFNA(INDEX(KP!$AF:$AF,MATCH(($B31&amp;"|"&amp;AR$3),KP!$D:$D,0)),"")</f>
        <v/>
      </c>
      <c r="AS31" s="14" t="str">
        <f>_xlfn.IFNA(INDEX(KP!$AF:$AF,MATCH(($B31&amp;"|"&amp;AS$3),KP!$D:$D,0)),"")</f>
        <v/>
      </c>
      <c r="AT31" s="14" t="str">
        <f>_xlfn.IFNA(INDEX(KP!$AF:$AF,MATCH(($B31&amp;"|"&amp;AT$3),KP!$D:$D,0)),"")</f>
        <v/>
      </c>
      <c r="AU31" s="14">
        <f>SUM(SUMIFS(HTS!$AM:$AM,HTS!$B:$B,$B31,HTS!$C:$C,{"15-24","25-34","35-49","50+"},HTS!$D:$D,"Female"))</f>
        <v>0</v>
      </c>
      <c r="AV31" s="14">
        <f>SUM(SUMIFS(HTS!$AM:$AM,HTS!$B:$B,$B31,HTS!$C:$C,{"15-24","25-34","35-49","50+"},HTS!$D:$D,"Male"))</f>
        <v>0</v>
      </c>
      <c r="AW31" s="14">
        <f>_xlfn.IFNA(INDEX(KP!$AK:$AK,MATCH(($B31&amp;"|"&amp;AW$3),KP!$D:$D,0)),"")</f>
        <v>2</v>
      </c>
      <c r="AX31" s="14" t="str">
        <f>_xlfn.IFNA(INDEX(KP!$AK:$AK,MATCH(($B31&amp;"|"&amp;AX$3),KP!$D:$D,0)),"")</f>
        <v/>
      </c>
      <c r="AY31" s="14" t="str">
        <f>_xlfn.IFNA(INDEX(KP!$AK:$AK,MATCH(($B31&amp;"|"&amp;AY$3),KP!$D:$D,0)),"")</f>
        <v/>
      </c>
      <c r="AZ31" s="14" t="str">
        <f>_xlfn.IFNA(INDEX(KP!$AK:$AK,MATCH(($B31&amp;"|"&amp;AZ$3),KP!$D:$D,0)),"")</f>
        <v/>
      </c>
      <c r="BA31" s="14" t="str">
        <f>_xlfn.IFNA(INDEX(KP!$AK:$AK,MATCH(($B31&amp;"|"&amp;BA$3),KP!$D:$D,0)),"")</f>
        <v/>
      </c>
      <c r="BB31" s="14">
        <f>SUM(SUMIFS(HTS!$AT:$AT,HTS!$B:$B,$B31,HTS!$C:$C,{"15-24","25-34","35-49","50+"},HTS!$D:$D,"Female"))</f>
        <v>0</v>
      </c>
      <c r="BC31" s="14">
        <f>SUM(SUMIFS(HTS!$AT:$AT,HTS!$B:$B,$B31,HTS!$C:$C,{"15-24","25-34","35-49","50+"},HTS!$D:$D,"Male"))</f>
        <v>0</v>
      </c>
      <c r="BD31" s="14" t="str">
        <f>_xlfn.IFNA(INDEX(KP!$AL:$AL,MATCH(($B31&amp;"|"&amp;BD$3),KP!$D:$D,0)),"")</f>
        <v>ENTER YIELD RATE</v>
      </c>
      <c r="BE31" s="14" t="str">
        <f>_xlfn.IFNA(INDEX(KP!$AL:$AL,MATCH(($B31&amp;"|"&amp;BE$3),KP!$D:$D,0)),"")</f>
        <v/>
      </c>
      <c r="BF31" s="14" t="str">
        <f>_xlfn.IFNA(INDEX(KP!$AL:$AL,MATCH(($B31&amp;"|"&amp;BF$3),KP!$D:$D,0)),"")</f>
        <v/>
      </c>
      <c r="BG31" s="14" t="str">
        <f>_xlfn.IFNA(INDEX(KP!$AL:$AL,MATCH(($B31&amp;"|"&amp;BG$3),KP!$D:$D,0)),"")</f>
        <v/>
      </c>
      <c r="BH31" s="14" t="str">
        <f>_xlfn.IFNA(INDEX(KP!$AL:$AL,MATCH(($B31&amp;"|"&amp;BH$3),KP!$D:$D,0)),"")</f>
        <v/>
      </c>
      <c r="BI31" s="14">
        <f>SUM(SUMIFS(HTS!$BA:$BA,HTS!$B:$B,$B31,HTS!$C:$C,{"15-24","25-34","35-49","50+"},HTS!$D:$D,"Female"))</f>
        <v>0</v>
      </c>
      <c r="BJ31" s="14">
        <f>SUM(SUMIFS(HTS!$BA:$BA,HTS!$B:$B,$B31,HTS!$C:$C,{"15-24","25-34","35-49","50+"},HTS!$D:$D,"Male"))</f>
        <v>0</v>
      </c>
      <c r="BK31" s="14">
        <f>_xlfn.IFNA(INDEX(KP!$AN:$AN,MATCH(($B31&amp;"|"&amp;BK$3),KP!$D:$D,0)),"")</f>
        <v>2</v>
      </c>
      <c r="BL31" s="14" t="str">
        <f>_xlfn.IFNA(INDEX(KP!$AN:$AN,MATCH(($B31&amp;"|"&amp;BL$3),KP!$D:$D,0)),"")</f>
        <v/>
      </c>
      <c r="BM31" s="14" t="str">
        <f>_xlfn.IFNA(INDEX(KP!$AN:$AN,MATCH(($B31&amp;"|"&amp;BM$3),KP!$D:$D,0)),"")</f>
        <v/>
      </c>
      <c r="BN31" s="14" t="str">
        <f>_xlfn.IFNA(INDEX(KP!$AN:$AN,MATCH(($B31&amp;"|"&amp;BN$3),KP!$D:$D,0)),"")</f>
        <v/>
      </c>
      <c r="BO31" s="14" t="str">
        <f>_xlfn.IFNA(INDEX(KP!$AN:$AN,MATCH(($B31&amp;"|"&amp;BO$3),KP!$D:$D,0)),"")</f>
        <v/>
      </c>
      <c r="BP31" s="14">
        <f>SUM(SUMIFS(HTS!$AY:$AY,HTS!$B:$B,$B31,HTS!$C:$C,{"15-24","25-34","35-49","50+"},HTS!$D:$D,"Female"))</f>
        <v>45</v>
      </c>
      <c r="BQ31" s="14">
        <f>SUM(SUMIFS(HTS!$AY:$AY,HTS!$B:$B,$B31,HTS!$C:$C,{"15-24","25-34","35-49","50+"},HTS!$D:$D,"Male"))</f>
        <v>72</v>
      </c>
      <c r="BR31" s="14">
        <f>_xlfn.IFNA(INDEX(KP!$AP:$AP,MATCH(($B31&amp;"|"&amp;BR$3),KP!$D:$D,0)),"")</f>
        <v>0</v>
      </c>
      <c r="BS31" s="14">
        <f>_xlfn.IFNA(INDEX(KP!$AP:$AP,MATCH(($B31&amp;"|"&amp;BS$3),KP!$D:$D,0)),"")</f>
        <v>0</v>
      </c>
      <c r="BT31" s="14">
        <f>_xlfn.IFNA(INDEX(KP!$AP:$AP,MATCH(($B31&amp;"|"&amp;BT$3),KP!$D:$D,0)),"")</f>
        <v>0</v>
      </c>
      <c r="BU31" s="14">
        <f>_xlfn.IFNA(INDEX(KP!$AP:$AP,MATCH(($B31&amp;"|"&amp;BU$3),KP!$D:$D,0)),"")</f>
        <v>0</v>
      </c>
      <c r="BV31" s="14">
        <f>_xlfn.IFNA(INDEX(KP!$AP:$AP,MATCH(($B31&amp;"|"&amp;BV$3),KP!$D:$D,0)),"")</f>
        <v>0</v>
      </c>
    </row>
    <row r="32" spans="1:74" x14ac:dyDescent="0.2">
      <c r="A32" s="93" t="str">
        <f>INDEX(Prioritization!$D:$D,MATCH($B32,Prioritization!$A:$A,0))</f>
        <v>1 - Scale-up: Saturation</v>
      </c>
      <c r="B32" s="43" t="s">
        <v>210</v>
      </c>
      <c r="C32" s="14">
        <f>SUM(SUMIFS(PrEP!$O:$O,PrEP!$B:$B,$B32,PrEP!$C:$C,{"15-24","25-34","35-49","50+"},PrEP!$D:$D,"Female"))</f>
        <v>0</v>
      </c>
      <c r="D32" s="14">
        <f>SUM(SUMIFS(PrEP!$O:$O,PrEP!$B:$B,$B32,PrEP!$C:$C,{"15-24","25-34"},PrEP!$D:$D,"Female"))</f>
        <v>0</v>
      </c>
      <c r="E32" s="14">
        <f>SUM(SUMIFS(PrEP!$O:$O,PrEP!$B:$B,$B32,PrEP!$C:$C,{"15-24","25-34","35-49","50+"},PrEP!$D:$D,"Male"))</f>
        <v>0</v>
      </c>
      <c r="F32" s="14">
        <f>_xlfn.IFNA(INDEX(KP!$I:$I,MATCH(($B32&amp;"|"&amp;F$3),KP!$D:$D,0)),"")</f>
        <v>0</v>
      </c>
      <c r="G32" s="14">
        <f>_xlfn.IFNA(INDEX(KP!$I:$I,MATCH(($B32&amp;"|"&amp;G$3),KP!$D:$D,0)),"")</f>
        <v>0</v>
      </c>
      <c r="H32" s="14">
        <f>_xlfn.IFNA(INDEX(KP!$I:$I,MATCH(($B32&amp;"|"&amp;H$3),KP!$D:$D,0)),"")</f>
        <v>0</v>
      </c>
      <c r="I32" s="14">
        <f>_xlfn.IFNA(INDEX(KP!$I:$I,MATCH(($B32&amp;"|"&amp;I$3),KP!$D:$D,0)),"")</f>
        <v>0</v>
      </c>
      <c r="J32" s="14">
        <f>_xlfn.IFNA(INDEX(KP!$I:$I,MATCH(($B32&amp;"|"&amp;J$3),KP!$D:$D,0)),"")</f>
        <v>0</v>
      </c>
      <c r="K32" s="14">
        <f>SUM(SUMIFS(PrEP!$L:$L,PrEP!$B:$B,$B32,PrEP!$C:$C,{"15-24","25-34","35-49","50+"},PrEP!$D:$D,"Female"))</f>
        <v>1</v>
      </c>
      <c r="L32" s="14">
        <f>SUM(SUMIFS(PrEP!$L:$L,PrEP!$B:$B,$B32,PrEP!$C:$C,{"15-24","25-34"},PrEP!$D:$D,"Female"))</f>
        <v>0</v>
      </c>
      <c r="M32" s="14">
        <f>SUM(SUMIFS(PrEP!$L:$L,PrEP!$B:$B,$B32,PrEP!$C:$C,{"15-24","25-34","35-49","50+"},PrEP!$D:$D,"Male"))</f>
        <v>9</v>
      </c>
      <c r="N32" s="14">
        <f>_xlfn.IFNA(INDEX(KP!$K:$K,MATCH(($B32&amp;"|"&amp;N$3),KP!$D:$D,0)),"")</f>
        <v>0</v>
      </c>
      <c r="O32" s="14">
        <f>_xlfn.IFNA(INDEX(KP!$K:$K,MATCH(($B32&amp;"|"&amp;O$3),KP!$D:$D,0)),"")</f>
        <v>0</v>
      </c>
      <c r="P32" s="14">
        <f>_xlfn.IFNA(INDEX(KP!$K:$K,MATCH(($B32&amp;"|"&amp;P$3),KP!$D:$D,0)),"")</f>
        <v>0</v>
      </c>
      <c r="Q32" s="14">
        <f>_xlfn.IFNA(INDEX(KP!$K:$K,MATCH(($B32&amp;"|"&amp;Q$3),KP!$D:$D,0)),"")</f>
        <v>0</v>
      </c>
      <c r="R32" s="14">
        <f>_xlfn.IFNA(INDEX(KP!$K:$K,MATCH(($B32&amp;"|"&amp;R$3),KP!$D:$D,0)),"")</f>
        <v>0</v>
      </c>
      <c r="S32" s="14">
        <f>SUM(SUMIFS(Cascade!$AP:$AP,Cascade!$B:$B,$B32,Cascade!$C:$C,{"15-24","25-34","35-49","50+"},Cascade!$D:$D,"Female"))</f>
        <v>0</v>
      </c>
      <c r="T32" s="14">
        <f>SUM(SUMIFS(Cascade!$AP:$AP,Cascade!$B:$B,$B32,Cascade!$C:$C,{"15-24","25-34","35-49","50+"},Cascade!$D:$D,"Male"))</f>
        <v>0</v>
      </c>
      <c r="U32" s="14">
        <f>_xlfn.IFNA(INDEX(KP!$Q:$Q,MATCH(($B32&amp;"|"&amp;U$3),KP!$D:$D,0)),"")</f>
        <v>47</v>
      </c>
      <c r="V32" s="14">
        <f>_xlfn.IFNA(INDEX(KP!$Q:$Q,MATCH(($B32&amp;"|"&amp;V$3),KP!$D:$D,0)),"")</f>
        <v>24</v>
      </c>
      <c r="W32" s="14">
        <f>_xlfn.IFNA(INDEX(KP!$Q:$Q,MATCH(($B32&amp;"|"&amp;W$3),KP!$D:$D,0)),"")</f>
        <v>79</v>
      </c>
      <c r="X32" s="14" t="str">
        <f>_xlfn.IFNA(INDEX(KP!$Q:$Q,MATCH(($B32&amp;"|"&amp;X$3),KP!$D:$D,0)),"")</f>
        <v/>
      </c>
      <c r="Y32" s="14">
        <f>_xlfn.IFNA(INDEX(KP!$Q:$Q,MATCH(($B32&amp;"|"&amp;Y$3),KP!$D:$D,0)),"")</f>
        <v>6</v>
      </c>
      <c r="Z32" s="14">
        <f>SUM(SUMIFS(Cascade!$AX:$AX,Cascade!$B:$B,$B32,Cascade!$C:$C,{"15-24","25-34","35-49","50+"},Cascade!$D:$D,"Female"))</f>
        <v>0</v>
      </c>
      <c r="AA32" s="14">
        <f>SUM(SUMIFS(Cascade!$AX:$AX,Cascade!$B:$B,$B32,Cascade!$C:$C,{"15-24","25-34","35-49","50+"},Cascade!$D:$D,"Male"))</f>
        <v>0</v>
      </c>
      <c r="AB32" s="14">
        <f>_xlfn.IFNA(INDEX(KP!$Z:$Z,MATCH(($B32&amp;"|"&amp;AB$3),KP!$D:$D,0)),"")</f>
        <v>1</v>
      </c>
      <c r="AC32" s="14" t="str">
        <f>_xlfn.IFNA(INDEX(KP!$Z:$Z,MATCH(($B32&amp;"|"&amp;AC$3),KP!$D:$D,0)),"")</f>
        <v/>
      </c>
      <c r="AD32" s="14">
        <f>_xlfn.IFNA(INDEX(KP!$Z:$Z,MATCH(($B32&amp;"|"&amp;AD$3),KP!$D:$D,0)),"")</f>
        <v>2</v>
      </c>
      <c r="AE32" s="14" t="str">
        <f>_xlfn.IFNA(INDEX(KP!$Z:$Z,MATCH(($B32&amp;"|"&amp;AE$3),KP!$D:$D,0)),"")</f>
        <v/>
      </c>
      <c r="AF32" s="14" t="str">
        <f>_xlfn.IFNA(INDEX(KP!$Z:$Z,MATCH(($B32&amp;"|"&amp;AF$3),KP!$D:$D,0)),"")</f>
        <v/>
      </c>
      <c r="AG32" s="14">
        <f>SUM(SUMIFS(Cascade!$BB:$BB,Cascade!$B:$B,$B32,Cascade!$C:$C,{"15-24","25-34","35-49","50+"},Cascade!$D:$D,"Female"))</f>
        <v>0</v>
      </c>
      <c r="AH32" s="14">
        <f>SUM(SUMIFS(Cascade!$BB:$BB,Cascade!$B:$B,$B32,Cascade!$C:$C,{"15-24","25-34","35-49","50+"},Cascade!$D:$D,"Male"))</f>
        <v>0</v>
      </c>
      <c r="AI32" s="14">
        <f>_xlfn.IFNA(INDEX(KP!$AD:$AD,MATCH(($B32&amp;"|"&amp;AI$3),KP!$D:$D,0)),"")</f>
        <v>46</v>
      </c>
      <c r="AJ32" s="14">
        <f>_xlfn.IFNA(INDEX(KP!$AD:$AD,MATCH(($B32&amp;"|"&amp;AJ$3),KP!$D:$D,0)),"")</f>
        <v>23</v>
      </c>
      <c r="AK32" s="14">
        <f>_xlfn.IFNA(INDEX(KP!$AD:$AD,MATCH(($B32&amp;"|"&amp;AK$3),KP!$D:$D,0)),"")</f>
        <v>76</v>
      </c>
      <c r="AL32" s="14" t="str">
        <f>_xlfn.IFNA(INDEX(KP!$AD:$AD,MATCH(($B32&amp;"|"&amp;AL$3),KP!$D:$D,0)),"")</f>
        <v/>
      </c>
      <c r="AM32" s="14">
        <f>_xlfn.IFNA(INDEX(KP!$AD:$AD,MATCH(($B32&amp;"|"&amp;AM$3),KP!$D:$D,0)),"")</f>
        <v>6</v>
      </c>
      <c r="AN32" s="14">
        <f>SUM(SUMIFS(Cascade!$BE:$BE,Cascade!$B:$B,$B32,Cascade!$C:$C,{"15-24","25-34","35-49","50+"},Cascade!$D:$D,"Female"))</f>
        <v>0</v>
      </c>
      <c r="AO32" s="14">
        <f>SUM(SUMIFS(Cascade!$BE:$BE,Cascade!$B:$B,$B32,Cascade!$C:$C,{"15-24","25-34","35-49","50+"},Cascade!$D:$D,"Male"))</f>
        <v>0</v>
      </c>
      <c r="AP32" s="14">
        <f>_xlfn.IFNA(INDEX(KP!$AF:$AF,MATCH(($B32&amp;"|"&amp;AP$3),KP!$D:$D,0)),"")</f>
        <v>44</v>
      </c>
      <c r="AQ32" s="14">
        <f>_xlfn.IFNA(INDEX(KP!$AF:$AF,MATCH(($B32&amp;"|"&amp;AQ$3),KP!$D:$D,0)),"")</f>
        <v>22</v>
      </c>
      <c r="AR32" s="14">
        <f>_xlfn.IFNA(INDEX(KP!$AF:$AF,MATCH(($B32&amp;"|"&amp;AR$3),KP!$D:$D,0)),"")</f>
        <v>72</v>
      </c>
      <c r="AS32" s="14" t="str">
        <f>_xlfn.IFNA(INDEX(KP!$AF:$AF,MATCH(($B32&amp;"|"&amp;AS$3),KP!$D:$D,0)),"")</f>
        <v/>
      </c>
      <c r="AT32" s="14">
        <f>_xlfn.IFNA(INDEX(KP!$AF:$AF,MATCH(($B32&amp;"|"&amp;AT$3),KP!$D:$D,0)),"")</f>
        <v>6</v>
      </c>
      <c r="AU32" s="14">
        <f>SUM(SUMIFS(HTS!$AM:$AM,HTS!$B:$B,$B32,HTS!$C:$C,{"15-24","25-34","35-49","50+"},HTS!$D:$D,"Female"))</f>
        <v>0</v>
      </c>
      <c r="AV32" s="14">
        <f>SUM(SUMIFS(HTS!$AM:$AM,HTS!$B:$B,$B32,HTS!$C:$C,{"15-24","25-34","35-49","50+"},HTS!$D:$D,"Male"))</f>
        <v>0</v>
      </c>
      <c r="AW32" s="14">
        <f>_xlfn.IFNA(INDEX(KP!$AK:$AK,MATCH(($B32&amp;"|"&amp;AW$3),KP!$D:$D,0)),"")</f>
        <v>1</v>
      </c>
      <c r="AX32" s="14" t="str">
        <f>_xlfn.IFNA(INDEX(KP!$AK:$AK,MATCH(($B32&amp;"|"&amp;AX$3),KP!$D:$D,0)),"")</f>
        <v/>
      </c>
      <c r="AY32" s="14">
        <f>_xlfn.IFNA(INDEX(KP!$AK:$AK,MATCH(($B32&amp;"|"&amp;AY$3),KP!$D:$D,0)),"")</f>
        <v>2</v>
      </c>
      <c r="AZ32" s="14" t="str">
        <f>_xlfn.IFNA(INDEX(KP!$AK:$AK,MATCH(($B32&amp;"|"&amp;AZ$3),KP!$D:$D,0)),"")</f>
        <v/>
      </c>
      <c r="BA32" s="14" t="str">
        <f>_xlfn.IFNA(INDEX(KP!$AK:$AK,MATCH(($B32&amp;"|"&amp;BA$3),KP!$D:$D,0)),"")</f>
        <v/>
      </c>
      <c r="BB32" s="14">
        <f>SUM(SUMIFS(HTS!$AT:$AT,HTS!$B:$B,$B32,HTS!$C:$C,{"15-24","25-34","35-49","50+"},HTS!$D:$D,"Female"))</f>
        <v>0</v>
      </c>
      <c r="BC32" s="14">
        <f>SUM(SUMIFS(HTS!$AT:$AT,HTS!$B:$B,$B32,HTS!$C:$C,{"15-24","25-34","35-49","50+"},HTS!$D:$D,"Male"))</f>
        <v>0</v>
      </c>
      <c r="BD32" s="14" t="str">
        <f>_xlfn.IFNA(INDEX(KP!$AL:$AL,MATCH(($B32&amp;"|"&amp;BD$3),KP!$D:$D,0)),"")</f>
        <v>ENTER YIELD RATE</v>
      </c>
      <c r="BE32" s="14" t="str">
        <f>_xlfn.IFNA(INDEX(KP!$AL:$AL,MATCH(($B32&amp;"|"&amp;BE$3),KP!$D:$D,0)),"")</f>
        <v/>
      </c>
      <c r="BF32" s="14" t="str">
        <f>_xlfn.IFNA(INDEX(KP!$AL:$AL,MATCH(($B32&amp;"|"&amp;BF$3),KP!$D:$D,0)),"")</f>
        <v>ENTER YIELD RATE</v>
      </c>
      <c r="BG32" s="14" t="str">
        <f>_xlfn.IFNA(INDEX(KP!$AL:$AL,MATCH(($B32&amp;"|"&amp;BG$3),KP!$D:$D,0)),"")</f>
        <v/>
      </c>
      <c r="BH32" s="14" t="str">
        <f>_xlfn.IFNA(INDEX(KP!$AL:$AL,MATCH(($B32&amp;"|"&amp;BH$3),KP!$D:$D,0)),"")</f>
        <v/>
      </c>
      <c r="BI32" s="14">
        <f>SUM(SUMIFS(HTS!$BA:$BA,HTS!$B:$B,$B32,HTS!$C:$C,{"15-24","25-34","35-49","50+"},HTS!$D:$D,"Female"))</f>
        <v>0</v>
      </c>
      <c r="BJ32" s="14">
        <f>SUM(SUMIFS(HTS!$BA:$BA,HTS!$B:$B,$B32,HTS!$C:$C,{"15-24","25-34","35-49","50+"},HTS!$D:$D,"Male"))</f>
        <v>0</v>
      </c>
      <c r="BK32" s="14">
        <f>_xlfn.IFNA(INDEX(KP!$AN:$AN,MATCH(($B32&amp;"|"&amp;BK$3),KP!$D:$D,0)),"")</f>
        <v>1</v>
      </c>
      <c r="BL32" s="14" t="str">
        <f>_xlfn.IFNA(INDEX(KP!$AN:$AN,MATCH(($B32&amp;"|"&amp;BL$3),KP!$D:$D,0)),"")</f>
        <v/>
      </c>
      <c r="BM32" s="14">
        <f>_xlfn.IFNA(INDEX(KP!$AN:$AN,MATCH(($B32&amp;"|"&amp;BM$3),KP!$D:$D,0)),"")</f>
        <v>2</v>
      </c>
      <c r="BN32" s="14" t="str">
        <f>_xlfn.IFNA(INDEX(KP!$AN:$AN,MATCH(($B32&amp;"|"&amp;BN$3),KP!$D:$D,0)),"")</f>
        <v/>
      </c>
      <c r="BO32" s="14" t="str">
        <f>_xlfn.IFNA(INDEX(KP!$AN:$AN,MATCH(($B32&amp;"|"&amp;BO$3),KP!$D:$D,0)),"")</f>
        <v/>
      </c>
      <c r="BP32" s="14">
        <f>SUM(SUMIFS(HTS!$AY:$AY,HTS!$B:$B,$B32,HTS!$C:$C,{"15-24","25-34","35-49","50+"},HTS!$D:$D,"Female"))</f>
        <v>945</v>
      </c>
      <c r="BQ32" s="14">
        <f>SUM(SUMIFS(HTS!$AY:$AY,HTS!$B:$B,$B32,HTS!$C:$C,{"15-24","25-34","35-49","50+"},HTS!$D:$D,"Male"))</f>
        <v>513</v>
      </c>
      <c r="BR32" s="14">
        <f>_xlfn.IFNA(INDEX(KP!$AP:$AP,MATCH(($B32&amp;"|"&amp;BR$3),KP!$D:$D,0)),"")</f>
        <v>0</v>
      </c>
      <c r="BS32" s="14">
        <f>_xlfn.IFNA(INDEX(KP!$AP:$AP,MATCH(($B32&amp;"|"&amp;BS$3),KP!$D:$D,0)),"")</f>
        <v>0</v>
      </c>
      <c r="BT32" s="14">
        <f>_xlfn.IFNA(INDEX(KP!$AP:$AP,MATCH(($B32&amp;"|"&amp;BT$3),KP!$D:$D,0)),"")</f>
        <v>0</v>
      </c>
      <c r="BU32" s="14">
        <f>_xlfn.IFNA(INDEX(KP!$AP:$AP,MATCH(($B32&amp;"|"&amp;BU$3),KP!$D:$D,0)),"")</f>
        <v>0</v>
      </c>
      <c r="BV32" s="14">
        <f>_xlfn.IFNA(INDEX(KP!$AP:$AP,MATCH(($B32&amp;"|"&amp;BV$3),KP!$D:$D,0)),"")</f>
        <v>0</v>
      </c>
    </row>
    <row r="33" spans="1:74" x14ac:dyDescent="0.2">
      <c r="A33" s="93" t="str">
        <f>INDEX(Prioritization!$D:$D,MATCH($B33,Prioritization!$A:$A,0))</f>
        <v>1 - Scale-up: Saturation</v>
      </c>
      <c r="B33" s="43" t="s">
        <v>211</v>
      </c>
      <c r="C33" s="14">
        <f>SUM(SUMIFS(PrEP!$O:$O,PrEP!$B:$B,$B33,PrEP!$C:$C,{"15-24","25-34","35-49","50+"},PrEP!$D:$D,"Female"))</f>
        <v>0</v>
      </c>
      <c r="D33" s="14">
        <f>SUM(SUMIFS(PrEP!$O:$O,PrEP!$B:$B,$B33,PrEP!$C:$C,{"15-24","25-34"},PrEP!$D:$D,"Female"))</f>
        <v>0</v>
      </c>
      <c r="E33" s="14">
        <f>SUM(SUMIFS(PrEP!$O:$O,PrEP!$B:$B,$B33,PrEP!$C:$C,{"15-24","25-34","35-49","50+"},PrEP!$D:$D,"Male"))</f>
        <v>0</v>
      </c>
      <c r="F33" s="14">
        <f>_xlfn.IFNA(INDEX(KP!$I:$I,MATCH(($B33&amp;"|"&amp;F$3),KP!$D:$D,0)),"")</f>
        <v>0</v>
      </c>
      <c r="G33" s="14">
        <f>_xlfn.IFNA(INDEX(KP!$I:$I,MATCH(($B33&amp;"|"&amp;G$3),KP!$D:$D,0)),"")</f>
        <v>0</v>
      </c>
      <c r="H33" s="14">
        <f>_xlfn.IFNA(INDEX(KP!$I:$I,MATCH(($B33&amp;"|"&amp;H$3),KP!$D:$D,0)),"")</f>
        <v>0</v>
      </c>
      <c r="I33" s="14">
        <f>_xlfn.IFNA(INDEX(KP!$I:$I,MATCH(($B33&amp;"|"&amp;I$3),KP!$D:$D,0)),"")</f>
        <v>0</v>
      </c>
      <c r="J33" s="14">
        <f>_xlfn.IFNA(INDEX(KP!$I:$I,MATCH(($B33&amp;"|"&amp;J$3),KP!$D:$D,0)),"")</f>
        <v>0</v>
      </c>
      <c r="K33" s="14">
        <f>SUM(SUMIFS(PrEP!$L:$L,PrEP!$B:$B,$B33,PrEP!$C:$C,{"15-24","25-34","35-49","50+"},PrEP!$D:$D,"Female"))</f>
        <v>9</v>
      </c>
      <c r="L33" s="14">
        <f>SUM(SUMIFS(PrEP!$L:$L,PrEP!$B:$B,$B33,PrEP!$C:$C,{"15-24","25-34"},PrEP!$D:$D,"Female"))</f>
        <v>0</v>
      </c>
      <c r="M33" s="14">
        <f>SUM(SUMIFS(PrEP!$L:$L,PrEP!$B:$B,$B33,PrEP!$C:$C,{"15-24","25-34","35-49","50+"},PrEP!$D:$D,"Male"))</f>
        <v>3</v>
      </c>
      <c r="N33" s="14">
        <f>_xlfn.IFNA(INDEX(KP!$K:$K,MATCH(($B33&amp;"|"&amp;N$3),KP!$D:$D,0)),"")</f>
        <v>0</v>
      </c>
      <c r="O33" s="14">
        <f>_xlfn.IFNA(INDEX(KP!$K:$K,MATCH(($B33&amp;"|"&amp;O$3),KP!$D:$D,0)),"")</f>
        <v>0</v>
      </c>
      <c r="P33" s="14">
        <f>_xlfn.IFNA(INDEX(KP!$K:$K,MATCH(($B33&amp;"|"&amp;P$3),KP!$D:$D,0)),"")</f>
        <v>0</v>
      </c>
      <c r="Q33" s="14">
        <f>_xlfn.IFNA(INDEX(KP!$K:$K,MATCH(($B33&amp;"|"&amp;Q$3),KP!$D:$D,0)),"")</f>
        <v>0</v>
      </c>
      <c r="R33" s="14">
        <f>_xlfn.IFNA(INDEX(KP!$K:$K,MATCH(($B33&amp;"|"&amp;R$3),KP!$D:$D,0)),"")</f>
        <v>0</v>
      </c>
      <c r="S33" s="14">
        <f>SUM(SUMIFS(Cascade!$AP:$AP,Cascade!$B:$B,$B33,Cascade!$C:$C,{"15-24","25-34","35-49","50+"},Cascade!$D:$D,"Female"))</f>
        <v>0</v>
      </c>
      <c r="T33" s="14">
        <f>SUM(SUMIFS(Cascade!$AP:$AP,Cascade!$B:$B,$B33,Cascade!$C:$C,{"15-24","25-34","35-49","50+"},Cascade!$D:$D,"Male"))</f>
        <v>0</v>
      </c>
      <c r="U33" s="14">
        <f>_xlfn.IFNA(INDEX(KP!$Q:$Q,MATCH(($B33&amp;"|"&amp;U$3),KP!$D:$D,0)),"")</f>
        <v>86</v>
      </c>
      <c r="V33" s="14">
        <f>_xlfn.IFNA(INDEX(KP!$Q:$Q,MATCH(($B33&amp;"|"&amp;V$3),KP!$D:$D,0)),"")</f>
        <v>53</v>
      </c>
      <c r="W33" s="14" t="str">
        <f>_xlfn.IFNA(INDEX(KP!$Q:$Q,MATCH(($B33&amp;"|"&amp;W$3),KP!$D:$D,0)),"")</f>
        <v/>
      </c>
      <c r="X33" s="14" t="str">
        <f>_xlfn.IFNA(INDEX(KP!$Q:$Q,MATCH(($B33&amp;"|"&amp;X$3),KP!$D:$D,0)),"")</f>
        <v/>
      </c>
      <c r="Y33" s="14" t="str">
        <f>_xlfn.IFNA(INDEX(KP!$Q:$Q,MATCH(($B33&amp;"|"&amp;Y$3),KP!$D:$D,0)),"")</f>
        <v/>
      </c>
      <c r="Z33" s="14">
        <f>SUM(SUMIFS(Cascade!$AX:$AX,Cascade!$B:$B,$B33,Cascade!$C:$C,{"15-24","25-34","35-49","50+"},Cascade!$D:$D,"Female"))</f>
        <v>0</v>
      </c>
      <c r="AA33" s="14">
        <f>SUM(SUMIFS(Cascade!$AX:$AX,Cascade!$B:$B,$B33,Cascade!$C:$C,{"15-24","25-34","35-49","50+"},Cascade!$D:$D,"Male"))</f>
        <v>0</v>
      </c>
      <c r="AB33" s="14">
        <f>_xlfn.IFNA(INDEX(KP!$Z:$Z,MATCH(($B33&amp;"|"&amp;AB$3),KP!$D:$D,0)),"")</f>
        <v>2</v>
      </c>
      <c r="AC33" s="14">
        <f>_xlfn.IFNA(INDEX(KP!$Z:$Z,MATCH(($B33&amp;"|"&amp;AC$3),KP!$D:$D,0)),"")</f>
        <v>1</v>
      </c>
      <c r="AD33" s="14" t="str">
        <f>_xlfn.IFNA(INDEX(KP!$Z:$Z,MATCH(($B33&amp;"|"&amp;AD$3),KP!$D:$D,0)),"")</f>
        <v/>
      </c>
      <c r="AE33" s="14" t="str">
        <f>_xlfn.IFNA(INDEX(KP!$Z:$Z,MATCH(($B33&amp;"|"&amp;AE$3),KP!$D:$D,0)),"")</f>
        <v/>
      </c>
      <c r="AF33" s="14" t="str">
        <f>_xlfn.IFNA(INDEX(KP!$Z:$Z,MATCH(($B33&amp;"|"&amp;AF$3),KP!$D:$D,0)),"")</f>
        <v/>
      </c>
      <c r="AG33" s="14">
        <f>SUM(SUMIFS(Cascade!$BB:$BB,Cascade!$B:$B,$B33,Cascade!$C:$C,{"15-24","25-34","35-49","50+"},Cascade!$D:$D,"Female"))</f>
        <v>0</v>
      </c>
      <c r="AH33" s="14">
        <f>SUM(SUMIFS(Cascade!$BB:$BB,Cascade!$B:$B,$B33,Cascade!$C:$C,{"15-24","25-34","35-49","50+"},Cascade!$D:$D,"Male"))</f>
        <v>0</v>
      </c>
      <c r="AI33" s="14">
        <f>_xlfn.IFNA(INDEX(KP!$AD:$AD,MATCH(($B33&amp;"|"&amp;AI$3),KP!$D:$D,0)),"")</f>
        <v>83</v>
      </c>
      <c r="AJ33" s="14">
        <f>_xlfn.IFNA(INDEX(KP!$AD:$AD,MATCH(($B33&amp;"|"&amp;AJ$3),KP!$D:$D,0)),"")</f>
        <v>51</v>
      </c>
      <c r="AK33" s="14" t="str">
        <f>_xlfn.IFNA(INDEX(KP!$AD:$AD,MATCH(($B33&amp;"|"&amp;AK$3),KP!$D:$D,0)),"")</f>
        <v/>
      </c>
      <c r="AL33" s="14" t="str">
        <f>_xlfn.IFNA(INDEX(KP!$AD:$AD,MATCH(($B33&amp;"|"&amp;AL$3),KP!$D:$D,0)),"")</f>
        <v/>
      </c>
      <c r="AM33" s="14" t="str">
        <f>_xlfn.IFNA(INDEX(KP!$AD:$AD,MATCH(($B33&amp;"|"&amp;AM$3),KP!$D:$D,0)),"")</f>
        <v/>
      </c>
      <c r="AN33" s="14">
        <f>SUM(SUMIFS(Cascade!$BE:$BE,Cascade!$B:$B,$B33,Cascade!$C:$C,{"15-24","25-34","35-49","50+"},Cascade!$D:$D,"Female"))</f>
        <v>0</v>
      </c>
      <c r="AO33" s="14">
        <f>SUM(SUMIFS(Cascade!$BE:$BE,Cascade!$B:$B,$B33,Cascade!$C:$C,{"15-24","25-34","35-49","50+"},Cascade!$D:$D,"Male"))</f>
        <v>0</v>
      </c>
      <c r="AP33" s="14">
        <f>_xlfn.IFNA(INDEX(KP!$AF:$AF,MATCH(($B33&amp;"|"&amp;AP$3),KP!$D:$D,0)),"")</f>
        <v>79</v>
      </c>
      <c r="AQ33" s="14">
        <f>_xlfn.IFNA(INDEX(KP!$AF:$AF,MATCH(($B33&amp;"|"&amp;AQ$3),KP!$D:$D,0)),"")</f>
        <v>48</v>
      </c>
      <c r="AR33" s="14" t="str">
        <f>_xlfn.IFNA(INDEX(KP!$AF:$AF,MATCH(($B33&amp;"|"&amp;AR$3),KP!$D:$D,0)),"")</f>
        <v/>
      </c>
      <c r="AS33" s="14" t="str">
        <f>_xlfn.IFNA(INDEX(KP!$AF:$AF,MATCH(($B33&amp;"|"&amp;AS$3),KP!$D:$D,0)),"")</f>
        <v/>
      </c>
      <c r="AT33" s="14" t="str">
        <f>_xlfn.IFNA(INDEX(KP!$AF:$AF,MATCH(($B33&amp;"|"&amp;AT$3),KP!$D:$D,0)),"")</f>
        <v/>
      </c>
      <c r="AU33" s="14">
        <f>SUM(SUMIFS(HTS!$AM:$AM,HTS!$B:$B,$B33,HTS!$C:$C,{"15-24","25-34","35-49","50+"},HTS!$D:$D,"Female"))</f>
        <v>0</v>
      </c>
      <c r="AV33" s="14">
        <f>SUM(SUMIFS(HTS!$AM:$AM,HTS!$B:$B,$B33,HTS!$C:$C,{"15-24","25-34","35-49","50+"},HTS!$D:$D,"Male"))</f>
        <v>0</v>
      </c>
      <c r="AW33" s="14">
        <f>_xlfn.IFNA(INDEX(KP!$AK:$AK,MATCH(($B33&amp;"|"&amp;AW$3),KP!$D:$D,0)),"")</f>
        <v>2</v>
      </c>
      <c r="AX33" s="14">
        <f>_xlfn.IFNA(INDEX(KP!$AK:$AK,MATCH(($B33&amp;"|"&amp;AX$3),KP!$D:$D,0)),"")</f>
        <v>1</v>
      </c>
      <c r="AY33" s="14" t="str">
        <f>_xlfn.IFNA(INDEX(KP!$AK:$AK,MATCH(($B33&amp;"|"&amp;AY$3),KP!$D:$D,0)),"")</f>
        <v/>
      </c>
      <c r="AZ33" s="14" t="str">
        <f>_xlfn.IFNA(INDEX(KP!$AK:$AK,MATCH(($B33&amp;"|"&amp;AZ$3),KP!$D:$D,0)),"")</f>
        <v/>
      </c>
      <c r="BA33" s="14" t="str">
        <f>_xlfn.IFNA(INDEX(KP!$AK:$AK,MATCH(($B33&amp;"|"&amp;BA$3),KP!$D:$D,0)),"")</f>
        <v/>
      </c>
      <c r="BB33" s="14">
        <f>SUM(SUMIFS(HTS!$AT:$AT,HTS!$B:$B,$B33,HTS!$C:$C,{"15-24","25-34","35-49","50+"},HTS!$D:$D,"Female"))</f>
        <v>0</v>
      </c>
      <c r="BC33" s="14">
        <f>SUM(SUMIFS(HTS!$AT:$AT,HTS!$B:$B,$B33,HTS!$C:$C,{"15-24","25-34","35-49","50+"},HTS!$D:$D,"Male"))</f>
        <v>0</v>
      </c>
      <c r="BD33" s="14" t="str">
        <f>_xlfn.IFNA(INDEX(KP!$AL:$AL,MATCH(($B33&amp;"|"&amp;BD$3),KP!$D:$D,0)),"")</f>
        <v>ENTER YIELD RATE</v>
      </c>
      <c r="BE33" s="14" t="str">
        <f>_xlfn.IFNA(INDEX(KP!$AL:$AL,MATCH(($B33&amp;"|"&amp;BE$3),KP!$D:$D,0)),"")</f>
        <v>ENTER YIELD RATE</v>
      </c>
      <c r="BF33" s="14" t="str">
        <f>_xlfn.IFNA(INDEX(KP!$AL:$AL,MATCH(($B33&amp;"|"&amp;BF$3),KP!$D:$D,0)),"")</f>
        <v/>
      </c>
      <c r="BG33" s="14" t="str">
        <f>_xlfn.IFNA(INDEX(KP!$AL:$AL,MATCH(($B33&amp;"|"&amp;BG$3),KP!$D:$D,0)),"")</f>
        <v/>
      </c>
      <c r="BH33" s="14" t="str">
        <f>_xlfn.IFNA(INDEX(KP!$AL:$AL,MATCH(($B33&amp;"|"&amp;BH$3),KP!$D:$D,0)),"")</f>
        <v/>
      </c>
      <c r="BI33" s="14">
        <f>SUM(SUMIFS(HTS!$BA:$BA,HTS!$B:$B,$B33,HTS!$C:$C,{"15-24","25-34","35-49","50+"},HTS!$D:$D,"Female"))</f>
        <v>0</v>
      </c>
      <c r="BJ33" s="14">
        <f>SUM(SUMIFS(HTS!$BA:$BA,HTS!$B:$B,$B33,HTS!$C:$C,{"15-24","25-34","35-49","50+"},HTS!$D:$D,"Male"))</f>
        <v>0</v>
      </c>
      <c r="BK33" s="14">
        <f>_xlfn.IFNA(INDEX(KP!$AN:$AN,MATCH(($B33&amp;"|"&amp;BK$3),KP!$D:$D,0)),"")</f>
        <v>2</v>
      </c>
      <c r="BL33" s="14">
        <f>_xlfn.IFNA(INDEX(KP!$AN:$AN,MATCH(($B33&amp;"|"&amp;BL$3),KP!$D:$D,0)),"")</f>
        <v>1</v>
      </c>
      <c r="BM33" s="14" t="str">
        <f>_xlfn.IFNA(INDEX(KP!$AN:$AN,MATCH(($B33&amp;"|"&amp;BM$3),KP!$D:$D,0)),"")</f>
        <v/>
      </c>
      <c r="BN33" s="14" t="str">
        <f>_xlfn.IFNA(INDEX(KP!$AN:$AN,MATCH(($B33&amp;"|"&amp;BN$3),KP!$D:$D,0)),"")</f>
        <v/>
      </c>
      <c r="BO33" s="14" t="str">
        <f>_xlfn.IFNA(INDEX(KP!$AN:$AN,MATCH(($B33&amp;"|"&amp;BO$3),KP!$D:$D,0)),"")</f>
        <v/>
      </c>
      <c r="BP33" s="14">
        <f>SUM(SUMIFS(HTS!$AY:$AY,HTS!$B:$B,$B33,HTS!$C:$C,{"15-24","25-34","35-49","50+"},HTS!$D:$D,"Female"))</f>
        <v>458</v>
      </c>
      <c r="BQ33" s="14">
        <f>SUM(SUMIFS(HTS!$AY:$AY,HTS!$B:$B,$B33,HTS!$C:$C,{"15-24","25-34","35-49","50+"},HTS!$D:$D,"Male"))</f>
        <v>890</v>
      </c>
      <c r="BR33" s="14">
        <f>_xlfn.IFNA(INDEX(KP!$AP:$AP,MATCH(($B33&amp;"|"&amp;BR$3),KP!$D:$D,0)),"")</f>
        <v>0</v>
      </c>
      <c r="BS33" s="14">
        <f>_xlfn.IFNA(INDEX(KP!$AP:$AP,MATCH(($B33&amp;"|"&amp;BS$3),KP!$D:$D,0)),"")</f>
        <v>0</v>
      </c>
      <c r="BT33" s="14">
        <f>_xlfn.IFNA(INDEX(KP!$AP:$AP,MATCH(($B33&amp;"|"&amp;BT$3),KP!$D:$D,0)),"")</f>
        <v>0</v>
      </c>
      <c r="BU33" s="14">
        <f>_xlfn.IFNA(INDEX(KP!$AP:$AP,MATCH(($B33&amp;"|"&amp;BU$3),KP!$D:$D,0)),"")</f>
        <v>0</v>
      </c>
      <c r="BV33" s="14">
        <f>_xlfn.IFNA(INDEX(KP!$AP:$AP,MATCH(($B33&amp;"|"&amp;BV$3),KP!$D:$D,0)),"")</f>
        <v>0</v>
      </c>
    </row>
    <row r="34" spans="1:74" x14ac:dyDescent="0.2">
      <c r="A34" s="93" t="str">
        <f>INDEX(Prioritization!$D:$D,MATCH($B34,Prioritization!$A:$A,0))</f>
        <v>1 - Scale-up: Saturation</v>
      </c>
      <c r="B34" s="43" t="s">
        <v>212</v>
      </c>
      <c r="C34" s="14">
        <f>SUM(SUMIFS(PrEP!$O:$O,PrEP!$B:$B,$B34,PrEP!$C:$C,{"15-24","25-34","35-49","50+"},PrEP!$D:$D,"Female"))</f>
        <v>0</v>
      </c>
      <c r="D34" s="14">
        <f>SUM(SUMIFS(PrEP!$O:$O,PrEP!$B:$B,$B34,PrEP!$C:$C,{"15-24","25-34"},PrEP!$D:$D,"Female"))</f>
        <v>0</v>
      </c>
      <c r="E34" s="14">
        <f>SUM(SUMIFS(PrEP!$O:$O,PrEP!$B:$B,$B34,PrEP!$C:$C,{"15-24","25-34","35-49","50+"},PrEP!$D:$D,"Male"))</f>
        <v>0</v>
      </c>
      <c r="F34" s="14">
        <f>_xlfn.IFNA(INDEX(KP!$I:$I,MATCH(($B34&amp;"|"&amp;F$3),KP!$D:$D,0)),"")</f>
        <v>0</v>
      </c>
      <c r="G34" s="14">
        <f>_xlfn.IFNA(INDEX(KP!$I:$I,MATCH(($B34&amp;"|"&amp;G$3),KP!$D:$D,0)),"")</f>
        <v>0</v>
      </c>
      <c r="H34" s="14">
        <f>_xlfn.IFNA(INDEX(KP!$I:$I,MATCH(($B34&amp;"|"&amp;H$3),KP!$D:$D,0)),"")</f>
        <v>0</v>
      </c>
      <c r="I34" s="14">
        <f>_xlfn.IFNA(INDEX(KP!$I:$I,MATCH(($B34&amp;"|"&amp;I$3),KP!$D:$D,0)),"")</f>
        <v>0</v>
      </c>
      <c r="J34" s="14">
        <f>_xlfn.IFNA(INDEX(KP!$I:$I,MATCH(($B34&amp;"|"&amp;J$3),KP!$D:$D,0)),"")</f>
        <v>0</v>
      </c>
      <c r="K34" s="14">
        <f>SUM(SUMIFS(PrEP!$L:$L,PrEP!$B:$B,$B34,PrEP!$C:$C,{"15-24","25-34","35-49","50+"},PrEP!$D:$D,"Female"))</f>
        <v>0</v>
      </c>
      <c r="L34" s="14">
        <f>SUM(SUMIFS(PrEP!$L:$L,PrEP!$B:$B,$B34,PrEP!$C:$C,{"15-24","25-34"},PrEP!$D:$D,"Female"))</f>
        <v>0</v>
      </c>
      <c r="M34" s="14">
        <f>SUM(SUMIFS(PrEP!$L:$L,PrEP!$B:$B,$B34,PrEP!$C:$C,{"15-24","25-34","35-49","50+"},PrEP!$D:$D,"Male"))</f>
        <v>6</v>
      </c>
      <c r="N34" s="14">
        <f>_xlfn.IFNA(INDEX(KP!$K:$K,MATCH(($B34&amp;"|"&amp;N$3),KP!$D:$D,0)),"")</f>
        <v>0</v>
      </c>
      <c r="O34" s="14">
        <f>_xlfn.IFNA(INDEX(KP!$K:$K,MATCH(($B34&amp;"|"&amp;O$3),KP!$D:$D,0)),"")</f>
        <v>0</v>
      </c>
      <c r="P34" s="14">
        <f>_xlfn.IFNA(INDEX(KP!$K:$K,MATCH(($B34&amp;"|"&amp;P$3),KP!$D:$D,0)),"")</f>
        <v>0</v>
      </c>
      <c r="Q34" s="14">
        <f>_xlfn.IFNA(INDEX(KP!$K:$K,MATCH(($B34&amp;"|"&amp;Q$3),KP!$D:$D,0)),"")</f>
        <v>0</v>
      </c>
      <c r="R34" s="14">
        <f>_xlfn.IFNA(INDEX(KP!$K:$K,MATCH(($B34&amp;"|"&amp;R$3),KP!$D:$D,0)),"")</f>
        <v>0</v>
      </c>
      <c r="S34" s="14">
        <f>SUM(SUMIFS(Cascade!$AP:$AP,Cascade!$B:$B,$B34,Cascade!$C:$C,{"15-24","25-34","35-49","50+"},Cascade!$D:$D,"Female"))</f>
        <v>0</v>
      </c>
      <c r="T34" s="14">
        <f>SUM(SUMIFS(Cascade!$AP:$AP,Cascade!$B:$B,$B34,Cascade!$C:$C,{"15-24","25-34","35-49","50+"},Cascade!$D:$D,"Male"))</f>
        <v>0</v>
      </c>
      <c r="U34" s="14">
        <f>_xlfn.IFNA(INDEX(KP!$Q:$Q,MATCH(($B34&amp;"|"&amp;U$3),KP!$D:$D,0)),"")</f>
        <v>99</v>
      </c>
      <c r="V34" s="14">
        <f>_xlfn.IFNA(INDEX(KP!$Q:$Q,MATCH(($B34&amp;"|"&amp;V$3),KP!$D:$D,0)),"")</f>
        <v>10</v>
      </c>
      <c r="W34" s="14" t="str">
        <f>_xlfn.IFNA(INDEX(KP!$Q:$Q,MATCH(($B34&amp;"|"&amp;W$3),KP!$D:$D,0)),"")</f>
        <v/>
      </c>
      <c r="X34" s="14" t="str">
        <f>_xlfn.IFNA(INDEX(KP!$Q:$Q,MATCH(($B34&amp;"|"&amp;X$3),KP!$D:$D,0)),"")</f>
        <v/>
      </c>
      <c r="Y34" s="14" t="str">
        <f>_xlfn.IFNA(INDEX(KP!$Q:$Q,MATCH(($B34&amp;"|"&amp;Y$3),KP!$D:$D,0)),"")</f>
        <v/>
      </c>
      <c r="Z34" s="14">
        <f>SUM(SUMIFS(Cascade!$AX:$AX,Cascade!$B:$B,$B34,Cascade!$C:$C,{"15-24","25-34","35-49","50+"},Cascade!$D:$D,"Female"))</f>
        <v>0</v>
      </c>
      <c r="AA34" s="14">
        <f>SUM(SUMIFS(Cascade!$AX:$AX,Cascade!$B:$B,$B34,Cascade!$C:$C,{"15-24","25-34","35-49","50+"},Cascade!$D:$D,"Male"))</f>
        <v>0</v>
      </c>
      <c r="AB34" s="14">
        <f>_xlfn.IFNA(INDEX(KP!$Z:$Z,MATCH(($B34&amp;"|"&amp;AB$3),KP!$D:$D,0)),"")</f>
        <v>2</v>
      </c>
      <c r="AC34" s="14" t="str">
        <f>_xlfn.IFNA(INDEX(KP!$Z:$Z,MATCH(($B34&amp;"|"&amp;AC$3),KP!$D:$D,0)),"")</f>
        <v/>
      </c>
      <c r="AD34" s="14" t="str">
        <f>_xlfn.IFNA(INDEX(KP!$Z:$Z,MATCH(($B34&amp;"|"&amp;AD$3),KP!$D:$D,0)),"")</f>
        <v/>
      </c>
      <c r="AE34" s="14" t="str">
        <f>_xlfn.IFNA(INDEX(KP!$Z:$Z,MATCH(($B34&amp;"|"&amp;AE$3),KP!$D:$D,0)),"")</f>
        <v/>
      </c>
      <c r="AF34" s="14" t="str">
        <f>_xlfn.IFNA(INDEX(KP!$Z:$Z,MATCH(($B34&amp;"|"&amp;AF$3),KP!$D:$D,0)),"")</f>
        <v/>
      </c>
      <c r="AG34" s="14">
        <f>SUM(SUMIFS(Cascade!$BB:$BB,Cascade!$B:$B,$B34,Cascade!$C:$C,{"15-24","25-34","35-49","50+"},Cascade!$D:$D,"Female"))</f>
        <v>0</v>
      </c>
      <c r="AH34" s="14">
        <f>SUM(SUMIFS(Cascade!$BB:$BB,Cascade!$B:$B,$B34,Cascade!$C:$C,{"15-24","25-34","35-49","50+"},Cascade!$D:$D,"Male"))</f>
        <v>0</v>
      </c>
      <c r="AI34" s="14">
        <f>_xlfn.IFNA(INDEX(KP!$AD:$AD,MATCH(($B34&amp;"|"&amp;AI$3),KP!$D:$D,0)),"")</f>
        <v>95</v>
      </c>
      <c r="AJ34" s="14">
        <f>_xlfn.IFNA(INDEX(KP!$AD:$AD,MATCH(($B34&amp;"|"&amp;AJ$3),KP!$D:$D,0)),"")</f>
        <v>10</v>
      </c>
      <c r="AK34" s="14" t="str">
        <f>_xlfn.IFNA(INDEX(KP!$AD:$AD,MATCH(($B34&amp;"|"&amp;AK$3),KP!$D:$D,0)),"")</f>
        <v/>
      </c>
      <c r="AL34" s="14" t="str">
        <f>_xlfn.IFNA(INDEX(KP!$AD:$AD,MATCH(($B34&amp;"|"&amp;AL$3),KP!$D:$D,0)),"")</f>
        <v/>
      </c>
      <c r="AM34" s="14" t="str">
        <f>_xlfn.IFNA(INDEX(KP!$AD:$AD,MATCH(($B34&amp;"|"&amp;AM$3),KP!$D:$D,0)),"")</f>
        <v/>
      </c>
      <c r="AN34" s="14">
        <f>SUM(SUMIFS(Cascade!$BE:$BE,Cascade!$B:$B,$B34,Cascade!$C:$C,{"15-24","25-34","35-49","50+"},Cascade!$D:$D,"Female"))</f>
        <v>0</v>
      </c>
      <c r="AO34" s="14">
        <f>SUM(SUMIFS(Cascade!$BE:$BE,Cascade!$B:$B,$B34,Cascade!$C:$C,{"15-24","25-34","35-49","50+"},Cascade!$D:$D,"Male"))</f>
        <v>0</v>
      </c>
      <c r="AP34" s="14">
        <f>_xlfn.IFNA(INDEX(KP!$AF:$AF,MATCH(($B34&amp;"|"&amp;AP$3),KP!$D:$D,0)),"")</f>
        <v>90</v>
      </c>
      <c r="AQ34" s="14">
        <f>_xlfn.IFNA(INDEX(KP!$AF:$AF,MATCH(($B34&amp;"|"&amp;AQ$3),KP!$D:$D,0)),"")</f>
        <v>10</v>
      </c>
      <c r="AR34" s="14" t="str">
        <f>_xlfn.IFNA(INDEX(KP!$AF:$AF,MATCH(($B34&amp;"|"&amp;AR$3),KP!$D:$D,0)),"")</f>
        <v/>
      </c>
      <c r="AS34" s="14" t="str">
        <f>_xlfn.IFNA(INDEX(KP!$AF:$AF,MATCH(($B34&amp;"|"&amp;AS$3),KP!$D:$D,0)),"")</f>
        <v/>
      </c>
      <c r="AT34" s="14" t="str">
        <f>_xlfn.IFNA(INDEX(KP!$AF:$AF,MATCH(($B34&amp;"|"&amp;AT$3),KP!$D:$D,0)),"")</f>
        <v/>
      </c>
      <c r="AU34" s="14">
        <f>SUM(SUMIFS(HTS!$AM:$AM,HTS!$B:$B,$B34,HTS!$C:$C,{"15-24","25-34","35-49","50+"},HTS!$D:$D,"Female"))</f>
        <v>0</v>
      </c>
      <c r="AV34" s="14">
        <f>SUM(SUMIFS(HTS!$AM:$AM,HTS!$B:$B,$B34,HTS!$C:$C,{"15-24","25-34","35-49","50+"},HTS!$D:$D,"Male"))</f>
        <v>0</v>
      </c>
      <c r="AW34" s="14">
        <f>_xlfn.IFNA(INDEX(KP!$AK:$AK,MATCH(($B34&amp;"|"&amp;AW$3),KP!$D:$D,0)),"")</f>
        <v>2</v>
      </c>
      <c r="AX34" s="14" t="str">
        <f>_xlfn.IFNA(INDEX(KP!$AK:$AK,MATCH(($B34&amp;"|"&amp;AX$3),KP!$D:$D,0)),"")</f>
        <v/>
      </c>
      <c r="AY34" s="14" t="str">
        <f>_xlfn.IFNA(INDEX(KP!$AK:$AK,MATCH(($B34&amp;"|"&amp;AY$3),KP!$D:$D,0)),"")</f>
        <v/>
      </c>
      <c r="AZ34" s="14" t="str">
        <f>_xlfn.IFNA(INDEX(KP!$AK:$AK,MATCH(($B34&amp;"|"&amp;AZ$3),KP!$D:$D,0)),"")</f>
        <v/>
      </c>
      <c r="BA34" s="14" t="str">
        <f>_xlfn.IFNA(INDEX(KP!$AK:$AK,MATCH(($B34&amp;"|"&amp;BA$3),KP!$D:$D,0)),"")</f>
        <v/>
      </c>
      <c r="BB34" s="14">
        <f>SUM(SUMIFS(HTS!$AT:$AT,HTS!$B:$B,$B34,HTS!$C:$C,{"15-24","25-34","35-49","50+"},HTS!$D:$D,"Female"))</f>
        <v>0</v>
      </c>
      <c r="BC34" s="14">
        <f>SUM(SUMIFS(HTS!$AT:$AT,HTS!$B:$B,$B34,HTS!$C:$C,{"15-24","25-34","35-49","50+"},HTS!$D:$D,"Male"))</f>
        <v>0</v>
      </c>
      <c r="BD34" s="14" t="str">
        <f>_xlfn.IFNA(INDEX(KP!$AL:$AL,MATCH(($B34&amp;"|"&amp;BD$3),KP!$D:$D,0)),"")</f>
        <v>ENTER YIELD RATE</v>
      </c>
      <c r="BE34" s="14" t="str">
        <f>_xlfn.IFNA(INDEX(KP!$AL:$AL,MATCH(($B34&amp;"|"&amp;BE$3),KP!$D:$D,0)),"")</f>
        <v/>
      </c>
      <c r="BF34" s="14" t="str">
        <f>_xlfn.IFNA(INDEX(KP!$AL:$AL,MATCH(($B34&amp;"|"&amp;BF$3),KP!$D:$D,0)),"")</f>
        <v/>
      </c>
      <c r="BG34" s="14" t="str">
        <f>_xlfn.IFNA(INDEX(KP!$AL:$AL,MATCH(($B34&amp;"|"&amp;BG$3),KP!$D:$D,0)),"")</f>
        <v/>
      </c>
      <c r="BH34" s="14" t="str">
        <f>_xlfn.IFNA(INDEX(KP!$AL:$AL,MATCH(($B34&amp;"|"&amp;BH$3),KP!$D:$D,0)),"")</f>
        <v/>
      </c>
      <c r="BI34" s="14">
        <f>SUM(SUMIFS(HTS!$BA:$BA,HTS!$B:$B,$B34,HTS!$C:$C,{"15-24","25-34","35-49","50+"},HTS!$D:$D,"Female"))</f>
        <v>0</v>
      </c>
      <c r="BJ34" s="14">
        <f>SUM(SUMIFS(HTS!$BA:$BA,HTS!$B:$B,$B34,HTS!$C:$C,{"15-24","25-34","35-49","50+"},HTS!$D:$D,"Male"))</f>
        <v>0</v>
      </c>
      <c r="BK34" s="14">
        <f>_xlfn.IFNA(INDEX(KP!$AN:$AN,MATCH(($B34&amp;"|"&amp;BK$3),KP!$D:$D,0)),"")</f>
        <v>2</v>
      </c>
      <c r="BL34" s="14" t="str">
        <f>_xlfn.IFNA(INDEX(KP!$AN:$AN,MATCH(($B34&amp;"|"&amp;BL$3),KP!$D:$D,0)),"")</f>
        <v/>
      </c>
      <c r="BM34" s="14" t="str">
        <f>_xlfn.IFNA(INDEX(KP!$AN:$AN,MATCH(($B34&amp;"|"&amp;BM$3),KP!$D:$D,0)),"")</f>
        <v/>
      </c>
      <c r="BN34" s="14" t="str">
        <f>_xlfn.IFNA(INDEX(KP!$AN:$AN,MATCH(($B34&amp;"|"&amp;BN$3),KP!$D:$D,0)),"")</f>
        <v/>
      </c>
      <c r="BO34" s="14" t="str">
        <f>_xlfn.IFNA(INDEX(KP!$AN:$AN,MATCH(($B34&amp;"|"&amp;BO$3),KP!$D:$D,0)),"")</f>
        <v/>
      </c>
      <c r="BP34" s="14">
        <f>SUM(SUMIFS(HTS!$AY:$AY,HTS!$B:$B,$B34,HTS!$C:$C,{"15-24","25-34","35-49","50+"},HTS!$D:$D,"Female"))</f>
        <v>54</v>
      </c>
      <c r="BQ34" s="14">
        <f>SUM(SUMIFS(HTS!$AY:$AY,HTS!$B:$B,$B34,HTS!$C:$C,{"15-24","25-34","35-49","50+"},HTS!$D:$D,"Male"))</f>
        <v>68</v>
      </c>
      <c r="BR34" s="14">
        <f>_xlfn.IFNA(INDEX(KP!$AP:$AP,MATCH(($B34&amp;"|"&amp;BR$3),KP!$D:$D,0)),"")</f>
        <v>0</v>
      </c>
      <c r="BS34" s="14">
        <f>_xlfn.IFNA(INDEX(KP!$AP:$AP,MATCH(($B34&amp;"|"&amp;BS$3),KP!$D:$D,0)),"")</f>
        <v>0</v>
      </c>
      <c r="BT34" s="14">
        <f>_xlfn.IFNA(INDEX(KP!$AP:$AP,MATCH(($B34&amp;"|"&amp;BT$3),KP!$D:$D,0)),"")</f>
        <v>0</v>
      </c>
      <c r="BU34" s="14">
        <f>_xlfn.IFNA(INDEX(KP!$AP:$AP,MATCH(($B34&amp;"|"&amp;BU$3),KP!$D:$D,0)),"")</f>
        <v>0</v>
      </c>
      <c r="BV34" s="14">
        <f>_xlfn.IFNA(INDEX(KP!$AP:$AP,MATCH(($B34&amp;"|"&amp;BV$3),KP!$D:$D,0)),"")</f>
        <v>0</v>
      </c>
    </row>
    <row r="35" spans="1:74" x14ac:dyDescent="0.2">
      <c r="A35" s="93" t="str">
        <f>INDEX(Prioritization!$D:$D,MATCH($B35,Prioritization!$A:$A,0))</f>
        <v>1 - Scale-up: Saturation</v>
      </c>
      <c r="B35" s="43" t="s">
        <v>213</v>
      </c>
      <c r="C35" s="14">
        <f>SUM(SUMIFS(PrEP!$O:$O,PrEP!$B:$B,$B35,PrEP!$C:$C,{"15-24","25-34","35-49","50+"},PrEP!$D:$D,"Female"))</f>
        <v>0</v>
      </c>
      <c r="D35" s="14">
        <f>SUM(SUMIFS(PrEP!$O:$O,PrEP!$B:$B,$B35,PrEP!$C:$C,{"15-24","25-34"},PrEP!$D:$D,"Female"))</f>
        <v>0</v>
      </c>
      <c r="E35" s="14">
        <f>SUM(SUMIFS(PrEP!$O:$O,PrEP!$B:$B,$B35,PrEP!$C:$C,{"15-24","25-34","35-49","50+"},PrEP!$D:$D,"Male"))</f>
        <v>0</v>
      </c>
      <c r="F35" s="14">
        <f>_xlfn.IFNA(INDEX(KP!$I:$I,MATCH(($B35&amp;"|"&amp;F$3),KP!$D:$D,0)),"")</f>
        <v>0</v>
      </c>
      <c r="G35" s="14">
        <f>_xlfn.IFNA(INDEX(KP!$I:$I,MATCH(($B35&amp;"|"&amp;G$3),KP!$D:$D,0)),"")</f>
        <v>0</v>
      </c>
      <c r="H35" s="14">
        <f>_xlfn.IFNA(INDEX(KP!$I:$I,MATCH(($B35&amp;"|"&amp;H$3),KP!$D:$D,0)),"")</f>
        <v>0</v>
      </c>
      <c r="I35" s="14">
        <f>_xlfn.IFNA(INDEX(KP!$I:$I,MATCH(($B35&amp;"|"&amp;I$3),KP!$D:$D,0)),"")</f>
        <v>0</v>
      </c>
      <c r="J35" s="14">
        <f>_xlfn.IFNA(INDEX(KP!$I:$I,MATCH(($B35&amp;"|"&amp;J$3),KP!$D:$D,0)),"")</f>
        <v>0</v>
      </c>
      <c r="K35" s="14">
        <f>SUM(SUMIFS(PrEP!$L:$L,PrEP!$B:$B,$B35,PrEP!$C:$C,{"15-24","25-34","35-49","50+"},PrEP!$D:$D,"Female"))</f>
        <v>1</v>
      </c>
      <c r="L35" s="14">
        <f>SUM(SUMIFS(PrEP!$L:$L,PrEP!$B:$B,$B35,PrEP!$C:$C,{"15-24","25-34"},PrEP!$D:$D,"Female"))</f>
        <v>0</v>
      </c>
      <c r="M35" s="14">
        <f>SUM(SUMIFS(PrEP!$L:$L,PrEP!$B:$B,$B35,PrEP!$C:$C,{"15-24","25-34","35-49","50+"},PrEP!$D:$D,"Male"))</f>
        <v>4</v>
      </c>
      <c r="N35" s="14">
        <f>_xlfn.IFNA(INDEX(KP!$K:$K,MATCH(($B35&amp;"|"&amp;N$3),KP!$D:$D,0)),"")</f>
        <v>0</v>
      </c>
      <c r="O35" s="14">
        <f>_xlfn.IFNA(INDEX(KP!$K:$K,MATCH(($B35&amp;"|"&amp;O$3),KP!$D:$D,0)),"")</f>
        <v>0</v>
      </c>
      <c r="P35" s="14">
        <f>_xlfn.IFNA(INDEX(KP!$K:$K,MATCH(($B35&amp;"|"&amp;P$3),KP!$D:$D,0)),"")</f>
        <v>0</v>
      </c>
      <c r="Q35" s="14">
        <f>_xlfn.IFNA(INDEX(KP!$K:$K,MATCH(($B35&amp;"|"&amp;Q$3),KP!$D:$D,0)),"")</f>
        <v>0</v>
      </c>
      <c r="R35" s="14">
        <f>_xlfn.IFNA(INDEX(KP!$K:$K,MATCH(($B35&amp;"|"&amp;R$3),KP!$D:$D,0)),"")</f>
        <v>0</v>
      </c>
      <c r="S35" s="14">
        <f>SUM(SUMIFS(Cascade!$AP:$AP,Cascade!$B:$B,$B35,Cascade!$C:$C,{"15-24","25-34","35-49","50+"},Cascade!$D:$D,"Female"))</f>
        <v>0</v>
      </c>
      <c r="T35" s="14">
        <f>SUM(SUMIFS(Cascade!$AP:$AP,Cascade!$B:$B,$B35,Cascade!$C:$C,{"15-24","25-34","35-49","50+"},Cascade!$D:$D,"Male"))</f>
        <v>0</v>
      </c>
      <c r="U35" s="14">
        <f>_xlfn.IFNA(INDEX(KP!$Q:$Q,MATCH(($B35&amp;"|"&amp;U$3),KP!$D:$D,0)),"")</f>
        <v>61</v>
      </c>
      <c r="V35" s="14">
        <f>_xlfn.IFNA(INDEX(KP!$Q:$Q,MATCH(($B35&amp;"|"&amp;V$3),KP!$D:$D,0)),"")</f>
        <v>5</v>
      </c>
      <c r="W35" s="14" t="str">
        <f>_xlfn.IFNA(INDEX(KP!$Q:$Q,MATCH(($B35&amp;"|"&amp;W$3),KP!$D:$D,0)),"")</f>
        <v/>
      </c>
      <c r="X35" s="14" t="str">
        <f>_xlfn.IFNA(INDEX(KP!$Q:$Q,MATCH(($B35&amp;"|"&amp;X$3),KP!$D:$D,0)),"")</f>
        <v/>
      </c>
      <c r="Y35" s="14" t="str">
        <f>_xlfn.IFNA(INDEX(KP!$Q:$Q,MATCH(($B35&amp;"|"&amp;Y$3),KP!$D:$D,0)),"")</f>
        <v/>
      </c>
      <c r="Z35" s="14">
        <f>SUM(SUMIFS(Cascade!$AX:$AX,Cascade!$B:$B,$B35,Cascade!$C:$C,{"15-24","25-34","35-49","50+"},Cascade!$D:$D,"Female"))</f>
        <v>0</v>
      </c>
      <c r="AA35" s="14">
        <f>SUM(SUMIFS(Cascade!$AX:$AX,Cascade!$B:$B,$B35,Cascade!$C:$C,{"15-24","25-34","35-49","50+"},Cascade!$D:$D,"Male"))</f>
        <v>0</v>
      </c>
      <c r="AB35" s="14">
        <f>_xlfn.IFNA(INDEX(KP!$Z:$Z,MATCH(($B35&amp;"|"&amp;AB$3),KP!$D:$D,0)),"")</f>
        <v>1</v>
      </c>
      <c r="AC35" s="14" t="str">
        <f>_xlfn.IFNA(INDEX(KP!$Z:$Z,MATCH(($B35&amp;"|"&amp;AC$3),KP!$D:$D,0)),"")</f>
        <v/>
      </c>
      <c r="AD35" s="14" t="str">
        <f>_xlfn.IFNA(INDEX(KP!$Z:$Z,MATCH(($B35&amp;"|"&amp;AD$3),KP!$D:$D,0)),"")</f>
        <v/>
      </c>
      <c r="AE35" s="14" t="str">
        <f>_xlfn.IFNA(INDEX(KP!$Z:$Z,MATCH(($B35&amp;"|"&amp;AE$3),KP!$D:$D,0)),"")</f>
        <v/>
      </c>
      <c r="AF35" s="14" t="str">
        <f>_xlfn.IFNA(INDEX(KP!$Z:$Z,MATCH(($B35&amp;"|"&amp;AF$3),KP!$D:$D,0)),"")</f>
        <v/>
      </c>
      <c r="AG35" s="14">
        <f>SUM(SUMIFS(Cascade!$BB:$BB,Cascade!$B:$B,$B35,Cascade!$C:$C,{"15-24","25-34","35-49","50+"},Cascade!$D:$D,"Female"))</f>
        <v>0</v>
      </c>
      <c r="AH35" s="14">
        <f>SUM(SUMIFS(Cascade!$BB:$BB,Cascade!$B:$B,$B35,Cascade!$C:$C,{"15-24","25-34","35-49","50+"},Cascade!$D:$D,"Male"))</f>
        <v>0</v>
      </c>
      <c r="AI35" s="14">
        <f>_xlfn.IFNA(INDEX(KP!$AD:$AD,MATCH(($B35&amp;"|"&amp;AI$3),KP!$D:$D,0)),"")</f>
        <v>59</v>
      </c>
      <c r="AJ35" s="14">
        <f>_xlfn.IFNA(INDEX(KP!$AD:$AD,MATCH(($B35&amp;"|"&amp;AJ$3),KP!$D:$D,0)),"")</f>
        <v>5</v>
      </c>
      <c r="AK35" s="14" t="str">
        <f>_xlfn.IFNA(INDEX(KP!$AD:$AD,MATCH(($B35&amp;"|"&amp;AK$3),KP!$D:$D,0)),"")</f>
        <v/>
      </c>
      <c r="AL35" s="14" t="str">
        <f>_xlfn.IFNA(INDEX(KP!$AD:$AD,MATCH(($B35&amp;"|"&amp;AL$3),KP!$D:$D,0)),"")</f>
        <v/>
      </c>
      <c r="AM35" s="14" t="str">
        <f>_xlfn.IFNA(INDEX(KP!$AD:$AD,MATCH(($B35&amp;"|"&amp;AM$3),KP!$D:$D,0)),"")</f>
        <v/>
      </c>
      <c r="AN35" s="14">
        <f>SUM(SUMIFS(Cascade!$BE:$BE,Cascade!$B:$B,$B35,Cascade!$C:$C,{"15-24","25-34","35-49","50+"},Cascade!$D:$D,"Female"))</f>
        <v>0</v>
      </c>
      <c r="AO35" s="14">
        <f>SUM(SUMIFS(Cascade!$BE:$BE,Cascade!$B:$B,$B35,Cascade!$C:$C,{"15-24","25-34","35-49","50+"},Cascade!$D:$D,"Male"))</f>
        <v>0</v>
      </c>
      <c r="AP35" s="14">
        <f>_xlfn.IFNA(INDEX(KP!$AF:$AF,MATCH(($B35&amp;"|"&amp;AP$3),KP!$D:$D,0)),"")</f>
        <v>56</v>
      </c>
      <c r="AQ35" s="14">
        <f>_xlfn.IFNA(INDEX(KP!$AF:$AF,MATCH(($B35&amp;"|"&amp;AQ$3),KP!$D:$D,0)),"")</f>
        <v>5</v>
      </c>
      <c r="AR35" s="14" t="str">
        <f>_xlfn.IFNA(INDEX(KP!$AF:$AF,MATCH(($B35&amp;"|"&amp;AR$3),KP!$D:$D,0)),"")</f>
        <v/>
      </c>
      <c r="AS35" s="14" t="str">
        <f>_xlfn.IFNA(INDEX(KP!$AF:$AF,MATCH(($B35&amp;"|"&amp;AS$3),KP!$D:$D,0)),"")</f>
        <v/>
      </c>
      <c r="AT35" s="14" t="str">
        <f>_xlfn.IFNA(INDEX(KP!$AF:$AF,MATCH(($B35&amp;"|"&amp;AT$3),KP!$D:$D,0)),"")</f>
        <v/>
      </c>
      <c r="AU35" s="14">
        <f>SUM(SUMIFS(HTS!$AM:$AM,HTS!$B:$B,$B35,HTS!$C:$C,{"15-24","25-34","35-49","50+"},HTS!$D:$D,"Female"))</f>
        <v>0</v>
      </c>
      <c r="AV35" s="14">
        <f>SUM(SUMIFS(HTS!$AM:$AM,HTS!$B:$B,$B35,HTS!$C:$C,{"15-24","25-34","35-49","50+"},HTS!$D:$D,"Male"))</f>
        <v>0</v>
      </c>
      <c r="AW35" s="14">
        <f>_xlfn.IFNA(INDEX(KP!$AK:$AK,MATCH(($B35&amp;"|"&amp;AW$3),KP!$D:$D,0)),"")</f>
        <v>1</v>
      </c>
      <c r="AX35" s="14" t="str">
        <f>_xlfn.IFNA(INDEX(KP!$AK:$AK,MATCH(($B35&amp;"|"&amp;AX$3),KP!$D:$D,0)),"")</f>
        <v/>
      </c>
      <c r="AY35" s="14" t="str">
        <f>_xlfn.IFNA(INDEX(KP!$AK:$AK,MATCH(($B35&amp;"|"&amp;AY$3),KP!$D:$D,0)),"")</f>
        <v/>
      </c>
      <c r="AZ35" s="14" t="str">
        <f>_xlfn.IFNA(INDEX(KP!$AK:$AK,MATCH(($B35&amp;"|"&amp;AZ$3),KP!$D:$D,0)),"")</f>
        <v/>
      </c>
      <c r="BA35" s="14" t="str">
        <f>_xlfn.IFNA(INDEX(KP!$AK:$AK,MATCH(($B35&amp;"|"&amp;BA$3),KP!$D:$D,0)),"")</f>
        <v/>
      </c>
      <c r="BB35" s="14">
        <f>SUM(SUMIFS(HTS!$AT:$AT,HTS!$B:$B,$B35,HTS!$C:$C,{"15-24","25-34","35-49","50+"},HTS!$D:$D,"Female"))</f>
        <v>0</v>
      </c>
      <c r="BC35" s="14">
        <f>SUM(SUMIFS(HTS!$AT:$AT,HTS!$B:$B,$B35,HTS!$C:$C,{"15-24","25-34","35-49","50+"},HTS!$D:$D,"Male"))</f>
        <v>0</v>
      </c>
      <c r="BD35" s="14" t="str">
        <f>_xlfn.IFNA(INDEX(KP!$AL:$AL,MATCH(($B35&amp;"|"&amp;BD$3),KP!$D:$D,0)),"")</f>
        <v>ENTER YIELD RATE</v>
      </c>
      <c r="BE35" s="14" t="str">
        <f>_xlfn.IFNA(INDEX(KP!$AL:$AL,MATCH(($B35&amp;"|"&amp;BE$3),KP!$D:$D,0)),"")</f>
        <v/>
      </c>
      <c r="BF35" s="14" t="str">
        <f>_xlfn.IFNA(INDEX(KP!$AL:$AL,MATCH(($B35&amp;"|"&amp;BF$3),KP!$D:$D,0)),"")</f>
        <v/>
      </c>
      <c r="BG35" s="14" t="str">
        <f>_xlfn.IFNA(INDEX(KP!$AL:$AL,MATCH(($B35&amp;"|"&amp;BG$3),KP!$D:$D,0)),"")</f>
        <v/>
      </c>
      <c r="BH35" s="14" t="str">
        <f>_xlfn.IFNA(INDEX(KP!$AL:$AL,MATCH(($B35&amp;"|"&amp;BH$3),KP!$D:$D,0)),"")</f>
        <v/>
      </c>
      <c r="BI35" s="14">
        <f>SUM(SUMIFS(HTS!$BA:$BA,HTS!$B:$B,$B35,HTS!$C:$C,{"15-24","25-34","35-49","50+"},HTS!$D:$D,"Female"))</f>
        <v>0</v>
      </c>
      <c r="BJ35" s="14">
        <f>SUM(SUMIFS(HTS!$BA:$BA,HTS!$B:$B,$B35,HTS!$C:$C,{"15-24","25-34","35-49","50+"},HTS!$D:$D,"Male"))</f>
        <v>0</v>
      </c>
      <c r="BK35" s="14">
        <f>_xlfn.IFNA(INDEX(KP!$AN:$AN,MATCH(($B35&amp;"|"&amp;BK$3),KP!$D:$D,0)),"")</f>
        <v>1</v>
      </c>
      <c r="BL35" s="14" t="str">
        <f>_xlfn.IFNA(INDEX(KP!$AN:$AN,MATCH(($B35&amp;"|"&amp;BL$3),KP!$D:$D,0)),"")</f>
        <v/>
      </c>
      <c r="BM35" s="14" t="str">
        <f>_xlfn.IFNA(INDEX(KP!$AN:$AN,MATCH(($B35&amp;"|"&amp;BM$3),KP!$D:$D,0)),"")</f>
        <v/>
      </c>
      <c r="BN35" s="14" t="str">
        <f>_xlfn.IFNA(INDEX(KP!$AN:$AN,MATCH(($B35&amp;"|"&amp;BN$3),KP!$D:$D,0)),"")</f>
        <v/>
      </c>
      <c r="BO35" s="14" t="str">
        <f>_xlfn.IFNA(INDEX(KP!$AN:$AN,MATCH(($B35&amp;"|"&amp;BO$3),KP!$D:$D,0)),"")</f>
        <v/>
      </c>
      <c r="BP35" s="14">
        <f>SUM(SUMIFS(HTS!$AY:$AY,HTS!$B:$B,$B35,HTS!$C:$C,{"15-24","25-34","35-49","50+"},HTS!$D:$D,"Female"))</f>
        <v>971</v>
      </c>
      <c r="BQ35" s="14">
        <f>SUM(SUMIFS(HTS!$AY:$AY,HTS!$B:$B,$B35,HTS!$C:$C,{"15-24","25-34","35-49","50+"},HTS!$D:$D,"Male"))</f>
        <v>163</v>
      </c>
      <c r="BR35" s="14">
        <f>_xlfn.IFNA(INDEX(KP!$AP:$AP,MATCH(($B35&amp;"|"&amp;BR$3),KP!$D:$D,0)),"")</f>
        <v>0</v>
      </c>
      <c r="BS35" s="14">
        <f>_xlfn.IFNA(INDEX(KP!$AP:$AP,MATCH(($B35&amp;"|"&amp;BS$3),KP!$D:$D,0)),"")</f>
        <v>0</v>
      </c>
      <c r="BT35" s="14">
        <f>_xlfn.IFNA(INDEX(KP!$AP:$AP,MATCH(($B35&amp;"|"&amp;BT$3),KP!$D:$D,0)),"")</f>
        <v>0</v>
      </c>
      <c r="BU35" s="14">
        <f>_xlfn.IFNA(INDEX(KP!$AP:$AP,MATCH(($B35&amp;"|"&amp;BU$3),KP!$D:$D,0)),"")</f>
        <v>0</v>
      </c>
      <c r="BV35" s="14">
        <f>_xlfn.IFNA(INDEX(KP!$AP:$AP,MATCH(($B35&amp;"|"&amp;BV$3),KP!$D:$D,0)),"")</f>
        <v>0</v>
      </c>
    </row>
    <row r="36" spans="1:74" x14ac:dyDescent="0.2">
      <c r="A36" s="93" t="str">
        <f>INDEX(Prioritization!$D:$D,MATCH($B36,Prioritization!$A:$A,0))</f>
        <v>INVALID</v>
      </c>
      <c r="B36" s="43" t="s">
        <v>214</v>
      </c>
      <c r="C36" s="14">
        <f>SUM(SUMIFS(PrEP!$O:$O,PrEP!$B:$B,$B36,PrEP!$C:$C,{"15-24","25-34","35-49","50+"},PrEP!$D:$D,"Female"))</f>
        <v>0</v>
      </c>
      <c r="D36" s="14">
        <f>SUM(SUMIFS(PrEP!$O:$O,PrEP!$B:$B,$B36,PrEP!$C:$C,{"15-24","25-34"},PrEP!$D:$D,"Female"))</f>
        <v>0</v>
      </c>
      <c r="E36" s="14">
        <f>SUM(SUMIFS(PrEP!$O:$O,PrEP!$B:$B,$B36,PrEP!$C:$C,{"15-24","25-34","35-49","50+"},PrEP!$D:$D,"Male"))</f>
        <v>0</v>
      </c>
      <c r="F36" s="14">
        <f>_xlfn.IFNA(INDEX(KP!$I:$I,MATCH(($B36&amp;"|"&amp;F$3),KP!$D:$D,0)),"")</f>
        <v>0</v>
      </c>
      <c r="G36" s="14">
        <f>_xlfn.IFNA(INDEX(KP!$I:$I,MATCH(($B36&amp;"|"&amp;G$3),KP!$D:$D,0)),"")</f>
        <v>0</v>
      </c>
      <c r="H36" s="14">
        <f>_xlfn.IFNA(INDEX(KP!$I:$I,MATCH(($B36&amp;"|"&amp;H$3),KP!$D:$D,0)),"")</f>
        <v>0</v>
      </c>
      <c r="I36" s="14">
        <f>_xlfn.IFNA(INDEX(KP!$I:$I,MATCH(($B36&amp;"|"&amp;I$3),KP!$D:$D,0)),"")</f>
        <v>0</v>
      </c>
      <c r="J36" s="14">
        <f>_xlfn.IFNA(INDEX(KP!$I:$I,MATCH(($B36&amp;"|"&amp;J$3),KP!$D:$D,0)),"")</f>
        <v>0</v>
      </c>
      <c r="K36" s="14">
        <f>SUM(SUMIFS(PrEP!$L:$L,PrEP!$B:$B,$B36,PrEP!$C:$C,{"15-24","25-34","35-49","50+"},PrEP!$D:$D,"Female"))</f>
        <v>4</v>
      </c>
      <c r="L36" s="14">
        <f>SUM(SUMIFS(PrEP!$L:$L,PrEP!$B:$B,$B36,PrEP!$C:$C,{"15-24","25-34"},PrEP!$D:$D,"Female"))</f>
        <v>0</v>
      </c>
      <c r="M36" s="14">
        <f>SUM(SUMIFS(PrEP!$L:$L,PrEP!$B:$B,$B36,PrEP!$C:$C,{"15-24","25-34","35-49","50+"},PrEP!$D:$D,"Male"))</f>
        <v>4</v>
      </c>
      <c r="N36" s="14">
        <f>_xlfn.IFNA(INDEX(KP!$K:$K,MATCH(($B36&amp;"|"&amp;N$3),KP!$D:$D,0)),"")</f>
        <v>0</v>
      </c>
      <c r="O36" s="14">
        <f>_xlfn.IFNA(INDEX(KP!$K:$K,MATCH(($B36&amp;"|"&amp;O$3),KP!$D:$D,0)),"")</f>
        <v>0</v>
      </c>
      <c r="P36" s="14">
        <f>_xlfn.IFNA(INDEX(KP!$K:$K,MATCH(($B36&amp;"|"&amp;P$3),KP!$D:$D,0)),"")</f>
        <v>0</v>
      </c>
      <c r="Q36" s="14">
        <f>_xlfn.IFNA(INDEX(KP!$K:$K,MATCH(($B36&amp;"|"&amp;Q$3),KP!$D:$D,0)),"")</f>
        <v>0</v>
      </c>
      <c r="R36" s="14">
        <f>_xlfn.IFNA(INDEX(KP!$K:$K,MATCH(($B36&amp;"|"&amp;R$3),KP!$D:$D,0)),"")</f>
        <v>0</v>
      </c>
      <c r="S36" s="14">
        <f>SUM(SUMIFS(Cascade!$AP:$AP,Cascade!$B:$B,$B36,Cascade!$C:$C,{"15-24","25-34","35-49","50+"},Cascade!$D:$D,"Female"))</f>
        <v>0</v>
      </c>
      <c r="T36" s="14">
        <f>SUM(SUMIFS(Cascade!$AP:$AP,Cascade!$B:$B,$B36,Cascade!$C:$C,{"15-24","25-34","35-49","50+"},Cascade!$D:$D,"Male"))</f>
        <v>0</v>
      </c>
      <c r="U36" s="14">
        <f>_xlfn.IFNA(INDEX(KP!$Q:$Q,MATCH(($B36&amp;"|"&amp;U$3),KP!$D:$D,0)),"")</f>
        <v>148</v>
      </c>
      <c r="V36" s="14">
        <f>_xlfn.IFNA(INDEX(KP!$Q:$Q,MATCH(($B36&amp;"|"&amp;V$3),KP!$D:$D,0)),"")</f>
        <v>76</v>
      </c>
      <c r="W36" s="14" t="str">
        <f>_xlfn.IFNA(INDEX(KP!$Q:$Q,MATCH(($B36&amp;"|"&amp;W$3),KP!$D:$D,0)),"")</f>
        <v/>
      </c>
      <c r="X36" s="14" t="str">
        <f>_xlfn.IFNA(INDEX(KP!$Q:$Q,MATCH(($B36&amp;"|"&amp;X$3),KP!$D:$D,0)),"")</f>
        <v/>
      </c>
      <c r="Y36" s="14">
        <f>_xlfn.IFNA(INDEX(KP!$Q:$Q,MATCH(($B36&amp;"|"&amp;Y$3),KP!$D:$D,0)),"")</f>
        <v>5</v>
      </c>
      <c r="Z36" s="14">
        <f>SUM(SUMIFS(Cascade!$AX:$AX,Cascade!$B:$B,$B36,Cascade!$C:$C,{"15-24","25-34","35-49","50+"},Cascade!$D:$D,"Female"))</f>
        <v>0</v>
      </c>
      <c r="AA36" s="14">
        <f>SUM(SUMIFS(Cascade!$AX:$AX,Cascade!$B:$B,$B36,Cascade!$C:$C,{"15-24","25-34","35-49","50+"},Cascade!$D:$D,"Male"))</f>
        <v>0</v>
      </c>
      <c r="AB36" s="14">
        <f>_xlfn.IFNA(INDEX(KP!$Z:$Z,MATCH(($B36&amp;"|"&amp;AB$3),KP!$D:$D,0)),"")</f>
        <v>3</v>
      </c>
      <c r="AC36" s="14">
        <f>_xlfn.IFNA(INDEX(KP!$Z:$Z,MATCH(($B36&amp;"|"&amp;AC$3),KP!$D:$D,0)),"")</f>
        <v>2</v>
      </c>
      <c r="AD36" s="14" t="str">
        <f>_xlfn.IFNA(INDEX(KP!$Z:$Z,MATCH(($B36&amp;"|"&amp;AD$3),KP!$D:$D,0)),"")</f>
        <v/>
      </c>
      <c r="AE36" s="14" t="str">
        <f>_xlfn.IFNA(INDEX(KP!$Z:$Z,MATCH(($B36&amp;"|"&amp;AE$3),KP!$D:$D,0)),"")</f>
        <v/>
      </c>
      <c r="AF36" s="14" t="str">
        <f>_xlfn.IFNA(INDEX(KP!$Z:$Z,MATCH(($B36&amp;"|"&amp;AF$3),KP!$D:$D,0)),"")</f>
        <v/>
      </c>
      <c r="AG36" s="14">
        <f>SUM(SUMIFS(Cascade!$BB:$BB,Cascade!$B:$B,$B36,Cascade!$C:$C,{"15-24","25-34","35-49","50+"},Cascade!$D:$D,"Female"))</f>
        <v>0</v>
      </c>
      <c r="AH36" s="14">
        <f>SUM(SUMIFS(Cascade!$BB:$BB,Cascade!$B:$B,$B36,Cascade!$C:$C,{"15-24","25-34","35-49","50+"},Cascade!$D:$D,"Male"))</f>
        <v>0</v>
      </c>
      <c r="AI36" s="14">
        <f>_xlfn.IFNA(INDEX(KP!$AD:$AD,MATCH(($B36&amp;"|"&amp;AI$3),KP!$D:$D,0)),"")</f>
        <v>143</v>
      </c>
      <c r="AJ36" s="14">
        <f>_xlfn.IFNA(INDEX(KP!$AD:$AD,MATCH(($B36&amp;"|"&amp;AJ$3),KP!$D:$D,0)),"")</f>
        <v>73</v>
      </c>
      <c r="AK36" s="14" t="str">
        <f>_xlfn.IFNA(INDEX(KP!$AD:$AD,MATCH(($B36&amp;"|"&amp;AK$3),KP!$D:$D,0)),"")</f>
        <v/>
      </c>
      <c r="AL36" s="14" t="str">
        <f>_xlfn.IFNA(INDEX(KP!$AD:$AD,MATCH(($B36&amp;"|"&amp;AL$3),KP!$D:$D,0)),"")</f>
        <v/>
      </c>
      <c r="AM36" s="14">
        <f>_xlfn.IFNA(INDEX(KP!$AD:$AD,MATCH(($B36&amp;"|"&amp;AM$3),KP!$D:$D,0)),"")</f>
        <v>5</v>
      </c>
      <c r="AN36" s="14">
        <f>SUM(SUMIFS(Cascade!$BE:$BE,Cascade!$B:$B,$B36,Cascade!$C:$C,{"15-24","25-34","35-49","50+"},Cascade!$D:$D,"Female"))</f>
        <v>0</v>
      </c>
      <c r="AO36" s="14">
        <f>SUM(SUMIFS(Cascade!$BE:$BE,Cascade!$B:$B,$B36,Cascade!$C:$C,{"15-24","25-34","35-49","50+"},Cascade!$D:$D,"Male"))</f>
        <v>0</v>
      </c>
      <c r="AP36" s="14">
        <f>_xlfn.IFNA(INDEX(KP!$AF:$AF,MATCH(($B36&amp;"|"&amp;AP$3),KP!$D:$D,0)),"")</f>
        <v>136</v>
      </c>
      <c r="AQ36" s="14">
        <f>_xlfn.IFNA(INDEX(KP!$AF:$AF,MATCH(($B36&amp;"|"&amp;AQ$3),KP!$D:$D,0)),"")</f>
        <v>69</v>
      </c>
      <c r="AR36" s="14" t="str">
        <f>_xlfn.IFNA(INDEX(KP!$AF:$AF,MATCH(($B36&amp;"|"&amp;AR$3),KP!$D:$D,0)),"")</f>
        <v/>
      </c>
      <c r="AS36" s="14" t="str">
        <f>_xlfn.IFNA(INDEX(KP!$AF:$AF,MATCH(($B36&amp;"|"&amp;AS$3),KP!$D:$D,0)),"")</f>
        <v/>
      </c>
      <c r="AT36" s="14">
        <f>_xlfn.IFNA(INDEX(KP!$AF:$AF,MATCH(($B36&amp;"|"&amp;AT$3),KP!$D:$D,0)),"")</f>
        <v>5</v>
      </c>
      <c r="AU36" s="14">
        <f>SUM(SUMIFS(HTS!$AM:$AM,HTS!$B:$B,$B36,HTS!$C:$C,{"15-24","25-34","35-49","50+"},HTS!$D:$D,"Female"))</f>
        <v>0</v>
      </c>
      <c r="AV36" s="14">
        <f>SUM(SUMIFS(HTS!$AM:$AM,HTS!$B:$B,$B36,HTS!$C:$C,{"15-24","25-34","35-49","50+"},HTS!$D:$D,"Male"))</f>
        <v>0</v>
      </c>
      <c r="AW36" s="14">
        <f>_xlfn.IFNA(INDEX(KP!$AK:$AK,MATCH(($B36&amp;"|"&amp;AW$3),KP!$D:$D,0)),"")</f>
        <v>3</v>
      </c>
      <c r="AX36" s="14">
        <f>_xlfn.IFNA(INDEX(KP!$AK:$AK,MATCH(($B36&amp;"|"&amp;AX$3),KP!$D:$D,0)),"")</f>
        <v>2</v>
      </c>
      <c r="AY36" s="14" t="str">
        <f>_xlfn.IFNA(INDEX(KP!$AK:$AK,MATCH(($B36&amp;"|"&amp;AY$3),KP!$D:$D,0)),"")</f>
        <v/>
      </c>
      <c r="AZ36" s="14" t="str">
        <f>_xlfn.IFNA(INDEX(KP!$AK:$AK,MATCH(($B36&amp;"|"&amp;AZ$3),KP!$D:$D,0)),"")</f>
        <v/>
      </c>
      <c r="BA36" s="14" t="str">
        <f>_xlfn.IFNA(INDEX(KP!$AK:$AK,MATCH(($B36&amp;"|"&amp;BA$3),KP!$D:$D,0)),"")</f>
        <v/>
      </c>
      <c r="BB36" s="14">
        <f>SUM(SUMIFS(HTS!$AT:$AT,HTS!$B:$B,$B36,HTS!$C:$C,{"15-24","25-34","35-49","50+"},HTS!$D:$D,"Female"))</f>
        <v>0</v>
      </c>
      <c r="BC36" s="14">
        <f>SUM(SUMIFS(HTS!$AT:$AT,HTS!$B:$B,$B36,HTS!$C:$C,{"15-24","25-34","35-49","50+"},HTS!$D:$D,"Male"))</f>
        <v>0</v>
      </c>
      <c r="BD36" s="14" t="str">
        <f>_xlfn.IFNA(INDEX(KP!$AL:$AL,MATCH(($B36&amp;"|"&amp;BD$3),KP!$D:$D,0)),"")</f>
        <v>ENTER YIELD RATE</v>
      </c>
      <c r="BE36" s="14" t="str">
        <f>_xlfn.IFNA(INDEX(KP!$AL:$AL,MATCH(($B36&amp;"|"&amp;BE$3),KP!$D:$D,0)),"")</f>
        <v>ENTER YIELD RATE</v>
      </c>
      <c r="BF36" s="14" t="str">
        <f>_xlfn.IFNA(INDEX(KP!$AL:$AL,MATCH(($B36&amp;"|"&amp;BF$3),KP!$D:$D,0)),"")</f>
        <v/>
      </c>
      <c r="BG36" s="14" t="str">
        <f>_xlfn.IFNA(INDEX(KP!$AL:$AL,MATCH(($B36&amp;"|"&amp;BG$3),KP!$D:$D,0)),"")</f>
        <v/>
      </c>
      <c r="BH36" s="14" t="str">
        <f>_xlfn.IFNA(INDEX(KP!$AL:$AL,MATCH(($B36&amp;"|"&amp;BH$3),KP!$D:$D,0)),"")</f>
        <v/>
      </c>
      <c r="BI36" s="14">
        <f>SUM(SUMIFS(HTS!$BA:$BA,HTS!$B:$B,$B36,HTS!$C:$C,{"15-24","25-34","35-49","50+"},HTS!$D:$D,"Female"))</f>
        <v>0</v>
      </c>
      <c r="BJ36" s="14">
        <f>SUM(SUMIFS(HTS!$BA:$BA,HTS!$B:$B,$B36,HTS!$C:$C,{"15-24","25-34","35-49","50+"},HTS!$D:$D,"Male"))</f>
        <v>0</v>
      </c>
      <c r="BK36" s="14">
        <f>_xlfn.IFNA(INDEX(KP!$AN:$AN,MATCH(($B36&amp;"|"&amp;BK$3),KP!$D:$D,0)),"")</f>
        <v>3</v>
      </c>
      <c r="BL36" s="14">
        <f>_xlfn.IFNA(INDEX(KP!$AN:$AN,MATCH(($B36&amp;"|"&amp;BL$3),KP!$D:$D,0)),"")</f>
        <v>2</v>
      </c>
      <c r="BM36" s="14" t="str">
        <f>_xlfn.IFNA(INDEX(KP!$AN:$AN,MATCH(($B36&amp;"|"&amp;BM$3),KP!$D:$D,0)),"")</f>
        <v/>
      </c>
      <c r="BN36" s="14" t="str">
        <f>_xlfn.IFNA(INDEX(KP!$AN:$AN,MATCH(($B36&amp;"|"&amp;BN$3),KP!$D:$D,0)),"")</f>
        <v/>
      </c>
      <c r="BO36" s="14" t="str">
        <f>_xlfn.IFNA(INDEX(KP!$AN:$AN,MATCH(($B36&amp;"|"&amp;BO$3),KP!$D:$D,0)),"")</f>
        <v/>
      </c>
      <c r="BP36" s="14">
        <f>SUM(SUMIFS(HTS!$AY:$AY,HTS!$B:$B,$B36,HTS!$C:$C,{"15-24","25-34","35-49","50+"},HTS!$D:$D,"Female"))</f>
        <v>78</v>
      </c>
      <c r="BQ36" s="14">
        <f>SUM(SUMIFS(HTS!$AY:$AY,HTS!$B:$B,$B36,HTS!$C:$C,{"15-24","25-34","35-49","50+"},HTS!$D:$D,"Male"))</f>
        <v>45</v>
      </c>
      <c r="BR36" s="14">
        <f>_xlfn.IFNA(INDEX(KP!$AP:$AP,MATCH(($B36&amp;"|"&amp;BR$3),KP!$D:$D,0)),"")</f>
        <v>0</v>
      </c>
      <c r="BS36" s="14">
        <f>_xlfn.IFNA(INDEX(KP!$AP:$AP,MATCH(($B36&amp;"|"&amp;BS$3),KP!$D:$D,0)),"")</f>
        <v>0</v>
      </c>
      <c r="BT36" s="14">
        <f>_xlfn.IFNA(INDEX(KP!$AP:$AP,MATCH(($B36&amp;"|"&amp;BT$3),KP!$D:$D,0)),"")</f>
        <v>0</v>
      </c>
      <c r="BU36" s="14">
        <f>_xlfn.IFNA(INDEX(KP!$AP:$AP,MATCH(($B36&amp;"|"&amp;BU$3),KP!$D:$D,0)),"")</f>
        <v>0</v>
      </c>
      <c r="BV36" s="14">
        <f>_xlfn.IFNA(INDEX(KP!$AP:$AP,MATCH(($B36&amp;"|"&amp;BV$3),KP!$D:$D,0)),"")</f>
        <v>0</v>
      </c>
    </row>
    <row r="37" spans="1:74" x14ac:dyDescent="0.2">
      <c r="A37" s="93" t="str">
        <f>INDEX(Prioritization!$D:$D,MATCH($B37,Prioritization!$A:$A,0))</f>
        <v>INVALID</v>
      </c>
      <c r="B37" s="43" t="s">
        <v>215</v>
      </c>
      <c r="C37" s="14">
        <f>SUM(SUMIFS(PrEP!$O:$O,PrEP!$B:$B,$B37,PrEP!$C:$C,{"15-24","25-34","35-49","50+"},PrEP!$D:$D,"Female"))</f>
        <v>0</v>
      </c>
      <c r="D37" s="14">
        <f>SUM(SUMIFS(PrEP!$O:$O,PrEP!$B:$B,$B37,PrEP!$C:$C,{"15-24","25-34"},PrEP!$D:$D,"Female"))</f>
        <v>0</v>
      </c>
      <c r="E37" s="14">
        <f>SUM(SUMIFS(PrEP!$O:$O,PrEP!$B:$B,$B37,PrEP!$C:$C,{"15-24","25-34","35-49","50+"},PrEP!$D:$D,"Male"))</f>
        <v>0</v>
      </c>
      <c r="F37" s="14">
        <f>_xlfn.IFNA(INDEX(KP!$I:$I,MATCH(($B37&amp;"|"&amp;F$3),KP!$D:$D,0)),"")</f>
        <v>0</v>
      </c>
      <c r="G37" s="14">
        <f>_xlfn.IFNA(INDEX(KP!$I:$I,MATCH(($B37&amp;"|"&amp;G$3),KP!$D:$D,0)),"")</f>
        <v>0</v>
      </c>
      <c r="H37" s="14">
        <f>_xlfn.IFNA(INDEX(KP!$I:$I,MATCH(($B37&amp;"|"&amp;H$3),KP!$D:$D,0)),"")</f>
        <v>0</v>
      </c>
      <c r="I37" s="14">
        <f>_xlfn.IFNA(INDEX(KP!$I:$I,MATCH(($B37&amp;"|"&amp;I$3),KP!$D:$D,0)),"")</f>
        <v>0</v>
      </c>
      <c r="J37" s="14">
        <f>_xlfn.IFNA(INDEX(KP!$I:$I,MATCH(($B37&amp;"|"&amp;J$3),KP!$D:$D,0)),"")</f>
        <v>0</v>
      </c>
      <c r="K37" s="14">
        <f>SUM(SUMIFS(PrEP!$L:$L,PrEP!$B:$B,$B37,PrEP!$C:$C,{"15-24","25-34","35-49","50+"},PrEP!$D:$D,"Female"))</f>
        <v>0</v>
      </c>
      <c r="L37" s="14">
        <f>SUM(SUMIFS(PrEP!$L:$L,PrEP!$B:$B,$B37,PrEP!$C:$C,{"15-24","25-34"},PrEP!$D:$D,"Female"))</f>
        <v>0</v>
      </c>
      <c r="M37" s="14">
        <f>SUM(SUMIFS(PrEP!$L:$L,PrEP!$B:$B,$B37,PrEP!$C:$C,{"15-24","25-34","35-49","50+"},PrEP!$D:$D,"Male"))</f>
        <v>0</v>
      </c>
      <c r="N37" s="14">
        <f>_xlfn.IFNA(INDEX(KP!$K:$K,MATCH(($B37&amp;"|"&amp;N$3),KP!$D:$D,0)),"")</f>
        <v>0</v>
      </c>
      <c r="O37" s="14">
        <f>_xlfn.IFNA(INDEX(KP!$K:$K,MATCH(($B37&amp;"|"&amp;O$3),KP!$D:$D,0)),"")</f>
        <v>0</v>
      </c>
      <c r="P37" s="14">
        <f>_xlfn.IFNA(INDEX(KP!$K:$K,MATCH(($B37&amp;"|"&amp;P$3),KP!$D:$D,0)),"")</f>
        <v>0</v>
      </c>
      <c r="Q37" s="14">
        <f>_xlfn.IFNA(INDEX(KP!$K:$K,MATCH(($B37&amp;"|"&amp;Q$3),KP!$D:$D,0)),"")</f>
        <v>0</v>
      </c>
      <c r="R37" s="14">
        <f>_xlfn.IFNA(INDEX(KP!$K:$K,MATCH(($B37&amp;"|"&amp;R$3),KP!$D:$D,0)),"")</f>
        <v>0</v>
      </c>
      <c r="S37" s="14">
        <f>SUM(SUMIFS(Cascade!$AP:$AP,Cascade!$B:$B,$B37,Cascade!$C:$C,{"15-24","25-34","35-49","50+"},Cascade!$D:$D,"Female"))</f>
        <v>0</v>
      </c>
      <c r="T37" s="14">
        <f>SUM(SUMIFS(Cascade!$AP:$AP,Cascade!$B:$B,$B37,Cascade!$C:$C,{"15-24","25-34","35-49","50+"},Cascade!$D:$D,"Male"))</f>
        <v>0</v>
      </c>
      <c r="U37" s="14" t="str">
        <f>_xlfn.IFNA(INDEX(KP!$Q:$Q,MATCH(($B37&amp;"|"&amp;U$3),KP!$D:$D,0)),"")</f>
        <v/>
      </c>
      <c r="V37" s="14" t="str">
        <f>_xlfn.IFNA(INDEX(KP!$Q:$Q,MATCH(($B37&amp;"|"&amp;V$3),KP!$D:$D,0)),"")</f>
        <v/>
      </c>
      <c r="W37" s="14" t="str">
        <f>_xlfn.IFNA(INDEX(KP!$Q:$Q,MATCH(($B37&amp;"|"&amp;W$3),KP!$D:$D,0)),"")</f>
        <v/>
      </c>
      <c r="X37" s="14" t="str">
        <f>_xlfn.IFNA(INDEX(KP!$Q:$Q,MATCH(($B37&amp;"|"&amp;X$3),KP!$D:$D,0)),"")</f>
        <v/>
      </c>
      <c r="Y37" s="14" t="str">
        <f>_xlfn.IFNA(INDEX(KP!$Q:$Q,MATCH(($B37&amp;"|"&amp;Y$3),KP!$D:$D,0)),"")</f>
        <v/>
      </c>
      <c r="Z37" s="14">
        <f>SUM(SUMIFS(Cascade!$AX:$AX,Cascade!$B:$B,$B37,Cascade!$C:$C,{"15-24","25-34","35-49","50+"},Cascade!$D:$D,"Female"))</f>
        <v>0</v>
      </c>
      <c r="AA37" s="14">
        <f>SUM(SUMIFS(Cascade!$AX:$AX,Cascade!$B:$B,$B37,Cascade!$C:$C,{"15-24","25-34","35-49","50+"},Cascade!$D:$D,"Male"))</f>
        <v>0</v>
      </c>
      <c r="AB37" s="14" t="str">
        <f>_xlfn.IFNA(INDEX(KP!$Z:$Z,MATCH(($B37&amp;"|"&amp;AB$3),KP!$D:$D,0)),"")</f>
        <v/>
      </c>
      <c r="AC37" s="14" t="str">
        <f>_xlfn.IFNA(INDEX(KP!$Z:$Z,MATCH(($B37&amp;"|"&amp;AC$3),KP!$D:$D,0)),"")</f>
        <v/>
      </c>
      <c r="AD37" s="14" t="str">
        <f>_xlfn.IFNA(INDEX(KP!$Z:$Z,MATCH(($B37&amp;"|"&amp;AD$3),KP!$D:$D,0)),"")</f>
        <v/>
      </c>
      <c r="AE37" s="14" t="str">
        <f>_xlfn.IFNA(INDEX(KP!$Z:$Z,MATCH(($B37&amp;"|"&amp;AE$3),KP!$D:$D,0)),"")</f>
        <v/>
      </c>
      <c r="AF37" s="14" t="str">
        <f>_xlfn.IFNA(INDEX(KP!$Z:$Z,MATCH(($B37&amp;"|"&amp;AF$3),KP!$D:$D,0)),"")</f>
        <v/>
      </c>
      <c r="AG37" s="14">
        <f>SUM(SUMIFS(Cascade!$BB:$BB,Cascade!$B:$B,$B37,Cascade!$C:$C,{"15-24","25-34","35-49","50+"},Cascade!$D:$D,"Female"))</f>
        <v>0</v>
      </c>
      <c r="AH37" s="14">
        <f>SUM(SUMIFS(Cascade!$BB:$BB,Cascade!$B:$B,$B37,Cascade!$C:$C,{"15-24","25-34","35-49","50+"},Cascade!$D:$D,"Male"))</f>
        <v>0</v>
      </c>
      <c r="AI37" s="14" t="str">
        <f>_xlfn.IFNA(INDEX(KP!$AD:$AD,MATCH(($B37&amp;"|"&amp;AI$3),KP!$D:$D,0)),"")</f>
        <v/>
      </c>
      <c r="AJ37" s="14" t="str">
        <f>_xlfn.IFNA(INDEX(KP!$AD:$AD,MATCH(($B37&amp;"|"&amp;AJ$3),KP!$D:$D,0)),"")</f>
        <v/>
      </c>
      <c r="AK37" s="14" t="str">
        <f>_xlfn.IFNA(INDEX(KP!$AD:$AD,MATCH(($B37&amp;"|"&amp;AK$3),KP!$D:$D,0)),"")</f>
        <v/>
      </c>
      <c r="AL37" s="14" t="str">
        <f>_xlfn.IFNA(INDEX(KP!$AD:$AD,MATCH(($B37&amp;"|"&amp;AL$3),KP!$D:$D,0)),"")</f>
        <v/>
      </c>
      <c r="AM37" s="14" t="str">
        <f>_xlfn.IFNA(INDEX(KP!$AD:$AD,MATCH(($B37&amp;"|"&amp;AM$3),KP!$D:$D,0)),"")</f>
        <v/>
      </c>
      <c r="AN37" s="14">
        <f>SUM(SUMIFS(Cascade!$BE:$BE,Cascade!$B:$B,$B37,Cascade!$C:$C,{"15-24","25-34","35-49","50+"},Cascade!$D:$D,"Female"))</f>
        <v>0</v>
      </c>
      <c r="AO37" s="14">
        <f>SUM(SUMIFS(Cascade!$BE:$BE,Cascade!$B:$B,$B37,Cascade!$C:$C,{"15-24","25-34","35-49","50+"},Cascade!$D:$D,"Male"))</f>
        <v>0</v>
      </c>
      <c r="AP37" s="14" t="str">
        <f>_xlfn.IFNA(INDEX(KP!$AF:$AF,MATCH(($B37&amp;"|"&amp;AP$3),KP!$D:$D,0)),"")</f>
        <v/>
      </c>
      <c r="AQ37" s="14" t="str">
        <f>_xlfn.IFNA(INDEX(KP!$AF:$AF,MATCH(($B37&amp;"|"&amp;AQ$3),KP!$D:$D,0)),"")</f>
        <v/>
      </c>
      <c r="AR37" s="14" t="str">
        <f>_xlfn.IFNA(INDEX(KP!$AF:$AF,MATCH(($B37&amp;"|"&amp;AR$3),KP!$D:$D,0)),"")</f>
        <v/>
      </c>
      <c r="AS37" s="14" t="str">
        <f>_xlfn.IFNA(INDEX(KP!$AF:$AF,MATCH(($B37&amp;"|"&amp;AS$3),KP!$D:$D,0)),"")</f>
        <v/>
      </c>
      <c r="AT37" s="14" t="str">
        <f>_xlfn.IFNA(INDEX(KP!$AF:$AF,MATCH(($B37&amp;"|"&amp;AT$3),KP!$D:$D,0)),"")</f>
        <v/>
      </c>
      <c r="AU37" s="14">
        <f>SUM(SUMIFS(HTS!$AM:$AM,HTS!$B:$B,$B37,HTS!$C:$C,{"15-24","25-34","35-49","50+"},HTS!$D:$D,"Female"))</f>
        <v>0</v>
      </c>
      <c r="AV37" s="14">
        <f>SUM(SUMIFS(HTS!$AM:$AM,HTS!$B:$B,$B37,HTS!$C:$C,{"15-24","25-34","35-49","50+"},HTS!$D:$D,"Male"))</f>
        <v>0</v>
      </c>
      <c r="AW37" s="14" t="str">
        <f>_xlfn.IFNA(INDEX(KP!$AK:$AK,MATCH(($B37&amp;"|"&amp;AW$3),KP!$D:$D,0)),"")</f>
        <v/>
      </c>
      <c r="AX37" s="14" t="str">
        <f>_xlfn.IFNA(INDEX(KP!$AK:$AK,MATCH(($B37&amp;"|"&amp;AX$3),KP!$D:$D,0)),"")</f>
        <v/>
      </c>
      <c r="AY37" s="14" t="str">
        <f>_xlfn.IFNA(INDEX(KP!$AK:$AK,MATCH(($B37&amp;"|"&amp;AY$3),KP!$D:$D,0)),"")</f>
        <v/>
      </c>
      <c r="AZ37" s="14" t="str">
        <f>_xlfn.IFNA(INDEX(KP!$AK:$AK,MATCH(($B37&amp;"|"&amp;AZ$3),KP!$D:$D,0)),"")</f>
        <v/>
      </c>
      <c r="BA37" s="14" t="str">
        <f>_xlfn.IFNA(INDEX(KP!$AK:$AK,MATCH(($B37&amp;"|"&amp;BA$3),KP!$D:$D,0)),"")</f>
        <v/>
      </c>
      <c r="BB37" s="14">
        <f>SUM(SUMIFS(HTS!$AT:$AT,HTS!$B:$B,$B37,HTS!$C:$C,{"15-24","25-34","35-49","50+"},HTS!$D:$D,"Female"))</f>
        <v>0</v>
      </c>
      <c r="BC37" s="14">
        <f>SUM(SUMIFS(HTS!$AT:$AT,HTS!$B:$B,$B37,HTS!$C:$C,{"15-24","25-34","35-49","50+"},HTS!$D:$D,"Male"))</f>
        <v>0</v>
      </c>
      <c r="BD37" s="14" t="str">
        <f>_xlfn.IFNA(INDEX(KP!$AL:$AL,MATCH(($B37&amp;"|"&amp;BD$3),KP!$D:$D,0)),"")</f>
        <v/>
      </c>
      <c r="BE37" s="14" t="str">
        <f>_xlfn.IFNA(INDEX(KP!$AL:$AL,MATCH(($B37&amp;"|"&amp;BE$3),KP!$D:$D,0)),"")</f>
        <v/>
      </c>
      <c r="BF37" s="14" t="str">
        <f>_xlfn.IFNA(INDEX(KP!$AL:$AL,MATCH(($B37&amp;"|"&amp;BF$3),KP!$D:$D,0)),"")</f>
        <v/>
      </c>
      <c r="BG37" s="14" t="str">
        <f>_xlfn.IFNA(INDEX(KP!$AL:$AL,MATCH(($B37&amp;"|"&amp;BG$3),KP!$D:$D,0)),"")</f>
        <v/>
      </c>
      <c r="BH37" s="14" t="str">
        <f>_xlfn.IFNA(INDEX(KP!$AL:$AL,MATCH(($B37&amp;"|"&amp;BH$3),KP!$D:$D,0)),"")</f>
        <v/>
      </c>
      <c r="BI37" s="14">
        <f>SUM(SUMIFS(HTS!$BA:$BA,HTS!$B:$B,$B37,HTS!$C:$C,{"15-24","25-34","35-49","50+"},HTS!$D:$D,"Female"))</f>
        <v>0</v>
      </c>
      <c r="BJ37" s="14">
        <f>SUM(SUMIFS(HTS!$BA:$BA,HTS!$B:$B,$B37,HTS!$C:$C,{"15-24","25-34","35-49","50+"},HTS!$D:$D,"Male"))</f>
        <v>0</v>
      </c>
      <c r="BK37" s="14" t="str">
        <f>_xlfn.IFNA(INDEX(KP!$AN:$AN,MATCH(($B37&amp;"|"&amp;BK$3),KP!$D:$D,0)),"")</f>
        <v/>
      </c>
      <c r="BL37" s="14" t="str">
        <f>_xlfn.IFNA(INDEX(KP!$AN:$AN,MATCH(($B37&amp;"|"&amp;BL$3),KP!$D:$D,0)),"")</f>
        <v/>
      </c>
      <c r="BM37" s="14" t="str">
        <f>_xlfn.IFNA(INDEX(KP!$AN:$AN,MATCH(($B37&amp;"|"&amp;BM$3),KP!$D:$D,0)),"")</f>
        <v/>
      </c>
      <c r="BN37" s="14" t="str">
        <f>_xlfn.IFNA(INDEX(KP!$AN:$AN,MATCH(($B37&amp;"|"&amp;BN$3),KP!$D:$D,0)),"")</f>
        <v/>
      </c>
      <c r="BO37" s="14" t="str">
        <f>_xlfn.IFNA(INDEX(KP!$AN:$AN,MATCH(($B37&amp;"|"&amp;BO$3),KP!$D:$D,0)),"")</f>
        <v/>
      </c>
      <c r="BP37" s="14">
        <f>SUM(SUMIFS(HTS!$AY:$AY,HTS!$B:$B,$B37,HTS!$C:$C,{"15-24","25-34","35-49","50+"},HTS!$D:$D,"Female"))</f>
        <v>287</v>
      </c>
      <c r="BQ37" s="14">
        <f>SUM(SUMIFS(HTS!$AY:$AY,HTS!$B:$B,$B37,HTS!$C:$C,{"15-24","25-34","35-49","50+"},HTS!$D:$D,"Male"))</f>
        <v>774</v>
      </c>
      <c r="BR37" s="14">
        <f>_xlfn.IFNA(INDEX(KP!$AP:$AP,MATCH(($B37&amp;"|"&amp;BR$3),KP!$D:$D,0)),"")</f>
        <v>0</v>
      </c>
      <c r="BS37" s="14">
        <f>_xlfn.IFNA(INDEX(KP!$AP:$AP,MATCH(($B37&amp;"|"&amp;BS$3),KP!$D:$D,0)),"")</f>
        <v>0</v>
      </c>
      <c r="BT37" s="14">
        <f>_xlfn.IFNA(INDEX(KP!$AP:$AP,MATCH(($B37&amp;"|"&amp;BT$3),KP!$D:$D,0)),"")</f>
        <v>0</v>
      </c>
      <c r="BU37" s="14">
        <f>_xlfn.IFNA(INDEX(KP!$AP:$AP,MATCH(($B37&amp;"|"&amp;BU$3),KP!$D:$D,0)),"")</f>
        <v>0</v>
      </c>
      <c r="BV37" s="14">
        <f>_xlfn.IFNA(INDEX(KP!$AP:$AP,MATCH(($B37&amp;"|"&amp;BV$3),KP!$D:$D,0)),"")</f>
        <v>0</v>
      </c>
    </row>
    <row r="38" spans="1:74" x14ac:dyDescent="0.2">
      <c r="A38" s="93" t="str">
        <f>INDEX(Prioritization!$D:$D,MATCH($B38,Prioritization!$A:$A,0))</f>
        <v>INVALID</v>
      </c>
      <c r="B38" s="43" t="s">
        <v>216</v>
      </c>
      <c r="C38" s="14">
        <f>SUM(SUMIFS(PrEP!$O:$O,PrEP!$B:$B,$B38,PrEP!$C:$C,{"15-24","25-34","35-49","50+"},PrEP!$D:$D,"Female"))</f>
        <v>0</v>
      </c>
      <c r="D38" s="14">
        <f>SUM(SUMIFS(PrEP!$O:$O,PrEP!$B:$B,$B38,PrEP!$C:$C,{"15-24","25-34"},PrEP!$D:$D,"Female"))</f>
        <v>0</v>
      </c>
      <c r="E38" s="14">
        <f>SUM(SUMIFS(PrEP!$O:$O,PrEP!$B:$B,$B38,PrEP!$C:$C,{"15-24","25-34","35-49","50+"},PrEP!$D:$D,"Male"))</f>
        <v>0</v>
      </c>
      <c r="F38" s="14">
        <f>_xlfn.IFNA(INDEX(KP!$I:$I,MATCH(($B38&amp;"|"&amp;F$3),KP!$D:$D,0)),"")</f>
        <v>0</v>
      </c>
      <c r="G38" s="14">
        <f>_xlfn.IFNA(INDEX(KP!$I:$I,MATCH(($B38&amp;"|"&amp;G$3),KP!$D:$D,0)),"")</f>
        <v>0</v>
      </c>
      <c r="H38" s="14">
        <f>_xlfn.IFNA(INDEX(KP!$I:$I,MATCH(($B38&amp;"|"&amp;H$3),KP!$D:$D,0)),"")</f>
        <v>0</v>
      </c>
      <c r="I38" s="14">
        <f>_xlfn.IFNA(INDEX(KP!$I:$I,MATCH(($B38&amp;"|"&amp;I$3),KP!$D:$D,0)),"")</f>
        <v>0</v>
      </c>
      <c r="J38" s="14">
        <f>_xlfn.IFNA(INDEX(KP!$I:$I,MATCH(($B38&amp;"|"&amp;J$3),KP!$D:$D,0)),"")</f>
        <v>0</v>
      </c>
      <c r="K38" s="14">
        <f>SUM(SUMIFS(PrEP!$L:$L,PrEP!$B:$B,$B38,PrEP!$C:$C,{"15-24","25-34","35-49","50+"},PrEP!$D:$D,"Female"))</f>
        <v>1</v>
      </c>
      <c r="L38" s="14">
        <f>SUM(SUMIFS(PrEP!$L:$L,PrEP!$B:$B,$B38,PrEP!$C:$C,{"15-24","25-34"},PrEP!$D:$D,"Female"))</f>
        <v>0</v>
      </c>
      <c r="M38" s="14">
        <f>SUM(SUMIFS(PrEP!$L:$L,PrEP!$B:$B,$B38,PrEP!$C:$C,{"15-24","25-34","35-49","50+"},PrEP!$D:$D,"Male"))</f>
        <v>1</v>
      </c>
      <c r="N38" s="14">
        <f>_xlfn.IFNA(INDEX(KP!$K:$K,MATCH(($B38&amp;"|"&amp;N$3),KP!$D:$D,0)),"")</f>
        <v>0</v>
      </c>
      <c r="O38" s="14">
        <f>_xlfn.IFNA(INDEX(KP!$K:$K,MATCH(($B38&amp;"|"&amp;O$3),KP!$D:$D,0)),"")</f>
        <v>0</v>
      </c>
      <c r="P38" s="14">
        <f>_xlfn.IFNA(INDEX(KP!$K:$K,MATCH(($B38&amp;"|"&amp;P$3),KP!$D:$D,0)),"")</f>
        <v>0</v>
      </c>
      <c r="Q38" s="14">
        <f>_xlfn.IFNA(INDEX(KP!$K:$K,MATCH(($B38&amp;"|"&amp;Q$3),KP!$D:$D,0)),"")</f>
        <v>0</v>
      </c>
      <c r="R38" s="14">
        <f>_xlfn.IFNA(INDEX(KP!$K:$K,MATCH(($B38&amp;"|"&amp;R$3),KP!$D:$D,0)),"")</f>
        <v>0</v>
      </c>
      <c r="S38" s="14">
        <f>SUM(SUMIFS(Cascade!$AP:$AP,Cascade!$B:$B,$B38,Cascade!$C:$C,{"15-24","25-34","35-49","50+"},Cascade!$D:$D,"Female"))</f>
        <v>0</v>
      </c>
      <c r="T38" s="14">
        <f>SUM(SUMIFS(Cascade!$AP:$AP,Cascade!$B:$B,$B38,Cascade!$C:$C,{"15-24","25-34","35-49","50+"},Cascade!$D:$D,"Male"))</f>
        <v>0</v>
      </c>
      <c r="U38" s="14">
        <f>_xlfn.IFNA(INDEX(KP!$Q:$Q,MATCH(($B38&amp;"|"&amp;U$3),KP!$D:$D,0)),"")</f>
        <v>56</v>
      </c>
      <c r="V38" s="14">
        <f>_xlfn.IFNA(INDEX(KP!$Q:$Q,MATCH(($B38&amp;"|"&amp;V$3),KP!$D:$D,0)),"")</f>
        <v>8</v>
      </c>
      <c r="W38" s="14">
        <f>_xlfn.IFNA(INDEX(KP!$Q:$Q,MATCH(($B38&amp;"|"&amp;W$3),KP!$D:$D,0)),"")</f>
        <v>6</v>
      </c>
      <c r="X38" s="14" t="str">
        <f>_xlfn.IFNA(INDEX(KP!$Q:$Q,MATCH(($B38&amp;"|"&amp;X$3),KP!$D:$D,0)),"")</f>
        <v/>
      </c>
      <c r="Y38" s="14" t="str">
        <f>_xlfn.IFNA(INDEX(KP!$Q:$Q,MATCH(($B38&amp;"|"&amp;Y$3),KP!$D:$D,0)),"")</f>
        <v/>
      </c>
      <c r="Z38" s="14">
        <f>SUM(SUMIFS(Cascade!$AX:$AX,Cascade!$B:$B,$B38,Cascade!$C:$C,{"15-24","25-34","35-49","50+"},Cascade!$D:$D,"Female"))</f>
        <v>0</v>
      </c>
      <c r="AA38" s="14">
        <f>SUM(SUMIFS(Cascade!$AX:$AX,Cascade!$B:$B,$B38,Cascade!$C:$C,{"15-24","25-34","35-49","50+"},Cascade!$D:$D,"Male"))</f>
        <v>0</v>
      </c>
      <c r="AB38" s="14">
        <f>_xlfn.IFNA(INDEX(KP!$Z:$Z,MATCH(($B38&amp;"|"&amp;AB$3),KP!$D:$D,0)),"")</f>
        <v>1</v>
      </c>
      <c r="AC38" s="14" t="str">
        <f>_xlfn.IFNA(INDEX(KP!$Z:$Z,MATCH(($B38&amp;"|"&amp;AC$3),KP!$D:$D,0)),"")</f>
        <v/>
      </c>
      <c r="AD38" s="14" t="str">
        <f>_xlfn.IFNA(INDEX(KP!$Z:$Z,MATCH(($B38&amp;"|"&amp;AD$3),KP!$D:$D,0)),"")</f>
        <v/>
      </c>
      <c r="AE38" s="14" t="str">
        <f>_xlfn.IFNA(INDEX(KP!$Z:$Z,MATCH(($B38&amp;"|"&amp;AE$3),KP!$D:$D,0)),"")</f>
        <v/>
      </c>
      <c r="AF38" s="14" t="str">
        <f>_xlfn.IFNA(INDEX(KP!$Z:$Z,MATCH(($B38&amp;"|"&amp;AF$3),KP!$D:$D,0)),"")</f>
        <v/>
      </c>
      <c r="AG38" s="14">
        <f>SUM(SUMIFS(Cascade!$BB:$BB,Cascade!$B:$B,$B38,Cascade!$C:$C,{"15-24","25-34","35-49","50+"},Cascade!$D:$D,"Female"))</f>
        <v>0</v>
      </c>
      <c r="AH38" s="14">
        <f>SUM(SUMIFS(Cascade!$BB:$BB,Cascade!$B:$B,$B38,Cascade!$C:$C,{"15-24","25-34","35-49","50+"},Cascade!$D:$D,"Male"))</f>
        <v>0</v>
      </c>
      <c r="AI38" s="14">
        <f>_xlfn.IFNA(INDEX(KP!$AD:$AD,MATCH(($B38&amp;"|"&amp;AI$3),KP!$D:$D,0)),"")</f>
        <v>54</v>
      </c>
      <c r="AJ38" s="14">
        <f>_xlfn.IFNA(INDEX(KP!$AD:$AD,MATCH(($B38&amp;"|"&amp;AJ$3),KP!$D:$D,0)),"")</f>
        <v>8</v>
      </c>
      <c r="AK38" s="14">
        <f>_xlfn.IFNA(INDEX(KP!$AD:$AD,MATCH(($B38&amp;"|"&amp;AK$3),KP!$D:$D,0)),"")</f>
        <v>6</v>
      </c>
      <c r="AL38" s="14" t="str">
        <f>_xlfn.IFNA(INDEX(KP!$AD:$AD,MATCH(($B38&amp;"|"&amp;AL$3),KP!$D:$D,0)),"")</f>
        <v/>
      </c>
      <c r="AM38" s="14" t="str">
        <f>_xlfn.IFNA(INDEX(KP!$AD:$AD,MATCH(($B38&amp;"|"&amp;AM$3),KP!$D:$D,0)),"")</f>
        <v/>
      </c>
      <c r="AN38" s="14">
        <f>SUM(SUMIFS(Cascade!$BE:$BE,Cascade!$B:$B,$B38,Cascade!$C:$C,{"15-24","25-34","35-49","50+"},Cascade!$D:$D,"Female"))</f>
        <v>0</v>
      </c>
      <c r="AO38" s="14">
        <f>SUM(SUMIFS(Cascade!$BE:$BE,Cascade!$B:$B,$B38,Cascade!$C:$C,{"15-24","25-34","35-49","50+"},Cascade!$D:$D,"Male"))</f>
        <v>0</v>
      </c>
      <c r="AP38" s="14">
        <f>_xlfn.IFNA(INDEX(KP!$AF:$AF,MATCH(($B38&amp;"|"&amp;AP$3),KP!$D:$D,0)),"")</f>
        <v>51</v>
      </c>
      <c r="AQ38" s="14">
        <f>_xlfn.IFNA(INDEX(KP!$AF:$AF,MATCH(($B38&amp;"|"&amp;AQ$3),KP!$D:$D,0)),"")</f>
        <v>8</v>
      </c>
      <c r="AR38" s="14">
        <f>_xlfn.IFNA(INDEX(KP!$AF:$AF,MATCH(($B38&amp;"|"&amp;AR$3),KP!$D:$D,0)),"")</f>
        <v>6</v>
      </c>
      <c r="AS38" s="14" t="str">
        <f>_xlfn.IFNA(INDEX(KP!$AF:$AF,MATCH(($B38&amp;"|"&amp;AS$3),KP!$D:$D,0)),"")</f>
        <v/>
      </c>
      <c r="AT38" s="14" t="str">
        <f>_xlfn.IFNA(INDEX(KP!$AF:$AF,MATCH(($B38&amp;"|"&amp;AT$3),KP!$D:$D,0)),"")</f>
        <v/>
      </c>
      <c r="AU38" s="14">
        <f>SUM(SUMIFS(HTS!$AM:$AM,HTS!$B:$B,$B38,HTS!$C:$C,{"15-24","25-34","35-49","50+"},HTS!$D:$D,"Female"))</f>
        <v>0</v>
      </c>
      <c r="AV38" s="14">
        <f>SUM(SUMIFS(HTS!$AM:$AM,HTS!$B:$B,$B38,HTS!$C:$C,{"15-24","25-34","35-49","50+"},HTS!$D:$D,"Male"))</f>
        <v>0</v>
      </c>
      <c r="AW38" s="14">
        <f>_xlfn.IFNA(INDEX(KP!$AK:$AK,MATCH(($B38&amp;"|"&amp;AW$3),KP!$D:$D,0)),"")</f>
        <v>1</v>
      </c>
      <c r="AX38" s="14" t="str">
        <f>_xlfn.IFNA(INDEX(KP!$AK:$AK,MATCH(($B38&amp;"|"&amp;AX$3),KP!$D:$D,0)),"")</f>
        <v/>
      </c>
      <c r="AY38" s="14" t="str">
        <f>_xlfn.IFNA(INDEX(KP!$AK:$AK,MATCH(($B38&amp;"|"&amp;AY$3),KP!$D:$D,0)),"")</f>
        <v/>
      </c>
      <c r="AZ38" s="14" t="str">
        <f>_xlfn.IFNA(INDEX(KP!$AK:$AK,MATCH(($B38&amp;"|"&amp;AZ$3),KP!$D:$D,0)),"")</f>
        <v/>
      </c>
      <c r="BA38" s="14" t="str">
        <f>_xlfn.IFNA(INDEX(KP!$AK:$AK,MATCH(($B38&amp;"|"&amp;BA$3),KP!$D:$D,0)),"")</f>
        <v/>
      </c>
      <c r="BB38" s="14">
        <f>SUM(SUMIFS(HTS!$AT:$AT,HTS!$B:$B,$B38,HTS!$C:$C,{"15-24","25-34","35-49","50+"},HTS!$D:$D,"Female"))</f>
        <v>0</v>
      </c>
      <c r="BC38" s="14">
        <f>SUM(SUMIFS(HTS!$AT:$AT,HTS!$B:$B,$B38,HTS!$C:$C,{"15-24","25-34","35-49","50+"},HTS!$D:$D,"Male"))</f>
        <v>0</v>
      </c>
      <c r="BD38" s="14" t="str">
        <f>_xlfn.IFNA(INDEX(KP!$AL:$AL,MATCH(($B38&amp;"|"&amp;BD$3),KP!$D:$D,0)),"")</f>
        <v>ENTER YIELD RATE</v>
      </c>
      <c r="BE38" s="14" t="str">
        <f>_xlfn.IFNA(INDEX(KP!$AL:$AL,MATCH(($B38&amp;"|"&amp;BE$3),KP!$D:$D,0)),"")</f>
        <v/>
      </c>
      <c r="BF38" s="14" t="str">
        <f>_xlfn.IFNA(INDEX(KP!$AL:$AL,MATCH(($B38&amp;"|"&amp;BF$3),KP!$D:$D,0)),"")</f>
        <v/>
      </c>
      <c r="BG38" s="14" t="str">
        <f>_xlfn.IFNA(INDEX(KP!$AL:$AL,MATCH(($B38&amp;"|"&amp;BG$3),KP!$D:$D,0)),"")</f>
        <v/>
      </c>
      <c r="BH38" s="14" t="str">
        <f>_xlfn.IFNA(INDEX(KP!$AL:$AL,MATCH(($B38&amp;"|"&amp;BH$3),KP!$D:$D,0)),"")</f>
        <v/>
      </c>
      <c r="BI38" s="14">
        <f>SUM(SUMIFS(HTS!$BA:$BA,HTS!$B:$B,$B38,HTS!$C:$C,{"15-24","25-34","35-49","50+"},HTS!$D:$D,"Female"))</f>
        <v>0</v>
      </c>
      <c r="BJ38" s="14">
        <f>SUM(SUMIFS(HTS!$BA:$BA,HTS!$B:$B,$B38,HTS!$C:$C,{"15-24","25-34","35-49","50+"},HTS!$D:$D,"Male"))</f>
        <v>0</v>
      </c>
      <c r="BK38" s="14">
        <f>_xlfn.IFNA(INDEX(KP!$AN:$AN,MATCH(($B38&amp;"|"&amp;BK$3),KP!$D:$D,0)),"")</f>
        <v>1</v>
      </c>
      <c r="BL38" s="14" t="str">
        <f>_xlfn.IFNA(INDEX(KP!$AN:$AN,MATCH(($B38&amp;"|"&amp;BL$3),KP!$D:$D,0)),"")</f>
        <v/>
      </c>
      <c r="BM38" s="14" t="str">
        <f>_xlfn.IFNA(INDEX(KP!$AN:$AN,MATCH(($B38&amp;"|"&amp;BM$3),KP!$D:$D,0)),"")</f>
        <v/>
      </c>
      <c r="BN38" s="14" t="str">
        <f>_xlfn.IFNA(INDEX(KP!$AN:$AN,MATCH(($B38&amp;"|"&amp;BN$3),KP!$D:$D,0)),"")</f>
        <v/>
      </c>
      <c r="BO38" s="14" t="str">
        <f>_xlfn.IFNA(INDEX(KP!$AN:$AN,MATCH(($B38&amp;"|"&amp;BO$3),KP!$D:$D,0)),"")</f>
        <v/>
      </c>
      <c r="BP38" s="14">
        <f>SUM(SUMIFS(HTS!$AY:$AY,HTS!$B:$B,$B38,HTS!$C:$C,{"15-24","25-34","35-49","50+"},HTS!$D:$D,"Female"))</f>
        <v>6</v>
      </c>
      <c r="BQ38" s="14">
        <f>SUM(SUMIFS(HTS!$AY:$AY,HTS!$B:$B,$B38,HTS!$C:$C,{"15-24","25-34","35-49","50+"},HTS!$D:$D,"Male"))</f>
        <v>58</v>
      </c>
      <c r="BR38" s="14">
        <f>_xlfn.IFNA(INDEX(KP!$AP:$AP,MATCH(($B38&amp;"|"&amp;BR$3),KP!$D:$D,0)),"")</f>
        <v>0</v>
      </c>
      <c r="BS38" s="14">
        <f>_xlfn.IFNA(INDEX(KP!$AP:$AP,MATCH(($B38&amp;"|"&amp;BS$3),KP!$D:$D,0)),"")</f>
        <v>0</v>
      </c>
      <c r="BT38" s="14">
        <f>_xlfn.IFNA(INDEX(KP!$AP:$AP,MATCH(($B38&amp;"|"&amp;BT$3),KP!$D:$D,0)),"")</f>
        <v>0</v>
      </c>
      <c r="BU38" s="14">
        <f>_xlfn.IFNA(INDEX(KP!$AP:$AP,MATCH(($B38&amp;"|"&amp;BU$3),KP!$D:$D,0)),"")</f>
        <v>0</v>
      </c>
      <c r="BV38" s="14">
        <f>_xlfn.IFNA(INDEX(KP!$AP:$AP,MATCH(($B38&amp;"|"&amp;BV$3),KP!$D:$D,0)),"")</f>
        <v>0</v>
      </c>
    </row>
    <row r="39" spans="1:74" x14ac:dyDescent="0.2">
      <c r="A39" s="93" t="str">
        <f>INDEX(Prioritization!$D:$D,MATCH($B39,Prioritization!$A:$A,0))</f>
        <v>INVALID</v>
      </c>
      <c r="B39" s="43" t="s">
        <v>217</v>
      </c>
      <c r="C39" s="14">
        <f>SUM(SUMIFS(PrEP!$O:$O,PrEP!$B:$B,$B39,PrEP!$C:$C,{"15-24","25-34","35-49","50+"},PrEP!$D:$D,"Female"))</f>
        <v>0</v>
      </c>
      <c r="D39" s="14">
        <f>SUM(SUMIFS(PrEP!$O:$O,PrEP!$B:$B,$B39,PrEP!$C:$C,{"15-24","25-34"},PrEP!$D:$D,"Female"))</f>
        <v>0</v>
      </c>
      <c r="E39" s="14">
        <f>SUM(SUMIFS(PrEP!$O:$O,PrEP!$B:$B,$B39,PrEP!$C:$C,{"15-24","25-34","35-49","50+"},PrEP!$D:$D,"Male"))</f>
        <v>0</v>
      </c>
      <c r="F39" s="14">
        <f>_xlfn.IFNA(INDEX(KP!$I:$I,MATCH(($B39&amp;"|"&amp;F$3),KP!$D:$D,0)),"")</f>
        <v>0</v>
      </c>
      <c r="G39" s="14">
        <f>_xlfn.IFNA(INDEX(KP!$I:$I,MATCH(($B39&amp;"|"&amp;G$3),KP!$D:$D,0)),"")</f>
        <v>0</v>
      </c>
      <c r="H39" s="14">
        <f>_xlfn.IFNA(INDEX(KP!$I:$I,MATCH(($B39&amp;"|"&amp;H$3),KP!$D:$D,0)),"")</f>
        <v>0</v>
      </c>
      <c r="I39" s="14">
        <f>_xlfn.IFNA(INDEX(KP!$I:$I,MATCH(($B39&amp;"|"&amp;I$3),KP!$D:$D,0)),"")</f>
        <v>0</v>
      </c>
      <c r="J39" s="14">
        <f>_xlfn.IFNA(INDEX(KP!$I:$I,MATCH(($B39&amp;"|"&amp;J$3),KP!$D:$D,0)),"")</f>
        <v>0</v>
      </c>
      <c r="K39" s="14">
        <f>SUM(SUMIFS(PrEP!$L:$L,PrEP!$B:$B,$B39,PrEP!$C:$C,{"15-24","25-34","35-49","50+"},PrEP!$D:$D,"Female"))</f>
        <v>0</v>
      </c>
      <c r="L39" s="14">
        <f>SUM(SUMIFS(PrEP!$L:$L,PrEP!$B:$B,$B39,PrEP!$C:$C,{"15-24","25-34"},PrEP!$D:$D,"Female"))</f>
        <v>0</v>
      </c>
      <c r="M39" s="14">
        <f>SUM(SUMIFS(PrEP!$L:$L,PrEP!$B:$B,$B39,PrEP!$C:$C,{"15-24","25-34","35-49","50+"},PrEP!$D:$D,"Male"))</f>
        <v>0</v>
      </c>
      <c r="N39" s="14">
        <f>_xlfn.IFNA(INDEX(KP!$K:$K,MATCH(($B39&amp;"|"&amp;N$3),KP!$D:$D,0)),"")</f>
        <v>0</v>
      </c>
      <c r="O39" s="14">
        <f>_xlfn.IFNA(INDEX(KP!$K:$K,MATCH(($B39&amp;"|"&amp;O$3),KP!$D:$D,0)),"")</f>
        <v>0</v>
      </c>
      <c r="P39" s="14">
        <f>_xlfn.IFNA(INDEX(KP!$K:$K,MATCH(($B39&amp;"|"&amp;P$3),KP!$D:$D,0)),"")</f>
        <v>0</v>
      </c>
      <c r="Q39" s="14">
        <f>_xlfn.IFNA(INDEX(KP!$K:$K,MATCH(($B39&amp;"|"&amp;Q$3),KP!$D:$D,0)),"")</f>
        <v>0</v>
      </c>
      <c r="R39" s="14">
        <f>_xlfn.IFNA(INDEX(KP!$K:$K,MATCH(($B39&amp;"|"&amp;R$3),KP!$D:$D,0)),"")</f>
        <v>0</v>
      </c>
      <c r="S39" s="14">
        <f>SUM(SUMIFS(Cascade!$AP:$AP,Cascade!$B:$B,$B39,Cascade!$C:$C,{"15-24","25-34","35-49","50+"},Cascade!$D:$D,"Female"))</f>
        <v>0</v>
      </c>
      <c r="T39" s="14">
        <f>SUM(SUMIFS(Cascade!$AP:$AP,Cascade!$B:$B,$B39,Cascade!$C:$C,{"15-24","25-34","35-49","50+"},Cascade!$D:$D,"Male"))</f>
        <v>0</v>
      </c>
      <c r="U39" s="14" t="str">
        <f>_xlfn.IFNA(INDEX(KP!$Q:$Q,MATCH(($B39&amp;"|"&amp;U$3),KP!$D:$D,0)),"")</f>
        <v/>
      </c>
      <c r="V39" s="14" t="str">
        <f>_xlfn.IFNA(INDEX(KP!$Q:$Q,MATCH(($B39&amp;"|"&amp;V$3),KP!$D:$D,0)),"")</f>
        <v/>
      </c>
      <c r="W39" s="14">
        <f>_xlfn.IFNA(INDEX(KP!$Q:$Q,MATCH(($B39&amp;"|"&amp;W$3),KP!$D:$D,0)),"")</f>
        <v>4</v>
      </c>
      <c r="X39" s="14" t="str">
        <f>_xlfn.IFNA(INDEX(KP!$Q:$Q,MATCH(($B39&amp;"|"&amp;X$3),KP!$D:$D,0)),"")</f>
        <v/>
      </c>
      <c r="Y39" s="14" t="str">
        <f>_xlfn.IFNA(INDEX(KP!$Q:$Q,MATCH(($B39&amp;"|"&amp;Y$3),KP!$D:$D,0)),"")</f>
        <v/>
      </c>
      <c r="Z39" s="14">
        <f>SUM(SUMIFS(Cascade!$AX:$AX,Cascade!$B:$B,$B39,Cascade!$C:$C,{"15-24","25-34","35-49","50+"},Cascade!$D:$D,"Female"))</f>
        <v>0</v>
      </c>
      <c r="AA39" s="14">
        <f>SUM(SUMIFS(Cascade!$AX:$AX,Cascade!$B:$B,$B39,Cascade!$C:$C,{"15-24","25-34","35-49","50+"},Cascade!$D:$D,"Male"))</f>
        <v>0</v>
      </c>
      <c r="AB39" s="14" t="str">
        <f>_xlfn.IFNA(INDEX(KP!$Z:$Z,MATCH(($B39&amp;"|"&amp;AB$3),KP!$D:$D,0)),"")</f>
        <v/>
      </c>
      <c r="AC39" s="14" t="str">
        <f>_xlfn.IFNA(INDEX(KP!$Z:$Z,MATCH(($B39&amp;"|"&amp;AC$3),KP!$D:$D,0)),"")</f>
        <v/>
      </c>
      <c r="AD39" s="14" t="str">
        <f>_xlfn.IFNA(INDEX(KP!$Z:$Z,MATCH(($B39&amp;"|"&amp;AD$3),KP!$D:$D,0)),"")</f>
        <v/>
      </c>
      <c r="AE39" s="14" t="str">
        <f>_xlfn.IFNA(INDEX(KP!$Z:$Z,MATCH(($B39&amp;"|"&amp;AE$3),KP!$D:$D,0)),"")</f>
        <v/>
      </c>
      <c r="AF39" s="14" t="str">
        <f>_xlfn.IFNA(INDEX(KP!$Z:$Z,MATCH(($B39&amp;"|"&amp;AF$3),KP!$D:$D,0)),"")</f>
        <v/>
      </c>
      <c r="AG39" s="14">
        <f>SUM(SUMIFS(Cascade!$BB:$BB,Cascade!$B:$B,$B39,Cascade!$C:$C,{"15-24","25-34","35-49","50+"},Cascade!$D:$D,"Female"))</f>
        <v>0</v>
      </c>
      <c r="AH39" s="14">
        <f>SUM(SUMIFS(Cascade!$BB:$BB,Cascade!$B:$B,$B39,Cascade!$C:$C,{"15-24","25-34","35-49","50+"},Cascade!$D:$D,"Male"))</f>
        <v>0</v>
      </c>
      <c r="AI39" s="14" t="str">
        <f>_xlfn.IFNA(INDEX(KP!$AD:$AD,MATCH(($B39&amp;"|"&amp;AI$3),KP!$D:$D,0)),"")</f>
        <v/>
      </c>
      <c r="AJ39" s="14" t="str">
        <f>_xlfn.IFNA(INDEX(KP!$AD:$AD,MATCH(($B39&amp;"|"&amp;AJ$3),KP!$D:$D,0)),"")</f>
        <v/>
      </c>
      <c r="AK39" s="14">
        <f>_xlfn.IFNA(INDEX(KP!$AD:$AD,MATCH(($B39&amp;"|"&amp;AK$3),KP!$D:$D,0)),"")</f>
        <v>4</v>
      </c>
      <c r="AL39" s="14" t="str">
        <f>_xlfn.IFNA(INDEX(KP!$AD:$AD,MATCH(($B39&amp;"|"&amp;AL$3),KP!$D:$D,0)),"")</f>
        <v/>
      </c>
      <c r="AM39" s="14" t="str">
        <f>_xlfn.IFNA(INDEX(KP!$AD:$AD,MATCH(($B39&amp;"|"&amp;AM$3),KP!$D:$D,0)),"")</f>
        <v/>
      </c>
      <c r="AN39" s="14">
        <f>SUM(SUMIFS(Cascade!$BE:$BE,Cascade!$B:$B,$B39,Cascade!$C:$C,{"15-24","25-34","35-49","50+"},Cascade!$D:$D,"Female"))</f>
        <v>0</v>
      </c>
      <c r="AO39" s="14">
        <f>SUM(SUMIFS(Cascade!$BE:$BE,Cascade!$B:$B,$B39,Cascade!$C:$C,{"15-24","25-34","35-49","50+"},Cascade!$D:$D,"Male"))</f>
        <v>0</v>
      </c>
      <c r="AP39" s="14" t="str">
        <f>_xlfn.IFNA(INDEX(KP!$AF:$AF,MATCH(($B39&amp;"|"&amp;AP$3),KP!$D:$D,0)),"")</f>
        <v/>
      </c>
      <c r="AQ39" s="14" t="str">
        <f>_xlfn.IFNA(INDEX(KP!$AF:$AF,MATCH(($B39&amp;"|"&amp;AQ$3),KP!$D:$D,0)),"")</f>
        <v/>
      </c>
      <c r="AR39" s="14">
        <f>_xlfn.IFNA(INDEX(KP!$AF:$AF,MATCH(($B39&amp;"|"&amp;AR$3),KP!$D:$D,0)),"")</f>
        <v>4</v>
      </c>
      <c r="AS39" s="14" t="str">
        <f>_xlfn.IFNA(INDEX(KP!$AF:$AF,MATCH(($B39&amp;"|"&amp;AS$3),KP!$D:$D,0)),"")</f>
        <v/>
      </c>
      <c r="AT39" s="14" t="str">
        <f>_xlfn.IFNA(INDEX(KP!$AF:$AF,MATCH(($B39&amp;"|"&amp;AT$3),KP!$D:$D,0)),"")</f>
        <v/>
      </c>
      <c r="AU39" s="14">
        <f>SUM(SUMIFS(HTS!$AM:$AM,HTS!$B:$B,$B39,HTS!$C:$C,{"15-24","25-34","35-49","50+"},HTS!$D:$D,"Female"))</f>
        <v>0</v>
      </c>
      <c r="AV39" s="14">
        <f>SUM(SUMIFS(HTS!$AM:$AM,HTS!$B:$B,$B39,HTS!$C:$C,{"15-24","25-34","35-49","50+"},HTS!$D:$D,"Male"))</f>
        <v>0</v>
      </c>
      <c r="AW39" s="14" t="str">
        <f>_xlfn.IFNA(INDEX(KP!$AK:$AK,MATCH(($B39&amp;"|"&amp;AW$3),KP!$D:$D,0)),"")</f>
        <v/>
      </c>
      <c r="AX39" s="14" t="str">
        <f>_xlfn.IFNA(INDEX(KP!$AK:$AK,MATCH(($B39&amp;"|"&amp;AX$3),KP!$D:$D,0)),"")</f>
        <v/>
      </c>
      <c r="AY39" s="14" t="str">
        <f>_xlfn.IFNA(INDEX(KP!$AK:$AK,MATCH(($B39&amp;"|"&amp;AY$3),KP!$D:$D,0)),"")</f>
        <v/>
      </c>
      <c r="AZ39" s="14" t="str">
        <f>_xlfn.IFNA(INDEX(KP!$AK:$AK,MATCH(($B39&amp;"|"&amp;AZ$3),KP!$D:$D,0)),"")</f>
        <v/>
      </c>
      <c r="BA39" s="14" t="str">
        <f>_xlfn.IFNA(INDEX(KP!$AK:$AK,MATCH(($B39&amp;"|"&amp;BA$3),KP!$D:$D,0)),"")</f>
        <v/>
      </c>
      <c r="BB39" s="14">
        <f>SUM(SUMIFS(HTS!$AT:$AT,HTS!$B:$B,$B39,HTS!$C:$C,{"15-24","25-34","35-49","50+"},HTS!$D:$D,"Female"))</f>
        <v>0</v>
      </c>
      <c r="BC39" s="14">
        <f>SUM(SUMIFS(HTS!$AT:$AT,HTS!$B:$B,$B39,HTS!$C:$C,{"15-24","25-34","35-49","50+"},HTS!$D:$D,"Male"))</f>
        <v>0</v>
      </c>
      <c r="BD39" s="14" t="str">
        <f>_xlfn.IFNA(INDEX(KP!$AL:$AL,MATCH(($B39&amp;"|"&amp;BD$3),KP!$D:$D,0)),"")</f>
        <v/>
      </c>
      <c r="BE39" s="14" t="str">
        <f>_xlfn.IFNA(INDEX(KP!$AL:$AL,MATCH(($B39&amp;"|"&amp;BE$3),KP!$D:$D,0)),"")</f>
        <v/>
      </c>
      <c r="BF39" s="14" t="str">
        <f>_xlfn.IFNA(INDEX(KP!$AL:$AL,MATCH(($B39&amp;"|"&amp;BF$3),KP!$D:$D,0)),"")</f>
        <v/>
      </c>
      <c r="BG39" s="14" t="str">
        <f>_xlfn.IFNA(INDEX(KP!$AL:$AL,MATCH(($B39&amp;"|"&amp;BG$3),KP!$D:$D,0)),"")</f>
        <v/>
      </c>
      <c r="BH39" s="14" t="str">
        <f>_xlfn.IFNA(INDEX(KP!$AL:$AL,MATCH(($B39&amp;"|"&amp;BH$3),KP!$D:$D,0)),"")</f>
        <v/>
      </c>
      <c r="BI39" s="14">
        <f>SUM(SUMIFS(HTS!$BA:$BA,HTS!$B:$B,$B39,HTS!$C:$C,{"15-24","25-34","35-49","50+"},HTS!$D:$D,"Female"))</f>
        <v>0</v>
      </c>
      <c r="BJ39" s="14">
        <f>SUM(SUMIFS(HTS!$BA:$BA,HTS!$B:$B,$B39,HTS!$C:$C,{"15-24","25-34","35-49","50+"},HTS!$D:$D,"Male"))</f>
        <v>0</v>
      </c>
      <c r="BK39" s="14" t="str">
        <f>_xlfn.IFNA(INDEX(KP!$AN:$AN,MATCH(($B39&amp;"|"&amp;BK$3),KP!$D:$D,0)),"")</f>
        <v/>
      </c>
      <c r="BL39" s="14" t="str">
        <f>_xlfn.IFNA(INDEX(KP!$AN:$AN,MATCH(($B39&amp;"|"&amp;BL$3),KP!$D:$D,0)),"")</f>
        <v/>
      </c>
      <c r="BM39" s="14" t="str">
        <f>_xlfn.IFNA(INDEX(KP!$AN:$AN,MATCH(($B39&amp;"|"&amp;BM$3),KP!$D:$D,0)),"")</f>
        <v/>
      </c>
      <c r="BN39" s="14" t="str">
        <f>_xlfn.IFNA(INDEX(KP!$AN:$AN,MATCH(($B39&amp;"|"&amp;BN$3),KP!$D:$D,0)),"")</f>
        <v/>
      </c>
      <c r="BO39" s="14" t="str">
        <f>_xlfn.IFNA(INDEX(KP!$AN:$AN,MATCH(($B39&amp;"|"&amp;BO$3),KP!$D:$D,0)),"")</f>
        <v/>
      </c>
      <c r="BP39" s="14">
        <f>SUM(SUMIFS(HTS!$AY:$AY,HTS!$B:$B,$B39,HTS!$C:$C,{"15-24","25-34","35-49","50+"},HTS!$D:$D,"Female"))</f>
        <v>4</v>
      </c>
      <c r="BQ39" s="14">
        <f>SUM(SUMIFS(HTS!$AY:$AY,HTS!$B:$B,$B39,HTS!$C:$C,{"15-24","25-34","35-49","50+"},HTS!$D:$D,"Male"))</f>
        <v>0</v>
      </c>
      <c r="BR39" s="14">
        <f>_xlfn.IFNA(INDEX(KP!$AP:$AP,MATCH(($B39&amp;"|"&amp;BR$3),KP!$D:$D,0)),"")</f>
        <v>0</v>
      </c>
      <c r="BS39" s="14">
        <f>_xlfn.IFNA(INDEX(KP!$AP:$AP,MATCH(($B39&amp;"|"&amp;BS$3),KP!$D:$D,0)),"")</f>
        <v>0</v>
      </c>
      <c r="BT39" s="14">
        <f>_xlfn.IFNA(INDEX(KP!$AP:$AP,MATCH(($B39&amp;"|"&amp;BT$3),KP!$D:$D,0)),"")</f>
        <v>0</v>
      </c>
      <c r="BU39" s="14">
        <f>_xlfn.IFNA(INDEX(KP!$AP:$AP,MATCH(($B39&amp;"|"&amp;BU$3),KP!$D:$D,0)),"")</f>
        <v>0</v>
      </c>
      <c r="BV39" s="14">
        <f>_xlfn.IFNA(INDEX(KP!$AP:$AP,MATCH(($B39&amp;"|"&amp;BV$3),KP!$D:$D,0)),"")</f>
        <v>0</v>
      </c>
    </row>
    <row r="40" spans="1:74" x14ac:dyDescent="0.2">
      <c r="A40" s="93" t="str">
        <f>INDEX(Prioritization!$D:$D,MATCH($B40,Prioritization!$A:$A,0))</f>
        <v>INVALID</v>
      </c>
      <c r="B40" s="43" t="s">
        <v>218</v>
      </c>
      <c r="C40" s="14">
        <f>SUM(SUMIFS(PrEP!$O:$O,PrEP!$B:$B,$B40,PrEP!$C:$C,{"15-24","25-34","35-49","50+"},PrEP!$D:$D,"Female"))</f>
        <v>0</v>
      </c>
      <c r="D40" s="14">
        <f>SUM(SUMIFS(PrEP!$O:$O,PrEP!$B:$B,$B40,PrEP!$C:$C,{"15-24","25-34"},PrEP!$D:$D,"Female"))</f>
        <v>0</v>
      </c>
      <c r="E40" s="14">
        <f>SUM(SUMIFS(PrEP!$O:$O,PrEP!$B:$B,$B40,PrEP!$C:$C,{"15-24","25-34","35-49","50+"},PrEP!$D:$D,"Male"))</f>
        <v>0</v>
      </c>
      <c r="F40" s="14">
        <f>_xlfn.IFNA(INDEX(KP!$I:$I,MATCH(($B40&amp;"|"&amp;F$3),KP!$D:$D,0)),"")</f>
        <v>0</v>
      </c>
      <c r="G40" s="14">
        <f>_xlfn.IFNA(INDEX(KP!$I:$I,MATCH(($B40&amp;"|"&amp;G$3),KP!$D:$D,0)),"")</f>
        <v>0</v>
      </c>
      <c r="H40" s="14">
        <f>_xlfn.IFNA(INDEX(KP!$I:$I,MATCH(($B40&amp;"|"&amp;H$3),KP!$D:$D,0)),"")</f>
        <v>0</v>
      </c>
      <c r="I40" s="14">
        <f>_xlfn.IFNA(INDEX(KP!$I:$I,MATCH(($B40&amp;"|"&amp;I$3),KP!$D:$D,0)),"")</f>
        <v>0</v>
      </c>
      <c r="J40" s="14">
        <f>_xlfn.IFNA(INDEX(KP!$I:$I,MATCH(($B40&amp;"|"&amp;J$3),KP!$D:$D,0)),"")</f>
        <v>0</v>
      </c>
      <c r="K40" s="14">
        <f>SUM(SUMIFS(PrEP!$L:$L,PrEP!$B:$B,$B40,PrEP!$C:$C,{"15-24","25-34","35-49","50+"},PrEP!$D:$D,"Female"))</f>
        <v>0</v>
      </c>
      <c r="L40" s="14">
        <f>SUM(SUMIFS(PrEP!$L:$L,PrEP!$B:$B,$B40,PrEP!$C:$C,{"15-24","25-34"},PrEP!$D:$D,"Female"))</f>
        <v>0</v>
      </c>
      <c r="M40" s="14">
        <f>SUM(SUMIFS(PrEP!$L:$L,PrEP!$B:$B,$B40,PrEP!$C:$C,{"15-24","25-34","35-49","50+"},PrEP!$D:$D,"Male"))</f>
        <v>0</v>
      </c>
      <c r="N40" s="14">
        <f>_xlfn.IFNA(INDEX(KP!$K:$K,MATCH(($B40&amp;"|"&amp;N$3),KP!$D:$D,0)),"")</f>
        <v>0</v>
      </c>
      <c r="O40" s="14">
        <f>_xlfn.IFNA(INDEX(KP!$K:$K,MATCH(($B40&amp;"|"&amp;O$3),KP!$D:$D,0)),"")</f>
        <v>0</v>
      </c>
      <c r="P40" s="14">
        <f>_xlfn.IFNA(INDEX(KP!$K:$K,MATCH(($B40&amp;"|"&amp;P$3),KP!$D:$D,0)),"")</f>
        <v>0</v>
      </c>
      <c r="Q40" s="14">
        <f>_xlfn.IFNA(INDEX(KP!$K:$K,MATCH(($B40&amp;"|"&amp;Q$3),KP!$D:$D,0)),"")</f>
        <v>0</v>
      </c>
      <c r="R40" s="14">
        <f>_xlfn.IFNA(INDEX(KP!$K:$K,MATCH(($B40&amp;"|"&amp;R$3),KP!$D:$D,0)),"")</f>
        <v>0</v>
      </c>
      <c r="S40" s="14">
        <f>SUM(SUMIFS(Cascade!$AP:$AP,Cascade!$B:$B,$B40,Cascade!$C:$C,{"15-24","25-34","35-49","50+"},Cascade!$D:$D,"Female"))</f>
        <v>0</v>
      </c>
      <c r="T40" s="14">
        <f>SUM(SUMIFS(Cascade!$AP:$AP,Cascade!$B:$B,$B40,Cascade!$C:$C,{"15-24","25-34","35-49","50+"},Cascade!$D:$D,"Male"))</f>
        <v>0</v>
      </c>
      <c r="U40" s="14" t="str">
        <f>_xlfn.IFNA(INDEX(KP!$Q:$Q,MATCH(($B40&amp;"|"&amp;U$3),KP!$D:$D,0)),"")</f>
        <v/>
      </c>
      <c r="V40" s="14" t="str">
        <f>_xlfn.IFNA(INDEX(KP!$Q:$Q,MATCH(($B40&amp;"|"&amp;V$3),KP!$D:$D,0)),"")</f>
        <v/>
      </c>
      <c r="W40" s="14" t="str">
        <f>_xlfn.IFNA(INDEX(KP!$Q:$Q,MATCH(($B40&amp;"|"&amp;W$3),KP!$D:$D,0)),"")</f>
        <v/>
      </c>
      <c r="X40" s="14" t="str">
        <f>_xlfn.IFNA(INDEX(KP!$Q:$Q,MATCH(($B40&amp;"|"&amp;X$3),KP!$D:$D,0)),"")</f>
        <v/>
      </c>
      <c r="Y40" s="14" t="str">
        <f>_xlfn.IFNA(INDEX(KP!$Q:$Q,MATCH(($B40&amp;"|"&amp;Y$3),KP!$D:$D,0)),"")</f>
        <v/>
      </c>
      <c r="Z40" s="14">
        <f>SUM(SUMIFS(Cascade!$AX:$AX,Cascade!$B:$B,$B40,Cascade!$C:$C,{"15-24","25-34","35-49","50+"},Cascade!$D:$D,"Female"))</f>
        <v>0</v>
      </c>
      <c r="AA40" s="14">
        <f>SUM(SUMIFS(Cascade!$AX:$AX,Cascade!$B:$B,$B40,Cascade!$C:$C,{"15-24","25-34","35-49","50+"},Cascade!$D:$D,"Male"))</f>
        <v>0</v>
      </c>
      <c r="AB40" s="14" t="str">
        <f>_xlfn.IFNA(INDEX(KP!$Z:$Z,MATCH(($B40&amp;"|"&amp;AB$3),KP!$D:$D,0)),"")</f>
        <v/>
      </c>
      <c r="AC40" s="14" t="str">
        <f>_xlfn.IFNA(INDEX(KP!$Z:$Z,MATCH(($B40&amp;"|"&amp;AC$3),KP!$D:$D,0)),"")</f>
        <v/>
      </c>
      <c r="AD40" s="14" t="str">
        <f>_xlfn.IFNA(INDEX(KP!$Z:$Z,MATCH(($B40&amp;"|"&amp;AD$3),KP!$D:$D,0)),"")</f>
        <v/>
      </c>
      <c r="AE40" s="14" t="str">
        <f>_xlfn.IFNA(INDEX(KP!$Z:$Z,MATCH(($B40&amp;"|"&amp;AE$3),KP!$D:$D,0)),"")</f>
        <v/>
      </c>
      <c r="AF40" s="14" t="str">
        <f>_xlfn.IFNA(INDEX(KP!$Z:$Z,MATCH(($B40&amp;"|"&amp;AF$3),KP!$D:$D,0)),"")</f>
        <v/>
      </c>
      <c r="AG40" s="14">
        <f>SUM(SUMIFS(Cascade!$BB:$BB,Cascade!$B:$B,$B40,Cascade!$C:$C,{"15-24","25-34","35-49","50+"},Cascade!$D:$D,"Female"))</f>
        <v>0</v>
      </c>
      <c r="AH40" s="14">
        <f>SUM(SUMIFS(Cascade!$BB:$BB,Cascade!$B:$B,$B40,Cascade!$C:$C,{"15-24","25-34","35-49","50+"},Cascade!$D:$D,"Male"))</f>
        <v>0</v>
      </c>
      <c r="AI40" s="14" t="str">
        <f>_xlfn.IFNA(INDEX(KP!$AD:$AD,MATCH(($B40&amp;"|"&amp;AI$3),KP!$D:$D,0)),"")</f>
        <v/>
      </c>
      <c r="AJ40" s="14" t="str">
        <f>_xlfn.IFNA(INDEX(KP!$AD:$AD,MATCH(($B40&amp;"|"&amp;AJ$3),KP!$D:$D,0)),"")</f>
        <v/>
      </c>
      <c r="AK40" s="14" t="str">
        <f>_xlfn.IFNA(INDEX(KP!$AD:$AD,MATCH(($B40&amp;"|"&amp;AK$3),KP!$D:$D,0)),"")</f>
        <v/>
      </c>
      <c r="AL40" s="14" t="str">
        <f>_xlfn.IFNA(INDEX(KP!$AD:$AD,MATCH(($B40&amp;"|"&amp;AL$3),KP!$D:$D,0)),"")</f>
        <v/>
      </c>
      <c r="AM40" s="14" t="str">
        <f>_xlfn.IFNA(INDEX(KP!$AD:$AD,MATCH(($B40&amp;"|"&amp;AM$3),KP!$D:$D,0)),"")</f>
        <v/>
      </c>
      <c r="AN40" s="14">
        <f>SUM(SUMIFS(Cascade!$BE:$BE,Cascade!$B:$B,$B40,Cascade!$C:$C,{"15-24","25-34","35-49","50+"},Cascade!$D:$D,"Female"))</f>
        <v>0</v>
      </c>
      <c r="AO40" s="14">
        <f>SUM(SUMIFS(Cascade!$BE:$BE,Cascade!$B:$B,$B40,Cascade!$C:$C,{"15-24","25-34","35-49","50+"},Cascade!$D:$D,"Male"))</f>
        <v>0</v>
      </c>
      <c r="AP40" s="14" t="str">
        <f>_xlfn.IFNA(INDEX(KP!$AF:$AF,MATCH(($B40&amp;"|"&amp;AP$3),KP!$D:$D,0)),"")</f>
        <v/>
      </c>
      <c r="AQ40" s="14" t="str">
        <f>_xlfn.IFNA(INDEX(KP!$AF:$AF,MATCH(($B40&amp;"|"&amp;AQ$3),KP!$D:$D,0)),"")</f>
        <v/>
      </c>
      <c r="AR40" s="14" t="str">
        <f>_xlfn.IFNA(INDEX(KP!$AF:$AF,MATCH(($B40&amp;"|"&amp;AR$3),KP!$D:$D,0)),"")</f>
        <v/>
      </c>
      <c r="AS40" s="14" t="str">
        <f>_xlfn.IFNA(INDEX(KP!$AF:$AF,MATCH(($B40&amp;"|"&amp;AS$3),KP!$D:$D,0)),"")</f>
        <v/>
      </c>
      <c r="AT40" s="14" t="str">
        <f>_xlfn.IFNA(INDEX(KP!$AF:$AF,MATCH(($B40&amp;"|"&amp;AT$3),KP!$D:$D,0)),"")</f>
        <v/>
      </c>
      <c r="AU40" s="14">
        <f>SUM(SUMIFS(HTS!$AM:$AM,HTS!$B:$B,$B40,HTS!$C:$C,{"15-24","25-34","35-49","50+"},HTS!$D:$D,"Female"))</f>
        <v>0</v>
      </c>
      <c r="AV40" s="14">
        <f>SUM(SUMIFS(HTS!$AM:$AM,HTS!$B:$B,$B40,HTS!$C:$C,{"15-24","25-34","35-49","50+"},HTS!$D:$D,"Male"))</f>
        <v>0</v>
      </c>
      <c r="AW40" s="14" t="str">
        <f>_xlfn.IFNA(INDEX(KP!$AK:$AK,MATCH(($B40&amp;"|"&amp;AW$3),KP!$D:$D,0)),"")</f>
        <v/>
      </c>
      <c r="AX40" s="14" t="str">
        <f>_xlfn.IFNA(INDEX(KP!$AK:$AK,MATCH(($B40&amp;"|"&amp;AX$3),KP!$D:$D,0)),"")</f>
        <v/>
      </c>
      <c r="AY40" s="14" t="str">
        <f>_xlfn.IFNA(INDEX(KP!$AK:$AK,MATCH(($B40&amp;"|"&amp;AY$3),KP!$D:$D,0)),"")</f>
        <v/>
      </c>
      <c r="AZ40" s="14" t="str">
        <f>_xlfn.IFNA(INDEX(KP!$AK:$AK,MATCH(($B40&amp;"|"&amp;AZ$3),KP!$D:$D,0)),"")</f>
        <v/>
      </c>
      <c r="BA40" s="14" t="str">
        <f>_xlfn.IFNA(INDEX(KP!$AK:$AK,MATCH(($B40&amp;"|"&amp;BA$3),KP!$D:$D,0)),"")</f>
        <v/>
      </c>
      <c r="BB40" s="14">
        <f>SUM(SUMIFS(HTS!$AT:$AT,HTS!$B:$B,$B40,HTS!$C:$C,{"15-24","25-34","35-49","50+"},HTS!$D:$D,"Female"))</f>
        <v>0</v>
      </c>
      <c r="BC40" s="14">
        <f>SUM(SUMIFS(HTS!$AT:$AT,HTS!$B:$B,$B40,HTS!$C:$C,{"15-24","25-34","35-49","50+"},HTS!$D:$D,"Male"))</f>
        <v>0</v>
      </c>
      <c r="BD40" s="14" t="str">
        <f>_xlfn.IFNA(INDEX(KP!$AL:$AL,MATCH(($B40&amp;"|"&amp;BD$3),KP!$D:$D,0)),"")</f>
        <v/>
      </c>
      <c r="BE40" s="14" t="str">
        <f>_xlfn.IFNA(INDEX(KP!$AL:$AL,MATCH(($B40&amp;"|"&amp;BE$3),KP!$D:$D,0)),"")</f>
        <v/>
      </c>
      <c r="BF40" s="14" t="str">
        <f>_xlfn.IFNA(INDEX(KP!$AL:$AL,MATCH(($B40&amp;"|"&amp;BF$3),KP!$D:$D,0)),"")</f>
        <v/>
      </c>
      <c r="BG40" s="14" t="str">
        <f>_xlfn.IFNA(INDEX(KP!$AL:$AL,MATCH(($B40&amp;"|"&amp;BG$3),KP!$D:$D,0)),"")</f>
        <v/>
      </c>
      <c r="BH40" s="14" t="str">
        <f>_xlfn.IFNA(INDEX(KP!$AL:$AL,MATCH(($B40&amp;"|"&amp;BH$3),KP!$D:$D,0)),"")</f>
        <v/>
      </c>
      <c r="BI40" s="14">
        <f>SUM(SUMIFS(HTS!$BA:$BA,HTS!$B:$B,$B40,HTS!$C:$C,{"15-24","25-34","35-49","50+"},HTS!$D:$D,"Female"))</f>
        <v>0</v>
      </c>
      <c r="BJ40" s="14">
        <f>SUM(SUMIFS(HTS!$BA:$BA,HTS!$B:$B,$B40,HTS!$C:$C,{"15-24","25-34","35-49","50+"},HTS!$D:$D,"Male"))</f>
        <v>0</v>
      </c>
      <c r="BK40" s="14" t="str">
        <f>_xlfn.IFNA(INDEX(KP!$AN:$AN,MATCH(($B40&amp;"|"&amp;BK$3),KP!$D:$D,0)),"")</f>
        <v/>
      </c>
      <c r="BL40" s="14" t="str">
        <f>_xlfn.IFNA(INDEX(KP!$AN:$AN,MATCH(($B40&amp;"|"&amp;BL$3),KP!$D:$D,0)),"")</f>
        <v/>
      </c>
      <c r="BM40" s="14" t="str">
        <f>_xlfn.IFNA(INDEX(KP!$AN:$AN,MATCH(($B40&amp;"|"&amp;BM$3),KP!$D:$D,0)),"")</f>
        <v/>
      </c>
      <c r="BN40" s="14" t="str">
        <f>_xlfn.IFNA(INDEX(KP!$AN:$AN,MATCH(($B40&amp;"|"&amp;BN$3),KP!$D:$D,0)),"")</f>
        <v/>
      </c>
      <c r="BO40" s="14" t="str">
        <f>_xlfn.IFNA(INDEX(KP!$AN:$AN,MATCH(($B40&amp;"|"&amp;BO$3),KP!$D:$D,0)),"")</f>
        <v/>
      </c>
      <c r="BP40" s="14">
        <f>SUM(SUMIFS(HTS!$AY:$AY,HTS!$B:$B,$B40,HTS!$C:$C,{"15-24","25-34","35-49","50+"},HTS!$D:$D,"Female"))</f>
        <v>9</v>
      </c>
      <c r="BQ40" s="14">
        <f>SUM(SUMIFS(HTS!$AY:$AY,HTS!$B:$B,$B40,HTS!$C:$C,{"15-24","25-34","35-49","50+"},HTS!$D:$D,"Male"))</f>
        <v>9</v>
      </c>
      <c r="BR40" s="14">
        <f>_xlfn.IFNA(INDEX(KP!$AP:$AP,MATCH(($B40&amp;"|"&amp;BR$3),KP!$D:$D,0)),"")</f>
        <v>0</v>
      </c>
      <c r="BS40" s="14">
        <f>_xlfn.IFNA(INDEX(KP!$AP:$AP,MATCH(($B40&amp;"|"&amp;BS$3),KP!$D:$D,0)),"")</f>
        <v>0</v>
      </c>
      <c r="BT40" s="14">
        <f>_xlfn.IFNA(INDEX(KP!$AP:$AP,MATCH(($B40&amp;"|"&amp;BT$3),KP!$D:$D,0)),"")</f>
        <v>0</v>
      </c>
      <c r="BU40" s="14">
        <f>_xlfn.IFNA(INDEX(KP!$AP:$AP,MATCH(($B40&amp;"|"&amp;BU$3),KP!$D:$D,0)),"")</f>
        <v>0</v>
      </c>
      <c r="BV40" s="14">
        <f>_xlfn.IFNA(INDEX(KP!$AP:$AP,MATCH(($B40&amp;"|"&amp;BV$3),KP!$D:$D,0)),"")</f>
        <v>0</v>
      </c>
    </row>
    <row r="41" spans="1:74" x14ac:dyDescent="0.2">
      <c r="A41" s="93" t="str">
        <f>INDEX(Prioritization!$D:$D,MATCH($B41,Prioritization!$A:$A,0))</f>
        <v>INVALID</v>
      </c>
      <c r="B41" s="43" t="s">
        <v>219</v>
      </c>
      <c r="C41" s="14">
        <f>SUM(SUMIFS(PrEP!$O:$O,PrEP!$B:$B,$B41,PrEP!$C:$C,{"15-24","25-34","35-49","50+"},PrEP!$D:$D,"Female"))</f>
        <v>0</v>
      </c>
      <c r="D41" s="14">
        <f>SUM(SUMIFS(PrEP!$O:$O,PrEP!$B:$B,$B41,PrEP!$C:$C,{"15-24","25-34"},PrEP!$D:$D,"Female"))</f>
        <v>0</v>
      </c>
      <c r="E41" s="14">
        <f>SUM(SUMIFS(PrEP!$O:$O,PrEP!$B:$B,$B41,PrEP!$C:$C,{"15-24","25-34","35-49","50+"},PrEP!$D:$D,"Male"))</f>
        <v>0</v>
      </c>
      <c r="F41" s="14">
        <f>_xlfn.IFNA(INDEX(KP!$I:$I,MATCH(($B41&amp;"|"&amp;F$3),KP!$D:$D,0)),"")</f>
        <v>0</v>
      </c>
      <c r="G41" s="14">
        <f>_xlfn.IFNA(INDEX(KP!$I:$I,MATCH(($B41&amp;"|"&amp;G$3),KP!$D:$D,0)),"")</f>
        <v>0</v>
      </c>
      <c r="H41" s="14">
        <f>_xlfn.IFNA(INDEX(KP!$I:$I,MATCH(($B41&amp;"|"&amp;H$3),KP!$D:$D,0)),"")</f>
        <v>0</v>
      </c>
      <c r="I41" s="14">
        <f>_xlfn.IFNA(INDEX(KP!$I:$I,MATCH(($B41&amp;"|"&amp;I$3),KP!$D:$D,0)),"")</f>
        <v>0</v>
      </c>
      <c r="J41" s="14">
        <f>_xlfn.IFNA(INDEX(KP!$I:$I,MATCH(($B41&amp;"|"&amp;J$3),KP!$D:$D,0)),"")</f>
        <v>0</v>
      </c>
      <c r="K41" s="14">
        <f>SUM(SUMIFS(PrEP!$L:$L,PrEP!$B:$B,$B41,PrEP!$C:$C,{"15-24","25-34","35-49","50+"},PrEP!$D:$D,"Female"))</f>
        <v>1</v>
      </c>
      <c r="L41" s="14">
        <f>SUM(SUMIFS(PrEP!$L:$L,PrEP!$B:$B,$B41,PrEP!$C:$C,{"15-24","25-34"},PrEP!$D:$D,"Female"))</f>
        <v>0</v>
      </c>
      <c r="M41" s="14">
        <f>SUM(SUMIFS(PrEP!$L:$L,PrEP!$B:$B,$B41,PrEP!$C:$C,{"15-24","25-34","35-49","50+"},PrEP!$D:$D,"Male"))</f>
        <v>0</v>
      </c>
      <c r="N41" s="14">
        <f>_xlfn.IFNA(INDEX(KP!$K:$K,MATCH(($B41&amp;"|"&amp;N$3),KP!$D:$D,0)),"")</f>
        <v>0</v>
      </c>
      <c r="O41" s="14">
        <f>_xlfn.IFNA(INDEX(KP!$K:$K,MATCH(($B41&amp;"|"&amp;O$3),KP!$D:$D,0)),"")</f>
        <v>0</v>
      </c>
      <c r="P41" s="14">
        <f>_xlfn.IFNA(INDEX(KP!$K:$K,MATCH(($B41&amp;"|"&amp;P$3),KP!$D:$D,0)),"")</f>
        <v>0</v>
      </c>
      <c r="Q41" s="14">
        <f>_xlfn.IFNA(INDEX(KP!$K:$K,MATCH(($B41&amp;"|"&amp;Q$3),KP!$D:$D,0)),"")</f>
        <v>0</v>
      </c>
      <c r="R41" s="14">
        <f>_xlfn.IFNA(INDEX(KP!$K:$K,MATCH(($B41&amp;"|"&amp;R$3),KP!$D:$D,0)),"")</f>
        <v>0</v>
      </c>
      <c r="S41" s="14">
        <f>SUM(SUMIFS(Cascade!$AP:$AP,Cascade!$B:$B,$B41,Cascade!$C:$C,{"15-24","25-34","35-49","50+"},Cascade!$D:$D,"Female"))</f>
        <v>0</v>
      </c>
      <c r="T41" s="14">
        <f>SUM(SUMIFS(Cascade!$AP:$AP,Cascade!$B:$B,$B41,Cascade!$C:$C,{"15-24","25-34","35-49","50+"},Cascade!$D:$D,"Male"))</f>
        <v>0</v>
      </c>
      <c r="U41" s="14">
        <f>_xlfn.IFNA(INDEX(KP!$Q:$Q,MATCH(($B41&amp;"|"&amp;U$3),KP!$D:$D,0)),"")</f>
        <v>36</v>
      </c>
      <c r="V41" s="14">
        <f>_xlfn.IFNA(INDEX(KP!$Q:$Q,MATCH(($B41&amp;"|"&amp;V$3),KP!$D:$D,0)),"")</f>
        <v>8</v>
      </c>
      <c r="W41" s="14" t="str">
        <f>_xlfn.IFNA(INDEX(KP!$Q:$Q,MATCH(($B41&amp;"|"&amp;W$3),KP!$D:$D,0)),"")</f>
        <v/>
      </c>
      <c r="X41" s="14" t="str">
        <f>_xlfn.IFNA(INDEX(KP!$Q:$Q,MATCH(($B41&amp;"|"&amp;X$3),KP!$D:$D,0)),"")</f>
        <v/>
      </c>
      <c r="Y41" s="14" t="str">
        <f>_xlfn.IFNA(INDEX(KP!$Q:$Q,MATCH(($B41&amp;"|"&amp;Y$3),KP!$D:$D,0)),"")</f>
        <v/>
      </c>
      <c r="Z41" s="14">
        <f>SUM(SUMIFS(Cascade!$AX:$AX,Cascade!$B:$B,$B41,Cascade!$C:$C,{"15-24","25-34","35-49","50+"},Cascade!$D:$D,"Female"))</f>
        <v>0</v>
      </c>
      <c r="AA41" s="14">
        <f>SUM(SUMIFS(Cascade!$AX:$AX,Cascade!$B:$B,$B41,Cascade!$C:$C,{"15-24","25-34","35-49","50+"},Cascade!$D:$D,"Male"))</f>
        <v>0</v>
      </c>
      <c r="AB41" s="14">
        <f>_xlfn.IFNA(INDEX(KP!$Z:$Z,MATCH(($B41&amp;"|"&amp;AB$3),KP!$D:$D,0)),"")</f>
        <v>1</v>
      </c>
      <c r="AC41" s="14" t="str">
        <f>_xlfn.IFNA(INDEX(KP!$Z:$Z,MATCH(($B41&amp;"|"&amp;AC$3),KP!$D:$D,0)),"")</f>
        <v/>
      </c>
      <c r="AD41" s="14" t="str">
        <f>_xlfn.IFNA(INDEX(KP!$Z:$Z,MATCH(($B41&amp;"|"&amp;AD$3),KP!$D:$D,0)),"")</f>
        <v/>
      </c>
      <c r="AE41" s="14" t="str">
        <f>_xlfn.IFNA(INDEX(KP!$Z:$Z,MATCH(($B41&amp;"|"&amp;AE$3),KP!$D:$D,0)),"")</f>
        <v/>
      </c>
      <c r="AF41" s="14" t="str">
        <f>_xlfn.IFNA(INDEX(KP!$Z:$Z,MATCH(($B41&amp;"|"&amp;AF$3),KP!$D:$D,0)),"")</f>
        <v/>
      </c>
      <c r="AG41" s="14">
        <f>SUM(SUMIFS(Cascade!$BB:$BB,Cascade!$B:$B,$B41,Cascade!$C:$C,{"15-24","25-34","35-49","50+"},Cascade!$D:$D,"Female"))</f>
        <v>0</v>
      </c>
      <c r="AH41" s="14">
        <f>SUM(SUMIFS(Cascade!$BB:$BB,Cascade!$B:$B,$B41,Cascade!$C:$C,{"15-24","25-34","35-49","50+"},Cascade!$D:$D,"Male"))</f>
        <v>0</v>
      </c>
      <c r="AI41" s="14">
        <f>_xlfn.IFNA(INDEX(KP!$AD:$AD,MATCH(($B41&amp;"|"&amp;AI$3),KP!$D:$D,0)),"")</f>
        <v>35</v>
      </c>
      <c r="AJ41" s="14">
        <f>_xlfn.IFNA(INDEX(KP!$AD:$AD,MATCH(($B41&amp;"|"&amp;AJ$3),KP!$D:$D,0)),"")</f>
        <v>8</v>
      </c>
      <c r="AK41" s="14" t="str">
        <f>_xlfn.IFNA(INDEX(KP!$AD:$AD,MATCH(($B41&amp;"|"&amp;AK$3),KP!$D:$D,0)),"")</f>
        <v/>
      </c>
      <c r="AL41" s="14" t="str">
        <f>_xlfn.IFNA(INDEX(KP!$AD:$AD,MATCH(($B41&amp;"|"&amp;AL$3),KP!$D:$D,0)),"")</f>
        <v/>
      </c>
      <c r="AM41" s="14" t="str">
        <f>_xlfn.IFNA(INDEX(KP!$AD:$AD,MATCH(($B41&amp;"|"&amp;AM$3),KP!$D:$D,0)),"")</f>
        <v/>
      </c>
      <c r="AN41" s="14">
        <f>SUM(SUMIFS(Cascade!$BE:$BE,Cascade!$B:$B,$B41,Cascade!$C:$C,{"15-24","25-34","35-49","50+"},Cascade!$D:$D,"Female"))</f>
        <v>0</v>
      </c>
      <c r="AO41" s="14">
        <f>SUM(SUMIFS(Cascade!$BE:$BE,Cascade!$B:$B,$B41,Cascade!$C:$C,{"15-24","25-34","35-49","50+"},Cascade!$D:$D,"Male"))</f>
        <v>0</v>
      </c>
      <c r="AP41" s="14">
        <f>_xlfn.IFNA(INDEX(KP!$AF:$AF,MATCH(($B41&amp;"|"&amp;AP$3),KP!$D:$D,0)),"")</f>
        <v>33</v>
      </c>
      <c r="AQ41" s="14">
        <f>_xlfn.IFNA(INDEX(KP!$AF:$AF,MATCH(($B41&amp;"|"&amp;AQ$3),KP!$D:$D,0)),"")</f>
        <v>8</v>
      </c>
      <c r="AR41" s="14" t="str">
        <f>_xlfn.IFNA(INDEX(KP!$AF:$AF,MATCH(($B41&amp;"|"&amp;AR$3),KP!$D:$D,0)),"")</f>
        <v/>
      </c>
      <c r="AS41" s="14" t="str">
        <f>_xlfn.IFNA(INDEX(KP!$AF:$AF,MATCH(($B41&amp;"|"&amp;AS$3),KP!$D:$D,0)),"")</f>
        <v/>
      </c>
      <c r="AT41" s="14" t="str">
        <f>_xlfn.IFNA(INDEX(KP!$AF:$AF,MATCH(($B41&amp;"|"&amp;AT$3),KP!$D:$D,0)),"")</f>
        <v/>
      </c>
      <c r="AU41" s="14">
        <f>SUM(SUMIFS(HTS!$AM:$AM,HTS!$B:$B,$B41,HTS!$C:$C,{"15-24","25-34","35-49","50+"},HTS!$D:$D,"Female"))</f>
        <v>0</v>
      </c>
      <c r="AV41" s="14">
        <f>SUM(SUMIFS(HTS!$AM:$AM,HTS!$B:$B,$B41,HTS!$C:$C,{"15-24","25-34","35-49","50+"},HTS!$D:$D,"Male"))</f>
        <v>0</v>
      </c>
      <c r="AW41" s="14">
        <f>_xlfn.IFNA(INDEX(KP!$AK:$AK,MATCH(($B41&amp;"|"&amp;AW$3),KP!$D:$D,0)),"")</f>
        <v>1</v>
      </c>
      <c r="AX41" s="14" t="str">
        <f>_xlfn.IFNA(INDEX(KP!$AK:$AK,MATCH(($B41&amp;"|"&amp;AX$3),KP!$D:$D,0)),"")</f>
        <v/>
      </c>
      <c r="AY41" s="14" t="str">
        <f>_xlfn.IFNA(INDEX(KP!$AK:$AK,MATCH(($B41&amp;"|"&amp;AY$3),KP!$D:$D,0)),"")</f>
        <v/>
      </c>
      <c r="AZ41" s="14" t="str">
        <f>_xlfn.IFNA(INDEX(KP!$AK:$AK,MATCH(($B41&amp;"|"&amp;AZ$3),KP!$D:$D,0)),"")</f>
        <v/>
      </c>
      <c r="BA41" s="14" t="str">
        <f>_xlfn.IFNA(INDEX(KP!$AK:$AK,MATCH(($B41&amp;"|"&amp;BA$3),KP!$D:$D,0)),"")</f>
        <v/>
      </c>
      <c r="BB41" s="14">
        <f>SUM(SUMIFS(HTS!$AT:$AT,HTS!$B:$B,$B41,HTS!$C:$C,{"15-24","25-34","35-49","50+"},HTS!$D:$D,"Female"))</f>
        <v>0</v>
      </c>
      <c r="BC41" s="14">
        <f>SUM(SUMIFS(HTS!$AT:$AT,HTS!$B:$B,$B41,HTS!$C:$C,{"15-24","25-34","35-49","50+"},HTS!$D:$D,"Male"))</f>
        <v>0</v>
      </c>
      <c r="BD41" s="14" t="str">
        <f>_xlfn.IFNA(INDEX(KP!$AL:$AL,MATCH(($B41&amp;"|"&amp;BD$3),KP!$D:$D,0)),"")</f>
        <v>ENTER YIELD RATE</v>
      </c>
      <c r="BE41" s="14" t="str">
        <f>_xlfn.IFNA(INDEX(KP!$AL:$AL,MATCH(($B41&amp;"|"&amp;BE$3),KP!$D:$D,0)),"")</f>
        <v/>
      </c>
      <c r="BF41" s="14" t="str">
        <f>_xlfn.IFNA(INDEX(KP!$AL:$AL,MATCH(($B41&amp;"|"&amp;BF$3),KP!$D:$D,0)),"")</f>
        <v/>
      </c>
      <c r="BG41" s="14" t="str">
        <f>_xlfn.IFNA(INDEX(KP!$AL:$AL,MATCH(($B41&amp;"|"&amp;BG$3),KP!$D:$D,0)),"")</f>
        <v/>
      </c>
      <c r="BH41" s="14" t="str">
        <f>_xlfn.IFNA(INDEX(KP!$AL:$AL,MATCH(($B41&amp;"|"&amp;BH$3),KP!$D:$D,0)),"")</f>
        <v/>
      </c>
      <c r="BI41" s="14">
        <f>SUM(SUMIFS(HTS!$BA:$BA,HTS!$B:$B,$B41,HTS!$C:$C,{"15-24","25-34","35-49","50+"},HTS!$D:$D,"Female"))</f>
        <v>0</v>
      </c>
      <c r="BJ41" s="14">
        <f>SUM(SUMIFS(HTS!$BA:$BA,HTS!$B:$B,$B41,HTS!$C:$C,{"15-24","25-34","35-49","50+"},HTS!$D:$D,"Male"))</f>
        <v>0</v>
      </c>
      <c r="BK41" s="14">
        <f>_xlfn.IFNA(INDEX(KP!$AN:$AN,MATCH(($B41&amp;"|"&amp;BK$3),KP!$D:$D,0)),"")</f>
        <v>1</v>
      </c>
      <c r="BL41" s="14" t="str">
        <f>_xlfn.IFNA(INDEX(KP!$AN:$AN,MATCH(($B41&amp;"|"&amp;BL$3),KP!$D:$D,0)),"")</f>
        <v/>
      </c>
      <c r="BM41" s="14" t="str">
        <f>_xlfn.IFNA(INDEX(KP!$AN:$AN,MATCH(($B41&amp;"|"&amp;BM$3),KP!$D:$D,0)),"")</f>
        <v/>
      </c>
      <c r="BN41" s="14" t="str">
        <f>_xlfn.IFNA(INDEX(KP!$AN:$AN,MATCH(($B41&amp;"|"&amp;BN$3),KP!$D:$D,0)),"")</f>
        <v/>
      </c>
      <c r="BO41" s="14" t="str">
        <f>_xlfn.IFNA(INDEX(KP!$AN:$AN,MATCH(($B41&amp;"|"&amp;BO$3),KP!$D:$D,0)),"")</f>
        <v/>
      </c>
      <c r="BP41" s="14">
        <f>SUM(SUMIFS(HTS!$AY:$AY,HTS!$B:$B,$B41,HTS!$C:$C,{"15-24","25-34","35-49","50+"},HTS!$D:$D,"Female"))</f>
        <v>66</v>
      </c>
      <c r="BQ41" s="14">
        <f>SUM(SUMIFS(HTS!$AY:$AY,HTS!$B:$B,$B41,HTS!$C:$C,{"15-24","25-34","35-49","50+"},HTS!$D:$D,"Male"))</f>
        <v>73</v>
      </c>
      <c r="BR41" s="14">
        <f>_xlfn.IFNA(INDEX(KP!$AP:$AP,MATCH(($B41&amp;"|"&amp;BR$3),KP!$D:$D,0)),"")</f>
        <v>0</v>
      </c>
      <c r="BS41" s="14">
        <f>_xlfn.IFNA(INDEX(KP!$AP:$AP,MATCH(($B41&amp;"|"&amp;BS$3),KP!$D:$D,0)),"")</f>
        <v>0</v>
      </c>
      <c r="BT41" s="14">
        <f>_xlfn.IFNA(INDEX(KP!$AP:$AP,MATCH(($B41&amp;"|"&amp;BT$3),KP!$D:$D,0)),"")</f>
        <v>0</v>
      </c>
      <c r="BU41" s="14">
        <f>_xlfn.IFNA(INDEX(KP!$AP:$AP,MATCH(($B41&amp;"|"&amp;BU$3),KP!$D:$D,0)),"")</f>
        <v>0</v>
      </c>
      <c r="BV41" s="14">
        <f>_xlfn.IFNA(INDEX(KP!$AP:$AP,MATCH(($B41&amp;"|"&amp;BV$3),KP!$D:$D,0)),"")</f>
        <v>0</v>
      </c>
    </row>
    <row r="42" spans="1:74" x14ac:dyDescent="0.2">
      <c r="A42" s="93" t="str">
        <f>INDEX(Prioritization!$D:$D,MATCH($B42,Prioritization!$A:$A,0))</f>
        <v>1 - Scale-up: Saturation</v>
      </c>
      <c r="B42" s="43" t="s">
        <v>220</v>
      </c>
      <c r="C42" s="14">
        <f>SUM(SUMIFS(PrEP!$O:$O,PrEP!$B:$B,$B42,PrEP!$C:$C,{"15-24","25-34","35-49","50+"},PrEP!$D:$D,"Female"))</f>
        <v>0</v>
      </c>
      <c r="D42" s="14">
        <f>SUM(SUMIFS(PrEP!$O:$O,PrEP!$B:$B,$B42,PrEP!$C:$C,{"15-24","25-34"},PrEP!$D:$D,"Female"))</f>
        <v>0</v>
      </c>
      <c r="E42" s="14">
        <f>SUM(SUMIFS(PrEP!$O:$O,PrEP!$B:$B,$B42,PrEP!$C:$C,{"15-24","25-34","35-49","50+"},PrEP!$D:$D,"Male"))</f>
        <v>0</v>
      </c>
      <c r="F42" s="14">
        <f>_xlfn.IFNA(INDEX(KP!$I:$I,MATCH(($B42&amp;"|"&amp;F$3),KP!$D:$D,0)),"")</f>
        <v>0</v>
      </c>
      <c r="G42" s="14">
        <f>_xlfn.IFNA(INDEX(KP!$I:$I,MATCH(($B42&amp;"|"&amp;G$3),KP!$D:$D,0)),"")</f>
        <v>0</v>
      </c>
      <c r="H42" s="14">
        <f>_xlfn.IFNA(INDEX(KP!$I:$I,MATCH(($B42&amp;"|"&amp;H$3),KP!$D:$D,0)),"")</f>
        <v>0</v>
      </c>
      <c r="I42" s="14">
        <f>_xlfn.IFNA(INDEX(KP!$I:$I,MATCH(($B42&amp;"|"&amp;I$3),KP!$D:$D,0)),"")</f>
        <v>0</v>
      </c>
      <c r="J42" s="14">
        <f>_xlfn.IFNA(INDEX(KP!$I:$I,MATCH(($B42&amp;"|"&amp;J$3),KP!$D:$D,0)),"")</f>
        <v>0</v>
      </c>
      <c r="K42" s="14">
        <f>SUM(SUMIFS(PrEP!$L:$L,PrEP!$B:$B,$B42,PrEP!$C:$C,{"15-24","25-34","35-49","50+"},PrEP!$D:$D,"Female"))</f>
        <v>0</v>
      </c>
      <c r="L42" s="14">
        <f>SUM(SUMIFS(PrEP!$L:$L,PrEP!$B:$B,$B42,PrEP!$C:$C,{"15-24","25-34"},PrEP!$D:$D,"Female"))</f>
        <v>0</v>
      </c>
      <c r="M42" s="14">
        <f>SUM(SUMIFS(PrEP!$L:$L,PrEP!$B:$B,$B42,PrEP!$C:$C,{"15-24","25-34","35-49","50+"},PrEP!$D:$D,"Male"))</f>
        <v>0</v>
      </c>
      <c r="N42" s="14">
        <f>_xlfn.IFNA(INDEX(KP!$K:$K,MATCH(($B42&amp;"|"&amp;N$3),KP!$D:$D,0)),"")</f>
        <v>0</v>
      </c>
      <c r="O42" s="14">
        <f>_xlfn.IFNA(INDEX(KP!$K:$K,MATCH(($B42&amp;"|"&amp;O$3),KP!$D:$D,0)),"")</f>
        <v>0</v>
      </c>
      <c r="P42" s="14">
        <f>_xlfn.IFNA(INDEX(KP!$K:$K,MATCH(($B42&amp;"|"&amp;P$3),KP!$D:$D,0)),"")</f>
        <v>0</v>
      </c>
      <c r="Q42" s="14">
        <f>_xlfn.IFNA(INDEX(KP!$K:$K,MATCH(($B42&amp;"|"&amp;Q$3),KP!$D:$D,0)),"")</f>
        <v>0</v>
      </c>
      <c r="R42" s="14">
        <f>_xlfn.IFNA(INDEX(KP!$K:$K,MATCH(($B42&amp;"|"&amp;R$3),KP!$D:$D,0)),"")</f>
        <v>0</v>
      </c>
      <c r="S42" s="14">
        <f>SUM(SUMIFS(Cascade!$AP:$AP,Cascade!$B:$B,$B42,Cascade!$C:$C,{"15-24","25-34","35-49","50+"},Cascade!$D:$D,"Female"))</f>
        <v>0</v>
      </c>
      <c r="T42" s="14">
        <f>SUM(SUMIFS(Cascade!$AP:$AP,Cascade!$B:$B,$B42,Cascade!$C:$C,{"15-24","25-34","35-49","50+"},Cascade!$D:$D,"Male"))</f>
        <v>0</v>
      </c>
      <c r="U42" s="14" t="str">
        <f>_xlfn.IFNA(INDEX(KP!$Q:$Q,MATCH(($B42&amp;"|"&amp;U$3),KP!$D:$D,0)),"")</f>
        <v/>
      </c>
      <c r="V42" s="14" t="str">
        <f>_xlfn.IFNA(INDEX(KP!$Q:$Q,MATCH(($B42&amp;"|"&amp;V$3),KP!$D:$D,0)),"")</f>
        <v/>
      </c>
      <c r="W42" s="14">
        <f>_xlfn.IFNA(INDEX(KP!$Q:$Q,MATCH(($B42&amp;"|"&amp;W$3),KP!$D:$D,0)),"")</f>
        <v>6</v>
      </c>
      <c r="X42" s="14" t="str">
        <f>_xlfn.IFNA(INDEX(KP!$Q:$Q,MATCH(($B42&amp;"|"&amp;X$3),KP!$D:$D,0)),"")</f>
        <v/>
      </c>
      <c r="Y42" s="14" t="str">
        <f>_xlfn.IFNA(INDEX(KP!$Q:$Q,MATCH(($B42&amp;"|"&amp;Y$3),KP!$D:$D,0)),"")</f>
        <v/>
      </c>
      <c r="Z42" s="14">
        <f>SUM(SUMIFS(Cascade!$AX:$AX,Cascade!$B:$B,$B42,Cascade!$C:$C,{"15-24","25-34","35-49","50+"},Cascade!$D:$D,"Female"))</f>
        <v>0</v>
      </c>
      <c r="AA42" s="14">
        <f>SUM(SUMIFS(Cascade!$AX:$AX,Cascade!$B:$B,$B42,Cascade!$C:$C,{"15-24","25-34","35-49","50+"},Cascade!$D:$D,"Male"))</f>
        <v>0</v>
      </c>
      <c r="AB42" s="14" t="str">
        <f>_xlfn.IFNA(INDEX(KP!$Z:$Z,MATCH(($B42&amp;"|"&amp;AB$3),KP!$D:$D,0)),"")</f>
        <v/>
      </c>
      <c r="AC42" s="14" t="str">
        <f>_xlfn.IFNA(INDEX(KP!$Z:$Z,MATCH(($B42&amp;"|"&amp;AC$3),KP!$D:$D,0)),"")</f>
        <v/>
      </c>
      <c r="AD42" s="14" t="str">
        <f>_xlfn.IFNA(INDEX(KP!$Z:$Z,MATCH(($B42&amp;"|"&amp;AD$3),KP!$D:$D,0)),"")</f>
        <v/>
      </c>
      <c r="AE42" s="14" t="str">
        <f>_xlfn.IFNA(INDEX(KP!$Z:$Z,MATCH(($B42&amp;"|"&amp;AE$3),KP!$D:$D,0)),"")</f>
        <v/>
      </c>
      <c r="AF42" s="14" t="str">
        <f>_xlfn.IFNA(INDEX(KP!$Z:$Z,MATCH(($B42&amp;"|"&amp;AF$3),KP!$D:$D,0)),"")</f>
        <v/>
      </c>
      <c r="AG42" s="14">
        <f>SUM(SUMIFS(Cascade!$BB:$BB,Cascade!$B:$B,$B42,Cascade!$C:$C,{"15-24","25-34","35-49","50+"},Cascade!$D:$D,"Female"))</f>
        <v>0</v>
      </c>
      <c r="AH42" s="14">
        <f>SUM(SUMIFS(Cascade!$BB:$BB,Cascade!$B:$B,$B42,Cascade!$C:$C,{"15-24","25-34","35-49","50+"},Cascade!$D:$D,"Male"))</f>
        <v>0</v>
      </c>
      <c r="AI42" s="14" t="str">
        <f>_xlfn.IFNA(INDEX(KP!$AD:$AD,MATCH(($B42&amp;"|"&amp;AI$3),KP!$D:$D,0)),"")</f>
        <v/>
      </c>
      <c r="AJ42" s="14" t="str">
        <f>_xlfn.IFNA(INDEX(KP!$AD:$AD,MATCH(($B42&amp;"|"&amp;AJ$3),KP!$D:$D,0)),"")</f>
        <v/>
      </c>
      <c r="AK42" s="14">
        <f>_xlfn.IFNA(INDEX(KP!$AD:$AD,MATCH(($B42&amp;"|"&amp;AK$3),KP!$D:$D,0)),"")</f>
        <v>6</v>
      </c>
      <c r="AL42" s="14" t="str">
        <f>_xlfn.IFNA(INDEX(KP!$AD:$AD,MATCH(($B42&amp;"|"&amp;AL$3),KP!$D:$D,0)),"")</f>
        <v/>
      </c>
      <c r="AM42" s="14" t="str">
        <f>_xlfn.IFNA(INDEX(KP!$AD:$AD,MATCH(($B42&amp;"|"&amp;AM$3),KP!$D:$D,0)),"")</f>
        <v/>
      </c>
      <c r="AN42" s="14">
        <f>SUM(SUMIFS(Cascade!$BE:$BE,Cascade!$B:$B,$B42,Cascade!$C:$C,{"15-24","25-34","35-49","50+"},Cascade!$D:$D,"Female"))</f>
        <v>0</v>
      </c>
      <c r="AO42" s="14">
        <f>SUM(SUMIFS(Cascade!$BE:$BE,Cascade!$B:$B,$B42,Cascade!$C:$C,{"15-24","25-34","35-49","50+"},Cascade!$D:$D,"Male"))</f>
        <v>0</v>
      </c>
      <c r="AP42" s="14" t="str">
        <f>_xlfn.IFNA(INDEX(KP!$AF:$AF,MATCH(($B42&amp;"|"&amp;AP$3),KP!$D:$D,0)),"")</f>
        <v/>
      </c>
      <c r="AQ42" s="14" t="str">
        <f>_xlfn.IFNA(INDEX(KP!$AF:$AF,MATCH(($B42&amp;"|"&amp;AQ$3),KP!$D:$D,0)),"")</f>
        <v/>
      </c>
      <c r="AR42" s="14">
        <f>_xlfn.IFNA(INDEX(KP!$AF:$AF,MATCH(($B42&amp;"|"&amp;AR$3),KP!$D:$D,0)),"")</f>
        <v>6</v>
      </c>
      <c r="AS42" s="14" t="str">
        <f>_xlfn.IFNA(INDEX(KP!$AF:$AF,MATCH(($B42&amp;"|"&amp;AS$3),KP!$D:$D,0)),"")</f>
        <v/>
      </c>
      <c r="AT42" s="14" t="str">
        <f>_xlfn.IFNA(INDEX(KP!$AF:$AF,MATCH(($B42&amp;"|"&amp;AT$3),KP!$D:$D,0)),"")</f>
        <v/>
      </c>
      <c r="AU42" s="14">
        <f>SUM(SUMIFS(HTS!$AM:$AM,HTS!$B:$B,$B42,HTS!$C:$C,{"15-24","25-34","35-49","50+"},HTS!$D:$D,"Female"))</f>
        <v>0</v>
      </c>
      <c r="AV42" s="14">
        <f>SUM(SUMIFS(HTS!$AM:$AM,HTS!$B:$B,$B42,HTS!$C:$C,{"15-24","25-34","35-49","50+"},HTS!$D:$D,"Male"))</f>
        <v>0</v>
      </c>
      <c r="AW42" s="14" t="str">
        <f>_xlfn.IFNA(INDEX(KP!$AK:$AK,MATCH(($B42&amp;"|"&amp;AW$3),KP!$D:$D,0)),"")</f>
        <v/>
      </c>
      <c r="AX42" s="14" t="str">
        <f>_xlfn.IFNA(INDEX(KP!$AK:$AK,MATCH(($B42&amp;"|"&amp;AX$3),KP!$D:$D,0)),"")</f>
        <v/>
      </c>
      <c r="AY42" s="14" t="str">
        <f>_xlfn.IFNA(INDEX(KP!$AK:$AK,MATCH(($B42&amp;"|"&amp;AY$3),KP!$D:$D,0)),"")</f>
        <v/>
      </c>
      <c r="AZ42" s="14" t="str">
        <f>_xlfn.IFNA(INDEX(KP!$AK:$AK,MATCH(($B42&amp;"|"&amp;AZ$3),KP!$D:$D,0)),"")</f>
        <v/>
      </c>
      <c r="BA42" s="14" t="str">
        <f>_xlfn.IFNA(INDEX(KP!$AK:$AK,MATCH(($B42&amp;"|"&amp;BA$3),KP!$D:$D,0)),"")</f>
        <v/>
      </c>
      <c r="BB42" s="14">
        <f>SUM(SUMIFS(HTS!$AT:$AT,HTS!$B:$B,$B42,HTS!$C:$C,{"15-24","25-34","35-49","50+"},HTS!$D:$D,"Female"))</f>
        <v>0</v>
      </c>
      <c r="BC42" s="14">
        <f>SUM(SUMIFS(HTS!$AT:$AT,HTS!$B:$B,$B42,HTS!$C:$C,{"15-24","25-34","35-49","50+"},HTS!$D:$D,"Male"))</f>
        <v>0</v>
      </c>
      <c r="BD42" s="14" t="str">
        <f>_xlfn.IFNA(INDEX(KP!$AL:$AL,MATCH(($B42&amp;"|"&amp;BD$3),KP!$D:$D,0)),"")</f>
        <v/>
      </c>
      <c r="BE42" s="14" t="str">
        <f>_xlfn.IFNA(INDEX(KP!$AL:$AL,MATCH(($B42&amp;"|"&amp;BE$3),KP!$D:$D,0)),"")</f>
        <v/>
      </c>
      <c r="BF42" s="14" t="str">
        <f>_xlfn.IFNA(INDEX(KP!$AL:$AL,MATCH(($B42&amp;"|"&amp;BF$3),KP!$D:$D,0)),"")</f>
        <v/>
      </c>
      <c r="BG42" s="14" t="str">
        <f>_xlfn.IFNA(INDEX(KP!$AL:$AL,MATCH(($B42&amp;"|"&amp;BG$3),KP!$D:$D,0)),"")</f>
        <v/>
      </c>
      <c r="BH42" s="14" t="str">
        <f>_xlfn.IFNA(INDEX(KP!$AL:$AL,MATCH(($B42&amp;"|"&amp;BH$3),KP!$D:$D,0)),"")</f>
        <v/>
      </c>
      <c r="BI42" s="14">
        <f>SUM(SUMIFS(HTS!$BA:$BA,HTS!$B:$B,$B42,HTS!$C:$C,{"15-24","25-34","35-49","50+"},HTS!$D:$D,"Female"))</f>
        <v>0</v>
      </c>
      <c r="BJ42" s="14">
        <f>SUM(SUMIFS(HTS!$BA:$BA,HTS!$B:$B,$B42,HTS!$C:$C,{"15-24","25-34","35-49","50+"},HTS!$D:$D,"Male"))</f>
        <v>0</v>
      </c>
      <c r="BK42" s="14" t="str">
        <f>_xlfn.IFNA(INDEX(KP!$AN:$AN,MATCH(($B42&amp;"|"&amp;BK$3),KP!$D:$D,0)),"")</f>
        <v/>
      </c>
      <c r="BL42" s="14" t="str">
        <f>_xlfn.IFNA(INDEX(KP!$AN:$AN,MATCH(($B42&amp;"|"&amp;BL$3),KP!$D:$D,0)),"")</f>
        <v/>
      </c>
      <c r="BM42" s="14" t="str">
        <f>_xlfn.IFNA(INDEX(KP!$AN:$AN,MATCH(($B42&amp;"|"&amp;BM$3),KP!$D:$D,0)),"")</f>
        <v/>
      </c>
      <c r="BN42" s="14" t="str">
        <f>_xlfn.IFNA(INDEX(KP!$AN:$AN,MATCH(($B42&amp;"|"&amp;BN$3),KP!$D:$D,0)),"")</f>
        <v/>
      </c>
      <c r="BO42" s="14" t="str">
        <f>_xlfn.IFNA(INDEX(KP!$AN:$AN,MATCH(($B42&amp;"|"&amp;BO$3),KP!$D:$D,0)),"")</f>
        <v/>
      </c>
      <c r="BP42" s="14">
        <f>SUM(SUMIFS(HTS!$AY:$AY,HTS!$B:$B,$B42,HTS!$C:$C,{"15-24","25-34","35-49","50+"},HTS!$D:$D,"Female"))</f>
        <v>64</v>
      </c>
      <c r="BQ42" s="14">
        <f>SUM(SUMIFS(HTS!$AY:$AY,HTS!$B:$B,$B42,HTS!$C:$C,{"15-24","25-34","35-49","50+"},HTS!$D:$D,"Male"))</f>
        <v>50</v>
      </c>
      <c r="BR42" s="14">
        <f>_xlfn.IFNA(INDEX(KP!$AP:$AP,MATCH(($B42&amp;"|"&amp;BR$3),KP!$D:$D,0)),"")</f>
        <v>0</v>
      </c>
      <c r="BS42" s="14">
        <f>_xlfn.IFNA(INDEX(KP!$AP:$AP,MATCH(($B42&amp;"|"&amp;BS$3),KP!$D:$D,0)),"")</f>
        <v>0</v>
      </c>
      <c r="BT42" s="14">
        <f>_xlfn.IFNA(INDEX(KP!$AP:$AP,MATCH(($B42&amp;"|"&amp;BT$3),KP!$D:$D,0)),"")</f>
        <v>0</v>
      </c>
      <c r="BU42" s="14">
        <f>_xlfn.IFNA(INDEX(KP!$AP:$AP,MATCH(($B42&amp;"|"&amp;BU$3),KP!$D:$D,0)),"")</f>
        <v>0</v>
      </c>
      <c r="BV42" s="14">
        <f>_xlfn.IFNA(INDEX(KP!$AP:$AP,MATCH(($B42&amp;"|"&amp;BV$3),KP!$D:$D,0)),"")</f>
        <v>0</v>
      </c>
    </row>
    <row r="43" spans="1:74" x14ac:dyDescent="0.2">
      <c r="A43" s="93" t="str">
        <f>INDEX(Prioritization!$D:$D,MATCH($B43,Prioritization!$A:$A,0))</f>
        <v>1 - Scale-up: Saturation</v>
      </c>
      <c r="B43" s="43" t="s">
        <v>221</v>
      </c>
      <c r="C43" s="14">
        <f>SUM(SUMIFS(PrEP!$O:$O,PrEP!$B:$B,$B43,PrEP!$C:$C,{"15-24","25-34","35-49","50+"},PrEP!$D:$D,"Female"))</f>
        <v>0</v>
      </c>
      <c r="D43" s="14">
        <f>SUM(SUMIFS(PrEP!$O:$O,PrEP!$B:$B,$B43,PrEP!$C:$C,{"15-24","25-34"},PrEP!$D:$D,"Female"))</f>
        <v>0</v>
      </c>
      <c r="E43" s="14">
        <f>SUM(SUMIFS(PrEP!$O:$O,PrEP!$B:$B,$B43,PrEP!$C:$C,{"15-24","25-34","35-49","50+"},PrEP!$D:$D,"Male"))</f>
        <v>0</v>
      </c>
      <c r="F43" s="14">
        <f>_xlfn.IFNA(INDEX(KP!$I:$I,MATCH(($B43&amp;"|"&amp;F$3),KP!$D:$D,0)),"")</f>
        <v>0</v>
      </c>
      <c r="G43" s="14">
        <f>_xlfn.IFNA(INDEX(KP!$I:$I,MATCH(($B43&amp;"|"&amp;G$3),KP!$D:$D,0)),"")</f>
        <v>0</v>
      </c>
      <c r="H43" s="14">
        <f>_xlfn.IFNA(INDEX(KP!$I:$I,MATCH(($B43&amp;"|"&amp;H$3),KP!$D:$D,0)),"")</f>
        <v>0</v>
      </c>
      <c r="I43" s="14">
        <f>_xlfn.IFNA(INDEX(KP!$I:$I,MATCH(($B43&amp;"|"&amp;I$3),KP!$D:$D,0)),"")</f>
        <v>0</v>
      </c>
      <c r="J43" s="14">
        <f>_xlfn.IFNA(INDEX(KP!$I:$I,MATCH(($B43&amp;"|"&amp;J$3),KP!$D:$D,0)),"")</f>
        <v>0</v>
      </c>
      <c r="K43" s="14">
        <f>SUM(SUMIFS(PrEP!$L:$L,PrEP!$B:$B,$B43,PrEP!$C:$C,{"15-24","25-34","35-49","50+"},PrEP!$D:$D,"Female"))</f>
        <v>3</v>
      </c>
      <c r="L43" s="14">
        <f>SUM(SUMIFS(PrEP!$L:$L,PrEP!$B:$B,$B43,PrEP!$C:$C,{"15-24","25-34"},PrEP!$D:$D,"Female"))</f>
        <v>0</v>
      </c>
      <c r="M43" s="14">
        <f>SUM(SUMIFS(PrEP!$L:$L,PrEP!$B:$B,$B43,PrEP!$C:$C,{"15-24","25-34","35-49","50+"},PrEP!$D:$D,"Male"))</f>
        <v>4</v>
      </c>
      <c r="N43" s="14">
        <f>_xlfn.IFNA(INDEX(KP!$K:$K,MATCH(($B43&amp;"|"&amp;N$3),KP!$D:$D,0)),"")</f>
        <v>0</v>
      </c>
      <c r="O43" s="14">
        <f>_xlfn.IFNA(INDEX(KP!$K:$K,MATCH(($B43&amp;"|"&amp;O$3),KP!$D:$D,0)),"")</f>
        <v>0</v>
      </c>
      <c r="P43" s="14">
        <f>_xlfn.IFNA(INDEX(KP!$K:$K,MATCH(($B43&amp;"|"&amp;P$3),KP!$D:$D,0)),"")</f>
        <v>0</v>
      </c>
      <c r="Q43" s="14">
        <f>_xlfn.IFNA(INDEX(KP!$K:$K,MATCH(($B43&amp;"|"&amp;Q$3),KP!$D:$D,0)),"")</f>
        <v>0</v>
      </c>
      <c r="R43" s="14">
        <f>_xlfn.IFNA(INDEX(KP!$K:$K,MATCH(($B43&amp;"|"&amp;R$3),KP!$D:$D,0)),"")</f>
        <v>0</v>
      </c>
      <c r="S43" s="14">
        <f>SUM(SUMIFS(Cascade!$AP:$AP,Cascade!$B:$B,$B43,Cascade!$C:$C,{"15-24","25-34","35-49","50+"},Cascade!$D:$D,"Female"))</f>
        <v>0</v>
      </c>
      <c r="T43" s="14">
        <f>SUM(SUMIFS(Cascade!$AP:$AP,Cascade!$B:$B,$B43,Cascade!$C:$C,{"15-24","25-34","35-49","50+"},Cascade!$D:$D,"Male"))</f>
        <v>0</v>
      </c>
      <c r="U43" s="14">
        <f>_xlfn.IFNA(INDEX(KP!$Q:$Q,MATCH(($B43&amp;"|"&amp;U$3),KP!$D:$D,0)),"")</f>
        <v>86</v>
      </c>
      <c r="V43" s="14">
        <f>_xlfn.IFNA(INDEX(KP!$Q:$Q,MATCH(($B43&amp;"|"&amp;V$3),KP!$D:$D,0)),"")</f>
        <v>52</v>
      </c>
      <c r="W43" s="14">
        <f>_xlfn.IFNA(INDEX(KP!$Q:$Q,MATCH(($B43&amp;"|"&amp;W$3),KP!$D:$D,0)),"")</f>
        <v>93</v>
      </c>
      <c r="X43" s="14" t="str">
        <f>_xlfn.IFNA(INDEX(KP!$Q:$Q,MATCH(($B43&amp;"|"&amp;X$3),KP!$D:$D,0)),"")</f>
        <v/>
      </c>
      <c r="Y43" s="14">
        <f>_xlfn.IFNA(INDEX(KP!$Q:$Q,MATCH(($B43&amp;"|"&amp;Y$3),KP!$D:$D,0)),"")</f>
        <v>5</v>
      </c>
      <c r="Z43" s="14">
        <f>SUM(SUMIFS(Cascade!$AX:$AX,Cascade!$B:$B,$B43,Cascade!$C:$C,{"15-24","25-34","35-49","50+"},Cascade!$D:$D,"Female"))</f>
        <v>0</v>
      </c>
      <c r="AA43" s="14">
        <f>SUM(SUMIFS(Cascade!$AX:$AX,Cascade!$B:$B,$B43,Cascade!$C:$C,{"15-24","25-34","35-49","50+"},Cascade!$D:$D,"Male"))</f>
        <v>0</v>
      </c>
      <c r="AB43" s="14">
        <f>_xlfn.IFNA(INDEX(KP!$Z:$Z,MATCH(($B43&amp;"|"&amp;AB$3),KP!$D:$D,0)),"")</f>
        <v>2</v>
      </c>
      <c r="AC43" s="14">
        <f>_xlfn.IFNA(INDEX(KP!$Z:$Z,MATCH(($B43&amp;"|"&amp;AC$3),KP!$D:$D,0)),"")</f>
        <v>1</v>
      </c>
      <c r="AD43" s="14">
        <f>_xlfn.IFNA(INDEX(KP!$Z:$Z,MATCH(($B43&amp;"|"&amp;AD$3),KP!$D:$D,0)),"")</f>
        <v>2</v>
      </c>
      <c r="AE43" s="14" t="str">
        <f>_xlfn.IFNA(INDEX(KP!$Z:$Z,MATCH(($B43&amp;"|"&amp;AE$3),KP!$D:$D,0)),"")</f>
        <v/>
      </c>
      <c r="AF43" s="14" t="str">
        <f>_xlfn.IFNA(INDEX(KP!$Z:$Z,MATCH(($B43&amp;"|"&amp;AF$3),KP!$D:$D,0)),"")</f>
        <v/>
      </c>
      <c r="AG43" s="14">
        <f>SUM(SUMIFS(Cascade!$BB:$BB,Cascade!$B:$B,$B43,Cascade!$C:$C,{"15-24","25-34","35-49","50+"},Cascade!$D:$D,"Female"))</f>
        <v>0</v>
      </c>
      <c r="AH43" s="14">
        <f>SUM(SUMIFS(Cascade!$BB:$BB,Cascade!$B:$B,$B43,Cascade!$C:$C,{"15-24","25-34","35-49","50+"},Cascade!$D:$D,"Male"))</f>
        <v>0</v>
      </c>
      <c r="AI43" s="14">
        <f>_xlfn.IFNA(INDEX(KP!$AD:$AD,MATCH(($B43&amp;"|"&amp;AI$3),KP!$D:$D,0)),"")</f>
        <v>83</v>
      </c>
      <c r="AJ43" s="14">
        <f>_xlfn.IFNA(INDEX(KP!$AD:$AD,MATCH(($B43&amp;"|"&amp;AJ$3),KP!$D:$D,0)),"")</f>
        <v>50</v>
      </c>
      <c r="AK43" s="14">
        <f>_xlfn.IFNA(INDEX(KP!$AD:$AD,MATCH(($B43&amp;"|"&amp;AK$3),KP!$D:$D,0)),"")</f>
        <v>89</v>
      </c>
      <c r="AL43" s="14" t="str">
        <f>_xlfn.IFNA(INDEX(KP!$AD:$AD,MATCH(($B43&amp;"|"&amp;AL$3),KP!$D:$D,0)),"")</f>
        <v/>
      </c>
      <c r="AM43" s="14">
        <f>_xlfn.IFNA(INDEX(KP!$AD:$AD,MATCH(($B43&amp;"|"&amp;AM$3),KP!$D:$D,0)),"")</f>
        <v>5</v>
      </c>
      <c r="AN43" s="14">
        <f>SUM(SUMIFS(Cascade!$BE:$BE,Cascade!$B:$B,$B43,Cascade!$C:$C,{"15-24","25-34","35-49","50+"},Cascade!$D:$D,"Female"))</f>
        <v>0</v>
      </c>
      <c r="AO43" s="14">
        <f>SUM(SUMIFS(Cascade!$BE:$BE,Cascade!$B:$B,$B43,Cascade!$C:$C,{"15-24","25-34","35-49","50+"},Cascade!$D:$D,"Male"))</f>
        <v>0</v>
      </c>
      <c r="AP43" s="14">
        <f>_xlfn.IFNA(INDEX(KP!$AF:$AF,MATCH(($B43&amp;"|"&amp;AP$3),KP!$D:$D,0)),"")</f>
        <v>79</v>
      </c>
      <c r="AQ43" s="14">
        <f>_xlfn.IFNA(INDEX(KP!$AF:$AF,MATCH(($B43&amp;"|"&amp;AQ$3),KP!$D:$D,0)),"")</f>
        <v>48</v>
      </c>
      <c r="AR43" s="14">
        <f>_xlfn.IFNA(INDEX(KP!$AF:$AF,MATCH(($B43&amp;"|"&amp;AR$3),KP!$D:$D,0)),"")</f>
        <v>85</v>
      </c>
      <c r="AS43" s="14" t="str">
        <f>_xlfn.IFNA(INDEX(KP!$AF:$AF,MATCH(($B43&amp;"|"&amp;AS$3),KP!$D:$D,0)),"")</f>
        <v/>
      </c>
      <c r="AT43" s="14">
        <f>_xlfn.IFNA(INDEX(KP!$AF:$AF,MATCH(($B43&amp;"|"&amp;AT$3),KP!$D:$D,0)),"")</f>
        <v>5</v>
      </c>
      <c r="AU43" s="14">
        <f>SUM(SUMIFS(HTS!$AM:$AM,HTS!$B:$B,$B43,HTS!$C:$C,{"15-24","25-34","35-49","50+"},HTS!$D:$D,"Female"))</f>
        <v>0</v>
      </c>
      <c r="AV43" s="14">
        <f>SUM(SUMIFS(HTS!$AM:$AM,HTS!$B:$B,$B43,HTS!$C:$C,{"15-24","25-34","35-49","50+"},HTS!$D:$D,"Male"))</f>
        <v>0</v>
      </c>
      <c r="AW43" s="14">
        <f>_xlfn.IFNA(INDEX(KP!$AK:$AK,MATCH(($B43&amp;"|"&amp;AW$3),KP!$D:$D,0)),"")</f>
        <v>2</v>
      </c>
      <c r="AX43" s="14">
        <f>_xlfn.IFNA(INDEX(KP!$AK:$AK,MATCH(($B43&amp;"|"&amp;AX$3),KP!$D:$D,0)),"")</f>
        <v>1</v>
      </c>
      <c r="AY43" s="14">
        <f>_xlfn.IFNA(INDEX(KP!$AK:$AK,MATCH(($B43&amp;"|"&amp;AY$3),KP!$D:$D,0)),"")</f>
        <v>2</v>
      </c>
      <c r="AZ43" s="14" t="str">
        <f>_xlfn.IFNA(INDEX(KP!$AK:$AK,MATCH(($B43&amp;"|"&amp;AZ$3),KP!$D:$D,0)),"")</f>
        <v/>
      </c>
      <c r="BA43" s="14" t="str">
        <f>_xlfn.IFNA(INDEX(KP!$AK:$AK,MATCH(($B43&amp;"|"&amp;BA$3),KP!$D:$D,0)),"")</f>
        <v/>
      </c>
      <c r="BB43" s="14">
        <f>SUM(SUMIFS(HTS!$AT:$AT,HTS!$B:$B,$B43,HTS!$C:$C,{"15-24","25-34","35-49","50+"},HTS!$D:$D,"Female"))</f>
        <v>0</v>
      </c>
      <c r="BC43" s="14">
        <f>SUM(SUMIFS(HTS!$AT:$AT,HTS!$B:$B,$B43,HTS!$C:$C,{"15-24","25-34","35-49","50+"},HTS!$D:$D,"Male"))</f>
        <v>0</v>
      </c>
      <c r="BD43" s="14" t="str">
        <f>_xlfn.IFNA(INDEX(KP!$AL:$AL,MATCH(($B43&amp;"|"&amp;BD$3),KP!$D:$D,0)),"")</f>
        <v>ENTER YIELD RATE</v>
      </c>
      <c r="BE43" s="14" t="str">
        <f>_xlfn.IFNA(INDEX(KP!$AL:$AL,MATCH(($B43&amp;"|"&amp;BE$3),KP!$D:$D,0)),"")</f>
        <v>ENTER YIELD RATE</v>
      </c>
      <c r="BF43" s="14" t="str">
        <f>_xlfn.IFNA(INDEX(KP!$AL:$AL,MATCH(($B43&amp;"|"&amp;BF$3),KP!$D:$D,0)),"")</f>
        <v>ENTER YIELD RATE</v>
      </c>
      <c r="BG43" s="14" t="str">
        <f>_xlfn.IFNA(INDEX(KP!$AL:$AL,MATCH(($B43&amp;"|"&amp;BG$3),KP!$D:$D,0)),"")</f>
        <v/>
      </c>
      <c r="BH43" s="14" t="str">
        <f>_xlfn.IFNA(INDEX(KP!$AL:$AL,MATCH(($B43&amp;"|"&amp;BH$3),KP!$D:$D,0)),"")</f>
        <v/>
      </c>
      <c r="BI43" s="14">
        <f>SUM(SUMIFS(HTS!$BA:$BA,HTS!$B:$B,$B43,HTS!$C:$C,{"15-24","25-34","35-49","50+"},HTS!$D:$D,"Female"))</f>
        <v>0</v>
      </c>
      <c r="BJ43" s="14">
        <f>SUM(SUMIFS(HTS!$BA:$BA,HTS!$B:$B,$B43,HTS!$C:$C,{"15-24","25-34","35-49","50+"},HTS!$D:$D,"Male"))</f>
        <v>0</v>
      </c>
      <c r="BK43" s="14">
        <f>_xlfn.IFNA(INDEX(KP!$AN:$AN,MATCH(($B43&amp;"|"&amp;BK$3),KP!$D:$D,0)),"")</f>
        <v>2</v>
      </c>
      <c r="BL43" s="14">
        <f>_xlfn.IFNA(INDEX(KP!$AN:$AN,MATCH(($B43&amp;"|"&amp;BL$3),KP!$D:$D,0)),"")</f>
        <v>1</v>
      </c>
      <c r="BM43" s="14">
        <f>_xlfn.IFNA(INDEX(KP!$AN:$AN,MATCH(($B43&amp;"|"&amp;BM$3),KP!$D:$D,0)),"")</f>
        <v>2</v>
      </c>
      <c r="BN43" s="14" t="str">
        <f>_xlfn.IFNA(INDEX(KP!$AN:$AN,MATCH(($B43&amp;"|"&amp;BN$3),KP!$D:$D,0)),"")</f>
        <v/>
      </c>
      <c r="BO43" s="14" t="str">
        <f>_xlfn.IFNA(INDEX(KP!$AN:$AN,MATCH(($B43&amp;"|"&amp;BO$3),KP!$D:$D,0)),"")</f>
        <v/>
      </c>
      <c r="BP43" s="14">
        <f>SUM(SUMIFS(HTS!$AY:$AY,HTS!$B:$B,$B43,HTS!$C:$C,{"15-24","25-34","35-49","50+"},HTS!$D:$D,"Female"))</f>
        <v>48</v>
      </c>
      <c r="BQ43" s="14">
        <f>SUM(SUMIFS(HTS!$AY:$AY,HTS!$B:$B,$B43,HTS!$C:$C,{"15-24","25-34","35-49","50+"},HTS!$D:$D,"Male"))</f>
        <v>56</v>
      </c>
      <c r="BR43" s="14">
        <f>_xlfn.IFNA(INDEX(KP!$AP:$AP,MATCH(($B43&amp;"|"&amp;BR$3),KP!$D:$D,0)),"")</f>
        <v>0</v>
      </c>
      <c r="BS43" s="14">
        <f>_xlfn.IFNA(INDEX(KP!$AP:$AP,MATCH(($B43&amp;"|"&amp;BS$3),KP!$D:$D,0)),"")</f>
        <v>0</v>
      </c>
      <c r="BT43" s="14">
        <f>_xlfn.IFNA(INDEX(KP!$AP:$AP,MATCH(($B43&amp;"|"&amp;BT$3),KP!$D:$D,0)),"")</f>
        <v>0</v>
      </c>
      <c r="BU43" s="14">
        <f>_xlfn.IFNA(INDEX(KP!$AP:$AP,MATCH(($B43&amp;"|"&amp;BU$3),KP!$D:$D,0)),"")</f>
        <v>0</v>
      </c>
      <c r="BV43" s="14">
        <f>_xlfn.IFNA(INDEX(KP!$AP:$AP,MATCH(($B43&amp;"|"&amp;BV$3),KP!$D:$D,0)),"")</f>
        <v>0</v>
      </c>
    </row>
    <row r="44" spans="1:74" x14ac:dyDescent="0.2">
      <c r="A44" s="93"/>
      <c r="B44" s="43"/>
    </row>
    <row r="45" spans="1:74" x14ac:dyDescent="0.2">
      <c r="A45" s="93"/>
      <c r="B45" s="43"/>
    </row>
    <row r="46" spans="1:74" x14ac:dyDescent="0.2">
      <c r="A46" s="93"/>
      <c r="B46" s="43"/>
    </row>
    <row r="47" spans="1:74" x14ac:dyDescent="0.2">
      <c r="A47" s="93"/>
      <c r="B47" s="43"/>
    </row>
    <row r="48" spans="1:74" x14ac:dyDescent="0.2">
      <c r="A48" s="93"/>
      <c r="B48" s="43"/>
    </row>
    <row r="49" spans="1:2" x14ac:dyDescent="0.2">
      <c r="A49" s="93"/>
      <c r="B49" s="43"/>
    </row>
    <row r="50" spans="1:2" x14ac:dyDescent="0.2">
      <c r="A50" s="93"/>
      <c r="B50" s="43"/>
    </row>
    <row r="51" spans="1:2" x14ac:dyDescent="0.2">
      <c r="A51" s="93"/>
      <c r="B51" s="43"/>
    </row>
    <row r="52" spans="1:2" x14ac:dyDescent="0.2">
      <c r="A52" s="93"/>
      <c r="B52" s="43"/>
    </row>
    <row r="53" spans="1:2" x14ac:dyDescent="0.2">
      <c r="A53" s="93"/>
      <c r="B53" s="43"/>
    </row>
    <row r="54" spans="1:2" x14ac:dyDescent="0.2">
      <c r="A54" s="93"/>
      <c r="B54" s="43"/>
    </row>
    <row r="55" spans="1:2" x14ac:dyDescent="0.2">
      <c r="A55" s="93"/>
      <c r="B55" s="43"/>
    </row>
    <row r="56" spans="1:2" x14ac:dyDescent="0.2">
      <c r="A56" s="93"/>
      <c r="B56" s="43"/>
    </row>
    <row r="57" spans="1:2" x14ac:dyDescent="0.2">
      <c r="A57" s="93"/>
      <c r="B57" s="43"/>
    </row>
    <row r="58" spans="1:2" x14ac:dyDescent="0.2">
      <c r="A58" s="93"/>
      <c r="B58" s="43"/>
    </row>
    <row r="59" spans="1:2" x14ac:dyDescent="0.2">
      <c r="A59" s="93"/>
      <c r="B59" s="43"/>
    </row>
    <row r="60" spans="1:2" x14ac:dyDescent="0.2">
      <c r="A60" s="93"/>
      <c r="B60" s="43"/>
    </row>
    <row r="61" spans="1:2" x14ac:dyDescent="0.2">
      <c r="A61" s="93"/>
      <c r="B61" s="43"/>
    </row>
    <row r="62" spans="1:2" x14ac:dyDescent="0.2">
      <c r="A62" s="93"/>
      <c r="B62" s="43"/>
    </row>
    <row r="63" spans="1:2" x14ac:dyDescent="0.2">
      <c r="A63" s="93"/>
      <c r="B63" s="43"/>
    </row>
  </sheetData>
  <mergeCells count="1">
    <mergeCell ref="A2:B3"/>
  </mergeCells>
  <conditionalFormatting sqref="S1:S1048576 U1:U1048576">
    <cfRule type="expression" dxfId="29" priority="2">
      <formula>AND(ROW($U1)&gt;14,SUM($U1)&gt;$S1)</formula>
    </cfRule>
  </conditionalFormatting>
  <conditionalFormatting sqref="T1:T1048576 V1:V1048576">
    <cfRule type="expression" dxfId="28" priority="3">
      <formula>AND(ROW($V1)&gt;14,SUM($V1)&gt;$T1)</formula>
    </cfRule>
  </conditionalFormatting>
  <conditionalFormatting sqref="S1:T1048576 W1:Y1048576">
    <cfRule type="expression" dxfId="27" priority="4">
      <formula>(($S1-$U1)+($T1-$V1))&lt;SUM($W1:$Y1)</formula>
    </cfRule>
  </conditionalFormatting>
  <conditionalFormatting sqref="Z1:Z1048576 AB1:AB1048576">
    <cfRule type="expression" dxfId="26" priority="5">
      <formula>AND(ROW($AB1)&gt;14,SUM($AB1)&gt;$Z1)</formula>
    </cfRule>
  </conditionalFormatting>
  <conditionalFormatting sqref="AA1:AA1048576 AC1:AC1048576">
    <cfRule type="expression" dxfId="25" priority="6">
      <formula>AND(ROW($AC1)&gt;14,SUM($AC1)&gt;$AA1)</formula>
    </cfRule>
  </conditionalFormatting>
  <conditionalFormatting sqref="Z1:AA1048576 AD1:AF1048576">
    <cfRule type="expression" dxfId="24" priority="7">
      <formula>(($Z1-$AB1)+($AA1-$AC1))&lt;SUM($AD1:$AF1)</formula>
    </cfRule>
  </conditionalFormatting>
  <conditionalFormatting sqref="AG1:AG1048576 AI1:AI1048576">
    <cfRule type="expression" dxfId="23" priority="8">
      <formula>AND(ROW($AI1)&gt;14,SUM($AI1)&gt;$AG1)</formula>
    </cfRule>
  </conditionalFormatting>
  <conditionalFormatting sqref="AH1:AH1048576 AJ1:AJ1048576">
    <cfRule type="expression" dxfId="22" priority="9">
      <formula>AND(ROW($AJ1)&gt;14,SUM($AJ1)&gt;$AH1)</formula>
    </cfRule>
  </conditionalFormatting>
  <conditionalFormatting sqref="AG1:AH1048576 AK1:AM1048576">
    <cfRule type="expression" dxfId="21" priority="10">
      <formula>(($AG1-$AI1)+($AH1-$AJ1))&lt;SUM($AK1:$AM1)</formula>
    </cfRule>
  </conditionalFormatting>
  <conditionalFormatting sqref="AN1:AN1048576 AP1:AP1048576">
    <cfRule type="expression" dxfId="20" priority="11">
      <formula>AND(ROW($AP1)&gt;14,SUM($AP1)&gt;$AN1)</formula>
    </cfRule>
  </conditionalFormatting>
  <conditionalFormatting sqref="AO1:AO1048576 AQ1:AQ1048576">
    <cfRule type="expression" dxfId="19" priority="12">
      <formula>AND(ROW($AQ1)&gt;14,SUM($AQ1)&gt;$AO1)</formula>
    </cfRule>
  </conditionalFormatting>
  <conditionalFormatting sqref="AN1:AO1048576 AR1:AT1048576">
    <cfRule type="expression" dxfId="18" priority="13">
      <formula>(($AN1-$AP1)+($AO1-$AQ1))&lt;SUM($AR1:$AT1)</formula>
    </cfRule>
  </conditionalFormatting>
  <conditionalFormatting sqref="AU1:AU1048576 AW1:AW1048576">
    <cfRule type="expression" dxfId="17" priority="14">
      <formula>AND(ROW($AW1)&gt;14,SUM($AW1)&gt;$AU1)</formula>
    </cfRule>
  </conditionalFormatting>
  <conditionalFormatting sqref="AV1:AV1048576 AX1:AX1048576">
    <cfRule type="expression" dxfId="16" priority="15">
      <formula>AND(ROW($AX1)&gt;14,SUM($AX1)&gt;$AV1)</formula>
    </cfRule>
  </conditionalFormatting>
  <conditionalFormatting sqref="AU1:AV1048576 AY1:BA1048576">
    <cfRule type="expression" dxfId="15" priority="16">
      <formula>(($AU1-$AW1)+($AV1-$AX1))&lt;SUM($AY1:$BA1)</formula>
    </cfRule>
  </conditionalFormatting>
  <conditionalFormatting sqref="BB1:BB1048576 BD1:BD1048576">
    <cfRule type="expression" dxfId="14" priority="17">
      <formula>AND(ROW($BD1)&gt;14,SUM($BD1)&gt;$BB1)</formula>
    </cfRule>
  </conditionalFormatting>
  <conditionalFormatting sqref="BC1:BC1048576 BE1:BE1048576">
    <cfRule type="expression" dxfId="13" priority="18">
      <formula>AND(ROW($BE1)&gt;14,SUM($BE1)&gt;$BC1)</formula>
    </cfRule>
  </conditionalFormatting>
  <conditionalFormatting sqref="BB1:BC1048576 BF1:BH1048576">
    <cfRule type="expression" dxfId="12" priority="19">
      <formula>(($BB1-$BD1)+($BC1-$BE1))&lt;SUM($BF1:$BH1)</formula>
    </cfRule>
  </conditionalFormatting>
  <conditionalFormatting sqref="BI1:BI1048576 BK1:BK1048576">
    <cfRule type="expression" dxfId="11" priority="20">
      <formula>AND(ROW($BK1)&gt;14,SUM($BK1)&gt;$BI1)</formula>
    </cfRule>
  </conditionalFormatting>
  <conditionalFormatting sqref="BL1:BL1048576 BJ1:BJ1048576">
    <cfRule type="expression" dxfId="10" priority="21">
      <formula>AND(ROW($BL1)&gt;14,SUM($BL1)&gt;$BJ1)</formula>
    </cfRule>
  </conditionalFormatting>
  <conditionalFormatting sqref="BI1:BJ1048576 BM1:BO1048576">
    <cfRule type="expression" dxfId="9" priority="22">
      <formula>(($BI1-$BK1)+($BJ1-$BL1))&lt;SUM($BM1:$BO1)</formula>
    </cfRule>
  </conditionalFormatting>
  <conditionalFormatting sqref="BP1:BP1048576 BR1:BR1048576">
    <cfRule type="expression" dxfId="8" priority="23">
      <formula>AND(ROW($BR1)&gt;14,SUM($BR1)&gt;$BP1)</formula>
    </cfRule>
  </conditionalFormatting>
  <conditionalFormatting sqref="BQ1:BQ1048576 BS1:BS1048576">
    <cfRule type="expression" dxfId="7" priority="24">
      <formula>AND(ROW($BS1)&gt;14,SUM($BS1)&gt;$BQ1)</formula>
    </cfRule>
  </conditionalFormatting>
  <conditionalFormatting sqref="BP1:BQ1048576 BT1:BV1048576">
    <cfRule type="expression" dxfId="6" priority="25">
      <formula>(($BP1-$BR1)+($BQ1-$BS1))&lt;SUM($BT1:$BV1)</formula>
    </cfRule>
  </conditionalFormatting>
  <conditionalFormatting sqref="C1:D1048576 F1:F1048576">
    <cfRule type="expression" dxfId="5" priority="26">
      <formula>AND(ISNUMBER($F1),SUM($F1)&gt;$C1)</formula>
    </cfRule>
  </conditionalFormatting>
  <conditionalFormatting sqref="G1:G1048576 E1:E1048576">
    <cfRule type="expression" dxfId="4" priority="27">
      <formula>AND(ISNUMBER($G1),SUM($G1)&gt;$E1)</formula>
    </cfRule>
  </conditionalFormatting>
  <conditionalFormatting sqref="H1:J1048576 C1:E1048576">
    <cfRule type="expression" dxfId="3" priority="28">
      <formula>(($C1-$F1)+($E1-$G1))&lt;SUM($H1:$J1)</formula>
    </cfRule>
  </conditionalFormatting>
  <conditionalFormatting sqref="K1:L1048576 N1:N1048576">
    <cfRule type="expression" dxfId="2" priority="29">
      <formula>AND(ROW($N1)&gt;14,SUM($N1)&gt;$K1)</formula>
    </cfRule>
  </conditionalFormatting>
  <conditionalFormatting sqref="M1:M1048576 O1:O1048576">
    <cfRule type="expression" dxfId="1" priority="30">
      <formula>AND(ROW($O1)&gt;14,SUM($O1)&gt;$M1)</formula>
    </cfRule>
  </conditionalFormatting>
  <conditionalFormatting sqref="K1:M1048576 P1:R1048576">
    <cfRule type="expression" dxfId="0" priority="31">
      <formula>(($K1-$N1)+($M1-$O1))&lt;SUM($P1:$R1)</formula>
    </cfRule>
  </conditionalFormatting>
  <hyperlinks>
    <hyperlink ref="C3" location="PrEP!O:O" display="Female, 15+ (FY24)" xr:uid="{00000000-0004-0000-1300-000000000000}"/>
    <hyperlink ref="D3" location="PrEP!O:O" display="AGYW, 15-34 (FY24)" xr:uid="{00000000-0004-0000-1300-000001000000}"/>
    <hyperlink ref="E3" location="PrEP!O:O" display="Male, 15+ (FY24)" xr:uid="{00000000-0004-0000-1300-000002000000}"/>
    <hyperlink ref="F3" location="KP!I:I" display="FSW" xr:uid="{00000000-0004-0000-1300-000003000000}"/>
    <hyperlink ref="G3" location="KP!I:I" display="MSM" xr:uid="{00000000-0004-0000-1300-000004000000}"/>
    <hyperlink ref="H3" location="KP!I:I" display="People in prisons and other enclosed settings" xr:uid="{00000000-0004-0000-1300-000005000000}"/>
    <hyperlink ref="I3" location="KP!I:I" display="PWID" xr:uid="{00000000-0004-0000-1300-000006000000}"/>
    <hyperlink ref="J3" location="KP!I:I" display="TG" xr:uid="{00000000-0004-0000-1300-000007000000}"/>
    <hyperlink ref="K3" location="PrEP!L:L" display="Female, 15+ (FY24)" xr:uid="{00000000-0004-0000-1300-000008000000}"/>
    <hyperlink ref="L3" location="PrEP!L:L" display="AGYW, 15-34 (FY24)" xr:uid="{00000000-0004-0000-1300-000009000000}"/>
    <hyperlink ref="M3" location="PrEP!L:L" display="Male, 15+ (FY24)" xr:uid="{00000000-0004-0000-1300-00000A000000}"/>
    <hyperlink ref="N3" location="KP!K:K" display="FSW" xr:uid="{00000000-0004-0000-1300-00000B000000}"/>
    <hyperlink ref="O3" location="KP!K:K" display="MSM" xr:uid="{00000000-0004-0000-1300-00000C000000}"/>
    <hyperlink ref="P3" location="KP!K:K" display="People in prisons and other enclosed settings" xr:uid="{00000000-0004-0000-1300-00000D000000}"/>
    <hyperlink ref="Q3" location="KP!K:K" display="PWID" xr:uid="{00000000-0004-0000-1300-00000E000000}"/>
    <hyperlink ref="R3" location="KP!K:K" display="TG" xr:uid="{00000000-0004-0000-1300-00000F000000}"/>
    <hyperlink ref="S3" location="Cascade!AM:AM" display="Female, 15+ (FY24)" xr:uid="{00000000-0004-0000-1300-000010000000}"/>
    <hyperlink ref="T3" location="Cascade!AM:AM" display="Male, 15+ (FY24)" xr:uid="{00000000-0004-0000-1300-000011000000}"/>
    <hyperlink ref="U3" location="KP!P:P" display="FSW" xr:uid="{00000000-0004-0000-1300-000012000000}"/>
    <hyperlink ref="V3" location="KP!P:P" display="MSM" xr:uid="{00000000-0004-0000-1300-000013000000}"/>
    <hyperlink ref="W3" location="KP!P:P" display="People in prisons and other enclosed settings" xr:uid="{00000000-0004-0000-1300-000014000000}"/>
    <hyperlink ref="X3" location="KP!P:P" display="PWID" xr:uid="{00000000-0004-0000-1300-000015000000}"/>
    <hyperlink ref="Y3" location="KP!P:P" display="TG" xr:uid="{00000000-0004-0000-1300-000016000000}"/>
    <hyperlink ref="Z3" location="Cascade!AV:AV" display="Female, 15+ (FY24)" xr:uid="{00000000-0004-0000-1300-000017000000}"/>
    <hyperlink ref="AA3" location="Cascade!AV:AV" display="Male, 15+ (FY24)" xr:uid="{00000000-0004-0000-1300-000018000000}"/>
    <hyperlink ref="AB3" location="KP!V:V" display="FSW" xr:uid="{00000000-0004-0000-1300-000019000000}"/>
    <hyperlink ref="AC3" location="KP!V:V" display="MSM" xr:uid="{00000000-0004-0000-1300-00001A000000}"/>
    <hyperlink ref="AD3" location="KP!V:V" display="People in prisons and other enclosed settings" xr:uid="{00000000-0004-0000-1300-00001B000000}"/>
    <hyperlink ref="AE3" location="KP!V:V" display="PWID" xr:uid="{00000000-0004-0000-1300-00001C000000}"/>
    <hyperlink ref="AF3" location="KP!V:V" display="TG" xr:uid="{00000000-0004-0000-1300-00001D000000}"/>
    <hyperlink ref="AG3" location="Cascade!AZ:AZ" display="Female, 15+ (FY24)" xr:uid="{00000000-0004-0000-1300-00001E000000}"/>
    <hyperlink ref="AH3" location="Cascade!AZ:AZ" display="Male, 15+ (FY24)" xr:uid="{00000000-0004-0000-1300-00001F000000}"/>
    <hyperlink ref="AI3" location="KP!Y:Y" display="FSW" xr:uid="{00000000-0004-0000-1300-000020000000}"/>
    <hyperlink ref="AJ3" location="KP!Y:Y" display="MSM" xr:uid="{00000000-0004-0000-1300-000021000000}"/>
    <hyperlink ref="AK3" location="KP!Y:Y" display="People in prisons and other enclosed settings" xr:uid="{00000000-0004-0000-1300-000022000000}"/>
    <hyperlink ref="AL3" location="KP!Y:Y" display="PWID" xr:uid="{00000000-0004-0000-1300-000023000000}"/>
    <hyperlink ref="AM3" location="KP!Y:Y" display="TG" xr:uid="{00000000-0004-0000-1300-000024000000}"/>
    <hyperlink ref="AN3" location="Cascade!BC:BC" display="Female, 15+ (FY24)" xr:uid="{00000000-0004-0000-1300-000025000000}"/>
    <hyperlink ref="AO3" location="Cascade!BC:BC" display="Male, 15+ (FY24)" xr:uid="{00000000-0004-0000-1300-000026000000}"/>
    <hyperlink ref="AP3" location="KP!AA:AA" display="FSW" xr:uid="{00000000-0004-0000-1300-000027000000}"/>
    <hyperlink ref="AQ3" location="KP!AA:AA" display="MSM" xr:uid="{00000000-0004-0000-1300-000028000000}"/>
    <hyperlink ref="AR3" location="KP!AA:AA" display="People in prisons and other enclosed settings" xr:uid="{00000000-0004-0000-1300-000029000000}"/>
    <hyperlink ref="AS3" location="KP!AA:AA" display="PWID" xr:uid="{00000000-0004-0000-1300-00002A000000}"/>
    <hyperlink ref="AT3" location="KP!AA:AA" display="TG" xr:uid="{00000000-0004-0000-1300-00002B000000}"/>
    <hyperlink ref="AU3" location="HTS!AK:AK" display="Female, 15+ (FY24)" xr:uid="{00000000-0004-0000-1300-00002C000000}"/>
    <hyperlink ref="AV3" location="HTS!AK:AK" display="Male, 15+ (FY24)" xr:uid="{00000000-0004-0000-1300-00002D000000}"/>
    <hyperlink ref="AW3" location="KP!AI:AI" display="FSW" xr:uid="{00000000-0004-0000-1300-00002E000000}"/>
    <hyperlink ref="AX3" location="KP!AI:AI" display="MSM" xr:uid="{00000000-0004-0000-1300-00002F000000}"/>
    <hyperlink ref="AY3" location="KP!AI:AI" display="People in prisons and other enclosed settings" xr:uid="{00000000-0004-0000-1300-000030000000}"/>
    <hyperlink ref="AZ3" location="KP!AI:AI" display="PWID" xr:uid="{00000000-0004-0000-1300-000031000000}"/>
    <hyperlink ref="BA3" location="KP!AI:AI" display="TG" xr:uid="{00000000-0004-0000-1300-000032000000}"/>
    <hyperlink ref="BB3" location="HTS!AR:AR" display="Female, 15+ (FY24)" xr:uid="{00000000-0004-0000-1300-000033000000}"/>
    <hyperlink ref="BC3" location="HTS!AR:AR" display="Male, 15+ (FY24)" xr:uid="{00000000-0004-0000-1300-000034000000}"/>
    <hyperlink ref="BD3" location="KP!AJ:AJ" display="FSW" xr:uid="{00000000-0004-0000-1300-000035000000}"/>
    <hyperlink ref="BE3" location="KP!AJ:AJ" display="MSM" xr:uid="{00000000-0004-0000-1300-000036000000}"/>
    <hyperlink ref="BF3" location="KP!AJ:AJ" display="People in prisons and other enclosed settings" xr:uid="{00000000-0004-0000-1300-000037000000}"/>
    <hyperlink ref="BG3" location="KP!AJ:AJ" display="PWID" xr:uid="{00000000-0004-0000-1300-000038000000}"/>
    <hyperlink ref="BH3" location="KP!AJ:AJ" display="TG" xr:uid="{00000000-0004-0000-1300-000039000000}"/>
    <hyperlink ref="BI3" location="HTS!AY:AY" display="Female, 15+ (FY24)" xr:uid="{00000000-0004-0000-1300-00003A000000}"/>
    <hyperlink ref="BJ3" location="HTS!AY:AY" display="Male, 15+ (FY24)" xr:uid="{00000000-0004-0000-1300-00003B000000}"/>
    <hyperlink ref="BK3" location="KP!AL:AL" display="FSW" xr:uid="{00000000-0004-0000-1300-00003C000000}"/>
    <hyperlink ref="BL3" location="KP!AL:AL" display="MSM" xr:uid="{00000000-0004-0000-1300-00003D000000}"/>
    <hyperlink ref="BM3" location="KP!AL:AL" display="People in prisons and other enclosed settings" xr:uid="{00000000-0004-0000-1300-00003E000000}"/>
    <hyperlink ref="BN3" location="KP!AL:AL" display="PWID" xr:uid="{00000000-0004-0000-1300-00003F000000}"/>
    <hyperlink ref="BO3" location="KP!AL:AL" display="TG" xr:uid="{00000000-0004-0000-1300-000040000000}"/>
    <hyperlink ref="BP3" location="HTS!AW:AW" display="Female, 15+ (FY24)" xr:uid="{00000000-0004-0000-1300-000041000000}"/>
    <hyperlink ref="BQ3" location="HTS!AW:AW" display="Male, 15+ (FY24)" xr:uid="{00000000-0004-0000-1300-000042000000}"/>
    <hyperlink ref="BR3" location="KP!AN:AN" display="FSW" xr:uid="{00000000-0004-0000-1300-000043000000}"/>
    <hyperlink ref="BS3" location="KP!AN:AN" display="MSM" xr:uid="{00000000-0004-0000-1300-000044000000}"/>
    <hyperlink ref="BT3" location="KP!AN:AN" display="People in prisons and other enclosed settings" xr:uid="{00000000-0004-0000-1300-000045000000}"/>
    <hyperlink ref="BU3" location="KP!AN:AN" display="PWID" xr:uid="{00000000-0004-0000-1300-000046000000}"/>
    <hyperlink ref="BV3" location="KP!AN:AN" display="TG" xr:uid="{00000000-0004-0000-1300-000047000000}"/>
  </hyperlinks>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Home</vt:lpstr>
      <vt:lpstr>Spectrum</vt:lpstr>
      <vt:lpstr>Prioritization</vt:lpstr>
      <vt:lpstr>Cascade</vt:lpstr>
      <vt:lpstr>KP</vt:lpstr>
      <vt:lpstr>Year 2</vt:lpstr>
      <vt:lpstr>PMTCT</vt:lpstr>
      <vt:lpstr>EID</vt:lpstr>
      <vt:lpstr>TB</vt:lpstr>
      <vt:lpstr>VMMC</vt:lpstr>
      <vt:lpstr>PrEP</vt:lpstr>
      <vt:lpstr>HTS</vt:lpstr>
      <vt:lpstr>CXCA</vt:lpstr>
      <vt:lpstr>TX_TB_PREV</vt:lpstr>
      <vt:lpstr>PP</vt:lpstr>
      <vt:lpstr>OVC</vt:lpstr>
      <vt:lpstr>GEND</vt:lpstr>
      <vt:lpstr>AGYW</vt:lpstr>
      <vt:lpstr>KP_MAT</vt:lpstr>
      <vt:lpstr>KP Validation</vt:lpstr>
      <vt:lpstr>KP_MAT!KP_MAT.N.Sex.T</vt:lpstr>
      <vt:lpstr>'KP Validation'!TX_CURR.N.KeyPop_HIVStatus.T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Scott Jackson</dc:creator>
  <dc:description/>
  <cp:lastModifiedBy>Microsoft Office User</cp:lastModifiedBy>
  <cp:revision>0</cp:revision>
  <dcterms:created xsi:type="dcterms:W3CDTF">2018-11-07T14:50:29Z</dcterms:created>
  <dcterms:modified xsi:type="dcterms:W3CDTF">2024-06-04T00:24:24Z</dcterms:modified>
  <dc:language>en-US</dc:language>
</cp:coreProperties>
</file>